
<file path=[Content_Types].xml><?xml version="1.0" encoding="utf-8"?>
<Types xmlns="http://schemas.openxmlformats.org/package/2006/content-types">
  <Default ContentType="application/vnd.openxmlformats-officedocument.spreadsheetml.printerSettings" Extension="bin"/>
  <Default ContentType="image/gif" Extension="gif"/>
  <Default ContentType="image/jpeg" Extension="jpeg"/>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volatileDependencies+xml" PartName="/xl/volatileDependenci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375" yWindow="225" windowWidth="25230" windowHeight="12420"/>
  </bookViews>
  <sheets>
    <sheet name="ImportantDisclosures" sheetId="41" r:id="rId1"/>
    <sheet name="MHFI" sheetId="4" r:id="rId2"/>
    <sheet name="Op Metrics" sheetId="5" r:id="rId3"/>
    <sheet name="DCF_Rev" sheetId="6" r:id="rId4"/>
    <sheet name="Variance" sheetId="8" r:id="rId5"/>
    <sheet name="SOTP_hc" sheetId="12" r:id="rId6"/>
    <sheet name="IndexInformation" sheetId="42" r:id="rId7"/>
    <sheet name="ModPubIndex" sheetId="43" r:id="rId8"/>
    <sheet name="MW-Cache" sheetId="29" state="very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FDS_HYPERLINK_TOGGLE_STATE__" hidden="1">"ON"</definedName>
    <definedName name="__FDS_UNIQUE_RANGE_ID_GENERATOR_COUNTER" hidden="1">1</definedName>
    <definedName name="_1__FDSAUDITLINK__"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1__FDSAUDITLINK___1"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1__FDSAUDITLINK___2"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10__FDSAUDITLINK__"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0__FDSAUDITLINK___1"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0__FDSAUDITLINK___2"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00__FDSAUDITLINK__"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00__FDSAUDITLINK___1"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00__FDSAUDITLINK___2"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01__FDSAUDITLINK__"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01__FDSAUDITLINK___1"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01__FDSAUDITLINK___2"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02__FDSAUDITLINK__"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02__FDSAUDITLINK___1"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02__FDSAUDITLINK___2"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03__FDSAUDITLINK__"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03__FDSAUDITLINK___1"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03__FDSAUDITLINK___2"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04__FDSAUDITLINK__"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04__FDSAUDITLINK___1"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04__FDSAUDITLINK___2"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05__FDSAUDITLINK__"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05__FDSAUDITLINK___1"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05__FDSAUDITLINK___2"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06__FDSAUDITLINK__"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06__FDSAUDITLINK___1"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06__FDSAUDITLINK___2"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07__FDSAUDITLINK__"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07__FDSAUDITLINK___1"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07__FDSAUDITLINK___2"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08__FDSAUDITLINK__"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08__FDSAUDITLINK___1"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08__FDSAUDITLINK___2"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09__FDSAUDITLINK__"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109__FDSAUDITLINK___1"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109__FDSAUDITLINK___2"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11__FDSAUDITLINK__" hidden="1">{"fdsup://directions/FAT Viewer?action=UPDATE&amp;creator=factset&amp;DYN_ARGS=TRUE&amp;DOC_NAME=FAT:FQL_AUDITING_CLIENT_TEMPLATE.FAT&amp;display_string=Audit&amp;VAR:KEY=CNIVYLQDOT&amp;VAR:QUERY=RkZfU0hMRFJTX0VRKEFOTiwwKQ==&amp;WINDOW=FIRST_POPUP&amp;HEIGHT=450&amp;WIDTH=450&amp;START_MAXIMIZED=","FALSE&amp;VAR:CALENDAR=US&amp;VAR:SYMBOL=ZMH&amp;VAR:INDEX=0"}</definedName>
    <definedName name="_11__FDSAUDITLINK___1" hidden="1">{"fdsup://directions/FAT Viewer?action=UPDATE&amp;creator=factset&amp;DYN_ARGS=TRUE&amp;DOC_NAME=FAT:FQL_AUDITING_CLIENT_TEMPLATE.FAT&amp;display_string=Audit&amp;VAR:KEY=CNIVYLQDOT&amp;VAR:QUERY=RkZfU0hMRFJTX0VRKEFOTiwwKQ==&amp;WINDOW=FIRST_POPUP&amp;HEIGHT=450&amp;WIDTH=450&amp;START_MAXIMIZED=","FALSE&amp;VAR:CALENDAR=US&amp;VAR:SYMBOL=ZMH&amp;VAR:INDEX=0"}</definedName>
    <definedName name="_11__FDSAUDITLINK___2" hidden="1">{"fdsup://directions/FAT Viewer?action=UPDATE&amp;creator=factset&amp;DYN_ARGS=TRUE&amp;DOC_NAME=FAT:FQL_AUDITING_CLIENT_TEMPLATE.FAT&amp;display_string=Audit&amp;VAR:KEY=CNIVYLQDOT&amp;VAR:QUERY=RkZfU0hMRFJTX0VRKEFOTiwwKQ==&amp;WINDOW=FIRST_POPUP&amp;HEIGHT=450&amp;WIDTH=450&amp;START_MAXIMIZED=","FALSE&amp;VAR:CALENDAR=US&amp;VAR:SYMBOL=ZMH&amp;VAR:INDEX=0"}</definedName>
    <definedName name="_110__FDSAUDITLINK__"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110__FDSAUDITLINK___1"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110__FDSAUDITLINK___2"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111__FDSAUDITLINK__"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111__FDSAUDITLINK___1"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111__FDSAUDITLINK___2"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112__FDSAUDITLINK__"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112__FDSAUDITLINK___1"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112__FDSAUDITLINK___2"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113__FDSAUDITLINK__"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113__FDSAUDITLINK___1"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113__FDSAUDITLINK___2"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114__FDSAUDITLINK__"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114__FDSAUDITLINK___1"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114__FDSAUDITLINK___2"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115__FDSAUDITLINK__"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115__FDSAUDITLINK___1"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115__FDSAUDITLINK___2"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116__FDSAUDITLINK__"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116__FDSAUDITLINK___1"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116__FDSAUDITLINK___2"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117__FDSAUDITLINK__"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117__FDSAUDITLINK___1"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117__FDSAUDITLINK___2"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118__FDSAUDITLINK__"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118__FDSAUDITLINK___1"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118__FDSAUDITLINK___2"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119__FDSAUDITLINK__"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119__FDSAUDITLINK___1"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119__FDSAUDITLINK___2"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12__FDSAUDITLINK__"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2__FDSAUDITLINK___1"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2__FDSAUDITLINK___2" hidden="1">{"fdsup://directions/FAT Viewer?action=UPDATE&amp;creator=factset&amp;DYN_ARGS=TRUE&amp;DOC_NAME=FAT:FQL_AUDITING_CLIENT_TEMPLATE.FAT&amp;display_string=Audit&amp;VAR:KEY=CNYFUBYFQP&amp;VAR:QUERY=RkZfREVCVChBTk4sMCk=&amp;WINDOW=FIRST_POPUP&amp;HEIGHT=450&amp;WIDTH=450&amp;START_MAXIMIZED=FALSE&amp;VA","R:CALENDAR=US&amp;VAR:SYMBOL=ZMH&amp;VAR:INDEX=0"}</definedName>
    <definedName name="_120__FDSAUDITLINK__"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120__FDSAUDITLINK___1"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120__FDSAUDITLINK___2"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121__FDSAUDITLINK__"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121__FDSAUDITLINK___1"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121__FDSAUDITLINK___2"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122__FDSAUDITLINK__"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122__FDSAUDITLINK___1"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122__FDSAUDITLINK___2"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123__FDSAUDITLINK__"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123__FDSAUDITLINK___1"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123__FDSAUDITLINK___2"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124__FDSAUDITLINK__"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124__FDSAUDITLINK___1"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124__FDSAUDITLINK___2"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125__FDSAUDITLINK__"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125__FDSAUDITLINK___1"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125__FDSAUDITLINK___2"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126__FDSAUDITLINK__"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126__FDSAUDITLINK___1"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126__FDSAUDITLINK___2"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127__FDSAUDITLINK__"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127__FDSAUDITLINK___1"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127__FDSAUDITLINK___2"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128__FDSAUDITLINK__"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128__FDSAUDITLINK___1"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128__FDSAUDITLINK___2"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129__FDSAUDITLINK__"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129__FDSAUDITLINK___1"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129__FDSAUDITLINK___2"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13__FDSAUDITLINK__"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3__FDSAUDITLINK___1"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3__FDSAUDITLINK___2"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30__FDSAUDITLINK__"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30__FDSAUDITLINK___1"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30__FDSAUDITLINK___2"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31__FDSAUDITLINK__"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131__FDSAUDITLINK___1"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131__FDSAUDITLINK___2"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132__FDSAUDITLINK__"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132__FDSAUDITLINK___1"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132__FDSAUDITLINK___2"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133__FDSAUDITLINK__"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33__FDSAUDITLINK___1"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33__FDSAUDITLINK___2"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134__FDSAUDITLINK__"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134__FDSAUDITLINK___1"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134__FDSAUDITLINK___2"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135__FDSAUDITLINK__"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35__FDSAUDITLINK___1"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35__FDSAUDITLINK___2" hidden="1">{"fdsup://directions/FAT Viewer?action=UPDATE&amp;creator=factset&amp;DYN_ARGS=TRUE&amp;DOC_NAME=FAT:FQL_AUDITING_CLIENT_TEMPLATE.FAT&amp;display_string=Audit&amp;VAR:KEY=CBWBYDQBYR&amp;VAR:QUERY=RkZfRU5UUlBSX1ZBTF9EQUlMWShOT1csLCwsLCdESUwnKQ==&amp;WINDOW=FIRST_POPUP&amp;HEIGHT=450&amp;WIDTH=","450&amp;START_MAXIMIZED=FALSE&amp;VAR:CALENDAR=FIVEDAY&amp;VAR:SYMBOL=LCRY&amp;VAR:INDEX=0"}</definedName>
    <definedName name="_136__FDSAUDITLINK__"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36__FDSAUDITLINK___1"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36__FDSAUDITLINK___2" hidden="1">{"fdsup://directions/FAT Viewer?action=UPDATE&amp;creator=factset&amp;DYN_ARGS=TRUE&amp;DOC_NAME=FAT:FQL_AUDITING_CLIENT_TEMPLATE.FAT&amp;display_string=Audit&amp;VAR:KEY=ODUDADIPCV&amp;VAR:QUERY=RkZfRU5UUlBSX1ZBTF9EQUlMWShOT1csLCwsLCdESUwnKQ==&amp;WINDOW=FIRST_POPUP&amp;HEIGHT=450&amp;WIDTH=","450&amp;START_MAXIMIZED=FALSE&amp;VAR:CALENDAR=FIVEDAY&amp;VAR:SYMBOL=TER&amp;VAR:INDEX=0"}</definedName>
    <definedName name="_137__FDSAUDITLINK__"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37__FDSAUDITLINK___1"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37__FDSAUDITLINK___2" hidden="1">{"fdsup://directions/FAT Viewer?action=UPDATE&amp;creator=factset&amp;DYN_ARGS=TRUE&amp;DOC_NAME=FAT:FQL_AUDITING_CLIENT_TEMPLATE.FAT&amp;display_string=Audit&amp;VAR:KEY=YHOZMZUDYT&amp;VAR:QUERY=RkZfRU5UUlBSX1ZBTF9EQUlMWShOT1csLCwsLCdESUwnKQ==&amp;WINDOW=FIRST_POPUP&amp;HEIGHT=450&amp;WIDTH=","450&amp;START_MAXIMIZED=FALSE&amp;VAR:CALENDAR=FIVEDAY&amp;VAR:SYMBOL=NATI&amp;VAR:INDEX=0"}</definedName>
    <definedName name="_138__FDSAUDITLINK__"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38__FDSAUDITLINK___1"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38__FDSAUDITLINK___2" hidden="1">{"fdsup://directions/FAT Viewer?action=UPDATE&amp;creator=factset&amp;DYN_ARGS=TRUE&amp;DOC_NAME=FAT:FQL_AUDITING_CLIENT_TEMPLATE.FAT&amp;display_string=Audit&amp;VAR:KEY=UZOZGRKXKL&amp;VAR:QUERY=RkZfRU5UUlBSX1ZBTF9EQUlMWShOT1csLCwsLCdESUwnKQ==&amp;WINDOW=FIRST_POPUP&amp;HEIGHT=450&amp;WIDTH=","450&amp;START_MAXIMIZED=FALSE&amp;VAR:CALENDAR=FIVEDAY&amp;VAR:SYMBOL=JDSU&amp;VAR:INDEX=0"}</definedName>
    <definedName name="_139__FDSAUDITLINK__"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39__FDSAUDITLINK___1"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39__FDSAUDITLINK___2" hidden="1">{"fdsup://directions/FAT Viewer?action=UPDATE&amp;creator=factset&amp;DYN_ARGS=TRUE&amp;DOC_NAME=FAT:FQL_AUDITING_CLIENT_TEMPLATE.FAT&amp;display_string=Audit&amp;VAR:KEY=QTSVONSRIP&amp;VAR:QUERY=RkZfRU5UUlBSX1ZBTF9EQUlMWShOT1csLCwsLCdESUwnKQ==&amp;WINDOW=FIRST_POPUP&amp;HEIGHT=450&amp;WIDTH=","450&amp;START_MAXIMIZED=FALSE&amp;VAR:CALENDAR=FIVEDAY&amp;VAR:SYMBOL=DHR&amp;VAR:INDEX=0"}</definedName>
    <definedName name="_14__FDSAUDITLINK__" hidden="1">{"fdsup://directions/FAT Viewer?action=UPDATE&amp;creator=factset&amp;DYN_ARGS=TRUE&amp;DOC_NAME=FAT:FQL_AUDITING_CLIENT_TEMPLATE.FAT&amp;display_string=Audit&amp;VAR:KEY=IHYVYNANAD&amp;VAR:QUERY=RkZfU0hMRFJTX0VRKEFOTiwwKQ==&amp;WINDOW=FIRST_POPUP&amp;HEIGHT=450&amp;WIDTH=450&amp;START_MAXIMIZED=","FALSE&amp;VAR:CALENDAR=US&amp;VAR:SYMBOL=MDT&amp;VAR:INDEX=0"}</definedName>
    <definedName name="_14__FDSAUDITLINK___1" hidden="1">{"fdsup://directions/FAT Viewer?action=UPDATE&amp;creator=factset&amp;DYN_ARGS=TRUE&amp;DOC_NAME=FAT:FQL_AUDITING_CLIENT_TEMPLATE.FAT&amp;display_string=Audit&amp;VAR:KEY=IHYVYNANAD&amp;VAR:QUERY=RkZfU0hMRFJTX0VRKEFOTiwwKQ==&amp;WINDOW=FIRST_POPUP&amp;HEIGHT=450&amp;WIDTH=450&amp;START_MAXIMIZED=","FALSE&amp;VAR:CALENDAR=US&amp;VAR:SYMBOL=MDT&amp;VAR:INDEX=0"}</definedName>
    <definedName name="_14__FDSAUDITLINK___2" hidden="1">{"fdsup://directions/FAT Viewer?action=UPDATE&amp;creator=factset&amp;DYN_ARGS=TRUE&amp;DOC_NAME=FAT:FQL_AUDITING_CLIENT_TEMPLATE.FAT&amp;display_string=Audit&amp;VAR:KEY=IHYVYNANAD&amp;VAR:QUERY=RkZfU0hMRFJTX0VRKEFOTiwwKQ==&amp;WINDOW=FIRST_POPUP&amp;HEIGHT=450&amp;WIDTH=450&amp;START_MAXIMIZED=","FALSE&amp;VAR:CALENDAR=US&amp;VAR:SYMBOL=MDT&amp;VAR:INDEX=0"}</definedName>
    <definedName name="_140__FDSAUDITLINK__"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40__FDSAUDITLINK___1"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40__FDSAUDITLINK___2"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141__FDSAUDITLINK__"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41__FDSAUDITLINK___1"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41__FDSAUDITLINK___2" hidden="1">{"fdsup://directions/FAT Viewer?action=UPDATE&amp;creator=factset&amp;DYN_ARGS=TRUE&amp;DOC_NAME=FAT:FQL_AUDITING_CLIENT_TEMPLATE.FAT&amp;display_string=Audit&amp;VAR:KEY=SZKFETWBYZ&amp;VAR:QUERY=RkZfRU5UUlBSX1ZBTF9EQUlMWShOT1csLCwsLCdESUwnKQ==&amp;WINDOW=FIRST_POPUP&amp;HEIGHT=450&amp;WIDTH=","450&amp;START_MAXIMIZED=FALSE&amp;VAR:CALENDAR=FIVEDAY&amp;VAR:SYMBOL=ANSS&amp;VAR:INDEX=0"}</definedName>
    <definedName name="_142__FDSAUDITLINK__"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42__FDSAUDITLINK___1"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42__FDSAUDITLINK___2" hidden="1">{"fdsup://directions/FAT Viewer?action=UPDATE&amp;creator=factset&amp;DYN_ARGS=TRUE&amp;DOC_NAME=FAT:FQL_AUDITING_CLIENT_TEMPLATE.FAT&amp;display_string=Audit&amp;VAR:KEY=ALUTYBGPKX&amp;VAR:QUERY=RkZfRU5UUlBSX1ZBTF9EQUlMWShOT1csLCwsLCdESUwnKQ==&amp;WINDOW=FIRST_POPUP&amp;HEIGHT=450&amp;WIDTH=","450&amp;START_MAXIMIZED=FALSE&amp;VAR:CALENDAR=FIVEDAY&amp;VAR:SYMBOL=ARX&amp;VAR:INDEX=0"}</definedName>
    <definedName name="_143__FDSAUDITLINK__" hidden="1">{"fdsup://directions/FAT Viewer?action=UPDATE&amp;creator=factset&amp;DYN_ARGS=TRUE&amp;DOC_NAME=FAT:FQL_AUDITING_CLIENT_TEMPLATE.FAT&amp;display_string=Audit&amp;VAR:KEY=ANOJYBYPGJ&amp;VAR:QUERY=RkZfRUJJVChBTk4sMjAwOSwsLCxVU0Qp&amp;WINDOW=FIRST_POPUP&amp;HEIGHT=450&amp;WIDTH=450&amp;START_MAXIMI","ZED=FALSE&amp;VAR:CALENDAR=US&amp;VAR:SYMBOL=FDS&amp;VAR:INDEX=0"}</definedName>
    <definedName name="_144__FDSAUDITLINK__" hidden="1">{"fdsup://directions/FAT Viewer?action=UPDATE&amp;creator=factset&amp;DYN_ARGS=TRUE&amp;DOC_NAME=FAT:FQL_AUDITING_CLIENT_TEMPLATE.FAT&amp;display_string=Audit&amp;VAR:KEY=QLOXQLCJGZ&amp;VAR:QUERY=RkZfRUJJVChBTk4sMjAwOCwsLCxVU0Qp&amp;WINDOW=FIRST_POPUP&amp;HEIGHT=450&amp;WIDTH=450&amp;START_MAXIMI","ZED=FALSE&amp;VAR:CALENDAR=US&amp;VAR:SYMBOL=FDS&amp;VAR:INDEX=0"}</definedName>
    <definedName name="_145__FDSAUDITLINK__" hidden="1">{"fdsup://directions/FAT Viewer?action=UPDATE&amp;creator=factset&amp;DYN_ARGS=TRUE&amp;DOC_NAME=FAT:FQL_AUDITING_CLIENT_TEMPLATE.FAT&amp;display_string=Audit&amp;VAR:KEY=MBUDIXUPIZ&amp;VAR:QUERY=RkZfRUJJVChBTk4sMjAwNywsLCxVU0Qp&amp;WINDOW=FIRST_POPUP&amp;HEIGHT=450&amp;WIDTH=450&amp;START_MAXIMI","ZED=FALSE&amp;VAR:CALENDAR=US&amp;VAR:SYMBOL=FDS&amp;VAR:INDEX=0"}</definedName>
    <definedName name="_146__FDSAUDITLINK__" hidden="1">{"fdsup://directions/FAT Viewer?action=UPDATE&amp;creator=factset&amp;DYN_ARGS=TRUE&amp;DOC_NAME=FAT:FQL_AUDITING_CLIENT_TEMPLATE.FAT&amp;display_string=Audit&amp;VAR:KEY=WBSTKNKZCH&amp;VAR:QUERY=RkZfRUJJVChBTk4sMjAwNiwsLCxVU0Qp&amp;WINDOW=FIRST_POPUP&amp;HEIGHT=450&amp;WIDTH=450&amp;START_MAXIMI","ZED=FALSE&amp;VAR:CALENDAR=US&amp;VAR:SYMBOL=FDS&amp;VAR:INDEX=0"}</definedName>
    <definedName name="_147__FDSAUDITLINK__" hidden="1">{"fdsup://directions/FAT Viewer?action=UPDATE&amp;creator=factset&amp;DYN_ARGS=TRUE&amp;DOC_NAME=FAT:FQL_AUDITING_CLIENT_TEMPLATE.FAT&amp;display_string=Audit&amp;VAR:KEY=EBYHQHYHKV&amp;VAR:QUERY=KEZGX0VCSVQoUVRSLDAsLCwsVVNEKUBGRl9FQklUKFNFTUksMCwsLCxVU0QpKQ==&amp;WINDOW=FIRST_POPUP&amp;H","EIGHT=450&amp;WIDTH=450&amp;START_MAXIMIZED=FALSE&amp;VAR:CALENDAR=US&amp;VAR:SYMBOL=FDS&amp;VAR:INDEX=0"}</definedName>
    <definedName name="_148__FDSAUDITLINK__" hidden="1">{"fdsup://Directions/FactSet Auditing Viewer?action=AUDIT_VALUE&amp;DB=129&amp;ID1=30307510&amp;VALUEID=02001&amp;SDATE=201003&amp;PERIODTYPE=QTR_STD&amp;window=popup_no_bar&amp;width=385&amp;height=120&amp;START_MAXIMIZED=FALSE&amp;creator=factset&amp;display_string=Audit"}</definedName>
    <definedName name="_149__FDSAUDITLINK__" hidden="1">{"fdsup://directions/FAT Viewer?action=UPDATE&amp;creator=factset&amp;DYN_ARGS=TRUE&amp;DOC_NAME=FAT:FQL_AUDITING_CLIENT_TEMPLATE.FAT&amp;display_string=Audit&amp;VAR:KEY=MFSPWTQXIF&amp;VAR:QUERY=RkZfRlJFRV9DRihBTk4sMjAwOSwsLCxVU0Qp&amp;WINDOW=FIRST_POPUP&amp;HEIGHT=450&amp;WIDTH=450&amp;START_MA","XIMIZED=FALSE&amp;VAR:CALENDAR=US&amp;VAR:SYMBOL=FDS&amp;VAR:INDEX=0"}</definedName>
    <definedName name="_15__FDSAUDITLINK__"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5__FDSAUDITLINK___1"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5__FDSAUDITLINK___2" hidden="1">{"fdsup://directions/FAT Viewer?action=UPDATE&amp;creator=factset&amp;DYN_ARGS=TRUE&amp;DOC_NAME=FAT:FQL_AUDITING_CLIENT_TEMPLATE.FAT&amp;display_string=Audit&amp;VAR:KEY=WFWDAHQNOB&amp;VAR:QUERY=RkZfREVCVChBTk4sMCk=&amp;WINDOW=FIRST_POPUP&amp;HEIGHT=450&amp;WIDTH=450&amp;START_MAXIMIZED=FALSE&amp;VA","R:CALENDAR=US&amp;VAR:SYMBOL=MDT&amp;VAR:INDEX=0"}</definedName>
    <definedName name="_150__FDSAUDITLINK__" hidden="1">{"fdsup://directions/FAT Viewer?action=UPDATE&amp;creator=factset&amp;DYN_ARGS=TRUE&amp;DOC_NAME=FAT:FQL_AUDITING_CLIENT_TEMPLATE.FAT&amp;display_string=Audit&amp;VAR:KEY=INIBORAHQP&amp;VAR:QUERY=RkZfRlJFRV9DRihBTk4sMjAwOCwsLCxVU0Qp&amp;WINDOW=FIRST_POPUP&amp;HEIGHT=450&amp;WIDTH=450&amp;START_MA","XIMIZED=FALSE&amp;VAR:CALENDAR=US&amp;VAR:SYMBOL=FDS&amp;VAR:INDEX=0"}</definedName>
    <definedName name="_151__FDSAUDITLINK__" hidden="1">{"fdsup://directions/FAT Viewer?action=UPDATE&amp;creator=factset&amp;DYN_ARGS=TRUE&amp;DOC_NAME=FAT:FQL_AUDITING_CLIENT_TEMPLATE.FAT&amp;display_string=Audit&amp;VAR:KEY=YBGXCVMFKP&amp;VAR:QUERY=RkZfRlJFRV9DRihBTk4sMjAwNywsLCxVU0Qp&amp;WINDOW=FIRST_POPUP&amp;HEIGHT=450&amp;WIDTH=450&amp;START_MA","XIMIZED=FALSE&amp;VAR:CALENDAR=US&amp;VAR:SYMBOL=FDS&amp;VAR:INDEX=0"}</definedName>
    <definedName name="_152__FDSAUDITLINK__" hidden="1">{"fdsup://directions/FAT Viewer?action=UPDATE&amp;creator=factset&amp;DYN_ARGS=TRUE&amp;DOC_NAME=FAT:FQL_AUDITING_CLIENT_TEMPLATE.FAT&amp;display_string=Audit&amp;VAR:KEY=EDQNSNEBAZ&amp;VAR:QUERY=RkZfRlJFRV9DRihBTk4sMjAwNiwsLCxVU0Qp&amp;WINDOW=FIRST_POPUP&amp;HEIGHT=450&amp;WIDTH=450&amp;START_MA","XIMIZED=FALSE&amp;VAR:CALENDAR=US&amp;VAR:SYMBOL=FDS&amp;VAR:INDEX=0"}</definedName>
    <definedName name="_153__FDSAUDITLINK__" hidden="1">{"fdsup://directions/FAT Viewer?action=UPDATE&amp;creator=factset&amp;DYN_ARGS=TRUE&amp;DOC_NAME=FAT:FQL_AUDITING_CLIENT_TEMPLATE.FAT&amp;display_string=Audit&amp;VAR:KEY=ALWBOTWXUF&amp;VAR:QUERY=KEZGX05FVF9ERUJUKFFUUiwwLCwsLFVTRClARkZfTkVUX0RFQlQoU0VNSSwwLCwsLFVTRCkp&amp;WINDOW=FIRST","_POPUP&amp;HEIGHT=450&amp;WIDTH=450&amp;START_MAXIMIZED=FALSE&amp;VAR:CALENDAR=US&amp;VAR:SYMBOL=SLH&amp;VAR:INDEX=0"}</definedName>
    <definedName name="_154__FDSAUDITLINK__" hidden="1">{"fdsup://Directions/FactSet Auditing Viewer?action=AUDIT_VALUE&amp;DB=129&amp;ID1=88490310&amp;VALUEID=02001&amp;SDATE=201002&amp;PERIODTYPE=QTR_STD&amp;window=popup_no_bar&amp;width=385&amp;height=120&amp;START_MAXIMIZED=FALSE&amp;creator=factset&amp;display_string=Audit"}</definedName>
    <definedName name="_155__FDSAUDITLINK__" hidden="1">{"fdsup://Directions/FactSet Auditing Viewer?action=AUDIT_VALUE&amp;DB=129&amp;ID1=45173410&amp;VALUEID=02001&amp;SDATE=201002&amp;PERIODTYPE=QTR_STD&amp;window=popup_no_bar&amp;width=385&amp;height=120&amp;START_MAXIMIZED=FALSE&amp;creator=factset&amp;display_string=Audit"}</definedName>
    <definedName name="_156__FDSAUDITLINK__" hidden="1">{"fdsup://directions/FAT Viewer?action=UPDATE&amp;creator=factset&amp;DYN_ARGS=TRUE&amp;DOC_NAME=FAT:FQL_AUDITING_CLIENT_TEMPLATE.FAT&amp;display_string=Audit&amp;VAR:KEY=WPOZSPQZMN&amp;VAR:QUERY=KEZGX05FVF9ERUJUKFFUUiwwLCwsLFVTRClARkZfTkVUX0RFQlQoU0VNSSwwLCwsLFVTRCkp&amp;WINDOW=FIRST","_POPUP&amp;HEIGHT=450&amp;WIDTH=450&amp;START_MAXIMIZED=FALSE&amp;VAR:CALENDAR=US&amp;VAR:SYMBOL=FDS&amp;VAR:INDEX=0"}</definedName>
    <definedName name="_157__FDSAUDITLINK__" hidden="1">{"fdsup://directions/FAT Viewer?action=UPDATE&amp;creator=factset&amp;DYN_ARGS=TRUE&amp;DOC_NAME=FAT:FQL_AUDITING_CLIENT_TEMPLATE.FAT&amp;display_string=Audit&amp;VAR:KEY=NANCFMJAVM&amp;VAR:QUERY=RkZfRU5UUlBSX1ZBTF9EQUlMWShOT1csLCwsVVNELCdESUwnKQ==&amp;WINDOW=FIRST_POPUP&amp;HEIGHT=450&amp;WI","DTH=450&amp;START_MAXIMIZED=FALSE&amp;VAR:CALENDAR=US&amp;VAR:SYMBOL=UIS&amp;VAR:INDEX=0"}</definedName>
    <definedName name="_158__FDSAUDITLINK__" hidden="1">{"fdsup://directions/FAT Viewer?action=UPDATE&amp;creator=factset&amp;DYN_ARGS=TRUE&amp;DOC_NAME=FAT:FQL_AUDITING_CLIENT_TEMPLATE.FAT&amp;display_string=Audit&amp;VAR:KEY=ZCLYPAPEPE&amp;VAR:QUERY=RkZfRU5UUlBSX1ZBTF9EQUlMWShOT1csLCwsVVNELCdESUwnKQ==&amp;WINDOW=FIRST_POPUP&amp;HEIGHT=450&amp;WI","DTH=450&amp;START_MAXIMIZED=FALSE&amp;VAR:CALENDAR=US&amp;VAR:SYMBOL=GIB&amp;VAR:INDEX=0"}</definedName>
    <definedName name="_159__FDSAUDITLINK__" hidden="1">{"fdsup://directions/FAT Viewer?action=UPDATE&amp;creator=factset&amp;DYN_ARGS=TRUE&amp;DOC_NAME=FAT:FQL_AUDITING_CLIENT_TEMPLATE.FAT&amp;display_string=Audit&amp;VAR:KEY=VGLSRIFULS&amp;VAR:QUERY=RkZfRU5UUlBSX1ZBTF9EQUlMWShOT1csLCwsVVNELCdESUwnKQ==&amp;WINDOW=FIRST_POPUP&amp;HEIGHT=450&amp;WI","DTH=450&amp;START_MAXIMIZED=FALSE&amp;VAR:CALENDAR=US&amp;VAR:SYMBOL=CVG&amp;VAR:INDEX=0"}</definedName>
    <definedName name="_16__FDSAUDITLINK__"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6__FDSAUDITLINK___1"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6__FDSAUDITLINK___2"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60__FDSAUDITLINK__" hidden="1">{"fdsup://directions/FAT Viewer?action=UPDATE&amp;creator=factset&amp;DYN_ARGS=TRUE&amp;DOC_NAME=FAT:FQL_AUDITING_CLIENT_TEMPLATE.FAT&amp;display_string=Audit&amp;VAR:KEY=JKTEJEXSPM&amp;VAR:QUERY=RkZfRU5UUlBSX1ZBTF9EQUlMWShOT1csLCwsVVNELCdESUwnKQ==&amp;WINDOW=FIRST_POPUP&amp;HEIGHT=450&amp;WI","DTH=450&amp;START_MAXIMIZED=FALSE&amp;VAR:CALENDAR=US&amp;VAR:SYMBOL=CSC&amp;VAR:INDEX=0"}</definedName>
    <definedName name="_161__FDSAUDITLINK__" hidden="1">{"fdsup://directions/FAT Viewer?action=UPDATE&amp;creator=factset&amp;DYN_ARGS=TRUE&amp;DOC_NAME=FAT:FQL_AUDITING_CLIENT_TEMPLATE.FAT&amp;display_string=Audit&amp;VAR:KEY=NAJWXUJCRM&amp;VAR:QUERY=RkZfRU5UUlBSX1ZBTF9EQUlMWShOT1csLCwsLCdESUwnKQ==&amp;WINDOW=FIRST_POPUP&amp;HEIGHT=450&amp;WIDTH=","450&amp;START_MAXIMIZED=FALSE&amp;VAR:CALENDAR=US&amp;VAR:SYMBOL=ACS&amp;VAR:INDEX=0"}</definedName>
    <definedName name="_162__FDSAUDITLINK__" hidden="1">{"fdsup://Directions/FactSet Auditing Viewer?action=AUDIT_VALUE&amp;DB=129&amp;ID1=71426510&amp;VALUEID=02001&amp;SDATE=200903&amp;PERIODTYPE=QTR_STD&amp;window=popup_no_bar&amp;width=385&amp;height=120&amp;START_MAXIMIZED=FALSE&amp;creator=factset&amp;display_string=Audit"}</definedName>
    <definedName name="_163__FDSAUDITLINK__" hidden="1">{"fdsup://Directions/FactSet Auditing Viewer?action=AUDIT_VALUE&amp;DB=129&amp;ID1=20536310&amp;VALUEID=02001&amp;SDATE=200903&amp;PERIODTYPE=QTR_STD&amp;window=popup_no_bar&amp;width=385&amp;height=120&amp;START_MAXIMIZED=FALSE&amp;creator=factset&amp;display_string=Audit"}</definedName>
    <definedName name="_164__FDSAUDITLINK__" hidden="1">{"fdsup://Directions/FactSet Auditing Viewer?action=AUDIT_VALUE&amp;DB=129&amp;ID1=00819010&amp;VALUEID=02001&amp;SDATE=201002&amp;PERIODTYPE=QTR_STD&amp;window=popup_no_bar&amp;width=385&amp;height=120&amp;START_MAXIMIZED=FALSE&amp;creator=factset&amp;display_string=Audit"}</definedName>
    <definedName name="_165__FDSAUDITLINK__" hidden="1">{"fdsup://directions/FAT Viewer?action=UPDATE&amp;creator=factset&amp;DYN_ARGS=TRUE&amp;DOC_NAME=FAT:FQL_AUDITING_CLIENT_TEMPLATE.FAT&amp;display_string=Audit&amp;VAR:KEY=BKZMTMHEJC&amp;VAR:QUERY=RkZfRU5UUlBSX1ZBTF9EQUlMWShOT1csLCwsVVNELCdESUwnKQ==&amp;WINDOW=FIRST_POPUP&amp;HEIGHT=450&amp;WI","DTH=450&amp;START_MAXIMIZED=FALSE&amp;VAR:CALENDAR=US&amp;VAR:SYMBOL=VMW&amp;VAR:INDEX=0"}</definedName>
    <definedName name="_166__FDSAUDITLINK__" hidden="1">{"fdsup://directions/FAT Viewer?action=UPDATE&amp;creator=factset&amp;DYN_ARGS=TRUE&amp;DOC_NAME=FAT:FQL_AUDITING_CLIENT_TEMPLATE.FAT&amp;display_string=Audit&amp;VAR:KEY=TOBGFETELU&amp;VAR:QUERY=RkZfRU5UUlBSX1ZBTF9EQUlMWShOT1csLCwsVVNELCdESUwnKQ==&amp;WINDOW=FIRST_POPUP&amp;HEIGHT=450&amp;WI","DTH=450&amp;START_MAXIMIZED=FALSE&amp;VAR:CALENDAR=US&amp;VAR:SYMBOL=TIBX&amp;VAR:INDEX=0"}</definedName>
    <definedName name="_167__FDSAUDITLINK__" hidden="1">{"fdsup://directions/FAT Viewer?action=UPDATE&amp;creator=factset&amp;DYN_ARGS=TRUE&amp;DOC_NAME=FAT:FQL_AUDITING_CLIENT_TEMPLATE.FAT&amp;display_string=Audit&amp;VAR:KEY=LYXCTKJEBE&amp;VAR:QUERY=RkZfRU5UUlBSX1ZBTF9EQUlMWShOT1csLCwsVVNELCdESUwnKQ==&amp;WINDOW=FIRST_POPUP&amp;HEIGHT=450&amp;WI","DTH=450&amp;START_MAXIMIZED=FALSE&amp;VAR:CALENDAR=US&amp;VAR:SYMBOL=SY&amp;VAR:INDEX=0"}</definedName>
    <definedName name="_168__FDSAUDITLINK__" hidden="1">{"fdsup://directions/FAT Viewer?action=UPDATE&amp;creator=factset&amp;DYN_ARGS=TRUE&amp;DOC_NAME=FAT:FQL_AUDITING_CLIENT_TEMPLATE.FAT&amp;display_string=Audit&amp;VAR:KEY=JQZSTYRERC&amp;VAR:QUERY=RkZfRU5UUlBSX1ZBTF9EQUlMWShOT1csLCwsVVNELCdESUwnKQ==&amp;WINDOW=FIRST_POPUP&amp;HEIGHT=450&amp;WI","DTH=450&amp;START_MAXIMIZED=FALSE&amp;VAR:CALENDAR=US&amp;VAR:SYMBOL=SWI&amp;VAR:INDEX=0"}</definedName>
    <definedName name="_169__FDSAUDITLINK__" hidden="1">{"fdsup://directions/FAT Viewer?action=UPDATE&amp;creator=factset&amp;DYN_ARGS=TRUE&amp;DOC_NAME=FAT:FQL_AUDITING_CLIENT_TEMPLATE.FAT&amp;display_string=Audit&amp;VAR:KEY=VSXUPULQBQ&amp;VAR:QUERY=RkZfRU5UUlBSX1ZBTF9EQUlMWShOT1csLCwsVVNELCdESUwnKQ==&amp;WINDOW=FIRST_POPUP&amp;HEIGHT=450&amp;WI","DTH=450&amp;START_MAXIMIZED=FALSE&amp;VAR:CALENDAR=US&amp;VAR:SYMBOL=RVBD&amp;VAR:INDEX=0"}</definedName>
    <definedName name="_17__FDSAUDITLINK__" hidden="1">{"fdsup://directions/FAT Viewer?action=UPDATE&amp;creator=factset&amp;DYN_ARGS=TRUE&amp;DOC_NAME=FAT:FQL_AUDITING_CLIENT_TEMPLATE.FAT&amp;display_string=Audit&amp;VAR:KEY=ADKHANUJIB&amp;VAR:QUERY=RkZfU0hMRFJTX0VRKEFOTiwwKQ==&amp;WINDOW=FIRST_POPUP&amp;HEIGHT=450&amp;WIDTH=450&amp;START_MAXIMIZED=","FALSE&amp;VAR:CALENDAR=US&amp;VAR:SYMBOL=IART&amp;VAR:INDEX=0"}</definedName>
    <definedName name="_17__FDSAUDITLINK___1" hidden="1">{"fdsup://directions/FAT Viewer?action=UPDATE&amp;creator=factset&amp;DYN_ARGS=TRUE&amp;DOC_NAME=FAT:FQL_AUDITING_CLIENT_TEMPLATE.FAT&amp;display_string=Audit&amp;VAR:KEY=ADKHANUJIB&amp;VAR:QUERY=RkZfU0hMRFJTX0VRKEFOTiwwKQ==&amp;WINDOW=FIRST_POPUP&amp;HEIGHT=450&amp;WIDTH=450&amp;START_MAXIMIZED=","FALSE&amp;VAR:CALENDAR=US&amp;VAR:SYMBOL=IART&amp;VAR:INDEX=0"}</definedName>
    <definedName name="_17__FDSAUDITLINK___2" hidden="1">{"fdsup://directions/FAT Viewer?action=UPDATE&amp;creator=factset&amp;DYN_ARGS=TRUE&amp;DOC_NAME=FAT:FQL_AUDITING_CLIENT_TEMPLATE.FAT&amp;display_string=Audit&amp;VAR:KEY=ADKHANUJIB&amp;VAR:QUERY=RkZfU0hMRFJTX0VRKEFOTiwwKQ==&amp;WINDOW=FIRST_POPUP&amp;HEIGHT=450&amp;WIDTH=450&amp;START_MAXIMIZED=","FALSE&amp;VAR:CALENDAR=US&amp;VAR:SYMBOL=IART&amp;VAR:INDEX=0"}</definedName>
    <definedName name="_170__FDSAUDITLINK__" hidden="1">{"fdsup://directions/FAT Viewer?action=UPDATE&amp;creator=factset&amp;DYN_ARGS=TRUE&amp;DOC_NAME=FAT:FQL_AUDITING_CLIENT_TEMPLATE.FAT&amp;display_string=Audit&amp;VAR:KEY=NSXKVUBITK&amp;VAR:QUERY=RkZfRU5UUlBSX1ZBTF9EQUlMWShOT1csLCwsVVNELCdESUwnKQ==&amp;WINDOW=FIRST_POPUP&amp;HEIGHT=450&amp;WI","DTH=450&amp;START_MAXIMIZED=FALSE&amp;VAR:CALENDAR=US&amp;VAR:SYMBOL=RHT&amp;VAR:INDEX=0"}</definedName>
    <definedName name="_171__FDSAUDITLINK__" hidden="1">{"fdsup://directions/FAT Viewer?action=UPDATE&amp;creator=factset&amp;DYN_ARGS=TRUE&amp;DOC_NAME=FAT:FQL_AUDITING_CLIENT_TEMPLATE.FAT&amp;display_string=Audit&amp;VAR:KEY=XYFWFMTKLM&amp;VAR:QUERY=RkZfRU5UUlBSX1ZBTF9EQUlMWShOT1csLCwsVVNELCdESUwnKQ==&amp;WINDOW=FIRST_POPUP&amp;HEIGHT=450&amp;WI","DTH=450&amp;START_MAXIMIZED=FALSE&amp;VAR:CALENDAR=US&amp;VAR:SYMBOL=QSFT&amp;VAR:INDEX=0"}</definedName>
    <definedName name="_172__FDSAUDITLINK__" hidden="1">{"fdsup://directions/FAT Viewer?action=UPDATE&amp;creator=factset&amp;DYN_ARGS=TRUE&amp;DOC_NAME=FAT:FQL_AUDITING_CLIENT_TEMPLATE.FAT&amp;display_string=Audit&amp;VAR:KEY=XWJKTKFCLG&amp;VAR:QUERY=RkZfRU5UUlBSX1ZBTF9EQUlMWShOT1csLCwsVVNELCdESUwnKQ==&amp;WINDOW=FIRST_POPUP&amp;HEIGHT=450&amp;WI","DTH=450&amp;START_MAXIMIZED=FALSE&amp;VAR:CALENDAR=US&amp;VAR:SYMBOL=ORCL&amp;VAR:INDEX=0"}</definedName>
    <definedName name="_173__FDSAUDITLINK__" hidden="1">{"fdsup://directions/FAT Viewer?action=UPDATE&amp;creator=factset&amp;DYN_ARGS=TRUE&amp;DOC_NAME=FAT:FQL_AUDITING_CLIENT_TEMPLATE.FAT&amp;display_string=Audit&amp;VAR:KEY=FYVSPSVMLG&amp;VAR:QUERY=RkZfRU5UUlBSX1ZBTF9EQUlMWShOT1csLCwsVVNELCdESUwnKQ==&amp;WINDOW=FIRST_POPUP&amp;HEIGHT=450&amp;WI","DTH=450&amp;START_MAXIMIZED=FALSE&amp;VAR:CALENDAR=US&amp;VAR:SYMBOL=NOVL&amp;VAR:INDEX=0"}</definedName>
    <definedName name="_174__FDSAUDITLINK__" hidden="1">{"fdsup://directions/FAT Viewer?action=UPDATE&amp;creator=factset&amp;DYN_ARGS=TRUE&amp;DOC_NAME=FAT:FQL_AUDITING_CLIENT_TEMPLATE.FAT&amp;display_string=Audit&amp;VAR:KEY=PETILYVGXK&amp;VAR:QUERY=RkZfRU5UUlBSX1ZBTF9EQUlMWShOT1csLCwsVVNELCdESUwnKQ==&amp;WINDOW=FIRST_POPUP&amp;HEIGHT=450&amp;WI","DTH=450&amp;START_MAXIMIZED=FALSE&amp;VAR:CALENDAR=US&amp;VAR:SYMBOL=MSFT&amp;VAR:INDEX=0"}</definedName>
    <definedName name="_175__FDSAUDITLINK__" hidden="1">{"fdsup://directions/FAT Viewer?action=UPDATE&amp;creator=factset&amp;DYN_ARGS=TRUE&amp;DOC_NAME=FAT:FQL_AUDITING_CLIENT_TEMPLATE.FAT&amp;display_string=Audit&amp;VAR:KEY=ZEDSZKHIFU&amp;VAR:QUERY=RkZfRU5UUlBSX1ZBTF9EQUlMWShOT1csLCwsVVNELCdESUwnKQ==&amp;WINDOW=FIRST_POPUP&amp;HEIGHT=450&amp;WI","DTH=450&amp;START_MAXIMIZED=FALSE&amp;VAR:CALENDAR=US&amp;VAR:SYMBOL=DBTK&amp;VAR:INDEX=0"}</definedName>
    <definedName name="_176__FDSAUDITLINK__" hidden="1">{"fdsup://directions/FAT Viewer?action=UPDATE&amp;creator=factset&amp;DYN_ARGS=TRUE&amp;DOC_NAME=FAT:FQL_AUDITING_CLIENT_TEMPLATE.FAT&amp;display_string=Audit&amp;VAR:KEY=PMNKJGTETQ&amp;VAR:QUERY=RkZfRU5UUlBSX1ZBTF9EQUlMWShOT1csLCwsVVNELCdESUwnKQ==&amp;WINDOW=FIRST_POPUP&amp;HEIGHT=450&amp;WI","DTH=450&amp;START_MAXIMIZED=FALSE&amp;VAR:CALENDAR=US&amp;VAR:SYMBOL=CPWR&amp;VAR:INDEX=0"}</definedName>
    <definedName name="_177__FDSAUDITLINK__" hidden="1">{"fdsup://directions/FAT Viewer?action=UPDATE&amp;creator=factset&amp;DYN_ARGS=TRUE&amp;DOC_NAME=FAT:FQL_AUDITING_CLIENT_TEMPLATE.FAT&amp;display_string=Audit&amp;VAR:KEY=TWPGDCTMFC&amp;VAR:QUERY=RkZfRU5UUlBSX1ZBTF9EQUlMWShOT1csLCwsVVNELCdESUwnKQ==&amp;WINDOW=FIRST_POPUP&amp;HEIGHT=450&amp;WI","DTH=450&amp;START_MAXIMIZED=FALSE&amp;VAR:CALENDAR=US&amp;VAR:SYMBOL=CVLT&amp;VAR:INDEX=0"}</definedName>
    <definedName name="_178__FDSAUDITLINK__" hidden="1">{"fdsup://directions/FAT Viewer?action=UPDATE&amp;creator=factset&amp;DYN_ARGS=TRUE&amp;DOC_NAME=FAT:FQL_AUDITING_CLIENT_TEMPLATE.FAT&amp;display_string=Audit&amp;VAR:KEY=TAVEBWLSZK&amp;VAR:QUERY=RkZfRU5UUlBSX1ZBTF9EQUlMWShOT1csLCwsVVNELCdESUwnKQ==&amp;WINDOW=FIRST_POPUP&amp;HEIGHT=450&amp;WI","DTH=450&amp;START_MAXIMIZED=FALSE&amp;VAR:CALENDAR=US&amp;VAR:SYMBOL=CA&amp;VAR:INDEX=0"}</definedName>
    <definedName name="_179__FDSAUDITLINK__" hidden="1">{"fdsup://directions/FAT Viewer?action=UPDATE&amp;creator=factset&amp;DYN_ARGS=TRUE&amp;DOC_NAME=FAT:FQL_AUDITING_CLIENT_TEMPLATE.FAT&amp;display_string=Audit&amp;VAR:KEY=HINSFGLAFW&amp;VAR:QUERY=RkZfRU5UUlBSX1ZBTF9EQUlMWShOT1csLCwsVVNELCdESUwnKQ==&amp;WINDOW=FIRST_POPUP&amp;HEIGHT=450&amp;WI","DTH=450&amp;START_MAXIMIZED=FALSE&amp;VAR:CALENDAR=US&amp;VAR:SYMBOL=BMC&amp;VAR:INDEX=0"}</definedName>
    <definedName name="_18__FDSAUDITLINK__"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8__FDSAUDITLINK___1"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8__FDSAUDITLINK___2" hidden="1">{"fdsup://directions/FAT Viewer?action=UPDATE&amp;creator=factset&amp;DYN_ARGS=TRUE&amp;DOC_NAME=FAT:FQL_AUDITING_CLIENT_TEMPLATE.FAT&amp;display_string=Audit&amp;VAR:KEY=WZKLGRUJID&amp;VAR:QUERY=RkZfREVCVChBTk4sMCk=&amp;WINDOW=FIRST_POPUP&amp;HEIGHT=450&amp;WIDTH=450&amp;START_MAXIMIZED=FALSE&amp;VA","R:CALENDAR=US&amp;VAR:SYMBOL=IART&amp;VAR:INDEX=0"}</definedName>
    <definedName name="_180__FDSAUDITLINK__" hidden="1">{"fdsup://Directions/FactSet Auditing Viewer?action=AUDIT_VALUE&amp;DB=129&amp;ID1=88632Q10&amp;VALUEID=02001&amp;SDATE=201001&amp;PERIODTYPE=QTR_STD&amp;window=popup_no_bar&amp;width=385&amp;height=120&amp;START_MAXIMIZED=FALSE&amp;creator=factset&amp;display_string=Audit"}</definedName>
    <definedName name="_181__FDSAUDITLINK__" hidden="1">{"fdsup://Directions/FactSet Auditing Viewer?action=AUDIT_VALUE&amp;DB=129&amp;ID1=68389X10&amp;VALUEID=02001&amp;SDATE=200903&amp;PERIODTYPE=QTR_STD&amp;window=popup_no_bar&amp;width=385&amp;height=120&amp;START_MAXIMIZED=FALSE&amp;creator=factset&amp;display_string=Audit"}</definedName>
    <definedName name="_182__FDSAUDITLINK__" hidden="1">{"fdsup://Directions/FactSet Auditing Viewer?action=AUDIT_VALUE&amp;DB=129&amp;ID1=67000610&amp;VALUEID=02001&amp;SDATE=201001&amp;PERIODTYPE=QTR_STD&amp;window=popup_no_bar&amp;width=385&amp;height=120&amp;START_MAXIMIZED=FALSE&amp;creator=factset&amp;display_string=Audit"}</definedName>
    <definedName name="_183__FDSAUDITLINK__" hidden="1">{"fdsup://Directions/FactSet Auditing Viewer?action=AUDIT_VALUE&amp;DB=129&amp;ID1=20563810&amp;VALUEID=02001&amp;SDATE=200903&amp;PERIODTYPE=QTR_STD&amp;window=popup_no_bar&amp;width=385&amp;height=120&amp;START_MAXIMIZED=FALSE&amp;creator=factset&amp;display_string=Audit"}</definedName>
    <definedName name="_184__FDSAUDITLINK__" hidden="1">{"fdsup://Directions/FactSet Auditing Viewer?action=AUDIT_VALUE&amp;DB=129&amp;ID1=20416610&amp;VALUEID=02001&amp;SDATE=200903&amp;PERIODTYPE=QTR_STD&amp;window=popup_no_bar&amp;width=385&amp;height=120&amp;START_MAXIMIZED=FALSE&amp;creator=factset&amp;display_string=Audit"}</definedName>
    <definedName name="_185__FDSAUDITLINK__" hidden="1">{"fdsup://Directions/FactSet Auditing Viewer?action=AUDIT_VALUE&amp;DB=129&amp;ID1=12673P10&amp;VALUEID=02001&amp;SDATE=200903&amp;PERIODTYPE=QTR_STD&amp;window=popup_no_bar&amp;width=385&amp;height=120&amp;START_MAXIMIZED=FALSE&amp;creator=factset&amp;display_string=Audit"}</definedName>
    <definedName name="_186__FDSAUDITLINK__" hidden="1">{"fdsup://Directions/FactSet Auditing Viewer?action=AUDIT_VALUE&amp;DB=129&amp;ID1=05592110&amp;VALUEID=02001&amp;SDATE=200903&amp;PERIODTYPE=QTR_STD&amp;window=popup_no_bar&amp;width=385&amp;height=120&amp;START_MAXIMIZED=FALSE&amp;creator=factset&amp;display_string=Audit"}</definedName>
    <definedName name="_187__FDSAUDITLINK__" hidden="1">{"fdsup://directions/FAT Viewer?action=UPDATE&amp;creator=factset&amp;DYN_ARGS=TRUE&amp;DOC_NAME=FAT:FQL_AUDITING_CLIENT_TEMPLATE.FAT&amp;display_string=Audit&amp;VAR:KEY=BETSRKPIVU&amp;VAR:QUERY=RkZfRU5UUlBSX1ZBTF9EQUlMWShOT1csLCwsVVNELCdESUwnKQ==&amp;WINDOW=FIRST_POPUP&amp;HEIGHT=450&amp;WI","DTH=450&amp;START_MAXIMIZED=FALSE&amp;VAR:CALENDAR=US&amp;VAR:SYMBOL=TLEO&amp;VAR:INDEX=0"}</definedName>
    <definedName name="_188__FDSAUDITLINK__" hidden="1">{"fdsup://directions/FAT Viewer?action=UPDATE&amp;creator=factset&amp;DYN_ARGS=TRUE&amp;DOC_NAME=FAT:FQL_AUDITING_CLIENT_TEMPLATE.FAT&amp;display_string=Audit&amp;VAR:KEY=PAXKBGDWBO&amp;VAR:QUERY=RkZfRU5UUlBSX1ZBTF9EQUlMWShOT1csLCwsVVNELCdESUwnKQ==&amp;WINDOW=FIRST_POPUP&amp;HEIGHT=450&amp;WI","DTH=450&amp;START_MAXIMIZED=FALSE&amp;VAR:CALENDAR=US&amp;VAR:SYMBOL=SFSF&amp;VAR:INDEX=0"}</definedName>
    <definedName name="_189__FDSAUDITLINK__" hidden="1">{"fdsup://directions/FAT Viewer?action=UPDATE&amp;creator=factset&amp;DYN_ARGS=TRUE&amp;DOC_NAME=FAT:FQL_AUDITING_CLIENT_TEMPLATE.FAT&amp;display_string=Audit&amp;VAR:KEY=TMREVUPMDK&amp;VAR:QUERY=RkZfRU5UUlBSX1ZBTF9EQUlMWShOT1csLCwsVVNELCdESUwnKQ==&amp;WINDOW=FIRST_POPUP&amp;HEIGHT=450&amp;WI","DTH=450&amp;START_MAXIMIZED=FALSE&amp;VAR:CALENDAR=US&amp;VAR:SYMBOL=CRM&amp;VAR:INDEX=0"}</definedName>
    <definedName name="_19__FDSAUDITLINK__"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19__FDSAUDITLINK___1"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19__FDSAUDITLINK___2"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190__FDSAUDITLINK__" hidden="1">{"fdsup://directions/FAT Viewer?action=UPDATE&amp;creator=factset&amp;DYN_ARGS=TRUE&amp;DOC_NAME=FAT:FQL_AUDITING_CLIENT_TEMPLATE.FAT&amp;display_string=Audit&amp;VAR:KEY=LSDIRKNOJY&amp;VAR:QUERY=RkZfRU5UUlBSX1ZBTF9EQUlMWShOT1csLCwsVVNELCdESUwnKQ==&amp;WINDOW=FIRST_POPUP&amp;HEIGHT=450&amp;WI","DTH=450&amp;START_MAXIMIZED=FALSE&amp;VAR:CALENDAR=US&amp;VAR:SYMBOL=SLRY&amp;VAR:INDEX=0"}</definedName>
    <definedName name="_191__FDSAUDITLINK__" hidden="1">{"fdsup://directions/FAT Viewer?action=UPDATE&amp;creator=factset&amp;DYN_ARGS=TRUE&amp;DOC_NAME=FAT:FQL_AUDITING_CLIENT_TEMPLATE.FAT&amp;display_string=Audit&amp;VAR:KEY=ZIBOVUJGRG&amp;VAR:QUERY=RkZfRU5UUlBSX1ZBTF9EQUlMWShOT1csLCwsVVNELCdESUwnKQ==&amp;WINDOW=FIRST_POPUP&amp;HEIGHT=450&amp;WI","DTH=450&amp;START_MAXIMIZED=FALSE&amp;VAR:CALENDAR=US&amp;VAR:SYMBOL=RNOW&amp;VAR:INDEX=0"}</definedName>
    <definedName name="_192__FDSAUDITLINK__" hidden="1">{"fdsup://directions/FAT Viewer?action=UPDATE&amp;creator=factset&amp;DYN_ARGS=TRUE&amp;DOC_NAME=FAT:FQL_AUDITING_CLIENT_TEMPLATE.FAT&amp;display_string=Audit&amp;VAR:KEY=JANQRSTSRK&amp;VAR:QUERY=RkZfRU5UUlBSX1ZBTF9EQUlMWShOT1csLCwsVVNELCdESUwnKQ==&amp;WINDOW=FIRST_POPUP&amp;HEIGHT=450&amp;WI","DTH=450&amp;START_MAXIMIZED=FALSE&amp;VAR:CALENDAR=US&amp;VAR:SYMBOL=N&amp;VAR:INDEX=0"}</definedName>
    <definedName name="_193__FDSAUDITLINK__" hidden="1">{"fdsup://directions/FAT Viewer?action=UPDATE&amp;creator=factset&amp;DYN_ARGS=TRUE&amp;DOC_NAME=FAT:FQL_AUDITING_CLIENT_TEMPLATE.FAT&amp;display_string=Audit&amp;VAR:KEY=LEVAVWNCFQ&amp;VAR:QUERY=RkZfRU5UUlBSX1ZBTF9EQUlMWShOT1csLCwsVVNELCdESUwnKQ==&amp;WINDOW=FIRST_POPUP&amp;HEIGHT=450&amp;WI","DTH=450&amp;START_MAXIMIZED=FALSE&amp;VAR:CALENDAR=US&amp;VAR:SYMBOL=KNXA&amp;VAR:INDEX=0"}</definedName>
    <definedName name="_194__FDSAUDITLINK__" hidden="1">{"fdsup://directions/FAT Viewer?action=UPDATE&amp;creator=factset&amp;DYN_ARGS=TRUE&amp;DOC_NAME=FAT:FQL_AUDITING_CLIENT_TEMPLATE.FAT&amp;display_string=Audit&amp;VAR:KEY=ZOVYROJWXK&amp;VAR:QUERY=RkZfRU5UUlBSX1ZBTF9EQUlMWShOT1csLCwsVVNELCdESUwnKQ==&amp;WINDOW=FIRST_POPUP&amp;HEIGHT=450&amp;WI","DTH=450&amp;START_MAXIMIZED=FALSE&amp;VAR:CALENDAR=US&amp;VAR:SYMBOL=DMAN&amp;VAR:INDEX=0"}</definedName>
    <definedName name="_195__FDSAUDITLINK__" hidden="1">{"fdsup://directions/FAT Viewer?action=UPDATE&amp;creator=factset&amp;DYN_ARGS=TRUE&amp;DOC_NAME=FAT:FQL_AUDITING_CLIENT_TEMPLATE.FAT&amp;display_string=Audit&amp;VAR:KEY=XGHGTEDSLG&amp;VAR:QUERY=RkZfRU5UUlBSX1ZBTF9EQUlMWShOT1csLCwsVVNELCdESUwnKQ==&amp;WINDOW=FIRST_POPUP&amp;HEIGHT=450&amp;WI","DTH=450&amp;START_MAXIMIZED=FALSE&amp;VAR:CALENDAR=US&amp;VAR:SYMBOL=ADVS&amp;VAR:INDEX=0"}</definedName>
    <definedName name="_196__FDSAUDITLINK__" hidden="1">{"fdsup://directions/FAT Viewer?action=UPDATE&amp;creator=factset&amp;DYN_ARGS=TRUE&amp;DOC_NAME=FAT:FQL_AUDITING_CLIENT_TEMPLATE.FAT&amp;display_string=Audit&amp;VAR:KEY=TCBMVGTSVQ&amp;VAR:QUERY=RkZfRU5UUlBSX1ZBTF9EQUlMWShOT1csLCwsVVNELCdESUwnKQ==&amp;WINDOW=FIRST_POPUP&amp;HEIGHT=450&amp;WI","DTH=450&amp;START_MAXIMIZED=FALSE&amp;VAR:CALENDAR=US&amp;VAR:SYMBOL=CNQR&amp;VAR:INDEX=0"}</definedName>
    <definedName name="_197__FDSAUDITLINK__" hidden="1">{"fdsup://Directions/FactSet Auditing Viewer?action=AUDIT_VALUE&amp;DB=129&amp;ID1=79400610&amp;VALUEID=02001&amp;SDATE=200903&amp;PERIODTYPE=QTR_STD&amp;window=popup_no_bar&amp;width=385&amp;height=120&amp;START_MAXIMIZED=FALSE&amp;creator=factset&amp;display_string=Audit"}</definedName>
    <definedName name="_198__FDSAUDITLINK__" hidden="1">{"fdsup://directions/FAT Viewer?action=UPDATE&amp;creator=factset&amp;DYN_ARGS=TRUE&amp;DOC_NAME=FAT:FQL_AUDITING_CLIENT_TEMPLATE.FAT&amp;display_string=Audit&amp;VAR:KEY=NOFIHGRAHI&amp;VAR:QUERY=RkZfRU5UUlBSX1ZBTF9EQUlMWShOT1csLCwsVVNELCdESUwnKQ==&amp;WINDOW=FIRST_POPUP&amp;HEIGHT=450&amp;WI","DTH=450&amp;START_MAXIMIZED=FALSE&amp;VAR:CALENDAR=US&amp;VAR:SYMBOL=QADI&amp;VAR:INDEX=0"}</definedName>
    <definedName name="_199__FDSAUDITLINK__" hidden="1">{"fdsup://directions/FAT Viewer?action=UPDATE&amp;creator=factset&amp;DYN_ARGS=TRUE&amp;DOC_NAME=FAT:FQL_AUDITING_CLIENT_TEMPLATE.FAT&amp;display_string=Audit&amp;VAR:KEY=JUJWBSXKFI&amp;VAR:QUERY=RkZfRU5UUlBSX1ZBTF9EQUlMWShOT1csLCwsVVNELCdESUwnKQ==&amp;WINDOW=FIRST_POPUP&amp;HEIGHT=450&amp;WI","DTH=450&amp;START_MAXIMIZED=FALSE&amp;VAR:CALENDAR=US&amp;VAR:SYMBOL=MANH&amp;VAR:INDEX=0"}</definedName>
    <definedName name="_2__FDSAUDITLINK__" hidden="1">{"fdsup://directions/FAT Viewer?action=UPDATE&amp;creator=factset&amp;DYN_ARGS=TRUE&amp;DOC_NAME=FAT:FQL_AUDITING_CLIENT_TEMPLATE.FAT&amp;display_string=Audit&amp;VAR:KEY=INSRWVSTON&amp;VAR:QUERY=RkZfU0hMRFJTX0VRKEFOTiwwKQ==&amp;WINDOW=FIRST_POPUP&amp;HEIGHT=450&amp;WIDTH=450&amp;START_MAXIMIZED=","FALSE&amp;VAR:CALENDAR=US&amp;VAR:SYMBOL=HNSN&amp;VAR:INDEX=0"}</definedName>
    <definedName name="_2__FDSAUDITLINK___1" hidden="1">{"fdsup://directions/FAT Viewer?action=UPDATE&amp;creator=factset&amp;DYN_ARGS=TRUE&amp;DOC_NAME=FAT:FQL_AUDITING_CLIENT_TEMPLATE.FAT&amp;display_string=Audit&amp;VAR:KEY=INSRWVSTON&amp;VAR:QUERY=RkZfU0hMRFJTX0VRKEFOTiwwKQ==&amp;WINDOW=FIRST_POPUP&amp;HEIGHT=450&amp;WIDTH=450&amp;START_MAXIMIZED=","FALSE&amp;VAR:CALENDAR=US&amp;VAR:SYMBOL=HNSN&amp;VAR:INDEX=0"}</definedName>
    <definedName name="_2__FDSAUDITLINK___2" hidden="1">{"fdsup://directions/FAT Viewer?action=UPDATE&amp;creator=factset&amp;DYN_ARGS=TRUE&amp;DOC_NAME=FAT:FQL_AUDITING_CLIENT_TEMPLATE.FAT&amp;display_string=Audit&amp;VAR:KEY=INSRWVSTON&amp;VAR:QUERY=RkZfU0hMRFJTX0VRKEFOTiwwKQ==&amp;WINDOW=FIRST_POPUP&amp;HEIGHT=450&amp;WIDTH=450&amp;START_MAXIMIZED=","FALSE&amp;VAR:CALENDAR=US&amp;VAR:SYMBOL=HNSN&amp;VAR:INDEX=0"}</definedName>
    <definedName name="_20__FDSAUDITLINK__" hidden="1">{"fdsup://directions/FAT Viewer?action=UPDATE&amp;creator=factset&amp;DYN_ARGS=TRUE&amp;DOC_NAME=FAT:FQL_AUDITING_CLIENT_TEMPLATE.FAT&amp;display_string=Audit&amp;VAR:KEY=ATKJAZWHCF&amp;VAR:QUERY=RkZfU0hMRFJTX0VRKEFOTiwwKQ==&amp;WINDOW=FIRST_POPUP&amp;HEIGHT=450&amp;WIDTH=450&amp;START_MAXIMIZED=","FALSE&amp;VAR:CALENDAR=US&amp;VAR:SYMBOL=ISRG&amp;VAR:INDEX=0"}</definedName>
    <definedName name="_20__FDSAUDITLINK___1" hidden="1">{"fdsup://directions/FAT Viewer?action=UPDATE&amp;creator=factset&amp;DYN_ARGS=TRUE&amp;DOC_NAME=FAT:FQL_AUDITING_CLIENT_TEMPLATE.FAT&amp;display_string=Audit&amp;VAR:KEY=ATKJAZWHCF&amp;VAR:QUERY=RkZfU0hMRFJTX0VRKEFOTiwwKQ==&amp;WINDOW=FIRST_POPUP&amp;HEIGHT=450&amp;WIDTH=450&amp;START_MAXIMIZED=","FALSE&amp;VAR:CALENDAR=US&amp;VAR:SYMBOL=ISRG&amp;VAR:INDEX=0"}</definedName>
    <definedName name="_20__FDSAUDITLINK___2" hidden="1">{"fdsup://directions/FAT Viewer?action=UPDATE&amp;creator=factset&amp;DYN_ARGS=TRUE&amp;DOC_NAME=FAT:FQL_AUDITING_CLIENT_TEMPLATE.FAT&amp;display_string=Audit&amp;VAR:KEY=ATKJAZWHCF&amp;VAR:QUERY=RkZfU0hMRFJTX0VRKEFOTiwwKQ==&amp;WINDOW=FIRST_POPUP&amp;HEIGHT=450&amp;WIDTH=450&amp;START_MAXIMIZED=","FALSE&amp;VAR:CALENDAR=US&amp;VAR:SYMBOL=ISRG&amp;VAR:INDEX=0"}</definedName>
    <definedName name="_200__FDSAUDITLINK__" hidden="1">{"fdsup://directions/FAT Viewer?action=UPDATE&amp;creator=factset&amp;DYN_ARGS=TRUE&amp;DOC_NAME=FAT:FQL_AUDITING_CLIENT_TEMPLATE.FAT&amp;display_string=Audit&amp;VAR:KEY=NILCLATCHW&amp;VAR:QUERY=RkZfRU5UUlBSX1ZBTF9EQUlMWShOT1csLCwsVVNELCdESUwnKQ==&amp;WINDOW=FIRST_POPUP&amp;HEIGHT=450&amp;WI","DTH=450&amp;START_MAXIMIZED=FALSE&amp;VAR:CALENDAR=US&amp;VAR:SYMBOL=LWSN&amp;VAR:INDEX=0"}</definedName>
    <definedName name="_201__FDSAUDITLINK__" hidden="1">{"fdsup://directions/FAT Viewer?action=UPDATE&amp;creator=factset&amp;DYN_ARGS=TRUE&amp;DOC_NAME=FAT:FQL_AUDITING_CLIENT_TEMPLATE.FAT&amp;display_string=Audit&amp;VAR:KEY=LSLGTUVULS&amp;VAR:QUERY=RkZfRU5UUlBSX1ZBTF9EQUlMWShOT1csLCwsVVNELCdESUwnKQ==&amp;WINDOW=FIRST_POPUP&amp;HEIGHT=450&amp;WI","DTH=450&amp;START_MAXIMIZED=FALSE&amp;VAR:CALENDAR=US&amp;VAR:SYMBOL=JDAS&amp;VAR:INDEX=0"}</definedName>
    <definedName name="_202__FDSAUDITLINK__" hidden="1">{"fdsup://directions/FAT Viewer?action=UPDATE&amp;creator=factset&amp;DYN_ARGS=TRUE&amp;DOC_NAME=FAT:FQL_AUDITING_CLIENT_TEMPLATE.FAT&amp;display_string=Audit&amp;VAR:KEY=NURWVAPELA&amp;VAR:QUERY=RkZfRU5UUlBSX1ZBTF9EQUlMWShOT1csLCwsVVNELCdESUwnKQ==&amp;WINDOW=FIRST_POPUP&amp;HEIGHT=450&amp;WI","DTH=450&amp;START_MAXIMIZED=FALSE&amp;VAR:CALENDAR=US&amp;VAR:SYMBOL=EPIC&amp;VAR:INDEX=0"}</definedName>
    <definedName name="_203__FDSAUDITLINK__" hidden="1">{"fdsup://directions/FAT Viewer?action=UPDATE&amp;creator=factset&amp;DYN_ARGS=TRUE&amp;DOC_NAME=FAT:FQL_AUDITING_CLIENT_TEMPLATE.FAT&amp;display_string=Audit&amp;VAR:KEY=BUTCNATITK&amp;VAR:QUERY=RkZfRU5UUlBSX1ZBTF9EQUlMWShOT1csLCwsVVNELCdESUwnKQ==&amp;WINDOW=FIRST_POPUP&amp;HEIGHT=450&amp;WI","DTH=450&amp;START_MAXIMIZED=FALSE&amp;VAR:CALENDAR=US&amp;VAR:SYMBOL=PROJ&amp;VAR:INDEX=0"}</definedName>
    <definedName name="_204__FDSAUDITLINK__" hidden="1">{"fdsup://directions/FAT Viewer?action=UPDATE&amp;creator=factset&amp;DYN_ARGS=TRUE&amp;DOC_NAME=FAT:FQL_AUDITING_CLIENT_TEMPLATE.FAT&amp;display_string=Audit&amp;VAR:KEY=BCZQBAFSZE&amp;VAR:QUERY=RkZfRU5UUlBSX1ZBTF9EQUlMWShOT1csLCwsVVNELCdESUwnKQ==&amp;WINDOW=FIRST_POPUP&amp;HEIGHT=450&amp;WI","DTH=450&amp;START_MAXIMIZED=FALSE&amp;VAR:CALENDAR=US&amp;VAR:SYMBOL=JKHY&amp;VAR:INDEX=0"}</definedName>
    <definedName name="_205__FDSAUDITLINK__" hidden="1">{"fdsup://directions/FAT Viewer?action=UPDATE&amp;creator=factset&amp;DYN_ARGS=TRUE&amp;DOC_NAME=FAT:FQL_AUDITING_CLIENT_TEMPLATE.FAT&amp;display_string=Audit&amp;VAR:KEY=RSFQJGBYJS&amp;VAR:QUERY=RkZfRU5UUlBSX1ZBTF9EQUlMWShOT1csLCwsVVNELCdESUwnKQ==&amp;WINDOW=FIRST_POPUP&amp;HEIGHT=450&amp;WI","DTH=450&amp;START_MAXIMIZED=FALSE&amp;VAR:CALENDAR=US&amp;VAR:SYMBOL=DST&amp;VAR:INDEX=0"}</definedName>
    <definedName name="_206__FDSAUDITLINK__" hidden="1">{"fdsup://directions/FAT Viewer?action=UPDATE&amp;creator=factset&amp;DYN_ARGS=TRUE&amp;DOC_NAME=FAT:FQL_AUDITING_CLIENT_TEMPLATE.FAT&amp;display_string=Audit&amp;VAR:KEY=TKZORCHWLK&amp;VAR:QUERY=RkZfRU5UUlBSX1ZBTF9EQUlMWShOT1csLCwsVVNELCdESUwnKQ==&amp;WINDOW=FIRST_POPUP&amp;HEIGHT=450&amp;WI","DTH=450&amp;START_MAXIMIZED=FALSE&amp;VAR:CALENDAR=US&amp;VAR:SYMBOL=TRI&amp;VAR:INDEX=0"}</definedName>
    <definedName name="_207__FDSAUDITLINK__" hidden="1">{"fdsup://directions/FAT Viewer?action=UPDATE&amp;creator=factset&amp;DYN_ARGS=TRUE&amp;DOC_NAME=FAT:FQL_AUDITING_CLIENT_TEMPLATE.FAT&amp;display_string=Audit&amp;VAR:KEY=RIXEHSDWDE&amp;VAR:QUERY=RkZfRU5UUlBSX1ZBTF9EQUlMWShOT1csLCwsVVNELCdESUwnKQ==&amp;WINDOW=FIRST_POPUP&amp;HEIGHT=450&amp;WI","DTH=450&amp;START_MAXIMIZED=FALSE&amp;VAR:CALENDAR=US&amp;VAR:SYMBOL=SEIC&amp;VAR:INDEX=0"}</definedName>
    <definedName name="_208__FDSAUDITLINK__" hidden="1">{"fdsup://directions/FAT Viewer?action=UPDATE&amp;creator=factset&amp;DYN_ARGS=TRUE&amp;DOC_NAME=FAT:FQL_AUDITING_CLIENT_TEMPLATE.FAT&amp;display_string=Audit&amp;VAR:KEY=FWHOLGZAHE&amp;VAR:QUERY=RkZfRU5UUlBSX1ZBTF9EQUlMWShOT1csLCwsVVNELCdESUwnKQ==&amp;WINDOW=FIRST_POPUP&amp;HEIGHT=450&amp;WI","DTH=450&amp;START_MAXIMIZED=FALSE&amp;VAR:CALENDAR=US&amp;VAR:SYMBOL=FISV&amp;VAR:INDEX=0"}</definedName>
    <definedName name="_209__FDSAUDITLINK__" hidden="1">{"fdsup://directions/FAT Viewer?action=UPDATE&amp;creator=factset&amp;DYN_ARGS=TRUE&amp;DOC_NAME=FAT:FQL_AUDITING_CLIENT_TEMPLATE.FAT&amp;display_string=Audit&amp;VAR:KEY=FEROLGNQHA&amp;VAR:QUERY=RkZfRU5UUlBSX1ZBTF9EQUlMWShOT1csLCwsVVNELCdESUwnKQ==&amp;WINDOW=FIRST_POPUP&amp;HEIGHT=450&amp;WI","DTH=450&amp;START_MAXIMIZED=FALSE&amp;VAR:CALENDAR=US&amp;VAR:SYMBOL=FIS&amp;VAR:INDEX=0"}</definedName>
    <definedName name="_21__FDSAUDITLINK__"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21__FDSAUDITLINK___1"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21__FDSAUDITLINK___2" hidden="1">{"fdsup://directions/FAT Viewer?action=UPDATE&amp;creator=factset&amp;DYN_ARGS=TRUE&amp;DOC_NAME=FAT:FQL_AUDITING_CLIENT_TEMPLATE.FAT&amp;display_string=Audit&amp;VAR:KEY=OZKFURUTKB&amp;VAR:QUERY=RkZfREVCVChBTk4sMCk=&amp;WINDOW=FIRST_POPUP&amp;HEIGHT=450&amp;WIDTH=450&amp;START_MAXIMIZED=FALSE&amp;VA","R:CALENDAR=US&amp;VAR:SYMBOL=ISRG&amp;VAR:INDEX=0"}</definedName>
    <definedName name="_210__FDSAUDITLINK__" hidden="1">{"fdsup://Directions/FactSet Auditing Viewer?action=AUDIT_VALUE&amp;DB=129&amp;ID1=42628110&amp;VALUEID=02001&amp;SDATE=201002&amp;PERIODTYPE=QTR_STD&amp;window=popup_no_bar&amp;width=385&amp;height=120&amp;START_MAXIMIZED=FALSE&amp;creator=factset&amp;display_string=Audit"}</definedName>
    <definedName name="_211__FDSAUDITLINK__" hidden="1">{"fdsup://directions/FAT Viewer?action=UPDATE&amp;creator=factset&amp;DYN_ARGS=TRUE&amp;DOC_NAME=FAT:FQL_AUDITING_CLIENT_TEMPLATE.FAT&amp;display_string=Audit&amp;VAR:KEY=JUHITUJMHI&amp;VAR:QUERY=RkZfRU5UUlBSX1ZBTF9EQUlMWShOT1csLCwsVVNELCdESUwnKQ==&amp;WINDOW=FIRST_POPUP&amp;HEIGHT=450&amp;WI","DTH=450&amp;START_MAXIMIZED=FALSE&amp;VAR:CALENDAR=US&amp;VAR:SYMBOL=FDS&amp;VAR:INDEX=0"}</definedName>
    <definedName name="_212__FDSAUDITLINK__" hidden="1">{"fdsup://directions/FAT Viewer?action=UPDATE&amp;creator=factset&amp;DYN_ARGS=TRUE&amp;DOC_NAME=FAT:FQL_AUDITING_CLIENT_TEMPLATE.FAT&amp;display_string=Audit&amp;VAR:KEY=HERODSTGJW&amp;VAR:QUERY=RkZfRU5UUlBSX1ZBTF9EQUlMWShOT1csLCwsVVNELCdESUwnKQ==&amp;WINDOW=FIRST_POPUP&amp;HEIGHT=450&amp;WI","DTH=450&amp;START_MAXIMIZED=FALSE&amp;VAR:CALENDAR=US&amp;VAR:SYMBOL=MXB&amp;VAR:INDEX=0"}</definedName>
    <definedName name="_213__FDSAUDITLINK__" hidden="1">{"fdsup://directions/FAT Viewer?action=UPDATE&amp;creator=factset&amp;DYN_ARGS=TRUE&amp;DOC_NAME=FAT:FQL_AUDITING_CLIENT_TEMPLATE.FAT&amp;display_string=Audit&amp;VAR:KEY=XGHGTEDSLG&amp;VAR:QUERY=RkZfRU5UUlBSX1ZBTF9EQUlMWShOT1csLCwsVVNELCdESUwnKQ==&amp;WINDOW=FIRST_POPUP&amp;HEIGHT=450&amp;WI","DTH=450&amp;START_MAXIMIZED=FALSE&amp;VAR:CALENDAR=US&amp;VAR:SYMBOL=ADVS&amp;VAR:INDEX=0"}</definedName>
    <definedName name="_214__FDSAUDITLINK__" hidden="1">{"fdsup://Directions/FactSet Auditing Viewer?action=AUDIT_VALUE&amp;DB=129&amp;ID1=30307510&amp;VALUEID=02001&amp;SDATE=201002&amp;PERIODTYPE=QTR_STD&amp;window=popup_no_bar&amp;width=385&amp;height=120&amp;START_MAXIMIZED=FALSE&amp;creator=factset&amp;display_string=Audit"}</definedName>
    <definedName name="_215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216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217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218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219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22__FDSAUDITLINK__"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2__FDSAUDITLINK___1"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2__FDSAUDITLINK___2"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20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221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222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223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224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225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226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227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228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229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23__FDSAUDITLINK__" hidden="1">{"fdsup://directions/FAT Viewer?action=UPDATE&amp;creator=factset&amp;DYN_ARGS=TRUE&amp;DOC_NAME=FAT:FQL_AUDITING_CLIENT_TEMPLATE.FAT&amp;display_string=Audit&amp;VAR:KEY=EDUDMBAJMN&amp;VAR:QUERY=RkZfU0hMRFJTX0VRKEFOTiwwKQ==&amp;WINDOW=FIRST_POPUP&amp;HEIGHT=450&amp;WIDTH=450&amp;START_MAXIMIZED=","FALSE&amp;VAR:CALENDAR=US&amp;VAR:SYMBOL=HOLX&amp;VAR:INDEX=0"}</definedName>
    <definedName name="_23__FDSAUDITLINK___1" hidden="1">{"fdsup://directions/FAT Viewer?action=UPDATE&amp;creator=factset&amp;DYN_ARGS=TRUE&amp;DOC_NAME=FAT:FQL_AUDITING_CLIENT_TEMPLATE.FAT&amp;display_string=Audit&amp;VAR:KEY=EDUDMBAJMN&amp;VAR:QUERY=RkZfU0hMRFJTX0VRKEFOTiwwKQ==&amp;WINDOW=FIRST_POPUP&amp;HEIGHT=450&amp;WIDTH=450&amp;START_MAXIMIZED=","FALSE&amp;VAR:CALENDAR=US&amp;VAR:SYMBOL=HOLX&amp;VAR:INDEX=0"}</definedName>
    <definedName name="_23__FDSAUDITLINK___2" hidden="1">{"fdsup://directions/FAT Viewer?action=UPDATE&amp;creator=factset&amp;DYN_ARGS=TRUE&amp;DOC_NAME=FAT:FQL_AUDITING_CLIENT_TEMPLATE.FAT&amp;display_string=Audit&amp;VAR:KEY=EDUDMBAJMN&amp;VAR:QUERY=RkZfU0hMRFJTX0VRKEFOTiwwKQ==&amp;WINDOW=FIRST_POPUP&amp;HEIGHT=450&amp;WIDTH=450&amp;START_MAXIMIZED=","FALSE&amp;VAR:CALENDAR=US&amp;VAR:SYMBOL=HOLX&amp;VAR:INDEX=0"}</definedName>
    <definedName name="_230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231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232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233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234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235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236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237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238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239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24__FDSAUDITLINK__"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4__FDSAUDITLINK___1"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4__FDSAUDITLINK___2" hidden="1">{"fdsup://directions/FAT Viewer?action=UPDATE&amp;creator=factset&amp;DYN_ARGS=TRUE&amp;DOC_NAME=FAT:FQL_AUDITING_CLIENT_TEMPLATE.FAT&amp;display_string=Audit&amp;VAR:KEY=KPEXYJQLQR&amp;VAR:QUERY=RkZfREVCVChBTk4sMCk=&amp;WINDOW=FIRST_POPUP&amp;HEIGHT=450&amp;WIDTH=450&amp;START_MAXIMIZED=FALSE&amp;VA","R:CALENDAR=US&amp;VAR:SYMBOL=HOLX&amp;VAR:INDEX=0"}</definedName>
    <definedName name="_240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241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242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243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244__FDSAUDITLINK__" hidden="1">{"fdsup://directions/FAT Viewer?action=UPDATE&amp;creator=factset&amp;DYN_ARGS=TRUE&amp;DOC_NAME=FAT:FQL_AUDITING_CLIENT_TEMPLATE.FAT&amp;display_string=Audit&amp;VAR:KEY=MRYBWBOJOL&amp;VAR:QUERY=RkZfRU5UUlBSX1ZBTF9EQUlMWShOT1csLCwsVVNELCdESUwnKQ==&amp;WINDOW=FIRST_POPUP&amp;HEIGHT=450&amp;WI","DTH=450&amp;START_MAXIMIZED=FALSE&amp;VAR:CALENDAR=US&amp;VAR:SYMBOL=GOOG&amp;VAR:INDEX=0"}</definedName>
    <definedName name="_245__FDSAUDITLINK__" hidden="1">{"fdsup://directions/FAT Viewer?action=UPDATE&amp;creator=factset&amp;DYN_ARGS=TRUE&amp;DOC_NAME=FAT:FQL_AUDITING_CLIENT_TEMPLATE.FAT&amp;display_string=Audit&amp;VAR:KEY=CTIJCPIFEX&amp;VAR:QUERY=RkZfRU5UUlBSX1ZBTF9EQUlMWShOT1csLCwsVVNELCdESUwnKQ==&amp;WINDOW=FIRST_POPUP&amp;HEIGHT=450&amp;WI","DTH=450&amp;START_MAXIMIZED=FALSE&amp;VAR:CALENDAR=US&amp;VAR:SYMBOL=AAPL&amp;VAR:INDEX=0"}</definedName>
    <definedName name="_246__FDSAUDITLINK__" hidden="1">{"fdsup://directions/FAT Viewer?action=UPDATE&amp;creator=factset&amp;DYN_ARGS=TRUE&amp;DOC_NAME=FAT:FQL_AUDITING_CLIENT_TEMPLATE.FAT&amp;display_string=Audit&amp;VAR:KEY=ARGHIFUXYX&amp;VAR:QUERY=RkZfRU5UUlBSX1ZBTF9EQUlMWShOT1csLCwsVVNELCdESUwnKQ==&amp;WINDOW=FIRST_POPUP&amp;HEIGHT=450&amp;WI","DTH=450&amp;START_MAXIMIZED=FALSE&amp;VAR:CALENDAR=US&amp;VAR:SYMBOL=FFIV&amp;VAR:INDEX=0"}</definedName>
    <definedName name="_247__FDSAUDITLINK__" hidden="1">{"fdsup://directions/FAT Viewer?action=UPDATE&amp;creator=factset&amp;DYN_ARGS=TRUE&amp;DOC_NAME=FAT:FQL_AUDITING_CLIENT_TEMPLATE.FAT&amp;display_string=Audit&amp;VAR:KEY=WDMBQBOZUZ&amp;VAR:QUERY=RkZfRU5UUlBSX1ZBTF9EQUlMWShOT1csLCwsVVNELCdESUwnKQ==&amp;WINDOW=FIRST_POPUP&amp;HEIGHT=450&amp;WI","DTH=450&amp;START_MAXIMIZED=FALSE&amp;VAR:CALENDAR=US&amp;VAR:SYMBOL=NFLX&amp;VAR:INDEX=0"}</definedName>
    <definedName name="_248__FDSAUDITLINK__" hidden="1">{"fdsup://directions/FAT Viewer?action=UPDATE&amp;creator=factset&amp;DYN_ARGS=TRUE&amp;DOC_NAME=FAT:FQL_AUDITING_CLIENT_TEMPLATE.FAT&amp;display_string=Audit&amp;VAR:KEY=ADAPWNQBSX&amp;VAR:QUERY=RkZfRU5UUlBSX1ZBTF9EQUlMWShOT1csLCwsVVNELCdESUwnKQ==&amp;WINDOW=FIRST_POPUP&amp;HEIGHT=450&amp;WI","DTH=450&amp;START_MAXIMIZED=FALSE&amp;VAR:CALENDAR=US&amp;VAR:SYMBOL=BIDU&amp;VAR:INDEX=0"}</definedName>
    <definedName name="_249__FDSAUDITLINK__" hidden="1">{"fdsup://directions/FAT Viewer?action=UPDATE&amp;creator=factset&amp;DYN_ARGS=TRUE&amp;DOC_NAME=FAT:FQL_AUDITING_CLIENT_TEMPLATE.FAT&amp;display_string=Audit&amp;VAR:KEY=KNAXUNMPKX&amp;VAR:QUERY=RkZfRU5UUlBSX1ZBTF9EQUlMWShOT1csLCwsVVNELCdESUwnKQ==&amp;WINDOW=FIRST_POPUP&amp;HEIGHT=450&amp;WI","DTH=450&amp;START_MAXIMIZED=FALSE&amp;VAR:CALENDAR=US&amp;VAR:SYMBOL=PCLN&amp;VAR:INDEX=0"}</definedName>
    <definedName name="_25__FDSAUDITLINK__"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5__FDSAUDITLINK___1"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5__FDSAUDITLINK___2"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50__FDSAUDITLINK__" hidden="1">{"fdsup://directions/FAT Viewer?action=UPDATE&amp;creator=factset&amp;DYN_ARGS=TRUE&amp;DOC_NAME=FAT:FQL_AUDITING_CLIENT_TEMPLATE.FAT&amp;display_string=Audit&amp;VAR:KEY=WDGVOLYTCL&amp;VAR:QUERY=RkZfRU5UUlBSX1ZBTF9EQUlMWShOT1csLCwsVVNELCdESUwnKQ==&amp;WINDOW=FIRST_POPUP&amp;HEIGHT=450&amp;WI","DTH=450&amp;START_MAXIMIZED=FALSE&amp;VAR:CALENDAR=US&amp;VAR:SYMBOL=AMZN&amp;VAR:INDEX=0"}</definedName>
    <definedName name="_251__FDSAUDITLINK__" hidden="1">{"fdsup://directions/FAT Viewer?action=UPDATE&amp;creator=factset&amp;DYN_ARGS=TRUE&amp;DOC_NAME=FAT:FQL_AUDITING_CLIENT_TEMPLATE.FAT&amp;display_string=Audit&amp;VAR:KEY=KPKPULKZIV&amp;VAR:QUERY=RkZfRU5UUlBSX1ZBTF9EQUlMWShOT1csLCwsVVNELCdESUwnKQ==&amp;WINDOW=FIRST_POPUP&amp;HEIGHT=450&amp;WI","DTH=450&amp;START_MAXIMIZED=FALSE&amp;VAR:CALENDAR=US&amp;VAR:SYMBOL=CRM&amp;VAR:INDEX=0"}</definedName>
    <definedName name="_252__FDSAUDITLINK__" hidden="1">{"fdsup://directions/FAT Viewer?action=UPDATE&amp;creator=factset&amp;DYN_ARGS=TRUE&amp;DOC_NAME=FAT:FQL_AUDITING_CLIENT_TEMPLATE.FAT&amp;display_string=Audit&amp;VAR:KEY=QDYXSHQZWD&amp;VAR:QUERY=RkZfRU5UUlBSX1ZBTF9EQUlMWShOT1csLCwsVVNELCdESUwnKQ==&amp;WINDOW=FIRST_POPUP&amp;HEIGHT=450&amp;WI","DTH=450&amp;START_MAXIMIZED=FALSE&amp;VAR:CALENDAR=US&amp;VAR:SYMBOL=CTXS&amp;VAR:INDEX=0"}</definedName>
    <definedName name="_253__FDSAUDITLINK__" hidden="1">{"fdsup://directions/FAT Viewer?action=UPDATE&amp;creator=factset&amp;DYN_ARGS=TRUE&amp;DOC_NAME=FAT:FQL_AUDITING_CLIENT_TEMPLATE.FAT&amp;display_string=Audit&amp;VAR:KEY=SNWZOVARCP&amp;VAR:QUERY=RkZfRU5UUlBSX1ZBTF9EQUlMWShOT1csLCwsVVNELCdESUwnKQ==&amp;WINDOW=FIRST_POPUP&amp;HEIGHT=450&amp;WI","DTH=450&amp;START_MAXIMIZED=FALSE&amp;VAR:CALENDAR=US&amp;VAR:SYMBOL=VMW&amp;VAR:INDEX=0"}</definedName>
    <definedName name="_254__FDSAUDITLINK__" hidden="1">{"fdsup://directions/FAT Viewer?action=UPDATE&amp;creator=factset&amp;DYN_ARGS=TRUE&amp;DOC_NAME=FAT:FQL_AUDITING_CLIENT_TEMPLATE.FAT&amp;display_string=Audit&amp;VAR:KEY=GZEZYBOPYN&amp;VAR:QUERY=RkZfRU5UUlBSX1ZBTF9EQUlMWShOT1csLCwsVVNELCdESUwnKQ==&amp;WINDOW=FIRST_POPUP&amp;HEIGHT=450&amp;WI","DTH=450&amp;START_MAXIMIZED=FALSE&amp;VAR:CALENDAR=US&amp;VAR:SYMBOL=ONE&amp;VAR:INDEX=0"}</definedName>
    <definedName name="_255__FDSAUDITLINK__" hidden="1">{"fdsup://directions/FAT Viewer?action=UPDATE&amp;creator=factset&amp;DYN_ARGS=TRUE&amp;DOC_NAME=FAT:FQL_AUDITING_CLIENT_TEMPLATE.FAT&amp;display_string=Audit&amp;VAR:KEY=SDQFEFWTGV&amp;VAR:QUERY=RkZfRU5UUlBSX1ZBTF9EQUlMWShOT1csLCwsVVNELCdESUwnKQ==&amp;WINDOW=FIRST_POPUP&amp;HEIGHT=450&amp;WI","DTH=450&amp;START_MAXIMIZED=FALSE&amp;VAR:CALENDAR=US&amp;VAR:SYMBOL=FNGN&amp;VAR:INDEX=0"}</definedName>
    <definedName name="_256__FDSAUDITLINK__" hidden="1">{"fdsup://directions/FAT Viewer?action=UPDATE&amp;creator=factset&amp;DYN_ARGS=TRUE&amp;DOC_NAME=FAT:FQL_AUDITING_CLIENT_TEMPLATE.FAT&amp;display_string=Audit&amp;VAR:KEY=MXEZQRUVAN&amp;VAR:QUERY=RkZfRU5UUlBSX1ZBTF9EQUlMWShOT1csLCwsVVNELCdESUwnKQ==&amp;WINDOW=FIRST_POPUP&amp;HEIGHT=450&amp;WI","DTH=450&amp;START_MAXIMIZED=FALSE&amp;VAR:CALENDAR=US&amp;VAR:SYMBOL=NTSP&amp;VAR:INDEX=0"}</definedName>
    <definedName name="_257__FDSAUDITLINK__" hidden="1">{"fdsup://directions/FAT Viewer?action=UPDATE&amp;creator=factset&amp;DYN_ARGS=TRUE&amp;DOC_NAME=FAT:FQL_AUDITING_CLIENT_TEMPLATE.FAT&amp;display_string=Audit&amp;VAR:KEY=SHYFMHEPGT&amp;VAR:QUERY=RkZfRU5UUlBSX1ZBTF9EQUlMWShOT1csLCwsVVNELCdESUwnKQ==&amp;WINDOW=FIRST_POPUP&amp;HEIGHT=450&amp;WI","DTH=450&amp;START_MAXIMIZED=FALSE&amp;VAR:CALENDAR=US&amp;VAR:SYMBOL=PAY&amp;VAR:INDEX=0"}</definedName>
    <definedName name="_258__FDSAUDITLINK__" hidden="1">{"fdsup://directions/FAT Viewer?action=UPDATE&amp;creator=factset&amp;DYN_ARGS=TRUE&amp;DOC_NAME=FAT:FQL_AUDITING_CLIENT_TEMPLATE.FAT&amp;display_string=Audit&amp;VAR:KEY=AVGHODANIF&amp;VAR:QUERY=RkZfRU5UUlBSX1ZBTF9EQUlMWShOT1csLCwsVVNELCdESUwnKQ==&amp;WINDOW=FIRST_POPUP&amp;HEIGHT=450&amp;WI","DTH=450&amp;START_MAXIMIZED=FALSE&amp;VAR:CALENDAR=US&amp;VAR:SYMBOL=NCR&amp;VAR:INDEX=0"}</definedName>
    <definedName name="_259__FDSAUDITLINK__" hidden="1">{"fdsup://directions/FAT Viewer?action=UPDATE&amp;creator=factset&amp;DYN_ARGS=TRUE&amp;DOC_NAME=FAT:FQL_AUDITING_CLIENT_TEMPLATE.FAT&amp;display_string=Audit&amp;VAR:KEY=QBGDIDYNUF&amp;VAR:QUERY=RkZfRU5UUlBSX1ZBTF9EQUlMWShOT1csLCwsVVNELCdESUwnKQ==&amp;WINDOW=FIRST_POPUP&amp;HEIGHT=450&amp;WI","DTH=450&amp;START_MAXIMIZED=FALSE&amp;VAR:CALENDAR=US&amp;VAR:SYMBOL=HYC&amp;VAR:INDEX=0"}</definedName>
    <definedName name="_26__FDSAUDITLINK__" hidden="1">{"fdsup://directions/FAT Viewer?action=UPDATE&amp;creator=factset&amp;DYN_ARGS=TRUE&amp;DOC_NAME=FAT:FQL_AUDITING_CLIENT_TEMPLATE.FAT&amp;display_string=Audit&amp;VAR:KEY=ODONEVYNGP&amp;VAR:QUERY=RkZfU0hMRFJTX0VRKEFOTiwwKQ==&amp;WINDOW=FIRST_POPUP&amp;HEIGHT=450&amp;WIDTH=450&amp;START_MAXIMIZED=","FALSE&amp;VAR:CALENDAR=US&amp;VAR:SYMBOL=MAKO&amp;VAR:INDEX=0"}</definedName>
    <definedName name="_26__FDSAUDITLINK___1" hidden="1">{"fdsup://directions/FAT Viewer?action=UPDATE&amp;creator=factset&amp;DYN_ARGS=TRUE&amp;DOC_NAME=FAT:FQL_AUDITING_CLIENT_TEMPLATE.FAT&amp;display_string=Audit&amp;VAR:KEY=ODONEVYNGP&amp;VAR:QUERY=RkZfU0hMRFJTX0VRKEFOTiwwKQ==&amp;WINDOW=FIRST_POPUP&amp;HEIGHT=450&amp;WIDTH=450&amp;START_MAXIMIZED=","FALSE&amp;VAR:CALENDAR=US&amp;VAR:SYMBOL=MAKO&amp;VAR:INDEX=0"}</definedName>
    <definedName name="_26__FDSAUDITLINK___2" hidden="1">{"fdsup://directions/FAT Viewer?action=UPDATE&amp;creator=factset&amp;DYN_ARGS=TRUE&amp;DOC_NAME=FAT:FQL_AUDITING_CLIENT_TEMPLATE.FAT&amp;display_string=Audit&amp;VAR:KEY=ODONEVYNGP&amp;VAR:QUERY=RkZfU0hMRFJTX0VRKEFOTiwwKQ==&amp;WINDOW=FIRST_POPUP&amp;HEIGHT=450&amp;WIDTH=450&amp;START_MAXIMIZED=","FALSE&amp;VAR:CALENDAR=US&amp;VAR:SYMBOL=MAKO&amp;VAR:INDEX=0"}</definedName>
    <definedName name="_260__FDSAUDITLINK__" hidden="1">{"fdsup://directions/FAT Viewer?action=UPDATE&amp;creator=factset&amp;DYN_ARGS=TRUE&amp;DOC_NAME=FAT:FQL_AUDITING_CLIENT_TEMPLATE.FAT&amp;display_string=Audit&amp;VAR:KEY=OJQLWZUHAR&amp;VAR:QUERY=RkZfRU5UUlBSX1ZBTF9EQUlMWShOT1csLCwsVVNELCdESUwnKQ==&amp;WINDOW=FIRST_POPUP&amp;HEIGHT=450&amp;WI","DTH=450&amp;START_MAXIMIZED=FALSE&amp;VAR:CALENDAR=US&amp;VAR:SYMBOL=DBD&amp;VAR:INDEX=0"}</definedName>
    <definedName name="_261__FDSAUDITLINK__" hidden="1">{"fdsup://directions/FAT Viewer?action=UPDATE&amp;creator=factset&amp;DYN_ARGS=TRUE&amp;DOC_NAME=FAT:FQL_AUDITING_CLIENT_TEMPLATE.FAT&amp;display_string=Audit&amp;VAR:KEY=KVOLOVAZIZ&amp;VAR:QUERY=RkZfRU5UUlBSX1ZBTF9EQUlMWShOT1csLCwsVVNELCdESUwnKQ==&amp;WINDOW=FIRST_POPUP&amp;HEIGHT=450&amp;WI","DTH=450&amp;START_MAXIMIZED=FALSE&amp;VAR:CALENDAR=US&amp;VAR:SYMBOL=MCRS&amp;VAR:INDEX=0"}</definedName>
    <definedName name="_262__FDSAUDITLINK__" hidden="1">{"fdsup://directions/FAT Viewer?action=UPDATE&amp;creator=factset&amp;DYN_ARGS=TRUE&amp;DOC_NAME=FAT:FQL_AUDITING_CLIENT_TEMPLATE.FAT&amp;display_string=Audit&amp;VAR:KEY=KZOTANQPGV&amp;VAR:QUERY=RkZfRU5UUlBSX1ZBTF9EQUlMWShOT1csLCwsVVNELCdESUwnKQ==&amp;WINDOW=FIRST_POPUP&amp;HEIGHT=450&amp;WI","DTH=450&amp;START_MAXIMIZED=FALSE&amp;VAR:CALENDAR=US&amp;VAR:SYMBOL=FIC&amp;VAR:INDEX=0"}</definedName>
    <definedName name="_263__FDSAUDITLINK__" hidden="1">{"fdsup://directions/FAT Viewer?action=UPDATE&amp;creator=factset&amp;DYN_ARGS=TRUE&amp;DOC_NAME=FAT:FQL_AUDITING_CLIENT_TEMPLATE.FAT&amp;display_string=Audit&amp;VAR:KEY=QXILSTWXCP&amp;VAR:QUERY=RkZfRU5UUlBSX1ZBTF9EQUlMWShOT1csLCwsVVNELCdESUwnKQ==&amp;WINDOW=FIRST_POPUP&amp;HEIGHT=450&amp;WI","DTH=450&amp;START_MAXIMIZED=FALSE&amp;VAR:CALENDAR=US&amp;VAR:SYMBOL=EFX&amp;VAR:INDEX=0"}</definedName>
    <definedName name="_264__FDSAUDITLINK__" hidden="1">{"fdsup://directions/FAT Viewer?action=UPDATE&amp;creator=factset&amp;DYN_ARGS=TRUE&amp;DOC_NAME=FAT:FQL_AUDITING_CLIENT_TEMPLATE.FAT&amp;display_string=Audit&amp;VAR:KEY=IZMPGVCDUZ&amp;VAR:QUERY=RkZfRU5UUlBSX1ZBTF9EQUlMWShOT1csLCwsVVNELCdESUwnKQ==&amp;WINDOW=FIRST_POPUP&amp;HEIGHT=450&amp;WI","DTH=450&amp;START_MAXIMIZED=FALSE&amp;VAR:CALENDAR=US&amp;VAR:SYMBOL=MGI&amp;VAR:INDEX=0"}</definedName>
    <definedName name="_265__FDSAUDITLINK__" hidden="1">{"fdsup://directions/FAT Viewer?action=UPDATE&amp;creator=factset&amp;DYN_ARGS=TRUE&amp;DOC_NAME=FAT:FQL_AUDITING_CLIENT_TEMPLATE.FAT&amp;display_string=Audit&amp;VAR:KEY=WXKDIFGZOV&amp;VAR:QUERY=RkZfRU5UUlBSX1ZBTF9EQUlMWShOT1csLCwsVVNELCdESUwnKQ==&amp;WINDOW=FIRST_POPUP&amp;HEIGHT=450&amp;WI","DTH=450&amp;START_MAXIMIZED=FALSE&amp;VAR:CALENDAR=US&amp;VAR:SYMBOL=EEFT&amp;VAR:INDEX=0"}</definedName>
    <definedName name="_266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267__FDSAUDITLINK__" hidden="1">{"fdsup://directions/FAT Viewer?action=UPDATE&amp;creator=factset&amp;DYN_ARGS=TRUE&amp;DOC_NAME=FAT:FQL_AUDITING_CLIENT_TEMPLATE.FAT&amp;display_string=Audit&amp;VAR:KEY=CZYNODCVEX&amp;VAR:QUERY=RkZfRU5UUlBSX1ZBTF9EQUlMWShOT1csLCwsVVNELCdESUwnKQ==&amp;WINDOW=FIRST_POPUP&amp;HEIGHT=450&amp;WI","DTH=450&amp;START_MAXIMIZED=FALSE&amp;VAR:CALENDAR=US&amp;VAR:SYMBOL=ADS&amp;VAR:INDEX=0"}</definedName>
    <definedName name="_268__FDSAUDITLINK__" hidden="1">{"fdsup://directions/FAT Viewer?action=UPDATE&amp;creator=factset&amp;DYN_ARGS=TRUE&amp;DOC_NAME=FAT:FQL_AUDITING_CLIENT_TEMPLATE.FAT&amp;display_string=Audit&amp;VAR:KEY=IZIHWZAZGB&amp;VAR:QUERY=RkZfRU5UUlBSX1ZBTF9EQUlMWShOT1csLCwsVVNELCdESUwnKQ==&amp;WINDOW=FIRST_POPUP&amp;HEIGHT=450&amp;WI","DTH=450&amp;START_MAXIMIZED=FALSE&amp;VAR:CALENDAR=US&amp;VAR:SYMBOL=WXS&amp;VAR:INDEX=0"}</definedName>
    <definedName name="_269__FDSAUDITLINK__" hidden="1">{"fdsup://directions/FAT Viewer?action=UPDATE&amp;creator=factset&amp;DYN_ARGS=TRUE&amp;DOC_NAME=FAT:FQL_AUDITING_CLIENT_TEMPLATE.FAT&amp;display_string=Audit&amp;VAR:KEY=ODKFORGTOL&amp;VAR:QUERY=RkZfRU5UUlBSX1ZBTF9EQUlMWShOT1csLCwsVVNELCdESUwnKQ==&amp;WINDOW=FIRST_POPUP&amp;HEIGHT=450&amp;WI","DTH=450&amp;START_MAXIMIZED=FALSE&amp;VAR:CALENDAR=US&amp;VAR:SYMBOL=HPY&amp;VAR:INDEX=0"}</definedName>
    <definedName name="_27__FDSAUDITLINK__"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7__FDSAUDITLINK___1"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7__FDSAUDITLINK___2" hidden="1">{"fdsup://directions/FAT Viewer?action=UPDATE&amp;creator=factset&amp;DYN_ARGS=TRUE&amp;DOC_NAME=FAT:FQL_AUDITING_CLIENT_TEMPLATE.FAT&amp;display_string=Audit&amp;VAR:KEY=CJSFYZMLYV&amp;VAR:QUERY=RkZfREVCVChBTk4sMCk=&amp;WINDOW=FIRST_POPUP&amp;HEIGHT=450&amp;WIDTH=450&amp;START_MAXIMIZED=FALSE&amp;VA","R:CALENDAR=US&amp;VAR:SYMBOL=MAKO&amp;VAR:INDEX=0"}</definedName>
    <definedName name="_270__FDSAUDITLINK__" hidden="1">{"fdsup://directions/FAT Viewer?action=UPDATE&amp;creator=factset&amp;DYN_ARGS=TRUE&amp;DOC_NAME=FAT:FQL_AUDITING_CLIENT_TEMPLATE.FAT&amp;display_string=Audit&amp;VAR:KEY=MTMTENGHQJ&amp;VAR:QUERY=RkZfRU5UUlBSX1ZBTF9EQUlMWShOT1csLCwsVVNELCdESUwnKQ==&amp;WINDOW=FIRST_POPUP&amp;HEIGHT=450&amp;WI","DTH=450&amp;START_MAXIMIZED=FALSE&amp;VAR:CALENDAR=US&amp;VAR:SYMBOL=DST&amp;VAR:INDEX=0"}</definedName>
    <definedName name="_271__FDSAUDITLINK__" hidden="1">{"fdsup://directions/FAT Viewer?action=UPDATE&amp;creator=factset&amp;DYN_ARGS=TRUE&amp;DOC_NAME=FAT:FQL_AUDITING_CLIENT_TEMPLATE.FAT&amp;display_string=Audit&amp;VAR:KEY=YJALMXQVAN&amp;VAR:QUERY=RkZfRU5UUlBSX1ZBTF9EQUlMWShOT1csLCwsVVNELCdESUwnKQ==&amp;WINDOW=FIRST_POPUP&amp;HEIGHT=450&amp;WI","DTH=450&amp;START_MAXIMIZED=FALSE&amp;VAR:CALENDAR=US&amp;VAR:SYMBOL=BR&amp;VAR:INDEX=0"}</definedName>
    <definedName name="_272__FDSAUDITLINK__" hidden="1">{"fdsup://directions/FAT Viewer?action=UPDATE&amp;creator=factset&amp;DYN_ARGS=TRUE&amp;DOC_NAME=FAT:FQL_AUDITING_CLIENT_TEMPLATE.FAT&amp;display_string=Audit&amp;VAR:KEY=CPSVWBOXWJ&amp;VAR:QUERY=RkZfRU5UUlBSX1ZBTF9EQUlMWShOT1csLCwsVVNELCdESUwnKQ==&amp;WINDOW=FIRST_POPUP&amp;HEIGHT=450&amp;WI","DTH=450&amp;START_MAXIMIZED=FALSE&amp;VAR:CALENDAR=US&amp;VAR:SYMBOL=JKHY&amp;VAR:INDEX=0"}</definedName>
    <definedName name="_273__FDSAUDITLINK__" hidden="1">{"fdsup://directions/FAT Viewer?action=UPDATE&amp;creator=factset&amp;DYN_ARGS=TRUE&amp;DOC_NAME=FAT:FQL_AUDITING_CLIENT_TEMPLATE.FAT&amp;display_string=Audit&amp;VAR:KEY=ONALAZORKX&amp;VAR:QUERY=RkZfRU5UUlBSX1ZBTF9EQUlMWShOT1csLCwsVVNELCdESUwnKQ==&amp;WINDOW=FIRST_POPUP&amp;HEIGHT=450&amp;WI","DTH=450&amp;START_MAXIMIZED=FALSE&amp;VAR:CALENDAR=US&amp;VAR:SYMBOL=FISV&amp;VAR:INDEX=0"}</definedName>
    <definedName name="_274__FDSAUDITLINK__" hidden="1">{"fdsup://directions/FAT Viewer?action=UPDATE&amp;creator=factset&amp;DYN_ARGS=TRUE&amp;DOC_NAME=FAT:FQL_AUDITING_CLIENT_TEMPLATE.FAT&amp;display_string=Audit&amp;VAR:KEY=WLUXOZYPOX&amp;VAR:QUERY=RkZfRU5UUlBSX1ZBTF9EQUlMWShOT1csLCwsVVNELCdESUwnKQ==&amp;WINDOW=FIRST_POPUP&amp;HEIGHT=450&amp;WI","DTH=450&amp;START_MAXIMIZED=FALSE&amp;VAR:CALENDAR=US&amp;VAR:SYMBOL=FIS&amp;VAR:INDEX=0"}</definedName>
    <definedName name="_275__FDSAUDITLINK__" hidden="1">{"fdsup://directions/FAT Viewer?action=UPDATE&amp;creator=factset&amp;DYN_ARGS=TRUE&amp;DOC_NAME=FAT:FQL_AUDITING_CLIENT_TEMPLATE.FAT&amp;display_string=Audit&amp;VAR:KEY=ITIJMZILWL&amp;VAR:QUERY=RkZfRU5UUlBSX1ZBTF9EQUlMWShOT1csLCwsVVNELCdESUwnKQ==&amp;WINDOW=FIRST_POPUP&amp;HEIGHT=450&amp;WI","DTH=450&amp;START_MAXIMIZED=FALSE&amp;VAR:CALENDAR=US&amp;VAR:SYMBOL=WU&amp;VAR:INDEX=0"}</definedName>
    <definedName name="_276__FDSAUDITLINK__" hidden="1">{"fdsup://directions/FAT Viewer?action=UPDATE&amp;creator=factset&amp;DYN_ARGS=TRUE&amp;DOC_NAME=FAT:FQL_AUDITING_CLIENT_TEMPLATE.FAT&amp;display_string=Audit&amp;VAR:KEY=ENCNOLSTMJ&amp;VAR:QUERY=RkZfRU5UUlBSX1ZBTF9EQUlMWShOT1csLCwsVVNELCdESUwnKQ==&amp;WINDOW=FIRST_POPUP&amp;HEIGHT=450&amp;WI","DTH=450&amp;START_MAXIMIZED=FALSE&amp;VAR:CALENDAR=US&amp;VAR:SYMBOL=TSS&amp;VAR:INDEX=0"}</definedName>
    <definedName name="_277__FDSAUDITLINK__" hidden="1">{"fdsup://directions/FAT Viewer?action=UPDATE&amp;creator=factset&amp;DYN_ARGS=TRUE&amp;DOC_NAME=FAT:FQL_AUDITING_CLIENT_TEMPLATE.FAT&amp;display_string=Audit&amp;VAR:KEY=CNKPKXGNAP&amp;VAR:QUERY=RkZfRU5UUlBSX1ZBTF9EQUlMWShOT1csLCwsVVNELCdESUwnKQ==&amp;WINDOW=FIRST_POPUP&amp;HEIGHT=450&amp;WI","DTH=450&amp;START_MAXIMIZED=FALSE&amp;VAR:CALENDAR=US&amp;VAR:SYMBOL=GPN&amp;VAR:INDEX=0"}</definedName>
    <definedName name="_278__FDSAUDITLINK__" hidden="1">{"fdsup://directions/FAT Viewer?action=UPDATE&amp;creator=factset&amp;DYN_ARGS=TRUE&amp;DOC_NAME=FAT:FQL_AUDITING_CLIENT_TEMPLATE.FAT&amp;display_string=Audit&amp;VAR:KEY=EFIHYRCFUF&amp;VAR:QUERY=RkZfRU5UUlBSX1ZBTF9EQUlMWShOT1csLCwsVVNELCdESUwnKQ==&amp;WINDOW=FIRST_POPUP&amp;HEIGHT=450&amp;WI","DTH=450&amp;START_MAXIMIZED=FALSE&amp;VAR:CALENDAR=US&amp;VAR:SYMBOL=V&amp;VAR:INDEX=0"}</definedName>
    <definedName name="_279__FDSAUDITLINK__" hidden="1">{"fdsup://directions/FAT Viewer?action=UPDATE&amp;creator=factset&amp;DYN_ARGS=TRUE&amp;DOC_NAME=FAT:FQL_AUDITING_CLIENT_TEMPLATE.FAT&amp;display_string=Audit&amp;VAR:KEY=IDGTMJWTYP&amp;VAR:QUERY=RkZfRU5UUlBSX1ZBTF9EQUlMWShOT1csLCwsVVNELCdESUwnKQ==&amp;WINDOW=FIRST_POPUP&amp;HEIGHT=450&amp;WI","DTH=450&amp;START_MAXIMIZED=FALSE&amp;VAR:CALENDAR=US&amp;VAR:SYMBOL=MA&amp;VAR:INDEX=0"}</definedName>
    <definedName name="_28__FDSAUDITLINK__"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28__FDSAUDITLINK___1"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28__FDSAUDITLINK___2"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280__FDSAUDITLINK__" hidden="1">{"fdsup://directions/FAT Viewer?action=UPDATE&amp;creator=factset&amp;DYN_ARGS=TRUE&amp;DOC_NAME=FAT:FQL_AUDITING_CLIENT_TEMPLATE.FAT&amp;display_string=Audit&amp;VAR:KEY=WLQZQXOPSL&amp;VAR:QUERY=RkZfRU5UUlBSX1ZBTF9EQUlMWShOT1csLCwsVVNELCdESUwnKQ==&amp;WINDOW=FIRST_POPUP&amp;HEIGHT=450&amp;WI","DTH=450&amp;START_MAXIMIZED=FALSE&amp;VAR:CALENDAR=US&amp;VAR:SYMBOL=PAYX&amp;VAR:INDEX=0"}</definedName>
    <definedName name="_281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282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283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284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285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286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287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288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289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29__FDSAUDITLINK__" hidden="1">{"fdsup://directions/FAT Viewer?action=UPDATE&amp;creator=factset&amp;DYN_ARGS=TRUE&amp;DOC_NAME=FAT:FQL_AUDITING_CLIENT_TEMPLATE.FAT&amp;display_string=Audit&amp;VAR:KEY=SPIJALOVOX&amp;VAR:QUERY=RkZfU0hMRFJTX0VRKEFOTiwwKQ==&amp;WINDOW=FIRST_POPUP&amp;HEIGHT=450&amp;WIDTH=450&amp;START_MAXIMIZED=","FALSE&amp;VAR:CALENDAR=US&amp;VAR:SYMBOL=BCR&amp;VAR:INDEX=0"}</definedName>
    <definedName name="_29__FDSAUDITLINK___1" hidden="1">{"fdsup://directions/FAT Viewer?action=UPDATE&amp;creator=factset&amp;DYN_ARGS=TRUE&amp;DOC_NAME=FAT:FQL_AUDITING_CLIENT_TEMPLATE.FAT&amp;display_string=Audit&amp;VAR:KEY=SPIJALOVOX&amp;VAR:QUERY=RkZfU0hMRFJTX0VRKEFOTiwwKQ==&amp;WINDOW=FIRST_POPUP&amp;HEIGHT=450&amp;WIDTH=450&amp;START_MAXIMIZED=","FALSE&amp;VAR:CALENDAR=US&amp;VAR:SYMBOL=BCR&amp;VAR:INDEX=0"}</definedName>
    <definedName name="_29__FDSAUDITLINK___2" hidden="1">{"fdsup://directions/FAT Viewer?action=UPDATE&amp;creator=factset&amp;DYN_ARGS=TRUE&amp;DOC_NAME=FAT:FQL_AUDITING_CLIENT_TEMPLATE.FAT&amp;display_string=Audit&amp;VAR:KEY=SPIJALOVOX&amp;VAR:QUERY=RkZfU0hMRFJTX0VRKEFOTiwwKQ==&amp;WINDOW=FIRST_POPUP&amp;HEIGHT=450&amp;WIDTH=450&amp;START_MAXIMIZED=","FALSE&amp;VAR:CALENDAR=US&amp;VAR:SYMBOL=BCR&amp;VAR:INDEX=0"}</definedName>
    <definedName name="_290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291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292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293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294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295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296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297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298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299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3__FDSAUDITLINK__"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3__FDSAUDITLINK___1"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3__FDSAUDITLINK___2" hidden="1">{"fdsup://directions/FAT Viewer?action=UPDATE&amp;creator=factset&amp;DYN_ARGS=TRUE&amp;DOC_NAME=FAT:FQL_AUDITING_CLIENT_TEMPLATE.FAT&amp;display_string=Audit&amp;VAR:KEY=UNMNIXCVWL&amp;VAR:QUERY=RkZfREVCVChBTk4sMCk=&amp;WINDOW=FIRST_POPUP&amp;HEIGHT=450&amp;WIDTH=450&amp;START_MAXIMIZED=FALSE&amp;VA","R:CALENDAR=US&amp;VAR:SYMBOL=HNSN&amp;VAR:INDEX=0"}</definedName>
    <definedName name="_30__FDSAUDITLINK__"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30__FDSAUDITLINK___1"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30__FDSAUDITLINK___2" hidden="1">{"fdsup://directions/FAT Viewer?action=UPDATE&amp;creator=factset&amp;DYN_ARGS=TRUE&amp;DOC_NAME=FAT:FQL_AUDITING_CLIENT_TEMPLATE.FAT&amp;display_string=Audit&amp;VAR:KEY=SJMDUHEBWL&amp;VAR:QUERY=RkZfREVCVChBTk4sMCk=&amp;WINDOW=FIRST_POPUP&amp;HEIGHT=450&amp;WIDTH=450&amp;START_MAXIMIZED=FALSE&amp;VA","R:CALENDAR=US&amp;VAR:SYMBOL=BCR&amp;VAR:INDEX=0"}</definedName>
    <definedName name="_300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301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302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303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304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305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306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307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308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309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31__FDSAUDITLINK__"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1__FDSAUDITLINK___1"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1__FDSAUDITLINK___2"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10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311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312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313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314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315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316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317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318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319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32__FDSAUDITLINK__" hidden="1">{"fdsup://directions/FAT Viewer?action=UPDATE&amp;creator=factset&amp;DYN_ARGS=TRUE&amp;DOC_NAME=FAT:FQL_AUDITING_CLIENT_TEMPLATE.FAT&amp;display_string=Audit&amp;VAR:KEY=SBADOJWLUZ&amp;VAR:QUERY=RkZfU0hMRFJTX0VRKEFOTiwwKQ==&amp;WINDOW=FIRST_POPUP&amp;HEIGHT=450&amp;WIDTH=450&amp;START_MAXIMIZED=","FALSE&amp;VAR:CALENDAR=US&amp;VAR:SYMBOL=EW&amp;VAR:INDEX=0"}</definedName>
    <definedName name="_32__FDSAUDITLINK___1" hidden="1">{"fdsup://directions/FAT Viewer?action=UPDATE&amp;creator=factset&amp;DYN_ARGS=TRUE&amp;DOC_NAME=FAT:FQL_AUDITING_CLIENT_TEMPLATE.FAT&amp;display_string=Audit&amp;VAR:KEY=SBADOJWLUZ&amp;VAR:QUERY=RkZfU0hMRFJTX0VRKEFOTiwwKQ==&amp;WINDOW=FIRST_POPUP&amp;HEIGHT=450&amp;WIDTH=450&amp;START_MAXIMIZED=","FALSE&amp;VAR:CALENDAR=US&amp;VAR:SYMBOL=EW&amp;VAR:INDEX=0"}</definedName>
    <definedName name="_32__FDSAUDITLINK___2" hidden="1">{"fdsup://directions/FAT Viewer?action=UPDATE&amp;creator=factset&amp;DYN_ARGS=TRUE&amp;DOC_NAME=FAT:FQL_AUDITING_CLIENT_TEMPLATE.FAT&amp;display_string=Audit&amp;VAR:KEY=SBADOJWLUZ&amp;VAR:QUERY=RkZfU0hMRFJTX0VRKEFOTiwwKQ==&amp;WINDOW=FIRST_POPUP&amp;HEIGHT=450&amp;WIDTH=450&amp;START_MAXIMIZED=","FALSE&amp;VAR:CALENDAR=US&amp;VAR:SYMBOL=EW&amp;VAR:INDEX=0"}</definedName>
    <definedName name="_320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321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322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323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324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325__FDSAUDITLINK__" hidden="1">{"fdsup://directions/FAT Viewer?action=UPDATE&amp;creator=factset&amp;DYN_ARGS=TRUE&amp;DOC_NAME=FAT:FQL_AUDITING_CLIENT_TEMPLATE.FAT&amp;display_string=Audit&amp;VAR:KEY=MRYBWBOJOL&amp;VAR:QUERY=RkZfRU5UUlBSX1ZBTF9EQUlMWShOT1csLCwsVVNELCdESUwnKQ==&amp;WINDOW=FIRST_POPUP&amp;HEIGHT=450&amp;WI","DTH=450&amp;START_MAXIMIZED=FALSE&amp;VAR:CALENDAR=US&amp;VAR:SYMBOL=GOOG&amp;VAR:INDEX=0"}</definedName>
    <definedName name="_326__FDSAUDITLINK__" hidden="1">{"fdsup://directions/FAT Viewer?action=UPDATE&amp;creator=factset&amp;DYN_ARGS=TRUE&amp;DOC_NAME=FAT:FQL_AUDITING_CLIENT_TEMPLATE.FAT&amp;display_string=Audit&amp;VAR:KEY=CTIJCPIFEX&amp;VAR:QUERY=RkZfRU5UUlBSX1ZBTF9EQUlMWShOT1csLCwsVVNELCdESUwnKQ==&amp;WINDOW=FIRST_POPUP&amp;HEIGHT=450&amp;WI","DTH=450&amp;START_MAXIMIZED=FALSE&amp;VAR:CALENDAR=US&amp;VAR:SYMBOL=AAPL&amp;VAR:INDEX=0"}</definedName>
    <definedName name="_327__FDSAUDITLINK__" hidden="1">{"fdsup://directions/FAT Viewer?action=UPDATE&amp;creator=factset&amp;DYN_ARGS=TRUE&amp;DOC_NAME=FAT:FQL_AUDITING_CLIENT_TEMPLATE.FAT&amp;display_string=Audit&amp;VAR:KEY=ARGHIFUXYX&amp;VAR:QUERY=RkZfRU5UUlBSX1ZBTF9EQUlMWShOT1csLCwsVVNELCdESUwnKQ==&amp;WINDOW=FIRST_POPUP&amp;HEIGHT=450&amp;WI","DTH=450&amp;START_MAXIMIZED=FALSE&amp;VAR:CALENDAR=US&amp;VAR:SYMBOL=FFIV&amp;VAR:INDEX=0"}</definedName>
    <definedName name="_328__FDSAUDITLINK__" hidden="1">{"fdsup://directions/FAT Viewer?action=UPDATE&amp;creator=factset&amp;DYN_ARGS=TRUE&amp;DOC_NAME=FAT:FQL_AUDITING_CLIENT_TEMPLATE.FAT&amp;display_string=Audit&amp;VAR:KEY=WDMBQBOZUZ&amp;VAR:QUERY=RkZfRU5UUlBSX1ZBTF9EQUlMWShOT1csLCwsVVNELCdESUwnKQ==&amp;WINDOW=FIRST_POPUP&amp;HEIGHT=450&amp;WI","DTH=450&amp;START_MAXIMIZED=FALSE&amp;VAR:CALENDAR=US&amp;VAR:SYMBOL=NFLX&amp;VAR:INDEX=0"}</definedName>
    <definedName name="_329__FDSAUDITLINK__" hidden="1">{"fdsup://directions/FAT Viewer?action=UPDATE&amp;creator=factset&amp;DYN_ARGS=TRUE&amp;DOC_NAME=FAT:FQL_AUDITING_CLIENT_TEMPLATE.FAT&amp;display_string=Audit&amp;VAR:KEY=ADAPWNQBSX&amp;VAR:QUERY=RkZfRU5UUlBSX1ZBTF9EQUlMWShOT1csLCwsVVNELCdESUwnKQ==&amp;WINDOW=FIRST_POPUP&amp;HEIGHT=450&amp;WI","DTH=450&amp;START_MAXIMIZED=FALSE&amp;VAR:CALENDAR=US&amp;VAR:SYMBOL=BIDU&amp;VAR:INDEX=0"}</definedName>
    <definedName name="_33__FDSAUDITLINK__"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3__FDSAUDITLINK___1"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3__FDSAUDITLINK___2" hidden="1">{"fdsup://directions/FAT Viewer?action=UPDATE&amp;creator=factset&amp;DYN_ARGS=TRUE&amp;DOC_NAME=FAT:FQL_AUDITING_CLIENT_TEMPLATE.FAT&amp;display_string=Audit&amp;VAR:KEY=UZUJEHQVMN&amp;VAR:QUERY=RkZfREVCVChBTk4sMCk=&amp;WINDOW=FIRST_POPUP&amp;HEIGHT=450&amp;WIDTH=450&amp;START_MAXIMIZED=FALSE&amp;VA","R:CALENDAR=US&amp;VAR:SYMBOL=EW&amp;VAR:INDEX=0"}</definedName>
    <definedName name="_330__FDSAUDITLINK__" hidden="1">{"fdsup://directions/FAT Viewer?action=UPDATE&amp;creator=factset&amp;DYN_ARGS=TRUE&amp;DOC_NAME=FAT:FQL_AUDITING_CLIENT_TEMPLATE.FAT&amp;display_string=Audit&amp;VAR:KEY=KNAXUNMPKX&amp;VAR:QUERY=RkZfRU5UUlBSX1ZBTF9EQUlMWShOT1csLCwsVVNELCdESUwnKQ==&amp;WINDOW=FIRST_POPUP&amp;HEIGHT=450&amp;WI","DTH=450&amp;START_MAXIMIZED=FALSE&amp;VAR:CALENDAR=US&amp;VAR:SYMBOL=PCLN&amp;VAR:INDEX=0"}</definedName>
    <definedName name="_331__FDSAUDITLINK__" hidden="1">{"fdsup://directions/FAT Viewer?action=UPDATE&amp;creator=factset&amp;DYN_ARGS=TRUE&amp;DOC_NAME=FAT:FQL_AUDITING_CLIENT_TEMPLATE.FAT&amp;display_string=Audit&amp;VAR:KEY=WDGVOLYTCL&amp;VAR:QUERY=RkZfRU5UUlBSX1ZBTF9EQUlMWShOT1csLCwsVVNELCdESUwnKQ==&amp;WINDOW=FIRST_POPUP&amp;HEIGHT=450&amp;WI","DTH=450&amp;START_MAXIMIZED=FALSE&amp;VAR:CALENDAR=US&amp;VAR:SYMBOL=AMZN&amp;VAR:INDEX=0"}</definedName>
    <definedName name="_332__FDSAUDITLINK__" hidden="1">{"fdsup://directions/FAT Viewer?action=UPDATE&amp;creator=factset&amp;DYN_ARGS=TRUE&amp;DOC_NAME=FAT:FQL_AUDITING_CLIENT_TEMPLATE.FAT&amp;display_string=Audit&amp;VAR:KEY=KPKPULKZIV&amp;VAR:QUERY=RkZfRU5UUlBSX1ZBTF9EQUlMWShOT1csLCwsVVNELCdESUwnKQ==&amp;WINDOW=FIRST_POPUP&amp;HEIGHT=450&amp;WI","DTH=450&amp;START_MAXIMIZED=FALSE&amp;VAR:CALENDAR=US&amp;VAR:SYMBOL=CRM&amp;VAR:INDEX=0"}</definedName>
    <definedName name="_333__FDSAUDITLINK__" hidden="1">{"fdsup://directions/FAT Viewer?action=UPDATE&amp;creator=factset&amp;DYN_ARGS=TRUE&amp;DOC_NAME=FAT:FQL_AUDITING_CLIENT_TEMPLATE.FAT&amp;display_string=Audit&amp;VAR:KEY=QDYXSHQZWD&amp;VAR:QUERY=RkZfRU5UUlBSX1ZBTF9EQUlMWShOT1csLCwsVVNELCdESUwnKQ==&amp;WINDOW=FIRST_POPUP&amp;HEIGHT=450&amp;WI","DTH=450&amp;START_MAXIMIZED=FALSE&amp;VAR:CALENDAR=US&amp;VAR:SYMBOL=CTXS&amp;VAR:INDEX=0"}</definedName>
    <definedName name="_334__FDSAUDITLINK__" hidden="1">{"fdsup://directions/FAT Viewer?action=UPDATE&amp;creator=factset&amp;DYN_ARGS=TRUE&amp;DOC_NAME=FAT:FQL_AUDITING_CLIENT_TEMPLATE.FAT&amp;display_string=Audit&amp;VAR:KEY=SNWZOVARCP&amp;VAR:QUERY=RkZfRU5UUlBSX1ZBTF9EQUlMWShOT1csLCwsVVNELCdESUwnKQ==&amp;WINDOW=FIRST_POPUP&amp;HEIGHT=450&amp;WI","DTH=450&amp;START_MAXIMIZED=FALSE&amp;VAR:CALENDAR=US&amp;VAR:SYMBOL=VMW&amp;VAR:INDEX=0"}</definedName>
    <definedName name="_335__FDSAUDITLINK__" hidden="1">{"fdsup://directions/FAT Viewer?action=UPDATE&amp;creator=factset&amp;DYN_ARGS=TRUE&amp;DOC_NAME=FAT:FQL_AUDITING_CLIENT_TEMPLATE.FAT&amp;display_string=Audit&amp;VAR:KEY=GZEZYBOPYN&amp;VAR:QUERY=RkZfRU5UUlBSX1ZBTF9EQUlMWShOT1csLCwsVVNELCdESUwnKQ==&amp;WINDOW=FIRST_POPUP&amp;HEIGHT=450&amp;WI","DTH=450&amp;START_MAXIMIZED=FALSE&amp;VAR:CALENDAR=US&amp;VAR:SYMBOL=ONE&amp;VAR:INDEX=0"}</definedName>
    <definedName name="_336__FDSAUDITLINK__" hidden="1">{"fdsup://directions/FAT Viewer?action=UPDATE&amp;creator=factset&amp;DYN_ARGS=TRUE&amp;DOC_NAME=FAT:FQL_AUDITING_CLIENT_TEMPLATE.FAT&amp;display_string=Audit&amp;VAR:KEY=SDQFEFWTGV&amp;VAR:QUERY=RkZfRU5UUlBSX1ZBTF9EQUlMWShOT1csLCwsVVNELCdESUwnKQ==&amp;WINDOW=FIRST_POPUP&amp;HEIGHT=450&amp;WI","DTH=450&amp;START_MAXIMIZED=FALSE&amp;VAR:CALENDAR=US&amp;VAR:SYMBOL=FNGN&amp;VAR:INDEX=0"}</definedName>
    <definedName name="_337__FDSAUDITLINK__" hidden="1">{"fdsup://directions/FAT Viewer?action=UPDATE&amp;creator=factset&amp;DYN_ARGS=TRUE&amp;DOC_NAME=FAT:FQL_AUDITING_CLIENT_TEMPLATE.FAT&amp;display_string=Audit&amp;VAR:KEY=MXEZQRUVAN&amp;VAR:QUERY=RkZfRU5UUlBSX1ZBTF9EQUlMWShOT1csLCwsVVNELCdESUwnKQ==&amp;WINDOW=FIRST_POPUP&amp;HEIGHT=450&amp;WI","DTH=450&amp;START_MAXIMIZED=FALSE&amp;VAR:CALENDAR=US&amp;VAR:SYMBOL=NTSP&amp;VAR:INDEX=0"}</definedName>
    <definedName name="_338__FDSAUDITLINK__" hidden="1">{"fdsup://directions/FAT Viewer?action=UPDATE&amp;creator=factset&amp;DYN_ARGS=TRUE&amp;DOC_NAME=FAT:FQL_AUDITING_CLIENT_TEMPLATE.FAT&amp;display_string=Audit&amp;VAR:KEY=SHYFMHEPGT&amp;VAR:QUERY=RkZfRU5UUlBSX1ZBTF9EQUlMWShOT1csLCwsVVNELCdESUwnKQ==&amp;WINDOW=FIRST_POPUP&amp;HEIGHT=450&amp;WI","DTH=450&amp;START_MAXIMIZED=FALSE&amp;VAR:CALENDAR=US&amp;VAR:SYMBOL=PAY&amp;VAR:INDEX=0"}</definedName>
    <definedName name="_339__FDSAUDITLINK__" hidden="1">{"fdsup://directions/FAT Viewer?action=UPDATE&amp;creator=factset&amp;DYN_ARGS=TRUE&amp;DOC_NAME=FAT:FQL_AUDITING_CLIENT_TEMPLATE.FAT&amp;display_string=Audit&amp;VAR:KEY=AVGHODANIF&amp;VAR:QUERY=RkZfRU5UUlBSX1ZBTF9EQUlMWShOT1csLCwsVVNELCdESUwnKQ==&amp;WINDOW=FIRST_POPUP&amp;HEIGHT=450&amp;WI","DTH=450&amp;START_MAXIMIZED=FALSE&amp;VAR:CALENDAR=US&amp;VAR:SYMBOL=NCR&amp;VAR:INDEX=0"}</definedName>
    <definedName name="_34__FDSAUDITLINK__"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4__FDSAUDITLINK___1"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4__FDSAUDITLINK___2"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40__FDSAUDITLINK__" hidden="1">{"fdsup://directions/FAT Viewer?action=UPDATE&amp;creator=factset&amp;DYN_ARGS=TRUE&amp;DOC_NAME=FAT:FQL_AUDITING_CLIENT_TEMPLATE.FAT&amp;display_string=Audit&amp;VAR:KEY=QBGDIDYNUF&amp;VAR:QUERY=RkZfRU5UUlBSX1ZBTF9EQUlMWShOT1csLCwsVVNELCdESUwnKQ==&amp;WINDOW=FIRST_POPUP&amp;HEIGHT=450&amp;WI","DTH=450&amp;START_MAXIMIZED=FALSE&amp;VAR:CALENDAR=US&amp;VAR:SYMBOL=HYC&amp;VAR:INDEX=0"}</definedName>
    <definedName name="_341__FDSAUDITLINK__" hidden="1">{"fdsup://directions/FAT Viewer?action=UPDATE&amp;creator=factset&amp;DYN_ARGS=TRUE&amp;DOC_NAME=FAT:FQL_AUDITING_CLIENT_TEMPLATE.FAT&amp;display_string=Audit&amp;VAR:KEY=OJQLWZUHAR&amp;VAR:QUERY=RkZfRU5UUlBSX1ZBTF9EQUlMWShOT1csLCwsVVNELCdESUwnKQ==&amp;WINDOW=FIRST_POPUP&amp;HEIGHT=450&amp;WI","DTH=450&amp;START_MAXIMIZED=FALSE&amp;VAR:CALENDAR=US&amp;VAR:SYMBOL=DBD&amp;VAR:INDEX=0"}</definedName>
    <definedName name="_342__FDSAUDITLINK__" hidden="1">{"fdsup://directions/FAT Viewer?action=UPDATE&amp;creator=factset&amp;DYN_ARGS=TRUE&amp;DOC_NAME=FAT:FQL_AUDITING_CLIENT_TEMPLATE.FAT&amp;display_string=Audit&amp;VAR:KEY=KVOLOVAZIZ&amp;VAR:QUERY=RkZfRU5UUlBSX1ZBTF9EQUlMWShOT1csLCwsVVNELCdESUwnKQ==&amp;WINDOW=FIRST_POPUP&amp;HEIGHT=450&amp;WI","DTH=450&amp;START_MAXIMIZED=FALSE&amp;VAR:CALENDAR=US&amp;VAR:SYMBOL=MCRS&amp;VAR:INDEX=0"}</definedName>
    <definedName name="_343__FDSAUDITLINK__" hidden="1">{"fdsup://directions/FAT Viewer?action=UPDATE&amp;creator=factset&amp;DYN_ARGS=TRUE&amp;DOC_NAME=FAT:FQL_AUDITING_CLIENT_TEMPLATE.FAT&amp;display_string=Audit&amp;VAR:KEY=KZOTANQPGV&amp;VAR:QUERY=RkZfRU5UUlBSX1ZBTF9EQUlMWShOT1csLCwsVVNELCdESUwnKQ==&amp;WINDOW=FIRST_POPUP&amp;HEIGHT=450&amp;WI","DTH=450&amp;START_MAXIMIZED=FALSE&amp;VAR:CALENDAR=US&amp;VAR:SYMBOL=FIC&amp;VAR:INDEX=0"}</definedName>
    <definedName name="_344__FDSAUDITLINK__" hidden="1">{"fdsup://directions/FAT Viewer?action=UPDATE&amp;creator=factset&amp;DYN_ARGS=TRUE&amp;DOC_NAME=FAT:FQL_AUDITING_CLIENT_TEMPLATE.FAT&amp;display_string=Audit&amp;VAR:KEY=QXILSTWXCP&amp;VAR:QUERY=RkZfRU5UUlBSX1ZBTF9EQUlMWShOT1csLCwsVVNELCdESUwnKQ==&amp;WINDOW=FIRST_POPUP&amp;HEIGHT=450&amp;WI","DTH=450&amp;START_MAXIMIZED=FALSE&amp;VAR:CALENDAR=US&amp;VAR:SYMBOL=EFX&amp;VAR:INDEX=0"}</definedName>
    <definedName name="_345__FDSAUDITLINK__" hidden="1">{"fdsup://directions/FAT Viewer?action=UPDATE&amp;creator=factset&amp;DYN_ARGS=TRUE&amp;DOC_NAME=FAT:FQL_AUDITING_CLIENT_TEMPLATE.FAT&amp;display_string=Audit&amp;VAR:KEY=IZMPGVCDUZ&amp;VAR:QUERY=RkZfRU5UUlBSX1ZBTF9EQUlMWShOT1csLCwsVVNELCdESUwnKQ==&amp;WINDOW=FIRST_POPUP&amp;HEIGHT=450&amp;WI","DTH=450&amp;START_MAXIMIZED=FALSE&amp;VAR:CALENDAR=US&amp;VAR:SYMBOL=MGI&amp;VAR:INDEX=0"}</definedName>
    <definedName name="_346__FDSAUDITLINK__" hidden="1">{"fdsup://directions/FAT Viewer?action=UPDATE&amp;creator=factset&amp;DYN_ARGS=TRUE&amp;DOC_NAME=FAT:FQL_AUDITING_CLIENT_TEMPLATE.FAT&amp;display_string=Audit&amp;VAR:KEY=WXKDIFGZOV&amp;VAR:QUERY=RkZfRU5UUlBSX1ZBTF9EQUlMWShOT1csLCwsVVNELCdESUwnKQ==&amp;WINDOW=FIRST_POPUP&amp;HEIGHT=450&amp;WI","DTH=450&amp;START_MAXIMIZED=FALSE&amp;VAR:CALENDAR=US&amp;VAR:SYMBOL=EEFT&amp;VAR:INDEX=0"}</definedName>
    <definedName name="_347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348__FDSAUDITLINK__" hidden="1">{"fdsup://directions/FAT Viewer?action=UPDATE&amp;creator=factset&amp;DYN_ARGS=TRUE&amp;DOC_NAME=FAT:FQL_AUDITING_CLIENT_TEMPLATE.FAT&amp;display_string=Audit&amp;VAR:KEY=CZYNODCVEX&amp;VAR:QUERY=RkZfRU5UUlBSX1ZBTF9EQUlMWShOT1csLCwsVVNELCdESUwnKQ==&amp;WINDOW=FIRST_POPUP&amp;HEIGHT=450&amp;WI","DTH=450&amp;START_MAXIMIZED=FALSE&amp;VAR:CALENDAR=US&amp;VAR:SYMBOL=ADS&amp;VAR:INDEX=0"}</definedName>
    <definedName name="_349__FDSAUDITLINK__" hidden="1">{"fdsup://directions/FAT Viewer?action=UPDATE&amp;creator=factset&amp;DYN_ARGS=TRUE&amp;DOC_NAME=FAT:FQL_AUDITING_CLIENT_TEMPLATE.FAT&amp;display_string=Audit&amp;VAR:KEY=IZIHWZAZGB&amp;VAR:QUERY=RkZfRU5UUlBSX1ZBTF9EQUlMWShOT1csLCwsVVNELCdESUwnKQ==&amp;WINDOW=FIRST_POPUP&amp;HEIGHT=450&amp;WI","DTH=450&amp;START_MAXIMIZED=FALSE&amp;VAR:CALENDAR=US&amp;VAR:SYMBOL=WXS&amp;VAR:INDEX=0"}</definedName>
    <definedName name="_35__FDSAUDITLINK__" hidden="1">{"fdsup://directions/FAT Viewer?action=UPDATE&amp;creator=factset&amp;DYN_ARGS=TRUE&amp;DOC_NAME=FAT:FQL_AUDITING_CLIENT_TEMPLATE.FAT&amp;display_string=Audit&amp;VAR:KEY=WPWDABQVWF&amp;VAR:QUERY=RkZfU0hMRFJTX0VRKEFOTiwwKQ==&amp;WINDOW=FIRST_POPUP&amp;HEIGHT=450&amp;WIDTH=450&amp;START_MAXIMIZED=","FALSE&amp;VAR:CALENDAR=US&amp;VAR:SYMBOL=BSX&amp;VAR:INDEX=0"}</definedName>
    <definedName name="_35__FDSAUDITLINK___1" hidden="1">{"fdsup://directions/FAT Viewer?action=UPDATE&amp;creator=factset&amp;DYN_ARGS=TRUE&amp;DOC_NAME=FAT:FQL_AUDITING_CLIENT_TEMPLATE.FAT&amp;display_string=Audit&amp;VAR:KEY=WPWDABQVWF&amp;VAR:QUERY=RkZfU0hMRFJTX0VRKEFOTiwwKQ==&amp;WINDOW=FIRST_POPUP&amp;HEIGHT=450&amp;WIDTH=450&amp;START_MAXIMIZED=","FALSE&amp;VAR:CALENDAR=US&amp;VAR:SYMBOL=BSX&amp;VAR:INDEX=0"}</definedName>
    <definedName name="_35__FDSAUDITLINK___2" hidden="1">{"fdsup://directions/FAT Viewer?action=UPDATE&amp;creator=factset&amp;DYN_ARGS=TRUE&amp;DOC_NAME=FAT:FQL_AUDITING_CLIENT_TEMPLATE.FAT&amp;display_string=Audit&amp;VAR:KEY=WPWDABQVWF&amp;VAR:QUERY=RkZfU0hMRFJTX0VRKEFOTiwwKQ==&amp;WINDOW=FIRST_POPUP&amp;HEIGHT=450&amp;WIDTH=450&amp;START_MAXIMIZED=","FALSE&amp;VAR:CALENDAR=US&amp;VAR:SYMBOL=BSX&amp;VAR:INDEX=0"}</definedName>
    <definedName name="_350__FDSAUDITLINK__" hidden="1">{"fdsup://directions/FAT Viewer?action=UPDATE&amp;creator=factset&amp;DYN_ARGS=TRUE&amp;DOC_NAME=FAT:FQL_AUDITING_CLIENT_TEMPLATE.FAT&amp;display_string=Audit&amp;VAR:KEY=ODKFORGTOL&amp;VAR:QUERY=RkZfRU5UUlBSX1ZBTF9EQUlMWShOT1csLCwsVVNELCdESUwnKQ==&amp;WINDOW=FIRST_POPUP&amp;HEIGHT=450&amp;WI","DTH=450&amp;START_MAXIMIZED=FALSE&amp;VAR:CALENDAR=US&amp;VAR:SYMBOL=HPY&amp;VAR:INDEX=0"}</definedName>
    <definedName name="_351__FDSAUDITLINK__" hidden="1">{"fdsup://directions/FAT Viewer?action=UPDATE&amp;creator=factset&amp;DYN_ARGS=TRUE&amp;DOC_NAME=FAT:FQL_AUDITING_CLIENT_TEMPLATE.FAT&amp;display_string=Audit&amp;VAR:KEY=MTMTENGHQJ&amp;VAR:QUERY=RkZfRU5UUlBSX1ZBTF9EQUlMWShOT1csLCwsVVNELCdESUwnKQ==&amp;WINDOW=FIRST_POPUP&amp;HEIGHT=450&amp;WI","DTH=450&amp;START_MAXIMIZED=FALSE&amp;VAR:CALENDAR=US&amp;VAR:SYMBOL=DST&amp;VAR:INDEX=0"}</definedName>
    <definedName name="_352__FDSAUDITLINK__" hidden="1">{"fdsup://directions/FAT Viewer?action=UPDATE&amp;creator=factset&amp;DYN_ARGS=TRUE&amp;DOC_NAME=FAT:FQL_AUDITING_CLIENT_TEMPLATE.FAT&amp;display_string=Audit&amp;VAR:KEY=YJALMXQVAN&amp;VAR:QUERY=RkZfRU5UUlBSX1ZBTF9EQUlMWShOT1csLCwsVVNELCdESUwnKQ==&amp;WINDOW=FIRST_POPUP&amp;HEIGHT=450&amp;WI","DTH=450&amp;START_MAXIMIZED=FALSE&amp;VAR:CALENDAR=US&amp;VAR:SYMBOL=BR&amp;VAR:INDEX=0"}</definedName>
    <definedName name="_353__FDSAUDITLINK__" hidden="1">{"fdsup://directions/FAT Viewer?action=UPDATE&amp;creator=factset&amp;DYN_ARGS=TRUE&amp;DOC_NAME=FAT:FQL_AUDITING_CLIENT_TEMPLATE.FAT&amp;display_string=Audit&amp;VAR:KEY=CPSVWBOXWJ&amp;VAR:QUERY=RkZfRU5UUlBSX1ZBTF9EQUlMWShOT1csLCwsVVNELCdESUwnKQ==&amp;WINDOW=FIRST_POPUP&amp;HEIGHT=450&amp;WI","DTH=450&amp;START_MAXIMIZED=FALSE&amp;VAR:CALENDAR=US&amp;VAR:SYMBOL=JKHY&amp;VAR:INDEX=0"}</definedName>
    <definedName name="_354__FDSAUDITLINK__" hidden="1">{"fdsup://directions/FAT Viewer?action=UPDATE&amp;creator=factset&amp;DYN_ARGS=TRUE&amp;DOC_NAME=FAT:FQL_AUDITING_CLIENT_TEMPLATE.FAT&amp;display_string=Audit&amp;VAR:KEY=ONALAZORKX&amp;VAR:QUERY=RkZfRU5UUlBSX1ZBTF9EQUlMWShOT1csLCwsVVNELCdESUwnKQ==&amp;WINDOW=FIRST_POPUP&amp;HEIGHT=450&amp;WI","DTH=450&amp;START_MAXIMIZED=FALSE&amp;VAR:CALENDAR=US&amp;VAR:SYMBOL=FISV&amp;VAR:INDEX=0"}</definedName>
    <definedName name="_355__FDSAUDITLINK__" hidden="1">{"fdsup://directions/FAT Viewer?action=UPDATE&amp;creator=factset&amp;DYN_ARGS=TRUE&amp;DOC_NAME=FAT:FQL_AUDITING_CLIENT_TEMPLATE.FAT&amp;display_string=Audit&amp;VAR:KEY=WLUXOZYPOX&amp;VAR:QUERY=RkZfRU5UUlBSX1ZBTF9EQUlMWShOT1csLCwsVVNELCdESUwnKQ==&amp;WINDOW=FIRST_POPUP&amp;HEIGHT=450&amp;WI","DTH=450&amp;START_MAXIMIZED=FALSE&amp;VAR:CALENDAR=US&amp;VAR:SYMBOL=FIS&amp;VAR:INDEX=0"}</definedName>
    <definedName name="_356__FDSAUDITLINK__" hidden="1">{"fdsup://directions/FAT Viewer?action=UPDATE&amp;creator=factset&amp;DYN_ARGS=TRUE&amp;DOC_NAME=FAT:FQL_AUDITING_CLIENT_TEMPLATE.FAT&amp;display_string=Audit&amp;VAR:KEY=ITIJMZILWL&amp;VAR:QUERY=RkZfRU5UUlBSX1ZBTF9EQUlMWShOT1csLCwsVVNELCdESUwnKQ==&amp;WINDOW=FIRST_POPUP&amp;HEIGHT=450&amp;WI","DTH=450&amp;START_MAXIMIZED=FALSE&amp;VAR:CALENDAR=US&amp;VAR:SYMBOL=WU&amp;VAR:INDEX=0"}</definedName>
    <definedName name="_357__FDSAUDITLINK__" hidden="1">{"fdsup://directions/FAT Viewer?action=UPDATE&amp;creator=factset&amp;DYN_ARGS=TRUE&amp;DOC_NAME=FAT:FQL_AUDITING_CLIENT_TEMPLATE.FAT&amp;display_string=Audit&amp;VAR:KEY=ENCNOLSTMJ&amp;VAR:QUERY=RkZfRU5UUlBSX1ZBTF9EQUlMWShOT1csLCwsVVNELCdESUwnKQ==&amp;WINDOW=FIRST_POPUP&amp;HEIGHT=450&amp;WI","DTH=450&amp;START_MAXIMIZED=FALSE&amp;VAR:CALENDAR=US&amp;VAR:SYMBOL=TSS&amp;VAR:INDEX=0"}</definedName>
    <definedName name="_358__FDSAUDITLINK__" hidden="1">{"fdsup://directions/FAT Viewer?action=UPDATE&amp;creator=factset&amp;DYN_ARGS=TRUE&amp;DOC_NAME=FAT:FQL_AUDITING_CLIENT_TEMPLATE.FAT&amp;display_string=Audit&amp;VAR:KEY=CNKPKXGNAP&amp;VAR:QUERY=RkZfRU5UUlBSX1ZBTF9EQUlMWShOT1csLCwsVVNELCdESUwnKQ==&amp;WINDOW=FIRST_POPUP&amp;HEIGHT=450&amp;WI","DTH=450&amp;START_MAXIMIZED=FALSE&amp;VAR:CALENDAR=US&amp;VAR:SYMBOL=GPN&amp;VAR:INDEX=0"}</definedName>
    <definedName name="_359__FDSAUDITLINK__" hidden="1">{"fdsup://directions/FAT Viewer?action=UPDATE&amp;creator=factset&amp;DYN_ARGS=TRUE&amp;DOC_NAME=FAT:FQL_AUDITING_CLIENT_TEMPLATE.FAT&amp;display_string=Audit&amp;VAR:KEY=EFIHYRCFUF&amp;VAR:QUERY=RkZfRU5UUlBSX1ZBTF9EQUlMWShOT1csLCwsVVNELCdESUwnKQ==&amp;WINDOW=FIRST_POPUP&amp;HEIGHT=450&amp;WI","DTH=450&amp;START_MAXIMIZED=FALSE&amp;VAR:CALENDAR=US&amp;VAR:SYMBOL=V&amp;VAR:INDEX=0"}</definedName>
    <definedName name="_36__FDSAUDITLINK__"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6__FDSAUDITLINK___1"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6__FDSAUDITLINK___2" hidden="1">{"fdsup://directions/FAT Viewer?action=UPDATE&amp;creator=factset&amp;DYN_ARGS=TRUE&amp;DOC_NAME=FAT:FQL_AUDITING_CLIENT_TEMPLATE.FAT&amp;display_string=Audit&amp;VAR:KEY=SPEJQTEBEN&amp;VAR:QUERY=RkZfREVCVChBTk4sMCk=&amp;WINDOW=FIRST_POPUP&amp;HEIGHT=450&amp;WIDTH=450&amp;START_MAXIMIZED=FALSE&amp;VA","R:CALENDAR=US&amp;VAR:SYMBOL=BSX&amp;VAR:INDEX=0"}</definedName>
    <definedName name="_360__FDSAUDITLINK__" hidden="1">{"fdsup://directions/FAT Viewer?action=UPDATE&amp;creator=factset&amp;DYN_ARGS=TRUE&amp;DOC_NAME=FAT:FQL_AUDITING_CLIENT_TEMPLATE.FAT&amp;display_string=Audit&amp;VAR:KEY=IDGTMJWTYP&amp;VAR:QUERY=RkZfRU5UUlBSX1ZBTF9EQUlMWShOT1csLCwsVVNELCdESUwnKQ==&amp;WINDOW=FIRST_POPUP&amp;HEIGHT=450&amp;WI","DTH=450&amp;START_MAXIMIZED=FALSE&amp;VAR:CALENDAR=US&amp;VAR:SYMBOL=MA&amp;VAR:INDEX=0"}</definedName>
    <definedName name="_361__FDSAUDITLINK__" hidden="1">{"fdsup://directions/FAT Viewer?action=UPDATE&amp;creator=factset&amp;DYN_ARGS=TRUE&amp;DOC_NAME=FAT:FQL_AUDITING_CLIENT_TEMPLATE.FAT&amp;display_string=Audit&amp;VAR:KEY=WLQZQXOPSL&amp;VAR:QUERY=RkZfRU5UUlBSX1ZBTF9EQUlMWShOT1csLCwsVVNELCdESUwnKQ==&amp;WINDOW=FIRST_POPUP&amp;HEIGHT=450&amp;WI","DTH=450&amp;START_MAXIMIZED=FALSE&amp;VAR:CALENDAR=US&amp;VAR:SYMBOL=PAYX&amp;VAR:INDEX=0"}</definedName>
    <definedName name="_362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363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364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365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366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367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368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369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37__FDSAUDITLINK__"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7__FDSAUDITLINK___1"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7__FDSAUDITLINK___2"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70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371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372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373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374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375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376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377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378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379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38__FDSAUDITLINK__" hidden="1">{"fdsup://directions/FAT Viewer?action=UPDATE&amp;creator=factset&amp;DYN_ARGS=TRUE&amp;DOC_NAME=FAT:FQL_AUDITING_CLIENT_TEMPLATE.FAT&amp;display_string=Audit&amp;VAR:KEY=QBGRYJGXCZ&amp;VAR:QUERY=RkZfU0hMRFJTX0VRKEFOTiwwKQ==&amp;WINDOW=FIRST_POPUP&amp;HEIGHT=450&amp;WIDTH=450&amp;START_MAXIMIZED=","FALSE&amp;VAR:CALENDAR=US&amp;VAR:SYMBOL=BDX&amp;VAR:INDEX=0"}</definedName>
    <definedName name="_38__FDSAUDITLINK___1" hidden="1">{"fdsup://directions/FAT Viewer?action=UPDATE&amp;creator=factset&amp;DYN_ARGS=TRUE&amp;DOC_NAME=FAT:FQL_AUDITING_CLIENT_TEMPLATE.FAT&amp;display_string=Audit&amp;VAR:KEY=QBGRYJGXCZ&amp;VAR:QUERY=RkZfU0hMRFJTX0VRKEFOTiwwKQ==&amp;WINDOW=FIRST_POPUP&amp;HEIGHT=450&amp;WIDTH=450&amp;START_MAXIMIZED=","FALSE&amp;VAR:CALENDAR=US&amp;VAR:SYMBOL=BDX&amp;VAR:INDEX=0"}</definedName>
    <definedName name="_38__FDSAUDITLINK___2" hidden="1">{"fdsup://directions/FAT Viewer?action=UPDATE&amp;creator=factset&amp;DYN_ARGS=TRUE&amp;DOC_NAME=FAT:FQL_AUDITING_CLIENT_TEMPLATE.FAT&amp;display_string=Audit&amp;VAR:KEY=QBGRYJGXCZ&amp;VAR:QUERY=RkZfU0hMRFJTX0VRKEFOTiwwKQ==&amp;WINDOW=FIRST_POPUP&amp;HEIGHT=450&amp;WIDTH=450&amp;START_MAXIMIZED=","FALSE&amp;VAR:CALENDAR=US&amp;VAR:SYMBOL=BDX&amp;VAR:INDEX=0"}</definedName>
    <definedName name="_380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381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382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383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384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385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386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387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388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389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39__FDSAUDITLINK__"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9__FDSAUDITLINK___1"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9__FDSAUDITLINK___2" hidden="1">{"fdsup://directions/FAT Viewer?action=UPDATE&amp;creator=factset&amp;DYN_ARGS=TRUE&amp;DOC_NAME=FAT:FQL_AUDITING_CLIENT_TEMPLATE.FAT&amp;display_string=Audit&amp;VAR:KEY=SVATOJKTWJ&amp;VAR:QUERY=RkZfREVCVChBTk4sMCk=&amp;WINDOW=FIRST_POPUP&amp;HEIGHT=450&amp;WIDTH=450&amp;START_MAXIMIZED=FALSE&amp;VA","R:CALENDAR=US&amp;VAR:SYMBOL=BDX&amp;VAR:INDEX=0"}</definedName>
    <definedName name="_390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391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392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393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394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395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396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397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398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399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4__FDSAUDITLINK__"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4__FDSAUDITLINK___1"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4__FDSAUDITLINK___2"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40__FDSAUDITLINK__"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0__FDSAUDITLINK___1"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0__FDSAUDITLINK___2"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00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401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402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403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404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405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406__FDSAUDITLINK__" hidden="1">{"fdsup://directions/FAT Viewer?action=UPDATE&amp;creator=factset&amp;DYN_ARGS=TRUE&amp;DOC_NAME=FAT:FQL_AUDITING_CLIENT_TEMPLATE.FAT&amp;display_string=Audit&amp;VAR:KEY=MRYBWBOJOL&amp;VAR:QUERY=RkZfRU5UUlBSX1ZBTF9EQUlMWShOT1csLCwsVVNELCdESUwnKQ==&amp;WINDOW=FIRST_POPUP&amp;HEIGHT=450&amp;WI","DTH=450&amp;START_MAXIMIZED=FALSE&amp;VAR:CALENDAR=US&amp;VAR:SYMBOL=GOOG&amp;VAR:INDEX=0"}</definedName>
    <definedName name="_407__FDSAUDITLINK__" hidden="1">{"fdsup://directions/FAT Viewer?action=UPDATE&amp;creator=factset&amp;DYN_ARGS=TRUE&amp;DOC_NAME=FAT:FQL_AUDITING_CLIENT_TEMPLATE.FAT&amp;display_string=Audit&amp;VAR:KEY=CTIJCPIFEX&amp;VAR:QUERY=RkZfRU5UUlBSX1ZBTF9EQUlMWShOT1csLCwsVVNELCdESUwnKQ==&amp;WINDOW=FIRST_POPUP&amp;HEIGHT=450&amp;WI","DTH=450&amp;START_MAXIMIZED=FALSE&amp;VAR:CALENDAR=US&amp;VAR:SYMBOL=AAPL&amp;VAR:INDEX=0"}</definedName>
    <definedName name="_408__FDSAUDITLINK__" hidden="1">{"fdsup://directions/FAT Viewer?action=UPDATE&amp;creator=factset&amp;DYN_ARGS=TRUE&amp;DOC_NAME=FAT:FQL_AUDITING_CLIENT_TEMPLATE.FAT&amp;display_string=Audit&amp;VAR:KEY=ARGHIFUXYX&amp;VAR:QUERY=RkZfRU5UUlBSX1ZBTF9EQUlMWShOT1csLCwsVVNELCdESUwnKQ==&amp;WINDOW=FIRST_POPUP&amp;HEIGHT=450&amp;WI","DTH=450&amp;START_MAXIMIZED=FALSE&amp;VAR:CALENDAR=US&amp;VAR:SYMBOL=FFIV&amp;VAR:INDEX=0"}</definedName>
    <definedName name="_409__FDSAUDITLINK__" hidden="1">{"fdsup://directions/FAT Viewer?action=UPDATE&amp;creator=factset&amp;DYN_ARGS=TRUE&amp;DOC_NAME=FAT:FQL_AUDITING_CLIENT_TEMPLATE.FAT&amp;display_string=Audit&amp;VAR:KEY=WDMBQBOZUZ&amp;VAR:QUERY=RkZfRU5UUlBSX1ZBTF9EQUlMWShOT1csLCwsVVNELCdESUwnKQ==&amp;WINDOW=FIRST_POPUP&amp;HEIGHT=450&amp;WI","DTH=450&amp;START_MAXIMIZED=FALSE&amp;VAR:CALENDAR=US&amp;VAR:SYMBOL=NFLX&amp;VAR:INDEX=0"}</definedName>
    <definedName name="_41__FDSAUDITLINK__" hidden="1">{"fdsup://directions/FAT Viewer?action=UPDATE&amp;creator=factset&amp;DYN_ARGS=TRUE&amp;DOC_NAME=FAT:FQL_AUDITING_CLIENT_TEMPLATE.FAT&amp;display_string=Audit&amp;VAR:KEY=AZQJQZGTYH&amp;VAR:QUERY=RkZfU0hMRFJTX0VRKEFOTiwwKQ==&amp;WINDOW=FIRST_POPUP&amp;HEIGHT=450&amp;WIDTH=450&amp;START_MAXIMIZED=","FALSE&amp;VAR:CALENDAR=US&amp;VAR:SYMBOL=JNJ&amp;VAR:INDEX=0"}</definedName>
    <definedName name="_41__FDSAUDITLINK___1" hidden="1">{"fdsup://directions/FAT Viewer?action=UPDATE&amp;creator=factset&amp;DYN_ARGS=TRUE&amp;DOC_NAME=FAT:FQL_AUDITING_CLIENT_TEMPLATE.FAT&amp;display_string=Audit&amp;VAR:KEY=AZQJQZGTYH&amp;VAR:QUERY=RkZfU0hMRFJTX0VRKEFOTiwwKQ==&amp;WINDOW=FIRST_POPUP&amp;HEIGHT=450&amp;WIDTH=450&amp;START_MAXIMIZED=","FALSE&amp;VAR:CALENDAR=US&amp;VAR:SYMBOL=JNJ&amp;VAR:INDEX=0"}</definedName>
    <definedName name="_41__FDSAUDITLINK___2" hidden="1">{"fdsup://directions/FAT Viewer?action=UPDATE&amp;creator=factset&amp;DYN_ARGS=TRUE&amp;DOC_NAME=FAT:FQL_AUDITING_CLIENT_TEMPLATE.FAT&amp;display_string=Audit&amp;VAR:KEY=AZQJQZGTYH&amp;VAR:QUERY=RkZfU0hMRFJTX0VRKEFOTiwwKQ==&amp;WINDOW=FIRST_POPUP&amp;HEIGHT=450&amp;WIDTH=450&amp;START_MAXIMIZED=","FALSE&amp;VAR:CALENDAR=US&amp;VAR:SYMBOL=JNJ&amp;VAR:INDEX=0"}</definedName>
    <definedName name="_410__FDSAUDITLINK__" hidden="1">{"fdsup://directions/FAT Viewer?action=UPDATE&amp;creator=factset&amp;DYN_ARGS=TRUE&amp;DOC_NAME=FAT:FQL_AUDITING_CLIENT_TEMPLATE.FAT&amp;display_string=Audit&amp;VAR:KEY=ADAPWNQBSX&amp;VAR:QUERY=RkZfRU5UUlBSX1ZBTF9EQUlMWShOT1csLCwsVVNELCdESUwnKQ==&amp;WINDOW=FIRST_POPUP&amp;HEIGHT=450&amp;WI","DTH=450&amp;START_MAXIMIZED=FALSE&amp;VAR:CALENDAR=US&amp;VAR:SYMBOL=BIDU&amp;VAR:INDEX=0"}</definedName>
    <definedName name="_411__FDSAUDITLINK__" hidden="1">{"fdsup://directions/FAT Viewer?action=UPDATE&amp;creator=factset&amp;DYN_ARGS=TRUE&amp;DOC_NAME=FAT:FQL_AUDITING_CLIENT_TEMPLATE.FAT&amp;display_string=Audit&amp;VAR:KEY=KNAXUNMPKX&amp;VAR:QUERY=RkZfRU5UUlBSX1ZBTF9EQUlMWShOT1csLCwsVVNELCdESUwnKQ==&amp;WINDOW=FIRST_POPUP&amp;HEIGHT=450&amp;WI","DTH=450&amp;START_MAXIMIZED=FALSE&amp;VAR:CALENDAR=US&amp;VAR:SYMBOL=PCLN&amp;VAR:INDEX=0"}</definedName>
    <definedName name="_412__FDSAUDITLINK__" hidden="1">{"fdsup://directions/FAT Viewer?action=UPDATE&amp;creator=factset&amp;DYN_ARGS=TRUE&amp;DOC_NAME=FAT:FQL_AUDITING_CLIENT_TEMPLATE.FAT&amp;display_string=Audit&amp;VAR:KEY=WDGVOLYTCL&amp;VAR:QUERY=RkZfRU5UUlBSX1ZBTF9EQUlMWShOT1csLCwsVVNELCdESUwnKQ==&amp;WINDOW=FIRST_POPUP&amp;HEIGHT=450&amp;WI","DTH=450&amp;START_MAXIMIZED=FALSE&amp;VAR:CALENDAR=US&amp;VAR:SYMBOL=AMZN&amp;VAR:INDEX=0"}</definedName>
    <definedName name="_413__FDSAUDITLINK__" hidden="1">{"fdsup://directions/FAT Viewer?action=UPDATE&amp;creator=factset&amp;DYN_ARGS=TRUE&amp;DOC_NAME=FAT:FQL_AUDITING_CLIENT_TEMPLATE.FAT&amp;display_string=Audit&amp;VAR:KEY=KPKPULKZIV&amp;VAR:QUERY=RkZfRU5UUlBSX1ZBTF9EQUlMWShOT1csLCwsVVNELCdESUwnKQ==&amp;WINDOW=FIRST_POPUP&amp;HEIGHT=450&amp;WI","DTH=450&amp;START_MAXIMIZED=FALSE&amp;VAR:CALENDAR=US&amp;VAR:SYMBOL=CRM&amp;VAR:INDEX=0"}</definedName>
    <definedName name="_414__FDSAUDITLINK__" hidden="1">{"fdsup://directions/FAT Viewer?action=UPDATE&amp;creator=factset&amp;DYN_ARGS=TRUE&amp;DOC_NAME=FAT:FQL_AUDITING_CLIENT_TEMPLATE.FAT&amp;display_string=Audit&amp;VAR:KEY=QDYXSHQZWD&amp;VAR:QUERY=RkZfRU5UUlBSX1ZBTF9EQUlMWShOT1csLCwsVVNELCdESUwnKQ==&amp;WINDOW=FIRST_POPUP&amp;HEIGHT=450&amp;WI","DTH=450&amp;START_MAXIMIZED=FALSE&amp;VAR:CALENDAR=US&amp;VAR:SYMBOL=CTXS&amp;VAR:INDEX=0"}</definedName>
    <definedName name="_415__FDSAUDITLINK__" hidden="1">{"fdsup://directions/FAT Viewer?action=UPDATE&amp;creator=factset&amp;DYN_ARGS=TRUE&amp;DOC_NAME=FAT:FQL_AUDITING_CLIENT_TEMPLATE.FAT&amp;display_string=Audit&amp;VAR:KEY=SNWZOVARCP&amp;VAR:QUERY=RkZfRU5UUlBSX1ZBTF9EQUlMWShOT1csLCwsVVNELCdESUwnKQ==&amp;WINDOW=FIRST_POPUP&amp;HEIGHT=450&amp;WI","DTH=450&amp;START_MAXIMIZED=FALSE&amp;VAR:CALENDAR=US&amp;VAR:SYMBOL=VMW&amp;VAR:INDEX=0"}</definedName>
    <definedName name="_416__FDSAUDITLINK__" hidden="1">{"fdsup://directions/FAT Viewer?action=UPDATE&amp;creator=factset&amp;DYN_ARGS=TRUE&amp;DOC_NAME=FAT:FQL_AUDITING_CLIENT_TEMPLATE.FAT&amp;display_string=Audit&amp;VAR:KEY=GZEZYBOPYN&amp;VAR:QUERY=RkZfRU5UUlBSX1ZBTF9EQUlMWShOT1csLCwsVVNELCdESUwnKQ==&amp;WINDOW=FIRST_POPUP&amp;HEIGHT=450&amp;WI","DTH=450&amp;START_MAXIMIZED=FALSE&amp;VAR:CALENDAR=US&amp;VAR:SYMBOL=ONE&amp;VAR:INDEX=0"}</definedName>
    <definedName name="_417__FDSAUDITLINK__" hidden="1">{"fdsup://directions/FAT Viewer?action=UPDATE&amp;creator=factset&amp;DYN_ARGS=TRUE&amp;DOC_NAME=FAT:FQL_AUDITING_CLIENT_TEMPLATE.FAT&amp;display_string=Audit&amp;VAR:KEY=SDQFEFWTGV&amp;VAR:QUERY=RkZfRU5UUlBSX1ZBTF9EQUlMWShOT1csLCwsVVNELCdESUwnKQ==&amp;WINDOW=FIRST_POPUP&amp;HEIGHT=450&amp;WI","DTH=450&amp;START_MAXIMIZED=FALSE&amp;VAR:CALENDAR=US&amp;VAR:SYMBOL=FNGN&amp;VAR:INDEX=0"}</definedName>
    <definedName name="_418__FDSAUDITLINK__" hidden="1">{"fdsup://directions/FAT Viewer?action=UPDATE&amp;creator=factset&amp;DYN_ARGS=TRUE&amp;DOC_NAME=FAT:FQL_AUDITING_CLIENT_TEMPLATE.FAT&amp;display_string=Audit&amp;VAR:KEY=MXEZQRUVAN&amp;VAR:QUERY=RkZfRU5UUlBSX1ZBTF9EQUlMWShOT1csLCwsVVNELCdESUwnKQ==&amp;WINDOW=FIRST_POPUP&amp;HEIGHT=450&amp;WI","DTH=450&amp;START_MAXIMIZED=FALSE&amp;VAR:CALENDAR=US&amp;VAR:SYMBOL=NTSP&amp;VAR:INDEX=0"}</definedName>
    <definedName name="_419__FDSAUDITLINK__" hidden="1">{"fdsup://directions/FAT Viewer?action=UPDATE&amp;creator=factset&amp;DYN_ARGS=TRUE&amp;DOC_NAME=FAT:FQL_AUDITING_CLIENT_TEMPLATE.FAT&amp;display_string=Audit&amp;VAR:KEY=SHYFMHEPGT&amp;VAR:QUERY=RkZfRU5UUlBSX1ZBTF9EQUlMWShOT1csLCwsVVNELCdESUwnKQ==&amp;WINDOW=FIRST_POPUP&amp;HEIGHT=450&amp;WI","DTH=450&amp;START_MAXIMIZED=FALSE&amp;VAR:CALENDAR=US&amp;VAR:SYMBOL=PAY&amp;VAR:INDEX=0"}</definedName>
    <definedName name="_42__FDSAUDITLINK__"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2__FDSAUDITLINK___1"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2__FDSAUDITLINK___2" hidden="1">{"fdsup://directions/FAT Viewer?action=UPDATE&amp;creator=factset&amp;DYN_ARGS=TRUE&amp;DOC_NAME=FAT:FQL_AUDITING_CLIENT_TEMPLATE.FAT&amp;display_string=Audit&amp;VAR:KEY=ATYJWJEXOT&amp;VAR:QUERY=RkZfREVCVChBTk4sMCk=&amp;WINDOW=FIRST_POPUP&amp;HEIGHT=450&amp;WIDTH=450&amp;START_MAXIMIZED=FALSE&amp;VA","R:CALENDAR=US&amp;VAR:SYMBOL=JNJ&amp;VAR:INDEX=0"}</definedName>
    <definedName name="_420__FDSAUDITLINK__" hidden="1">{"fdsup://directions/FAT Viewer?action=UPDATE&amp;creator=factset&amp;DYN_ARGS=TRUE&amp;DOC_NAME=FAT:FQL_AUDITING_CLIENT_TEMPLATE.FAT&amp;display_string=Audit&amp;VAR:KEY=AVGHODANIF&amp;VAR:QUERY=RkZfRU5UUlBSX1ZBTF9EQUlMWShOT1csLCwsVVNELCdESUwnKQ==&amp;WINDOW=FIRST_POPUP&amp;HEIGHT=450&amp;WI","DTH=450&amp;START_MAXIMIZED=FALSE&amp;VAR:CALENDAR=US&amp;VAR:SYMBOL=NCR&amp;VAR:INDEX=0"}</definedName>
    <definedName name="_421__FDSAUDITLINK__" hidden="1">{"fdsup://directions/FAT Viewer?action=UPDATE&amp;creator=factset&amp;DYN_ARGS=TRUE&amp;DOC_NAME=FAT:FQL_AUDITING_CLIENT_TEMPLATE.FAT&amp;display_string=Audit&amp;VAR:KEY=QBGDIDYNUF&amp;VAR:QUERY=RkZfRU5UUlBSX1ZBTF9EQUlMWShOT1csLCwsVVNELCdESUwnKQ==&amp;WINDOW=FIRST_POPUP&amp;HEIGHT=450&amp;WI","DTH=450&amp;START_MAXIMIZED=FALSE&amp;VAR:CALENDAR=US&amp;VAR:SYMBOL=HYC&amp;VAR:INDEX=0"}</definedName>
    <definedName name="_422__FDSAUDITLINK__" hidden="1">{"fdsup://directions/FAT Viewer?action=UPDATE&amp;creator=factset&amp;DYN_ARGS=TRUE&amp;DOC_NAME=FAT:FQL_AUDITING_CLIENT_TEMPLATE.FAT&amp;display_string=Audit&amp;VAR:KEY=OJQLWZUHAR&amp;VAR:QUERY=RkZfRU5UUlBSX1ZBTF9EQUlMWShOT1csLCwsVVNELCdESUwnKQ==&amp;WINDOW=FIRST_POPUP&amp;HEIGHT=450&amp;WI","DTH=450&amp;START_MAXIMIZED=FALSE&amp;VAR:CALENDAR=US&amp;VAR:SYMBOL=DBD&amp;VAR:INDEX=0"}</definedName>
    <definedName name="_423__FDSAUDITLINK__" hidden="1">{"fdsup://directions/FAT Viewer?action=UPDATE&amp;creator=factset&amp;DYN_ARGS=TRUE&amp;DOC_NAME=FAT:FQL_AUDITING_CLIENT_TEMPLATE.FAT&amp;display_string=Audit&amp;VAR:KEY=KVOLOVAZIZ&amp;VAR:QUERY=RkZfRU5UUlBSX1ZBTF9EQUlMWShOT1csLCwsVVNELCdESUwnKQ==&amp;WINDOW=FIRST_POPUP&amp;HEIGHT=450&amp;WI","DTH=450&amp;START_MAXIMIZED=FALSE&amp;VAR:CALENDAR=US&amp;VAR:SYMBOL=MCRS&amp;VAR:INDEX=0"}</definedName>
    <definedName name="_424__FDSAUDITLINK__" hidden="1">{"fdsup://directions/FAT Viewer?action=UPDATE&amp;creator=factset&amp;DYN_ARGS=TRUE&amp;DOC_NAME=FAT:FQL_AUDITING_CLIENT_TEMPLATE.FAT&amp;display_string=Audit&amp;VAR:KEY=KZOTANQPGV&amp;VAR:QUERY=RkZfRU5UUlBSX1ZBTF9EQUlMWShOT1csLCwsVVNELCdESUwnKQ==&amp;WINDOW=FIRST_POPUP&amp;HEIGHT=450&amp;WI","DTH=450&amp;START_MAXIMIZED=FALSE&amp;VAR:CALENDAR=US&amp;VAR:SYMBOL=FIC&amp;VAR:INDEX=0"}</definedName>
    <definedName name="_425__FDSAUDITLINK__" hidden="1">{"fdsup://directions/FAT Viewer?action=UPDATE&amp;creator=factset&amp;DYN_ARGS=TRUE&amp;DOC_NAME=FAT:FQL_AUDITING_CLIENT_TEMPLATE.FAT&amp;display_string=Audit&amp;VAR:KEY=QXILSTWXCP&amp;VAR:QUERY=RkZfRU5UUlBSX1ZBTF9EQUlMWShOT1csLCwsVVNELCdESUwnKQ==&amp;WINDOW=FIRST_POPUP&amp;HEIGHT=450&amp;WI","DTH=450&amp;START_MAXIMIZED=FALSE&amp;VAR:CALENDAR=US&amp;VAR:SYMBOL=EFX&amp;VAR:INDEX=0"}</definedName>
    <definedName name="_426__FDSAUDITLINK__" hidden="1">{"fdsup://directions/FAT Viewer?action=UPDATE&amp;creator=factset&amp;DYN_ARGS=TRUE&amp;DOC_NAME=FAT:FQL_AUDITING_CLIENT_TEMPLATE.FAT&amp;display_string=Audit&amp;VAR:KEY=IZMPGVCDUZ&amp;VAR:QUERY=RkZfRU5UUlBSX1ZBTF9EQUlMWShOT1csLCwsVVNELCdESUwnKQ==&amp;WINDOW=FIRST_POPUP&amp;HEIGHT=450&amp;WI","DTH=450&amp;START_MAXIMIZED=FALSE&amp;VAR:CALENDAR=US&amp;VAR:SYMBOL=MGI&amp;VAR:INDEX=0"}</definedName>
    <definedName name="_427__FDSAUDITLINK__" hidden="1">{"fdsup://directions/FAT Viewer?action=UPDATE&amp;creator=factset&amp;DYN_ARGS=TRUE&amp;DOC_NAME=FAT:FQL_AUDITING_CLIENT_TEMPLATE.FAT&amp;display_string=Audit&amp;VAR:KEY=WXKDIFGZOV&amp;VAR:QUERY=RkZfRU5UUlBSX1ZBTF9EQUlMWShOT1csLCwsVVNELCdESUwnKQ==&amp;WINDOW=FIRST_POPUP&amp;HEIGHT=450&amp;WI","DTH=450&amp;START_MAXIMIZED=FALSE&amp;VAR:CALENDAR=US&amp;VAR:SYMBOL=EEFT&amp;VAR:INDEX=0"}</definedName>
    <definedName name="_428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429__FDSAUDITLINK__" hidden="1">{"fdsup://directions/FAT Viewer?action=UPDATE&amp;creator=factset&amp;DYN_ARGS=TRUE&amp;DOC_NAME=FAT:FQL_AUDITING_CLIENT_TEMPLATE.FAT&amp;display_string=Audit&amp;VAR:KEY=CZYNODCVEX&amp;VAR:QUERY=RkZfRU5UUlBSX1ZBTF9EQUlMWShOT1csLCwsVVNELCdESUwnKQ==&amp;WINDOW=FIRST_POPUP&amp;HEIGHT=450&amp;WI","DTH=450&amp;START_MAXIMIZED=FALSE&amp;VAR:CALENDAR=US&amp;VAR:SYMBOL=ADS&amp;VAR:INDEX=0"}</definedName>
    <definedName name="_43__FDSAUDITLINK__"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3__FDSAUDITLINK___1"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3__FDSAUDITLINK___2"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30__FDSAUDITLINK__" hidden="1">{"fdsup://directions/FAT Viewer?action=UPDATE&amp;creator=factset&amp;DYN_ARGS=TRUE&amp;DOC_NAME=FAT:FQL_AUDITING_CLIENT_TEMPLATE.FAT&amp;display_string=Audit&amp;VAR:KEY=IZIHWZAZGB&amp;VAR:QUERY=RkZfRU5UUlBSX1ZBTF9EQUlMWShOT1csLCwsVVNELCdESUwnKQ==&amp;WINDOW=FIRST_POPUP&amp;HEIGHT=450&amp;WI","DTH=450&amp;START_MAXIMIZED=FALSE&amp;VAR:CALENDAR=US&amp;VAR:SYMBOL=WXS&amp;VAR:INDEX=0"}</definedName>
    <definedName name="_431__FDSAUDITLINK__" hidden="1">{"fdsup://directions/FAT Viewer?action=UPDATE&amp;creator=factset&amp;DYN_ARGS=TRUE&amp;DOC_NAME=FAT:FQL_AUDITING_CLIENT_TEMPLATE.FAT&amp;display_string=Audit&amp;VAR:KEY=ODKFORGTOL&amp;VAR:QUERY=RkZfRU5UUlBSX1ZBTF9EQUlMWShOT1csLCwsVVNELCdESUwnKQ==&amp;WINDOW=FIRST_POPUP&amp;HEIGHT=450&amp;WI","DTH=450&amp;START_MAXIMIZED=FALSE&amp;VAR:CALENDAR=US&amp;VAR:SYMBOL=HPY&amp;VAR:INDEX=0"}</definedName>
    <definedName name="_432__FDSAUDITLINK__" hidden="1">{"fdsup://directions/FAT Viewer?action=UPDATE&amp;creator=factset&amp;DYN_ARGS=TRUE&amp;DOC_NAME=FAT:FQL_AUDITING_CLIENT_TEMPLATE.FAT&amp;display_string=Audit&amp;VAR:KEY=MTMTENGHQJ&amp;VAR:QUERY=RkZfRU5UUlBSX1ZBTF9EQUlMWShOT1csLCwsVVNELCdESUwnKQ==&amp;WINDOW=FIRST_POPUP&amp;HEIGHT=450&amp;WI","DTH=450&amp;START_MAXIMIZED=FALSE&amp;VAR:CALENDAR=US&amp;VAR:SYMBOL=DST&amp;VAR:INDEX=0"}</definedName>
    <definedName name="_433__FDSAUDITLINK__" hidden="1">{"fdsup://directions/FAT Viewer?action=UPDATE&amp;creator=factset&amp;DYN_ARGS=TRUE&amp;DOC_NAME=FAT:FQL_AUDITING_CLIENT_TEMPLATE.FAT&amp;display_string=Audit&amp;VAR:KEY=YJALMXQVAN&amp;VAR:QUERY=RkZfRU5UUlBSX1ZBTF9EQUlMWShOT1csLCwsVVNELCdESUwnKQ==&amp;WINDOW=FIRST_POPUP&amp;HEIGHT=450&amp;WI","DTH=450&amp;START_MAXIMIZED=FALSE&amp;VAR:CALENDAR=US&amp;VAR:SYMBOL=BR&amp;VAR:INDEX=0"}</definedName>
    <definedName name="_434__FDSAUDITLINK__" hidden="1">{"fdsup://directions/FAT Viewer?action=UPDATE&amp;creator=factset&amp;DYN_ARGS=TRUE&amp;DOC_NAME=FAT:FQL_AUDITING_CLIENT_TEMPLATE.FAT&amp;display_string=Audit&amp;VAR:KEY=CPSVWBOXWJ&amp;VAR:QUERY=RkZfRU5UUlBSX1ZBTF9EQUlMWShOT1csLCwsVVNELCdESUwnKQ==&amp;WINDOW=FIRST_POPUP&amp;HEIGHT=450&amp;WI","DTH=450&amp;START_MAXIMIZED=FALSE&amp;VAR:CALENDAR=US&amp;VAR:SYMBOL=JKHY&amp;VAR:INDEX=0"}</definedName>
    <definedName name="_435__FDSAUDITLINK__" hidden="1">{"fdsup://directions/FAT Viewer?action=UPDATE&amp;creator=factset&amp;DYN_ARGS=TRUE&amp;DOC_NAME=FAT:FQL_AUDITING_CLIENT_TEMPLATE.FAT&amp;display_string=Audit&amp;VAR:KEY=ONALAZORKX&amp;VAR:QUERY=RkZfRU5UUlBSX1ZBTF9EQUlMWShOT1csLCwsVVNELCdESUwnKQ==&amp;WINDOW=FIRST_POPUP&amp;HEIGHT=450&amp;WI","DTH=450&amp;START_MAXIMIZED=FALSE&amp;VAR:CALENDAR=US&amp;VAR:SYMBOL=FISV&amp;VAR:INDEX=0"}</definedName>
    <definedName name="_436__FDSAUDITLINK__" hidden="1">{"fdsup://directions/FAT Viewer?action=UPDATE&amp;creator=factset&amp;DYN_ARGS=TRUE&amp;DOC_NAME=FAT:FQL_AUDITING_CLIENT_TEMPLATE.FAT&amp;display_string=Audit&amp;VAR:KEY=WLUXOZYPOX&amp;VAR:QUERY=RkZfRU5UUlBSX1ZBTF9EQUlMWShOT1csLCwsVVNELCdESUwnKQ==&amp;WINDOW=FIRST_POPUP&amp;HEIGHT=450&amp;WI","DTH=450&amp;START_MAXIMIZED=FALSE&amp;VAR:CALENDAR=US&amp;VAR:SYMBOL=FIS&amp;VAR:INDEX=0"}</definedName>
    <definedName name="_437__FDSAUDITLINK__" hidden="1">{"fdsup://directions/FAT Viewer?action=UPDATE&amp;creator=factset&amp;DYN_ARGS=TRUE&amp;DOC_NAME=FAT:FQL_AUDITING_CLIENT_TEMPLATE.FAT&amp;display_string=Audit&amp;VAR:KEY=ITIJMZILWL&amp;VAR:QUERY=RkZfRU5UUlBSX1ZBTF9EQUlMWShOT1csLCwsVVNELCdESUwnKQ==&amp;WINDOW=FIRST_POPUP&amp;HEIGHT=450&amp;WI","DTH=450&amp;START_MAXIMIZED=FALSE&amp;VAR:CALENDAR=US&amp;VAR:SYMBOL=WU&amp;VAR:INDEX=0"}</definedName>
    <definedName name="_438__FDSAUDITLINK__" hidden="1">{"fdsup://directions/FAT Viewer?action=UPDATE&amp;creator=factset&amp;DYN_ARGS=TRUE&amp;DOC_NAME=FAT:FQL_AUDITING_CLIENT_TEMPLATE.FAT&amp;display_string=Audit&amp;VAR:KEY=ENCNOLSTMJ&amp;VAR:QUERY=RkZfRU5UUlBSX1ZBTF9EQUlMWShOT1csLCwsVVNELCdESUwnKQ==&amp;WINDOW=FIRST_POPUP&amp;HEIGHT=450&amp;WI","DTH=450&amp;START_MAXIMIZED=FALSE&amp;VAR:CALENDAR=US&amp;VAR:SYMBOL=TSS&amp;VAR:INDEX=0"}</definedName>
    <definedName name="_439__FDSAUDITLINK__" hidden="1">{"fdsup://directions/FAT Viewer?action=UPDATE&amp;creator=factset&amp;DYN_ARGS=TRUE&amp;DOC_NAME=FAT:FQL_AUDITING_CLIENT_TEMPLATE.FAT&amp;display_string=Audit&amp;VAR:KEY=CNKPKXGNAP&amp;VAR:QUERY=RkZfRU5UUlBSX1ZBTF9EQUlMWShOT1csLCwsVVNELCdESUwnKQ==&amp;WINDOW=FIRST_POPUP&amp;HEIGHT=450&amp;WI","DTH=450&amp;START_MAXIMIZED=FALSE&amp;VAR:CALENDAR=US&amp;VAR:SYMBOL=GPN&amp;VAR:INDEX=0"}</definedName>
    <definedName name="_44__FDSAUDITLINK__"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44__FDSAUDITLINK___1"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44__FDSAUDITLINK___2"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440__FDSAUDITLINK__" hidden="1">{"fdsup://directions/FAT Viewer?action=UPDATE&amp;creator=factset&amp;DYN_ARGS=TRUE&amp;DOC_NAME=FAT:FQL_AUDITING_CLIENT_TEMPLATE.FAT&amp;display_string=Audit&amp;VAR:KEY=EFIHYRCFUF&amp;VAR:QUERY=RkZfRU5UUlBSX1ZBTF9EQUlMWShOT1csLCwsVVNELCdESUwnKQ==&amp;WINDOW=FIRST_POPUP&amp;HEIGHT=450&amp;WI","DTH=450&amp;START_MAXIMIZED=FALSE&amp;VAR:CALENDAR=US&amp;VAR:SYMBOL=V&amp;VAR:INDEX=0"}</definedName>
    <definedName name="_441__FDSAUDITLINK__" hidden="1">{"fdsup://directions/FAT Viewer?action=UPDATE&amp;creator=factset&amp;DYN_ARGS=TRUE&amp;DOC_NAME=FAT:FQL_AUDITING_CLIENT_TEMPLATE.FAT&amp;display_string=Audit&amp;VAR:KEY=IDGTMJWTYP&amp;VAR:QUERY=RkZfRU5UUlBSX1ZBTF9EQUlMWShOT1csLCwsVVNELCdESUwnKQ==&amp;WINDOW=FIRST_POPUP&amp;HEIGHT=450&amp;WI","DTH=450&amp;START_MAXIMIZED=FALSE&amp;VAR:CALENDAR=US&amp;VAR:SYMBOL=MA&amp;VAR:INDEX=0"}</definedName>
    <definedName name="_442__FDSAUDITLINK__" hidden="1">{"fdsup://directions/FAT Viewer?action=UPDATE&amp;creator=factset&amp;DYN_ARGS=TRUE&amp;DOC_NAME=FAT:FQL_AUDITING_CLIENT_TEMPLATE.FAT&amp;display_string=Audit&amp;VAR:KEY=WLQZQXOPSL&amp;VAR:QUERY=RkZfRU5UUlBSX1ZBTF9EQUlMWShOT1csLCwsVVNELCdESUwnKQ==&amp;WINDOW=FIRST_POPUP&amp;HEIGHT=450&amp;WI","DTH=450&amp;START_MAXIMIZED=FALSE&amp;VAR:CALENDAR=US&amp;VAR:SYMBOL=PAYX&amp;VAR:INDEX=0"}</definedName>
    <definedName name="_443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444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445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446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447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448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449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45__FDSAUDITLINK__"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5__FDSAUDITLINK___1"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5__FDSAUDITLINK___2"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450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451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452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453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454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455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456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457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458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459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46__FDSAUDITLINK__"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6__FDSAUDITLINK___1"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6__FDSAUDITLINK___2"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60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461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462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463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464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465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466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467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468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469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47__FDSAUDITLINK__" hidden="1">{"fdsup://directions/FAT Viewer?action=UPDATE&amp;creator=factset&amp;DYN_ARGS=TRUE&amp;DOC_NAME=FAT:FQL_AUDITING_CLIENT_TEMPLATE.FAT&amp;display_string=Audit&amp;VAR:KEY=QJQXAFAHUH&amp;VAR:QUERY=RkZfU0hMRFJTX0VRKEFOTiwwKQ==&amp;WINDOW=FIRST_POPUP&amp;HEIGHT=450&amp;WIDTH=450&amp;START_MAXIMIZED=","FALSE&amp;VAR:CALENDAR=US&amp;VAR:SYMBOL=GRFS&amp;VAR:INDEX=0"}</definedName>
    <definedName name="_47__FDSAUDITLINK___1" hidden="1">{"fdsup://directions/FAT Viewer?action=UPDATE&amp;creator=factset&amp;DYN_ARGS=TRUE&amp;DOC_NAME=FAT:FQL_AUDITING_CLIENT_TEMPLATE.FAT&amp;display_string=Audit&amp;VAR:KEY=QJQXAFAHUH&amp;VAR:QUERY=RkZfU0hMRFJTX0VRKEFOTiwwKQ==&amp;WINDOW=FIRST_POPUP&amp;HEIGHT=450&amp;WIDTH=450&amp;START_MAXIMIZED=","FALSE&amp;VAR:CALENDAR=US&amp;VAR:SYMBOL=GRFS&amp;VAR:INDEX=0"}</definedName>
    <definedName name="_47__FDSAUDITLINK___2" hidden="1">{"fdsup://directions/FAT Viewer?action=UPDATE&amp;creator=factset&amp;DYN_ARGS=TRUE&amp;DOC_NAME=FAT:FQL_AUDITING_CLIENT_TEMPLATE.FAT&amp;display_string=Audit&amp;VAR:KEY=QJQXAFAHUH&amp;VAR:QUERY=RkZfU0hMRFJTX0VRKEFOTiwwKQ==&amp;WINDOW=FIRST_POPUP&amp;HEIGHT=450&amp;WIDTH=450&amp;START_MAXIMIZED=","FALSE&amp;VAR:CALENDAR=US&amp;VAR:SYMBOL=GRFS&amp;VAR:INDEX=0"}</definedName>
    <definedName name="_470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471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472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473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474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475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476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477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478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479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48__FDSAUDITLINK__"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8__FDSAUDITLINK___1"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8__FDSAUDITLINK___2" hidden="1">{"fdsup://directions/FAT Viewer?action=UPDATE&amp;creator=factset&amp;DYN_ARGS=TRUE&amp;DOC_NAME=FAT:FQL_AUDITING_CLIENT_TEMPLATE.FAT&amp;display_string=Audit&amp;VAR:KEY=ODYTGVKRIB&amp;VAR:QUERY=RkZfREVCVChBTk4sMCk=&amp;WINDOW=FIRST_POPUP&amp;HEIGHT=450&amp;WIDTH=450&amp;START_MAXIMIZED=FALSE&amp;VA","R:CALENDAR=US&amp;VAR:SYMBOL=GRFS&amp;VAR:INDEX=0"}</definedName>
    <definedName name="_480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481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482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483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484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485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486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487__FDSAUDITLINK__" hidden="1">{"fdsup://directions/FAT Viewer?action=UPDATE&amp;creator=factset&amp;DYN_ARGS=TRUE&amp;DOC_NAME=FAT:FQL_AUDITING_CLIENT_TEMPLATE.FAT&amp;display_string=Audit&amp;VAR:KEY=MRYBWBOJOL&amp;VAR:QUERY=RkZfRU5UUlBSX1ZBTF9EQUlMWShOT1csLCwsVVNELCdESUwnKQ==&amp;WINDOW=FIRST_POPUP&amp;HEIGHT=450&amp;WI","DTH=450&amp;START_MAXIMIZED=FALSE&amp;VAR:CALENDAR=US&amp;VAR:SYMBOL=GOOG&amp;VAR:INDEX=0"}</definedName>
    <definedName name="_488__FDSAUDITLINK__" hidden="1">{"fdsup://directions/FAT Viewer?action=UPDATE&amp;creator=factset&amp;DYN_ARGS=TRUE&amp;DOC_NAME=FAT:FQL_AUDITING_CLIENT_TEMPLATE.FAT&amp;display_string=Audit&amp;VAR:KEY=CTIJCPIFEX&amp;VAR:QUERY=RkZfRU5UUlBSX1ZBTF9EQUlMWShOT1csLCwsVVNELCdESUwnKQ==&amp;WINDOW=FIRST_POPUP&amp;HEIGHT=450&amp;WI","DTH=450&amp;START_MAXIMIZED=FALSE&amp;VAR:CALENDAR=US&amp;VAR:SYMBOL=AAPL&amp;VAR:INDEX=0"}</definedName>
    <definedName name="_489__FDSAUDITLINK__" hidden="1">{"fdsup://directions/FAT Viewer?action=UPDATE&amp;creator=factset&amp;DYN_ARGS=TRUE&amp;DOC_NAME=FAT:FQL_AUDITING_CLIENT_TEMPLATE.FAT&amp;display_string=Audit&amp;VAR:KEY=ARGHIFUXYX&amp;VAR:QUERY=RkZfRU5UUlBSX1ZBTF9EQUlMWShOT1csLCwsVVNELCdESUwnKQ==&amp;WINDOW=FIRST_POPUP&amp;HEIGHT=450&amp;WI","DTH=450&amp;START_MAXIMIZED=FALSE&amp;VAR:CALENDAR=US&amp;VAR:SYMBOL=FFIV&amp;VAR:INDEX=0"}</definedName>
    <definedName name="_49__FDSAUDITLINK__"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49__FDSAUDITLINK___1"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49__FDSAUDITLINK___2"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490__FDSAUDITLINK__" hidden="1">{"fdsup://directions/FAT Viewer?action=UPDATE&amp;creator=factset&amp;DYN_ARGS=TRUE&amp;DOC_NAME=FAT:FQL_AUDITING_CLIENT_TEMPLATE.FAT&amp;display_string=Audit&amp;VAR:KEY=WDMBQBOZUZ&amp;VAR:QUERY=RkZfRU5UUlBSX1ZBTF9EQUlMWShOT1csLCwsVVNELCdESUwnKQ==&amp;WINDOW=FIRST_POPUP&amp;HEIGHT=450&amp;WI","DTH=450&amp;START_MAXIMIZED=FALSE&amp;VAR:CALENDAR=US&amp;VAR:SYMBOL=NFLX&amp;VAR:INDEX=0"}</definedName>
    <definedName name="_491__FDSAUDITLINK__" hidden="1">{"fdsup://directions/FAT Viewer?action=UPDATE&amp;creator=factset&amp;DYN_ARGS=TRUE&amp;DOC_NAME=FAT:FQL_AUDITING_CLIENT_TEMPLATE.FAT&amp;display_string=Audit&amp;VAR:KEY=ADAPWNQBSX&amp;VAR:QUERY=RkZfRU5UUlBSX1ZBTF9EQUlMWShOT1csLCwsVVNELCdESUwnKQ==&amp;WINDOW=FIRST_POPUP&amp;HEIGHT=450&amp;WI","DTH=450&amp;START_MAXIMIZED=FALSE&amp;VAR:CALENDAR=US&amp;VAR:SYMBOL=BIDU&amp;VAR:INDEX=0"}</definedName>
    <definedName name="_492__FDSAUDITLINK__" hidden="1">{"fdsup://directions/FAT Viewer?action=UPDATE&amp;creator=factset&amp;DYN_ARGS=TRUE&amp;DOC_NAME=FAT:FQL_AUDITING_CLIENT_TEMPLATE.FAT&amp;display_string=Audit&amp;VAR:KEY=KNAXUNMPKX&amp;VAR:QUERY=RkZfRU5UUlBSX1ZBTF9EQUlMWShOT1csLCwsVVNELCdESUwnKQ==&amp;WINDOW=FIRST_POPUP&amp;HEIGHT=450&amp;WI","DTH=450&amp;START_MAXIMIZED=FALSE&amp;VAR:CALENDAR=US&amp;VAR:SYMBOL=PCLN&amp;VAR:INDEX=0"}</definedName>
    <definedName name="_493__FDSAUDITLINK__" hidden="1">{"fdsup://directions/FAT Viewer?action=UPDATE&amp;creator=factset&amp;DYN_ARGS=TRUE&amp;DOC_NAME=FAT:FQL_AUDITING_CLIENT_TEMPLATE.FAT&amp;display_string=Audit&amp;VAR:KEY=WDGVOLYTCL&amp;VAR:QUERY=RkZfRU5UUlBSX1ZBTF9EQUlMWShOT1csLCwsVVNELCdESUwnKQ==&amp;WINDOW=FIRST_POPUP&amp;HEIGHT=450&amp;WI","DTH=450&amp;START_MAXIMIZED=FALSE&amp;VAR:CALENDAR=US&amp;VAR:SYMBOL=AMZN&amp;VAR:INDEX=0"}</definedName>
    <definedName name="_494__FDSAUDITLINK__" hidden="1">{"fdsup://directions/FAT Viewer?action=UPDATE&amp;creator=factset&amp;DYN_ARGS=TRUE&amp;DOC_NAME=FAT:FQL_AUDITING_CLIENT_TEMPLATE.FAT&amp;display_string=Audit&amp;VAR:KEY=KPKPULKZIV&amp;VAR:QUERY=RkZfRU5UUlBSX1ZBTF9EQUlMWShOT1csLCwsVVNELCdESUwnKQ==&amp;WINDOW=FIRST_POPUP&amp;HEIGHT=450&amp;WI","DTH=450&amp;START_MAXIMIZED=FALSE&amp;VAR:CALENDAR=US&amp;VAR:SYMBOL=CRM&amp;VAR:INDEX=0"}</definedName>
    <definedName name="_495__FDSAUDITLINK__" hidden="1">{"fdsup://directions/FAT Viewer?action=UPDATE&amp;creator=factset&amp;DYN_ARGS=TRUE&amp;DOC_NAME=FAT:FQL_AUDITING_CLIENT_TEMPLATE.FAT&amp;display_string=Audit&amp;VAR:KEY=QDYXSHQZWD&amp;VAR:QUERY=RkZfRU5UUlBSX1ZBTF9EQUlMWShOT1csLCwsVVNELCdESUwnKQ==&amp;WINDOW=FIRST_POPUP&amp;HEIGHT=450&amp;WI","DTH=450&amp;START_MAXIMIZED=FALSE&amp;VAR:CALENDAR=US&amp;VAR:SYMBOL=CTXS&amp;VAR:INDEX=0"}</definedName>
    <definedName name="_496__FDSAUDITLINK__" hidden="1">{"fdsup://directions/FAT Viewer?action=UPDATE&amp;creator=factset&amp;DYN_ARGS=TRUE&amp;DOC_NAME=FAT:FQL_AUDITING_CLIENT_TEMPLATE.FAT&amp;display_string=Audit&amp;VAR:KEY=SNWZOVARCP&amp;VAR:QUERY=RkZfRU5UUlBSX1ZBTF9EQUlMWShOT1csLCwsVVNELCdESUwnKQ==&amp;WINDOW=FIRST_POPUP&amp;HEIGHT=450&amp;WI","DTH=450&amp;START_MAXIMIZED=FALSE&amp;VAR:CALENDAR=US&amp;VAR:SYMBOL=VMW&amp;VAR:INDEX=0"}</definedName>
    <definedName name="_497__FDSAUDITLINK__" hidden="1">{"fdsup://directions/FAT Viewer?action=UPDATE&amp;creator=factset&amp;DYN_ARGS=TRUE&amp;DOC_NAME=FAT:FQL_AUDITING_CLIENT_TEMPLATE.FAT&amp;display_string=Audit&amp;VAR:KEY=GZEZYBOPYN&amp;VAR:QUERY=RkZfRU5UUlBSX1ZBTF9EQUlMWShOT1csLCwsVVNELCdESUwnKQ==&amp;WINDOW=FIRST_POPUP&amp;HEIGHT=450&amp;WI","DTH=450&amp;START_MAXIMIZED=FALSE&amp;VAR:CALENDAR=US&amp;VAR:SYMBOL=ONE&amp;VAR:INDEX=0"}</definedName>
    <definedName name="_498__FDSAUDITLINK__" hidden="1">{"fdsup://directions/FAT Viewer?action=UPDATE&amp;creator=factset&amp;DYN_ARGS=TRUE&amp;DOC_NAME=FAT:FQL_AUDITING_CLIENT_TEMPLATE.FAT&amp;display_string=Audit&amp;VAR:KEY=SDQFEFWTGV&amp;VAR:QUERY=RkZfRU5UUlBSX1ZBTF9EQUlMWShOT1csLCwsVVNELCdESUwnKQ==&amp;WINDOW=FIRST_POPUP&amp;HEIGHT=450&amp;WI","DTH=450&amp;START_MAXIMIZED=FALSE&amp;VAR:CALENDAR=US&amp;VAR:SYMBOL=FNGN&amp;VAR:INDEX=0"}</definedName>
    <definedName name="_499__FDSAUDITLINK__" hidden="1">{"fdsup://directions/FAT Viewer?action=UPDATE&amp;creator=factset&amp;DYN_ARGS=TRUE&amp;DOC_NAME=FAT:FQL_AUDITING_CLIENT_TEMPLATE.FAT&amp;display_string=Audit&amp;VAR:KEY=MXEZQRUVAN&amp;VAR:QUERY=RkZfRU5UUlBSX1ZBTF9EQUlMWShOT1csLCwsVVNELCdESUwnKQ==&amp;WINDOW=FIRST_POPUP&amp;HEIGHT=450&amp;WI","DTH=450&amp;START_MAXIMIZED=FALSE&amp;VAR:CALENDAR=US&amp;VAR:SYMBOL=NTSP&amp;VAR:INDEX=0"}</definedName>
    <definedName name="_5__FDSAUDITLINK__" hidden="1">{"fdsup://directions/FAT Viewer?action=UPDATE&amp;creator=factset&amp;DYN_ARGS=TRUE&amp;DOC_NAME=FAT:FQL_AUDITING_CLIENT_TEMPLATE.FAT&amp;display_string=Audit&amp;VAR:KEY=CZONIFIPEV&amp;VAR:QUERY=RkZfU0hMRFJTX0VRKEFOTiwwKQ==&amp;WINDOW=FIRST_POPUP&amp;HEIGHT=450&amp;WIDTH=450&amp;START_MAXIMIZED=","FALSE&amp;VAR:CALENDAR=US&amp;VAR:SYMBOL=HAE&amp;VAR:INDEX=0"}</definedName>
    <definedName name="_5__FDSAUDITLINK___1" hidden="1">{"fdsup://directions/FAT Viewer?action=UPDATE&amp;creator=factset&amp;DYN_ARGS=TRUE&amp;DOC_NAME=FAT:FQL_AUDITING_CLIENT_TEMPLATE.FAT&amp;display_string=Audit&amp;VAR:KEY=CZONIFIPEV&amp;VAR:QUERY=RkZfU0hMRFJTX0VRKEFOTiwwKQ==&amp;WINDOW=FIRST_POPUP&amp;HEIGHT=450&amp;WIDTH=450&amp;START_MAXIMIZED=","FALSE&amp;VAR:CALENDAR=US&amp;VAR:SYMBOL=HAE&amp;VAR:INDEX=0"}</definedName>
    <definedName name="_5__FDSAUDITLINK___2" hidden="1">{"fdsup://directions/FAT Viewer?action=UPDATE&amp;creator=factset&amp;DYN_ARGS=TRUE&amp;DOC_NAME=FAT:FQL_AUDITING_CLIENT_TEMPLATE.FAT&amp;display_string=Audit&amp;VAR:KEY=CZONIFIPEV&amp;VAR:QUERY=RkZfU0hMRFJTX0VRKEFOTiwwKQ==&amp;WINDOW=FIRST_POPUP&amp;HEIGHT=450&amp;WIDTH=450&amp;START_MAXIMIZED=","FALSE&amp;VAR:CALENDAR=US&amp;VAR:SYMBOL=HAE&amp;VAR:INDEX=0"}</definedName>
    <definedName name="_50__FDSAUDITLINK__" hidden="1">{"fdsup://directions/FAT Viewer?action=UPDATE&amp;creator=factset&amp;DYN_ARGS=TRUE&amp;DOC_NAME=FAT:FQL_AUDITING_CLIENT_TEMPLATE.FAT&amp;display_string=Audit&amp;VAR:KEY=WFGRSLKHUJ&amp;VAR:QUERY=RkZfU0hMRFJTX0VRKEFOTiwwKQ==&amp;WINDOW=FIRST_POPUP&amp;HEIGHT=450&amp;WIDTH=450&amp;START_MAXIMIZED=","FALSE&amp;VAR:CALENDAR=US&amp;VAR:SYMBOL=SYK&amp;VAR:INDEX=0"}</definedName>
    <definedName name="_50__FDSAUDITLINK___1" hidden="1">{"fdsup://directions/FAT Viewer?action=UPDATE&amp;creator=factset&amp;DYN_ARGS=TRUE&amp;DOC_NAME=FAT:FQL_AUDITING_CLIENT_TEMPLATE.FAT&amp;display_string=Audit&amp;VAR:KEY=WFGRSLKHUJ&amp;VAR:QUERY=RkZfU0hMRFJTX0VRKEFOTiwwKQ==&amp;WINDOW=FIRST_POPUP&amp;HEIGHT=450&amp;WIDTH=450&amp;START_MAXIMIZED=","FALSE&amp;VAR:CALENDAR=US&amp;VAR:SYMBOL=SYK&amp;VAR:INDEX=0"}</definedName>
    <definedName name="_50__FDSAUDITLINK___2" hidden="1">{"fdsup://directions/FAT Viewer?action=UPDATE&amp;creator=factset&amp;DYN_ARGS=TRUE&amp;DOC_NAME=FAT:FQL_AUDITING_CLIENT_TEMPLATE.FAT&amp;display_string=Audit&amp;VAR:KEY=WFGRSLKHUJ&amp;VAR:QUERY=RkZfU0hMRFJTX0VRKEFOTiwwKQ==&amp;WINDOW=FIRST_POPUP&amp;HEIGHT=450&amp;WIDTH=450&amp;START_MAXIMIZED=","FALSE&amp;VAR:CALENDAR=US&amp;VAR:SYMBOL=SYK&amp;VAR:INDEX=0"}</definedName>
    <definedName name="_500__FDSAUDITLINK__" hidden="1">{"fdsup://directions/FAT Viewer?action=UPDATE&amp;creator=factset&amp;DYN_ARGS=TRUE&amp;DOC_NAME=FAT:FQL_AUDITING_CLIENT_TEMPLATE.FAT&amp;display_string=Audit&amp;VAR:KEY=SHYFMHEPGT&amp;VAR:QUERY=RkZfRU5UUlBSX1ZBTF9EQUlMWShOT1csLCwsVVNELCdESUwnKQ==&amp;WINDOW=FIRST_POPUP&amp;HEIGHT=450&amp;WI","DTH=450&amp;START_MAXIMIZED=FALSE&amp;VAR:CALENDAR=US&amp;VAR:SYMBOL=PAY&amp;VAR:INDEX=0"}</definedName>
    <definedName name="_501__FDSAUDITLINK__" hidden="1">{"fdsup://directions/FAT Viewer?action=UPDATE&amp;creator=factset&amp;DYN_ARGS=TRUE&amp;DOC_NAME=FAT:FQL_AUDITING_CLIENT_TEMPLATE.FAT&amp;display_string=Audit&amp;VAR:KEY=AVGHODANIF&amp;VAR:QUERY=RkZfRU5UUlBSX1ZBTF9EQUlMWShOT1csLCwsVVNELCdESUwnKQ==&amp;WINDOW=FIRST_POPUP&amp;HEIGHT=450&amp;WI","DTH=450&amp;START_MAXIMIZED=FALSE&amp;VAR:CALENDAR=US&amp;VAR:SYMBOL=NCR&amp;VAR:INDEX=0"}</definedName>
    <definedName name="_502__FDSAUDITLINK__" hidden="1">{"fdsup://directions/FAT Viewer?action=UPDATE&amp;creator=factset&amp;DYN_ARGS=TRUE&amp;DOC_NAME=FAT:FQL_AUDITING_CLIENT_TEMPLATE.FAT&amp;display_string=Audit&amp;VAR:KEY=QBGDIDYNUF&amp;VAR:QUERY=RkZfRU5UUlBSX1ZBTF9EQUlMWShOT1csLCwsVVNELCdESUwnKQ==&amp;WINDOW=FIRST_POPUP&amp;HEIGHT=450&amp;WI","DTH=450&amp;START_MAXIMIZED=FALSE&amp;VAR:CALENDAR=US&amp;VAR:SYMBOL=HYC&amp;VAR:INDEX=0"}</definedName>
    <definedName name="_503__FDSAUDITLINK__" hidden="1">{"fdsup://directions/FAT Viewer?action=UPDATE&amp;creator=factset&amp;DYN_ARGS=TRUE&amp;DOC_NAME=FAT:FQL_AUDITING_CLIENT_TEMPLATE.FAT&amp;display_string=Audit&amp;VAR:KEY=OJQLWZUHAR&amp;VAR:QUERY=RkZfRU5UUlBSX1ZBTF9EQUlMWShOT1csLCwsVVNELCdESUwnKQ==&amp;WINDOW=FIRST_POPUP&amp;HEIGHT=450&amp;WI","DTH=450&amp;START_MAXIMIZED=FALSE&amp;VAR:CALENDAR=US&amp;VAR:SYMBOL=DBD&amp;VAR:INDEX=0"}</definedName>
    <definedName name="_504__FDSAUDITLINK__" hidden="1">{"fdsup://directions/FAT Viewer?action=UPDATE&amp;creator=factset&amp;DYN_ARGS=TRUE&amp;DOC_NAME=FAT:FQL_AUDITING_CLIENT_TEMPLATE.FAT&amp;display_string=Audit&amp;VAR:KEY=KVOLOVAZIZ&amp;VAR:QUERY=RkZfRU5UUlBSX1ZBTF9EQUlMWShOT1csLCwsVVNELCdESUwnKQ==&amp;WINDOW=FIRST_POPUP&amp;HEIGHT=450&amp;WI","DTH=450&amp;START_MAXIMIZED=FALSE&amp;VAR:CALENDAR=US&amp;VAR:SYMBOL=MCRS&amp;VAR:INDEX=0"}</definedName>
    <definedName name="_505__FDSAUDITLINK__" hidden="1">{"fdsup://directions/FAT Viewer?action=UPDATE&amp;creator=factset&amp;DYN_ARGS=TRUE&amp;DOC_NAME=FAT:FQL_AUDITING_CLIENT_TEMPLATE.FAT&amp;display_string=Audit&amp;VAR:KEY=KZOTANQPGV&amp;VAR:QUERY=RkZfRU5UUlBSX1ZBTF9EQUlMWShOT1csLCwsVVNELCdESUwnKQ==&amp;WINDOW=FIRST_POPUP&amp;HEIGHT=450&amp;WI","DTH=450&amp;START_MAXIMIZED=FALSE&amp;VAR:CALENDAR=US&amp;VAR:SYMBOL=FIC&amp;VAR:INDEX=0"}</definedName>
    <definedName name="_506__FDSAUDITLINK__" hidden="1">{"fdsup://directions/FAT Viewer?action=UPDATE&amp;creator=factset&amp;DYN_ARGS=TRUE&amp;DOC_NAME=FAT:FQL_AUDITING_CLIENT_TEMPLATE.FAT&amp;display_string=Audit&amp;VAR:KEY=QXILSTWXCP&amp;VAR:QUERY=RkZfRU5UUlBSX1ZBTF9EQUlMWShOT1csLCwsVVNELCdESUwnKQ==&amp;WINDOW=FIRST_POPUP&amp;HEIGHT=450&amp;WI","DTH=450&amp;START_MAXIMIZED=FALSE&amp;VAR:CALENDAR=US&amp;VAR:SYMBOL=EFX&amp;VAR:INDEX=0"}</definedName>
    <definedName name="_507__FDSAUDITLINK__" hidden="1">{"fdsup://directions/FAT Viewer?action=UPDATE&amp;creator=factset&amp;DYN_ARGS=TRUE&amp;DOC_NAME=FAT:FQL_AUDITING_CLIENT_TEMPLATE.FAT&amp;display_string=Audit&amp;VAR:KEY=IZMPGVCDUZ&amp;VAR:QUERY=RkZfRU5UUlBSX1ZBTF9EQUlMWShOT1csLCwsVVNELCdESUwnKQ==&amp;WINDOW=FIRST_POPUP&amp;HEIGHT=450&amp;WI","DTH=450&amp;START_MAXIMIZED=FALSE&amp;VAR:CALENDAR=US&amp;VAR:SYMBOL=MGI&amp;VAR:INDEX=0"}</definedName>
    <definedName name="_508__FDSAUDITLINK__" hidden="1">{"fdsup://directions/FAT Viewer?action=UPDATE&amp;creator=factset&amp;DYN_ARGS=TRUE&amp;DOC_NAME=FAT:FQL_AUDITING_CLIENT_TEMPLATE.FAT&amp;display_string=Audit&amp;VAR:KEY=WXKDIFGZOV&amp;VAR:QUERY=RkZfRU5UUlBSX1ZBTF9EQUlMWShOT1csLCwsVVNELCdESUwnKQ==&amp;WINDOW=FIRST_POPUP&amp;HEIGHT=450&amp;WI","DTH=450&amp;START_MAXIMIZED=FALSE&amp;VAR:CALENDAR=US&amp;VAR:SYMBOL=EEFT&amp;VAR:INDEX=0"}</definedName>
    <definedName name="_509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51__FDSAUDITLINK__"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51__FDSAUDITLINK___1"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51__FDSAUDITLINK___2" hidden="1">{"fdsup://directions/FAT Viewer?action=UPDATE&amp;creator=factset&amp;DYN_ARGS=TRUE&amp;DOC_NAME=FAT:FQL_AUDITING_CLIENT_TEMPLATE.FAT&amp;display_string=Audit&amp;VAR:KEY=GNIPCHATSZ&amp;VAR:QUERY=RkZfREVCVChBTk4sMCk=&amp;WINDOW=FIRST_POPUP&amp;HEIGHT=450&amp;WIDTH=450&amp;START_MAXIMIZED=FALSE&amp;VA","R:CALENDAR=US&amp;VAR:SYMBOL=SYK&amp;VAR:INDEX=0"}</definedName>
    <definedName name="_510__FDSAUDITLINK__" hidden="1">{"fdsup://directions/FAT Viewer?action=UPDATE&amp;creator=factset&amp;DYN_ARGS=TRUE&amp;DOC_NAME=FAT:FQL_AUDITING_CLIENT_TEMPLATE.FAT&amp;display_string=Audit&amp;VAR:KEY=CZYNODCVEX&amp;VAR:QUERY=RkZfRU5UUlBSX1ZBTF9EQUlMWShOT1csLCwsVVNELCdESUwnKQ==&amp;WINDOW=FIRST_POPUP&amp;HEIGHT=450&amp;WI","DTH=450&amp;START_MAXIMIZED=FALSE&amp;VAR:CALENDAR=US&amp;VAR:SYMBOL=ADS&amp;VAR:INDEX=0"}</definedName>
    <definedName name="_511__FDSAUDITLINK__" hidden="1">{"fdsup://directions/FAT Viewer?action=UPDATE&amp;creator=factset&amp;DYN_ARGS=TRUE&amp;DOC_NAME=FAT:FQL_AUDITING_CLIENT_TEMPLATE.FAT&amp;display_string=Audit&amp;VAR:KEY=IZIHWZAZGB&amp;VAR:QUERY=RkZfRU5UUlBSX1ZBTF9EQUlMWShOT1csLCwsVVNELCdESUwnKQ==&amp;WINDOW=FIRST_POPUP&amp;HEIGHT=450&amp;WI","DTH=450&amp;START_MAXIMIZED=FALSE&amp;VAR:CALENDAR=US&amp;VAR:SYMBOL=WXS&amp;VAR:INDEX=0"}</definedName>
    <definedName name="_512__FDSAUDITLINK__" hidden="1">{"fdsup://directions/FAT Viewer?action=UPDATE&amp;creator=factset&amp;DYN_ARGS=TRUE&amp;DOC_NAME=FAT:FQL_AUDITING_CLIENT_TEMPLATE.FAT&amp;display_string=Audit&amp;VAR:KEY=ODKFORGTOL&amp;VAR:QUERY=RkZfRU5UUlBSX1ZBTF9EQUlMWShOT1csLCwsVVNELCdESUwnKQ==&amp;WINDOW=FIRST_POPUP&amp;HEIGHT=450&amp;WI","DTH=450&amp;START_MAXIMIZED=FALSE&amp;VAR:CALENDAR=US&amp;VAR:SYMBOL=HPY&amp;VAR:INDEX=0"}</definedName>
    <definedName name="_513__FDSAUDITLINK__" hidden="1">{"fdsup://directions/FAT Viewer?action=UPDATE&amp;creator=factset&amp;DYN_ARGS=TRUE&amp;DOC_NAME=FAT:FQL_AUDITING_CLIENT_TEMPLATE.FAT&amp;display_string=Audit&amp;VAR:KEY=MTMTENGHQJ&amp;VAR:QUERY=RkZfRU5UUlBSX1ZBTF9EQUlMWShOT1csLCwsVVNELCdESUwnKQ==&amp;WINDOW=FIRST_POPUP&amp;HEIGHT=450&amp;WI","DTH=450&amp;START_MAXIMIZED=FALSE&amp;VAR:CALENDAR=US&amp;VAR:SYMBOL=DST&amp;VAR:INDEX=0"}</definedName>
    <definedName name="_514__FDSAUDITLINK__" hidden="1">{"fdsup://directions/FAT Viewer?action=UPDATE&amp;creator=factset&amp;DYN_ARGS=TRUE&amp;DOC_NAME=FAT:FQL_AUDITING_CLIENT_TEMPLATE.FAT&amp;display_string=Audit&amp;VAR:KEY=YJALMXQVAN&amp;VAR:QUERY=RkZfRU5UUlBSX1ZBTF9EQUlMWShOT1csLCwsVVNELCdESUwnKQ==&amp;WINDOW=FIRST_POPUP&amp;HEIGHT=450&amp;WI","DTH=450&amp;START_MAXIMIZED=FALSE&amp;VAR:CALENDAR=US&amp;VAR:SYMBOL=BR&amp;VAR:INDEX=0"}</definedName>
    <definedName name="_515__FDSAUDITLINK__" hidden="1">{"fdsup://directions/FAT Viewer?action=UPDATE&amp;creator=factset&amp;DYN_ARGS=TRUE&amp;DOC_NAME=FAT:FQL_AUDITING_CLIENT_TEMPLATE.FAT&amp;display_string=Audit&amp;VAR:KEY=CPSVWBOXWJ&amp;VAR:QUERY=RkZfRU5UUlBSX1ZBTF9EQUlMWShOT1csLCwsVVNELCdESUwnKQ==&amp;WINDOW=FIRST_POPUP&amp;HEIGHT=450&amp;WI","DTH=450&amp;START_MAXIMIZED=FALSE&amp;VAR:CALENDAR=US&amp;VAR:SYMBOL=JKHY&amp;VAR:INDEX=0"}</definedName>
    <definedName name="_516__FDSAUDITLINK__" hidden="1">{"fdsup://directions/FAT Viewer?action=UPDATE&amp;creator=factset&amp;DYN_ARGS=TRUE&amp;DOC_NAME=FAT:FQL_AUDITING_CLIENT_TEMPLATE.FAT&amp;display_string=Audit&amp;VAR:KEY=ONALAZORKX&amp;VAR:QUERY=RkZfRU5UUlBSX1ZBTF9EQUlMWShOT1csLCwsVVNELCdESUwnKQ==&amp;WINDOW=FIRST_POPUP&amp;HEIGHT=450&amp;WI","DTH=450&amp;START_MAXIMIZED=FALSE&amp;VAR:CALENDAR=US&amp;VAR:SYMBOL=FISV&amp;VAR:INDEX=0"}</definedName>
    <definedName name="_517__FDSAUDITLINK__" hidden="1">{"fdsup://directions/FAT Viewer?action=UPDATE&amp;creator=factset&amp;DYN_ARGS=TRUE&amp;DOC_NAME=FAT:FQL_AUDITING_CLIENT_TEMPLATE.FAT&amp;display_string=Audit&amp;VAR:KEY=WLUXOZYPOX&amp;VAR:QUERY=RkZfRU5UUlBSX1ZBTF9EQUlMWShOT1csLCwsVVNELCdESUwnKQ==&amp;WINDOW=FIRST_POPUP&amp;HEIGHT=450&amp;WI","DTH=450&amp;START_MAXIMIZED=FALSE&amp;VAR:CALENDAR=US&amp;VAR:SYMBOL=FIS&amp;VAR:INDEX=0"}</definedName>
    <definedName name="_518__FDSAUDITLINK__" hidden="1">{"fdsup://directions/FAT Viewer?action=UPDATE&amp;creator=factset&amp;DYN_ARGS=TRUE&amp;DOC_NAME=FAT:FQL_AUDITING_CLIENT_TEMPLATE.FAT&amp;display_string=Audit&amp;VAR:KEY=ITIJMZILWL&amp;VAR:QUERY=RkZfRU5UUlBSX1ZBTF9EQUlMWShOT1csLCwsVVNELCdESUwnKQ==&amp;WINDOW=FIRST_POPUP&amp;HEIGHT=450&amp;WI","DTH=450&amp;START_MAXIMIZED=FALSE&amp;VAR:CALENDAR=US&amp;VAR:SYMBOL=WU&amp;VAR:INDEX=0"}</definedName>
    <definedName name="_519__FDSAUDITLINK__" hidden="1">{"fdsup://directions/FAT Viewer?action=UPDATE&amp;creator=factset&amp;DYN_ARGS=TRUE&amp;DOC_NAME=FAT:FQL_AUDITING_CLIENT_TEMPLATE.FAT&amp;display_string=Audit&amp;VAR:KEY=ENCNOLSTMJ&amp;VAR:QUERY=RkZfRU5UUlBSX1ZBTF9EQUlMWShOT1csLCwsVVNELCdESUwnKQ==&amp;WINDOW=FIRST_POPUP&amp;HEIGHT=450&amp;WI","DTH=450&amp;START_MAXIMIZED=FALSE&amp;VAR:CALENDAR=US&amp;VAR:SYMBOL=TSS&amp;VAR:INDEX=0"}</definedName>
    <definedName name="_52__FDSAUDITLINK__"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2__FDSAUDITLINK___1"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2__FDSAUDITLINK___2"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20__FDSAUDITLINK__" hidden="1">{"fdsup://directions/FAT Viewer?action=UPDATE&amp;creator=factset&amp;DYN_ARGS=TRUE&amp;DOC_NAME=FAT:FQL_AUDITING_CLIENT_TEMPLATE.FAT&amp;display_string=Audit&amp;VAR:KEY=CNKPKXGNAP&amp;VAR:QUERY=RkZfRU5UUlBSX1ZBTF9EQUlMWShOT1csLCwsVVNELCdESUwnKQ==&amp;WINDOW=FIRST_POPUP&amp;HEIGHT=450&amp;WI","DTH=450&amp;START_MAXIMIZED=FALSE&amp;VAR:CALENDAR=US&amp;VAR:SYMBOL=GPN&amp;VAR:INDEX=0"}</definedName>
    <definedName name="_521__FDSAUDITLINK__" hidden="1">{"fdsup://directions/FAT Viewer?action=UPDATE&amp;creator=factset&amp;DYN_ARGS=TRUE&amp;DOC_NAME=FAT:FQL_AUDITING_CLIENT_TEMPLATE.FAT&amp;display_string=Audit&amp;VAR:KEY=EFIHYRCFUF&amp;VAR:QUERY=RkZfRU5UUlBSX1ZBTF9EQUlMWShOT1csLCwsVVNELCdESUwnKQ==&amp;WINDOW=FIRST_POPUP&amp;HEIGHT=450&amp;WI","DTH=450&amp;START_MAXIMIZED=FALSE&amp;VAR:CALENDAR=US&amp;VAR:SYMBOL=V&amp;VAR:INDEX=0"}</definedName>
    <definedName name="_522__FDSAUDITLINK__" hidden="1">{"fdsup://directions/FAT Viewer?action=UPDATE&amp;creator=factset&amp;DYN_ARGS=TRUE&amp;DOC_NAME=FAT:FQL_AUDITING_CLIENT_TEMPLATE.FAT&amp;display_string=Audit&amp;VAR:KEY=IDGTMJWTYP&amp;VAR:QUERY=RkZfRU5UUlBSX1ZBTF9EQUlMWShOT1csLCwsVVNELCdESUwnKQ==&amp;WINDOW=FIRST_POPUP&amp;HEIGHT=450&amp;WI","DTH=450&amp;START_MAXIMIZED=FALSE&amp;VAR:CALENDAR=US&amp;VAR:SYMBOL=MA&amp;VAR:INDEX=0"}</definedName>
    <definedName name="_523__FDSAUDITLINK__" hidden="1">{"fdsup://directions/FAT Viewer?action=UPDATE&amp;creator=factset&amp;DYN_ARGS=TRUE&amp;DOC_NAME=FAT:FQL_AUDITING_CLIENT_TEMPLATE.FAT&amp;display_string=Audit&amp;VAR:KEY=WLQZQXOPSL&amp;VAR:QUERY=RkZfRU5UUlBSX1ZBTF9EQUlMWShOT1csLCwsVVNELCdESUwnKQ==&amp;WINDOW=FIRST_POPUP&amp;HEIGHT=450&amp;WI","DTH=450&amp;START_MAXIMIZED=FALSE&amp;VAR:CALENDAR=US&amp;VAR:SYMBOL=PAYX&amp;VAR:INDEX=0"}</definedName>
    <definedName name="_524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525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526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527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528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529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53__FDSAUDITLINK__" hidden="1">{"fdsup://directions/FAT Viewer?action=UPDATE&amp;creator=factset&amp;DYN_ARGS=TRUE&amp;DOC_NAME=FAT:FQL_AUDITING_CLIENT_TEMPLATE.FAT&amp;display_string=Audit&amp;VAR:KEY=UPALKLADUR&amp;VAR:QUERY=RkZfU0hMRFJTX0VRKEFOTiwwKQ==&amp;WINDOW=FIRST_POPUP&amp;HEIGHT=450&amp;WIDTH=450&amp;START_MAXIMIZED=","FALSE&amp;VAR:CALENDAR=US&amp;VAR:SYMBOL=G2554F11&amp;VAR:INDEX=0"}</definedName>
    <definedName name="_53__FDSAUDITLINK___1" hidden="1">{"fdsup://directions/FAT Viewer?action=UPDATE&amp;creator=factset&amp;DYN_ARGS=TRUE&amp;DOC_NAME=FAT:FQL_AUDITING_CLIENT_TEMPLATE.FAT&amp;display_string=Audit&amp;VAR:KEY=UPALKLADUR&amp;VAR:QUERY=RkZfU0hMRFJTX0VRKEFOTiwwKQ==&amp;WINDOW=FIRST_POPUP&amp;HEIGHT=450&amp;WIDTH=450&amp;START_MAXIMIZED=","FALSE&amp;VAR:CALENDAR=US&amp;VAR:SYMBOL=G2554F11&amp;VAR:INDEX=0"}</definedName>
    <definedName name="_53__FDSAUDITLINK___2" hidden="1">{"fdsup://directions/FAT Viewer?action=UPDATE&amp;creator=factset&amp;DYN_ARGS=TRUE&amp;DOC_NAME=FAT:FQL_AUDITING_CLIENT_TEMPLATE.FAT&amp;display_string=Audit&amp;VAR:KEY=UPALKLADUR&amp;VAR:QUERY=RkZfU0hMRFJTX0VRKEFOTiwwKQ==&amp;WINDOW=FIRST_POPUP&amp;HEIGHT=450&amp;WIDTH=450&amp;START_MAXIMIZED=","FALSE&amp;VAR:CALENDAR=US&amp;VAR:SYMBOL=G2554F11&amp;VAR:INDEX=0"}</definedName>
    <definedName name="_530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531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532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533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534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535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536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537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538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539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54__FDSAUDITLINK__"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4__FDSAUDITLINK___1"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4__FDSAUDITLINK___2" hidden="1">{"fdsup://directions/FAT Viewer?action=UPDATE&amp;creator=factset&amp;DYN_ARGS=TRUE&amp;DOC_NAME=FAT:FQL_AUDITING_CLIENT_TEMPLATE.FAT&amp;display_string=Audit&amp;VAR:KEY=WFOFIFQHUF&amp;VAR:QUERY=RkZfREVCVChBTk4sMCk=&amp;WINDOW=FIRST_POPUP&amp;HEIGHT=450&amp;WIDTH=450&amp;START_MAXIMIZED=FALSE&amp;VA","R:CALENDAR=US&amp;VAR:SYMBOL=G2554F11&amp;VAR:INDEX=0"}</definedName>
    <definedName name="_540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541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542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543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544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545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546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547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548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549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55__FDSAUDITLINK__"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5__FDSAUDITLINK___1"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5__FDSAUDITLINK___2"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50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551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552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553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554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555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556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557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558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559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56__FDSAUDITLINK__" hidden="1">{"fdsup://directions/FAT Viewer?action=UPDATE&amp;creator=factset&amp;DYN_ARGS=TRUE&amp;DOC_NAME=FAT:FQL_AUDITING_CLIENT_TEMPLATE.FAT&amp;display_string=Audit&amp;VAR:KEY=AJONIVGJWF&amp;VAR:QUERY=RkZfU0hMRFJTX0VRKEFOTiwwKQ==&amp;WINDOW=FIRST_POPUP&amp;HEIGHT=450&amp;WIDTH=450&amp;START_MAXIMIZED=","FALSE&amp;VAR:CALENDAR=US&amp;VAR:SYMBOL=CFN&amp;VAR:INDEX=0"}</definedName>
    <definedName name="_56__FDSAUDITLINK___1" hidden="1">{"fdsup://directions/FAT Viewer?action=UPDATE&amp;creator=factset&amp;DYN_ARGS=TRUE&amp;DOC_NAME=FAT:FQL_AUDITING_CLIENT_TEMPLATE.FAT&amp;display_string=Audit&amp;VAR:KEY=AJONIVGJWF&amp;VAR:QUERY=RkZfU0hMRFJTX0VRKEFOTiwwKQ==&amp;WINDOW=FIRST_POPUP&amp;HEIGHT=450&amp;WIDTH=450&amp;START_MAXIMIZED=","FALSE&amp;VAR:CALENDAR=US&amp;VAR:SYMBOL=CFN&amp;VAR:INDEX=0"}</definedName>
    <definedName name="_56__FDSAUDITLINK___2" hidden="1">{"fdsup://directions/FAT Viewer?action=UPDATE&amp;creator=factset&amp;DYN_ARGS=TRUE&amp;DOC_NAME=FAT:FQL_AUDITING_CLIENT_TEMPLATE.FAT&amp;display_string=Audit&amp;VAR:KEY=AJONIVGJWF&amp;VAR:QUERY=RkZfU0hMRFJTX0VRKEFOTiwwKQ==&amp;WINDOW=FIRST_POPUP&amp;HEIGHT=450&amp;WIDTH=450&amp;START_MAXIMIZED=","FALSE&amp;VAR:CALENDAR=US&amp;VAR:SYMBOL=CFN&amp;VAR:INDEX=0"}</definedName>
    <definedName name="_560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561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562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563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564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565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566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567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568__FDSAUDITLINK__" hidden="1">{"fdsup://directions/FAT Viewer?action=UPDATE&amp;creator=factset&amp;DYN_ARGS=TRUE&amp;DOC_NAME=FAT:FQL_AUDITING_CLIENT_TEMPLATE.FAT&amp;display_string=Audit&amp;VAR:KEY=MXEZQRUVAN&amp;VAR:QUERY=RkZfRU5UUlBSX1ZBTF9EQUlMWShOT1csLCwsVVNELCdESUwnKQ==&amp;WINDOW=FIRST_POPUP&amp;HEIGHT=450&amp;WI","DTH=450&amp;START_MAXIMIZED=FALSE&amp;VAR:CALENDAR=US&amp;VAR:SYMBOL=NTSP&amp;VAR:INDEX=0"}</definedName>
    <definedName name="_569__FDSAUDITLINK__" hidden="1">{"fdsup://directions/FAT Viewer?action=UPDATE&amp;creator=factset&amp;DYN_ARGS=TRUE&amp;DOC_NAME=FAT:FQL_AUDITING_CLIENT_TEMPLATE.FAT&amp;display_string=Audit&amp;VAR:KEY=SHYFMHEPGT&amp;VAR:QUERY=RkZfRU5UUlBSX1ZBTF9EQUlMWShOT1csLCwsVVNELCdESUwnKQ==&amp;WINDOW=FIRST_POPUP&amp;HEIGHT=450&amp;WI","DTH=450&amp;START_MAXIMIZED=FALSE&amp;VAR:CALENDAR=US&amp;VAR:SYMBOL=PAY&amp;VAR:INDEX=0"}</definedName>
    <definedName name="_57__FDSAUDITLINK__"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7__FDSAUDITLINK___1"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7__FDSAUDITLINK___2" hidden="1">{"fdsup://directions/FAT Viewer?action=UPDATE&amp;creator=factset&amp;DYN_ARGS=TRUE&amp;DOC_NAME=FAT:FQL_AUDITING_CLIENT_TEMPLATE.FAT&amp;display_string=Audit&amp;VAR:KEY=IZEFEHWRUL&amp;VAR:QUERY=RkZfREVCVChBTk4sMCk=&amp;WINDOW=FIRST_POPUP&amp;HEIGHT=450&amp;WIDTH=450&amp;START_MAXIMIZED=FALSE&amp;VA","R:CALENDAR=US&amp;VAR:SYMBOL=CFN&amp;VAR:INDEX=0"}</definedName>
    <definedName name="_570__FDSAUDITLINK__" hidden="1">{"fdsup://directions/FAT Viewer?action=UPDATE&amp;creator=factset&amp;DYN_ARGS=TRUE&amp;DOC_NAME=FAT:FQL_AUDITING_CLIENT_TEMPLATE.FAT&amp;display_string=Audit&amp;VAR:KEY=AVGHODANIF&amp;VAR:QUERY=RkZfRU5UUlBSX1ZBTF9EQUlMWShOT1csLCwsVVNELCdESUwnKQ==&amp;WINDOW=FIRST_POPUP&amp;HEIGHT=450&amp;WI","DTH=450&amp;START_MAXIMIZED=FALSE&amp;VAR:CALENDAR=US&amp;VAR:SYMBOL=NCR&amp;VAR:INDEX=0"}</definedName>
    <definedName name="_571__FDSAUDITLINK__" hidden="1">{"fdsup://directions/FAT Viewer?action=UPDATE&amp;creator=factset&amp;DYN_ARGS=TRUE&amp;DOC_NAME=FAT:FQL_AUDITING_CLIENT_TEMPLATE.FAT&amp;display_string=Audit&amp;VAR:KEY=QBGDIDYNUF&amp;VAR:QUERY=RkZfRU5UUlBSX1ZBTF9EQUlMWShOT1csLCwsVVNELCdESUwnKQ==&amp;WINDOW=FIRST_POPUP&amp;HEIGHT=450&amp;WI","DTH=450&amp;START_MAXIMIZED=FALSE&amp;VAR:CALENDAR=US&amp;VAR:SYMBOL=HYC&amp;VAR:INDEX=0"}</definedName>
    <definedName name="_572__FDSAUDITLINK__" hidden="1">{"fdsup://directions/FAT Viewer?action=UPDATE&amp;creator=factset&amp;DYN_ARGS=TRUE&amp;DOC_NAME=FAT:FQL_AUDITING_CLIENT_TEMPLATE.FAT&amp;display_string=Audit&amp;VAR:KEY=OJQLWZUHAR&amp;VAR:QUERY=RkZfRU5UUlBSX1ZBTF9EQUlMWShOT1csLCwsVVNELCdESUwnKQ==&amp;WINDOW=FIRST_POPUP&amp;HEIGHT=450&amp;WI","DTH=450&amp;START_MAXIMIZED=FALSE&amp;VAR:CALENDAR=US&amp;VAR:SYMBOL=DBD&amp;VAR:INDEX=0"}</definedName>
    <definedName name="_573__FDSAUDITLINK__" hidden="1">{"fdsup://directions/FAT Viewer?action=UPDATE&amp;creator=factset&amp;DYN_ARGS=TRUE&amp;DOC_NAME=FAT:FQL_AUDITING_CLIENT_TEMPLATE.FAT&amp;display_string=Audit&amp;VAR:KEY=KVOLOVAZIZ&amp;VAR:QUERY=RkZfRU5UUlBSX1ZBTF9EQUlMWShOT1csLCwsVVNELCdESUwnKQ==&amp;WINDOW=FIRST_POPUP&amp;HEIGHT=450&amp;WI","DTH=450&amp;START_MAXIMIZED=FALSE&amp;VAR:CALENDAR=US&amp;VAR:SYMBOL=MCRS&amp;VAR:INDEX=0"}</definedName>
    <definedName name="_574__FDSAUDITLINK__" hidden="1">{"fdsup://directions/FAT Viewer?action=UPDATE&amp;creator=factset&amp;DYN_ARGS=TRUE&amp;DOC_NAME=FAT:FQL_AUDITING_CLIENT_TEMPLATE.FAT&amp;display_string=Audit&amp;VAR:KEY=KZOTANQPGV&amp;VAR:QUERY=RkZfRU5UUlBSX1ZBTF9EQUlMWShOT1csLCwsVVNELCdESUwnKQ==&amp;WINDOW=FIRST_POPUP&amp;HEIGHT=450&amp;WI","DTH=450&amp;START_MAXIMIZED=FALSE&amp;VAR:CALENDAR=US&amp;VAR:SYMBOL=FIC&amp;VAR:INDEX=0"}</definedName>
    <definedName name="_575__FDSAUDITLINK__" hidden="1">{"fdsup://directions/FAT Viewer?action=UPDATE&amp;creator=factset&amp;DYN_ARGS=TRUE&amp;DOC_NAME=FAT:FQL_AUDITING_CLIENT_TEMPLATE.FAT&amp;display_string=Audit&amp;VAR:KEY=QXILSTWXCP&amp;VAR:QUERY=RkZfRU5UUlBSX1ZBTF9EQUlMWShOT1csLCwsVVNELCdESUwnKQ==&amp;WINDOW=FIRST_POPUP&amp;HEIGHT=450&amp;WI","DTH=450&amp;START_MAXIMIZED=FALSE&amp;VAR:CALENDAR=US&amp;VAR:SYMBOL=EFX&amp;VAR:INDEX=0"}</definedName>
    <definedName name="_576__FDSAUDITLINK__" hidden="1">{"fdsup://directions/FAT Viewer?action=UPDATE&amp;creator=factset&amp;DYN_ARGS=TRUE&amp;DOC_NAME=FAT:FQL_AUDITING_CLIENT_TEMPLATE.FAT&amp;display_string=Audit&amp;VAR:KEY=IZMPGVCDUZ&amp;VAR:QUERY=RkZfRU5UUlBSX1ZBTF9EQUlMWShOT1csLCwsVVNELCdESUwnKQ==&amp;WINDOW=FIRST_POPUP&amp;HEIGHT=450&amp;WI","DTH=450&amp;START_MAXIMIZED=FALSE&amp;VAR:CALENDAR=US&amp;VAR:SYMBOL=MGI&amp;VAR:INDEX=0"}</definedName>
    <definedName name="_577__FDSAUDITLINK__" hidden="1">{"fdsup://directions/FAT Viewer?action=UPDATE&amp;creator=factset&amp;DYN_ARGS=TRUE&amp;DOC_NAME=FAT:FQL_AUDITING_CLIENT_TEMPLATE.FAT&amp;display_string=Audit&amp;VAR:KEY=WXKDIFGZOV&amp;VAR:QUERY=RkZfRU5UUlBSX1ZBTF9EQUlMWShOT1csLCwsVVNELCdESUwnKQ==&amp;WINDOW=FIRST_POPUP&amp;HEIGHT=450&amp;WI","DTH=450&amp;START_MAXIMIZED=FALSE&amp;VAR:CALENDAR=US&amp;VAR:SYMBOL=EEFT&amp;VAR:INDEX=0"}</definedName>
    <definedName name="_578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579__FDSAUDITLINK__" hidden="1">{"fdsup://directions/FAT Viewer?action=UPDATE&amp;creator=factset&amp;DYN_ARGS=TRUE&amp;DOC_NAME=FAT:FQL_AUDITING_CLIENT_TEMPLATE.FAT&amp;display_string=Audit&amp;VAR:KEY=CZYNODCVEX&amp;VAR:QUERY=RkZfRU5UUlBSX1ZBTF9EQUlMWShOT1csLCwsVVNELCdESUwnKQ==&amp;WINDOW=FIRST_POPUP&amp;HEIGHT=450&amp;WI","DTH=450&amp;START_MAXIMIZED=FALSE&amp;VAR:CALENDAR=US&amp;VAR:SYMBOL=ADS&amp;VAR:INDEX=0"}</definedName>
    <definedName name="_58__FDSAUDITLINK__"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58__FDSAUDITLINK___1"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58__FDSAUDITLINK___2"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580__FDSAUDITLINK__" hidden="1">{"fdsup://directions/FAT Viewer?action=UPDATE&amp;creator=factset&amp;DYN_ARGS=TRUE&amp;DOC_NAME=FAT:FQL_AUDITING_CLIENT_TEMPLATE.FAT&amp;display_string=Audit&amp;VAR:KEY=IZIHWZAZGB&amp;VAR:QUERY=RkZfRU5UUlBSX1ZBTF9EQUlMWShOT1csLCwsVVNELCdESUwnKQ==&amp;WINDOW=FIRST_POPUP&amp;HEIGHT=450&amp;WI","DTH=450&amp;START_MAXIMIZED=FALSE&amp;VAR:CALENDAR=US&amp;VAR:SYMBOL=WXS&amp;VAR:INDEX=0"}</definedName>
    <definedName name="_581__FDSAUDITLINK__" hidden="1">{"fdsup://directions/FAT Viewer?action=UPDATE&amp;creator=factset&amp;DYN_ARGS=TRUE&amp;DOC_NAME=FAT:FQL_AUDITING_CLIENT_TEMPLATE.FAT&amp;display_string=Audit&amp;VAR:KEY=ODKFORGTOL&amp;VAR:QUERY=RkZfRU5UUlBSX1ZBTF9EQUlMWShOT1csLCwsVVNELCdESUwnKQ==&amp;WINDOW=FIRST_POPUP&amp;HEIGHT=450&amp;WI","DTH=450&amp;START_MAXIMIZED=FALSE&amp;VAR:CALENDAR=US&amp;VAR:SYMBOL=HPY&amp;VAR:INDEX=0"}</definedName>
    <definedName name="_582__FDSAUDITLINK__" hidden="1">{"fdsup://directions/FAT Viewer?action=UPDATE&amp;creator=factset&amp;DYN_ARGS=TRUE&amp;DOC_NAME=FAT:FQL_AUDITING_CLIENT_TEMPLATE.FAT&amp;display_string=Audit&amp;VAR:KEY=MTMTENGHQJ&amp;VAR:QUERY=RkZfRU5UUlBSX1ZBTF9EQUlMWShOT1csLCwsVVNELCdESUwnKQ==&amp;WINDOW=FIRST_POPUP&amp;HEIGHT=450&amp;WI","DTH=450&amp;START_MAXIMIZED=FALSE&amp;VAR:CALENDAR=US&amp;VAR:SYMBOL=DST&amp;VAR:INDEX=0"}</definedName>
    <definedName name="_583__FDSAUDITLINK__" hidden="1">{"fdsup://directions/FAT Viewer?action=UPDATE&amp;creator=factset&amp;DYN_ARGS=TRUE&amp;DOC_NAME=FAT:FQL_AUDITING_CLIENT_TEMPLATE.FAT&amp;display_string=Audit&amp;VAR:KEY=YJALMXQVAN&amp;VAR:QUERY=RkZfRU5UUlBSX1ZBTF9EQUlMWShOT1csLCwsVVNELCdESUwnKQ==&amp;WINDOW=FIRST_POPUP&amp;HEIGHT=450&amp;WI","DTH=450&amp;START_MAXIMIZED=FALSE&amp;VAR:CALENDAR=US&amp;VAR:SYMBOL=BR&amp;VAR:INDEX=0"}</definedName>
    <definedName name="_584__FDSAUDITLINK__" hidden="1">{"fdsup://directions/FAT Viewer?action=UPDATE&amp;creator=factset&amp;DYN_ARGS=TRUE&amp;DOC_NAME=FAT:FQL_AUDITING_CLIENT_TEMPLATE.FAT&amp;display_string=Audit&amp;VAR:KEY=CPSVWBOXWJ&amp;VAR:QUERY=RkZfRU5UUlBSX1ZBTF9EQUlMWShOT1csLCwsVVNELCdESUwnKQ==&amp;WINDOW=FIRST_POPUP&amp;HEIGHT=450&amp;WI","DTH=450&amp;START_MAXIMIZED=FALSE&amp;VAR:CALENDAR=US&amp;VAR:SYMBOL=JKHY&amp;VAR:INDEX=0"}</definedName>
    <definedName name="_585__FDSAUDITLINK__" hidden="1">{"fdsup://directions/FAT Viewer?action=UPDATE&amp;creator=factset&amp;DYN_ARGS=TRUE&amp;DOC_NAME=FAT:FQL_AUDITING_CLIENT_TEMPLATE.FAT&amp;display_string=Audit&amp;VAR:KEY=ONALAZORKX&amp;VAR:QUERY=RkZfRU5UUlBSX1ZBTF9EQUlMWShOT1csLCwsVVNELCdESUwnKQ==&amp;WINDOW=FIRST_POPUP&amp;HEIGHT=450&amp;WI","DTH=450&amp;START_MAXIMIZED=FALSE&amp;VAR:CALENDAR=US&amp;VAR:SYMBOL=FISV&amp;VAR:INDEX=0"}</definedName>
    <definedName name="_586__FDSAUDITLINK__" hidden="1">{"fdsup://directions/FAT Viewer?action=UPDATE&amp;creator=factset&amp;DYN_ARGS=TRUE&amp;DOC_NAME=FAT:FQL_AUDITING_CLIENT_TEMPLATE.FAT&amp;display_string=Audit&amp;VAR:KEY=WLUXOZYPOX&amp;VAR:QUERY=RkZfRU5UUlBSX1ZBTF9EQUlMWShOT1csLCwsVVNELCdESUwnKQ==&amp;WINDOW=FIRST_POPUP&amp;HEIGHT=450&amp;WI","DTH=450&amp;START_MAXIMIZED=FALSE&amp;VAR:CALENDAR=US&amp;VAR:SYMBOL=FIS&amp;VAR:INDEX=0"}</definedName>
    <definedName name="_587__FDSAUDITLINK__" hidden="1">{"fdsup://directions/FAT Viewer?action=UPDATE&amp;creator=factset&amp;DYN_ARGS=TRUE&amp;DOC_NAME=FAT:FQL_AUDITING_CLIENT_TEMPLATE.FAT&amp;display_string=Audit&amp;VAR:KEY=ITIJMZILWL&amp;VAR:QUERY=RkZfRU5UUlBSX1ZBTF9EQUlMWShOT1csLCwsVVNELCdESUwnKQ==&amp;WINDOW=FIRST_POPUP&amp;HEIGHT=450&amp;WI","DTH=450&amp;START_MAXIMIZED=FALSE&amp;VAR:CALENDAR=US&amp;VAR:SYMBOL=WU&amp;VAR:INDEX=0"}</definedName>
    <definedName name="_588__FDSAUDITLINK__" hidden="1">{"fdsup://directions/FAT Viewer?action=UPDATE&amp;creator=factset&amp;DYN_ARGS=TRUE&amp;DOC_NAME=FAT:FQL_AUDITING_CLIENT_TEMPLATE.FAT&amp;display_string=Audit&amp;VAR:KEY=ENCNOLSTMJ&amp;VAR:QUERY=RkZfRU5UUlBSX1ZBTF9EQUlMWShOT1csLCwsVVNELCdESUwnKQ==&amp;WINDOW=FIRST_POPUP&amp;HEIGHT=450&amp;WI","DTH=450&amp;START_MAXIMIZED=FALSE&amp;VAR:CALENDAR=US&amp;VAR:SYMBOL=TSS&amp;VAR:INDEX=0"}</definedName>
    <definedName name="_589__FDSAUDITLINK__" hidden="1">{"fdsup://directions/FAT Viewer?action=UPDATE&amp;creator=factset&amp;DYN_ARGS=TRUE&amp;DOC_NAME=FAT:FQL_AUDITING_CLIENT_TEMPLATE.FAT&amp;display_string=Audit&amp;VAR:KEY=CNKPKXGNAP&amp;VAR:QUERY=RkZfRU5UUlBSX1ZBTF9EQUlMWShOT1csLCwsVVNELCdESUwnKQ==&amp;WINDOW=FIRST_POPUP&amp;HEIGHT=450&amp;WI","DTH=450&amp;START_MAXIMIZED=FALSE&amp;VAR:CALENDAR=US&amp;VAR:SYMBOL=GPN&amp;VAR:INDEX=0"}</definedName>
    <definedName name="_59__FDSAUDITLINK__" hidden="1">{"fdsup://directions/FAT Viewer?action=UPDATE&amp;creator=factset&amp;DYN_ARGS=TRUE&amp;DOC_NAME=FAT:FQL_AUDITING_CLIENT_TEMPLATE.FAT&amp;display_string=Audit&amp;VAR:KEY=ULODCZQHUV&amp;VAR:QUERY=RkZfU0hMRFJTX0VRKEFOTiwwKQ==&amp;WINDOW=FIRST_POPUP&amp;HEIGHT=450&amp;WIDTH=450&amp;START_MAXIMIZED=","FALSE&amp;VAR:CALENDAR=US&amp;VAR:SYMBOL=BAX&amp;VAR:INDEX=0"}</definedName>
    <definedName name="_59__FDSAUDITLINK___1" hidden="1">{"fdsup://directions/FAT Viewer?action=UPDATE&amp;creator=factset&amp;DYN_ARGS=TRUE&amp;DOC_NAME=FAT:FQL_AUDITING_CLIENT_TEMPLATE.FAT&amp;display_string=Audit&amp;VAR:KEY=ULODCZQHUV&amp;VAR:QUERY=RkZfU0hMRFJTX0VRKEFOTiwwKQ==&amp;WINDOW=FIRST_POPUP&amp;HEIGHT=450&amp;WIDTH=450&amp;START_MAXIMIZED=","FALSE&amp;VAR:CALENDAR=US&amp;VAR:SYMBOL=BAX&amp;VAR:INDEX=0"}</definedName>
    <definedName name="_59__FDSAUDITLINK___2" hidden="1">{"fdsup://directions/FAT Viewer?action=UPDATE&amp;creator=factset&amp;DYN_ARGS=TRUE&amp;DOC_NAME=FAT:FQL_AUDITING_CLIENT_TEMPLATE.FAT&amp;display_string=Audit&amp;VAR:KEY=ULODCZQHUV&amp;VAR:QUERY=RkZfU0hMRFJTX0VRKEFOTiwwKQ==&amp;WINDOW=FIRST_POPUP&amp;HEIGHT=450&amp;WIDTH=450&amp;START_MAXIMIZED=","FALSE&amp;VAR:CALENDAR=US&amp;VAR:SYMBOL=BAX&amp;VAR:INDEX=0"}</definedName>
    <definedName name="_590__FDSAUDITLINK__" hidden="1">{"fdsup://directions/FAT Viewer?action=UPDATE&amp;creator=factset&amp;DYN_ARGS=TRUE&amp;DOC_NAME=FAT:FQL_AUDITING_CLIENT_TEMPLATE.FAT&amp;display_string=Audit&amp;VAR:KEY=EFIHYRCFUF&amp;VAR:QUERY=RkZfRU5UUlBSX1ZBTF9EQUlMWShOT1csLCwsVVNELCdESUwnKQ==&amp;WINDOW=FIRST_POPUP&amp;HEIGHT=450&amp;WI","DTH=450&amp;START_MAXIMIZED=FALSE&amp;VAR:CALENDAR=US&amp;VAR:SYMBOL=V&amp;VAR:INDEX=0"}</definedName>
    <definedName name="_591__FDSAUDITLINK__" hidden="1">{"fdsup://directions/FAT Viewer?action=UPDATE&amp;creator=factset&amp;DYN_ARGS=TRUE&amp;DOC_NAME=FAT:FQL_AUDITING_CLIENT_TEMPLATE.FAT&amp;display_string=Audit&amp;VAR:KEY=IDGTMJWTYP&amp;VAR:QUERY=RkZfRU5UUlBSX1ZBTF9EQUlMWShOT1csLCwsVVNELCdESUwnKQ==&amp;WINDOW=FIRST_POPUP&amp;HEIGHT=450&amp;WI","DTH=450&amp;START_MAXIMIZED=FALSE&amp;VAR:CALENDAR=US&amp;VAR:SYMBOL=MA&amp;VAR:INDEX=0"}</definedName>
    <definedName name="_592__FDSAUDITLINK__" hidden="1">{"fdsup://directions/FAT Viewer?action=UPDATE&amp;creator=factset&amp;DYN_ARGS=TRUE&amp;DOC_NAME=FAT:FQL_AUDITING_CLIENT_TEMPLATE.FAT&amp;display_string=Audit&amp;VAR:KEY=WLQZQXOPSL&amp;VAR:QUERY=RkZfRU5UUlBSX1ZBTF9EQUlMWShOT1csLCwsVVNELCdESUwnKQ==&amp;WINDOW=FIRST_POPUP&amp;HEIGHT=450&amp;WI","DTH=450&amp;START_MAXIMIZED=FALSE&amp;VAR:CALENDAR=US&amp;VAR:SYMBOL=PAYX&amp;VAR:INDEX=0"}</definedName>
    <definedName name="_593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594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595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596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597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598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599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6__FDSAUDITLINK__"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6__FDSAUDITLINK___1"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6__FDSAUDITLINK___2" hidden="1">{"fdsup://directions/FAT Viewer?action=UPDATE&amp;creator=factset&amp;DYN_ARGS=TRUE&amp;DOC_NAME=FAT:FQL_AUDITING_CLIENT_TEMPLATE.FAT&amp;display_string=Audit&amp;VAR:KEY=KNEDEHEBGJ&amp;VAR:QUERY=RkZfREVCVChBTk4sMCk=&amp;WINDOW=FIRST_POPUP&amp;HEIGHT=450&amp;WIDTH=450&amp;START_MAXIMIZED=FALSE&amp;VA","R:CALENDAR=US&amp;VAR:SYMBOL=HAE&amp;VAR:INDEX=0"}</definedName>
    <definedName name="_60__FDSAUDITLINK__"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60__FDSAUDITLINK___1"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60__FDSAUDITLINK___2" hidden="1">{"fdsup://directions/FAT Viewer?action=UPDATE&amp;creator=factset&amp;DYN_ARGS=TRUE&amp;DOC_NAME=FAT:FQL_AUDITING_CLIENT_TEMPLATE.FAT&amp;display_string=Audit&amp;VAR:KEY=WVWPYTANCF&amp;VAR:QUERY=RkZfREVCVChBTk4sMCk=&amp;WINDOW=FIRST_POPUP&amp;HEIGHT=450&amp;WIDTH=450&amp;START_MAXIMIZED=FALSE&amp;VA","R:CALENDAR=US&amp;VAR:SYMBOL=BAX&amp;VAR:INDEX=0"}</definedName>
    <definedName name="_600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601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602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603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604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605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606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607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608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609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61__FDSAUDITLINK__"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1__FDSAUDITLINK___1"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1__FDSAUDITLINK___2"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10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611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612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613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614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615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616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617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618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619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62__FDSAUDITLINK__" hidden="1">{"fdsup://directions/FAT Viewer?action=UPDATE&amp;creator=factset&amp;DYN_ARGS=TRUE&amp;DOC_NAME=FAT:FQL_AUDITING_CLIENT_TEMPLATE.FAT&amp;display_string=Audit&amp;VAR:KEY=MHEPWPCLGD&amp;VAR:QUERY=RkZfU0hMRFJTX0VRKEFOTiwwKQ==&amp;WINDOW=FIRST_POPUP&amp;HEIGHT=450&amp;WIDTH=450&amp;START_MAXIMIZED=","FALSE&amp;VAR:CALENDAR=US&amp;VAR:SYMBOL=ABT&amp;VAR:INDEX=0"}</definedName>
    <definedName name="_62__FDSAUDITLINK___1" hidden="1">{"fdsup://directions/FAT Viewer?action=UPDATE&amp;creator=factset&amp;DYN_ARGS=TRUE&amp;DOC_NAME=FAT:FQL_AUDITING_CLIENT_TEMPLATE.FAT&amp;display_string=Audit&amp;VAR:KEY=MHEPWPCLGD&amp;VAR:QUERY=RkZfU0hMRFJTX0VRKEFOTiwwKQ==&amp;WINDOW=FIRST_POPUP&amp;HEIGHT=450&amp;WIDTH=450&amp;START_MAXIMIZED=","FALSE&amp;VAR:CALENDAR=US&amp;VAR:SYMBOL=ABT&amp;VAR:INDEX=0"}</definedName>
    <definedName name="_62__FDSAUDITLINK___2" hidden="1">{"fdsup://directions/FAT Viewer?action=UPDATE&amp;creator=factset&amp;DYN_ARGS=TRUE&amp;DOC_NAME=FAT:FQL_AUDITING_CLIENT_TEMPLATE.FAT&amp;display_string=Audit&amp;VAR:KEY=MHEPWPCLGD&amp;VAR:QUERY=RkZfU0hMRFJTX0VRKEFOTiwwKQ==&amp;WINDOW=FIRST_POPUP&amp;HEIGHT=450&amp;WIDTH=450&amp;START_MAXIMIZED=","FALSE&amp;VAR:CALENDAR=US&amp;VAR:SYMBOL=ABT&amp;VAR:INDEX=0"}</definedName>
    <definedName name="_620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621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622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623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624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625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626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627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628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629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63__FDSAUDITLINK__"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3__FDSAUDITLINK___1"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3__FDSAUDITLINK___2" hidden="1">{"fdsup://directions/FAT Viewer?action=UPDATE&amp;creator=factset&amp;DYN_ARGS=TRUE&amp;DOC_NAME=FAT:FQL_AUDITING_CLIENT_TEMPLATE.FAT&amp;display_string=Audit&amp;VAR:KEY=OPKZEZUZEL&amp;VAR:QUERY=RkZfREVCVChBTk4sMCk=&amp;WINDOW=FIRST_POPUP&amp;HEIGHT=450&amp;WIDTH=450&amp;START_MAXIMIZED=FALSE&amp;VA","R:CALENDAR=US&amp;VAR:SYMBOL=ABT&amp;VAR:INDEX=0"}</definedName>
    <definedName name="_630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631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632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633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634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635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636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637__FDSAUDITLINK__" hidden="1">{"fdsup://directions/FAT Viewer?action=UPDATE&amp;creator=factset&amp;DYN_ARGS=TRUE&amp;DOC_NAME=FAT:FQL_AUDITING_CLIENT_TEMPLATE.FAT&amp;display_string=Audit&amp;VAR:KEY=UPQXAHCVSF&amp;VAR:QUERY=RkZfRU5UUlBSX1ZBTF9EQUlMWShOT1csLCwsVVNELCdESUwnKQ==&amp;WINDOW=FIRST_POPUP&amp;HEIGHT=450&amp;WI","DTH=450&amp;START_MAXIMIZED=FALSE&amp;VAR:CALENDAR=US&amp;VAR:SYMBOL=TIER&amp;VAR:INDEX=0"}</definedName>
    <definedName name="_638__FDSAUDITLINK__" hidden="1">{"fdsup://directions/FAT Viewer?action=UPDATE&amp;creator=factset&amp;DYN_ARGS=TRUE&amp;DOC_NAME=FAT:FQL_AUDITING_CLIENT_TEMPLATE.FAT&amp;display_string=Audit&amp;VAR:KEY=YFITGNGHUD&amp;VAR:QUERY=RkZfRU5UUlBSX1ZBTF9EQUlMWShOT1csLCwsVVNELCdESUwnKQ==&amp;WINDOW=FIRST_POPUP&amp;HEIGHT=450&amp;WI","DTH=450&amp;START_MAXIMIZED=FALSE&amp;VAR:CALENDAR=US&amp;VAR:SYMBOL=SXE&amp;VAR:INDEX=0"}</definedName>
    <definedName name="_639__FDSAUDITLINK__" hidden="1">{"fdsup://directions/FAT Viewer?action=UPDATE&amp;creator=factset&amp;DYN_ARGS=TRUE&amp;DOC_NAME=FAT:FQL_AUDITING_CLIENT_TEMPLATE.FAT&amp;display_string=Audit&amp;VAR:KEY=ABWDOLQVUV&amp;VAR:QUERY=RkZfRU5UUlBSX1ZBTF9EQUlMWShOT1csLCwsVVNELCdESUwnKQ==&amp;WINDOW=FIRST_POPUP&amp;HEIGHT=450&amp;WI","DTH=450&amp;START_MAXIMIZED=FALSE&amp;VAR:CALENDAR=US&amp;VAR:SYMBOL=NCIT&amp;VAR:INDEX=0"}</definedName>
    <definedName name="_64__FDSAUDITLINK__"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4__FDSAUDITLINK___1"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4__FDSAUDITLINK___2"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40__FDSAUDITLINK__" hidden="1">{"fdsup://directions/FAT Viewer?action=UPDATE&amp;creator=factset&amp;DYN_ARGS=TRUE&amp;DOC_NAME=FAT:FQL_AUDITING_CLIENT_TEMPLATE.FAT&amp;display_string=Audit&amp;VAR:KEY=ETQBODOZCH&amp;VAR:QUERY=RkZfRU5UUlBSX1ZBTF9EQUlMWShOT1csLCwsVVNELCdESUwnKQ==&amp;WINDOW=FIRST_POPUP&amp;HEIGHT=450&amp;WI","DTH=450&amp;START_MAXIMIZED=FALSE&amp;VAR:CALENDAR=US&amp;VAR:SYMBOL=MANT&amp;VAR:INDEX=0"}</definedName>
    <definedName name="_641__FDSAUDITLINK__" hidden="1">{"fdsup://directions/FAT Viewer?action=UPDATE&amp;creator=factset&amp;DYN_ARGS=TRUE&amp;DOC_NAME=FAT:FQL_AUDITING_CLIENT_TEMPLATE.FAT&amp;display_string=Audit&amp;VAR:KEY=IVQBYLCFIN&amp;VAR:QUERY=RkZfRU5UUlBSX1ZBTF9EQUlMWShOT1csLCwsVVNELCdESUwnKQ==&amp;WINDOW=FIRST_POPUP&amp;HEIGHT=450&amp;WI","DTH=450&amp;START_MAXIMIZED=FALSE&amp;VAR:CALENDAR=US&amp;VAR:SYMBOL=DCP&amp;VAR:INDEX=0"}</definedName>
    <definedName name="_642__FDSAUDITLINK__" hidden="1">{"fdsup://directions/FAT Viewer?action=UPDATE&amp;creator=factset&amp;DYN_ARGS=TRUE&amp;DOC_NAME=FAT:FQL_AUDITING_CLIENT_TEMPLATE.FAT&amp;display_string=Audit&amp;VAR:KEY=KPQJOXURAD&amp;VAR:QUERY=RkZfRU5UUlBSX1ZBTF9EQUlMWShOT1csLCwsVVNELCdESUwnKQ==&amp;WINDOW=FIRST_POPUP&amp;HEIGHT=450&amp;WI","DTH=450&amp;START_MAXIMIZED=FALSE&amp;VAR:CALENDAR=US&amp;VAR:SYMBOL=HRS&amp;VAR:INDEX=0"}</definedName>
    <definedName name="_643__FDSAUDITLINK__" hidden="1">{"fdsup://directions/FAT Viewer?action=UPDATE&amp;creator=factset&amp;DYN_ARGS=TRUE&amp;DOC_NAME=FAT:FQL_AUDITING_CLIENT_TEMPLATE.FAT&amp;display_string=Audit&amp;VAR:KEY=MZUBGPADEJ&amp;VAR:QUERY=RkZfRU5UUlBSX1ZBTF9EQUlMWShOT1csLCwsVVNELCdESUwnKQ==&amp;WINDOW=FIRST_POPUP&amp;HEIGHT=450&amp;WI","DTH=450&amp;START_MAXIMIZED=FALSE&amp;VAR:CALENDAR=US&amp;VAR:SYMBOL=SRX&amp;VAR:INDEX=0"}</definedName>
    <definedName name="_644__FDSAUDITLINK__" hidden="1">{"fdsup://directions/FAT Viewer?action=UPDATE&amp;creator=factset&amp;DYN_ARGS=TRUE&amp;DOC_NAME=FAT:FQL_AUDITING_CLIENT_TEMPLATE.FAT&amp;display_string=Audit&amp;VAR:KEY=ITADGPKHAJ&amp;VAR:QUERY=RkZfRU5UUlBSX1ZBTF9EQUlMWShOT1csLCwsVVNELCdESUwnKQ==&amp;WINDOW=FIRST_POPUP&amp;HEIGHT=450&amp;WI","DTH=450&amp;START_MAXIMIZED=FALSE&amp;VAR:CALENDAR=US&amp;VAR:SYMBOL=SAI&amp;VAR:INDEX=0"}</definedName>
    <definedName name="_645__FDSAUDITLINK__" hidden="1">{"fdsup://directions/FAT Viewer?action=UPDATE&amp;creator=factset&amp;DYN_ARGS=TRUE&amp;DOC_NAME=FAT:FQL_AUDITING_CLIENT_TEMPLATE.FAT&amp;display_string=Audit&amp;VAR:KEY=ATGDUVMHET&amp;VAR:QUERY=RkZfRU5UUlBSX1ZBTF9EQUlMWShOT1csLCwsVVNELCdESUwnKQ==&amp;WINDOW=FIRST_POPUP&amp;HEIGHT=450&amp;WI","DTH=450&amp;START_MAXIMIZED=FALSE&amp;VAR:CALENDAR=US&amp;VAR:SYMBOL=MMS&amp;VAR:INDEX=0"}</definedName>
    <definedName name="_646__FDSAUDITLINK__" hidden="1">{"fdsup://directions/FAT Viewer?action=UPDATE&amp;creator=factset&amp;DYN_ARGS=TRUE&amp;DOC_NAME=FAT:FQL_AUDITING_CLIENT_TEMPLATE.FAT&amp;display_string=Audit&amp;VAR:KEY=UPINUFANOX&amp;VAR:QUERY=RkZfRU5UUlBSX1ZBTF9EQUlMWShOT1csLCwsVVNELCdESUwnKQ==&amp;WINDOW=FIRST_POPUP&amp;HEIGHT=450&amp;WI","DTH=450&amp;START_MAXIMIZED=FALSE&amp;VAR:CALENDAR=US&amp;VAR:SYMBOL=ICFI&amp;VAR:INDEX=0"}</definedName>
    <definedName name="_647__FDSAUDITLINK__" hidden="1">{"fdsup://directions/FAT Viewer?action=UPDATE&amp;creator=factset&amp;DYN_ARGS=TRUE&amp;DOC_NAME=FAT:FQL_AUDITING_CLIENT_TEMPLATE.FAT&amp;display_string=Audit&amp;VAR:KEY=YXUBEVIPSL&amp;VAR:QUERY=RkZfRU5UUlBSX1ZBTF9EQUlMWShOT1csLCwsVVNELCdESUwnKQ==&amp;WINDOW=FIRST_POPUP&amp;HEIGHT=450&amp;WI","DTH=450&amp;START_MAXIMIZED=FALSE&amp;VAR:CALENDAR=US&amp;VAR:SYMBOL=CAI&amp;VAR:INDEX=0"}</definedName>
    <definedName name="_648__FDSAUDITLINK__" hidden="1">{"fdsup://directions/FAT Viewer?action=UPDATE&amp;creator=factset&amp;DYN_ARGS=TRUE&amp;DOC_NAME=FAT:FQL_AUDITING_CLIENT_TEMPLATE.FAT&amp;display_string=Audit&amp;VAR:KEY=ONGVYBYHEX&amp;VAR:QUERY=RkZfRU5UUlBSX1ZBTF9EQUlMWShOT1csLCwsVVNELCdESUwnKQ==&amp;WINDOW=FIRST_POPUP&amp;HEIGHT=450&amp;WI","DTH=450&amp;START_MAXIMIZED=FALSE&amp;VAR:CALENDAR=US&amp;VAR:SYMBOL=BAH&amp;VAR:INDEX=0"}</definedName>
    <definedName name="_649__FDSAUDITLINK__" hidden="1">{"fdsup://directions/FAT Viewer?action=UPDATE&amp;creator=factset&amp;DYN_ARGS=TRUE&amp;DOC_NAME=FAT:FQL_AUDITING_CLIENT_TEMPLATE.FAT&amp;display_string=Audit&amp;VAR:KEY=ALCLAFEROL&amp;VAR:QUERY=RkZfRU5UUlBSX1ZBTF9EQUlMWShOT1csLCwsVVNELCdESUwnKQ==&amp;WINDOW=FIRST_POPUP&amp;HEIGHT=450&amp;WI","DTH=450&amp;START_MAXIMIZED=FALSE&amp;VAR:CALENDAR=US&amp;VAR:SYMBOL=TLEO&amp;VAR:INDEX=0"}</definedName>
    <definedName name="_65__FDSAUDITLINK__" hidden="1">{"fdsup://directions/FAT Viewer?action=UPDATE&amp;creator=factset&amp;DYN_ARGS=TRUE&amp;DOC_NAME=FAT:FQL_AUDITING_CLIENT_TEMPLATE.FAT&amp;display_string=Audit&amp;VAR:KEY=KVAPUVMPGH&amp;VAR:QUERY=RkZfU0hMRFJTX0VRKEFOTiwwKQ==&amp;WINDOW=FIRST_POPUP&amp;HEIGHT=450&amp;WIDTH=450&amp;START_MAXIMIZED=","FALSE&amp;VAR:CALENDAR=US&amp;VAR:SYMBOL=TFX&amp;VAR:INDEX=0"}</definedName>
    <definedName name="_65__FDSAUDITLINK___1" hidden="1">{"fdsup://directions/FAT Viewer?action=UPDATE&amp;creator=factset&amp;DYN_ARGS=TRUE&amp;DOC_NAME=FAT:FQL_AUDITING_CLIENT_TEMPLATE.FAT&amp;display_string=Audit&amp;VAR:KEY=KVAPUVMPGH&amp;VAR:QUERY=RkZfU0hMRFJTX0VRKEFOTiwwKQ==&amp;WINDOW=FIRST_POPUP&amp;HEIGHT=450&amp;WIDTH=450&amp;START_MAXIMIZED=","FALSE&amp;VAR:CALENDAR=US&amp;VAR:SYMBOL=TFX&amp;VAR:INDEX=0"}</definedName>
    <definedName name="_65__FDSAUDITLINK___2" hidden="1">{"fdsup://directions/FAT Viewer?action=UPDATE&amp;creator=factset&amp;DYN_ARGS=TRUE&amp;DOC_NAME=FAT:FQL_AUDITING_CLIENT_TEMPLATE.FAT&amp;display_string=Audit&amp;VAR:KEY=KVAPUVMPGH&amp;VAR:QUERY=RkZfU0hMRFJTX0VRKEFOTiwwKQ==&amp;WINDOW=FIRST_POPUP&amp;HEIGHT=450&amp;WIDTH=450&amp;START_MAXIMIZED=","FALSE&amp;VAR:CALENDAR=US&amp;VAR:SYMBOL=TFX&amp;VAR:INDEX=0"}</definedName>
    <definedName name="_650__FDSAUDITLINK__" hidden="1">{"fdsup://directions/FAT Viewer?action=UPDATE&amp;creator=factset&amp;DYN_ARGS=TRUE&amp;DOC_NAME=FAT:FQL_AUDITING_CLIENT_TEMPLATE.FAT&amp;display_string=Audit&amp;VAR:KEY=SXWRIRUNCL&amp;VAR:QUERY=RkZfRU5UUlBSX1ZBTF9EQUlMWShOT1csLCwsVVNELCdESUwnKQ==&amp;WINDOW=FIRST_POPUP&amp;HEIGHT=450&amp;WI","DTH=450&amp;START_MAXIMIZED=FALSE&amp;VAR:CALENDAR=US&amp;VAR:SYMBOL=KNXA&amp;VAR:INDEX=0"}</definedName>
    <definedName name="_651__FDSAUDITLINK__" hidden="1">{"fdsup://directions/FAT Viewer?action=UPDATE&amp;creator=factset&amp;DYN_ARGS=TRUE&amp;DOC_NAME=FAT:FQL_AUDITING_CLIENT_TEMPLATE.FAT&amp;display_string=Audit&amp;VAR:KEY=MZUNGJYNYD&amp;VAR:QUERY=RkZfRU5UUlBSX1ZBTF9EQUlMWShOT1csLCwsVVNELCdESUwnKQ==&amp;WINDOW=FIRST_POPUP&amp;HEIGHT=450&amp;WI","DTH=450&amp;START_MAXIMIZED=FALSE&amp;VAR:CALENDAR=US&amp;VAR:SYMBOL=ASF&amp;VAR:INDEX=0"}</definedName>
    <definedName name="_652__FDSAUDITLINK__" hidden="1">{"fdsup://directions/FAT Viewer?action=UPDATE&amp;creator=factset&amp;DYN_ARGS=TRUE&amp;DOC_NAME=FAT:FQL_AUDITING_CLIENT_TEMPLATE.FAT&amp;display_string=Audit&amp;VAR:KEY=SNGZMFCLGN&amp;VAR:QUERY=RkZfRU5UUlBSX1ZBTF9EQUlMWShOT1csLCwsVVNELCdESUwnKQ==&amp;WINDOW=FIRST_POPUP&amp;HEIGHT=450&amp;WI","DTH=450&amp;START_MAXIMIZED=FALSE&amp;VAR:CALENDAR=US&amp;VAR:SYMBOL=HEW&amp;VAR:INDEX=0"}</definedName>
    <definedName name="_653__FDSAUDITLINK__" hidden="1">{"fdsup://directions/FAT Viewer?action=UPDATE&amp;creator=factset&amp;DYN_ARGS=TRUE&amp;DOC_NAME=FAT:FQL_AUDITING_CLIENT_TEMPLATE.FAT&amp;display_string=Audit&amp;VAR:KEY=GBULILOJUR&amp;VAR:QUERY=RkZfRU5UUlBSX1ZBTF9EQUlMWShOT1csLCwsVVNELCdESUwnKQ==&amp;WINDOW=FIRST_POPUP&amp;HEIGHT=450&amp;WI","DTH=450&amp;START_MAXIMIZED=FALSE&amp;VAR:CALENDAR=US&amp;VAR:SYMBOL=TTEC&amp;VAR:INDEX=0"}</definedName>
    <definedName name="_654__FDSAUDITLINK__" hidden="1">{"fdsup://directions/FAT Viewer?action=UPDATE&amp;creator=factset&amp;DYN_ARGS=TRUE&amp;DOC_NAME=FAT:FQL_AUDITING_CLIENT_TEMPLATE.FAT&amp;display_string=Audit&amp;VAR:KEY=EPIXADKRAR&amp;VAR:QUERY=RkZfRU5UUlBSX1ZBTF9EQUlMWShOT1csLCwsVVNELCdESUwnKQ==&amp;WINDOW=FIRST_POPUP&amp;HEIGHT=450&amp;WI","DTH=450&amp;START_MAXIMIZED=FALSE&amp;VAR:CALENDAR=US&amp;VAR:SYMBOL=SYKE&amp;VAR:INDEX=0"}</definedName>
    <definedName name="_655__FDSAUDITLINK__" hidden="1">{"fdsup://directions/FAT Viewer?action=UPDATE&amp;creator=factset&amp;DYN_ARGS=TRUE&amp;DOC_NAME=FAT:FQL_AUDITING_CLIENT_TEMPLATE.FAT&amp;display_string=Audit&amp;VAR:KEY=OXKDGVWNIL&amp;VAR:QUERY=RkZfRU5UUlBSX1ZBTF9EQUlMWShOT1csLCwsVVNELCdESUwnKQ==&amp;WINDOW=FIRST_POPUP&amp;HEIGHT=450&amp;WI","DTH=450&amp;START_MAXIMIZED=FALSE&amp;VAR:CALENDAR=US&amp;VAR:SYMBOL=CSGS&amp;VAR:INDEX=0"}</definedName>
    <definedName name="_656__FDSAUDITLINK__" hidden="1">{"fdsup://directions/FAT Viewer?action=UPDATE&amp;creator=factset&amp;DYN_ARGS=TRUE&amp;DOC_NAME=FAT:FQL_AUDITING_CLIENT_TEMPLATE.FAT&amp;display_string=Audit&amp;VAR:KEY=UVIBGRMPCB&amp;VAR:QUERY=RkZfRU5UUlBSX1ZBTF9EQUlMWShOT1csLCwsVVNELCdESUwnKQ==&amp;WINDOW=FIRST_POPUP&amp;HEIGHT=450&amp;WI","DTH=450&amp;START_MAXIMIZED=FALSE&amp;VAR:CALENDAR=US&amp;VAR:SYMBOL=CMVT&amp;VAR:INDEX=0"}</definedName>
    <definedName name="_657__FDSAUDITLINK__" hidden="1">{"fdsup://directions/FAT Viewer?action=UPDATE&amp;creator=factset&amp;DYN_ARGS=TRUE&amp;DOC_NAME=FAT:FQL_AUDITING_CLIENT_TEMPLATE.FAT&amp;display_string=Audit&amp;VAR:KEY=GNSBKTWXKB&amp;VAR:QUERY=RkZfRU5UUlBSX1ZBTF9EQUlMWShOT1csLCwsVVNELCdESUwnKQ==&amp;WINDOW=FIRST_POPUP&amp;HEIGHT=450&amp;WI","DTH=450&amp;START_MAXIMIZED=FALSE&amp;VAR:CALENDAR=US&amp;VAR:SYMBOL=DOX&amp;VAR:INDEX=0"}</definedName>
    <definedName name="_658__FDSAUDITLINK__" hidden="1">{"fdsup://directions/FAT Viewer?action=UPDATE&amp;creator=factset&amp;DYN_ARGS=TRUE&amp;DOC_NAME=FAT:FQL_AUDITING_CLIENT_TEMPLATE.FAT&amp;display_string=Audit&amp;VAR:KEY=CHIFYZQBSX&amp;VAR:QUERY=RkZfRU5UUlBSX1ZBTF9EQUlMWShOT1csLCwsVVNELCdESUwnKQ==&amp;WINDOW=FIRST_POPUP&amp;HEIGHT=450&amp;WI","DTH=450&amp;START_MAXIMIZED=FALSE&amp;VAR:CALENDAR=US&amp;VAR:SYMBOL=UIS&amp;VAR:INDEX=0"}</definedName>
    <definedName name="_659__FDSAUDITLINK__" hidden="1">{"fdsup://directions/FAT Viewer?action=UPDATE&amp;creator=factset&amp;DYN_ARGS=TRUE&amp;DOC_NAME=FAT:FQL_AUDITING_CLIENT_TEMPLATE.FAT&amp;display_string=Audit&amp;VAR:KEY=MFCRKZODMN&amp;VAR:QUERY=RkZfRU5UUlBSX1ZBTF9EQUlMWShOT1csLCwsVVNELCdESUwnKQ==&amp;WINDOW=FIRST_POPUP&amp;HEIGHT=450&amp;WI","DTH=450&amp;START_MAXIMIZED=FALSE&amp;VAR:CALENDAR=US&amp;VAR:SYMBOL=GIB&amp;VAR:INDEX=0"}</definedName>
    <definedName name="_66__FDSAUDITLINK__"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6__FDSAUDITLINK___1"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6__FDSAUDITLINK___2" hidden="1">{"fdsup://directions/FAT Viewer?action=UPDATE&amp;creator=factset&amp;DYN_ARGS=TRUE&amp;DOC_NAME=FAT:FQL_AUDITING_CLIENT_TEMPLATE.FAT&amp;display_string=Audit&amp;VAR:KEY=YBGHCRSVAL&amp;VAR:QUERY=RkZfREVCVChBTk4sMCk=&amp;WINDOW=FIRST_POPUP&amp;HEIGHT=450&amp;WIDTH=450&amp;START_MAXIMIZED=FALSE&amp;VA","R:CALENDAR=US&amp;VAR:SYMBOL=TFX&amp;VAR:INDEX=0"}</definedName>
    <definedName name="_660__FDSAUDITLINK__" hidden="1">{"fdsup://directions/FAT Viewer?action=UPDATE&amp;creator=factset&amp;DYN_ARGS=TRUE&amp;DOC_NAME=FAT:FQL_AUDITING_CLIENT_TEMPLATE.FAT&amp;display_string=Audit&amp;VAR:KEY=YLUZYTIXMR&amp;VAR:QUERY=RkZfRU5UUlBSX1ZBTF9EQUlMWShOT1csLCwsVVNELCdESUwnKQ==&amp;WINDOW=FIRST_POPUP&amp;HEIGHT=450&amp;WI","DTH=450&amp;START_MAXIMIZED=FALSE&amp;VAR:CALENDAR=US&amp;VAR:SYMBOL=CVG&amp;VAR:INDEX=0"}</definedName>
    <definedName name="_661__FDSAUDITLINK__" hidden="1">{"fdsup://directions/FAT Viewer?action=UPDATE&amp;creator=factset&amp;DYN_ARGS=TRUE&amp;DOC_NAME=FAT:FQL_AUDITING_CLIENT_TEMPLATE.FAT&amp;display_string=Audit&amp;VAR:KEY=ENGJGZQLKL&amp;VAR:QUERY=RkZfRU5UUlBSX1ZBTF9EQUlMWShOT1csLCwsVVNELCdESUwnKQ==&amp;WINDOW=FIRST_POPUP&amp;HEIGHT=450&amp;WI","DTH=450&amp;START_MAXIMIZED=FALSE&amp;VAR:CALENDAR=US&amp;VAR:SYMBOL=CSC&amp;VAR:INDEX=0"}</definedName>
    <definedName name="_662__FDSAUDITLINK__" hidden="1">{"fdsup://directions/FAT Viewer?action=UPDATE&amp;creator=factset&amp;DYN_ARGS=TRUE&amp;DOC_NAME=FAT:FQL_AUDITING_CLIENT_TEMPLATE.FAT&amp;display_string=Audit&amp;VAR:KEY=KVGXQZADWN&amp;VAR:QUERY=RkZfRU5UUlBSX1ZBTF9EQUlMWShOT1csLCwsVVNELCdESUwnKQ==&amp;WINDOW=FIRST_POPUP&amp;HEIGHT=450&amp;WI","DTH=450&amp;START_MAXIMIZED=FALSE&amp;VAR:CALENDAR=US&amp;VAR:SYMBOL=VRTU&amp;VAR:INDEX=0"}</definedName>
    <definedName name="_663__FDSAUDITLINK__" hidden="1">{"fdsup://directions/FAT Viewer?action=UPDATE&amp;creator=factset&amp;DYN_ARGS=TRUE&amp;DOC_NAME=FAT:FQL_AUDITING_CLIENT_TEMPLATE.FAT&amp;display_string=Audit&amp;VAR:KEY=AXYPSDCDSN&amp;VAR:QUERY=RkZfRU5UUlBSX1ZBTF9EQUlMWShOT1csLCwsVVNELCdESUwnKQ==&amp;WINDOW=FIRST_POPUP&amp;HEIGHT=450&amp;WI","DTH=450&amp;START_MAXIMIZED=FALSE&amp;VAR:CALENDAR=US&amp;VAR:SYMBOL=WNS&amp;VAR:INDEX=0"}</definedName>
    <definedName name="_664__FDSAUDITLINK__" hidden="1">{"fdsup://directions/FAT Viewer?action=UPDATE&amp;creator=factset&amp;DYN_ARGS=TRUE&amp;DOC_NAME=FAT:FQL_AUDITING_CLIENT_TEMPLATE.FAT&amp;display_string=Audit&amp;VAR:KEY=MFELUBQHQH&amp;VAR:QUERY=RkZfRU5UUlBSX1ZBTF9EQUlMWShOT1csLCwsVVNELCdESUwnKQ==&amp;WINDOW=FIRST_POPUP&amp;HEIGHT=450&amp;WI","DTH=450&amp;START_MAXIMIZED=FALSE&amp;VAR:CALENDAR=US&amp;VAR:SYMBOL=WIT&amp;VAR:INDEX=0"}</definedName>
    <definedName name="_665__FDSAUDITLINK__" hidden="1">{"fdsup://directions/FAT Viewer?action=UPDATE&amp;creator=factset&amp;DYN_ARGS=TRUE&amp;DOC_NAME=FAT:FQL_AUDITING_CLIENT_TEMPLATE.FAT&amp;display_string=Audit&amp;VAR:KEY=YHYNKFUVQB&amp;VAR:QUERY=RkZfRU5UUlBSX1ZBTF9EQUlMWShOT1csLCwsVVNELCdESUwnKQ==&amp;WINDOW=FIRST_POPUP&amp;HEIGHT=450&amp;WI","DTH=450&amp;START_MAXIMIZED=FALSE&amp;VAR:CALENDAR=US&amp;VAR:SYMBOL=SYNT&amp;VAR:INDEX=0"}</definedName>
    <definedName name="_666__FDSAUDITLINK__" hidden="1">{"fdsup://directions/FAT Viewer?action=UPDATE&amp;creator=factset&amp;DYN_ARGS=TRUE&amp;DOC_NAME=FAT:FQL_AUDITING_CLIENT_TEMPLATE.FAT&amp;display_string=Audit&amp;VAR:KEY=IVEDALGJYN&amp;VAR:QUERY=RkZfRU5UUlBSX1ZBTF9EQUlMWShOT1csLCwsVVNELCdESUwnKQ==&amp;WINDOW=FIRST_POPUP&amp;HEIGHT=450&amp;WI","DTH=450&amp;START_MAXIMIZED=FALSE&amp;VAR:CALENDAR=US&amp;VAR:SYMBOL=SAY&amp;VAR:INDEX=0"}</definedName>
    <definedName name="_667__FDSAUDITLINK__" hidden="1">{"fdsup://directions/FAT Viewer?action=UPDATE&amp;creator=factset&amp;DYN_ARGS=TRUE&amp;DOC_NAME=FAT:FQL_AUDITING_CLIENT_TEMPLATE.FAT&amp;display_string=Audit&amp;VAR:KEY=EBGZCJUZCD&amp;VAR:QUERY=RkZfRU5UUlBSX1ZBTF9EQUlMWShOT1csLCwsVVNELCdESUwnKQ==&amp;WINDOW=FIRST_POPUP&amp;HEIGHT=450&amp;WI","DTH=450&amp;START_MAXIMIZED=FALSE&amp;VAR:CALENDAR=US&amp;VAR:SYMBOL=PTI&amp;VAR:INDEX=0"}</definedName>
    <definedName name="_668__FDSAUDITLINK__" hidden="1">{"fdsup://directions/FAT Viewer?action=UPDATE&amp;creator=factset&amp;DYN_ARGS=TRUE&amp;DOC_NAME=FAT:FQL_AUDITING_CLIENT_TEMPLATE.FAT&amp;display_string=Audit&amp;VAR:KEY=SDANUHGRMH&amp;VAR:QUERY=RkZfRU5UUlBSX1ZBTF9EQUlMWShOT1csLCwsVVNELCdESUwnKQ==&amp;WINDOW=FIRST_POPUP&amp;HEIGHT=450&amp;WI","DTH=450&amp;START_MAXIMIZED=FALSE&amp;VAR:CALENDAR=US&amp;VAR:SYMBOL=NSTC&amp;VAR:INDEX=0"}</definedName>
    <definedName name="_669__FDSAUDITLINK__" hidden="1">{"fdsup://directions/FAT Viewer?action=UPDATE&amp;creator=factset&amp;DYN_ARGS=TRUE&amp;DOC_NAME=FAT:FQL_AUDITING_CLIENT_TEMPLATE.FAT&amp;display_string=Audit&amp;VAR:KEY=QXWBQPONUP&amp;VAR:QUERY=RkZfRU5UUlBSX1ZBTF9EQUlMWShOT1csLCwsVVNELCdESUwnKQ==&amp;WINDOW=FIRST_POPUP&amp;HEIGHT=450&amp;WI","DTH=450&amp;START_MAXIMIZED=FALSE&amp;VAR:CALENDAR=US&amp;VAR:SYMBOL=LIOX&amp;VAR:INDEX=0"}</definedName>
    <definedName name="_67__FDSAUDITLINK__"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67__FDSAUDITLINK___1"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67__FDSAUDITLINK___2"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670__FDSAUDITLINK__" hidden="1">{"fdsup://directions/FAT Viewer?action=UPDATE&amp;creator=factset&amp;DYN_ARGS=TRUE&amp;DOC_NAME=FAT:FQL_AUDITING_CLIENT_TEMPLATE.FAT&amp;display_string=Audit&amp;VAR:KEY=QZIHUDYTIR&amp;VAR:QUERY=RkZfRU5UUlBSX1ZBTF9EQUlMWShOT1csLCwsVVNELCdESUwnKQ==&amp;WINDOW=FIRST_POPUP&amp;HEIGHT=450&amp;WI","DTH=450&amp;START_MAXIMIZED=FALSE&amp;VAR:CALENDAR=US&amp;VAR:SYMBOL=IGTE&amp;VAR:INDEX=0"}</definedName>
    <definedName name="_671__FDSAUDITLINK__" hidden="1">{"fdsup://directions/FAT Viewer?action=UPDATE&amp;creator=factset&amp;DYN_ARGS=TRUE&amp;DOC_NAME=FAT:FQL_AUDITING_CLIENT_TEMPLATE.FAT&amp;display_string=Audit&amp;VAR:KEY=ADCBKNINML&amp;VAR:QUERY=RkZfRU5UUlBSX1ZBTF9EQUlMWShOT1csLCwsVVNELCdESUwnKQ==&amp;WINDOW=FIRST_POPUP&amp;HEIGHT=450&amp;WI","DTH=450&amp;START_MAXIMIZED=FALSE&amp;VAR:CALENDAR=US&amp;VAR:SYMBOL=INFY&amp;VAR:INDEX=0"}</definedName>
    <definedName name="_672__FDSAUDITLINK__" hidden="1">{"fdsup://directions/FAT Viewer?action=UPDATE&amp;creator=factset&amp;DYN_ARGS=TRUE&amp;DOC_NAME=FAT:FQL_AUDITING_CLIENT_TEMPLATE.FAT&amp;display_string=Audit&amp;VAR:KEY=QDALWTSBMB&amp;VAR:QUERY=RkZfRU5UUlBSX1ZBTF9EQUlMWShOT1csLCwsVVNELCdESUwnKQ==&amp;WINDOW=FIRST_POPUP&amp;HEIGHT=450&amp;WI","DTH=450&amp;START_MAXIMIZED=FALSE&amp;VAR:CALENDAR=US&amp;VAR:SYMBOL=EXLS&amp;VAR:INDEX=0"}</definedName>
    <definedName name="_673__FDSAUDITLINK__" hidden="1">{"fdsup://directions/FAT Viewer?action=UPDATE&amp;creator=factset&amp;DYN_ARGS=TRUE&amp;DOC_NAME=FAT:FQL_AUDITING_CLIENT_TEMPLATE.FAT&amp;display_string=Audit&amp;VAR:KEY=WRAPGTEHAP&amp;VAR:QUERY=RkZfRU5UUlBSX1ZBTF9EQUlMWShOT1csLCwsVVNELCdESUwnKQ==&amp;WINDOW=FIRST_POPUP&amp;HEIGHT=450&amp;WI","DTH=450&amp;START_MAXIMIZED=FALSE&amp;VAR:CALENDAR=US&amp;VAR:SYMBOL=G&amp;VAR:INDEX=0"}</definedName>
    <definedName name="_674__FDSAUDITLINK__" hidden="1">{"fdsup://directions/FAT Viewer?action=UPDATE&amp;creator=factset&amp;DYN_ARGS=TRUE&amp;DOC_NAME=FAT:FQL_AUDITING_CLIENT_TEMPLATE.FAT&amp;display_string=Audit&amp;VAR:KEY=KNKTORAZUR&amp;VAR:QUERY=RkZfRU5UUlBSX1ZBTF9EQUlMWShOT1csLCwsVVNELCdESUwnKQ==&amp;WINDOW=FIRST_POPUP&amp;HEIGHT=450&amp;WI","DTH=450&amp;START_MAXIMIZED=FALSE&amp;VAR:CALENDAR=US&amp;VAR:SYMBOL=CTSH&amp;VAR:INDEX=0"}</definedName>
    <definedName name="_675__FDSAUDITLINK__" hidden="1">{"fdsup://directions/FAT Viewer?action=UPDATE&amp;creator=factset&amp;DYN_ARGS=TRUE&amp;DOC_NAME=FAT:FQL_AUDITING_CLIENT_TEMPLATE.FAT&amp;display_string=Audit&amp;VAR:KEY=WJSZCFYRWB&amp;VAR:QUERY=RkZfRU5UUlBSX1ZBTF9EQUlMWShOT1csLCwsVVNELCdESUwnKQ==&amp;WINDOW=FIRST_POPUP&amp;HEIGHT=450&amp;WI","DTH=450&amp;START_MAXIMIZED=FALSE&amp;VAR:CALENDAR=US&amp;VAR:SYMBOL=PRFT&amp;VAR:INDEX=0"}</definedName>
    <definedName name="_676__FDSAUDITLINK__" hidden="1">{"fdsup://directions/FAT Viewer?action=UPDATE&amp;creator=factset&amp;DYN_ARGS=TRUE&amp;DOC_NAME=FAT:FQL_AUDITING_CLIENT_TEMPLATE.FAT&amp;display_string=Audit&amp;VAR:KEY=YXOPIFQPIF&amp;VAR:QUERY=RkZfRU5UUlBSX1ZBTF9EQUlMWShOT1csLCwsVVNELCdESUwnKQ==&amp;WINDOW=FIRST_POPUP&amp;HEIGHT=450&amp;WI","DTH=450&amp;START_MAXIMIZED=FALSE&amp;VAR:CALENDAR=US&amp;VAR:SYMBOL=DTPI&amp;VAR:INDEX=0"}</definedName>
    <definedName name="_677__FDSAUDITLINK__" hidden="1">{"fdsup://directions/FAT Viewer?action=UPDATE&amp;creator=factset&amp;DYN_ARGS=TRUE&amp;DOC_NAME=FAT:FQL_AUDITING_CLIENT_TEMPLATE.FAT&amp;display_string=Audit&amp;VAR:KEY=MTUTGLENMV&amp;VAR:QUERY=RkZfRU5UUlBSX1ZBTF9EQUlMWShOT1csLCwsVVNELCdESUwnKQ==&amp;WINDOW=FIRST_POPUP&amp;HEIGHT=450&amp;WI","DTH=450&amp;START_MAXIMIZED=FALSE&amp;VAR:CALENDAR=US&amp;VAR:SYMBOL=CBR&amp;VAR:INDEX=0"}</definedName>
    <definedName name="_678__FDSAUDITLINK__" hidden="1">{"fdsup://directions/FAT Viewer?action=UPDATE&amp;creator=factset&amp;DYN_ARGS=TRUE&amp;DOC_NAME=FAT:FQL_AUDITING_CLIENT_TEMPLATE.FAT&amp;display_string=Audit&amp;VAR:KEY=WBCHYXURQL&amp;VAR:QUERY=RkZfRU5UUlBSX1ZBTF9EQUlMWShOT1csLCwsVVNELCdESUwnKQ==&amp;WINDOW=FIRST_POPUP&amp;HEIGHT=450&amp;WI","DTH=450&amp;START_MAXIMIZED=FALSE&amp;VAR:CALENDAR=US&amp;VAR:SYMBOL=ANSR&amp;VAR:INDEX=0"}</definedName>
    <definedName name="_679__FDSAUDITLINK__" hidden="1">{"fdsup://directions/FAT Viewer?action=UPDATE&amp;creator=factset&amp;DYN_ARGS=TRUE&amp;DOC_NAME=FAT:FQL_AUDITING_CLIENT_TEMPLATE.FAT&amp;display_string=Audit&amp;VAR:KEY=KNIVYXMBAV&amp;VAR:QUERY=RkZfRU5UUlBSX1ZBTF9EQUlMWShOT1csLCwsVVNELCdESUwnKQ==&amp;WINDOW=FIRST_POPUP&amp;HEIGHT=450&amp;WI","DTH=450&amp;START_MAXIMIZED=FALSE&amp;VAR:CALENDAR=US&amp;VAR:SYMBOL=SAPE&amp;VAR:INDEX=0"}</definedName>
    <definedName name="_68__FDSAUDITLINK__" hidden="1">{"fdsup://directions/FAT Viewer?action=UPDATE&amp;creator=factset&amp;DYN_ARGS=TRUE&amp;DOC_NAME=FAT:FQL_AUDITING_CLIENT_TEMPLATE.FAT&amp;display_string=Audit&amp;VAR:KEY=QJGDGREDEZ&amp;VAR:QUERY=RkZfU0hMRFJTX0VRKEFOTiwwKQ==&amp;WINDOW=FIRST_POPUP&amp;HEIGHT=450&amp;WIDTH=450&amp;START_MAXIMIZED=","FALSE&amp;VAR:CALENDAR=US&amp;VAR:SYMBOL=HRC&amp;VAR:INDEX=0"}</definedName>
    <definedName name="_68__FDSAUDITLINK___1" hidden="1">{"fdsup://directions/FAT Viewer?action=UPDATE&amp;creator=factset&amp;DYN_ARGS=TRUE&amp;DOC_NAME=FAT:FQL_AUDITING_CLIENT_TEMPLATE.FAT&amp;display_string=Audit&amp;VAR:KEY=QJGDGREDEZ&amp;VAR:QUERY=RkZfU0hMRFJTX0VRKEFOTiwwKQ==&amp;WINDOW=FIRST_POPUP&amp;HEIGHT=450&amp;WIDTH=450&amp;START_MAXIMIZED=","FALSE&amp;VAR:CALENDAR=US&amp;VAR:SYMBOL=HRC&amp;VAR:INDEX=0"}</definedName>
    <definedName name="_68__FDSAUDITLINK___2" hidden="1">{"fdsup://directions/FAT Viewer?action=UPDATE&amp;creator=factset&amp;DYN_ARGS=TRUE&amp;DOC_NAME=FAT:FQL_AUDITING_CLIENT_TEMPLATE.FAT&amp;display_string=Audit&amp;VAR:KEY=QJGDGREDEZ&amp;VAR:QUERY=RkZfU0hMRFJTX0VRKEFOTiwwKQ==&amp;WINDOW=FIRST_POPUP&amp;HEIGHT=450&amp;WIDTH=450&amp;START_MAXIMIZED=","FALSE&amp;VAR:CALENDAR=US&amp;VAR:SYMBOL=HRC&amp;VAR:INDEX=0"}</definedName>
    <definedName name="_680__FDSAUDITLINK__" hidden="1">{"fdsup://directions/FAT Viewer?action=UPDATE&amp;creator=factset&amp;DYN_ARGS=TRUE&amp;DOC_NAME=FAT:FQL_AUDITING_CLIENT_TEMPLATE.FAT&amp;display_string=Audit&amp;VAR:KEY=UHSXYPORUD&amp;VAR:QUERY=RkZfRU5UUlBSX1ZBTF9EQUlMWShOT1csLCwsVVNELCdESUwnKQ==&amp;WINDOW=FIRST_POPUP&amp;HEIGHT=450&amp;WI","DTH=450&amp;START_MAXIMIZED=FALSE&amp;VAR:CALENDAR=US&amp;VAR:SYMBOL=ACN&amp;VAR:INDEX=0"}</definedName>
    <definedName name="_681__FDSAUDITLINK__" hidden="1">{"fdsup://directions/FAT Viewer?action=UPDATE&amp;creator=factset&amp;DYN_ARGS=TRUE&amp;DOC_NAME=FAT:FQL_AUDITING_CLIENT_TEMPLATE.FAT&amp;display_string=Audit&amp;VAR:KEY=YVWJYDQHAV&amp;VAR:QUERY=RkZfRU5UUlBSX1ZBTF9EQUlMWShOT1csLCwsVVNELCdESUwnKQ==&amp;WINDOW=FIRST_POPUP&amp;HEIGHT=450&amp;WI","DTH=450&amp;START_MAXIMIZED=FALSE&amp;VAR:CALENDAR=US&amp;VAR:SYMBOL=ADP&amp;VAR:INDEX=0"}</definedName>
    <definedName name="_69__FDSAUDITLINK__"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69__FDSAUDITLINK___1"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69__FDSAUDITLINK___2" hidden="1">{"fdsup://directions/FAT Viewer?action=UPDATE&amp;creator=factset&amp;DYN_ARGS=TRUE&amp;DOC_NAME=FAT:FQL_AUDITING_CLIENT_TEMPLATE.FAT&amp;display_string=Audit&amp;VAR:KEY=UFKNODWFEV&amp;VAR:QUERY=RkZfREVCVChBTk4sMCk=&amp;WINDOW=FIRST_POPUP&amp;HEIGHT=450&amp;WIDTH=450&amp;START_MAXIMIZED=FALSE&amp;VA","R:CALENDAR=US&amp;VAR:SYMBOL=HRC&amp;VAR:INDEX=0"}</definedName>
    <definedName name="_7__FDSAUDITLINK__"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7__FDSAUDITLINK___1"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7__FDSAUDITLINK___2"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70__FDSAUDITLINK__"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0__FDSAUDITLINK___1"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0__FDSAUDITLINK___2"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1__FDSAUDITLINK__"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71__FDSAUDITLINK___1"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71__FDSAUDITLINK___2" hidden="1">{"fdsup://directions/FAT Viewer?action=UPDATE&amp;creator=factset&amp;DYN_ARGS=TRUE&amp;DOC_NAME=FAT:FQL_AUDITING_CLIENT_TEMPLATE.FAT&amp;display_string=Audit&amp;VAR:KEY=UPCHEHKTWT&amp;VAR:QUERY=RkZfU0hMRFJTX0VRKEFOTiwwKQ==&amp;WINDOW=FIRST_POPUP&amp;HEIGHT=450&amp;WIDTH=450&amp;START_MAXIMIZED=","FALSE&amp;VAR:CALENDAR=US&amp;VAR:SYMBOL=ABMD&amp;VAR:INDEX=0"}</definedName>
    <definedName name="_72__FDSAUDITLINK__"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2__FDSAUDITLINK___1"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2__FDSAUDITLINK___2" hidden="1">{"fdsup://directions/FAT Viewer?action=UPDATE&amp;creator=factset&amp;DYN_ARGS=TRUE&amp;DOC_NAME=FAT:FQL_AUDITING_CLIENT_TEMPLATE.FAT&amp;display_string=Audit&amp;VAR:KEY=STUXQNKPEF&amp;VAR:QUERY=RkZfREVCVChBTk4sMCk=&amp;WINDOW=FIRST_POPUP&amp;HEIGHT=450&amp;WIDTH=450&amp;START_MAXIMIZED=FALSE&amp;VA","R:CALENDAR=US&amp;VAR:SYMBOL=ABMD&amp;VAR:INDEX=0"}</definedName>
    <definedName name="_73__FDSAUDITLINK__"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73__FDSAUDITLINK___1"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73__FDSAUDITLINK___2"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74__FDSAUDITLINK__"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74__FDSAUDITLINK___1"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74__FDSAUDITLINK___2" hidden="1">{"fdsup://directions/FAT Viewer?action=UPDATE&amp;creator=factset&amp;DYN_ARGS=TRUE&amp;DOC_NAME=FAT:FQL_AUDITING_CLIENT_TEMPLATE.FAT&amp;display_string=Audit&amp;VAR:KEY=MZIRGRQDQT&amp;VAR:QUERY=RkZfRU5UUlBSX1ZBTF9EQUlMWShOT1csLCwsLCdESUwnKQ==&amp;WINDOW=FIRST_POPUP&amp;HEIGHT=450&amp;WIDTH=","450&amp;START_MAXIMIZED=FALSE&amp;VAR:CALENDAR=FIVEDAY&amp;VAR:SYMBOL=PACB&amp;VAR:INDEX=0"}</definedName>
    <definedName name="_75__FDSAUDITLINK__"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75__FDSAUDITLINK___1"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75__FDSAUDITLINK___2" hidden="1">{"fdsup://directions/FAT Viewer?action=UPDATE&amp;creator=factset&amp;DYN_ARGS=TRUE&amp;DOC_NAME=FAT:FQL_AUDITING_CLIENT_TEMPLATE.FAT&amp;display_string=Audit&amp;VAR:KEY=EZCLCRSDAP&amp;VAR:QUERY=RkZfRU5UUlBSX1ZBTF9EQUlMWShOT1csLCwsLCdESUwnKQ==&amp;WINDOW=FIRST_POPUP&amp;HEIGHT=450&amp;WIDTH=","450&amp;START_MAXIMIZED=FALSE&amp;VAR:CALENDAR=FIVEDAY&amp;VAR:SYMBOL=AFFX&amp;VAR:INDEX=0"}</definedName>
    <definedName name="_76__FDSAUDITLINK__"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76__FDSAUDITLINK___1"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76__FDSAUDITLINK___2" hidden="1">{"fdsup://directions/FAT Viewer?action=UPDATE&amp;creator=factset&amp;DYN_ARGS=TRUE&amp;DOC_NAME=FAT:FQL_AUDITING_CLIENT_TEMPLATE.FAT&amp;display_string=Audit&amp;VAR:KEY=OLOPGHWHAP&amp;VAR:QUERY=RkZfRU5UUlBSX1ZBTF9EQUlMWShOT1csLCwsLCdESUwnKQ==&amp;WINDOW=FIRST_POPUP&amp;HEIGHT=450&amp;WIDTH=","450&amp;START_MAXIMIZED=FALSE&amp;VAR:CALENDAR=FIVEDAY&amp;VAR:SYMBOL=BDX&amp;VAR:INDEX=0"}</definedName>
    <definedName name="_77__FDSAUDITLINK__"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77__FDSAUDITLINK___1"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77__FDSAUDITLINK___2" hidden="1">{"fdsup://directions/FAT Viewer?action=UPDATE&amp;creator=factset&amp;DYN_ARGS=TRUE&amp;DOC_NAME=FAT:FQL_AUDITING_CLIENT_TEMPLATE.FAT&amp;display_string=Audit&amp;VAR:KEY=ONQHQDUZKF&amp;VAR:QUERY=RkZfRU5UUlBSX1ZBTF9EQUlMWShOT1csLCwsLCdESUwnKQ==&amp;WINDOW=FIRST_POPUP&amp;HEIGHT=450&amp;WIDTH=","450&amp;START_MAXIMIZED=FALSE&amp;VAR:CALENDAR=FIVEDAY&amp;VAR:SYMBOL=BEC&amp;VAR:INDEX=0"}</definedName>
    <definedName name="_78__FDSAUDITLINK__"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78__FDSAUDITLINK___1"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78__FDSAUDITLINK___2" hidden="1">{"fdsup://directions/FAT Viewer?action=UPDATE&amp;creator=factset&amp;DYN_ARGS=TRUE&amp;DOC_NAME=FAT:FQL_AUDITING_CLIENT_TEMPLATE.FAT&amp;display_string=Audit&amp;VAR:KEY=GPYRITKBWH&amp;VAR:QUERY=RkZfRU5UUlBSX1ZBTF9EQUlMWShOT1csLCwsLCdESUwnKQ==&amp;WINDOW=FIRST_POPUP&amp;HEIGHT=450&amp;WIDTH=","450&amp;START_MAXIMIZED=FALSE&amp;VAR:CALENDAR=FIVEDAY&amp;VAR:SYMBOL=GPRO&amp;VAR:INDEX=0"}</definedName>
    <definedName name="_79__FDSAUDITLINK__"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79__FDSAUDITLINK___1"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79__FDSAUDITLINK___2" hidden="1">{"fdsup://directions/FAT Viewer?action=UPDATE&amp;creator=factset&amp;DYN_ARGS=TRUE&amp;DOC_NAME=FAT:FQL_AUDITING_CLIENT_TEMPLATE.FAT&amp;display_string=Audit&amp;VAR:KEY=UXUVUJWNOH&amp;VAR:QUERY=RkZfRU5UUlBSX1ZBTF9EQUlMWShOT1csLCwsLCdESUwnKQ==&amp;WINDOW=FIRST_POPUP&amp;HEIGHT=450&amp;WIDTH=","450&amp;START_MAXIMIZED=FALSE&amp;VAR:CALENDAR=FIVEDAY&amp;VAR:SYMBOL=HSP&amp;VAR:INDEX=0"}</definedName>
    <definedName name="_8__FDSAUDITLINK__" hidden="1">{"fdsup://directions/FAT Viewer?action=UPDATE&amp;creator=factset&amp;DYN_ARGS=TRUE&amp;DOC_NAME=FAT:FQL_AUDITING_CLIENT_TEMPLATE.FAT&amp;display_string=Audit&amp;VAR:KEY=OTKPETWXCN&amp;VAR:QUERY=RkZfU0hMRFJTX0VRKEFOTiwwKQ==&amp;WINDOW=FIRST_POPUP&amp;HEIGHT=450&amp;WIDTH=450&amp;START_MAXIMIZED=","FALSE&amp;VAR:CALENDAR=US&amp;VAR:SYMBOL=STJ&amp;VAR:INDEX=0"}</definedName>
    <definedName name="_8__FDSAUDITLINK___1" hidden="1">{"fdsup://directions/FAT Viewer?action=UPDATE&amp;creator=factset&amp;DYN_ARGS=TRUE&amp;DOC_NAME=FAT:FQL_AUDITING_CLIENT_TEMPLATE.FAT&amp;display_string=Audit&amp;VAR:KEY=OTKPETWXCN&amp;VAR:QUERY=RkZfU0hMRFJTX0VRKEFOTiwwKQ==&amp;WINDOW=FIRST_POPUP&amp;HEIGHT=450&amp;WIDTH=450&amp;START_MAXIMIZED=","FALSE&amp;VAR:CALENDAR=US&amp;VAR:SYMBOL=STJ&amp;VAR:INDEX=0"}</definedName>
    <definedName name="_8__FDSAUDITLINK___2" hidden="1">{"fdsup://directions/FAT Viewer?action=UPDATE&amp;creator=factset&amp;DYN_ARGS=TRUE&amp;DOC_NAME=FAT:FQL_AUDITING_CLIENT_TEMPLATE.FAT&amp;display_string=Audit&amp;VAR:KEY=OTKPETWXCN&amp;VAR:QUERY=RkZfU0hMRFJTX0VRKEFOTiwwKQ==&amp;WINDOW=FIRST_POPUP&amp;HEIGHT=450&amp;WIDTH=450&amp;START_MAXIMIZED=","FALSE&amp;VAR:CALENDAR=US&amp;VAR:SYMBOL=STJ&amp;VAR:INDEX=0"}</definedName>
    <definedName name="_80__FDSAUDITLINK__"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80__FDSAUDITLINK___1"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80__FDSAUDITLINK___2" hidden="1">{"fdsup://directions/FAT Viewer?action=UPDATE&amp;creator=factset&amp;DYN_ARGS=TRUE&amp;DOC_NAME=FAT:FQL_AUDITING_CLIENT_TEMPLATE.FAT&amp;display_string=Audit&amp;VAR:KEY=QDWBINOJIH&amp;VAR:QUERY=RkZfRU5UUlBSX1ZBTF9EQUlMWShOT1csLCwsLCdESUwnKQ==&amp;WINDOW=FIRST_POPUP&amp;HEIGHT=450&amp;WIDTH=","450&amp;START_MAXIMIZED=FALSE&amp;VAR:CALENDAR=FIVEDAY&amp;VAR:SYMBOL=MYGN&amp;VAR:INDEX=0"}</definedName>
    <definedName name="_81__FDSAUDITLINK__"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81__FDSAUDITLINK___1"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81__FDSAUDITLINK___2" hidden="1">{"fdsup://directions/FAT Viewer?action=UPDATE&amp;creator=factset&amp;DYN_ARGS=TRUE&amp;DOC_NAME=FAT:FQL_AUDITING_CLIENT_TEMPLATE.FAT&amp;display_string=Audit&amp;VAR:KEY=KPODUPWHYR&amp;VAR:QUERY=RkZfRU5UUlBSX1ZBTF9EQUlMWShOT1csLCwsLCdESUwnKQ==&amp;WINDOW=FIRST_POPUP&amp;HEIGHT=450&amp;WIDTH=","450&amp;START_MAXIMIZED=FALSE&amp;VAR:CALENDAR=FIVEDAY&amp;VAR:SYMBOL=QGEN&amp;VAR:INDEX=0"}</definedName>
    <definedName name="_82__FDSAUDITLINK__"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82__FDSAUDITLINK___1"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82__FDSAUDITLINK___2" hidden="1">{"fdsup://directions/FAT Viewer?action=UPDATE&amp;creator=factset&amp;DYN_ARGS=TRUE&amp;DOC_NAME=FAT:FQL_AUDITING_CLIENT_TEMPLATE.FAT&amp;display_string=Audit&amp;VAR:KEY=CBKNWDAHKJ&amp;VAR:QUERY=RkZfRU5UUlBSX1ZBTF9EQUlMWShOT1csLCwsLCdESUwnKQ==&amp;WINDOW=FIRST_POPUP&amp;HEIGHT=450&amp;WIDTH=","450&amp;START_MAXIMIZED=FALSE&amp;VAR:CALENDAR=FIVEDAY&amp;VAR:SYMBOL=BIO&amp;VAR:INDEX=0"}</definedName>
    <definedName name="_83__FDSAUDITLINK__"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83__FDSAUDITLINK___1"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83__FDSAUDITLINK___2" hidden="1">{"fdsup://directions/FAT Viewer?action=UPDATE&amp;creator=factset&amp;DYN_ARGS=TRUE&amp;DOC_NAME=FAT:FQL_AUDITING_CLIENT_TEMPLATE.FAT&amp;display_string=Audit&amp;VAR:KEY=UNOBIVMNGP&amp;VAR:QUERY=RkZfRU5UUlBSX1ZBTF9EQUlMWShOT1csLCwsLCdESUwnKQ==&amp;WINDOW=FIRST_POPUP&amp;HEIGHT=450&amp;WIDTH=","450&amp;START_MAXIMIZED=FALSE&amp;VAR:CALENDAR=FIVEDAY&amp;VAR:SYMBOL=DNEX&amp;VAR:INDEX=0"}</definedName>
    <definedName name="_84__FDSAUDITLINK__"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84__FDSAUDITLINK___1"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84__FDSAUDITLINK___2" hidden="1">{"fdsup://directions/FAT Viewer?action=UPDATE&amp;creator=factset&amp;DYN_ARGS=TRUE&amp;DOC_NAME=FAT:FQL_AUDITING_CLIENT_TEMPLATE.FAT&amp;display_string=Audit&amp;VAR:KEY=QPUPARQXUX&amp;VAR:QUERY=RkZfRU5UUlBSX1ZBTF9EQUlMWShOT1csLCwsLCdESUwnKQ==&amp;WINDOW=FIRST_POPUP&amp;HEIGHT=450&amp;WIDTH=","450&amp;START_MAXIMIZED=FALSE&amp;VAR:CALENDAR=FIVEDAY&amp;VAR:SYMBOL=LMNX&amp;VAR:INDEX=0"}</definedName>
    <definedName name="_85__FDSAUDITLINK__"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85__FDSAUDITLINK___1"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85__FDSAUDITLINK___2" hidden="1">{"fdsup://directions/FAT Viewer?action=UPDATE&amp;creator=factset&amp;DYN_ARGS=TRUE&amp;DOC_NAME=FAT:FQL_AUDITING_CLIENT_TEMPLATE.FAT&amp;display_string=Audit&amp;VAR:KEY=ENALIHQZUJ&amp;VAR:QUERY=RkZfRU5UUlBSX1ZBTF9EQUlMWShOT1csLCwsLCdESUwnKQ==&amp;WINDOW=FIRST_POPUP&amp;HEIGHT=450&amp;WIDTH=","450&amp;START_MAXIMIZED=FALSE&amp;VAR:CALENDAR=FIVEDAY&amp;VAR:SYMBOL=SIAL&amp;VAR:INDEX=0"}</definedName>
    <definedName name="_86__FDSAUDITLINK__"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86__FDSAUDITLINK___1"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86__FDSAUDITLINK___2" hidden="1">{"fdsup://directions/FAT Viewer?action=UPDATE&amp;creator=factset&amp;DYN_ARGS=TRUE&amp;DOC_NAME=FAT:FQL_AUDITING_CLIENT_TEMPLATE.FAT&amp;display_string=Audit&amp;VAR:KEY=EPWDAVAVWL&amp;VAR:QUERY=RkZfRU5UUlBSX1ZBTF9EQUlMWShOT1csLCwsLCdESUwnKQ==&amp;WINDOW=FIRST_POPUP&amp;HEIGHT=450&amp;WIDTH=","450&amp;START_MAXIMIZED=FALSE&amp;VAR:CALENDAR=FIVEDAY&amp;VAR:SYMBOL=TECH&amp;VAR:INDEX=0"}</definedName>
    <definedName name="_87__FDSAUDITLINK__"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87__FDSAUDITLINK___1"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87__FDSAUDITLINK___2" hidden="1">{"fdsup://directions/FAT Viewer?action=UPDATE&amp;creator=factset&amp;DYN_ARGS=TRUE&amp;DOC_NAME=FAT:FQL_AUDITING_CLIENT_TEMPLATE.FAT&amp;display_string=Audit&amp;VAR:KEY=CFMTMNEHCF&amp;VAR:QUERY=RkZfRU5UUlBSX1ZBTF9EQUlMWShOT1csLCwsLCdESUwnKQ==&amp;WINDOW=FIRST_POPUP&amp;HEIGHT=450&amp;WIDTH=","450&amp;START_MAXIMIZED=FALSE&amp;VAR:CALENDAR=FIVEDAY&amp;VAR:SYMBOL=ALR&amp;VAR:INDEX=0"}</definedName>
    <definedName name="_88__FDSAUDITLINK__"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88__FDSAUDITLINK___1"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88__FDSAUDITLINK___2" hidden="1">{"fdsup://directions/FAT Viewer?action=UPDATE&amp;creator=factset&amp;DYN_ARGS=TRUE&amp;DOC_NAME=FAT:FQL_AUDITING_CLIENT_TEMPLATE.FAT&amp;display_string=Audit&amp;VAR:KEY=CBUFQRWTMN&amp;VAR:QUERY=RkZfRU5UUlBSX1ZBTF9EQUlMWShOT1csLCwsLCdESUwnKQ==&amp;WINDOW=FIRST_POPUP&amp;HEIGHT=450&amp;WIDTH=","450&amp;START_MAXIMIZED=FALSE&amp;VAR:CALENDAR=FIVEDAY&amp;VAR:SYMBOL=GHDX&amp;VAR:INDEX=0"}</definedName>
    <definedName name="_89__FDSAUDITLINK__"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89__FDSAUDITLINK___1"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89__FDSAUDITLINK___2" hidden="1">{"fdsup://directions/FAT Viewer?action=UPDATE&amp;creator=factset&amp;DYN_ARGS=TRUE&amp;DOC_NAME=FAT:FQL_AUDITING_CLIENT_TEMPLATE.FAT&amp;display_string=Audit&amp;VAR:KEY=GFSNGJUZGB&amp;VAR:QUERY=RkZfRU5UUlBSX1ZBTF9EQUlMWShOT1csLCwsLCdESUwnKQ==&amp;WINDOW=FIRST_POPUP&amp;HEIGHT=450&amp;WIDTH=","450&amp;START_MAXIMIZED=FALSE&amp;VAR:CALENDAR=FIVEDAY&amp;VAR:SYMBOL=CPHD&amp;VAR:INDEX=0"}</definedName>
    <definedName name="_9__FDSAUDITLINK__"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9__FDSAUDITLINK___1"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9__FDSAUDITLINK___2" hidden="1">{"fdsup://directions/FAT Viewer?action=UPDATE&amp;creator=factset&amp;DYN_ARGS=TRUE&amp;DOC_NAME=FAT:FQL_AUDITING_CLIENT_TEMPLATE.FAT&amp;display_string=Audit&amp;VAR:KEY=UFOZKPGNCL&amp;VAR:QUERY=RkZfREVCVChBTk4sMCk=&amp;WINDOW=FIRST_POPUP&amp;HEIGHT=450&amp;WIDTH=450&amp;START_MAXIMIZED=FALSE&amp;VA","R:CALENDAR=US&amp;VAR:SYMBOL=STJ&amp;VAR:INDEX=0"}</definedName>
    <definedName name="_90__FDSAUDITLINK__"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90__FDSAUDITLINK___1"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90__FDSAUDITLINK___2" hidden="1">{"fdsup://directions/FAT Viewer?action=UPDATE&amp;creator=factset&amp;DYN_ARGS=TRUE&amp;DOC_NAME=FAT:FQL_AUDITING_CLIENT_TEMPLATE.FAT&amp;display_string=Audit&amp;VAR:KEY=YHONQXAZSR&amp;VAR:QUERY=RkZfRU5UUlBSX1ZBTF9EQUlMWShOT1csLCwsLCdESUwnKQ==&amp;WINDOW=FIRST_POPUP&amp;HEIGHT=450&amp;WIDTH=","450&amp;START_MAXIMIZED=FALSE&amp;VAR:CALENDAR=FIVEDAY&amp;VAR:SYMBOL=VIVO&amp;VAR:INDEX=0"}</definedName>
    <definedName name="_91__FDSAUDITLINK__"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91__FDSAUDITLINK___1"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91__FDSAUDITLINK___2" hidden="1">{"fdsup://directions/FAT Viewer?action=UPDATE&amp;creator=factset&amp;DYN_ARGS=TRUE&amp;DOC_NAME=FAT:FQL_AUDITING_CLIENT_TEMPLATE.FAT&amp;display_string=Audit&amp;VAR:KEY=KDCPCRGJOX&amp;VAR:QUERY=RkZfRU5UUlBSX1ZBTF9EQUlMWShOT1csLCwsLCdESUwnKQ==&amp;WINDOW=FIRST_POPUP&amp;HEIGHT=450&amp;WIDTH=","450&amp;START_MAXIMIZED=FALSE&amp;VAR:CALENDAR=FIVEDAY&amp;VAR:SYMBOL=ILMN&amp;VAR:INDEX=0"}</definedName>
    <definedName name="_92__FDSAUDITLINK__"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92__FDSAUDITLINK___1"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92__FDSAUDITLINK___2" hidden="1">{"fdsup://directions/FAT Viewer?action=UPDATE&amp;creator=factset&amp;DYN_ARGS=TRUE&amp;DOC_NAME=FAT:FQL_AUDITING_CLIENT_TEMPLATE.FAT&amp;display_string=Audit&amp;VAR:KEY=WNEPKPEBAB&amp;VAR:QUERY=RkZfRU5UUlBSX1ZBTF9EQUlMWShOT1csLCwsLCdESUwnKQ==&amp;WINDOW=FIRST_POPUP&amp;HEIGHT=450&amp;WIDTH=","450&amp;START_MAXIMIZED=FALSE&amp;VAR:CALENDAR=FIVEDAY&amp;VAR:SYMBOL=LIFE&amp;VAR:INDEX=0"}</definedName>
    <definedName name="_93__FDSAUDITLINK__"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93__FDSAUDITLINK___1"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93__FDSAUDITLINK___2" hidden="1">{"fdsup://directions/FAT Viewer?action=UPDATE&amp;creator=factset&amp;DYN_ARGS=TRUE&amp;DOC_NAME=FAT:FQL_AUDITING_CLIENT_TEMPLATE.FAT&amp;display_string=Audit&amp;VAR:KEY=WHUFCHOVAN&amp;VAR:QUERY=RkZfRU5UUlBSX1ZBTF9EQUlMWShOT1csLCwsLCdESUwnKQ==&amp;WINDOW=FIRST_POPUP&amp;HEIGHT=450&amp;WIDTH=","450&amp;START_MAXIMIZED=FALSE&amp;VAR:CALENDAR=FIVEDAY&amp;VAR:SYMBOL=WAT&amp;VAR:INDEX=0"}</definedName>
    <definedName name="_94__FDSAUDITLINK__"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94__FDSAUDITLINK___1"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94__FDSAUDITLINK___2" hidden="1">{"fdsup://directions/FAT Viewer?action=UPDATE&amp;creator=factset&amp;DYN_ARGS=TRUE&amp;DOC_NAME=FAT:FQL_AUDITING_CLIENT_TEMPLATE.FAT&amp;display_string=Audit&amp;VAR:KEY=CBYLCVWFIZ&amp;VAR:QUERY=RkZfRU5UUlBSX1ZBTF9EQUlMWShOT1csLCwsLCdESUwnKQ==&amp;WINDOW=FIRST_POPUP&amp;HEIGHT=450&amp;WIDTH=","450&amp;START_MAXIMIZED=FALSE&amp;VAR:CALENDAR=FIVEDAY&amp;VAR:SYMBOL=TMO&amp;VAR:INDEX=0"}</definedName>
    <definedName name="_95__FDSAUDITLINK__"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95__FDSAUDITLINK___1"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95__FDSAUDITLINK___2" hidden="1">{"fdsup://directions/FAT Viewer?action=UPDATE&amp;creator=factset&amp;DYN_ARGS=TRUE&amp;DOC_NAME=FAT:FQL_AUDITING_CLIENT_TEMPLATE.FAT&amp;display_string=Audit&amp;VAR:KEY=CHSVMLSVYH&amp;VAR:QUERY=RkZfRU5UUlBSX1ZBTF9EQUlMWShOT1csLCwsLCdESUwnKQ==&amp;WINDOW=FIRST_POPUP&amp;HEIGHT=450&amp;WIDTH=","450&amp;START_MAXIMIZED=FALSE&amp;VAR:CALENDAR=FIVEDAY&amp;VAR:SYMBOL=BRKR&amp;VAR:INDEX=0"}</definedName>
    <definedName name="_96__FDSAUDITLINK__"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96__FDSAUDITLINK___1"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96__FDSAUDITLINK___2" hidden="1">{"fdsup://directions/FAT Viewer?action=UPDATE&amp;creator=factset&amp;DYN_ARGS=TRUE&amp;DOC_NAME=FAT:FQL_AUDITING_CLIENT_TEMPLATE.FAT&amp;display_string=Audit&amp;VAR:KEY=OZKRUNWHIL&amp;VAR:QUERY=RkZfRU5UUlBSX1ZBTF9EQUlMWShOT1csLCwsLCdESUwnKQ==&amp;WINDOW=FIRST_POPUP&amp;HEIGHT=450&amp;WIDTH=","450&amp;START_MAXIMIZED=FALSE&amp;VAR:CALENDAR=FIVEDAY&amp;VAR:SYMBOL=MTD&amp;VAR:INDEX=0"}</definedName>
    <definedName name="_97__FDSAUDITLINK__"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97__FDSAUDITLINK___1"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97__FDSAUDITLINK___2" hidden="1">{"fdsup://directions/FAT Viewer?action=UPDATE&amp;creator=factset&amp;DYN_ARGS=TRUE&amp;DOC_NAME=FAT:FQL_AUDITING_CLIENT_TEMPLATE.FAT&amp;display_string=Audit&amp;VAR:KEY=EFKFOZQBKX&amp;VAR:QUERY=RkZfRU5UUlBSX1ZBTF9EQUlMWShOT1csLCwsLCdESUwnKQ==&amp;WINDOW=FIRST_POPUP&amp;HEIGHT=450&amp;WIDTH=","450&amp;START_MAXIMIZED=FALSE&amp;VAR:CALENDAR=FIVEDAY&amp;VAR:SYMBOL=PKI&amp;VAR:INDEX=0"}</definedName>
    <definedName name="_98__FDSAUDITLINK__"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98__FDSAUDITLINK___1"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98__FDSAUDITLINK___2" hidden="1">{"fdsup://directions/FAT Viewer?action=UPDATE&amp;creator=factset&amp;DYN_ARGS=TRUE&amp;DOC_NAME=FAT:FQL_AUDITING_CLIENT_TEMPLATE.FAT&amp;display_string=Audit&amp;VAR:KEY=AZYZAZOHSN&amp;VAR:QUERY=RkZfRU5UUlBSX1ZBTF9EQUlMWShOT1csLCwsLCdESUwnKQ==&amp;WINDOW=FIRST_POPUP&amp;HEIGHT=450&amp;WIDTH=","450&amp;START_MAXIMIZED=FALSE&amp;VAR:CALENDAR=FIVEDAY&amp;VAR:SYMBOL=A&amp;VAR:INDEX=0"}</definedName>
    <definedName name="_99__FDSAUDITLINK__"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99__FDSAUDITLINK___1"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99__FDSAUDITLINK___2" hidden="1">{"fdsup://directions/FAT Viewer?action=UPDATE&amp;creator=factset&amp;DYN_ARGS=TRUE&amp;DOC_NAME=FAT:FQL_AUDITING_CLIENT_TEMPLATE.FAT&amp;display_string=Audit&amp;VAR:KEY=ELINIDUNIT&amp;VAR:QUERY=RkZfRU5UUlBSX1ZBTF9EQUlMWShOT1csLCwsLCdESUwnKQ==&amp;WINDOW=FIRST_POPUP&amp;HEIGHT=450&amp;WIDTH=","450&amp;START_MAXIMIZED=FALSE&amp;VAR:CALENDAR=FIVEDAY&amp;VAR:SYMBOL=ZIGO&amp;VAR:INDEX=0"}</definedName>
    <definedName name="_bdm.00146C6ACD63468F807A80B2DA171479.edm" hidden="1" xml:space="preserve">           [1]Local!$A:$IV</definedName>
    <definedName name="_bdm.00FE5325C2784BB4AF1DBD0AB5D58382.edm" hidden="1">[2]Warrant3!$A:$IV</definedName>
    <definedName name="_bdm.0269BB9FDBE44521A1E97B464B705FD0.edm" hidden="1" xml:space="preserve">          '[3]Revenue Model'!$A:$IV</definedName>
    <definedName name="_bdm.0292212C28DE40B6822DA12D42D09C34.edm" hidden="1">'[4]MSCI banks'!$A:$IV</definedName>
    <definedName name="_bdm.02984F0949AE4C018E4BDB4BDE2C541A.edm" hidden="1" xml:space="preserve">           [1]Exhibits!$A:$IV</definedName>
    <definedName name="_bdm.02F0F185A6734AFC8F25F9A41E602DED.edm" hidden="1">'[2]Trading Hours'!$A:$IV</definedName>
    <definedName name="_bdm.04E3DF6A1B044E6D9CA9607C5CE9891A.edm" hidden="1" xml:space="preserve">          [5]Valuation!$A:$IV</definedName>
    <definedName name="_bdm.051886E9099E486983A98611AACF1B74.edm" hidden="1" xml:space="preserve">           [1]Local!$A:$IV</definedName>
    <definedName name="_bdm.0587DB142F3C4FB6BC790AE20E7DDABA.edm" hidden="1" xml:space="preserve">          [3]DCF!$A:$IV</definedName>
    <definedName name="_bdm.058E8C5177D64766A8EC1223E1C815BC.edm" hidden="1" xml:space="preserve">           [1]Exhibits!$A:$IV</definedName>
    <definedName name="_bdm.063B616EC5BF45FC8666183BBE26B832.edm" hidden="1" xml:space="preserve">          '[3]Revenue Model'!$A:$IV</definedName>
    <definedName name="_bdm.070F8E7A6AED414A95467727792A7AEC.edm" hidden="1" xml:space="preserve">          [3]MXB2!$A:$IV</definedName>
    <definedName name="_bdm.07373FBB8F404F1F9185351960AC6DDD.edm" hidden="1">'[2]Short Selling'!$A:$IV</definedName>
    <definedName name="_bdm.07D4D36BC84647509EAAAF1EDB97FC79.edm" hidden="1" xml:space="preserve">          [5]Valuation!$A:$IV</definedName>
    <definedName name="_bdm.091A450B41C348A3B1070FC5B866E493.edm" hidden="1" xml:space="preserve">          [5]Valuation!$A:$IV</definedName>
    <definedName name="_bdm.093B399FA2844A6AAF581895C037E4EC.edm" hidden="1" xml:space="preserve">          [3]MXB2!$A:$IV</definedName>
    <definedName name="_bdm.09A90EC2F1824ED191325987D785390C.edm" hidden="1" xml:space="preserve">          [3]MXB2!$A:$IV</definedName>
    <definedName name="_bdm.09D6BD95D3984FF89A007E38111449EB.edm" hidden="1" xml:space="preserve">          '[3]Revenue Model'!$A:$IV</definedName>
    <definedName name="_bdm.09EC007E534143DD93C0D827577354F5.edm" hidden="1" xml:space="preserve">          [5]Valuation!$A:$IV</definedName>
    <definedName name="_bdm.0B2ED2025A814743B9330051D5002C27.edm" hidden="1" xml:space="preserve">          [5]Valuation!$A:$IV</definedName>
    <definedName name="_bdm.0BA544B2E35447BE888CF155A1107DAD.edm" hidden="1" xml:space="preserve">           [1]Cover!$A:$IV</definedName>
    <definedName name="_bdm.0BE50A0D989043159FCDBD845EF6E143.edm" hidden="1" xml:space="preserve">           [1]S!$A:$IV</definedName>
    <definedName name="_bdm.0C2DC35467B04863A3E2E46D4E060C35.edm" hidden="1" xml:space="preserve">          [3]MXB2!$A:$IV</definedName>
    <definedName name="_bdm.0C32B27F26F745599946AD875FE5D9BD.edm" hidden="1">'[6]Price vs Index'!$A:$IV</definedName>
    <definedName name="_bdm.0C7999722BF34E96AA66E2DC990CCA13.edm" hidden="1" xml:space="preserve">          '[3]Mult Valuation'!$A:$IV</definedName>
    <definedName name="_bdm.0DCC584D070C42498BC9AB5FBAD8EF93.edm" hidden="1">'[7]BEA - div yield vs HIBOR'!$A:$IV</definedName>
    <definedName name="_bdm.0DE6543761954036B24CD9E6771B39C4.edm" hidden="1">[2]Pipeline!$A:$IV</definedName>
    <definedName name="_bdm.0E2F17F6FD274CC19494DD8130642489.edm" hidden="1" xml:space="preserve">          [3]MXB2!$A:$IV</definedName>
    <definedName name="_bdm.0F07E1C08A374774AAD0074CB9EF13FD.edm" hidden="1" xml:space="preserve">          [5]Valuation!$A:$IV</definedName>
    <definedName name="_bdm.0FD8048FEE964E17BA2ABF37F25B2172.edm" hidden="1" xml:space="preserve">           [1]Exhibits!$A:$IV</definedName>
    <definedName name="_bdm.1025FD0578504C65B1F672A14FFAC553.edm" hidden="1">'[2]Cofficient of Var'!$A:$IV</definedName>
    <definedName name="_bdm.112E6CFFD9C84168A99BC03D5723109A.edm" hidden="1" xml:space="preserve">          '[3]Revenue Model'!$A:$IV</definedName>
    <definedName name="_bdm.11CF242A429240EEBCC408F7E9D797DF.edm" hidden="1" xml:space="preserve">           [1]Exhibits!$A:$IV</definedName>
    <definedName name="_bdm.125FF296AD474AB1BFBE0BAA046A8317.edm" hidden="1">'[6]Since inititaion'!$A:$IV</definedName>
    <definedName name="_bdm.140FC5728ACF493CB4ADF3C0781551E5.edm" hidden="1" xml:space="preserve">           [1]Wireless!$A:$IV</definedName>
    <definedName name="_bdm.1476C14EB0AB4DE29AC5E133478BBCF5.edm" hidden="1" xml:space="preserve">          '[3]Revenue Model'!$A:$IV</definedName>
    <definedName name="_bdm.14C46E6A9B7F40A8AA19C7192BE089D8.edm" hidden="1" xml:space="preserve">           [1]Exhibits!$A:$IV</definedName>
    <definedName name="_bdm.14F8E278778B493ABF809E1644A8830C.edm" hidden="1" xml:space="preserve">           [1]Wireless!$A:$IV</definedName>
    <definedName name="_bdm.1515CC40A2D74785BF64E72BCCB133C2.edm" hidden="1" xml:space="preserve">          '[3]Revenue Model'!$A:$IV</definedName>
    <definedName name="_bdm.184BD9E118E64B928E45032CF6929A99.edm" hidden="1" xml:space="preserve">          [3]MXB2!$A:$IV</definedName>
    <definedName name="_bdm.184E5A80923A459884BC65217B45208D.edm" hidden="1" xml:space="preserve">          [3]MXB2!$A:$IV</definedName>
    <definedName name="_bdm.189AE90E269B442292D3CB51691DE25E.edm" hidden="1" xml:space="preserve">          [5]Valuation!$A:$IV</definedName>
    <definedName name="_bdm.18EF3677CD774863AC4076DB2308C485.edm" hidden="1" xml:space="preserve">          [3]DCF!$A:$IV</definedName>
    <definedName name="_bdm.193949E699DF43FAB4D8E168612CC7B5.edm" hidden="1" xml:space="preserve">          [3]DCF!$A:$IV</definedName>
    <definedName name="_bdm.195E7D57D8484A4EBE38F1B4E272F9DE.edm" hidden="1" xml:space="preserve">          [3]MXB2!$A:$IV</definedName>
    <definedName name="_bdm.19744BEE00FD45F189D00372E9DF20D8.edm" hidden="1" xml:space="preserve">          [5]Valuation!$A:$IV</definedName>
    <definedName name="_bdm.1A4D8E5D827F47ED90C9D38B10C8292A.edm" hidden="1">'[2]Mkt Cap to GDP'!$A:$IV</definedName>
    <definedName name="_bdm.1B17ACBBBFE34CB699C4F81867851226.edm" hidden="1">'[4]5-1. Model Portfolio'!$A:$IV</definedName>
    <definedName name="_bdm.1C8A62567FC64CDE85891148CF753F31.edm" hidden="1" xml:space="preserve">                    Variance!$1:$1048576</definedName>
    <definedName name="_bdm.1D230FDE44604FA5ACCDE4E35908048A.edm" hidden="1" xml:space="preserve">          [5]Valuation!$A:$IV</definedName>
    <definedName name="_bdm.1EA8BC48610945B1B3DAEE52416CB1F9.edm" hidden="1" xml:space="preserve">          '[3]Perf Stats_old'!$A:$IV</definedName>
    <definedName name="_bdm.1F1CA53A0C094BCBA4F84E89DDE29EBE.edm" hidden="1" xml:space="preserve">          Variance!$1:$1048576</definedName>
    <definedName name="_bdm.1F8DF710A3A3499A945313452C04B467.edm" hidden="1">'[4]USD Price'!$A:$IV</definedName>
    <definedName name="_bdm.2011B747E14E432DB39E90189FE30E39.edm" hidden="1" xml:space="preserve">          [3]MXB2!$A:$IV</definedName>
    <definedName name="_bdm.20AAB73056E74D7BB5B12CE31D08F1CF.edm" hidden="1" xml:space="preserve">          [5]Valuation!$A:$IV</definedName>
    <definedName name="_bdm.21ADA4A0547542F3BAD559E3F1983685.edm" hidden="1">[2]IBES!$A:$IV</definedName>
    <definedName name="_bdm.2210D5CE904D4F5D9D82FE9627CDCDCE.edm" hidden="1" xml:space="preserve">          [3]MXB2!$A:$IV</definedName>
    <definedName name="_bdm.226656E5682349F8B0407D4EB39F4149.edm" hidden="1" xml:space="preserve">          [5]Valuation!$A:$IV</definedName>
    <definedName name="_bdm.2274C19CB75342B4BBED990C6F6C51AE.edm" hidden="1" xml:space="preserve">          [3]DCF!$A:$IV</definedName>
    <definedName name="_bdm.22EFFDB9847C4CF08839CE42C208BFA3.edm" hidden="1" xml:space="preserve">           [1]GMG!$A:$IV</definedName>
    <definedName name="_bdm.2305A656A4D24C49AA0E4B3053A5A57A.edm" hidden="1" xml:space="preserve">          '[3]Mult Valuation'!$A:$IV</definedName>
    <definedName name="_bdm.2318CFD3D64342EFA180CC616C1929B8.edm" hidden="1" xml:space="preserve">           [1]GMG!$A:$IV</definedName>
    <definedName name="_bdm.2349FFA37153473DBD13B4C9DBA22326.edm" hidden="1" xml:space="preserve">          '[3]Revenue Model'!$A:$IV</definedName>
    <definedName name="_bdm.243DB1CCEE6D47C1909C0AFC7FBD3226.edm" hidden="1" xml:space="preserve">          [5]DCF!$A:$IV</definedName>
    <definedName name="_bdm.24D6FD0FFE284605A8B2F3E973C63284.edm" hidden="1">'[6]Turnover daily'!$A:$IV</definedName>
    <definedName name="_bdm.2546FE15AA7843CDB82DD5060C414ED9.edm" hidden="1" xml:space="preserve">          [3]MXB2!$A:$IV</definedName>
    <definedName name="_bdm.25636613201A46C5975E1D9B9DE746CA.edm" hidden="1" xml:space="preserve">          [3]MXB2!$A:$IV</definedName>
    <definedName name="_bdm.257C67D69B474F729FFEEB24E120205D.edm" hidden="1">'[7]Div Yield'!$A:$IV</definedName>
    <definedName name="_bdm.25FC4E355817422F859BA0B32E4580AA.edm" hidden="1">[7]PPPE!$A:$IV</definedName>
    <definedName name="_bdm.2611332EBFD8432DBC7525C17CEB1C0E.edm" hidden="1" xml:space="preserve">          '[3]Revenue Model'!$A:$IV</definedName>
    <definedName name="_bdm.2742C4AC2A584BD3983713ED2874AB01.edm" hidden="1" xml:space="preserve">          [3]MXB2!$A:$IV</definedName>
    <definedName name="_bdm.276718C36C9E44A9A7D1C47003DFB6DA.edm" hidden="1" xml:space="preserve">          [3]MXB2!$A:$IV</definedName>
    <definedName name="_bdm.27E0E182FE814A0EB205BA017487DBCC.edm" hidden="1" xml:space="preserve">           [1]Exhibits!$A:$IV</definedName>
    <definedName name="_bdm.2868658698A4449EAC1BEF445F119DDE.edm" hidden="1">'[2]Mkt Cap, Listed co, Turnover'!$A:$IV</definedName>
    <definedName name="_bdm.28C63C90176D4AC68FC2F6F0219367EE.edm" hidden="1" xml:space="preserve">          [3]MXB2!$A:$IV</definedName>
    <definedName name="_bdm.2997EDE4C6554AA7A7E70E056F21B40E.edm" hidden="1">'[6]Future Vol'!$A:$IV</definedName>
    <definedName name="_bdm.2AE8CF9C56CE472ABFB30201BCAB9D9E.edm" hidden="1" xml:space="preserve">          [5]Valuation!$A:$IV</definedName>
    <definedName name="_bdm.2B3517DD371440A893CA6B93A01E58FE.edm" hidden="1" xml:space="preserve">          '[3]Mult Valuation'!$A:$IV</definedName>
    <definedName name="_bdm.2B8F912ABBF3400DA857783C1D4E95E4.edm" hidden="1">'[6]Listing fee'!$A:$IV</definedName>
    <definedName name="_bdm.2C17E6C2964B4BB9A4D07856C5553F14.edm" hidden="1">[8]Price!$A:$IV</definedName>
    <definedName name="_bdm.2C5300D7B06E409483A24717C21F321B.edm" hidden="1" xml:space="preserve">           [1]Exhibits!$A:$IV</definedName>
    <definedName name="_bdm.2CEC188415F8411980F80ECE28E8FD90.edm" hidden="1" xml:space="preserve">          [5]Valuation!$A:$IV</definedName>
    <definedName name="_bdm.2D132C38A1E3471093AF895361544202.edm" hidden="1" xml:space="preserve">          '[3]Perf Stats_old'!$A:$IV</definedName>
    <definedName name="_bdm.2D49945FA2DF4C3FB9368CF9E3F017F0.edm" hidden="1" xml:space="preserve">          [3]MXB2!$A:$IV</definedName>
    <definedName name="_bdm.2DD478D60D7842198BF2BF1B458100E9.edm" hidden="1" xml:space="preserve">          [3]MXB2!$A:$IV</definedName>
    <definedName name="_bdm.2E9584F117B54365AAC9D0798BF61F5D.edm" hidden="1" xml:space="preserve">          [3]DCF!$A:$IV</definedName>
    <definedName name="_bdm.2FB02F1F2F8B4B2EB64038229DC4F55F.edm" hidden="1" xml:space="preserve">          [3]MXB2!$A:$IV</definedName>
    <definedName name="_bdm.309F4850D7124EEBA4CEBB53DA9C9F30.edm" hidden="1">[4]Regional!$A:$IV</definedName>
    <definedName name="_bdm.30F0328680974FC79886957A4B600A57.edm" hidden="1" xml:space="preserve">          Variance!$1:$1048576</definedName>
    <definedName name="_bdm.31201B23DA4A4B139B179F7F521624F7.edm" hidden="1" xml:space="preserve">          [5]DCF!$A:$IV</definedName>
    <definedName name="_bdm.3137FA33A8EC49359E3627B6CB743DD9.edm" hidden="1" xml:space="preserve">          [3]DCF!$A:$IV</definedName>
    <definedName name="_bdm.321BACE42F2B4207A01E1D07251E642C.edm" hidden="1">'[4]Loan, Deposit and GDP'!$A:$IV</definedName>
    <definedName name="_bdm.326718603B074D0CB07BDF7BC527D2F0.edm" hidden="1" xml:space="preserve">           [1]Wireless!$A:$IV</definedName>
    <definedName name="_bdm.33408B97837E41A0AB3BBED74D8E5041.edm" hidden="1" xml:space="preserve">          [3]MXB2!$A:$IV</definedName>
    <definedName name="_bdm.3352FF8F15E24A63AA081F94573DCACA.edm" hidden="1" xml:space="preserve">          [5]DCF!$A:$IV</definedName>
    <definedName name="_bdm.33B99F878E21400B8E2ED274C3C9B537.edm" hidden="1">'[2]GDP g'!$A:$IV</definedName>
    <definedName name="_bdm.34AEFE83D55F4EFF87811E0ECB6C3AF7.edm" hidden="1" xml:space="preserve">          [3]DCF!$A:$IV</definedName>
    <definedName name="_bdm.35653730A9194052B42C10F5C62F46D6.edm" hidden="1" xml:space="preserve">          [3]MXB2!$A:$IV</definedName>
    <definedName name="_bdm.3667387D5D8B4FB38AB9B5F859EDCC01.edm" hidden="1" xml:space="preserve">           [1]Exhibits!$A:$IV</definedName>
    <definedName name="_bdm.369F62A9B5494CC691E6C6CAAB559F71.edm" hidden="1" xml:space="preserve">          [3]MXB2!$A:$IV</definedName>
    <definedName name="_bdm.36DEC65121A04015B8C77FF2D78BA3A7.edm" hidden="1">'[7]Presentation Table'!$A:$IV</definedName>
    <definedName name="_bdm.370B0D8722AB4B7D95C7CD807FD7E86F.edm" hidden="1" xml:space="preserve">          [3]MXB2!$A:$IV</definedName>
    <definedName name="_bdm.396AD117D548432A85F6679C88EF8A61.edm" hidden="1" xml:space="preserve">          [5]Valuation!$A:$IV</definedName>
    <definedName name="_bdm.396DD2F2D95D42AE8DF7CCBF99155ECF.edm" hidden="1" xml:space="preserve">          '[3]Revenue Model'!$A:$IV</definedName>
    <definedName name="_bdm.39C1DDE6DA4747718231B5D0BCE505D3.edm" hidden="1" xml:space="preserve">          [3]MXB2!$A:$IV</definedName>
    <definedName name="_bdm.3B65156ECF824823958A8140B2B041F2.edm" hidden="1">'[7]PE History'!$A:$IV</definedName>
    <definedName name="_bdm.3B88D154053343478BBBA564E2C28EF1.edm" hidden="1">'[2]Derivative Exchanges'!$A:$IV</definedName>
    <definedName name="_bdm.3B8DFE89764B4728AA6559E185CFEA58.edm" hidden="1" xml:space="preserve">          [3]MXB2!$A:$IV</definedName>
    <definedName name="_bdm.3BBA2760A3974CF595ABCE177339207D.edm" hidden="1" xml:space="preserve">           [1]S!$A:$IV</definedName>
    <definedName name="_bdm.3BF9C7D933B240FE81E0F15FDC9011DC.edm" hidden="1" xml:space="preserve">          [5]Valuation!$A:$IV</definedName>
    <definedName name="_bdm.3C6E5DBE55D34BB3844DD951DA2976EC.edm" hidden="1" xml:space="preserve">          Variance!$1:$1048576</definedName>
    <definedName name="_bdm.3D97838063614FB38BE0DC92D79E2FC8.edm" hidden="1" xml:space="preserve">          [3]MXB2!$A:$IV</definedName>
    <definedName name="_bdm.3DD8342ECB4642E7B9306AA40FFC8B04.edm" hidden="1" xml:space="preserve">          [3]MXB2!$A:$IV</definedName>
    <definedName name="_bdm.3DEA0C3203A44D5494C0457E7FF22D3A.edm" hidden="1">'[7]Mkt Cap by Current Earnings'!$A:$IV</definedName>
    <definedName name="_bdm.3E4371C3C5EE4AE3BC3CEBCEDF5B8867.edm" hidden="1" xml:space="preserve">           [1]Exhibits!$A:$IV</definedName>
    <definedName name="_bdm.3EB754FBEE744140A2F233813ED9F178.edm" hidden="1" xml:space="preserve">          [3]DCF!$A:$IV</definedName>
    <definedName name="_bdm.3FADAFC00ADC4F84A7F0AE64E118B146.edm" hidden="1" xml:space="preserve">           [1]Exhibits!$A:$IV</definedName>
    <definedName name="_bdm.3FE42FDEA75B4C4481D9430287843E35.edm" hidden="1" xml:space="preserve">          [3]Variance!$A:$IV</definedName>
    <definedName name="_bdm.403EAB884EA84545A582384975EFF8FF.edm" hidden="1" xml:space="preserve">          [5]Valuation!$A:$IV</definedName>
    <definedName name="_bdm.409E7F77036E4AB4A5AB8430DE6C968C.edm" hidden="1">'[7]Price Band (large)'!$A:$IV</definedName>
    <definedName name="_bdm.40CA62E511A44D779E1C23320FC94AAA.edm" hidden="1">'[7]HSB - div yield vs HIBOR'!$A:$IV</definedName>
    <definedName name="_bdm.40F800A1CB4B43BB821C9175462660D7.edm" hidden="1" xml:space="preserve">          [5]Valuation!$A:$IV</definedName>
    <definedName name="_bdm.413EFAA1F3EB4740BAE21EEB4CBDB028.edm" hidden="1" xml:space="preserve">          [3]MXB2!$A:$IV</definedName>
    <definedName name="_bdm.414915ED6FCF4A429DAE281875EE7F6A.edm" hidden="1" xml:space="preserve">          '[3]Revenue Model'!$A:$IV</definedName>
    <definedName name="_bdm.41D8A2FDBE5049FE9D1C9D49AF03595F.edm" hidden="1" xml:space="preserve">           [1]Cover!$A:$IV</definedName>
    <definedName name="_bdm.4346E5B9B494483C86C4ABACA0C94D9C.edm" hidden="1" xml:space="preserve">          [3]MXB2!$A:$IV</definedName>
    <definedName name="_bdm.437258194B494A36ADA24D7586EB7605.edm" hidden="1" xml:space="preserve">           [1]S!$A:$IV</definedName>
    <definedName name="_bdm.444EA1490B954FBEB1407D3F563F71DA.edm" hidden="1" xml:space="preserve">           [1]Exhibits!$A:$IV</definedName>
    <definedName name="_bdm.44B83624E2994CB3B003341BF6BD1780.edm" hidden="1">'[2]Revenue mix'!$A:$IV</definedName>
    <definedName name="_bdm.44C01847BDF4421CBD5E9EE2EA6F9A51.edm" hidden="1" xml:space="preserve">          [3]DCF!$A:$IV</definedName>
    <definedName name="_bdm.44E099BA93214F4E94108899CDFD0BE1.edm" hidden="1" xml:space="preserve">          '[3]Perf Stats_old'!$A:$IV</definedName>
    <definedName name="_bdm.44F3798966ED44CD9832B0C154B3C20D.edm" hidden="1" xml:space="preserve">          Variance!$1:$1048576</definedName>
    <definedName name="_bdm.46756A06D632441A8226E23B5F26A429.edm" hidden="1" xml:space="preserve">          [5]Valuation!$A:$IV</definedName>
    <definedName name="_bdm.46A05F3FE5494EAF9122A3A6EDEF383E.edm" hidden="1" xml:space="preserve">          [5]DCF!$A:$IV</definedName>
    <definedName name="_bdm.46B02291B1B54D208A03CD553607EA39.edm" hidden="1" xml:space="preserve">          [5]Valuation!$A:$IV</definedName>
    <definedName name="_bdm.46D24ADBCDCC4A1480354FBC85BE6063.edm" hidden="1" xml:space="preserve">           [1]Cover!$A:$IV</definedName>
    <definedName name="_bdm.471BC459FD2442D1859FAE929B9897C7.edm" hidden="1" xml:space="preserve">          [3]MXB2!$A:$IV</definedName>
    <definedName name="_bdm.473567B92D0B4D00A4F36FFEC20EF210.edm" hidden="1" xml:space="preserve">          [9]DCF!$A:$IV</definedName>
    <definedName name="_bdm.47A19C3A0C6F432696C2D9579F903EF0.edm" hidden="1">[2]Warrant2!$A:$IV</definedName>
    <definedName name="_bdm.47A6FB0B4E4948FFA89B1BC2B3310536.edm" hidden="1">'[7]Price Band (mid)'!$A:$IV</definedName>
    <definedName name="_bdm.4A015C2FA48A44C08C80299F7ABA9F23.edm" hidden="1" xml:space="preserve">          [3]DCF!$A:$IV</definedName>
    <definedName name="_bdm.4A65E079F505401CB1A6EC1CB578B022.edm" hidden="1" xml:space="preserve">          '[3]Revenue Model'!$A:$IV</definedName>
    <definedName name="_bdm.4BE4F1E2B0804749B60DC188EA4D8FDA.edm" hidden="1">'[2]PB vs ROE'!$A:$IV</definedName>
    <definedName name="_bdm.4CCBE50D89A146B69031F8C01EAB8577.edm" hidden="1" xml:space="preserve">          '[3]Perf Stats_old'!$A:$IV</definedName>
    <definedName name="_bdm.4D84DEB2D0B348ACB32DB732F02A6493.edm" hidden="1">'[2]Mkt Cap g vs Index g'!$A:$IV</definedName>
    <definedName name="_bdm.4DEF30C3574A4C6398D9F5541659EBBA.edm" hidden="1">[6]PE!$A:$IV</definedName>
    <definedName name="_bdm.4E6D7FDBF59246E48D54BA5B9DABAD0B.edm" hidden="1">'[2]Div Payout vs PE'!$A:$IV</definedName>
    <definedName name="_bdm.4E71173B3EBE446799D6CC1CA48DDF50.edm" hidden="1" xml:space="preserve">          [5]DCF!$A:$IV</definedName>
    <definedName name="_bdm.4EB6E9C44B2B4E4790F506A0E145FA1B.edm" hidden="1">'[2]1,3,12 mth perf'!$A:$IV</definedName>
    <definedName name="_bdm.4FC0455E13E244A6B8452AB94DE38CA7.edm" hidden="1" xml:space="preserve">          '[3]Mult Valuation'!$A:$IV</definedName>
    <definedName name="_bdm.50510212FC43433CAC5AB7CD45CCEC7F.edm" hidden="1" xml:space="preserve">          [5]Valuation!$A:$IV</definedName>
    <definedName name="_bdm.50DAC66FE4324DCDBABD62ECA21AB716.edm" hidden="1" xml:space="preserve">          [3]MXB2!$A:$IV</definedName>
    <definedName name="_bdm.51AAD71DB91846478223B95A06EBE1A2.edm" hidden="1" xml:space="preserve">          [5]Valuation!$A:$IV</definedName>
    <definedName name="_bdm.5211AE03C98843F9B4E6F93A5E3575D6.edm" hidden="1" xml:space="preserve">           [1]Wireless!$A:$IV</definedName>
    <definedName name="_bdm.521A76901BB746DEB57D0AB2360571F0.edm" hidden="1" xml:space="preserve">          '[3]Revenue Model'!$A:$IV</definedName>
    <definedName name="_bdm.54CFB8B2945346DF8D8BFDA62E16EFAE.edm" hidden="1">[2]Shareholding!$A:$IV</definedName>
    <definedName name="_bdm.54FC3DEF52404E17AD691C84B1249A90.edm" hidden="1">[2]Velocity!$A:$IV</definedName>
    <definedName name="_bdm.55C36A721D064D1396FF77BDBB020229.edm" hidden="1" xml:space="preserve">          [5]DCF!$A:$IV</definedName>
    <definedName name="_bdm.560EEF970F5F4E18B2B624E5771548B8.edm" hidden="1" xml:space="preserve">          [3]MXB2!$A:$IV</definedName>
    <definedName name="_bdm.561BC7E4EF964692BE9364CFBA609B44.edm" hidden="1" xml:space="preserve">          '[3]Mult Valuation'!$A:$IV</definedName>
    <definedName name="_bdm.563474A2246B4CA5983E88D3EC419852.edm" hidden="1" xml:space="preserve">          '[3]Revenue Model'!$A:$IV</definedName>
    <definedName name="_bdm.565FECE2C6DF4EBCA9DABA94BC4C4344.edm" hidden="1">[9]MCO!$A:$IV</definedName>
    <definedName name="_bdm.56845CF24FC8415DAE02EAF8E7DB6B24.edm" hidden="1">[7]IBES!$A:$IV</definedName>
    <definedName name="_bdm.572BA62014544343BA97006273C5ADC8.edm" hidden="1" xml:space="preserve">          [3]Variance!$A:$IV</definedName>
    <definedName name="_bdm.581892D0A0A248C5AA9BDC06B101D316.edm" hidden="1" xml:space="preserve">           [1]Exhibits!$A:$IV</definedName>
    <definedName name="_bdm.58B829216C5E46248D83BA44BD864D1E.edm" hidden="1">'[6]Cost to income'!$A:$IV</definedName>
    <definedName name="_bdm.5A724ED1319048208CF013BC49162E29.edm" hidden="1" xml:space="preserve">          '[3]Revenue Model'!$A:$IV</definedName>
    <definedName name="_bdm.5AF8E0C468CE4D11A070D683EF34A70C.edm" hidden="1" xml:space="preserve">                    [9]DCF!$A:$IV</definedName>
    <definedName name="_bdm.5B316B24C6D447C58C9E4F23EF40DE2C.edm" hidden="1" xml:space="preserve">          '[3]Mult Valuation'!$A:$IV</definedName>
    <definedName name="_bdm.5B894D2C1C5040759911D4176E6349E2.edm" hidden="1" xml:space="preserve">          [5]DCF!$A:$IV</definedName>
    <definedName name="_bdm.5BB3D432D59E4752A7C1F911AB65F2DD.edm" hidden="1">'[2]Listing fee'!$A:$IV</definedName>
    <definedName name="_bdm.5C0621FE34D64A47B9DF1D7A9218C292.edm" hidden="1" xml:space="preserve">          [5]Valuation!$A:$IV</definedName>
    <definedName name="_bdm.5CCB6A009F8D4A0A9E3EE3D074AE28FE.edm" hidden="1" xml:space="preserve">          [3]DCF!$A:$IV</definedName>
    <definedName name="_bdm.5CFA991A5C79488D98EC0A63E3A45BD6.edm" hidden="1">[2]Turnover!$A:$IV</definedName>
    <definedName name="_bdm.5E22AFE355794C9A923BFDCA83C0B505.edm" hidden="1" xml:space="preserve">          [3]MXB2!$A:$IV</definedName>
    <definedName name="_bdm.5FF1D8330A8044FBB8A270BA668CB30A.edm" hidden="1">'[7]Prospective PB'!$A:$IV</definedName>
    <definedName name="_bdm.6064DC89E6B54B6CB90715155AEF7EAC.edm" hidden="1" xml:space="preserve">          [3]MXB2!$A:$IV</definedName>
    <definedName name="_bdm.608BBDD31E2A4C69890ECCF0DA64E9B7.edm" hidden="1" xml:space="preserve">           [1]Local!$A:$IV</definedName>
    <definedName name="_bdm.60D138C88C744740B023A78CAFEB93B1.edm" hidden="1" xml:space="preserve">           [1]Exhibits!$A:$IV</definedName>
    <definedName name="_bdm.6123BAB6240741EEA9C11440CB75127F.edm" hidden="1" xml:space="preserve">          '[3]Revenue Model'!$A:$IV</definedName>
    <definedName name="_bdm.616D3FBE24C9410386BD47BF0C601B38.edm" hidden="1" xml:space="preserve">          [3]Variance!$A:$IV</definedName>
    <definedName name="_bdm.6220CBA1FA3241B48B1BCE5746366E38.edm" hidden="1" xml:space="preserve">           [1]Exhibits!$A:$IV</definedName>
    <definedName name="_bdm.622FF60DE6CB4493B077115AE0C4FD80.edm" hidden="1" xml:space="preserve">          [3]DCF!$A:$IV</definedName>
    <definedName name="_bdm.62581CBC64ED4A6A88EBC2DFC26754A5.edm" hidden="1" xml:space="preserve">           [1]Exhibits!$A:$IV</definedName>
    <definedName name="_bdm.6330B67A0E1E43FC91637CCA9141283C.edm" hidden="1" xml:space="preserve">          '[3]Revenue Model'!$A:$IV</definedName>
    <definedName name="_bdm.63A4EB00507F406E854CCCFEA33E62F6.edm" hidden="1" xml:space="preserve">          [3]MXB2!$A:$IV</definedName>
    <definedName name="_bdm.64779DF6665E4EC4AA91B069EE8490F2.edm" hidden="1" xml:space="preserve">           [1]Exhibits!$A:$IV</definedName>
    <definedName name="_bdm.6669C66F5E414EEC8B5E865CC5BF6191.edm" hidden="1">[2]Index!$A:$IV</definedName>
    <definedName name="_bdm.6710CCFDA88E47228CF926CEB34F1430.edm" hidden="1" xml:space="preserve">          [3]Variance!$A:$IV</definedName>
    <definedName name="_bdm.674E59BBED954C199C4C4454A99C4F6F.edm" hidden="1">'[2]3M rate'!$A:$IV</definedName>
    <definedName name="_bdm.68DC4E1779304EDCA8B4256C7815E4D4.edm" hidden="1" xml:space="preserve">          [5]DCF!$A:$IV</definedName>
    <definedName name="_bdm.69865E7016D84D5B992B1419E5FD8392.edm" hidden="1" xml:space="preserve">          [3]MXB2!$A:$IV</definedName>
    <definedName name="_bdm.69AAA2F44B3E46239C33333E5E90AC77.edm" hidden="1">'[4]5-5. Sell Model Perf (Local)'!$A:$IV</definedName>
    <definedName name="_bdm.69DC13DBFEFC4273B3C0A9AEC399134C.edm" hidden="1" xml:space="preserve">           [1]S!$A:$IV</definedName>
    <definedName name="_bdm.6ADA32DA4E1C4D368C47A7822A81F90F.edm" hidden="1" xml:space="preserve">          '[3]Revenue Model'!$A:$IV</definedName>
    <definedName name="_bdm.6BD9DE51E2804C41B592BD4A9C2395F5.edm" hidden="1" xml:space="preserve">          [3]Variance!$A:$IV</definedName>
    <definedName name="_bdm.6C311AB9EE214BA8A1754ED5FAF30E78.edm" hidden="1" xml:space="preserve">          [5]Valuation!$A:$IV</definedName>
    <definedName name="_bdm.6C942D9AF068419A8BD219D66D09A0BF.edm" hidden="1" xml:space="preserve">           [1]Wireless!$A:$IV</definedName>
    <definedName name="_bdm.6C9E71C38A584FDF90436201B0B48AB5.edm" hidden="1">[2]PE!$A:$IV</definedName>
    <definedName name="_bdm.6EB544B640384A8A88242BA6B57512D3.edm" hidden="1">'[7]BS structure'!$A:$IV</definedName>
    <definedName name="_bdm.6F1A5157C2A7474BB0208B6E40661DF4.edm" hidden="1" xml:space="preserve">          Variance!$1:$1048576</definedName>
    <definedName name="_bdm.6F29E54B0BCC45DCA7A84CEE74519DE8.edm" hidden="1" xml:space="preserve">          [5]Valuation!$A:$IV</definedName>
    <definedName name="_bdm.706434AA1B1140F2B9A3FC05FDBE9537.edm" hidden="1">'[4]Inter bank Rate 3M'!$A:$IV</definedName>
    <definedName name="_bdm.70951E530A5B489BB7745BAEE2B00521.edm" hidden="1" xml:space="preserve">          [3]MXB2!$A:$IV</definedName>
    <definedName name="_bdm.713B4AE9004145408FFB5D62485B86B7.edm" hidden="1" xml:space="preserve">          '[3]Revenue Model'!$A:$IV</definedName>
    <definedName name="_bdm.71812CD5AF314E6BB1254F6BC38FB843.edm" hidden="1" xml:space="preserve">          [9]DCF!$A:$IV</definedName>
    <definedName name="_bdm.71E0583127384602BC9F4CBE1F4D94ED.edm" hidden="1">'[7]PE 0607'!$A:$IV</definedName>
    <definedName name="_bdm.720209357A7744A8B0ED0D79E1B8CAAC.edm" hidden="1" xml:space="preserve">          '[3]Revenue Model'!$A:$IV</definedName>
    <definedName name="_bdm.7263720C39AE4FF7A906ED4571E03D58.edm" hidden="1" xml:space="preserve">          [3]Variance!$A:$IV</definedName>
    <definedName name="_bdm.7286C8C372304F6D8B8C8DB54BA0131E.edm" hidden="1">'[7]Implied Growth'!$A:$IV</definedName>
    <definedName name="_bdm.72E43FAC79D14CDD81676E659A610274.edm" hidden="1">[6]SIBOR!$A:$IV</definedName>
    <definedName name="_bdm.736C78565FD34199B52A17E5BBE58462.edm" localSheetId="4" hidden="1">Variance!$B$43:$N$51</definedName>
    <definedName name="_bdm.73DCD7C94E244F9A83BD2CFB7117CCE0.edm" hidden="1" xml:space="preserve">           [1]Exhibits!$A:$IV</definedName>
    <definedName name="_bdm.75B43C2CE7A34A179374CE8E44317AEC.edm" hidden="1" xml:space="preserve">          [3]MXB2!$A:$IV</definedName>
    <definedName name="_bdm.75CE75CA04B34019932BDCC9AF05A453.edm" hidden="1" xml:space="preserve">          Variance!$1:$1048576</definedName>
    <definedName name="_bdm.75CF1826F4E840B5942CD9ADAC0AD367.edm" hidden="1" xml:space="preserve">          [3]MXB2!$A:$IV</definedName>
    <definedName name="_bdm.77273BBD2E274A0E9B76C4E3C1170B8C.edm" hidden="1" xml:space="preserve">          [5]Valuation!$A:$IV</definedName>
    <definedName name="_bdm.783778FC31714862B767EC643BFCFEF6.edm" hidden="1" xml:space="preserve">          [3]MXB2!$A:$IV</definedName>
    <definedName name="_bdm.783A7AF3FBD240AE82C5A4C75AF94090.edm" hidden="1" xml:space="preserve">          '[3]Revenue Model'!$A:$IV</definedName>
    <definedName name="_bdm.784BF09FB72240F097882C8360C80C0B.edm" hidden="1" xml:space="preserve">          '[3]Revenue Model'!$A:$IV</definedName>
    <definedName name="_bdm.790FECC0F73549DEB3F02CDE91E30ACB.edm" hidden="1" xml:space="preserve">          [3]MXB2!$A:$IV</definedName>
    <definedName name="_bdm.79D7B9261EEF4B1885D91665ACE5FB62.edm" hidden="1" xml:space="preserve">          '[3]Revenue Model'!$A:$IV</definedName>
    <definedName name="_bdm.79ED9B3CAF9148E2ACC0E653A8F6B13B.edm" hidden="1" xml:space="preserve">          [3]Variance!$A:$IV</definedName>
    <definedName name="_bdm.79F454C955ED4C459A71201F88E81858.edm" hidden="1" xml:space="preserve">           [1]Valuation!$A:$IV</definedName>
    <definedName name="_bdm.7BA6450983D2447B8A9ABDF7C8CFB57F.edm" hidden="1" xml:space="preserve">           [1]Exhibits!$A:$IV</definedName>
    <definedName name="_bdm.7D49611A6ABD4034A66E2C1921E96B92.edm" hidden="1">'[2]PE vs Velocity'!$A:$IV</definedName>
    <definedName name="_bdm.7D9F97E1D1B149679B469E7C857A2527.edm" hidden="1" xml:space="preserve">          '[3]Mult Valuation'!$A:$IV</definedName>
    <definedName name="_bdm.7DFF17403AA34629B5FD84C031AC492D.edm" hidden="1" xml:space="preserve">          [3]MXB2!$A:$IV</definedName>
    <definedName name="_bdm.7E9CFE1DF5B945F7BF5489285CF9307C.edm" localSheetId="4" hidden="1">Variance!$B$4:$N$51</definedName>
    <definedName name="_bdm.7EEFFCC68EEF4EB5B7229447CB1DC04D.edm" hidden="1" xml:space="preserve">          [3]MXB2!$A:$IV</definedName>
    <definedName name="_bdm.80CCF96E53CF44C2AC7FB745AD9A29B2.edm" hidden="1" xml:space="preserve">          [3]MXB2!$A:$IV</definedName>
    <definedName name="_bdm.8106C9629D874955A15315BDCCC3062C.edm" hidden="1" xml:space="preserve">          [5]Valuation!$A:$IV</definedName>
    <definedName name="_bdm.81B16F3228B94D71B54E25AE63081215.edm" hidden="1" xml:space="preserve">          [5]Valuation!$A:$IV</definedName>
    <definedName name="_bdm.82620B25D65D4E3A9D1B07D7641A6108.edm" hidden="1" xml:space="preserve">           [1]GMG!$A:$IV</definedName>
    <definedName name="_bdm.8482825436F348C99169FB9FCEF229D4.edm" hidden="1" xml:space="preserve">          [3]MXB2!$A:$IV</definedName>
    <definedName name="_bdm.84ACCC76D67F45F0A0BB7F2751345AC6.edm" hidden="1" xml:space="preserve">          Variance!$1:$1048576</definedName>
    <definedName name="_bdm.84D0CF1B4C304F03B4241806D8926F4B.edm" hidden="1" xml:space="preserve">          [3]DCF!$A:$IV</definedName>
    <definedName name="_bdm.84DB973FADE84376B8F0FDD91B368E2F.edm" hidden="1" xml:space="preserve">          [3]MXB2!$A:$IV</definedName>
    <definedName name="_bdm.857A951F82E343908DBA7D678BD35337.edm" hidden="1" xml:space="preserve">          [3]MXB2!$A:$IV</definedName>
    <definedName name="_bdm.8596A50D481441BDACC038E641489D4F.edm" hidden="1" xml:space="preserve">          [3]DCF!$A:$IV</definedName>
    <definedName name="_bdm.86A4775BEC4B4C5493262659BC02EDBB.edm" hidden="1">'[7]Coverage Summary'!$A:$IV</definedName>
    <definedName name="_bdm.86A8359238894368B562363F0C571B8D.edm" localSheetId="4" hidden="1" xml:space="preserve">          [5]DCF_Rev!$A:$IV</definedName>
    <definedName name="_bdm.86A8359238894368B562363F0C571B8D.edm" hidden="1" xml:space="preserve">          DCF_Rev!$1:$1048576</definedName>
    <definedName name="_bdm.86FC7D59D9754EE28313E36A5C8ED583.edm" hidden="1" xml:space="preserve">          [3]MXB2!$A:$IV</definedName>
    <definedName name="_bdm.87C2824A38D04B29BBEEFF7B838BEBAA.edm" hidden="1" xml:space="preserve">          [5]DCF!$A:$IV</definedName>
    <definedName name="_bdm.88B387E3D3094456A432327470FB5C4C.edm" hidden="1" xml:space="preserve">           [1]Exhibits!$A:$IV</definedName>
    <definedName name="_bdm.88E3914F8CB441CB9C9D0987BA1A3795.edm" hidden="1" xml:space="preserve">          [3]MXB2!$A:$IV</definedName>
    <definedName name="_bdm.88E3F148338A42D2BD8D89246C023177.edm" hidden="1" xml:space="preserve">          [3]MXB2!$A:$IV</definedName>
    <definedName name="_bdm.8908BA08F069488E98ABABB46E2391E0.edm" hidden="1">[7]Sensitivity!$A:$IV</definedName>
    <definedName name="_bdm.897BDE23D64047209CDF30C82323706A.edm" hidden="1" xml:space="preserve">          [3]MXB2!$A:$IV</definedName>
    <definedName name="_bdm.89C5DA014E994D9EB27B4B3C6F2756AF.edm" localSheetId="4" hidden="1" xml:space="preserve">          [5]DCF_Rev!$A:$IV</definedName>
    <definedName name="_bdm.89C5DA014E994D9EB27B4B3C6F2756AF.edm" hidden="1" xml:space="preserve">          DCF_Rev!$1:$1048576</definedName>
    <definedName name="_bdm.89F2651DFE44475182EB8B47B2051244.edm" hidden="1" xml:space="preserve">          [3]MXB2!$A:$IV</definedName>
    <definedName name="_bdm.8A794DF231FA4CCFA2A7D1DDB0E9C2CA.edm" hidden="1">'[7]Equity to Assets'!$A:$IV</definedName>
    <definedName name="_bdm.8A932FC1A5184D07A8F8D97D72C8A793.edm" hidden="1">'[2]PE vs Div Payout'!$A:$IV</definedName>
    <definedName name="_bdm.8A96CD1375584BDCA66B5DDA31784FFD.edm" hidden="1">'[6]PE Prem or Disc'!$A:$IV</definedName>
    <definedName name="_bdm.8A9C1912B77D455AB571A2A4DA86EB0E.edm" hidden="1" xml:space="preserve">           [1]Exhibits!$A:$IV</definedName>
    <definedName name="_bdm.8B13E445091B4C92B55FE1C7042D217A.edm" hidden="1" xml:space="preserve">           [1]Exhibits!$A:$IV</definedName>
    <definedName name="_bdm.8C905DD1DB1F4CB289A6C6E06D001507.edm" hidden="1" xml:space="preserve">          '[3]Revenue Model'!$A:$IV</definedName>
    <definedName name="_bdm.8CE84F57BAC04623BF34736AAE8443F3.edm" hidden="1" xml:space="preserve">           [1]S!$A:$IV</definedName>
    <definedName name="_bdm.902F28A652CF4001A57724C5193410CB.edm" hidden="1" xml:space="preserve">          '[3]Revenue Model'!$A:$IV</definedName>
    <definedName name="_bdm.903A4CFF8CE6419AA80316069C47752F.edm" hidden="1" xml:space="preserve">          '[3]Revenue Model'!$A:$IV</definedName>
    <definedName name="_bdm.9087302E5E7E49F5812A80D1958ECC8E.edm" hidden="1" xml:space="preserve">          [3]MXB2!$A:$IV</definedName>
    <definedName name="_bdm.9316F8AE61914E0B90D9C7D718012597.edm" hidden="1" xml:space="preserve">          '[3]Revenue Model'!$A:$IV</definedName>
    <definedName name="_bdm.938E90F99636450CBA1868BD4C84F9E0.edm" hidden="1">[4]HK!$A:$IV</definedName>
    <definedName name="_bdm.939704F744FA4720B2246C010937E549.edm" hidden="1" xml:space="preserve">          [3]DCF!$A:$IV</definedName>
    <definedName name="_bdm.93C61A2D3942446894F1969EB9651D0E.edm" hidden="1" xml:space="preserve">          [3]DCF!$A:$IV</definedName>
    <definedName name="_bdm.93D47CEEAA61416C9551E7EC7040860A.edm" hidden="1" xml:space="preserve">          [3]DCF!$A:$IV</definedName>
    <definedName name="_bdm.9446C4E7030A4BD6AEB68263A6529D5A.edm" hidden="1" xml:space="preserve">          [3]MXB2!$A:$IV</definedName>
    <definedName name="_bdm.945F1F019D214CB0930460A53477D1D5.edm" hidden="1" xml:space="preserve">          '[3]Revenue Model'!$A:$IV</definedName>
    <definedName name="_bdm.94F137B89481420ABB27B7CD848ECEE5.edm" hidden="1" xml:space="preserve">          '[3]Revenue Model'!$A:$IV</definedName>
    <definedName name="_bdm.952D55E0D00A4D1CA001CE4DC7EC1C39.edm" hidden="1" xml:space="preserve">          [3]MXB2!$A:$IV</definedName>
    <definedName name="_bdm.956E0C84DB2149E3970B63943EB206DB.edm" hidden="1">'[6]PB vs ROE'!$A:$IV</definedName>
    <definedName name="_bdm.962BA7D97D2040789FEA8571F2BD8488.edm" hidden="1">'[7]Cost to Income'!$A:$IV</definedName>
    <definedName name="_bdm.9683DA62E8A0453CA6F7AFCAB3A0154A.edm" hidden="1" xml:space="preserve">           [1]Wireless!$A:$IV</definedName>
    <definedName name="_bdm.97662D61185B4D529AC4266130413F53.edm" hidden="1" xml:space="preserve">          Variance!$1:$1048576</definedName>
    <definedName name="_bdm.97935F2D34E54CE8BCFA82ED66EA38D7.edm" hidden="1">'[7]Tier 1'!$A:$IV</definedName>
    <definedName name="_bdm.97A454B2A659469A8BE5CF8CF62A9919.edm" hidden="1" xml:space="preserve">                      [1]Wireless!$A:$IV</definedName>
    <definedName name="_bdm.97EC1E240C8D4E628F20199E257A8E10.edm" hidden="1" xml:space="preserve">          '[3]Revenue Model'!$A:$IV</definedName>
    <definedName name="_bdm.9829F56574CD42C0A46CC99C35FC3B54.edm" hidden="1">'[7]Volatility of Earnings'!$A:$IV</definedName>
    <definedName name="_bdm.988FE86C37814F0BB65D2549E2AAD9D8.edm" hidden="1">'[7]Mid-sized banks valuation'!$A:$IV</definedName>
    <definedName name="_bdm.99FC9E67C97949788FCE0366E6C2A2E8.edm" hidden="1" xml:space="preserve">          [5]Valuation!$A:$IV</definedName>
    <definedName name="_bdm.99FEDCDCEDD6437B84253F86E228570C.edm" hidden="1" xml:space="preserve">          Variance!$1:$1048576</definedName>
    <definedName name="_bdm.9CD2F7924CCE4AA8813A104FA9D0DECB.edm" hidden="1">[6]IBES!$A:$IV</definedName>
    <definedName name="_bdm.9D2F56C9AC3040CD84FBA788968B379B.edm" hidden="1" xml:space="preserve">          [3]MXB2!$A:$IV</definedName>
    <definedName name="_bdm.9E2D7C3DD86D4468AA04080E8E6DD1F9.edm" hidden="1" xml:space="preserve">          [5]Valuation!$A:$IV</definedName>
    <definedName name="_bdm.9EEBF680E2974B838CBB2B2EBD936D71.edm" hidden="1" xml:space="preserve">          [3]MXB2!$A:$IV</definedName>
    <definedName name="_bdm.9FDBBDF639C14C9DAD743CF74FCE90F4.edm" hidden="1">'[2]Div yield'!$A:$IV</definedName>
    <definedName name="_bdm.A06D608048994F0FADE4D2CE83ABBA7E.edm" hidden="1" xml:space="preserve">          [3]MXB2!$A:$IV</definedName>
    <definedName name="_bdm.A1B3333CB63A4C2D9D890BC227A752CC.edm" localSheetId="4" hidden="1">Variance!$A$4:$N$51</definedName>
    <definedName name="_bdm.A1D3FE466DFC41398FBF2EB504B96DF1.edm" hidden="1">'[2]Turnover Daily'!$A:$IV</definedName>
    <definedName name="_bdm.A1E08BC34B8B49E89E7D1701AAA36192.edm" hidden="1" xml:space="preserve">          [5]Valuation!$A:$IV</definedName>
    <definedName name="_bdm.A273919C152A4BC6BAD50462D9B4813F.edm" hidden="1" xml:space="preserve">           [1]Exhibits!$A:$IV</definedName>
    <definedName name="_bdm.A278904672C44CBC867239942B9E040C.edm" hidden="1" xml:space="preserve">           [1]Cover!$A:$IV</definedName>
    <definedName name="_bdm.A27B9E6B975246CA86D7DA904712BCEE.edm" hidden="1" xml:space="preserve">           [1]Exhibits!$A:$IV</definedName>
    <definedName name="_bdm.A39EC70DC2B84CAD870EE7D2BE046665.edm" hidden="1" xml:space="preserve">          [5]Valuation!$A:$IV</definedName>
    <definedName name="_bdm.A3A517FB9AC64C1FA77FBE27868614F3.edm" localSheetId="4" hidden="1">Variance!$B$4:$N$40</definedName>
    <definedName name="_bdm.A4E637232FB24D92AB367F5C90589588.edm" hidden="1" xml:space="preserve">          '[3]Revenue Model'!$A:$IV</definedName>
    <definedName name="_bdm.A57AC57538634672A7373081F056717E.edm" hidden="1" xml:space="preserve">          [3]MXB2!$A:$IV</definedName>
    <definedName name="_bdm.A58F95F9604148508B376C1C4E2460BA.edm" hidden="1">'[7]Driver of stocks'!$A:$IV</definedName>
    <definedName name="_bdm.A5FE903AB6F342D69737DE53076084E2.edm" hidden="1" xml:space="preserve">          [5]Valuation!$A:$IV</definedName>
    <definedName name="_bdm.A607C4A5D37D4E81B962E7801004E69B.edm" hidden="1" xml:space="preserve">          [3]Variance!$A:$IV</definedName>
    <definedName name="_bdm.A6127FB992E94D83B8B1189E9C0F4ABE.edm" hidden="1" xml:space="preserve">          [3]MXB2!$A:$IV</definedName>
    <definedName name="_bdm.A64EEC2A8EA6446C82CC1B8813066381.edm" hidden="1" xml:space="preserve">          '[3]Revenue Model'!$A:$IV</definedName>
    <definedName name="_bdm.A72CFA74BAFB4E6E8B63D193E2A3FE34.edm" hidden="1" xml:space="preserve">           [1]S!$A:$IV</definedName>
    <definedName name="_bdm.A74472B970D34C6E8C835A9847D4AEB2.edm" hidden="1" xml:space="preserve">          [3]DCF!$A:$IV</definedName>
    <definedName name="_bdm.A7E58954D06F48C49B448D6584406CA7.edm" hidden="1" xml:space="preserve">           [1]Wireless!$A:$IV</definedName>
    <definedName name="_bdm.A8E083AAB9DB447D921BE0054CF413C8.edm" hidden="1">'[7]Money Flow'!$A:$IV</definedName>
    <definedName name="_bdm.A92C57C76B5049A3BED59AFE35391215.edm" hidden="1" xml:space="preserve">          '[3]Revenue Model'!$A:$IV</definedName>
    <definedName name="_bdm.AA3F527DFE8A4CF583FEECFC19EA2751.edm" localSheetId="4" hidden="1">Variance!$B$4:$M$40</definedName>
    <definedName name="_bdm.AA90280BDA6B470FB9496C56BFB57811.edm" hidden="1" xml:space="preserve">          [3]MXB2!$A:$IV</definedName>
    <definedName name="_bdm.AAD6A3B27B434E8B849D5FD500CD17EF.edm" hidden="1" xml:space="preserve">          Variance!$1:$1048576</definedName>
    <definedName name="_bdm.AB01780A95F644DAA0B68F9B18E10A0B.edm" hidden="1" xml:space="preserve">          [5]Valuation!$A:$IV</definedName>
    <definedName name="_bdm.AB901DAFC0864E81839F93749FFDC595.edm" hidden="1" xml:space="preserve">          '[3]Revenue Model'!$A:$IV</definedName>
    <definedName name="_bdm.AB929B73B2694A8EB148224439CD493D.edm" hidden="1">'[2]PE vs Rev CAGR'!$A:$IV</definedName>
    <definedName name="_bdm.ABC8513998BF4840BB59D25259730A3D.edm" hidden="1" xml:space="preserve">          [3]MXB2!$A:$IV</definedName>
    <definedName name="_bdm.AC426CD0DB2146B696977AA8CAE94B4D.edm" hidden="1" xml:space="preserve">          [3]MXB2!$A:$IV</definedName>
    <definedName name="_bdm.AD51BFD656284BB79EF7952E81002B76.edm" hidden="1" xml:space="preserve">          [5]Valuation!$A:$IV</definedName>
    <definedName name="_bdm.AD5D05A2477545B285171A8A4C20BAC1.edm" hidden="1" xml:space="preserve">          [5]DCF!$A:$IV</definedName>
    <definedName name="_bdm.AD757908F95C4A35A368BBCD443CF8A9.edm" hidden="1" xml:space="preserve">          Variance!$1:$1048576</definedName>
    <definedName name="_bdm.B1987872D58C483084B506658EA1B42D.edm" hidden="1" xml:space="preserve">          [5]DCF!$A:$IV</definedName>
    <definedName name="_bdm.B21B01D743A1438BBCE0F34AC4A49446.edm" hidden="1" xml:space="preserve">          [3]MXB2!$A:$IV</definedName>
    <definedName name="_bdm.B236CE1C43EF43A3A74075CC1426D228.edm" hidden="1" xml:space="preserve">          [3]MXB2!$A:$IV</definedName>
    <definedName name="_bdm.B26C40E419F2451F868B678FBAD3A662.edm" hidden="1" xml:space="preserve">           [1]Exhibits!$A:$IV</definedName>
    <definedName name="_bdm.B26F218E917648E99EB83E281E2D1551.edm" hidden="1" xml:space="preserve">          Variance!$1:$1048576</definedName>
    <definedName name="_bdm.B3383ACFB8814D219386CBE90C9D35E5.edm" hidden="1" xml:space="preserve">          [3]MXB2!$A:$IV</definedName>
    <definedName name="_bdm.B3D94C155E36430D8EFE7BA7F051EA86.edm" hidden="1" xml:space="preserve">          [3]MXB2!$A:$IV</definedName>
    <definedName name="_bdm.B444BDE9ED09465389956E7BF2E37D09.edm" hidden="1" xml:space="preserve">          [5]Valuation!$A:$IV</definedName>
    <definedName name="_bdm.B4FA5E8FDA3C432FBF3AE4660D6686F5.edm" hidden="1" xml:space="preserve">          [3]Variance!$A:$IV</definedName>
    <definedName name="_bdm.B60A019E759340A6A5C1FD4072689336.edm" hidden="1">'[7]M&amp;A'!$A:$IV</definedName>
    <definedName name="_bdm.B6F06B99F3DC4F60970E1DD1D689F797.edm" hidden="1">'[4]HK (rebased)'!$A:$IV</definedName>
    <definedName name="_bdm.B7935013A9964631963F5D8F12DDF7C0.edm" hidden="1" xml:space="preserve">           [1]Exhibits!$A:$IV</definedName>
    <definedName name="_bdm.B7E25556C3384F76AE17AA71B0064A2D.edm" hidden="1">[2]Alliance!$A:$IV</definedName>
    <definedName name="_bdm.B86A0214AF2F473491BFCA23615A1CD8.edm" hidden="1">'[2]Implied Growth Premium'!$A:$IV</definedName>
    <definedName name="_bdm.B889F0A8CBBC46C2A8459364CDE1D7F1.edm" hidden="1" xml:space="preserve">          [3]MXB2!$A:$IV</definedName>
    <definedName name="_bdm.B8F4C5D546BC4DB1B5D7E0E8017E80B4.edm" hidden="1" xml:space="preserve">          [3]DCF!$A:$IV</definedName>
    <definedName name="_bdm.B8F775CD68CE4097B36C37439F7A95D9.edm" hidden="1" xml:space="preserve">          [3]MXB2!$A:$IV</definedName>
    <definedName name="_bdm.BBDFA89CDE1847C7A0A3D8E7AD4F0DFC.edm" hidden="1">'[4]5-4. Buy Model Perf (Local)'!$A:$IV</definedName>
    <definedName name="_bdm.BD99245016AD4829914CFD6E9E53BC32.edm" hidden="1" xml:space="preserve">          [5]Valuation!$A:$IV</definedName>
    <definedName name="_bdm.BEC96EA89171443D924AB39F4585D441.edm" hidden="1">'[2]Velocity Nov05'!$A:$IV</definedName>
    <definedName name="_bdm.BF58AD5007094E30A160A9BDC8465BFB.edm" hidden="1" xml:space="preserve">           '[1]Hist Inputs'!$A:$IV</definedName>
    <definedName name="_bdm.BFFE0E9FCCB3416D9F4384D462496C2A.edm" localSheetId="4" hidden="1" xml:space="preserve">          [5]DCF_Rev!$A:$IV</definedName>
    <definedName name="_bdm.BFFE0E9FCCB3416D9F4384D462496C2A.edm" hidden="1" xml:space="preserve">          DCF_Rev!$1:$1048576</definedName>
    <definedName name="_bdm.C0216CFA6B09484BA0A1297BDF16F920.edm" hidden="1">[2]Valuation!$A:$IV</definedName>
    <definedName name="_bdm.C057157DDD354FC29DF0155F83E45DDB.edm" hidden="1" xml:space="preserve">          [3]MXB2!$A:$IV</definedName>
    <definedName name="_bdm.C0C468AC36F34DB296644CEF3D3DA525.edm" hidden="1" xml:space="preserve">          Variance!$1:$1048576</definedName>
    <definedName name="_bdm.C0F7E053AABA423BBC2E19C2D77036EF.edm" hidden="1" xml:space="preserve">          [3]Variance!$A:$IV</definedName>
    <definedName name="_bdm.C145E2F61C8842A999C010F178BE76D3.edm" hidden="1" xml:space="preserve">          [3]MXB2!$A:$IV</definedName>
    <definedName name="_bdm.C2B295BCD5F54C8CAF31CD934A97292D.edm" hidden="1">'[2]Listed co'!$A:$IV</definedName>
    <definedName name="_bdm.C2DE398CC9BF416A9997A3DBCE91A9F5.edm" hidden="1" xml:space="preserve">          [5]Valuation!$A:$IV</definedName>
    <definedName name="_bdm.C3E2F528E88943D7B98F0831A0599016.edm" hidden="1">'[2]Gordon Model'!$A:$IV</definedName>
    <definedName name="_bdm.C4B9D990934C4962A10B8FD53DA2729F.edm" hidden="1">'[7]PB History'!$A:$IV</definedName>
    <definedName name="_bdm.C5094464641F4A2CA02127A647DC59C6.edm" hidden="1">'[7]Prospective PE'!$A:$IV</definedName>
    <definedName name="_bdm.C56FD27A09E04FB99EEC0CE4EF85E41B.edm" hidden="1" xml:space="preserve">          '[3]Revenue Model'!$A:$IV</definedName>
    <definedName name="_bdm.C7FC23CCADED412598445F35A0421EDF.edm" hidden="1">'[2]Price g vs Index g'!$A:$IV</definedName>
    <definedName name="_bdm.C88B9B11322C43C0A6D91864B579DF21.edm" hidden="1" xml:space="preserve">           [1]Local!$A:$IV</definedName>
    <definedName name="_bdm.C96BE29A41AD46F1BA8E18FBF490169F.edm" hidden="1" xml:space="preserve">          [3]DCF!$A:$IV</definedName>
    <definedName name="_bdm.C9FE4627C0B34A6FBA6743202820A150.edm" hidden="1" xml:space="preserve">          [3]MXB2!$A:$IV</definedName>
    <definedName name="_bdm.CB0B143EFE134884BE431222B8020113.edm" hidden="1" xml:space="preserve">          [3]MXB2!$A:$IV</definedName>
    <definedName name="_bdm.CB89B5EAE72C48F38FF9AFC81D584942.edm" localSheetId="4" hidden="1">Variance!$B$4:$M$29</definedName>
    <definedName name="_bdm.CC3F43A63CC8431CB8F65D0788ACBCE5.edm" hidden="1">'[4]3. Overweight banks details'!$A:$IV</definedName>
    <definedName name="_bdm.CC8211FDE39741EE8C9E1BA3A2C8C91D.edm" hidden="1">'[2]Turnover MoM'!$A:$IV</definedName>
    <definedName name="_bdm.CD3E0726AE004B679085FF39A452FEB4.edm" hidden="1" xml:space="preserve">          [3]MXB2!$A:$IV</definedName>
    <definedName name="_bdm.CD483AA57AF04472869B227EF52A7536.edm" hidden="1" xml:space="preserve">          [3]Variance!$A:$IV</definedName>
    <definedName name="_bdm.CD49D9D79FF5477D9E593E7A30D5D42D.edm" hidden="1" xml:space="preserve">          [3]DCF!$A:$IV</definedName>
    <definedName name="_bdm.CD8BAAC247134C09921479B08A43C64B.edm" hidden="1">'[7]EPS Change'!$A:$IV</definedName>
    <definedName name="_bdm.CE4291F38EDB426C9477180B34E589FD.edm" hidden="1" xml:space="preserve">          [3]MXB2!$A:$IV</definedName>
    <definedName name="_bdm.CF272F9AE30347B98F7D1EF0DDEF2A1D.edm" hidden="1" xml:space="preserve">           [1]Wireless!$A:$IV</definedName>
    <definedName name="_bdm.CF756FD14F7D4046A56A233A96D66161.edm" hidden="1" xml:space="preserve">          [3]MXB2!$A:$IV</definedName>
    <definedName name="_bdm.CF7B89464E694A848DE75F49083A47C6.edm" hidden="1" xml:space="preserve">          [3]DCF!$A:$IV</definedName>
    <definedName name="_bdm.CF9F0161FD7A48419B475BE2CD31299F.edm" hidden="1" xml:space="preserve">           [1]Wireless!$A:$IV</definedName>
    <definedName name="_bdm.D0215E37990D41DDBD51D8DD6D9E307C.edm" hidden="1" xml:space="preserve">          [3]MXB2!$A:$IV</definedName>
    <definedName name="_bdm.D0B487B28495440FAA2E63F686DBCA10.edm" localSheetId="4" hidden="1" xml:space="preserve">          [5]DCF_Rev!$A:$IV</definedName>
    <definedName name="_bdm.D0B487B28495440FAA2E63F686DBCA10.edm" hidden="1" xml:space="preserve">          DCF_Rev!$1:$1048576</definedName>
    <definedName name="_bdm.D14663E0D2D643E3BD9FD5E659481EE5.edm" hidden="1" xml:space="preserve">           [1]Wireless!$A:$IV</definedName>
    <definedName name="_bdm.D1896698052E4B52A891402716A05450.edm" hidden="1" xml:space="preserve">           [1]Exhibits!$A:$IV</definedName>
    <definedName name="_bdm.D218B93DE9F04F01B1D932D32254262F.edm" hidden="1" xml:space="preserve">          [3]MXB2!$A:$IV</definedName>
    <definedName name="_bdm.D2A5ED6D53C34F2882EEED46A71E33E6.edm" hidden="1">'[7]DuPont Analysis'!$A:$IV</definedName>
    <definedName name="_bdm.D3466E1EB8C04C4B99DE4D196DFA5A88.edm" hidden="1" xml:space="preserve">          [5]Valuation!$A:$IV</definedName>
    <definedName name="_bdm.D37832A5B8FF4260B4D158CA0826BF35.edm" hidden="1" xml:space="preserve">          '[3]Revenue Model'!$A:$IV</definedName>
    <definedName name="_bdm.D4D2232707C240D0A9D67DEB3ABB08C8.edm" hidden="1" xml:space="preserve">          '[3]Mult Valuation'!$A:$IV</definedName>
    <definedName name="_bdm.D5E7755FDB024FF7AC6BE58A05079CAC.edm" hidden="1" xml:space="preserve">           [1]Wireless!$A:$IV</definedName>
    <definedName name="_bdm.D6B63AA302FE4E0A9AD3C2DDDEEBD05A.edm" hidden="1" xml:space="preserve">          [3]MXB2!$A:$IV</definedName>
    <definedName name="_bdm.D73EDD3D4C244AE09CD8331A45E2FCAF.edm" hidden="1" xml:space="preserve">          '[3]Mult Valuation'!$A:$IV</definedName>
    <definedName name="_bdm.D7C046E1790745F8968D0FCC6B2345CD.edm" hidden="1">[6]Derivatives!$A:$IV</definedName>
    <definedName name="_bdm.D8CD0A9688F84DC4A313FE73F1ECF815.edm" hidden="1">'[4]5-2. Buy Model Perf (USD)'!$A:$IV</definedName>
    <definedName name="_bdm.D8D5E4F600E04344B869D80CCE7878AC.edm" hidden="1" xml:space="preserve">          '[3]Revenue Model'!$A:$IV</definedName>
    <definedName name="_bdm.D8DD0506D8204F5EAA7832EB8645C14E.edm" localSheetId="4" hidden="1">Variance!$B$3:$M$29</definedName>
    <definedName name="_bdm.D9AF86735C724F0FBF96BF850DBE0854.edm" localSheetId="4" hidden="1">Variance!$B$4:$M$41</definedName>
    <definedName name="_bdm.DA12D84E9C914D348AE182E2DF838ADD.edm" hidden="1" xml:space="preserve">          [5]Valuation!$A:$IV</definedName>
    <definedName name="_bdm.DB3F1433979C4920B2889682ACD06BDF.edm" hidden="1" xml:space="preserve">          '[3]Mult Valuation'!$A:$IV</definedName>
    <definedName name="_bdm.DB770AD915DB4F66AD509134BEBD1621.edm" hidden="1">'[6]Normalised Turnover Analysis'!$A:$IV</definedName>
    <definedName name="_bdm.DC252364FC254C669761FA0E12C48DD9.edm" hidden="1" xml:space="preserve">           [1]Exhibits!$A:$IV</definedName>
    <definedName name="_bdm.DCFC27D11F5343AEA7544208220B2D73.edm" hidden="1">'[4]YTD perf'!$A:$IV</definedName>
    <definedName name="_bdm.DE3BC19226C842DA9B52537B07237998.edm" hidden="1" xml:space="preserve">          [3]DCF!$A:$IV</definedName>
    <definedName name="_bdm.DE4901604FD04DADB975C45887806068.edm" hidden="1">'[6]GDP YoY vs PE'!$A:$IV</definedName>
    <definedName name="_bdm.DF5DF0177D1443DD8BD928281DE16C45.edm" localSheetId="3" hidden="1">DCF_Rev!$A$2:$M$32</definedName>
    <definedName name="_bdm.E0890AC8B44F440EA618EFA988FCE225.edm" hidden="1" xml:space="preserve">          '[3]Mult Valuation'!$A:$IV</definedName>
    <definedName name="_bdm.E10A90945FCB4F30B739FE5007AC8864.edm" hidden="1">'[6]SGX IPO Pipeline 1H05'!$A:$IV</definedName>
    <definedName name="_bdm.E11B73DB74C04B1B8C9261112312E6FF.edm" hidden="1" xml:space="preserve">           [1]Wireless!$A:$IV</definedName>
    <definedName name="_bdm.E1392E40BA42400B8F0EBCB9078B1432.edm" hidden="1" xml:space="preserve">           [1]S!$A:$IV</definedName>
    <definedName name="_bdm.E1E40D62D9894D10A487BCA5062138F1.edm" hidden="1" xml:space="preserve">           [1]Exhibits!$A:$IV</definedName>
    <definedName name="_bdm.E2D0302BF8094FB9A2651C7CFBA7730E.edm" hidden="1" xml:space="preserve">          [5]Valuation!$A:$IV</definedName>
    <definedName name="_bdm.E31E6D25F1754A8D947B3D3430743827.edm" localSheetId="4" hidden="1">Variance!$B$31:$M$39</definedName>
    <definedName name="_bdm.E3B7EE6FCDB74091B783B9DEA7A330E2.edm" hidden="1">[7]Beta!$A:$IV</definedName>
    <definedName name="_bdm.E55F26168D784CBE9721074ADF47551D.edm" hidden="1" xml:space="preserve">          [3]MXB2!$A:$IV</definedName>
    <definedName name="_bdm.E63B213112F14A95A13A9B274E9CC204.edm" hidden="1" xml:space="preserve">          [3]MXB2!$A:$IV</definedName>
    <definedName name="_bdm.E6A28AB6995B45F183109F731E807969.edm" hidden="1">[7]Assumptions!$A:$IV</definedName>
    <definedName name="_bdm.E7AE49AADB8D4ADDBBFAA032A21E809E.edm" hidden="1" xml:space="preserve">          [3]MXB2!$A:$IV</definedName>
    <definedName name="_bdm.E7F70DCBB45A462196A43ABD4105203F.edm" hidden="1" xml:space="preserve">          [5]Valuation!$A:$IV</definedName>
    <definedName name="_bdm.E986E911CBB741A3950B4D3316354E5B.edm" hidden="1">[7]NII!$A:$IV</definedName>
    <definedName name="_bdm.EAE97363E4F64D8F99E1102A93E0C0DD.edm" hidden="1" xml:space="preserve">           [1]Exhibits!$A:$IV</definedName>
    <definedName name="_bdm.EB0721C5C0B444B79D489886B61529CC.edm" hidden="1" xml:space="preserve">          [5]Valuation!$A:$IV</definedName>
    <definedName name="_bdm.EB4FAA7859BE4CEF95B185BACDE70633.edm" hidden="1">'[2]Cost Mix'!$A:$IV</definedName>
    <definedName name="_bdm.EB70C4FB5A9F4EAB8B3D7A96A3DBF19E.edm" hidden="1" xml:space="preserve">          [3]MXB2!$A:$IV</definedName>
    <definedName name="_bdm.EBEF742EA9F64AE0A2B82CEB8998B791.edm" hidden="1" xml:space="preserve">           [1]Exhibits!$A:$IV</definedName>
    <definedName name="_bdm.EC7AA6E178574DFDA4EA8EE3AFF3B16A.edm" hidden="1" xml:space="preserve">          [3]DCF!$A:$IV</definedName>
    <definedName name="_bdm.EC87FE0885854575B208905BE4D31D4A.edm" hidden="1" xml:space="preserve">          [3]MXB2!$A:$IV</definedName>
    <definedName name="_bdm.ECFFEA01FA884316A3FDD16D8ECFC928.edm" hidden="1" xml:space="preserve">          [3]MXB2!$A:$IV</definedName>
    <definedName name="_bdm.ED3FA4C753B2488ABEDBF3D6001FD6AF.edm" hidden="1">'[7]PB vs ROE (Individual)'!$A:$IV</definedName>
    <definedName name="_bdm.EE16B9E952424E5DB72C997B766B9E91.edm" hidden="1" xml:space="preserve">          [3]DCF!$A:$IV</definedName>
    <definedName name="_bdm.EE8C2DD42D8E469488FEF45179F478C6.edm" hidden="1" xml:space="preserve">          [3]MXB2!$A:$IV</definedName>
    <definedName name="_bdm.EE8F1E55FCDE458F9DFB574310AD289A.edm" hidden="1">'[6]Turnover vs index'!$A:$IV</definedName>
    <definedName name="_bdm.EEA5D54B20C14C10953C718BE9DF943E.edm" hidden="1" xml:space="preserve">          [3]MXB2!$A:$IV</definedName>
    <definedName name="_bdm.EEC33505E6854D1C9C5F4D6AB913C07A.edm" hidden="1" xml:space="preserve">          [3]MXB2!$A:$IV</definedName>
    <definedName name="_bdm.EEDC7E0D6EDF45828654B25810F85B6D.edm" hidden="1" xml:space="preserve">           [1]Exhibits!$A:$IV</definedName>
    <definedName name="_bdm.F02FB89BDC12468A8196813D40295B36.edm" hidden="1" xml:space="preserve">          '[3]Revenue Model'!$A:$IV</definedName>
    <definedName name="_bdm.F09340E94F214879BB6CEEE37C1F228A.edm" hidden="1">[7]PnL!$A:$IV</definedName>
    <definedName name="_bdm.F13DEF3E0EFF4226BF9E113A2B89A2F9.edm" hidden="1">'[6]Broker Participation'!$A:$IV</definedName>
    <definedName name="_bdm.F1C551A25C4049989EB561F1335883F4.edm" hidden="1">'[2]MKt Cap'!$A:$IV</definedName>
    <definedName name="_bdm.F366C071D971462E8DCE171565586396.edm" hidden="1" xml:space="preserve">          [3]MXB2!$A:$IV</definedName>
    <definedName name="_bdm.F385C5FD27384DF6B13FB6600E069472.edm" hidden="1" xml:space="preserve">          [3]DCF!$A:$IV</definedName>
    <definedName name="_bdm.F3B61C3539484F19990F6D19673C18FF.edm" hidden="1" xml:space="preserve">           [1]Exhibits!$A:$IV</definedName>
    <definedName name="_bdm.F543A7A841C6451796C004000C96BA92.edm" hidden="1">'[2]Cost to Income'!$A:$IV</definedName>
    <definedName name="_bdm.F7C4902C68E44D9F8BC7C06CFB96D335.edm" hidden="1" xml:space="preserve">           [1]Exhibits!$A:$IV</definedName>
    <definedName name="_bdm.F883E033906F4891997B56BBE693DE32.edm" hidden="1" xml:space="preserve">          [3]MXB2!$A:$IV</definedName>
    <definedName name="_bdm.F93EB0A4022A47918826A9D85F39CC3A.edm" hidden="1">[4]D1!$A:$IV</definedName>
    <definedName name="_bdm.F9F98092030B47F0B66024CDD40CB243.edm" hidden="1" xml:space="preserve">          [3]MXB2!$A:$IV</definedName>
    <definedName name="_bdm.FAA14C91B08A4A6386E67ABF8FCD13C0.edm" hidden="1" xml:space="preserve">           [1]Exhibits!$A:$IV</definedName>
    <definedName name="_bdm.FC5FED83BC6B4A1197DF84DB54ED0ED8.edm" hidden="1" xml:space="preserve">           [1]GMG!$A:$IV</definedName>
    <definedName name="_bdm.FCAD0800ED264CC1A853903063F2FB8B.edm" hidden="1" xml:space="preserve">          [5]DCF!$A:$IV</definedName>
    <definedName name="_bdm.FCBD447543E44A0C9F9F4FFC7E81BA70.edm" hidden="1" xml:space="preserve">          [3]MXB2!$A:$IV</definedName>
    <definedName name="_bdm.FCC16D917BFD4128B7AA2951EF485356.edm" hidden="1" xml:space="preserve">          '[3]Revenue Model'!$A:$IV</definedName>
    <definedName name="_bdm.FD7BB479FFB345D4ADF7908912A240FF.edm" hidden="1" xml:space="preserve">          [5]Valuation!$A:$IV</definedName>
    <definedName name="_bdm.FE9364B0DE254AFC8AB852F128F35286.edm" hidden="1" xml:space="preserve">          [3]MXB2!$A:$IV</definedName>
    <definedName name="_bdm.FEE17F8359A740C6BBD3BC807431D77B.edm" hidden="1" xml:space="preserve">           [1]Exhibits!$A:$IV</definedName>
    <definedName name="_Order1" hidden="1">255</definedName>
    <definedName name="_Order2" hidden="1">255</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cessDatabase" hidden="1">"C:\DATA\Kevin\Kevin's Model.mdb"</definedName>
    <definedName name="Actual" hidden="1">{#N/A,#N/A,TRUE,"Historicals";#N/A,#N/A,TRUE,"Charts";#N/A,#N/A,TRUE,"Forecasts"}</definedName>
    <definedName name="AdditionalInstructions">IndexInformation!$B$42</definedName>
    <definedName name="Address" localSheetId="0">ImportantDisclosures!$A$2:$A$2</definedName>
    <definedName name="ANA" localSheetId="7">ModPubIndex!$A$7</definedName>
    <definedName name="anscount" hidden="1">1</definedName>
    <definedName name="Authors" localSheetId="0">ImportantDisclosures!$A$7</definedName>
    <definedName name="Authors" localSheetId="6">IndexInformation!$B$18</definedName>
    <definedName name="BRO" localSheetId="7">ModPubIndex!$A$1</definedName>
    <definedName name="Cap_IQ_Non_Trans">'Op Metrics'!$239:$239</definedName>
    <definedName name="Cap_IQ_Trans">'Op Metrics'!$235:$235</definedName>
    <definedName name="CashFlowCapitalExpenditureCellular">0</definedName>
    <definedName name="CashFlowCapitalExpenditureOther">0</definedName>
    <definedName name="CashFlowCapitalExpenditurePaging">0</definedName>
    <definedName name="CashFlowCapitalExpenditureTelephone">0</definedName>
    <definedName name="CashFlowCapitalExpenditureWireless">0</definedName>
    <definedName name="CashFlowDividendPaidPreferredStock">0</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opyrightStamp">ImportantDisclosures!$A$27</definedName>
    <definedName name="Corinthian_Colleges">'[10]Print '!$B$2:$M$71</definedName>
    <definedName name="COU" localSheetId="7">ModPubIndex!$A$5</definedName>
    <definedName name="CQEnd" localSheetId="6">IndexInformation!$B$31</definedName>
    <definedName name="cu102.ShareScalingFactor" hidden="1">1000000</definedName>
    <definedName name="cu103.EmployeeScalingFactor" hidden="1">1000</definedName>
    <definedName name="cu107.DPSSymbol" hidden="1">"US$"</definedName>
    <definedName name="cu107.EPSSymbol" hidden="1">"US$"</definedName>
    <definedName name="cu71.ScalingFactor" hidden="1">1000000</definedName>
    <definedName name="cu71.ScalingFactor_1" hidden="1">1000</definedName>
    <definedName name="Currency" localSheetId="6">IndexInformation!$B$24</definedName>
    <definedName name="CurrentStockPrice" localSheetId="6">IndexInformation!$B$23</definedName>
    <definedName name="CurrQtrEPS" localSheetId="6">IndexInformation!$B$29</definedName>
    <definedName name="CurrYearEPS" localSheetId="6">IndexInformation!$B$11</definedName>
    <definedName name="CurrYearTotalRevenue" localSheetId="6">IndexInformation!$B$10</definedName>
    <definedName name="CurrYearTotalRevenueActual" localSheetId="6">IndexInformation!$B$32</definedName>
    <definedName name="CUSIP" localSheetId="6">IndexInformation!$B$20</definedName>
    <definedName name="CYEnd" localSheetId="6">IndexInformation!$B$30</definedName>
    <definedName name="Date" localSheetId="0">ImportantDisclosures!$A$8</definedName>
    <definedName name="Deleted" localSheetId="6">IndexInformation!$B$27</definedName>
    <definedName name="Description" localSheetId="6">IndexInformation!$B$7</definedName>
    <definedName name="Discipline" localSheetId="6">IndexInformation!$B$3</definedName>
    <definedName name="DISCIPLINE" localSheetId="7">ModPubIndex!$A$12</definedName>
    <definedName name="DisclosuresText">ImportantDisclosures!$A$22</definedName>
    <definedName name="Distribution" localSheetId="6">IndexInformation!$B$26</definedName>
    <definedName name="DistTable" localSheetId="0">ImportantDisclosures!#REF!</definedName>
    <definedName name="DistTablePreamble" localSheetId="0">ImportantDisclosures!#REF!</definedName>
    <definedName name="DOCDAT" localSheetId="7">ModPubIndex!$A$2</definedName>
    <definedName name="DOCTIME" localSheetId="7">ModPubIndex!$A$3</definedName>
    <definedName name="DocType" localSheetId="6">IndexInformation!$B$5</definedName>
    <definedName name="EMAIL_ALERT" localSheetId="7">ModPubIndex!$A$10</definedName>
    <definedName name="EmailAlert" localSheetId="6">IndexInformation!$B$28</definedName>
    <definedName name="EquityAdjustments">0</definedName>
    <definedName name="EquityEmployeeStockOwnershipPlan">0</definedName>
    <definedName name="EquityPaidInCapital">0</definedName>
    <definedName name="EquityTreasuryStock">0</definedName>
    <definedName name="Eric" hidden="1">{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136}</definedName>
    <definedName name="ev.Calculation" hidden="1">2</definedName>
    <definedName name="ev.Initialized" hidden="1">FALSE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iveYearGrowthRate" localSheetId="6">IndexInformation!$B$16</definedName>
    <definedName name="FollowingYearEPS" localSheetId="6">IndexInformation!$B$15</definedName>
    <definedName name="FollowingYearTotalRevenue" localSheetId="6">IndexInformation!$B$14</definedName>
    <definedName name="FollowingYearTotalRevenueActual" localSheetId="6">IndexInformation!$B$34</definedName>
    <definedName name="HL" localSheetId="7">ModPubIndex!$A$8</definedName>
    <definedName name="hn.ExtDb" hidden="1">FALSE</definedName>
    <definedName name="hn.ModelType" hidden="1">"DEAL"</definedName>
    <definedName name="hn.ModelVersion" hidden="1">1</definedName>
    <definedName name="hn.NoUpload" hidden="1">0</definedName>
    <definedName name="ICRA" hidden="1" xml:space="preserve">                    [11]DCF!$A:$IV</definedName>
    <definedName name="IncomeEPSFullyDiluted">0</definedName>
    <definedName name="IncomeEPSPrimary">0</definedName>
    <definedName name="IncomeEPSRegular">0</definedName>
    <definedName name="IND" localSheetId="7">ModPubIndex!$A$9</definedName>
    <definedName name="Industry" localSheetId="0">ImportantDisclosures!$A$12</definedName>
    <definedName name="IndustryId">IndexInformation!$B$40</definedName>
    <definedName name="IndustryRating" localSheetId="0">ImportantDisclosures!$A$13</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BS_PERIOD_EST" hidden="1">"c16122"</definedName>
    <definedName name="IQ_ACCEPTANCES_OTHER_FOREIGN_BANKS_LL_REC_FFIEC" hidden="1">"c15293"</definedName>
    <definedName name="IQ_ACCEPTANCES_OTHER_US_BANKS_LL_REC_FFIEC" hidden="1">"c15292"</definedName>
    <definedName name="IQ_ACCOUNT_CHANGE" hidden="1">"c1449"</definedName>
    <definedName name="IQ_ACCOUNT_CODE_INTEREST_PENALTIES" hidden="1">"c15741"</definedName>
    <definedName name="IQ_ACCOUNTING_FFIEC" hidden="1">"c13054"</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 hidden="1">"c2125"</definedName>
    <definedName name="IQ_ACQ_COSTS_CAPITALIZED" hidden="1">"c5"</definedName>
    <definedName name="IQ_ACQUIRE_REAL_ESTATE_CF" hidden="1">"c6"</definedName>
    <definedName name="IQ_ACQUIRED_BY_REPORTING_BANK_FDIC" hidden="1">"c6535"</definedName>
    <definedName name="IQ_ACQUISITION_COST_SUB" hidden="1">"c15807"</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_TAX_POSITIONS_CURRENT_YR" hidden="1">"c15733"</definedName>
    <definedName name="IQ_ADD_TAX_POSITIONS_PRIOR_YRS" hidden="1">"c15735"</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DILUTED" hidden="1">"c16188"</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DET_EST" hidden="1">"c12043"</definedName>
    <definedName name="IQ_ANALYST_DET_EST_THOM" hidden="1">"c12071"</definedName>
    <definedName name="IQ_ANALYST_EMAIL" hidden="1">"c13738"</definedName>
    <definedName name="IQ_ANALYST_NAME" hidden="1">"c13736"</definedName>
    <definedName name="IQ_ANALYST_NON_PER_DET_EST" hidden="1">"c12755"</definedName>
    <definedName name="IQ_ANALYST_NON_PER_DET_EST_THOM" hidden="1">"c12759"</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 hidden="1">"c2864"</definedName>
    <definedName name="IQ_ARPU_BASIC_CABLE" hidden="1">"c2866"</definedName>
    <definedName name="IQ_ARPU_BBAND" hidden="1">"c2867"</definedName>
    <definedName name="IQ_ARPU_DIG_CABLE" hidden="1">"c2865"</definedName>
    <definedName name="IQ_ARPU_PHONE" hidden="1">"c2868"</definedName>
    <definedName name="IQ_ARPU_POSTPAID_WIRELESS" hidden="1">"c15758"</definedName>
    <definedName name="IQ_ARPU_PREPAID_WIRELESS" hidden="1">"c15759"</definedName>
    <definedName name="IQ_ARPU_RETAIL_WIRELESS" hidden="1">"c15760"</definedName>
    <definedName name="IQ_ARPU_SATELLITE" hidden="1">"c15790"</definedName>
    <definedName name="IQ_ARPU_TOTAL" hidden="1">"c2869"</definedName>
    <definedName name="IQ_ARPU_WHOLESALE_WIRELESS" hidden="1">"c15761"</definedName>
    <definedName name="IQ_ARPU_WIRELESS"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IGNED_RESERVES_COAL" hidden="1">"c15912"</definedName>
    <definedName name="IQ_ASSIGNED_RESERVES_TO_TOTAL_RESERVES_COAL" hidden="1">"c15955"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 hidden="1">"c15870"</definedName>
    <definedName name="IQ_ASSUMED_PC_EARNED" hidden="1">"c2746"</definedName>
    <definedName name="IQ_ASSUMED_PREMIUMS_EARNED_GROSS_PREMIUMS_EARNED" hidden="1">"c15886"</definedName>
    <definedName name="IQ_ASSUMED_PREMIUMS_WRITTEN_GROSS_PREMIUMS_WRITTEN" hidden="1">"c15884"</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LOANS_TOTAL_LOANS" hidden="1">"c15713"</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 hidden="1">"c15812"</definedName>
    <definedName name="IQ_AVG_INV_HOMES" hidden="1">"c15810"</definedName>
    <definedName name="IQ_AVG_INV_LAND_LOTS" hidden="1">"c15811"</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E_RENT" hidden="1">"c16017"</definedName>
    <definedName name="IQ_BASE_RENT_OPERATING_LEASE_EXPIRING_AFTER_FIVE" hidden="1">"c16107"</definedName>
    <definedName name="IQ_BASE_RENT_OPERATING_LEASE_EXPIRING_CY" hidden="1">"c16101"</definedName>
    <definedName name="IQ_BASE_RENT_OPERATING_LEASE_EXPIRING_CY1" hidden="1">"c16102"</definedName>
    <definedName name="IQ_BASE_RENT_OPERATING_LEASE_EXPIRING_CY2" hidden="1">"c16103"</definedName>
    <definedName name="IQ_BASE_RENT_OPERATING_LEASE_EXPIRING_CY3" hidden="1">"c16104"</definedName>
    <definedName name="IQ_BASE_RENT_OPERATING_LEASE_EXPIRING_CY4" hidden="1">"c16105"</definedName>
    <definedName name="IQ_BASE_RENT_OPERATING_LEASE_EXPIRING_NEXT_FIVE" hidden="1">"c16106"</definedName>
    <definedName name="IQ_BASE_RENT_OPERATING_LEASE_EXPIRING_TOTAL" hidden="1">"c16108"</definedName>
    <definedName name="IQ_BASE_RENT_RENTAL_REVENUE" hidden="1">"c16062"</definedName>
    <definedName name="IQ_BASIC_EPS_EXCL" hidden="1">"c85"</definedName>
    <definedName name="IQ_BASIC_EPS_INCL" hidden="1">"c86"</definedName>
    <definedName name="IQ_BASIC_NAV_SHARES" hidden="1">"c16012"</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 hidden="1">"c15176"</definedName>
    <definedName name="IQ_BOARD_MEMBER_DIRECT_PHONE" hidden="1">"c15175"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 hidden="1">"c15177"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ID" hidden="1">"c13756"</definedName>
    <definedName name="IQ_BOARD_MEMBER_LT_INCENTIVE" hidden="1">"c18991"</definedName>
    <definedName name="IQ_BOARD_MEMBER_MAIN_FAX" hidden="1">"c15174"</definedName>
    <definedName name="IQ_BOARD_MEMBER_MAIN_PHONE" hidden="1">"c15173"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_ADDRESS" hidden="1">"c15172"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 hidden="1">"c15589"</definedName>
    <definedName name="IQ_BUS_SEG_DESCRIPTION_ABS" hidden="1">"c15577"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 hidden="1">"c15588"</definedName>
    <definedName name="IQ_BUS_SEG_NAIC_ABS" hidden="1">"c15576"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PRIMARY_SIC" hidden="1">"c15586"</definedName>
    <definedName name="IQ_BUS_SEG_PRIMARY_SIC_ABS" hidden="1">"c15574"</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_SEG_SECONDARY_SIC" hidden="1">"c15587"</definedName>
    <definedName name="IQ_BUS_SEG_SECONDARY_SIC_ABS" hidden="1">"c15575"</definedName>
    <definedName name="IQ_BUSINESS_COMBINATIONS_FFIEC" hidden="1">"c12967"</definedName>
    <definedName name="IQ_BUSINESS_DESCRIPTION" hidden="1">"c322"</definedName>
    <definedName name="IQ_BV_ACT_OR_EST_CIQ" hidden="1">"c5068"</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THOM" hidden="1">"c4020"</definedName>
    <definedName name="IQ_BV_SHARE_HIGH_EST" hidden="1">"c3542"</definedName>
    <definedName name="IQ_BV_SHARE_HIGH_EST_THOM" hidden="1">"c4022"</definedName>
    <definedName name="IQ_BV_SHARE_LOW_EST" hidden="1">"c3543"</definedName>
    <definedName name="IQ_BV_SHARE_LOW_EST_THOM" hidden="1">"c4023"</definedName>
    <definedName name="IQ_BV_SHARE_MEDIAN_EST" hidden="1">"c3544"</definedName>
    <definedName name="IQ_BV_SHARE_MEDIAN_EST_THOM" hidden="1">"c4021"</definedName>
    <definedName name="IQ_BV_SHARE_NUM_EST" hidden="1">"c3539"</definedName>
    <definedName name="IQ_BV_SHARE_NUM_EST_THOM" hidden="1">"c4024"</definedName>
    <definedName name="IQ_BV_SHARE_STDDEV_EST" hidden="1">"c3540"</definedName>
    <definedName name="IQ_BV_SHARE_STDDEV_EST_THOM" hidden="1">"c4025"</definedName>
    <definedName name="IQ_BV_STDDEV_EST" hidden="1">"c5629"</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 hidden="1">"c15773"</definedName>
    <definedName name="IQ_CABLE_SUBS_DIG" hidden="1">"c2856"</definedName>
    <definedName name="IQ_CABLE_SUBS_LONG_DIST_PHONE" hidden="1">"c15775"</definedName>
    <definedName name="IQ_CABLE_SUBS_NON_VIDEO" hidden="1">"c2860"</definedName>
    <definedName name="IQ_CABLE_SUBS_PHONE" hidden="1">"c2859"</definedName>
    <definedName name="IQ_CABLE_SUBS_RES_PHONE" hidden="1">"c15772"</definedName>
    <definedName name="IQ_CABLE_SUBS_SATELITE" hidden="1">"c15771"</definedName>
    <definedName name="IQ_CABLE_SUBS_TOTAL" hidden="1">"c2862"</definedName>
    <definedName name="IQ_CABLE_SUBS_WHOLE_PHONE" hidden="1">"c15774"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INVEST_CABLE" hidden="1">"c15794"</definedName>
    <definedName name="IQ_CAP_INVEST_COMMERCIAL" hidden="1">"c15800"</definedName>
    <definedName name="IQ_CAP_INVEST_CUST_PREMISE_EQUIP" hidden="1">"c15795"</definedName>
    <definedName name="IQ_CAP_INVEST_LINE_EXTENSIONS" hidden="1">"c15797"</definedName>
    <definedName name="IQ_CAP_INVEST_SCALABLE_INFRASTRUCTURE" hidden="1">"c15796"</definedName>
    <definedName name="IQ_CAP_INVEST_SUPPORT" hidden="1">"c15799"</definedName>
    <definedName name="IQ_CAP_INVEST_UPGRADE_REBUILD" hidden="1">"c15798"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THOM" hidden="1">"c5502"</definedName>
    <definedName name="IQ_CAPEX_FIN" hidden="1">"c112"</definedName>
    <definedName name="IQ_CAPEX_GUIDANCE" hidden="1">"c4150"</definedName>
    <definedName name="IQ_CAPEX_GUIDANCE_CIQ" hidden="1">"c4562"</definedName>
    <definedName name="IQ_CAPEX_GUIDANCE_CIQ_COL" hidden="1">"c11211"</definedName>
    <definedName name="IQ_CAPEX_HIGH_EST" hidden="1">"c3524"</definedName>
    <definedName name="IQ_CAPEX_HIGH_EST_THOM" hidden="1">"c5504"</definedName>
    <definedName name="IQ_CAPEX_HIGH_GUIDANCE" hidden="1">"c4180"</definedName>
    <definedName name="IQ_CAPEX_HIGH_GUIDANCE_CIQ" hidden="1">"c4592"</definedName>
    <definedName name="IQ_CAPEX_HIGH_GUIDANCE_CIQ_COL" hidden="1">"c11241"</definedName>
    <definedName name="IQ_CAPEX_INS" hidden="1">"c113"</definedName>
    <definedName name="IQ_CAPEX_LOW_EST" hidden="1">"c3525"</definedName>
    <definedName name="IQ_CAPEX_LOW_EST_THOM" hidden="1">"c5505"</definedName>
    <definedName name="IQ_CAPEX_LOW_GUIDANCE" hidden="1">"c4220"</definedName>
    <definedName name="IQ_CAPEX_LOW_GUIDANCE_CIQ" hidden="1">"c4632"</definedName>
    <definedName name="IQ_CAPEX_LOW_GUIDANCE_CIQ_COL" hidden="1">"c11281"</definedName>
    <definedName name="IQ_CAPEX_MEDIAN_EST" hidden="1">"c3526"</definedName>
    <definedName name="IQ_CAPEX_MEDIAN_EST_THOM" hidden="1">"c5503"</definedName>
    <definedName name="IQ_CAPEX_NUM_EST" hidden="1">"c3521"</definedName>
    <definedName name="IQ_CAPEX_NUM_EST_THOM" hidden="1">"c5506"</definedName>
    <definedName name="IQ_CAPEX_PCT_REV" hidden="1">"c19144"</definedName>
    <definedName name="IQ_CAPEX_STDDEV_EST" hidden="1">"c3522"</definedName>
    <definedName name="IQ_CAPEX_STDDEV_EST_THOM" hidden="1">"c5507"</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ER_SUB" hidden="1">"c15763"</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GUIDANCE_CIQ" hidden="1">"c4567"</definedName>
    <definedName name="IQ_CASH_FLOW_GUIDANCE_CIQ_COL" hidden="1">"c11216"</definedName>
    <definedName name="IQ_CASH_FLOW_HIGH_EST" hidden="1">"c4156"</definedName>
    <definedName name="IQ_CASH_FLOW_HIGH_GUIDANCE" hidden="1">"c4201"</definedName>
    <definedName name="IQ_CASH_FLOW_HIGH_GUIDANCE_CIQ" hidden="1">"c4613"</definedName>
    <definedName name="IQ_CASH_FLOW_HIGH_GUIDANCE_CIQ_COL" hidden="1">"c11262"</definedName>
    <definedName name="IQ_CASH_FLOW_LOW_EST" hidden="1">"c4157"</definedName>
    <definedName name="IQ_CASH_FLOW_LOW_GUIDANCE" hidden="1">"c4241"</definedName>
    <definedName name="IQ_CASH_FLOW_LOW_GUIDANCE_CIQ" hidden="1">"c4653"</definedName>
    <definedName name="IQ_CASH_FLOW_LOW_GUIDANCE_CIQ_COL" hidden="1">"c11302"</definedName>
    <definedName name="IQ_CASH_FLOW_MEDIAN_EST" hidden="1">"c4158"</definedName>
    <definedName name="IQ_CASH_FLOW_NUM_EST" hidden="1">"c4159"</definedName>
    <definedName name="IQ_CASH_FLOW_STDDEV_EST" hidden="1">"c4160"</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GUIDANCE_CIQ" hidden="1">"c4577"</definedName>
    <definedName name="IQ_CASH_OPER_GUIDANCE_CIQ_COL" hidden="1">"c11226"</definedName>
    <definedName name="IQ_CASH_OPER_HIGH_EST" hidden="1">"c4166"</definedName>
    <definedName name="IQ_CASH_OPER_HIGH_GUIDANCE" hidden="1">"c4185"</definedName>
    <definedName name="IQ_CASH_OPER_HIGH_GUIDANCE_CIQ" hidden="1">"c4597"</definedName>
    <definedName name="IQ_CASH_OPER_HIGH_GUIDANCE_CIQ_COL" hidden="1">"c11246"</definedName>
    <definedName name="IQ_CASH_OPER_LOW_EST" hidden="1">"c4244"</definedName>
    <definedName name="IQ_CASH_OPER_LOW_GUIDANCE" hidden="1">"c4225"</definedName>
    <definedName name="IQ_CASH_OPER_LOW_GUIDANCE_CIQ" hidden="1">"c4637"</definedName>
    <definedName name="IQ_CASH_OPER_LOW_GUIDANCE_CIQ_COL" hidden="1">"c11286"</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GUIDANCE_CIQ" hidden="1">"c4776"</definedName>
    <definedName name="IQ_CASH_ST_INVEST_GUIDANCE_CIQ_COL" hidden="1">"c11423"</definedName>
    <definedName name="IQ_CASH_ST_INVEST_HIGH_EST" hidden="1">"c4251"</definedName>
    <definedName name="IQ_CASH_ST_INVEST_HIGH_GUIDANCE" hidden="1">"c4195"</definedName>
    <definedName name="IQ_CASH_ST_INVEST_HIGH_GUIDANCE_CIQ" hidden="1">"c4607"</definedName>
    <definedName name="IQ_CASH_ST_INVEST_HIGH_GUIDANCE_CIQ_COL" hidden="1">"c11256"</definedName>
    <definedName name="IQ_CASH_ST_INVEST_LOW_EST" hidden="1">"c4252"</definedName>
    <definedName name="IQ_CASH_ST_INVEST_LOW_GUIDANCE" hidden="1">"c4235"</definedName>
    <definedName name="IQ_CASH_ST_INVEST_LOW_GUIDANCE_CIQ" hidden="1">"c4647"</definedName>
    <definedName name="IQ_CASH_ST_INVEST_LOW_GUIDANCE_CIQ_COL" hidden="1">"c11296"</definedName>
    <definedName name="IQ_CASH_ST_INVEST_MEDIAN_EST" hidden="1">"c4253"</definedName>
    <definedName name="IQ_CASH_ST_INVEST_NUM_EST" hidden="1">"c4254"</definedName>
    <definedName name="IQ_CASH_ST_INVEST_STDDEV_EST" hidden="1">"c4255"</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 hidden="1">"c15881"</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ADJ_EXP_RESERVE_BOP" hidden="1">"c15875"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 hidden="1">"c15872"</definedName>
    <definedName name="IQ_CEDED_PC_EARNED" hidden="1">"c2748"</definedName>
    <definedName name="IQ_CEDED_PREMIUMS_EARNED_GROSS_PREMIUMS_EARNED" hidden="1">"c15887"</definedName>
    <definedName name="IQ_CEDED_PREMIUMS_WRITTEN_GROSS_PREMIUMS_WRITTEN" hidden="1">"c15885"</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THOM" hidden="1">"c4006"</definedName>
    <definedName name="IQ_CFPS_GUIDANCE" hidden="1">"c4256"</definedName>
    <definedName name="IQ_CFPS_GUIDANCE_CIQ" hidden="1">"c4782"</definedName>
    <definedName name="IQ_CFPS_GUIDANCE_CIQ_COL" hidden="1">"c11429"</definedName>
    <definedName name="IQ_CFPS_HIGH_EST" hidden="1">"c1669"</definedName>
    <definedName name="IQ_CFPS_HIGH_EST_THOM" hidden="1">"c4008"</definedName>
    <definedName name="IQ_CFPS_HIGH_GUIDANCE" hidden="1">"c4167"</definedName>
    <definedName name="IQ_CFPS_HIGH_GUIDANCE_CIQ" hidden="1">"c4579"</definedName>
    <definedName name="IQ_CFPS_HIGH_GUIDANCE_CIQ_COL" hidden="1">"c11228"</definedName>
    <definedName name="IQ_CFPS_LOW_EST" hidden="1">"c1670"</definedName>
    <definedName name="IQ_CFPS_LOW_EST_THOM" hidden="1">"c4009"</definedName>
    <definedName name="IQ_CFPS_LOW_GUIDANCE" hidden="1">"c4207"</definedName>
    <definedName name="IQ_CFPS_LOW_GUIDANCE_CIQ" hidden="1">"c4619"</definedName>
    <definedName name="IQ_CFPS_LOW_GUIDANCE_CIQ_COL" hidden="1">"c11268"</definedName>
    <definedName name="IQ_CFPS_MEDIAN_EST" hidden="1">"c1668"</definedName>
    <definedName name="IQ_CFPS_MEDIAN_EST_THOM" hidden="1">"c4007"</definedName>
    <definedName name="IQ_CFPS_NUM_EST" hidden="1">"c1671"</definedName>
    <definedName name="IQ_CFPS_NUM_EST_THOM" hidden="1">"c4010"</definedName>
    <definedName name="IQ_CFPS_STDDEV_EST" hidden="1">"c1672"</definedName>
    <definedName name="IQ_CFPS_STDDEV_EST_THOM" hidden="1">"c4011"</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UNRECOG_TAX_BENEFIT_1_YR_MAX" hidden="1">"c15747"</definedName>
    <definedName name="IQ_CHANGE_UNRECOG_TAX_BENEFIT_1_YR_MIN" hidden="1">"c15746"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HURN_BASIC_CABLE" hidden="1">"c2871"</definedName>
    <definedName name="IQ_CHURN_BBAND" hidden="1">"c2872"</definedName>
    <definedName name="IQ_CHURN_DIG_CABLE" hidden="1">"c2870"</definedName>
    <definedName name="IQ_CHURN_PHONE" hidden="1">"c2873"</definedName>
    <definedName name="IQ_CHURN_POSTPAID_WIRELESS" hidden="1">"c2121"</definedName>
    <definedName name="IQ_CHURN_PREPAID_WIRELESS" hidden="1">"c2120"</definedName>
    <definedName name="IQ_CHURN_SATELLITE" hidden="1">"c15791"</definedName>
    <definedName name="IQ_CHURN_TOTAL" hidden="1">"c2874"</definedName>
    <definedName name="IQ_CHURN_TOTAL_WIRELESS" hidden="1">"c2122"</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LOSEPRICE_RT" hidden="1">"CLOSE"</definedName>
    <definedName name="IQ_CMBS_ISSUED_AVAIL_SALE_FFIEC" hidden="1">"c12800"</definedName>
    <definedName name="IQ_CMBS_ISSUED_FFIEC" hidden="1">"c12786"</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 hidden="1">"c15954"</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L_REC_FFIEC" hidden="1">"c18880"</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INVEST_CABLE_INVEST" hidden="1">"c15806"</definedName>
    <definedName name="IQ_COMMERCIAL_LOANS_TOTAL_LOANS" hidden="1">"c15709"</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LOANS_TOTAL_LOANS" hidden="1">"c15710"</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ITUENTS" hidden="1">"c19169"</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LOANS_TOTAL_LOANS" hidden="1">"c15711"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LOANS_TOTAL_LOANS" hidden="1">"c15712"</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INGENT_LIABILITIES" hidden="1">"c18873"</definedName>
    <definedName name="IQ_CONTRACT_OBLIGATION_AFTER_FIVE" hidden="1">"c15691"</definedName>
    <definedName name="IQ_CONTRACT_OBLIGATION_CY" hidden="1">"c15685"</definedName>
    <definedName name="IQ_CONTRACT_OBLIGATION_CY1" hidden="1">"c15686"</definedName>
    <definedName name="IQ_CONTRACT_OBLIGATION_CY2" hidden="1">"c15687"</definedName>
    <definedName name="IQ_CONTRACT_OBLIGATION_CY3" hidden="1">"c15688"</definedName>
    <definedName name="IQ_CONTRACT_OBLIGATION_CY4" hidden="1">"c15689"</definedName>
    <definedName name="IQ_CONTRACT_OBLIGATION_NEXT_FIVE" hidden="1">"c15690"</definedName>
    <definedName name="IQ_CONTRACT_OBLIGATION_TOTAL" hidden="1">"c15692"</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ID_NON_PER_DET_EST" hidden="1">"c13824"</definedName>
    <definedName name="IQ_CONTRIB_ID_NON_PER_DET_EST_THOM" hidden="1">"c13826"</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ARITY" hidden="1">"c16197"</definedName>
    <definedName name="IQ_CONV_PREMIUM" hidden="1">"c2195"</definedName>
    <definedName name="IQ_CONV_PRICE" hidden="1">"c2193"</definedName>
    <definedName name="IQ_CONV_PRICE_ISSUE" hidden="1">"c16195"</definedName>
    <definedName name="IQ_CONV_PRICE_PREM_ISSUE" hidden="1">"c16196"</definedName>
    <definedName name="IQ_CONV_PRICE_PREMIUM" hidden="1">"c16198"</definedName>
    <definedName name="IQ_CONV_PT_PREMIUM" hidden="1">"c16199"</definedName>
    <definedName name="IQ_CONV_PT_PREMIUM_PCT" hidden="1">"c16200"</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 hidden="1">"c15726"</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LES_COAL" hidden="1">"c15933"</definedName>
    <definedName name="IQ_COST_SALES_PER_UNIT_SOLD_COAL" hidden="1">"c15944"</definedName>
    <definedName name="IQ_COST_SALES_TO_SALES_COAL" hidden="1">"c15951"</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OVERED_WIRELESS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_TAXES" hidden="1">"c19141"</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_PREMISE_EQUIP_CABLE_INVEST" hidden="1">"c15801"</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 hidden="1">"c16181"</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_NAV" hidden="1">"c16003"</definedName>
    <definedName name="IQ_DEFERRED_TAX_NNAV" hidden="1">"c16008"</definedName>
    <definedName name="IQ_DEFERRED_TAXES" hidden="1">"c1356"</definedName>
    <definedName name="IQ_DEFERRED_TAXES_TOTAL" hidden="1">"c19142"</definedName>
    <definedName name="IQ_DELIVERED_HOMES_NEW_ORDERS" hidden="1">"c15821"</definedName>
    <definedName name="IQ_DELIVERED_HOMES_PRICE_NEW_ORDER_PRICE" hidden="1">"c15822"</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EVELOPMENT_EXPENSE" hidden="1">"c16040"</definedName>
    <definedName name="IQ_DEVELOPMENT_REVENUE" hidden="1">"c16024"</definedName>
    <definedName name="IQ_DIC" hidden="1">"c13834"</definedName>
    <definedName name="IQ_DIFF_LASTCLOSE_TARGET_PRICE" hidden="1">"c1854"</definedName>
    <definedName name="IQ_DIFF_LASTCLOSE_TARGET_PRICE_CIQ" hidden="1">"c4767"</definedName>
    <definedName name="IQ_DIFF_LASTCLOSE_TARGET_PRICE_THOM" hidden="1">"c5278"</definedName>
    <definedName name="IQ_DIG_SUB_BASIC_SUB" hidden="1">"c16202"</definedName>
    <definedName name="IQ_DIG_SUB_VIDEO_SUB" hidden="1">"c15788"</definedName>
    <definedName name="IQ_DIGITAL_SUB_TOTAL_HOMES_PASSED" hidden="1">"c15769"</definedName>
    <definedName name="IQ_DIGITAL_VIDEO_PENETRATION" hidden="1">"c15768"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LUTED_EPRA_NAV" hidden="1">"c16005"</definedName>
    <definedName name="IQ_DILUTED_EPRA_NAV_SHARE_RE" hidden="1">"c16014"</definedName>
    <definedName name="IQ_DILUTED_EPRA_NNAV" hidden="1">"c16010"</definedName>
    <definedName name="IQ_DILUTED_EPRA_NNAV_SHARE_RE" hidden="1">"c16015"</definedName>
    <definedName name="IQ_DILUTED_NAV_RE" hidden="1">"c15998"</definedName>
    <definedName name="IQ_DILUTED_NAV_SHARE_RE" hidden="1">"c16013"</definedName>
    <definedName name="IQ_DILUTED_NAV_SHARES" hidden="1">"c16016"</definedName>
    <definedName name="IQ_DILUTION_EFFECT_NAV" hidden="1">"c15997"</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LOSSES" hidden="1">"c15869"</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CRETIONARY_CAPEX" hidden="1">"c16183"</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GUIDANCE" hidden="1">"c4279"</definedName>
    <definedName name="IQ_DISTRIBUTABLE_CASH_GUIDANCE_CIQ" hidden="1">"c4804"</definedName>
    <definedName name="IQ_DISTRIBUTABLE_CASH_GUIDANCE_CIQ_COL" hidden="1">"c11451"</definedName>
    <definedName name="IQ_DISTRIBUTABLE_CASH_HIGH_EST" hidden="1">"c4280"</definedName>
    <definedName name="IQ_DISTRIBUTABLE_CASH_HIGH_GUIDANCE" hidden="1">"c4198"</definedName>
    <definedName name="IQ_DISTRIBUTABLE_CASH_HIGH_GUIDANCE_CIQ" hidden="1">"c4610"</definedName>
    <definedName name="IQ_DISTRIBUTABLE_CASH_HIGH_GUIDANCE_CIQ_COL" hidden="1">"c11259"</definedName>
    <definedName name="IQ_DISTRIBUTABLE_CASH_LOW_EST" hidden="1">"c4281"</definedName>
    <definedName name="IQ_DISTRIBUTABLE_CASH_LOW_GUIDANCE" hidden="1">"c4238"</definedName>
    <definedName name="IQ_DISTRIBUTABLE_CASH_LOW_GUIDANCE_CIQ" hidden="1">"c4650"</definedName>
    <definedName name="IQ_DISTRIBUTABLE_CASH_LOW_GUIDANCE_CIQ_COL" hidden="1">"c11299"</definedName>
    <definedName name="IQ_DISTRIBUTABLE_CASH_MEDIAN_EST" hidden="1">"c4282"</definedName>
    <definedName name="IQ_DISTRIBUTABLE_CASH_NUM_EST" hidden="1">"c4283"</definedName>
    <definedName name="IQ_DISTRIBUTABLE_CASH_PAYOUT" hidden="1">"c3005"</definedName>
    <definedName name="IQ_DISTRIBUTABLE_CASH_PER_SHARE_DILUTED" hidden="1">"c16191"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GUIDANCE" hidden="1">"c4287"</definedName>
    <definedName name="IQ_DISTRIBUTABLE_CASH_SHARE_GUIDANCE_CIQ" hidden="1">"c4812"</definedName>
    <definedName name="IQ_DISTRIBUTABLE_CASH_SHARE_GUIDANCE_CIQ_COL" hidden="1">"c11459"</definedName>
    <definedName name="IQ_DISTRIBUTABLE_CASH_SHARE_HIGH_EST" hidden="1">"c4288"</definedName>
    <definedName name="IQ_DISTRIBUTABLE_CASH_SHARE_HIGH_GUIDANCE" hidden="1">"c4199"</definedName>
    <definedName name="IQ_DISTRIBUTABLE_CASH_SHARE_HIGH_GUIDANCE_CIQ" hidden="1">"c4611"</definedName>
    <definedName name="IQ_DISTRIBUTABLE_CASH_SHARE_HIGH_GUIDANCE_CIQ_COL" hidden="1">"c11260"</definedName>
    <definedName name="IQ_DISTRIBUTABLE_CASH_SHARE_LOW_EST" hidden="1">"c4289"</definedName>
    <definedName name="IQ_DISTRIBUTABLE_CASH_SHARE_LOW_GUIDANCE" hidden="1">"c4239"</definedName>
    <definedName name="IQ_DISTRIBUTABLE_CASH_SHARE_LOW_GUIDANCE_CIQ" hidden="1">"c4651"</definedName>
    <definedName name="IQ_DISTRIBUTABLE_CASH_SHARE_LOW_GUIDANCE_CIQ_COL" hidden="1">"c11300"</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HARES_BASIC" hidden="1">"c16189"</definedName>
    <definedName name="IQ_DISTRIBUTABLE_CASH_SHARES_DILUTED" hidden="1">"c16190"</definedName>
    <definedName name="IQ_DISTRIBUTABLE_CASH_STDDEV_EST" hidden="1">"c4294"</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THOM" hidden="1">"c4013"</definedName>
    <definedName name="IQ_DPS_GUIDANCE" hidden="1">"c4302"</definedName>
    <definedName name="IQ_DPS_GUIDANCE_CIQ" hidden="1">"c4827"</definedName>
    <definedName name="IQ_DPS_GUIDANCE_CIQ_COL" hidden="1">"c11474"</definedName>
    <definedName name="IQ_DPS_HIGH_EST" hidden="1">"c1676"</definedName>
    <definedName name="IQ_DPS_HIGH_EST_THOM" hidden="1">"c4015"</definedName>
    <definedName name="IQ_DPS_HIGH_GUIDANCE" hidden="1">"c4168"</definedName>
    <definedName name="IQ_DPS_HIGH_GUIDANCE_CIQ" hidden="1">"c4580"</definedName>
    <definedName name="IQ_DPS_HIGH_GUIDANCE_CIQ_COL" hidden="1">"c11229"</definedName>
    <definedName name="IQ_DPS_LOW_EST" hidden="1">"c1677"</definedName>
    <definedName name="IQ_DPS_LOW_EST_THOM" hidden="1">"c4016"</definedName>
    <definedName name="IQ_DPS_LOW_GUIDANCE" hidden="1">"c4208"</definedName>
    <definedName name="IQ_DPS_LOW_GUIDANCE_CIQ" hidden="1">"c4620"</definedName>
    <definedName name="IQ_DPS_LOW_GUIDANCE_CIQ_COL" hidden="1">"c11269"</definedName>
    <definedName name="IQ_DPS_MEDIAN_EST" hidden="1">"c1675"</definedName>
    <definedName name="IQ_DPS_MEDIAN_EST_THOM" hidden="1">"c4014"</definedName>
    <definedName name="IQ_DPS_NUM_EST" hidden="1">"c1678"</definedName>
    <definedName name="IQ_DPS_NUM_EST_THOM" hidden="1">"c4017"</definedName>
    <definedName name="IQ_DPS_STDDEV_EST" hidden="1">"c1679"</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INT_BEAR_LIABILITIES" hidden="1">"c15703"</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_FFIEC" hidden="1">"c13032"</definedName>
    <definedName name="IQ_EARNINGS_CONT_OPS_HOMEBUILDING_SALES" hidden="1">"c15817"</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THOM" hidden="1">"c5105"</definedName>
    <definedName name="IQ_EBIT_EXCL_SBC" hidden="1">"c3082"</definedName>
    <definedName name="IQ_EBIT_GUIDANCE" hidden="1">"c4303"</definedName>
    <definedName name="IQ_EBIT_GUIDANCE_CIQ" hidden="1">"c4828"</definedName>
    <definedName name="IQ_EBIT_GUIDANCE_CIQ_COL" hidden="1">"c11475"</definedName>
    <definedName name="IQ_EBIT_GW_ACT_OR_EST" hidden="1">"c4306"</definedName>
    <definedName name="IQ_EBIT_GW_EST" hidden="1">"c4305"</definedName>
    <definedName name="IQ_EBIT_GW_GUIDANCE" hidden="1">"c4307"</definedName>
    <definedName name="IQ_EBIT_GW_GUIDANCE_CIQ" hidden="1">"c4832"</definedName>
    <definedName name="IQ_EBIT_GW_GUIDANCE_CIQ_COL" hidden="1">"c11479"</definedName>
    <definedName name="IQ_EBIT_GW_HIGH_EST" hidden="1">"c4308"</definedName>
    <definedName name="IQ_EBIT_GW_HIGH_GUIDANCE" hidden="1">"c4171"</definedName>
    <definedName name="IQ_EBIT_GW_HIGH_GUIDANCE_CIQ" hidden="1">"c4583"</definedName>
    <definedName name="IQ_EBIT_GW_HIGH_GUIDANCE_CIQ_COL" hidden="1">"c11232"</definedName>
    <definedName name="IQ_EBIT_GW_LOW_EST" hidden="1">"c4309"</definedName>
    <definedName name="IQ_EBIT_GW_LOW_GUIDANCE" hidden="1">"c4211"</definedName>
    <definedName name="IQ_EBIT_GW_LOW_GUIDANCE_CIQ" hidden="1">"c4623"</definedName>
    <definedName name="IQ_EBIT_GW_LOW_GUIDANCE_CIQ_COL" hidden="1">"c11272"</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THOM" hidden="1">"c5107"</definedName>
    <definedName name="IQ_EBIT_HIGH_GUIDANCE" hidden="1">"c4172"</definedName>
    <definedName name="IQ_EBIT_HIGH_GUIDANCE_CIQ" hidden="1">"c4584"</definedName>
    <definedName name="IQ_EBIT_HIGH_GUIDANCE_CIQ_COL" hidden="1">"c11233"</definedName>
    <definedName name="IQ_EBIT_HOMEBUILDING_SALES" hidden="1">"c15815"</definedName>
    <definedName name="IQ_EBIT_INT" hidden="1">"c360"</definedName>
    <definedName name="IQ_EBIT_LOW_EST" hidden="1">"c1684"</definedName>
    <definedName name="IQ_EBIT_LOW_EST_THOM" hidden="1">"c5108"</definedName>
    <definedName name="IQ_EBIT_LOW_GUIDANCE" hidden="1">"c4212"</definedName>
    <definedName name="IQ_EBIT_LOW_GUIDANCE_CIQ" hidden="1">"c4624"</definedName>
    <definedName name="IQ_EBIT_LOW_GUIDANCE_CIQ_COL" hidden="1">"c11273"</definedName>
    <definedName name="IQ_EBIT_MARGIN" hidden="1">"c359"</definedName>
    <definedName name="IQ_EBIT_MEDIAN_EST" hidden="1">"c1682"</definedName>
    <definedName name="IQ_EBIT_MEDIAN_EST_THOM" hidden="1">"c5106"</definedName>
    <definedName name="IQ_EBIT_NUM_EST" hidden="1">"c1685"</definedName>
    <definedName name="IQ_EBIT_NUM_EST_THOM" hidden="1">"c5109"</definedName>
    <definedName name="IQ_EBIT_OVER_IE" hidden="1">"c1369"</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UIDANCE_CIQ" hidden="1">"c4842"</definedName>
    <definedName name="IQ_EBIT_SBC_GUIDANCE_CIQ_COL" hidden="1">"c11489"</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GUIDANCE_CIQ" hidden="1">"c4846"</definedName>
    <definedName name="IQ_EBIT_SBC_GW_GUIDANCE_CIQ_COL" hidden="1">"c11493"</definedName>
    <definedName name="IQ_EBIT_SBC_GW_HIGH_EST" hidden="1">"c4322"</definedName>
    <definedName name="IQ_EBIT_SBC_GW_HIGH_GUIDANCE" hidden="1">"c4193"</definedName>
    <definedName name="IQ_EBIT_SBC_GW_HIGH_GUIDANCE_CIQ" hidden="1">"c4605"</definedName>
    <definedName name="IQ_EBIT_SBC_GW_HIGH_GUIDANCE_CIQ_COL" hidden="1">"c11254"</definedName>
    <definedName name="IQ_EBIT_SBC_GW_LOW_EST" hidden="1">"c4323"</definedName>
    <definedName name="IQ_EBIT_SBC_GW_LOW_GUIDANCE" hidden="1">"c4233"</definedName>
    <definedName name="IQ_EBIT_SBC_GW_LOW_GUIDANCE_CIQ" hidden="1">"c4645"</definedName>
    <definedName name="IQ_EBIT_SBC_GW_LOW_GUIDANCE_CIQ_COL" hidden="1">"c11294"</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HIGH_GUIDANCE_CIQ" hidden="1">"c4604"</definedName>
    <definedName name="IQ_EBIT_SBC_HIGH_GUIDANCE_CIQ_COL" hidden="1">"c11253"</definedName>
    <definedName name="IQ_EBIT_SBC_LOW_EST" hidden="1">"c4329"</definedName>
    <definedName name="IQ_EBIT_SBC_LOW_GUIDANCE" hidden="1">"c4232"</definedName>
    <definedName name="IQ_EBIT_SBC_LOW_GUIDANCE_CIQ" hidden="1">"c4644"</definedName>
    <definedName name="IQ_EBIT_SBC_LOW_GUIDANCE_CIQ_COL" hidden="1">"c11293"</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THOM" hidden="1">"c5300"</definedName>
    <definedName name="IQ_EBITDA_CAPEX" hidden="1">"c19143"</definedName>
    <definedName name="IQ_EBITDA_CAPEX_INT" hidden="1">"c368"</definedName>
    <definedName name="IQ_EBITDA_CAPEX_OVER_TOTAL_IE" hidden="1">"c1370"</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UIDANCE" hidden="1">"c4334"</definedName>
    <definedName name="IQ_EBITDA_GUIDANCE_CIQ" hidden="1">"c4859"</definedName>
    <definedName name="IQ_EBITDA_GUIDANCE_CIQ_COL" hidden="1">"c11506"</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HIGH_GUIDANCE_CIQ" hidden="1">"c4582"</definedName>
    <definedName name="IQ_EBITDA_HIGH_GUIDANCE_CIQ_COL" hidden="1">"c11231"</definedName>
    <definedName name="IQ_EBITDA_HOMEBUILDING_SALES" hidden="1">"c15814"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LOW_GUIDANCE_CIQ" hidden="1">"c4622"</definedName>
    <definedName name="IQ_EBITDA_LOW_GUIDANCE_CIQ_COL" hidden="1">"c11271"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"c1371"</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GUIDANCE_CIQ" hidden="1">"c4863"</definedName>
    <definedName name="IQ_EBITDA_SBC_GUIDANCE_CIQ_COL" hidden="1">"c11510"</definedName>
    <definedName name="IQ_EBITDA_SBC_HIGH_EST" hidden="1">"c4339"</definedName>
    <definedName name="IQ_EBITDA_SBC_HIGH_GUIDANCE" hidden="1">"c4194"</definedName>
    <definedName name="IQ_EBITDA_SBC_HIGH_GUIDANCE_CIQ" hidden="1">"c4606"</definedName>
    <definedName name="IQ_EBITDA_SBC_HIGH_GUIDANCE_CIQ_COL" hidden="1">"c11255"</definedName>
    <definedName name="IQ_EBITDA_SBC_LOW_EST" hidden="1">"c4340"</definedName>
    <definedName name="IQ_EBITDA_SBC_LOW_GUIDANCE" hidden="1">"c4234"</definedName>
    <definedName name="IQ_EBITDA_SBC_LOW_GUIDANCE_CIQ" hidden="1">"c4646"</definedName>
    <definedName name="IQ_EBITDA_SBC_LOW_GUIDANCE_CIQ_COL" hidden="1">"c11295"</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GAAP_GUIDANCE" hidden="1">"c4345"</definedName>
    <definedName name="IQ_EBT_GAAP_GUIDANCE_CIQ" hidden="1">"c4870"</definedName>
    <definedName name="IQ_EBT_GAAP_GUIDANCE_CIQ_COL" hidden="1">"c11517"</definedName>
    <definedName name="IQ_EBT_GAAP_HIGH_GUIDANCE" hidden="1">"c4174"</definedName>
    <definedName name="IQ_EBT_GAAP_HIGH_GUIDANCE_CIQ" hidden="1">"c4586"</definedName>
    <definedName name="IQ_EBT_GAAP_HIGH_GUIDANCE_CIQ_COL" hidden="1">"c11235"</definedName>
    <definedName name="IQ_EBT_GAAP_LOW_GUIDANCE" hidden="1">"c4214"</definedName>
    <definedName name="IQ_EBT_GAAP_LOW_GUIDANCE_CIQ" hidden="1">"c4626"</definedName>
    <definedName name="IQ_EBT_GAAP_LOW_GUIDANCE_CIQ_COL" hidden="1">"c11275"</definedName>
    <definedName name="IQ_EBT_GUIDANCE" hidden="1">"c4346"</definedName>
    <definedName name="IQ_EBT_GUIDANCE_CIQ" hidden="1">"c4871"</definedName>
    <definedName name="IQ_EBT_GUIDANCE_CIQ_COL" hidden="1">"c11518"</definedName>
    <definedName name="IQ_EBT_GW_GUIDANCE" hidden="1">"c4347"</definedName>
    <definedName name="IQ_EBT_GW_GUIDANCE_CIQ" hidden="1">"c4872"</definedName>
    <definedName name="IQ_EBT_GW_GUIDANCE_CIQ_COL" hidden="1">"c11519"</definedName>
    <definedName name="IQ_EBT_GW_HIGH_GUIDANCE" hidden="1">"c4175"</definedName>
    <definedName name="IQ_EBT_GW_HIGH_GUIDANCE_CIQ" hidden="1">"c4587"</definedName>
    <definedName name="IQ_EBT_GW_HIGH_GUIDANCE_CIQ_COL" hidden="1">"c11236"</definedName>
    <definedName name="IQ_EBT_GW_LOW_GUIDANCE" hidden="1">"c4215"</definedName>
    <definedName name="IQ_EBT_GW_LOW_GUIDANCE_CIQ" hidden="1">"c4627"</definedName>
    <definedName name="IQ_EBT_GW_LOW_GUIDANCE_CIQ_COL" hidden="1">"c11276"</definedName>
    <definedName name="IQ_EBT_HIGH_GUIDANCE" hidden="1">"c4173"</definedName>
    <definedName name="IQ_EBT_HIGH_GUIDANCE_CIQ" hidden="1">"c4585"</definedName>
    <definedName name="IQ_EBT_HIGH_GUIDANCE_CIQ_COL" hidden="1">"c11234"</definedName>
    <definedName name="IQ_EBT_HOMEBUILDING_SALES" hidden="1">"c15816"</definedName>
    <definedName name="IQ_EBT_INCL_MARGIN" hidden="1">"c387"</definedName>
    <definedName name="IQ_EBT_INS" hidden="1">"c388"</definedName>
    <definedName name="IQ_EBT_LOW_GUIDANCE" hidden="1">"c4213"</definedName>
    <definedName name="IQ_EBT_LOW_GUIDANCE_CIQ" hidden="1">"c4625"</definedName>
    <definedName name="IQ_EBT_LOW_GUIDANCE_CIQ_COL" hidden="1">"c11274"</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UIDANCE_CIQ" hidden="1">"c4876"</definedName>
    <definedName name="IQ_EBT_SBC_GUIDANCE_CIQ_COL" hidden="1">"c11523"</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GUIDANCE_CIQ" hidden="1">"c4880"</definedName>
    <definedName name="IQ_EBT_SBC_GW_GUIDANCE_CIQ_COL" hidden="1">"c11527"</definedName>
    <definedName name="IQ_EBT_SBC_GW_HIGH_EST" hidden="1">"c4356"</definedName>
    <definedName name="IQ_EBT_SBC_GW_HIGH_GUIDANCE" hidden="1">"c4191"</definedName>
    <definedName name="IQ_EBT_SBC_GW_HIGH_GUIDANCE_CIQ" hidden="1">"c4603"</definedName>
    <definedName name="IQ_EBT_SBC_GW_HIGH_GUIDANCE_CIQ_COL" hidden="1">"c11252"</definedName>
    <definedName name="IQ_EBT_SBC_GW_LOW_EST" hidden="1">"c4357"</definedName>
    <definedName name="IQ_EBT_SBC_GW_LOW_GUIDANCE" hidden="1">"c4231"</definedName>
    <definedName name="IQ_EBT_SBC_GW_LOW_GUIDANCE_CIQ" hidden="1">"c4643"</definedName>
    <definedName name="IQ_EBT_SBC_GW_LOW_GUIDANCE_CIQ_COL" hidden="1">"c11292"</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HIGH_GUIDANCE_CIQ" hidden="1">"c4602"</definedName>
    <definedName name="IQ_EBT_SBC_HIGH_GUIDANCE_CIQ_COL" hidden="1">"c11251"</definedName>
    <definedName name="IQ_EBT_SBC_LOW_EST" hidden="1">"c4363"</definedName>
    <definedName name="IQ_EBT_SBC_LOW_GUIDANCE" hidden="1">"c4230"</definedName>
    <definedName name="IQ_EBT_SBC_LOW_GUIDANCE_CIQ" hidden="1">"c4642"</definedName>
    <definedName name="IQ_EBT_SBC_LOW_GUIDANCE_CIQ_COL" hidden="1">"c11291"</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AUTHORIZED_SHARES_OTHER" hidden="1">"c15613"</definedName>
    <definedName name="IQ_ECS_AUTHORIZED_SHARES_OTHER_ABS" hidden="1">"c15630"</definedName>
    <definedName name="IQ_ECS_CONVERT_FACTOR" hidden="1">"c5581"</definedName>
    <definedName name="IQ_ECS_CONVERT_FACTOR_ABS" hidden="1">"c5595"</definedName>
    <definedName name="IQ_ECS_CONVERT_FACTOR_OTHER" hidden="1">"c15611"</definedName>
    <definedName name="IQ_ECS_CONVERT_FACTOR_OTHER_ABS" hidden="1">"c15628"</definedName>
    <definedName name="IQ_ECS_CONVERT_INTO" hidden="1">"c5580"</definedName>
    <definedName name="IQ_ECS_CONVERT_INTO_ABS" hidden="1">"c5594"</definedName>
    <definedName name="IQ_ECS_CONVERT_INTO_OTHER" hidden="1">"c15610"</definedName>
    <definedName name="IQ_ECS_CONVERT_INTO_OTHER_ABS" hidden="1">"c15627"</definedName>
    <definedName name="IQ_ECS_CONVERT_PRIMARY_FACTOR" hidden="1">"c15592"</definedName>
    <definedName name="IQ_ECS_CONVERT_PRIMARY_FACTOR_ABS" hidden="1">"c15596"</definedName>
    <definedName name="IQ_ECS_CONVERT_TYPE" hidden="1">"c5579"</definedName>
    <definedName name="IQ_ECS_CONVERT_TYPE_ABS" hidden="1">"c5593"</definedName>
    <definedName name="IQ_ECS_CONVERT_TYPE_OTHER" hidden="1">"c15609"</definedName>
    <definedName name="IQ_ECS_CONVERT_TYPE_OTHER_ABS" hidden="1">"c15626"</definedName>
    <definedName name="IQ_ECS_INACTIVE_DATE" hidden="1">"c5576"</definedName>
    <definedName name="IQ_ECS_INACTIVE_DATE_ABS" hidden="1">"c5590"</definedName>
    <definedName name="IQ_ECS_INACTIVE_DATE_OTHER" hidden="1">"c15606"</definedName>
    <definedName name="IQ_ECS_INACTIVE_DATE_OTHER_ABS" hidden="1">"c15623"</definedName>
    <definedName name="IQ_ECS_NAME" hidden="1">"c5571"</definedName>
    <definedName name="IQ_ECS_NAME_ABS" hidden="1">"c5585"</definedName>
    <definedName name="IQ_ECS_NAME_OTHER" hidden="1">"c15599"</definedName>
    <definedName name="IQ_ECS_NAME_OTHER_ABS" hidden="1">"c15616"</definedName>
    <definedName name="IQ_ECS_NUM_SHAREHOLDERS" hidden="1">"c5584"</definedName>
    <definedName name="IQ_ECS_NUM_SHAREHOLDERS_ABS" hidden="1">"c5598"</definedName>
    <definedName name="IQ_ECS_NUM_SHAREHOLDERS_OTHER" hidden="1">"c15615"</definedName>
    <definedName name="IQ_ECS_NUM_SHAREHOLDERS_OTHER_ABS" hidden="1">"c15632"</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 hidden="1">"c15608"</definedName>
    <definedName name="IQ_ECS_PAR_VALUE_CURRENCY_OTHER_ABS" hidden="1">"c15625"</definedName>
    <definedName name="IQ_ECS_PAR_VALUE_OTHER" hidden="1">"c15607"</definedName>
    <definedName name="IQ_ECS_PAR_VALUE_OTHER_ABS" hidden="1">"c15624"</definedName>
    <definedName name="IQ_ECS_PARTICIPATE_FLAG" hidden="1">"c15591"</definedName>
    <definedName name="IQ_ECS_PARTICIPATE_FLAG_ABS" hidden="1">"c15595"</definedName>
    <definedName name="IQ_ECS_PARTICIPATE_FLAG_OTHER" hidden="1">"c15614"</definedName>
    <definedName name="IQ_ECS_PARTICIPATE_FLAG_OTHER_ABS" hidden="1">"c15631"</definedName>
    <definedName name="IQ_ECS_SHARES_OUT_BS_DATE" hidden="1">"c5572"</definedName>
    <definedName name="IQ_ECS_SHARES_OUT_BS_DATE_ABS" hidden="1">"c5586"</definedName>
    <definedName name="IQ_ECS_SHARES_OUT_BS_DATE_OTHER" hidden="1">"c15600"</definedName>
    <definedName name="IQ_ECS_SHARES_OUT_BS_DATE_OTHER_ABS" hidden="1">"c15617"</definedName>
    <definedName name="IQ_ECS_SHARES_OUT_FILING_DATE" hidden="1">"c5573"</definedName>
    <definedName name="IQ_ECS_SHARES_OUT_FILING_DATE_ABS" hidden="1">"c5587"</definedName>
    <definedName name="IQ_ECS_SHARES_OUT_FILING_DATE_OTHER" hidden="1">"c15601"</definedName>
    <definedName name="IQ_ECS_SHARES_OUT_FILING_DATE_OTHER_ABS" hidden="1">"c15618"</definedName>
    <definedName name="IQ_ECS_START_DATE" hidden="1">"c5575"</definedName>
    <definedName name="IQ_ECS_START_DATE_ABS" hidden="1">"c5589"</definedName>
    <definedName name="IQ_ECS_START_DATE_OTHER" hidden="1">"c15605"</definedName>
    <definedName name="IQ_ECS_START_DATE_OTHER_ABS" hidden="1">"c15622"</definedName>
    <definedName name="IQ_ECS_TICKER" hidden="1">"c15594"</definedName>
    <definedName name="IQ_ECS_TICKER_ABS" hidden="1">"c15598"</definedName>
    <definedName name="IQ_ECS_TICKER_OTHER" hidden="1">"c15603"</definedName>
    <definedName name="IQ_ECS_TICKER_OTHER_ABS" hidden="1">"c15620"</definedName>
    <definedName name="IQ_ECS_TRADING_ITEM_CIQID" hidden="1">"c15593"</definedName>
    <definedName name="IQ_ECS_TRADING_ITEM_CIQID_ABS" hidden="1">"c15597"</definedName>
    <definedName name="IQ_ECS_TRADING_ITEM_CIQID_OTHER" hidden="1">"c15602"</definedName>
    <definedName name="IQ_ECS_TRADING_ITEM_CIQID_OTHER_ABS" hidden="1">"c15619"</definedName>
    <definedName name="IQ_ECS_TYPE" hidden="1">"c5574"</definedName>
    <definedName name="IQ_ECS_TYPE_ABS" hidden="1">"c5588"</definedName>
    <definedName name="IQ_ECS_TYPE_OTHER" hidden="1">"c15604"</definedName>
    <definedName name="IQ_ECS_TYPE_OTHER_ABS" hidden="1">"c15621"</definedName>
    <definedName name="IQ_ECS_VOTING" hidden="1">"c5582"</definedName>
    <definedName name="IQ_ECS_VOTING_ABS" hidden="1">"c5596"</definedName>
    <definedName name="IQ_ECS_VOTING_OTHER" hidden="1">"c15612"</definedName>
    <definedName name="IQ_ECS_VOTING_OTHER_ABS" hidden="1">"c15629"</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MPLOYEES_UNDER_UNION_CONTRACTS" hidden="1">"c16109"</definedName>
    <definedName name="IQ_ENTERPRISE_VALUE" hidden="1">"c1348"</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THOM" hidden="1">"c5298"</definedName>
    <definedName name="IQ_EPS_AP" hidden="1">"c8880"</definedName>
    <definedName name="IQ_EPS_AP_ABS" hidden="1">"c8899"</definedName>
    <definedName name="IQ_EPS_DET_EST" hidden="1">"c13571"</definedName>
    <definedName name="IQ_EPS_DET_EST_CURRENCY" hidden="1">"c13583"</definedName>
    <definedName name="IQ_EPS_DET_EST_CURRENCY_THOM" hidden="1">"c12484"</definedName>
    <definedName name="IQ_EPS_DET_EST_DATE" hidden="1">"c13575"</definedName>
    <definedName name="IQ_EPS_DET_EST_DATE_THOM" hidden="1">"c12235"</definedName>
    <definedName name="IQ_EPS_DET_EST_INCL" hidden="1">"c13587"</definedName>
    <definedName name="IQ_EPS_DET_EST_INCL_THOM" hidden="1">"c12367"</definedName>
    <definedName name="IQ_EPS_DET_EST_ORIGIN" hidden="1">"c13579"</definedName>
    <definedName name="IQ_EPS_DET_EST_ORIGIN_THOM" hidden="1">"c12605"</definedName>
    <definedName name="IQ_EPS_DET_EST_THOM" hidden="1">"c12085"</definedName>
    <definedName name="IQ_EPS_EST" hidden="1">"c399"</definedName>
    <definedName name="IQ_EPS_EST_BOTTOM_UP" hidden="1">"c5489"</definedName>
    <definedName name="IQ_EPS_EST_BOTTOM_UP_CIQ" hidden="1">"c12026"</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GUIDANCE_CIQ" hidden="1">"c4893"</definedName>
    <definedName name="IQ_EPS_EXCL_GUIDANCE_CIQ_COL" hidden="1">"c11540"</definedName>
    <definedName name="IQ_EPS_EXCL_HIGH_GUIDANCE" hidden="1">"c4369"</definedName>
    <definedName name="IQ_EPS_EXCL_HIGH_GUIDANCE_CIQ" hidden="1">"c4894"</definedName>
    <definedName name="IQ_EPS_EXCL_HIGH_GUIDANCE_CIQ_COL" hidden="1">"c11541"</definedName>
    <definedName name="IQ_EPS_EXCL_LOW_GUIDANCE" hidden="1">"c4204"</definedName>
    <definedName name="IQ_EPS_EXCL_LOW_GUIDANCE_CIQ" hidden="1">"c4616"</definedName>
    <definedName name="IQ_EPS_EXCL_LOW_GUIDANCE_CIQ_COL" hidden="1">"c11265"</definedName>
    <definedName name="IQ_EPS_GAAP_GUIDANCE" hidden="1">"c4370"</definedName>
    <definedName name="IQ_EPS_GAAP_GUIDANCE_CIQ" hidden="1">"c4895"</definedName>
    <definedName name="IQ_EPS_GAAP_GUIDANCE_CIQ_COL" hidden="1">"c11542"</definedName>
    <definedName name="IQ_EPS_GAAP_HIGH_GUIDANCE" hidden="1">"c4371"</definedName>
    <definedName name="IQ_EPS_GAAP_HIGH_GUIDANCE_CIQ" hidden="1">"c4896"</definedName>
    <definedName name="IQ_EPS_GAAP_HIGH_GUIDANCE_CIQ_COL" hidden="1">"c11543"</definedName>
    <definedName name="IQ_EPS_GAAP_LOW_GUIDANCE" hidden="1">"c4205"</definedName>
    <definedName name="IQ_EPS_GAAP_LOW_GUIDANCE_CIQ" hidden="1">"c4617"</definedName>
    <definedName name="IQ_EPS_GAAP_LOW_GUIDANCE_CIQ_COL" hidden="1">"c11266"</definedName>
    <definedName name="IQ_EPS_GROWTH_GUIDANCE_CIQ" hidden="1">"c32283"</definedName>
    <definedName name="IQ_EPS_GROWTH_GUIDANCE_CIQ_COL" hidden="1">"c32286"</definedName>
    <definedName name="IQ_EPS_GROWTH_HIGH_GUIDANCE_CIQ" hidden="1">"c32284"</definedName>
    <definedName name="IQ_EPS_GROWTH_HIGH_GUIDANCE_CIQ_COL" hidden="1">"c32287"</definedName>
    <definedName name="IQ_EPS_GROWTH_LOW_GUIDANCE_CIQ" hidden="1">"c32285"</definedName>
    <definedName name="IQ_EPS_GROWTH_LOW_GUIDANCE_CIQ_COL" hidden="1">"c32288"</definedName>
    <definedName name="IQ_EPS_GW_ACT_OR_EST" hidden="1">"c2223"</definedName>
    <definedName name="IQ_EPS_GW_ACT_OR_EST_CIQ" hidden="1">"c5066"</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CIQ" hidden="1">"c12028"</definedName>
    <definedName name="IQ_EPS_GW_EST_CIQ" hidden="1">"c4723"</definedName>
    <definedName name="IQ_EPS_GW_EST_REUT" hidden="1">"c5389"</definedName>
    <definedName name="IQ_EPS_GW_EST_THOM" hidden="1">"c5133"</definedName>
    <definedName name="IQ_EPS_GW_GUIDANCE" hidden="1">"c4372"</definedName>
    <definedName name="IQ_EPS_GW_GUIDANCE_CIQ" hidden="1">"c4897"</definedName>
    <definedName name="IQ_EPS_GW_GUIDANCE_CIQ_COL" hidden="1">"c11544"</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HIGH_GUIDANCE_CIQ" hidden="1">"c4898"</definedName>
    <definedName name="IQ_EPS_GW_HIGH_GUIDANCE_CIQ_COL" hidden="1">"c11545"</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LOW_GUIDANCE_CIQ" hidden="1">"c4618"</definedName>
    <definedName name="IQ_EPS_GW_LOW_GUIDANCE_CIQ_COL" hidden="1">"c11267"</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hidden="1">"c400"</definedName>
    <definedName name="IQ_EPS_HIGH_EST_CIQ" hidden="1">"c4995"</definedName>
    <definedName name="IQ_EPS_HIGH_EST_REUT" hidden="1">"c5454"</definedName>
    <definedName name="IQ_EPS_HIGH_EST_THOM" hidden="1">"c5291"</definedName>
    <definedName name="IQ_EPS_LOW_EST" hidden="1">"c401"</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DET_EST_ORIGIN_THOM" hidden="1">"c12607"</definedName>
    <definedName name="IQ_EPS_NORM_EST" hidden="1">"c2226"</definedName>
    <definedName name="IQ_EPS_NORM_EST_BOTTOM_UP" hidden="1">"c5490"</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NUM_EST_THOM" hidden="1">"c5288"</definedName>
    <definedName name="IQ_EPS_REPORT_ACT_OR_EST" hidden="1">"c2224"</definedName>
    <definedName name="IQ_EPS_REPORT_ACT_OR_EST_CIQ" hidden="1">"c5067"</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"c13511"</definedName>
    <definedName name="IQ_EPS_REPORTED_DET_EST_THOM" hidden="1">"c12087"</definedName>
    <definedName name="IQ_EPS_REPORTED_EST" hidden="1">"c1744"</definedName>
    <definedName name="IQ_EPS_REPORTED_EST_BOTTOM_UP" hidden="1">"c5492"</definedName>
    <definedName name="IQ_EPS_REPORTED_EST_BOTTOM_UP_CIQ" hidden="1">"c12029"</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UIDANCE_CIQ" hidden="1">"c4902"</definedName>
    <definedName name="IQ_EPS_SBC_GUIDANCE_CIQ_COL" hidden="1">"c11549"</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GUIDANCE_CIQ" hidden="1">"c4906"</definedName>
    <definedName name="IQ_EPS_SBC_GW_GUIDANCE_CIQ_COL" hidden="1">"c11553"</definedName>
    <definedName name="IQ_EPS_SBC_GW_HIGH_EST" hidden="1">"c4382"</definedName>
    <definedName name="IQ_EPS_SBC_GW_HIGH_GUIDANCE" hidden="1">"c4189"</definedName>
    <definedName name="IQ_EPS_SBC_GW_HIGH_GUIDANCE_CIQ" hidden="1">"c4601"</definedName>
    <definedName name="IQ_EPS_SBC_GW_HIGH_GUIDANCE_CIQ_COL" hidden="1">"c11250"</definedName>
    <definedName name="IQ_EPS_SBC_GW_LOW_EST" hidden="1">"c4383"</definedName>
    <definedName name="IQ_EPS_SBC_GW_LOW_GUIDANCE" hidden="1">"c4229"</definedName>
    <definedName name="IQ_EPS_SBC_GW_LOW_GUIDANCE_CIQ" hidden="1">"c4641"</definedName>
    <definedName name="IQ_EPS_SBC_GW_LOW_GUIDANCE_CIQ_COL" hidden="1">"c11290"</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HIGH_GUIDANCE_CIQ" hidden="1">"c4600"</definedName>
    <definedName name="IQ_EPS_SBC_HIGH_GUIDANCE_CIQ_COL" hidden="1">"c11249"</definedName>
    <definedName name="IQ_EPS_SBC_LOW_EST" hidden="1">"c4389"</definedName>
    <definedName name="IQ_EPS_SBC_LOW_GUIDANCE" hidden="1">"c4228"</definedName>
    <definedName name="IQ_EPS_SBC_LOW_GUIDANCE_CIQ" hidden="1">"c4640"</definedName>
    <definedName name="IQ_EPS_SBC_LOW_GUIDANCE_CIQ_COL" hidden="1">"c11289"</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CIQ" hidden="1">"c4993"</definedName>
    <definedName name="IQ_EPS_STDDEV_EST_REUT" hidden="1">"c5452"</definedName>
    <definedName name="IQ_EPS_STDDEV_EST_THOM" hidden="1">"c5289"</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BV" hidden="1">"c5630"</definedName>
    <definedName name="IQ_EST_ACT_BV_SHARE" hidden="1">"c3549"</definedName>
    <definedName name="IQ_EST_ACT_BV_SHARE_THOM" hidden="1">"c4026"</definedName>
    <definedName name="IQ_EST_ACT_CAPEX" hidden="1">"c3546"</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THOM" hidden="1">"c4019"</definedName>
    <definedName name="IQ_EST_ACT_EBIT" hidden="1">"c1687"</definedName>
    <definedName name="IQ_EST_ACT_EBIT_GW" hidden="1">"c4398"</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CIQ" hidden="1">"c3667"</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SBC" hidden="1">"c4404"</definedName>
    <definedName name="IQ_EST_ACT_EPS_SBC_GW" hidden="1">"c4405"</definedName>
    <definedName name="IQ_EST_ACT_EPS_THOM" hidden="1">"c5294"</definedName>
    <definedName name="IQ_EST_ACT_FFO" hidden="1">"c4407"</definedName>
    <definedName name="IQ_EST_ACT_FFO_ADJ" hidden="1">"c4406"</definedName>
    <definedName name="IQ_EST_ACT_FFO_SHARE" hidden="1">"c1666"</definedName>
    <definedName name="IQ_EST_ACT_FFO_SHARE_SHARE_THOM" hidden="1">"c4005"</definedName>
    <definedName name="IQ_EST_ACT_FFO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THOM" hidden="1">"c5600"</definedName>
    <definedName name="IQ_EST_ACT_NET_DEBT" hidden="1">"c3545"</definedName>
    <definedName name="IQ_EST_ACT_NET_DEBT_THOM" hidden="1">"c4033"</definedName>
    <definedName name="IQ_EST_ACT_NI" hidden="1">"c1722"</definedName>
    <definedName name="IQ_EST_ACT_NI_GW" hidden="1">"c1729"</definedName>
    <definedName name="IQ_EST_ACT_NI_REPORTED" hidden="1">"c1736"</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THOM" hidden="1">"c5118"</definedName>
    <definedName name="IQ_EST_ACT_PRETAX_GW_INC" hidden="1">"c1708"</definedName>
    <definedName name="IQ_EST_ACT_PRETAX_INC" hidden="1">"c1701"</definedName>
    <definedName name="IQ_EST_ACT_PRETAX_INC_THOM" hidden="1">"c5125"</definedName>
    <definedName name="IQ_EST_ACT_PRETAX_REPORT_INC" hidden="1">"c1715"</definedName>
    <definedName name="IQ_EST_ACT_RECURRING_PROFIT" hidden="1">"c4411"</definedName>
    <definedName name="IQ_EST_ACT_RECURRING_PROFIT_SHARE" hidden="1">"c4412"</definedName>
    <definedName name="IQ_EST_ACT_RETURN_ASSETS" hidden="1">"c3547"</definedName>
    <definedName name="IQ_EST_ACT_RETURN_ASSETS_THOM" hidden="1">"c4040"</definedName>
    <definedName name="IQ_EST_ACT_RETURN_EQUITY" hidden="1">"c3548"</definedName>
    <definedName name="IQ_EST_ACT_RETURN_EQUITY_THOM" hidden="1">"c5287"</definedName>
    <definedName name="IQ_EST_ACT_REV" hidden="1">"c2113"</definedName>
    <definedName name="IQ_EST_ACT_REV_CIQ" hidden="1">"c3666"</definedName>
    <definedName name="IQ_EST_ACT_REV_THOM" hidden="1">"c3997"</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THOM" hidden="1">"c5542"</definedName>
    <definedName name="IQ_EST_CAPEX_GROWTH_2YR" hidden="1">"c3589"</definedName>
    <definedName name="IQ_EST_CAPEX_GROWTH_2YR_THOM" hidden="1">"c5543"</definedName>
    <definedName name="IQ_EST_CAPEX_GROWTH_Q_1YR" hidden="1">"c3590"</definedName>
    <definedName name="IQ_EST_CAPEX_GROWTH_Q_1YR_THOM" hidden="1">"c5544"</definedName>
    <definedName name="IQ_EST_CAPEX_SEQ_GROWTH_Q" hidden="1">"c3591"</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THOM" hidden="1">"c5188"</definedName>
    <definedName name="IQ_EST_CFPS_GROWTH_1YR" hidden="1">"c1774"</definedName>
    <definedName name="IQ_EST_CFPS_GROWTH_1YR_THOM" hidden="1">"c5174"</definedName>
    <definedName name="IQ_EST_CFPS_GROWTH_2YR" hidden="1">"c1775"</definedName>
    <definedName name="IQ_EST_CFPS_GROWTH_2YR_THOM" hidden="1">"c5175"</definedName>
    <definedName name="IQ_EST_CFPS_GROWTH_Q_1YR" hidden="1">"c1776"</definedName>
    <definedName name="IQ_EST_CFPS_GROWTH_Q_1YR_THOM" hidden="1">"c5176"</definedName>
    <definedName name="IQ_EST_CFPS_SEQ_GROWTH_Q" hidden="1">"c1777"</definedName>
    <definedName name="IQ_EST_CFPS_SEQ_GROWTH_Q_THOM" hidden="1">"c5177"</definedName>
    <definedName name="IQ_EST_CFPS_SURPRISE_PERCENT" hidden="1">"c1872"</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THOM" hidden="1">"c5190"</definedName>
    <definedName name="IQ_EST_DPS_GROWTH_1YR" hidden="1">"c1778"</definedName>
    <definedName name="IQ_EST_DPS_GROWTH_1YR_THOM" hidden="1">"c5178"</definedName>
    <definedName name="IQ_EST_DPS_GROWTH_2YR" hidden="1">"c1779"</definedName>
    <definedName name="IQ_EST_DPS_GROWTH_2YR_THOM" hidden="1">"c5179"</definedName>
    <definedName name="IQ_EST_DPS_GROWTH_Q_1YR" hidden="1">"c1780"</definedName>
    <definedName name="IQ_EST_DPS_GROWTH_Q_1YR_THOM" hidden="1">"c5180"</definedName>
    <definedName name="IQ_EST_DPS_SEQ_GROWTH_Q" hidden="1">"c1781"</definedName>
    <definedName name="IQ_EST_DPS_SEQ_GROWTH_Q_THOM" hidden="1">"c5181"</definedName>
    <definedName name="IQ_EST_DPS_SURPRISE_PERCENT" hidden="1">"c1874"</definedName>
    <definedName name="IQ_EST_DPS_SURPRISE_PERCENT_THOM" hidden="1">"c5191"</definedName>
    <definedName name="IQ_EST_EBIT_DIFF" hidden="1">"c1875"</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THOM" hidden="1">"c5193"</definedName>
    <definedName name="IQ_EST_EBITDA_DIFF" hidden="1">"c1867"</definedName>
    <definedName name="IQ_EST_EBITDA_DIFF_CIQ" hidden="1">"c3719"</definedName>
    <definedName name="IQ_EST_EBITDA_DIFF_THOM" hidden="1">"c5184"</definedName>
    <definedName name="IQ_EST_EBITDA_GROWTH_1YR" hidden="1">"c1766"</definedName>
    <definedName name="IQ_EST_EBITDA_GROWTH_1YR_CIQ" hidden="1">"c3695"</definedName>
    <definedName name="IQ_EST_EBITDA_GROWTH_1YR_THOM" hidden="1">"c5161"</definedName>
    <definedName name="IQ_EST_EBITDA_GROWTH_2YR" hidden="1">"c1767"</definedName>
    <definedName name="IQ_EST_EBITDA_GROWTH_2YR_CIQ" hidden="1">"c3696"</definedName>
    <definedName name="IQ_EST_EBITDA_GROWTH_2YR_THOM" hidden="1">"c5162"</definedName>
    <definedName name="IQ_EST_EBITDA_GROWTH_Q_1YR" hidden="1">"c1768"</definedName>
    <definedName name="IQ_EST_EBITDA_GROWTH_Q_1YR_CIQ" hidden="1">"c3697"</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CIQ" hidden="1">"c3698"</definedName>
    <definedName name="IQ_EST_EBITDA_SEQ_GROWTH_Q_THOM" hidden="1">"c5164"</definedName>
    <definedName name="IQ_EST_EBITDA_SURPRISE_PERCENT" hidden="1">"c1868"</definedName>
    <definedName name="IQ_EST_EBITDA_SURPRISE_PERCENT_CIQ" hidden="1">"c3720"</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CIQ" hidden="1">"c4999"</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CIQ" hidden="1">"c3689"</definedName>
    <definedName name="IQ_EST_EPS_GROWTH_2YR_THOM" hidden="1">"c5154"</definedName>
    <definedName name="IQ_EST_EPS_GROWTH_5YR" hidden="1">"c1655"</definedName>
    <definedName name="IQ_EST_EPS_GROWTH_5YR_BOTTOM_UP" hidden="1">"c5487"</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HIGH_THOM" hidden="1">"c5101"</definedName>
    <definedName name="IQ_EST_EPS_GROWTH_5YR_LOW" hidden="1">"c1658"</definedName>
    <definedName name="IQ_EST_EPS_GROWTH_5YR_LOW_CIQ" hidden="1">"c4664"</definedName>
    <definedName name="IQ_EST_EPS_GROWTH_5YR_LOW_THOM" hidden="1">"c5102"</definedName>
    <definedName name="IQ_EST_EPS_GROWTH_5YR_MEDIAN" hidden="1">"c1656"</definedName>
    <definedName name="IQ_EST_EPS_GROWTH_5YR_MEDIAN_CIQ" hidden="1">"c5480"</definedName>
    <definedName name="IQ_EST_EPS_GROWTH_5YR_MEDIAN_THOM" hidden="1">"c5100"</definedName>
    <definedName name="IQ_EST_EPS_GROWTH_5YR_NUM" hidden="1">"c1659"</definedName>
    <definedName name="IQ_EST_EPS_GROWTH_5YR_NUM_CIQ" hidden="1">"c4665"</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CIQ" hidden="1">"c3690"</definedName>
    <definedName name="IQ_EST_EPS_SEQ_GROWTH_Q_THOM" hidden="1">"c5156"</definedName>
    <definedName name="IQ_EST_EPS_SURPRISE_PERCENT" hidden="1">"c1635"</definedName>
    <definedName name="IQ_EST_EPS_SURPRISE_PERCENT_CIQ" hidden="1">"c5000"</definedName>
    <definedName name="IQ_EST_EPS_SURPRISE_PERCENT_THOM" hidden="1">"c5296"</definedName>
    <definedName name="IQ_EST_FAIR_VALUE_MORT_SERVICING_ASSETS_FFIEC" hidden="1">"c12956"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"c4444"</definedName>
    <definedName name="IQ_EST_FFO_DIFF_THOM" hidden="1">"c5186"</definedName>
    <definedName name="IQ_EST_FFO_GROWTH_1YR" hidden="1">"c4425"</definedName>
    <definedName name="IQ_EST_FFO_GROWTH_1YR_THOM" hidden="1">"c5170"</definedName>
    <definedName name="IQ_EST_FFO_GROWTH_2YR" hidden="1">"c4426"</definedName>
    <definedName name="IQ_EST_FFO_GROWTH_2YR_THOM" hidden="1">"c5171"</definedName>
    <definedName name="IQ_EST_FFO_GROWTH_Q_1YR" hidden="1">"c4427"</definedName>
    <definedName name="IQ_EST_FFO_GROWTH_Q_1YR_THOM" hidden="1">"c5172"</definedName>
    <definedName name="IQ_EST_FFO_SEQ_GROWTH_Q" hidden="1">"c4428"</definedName>
    <definedName name="IQ_EST_FFO_SEQ_GROWTH_Q_THOM" hidden="1">"c5173"</definedName>
    <definedName name="IQ_EST_FFO_SHARE_DIFF" hidden="1">"c1869"</definedName>
    <definedName name="IQ_EST_FFO_SHARE_DIFF_THOM" hidden="1">"c5186"</definedName>
    <definedName name="IQ_EST_FFO_SHARE_GROWTH_1YR" hidden="1">"c1770"</definedName>
    <definedName name="IQ_EST_FFO_SHARE_GROWTH_2YR" hidden="1">"c1771"</definedName>
    <definedName name="IQ_EST_FFO_SHARE_GROWTH_Q_1YR" hidden="1">"c1772"</definedName>
    <definedName name="IQ_EST_FFO_SHARE_SEQ_GROWTH_Q" hidden="1">"c1773"</definedName>
    <definedName name="IQ_EST_FFO_SHARE_SHARE_DIFF_THOM" hidden="1">"c5186"</definedName>
    <definedName name="IQ_EST_FFO_SHARE_SHARE_SURPRISE_PERCENT_THOM" hidden="1">"c5187"</definedName>
    <definedName name="IQ_EST_FFO_SHARE_SURPRISE_PERCENT" hidden="1">"c1870"</definedName>
    <definedName name="IQ_EST_FFO_SHARE_SURPRISE_PERCENT_THOM" hidden="1">"c5187"</definedName>
    <definedName name="IQ_EST_FFO_SURPRISE_PERCENT" hidden="1">"c4453"</definedName>
    <definedName name="IQ_EST_FFO_SURPRISE_PERCENT_THOM" hidden="1">"c5187"</definedName>
    <definedName name="IQ_EST_FOOTNOTE" hidden="1">"c4540"</definedName>
    <definedName name="IQ_EST_FOOTNOTE_CIQ" hidden="1">"c12022"</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EXT_EARNINGS_DATE" hidden="1">"c13591"</definedName>
    <definedName name="IQ_EST_NI_DIFF" hidden="1">"c1885"</definedName>
    <definedName name="IQ_EST_NI_DIFF_THOM" hidden="1">"c5198"</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THOM" hidden="1">"c5199"</definedName>
    <definedName name="IQ_EST_NUM_BUY" hidden="1">"c1759"</definedName>
    <definedName name="IQ_EST_NUM_HIGH_REC" hidden="1">"c5649"</definedName>
    <definedName name="IQ_EST_NUM_HIGH_REC_CIQ" hidden="1">"c3701"</definedName>
    <definedName name="IQ_EST_NUM_HIGH_REC_THOM" hidden="1">"c5166"</definedName>
    <definedName name="IQ_EST_NUM_HIGHEST_REC" hidden="1">"c5648"</definedName>
    <definedName name="IQ_EST_NUM_HIGHEST_REC_CIQ" hidden="1">"c3700"</definedName>
    <definedName name="IQ_EST_NUM_HIGHEST_REC_THOM" hidden="1">"c5165"</definedName>
    <definedName name="IQ_EST_NUM_HOLD" hidden="1">"c1761"</definedName>
    <definedName name="IQ_EST_NUM_LOW_REC" hidden="1">"c5651"</definedName>
    <definedName name="IQ_EST_NUM_LOW_REC_CIQ" hidden="1">"c3703"</definedName>
    <definedName name="IQ_EST_NUM_LOW_REC_THOM" hidden="1">"c5168"</definedName>
    <definedName name="IQ_EST_NUM_LOWEST_REC" hidden="1">"c5652"</definedName>
    <definedName name="IQ_EST_NUM_LOWEST_REC_CIQ" hidden="1">"c3704"</definedName>
    <definedName name="IQ_EST_NUM_LOWEST_REC_THOM" hidden="1">"c5169"</definedName>
    <definedName name="IQ_EST_NUM_NEUTRAL_REC" hidden="1">"c5650"</definedName>
    <definedName name="IQ_EST_NUM_NEUTRAL_REC_CIQ" hidden="1">"c3702"</definedName>
    <definedName name="IQ_EST_NUM_NEUTRAL_REC_THOM" hidden="1">"c5167"</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THOM" hidden="1">"c5194"</definedName>
    <definedName name="IQ_EST_OPER_INC_SURPRISE_PERCENT" hidden="1">"c1878"</definedName>
    <definedName name="IQ_EST_OPER_INC_SURPRISE_PERCENT_THOM" hidden="1">"c5195"</definedName>
    <definedName name="IQ_EST_PERIOD_ID" hidden="1">"c13923"</definedName>
    <definedName name="IQ_EST_PRE_TAX_DIFF" hidden="1">"c1879"</definedName>
    <definedName name="IQ_EST_PRE_TAX_DIFF_THOM" hidden="1">"c5196"</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CIQ" hidden="1">"c3717"</definedName>
    <definedName name="IQ_EST_REV_DIFF_THOM" hidden="1">"c5182"</definedName>
    <definedName name="IQ_EST_REV_GROWTH_1YR" hidden="1">"c1638"</definedName>
    <definedName name="IQ_EST_REV_GROWTH_1YR_CIQ" hidden="1">"c3691"</definedName>
    <definedName name="IQ_EST_REV_GROWTH_1YR_THOM" hidden="1">"c5157"</definedName>
    <definedName name="IQ_EST_REV_GROWTH_2YR" hidden="1">"c1639"</definedName>
    <definedName name="IQ_EST_REV_GROWTH_2YR_CIQ" hidden="1">"c3692"</definedName>
    <definedName name="IQ_EST_REV_GROWTH_2YR_THOM" hidden="1">"c5158"</definedName>
    <definedName name="IQ_EST_REV_GROWTH_Q_1YR" hidden="1">"c1640"</definedName>
    <definedName name="IQ_EST_REV_GROWTH_Q_1YR_CIQ" hidden="1">"c3693"</definedName>
    <definedName name="IQ_EST_REV_GROWTH_Q_1YR_THOM" hidden="1">"c5159"</definedName>
    <definedName name="IQ_EST_REV_SEQ_GROWTH_Q" hidden="1">"c1765"</definedName>
    <definedName name="IQ_EST_REV_SEQ_GROWTH_Q_CIQ" hidden="1">"c3694"</definedName>
    <definedName name="IQ_EST_REV_SEQ_GROWTH_Q_THOM" hidden="1">"c5160"</definedName>
    <definedName name="IQ_EST_REV_SURPRISE_PERCENT" hidden="1">"c1866"</definedName>
    <definedName name="IQ_EST_REV_SURPRISE_PERCENT_CIQ" hidden="1">"c3718"</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 hidden="1">"c16064"</definedName>
    <definedName name="IQ_EXP_RETURN_PENSION_DOMESTIC" hidden="1">"c407"</definedName>
    <definedName name="IQ_EXP_RETURN_PENSION_FOREIGN" hidden="1">"c408"</definedName>
    <definedName name="IQ_EXPENSE_REIMBURSEMENTS" hidden="1">"c16020"</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DEBT" hidden="1">"c16007"</definedName>
    <definedName name="IQ_FAIR_VALUE_FDIC" hidden="1">"c6427"</definedName>
    <definedName name="IQ_FAIR_VALUE_FIN_INSTRUMENTS_NAV" hidden="1">"c16002"</definedName>
    <definedName name="IQ_FAIR_VALUE_FIN_INSTRUMENTS_NNAV" hidden="1">"c16006"</definedName>
    <definedName name="IQ_FAIR_VALUE_TRADING_PROP" hidden="1">"c16001"</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AVAIL" hidden="1">"c2523"</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PURCHASED_RELATED" hidden="1">"c19132"</definedName>
    <definedName name="IQ_FEDFUNDS_SOLD" hidden="1">"c2256"</definedName>
    <definedName name="IQ_FEDFUNDS_SOLD_RELATED" hidden="1">"c19130"</definedName>
    <definedName name="IQ_FEES_COMMISSIONS_BROKERAGE_FFIEC" hidden="1">"c13005"</definedName>
    <definedName name="IQ_FEES_OTHER_INCOME" hidden="1">"c15257"</definedName>
    <definedName name="IQ_FFO" hidden="1">"c1574"</definedName>
    <definedName name="IQ_FFO_ACT_OR_EST" hidden="1">"c4446"</definedName>
    <definedName name="IQ_FFO_ADJ_ACT_OR_EST" hidden="1">"c4435"</definedName>
    <definedName name="IQ_FFO_ADJ_ACT_OR_EST_CIQ" hidden="1">"c4960"</definedName>
    <definedName name="IQ_FFO_ADJ_EST" hidden="1">"c4434"</definedName>
    <definedName name="IQ_FFO_ADJ_GUIDANCE" hidden="1">"c4436"</definedName>
    <definedName name="IQ_FFO_ADJ_GUIDANCE_CIQ" hidden="1">"c4961"</definedName>
    <definedName name="IQ_FFO_ADJ_GUIDANCE_CIQ_COL" hidden="1">"c11608"</definedName>
    <definedName name="IQ_FFO_ADJ_HIGH_EST" hidden="1">"c4437"</definedName>
    <definedName name="IQ_FFO_ADJ_HIGH_GUIDANCE" hidden="1">"c4202"</definedName>
    <definedName name="IQ_FFO_ADJ_HIGH_GUIDANCE_CIQ" hidden="1">"c4614"</definedName>
    <definedName name="IQ_FFO_ADJ_HIGH_GUIDANCE_CIQ_COL" hidden="1">"c11263"</definedName>
    <definedName name="IQ_FFO_ADJ_LOW_EST" hidden="1">"c4438"</definedName>
    <definedName name="IQ_FFO_ADJ_LOW_GUIDANCE" hidden="1">"c4242"</definedName>
    <definedName name="IQ_FFO_ADJ_LOW_GUIDANCE_CIQ" hidden="1">"c4654"</definedName>
    <definedName name="IQ_FFO_ADJ_LOW_GUIDANCE_CIQ_COL" hidden="1">"c11303"</definedName>
    <definedName name="IQ_FFO_ADJ_MEDIAN_EST" hidden="1">"c4439"</definedName>
    <definedName name="IQ_FFO_ADJ_NUM_EST" hidden="1">"c4440"</definedName>
    <definedName name="IQ_FFO_ADJ_STDDEV_EST" hidden="1">"c4441"</definedName>
    <definedName name="IQ_FFO_DILUTED" hidden="1">"c16186"</definedName>
    <definedName name="IQ_FFO_EST" hidden="1">"c4445"</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THOM" hidden="1">"c3999"</definedName>
    <definedName name="IQ_FFO_GUIDANCE" hidden="1">"c4443"</definedName>
    <definedName name="IQ_FFO_GUIDANCE_CIQ" hidden="1">"c4968"</definedName>
    <definedName name="IQ_FFO_GUIDANCE_CIQ_COL" hidden="1">"c11615"</definedName>
    <definedName name="IQ_FFO_HIGH_EST" hidden="1">"c4448"</definedName>
    <definedName name="IQ_FFO_HIGH_EST_THOM" hidden="1">"c4001"</definedName>
    <definedName name="IQ_FFO_HIGH_GUIDANCE" hidden="1">"c4184"</definedName>
    <definedName name="IQ_FFO_HIGH_GUIDANCE_CIQ" hidden="1">"c4596"</definedName>
    <definedName name="IQ_FFO_HIGH_GUIDANCE_CIQ_COL" hidden="1">"c11245"</definedName>
    <definedName name="IQ_FFO_LOW_EST" hidden="1">"c4449"</definedName>
    <definedName name="IQ_FFO_LOW_EST_THOM" hidden="1">"c4002"</definedName>
    <definedName name="IQ_FFO_LOW_GUIDANCE" hidden="1">"c4224"</definedName>
    <definedName name="IQ_FFO_LOW_GUIDANCE_CIQ" hidden="1">"c4636"</definedName>
    <definedName name="IQ_FFO_LOW_GUIDANCE_CIQ_COL" hidden="1">"c11285"</definedName>
    <definedName name="IQ_FFO_MEDIAN_EST" hidden="1">"c4450"</definedName>
    <definedName name="IQ_FFO_MEDIAN_EST_THOM" hidden="1">"c4000"</definedName>
    <definedName name="IQ_FFO_NUM_EST" hidden="1">"c4451"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"c418"</definedName>
    <definedName name="IQ_FFO_SHARE_EST_DET_EST" hidden="1">"c12059"</definedName>
    <definedName name="IQ_FFO_SHARE_EST_DET_EST_CURRENCY" hidden="1">"c12466"</definedName>
    <definedName name="IQ_FFO_SHARE_EST_DET_EST_CURRENCY_THOM" hidden="1">"c12487"</definedName>
    <definedName name="IQ_FFO_SHARE_EST_DET_EST_DATE" hidden="1">"c12212"</definedName>
    <definedName name="IQ_FFO_SHARE_EST_DET_EST_DATE_THOM" hidden="1">"c12238"</definedName>
    <definedName name="IQ_FFO_SHARE_EST_DET_EST_INCL" hidden="1">"c12349"</definedName>
    <definedName name="IQ_FFO_SHARE_EST_DET_EST_INCL_THOM" hidden="1">"c12370"</definedName>
    <definedName name="IQ_FFO_SHARE_EST_DET_EST_ORIGIN" hidden="1">"c12722"</definedName>
    <definedName name="IQ_FFO_SHARE_EST_DET_EST_ORIGIN_THOM" hidden="1">"c12608"</definedName>
    <definedName name="IQ_FFO_SHARE_EST_DET_EST_THOM" hidden="1">"c12088"</definedName>
    <definedName name="IQ_FFO_SHARE_EST_THOM" hidden="1">"c3999"</definedName>
    <definedName name="IQ_FFO_SHARE_GUIDANCE" hidden="1">"c4447"</definedName>
    <definedName name="IQ_FFO_SHARE_GUIDANCE_CIQ" hidden="1">"c4976"</definedName>
    <definedName name="IQ_FFO_SHARE_GUIDANCE_CIQ_COL" hidden="1">"c11623"</definedName>
    <definedName name="IQ_FFO_SHARE_HIGH_EST" hidden="1">"c419"</definedName>
    <definedName name="IQ_FFO_SHARE_HIGH_EST_THOM" hidden="1">"c4001"</definedName>
    <definedName name="IQ_FFO_SHARE_HIGH_GUIDANCE" hidden="1">"c4203"</definedName>
    <definedName name="IQ_FFO_SHARE_HIGH_GUIDANCE_CIQ" hidden="1">"c4615"</definedName>
    <definedName name="IQ_FFO_SHARE_HIGH_GUIDANCE_CIQ_COL" hidden="1">"c11264"</definedName>
    <definedName name="IQ_FFO_SHARE_LOW_EST" hidden="1">"c420"</definedName>
    <definedName name="IQ_FFO_SHARE_LOW_EST_THOM" hidden="1">"c4002"</definedName>
    <definedName name="IQ_FFO_SHARE_LOW_GUIDANCE" hidden="1">"c4243"</definedName>
    <definedName name="IQ_FFO_SHARE_LOW_GUIDANCE_CIQ" hidden="1">"c4655"</definedName>
    <definedName name="IQ_FFO_SHARE_LOW_GUIDANCE_CIQ_COL" hidden="1">"c11304"</definedName>
    <definedName name="IQ_FFO_SHARE_MEDIAN_EST" hidden="1">"c1665"</definedName>
    <definedName name="IQ_FFO_SHARE_MEDIAN_EST_THOM" hidden="1">"c4000"</definedName>
    <definedName name="IQ_FFO_SHARE_NUM_EST" hidden="1">"c421"</definedName>
    <definedName name="IQ_FFO_SHARE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HARE_STDDEV_EST" hidden="1">"c422"</definedName>
    <definedName name="IQ_FFO_SHARE_STDDEV_EST_THOM" hidden="1">"c4004"</definedName>
    <definedName name="IQ_FFO_SHARES_BASIC" hidden="1">"c16185"</definedName>
    <definedName name="IQ_FFO_SHARES_DILUTED" hidden="1">"c16187"</definedName>
    <definedName name="IQ_FFO_STDDEV_EST" hidden="1">"c4452"</definedName>
    <definedName name="IQ_FFO_STDDEV_EST_THOM" hidden="1">"c4004"</definedName>
    <definedName name="IQ_FFO_TOTAL_REVENUE" hidden="1">"c16060"</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COLLECTION_ID" hidden="1">"c13922"</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 hidden="1">"c13921"</definedName>
    <definedName name="IQ_FIN_PERIOD_ID" hidden="1">"c13920"</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OTAL_DEPOSITS" hidden="1">"c15719"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REIGN_LOANS_TOTAL_LOANS" hidden="1">"c15714"</definedName>
    <definedName name="IQ_FOUNDATION_OVER_TOTAL" hidden="1">"c13769"</definedName>
    <definedName name="IQ_FQ" hidden="1">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_PRIMARY_ADVISOR" hidden="1">"c19091"</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 hidden="1">"c15776"</definedName>
    <definedName name="IQ_GROSS_ADD_BBAND" hidden="1">"c15779"</definedName>
    <definedName name="IQ_GROSS_ADD_DIG" hidden="1">"c15777"</definedName>
    <definedName name="IQ_GROSS_ADD_PHONE" hidden="1">"c15780"</definedName>
    <definedName name="IQ_GROSS_ADD_POSTPAID_WIRELESS" hidden="1">"c15750"</definedName>
    <definedName name="IQ_GROSS_ADD_PREPAID_WIRELESS" hidden="1">"c15751"</definedName>
    <definedName name="IQ_GROSS_ADD_RESELL_WHOLESALE_WIRELESS" hidden="1">"c15752"</definedName>
    <definedName name="IQ_GROSS_ADD_RGU" hidden="1">"c15781"</definedName>
    <definedName name="IQ_GROSS_ADD_SATELLITE" hidden="1">"c15778"</definedName>
    <definedName name="IQ_GROSS_ADD_TOTAL_WIRELESS" hidden="1">"c15753"</definedName>
    <definedName name="IQ_GROSS_AH_EARNED" hidden="1">"c2742"</definedName>
    <definedName name="IQ_GROSS_CLAIM_ADJ_EXP_RESERVE_BOP" hidden="1">"c15874"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 hidden="1">"c15871"</definedName>
    <definedName name="IQ_GROSS_LOSSES_AVG_LOANS_FFIEC" hidden="1">"c13475"</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EMIUMS_WRITTEN_AVG_ASSETS" hidden="1">"c15893"</definedName>
    <definedName name="IQ_GROSS_PREMIUMS_WRITTEN_AVG_EQUITY" hidden="1">"c15892"</definedName>
    <definedName name="IQ_GROSS_PREMIUMS_WRITTEN_AVG_STATUTORY_SURPLUS" hidden="1">"c15894"</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VKEY" hidden="1">"c15590"</definedName>
    <definedName name="IQ_GVKEY_OTHER" hidden="1">"c15633"</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_EXP_DIRECT_OPERATING_EXP" hidden="1">"c15981"</definedName>
    <definedName name="IQ_HG_CASINO_GROSS_PROFIT" hidden="1">"c15974"</definedName>
    <definedName name="IQ_HG_CASINO_MARGIN" hidden="1">"c15976"</definedName>
    <definedName name="IQ_HG_CASINO_OPERATING_MARGIN" hidden="1">"c15977"</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CONFERENCE_SPACE" hidden="1">"c15971"</definedName>
    <definedName name="IQ_HG_EXP_CASINO" hidden="1">"c8733"</definedName>
    <definedName name="IQ_HG_EXP_DEVELOPMENT" hidden="1">"c8738"</definedName>
    <definedName name="IQ_HG_EXP_DIRECT_CASINO_GAMING" hidden="1">"c15994"</definedName>
    <definedName name="IQ_HG_EXP_ENTERTAINMENT" hidden="1">"c8736"</definedName>
    <definedName name="IQ_HG_EXP_FOOD_BEV" hidden="1">"c8734"</definedName>
    <definedName name="IQ_HG_EXP_FRANCHISE_MANAGEMENT" hidden="1">"c8744"</definedName>
    <definedName name="IQ_HG_EXP_OTHER_DIRECT_HOTEL_MOTEL" hidden="1">"c15995"</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BEV_EXP_DIRECT_OPERATING_EXP" hidden="1">"c15980"</definedName>
    <definedName name="IQ_HG_FOOD_BEV_REV_TOTAL_REV" hidden="1">"c15983"</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NUMBER_SUITES" hidden="1">"c15970"</definedName>
    <definedName name="IQ_HG_NUMBER_TABLES_AVG" hidden="1">"c15973"</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PROMO_ALLOW_GROSS_OPERATING_REV" hidden="1">"c15979"</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GROSS_OPERATING" hidden="1">"c15993"</definedName>
    <definedName name="IQ_HG_REV_INCENTIVE_MANAGEMENT_FEES" hidden="1">"c8727"</definedName>
    <definedName name="IQ_HG_REV_MANAGEMENT_FEES" hidden="1">"c8718"</definedName>
    <definedName name="IQ_HG_REV_OTHER_CASINO" hidden="1">"c15992"</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SLOT_MACHINE" hidden="1">"c15990"</definedName>
    <definedName name="IQ_HG_REV_TABLE" hidden="1">"c15991"</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EXP_DIRECT_OPERATING_EXP" hidden="1">"c15982"</definedName>
    <definedName name="IQ_HG_ROOM_GROSS_PROFIT" hidden="1">"c15975"</definedName>
    <definedName name="IQ_HG_ROOM_MARGIN" hidden="1">"c15978"</definedName>
    <definedName name="IQ_HG_ROOM_PROM_COSTS" hidden="1">"c8745"</definedName>
    <definedName name="IQ_HG_ROOM_REV_TOTAL_REV" hidden="1">"c15984"</definedName>
    <definedName name="IQ_HG_ROOMS_BEG" hidden="1">"c8600"</definedName>
    <definedName name="IQ_HG_SAME_PROPERTIES_CASINO_REV_CHANGE" hidden="1">"c15987"</definedName>
    <definedName name="IQ_HG_SAME_PROPERTIES_FOOD_BEV_REV_CHANGE" hidden="1">"c15989"</definedName>
    <definedName name="IQ_HG_SAME_PROPERTIES_ROOM_REV_CHANGE" hidden="1">"c15988"</definedName>
    <definedName name="IQ_HG_SAME_PROPERTIES_SLOT_MACHINE_REV_CHANGE" hidden="1">"c15985"</definedName>
    <definedName name="IQ_HG_SAME_PROPERTIES_TABLE_REV_CHANGE" hidden="1">"c15986"</definedName>
    <definedName name="IQ_HG_SLOT_MACHINES_AVG" hidden="1">"c15972"</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"c16124"</definedName>
    <definedName name="IQ_HG_TABLE_GAMES_MANAGED" hidden="1">"c16125"</definedName>
    <definedName name="IQ_HG_TABLE_GAMES_OWNED" hidden="1">"c16123"</definedName>
    <definedName name="IQ_HG_TABLE_GAMES_TOTAL" hidden="1">"c16126"</definedName>
    <definedName name="IQ_HG_TABLES_JV" hidden="1">"c8643"</definedName>
    <definedName name="IQ_HG_TABLES_MANAGED" hidden="1">"c8644"</definedName>
    <definedName name="IQ_HG_TABLES_OWNED" hidden="1">"c8642"</definedName>
    <definedName name="IQ_HG_TABL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SULFUR_CONTENT_RESERVES_COAL" hidden="1">"c15928"</definedName>
    <definedName name="IQ_HIGH_SULFURE_RESERVES_TO_TOTAL_RESERVES_COAL" hidden="1">"c15963"</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 hidden="1">"c16192"</definedName>
    <definedName name="IQ_HOME_CANCELLATION_RATE_INCL_JV" hidden="1">"c16194"</definedName>
    <definedName name="IQ_HOME_CANCELLATION_RATE_JV" hidden="1">"c16193"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 hidden="1">"c15813"</definedName>
    <definedName name="IQ_HOMEBUILDING_INV_TURN" hidden="1">"c15819"</definedName>
    <definedName name="IQ_HOMEBUILDING_TURN" hidden="1">"c15820"</definedName>
    <definedName name="IQ_HOMEOWNERS_WRITTEN" hidden="1">"c546"</definedName>
    <definedName name="IQ_HOTEL_OPERATING_EXPENSE" hidden="1">"c16042"</definedName>
    <definedName name="IQ_HOTEL_OPERATING_REVENUE" hidden="1">"c16026"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CT_UNRECOG_TAX_BENEFIT_EFFECTIVE_TAX" hidden="1">"c15748"</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BONUS" hidden="1">"c19036"</definedName>
    <definedName name="IQ_INDIVIDUAL_CALCULATED_COMP" hidden="1">"c19043"</definedName>
    <definedName name="IQ_INDIVIDUAL_CHANGE_PENSION" hidden="1">"c19058"</definedName>
    <definedName name="IQ_INDIVIDUAL_DIRECT_FAX" hidden="1">"c15189"</definedName>
    <definedName name="IQ_INDIVIDUAL_DIRECT_PHONE" hidden="1">"c15188"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 hidden="1">"c15203"</definedName>
    <definedName name="IQ_INDIVIDUAL_EMAIL" hidden="1">"c15193"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LT_INCENTIVE" hidden="1">"c19039"</definedName>
    <definedName name="IQ_INDIVIDUAL_MAIN_FAX" hidden="1">"c15187"</definedName>
    <definedName name="IQ_INDIVIDUAL_MAIN_PHONE" hidden="1">"c15186"</definedName>
    <definedName name="IQ_INDIVIDUAL_MARKET_VALUE_SHARES_NOT_VESTED" hidden="1">"c19077"</definedName>
    <definedName name="IQ_INDIVIDUAL_MOBILE" hidden="1">"c15198"</definedName>
    <definedName name="IQ_INDIVIDUAL_NICKNAME" hidden="1">"c15192"</definedName>
    <definedName name="IQ_INDIVIDUAL_NON_EQUITY_INCENTIVE" hidden="1">"c19048"</definedName>
    <definedName name="IQ_INDIVIDUAL_NOTES" hidden="1">"c15204"</definedName>
    <definedName name="IQ_INDIVIDUAL_NUM_SHARED_NOT_VESTED" hidden="1">"c19076"</definedName>
    <definedName name="IQ_INDIVIDUAL_NUM_SHARES_ACQUIRED" hidden="1">"c19074"</definedName>
    <definedName name="IQ_INDIVIDUAL_OFFICE_ADDRESS" hidden="1">"c15185"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RESTRICTED_STOCK_COMP" hidden="1">"c19038"</definedName>
    <definedName name="IQ_INDIVIDUAL_SALARY" hidden="1">"c19035"</definedName>
    <definedName name="IQ_INDIVIDUAL_SPECIALTY" hidden="1">"c15190"</definedName>
    <definedName name="IQ_INDIVIDUAL_ST_COMP" hidden="1">"c19042"</definedName>
    <definedName name="IQ_INDIVIDUAL_TITLE" hidden="1">"c15183"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 hidden="1">"c89"</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EXPENSE_AVG_ASSET" hidden="1">"c15705"</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AVG_ASSET" hidden="1">"c15704"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"c1407"</definedName>
    <definedName name="IQ_INTERBANK_RATIO" hidden="1">"c19134"</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PENALTIES_RECOG_BS_AFTER_TAX" hidden="1">"c15745"</definedName>
    <definedName name="IQ_INTEREST_PENALTIES_RECOG_BS_PRE_TAX" hidden="1">"c15744"</definedName>
    <definedName name="IQ_INTEREST_PENALTIES_RECOG_IS_AFTER_TAX" hidden="1">"c15743"</definedName>
    <definedName name="IQ_INTEREST_PENALTIES_RECOG_IS_PRE_TAX" hidden="1">"c15742"</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NVESTMENT_PARTNERSHIP" hidden="1">"c16072"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 hidden="1">"c15949"</definedName>
    <definedName name="IQ_LAND_MINERAL_RIGHTS_TO_PPE_NET_COAL" hidden="1">"c15950"</definedName>
    <definedName name="IQ_LANDS_MINERAL_RIGHTS_GROSS_COAL" hidden="1">"c15938"</definedName>
    <definedName name="IQ_LANDS_MINERAL_RIGHTS_NET_COAL" hidden="1">"c15939"</definedName>
    <definedName name="IQ_LAPSE_STATUTE_LIMITATIONS" hidden="1">"c15738"</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_TRANSACTION" hidden="1">"c18886"</definedName>
    <definedName name="IQ_LATESTK" hidden="1">1000</definedName>
    <definedName name="IQ_LATESTQ" hidden="1">500</definedName>
    <definedName name="IQ_LEAD_UNDERWRITER" hidden="1">"c8957"</definedName>
    <definedName name="IQ_LEASE_EXPENSE" hidden="1">"c16039"</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PMT_REC_AFTER_FIVE" hidden="1">"c16099"</definedName>
    <definedName name="IQ_LEASE_PMT_REC_CY" hidden="1">"c16093"</definedName>
    <definedName name="IQ_LEASE_PMT_REC_CY1" hidden="1">"c16094"</definedName>
    <definedName name="IQ_LEASE_PMT_REC_CY2" hidden="1">"c16095"</definedName>
    <definedName name="IQ_LEASE_PMT_REC_CY3" hidden="1">"c16096"</definedName>
    <definedName name="IQ_LEASE_PMT_REC_CY4" hidden="1">"c16097"</definedName>
    <definedName name="IQ_LEASE_PMT_REC_NEXT_FIVE" hidden="1">"c16098"</definedName>
    <definedName name="IQ_LEASE_PMT_REC_TOTAL" hidden="1">"c16100"</definedName>
    <definedName name="IQ_LEASE_RECEIVABLES_FOREIGN_FFIEC" hidden="1">"c13483"</definedName>
    <definedName name="IQ_LEASE_REVENUE" hidden="1">"c16023"</definedName>
    <definedName name="IQ_LEASE_TERMINATION_FEES" hidden="1">"c16182"</definedName>
    <definedName name="IQ_LEASED_RESERVES_COAL" hidden="1">"c15918"</definedName>
    <definedName name="IQ_LEASED_RESERVES_TO_TOTAL_RESERVES_COAL" hidden="1">"c15958"</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CENSED_WIRELESS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 hidden="1">"c15803"</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SULFUR_CONTENT_RESERVES_COAL" hidden="1">"c15924"</definedName>
    <definedName name="IQ_LOW_SULFURE_RESERVES_TO_TOTAL_RESERVES_COAL" hidden="1">"c15961"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GUIDANCE_CIQ" hidden="1">"c4988"</definedName>
    <definedName name="IQ_MAINT_CAPEX_GUIDANCE_CIQ_COL" hidden="1">"c11635"</definedName>
    <definedName name="IQ_MAINT_CAPEX_HIGH_EST" hidden="1">"c4460"</definedName>
    <definedName name="IQ_MAINT_CAPEX_HIGH_GUIDANCE" hidden="1">"c4197"</definedName>
    <definedName name="IQ_MAINT_CAPEX_HIGH_GUIDANCE_CIQ" hidden="1">"c4609"</definedName>
    <definedName name="IQ_MAINT_CAPEX_HIGH_GUIDANCE_CIQ_COL" hidden="1">"c11258"</definedName>
    <definedName name="IQ_MAINT_CAPEX_LOW_EST" hidden="1">"c4461"</definedName>
    <definedName name="IQ_MAINT_CAPEX_LOW_GUIDANCE" hidden="1">"c4237"</definedName>
    <definedName name="IQ_MAINT_CAPEX_LOW_GUIDANCE_CIQ" hidden="1">"c4649"</definedName>
    <definedName name="IQ_MAINT_CAPEX_LOW_GUIDANCE_CIQ_COL" hidden="1">"c11298"</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ETING_PROMOTION_EXPENSE" hidden="1">"c16035"</definedName>
    <definedName name="IQ_MATERIALS_SUPPLES_INVENTORY_COAL" hidden="1">"c15942"</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COMMERCIAL_ASO_FEES" hidden="1">"c15862"</definedName>
    <definedName name="IQ_MC_COMMERCIAL_NON_RISK_MEMBERS" hidden="1">"c15835"</definedName>
    <definedName name="IQ_MC_COMMERCIAL_PREMIUMS" hidden="1">"c15852"</definedName>
    <definedName name="IQ_MC_DAYS_CLAIMS_PAYABLE" hidden="1">"c9937"</definedName>
    <definedName name="IQ_MC_DAYS_CLAIMS_PAYABLE_EXCL_CAPITATION" hidden="1">"c9938"</definedName>
    <definedName name="IQ_MC_DENTAL_MEMBERS" hidden="1">"c15832"</definedName>
    <definedName name="IQ_MC_DENTAL_PREMIUMS" hidden="1">"c15858"</definedName>
    <definedName name="IQ_MC_HMO_MEMBERS" hidden="1">"c15824"</definedName>
    <definedName name="IQ_MC_HMO_PREMIUMS" hidden="1">"c15850"</definedName>
    <definedName name="IQ_MC_INDEMNITY_MEMBERS" hidden="1">"c15825"</definedName>
    <definedName name="IQ_MC_INDEMNITY_PREMIUMS" hidden="1">"c15851"</definedName>
    <definedName name="IQ_MC_MEDICAID_ASO_FEES" hidden="1">"c15865"</definedName>
    <definedName name="IQ_MC_MEDICAID_MEMBERS" hidden="1">"c15830"</definedName>
    <definedName name="IQ_MC_MEDICAID_NON_RISK_MEMBERS" hidden="1">"c15838"</definedName>
    <definedName name="IQ_MC_MEDICAID_PREMIUMS" hidden="1">"c15856"</definedName>
    <definedName name="IQ_MC_MEDICAL_COST" hidden="1">"c15847"</definedName>
    <definedName name="IQ_MC_MEDICAL_COSTS_PMPM" hidden="1">"c9925"</definedName>
    <definedName name="IQ_MC_MEDICARE_ASO_FEES" hidden="1">"c15864"</definedName>
    <definedName name="IQ_MC_MEDICARE_MEMBERS" hidden="1">"c15828"</definedName>
    <definedName name="IQ_MC_MEDICARE_NON_RISK_MEMBERS" hidden="1">"c15837"</definedName>
    <definedName name="IQ_MC_MEDICARE_PART_D_MEMBERS" hidden="1">"c15829"</definedName>
    <definedName name="IQ_MC_MEDICARE_PART_D_PREMIUMS" hidden="1">"c15855"</definedName>
    <definedName name="IQ_MC_MEDICARE_PREMIUMS" hidden="1">"c15854"</definedName>
    <definedName name="IQ_MC_MILITARY_ASO_FEES" hidden="1">"c15863"</definedName>
    <definedName name="IQ_MC_MILITARY_MEMBERS" hidden="1">"c15827"</definedName>
    <definedName name="IQ_MC_MILITARY_NON_RISK_MEMBERS" hidden="1">"c15836"</definedName>
    <definedName name="IQ_MC_MILITARY_PREMIUMS" hidden="1">"c15853"</definedName>
    <definedName name="IQ_MC_NET_INVESTMENT_INCOME" hidden="1">"c15845"</definedName>
    <definedName name="IQ_MC_OTHER_REV" hidden="1">"c15846"</definedName>
    <definedName name="IQ_MC_PARENT_CASH" hidden="1">"c9942"</definedName>
    <definedName name="IQ_MC_PPO_POS_MEMBERS" hidden="1">"c15823"</definedName>
    <definedName name="IQ_MC_PPO_POS_PREMIUMS" hidden="1">"c15849"</definedName>
    <definedName name="IQ_MC_PREMIUMS" hidden="1">"c15861"</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PECIALTY_ASO_FEES" hidden="1">"c15867"</definedName>
    <definedName name="IQ_MC_SPECIALTY_NON_RISK_MEMBERS" hidden="1">"c15840"</definedName>
    <definedName name="IQ_MC_STATUTORY_SURPLUS" hidden="1">"c2772"</definedName>
    <definedName name="IQ_MC_TANGIBLE_EQUITY_MEDICAL_COST" hidden="1">"c15848"</definedName>
    <definedName name="IQ_MC_TANGIBLE_EQUITY_PER_MEMBER" hidden="1">"c15843"</definedName>
    <definedName name="IQ_MC_TOTAL_ASO_FEES" hidden="1">"c15868"</definedName>
    <definedName name="IQ_MC_TOTAL_COMMERCIAL_MEMBERS" hidden="1">"c15826"</definedName>
    <definedName name="IQ_MC_TOTAL_COVERED_LIVES" hidden="1">"c9919"</definedName>
    <definedName name="IQ_MC_TOTAL_EQUITY_PER_MEMBER" hidden="1">"c15842"</definedName>
    <definedName name="IQ_MC_TOTAL_GOVT_ASO_FEES" hidden="1">"c15866"</definedName>
    <definedName name="IQ_MC_TOTAL_GOVT_MEMBERS" hidden="1">"c15831"</definedName>
    <definedName name="IQ_MC_TOTAL_GOVT_NON_RISK_MEMBERS" hidden="1">"c15839"</definedName>
    <definedName name="IQ_MC_TOTAL_GOVT_PREMIUMS" hidden="1">"c15857"</definedName>
    <definedName name="IQ_MC_TOTAL_MEMBERSHIP" hidden="1">"c9922"</definedName>
    <definedName name="IQ_MC_TOTAL_MEMBERSHIP_CAPITATION" hidden="1">"c9923"</definedName>
    <definedName name="IQ_MC_TOTAL_OTHER_MEMBERS" hidden="1">"c15833"</definedName>
    <definedName name="IQ_MC_TOTAL_OTHER_PREMIUMS" hidden="1">"c15859"</definedName>
    <definedName name="IQ_MC_TOTAL_RESERVES_PER_MEMBER" hidden="1">"c15844"</definedName>
    <definedName name="IQ_MC_TOTAL_SEPCIALTY_MEMBERS" hidden="1">"c15834"</definedName>
    <definedName name="IQ_MC_TOTAL_SEPCIALTY_PREMIUMS" hidden="1">"c15860"</definedName>
    <definedName name="IQ_MC_TOTAL_STATUTORY_CAPITAL_SURPLUS_PER_MEMBER" hidden="1">"c15841"</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DIUM_SULFUR_CONTENT_RESERVES_COAL" hidden="1">"c15926"</definedName>
    <definedName name="IQ_MEDIUM_SULFURE_RESERVES_TO_TOTAL_RESERVES_COAL" hidden="1">"c15962"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LES_PASSED" hidden="1">"c2848"</definedName>
    <definedName name="IQ_MIN_USE_PER_SUB" hidden="1">"c15764"</definedName>
    <definedName name="IQ_MINE_DEVELOPMENT_GROSS_COAL" hidden="1">"c15940"</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 hidden="1">"c15808"</definedName>
    <definedName name="IQ_MINTUTES_USED_LONG_DIST" hidden="1">"c15809"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EY_MKT_DEPOSITS_TOTAL_DEPOSITS" hidden="1">"c15720"</definedName>
    <definedName name="IQ_MONEY_MKT_SAVINGS_ACCT_DEPOSITS_TOTAL_DEPOSITS" hidden="1">"c15722"</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TM_ADJ" hidden="1">"c16000"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MUTUAL_FUND_LIST" hidden="1">"c19092"</definedName>
    <definedName name="IQ_NAMES_REVISION_DATE_" hidden="1">39887.7003587963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RE" hidden="1">"c15996"</definedName>
    <definedName name="IQ_NAV_SHARE_ACT_OR_EST" hidden="1">"c2225"</definedName>
    <definedName name="IQ_NAV_SHARE_DET_EST_ORIGIN" hidden="1">"c12585"</definedName>
    <definedName name="IQ_NAV_SHARE_DET_EST_ORIGIN_THOM" hidden="1">"c12611"</definedName>
    <definedName name="IQ_NAV_SHARE_EST" hidden="1">"c5609"</definedName>
    <definedName name="IQ_NAV_SHARE_HIGH_EST" hidden="1">"c5612"</definedName>
    <definedName name="IQ_NAV_SHARE_LOW_EST" hidden="1">"c5613"</definedName>
    <definedName name="IQ_NAV_SHARE_MEDIAN_EST" hidden="1">"c5610"</definedName>
    <definedName name="IQ_NAV_SHARE_NUM_EST" hidden="1">"c5614"</definedName>
    <definedName name="IQ_NAV_SHARE_RE" hidden="1">"c16011"</definedName>
    <definedName name="IQ_NAV_SHARE_STDDEV_EST" hidden="1">"c5611"</definedName>
    <definedName name="IQ_NAV_STDDEV_EST" hidden="1">"c1756"</definedName>
    <definedName name="IQ_NAV_STDDEV_EST_THOM" hidden="1">"c5603"</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ADD_BASIC" hidden="1">"c15782"</definedName>
    <definedName name="IQ_NET_ADD_BBAND" hidden="1">"c15785"</definedName>
    <definedName name="IQ_NET_ADD_DIG" hidden="1">"c15783"</definedName>
    <definedName name="IQ_NET_ADD_PHONE" hidden="1">"c15786"</definedName>
    <definedName name="IQ_NET_ADD_POSTPAID_WIRELESS" hidden="1">"c15754"</definedName>
    <definedName name="IQ_NET_ADD_PREPAID_WIRELESS" hidden="1">"c15755"</definedName>
    <definedName name="IQ_NET_ADD_RESELL_WHOLESALE_WIRELESS" hidden="1">"c15756"</definedName>
    <definedName name="IQ_NET_ADD_RGU" hidden="1">"c15787"</definedName>
    <definedName name="IQ_NET_ADD_SATELLITE" hidden="1">"c15784"</definedName>
    <definedName name="IQ_NET_ADD_TOTAL_WIRELESS" hidden="1">"c15757"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ADJ_EXP_RESERVE_BOP" hidden="1">"c15877"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THOM" hidden="1">"c4027"</definedName>
    <definedName name="IQ_NET_DEBT_GUIDANCE" hidden="1">"c4467"</definedName>
    <definedName name="IQ_NET_DEBT_GUIDANCE_CIQ" hidden="1">"c5005"</definedName>
    <definedName name="IQ_NET_DEBT_GUIDANCE_CIQ_COL" hidden="1">"c11652"</definedName>
    <definedName name="IQ_NET_DEBT_HIGH_EST" hidden="1">"c3518"</definedName>
    <definedName name="IQ_NET_DEBT_HIGH_EST_THOM" hidden="1">"c4029"</definedName>
    <definedName name="IQ_NET_DEBT_HIGH_GUIDANCE" hidden="1">"c4181"</definedName>
    <definedName name="IQ_NET_DEBT_HIGH_GUIDANCE_CIQ" hidden="1">"c4593"</definedName>
    <definedName name="IQ_NET_DEBT_HIGH_GUIDANCE_CIQ_COL" hidden="1">"c11242"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THOM" hidden="1">"c4030"</definedName>
    <definedName name="IQ_NET_DEBT_LOW_GUIDANCE" hidden="1">"c4221"</definedName>
    <definedName name="IQ_NET_DEBT_LOW_GUIDANCE_CIQ" hidden="1">"c4633"</definedName>
    <definedName name="IQ_NET_DEBT_LOW_GUIDANCE_CIQ_COL" hidden="1">"c11282"</definedName>
    <definedName name="IQ_NET_DEBT_MEDIAN_EST" hidden="1">"c3520"</definedName>
    <definedName name="IQ_NET_DEBT_MEDIAN_EST_THOM" hidden="1">"c4028"</definedName>
    <definedName name="IQ_NET_DEBT_NUM_EST" hidden="1">"c3515"</definedName>
    <definedName name="IQ_NET_DEBT_NUM_EST_THOM" hidden="1">"c4031"</definedName>
    <definedName name="IQ_NET_DEBT_STDDEV_EST" hidden="1">"c3516"</definedName>
    <definedName name="IQ_NET_DEBT_STDDEV_EST_THOM" hidden="1">"c4032"</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HOMEBUILDING_SALES" hidden="1">"c15818"</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AVG_ASSET" hidden="1">"c15706"</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LOSSES" hidden="1">"c15873"</definedName>
    <definedName name="IQ_NET_NONINTEREST_INC_EXP_INTERNATIONAL_OPS_FFIEC" hidden="1">"c15387"</definedName>
    <definedName name="IQ_NET_OPERATING_INCOME_ASSETS_FDIC" hidden="1">"c6729"</definedName>
    <definedName name="IQ_NET_PREMIUM_WRITTEN_STATUTORY_SURPLUS" hidden="1">"c15880"</definedName>
    <definedName name="IQ_NET_PREMIUMS_WRITTEN_AVG_ASSETS" hidden="1">"c15888"</definedName>
    <definedName name="IQ_NET_PREMIUMS_WRITTEN_AVG_EQUITY" hidden="1">"c15891"</definedName>
    <definedName name="IQ_NET_PREMIUMS_WRITTEN_AVG_STATUTORY_SURPLUS" hidden="1">"c15890"</definedName>
    <definedName name="IQ_NET_PREMIUMS_WRITTEN_GROSS_PREMIUMS_WRITTEN" hidden="1">"c15889"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THOM" hidden="1">"c5126"</definedName>
    <definedName name="IQ_NI_FFIEC" hidden="1">"c13034"</definedName>
    <definedName name="IQ_NI_GAAP_GUIDANCE" hidden="1">"c4470"</definedName>
    <definedName name="IQ_NI_GAAP_GUIDANCE_CIQ" hidden="1">"c5008"</definedName>
    <definedName name="IQ_NI_GAAP_GUIDANCE_CIQ_COL" hidden="1">"c11655"</definedName>
    <definedName name="IQ_NI_GAAP_HIGH_GUIDANCE" hidden="1">"c4177"</definedName>
    <definedName name="IQ_NI_GAAP_HIGH_GUIDANCE_CIQ" hidden="1">"c4589"</definedName>
    <definedName name="IQ_NI_GAAP_HIGH_GUIDANCE_CIQ_COL" hidden="1">"c11238"</definedName>
    <definedName name="IQ_NI_GAAP_LOW_GUIDANCE" hidden="1">"c4217"</definedName>
    <definedName name="IQ_NI_GAAP_LOW_GUIDANCE_CIQ" hidden="1">"c4629"</definedName>
    <definedName name="IQ_NI_GAAP_LOW_GUIDANCE_CIQ_COL" hidden="1">"c11278"</definedName>
    <definedName name="IQ_NI_GUIDANCE" hidden="1">"c4469"</definedName>
    <definedName name="IQ_NI_GUIDANCE_CIQ" hidden="1">"c5007"</definedName>
    <definedName name="IQ_NI_GUIDANCE_CIQ_COL" hidden="1">"c11654"</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GUIDANCE" hidden="1">"c4471"</definedName>
    <definedName name="IQ_NI_GW_GUIDANCE_CIQ" hidden="1">"c5009"</definedName>
    <definedName name="IQ_NI_GW_GUIDANCE_CIQ_COL" hidden="1">"c11656"</definedName>
    <definedName name="IQ_NI_GW_HIGH_EST" hidden="1">"c1725"</definedName>
    <definedName name="IQ_NI_GW_HIGH_GUIDANCE" hidden="1">"c4178"</definedName>
    <definedName name="IQ_NI_GW_HIGH_GUIDANCE_CIQ" hidden="1">"c4590"</definedName>
    <definedName name="IQ_NI_GW_HIGH_GUIDANCE_CIQ_COL" hidden="1">"c11239"</definedName>
    <definedName name="IQ_NI_GW_LOW_EST" hidden="1">"c1726"</definedName>
    <definedName name="IQ_NI_GW_LOW_GUIDANCE" hidden="1">"c4218"</definedName>
    <definedName name="IQ_NI_GW_LOW_GUIDANCE_CIQ" hidden="1">"c4630"</definedName>
    <definedName name="IQ_NI_GW_LOW_GUIDANCE_CIQ_COL" hidden="1">"c11279"</definedName>
    <definedName name="IQ_NI_GW_MEDIAN_EST" hidden="1">"c1724"</definedName>
    <definedName name="IQ_NI_GW_NUM_EST" hidden="1">"c1727"</definedName>
    <definedName name="IQ_NI_GW_STDDEV_EST" hidden="1">"c1728"</definedName>
    <definedName name="IQ_NI_HIGH_EST" hidden="1">"c1718"</definedName>
    <definedName name="IQ_NI_HIGH_EST_THOM" hidden="1">"c5128"</definedName>
    <definedName name="IQ_NI_HIGH_GUIDANCE" hidden="1">"c4176"</definedName>
    <definedName name="IQ_NI_HIGH_GUIDANCE_CIQ" hidden="1">"c4588"</definedName>
    <definedName name="IQ_NI_HIGH_GUIDANCE_CIQ_COL" hidden="1">"c11237"</definedName>
    <definedName name="IQ_NI_LOW_EST" hidden="1">"c1719"</definedName>
    <definedName name="IQ_NI_LOW_EST_THOM" hidden="1">"c5129"</definedName>
    <definedName name="IQ_NI_LOW_GUIDANCE" hidden="1">"c4216"</definedName>
    <definedName name="IQ_NI_LOW_GUIDANCE_CIQ" hidden="1">"c4628"</definedName>
    <definedName name="IQ_NI_LOW_GUIDANCE_CIQ_COL" hidden="1">"c11277"</definedName>
    <definedName name="IQ_NI_MARGIN" hidden="1">"c794"</definedName>
    <definedName name="IQ_NI_MEDIAN_EST" hidden="1">"c1717"</definedName>
    <definedName name="IQ_NI_MEDIAN_EST_THOM" hidden="1">"c5127"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THOM" hidden="1">"c5130"</definedName>
    <definedName name="IQ_NI_REPORTED_DET_EST_ORIGIN" hidden="1">"c12588"</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EST" hidden="1">"c4473"</definedName>
    <definedName name="IQ_NI_SBC_GUIDANCE" hidden="1">"c4475"</definedName>
    <definedName name="IQ_NI_SBC_GUIDANCE_CIQ" hidden="1">"c5013"</definedName>
    <definedName name="IQ_NI_SBC_GUIDANCE_CIQ_COL" hidden="1">"c11660"</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GUIDANCE_CIQ" hidden="1">"c5017"</definedName>
    <definedName name="IQ_NI_SBC_GW_GUIDANCE_CIQ_COL" hidden="1">"c11664"</definedName>
    <definedName name="IQ_NI_SBC_GW_HIGH_EST" hidden="1">"c4480"</definedName>
    <definedName name="IQ_NI_SBC_GW_HIGH_GUIDANCE" hidden="1">"c4187"</definedName>
    <definedName name="IQ_NI_SBC_GW_HIGH_GUIDANCE_CIQ" hidden="1">"c4599"</definedName>
    <definedName name="IQ_NI_SBC_GW_HIGH_GUIDANCE_CIQ_COL" hidden="1">"c11248"</definedName>
    <definedName name="IQ_NI_SBC_GW_LOW_EST" hidden="1">"c4481"</definedName>
    <definedName name="IQ_NI_SBC_GW_LOW_GUIDANCE" hidden="1">"c4227"</definedName>
    <definedName name="IQ_NI_SBC_GW_LOW_GUIDANCE_CIQ" hidden="1">"c4639"</definedName>
    <definedName name="IQ_NI_SBC_GW_LOW_GUIDANCE_CIQ_COL" hidden="1">"c11288"</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HIGH_GUIDANCE_CIQ" hidden="1">"c4598"</definedName>
    <definedName name="IQ_NI_SBC_HIGH_GUIDANCE_CIQ_COL" hidden="1">"c11247"</definedName>
    <definedName name="IQ_NI_SBC_LOW_EST" hidden="1">"c4487"</definedName>
    <definedName name="IQ_NI_SBC_LOW_GUIDANCE" hidden="1">"c4226"</definedName>
    <definedName name="IQ_NI_SBC_LOW_GUIDANCE_CIQ" hidden="1">"c4638"</definedName>
    <definedName name="IQ_NI_SBC_LOW_GUIDANCE_CIQ_COL" hidden="1">"c11287"</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I_INCL_UNCONSOL" hidden="1">"c16068"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CD_DEPOSITS" hidden="1">"c15718"</definedName>
    <definedName name="IQ_NON_CD_DEPOSITS_TOTAL_DEPOSITS" hidden="1">"c15725"</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AVG_ASSETS_FFIEC" hidden="1">"c18878"</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AVG_ASSET" hidden="1">"c15708"</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AVG_ASSET" hidden="1">"c15707"</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 hidden="1">"c15702"</definedName>
    <definedName name="IQ_NON_PERF_ASSETS_LOANS_OREO" hidden="1">"c15701"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 hidden="1">"c16179"</definedName>
    <definedName name="IQ_NON_RENTAL_NOI" hidden="1">"c16066"</definedName>
    <definedName name="IQ_NON_RENTAL_OPERATING_EXPENSE" hidden="1">"c16046"</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CELL_SITES" hidden="1">"c15762"</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NUMBER_WIRELESS_TOWERS" hidden="1">"c15766"</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PRODUCTIVE_WELLS_DRILLED_GAS" hidden="1">"c15907"</definedName>
    <definedName name="IQ_OG_GROSS_DEVELOPMENT_PRODUCTIVE_WELLS_DRILLED_OIL" hidden="1">"c15906"</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PRODUCTIVE_WELLS_DRILLED_GAS" hidden="1">"c15905"</definedName>
    <definedName name="IQ_OG_GROSS_EXPLORATORY_PRODUCTIVE_WELLS_DRILLED_OIL" hidden="1">"c15904"</definedName>
    <definedName name="IQ_OG_GROSS_EXPLORATORY_TOTAL_WELLS_DRILLED" hidden="1">"c10096"</definedName>
    <definedName name="IQ_OG_GROSS_OPERATED_WELLS" hidden="1">"c10092"</definedName>
    <definedName name="IQ_OG_GROSS_PRODUCING_WELLS_GAS" hidden="1">"c15897"</definedName>
    <definedName name="IQ_OG_GROSS_PRODUCING_WELLS_OIL" hidden="1">"c15896"</definedName>
    <definedName name="IQ_OG_GROSS_PRODUCTIVE_WELLS_DRILLED_GAS" hidden="1">"c15901"</definedName>
    <definedName name="IQ_OG_GROSS_PRODUCTIVE_WELLS_DRILLED_OIL" hidden="1">"c15900"</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PRODUCTIVE_WELLS_DRILLED_GAS" hidden="1">"c15911"</definedName>
    <definedName name="IQ_OG_NET_DEVELOPMENT_PRODUCTIVE_WELLS_DRILLED_OIL" hidden="1">"c15910"</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PRODUCTIVE_WELLS_DRILLED_GAS" hidden="1">"c15909"</definedName>
    <definedName name="IQ_OG_NET_EXPLORATORY_PRODUCTIVE_WELLS_DRILLED_OIL" hidden="1">"c15908"</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ING_WELLS_GAS" hidden="1">"c15899"</definedName>
    <definedName name="IQ_OG_NET_PRODUCING_WELLS_OIL" hidden="1">"c15898"</definedName>
    <definedName name="IQ_OG_NET_PRODUCTIVE_WELLS_DRILLED_GAS" hidden="1">"c15903"</definedName>
    <definedName name="IQ_OG_NET_PRODUCTIVE_WELLS_DRILLED_OIL" hidden="1">"c15902"</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THOM" hidden="1">"c5112"</definedName>
    <definedName name="IQ_OPER_INC_FIN" hidden="1">"c851"</definedName>
    <definedName name="IQ_OPER_INC_HIGH_EST" hidden="1">"c1690"</definedName>
    <definedName name="IQ_OPER_INC_HIGH_EST_THOM" hidden="1">"c5114"</definedName>
    <definedName name="IQ_OPER_INC_INS" hidden="1">"c852"</definedName>
    <definedName name="IQ_OPER_INC_LOW_EST" hidden="1">"c1691"</definedName>
    <definedName name="IQ_OPER_INC_LOW_EST_THOM" hidden="1">"c5115"</definedName>
    <definedName name="IQ_OPER_INC_MARGIN" hidden="1">"c1448"</definedName>
    <definedName name="IQ_OPER_INC_MEDIAN_EST" hidden="1">"c1689"</definedName>
    <definedName name="IQ_OPER_INC_MEDIAN_EST_THOM" hidden="1">"c5113"</definedName>
    <definedName name="IQ_OPER_INC_NUM_EST" hidden="1">"c1692"</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THOM" hidden="1">"c5117"</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NG_NOI_AVG_GROSS_PROP" hidden="1">"c16058"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_CLAIM_ADJ_EXP_INCURRED" hidden="1">"c15878"</definedName>
    <definedName name="IQ_OTHER_ADJ_CLAIM_ADJ_EXP_PAID" hidden="1">"c15879"</definedName>
    <definedName name="IQ_OTHER_ADJ_RESERVE_BOP" hidden="1">"c15876"</definedName>
    <definedName name="IQ_OTHER_ADJ_RESERVES" hidden="1">"c15882"</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FFO" hidden="1">"c16180"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POSITS_TOTAL_DEPOSITS" hidden="1">"c15724"</definedName>
    <definedName name="IQ_OTHER_DERIVATIVES_BENEFICIARY_FFIEC" hidden="1">"c13122"</definedName>
    <definedName name="IQ_OTHER_DERIVATIVES_GUARANTOR_FFIEC" hidden="1">"c13115"</definedName>
    <definedName name="IQ_OTHER_DEVELOPMENT_EXPENSE" hidden="1">"c16041"</definedName>
    <definedName name="IQ_OTHER_DEVELOPMENT_REVENUE" hidden="1">"c16025"</definedName>
    <definedName name="IQ_OTHER_DOMESTIC_DEBT_SECURITIES_FDIC" hidden="1">"c6302"</definedName>
    <definedName name="IQ_OTHER_EARNING" hidden="1">"c1609"</definedName>
    <definedName name="IQ_OTHER_EPRA_NAV_ADJ" hidden="1">"c16004"</definedName>
    <definedName name="IQ_OTHER_EPRA_NNAV_ADJ" hidden="1">"c16009"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AD" hidden="1">"c16184"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OTAL_LOANS" hidden="1">"c15716"</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MINING_REVENUE_COAL" hidden="1">"c15931"</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PROP_OPERATING_EXPENSE" hidden="1">"c16043"</definedName>
    <definedName name="IQ_OTHER_PROP_OPERATING_REVENUE" hidden="1">"c16027"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D_RESERVES_COAL" hidden="1">"c15916"</definedName>
    <definedName name="IQ_OWNED_RESERVES_TO_TOTAL_RESERVES_COAL" hidden="1">"c15957"</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THOM" hidden="1">"c15237"</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ETRATION_BASIC_CABLE" hidden="1">"c16204"</definedName>
    <definedName name="IQ_PENETRATION_BBAND" hidden="1">"c2852"</definedName>
    <definedName name="IQ_PENETRATION_BBAND_THP" hidden="1">"c2851"</definedName>
    <definedName name="IQ_PENETRATION_PHONE" hidden="1">"c2853"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THOM" hidden="1">"c5277"</definedName>
    <definedName name="IQ_PERCENT_CHANGE_EST_CFPS_12MONTHS" hidden="1">"c1812"</definedName>
    <definedName name="IQ_PERCENT_CHANGE_EST_CFPS_12MONTHS_THOM" hidden="1">"c5234"</definedName>
    <definedName name="IQ_PERCENT_CHANGE_EST_CFPS_18MONTHS" hidden="1">"c1813"</definedName>
    <definedName name="IQ_PERCENT_CHANGE_EST_CFPS_18MONTHS_THOM" hidden="1">"c5235"</definedName>
    <definedName name="IQ_PERCENT_CHANGE_EST_CFPS_3MONTHS" hidden="1">"c1809"</definedName>
    <definedName name="IQ_PERCENT_CHANGE_EST_CFPS_3MONTHS_THOM" hidden="1">"c5231"</definedName>
    <definedName name="IQ_PERCENT_CHANGE_EST_CFPS_6MONTHS" hidden="1">"c1810"</definedName>
    <definedName name="IQ_PERCENT_CHANGE_EST_CFPS_6MONTHS_THOM" hidden="1">"c5232"</definedName>
    <definedName name="IQ_PERCENT_CHANGE_EST_CFPS_9MONTHS" hidden="1">"c1811"</definedName>
    <definedName name="IQ_PERCENT_CHANGE_EST_CFPS_9MONTHS_THOM" hidden="1">"c5233"</definedName>
    <definedName name="IQ_PERCENT_CHANGE_EST_CFPS_DAY" hidden="1">"c1806"</definedName>
    <definedName name="IQ_PERCENT_CHANGE_EST_CFPS_DAY_THOM" hidden="1">"c5229"</definedName>
    <definedName name="IQ_PERCENT_CHANGE_EST_CFPS_MONTH" hidden="1">"c1808"</definedName>
    <definedName name="IQ_PERCENT_CHANGE_EST_CFPS_MONTH_THOM" hidden="1">"c5230"</definedName>
    <definedName name="IQ_PERCENT_CHANGE_EST_CFPS_WEEK" hidden="1">"c1807"</definedName>
    <definedName name="IQ_PERCENT_CHANGE_EST_CFPS_WEEK_THOM" hidden="1">"c5272"</definedName>
    <definedName name="IQ_PERCENT_CHANGE_EST_DPS_12MONTHS" hidden="1">"c1820"</definedName>
    <definedName name="IQ_PERCENT_CHANGE_EST_DPS_12MONTHS_THOM" hidden="1">"c5241"</definedName>
    <definedName name="IQ_PERCENT_CHANGE_EST_DPS_18MONTHS" hidden="1">"c1821"</definedName>
    <definedName name="IQ_PERCENT_CHANGE_EST_DPS_18MONTHS_THOM" hidden="1">"c5242"</definedName>
    <definedName name="IQ_PERCENT_CHANGE_EST_DPS_3MONTHS" hidden="1">"c1817"</definedName>
    <definedName name="IQ_PERCENT_CHANGE_EST_DPS_3MONTHS_THOM" hidden="1">"c5238"</definedName>
    <definedName name="IQ_PERCENT_CHANGE_EST_DPS_6MONTHS" hidden="1">"c1818"</definedName>
    <definedName name="IQ_PERCENT_CHANGE_EST_DPS_6MONTHS_THOM" hidden="1">"c5239"</definedName>
    <definedName name="IQ_PERCENT_CHANGE_EST_DPS_9MONTHS" hidden="1">"c1819"</definedName>
    <definedName name="IQ_PERCENT_CHANGE_EST_DPS_9MONTHS_THOM" hidden="1">"c5240"</definedName>
    <definedName name="IQ_PERCENT_CHANGE_EST_DPS_DAY" hidden="1">"c1814"</definedName>
    <definedName name="IQ_PERCENT_CHANGE_EST_DPS_DAY_THOM" hidden="1">"c5236"</definedName>
    <definedName name="IQ_PERCENT_CHANGE_EST_DPS_MONTH" hidden="1">"c1816"</definedName>
    <definedName name="IQ_PERCENT_CHANGE_EST_DPS_MONTH_THOM" hidden="1">"c5237"</definedName>
    <definedName name="IQ_PERCENT_CHANGE_EST_DPS_WEEK" hidden="1">"c1815"</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THOM" hidden="1">"c5207"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SHARE_12MONTHS" hidden="1">"c1828"</definedName>
    <definedName name="IQ_PERCENT_CHANGE_EST_FFO_SHARE_12MONTHS_THOM" hidden="1">"c5248"</definedName>
    <definedName name="IQ_PERCENT_CHANGE_EST_FFO_SHARE_18MONTHS" hidden="1">"c1829"</definedName>
    <definedName name="IQ_PERCENT_CHANGE_EST_FFO_SHARE_18MONTHS_THOM" hidden="1">"c5249"</definedName>
    <definedName name="IQ_PERCENT_CHANGE_EST_FFO_SHARE_3MONTHS" hidden="1">"c1825"</definedName>
    <definedName name="IQ_PERCENT_CHANGE_EST_FFO_SHARE_3MONTHS_THOM" hidden="1">"c5245"</definedName>
    <definedName name="IQ_PERCENT_CHANGE_EST_FFO_SHARE_6MONTHS" hidden="1">"c1826"</definedName>
    <definedName name="IQ_PERCENT_CHANGE_EST_FFO_SHARE_6MONTHS_THOM" hidden="1">"c5246"</definedName>
    <definedName name="IQ_PERCENT_CHANGE_EST_FFO_SHARE_9MONTHS" hidden="1">"c1827"</definedName>
    <definedName name="IQ_PERCENT_CHANGE_EST_FFO_SHARE_9MONTHS_THOM" hidden="1">"c5247"</definedName>
    <definedName name="IQ_PERCENT_CHANGE_EST_FFO_SHARE_DAY" hidden="1">"c1822"</definedName>
    <definedName name="IQ_PERCENT_CHANGE_EST_FFO_SHARE_DAY_THOM" hidden="1">"c5243"</definedName>
    <definedName name="IQ_PERCENT_CHANGE_EST_FFO_SHARE_MONTH" hidden="1">"c1824"</definedName>
    <definedName name="IQ_PERCENT_CHANGE_EST_FFO_SHARE_MONTH_THOM" hidden="1">"c5244"</definedName>
    <definedName name="IQ_PERCENT_CHANGE_EST_FFO_SHARE_SHARE_12MONTHS" hidden="1">"c1828"</definedName>
    <definedName name="IQ_PERCENT_CHANGE_EST_FFO_SHARE_SHARE_12MONTHS_THOM" hidden="1">"c5248"</definedName>
    <definedName name="IQ_PERCENT_CHANGE_EST_FFO_SHARE_SHARE_18MONTHS" hidden="1">"c1829"</definedName>
    <definedName name="IQ_PERCENT_CHANGE_EST_FFO_SHARE_SHARE_18MONTHS_THOM" hidden="1">"c5249"</definedName>
    <definedName name="IQ_PERCENT_CHANGE_EST_FFO_SHARE_SHARE_3MONTHS" hidden="1">"c1825"</definedName>
    <definedName name="IQ_PERCENT_CHANGE_EST_FFO_SHARE_SHARE_3MONTHS_THOM" hidden="1">"c5245"</definedName>
    <definedName name="IQ_PERCENT_CHANGE_EST_FFO_SHARE_SHARE_6MONTHS" hidden="1">"c1826"</definedName>
    <definedName name="IQ_PERCENT_CHANGE_EST_FFO_SHARE_SHARE_6MONTHS_THOM" hidden="1">"c5246"</definedName>
    <definedName name="IQ_PERCENT_CHANGE_EST_FFO_SHARE_SHARE_9MONTHS" hidden="1">"c1827"</definedName>
    <definedName name="IQ_PERCENT_CHANGE_EST_FFO_SHARE_SHARE_9MONTHS_THOM" hidden="1">"c5247"</definedName>
    <definedName name="IQ_PERCENT_CHANGE_EST_FFO_SHARE_SHARE_DAY" hidden="1">"c1822"</definedName>
    <definedName name="IQ_PERCENT_CHANGE_EST_FFO_SHARE_SHARE_DAY_THOM" hidden="1">"c5243"</definedName>
    <definedName name="IQ_PERCENT_CHANGE_EST_FFO_SHARE_SHARE_MONTH" hidden="1">"c1824"</definedName>
    <definedName name="IQ_PERCENT_CHANGE_EST_FFO_SHARE_SHARE_MONTH_THOM" hidden="1">"c5244"</definedName>
    <definedName name="IQ_PERCENT_CHANGE_EST_FFO_SHARE_SHARE_WEEK" hidden="1">"c1823"</definedName>
    <definedName name="IQ_PERCENT_CHANGE_EST_FFO_SHARE_SHARE_WEEK_THOM" hidden="1">"c5274"</definedName>
    <definedName name="IQ_PERCENT_CHANGE_EST_FFO_SHARE_WEEK" hidden="1">"c1823"</definedName>
    <definedName name="IQ_PERCENT_CHANGE_EST_FFO_SHARE_WEEK_THOM" hidden="1">"c5274"</definedName>
    <definedName name="IQ_PERCENT_CHANGE_EST_FFO_WEEK" hidden="1">"c1823"</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THOM" hidden="1">"c5215"</definedName>
    <definedName name="IQ_PERCENT_INSURED_FDIC" hidden="1">"c6374"</definedName>
    <definedName name="IQ_PERCENTAGE_RENT" hidden="1">"c16018"</definedName>
    <definedName name="IQ_PERCENTAGE_RENT_RENTAL_REVENUE" hidden="1">"c16063"</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AFTER_CAP_ALLOCATION_FOREIGN_FFIEC" hidden="1">"c15390"</definedName>
    <definedName name="IQ_PRETAX_INC_BEFORE_CAP_ALLOCATION_FOREIGN_FFIEC" hidden="1">"c15388"</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THOM" hidden="1">"c5119"</definedName>
    <definedName name="IQ_PRETAX_INC_HIGH_EST" hidden="1">"c1697"</definedName>
    <definedName name="IQ_PRETAX_INC_HIGH_EST_THOM" hidden="1">"c5121"</definedName>
    <definedName name="IQ_PRETAX_INC_LOW_EST" hidden="1">"c1698"</definedName>
    <definedName name="IQ_PRETAX_INC_LOW_EST_THOM" hidden="1">"c5122"</definedName>
    <definedName name="IQ_PRETAX_INC_MEDIAN_EST" hidden="1">"c1696"</definedName>
    <definedName name="IQ_PRETAX_INC_MEDIAN_EST_THOM" hidden="1">"c5120"</definedName>
    <definedName name="IQ_PRETAX_INC_NUM_EST" hidden="1">"c1699"</definedName>
    <definedName name="IQ_PRETAX_INC_NUM_EST_THOM" hidden="1">"c5123"</definedName>
    <definedName name="IQ_PRETAX_INC_STDDEV_EST" hidden="1">"c1700"</definedName>
    <definedName name="IQ_PRETAX_INC_STDDEV_EST_THOM" hidden="1">"c5124"</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EVIOUS_TIME_RT" hidden="1">"PREVIOUSLASTTIME"</definedName>
    <definedName name="IQ_PRICE_CFPS_FWD" hidden="1">"c2237"</definedName>
    <definedName name="IQ_PRICE_CFPS_FWD_THOM" hidden="1">"c4060"</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CIQ" hidden="1">"c12023"</definedName>
    <definedName name="IQ_PRICE_TARGET_CIQ" hidden="1">"c3613"</definedName>
    <definedName name="IQ_PRICE_TARGET_REUT" hidden="1">"c3631"</definedName>
    <definedName name="IQ_PRICE_TARGET_THOM" hidden="1">"c3649"</definedName>
    <definedName name="IQ_PRICE_VOL_HIST_2YR" hidden="1">"c15637"</definedName>
    <definedName name="IQ_PRICE_VOL_HIST_3MTH" hidden="1">"c15634"</definedName>
    <definedName name="IQ_PRICE_VOL_HIST_5YR" hidden="1">"c15638"</definedName>
    <definedName name="IQ_PRICE_VOL_HIST_6MTH" hidden="1">"c15635"</definedName>
    <definedName name="IQ_PRICE_VOL_HIST_YR" hidden="1">"c15636"</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CIQ" hidden="1">"c5036"</definedName>
    <definedName name="IQ_PRIMARY_INDUSTRY" hidden="1">"c1070"</definedName>
    <definedName name="IQ_PRIMARY_SIC_CODE" hidden="1">"c16218"</definedName>
    <definedName name="IQ_PRIMARY_SIC_INDUSTRY" hidden="1">"c16217"</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BABLE_RESERVES_TO_TOTAL_RESERVES_COAL" hidden="1">"c15953"</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DUCTION_TO_SOLD_COAL" hidden="1">"c15945"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BONUS" hidden="1">"c18940"</definedName>
    <definedName name="IQ_PROFESSIONAL_CALCULATED_COMP" hidden="1">"c18947"</definedName>
    <definedName name="IQ_PROFESSIONAL_CHANGE_PENSION" hidden="1">"c18962"</definedName>
    <definedName name="IQ_PROFESSIONAL_DIRECT_FAX" hidden="1">"c15166"</definedName>
    <definedName name="IQ_PROFESSIONAL_DIRECT_PHONE" hidden="1">"c15165"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 hidden="1">"c15167"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 hidden="1">"c15164"</definedName>
    <definedName name="IQ_PROFESSIONAL_MAIN_PHONE" hidden="1">"c15163"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 hidden="1">"c15162"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 hidden="1">"c9969"</definedName>
    <definedName name="IQ_PROFIT_BEFORE_COST_CAPITAL_NEW_BUSINESS" hidden="1">"c9967"</definedName>
    <definedName name="IQ_PROGRAMMING_COSTS" hidden="1">"c2884"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 hidden="1">"c16038"</definedName>
    <definedName name="IQ_PROP_MGMT_INCOME" hidden="1">"c16028"</definedName>
    <definedName name="IQ_PROP_OPERATING_EXPENSE" hidden="1">"c16037"</definedName>
    <definedName name="IQ_PROP_RENTAL_REVENUE" hidden="1">"c16019"</definedName>
    <definedName name="IQ_PROP_SALES_EXPENSE" hidden="1">"c16044"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 hidden="1">"c16033"</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EN_RESERVES_TO_TOTAL_RESERVES_COAL" hidden="1">"c15952"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 hidden="1">"c15717"</definedName>
    <definedName name="IQ_PROVISION_CHARGE_OFFS" hidden="1">"c1083"</definedName>
    <definedName name="IQ_PROVISION_LL_FFIEC" hidden="1">"c13019"</definedName>
    <definedName name="IQ_PROVISION_LOAN_LOSS_AVG_ASSETS_FFIEC" hidden="1">"c18879"</definedName>
    <definedName name="IQ_PROVISION_LOSSES_AVG_ASSETS_FFIEC" hidden="1">"c13362"</definedName>
    <definedName name="IQ_PROVISION_LOSSES_AVG_LOANS_FFIEC" hidden="1">"c13470"</definedName>
    <definedName name="IQ_PROVISION_LOSSES_NET_LOSSES_FFIEC" hidden="1">"c13471"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OAL" hidden="1">"c15934"</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 hidden="1">"c15947"</definedName>
    <definedName name="IQ_PURCHASED_TO_PRODUCTION_COAL" hidden="1">"c15948"</definedName>
    <definedName name="IQ_PURCHASED_TO_SOLD_COAL" hidden="1">"c15946"</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AW_SALEABLE_INVENTORY_COAL" hidden="1">"c15941"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 hidden="1">"c8750"</definedName>
    <definedName name="IQ_RE_DEPRECIATION" hidden="1">"c16045"</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ENTAL_EXPENSE" hidden="1">"c16036"</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GUIDANCE_CIQ" hidden="1">"c5038"</definedName>
    <definedName name="IQ_RECURRING_PROFIT_GUIDANCE_CIQ_COL" hidden="1">"c11685"</definedName>
    <definedName name="IQ_RECURRING_PROFIT_HIGH_EST" hidden="1">"c4501"</definedName>
    <definedName name="IQ_RECURRING_PROFIT_HIGH_GUIDANCE" hidden="1">"c4179"</definedName>
    <definedName name="IQ_RECURRING_PROFIT_HIGH_GUIDANCE_CIQ" hidden="1">"c4591"</definedName>
    <definedName name="IQ_RECURRING_PROFIT_HIGH_GUIDANCE_CIQ_COL" hidden="1">"c11240"</definedName>
    <definedName name="IQ_RECURRING_PROFIT_LOW_EST" hidden="1">"c4502"</definedName>
    <definedName name="IQ_RECURRING_PROFIT_LOW_GUIDANCE" hidden="1">"c4219"</definedName>
    <definedName name="IQ_RECURRING_PROFIT_LOW_GUIDANCE_CIQ" hidden="1">"c4631"</definedName>
    <definedName name="IQ_RECURRING_PROFIT_LOW_GUIDANCE_CIQ_COL" hidden="1">"c11280"</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GUIDANCE_CIQ" hidden="1">"c5047"</definedName>
    <definedName name="IQ_RECURRING_PROFIT_SHARE_GUIDANCE_CIQ_COL" hidden="1">"c11694"</definedName>
    <definedName name="IQ_RECURRING_PROFIT_SHARE_HIGH_EST" hidden="1">"c4510"</definedName>
    <definedName name="IQ_RECURRING_PROFIT_SHARE_HIGH_GUIDANCE" hidden="1">"c4200"</definedName>
    <definedName name="IQ_RECURRING_PROFIT_SHARE_HIGH_GUIDANCE_CIQ" hidden="1">"c4612"</definedName>
    <definedName name="IQ_RECURRING_PROFIT_SHARE_HIGH_GUIDANCE_CIQ_COL" hidden="1">"c11261"</definedName>
    <definedName name="IQ_RECURRING_PROFIT_SHARE_LOW_EST" hidden="1">"c4511"</definedName>
    <definedName name="IQ_RECURRING_PROFIT_SHARE_LOW_GUIDANCE" hidden="1">"c4240"</definedName>
    <definedName name="IQ_RECURRING_PROFIT_SHARE_LOW_GUIDANCE_CIQ" hidden="1">"c4652"</definedName>
    <definedName name="IQ_RECURRING_PROFIT_SHARE_LOW_GUIDANCE_CIQ_COL" hidden="1">"c11301"</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DUCTION_TAX_POSITION_CURRENT_YR" hidden="1">"c15734"</definedName>
    <definedName name="IQ_REDUCTION_TAX_POSITION_PRIOR_YRS" hidden="1">"c15736"</definedName>
    <definedName name="IQ_REF_ENTITY" hidden="1">"c6033"</definedName>
    <definedName name="IQ_REF_ENTITY_CIQID" hidden="1">"c6024"</definedName>
    <definedName name="IQ_REF_ENTITY_TICKER" hidden="1">"c6023"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AVG_PROP" hidden="1">"c16056"</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NOI" hidden="1">"c16065"</definedName>
    <definedName name="IQ_RENTAL_NOI_AVG_GROSS_PROP" hidden="1">"c16057"</definedName>
    <definedName name="IQ_RENTAL_NOI_TOTAL_RENT_REVENUE" hidden="1">"c16061"</definedName>
    <definedName name="IQ_RENTAL_REV" hidden="1">"c1101"</definedName>
    <definedName name="IQ_REPAIRS_MAINTENANCE" hidden="1">"c16032"</definedName>
    <definedName name="IQ_REPO" hidden="1">"c19133"</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ATALOG_REVENUES" hidden="1">"c9903"</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NLINE_REVENUES" hidden="1">"c9904"</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REVENUES" hidden="1">"c9902"</definedName>
    <definedName name="IQ_RETAIL_SALES" hidden="1">"c7003"</definedName>
    <definedName name="IQ_RETAIL_SALES_APR" hidden="1">"c7663"</definedName>
    <definedName name="IQ_RETAIL_SALES_APR_FC" hidden="1">"c8543"</definedName>
    <definedName name="IQ_RETAIL_SALES_CATALOG" hidden="1">"c16128"</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"c16129"</definedName>
    <definedName name="IQ_RETAIL_SALES_POP" hidden="1">"c7223"</definedName>
    <definedName name="IQ_RETAIL_SALES_POP_FC" hidden="1">"c8103"</definedName>
    <definedName name="IQ_RETAIL_SALES_RETAIL" hidden="1">"c16127"</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L_WHOLESALE_REVENUES" hidden="1">"c15895"</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GUIDANCE_CIQ" hidden="1">"c5055"</definedName>
    <definedName name="IQ_RETURN_ASSETS_GUIDANCE_CIQ_COL" hidden="1">"c11702"</definedName>
    <definedName name="IQ_RETURN_ASSETS_HIGH_EST" hidden="1">"c3530"</definedName>
    <definedName name="IQ_RETURN_ASSETS_HIGH_EST_THOM" hidden="1">"c4036"</definedName>
    <definedName name="IQ_RETURN_ASSETS_HIGH_GUIDANCE" hidden="1">"c4183"</definedName>
    <definedName name="IQ_RETURN_ASSETS_HIGH_GUIDANCE_CIQ" hidden="1">"c4595"</definedName>
    <definedName name="IQ_RETURN_ASSETS_HIGH_GUIDANCE_CIQ_COL" hidden="1">"c11244"</definedName>
    <definedName name="IQ_RETURN_ASSETS_LOW_EST" hidden="1">"c3531"</definedName>
    <definedName name="IQ_RETURN_ASSETS_LOW_EST_THOM" hidden="1">"c4037"</definedName>
    <definedName name="IQ_RETURN_ASSETS_LOW_GUIDANCE" hidden="1">"c4223"</definedName>
    <definedName name="IQ_RETURN_ASSETS_LOW_GUIDANCE_CIQ" hidden="1">"c4635"</definedName>
    <definedName name="IQ_RETURN_ASSETS_LOW_GUIDANCE_CIQ_COL" hidden="1">"c11284"</definedName>
    <definedName name="IQ_RETURN_ASSETS_MEDIAN_EST" hidden="1">"c3532"</definedName>
    <definedName name="IQ_RETURN_ASSETS_MEDIAN_EST_THOM" hidden="1">"c4035"</definedName>
    <definedName name="IQ_RETURN_ASSETS_NUM_EST" hidden="1">"c3527"</definedName>
    <definedName name="IQ_RETURN_ASSETS_NUM_EST_THOM" hidden="1">"c4038"</definedName>
    <definedName name="IQ_RETURN_ASSETS_STDDEV_EST" hidden="1">"c3528"</definedName>
    <definedName name="IQ_RETURN_ASSETS_STDDEV_EST_THOM" hidden="1">"c4039"</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GUIDANCE_CIQ" hidden="1">"c5056"</definedName>
    <definedName name="IQ_RETURN_EQUITY_GUIDANCE_CIQ_COL" hidden="1">"c11703"</definedName>
    <definedName name="IQ_RETURN_EQUITY_HIGH_EST" hidden="1">"c3536"</definedName>
    <definedName name="IQ_RETURN_EQUITY_HIGH_EST_THOM" hidden="1">"c5283"</definedName>
    <definedName name="IQ_RETURN_EQUITY_HIGH_GUIDANCE" hidden="1">"c4182"</definedName>
    <definedName name="IQ_RETURN_EQUITY_HIGH_GUIDANCE_CIQ" hidden="1">"c4594"</definedName>
    <definedName name="IQ_RETURN_EQUITY_HIGH_GUIDANCE_CIQ_COL" hidden="1">"c11243"</definedName>
    <definedName name="IQ_RETURN_EQUITY_LOW_EST" hidden="1">"c3537"</definedName>
    <definedName name="IQ_RETURN_EQUITY_LOW_EST_THOM" hidden="1">"c5284"</definedName>
    <definedName name="IQ_RETURN_EQUITY_LOW_GUIDANCE" hidden="1">"c4222"</definedName>
    <definedName name="IQ_RETURN_EQUITY_LOW_GUIDANCE_CIQ" hidden="1">"c4634"</definedName>
    <definedName name="IQ_RETURN_EQUITY_LOW_GUIDANCE_CIQ_COL" hidden="1">"c11283"</definedName>
    <definedName name="IQ_RETURN_EQUITY_MEDIAN_EST" hidden="1">"c3538"</definedName>
    <definedName name="IQ_RETURN_EQUITY_MEDIAN_EST_THOM" hidden="1">"c5282"</definedName>
    <definedName name="IQ_RETURN_EQUITY_NUM_EST" hidden="1">"c3533"</definedName>
    <definedName name="IQ_RETURN_EQUITY_NUM_EST_THOM" hidden="1">"c5285"</definedName>
    <definedName name="IQ_RETURN_EQUITY_STDDEV_EST" hidden="1">"c3534"</definedName>
    <definedName name="IQ_RETURN_EQUITY_STDDEV_EST_THOM" hidden="1">"c5286"</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ALUATION_NON_TRADING_PROP" hidden="1">"c15999"</definedName>
    <definedName name="IQ_REVENUE" hidden="1">"c1422"</definedName>
    <definedName name="IQ_REVENUE_ACT_OR_EST" hidden="1">"c2214"</definedName>
    <definedName name="IQ_REVENUE_ACT_OR_EST_CIQ" hidden="1">"c5059"</definedName>
    <definedName name="IQ_REVENUE_ACT_OR_EST_THOM" hidden="1">"c5299"</definedName>
    <definedName name="IQ_REVENUE_ADVERTISING" hidden="1">"c2880"</definedName>
    <definedName name="IQ_REVENUE_ANALOG_CABLE" hidden="1">"c2875"</definedName>
    <definedName name="IQ_REVENUE_BASIC_CABLE" hidden="1">"c2877"</definedName>
    <definedName name="IQ_REVENUE_BBAND" hidden="1">"c2878"</definedName>
    <definedName name="IQ_REVENUE_BEFORE_LL_FFIEC" hidden="1">"c13018"</definedName>
    <definedName name="IQ_REVENUE_COMMERCIAL" hidden="1">"c2881"</definedName>
    <definedName name="IQ_REVENUE_DIGITAL_CABLE" hidden="1">"c2876"</definedName>
    <definedName name="IQ_REVENUE_EST" hidden="1">"c1126"</definedName>
    <definedName name="IQ_REVENUE_EST_BOTTOM_UP" hidden="1">"c5488"</definedName>
    <definedName name="IQ_REVENUE_EST_BOTTOM_UP_CIQ" hidden="1">"c12025"</definedName>
    <definedName name="IQ_REVENUE_EST_CIQ" hidden="1">"c3616"</definedName>
    <definedName name="IQ_REVENUE_EST_REUT" hidden="1">"c3634"</definedName>
    <definedName name="IQ_REVENUE_EST_THOM" hidden="1">"c3652"</definedName>
    <definedName name="IQ_REVENUE_GUIDANCE" hidden="1">"c4519"</definedName>
    <definedName name="IQ_REVENUE_GUIDANCE_CIQ" hidden="1">"c5057"</definedName>
    <definedName name="IQ_REVENUE_GUIDANCE_CIQ_COL" hidden="1">"c11704"</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HIGH_GUIDANCE_CIQ" hidden="1">"c4581"</definedName>
    <definedName name="IQ_REVENUE_HIGH_GUIDANCE_CIQ_COL" hidden="1">"c11230"</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LOW_GUIDANCE_CIQ" hidden="1">"c4621"</definedName>
    <definedName name="IQ_REVENUE_LOW_GUIDANCE_CIQ_COL" hidden="1">"c11270"</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ENUE_OTHER" hidden="1">"c2882"</definedName>
    <definedName name="IQ_REVENUE_PHONE" hidden="1">"c2879"</definedName>
    <definedName name="IQ_REVENUE_TOTAL" hidden="1">"c2883"</definedName>
    <definedName name="IQ_REVENUES_SATELLITE" hidden="1">"c15792"</definedName>
    <definedName name="IQ_REVENUES_WIRELESS" hidden="1">"c15793"</definedName>
    <definedName name="IQ_REVERSE_REPO" hidden="1">"c19131"</definedName>
    <definedName name="IQ_REVISION_DATE_" hidden="1">38859.8503356481</definedName>
    <definedName name="IQ_REVISION_DATE__1" hidden="1">38859.8503356481</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GU" hidden="1">"c2863"</definedName>
    <definedName name="IQ_RISK_ADJ_BANK_ASSETS" hidden="1">"c2670"</definedName>
    <definedName name="IQ_RISK_WEIGHTED_ASSETS_0_PCT_FFIEC" hidden="1">"c18874"</definedName>
    <definedName name="IQ_RISK_WEIGHTED_ASSETS_100_PCT_FFIEC" hidden="1">"c18877"</definedName>
    <definedName name="IQ_RISK_WEIGHTED_ASSETS_20_PCT_FFIEC" hidden="1">"c18875"</definedName>
    <definedName name="IQ_RISK_WEIGHTED_ASSETS_50_PCT_FFIEC" hidden="1">"c18876"</definedName>
    <definedName name="IQ_RISK_WEIGHTED_ASSETS_FDIC" hidden="1">"c6370"</definedName>
    <definedName name="IQ_ROAM_MIN_USE_OTHER_CARRIERS" hidden="1">"c15765"</definedName>
    <definedName name="IQ_ROYALTIES_DUE_AFTER_FIVE" hidden="1">"c15969"</definedName>
    <definedName name="IQ_ROYALTIES_DUE_CY" hidden="1">"c15964"</definedName>
    <definedName name="IQ_ROYALTIES_DUE_CY1" hidden="1">"c15965"</definedName>
    <definedName name="IQ_ROYALTIES_DUE_CY2" hidden="1">"c15966"</definedName>
    <definedName name="IQ_ROYALTIES_DUE_CY3" hidden="1">"c15967"</definedName>
    <definedName name="IQ_ROYALTIES_DUE_CY4" hidden="1">"c15968"</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IES_OTHER_BENEFITS" hidden="1">"c16176"</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PROP" hidden="1">"c16029"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COAL" hidden="1">"c15930"</definedName>
    <definedName name="IQ_SALES_MARKETING" hidden="1">"c2240"</definedName>
    <definedName name="IQ_SALES_TO_TOTAL_REVENUE_COAL" hidden="1">"c15943"</definedName>
    <definedName name="IQ_SAME_PROP_AGG_GLA" hidden="1">"c16055"</definedName>
    <definedName name="IQ_SAME_PROP_AGG_UNITS" hidden="1">"c16053"</definedName>
    <definedName name="IQ_SAME_PROP_EXPENSE" hidden="1">"c16050"</definedName>
    <definedName name="IQ_SAME_PROP_EXPENSE_GROWTH" hidden="1">"c16051"</definedName>
    <definedName name="IQ_SAME_PROP_NUMBER_PROP" hidden="1">"c16052"</definedName>
    <definedName name="IQ_SAME_PROP_PORTFOLIO_AREA" hidden="1">"c16054"</definedName>
    <definedName name="IQ_SAME_PROP_REV_GROWTH" hidden="1">"c16049"</definedName>
    <definedName name="IQ_SAME_PROP_REVENUE" hidden="1">"c16048"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 hidden="1">"c15721"</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CALABLE_INFRASTRUCTURE_CABLE_INVEST" hidden="1">"c15802"</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ETTLEMENTS_TAX_AUTHORITIES" hidden="1">"c15737"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 hidden="1">"c16071"</definedName>
    <definedName name="IQ_SHARE_PARTNERSHIP_CONSOL_JV_DEBT" hidden="1">"c19139"</definedName>
    <definedName name="IQ_SHARE_PARTNERSHIP_CURRENT_ASSETS" hidden="1">"c16069"</definedName>
    <definedName name="IQ_SHARE_PARTNERSHIP_CURRENT_LIAB" hidden="1">"c16073"</definedName>
    <definedName name="IQ_SHARE_PARTNERSHIP_CURRENT_TAX" hidden="1">"c16091"</definedName>
    <definedName name="IQ_SHARE_PARTNERSHIP_DEBT" hidden="1">"c16078"</definedName>
    <definedName name="IQ_SHARE_PARTNERSHIP_DEFERRED_TAX" hidden="1">"c16092"</definedName>
    <definedName name="IQ_SHARE_PARTNERSHIP_DEPRECIATION" hidden="1">"c16089"</definedName>
    <definedName name="IQ_SHARE_PARTNERSHIP_FLOAT_DEBT" hidden="1">"c16077"</definedName>
    <definedName name="IQ_SHARE_PARTNERSHIP_FR_DEBT" hidden="1">"c16076"</definedName>
    <definedName name="IQ_SHARE_PARTNERSHIP_INT_EXPENSE" hidden="1">"c16088"</definedName>
    <definedName name="IQ_SHARE_PARTNERSHIP_INT_INCOME" hidden="1">"c16090"</definedName>
    <definedName name="IQ_SHARE_PARTNERSHIP_LIAB" hidden="1">"c16075"</definedName>
    <definedName name="IQ_SHARE_PARTNERSHIP_LT_ASSETS" hidden="1">"c16070"</definedName>
    <definedName name="IQ_SHARE_PARTNERSHIP_NOI" hidden="1">"c16084"</definedName>
    <definedName name="IQ_SHARE_PARTNERSHIP_NON_CURRENT_LIAB" hidden="1">"c16074"</definedName>
    <definedName name="IQ_SHARE_PARTNERSHIP_OPEX" hidden="1">"c16086"</definedName>
    <definedName name="IQ_SHARE_PARTNERSHIP_OTHER_EXPENSE" hidden="1">"c16087"</definedName>
    <definedName name="IQ_SHARE_PARTNERSHIP_OTHER_INCOME" hidden="1">"c16085"</definedName>
    <definedName name="IQ_SHARE_PARTNERSHIP_REVENUE" hidden="1">"c16083"</definedName>
    <definedName name="IQ_SHARE_RE_ASSET" hidden="1">"c16082"</definedName>
    <definedName name="IQ_SHARE_RE_ASSET_DEVELOP_PROP" hidden="1">"c16080"</definedName>
    <definedName name="IQ_SHARE_RE_ASSET_INV_PROP" hidden="1">"c16079"</definedName>
    <definedName name="IQ_SHARE_RE_ASSET_OTHER" hidden="1">"c16081"</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LD_COAL" hidden="1">"c15936"</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 hidden="1">"c15247"</definedName>
    <definedName name="IQ_SPONSORS" hidden="1">"c18920"</definedName>
    <definedName name="IQ_SPONSORS_ID" hidden="1">"c18921"</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ATUTORY_SURPLUS_GAAP_EQUITY" hidden="1">"c15883"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XPLORE_DRILL" hidden="1">"c13851"</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 hidden="1">"c16178"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BS_ANALOG_CABLE" hidden="1">"c2855"</definedName>
    <definedName name="IQ_SUBS_BASIC_CABLE" hidden="1">"c16205"</definedName>
    <definedName name="IQ_SUBS_BBAND" hidden="1">"c2858"</definedName>
    <definedName name="IQ_SUBS_BUNDLED" hidden="1">"c2861"</definedName>
    <definedName name="IQ_SUBS_DIG_CABLE" hidden="1">"c2856"</definedName>
    <definedName name="IQ_SUBS_NON_VIDEO" hidden="1">"c2860"</definedName>
    <definedName name="IQ_SUBS_PHONE" hidden="1">"c2859"</definedName>
    <definedName name="IQ_SUBS_POSTPAID_WIRELESS" hidden="1">"c2118"</definedName>
    <definedName name="IQ_SUBS_PREPAID_WIRELESS" hidden="1">"c2117"</definedName>
    <definedName name="IQ_SUBS_RESELL_WHOLESALE_WIRELESS" hidden="1">"c15749"</definedName>
    <definedName name="IQ_SUBS_TOTAL" hidden="1">"c2862"</definedName>
    <definedName name="IQ_SUBS_TOTAL_WIRELESS" hidden="1">"c2119"</definedName>
    <definedName name="IQ_SUBS_VIDEO" hidden="1">"c2857"</definedName>
    <definedName name="IQ_SUPPLIES_FFIEC" hidden="1">"c13050"</definedName>
    <definedName name="IQ_SUPPORT_INFRASTRUCTURE_CABLE_INVEST" hidden="1">"c15805"</definedName>
    <definedName name="IQ_SURFACE_RESERVES_COAL" hidden="1">"c15920"</definedName>
    <definedName name="IQ_SURFACE_RESERVES_TO_TOTAL_RESERVES_COAL" hidden="1">"c15959"</definedName>
    <definedName name="IQ_SURPLUS_FDIC" hidden="1">"c6351"</definedName>
    <definedName name="IQ_SURPLUS_FFIEC" hidden="1">"c12877"</definedName>
    <definedName name="IQ_SVA" hidden="1">"c1214"</definedName>
    <definedName name="IQ_SYMBOL_RT" hidden="1">"SYMBOL"</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BV_SHARE_REPORTED" hidden="1">"c19140"</definedName>
    <definedName name="IQ_TELECOM_FFIEC" hidden="1">"c13057"</definedName>
    <definedName name="IQ_TEMPLATE" hidden="1">"c1521"</definedName>
    <definedName name="IQ_TENANT" hidden="1">"c1218"</definedName>
    <definedName name="IQ_TENANT_LEASE_COMMISSION" hidden="1">"c16177"</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IME_DEPOSITS_TOTAL_DEPOSITS" hidden="1">"c15723"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GUIDANCE_CIQ" hidden="1">"c5086"</definedName>
    <definedName name="IQ_TOTAL_DEBT_GUIDANCE_CIQ_COL" hidden="1">"c11733"</definedName>
    <definedName name="IQ_TOTAL_DEBT_HIGH_EST" hidden="1">"c4534"</definedName>
    <definedName name="IQ_TOTAL_DEBT_HIGH_GUIDANCE" hidden="1">"c4196"</definedName>
    <definedName name="IQ_TOTAL_DEBT_HIGH_GUIDANCE_CIQ" hidden="1">"c4608"</definedName>
    <definedName name="IQ_TOTAL_DEBT_HIGH_GUIDANCE_CIQ_COL" hidden="1">"c11257"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LOW_GUIDANCE_CIQ" hidden="1">"c4648"</definedName>
    <definedName name="IQ_TOTAL_DEBT_LOW_GUIDANCE_CIQ_COL" hidden="1">"c11297"</definedName>
    <definedName name="IQ_TOTAL_DEBT_MEDIAN_EST" hidden="1">"c4536"</definedName>
    <definedName name="IQ_TOTAL_DEBT_NON_CURRENT" hidden="1">"c6191"</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 hidden="1">"c16047"</definedName>
    <definedName name="IQ_TOTAL_OPERATING_REVENUE" hidden="1">"c16030"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_LOANS_TOTAL_LOANS" hidden="1">"c15715"</definedName>
    <definedName name="IQ_TOTAL_RE_NOI_AVG_GROSS_PROP" hidden="1">"c16059"</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NTAL_REVENUE" hidden="1">"c16022"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OFFER_PER_SHARE" hidden="1">"c18872"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_IMPACT_FIN_48_CURRENT_ASSETS" hidden="1">"c15727"</definedName>
    <definedName name="IQ_TRANS_IMPACT_FIN_48_CURRENT_LIABILITIES" hidden="1">"c15729"</definedName>
    <definedName name="IQ_TRANS_IMPACT_FIN_48_LT_ASSETS" hidden="1">"c15728"</definedName>
    <definedName name="IQ_TRANS_IMPACT_FIN_48_NON_CURRENT_LIABILITIES" hidden="1">"c15730"</definedName>
    <definedName name="IQ_TRANS_IMPACT_FIN_48_RETAINED_EARNINGS" hidden="1">"c15731"</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 hidden="1">"c15914"</definedName>
    <definedName name="IQ_UNASSIGNED_RESERVES_TO_TOTAL_RESERVES_COAL" hidden="1">"c15956"</definedName>
    <definedName name="IQ_UNCLASSIFIED_PROPERTY_OPERATING_EXPENSE" hidden="1">"c16034"</definedName>
    <definedName name="IQ_UNCLASSIFIED_RENTAL_INCOME" hidden="1">"c16021"</definedName>
    <definedName name="IQ_UNCONSOL_BEDS" hidden="1">"c8783"</definedName>
    <definedName name="IQ_UNCONSOL_NOI" hidden="1">"c16067"</definedName>
    <definedName name="IQ_UNCONSOL_PROP" hidden="1">"c8762"</definedName>
    <definedName name="IQ_UNCONSOL_ROOMS" hidden="1">"c8787"</definedName>
    <definedName name="IQ_UNCONSOL_SQ_FT" hidden="1">"c8778"</definedName>
    <definedName name="IQ_UNCONSOL_UNITS" hidden="1">"c8770"</definedName>
    <definedName name="IQ_UNDERGROUND_RESERVES_COAL" hidden="1">"c15922"</definedName>
    <definedName name="IQ_UNDERGROUND_RESERVES_TO_TOTAL_RESERVES_COAL" hidden="1">"c15960"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FED_FUNDS" hidden="1">"c2524"</definedName>
    <definedName name="IQ_UNDRAWN_FHLB" hidden="1">"c2520"</definedName>
    <definedName name="IQ_UNDRAWN_LC" hidden="1">"c2521"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 hidden="1">"c15732"</definedName>
    <definedName name="IQ_UNRECOG_TAX_BENEFIT_END_PERIOD" hidden="1">"c15740"</definedName>
    <definedName name="IQ_UNRECOG_TAX_BENEFIT_OTHER_ADJ" hidden="1">"c15739"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 hidden="1">"c15804"</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TILITY_EXPENSE" hidden="1">"c16031"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ICE_SUB_BASIC_SUB" hidden="1">"c16203"</definedName>
    <definedName name="IQ_VOICE_SUB_TOTAL_HOMES_PASSED" hidden="1">"c15770"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IRELESS_PENETRATION" hidden="1">"c15767"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 hidden="1">"c15700"</definedName>
    <definedName name="IQ_WTD_AVG_IR_CY" hidden="1">"c15695"</definedName>
    <definedName name="IQ_WTD_AVG_IR_CY1" hidden="1">"c15696"</definedName>
    <definedName name="IQ_WTD_AVG_IR_CY2" hidden="1">"c15697"</definedName>
    <definedName name="IQ_WTD_AVG_IR_CY3" hidden="1">"c15698"</definedName>
    <definedName name="IQ_WTD_AVG_IR_CY4" hidden="1">"c15699"</definedName>
    <definedName name="IQ_WTD_AVG_IR_LT_DEBT" hidden="1">"c15693"</definedName>
    <definedName name="IQ_WTD_AVG_IR_TOTAL_DEBT" hidden="1">"c15694"</definedName>
    <definedName name="IQ_XDIV_DATE" hidden="1">"c2203"</definedName>
    <definedName name="IQ_YEAR_FOUNDED" hidden="1">"c6793"</definedName>
    <definedName name="IQ_YEARHIGH" hidden="1">"c1337"</definedName>
    <definedName name="IQ_YEARHIGH_DATE" hidden="1">"c2250"</definedName>
    <definedName name="IQ_YEARHIGH_RT" hidden="1">"YEARHIGH"</definedName>
    <definedName name="IQ_YEARLOW" hidden="1">"c1338"</definedName>
    <definedName name="IQ_YEARLOW_DATE" hidden="1">"c2251"</definedName>
    <definedName name="IQ_YEARLOW_RT" hidden="1">"YEARLOW"</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ColHidden" hidden="1">FALSE</definedName>
    <definedName name="IsLTMColHidden" hidden="1">FALSE</definedName>
    <definedName name="KeepVersions" localSheetId="6">IndexInformation!$B$8</definedName>
    <definedName name="LanguageCode">IndexInformation!$B$38</definedName>
    <definedName name="LastCell" localSheetId="0">ImportantDisclosures!$A$22</definedName>
    <definedName name="LiabilitiesCurrentAccruedLiabilities">0</definedName>
    <definedName name="LiabilitiesCurrentNotesPayable">0</definedName>
    <definedName name="LiabilitiesDeferredIncomeTaxes">0</definedName>
    <definedName name="LiabilitiesOther">0</definedName>
    <definedName name="LiabilitiesUnamortizedInvestmentTaxCredits">0</definedName>
    <definedName name="Linking_1">'Op Metrics'!$BA$327</definedName>
    <definedName name="Linking_10">MHFI!$A$9:$BI$80</definedName>
    <definedName name="Linking_13">MHFI!$CD$9:$CY$81</definedName>
    <definedName name="Linking_14">MHFI!$CD$82:$CY$135</definedName>
    <definedName name="Linking_15">MHFI!$CD$139:$CY$187</definedName>
    <definedName name="Linking_16">MHFI!$CD$9:$CY$80</definedName>
    <definedName name="Linking_17">DCF_Rev!$A$4:$R$36</definedName>
    <definedName name="Linking_18">DCF_Rev!$A$4:$S$45</definedName>
    <definedName name="Linking_19">SOTP_hc!$A$1:$G$20</definedName>
    <definedName name="Linking_20">DCF_Rev!$A$2:$R$36</definedName>
    <definedName name="Linking_21">DCF_Rev!$A$2:$Q$36</definedName>
    <definedName name="Linking_22">MHFI!$A$9:$BI$73</definedName>
    <definedName name="Linking_23">SOTP_hc!$A$3:$G$20</definedName>
    <definedName name="Linking_24">DCF_Rev!$A$77:$P$91</definedName>
    <definedName name="Linking_25">MHFI!$CD$9:$CY$73</definedName>
    <definedName name="Linking_26">MHFI!$A$9:$BN$80</definedName>
    <definedName name="Linking_27">MHFI!$CD$82:$CY$187</definedName>
    <definedName name="Linking_28">Variance!$B$4:$M$60</definedName>
    <definedName name="Linking_29">Variance!$B$63:$M$103</definedName>
    <definedName name="Linking_31">MHFI!$A$9:$BN$73</definedName>
    <definedName name="Linking_32">MHFI!$CD$9:$CY$135</definedName>
    <definedName name="Linking_33">Variance!$B$63:$M$97</definedName>
    <definedName name="Linking_34">DCF_Rev!$A$2:$T$36</definedName>
    <definedName name="Linking_35">'Op Metrics'!$CF$9:$DA$105</definedName>
    <definedName name="Linking_38">MHFI!$A$9:$BS$80</definedName>
    <definedName name="Linking_39">MHFI!$CD$9:$CZ$80</definedName>
    <definedName name="Linking_40">MHFI!$CD$82:$CZ$135</definedName>
    <definedName name="Linking_41">MHFI!$CD$139:$CZ$187</definedName>
    <definedName name="Linking_7">MHFI!$A$9:$BH$80</definedName>
    <definedName name="Linking_8">MHFI!$CD$9:$CX$80</definedName>
    <definedName name="Linking_Range_1">MHFI!$A$9:$AT$71</definedName>
    <definedName name="Linking_Range_10">MHFI!$CD$82:$CS$135</definedName>
    <definedName name="Linking_Range_11">MHFI!$CD$139:$CS$187</definedName>
    <definedName name="Linking_Range_13">DCF_Rev!$A$2:$M$32</definedName>
    <definedName name="Linking_Range_14">DCF_Rev!$A$76:$P$90</definedName>
    <definedName name="Linking_Range_15">DCF_Rev!$A$76:$S$90</definedName>
    <definedName name="Linking_Range_16">'Op Metrics'!$A$153:$BD$198</definedName>
    <definedName name="Linking_Range_17">'Op Metrics'!$A$9:$BD$161</definedName>
    <definedName name="Linking_Range_18">'Op Metrics'!$A$9:$BD$355</definedName>
    <definedName name="Linking_Range_19">'Op Metrics'!$A$9:$BD$368</definedName>
    <definedName name="Linking_Range_2">'Op Metrics'!$A$9:$AT$38</definedName>
    <definedName name="Linking_Range_3">MHFI!$CD$9:$CS$71</definedName>
    <definedName name="Linking_Range_30">MHFI!$CD$139:$CX$187</definedName>
    <definedName name="Linking_Range_31">MHFI!$A$9:$BD$73</definedName>
    <definedName name="Linking_Range_32">MHFI!$CD$9:$CX$73</definedName>
    <definedName name="Linking_Range_33">MHFI!$CD$82:$CX$135</definedName>
    <definedName name="Linking_Range_34">MHFI!$AU$9:$BD$73</definedName>
    <definedName name="Linking_Range_35">Variance!$B$4:$M$103</definedName>
    <definedName name="Linking_Range_36">Variance!$B$2:$M$103</definedName>
    <definedName name="Linking_Range_4">'Op Metrics'!$A$9:$BI$38</definedName>
    <definedName name="Linking_Range_5">'Op Metrics'!$A$78:$BI$144</definedName>
    <definedName name="Linking_Range_6">'Op Metrics'!$A$9:$AT$144</definedName>
    <definedName name="Linking_Range_7">'Op Metrics'!$A$9:$BI$144</definedName>
    <definedName name="Linking_Range_8">'Op Metrics'!$A$9:$BD$144</definedName>
    <definedName name="Linking_Range_9">'Op Metrics'!$A$153:$AL$395</definedName>
    <definedName name="MacroVersion" localSheetId="6">IndexInformation!$B$1</definedName>
    <definedName name="ModelPrice" localSheetId="0">ImportantDisclosures!$A$14</definedName>
    <definedName name="Multiplier" localSheetId="6">IndexInformation!$B$35</definedName>
    <definedName name="NextYearEPS" localSheetId="6">IndexInformation!$B$13</definedName>
    <definedName name="NextYearTotalRevenue" localSheetId="6">IndexInformation!$B$12</definedName>
    <definedName name="NextYearTotalRevenueActual" localSheetId="6">IndexInformation!$B$33</definedName>
    <definedName name="Normalized_Income_Statement">"IS_Annual"</definedName>
    <definedName name="ObjectType">IndexInformation!$B$37</definedName>
    <definedName name="OpExAmortization">0</definedName>
    <definedName name="OpExBeforeDepreciationAmortizationExtraordinariesOther">0</definedName>
    <definedName name="OpExBeforeDepreciationAmortizationExtraordinariesTotal">0</definedName>
    <definedName name="OpExCostOfEquipment">0</definedName>
    <definedName name="OpExDepreciation">0</definedName>
    <definedName name="OpExGeneralAdministrative">0</definedName>
    <definedName name="OpExSellingMarketing">0</definedName>
    <definedName name="OpExTotal">0</definedName>
    <definedName name="OtherExEquityIncome">0</definedName>
    <definedName name="OtherExGainOnSale">0</definedName>
    <definedName name="OtherExInterestIncome">0</definedName>
    <definedName name="OtherExMinorityInterest">0</definedName>
    <definedName name="OtherExTotal">0</definedName>
    <definedName name="PANA" localSheetId="7">ModPubIndex!$A$11</definedName>
    <definedName name="PathName" localSheetId="6">IndexInformation!$B$25</definedName>
    <definedName name="_xlnm.Print_Area" localSheetId="4">Variance!$B$2:$M$39</definedName>
    <definedName name="PRODUCT" localSheetId="7">ModPubIndex!$A$6</definedName>
    <definedName name="ProjectName" localSheetId="4">{"Client Name or Project Name"}</definedName>
    <definedName name="ProjectName">{"Client Name or Project Name"}</definedName>
    <definedName name="PSYM" localSheetId="7">ModPubIndex!$A$4</definedName>
    <definedName name="PUB_UserID" hidden="1">"MAYERX"</definedName>
    <definedName name="PublishDate" localSheetId="6">IndexInformation!$B$2</definedName>
    <definedName name="Rating" localSheetId="6">IndexInformation!$B$9</definedName>
    <definedName name="RatingsDefined" localSheetId="0">ImportantDisclosures!$A$21</definedName>
    <definedName name="RatingsDefs" localSheetId="0">ImportantDisclosures!#REF!</definedName>
    <definedName name="RegACDisclosure" localSheetId="0">ImportantDisclosures!#REF!</definedName>
    <definedName name="ResearchTopic" localSheetId="6">IndexInformation!$B$4</definedName>
    <definedName name="RevenuesCellularEquipment">0</definedName>
    <definedName name="RevenuesCellularOther">0</definedName>
    <definedName name="RevenuesCellularService">0</definedName>
    <definedName name="RevenuesCellularTotal">0</definedName>
    <definedName name="RevenuesPagingEquipment">0</definedName>
    <definedName name="RevenuesPagingOther">0</definedName>
    <definedName name="RevenuesPagingService">0</definedName>
    <definedName name="RevenuesPagingTotal">0</definedName>
    <definedName name="RevenuesWirelessEquipment">0</definedName>
    <definedName name="RevenuesWirelessOther">0</definedName>
    <definedName name="RevenuesWirelessService">0</definedName>
    <definedName name="RIC" localSheetId="6">IndexInformation!$B$21</definedName>
    <definedName name="SAPFuncF4Help" hidden="1">Main.SAPF4Help()</definedName>
    <definedName name="SECSettlement" localSheetId="0">ImportantDisclosures!#REF!</definedName>
    <definedName name="SEDOL" localSheetId="6">IndexInformation!$B$22</definedName>
    <definedName name="sencount" hidden="1">1</definedName>
    <definedName name="SharesConvertibleSecurities">0</definedName>
    <definedName name="SharesFullyDiluted">0</definedName>
    <definedName name="SharesOptions">0</definedName>
    <definedName name="SharesOutstandingLatestDate">0</definedName>
    <definedName name="SharesOutstandingOther">0</definedName>
    <definedName name="SharesOutstandingSenior">0</definedName>
    <definedName name="SharesOutstandingSubordinate">0</definedName>
    <definedName name="SharesPrimary">0</definedName>
    <definedName name="SharesWarrants">0</definedName>
    <definedName name="SourceDefined" localSheetId="0">ImportantDisclosures!$A$19</definedName>
    <definedName name="StatsAccessLinesDomesticInternationalTotalAverage">0</definedName>
    <definedName name="StatsAccessLinesTotalAverage">0</definedName>
    <definedName name="StatsAverageMonthlyRevenue">0</definedName>
    <definedName name="StatsEmployeesConsolidatedInternational">0</definedName>
    <definedName name="StatsEmployeesTelephoneInternational">0</definedName>
    <definedName name="StatsPagingAverageMonthlyRevenue">0</definedName>
    <definedName name="StatsPagingSubscribers">0</definedName>
    <definedName name="StatsPenetration">0</definedName>
    <definedName name="StatsPOPS">0</definedName>
    <definedName name="StatsProportionatePenetration">0</definedName>
    <definedName name="StatsProportionatePOPS">0</definedName>
    <definedName name="StatsProportionateSubscribersAverage">0</definedName>
    <definedName name="StatsProportionateSubscribersBeginning">0</definedName>
    <definedName name="StatsProportionateSubscribersEnding">0</definedName>
    <definedName name="StatsProportionateSubscribersNetAdds">0</definedName>
    <definedName name="StatsSubscribersAverage">0</definedName>
    <definedName name="StatsSubscribersBeginning">0</definedName>
    <definedName name="StatsSubscribersEnding">0</definedName>
    <definedName name="StatsSubscribersNetAdds">0</definedName>
    <definedName name="StockRating" localSheetId="0">ImportantDisclosures!$A$11</definedName>
    <definedName name="SubjectCode" localSheetId="6">IndexInformation!$B$6</definedName>
    <definedName name="SubmitterUserId">IndexInformation!$B$39</definedName>
    <definedName name="SUPPRESSED" localSheetId="7">ModPubIndex!$A$13</definedName>
    <definedName name="TargetPrice" localSheetId="0">ImportantDisclosures!$A$15</definedName>
    <definedName name="TemplateRegion">IndexInformation!$B$36</definedName>
    <definedName name="Ticker" localSheetId="0">ImportantDisclosures!$A$10</definedName>
    <definedName name="TickerRegion">IndexInformation!$B$41</definedName>
    <definedName name="Tickers" localSheetId="6">IndexInformation!$B$19</definedName>
    <definedName name="TRNR_0d839ad94aff4138bb5725cd94bf5555_0_0" hidden="1">1057.08</definedName>
    <definedName name="TRNR_1111c894b4c3417e94d21e670321b79d_0_0" hidden="1">2067.89</definedName>
    <definedName name="TRNR_1ac6ca6597ed41478d24c4f4f9ddfb01_0_0" hidden="1">1420.86</definedName>
    <definedName name="TRNR_314f067d69544b0ba3f4c6b920e6497d_0_0" hidden="1">2168.27</definedName>
    <definedName name="TRNR_34e285202bdb466fa697ea6a59d599c0_0_0" hidden="1">1115.1</definedName>
    <definedName name="TRNR_36e686f1c5e94d1981b6fb358a229c0b_0_0" hidden="1">1606.28</definedName>
    <definedName name="TRNR_388657b984574a48bfe71bb0da14b105_0_0" hidden="1">1972.28</definedName>
    <definedName name="TRNR_40cdca7b04944b778cce42d8e286c9ea_0_0" hidden="1">797.87</definedName>
    <definedName name="TRNR_427ff7d09ba146c08d085e28c8d52541_0_0" hidden="1">2098.86</definedName>
    <definedName name="TRNR_4357fdd08f0441f9b542a1ca711842b2_0_0" hidden="1">1426.19</definedName>
    <definedName name="TRNR_49757898ce8543c7b81261132869e725_0_0" hidden="1">1503.35</definedName>
    <definedName name="TRNR_4c838da48c87482aabe4efbabdb5c183_0_0" hidden="1">919.32</definedName>
    <definedName name="TRNR_506f9ee05a8a469fafb56bbc8d5c5e57_0_0" hidden="1">2043.94</definedName>
    <definedName name="TRNR_58124536ec854cd2ba8faba1e4086dbd_0_0" hidden="1">2063.11</definedName>
    <definedName name="TRNR_6ad9538f969d40d89bbaea4bdf8ede25_0_0" hidden="1">1257.6</definedName>
    <definedName name="TRNR_6fc797ace6a248c4a154808e159f195c_0_0" hidden="1">2063.95</definedName>
    <definedName name="TRNR_70d4c009ddc84026af87a5ae3ca6e2b2_0_0" hidden="1">1166.36</definedName>
    <definedName name="TRNR_85035cc2e64f4c41bb267f1fd20a84b5_0_0" hidden="1">903.25</definedName>
    <definedName name="TRNR_8514c90381f24402b05ec5d4b9b1ed5a_0_0" hidden="1">1257.64</definedName>
    <definedName name="TRNR_861a05c09bea47da8107999cb817f1b0_0_0" hidden="1">1030.71</definedName>
    <definedName name="TRNR_87ebd8dc6cbd4455baea39a584d3d0f8_0_0" hidden="1">1280</definedName>
    <definedName name="TRNR_92634ad219d3437ea6b11afe50ea8e20_0_0" hidden="1">1681.55</definedName>
    <definedName name="TRNR_95e46777bca84c2eb16c076120704363_0_0" hidden="1">1362.16</definedName>
    <definedName name="TRNR_95fad3eb7ddc487cbc29ad2d67d6a000_0_0" hidden="1">2423.41</definedName>
    <definedName name="TRNR_9e8990587cb6455ebf6b8908bb60855c_0_0" hidden="1">2058.9</definedName>
    <definedName name="TRNR_a6e2414ba07643ebb5e414e7f5c9ff22_0_0" hidden="1">1325.83</definedName>
    <definedName name="TRNR_ac04ef46353d44bfa881181dacc7d93d_0_0" hidden="1">2362.72</definedName>
    <definedName name="TRNR_ae9949aa95484b97bf3a98a1eb16701b_0_0" hidden="1">1408.47</definedName>
    <definedName name="TRNR_b42bc6b46b1b4493a7187343dec9eaa1_0_0" hidden="1">1569.19</definedName>
    <definedName name="TRNR_c1a5a27f60874075819eefd3fad80e09_0_0" hidden="1">1322.7</definedName>
    <definedName name="TRNR_c8a9589f40fb4c1da951983958915406_0_0" hidden="1">1468.35</definedName>
    <definedName name="TRNR_c9227b676709413dbf9bdd0f4180e7df_0_0" hidden="1">1848.36</definedName>
    <definedName name="TRNR_c94cdca364b44f988d72644514786d63_0_0" hidden="1">1526.75</definedName>
    <definedName name="TRNR_d109a0566ae24e1fa9a8843bbd13732f_0_0" hidden="1">1920.03</definedName>
    <definedName name="TRNR_d67adaf8524142a28700474724a45579_0_0" hidden="1">1960.23</definedName>
    <definedName name="TRNR_e17edd09d2bc4949b29ce6aae8e224c5_0_0" hidden="1">1440.67</definedName>
    <definedName name="TRNR_e207c2dcee5445209e78f1dfa05d5a73_0_0" hidden="1">1872.33</definedName>
    <definedName name="TRNR_e48d6d9dc1df446a8e48043f7f13a18a_0_0" hidden="1">1169.43</definedName>
    <definedName name="TRNR_eb26c4402be74c27ae304b0bfdd2e8e2_0_0" hidden="1">1320.64</definedName>
    <definedName name="TRNR_ec943eb762d9442f8482194766063804_0_0" hidden="1">2238.83</definedName>
    <definedName name="TRNR_f01f680c80b2489fbf3bcaa85e510b87_0_0" hidden="1">1141.2</definedName>
    <definedName name="TRNR_f768267f49d84f6f9ac54c8e43fce46f_0_0" hidden="1">1131.42</definedName>
    <definedName name="UpdateReason" localSheetId="6">IndexInformation!$B$17</definedName>
    <definedName name="USRegDisclosures" localSheetId="0">ImportantDisclosures!#REF!</definedName>
    <definedName name="ValuationAdjustmentsOther">0</definedName>
    <definedName name="ValuationAdjustmentsValue">0</definedName>
    <definedName name="ValuationCellularValue">0</definedName>
    <definedName name="ValuationDebtAdjustment">0</definedName>
    <definedName name="ValuationDebtNet">0</definedName>
    <definedName name="ValuationDebtTotal">0</definedName>
    <definedName name="ValuationFirmValue">0</definedName>
    <definedName name="ValuationInvestments">0</definedName>
    <definedName name="ValuationMarketCapitalization">0</definedName>
    <definedName name="ValuationOtherValue">0</definedName>
    <definedName name="ValuationPagingValue">0</definedName>
    <definedName name="ValuationTelephoneValue">0</definedName>
    <definedName name="ValuationWirelessValue">0</definedName>
    <definedName name="wrn.2._.pagers." hidden="1">{"Cover",#N/A,FALSE,"Cover";"Summary",#N/A,FALSE,"Summarpage"}</definedName>
    <definedName name="wrn.allpages." hidden="1">{#N/A,#N/A,TRUE,"Historicals";#N/A,#N/A,TRUE,"Charts";#N/A,#N/A,TRUE,"Forecasts"}</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Industry.xls." hidden="1">{#N/A,#N/A,FALSE,"Earnings";#N/A,#N/A,FALSE,"Overview";#N/A,#N/A,FALSE,"Summary";#N/A,#N/A,FALSE,"Summary II";#N/A,#N/A,FALSE,"R&amp;D";#N/A,#N/A,FALSE,"R&amp;D Forecast";#N/A,#N/A,FALSE,"Tax Adj";#N/A,#N/A,FALSE,"Goodwill";#N/A,#N/A,FALSE,"FX ";#N/A,#N/A,FALSE,"Consolidation";#N/A,#N/A,FALSE,"Provisions"}</definedName>
    <definedName name="wrn.MOBIL." hidden="1">{"quarter",#N/A,FALSE,"MOB"}</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Pulp." hidden="1">{"Pulp Production",#N/A,FALSE,"Pulp";"Pulp Earnings",#N/A,FALSE,"Pulp"}</definedName>
  </definedNames>
  <calcPr calcId="145621"/>
</workbook>
</file>

<file path=xl/calcChain.xml><?xml version="1.0" encoding="utf-8"?>
<calcChain xmlns="http://schemas.openxmlformats.org/spreadsheetml/2006/main">
  <c r="BO313" i="4" l="1"/>
  <c r="BO167" i="4"/>
  <c r="BO102" i="4"/>
  <c r="O53" i="6" l="1"/>
  <c r="O52" i="6"/>
  <c r="O51" i="6"/>
  <c r="O50" i="6"/>
  <c r="O49" i="6"/>
  <c r="O48" i="6"/>
  <c r="O47" i="6"/>
  <c r="BP136" i="5" l="1"/>
  <c r="BY158" i="5" l="1"/>
  <c r="BJ80" i="5"/>
  <c r="BJ86" i="5" s="1"/>
  <c r="BO222" i="5"/>
  <c r="BQ36" i="4"/>
  <c r="BP36" i="4"/>
  <c r="BO308" i="4" l="1"/>
  <c r="BR140" i="5"/>
  <c r="BQ140" i="5"/>
  <c r="BP140" i="5"/>
  <c r="CA36" i="4"/>
  <c r="BZ36" i="4"/>
  <c r="BY36" i="4"/>
  <c r="BX36" i="4"/>
  <c r="BO288" i="5"/>
  <c r="BO287" i="5"/>
  <c r="BO286" i="5"/>
  <c r="BO283" i="5"/>
  <c r="BO282" i="5"/>
  <c r="BO281" i="5"/>
  <c r="BO186" i="5"/>
  <c r="BO189" i="5"/>
  <c r="BO188" i="5"/>
  <c r="BO187" i="5"/>
  <c r="BO185" i="5"/>
  <c r="BO211" i="5"/>
  <c r="BO262" i="5"/>
  <c r="BO261" i="5"/>
  <c r="BJ262" i="5"/>
  <c r="BJ261" i="5"/>
  <c r="BO258" i="5"/>
  <c r="BO257" i="5"/>
  <c r="BJ258" i="5"/>
  <c r="BJ257" i="5"/>
  <c r="BO228" i="5"/>
  <c r="BO229" i="5" s="1"/>
  <c r="BO224" i="5"/>
  <c r="BO225" i="5" s="1"/>
  <c r="BO448" i="5"/>
  <c r="BO395" i="5"/>
  <c r="BO394" i="5"/>
  <c r="BJ395" i="5"/>
  <c r="BJ394" i="5"/>
  <c r="BO391" i="5"/>
  <c r="BO390" i="5"/>
  <c r="BJ391" i="5"/>
  <c r="BJ390" i="5"/>
  <c r="BO382" i="5"/>
  <c r="BO381" i="5"/>
  <c r="BJ382" i="5"/>
  <c r="BJ381" i="5"/>
  <c r="BO337" i="5"/>
  <c r="BO336" i="5"/>
  <c r="BO333" i="5"/>
  <c r="BO332" i="5"/>
  <c r="BO253" i="5"/>
  <c r="BO247" i="5"/>
  <c r="BJ385" i="5"/>
  <c r="BJ387" i="5" s="1"/>
  <c r="BO385" i="5"/>
  <c r="BO387" i="5" s="1"/>
  <c r="BJ239" i="5"/>
  <c r="BO239" i="5"/>
  <c r="BO207" i="5" s="1"/>
  <c r="CZ43" i="4"/>
  <c r="CY43" i="4"/>
  <c r="CX43" i="4"/>
  <c r="CW43" i="4"/>
  <c r="CU43" i="4"/>
  <c r="CT43" i="4"/>
  <c r="CS43" i="4"/>
  <c r="CR43" i="4"/>
  <c r="CQ43" i="4"/>
  <c r="CP43" i="4"/>
  <c r="CO43" i="4"/>
  <c r="CD43" i="4"/>
  <c r="BX43" i="4"/>
  <c r="BS43" i="4"/>
  <c r="CV43" i="4" s="1"/>
  <c r="BO43" i="4"/>
  <c r="BO54" i="4"/>
  <c r="BO198" i="5"/>
  <c r="BO197" i="5"/>
  <c r="BO194" i="5"/>
  <c r="BO193" i="5"/>
  <c r="BO136" i="5"/>
  <c r="BO103" i="5"/>
  <c r="BO98" i="5"/>
  <c r="BO22" i="5"/>
  <c r="BO16" i="5"/>
  <c r="BO30" i="5" s="1"/>
  <c r="BO386" i="5" l="1"/>
  <c r="BO203" i="5"/>
  <c r="BJ386" i="5"/>
  <c r="BM374" i="5"/>
  <c r="P86" i="8" l="1"/>
  <c r="A88" i="8"/>
  <c r="A85" i="8"/>
  <c r="P89" i="8"/>
  <c r="C110" i="8"/>
  <c r="C108" i="8"/>
  <c r="C107" i="8"/>
  <c r="C109" i="8"/>
  <c r="I56" i="6" l="1"/>
  <c r="BO344" i="4" l="1"/>
  <c r="BO333" i="4"/>
  <c r="BO312" i="4"/>
  <c r="BO302" i="4"/>
  <c r="BO294" i="4"/>
  <c r="BO293" i="4"/>
  <c r="BO343" i="4" s="1"/>
  <c r="BO284" i="4"/>
  <c r="BO281" i="4"/>
  <c r="BO277" i="4"/>
  <c r="BO274" i="4"/>
  <c r="BO270" i="4"/>
  <c r="BO267" i="4"/>
  <c r="BO266" i="4"/>
  <c r="BO262" i="4"/>
  <c r="BO252" i="4"/>
  <c r="BO342" i="4" s="1"/>
  <c r="BO247" i="4"/>
  <c r="BO245" i="4" s="1"/>
  <c r="BO227" i="4"/>
  <c r="BO34" i="4"/>
  <c r="BO433" i="5"/>
  <c r="BO427" i="5"/>
  <c r="BO413" i="5"/>
  <c r="BO369" i="5"/>
  <c r="BO329" i="5"/>
  <c r="BO325" i="5"/>
  <c r="BO248" i="5"/>
  <c r="BN243" i="5"/>
  <c r="BM213" i="5"/>
  <c r="BO213" i="5"/>
  <c r="BO161" i="5"/>
  <c r="BO157" i="5"/>
  <c r="BO148" i="5"/>
  <c r="BO145" i="5"/>
  <c r="BO141" i="5"/>
  <c r="BO99" i="5"/>
  <c r="BO90" i="5"/>
  <c r="BO92" i="5" s="1"/>
  <c r="BO81" i="5"/>
  <c r="BO83" i="5" s="1"/>
  <c r="BO432" i="5" l="1"/>
  <c r="BO221" i="5"/>
  <c r="BO226" i="5"/>
  <c r="BO230" i="5"/>
  <c r="BO147" i="5"/>
  <c r="BO368" i="5"/>
  <c r="BO303" i="4"/>
  <c r="BO437" i="5"/>
  <c r="BX130" i="4"/>
  <c r="BX129" i="4"/>
  <c r="BX128" i="4"/>
  <c r="BX124" i="4"/>
  <c r="BX123" i="4"/>
  <c r="BX122" i="4"/>
  <c r="BU121" i="4"/>
  <c r="BV121" i="4" s="1"/>
  <c r="BW121" i="4" s="1"/>
  <c r="BT120" i="4"/>
  <c r="BX118" i="4"/>
  <c r="BX112" i="4"/>
  <c r="BX111" i="4"/>
  <c r="BX109" i="4"/>
  <c r="BW98" i="4"/>
  <c r="BV98" i="4"/>
  <c r="BU98" i="4"/>
  <c r="BX93" i="4"/>
  <c r="BX92" i="4"/>
  <c r="BX89" i="4"/>
  <c r="BX88" i="4"/>
  <c r="BX61" i="4"/>
  <c r="BW54" i="4"/>
  <c r="BW94" i="4" s="1"/>
  <c r="BV54" i="4"/>
  <c r="BV94" i="4" s="1"/>
  <c r="BU54" i="4"/>
  <c r="BU94" i="4" s="1"/>
  <c r="BT54" i="4"/>
  <c r="BX53" i="4"/>
  <c r="BX47" i="4"/>
  <c r="BW247" i="4"/>
  <c r="BW245" i="4" s="1"/>
  <c r="BV247" i="4"/>
  <c r="BU247" i="4"/>
  <c r="BT247" i="4"/>
  <c r="BT245" i="4" s="1"/>
  <c r="BX246" i="4"/>
  <c r="BV245" i="4"/>
  <c r="BU245" i="4"/>
  <c r="BX145" i="4"/>
  <c r="BW242" i="4"/>
  <c r="BW282" i="4"/>
  <c r="BV282" i="4"/>
  <c r="BU282" i="4"/>
  <c r="BT282" i="4"/>
  <c r="BX281" i="4"/>
  <c r="BW281" i="4"/>
  <c r="BV281" i="4"/>
  <c r="BU281" i="4"/>
  <c r="BT281" i="4"/>
  <c r="BW268" i="4"/>
  <c r="BV268" i="4"/>
  <c r="BU268" i="4"/>
  <c r="BT268" i="4"/>
  <c r="BW262" i="4"/>
  <c r="BW275" i="4" s="1"/>
  <c r="BV262" i="4"/>
  <c r="BV275" i="4" s="1"/>
  <c r="BU262" i="4"/>
  <c r="BU275" i="4" s="1"/>
  <c r="BT262" i="4"/>
  <c r="BT275" i="4" s="1"/>
  <c r="BW253" i="4"/>
  <c r="BV253" i="4"/>
  <c r="BU253" i="4"/>
  <c r="BT253" i="4"/>
  <c r="BW256" i="4"/>
  <c r="BV256" i="4"/>
  <c r="BU256" i="4"/>
  <c r="BT256" i="4"/>
  <c r="BW254" i="4"/>
  <c r="BV254" i="4"/>
  <c r="BU254" i="4"/>
  <c r="BT254" i="4"/>
  <c r="BU296" i="4"/>
  <c r="BV296" i="4" s="1"/>
  <c r="BW296" i="4" s="1"/>
  <c r="BX26" i="4"/>
  <c r="BT136" i="5"/>
  <c r="BU136" i="5"/>
  <c r="BX140" i="5"/>
  <c r="BT92" i="5"/>
  <c r="BT90" i="5" s="1"/>
  <c r="BW448" i="5"/>
  <c r="BW22" i="5"/>
  <c r="BV22" i="5"/>
  <c r="BU22" i="5"/>
  <c r="BT22" i="5"/>
  <c r="BV448" i="5"/>
  <c r="BU448" i="5"/>
  <c r="BW447" i="5"/>
  <c r="BV447" i="5"/>
  <c r="BU447" i="5"/>
  <c r="BT447" i="5"/>
  <c r="BW425" i="5"/>
  <c r="BV425" i="5"/>
  <c r="BU425" i="5"/>
  <c r="BT425" i="5"/>
  <c r="BW424" i="5"/>
  <c r="BV424" i="5"/>
  <c r="BU424" i="5"/>
  <c r="BT424" i="5"/>
  <c r="BW423" i="5"/>
  <c r="BV423" i="5"/>
  <c r="BU423" i="5"/>
  <c r="BT423" i="5"/>
  <c r="BW422" i="5"/>
  <c r="BV422" i="5"/>
  <c r="BU422" i="5"/>
  <c r="BT422" i="5"/>
  <c r="BW418" i="5"/>
  <c r="BV418" i="5"/>
  <c r="BU418" i="5"/>
  <c r="BU416" i="5" s="1"/>
  <c r="BT418" i="5"/>
  <c r="BT416" i="5" s="1"/>
  <c r="BW416" i="5"/>
  <c r="BV416" i="5"/>
  <c r="BW407" i="5"/>
  <c r="BV407" i="5"/>
  <c r="BU407" i="5"/>
  <c r="BT407" i="5"/>
  <c r="BW372" i="5"/>
  <c r="BV372" i="5"/>
  <c r="BU372" i="5"/>
  <c r="BT372" i="5"/>
  <c r="BW370" i="5"/>
  <c r="BV370" i="5"/>
  <c r="BU370" i="5"/>
  <c r="BT370" i="5"/>
  <c r="BW369" i="5"/>
  <c r="BV369" i="5"/>
  <c r="BU369" i="5"/>
  <c r="BT369" i="5"/>
  <c r="BW328" i="5"/>
  <c r="BV328" i="5"/>
  <c r="BU328" i="5"/>
  <c r="BT328" i="5"/>
  <c r="BW326" i="5"/>
  <c r="BV326" i="5"/>
  <c r="BU326" i="5"/>
  <c r="BT326" i="5"/>
  <c r="BW325" i="5"/>
  <c r="BV325" i="5"/>
  <c r="BU325" i="5"/>
  <c r="BT325" i="5"/>
  <c r="BY424" i="5" l="1"/>
  <c r="BZ424" i="5" s="1"/>
  <c r="CA424" i="5" s="1"/>
  <c r="BX22" i="5"/>
  <c r="BX54" i="4"/>
  <c r="BT94" i="4"/>
  <c r="BX94" i="4" s="1"/>
  <c r="BT91" i="5"/>
  <c r="BT93" i="5"/>
  <c r="BX121" i="4"/>
  <c r="BX268" i="4"/>
  <c r="BX247" i="4"/>
  <c r="BX275" i="4"/>
  <c r="BX282" i="4"/>
  <c r="BX447" i="5"/>
  <c r="BX254" i="5" l="1"/>
  <c r="BW157" i="5"/>
  <c r="BV157" i="5"/>
  <c r="BU157" i="5"/>
  <c r="BT157" i="5"/>
  <c r="BW158" i="5"/>
  <c r="BV158" i="5"/>
  <c r="BU158" i="5"/>
  <c r="BT158" i="5"/>
  <c r="BW160" i="5"/>
  <c r="BV160" i="5"/>
  <c r="BU160" i="5"/>
  <c r="BX9" i="4"/>
  <c r="BW9" i="4"/>
  <c r="BW9" i="5" s="1"/>
  <c r="BW78" i="5" s="1"/>
  <c r="BW153" i="5" s="1"/>
  <c r="BV9" i="4"/>
  <c r="BU9" i="4"/>
  <c r="BT9" i="4"/>
  <c r="BU9" i="5"/>
  <c r="BU78" i="5" s="1"/>
  <c r="BU153" i="5" s="1"/>
  <c r="BT9" i="5" l="1"/>
  <c r="BT78" i="5" s="1"/>
  <c r="BT153" i="5" s="1"/>
  <c r="BT82" i="4"/>
  <c r="BT139" i="4" s="1"/>
  <c r="BT192" i="4"/>
  <c r="BX9" i="5"/>
  <c r="BX78" i="5" s="1"/>
  <c r="BX153" i="5" s="1"/>
  <c r="BX82" i="4"/>
  <c r="BX139" i="4" s="1"/>
  <c r="BX192" i="4"/>
  <c r="BW192" i="4"/>
  <c r="BW82" i="4"/>
  <c r="BW139" i="4" s="1"/>
  <c r="BU82" i="4"/>
  <c r="BU139" i="4" s="1"/>
  <c r="BU192" i="4"/>
  <c r="BV9" i="5"/>
  <c r="BV78" i="5" s="1"/>
  <c r="BV153" i="5" s="1"/>
  <c r="BV192" i="4"/>
  <c r="BV82" i="4"/>
  <c r="BV139" i="4" s="1"/>
  <c r="BU446" i="5"/>
  <c r="BU398" i="5"/>
  <c r="BW446" i="5"/>
  <c r="BW398" i="5"/>
  <c r="BV398" i="5"/>
  <c r="BX446" i="5"/>
  <c r="BX398" i="5"/>
  <c r="BV446" i="5" l="1"/>
  <c r="BT398" i="5"/>
  <c r="BT446" i="5"/>
  <c r="BJ262" i="4" l="1"/>
  <c r="BK262" i="4"/>
  <c r="BL262" i="4"/>
  <c r="BM262" i="4"/>
  <c r="BM220" i="4"/>
  <c r="BM167" i="4"/>
  <c r="BM312" i="4" l="1"/>
  <c r="BR424" i="5"/>
  <c r="BQ424" i="5"/>
  <c r="BP424" i="5"/>
  <c r="BP303" i="4" l="1"/>
  <c r="BQ303" i="4" s="1"/>
  <c r="BR303" i="4" s="1"/>
  <c r="BM113" i="4"/>
  <c r="BN335" i="5"/>
  <c r="BM337" i="5"/>
  <c r="BM336" i="5"/>
  <c r="BM333" i="5"/>
  <c r="BM332" i="5"/>
  <c r="BN331" i="5"/>
  <c r="BN293" i="5"/>
  <c r="BN292" i="5"/>
  <c r="BN291" i="5"/>
  <c r="BI293" i="5"/>
  <c r="BI292" i="5"/>
  <c r="BI291" i="5"/>
  <c r="BM229" i="5"/>
  <c r="BN228" i="5"/>
  <c r="BN224" i="5"/>
  <c r="BM225" i="5"/>
  <c r="BM189" i="5"/>
  <c r="BM188" i="5"/>
  <c r="BM187" i="5"/>
  <c r="BM186" i="5"/>
  <c r="BM185" i="5"/>
  <c r="BN182" i="5"/>
  <c r="BN189" i="5" s="1"/>
  <c r="BN181" i="5"/>
  <c r="BN188" i="5" s="1"/>
  <c r="BN180" i="5"/>
  <c r="BN187" i="5" s="1"/>
  <c r="BN179" i="5"/>
  <c r="BN186" i="5" s="1"/>
  <c r="BN178" i="5"/>
  <c r="BN185" i="5" s="1"/>
  <c r="BN196" i="5"/>
  <c r="BN192" i="5"/>
  <c r="BM198" i="5"/>
  <c r="BM197" i="5"/>
  <c r="BM194" i="5"/>
  <c r="BM193" i="5"/>
  <c r="BN121" i="5" l="1"/>
  <c r="BK116" i="5"/>
  <c r="BJ116" i="5"/>
  <c r="BN112" i="5"/>
  <c r="BM107" i="5"/>
  <c r="BL107" i="5"/>
  <c r="BK107" i="5"/>
  <c r="BJ107" i="5"/>
  <c r="BM90" i="5"/>
  <c r="BM140" i="5" l="1"/>
  <c r="BM136" i="5"/>
  <c r="BR136" i="5" s="1"/>
  <c r="BW136" i="5" s="1"/>
  <c r="BM98" i="5"/>
  <c r="BM80" i="5"/>
  <c r="B69" i="8" l="1"/>
  <c r="DB53" i="4" l="1"/>
  <c r="DB47" i="4"/>
  <c r="DB26" i="4"/>
  <c r="CA282" i="4"/>
  <c r="CA281" i="4"/>
  <c r="CA268" i="4"/>
  <c r="CA262" i="4"/>
  <c r="CA275" i="4" s="1"/>
  <c r="CA256" i="4"/>
  <c r="CA254" i="4"/>
  <c r="CA253" i="4"/>
  <c r="CA247" i="4"/>
  <c r="CA245" i="4" s="1"/>
  <c r="CA94" i="4"/>
  <c r="CZ94" i="4" s="1"/>
  <c r="CA9" i="4"/>
  <c r="CA82" i="4" s="1"/>
  <c r="DB395" i="5"/>
  <c r="DB394" i="5"/>
  <c r="DB393" i="5"/>
  <c r="DB391" i="5"/>
  <c r="DB390" i="5"/>
  <c r="DB389" i="5"/>
  <c r="DB387" i="5"/>
  <c r="DB386" i="5"/>
  <c r="DB385" i="5"/>
  <c r="DB384" i="5"/>
  <c r="DB383" i="5"/>
  <c r="DB382" i="5"/>
  <c r="DB381" i="5"/>
  <c r="DB380" i="5"/>
  <c r="DB363" i="5"/>
  <c r="DB362" i="5"/>
  <c r="DB360" i="5"/>
  <c r="DB359" i="5"/>
  <c r="DB355" i="5"/>
  <c r="DB354" i="5"/>
  <c r="DB353" i="5"/>
  <c r="DB352" i="5"/>
  <c r="DB351" i="5"/>
  <c r="DB350" i="5"/>
  <c r="DB349" i="5"/>
  <c r="DB348" i="5"/>
  <c r="DB347" i="5"/>
  <c r="DB346" i="5"/>
  <c r="DB345" i="5"/>
  <c r="DB344" i="5"/>
  <c r="DB343" i="5"/>
  <c r="DB342" i="5"/>
  <c r="DB341" i="5"/>
  <c r="DB340" i="5"/>
  <c r="DB339" i="5"/>
  <c r="DB338" i="5"/>
  <c r="DB337" i="5"/>
  <c r="DB336" i="5"/>
  <c r="DB335" i="5"/>
  <c r="DB333" i="5"/>
  <c r="DB332" i="5"/>
  <c r="DB331" i="5"/>
  <c r="DB303" i="5"/>
  <c r="DB302" i="5"/>
  <c r="DB301" i="5"/>
  <c r="DB300" i="5"/>
  <c r="DB299" i="5"/>
  <c r="DB298" i="5"/>
  <c r="DB278" i="5"/>
  <c r="DB277" i="5"/>
  <c r="DB276" i="5"/>
  <c r="DB273" i="5"/>
  <c r="DB272" i="5"/>
  <c r="DB271" i="5"/>
  <c r="DB268" i="5"/>
  <c r="DB267" i="5"/>
  <c r="DB265" i="5"/>
  <c r="DB264" i="5"/>
  <c r="DB262" i="5"/>
  <c r="DB261" i="5"/>
  <c r="DB260" i="5"/>
  <c r="DB258" i="5"/>
  <c r="DB257" i="5"/>
  <c r="DB256" i="5"/>
  <c r="DB241" i="5"/>
  <c r="DB240" i="5"/>
  <c r="DB239" i="5"/>
  <c r="DB237" i="5"/>
  <c r="DB236" i="5"/>
  <c r="DB235" i="5"/>
  <c r="DB165" i="5"/>
  <c r="DB164" i="5"/>
  <c r="DB163" i="5"/>
  <c r="DB159" i="5"/>
  <c r="DB140" i="5"/>
  <c r="DB130" i="5"/>
  <c r="DB129" i="5"/>
  <c r="DB128" i="5"/>
  <c r="DB75" i="5"/>
  <c r="DB73" i="5"/>
  <c r="DB72" i="5"/>
  <c r="DB71" i="5"/>
  <c r="DB69" i="5"/>
  <c r="DB67" i="5"/>
  <c r="DB56" i="5"/>
  <c r="DB55" i="5"/>
  <c r="DB54" i="5"/>
  <c r="DB52" i="5"/>
  <c r="DB51" i="5"/>
  <c r="DB50" i="5"/>
  <c r="DB48" i="5"/>
  <c r="DB47" i="5"/>
  <c r="DB46" i="5"/>
  <c r="DB44" i="5"/>
  <c r="DB43" i="5"/>
  <c r="DB42" i="5"/>
  <c r="DB41" i="5"/>
  <c r="DB38" i="5"/>
  <c r="DB37" i="5"/>
  <c r="DB23" i="5"/>
  <c r="CA448" i="5"/>
  <c r="CA447" i="5"/>
  <c r="CA425" i="5"/>
  <c r="CA423" i="5"/>
  <c r="CA416" i="5"/>
  <c r="DB416" i="5" s="1"/>
  <c r="CA407" i="5"/>
  <c r="CA372" i="5"/>
  <c r="CA370" i="5"/>
  <c r="CA369" i="5"/>
  <c r="DB369" i="5" s="1"/>
  <c r="CA328" i="5"/>
  <c r="CA326" i="5"/>
  <c r="CA325" i="5"/>
  <c r="DB325" i="5" s="1"/>
  <c r="CA158" i="5"/>
  <c r="DB158" i="5" s="1"/>
  <c r="CA157" i="5"/>
  <c r="DB146" i="5"/>
  <c r="CA22" i="5"/>
  <c r="DB22" i="5" s="1"/>
  <c r="CZ291" i="4"/>
  <c r="CZ130" i="4"/>
  <c r="CZ129" i="4"/>
  <c r="CZ128" i="4"/>
  <c r="CZ124" i="4"/>
  <c r="CZ123" i="4"/>
  <c r="CZ122" i="4"/>
  <c r="CZ120" i="4"/>
  <c r="CZ118" i="4"/>
  <c r="CZ112" i="4"/>
  <c r="CZ111" i="4"/>
  <c r="CZ109" i="4"/>
  <c r="CZ93" i="4"/>
  <c r="CZ92" i="4"/>
  <c r="CZ89" i="4"/>
  <c r="CZ88" i="4"/>
  <c r="CZ61" i="4"/>
  <c r="CZ54" i="4"/>
  <c r="CZ53" i="4"/>
  <c r="CZ47" i="4"/>
  <c r="CZ26" i="4"/>
  <c r="CZ9" i="4"/>
  <c r="CA9" i="5"/>
  <c r="DB9" i="5" s="1"/>
  <c r="BM331" i="4"/>
  <c r="BM294" i="4"/>
  <c r="BM293" i="4"/>
  <c r="BM343" i="4" s="1"/>
  <c r="BM284" i="4"/>
  <c r="BM281" i="4"/>
  <c r="BM277" i="4"/>
  <c r="BM270" i="4"/>
  <c r="BM247" i="4"/>
  <c r="BN247" i="4" s="1"/>
  <c r="BN246" i="4"/>
  <c r="BM433" i="5"/>
  <c r="BM427" i="5"/>
  <c r="BM413" i="5"/>
  <c r="BM369" i="5"/>
  <c r="BM359" i="5"/>
  <c r="BM329" i="5"/>
  <c r="BM325" i="5"/>
  <c r="BM288" i="5"/>
  <c r="BM287" i="5"/>
  <c r="BM286" i="5"/>
  <c r="BM283" i="5"/>
  <c r="BM282" i="5"/>
  <c r="BM281" i="5"/>
  <c r="BM253" i="5"/>
  <c r="BM248" i="5"/>
  <c r="BM168" i="5"/>
  <c r="BM167" i="5"/>
  <c r="BM161" i="5"/>
  <c r="BM157" i="5"/>
  <c r="BM141" i="5"/>
  <c r="BN103" i="5"/>
  <c r="BM117" i="5"/>
  <c r="BM119" i="5" s="1"/>
  <c r="BM108" i="5"/>
  <c r="BM110" i="5" s="1"/>
  <c r="CA139" i="4" l="1"/>
  <c r="CZ139" i="4" s="1"/>
  <c r="CZ82" i="4"/>
  <c r="CA398" i="5"/>
  <c r="DB398" i="5" s="1"/>
  <c r="CA192" i="4"/>
  <c r="CA446" i="5"/>
  <c r="DB446" i="5" s="1"/>
  <c r="BM230" i="5"/>
  <c r="BM226" i="5"/>
  <c r="DB157" i="5"/>
  <c r="CA78" i="5"/>
  <c r="DB78" i="5" s="1"/>
  <c r="BM245" i="4"/>
  <c r="BM92" i="5"/>
  <c r="BR92" i="5" s="1"/>
  <c r="BW92" i="5" s="1"/>
  <c r="BM81" i="5"/>
  <c r="BM13" i="5"/>
  <c r="BW93" i="5" l="1"/>
  <c r="BW90" i="5"/>
  <c r="BW91" i="5"/>
  <c r="CA153" i="5"/>
  <c r="DB153" i="5" s="1"/>
  <c r="BM83" i="5"/>
  <c r="M36" i="6"/>
  <c r="P78" i="6" l="1"/>
  <c r="O78" i="6"/>
  <c r="N78" i="6"/>
  <c r="M78" i="6"/>
  <c r="L78" i="6"/>
  <c r="K78" i="6"/>
  <c r="BZ448" i="5" l="1"/>
  <c r="BY448" i="5"/>
  <c r="BZ447" i="5"/>
  <c r="BY447" i="5"/>
  <c r="BR447" i="5"/>
  <c r="BH359" i="5" l="1"/>
  <c r="BM376" i="5" s="1"/>
  <c r="BL294" i="4"/>
  <c r="BM295" i="4" s="1"/>
  <c r="BM296" i="4" s="1"/>
  <c r="BL293" i="4"/>
  <c r="BL281" i="4"/>
  <c r="BL277" i="4"/>
  <c r="BM273" i="4" s="1"/>
  <c r="BL270" i="4"/>
  <c r="BM265" i="4" s="1"/>
  <c r="BL312" i="4"/>
  <c r="BM311" i="4" s="1"/>
  <c r="BM313" i="4" s="1"/>
  <c r="BR313" i="4" s="1"/>
  <c r="BW313" i="4" s="1"/>
  <c r="BL153" i="4"/>
  <c r="BL284" i="4" s="1"/>
  <c r="BM280" i="4" s="1"/>
  <c r="BM282" i="4" s="1"/>
  <c r="BL189" i="5"/>
  <c r="BL188" i="5"/>
  <c r="BL187" i="5"/>
  <c r="BL186" i="5"/>
  <c r="BL185" i="5"/>
  <c r="BL288" i="5"/>
  <c r="BL287" i="5"/>
  <c r="BL286" i="5"/>
  <c r="BL283" i="5"/>
  <c r="BL282" i="5"/>
  <c r="BL281" i="5"/>
  <c r="BL222" i="5"/>
  <c r="BL337" i="5"/>
  <c r="BL336" i="5"/>
  <c r="BL333" i="5"/>
  <c r="BL332" i="5"/>
  <c r="BL198" i="5"/>
  <c r="BL197" i="5"/>
  <c r="BL194" i="5"/>
  <c r="BL193" i="5"/>
  <c r="BL448" i="5"/>
  <c r="BL447" i="5"/>
  <c r="BL213" i="5"/>
  <c r="BL230" i="5" s="1"/>
  <c r="BL136" i="5"/>
  <c r="BQ136" i="5" s="1"/>
  <c r="BV136" i="5" s="1"/>
  <c r="BX136" i="5" s="1"/>
  <c r="BL80" i="5"/>
  <c r="BL226" i="5" l="1"/>
  <c r="BL148" i="5"/>
  <c r="BL145" i="5"/>
  <c r="BK148" i="5" l="1"/>
  <c r="BL331" i="4" l="1"/>
  <c r="BK312" i="4"/>
  <c r="BL311" i="4" s="1"/>
  <c r="BL247" i="4"/>
  <c r="BQ447" i="5"/>
  <c r="BL433" i="5"/>
  <c r="BL427" i="5"/>
  <c r="BL413" i="5"/>
  <c r="BL374" i="5"/>
  <c r="BL329" i="5"/>
  <c r="BL325" i="5"/>
  <c r="BM414" i="5" l="1"/>
  <c r="BM411" i="5"/>
  <c r="BL343" i="4"/>
  <c r="BL253" i="5"/>
  <c r="BL161" i="5"/>
  <c r="BL157" i="5"/>
  <c r="BL141" i="5" l="1"/>
  <c r="BL117" i="5"/>
  <c r="BL119" i="5" s="1"/>
  <c r="BL108" i="5"/>
  <c r="BL110" i="5" s="1"/>
  <c r="BL90" i="5"/>
  <c r="BL81" i="5"/>
  <c r="A91" i="6"/>
  <c r="A79" i="6"/>
  <c r="AA62" i="6"/>
  <c r="Z62" i="6"/>
  <c r="Y62" i="6"/>
  <c r="X62" i="6"/>
  <c r="W62" i="6"/>
  <c r="V62" i="6"/>
  <c r="U62" i="6"/>
  <c r="T62" i="6"/>
  <c r="S62" i="6"/>
  <c r="R62" i="6"/>
  <c r="Q62" i="6"/>
  <c r="I61" i="6"/>
  <c r="O69" i="6"/>
  <c r="A53" i="6"/>
  <c r="A52" i="6"/>
  <c r="I41" i="6"/>
  <c r="S2" i="6" s="1"/>
  <c r="A32" i="6"/>
  <c r="T7" i="6"/>
  <c r="E3" i="6"/>
  <c r="F3" i="6" s="1"/>
  <c r="G3" i="6" s="1"/>
  <c r="H3" i="6" s="1"/>
  <c r="I1" i="6"/>
  <c r="J1" i="6" s="1"/>
  <c r="K1" i="6" s="1"/>
  <c r="L1" i="6" s="1"/>
  <c r="M1" i="6" s="1"/>
  <c r="N1" i="6" s="1"/>
  <c r="O1" i="6" s="1"/>
  <c r="P1" i="6" s="1"/>
  <c r="Q1" i="6" s="1"/>
  <c r="R1" i="6" s="1"/>
  <c r="S1" i="6" s="1"/>
  <c r="T1" i="6" s="1"/>
  <c r="AY374" i="5"/>
  <c r="E77" i="4"/>
  <c r="D77" i="4"/>
  <c r="CG77" i="4" s="1"/>
  <c r="C77" i="4"/>
  <c r="CF77" i="4" s="1"/>
  <c r="F77" i="4"/>
  <c r="CI77" i="4" s="1"/>
  <c r="I77" i="4"/>
  <c r="H77" i="4"/>
  <c r="G77" i="4"/>
  <c r="N77" i="4"/>
  <c r="M77" i="4"/>
  <c r="L77" i="4"/>
  <c r="S77" i="4"/>
  <c r="R77" i="4"/>
  <c r="Q77" i="4"/>
  <c r="X77" i="4"/>
  <c r="W77" i="4"/>
  <c r="V77" i="4"/>
  <c r="AC77" i="4"/>
  <c r="AB77" i="4"/>
  <c r="AA77" i="4"/>
  <c r="AH77" i="4"/>
  <c r="AG77" i="4"/>
  <c r="AF77" i="4"/>
  <c r="AM77" i="4"/>
  <c r="AL77" i="4"/>
  <c r="AK77" i="4"/>
  <c r="AR77" i="4"/>
  <c r="AQ77" i="4"/>
  <c r="AP77" i="4"/>
  <c r="BK325" i="5"/>
  <c r="CF10" i="5"/>
  <c r="BZ423" i="5"/>
  <c r="BY423" i="5"/>
  <c r="BR423" i="5"/>
  <c r="BQ423" i="5"/>
  <c r="BP423" i="5"/>
  <c r="BZ425" i="5"/>
  <c r="BY425" i="5"/>
  <c r="BR425" i="5"/>
  <c r="BQ425" i="5"/>
  <c r="BP425" i="5"/>
  <c r="BR422" i="5"/>
  <c r="BQ422" i="5"/>
  <c r="BP422" i="5"/>
  <c r="CF422" i="5"/>
  <c r="BZ407" i="5"/>
  <c r="BY407" i="5"/>
  <c r="BR407" i="5"/>
  <c r="BQ407" i="5"/>
  <c r="BP407" i="5"/>
  <c r="BZ416" i="5"/>
  <c r="DA416" i="5" s="1"/>
  <c r="BY416" i="5"/>
  <c r="CZ416" i="5" s="1"/>
  <c r="BK435" i="5"/>
  <c r="BP435" i="5" s="1"/>
  <c r="BU435" i="5" s="1"/>
  <c r="BK433" i="5"/>
  <c r="BK427" i="5"/>
  <c r="BK413" i="5"/>
  <c r="BR418" i="5"/>
  <c r="BR416" i="5" s="1"/>
  <c r="BQ418" i="5"/>
  <c r="BQ416" i="5" s="1"/>
  <c r="BP418" i="5"/>
  <c r="BP416" i="5" s="1"/>
  <c r="BK122" i="4"/>
  <c r="BM122" i="4" s="1"/>
  <c r="BK123" i="4"/>
  <c r="BK103" i="4"/>
  <c r="BK102" i="4"/>
  <c r="BK101" i="4"/>
  <c r="BK100" i="4"/>
  <c r="BK99" i="4"/>
  <c r="BK97" i="4"/>
  <c r="BK94" i="4"/>
  <c r="BK89" i="4"/>
  <c r="BX160" i="5"/>
  <c r="BY160" i="5" s="1"/>
  <c r="BZ160" i="5" s="1"/>
  <c r="BB433" i="5"/>
  <c r="BA433" i="5"/>
  <c r="AZ433" i="5"/>
  <c r="BD433" i="5"/>
  <c r="CU433" i="5" s="1"/>
  <c r="BK189" i="5"/>
  <c r="BK188" i="5"/>
  <c r="BK187" i="5"/>
  <c r="BK186" i="5"/>
  <c r="BK185" i="5"/>
  <c r="BK294" i="4"/>
  <c r="BL295" i="4" s="1"/>
  <c r="BL296" i="4" s="1"/>
  <c r="BK293" i="4"/>
  <c r="BK343" i="4" s="1"/>
  <c r="BK288" i="5"/>
  <c r="BK287" i="5"/>
  <c r="BK286" i="5"/>
  <c r="BK283" i="5"/>
  <c r="BK282" i="5"/>
  <c r="BK281" i="5"/>
  <c r="BK108" i="5"/>
  <c r="BK110" i="5" s="1"/>
  <c r="BK447" i="5"/>
  <c r="BK448" i="5"/>
  <c r="BK129" i="4"/>
  <c r="BK121" i="4"/>
  <c r="BK120" i="4"/>
  <c r="BK119" i="4"/>
  <c r="BK112" i="4"/>
  <c r="BK111" i="4"/>
  <c r="BK110" i="4"/>
  <c r="BK90" i="4"/>
  <c r="BL90" i="4" s="1"/>
  <c r="BK91" i="4"/>
  <c r="BK87" i="4"/>
  <c r="BK86" i="4"/>
  <c r="BP447" i="5"/>
  <c r="BK374" i="5"/>
  <c r="BK337" i="5"/>
  <c r="BK333" i="5"/>
  <c r="BK332" i="5"/>
  <c r="BK253" i="5"/>
  <c r="BK222" i="5"/>
  <c r="BK198" i="5"/>
  <c r="BK194" i="5"/>
  <c r="BK193" i="5"/>
  <c r="BK36" i="4"/>
  <c r="BK35" i="4"/>
  <c r="BK98" i="5"/>
  <c r="B101" i="8"/>
  <c r="BK22" i="5"/>
  <c r="BJ22" i="5"/>
  <c r="BH22" i="5"/>
  <c r="BG189" i="5"/>
  <c r="BF189" i="5"/>
  <c r="BE189" i="5"/>
  <c r="BG188" i="5"/>
  <c r="BF188" i="5"/>
  <c r="BE188" i="5"/>
  <c r="BG187" i="5"/>
  <c r="BF187" i="5"/>
  <c r="BE187" i="5"/>
  <c r="BG186" i="5"/>
  <c r="BF186" i="5"/>
  <c r="BE186" i="5"/>
  <c r="BG185" i="5"/>
  <c r="BF185" i="5"/>
  <c r="BE185" i="5"/>
  <c r="AT189" i="5"/>
  <c r="AT188" i="5"/>
  <c r="AT187" i="5"/>
  <c r="AT186" i="5"/>
  <c r="AT185" i="5"/>
  <c r="AY189" i="5"/>
  <c r="AY188" i="5"/>
  <c r="AY187" i="5"/>
  <c r="AY186" i="5"/>
  <c r="AY185" i="5"/>
  <c r="BD189" i="5"/>
  <c r="BD188" i="5"/>
  <c r="BD187" i="5"/>
  <c r="BD186" i="5"/>
  <c r="BD185" i="5"/>
  <c r="BI189" i="5"/>
  <c r="BI188" i="5"/>
  <c r="BI187" i="5"/>
  <c r="BI186" i="5"/>
  <c r="BI185" i="5"/>
  <c r="BK329" i="5"/>
  <c r="BK213" i="5"/>
  <c r="BK226" i="5" s="1"/>
  <c r="BK168" i="5"/>
  <c r="BK167" i="5"/>
  <c r="BK161" i="5"/>
  <c r="BK157" i="5"/>
  <c r="BK141" i="5"/>
  <c r="BK90" i="5"/>
  <c r="BK81" i="5"/>
  <c r="BK331" i="4"/>
  <c r="BK284" i="4"/>
  <c r="BL280" i="4" s="1"/>
  <c r="BL282" i="4" s="1"/>
  <c r="BK281" i="4"/>
  <c r="BK277" i="4"/>
  <c r="BL273" i="4" s="1"/>
  <c r="BK270" i="4"/>
  <c r="BL265" i="4" s="1"/>
  <c r="BK247" i="4"/>
  <c r="BK245" i="4" s="1"/>
  <c r="BH202" i="4"/>
  <c r="BJ148" i="5"/>
  <c r="AY26" i="4"/>
  <c r="CR26" i="4" s="1"/>
  <c r="CR411" i="5"/>
  <c r="CF412" i="5"/>
  <c r="CF411" i="5"/>
  <c r="CF407" i="5"/>
  <c r="Z192" i="5"/>
  <c r="Z194" i="5" s="1"/>
  <c r="AE192" i="5"/>
  <c r="AJ192" i="5"/>
  <c r="AO192" i="5"/>
  <c r="AT192" i="5"/>
  <c r="AY192" i="5"/>
  <c r="BI192" i="5"/>
  <c r="BN193" i="5" s="1"/>
  <c r="BJ312" i="4"/>
  <c r="BJ308" i="4"/>
  <c r="BJ310" i="4" s="1"/>
  <c r="BJ104" i="4"/>
  <c r="BZ254" i="4"/>
  <c r="BY254" i="4"/>
  <c r="BR254" i="4"/>
  <c r="BQ254" i="4"/>
  <c r="BP254" i="4"/>
  <c r="BH80" i="5"/>
  <c r="BH81" i="5" s="1"/>
  <c r="BZ370" i="5"/>
  <c r="BY370" i="5"/>
  <c r="BJ189" i="5"/>
  <c r="BJ188" i="5"/>
  <c r="BJ187" i="5"/>
  <c r="BJ186" i="5"/>
  <c r="BJ185" i="5"/>
  <c r="BJ337" i="5"/>
  <c r="BJ336" i="5"/>
  <c r="BJ333" i="5"/>
  <c r="BJ332" i="5"/>
  <c r="BJ288" i="5"/>
  <c r="BJ287" i="5"/>
  <c r="BJ286" i="5"/>
  <c r="BJ283" i="5"/>
  <c r="BJ282" i="5"/>
  <c r="BJ281" i="5"/>
  <c r="BJ198" i="5"/>
  <c r="BJ194" i="5"/>
  <c r="BJ193" i="5"/>
  <c r="BB447" i="5"/>
  <c r="BH447" i="5"/>
  <c r="BJ447" i="5"/>
  <c r="BJ222" i="5"/>
  <c r="BJ448" i="5"/>
  <c r="BJ77" i="4"/>
  <c r="BJ213" i="5"/>
  <c r="BJ230" i="5" s="1"/>
  <c r="A67" i="8"/>
  <c r="BJ54" i="4"/>
  <c r="BJ98" i="5"/>
  <c r="BJ99" i="5" s="1"/>
  <c r="BJ54" i="5"/>
  <c r="BJ56" i="5" s="1"/>
  <c r="BJ30" i="5"/>
  <c r="P83" i="8"/>
  <c r="BJ433" i="5"/>
  <c r="BJ308" i="5" s="1"/>
  <c r="BJ427" i="5"/>
  <c r="BJ307" i="5" s="1"/>
  <c r="BJ413" i="5"/>
  <c r="BJ374" i="5"/>
  <c r="BJ329" i="5"/>
  <c r="BJ325" i="5"/>
  <c r="BJ161" i="5"/>
  <c r="BJ157" i="5"/>
  <c r="BJ141" i="5"/>
  <c r="BJ359" i="5"/>
  <c r="BO376" i="5" s="1"/>
  <c r="CW23" i="5"/>
  <c r="BH108" i="5"/>
  <c r="BJ90" i="5"/>
  <c r="BE16" i="5"/>
  <c r="BF16" i="5"/>
  <c r="BG16" i="5"/>
  <c r="AZ16" i="5"/>
  <c r="BA16" i="5"/>
  <c r="BB16" i="5"/>
  <c r="BC18" i="5"/>
  <c r="BC14" i="5"/>
  <c r="AZ329" i="5"/>
  <c r="CF17" i="5"/>
  <c r="CF16" i="5"/>
  <c r="CF136" i="5"/>
  <c r="CF105" i="5"/>
  <c r="CF104" i="5"/>
  <c r="CF103" i="5"/>
  <c r="CF99" i="5"/>
  <c r="CF98" i="5"/>
  <c r="CF96" i="5"/>
  <c r="CF95" i="5"/>
  <c r="CF94" i="5"/>
  <c r="CF87" i="5"/>
  <c r="CF86" i="5"/>
  <c r="CF85" i="5"/>
  <c r="BJ333" i="4"/>
  <c r="BJ302" i="4"/>
  <c r="BJ303" i="4" s="1"/>
  <c r="BJ294" i="4"/>
  <c r="BJ293" i="4"/>
  <c r="BJ281" i="4"/>
  <c r="BJ274" i="4"/>
  <c r="BJ270" i="4"/>
  <c r="BK265" i="4" s="1"/>
  <c r="BJ267" i="4"/>
  <c r="BJ266" i="4"/>
  <c r="BJ252" i="4"/>
  <c r="BJ247" i="4"/>
  <c r="BJ245" i="4" s="1"/>
  <c r="BJ227" i="4"/>
  <c r="BJ34" i="4"/>
  <c r="BH337" i="5"/>
  <c r="BG337" i="5"/>
  <c r="BE337" i="5"/>
  <c r="BB337" i="5"/>
  <c r="BA337" i="5"/>
  <c r="AX337" i="5"/>
  <c r="AW337" i="5"/>
  <c r="AV337" i="5"/>
  <c r="AU337" i="5"/>
  <c r="AS337" i="5"/>
  <c r="AR337" i="5"/>
  <c r="AQ337" i="5"/>
  <c r="AP337" i="5"/>
  <c r="AN337" i="5"/>
  <c r="AM337" i="5"/>
  <c r="AL337" i="5"/>
  <c r="BH333" i="5"/>
  <c r="BG333" i="5"/>
  <c r="BF333" i="5"/>
  <c r="BE333" i="5"/>
  <c r="BB333" i="5"/>
  <c r="BA333" i="5"/>
  <c r="AZ333" i="5"/>
  <c r="AX333" i="5"/>
  <c r="AW333" i="5"/>
  <c r="AV333" i="5"/>
  <c r="AU333" i="5"/>
  <c r="AS333" i="5"/>
  <c r="AR333" i="5"/>
  <c r="AQ333" i="5"/>
  <c r="AP333" i="5"/>
  <c r="AN333" i="5"/>
  <c r="AM333" i="5"/>
  <c r="AL333" i="5"/>
  <c r="AK337" i="5"/>
  <c r="AK333" i="5"/>
  <c r="BZ158" i="5"/>
  <c r="DA158" i="5" s="1"/>
  <c r="CZ158" i="5"/>
  <c r="BX158" i="5"/>
  <c r="CY158" i="5" s="1"/>
  <c r="BH121" i="5"/>
  <c r="BH141" i="5"/>
  <c r="BY77" i="4"/>
  <c r="CX77" i="4" s="1"/>
  <c r="BH360" i="5"/>
  <c r="DA265" i="5"/>
  <c r="CZ265" i="5"/>
  <c r="CY265" i="5"/>
  <c r="CX265" i="5"/>
  <c r="CW265" i="5"/>
  <c r="CF265" i="5"/>
  <c r="DA268" i="5"/>
  <c r="CZ268" i="5"/>
  <c r="CY268" i="5"/>
  <c r="CX268" i="5"/>
  <c r="CW268" i="5"/>
  <c r="CV268" i="5"/>
  <c r="DA267" i="5"/>
  <c r="CZ267" i="5"/>
  <c r="CY267" i="5"/>
  <c r="CX267" i="5"/>
  <c r="CW267" i="5"/>
  <c r="DA264" i="5"/>
  <c r="CZ264" i="5"/>
  <c r="CY264" i="5"/>
  <c r="CX264" i="5"/>
  <c r="CW264" i="5"/>
  <c r="CV264" i="5"/>
  <c r="DA273" i="5"/>
  <c r="CZ273" i="5"/>
  <c r="CY273" i="5"/>
  <c r="CX273" i="5"/>
  <c r="CW273" i="5"/>
  <c r="DA272" i="5"/>
  <c r="CZ272" i="5"/>
  <c r="CY272" i="5"/>
  <c r="CX272" i="5"/>
  <c r="CW272" i="5"/>
  <c r="DA271" i="5"/>
  <c r="CZ271" i="5"/>
  <c r="CY271" i="5"/>
  <c r="CX271" i="5"/>
  <c r="CW271" i="5"/>
  <c r="BH220" i="4"/>
  <c r="BF94" i="4"/>
  <c r="BH167" i="4"/>
  <c r="BH169" i="4" s="1"/>
  <c r="BH175" i="4" s="1"/>
  <c r="BH147" i="4"/>
  <c r="BG447" i="5"/>
  <c r="BH448" i="5"/>
  <c r="BB30" i="5"/>
  <c r="BA30" i="5"/>
  <c r="BA37" i="5" s="1"/>
  <c r="BC359" i="5"/>
  <c r="BC22" i="5" s="1"/>
  <c r="BH374" i="5"/>
  <c r="BI331" i="5"/>
  <c r="BN332" i="5" s="1"/>
  <c r="CW332" i="5" s="1"/>
  <c r="BD335" i="5"/>
  <c r="CU335" i="5" s="1"/>
  <c r="BD331" i="5"/>
  <c r="BH427" i="5"/>
  <c r="BH213" i="5"/>
  <c r="BH189" i="5"/>
  <c r="BH188" i="5"/>
  <c r="BH187" i="5"/>
  <c r="BH186" i="5"/>
  <c r="BH185" i="5"/>
  <c r="BG228" i="5"/>
  <c r="BL229" i="5" s="1"/>
  <c r="BE228" i="5"/>
  <c r="BJ229" i="5" s="1"/>
  <c r="BA228" i="5"/>
  <c r="AZ228" i="5"/>
  <c r="AX228" i="5"/>
  <c r="AW228" i="5"/>
  <c r="AV228" i="5"/>
  <c r="AU228" i="5"/>
  <c r="AR228" i="5"/>
  <c r="BD260" i="5"/>
  <c r="CU260" i="5" s="1"/>
  <c r="BD256" i="5"/>
  <c r="CU256" i="5" s="1"/>
  <c r="AY260" i="5"/>
  <c r="CT260" i="5" s="1"/>
  <c r="AY256" i="5"/>
  <c r="BG224" i="5"/>
  <c r="BL225" i="5" s="1"/>
  <c r="BF224" i="5"/>
  <c r="BE224" i="5"/>
  <c r="BJ225" i="5" s="1"/>
  <c r="BC224" i="5"/>
  <c r="BB224" i="5"/>
  <c r="BA224" i="5"/>
  <c r="AZ224" i="5"/>
  <c r="AX224" i="5"/>
  <c r="AW224" i="5"/>
  <c r="AV224" i="5"/>
  <c r="AU224" i="5"/>
  <c r="AR224" i="5"/>
  <c r="BG207" i="5"/>
  <c r="BF207" i="5"/>
  <c r="BE207" i="5"/>
  <c r="BJ208" i="5" s="1"/>
  <c r="BC207" i="5"/>
  <c r="BB207" i="5"/>
  <c r="BA207" i="5"/>
  <c r="AZ207" i="5"/>
  <c r="AX207" i="5"/>
  <c r="AW207" i="5"/>
  <c r="BG203" i="5"/>
  <c r="BF203" i="5"/>
  <c r="BE203" i="5"/>
  <c r="BC203" i="5"/>
  <c r="BB203" i="5"/>
  <c r="BA203" i="5"/>
  <c r="AZ203" i="5"/>
  <c r="AX203" i="5"/>
  <c r="AW203" i="5"/>
  <c r="AV203" i="5"/>
  <c r="CF201" i="5"/>
  <c r="CF200" i="5"/>
  <c r="BD192" i="5"/>
  <c r="BH307" i="4"/>
  <c r="BH208" i="5"/>
  <c r="BH140" i="5"/>
  <c r="BH54" i="4" s="1"/>
  <c r="BH42" i="4"/>
  <c r="BH293" i="4" s="1"/>
  <c r="BH343" i="4" s="1"/>
  <c r="BG140" i="5"/>
  <c r="BH98" i="5"/>
  <c r="A202" i="4"/>
  <c r="P80" i="8"/>
  <c r="P92" i="8"/>
  <c r="A82" i="8"/>
  <c r="A91" i="8"/>
  <c r="BG103" i="5"/>
  <c r="BF103" i="5"/>
  <c r="BE103" i="5"/>
  <c r="BC103" i="5"/>
  <c r="BB103" i="5"/>
  <c r="BA103" i="5"/>
  <c r="AZ103" i="5"/>
  <c r="AZ98" i="5"/>
  <c r="AZ99" i="5" s="1"/>
  <c r="BD389" i="5"/>
  <c r="CU389" i="5" s="1"/>
  <c r="BI315" i="4"/>
  <c r="BH312" i="4"/>
  <c r="BH294" i="4"/>
  <c r="BH284" i="4"/>
  <c r="BH281" i="4"/>
  <c r="BH277" i="4"/>
  <c r="BH270" i="4"/>
  <c r="BF30" i="5"/>
  <c r="BE30" i="5"/>
  <c r="BH433" i="5"/>
  <c r="BH413" i="5"/>
  <c r="BI413" i="5" s="1"/>
  <c r="BN406" i="5" s="1"/>
  <c r="CW406" i="5" s="1"/>
  <c r="BH336" i="5"/>
  <c r="BH332" i="5"/>
  <c r="BH329" i="5"/>
  <c r="A79" i="8"/>
  <c r="BH90" i="5"/>
  <c r="BH198" i="5"/>
  <c r="BH194" i="5"/>
  <c r="BH193" i="5"/>
  <c r="BH148" i="5"/>
  <c r="BH157" i="5"/>
  <c r="BR325" i="5"/>
  <c r="BQ325" i="5"/>
  <c r="BP325" i="5"/>
  <c r="BP324" i="5" s="1"/>
  <c r="BY325" i="5"/>
  <c r="CZ325" i="5" s="1"/>
  <c r="BZ325" i="5"/>
  <c r="DA325" i="5" s="1"/>
  <c r="BT367" i="5"/>
  <c r="BT21" i="5" s="1"/>
  <c r="BP369" i="5"/>
  <c r="BP367" i="5" s="1"/>
  <c r="BU367" i="5" s="1"/>
  <c r="BU21" i="5" s="1"/>
  <c r="BQ369" i="5"/>
  <c r="BR369" i="5"/>
  <c r="BP253" i="4"/>
  <c r="BQ253" i="4"/>
  <c r="BR253" i="4"/>
  <c r="BG293" i="4"/>
  <c r="BG343" i="4" s="1"/>
  <c r="BF294" i="4"/>
  <c r="BG294" i="4"/>
  <c r="BG413" i="5"/>
  <c r="BG427" i="5"/>
  <c r="BG307" i="5" s="1"/>
  <c r="BF413" i="5"/>
  <c r="BC324" i="5"/>
  <c r="BH310" i="5"/>
  <c r="BG433" i="5"/>
  <c r="BG309" i="5"/>
  <c r="BG310" i="5"/>
  <c r="BF427" i="5"/>
  <c r="BF433" i="5"/>
  <c r="BF309" i="5"/>
  <c r="BF310" i="5"/>
  <c r="BF20" i="5"/>
  <c r="BF206" i="4" s="1"/>
  <c r="BG30" i="5"/>
  <c r="BC12" i="5"/>
  <c r="BC21" i="5"/>
  <c r="BG172" i="5"/>
  <c r="BI166" i="5"/>
  <c r="BC245" i="5"/>
  <c r="BC213" i="5" s="1"/>
  <c r="BG245" i="5"/>
  <c r="BC367" i="5"/>
  <c r="AS22" i="5"/>
  <c r="BE20" i="5"/>
  <c r="BE42" i="5"/>
  <c r="BE80" i="5" s="1"/>
  <c r="BE245" i="5"/>
  <c r="BE427" i="5"/>
  <c r="BC413" i="5"/>
  <c r="BD413" i="5" s="1"/>
  <c r="BE413" i="5"/>
  <c r="BF415" i="5" s="1"/>
  <c r="BF421" i="5" s="1"/>
  <c r="BJ435" i="5"/>
  <c r="BO435" i="5" s="1"/>
  <c r="BE367" i="5"/>
  <c r="AU359" i="5"/>
  <c r="AZ359" i="5" s="1"/>
  <c r="BF80" i="5"/>
  <c r="BF245" i="5"/>
  <c r="BF367" i="5"/>
  <c r="AV359" i="5"/>
  <c r="BA359" i="5" s="1"/>
  <c r="BG80" i="5"/>
  <c r="BG81" i="5" s="1"/>
  <c r="BL435" i="5"/>
  <c r="BG367" i="5"/>
  <c r="AR359" i="5"/>
  <c r="BC42" i="5"/>
  <c r="BC44" i="5" s="1"/>
  <c r="BE46" i="5"/>
  <c r="BE107" i="5" s="1"/>
  <c r="BI112" i="5"/>
  <c r="BF107" i="5"/>
  <c r="BG107" i="5"/>
  <c r="BC46" i="5"/>
  <c r="BE89" i="5"/>
  <c r="BI89" i="5" s="1"/>
  <c r="CV89" i="5" s="1"/>
  <c r="BF90" i="5"/>
  <c r="BG90" i="5"/>
  <c r="BM435" i="5"/>
  <c r="BP94" i="5"/>
  <c r="BQ94" i="5" s="1"/>
  <c r="BE54" i="5"/>
  <c r="BF116" i="5"/>
  <c r="BF117" i="5" s="1"/>
  <c r="BG116" i="5"/>
  <c r="BY369" i="5"/>
  <c r="CZ369" i="5" s="1"/>
  <c r="BZ369" i="5"/>
  <c r="DA369" i="5" s="1"/>
  <c r="BF136" i="5"/>
  <c r="BC136" i="5"/>
  <c r="BI171" i="4"/>
  <c r="CT171" i="4" s="1"/>
  <c r="BI164" i="4"/>
  <c r="CT164" i="4" s="1"/>
  <c r="BE34" i="4"/>
  <c r="BE201" i="4"/>
  <c r="BE205" i="4"/>
  <c r="BE209" i="4"/>
  <c r="BF35" i="4"/>
  <c r="BF36" i="4"/>
  <c r="BF77" i="4" s="1"/>
  <c r="BF201" i="4"/>
  <c r="BF205" i="4"/>
  <c r="BF209" i="4"/>
  <c r="BC209" i="4"/>
  <c r="BG147" i="4"/>
  <c r="BG201" i="4"/>
  <c r="BG20" i="5"/>
  <c r="BG206" i="4" s="1"/>
  <c r="BG205" i="4"/>
  <c r="BG209" i="4"/>
  <c r="BS145" i="4"/>
  <c r="BG167" i="4"/>
  <c r="BI167" i="4"/>
  <c r="BE140" i="5"/>
  <c r="BE21" i="4"/>
  <c r="BF140" i="5"/>
  <c r="BF54" i="4" s="1"/>
  <c r="BF21" i="4"/>
  <c r="BG21" i="4"/>
  <c r="BF97" i="4"/>
  <c r="BF99" i="4"/>
  <c r="BG99" i="4" s="1"/>
  <c r="BF100" i="4"/>
  <c r="BF101" i="4"/>
  <c r="BG101" i="4" s="1"/>
  <c r="BH101" i="4" s="1"/>
  <c r="BI101" i="4" s="1"/>
  <c r="CT101" i="4" s="1"/>
  <c r="BF103" i="4"/>
  <c r="BG103" i="4" s="1"/>
  <c r="BI98" i="4"/>
  <c r="CT98" i="4" s="1"/>
  <c r="BF102" i="4"/>
  <c r="BG102" i="4" s="1"/>
  <c r="BH102" i="4" s="1"/>
  <c r="BI102" i="4" s="1"/>
  <c r="CT102" i="4" s="1"/>
  <c r="BE104" i="4"/>
  <c r="BF110" i="4"/>
  <c r="BG110" i="4" s="1"/>
  <c r="BE147" i="4"/>
  <c r="BF147" i="4"/>
  <c r="BI145" i="4"/>
  <c r="CT145" i="4" s="1"/>
  <c r="BN145" i="4"/>
  <c r="BP98" i="4"/>
  <c r="BQ98" i="4"/>
  <c r="BR98" i="4"/>
  <c r="BY253" i="4"/>
  <c r="BZ253" i="4"/>
  <c r="AX312" i="4"/>
  <c r="AW312" i="4"/>
  <c r="BC312" i="4"/>
  <c r="BD312" i="4" s="1"/>
  <c r="BB312" i="4"/>
  <c r="BG312" i="4"/>
  <c r="BF119" i="4"/>
  <c r="BA91" i="4"/>
  <c r="BA227" i="4" s="1"/>
  <c r="BG47" i="4"/>
  <c r="BF86" i="4"/>
  <c r="BF87" i="4"/>
  <c r="BG87" i="4" s="1"/>
  <c r="BG274" i="4" s="1"/>
  <c r="BF89" i="4"/>
  <c r="BF90" i="4"/>
  <c r="BG90" i="4" s="1"/>
  <c r="BH90" i="4" s="1"/>
  <c r="BF91" i="4"/>
  <c r="BG93" i="4"/>
  <c r="BF111" i="4"/>
  <c r="BG111" i="4" s="1"/>
  <c r="BG112" i="4"/>
  <c r="BF113" i="4"/>
  <c r="BG113" i="4" s="1"/>
  <c r="BH113" i="4" s="1"/>
  <c r="BF118" i="4"/>
  <c r="BG118" i="4" s="1"/>
  <c r="BF120" i="4"/>
  <c r="BF121" i="4"/>
  <c r="BF122" i="4"/>
  <c r="BG122" i="4" s="1"/>
  <c r="BF123" i="4"/>
  <c r="BG123" i="4" s="1"/>
  <c r="BH123" i="4" s="1"/>
  <c r="BG124" i="4"/>
  <c r="BH124" i="4" s="1"/>
  <c r="BI124" i="4" s="1"/>
  <c r="CT124" i="4" s="1"/>
  <c r="BF129" i="4"/>
  <c r="BF48" i="4"/>
  <c r="BF345" i="4" s="1"/>
  <c r="BE48" i="4"/>
  <c r="BE115" i="4"/>
  <c r="BE126" i="4"/>
  <c r="AZ201" i="4"/>
  <c r="AZ205" i="4"/>
  <c r="AZ209" i="4"/>
  <c r="AZ34" i="4"/>
  <c r="AZ21" i="4"/>
  <c r="AZ48" i="4"/>
  <c r="AZ54" i="4"/>
  <c r="BA201" i="4"/>
  <c r="BA20" i="5"/>
  <c r="BA206" i="4" s="1"/>
  <c r="BA205" i="4"/>
  <c r="BA209" i="4"/>
  <c r="BA140" i="5"/>
  <c r="BA35" i="4"/>
  <c r="BA36" i="4"/>
  <c r="BA21" i="4"/>
  <c r="BA26" i="4"/>
  <c r="BD26" i="4" s="1"/>
  <c r="CS26" i="4" s="1"/>
  <c r="BA48" i="4"/>
  <c r="BA345" i="4" s="1"/>
  <c r="BB201" i="4"/>
  <c r="BB20" i="5"/>
  <c r="BB206" i="4" s="1"/>
  <c r="BB205" i="4"/>
  <c r="BB209" i="4"/>
  <c r="BB140" i="5"/>
  <c r="BB21" i="4"/>
  <c r="BB48" i="4"/>
  <c r="BB345" i="4" s="1"/>
  <c r="BC140" i="5"/>
  <c r="BC54" i="4" s="1"/>
  <c r="BC220" i="4"/>
  <c r="BC48" i="4"/>
  <c r="BC345" i="4" s="1"/>
  <c r="BA86" i="4"/>
  <c r="BA87" i="4"/>
  <c r="BB87" i="4" s="1"/>
  <c r="BD88" i="4"/>
  <c r="CS88" i="4" s="1"/>
  <c r="BA89" i="4"/>
  <c r="BB89" i="4" s="1"/>
  <c r="BA90" i="4"/>
  <c r="BB90" i="4" s="1"/>
  <c r="BD92" i="4"/>
  <c r="CS92" i="4" s="1"/>
  <c r="BD93" i="4"/>
  <c r="CS93" i="4" s="1"/>
  <c r="BA94" i="4"/>
  <c r="BB94" i="4" s="1"/>
  <c r="BC94" i="4" s="1"/>
  <c r="BD94" i="4" s="1"/>
  <c r="CS94" i="4" s="1"/>
  <c r="BA97" i="4"/>
  <c r="BA98" i="4"/>
  <c r="BB98" i="4"/>
  <c r="BC98" i="4"/>
  <c r="BA99" i="4"/>
  <c r="BA100" i="4"/>
  <c r="BA101" i="4"/>
  <c r="BB101" i="4" s="1"/>
  <c r="AZ102" i="4"/>
  <c r="BA103" i="4"/>
  <c r="BA104" i="4"/>
  <c r="BD109" i="4"/>
  <c r="CS109" i="4" s="1"/>
  <c r="BA110" i="4"/>
  <c r="BB110" i="4" s="1"/>
  <c r="BA111" i="4"/>
  <c r="BB111" i="4" s="1"/>
  <c r="BA112" i="4"/>
  <c r="BB112" i="4" s="1"/>
  <c r="BA113" i="4"/>
  <c r="BA118" i="4"/>
  <c r="BB118" i="4" s="1"/>
  <c r="BA119" i="4"/>
  <c r="BB119" i="4" s="1"/>
  <c r="BA120" i="4"/>
  <c r="BA121" i="4"/>
  <c r="BB121" i="4" s="1"/>
  <c r="BA122" i="4"/>
  <c r="BB122" i="4" s="1"/>
  <c r="BC122" i="4" s="1"/>
  <c r="BD122" i="4" s="1"/>
  <c r="CS122" i="4" s="1"/>
  <c r="BA123" i="4"/>
  <c r="AZ126" i="4"/>
  <c r="BA129" i="4"/>
  <c r="BB129" i="4" s="1"/>
  <c r="BC129" i="4" s="1"/>
  <c r="BD130" i="4"/>
  <c r="BA128" i="4"/>
  <c r="AU201" i="4"/>
  <c r="AU20" i="5"/>
  <c r="AU365" i="5"/>
  <c r="AU447" i="5" s="1"/>
  <c r="AU209" i="4"/>
  <c r="AU54" i="5"/>
  <c r="AU55" i="5" s="1"/>
  <c r="AU71" i="5"/>
  <c r="AU73" i="5" s="1"/>
  <c r="AU34" i="4"/>
  <c r="AU21" i="4"/>
  <c r="AU46" i="4"/>
  <c r="AU54" i="4"/>
  <c r="AV201" i="4"/>
  <c r="AV20" i="5"/>
  <c r="AV206" i="4" s="1"/>
  <c r="AV365" i="5"/>
  <c r="AV447" i="5" s="1"/>
  <c r="AV209" i="4"/>
  <c r="AV54" i="5"/>
  <c r="AV71" i="5"/>
  <c r="AV73" i="5" s="1"/>
  <c r="AV34" i="4"/>
  <c r="AV21" i="4"/>
  <c r="AV46" i="4"/>
  <c r="AV48" i="4" s="1"/>
  <c r="AV345" i="4" s="1"/>
  <c r="AV54" i="4"/>
  <c r="AW201" i="4"/>
  <c r="AW20" i="5"/>
  <c r="AW206" i="4" s="1"/>
  <c r="AW21" i="5"/>
  <c r="AW209" i="4"/>
  <c r="AW42" i="5"/>
  <c r="AW46" i="5"/>
  <c r="AW48" i="5" s="1"/>
  <c r="AW50" i="5"/>
  <c r="AY50" i="5" s="1"/>
  <c r="CT50" i="5" s="1"/>
  <c r="AW54" i="5"/>
  <c r="BB55" i="5" s="1"/>
  <c r="AW71" i="5"/>
  <c r="AW73" i="5" s="1"/>
  <c r="AW34" i="4"/>
  <c r="AW21" i="4"/>
  <c r="AW48" i="4"/>
  <c r="AW345" i="4" s="1"/>
  <c r="AW140" i="5"/>
  <c r="AX201" i="4"/>
  <c r="AX20" i="5"/>
  <c r="AX262" i="5" s="1"/>
  <c r="AX21" i="5"/>
  <c r="AX209" i="4"/>
  <c r="AX42" i="5"/>
  <c r="AX46" i="5"/>
  <c r="BC47" i="5" s="1"/>
  <c r="AX54" i="5"/>
  <c r="BC55" i="5" s="1"/>
  <c r="AX67" i="5"/>
  <c r="AY67" i="5" s="1"/>
  <c r="CT67" i="5" s="1"/>
  <c r="AX71" i="5"/>
  <c r="AX220" i="4"/>
  <c r="AX21" i="4" s="1"/>
  <c r="AX35" i="4"/>
  <c r="AX36" i="4"/>
  <c r="AX77" i="4" s="1"/>
  <c r="AX48" i="4"/>
  <c r="AX345" i="4" s="1"/>
  <c r="AX53" i="4"/>
  <c r="AY53" i="4" s="1"/>
  <c r="CR53" i="4" s="1"/>
  <c r="AX140" i="5"/>
  <c r="AX54" i="4" s="1"/>
  <c r="AV86" i="4"/>
  <c r="AV87" i="4"/>
  <c r="AV274" i="4" s="1"/>
  <c r="AW88" i="4"/>
  <c r="AY88" i="4" s="1"/>
  <c r="CR88" i="4" s="1"/>
  <c r="AV89" i="4"/>
  <c r="AW90" i="4"/>
  <c r="AV91" i="4"/>
  <c r="AW92" i="4"/>
  <c r="AY92" i="4" s="1"/>
  <c r="AY281" i="4" s="1"/>
  <c r="AY93" i="4"/>
  <c r="CR93" i="4" s="1"/>
  <c r="AV94" i="4"/>
  <c r="AV97" i="4"/>
  <c r="AW97" i="4" s="1"/>
  <c r="AW98" i="4"/>
  <c r="AY98" i="4" s="1"/>
  <c r="AV99" i="4"/>
  <c r="AV100" i="4"/>
  <c r="AV101" i="4"/>
  <c r="AW101" i="4" s="1"/>
  <c r="AX101" i="4" s="1"/>
  <c r="AV102" i="4"/>
  <c r="AV103" i="4"/>
  <c r="AV104" i="4"/>
  <c r="AW109" i="4"/>
  <c r="AY109" i="4" s="1"/>
  <c r="CR109" i="4" s="1"/>
  <c r="AV110" i="4"/>
  <c r="AV266" i="4" s="1"/>
  <c r="AV111" i="4"/>
  <c r="AW111" i="4" s="1"/>
  <c r="AW112" i="4"/>
  <c r="AX112" i="4" s="1"/>
  <c r="AY112" i="4" s="1"/>
  <c r="CR112" i="4" s="1"/>
  <c r="AV113" i="4"/>
  <c r="AW118" i="4"/>
  <c r="AY118" i="4" s="1"/>
  <c r="CR118" i="4" s="1"/>
  <c r="AV119" i="4"/>
  <c r="AV120" i="4"/>
  <c r="AW120" i="4" s="1"/>
  <c r="AV121" i="4"/>
  <c r="AV122" i="4"/>
  <c r="AW122" i="4" s="1"/>
  <c r="AX122" i="4" s="1"/>
  <c r="AY122" i="4" s="1"/>
  <c r="CR122" i="4" s="1"/>
  <c r="AV123" i="4"/>
  <c r="AW123" i="4" s="1"/>
  <c r="AV124" i="4"/>
  <c r="AW124" i="4" s="1"/>
  <c r="AV129" i="4"/>
  <c r="AW129" i="4" s="1"/>
  <c r="AX129" i="4" s="1"/>
  <c r="AY129" i="4" s="1"/>
  <c r="CR129" i="4" s="1"/>
  <c r="AY130" i="4"/>
  <c r="CR130" i="4" s="1"/>
  <c r="AW128" i="4"/>
  <c r="AX128" i="4" s="1"/>
  <c r="AP201" i="4"/>
  <c r="AP20" i="5"/>
  <c r="AP21" i="5"/>
  <c r="AP30" i="5" s="1"/>
  <c r="AP37" i="5" s="1"/>
  <c r="AP209" i="4"/>
  <c r="AP69" i="5"/>
  <c r="AP75" i="5" s="1"/>
  <c r="AP230" i="4" s="1"/>
  <c r="AP71" i="5"/>
  <c r="AP34" i="4"/>
  <c r="AP21" i="4"/>
  <c r="AP48" i="4"/>
  <c r="AP345" i="4" s="1"/>
  <c r="AP53" i="4"/>
  <c r="AP54" i="4"/>
  <c r="AQ201" i="4"/>
  <c r="AQ20" i="5"/>
  <c r="AQ21" i="5"/>
  <c r="AQ56" i="5" s="1"/>
  <c r="AQ209" i="4"/>
  <c r="AQ69" i="5"/>
  <c r="AQ71" i="5"/>
  <c r="AQ73" i="5" s="1"/>
  <c r="AQ34" i="4"/>
  <c r="AQ21" i="4"/>
  <c r="AQ48" i="4"/>
  <c r="AQ345" i="4" s="1"/>
  <c r="AQ54" i="4"/>
  <c r="AR201" i="4"/>
  <c r="AR20" i="5"/>
  <c r="AR258" i="5" s="1"/>
  <c r="AR23" i="5"/>
  <c r="AR209" i="4"/>
  <c r="AR42" i="5"/>
  <c r="AR44" i="5" s="1"/>
  <c r="AR46" i="5"/>
  <c r="AR48" i="5" s="1"/>
  <c r="AR54" i="5"/>
  <c r="AR71" i="5"/>
  <c r="AR73" i="5" s="1"/>
  <c r="AR34" i="4"/>
  <c r="AR21" i="4"/>
  <c r="AR48" i="4"/>
  <c r="AR345" i="4" s="1"/>
  <c r="AR53" i="4"/>
  <c r="AR140" i="5"/>
  <c r="AR54" i="4" s="1"/>
  <c r="AS201" i="4"/>
  <c r="AS20" i="5"/>
  <c r="AS209" i="4"/>
  <c r="AS42" i="5"/>
  <c r="AS80" i="5" s="1"/>
  <c r="AS81" i="5" s="1"/>
  <c r="AS46" i="5"/>
  <c r="AS54" i="5"/>
  <c r="AS71" i="5"/>
  <c r="AS220" i="4"/>
  <c r="AS21" i="4" s="1"/>
  <c r="AS35" i="4"/>
  <c r="AS36" i="4"/>
  <c r="AS26" i="4"/>
  <c r="AT26" i="4" s="1"/>
  <c r="CQ26" i="4" s="1"/>
  <c r="AS42" i="4"/>
  <c r="AS293" i="4" s="1"/>
  <c r="AS343" i="4" s="1"/>
  <c r="AS48" i="4"/>
  <c r="AS345" i="4" s="1"/>
  <c r="AS140" i="5"/>
  <c r="AS54" i="4" s="1"/>
  <c r="AQ86" i="4"/>
  <c r="AQ267" i="4" s="1"/>
  <c r="AQ87" i="4"/>
  <c r="AQ88" i="4"/>
  <c r="AR88" i="4" s="1"/>
  <c r="AQ89" i="4"/>
  <c r="AR89" i="4" s="1"/>
  <c r="AQ90" i="4"/>
  <c r="AQ91" i="4"/>
  <c r="AQ92" i="4"/>
  <c r="AR92" i="4" s="1"/>
  <c r="AR93" i="4"/>
  <c r="AT93" i="4" s="1"/>
  <c r="CQ93" i="4" s="1"/>
  <c r="AQ94" i="4"/>
  <c r="AR94" i="4" s="1"/>
  <c r="AQ97" i="4"/>
  <c r="AR97" i="4" s="1"/>
  <c r="AQ98" i="4"/>
  <c r="AQ99" i="4"/>
  <c r="AQ100" i="4"/>
  <c r="AQ101" i="4"/>
  <c r="AR101" i="4" s="1"/>
  <c r="AQ102" i="4"/>
  <c r="AR102" i="4" s="1"/>
  <c r="AS102" i="4" s="1"/>
  <c r="AT102" i="4" s="1"/>
  <c r="CQ102" i="4" s="1"/>
  <c r="AQ103" i="4"/>
  <c r="AQ104" i="4"/>
  <c r="AR104" i="4" s="1"/>
  <c r="AQ109" i="4"/>
  <c r="AR109" i="4" s="1"/>
  <c r="AS109" i="4" s="1"/>
  <c r="AT109" i="4" s="1"/>
  <c r="CQ109" i="4" s="1"/>
  <c r="AQ110" i="4"/>
  <c r="AQ111" i="4"/>
  <c r="AR111" i="4" s="1"/>
  <c r="AQ112" i="4"/>
  <c r="AR112" i="4" s="1"/>
  <c r="AQ113" i="4"/>
  <c r="AR113" i="4" s="1"/>
  <c r="AQ118" i="4"/>
  <c r="AQ119" i="4"/>
  <c r="AQ120" i="4"/>
  <c r="AQ121" i="4"/>
  <c r="AQ122" i="4"/>
  <c r="AR122" i="4" s="1"/>
  <c r="AS122" i="4" s="1"/>
  <c r="AQ123" i="4"/>
  <c r="AR123" i="4" s="1"/>
  <c r="AS123" i="4" s="1"/>
  <c r="AT123" i="4" s="1"/>
  <c r="CQ123" i="4" s="1"/>
  <c r="AR124" i="4"/>
  <c r="AS124" i="4" s="1"/>
  <c r="AQ129" i="4"/>
  <c r="AR129" i="4" s="1"/>
  <c r="AS129" i="4" s="1"/>
  <c r="AT129" i="4" s="1"/>
  <c r="CQ129" i="4" s="1"/>
  <c r="AT130" i="4"/>
  <c r="CQ130" i="4" s="1"/>
  <c r="AQ128" i="4"/>
  <c r="AR128" i="4" s="1"/>
  <c r="AK201" i="4"/>
  <c r="AK20" i="5"/>
  <c r="AK21" i="5"/>
  <c r="AK16" i="5" s="1"/>
  <c r="AK209" i="4"/>
  <c r="AK69" i="5"/>
  <c r="AK71" i="5"/>
  <c r="AK73" i="5" s="1"/>
  <c r="AK34" i="4"/>
  <c r="AK21" i="4"/>
  <c r="AK48" i="4"/>
  <c r="AK345" i="4" s="1"/>
  <c r="AK54" i="4"/>
  <c r="AL201" i="4"/>
  <c r="AL20" i="5"/>
  <c r="AL21" i="5"/>
  <c r="AQ24" i="5" s="1"/>
  <c r="AL209" i="4"/>
  <c r="AL46" i="5"/>
  <c r="AL50" i="5"/>
  <c r="AL52" i="5" s="1"/>
  <c r="AL71" i="5"/>
  <c r="AL34" i="4"/>
  <c r="AL21" i="4"/>
  <c r="AL48" i="4"/>
  <c r="AL345" i="4" s="1"/>
  <c r="AL140" i="5"/>
  <c r="AL54" i="4" s="1"/>
  <c r="AM201" i="4"/>
  <c r="AM20" i="5"/>
  <c r="AM21" i="5"/>
  <c r="AM209" i="4"/>
  <c r="AM42" i="5"/>
  <c r="AM80" i="5" s="1"/>
  <c r="AM81" i="5" s="1"/>
  <c r="AM46" i="5"/>
  <c r="AM50" i="5"/>
  <c r="AM54" i="5"/>
  <c r="AM71" i="5"/>
  <c r="AM34" i="4"/>
  <c r="AM21" i="4"/>
  <c r="AM48" i="4"/>
  <c r="AM345" i="4" s="1"/>
  <c r="AM140" i="5"/>
  <c r="AN201" i="4"/>
  <c r="AN20" i="5"/>
  <c r="AN21" i="5"/>
  <c r="AN30" i="5" s="1"/>
  <c r="AN209" i="4"/>
  <c r="AN42" i="5"/>
  <c r="AN46" i="5"/>
  <c r="AN48" i="5" s="1"/>
  <c r="AN50" i="5"/>
  <c r="AN54" i="5"/>
  <c r="AN67" i="5"/>
  <c r="AN71" i="5"/>
  <c r="AN73" i="5" s="1"/>
  <c r="AN220" i="4"/>
  <c r="AN35" i="4"/>
  <c r="AN36" i="4"/>
  <c r="AN26" i="4"/>
  <c r="AO26" i="4" s="1"/>
  <c r="CP26" i="4" s="1"/>
  <c r="AN42" i="4"/>
  <c r="AN48" i="4"/>
  <c r="AN345" i="4" s="1"/>
  <c r="AN140" i="5"/>
  <c r="AN54" i="4" s="1"/>
  <c r="AL86" i="4"/>
  <c r="AL87" i="4"/>
  <c r="AM87" i="4" s="1"/>
  <c r="AL88" i="4"/>
  <c r="AM88" i="4" s="1"/>
  <c r="AL89" i="4"/>
  <c r="AL90" i="4"/>
  <c r="AL91" i="4"/>
  <c r="AL92" i="4"/>
  <c r="AM93" i="4"/>
  <c r="AL94" i="4"/>
  <c r="AL97" i="4"/>
  <c r="AM97" i="4" s="1"/>
  <c r="AN97" i="4" s="1"/>
  <c r="AO97" i="4" s="1"/>
  <c r="AL98" i="4"/>
  <c r="AL99" i="4"/>
  <c r="AM99" i="4" s="1"/>
  <c r="AL100" i="4"/>
  <c r="AM100" i="4" s="1"/>
  <c r="AL101" i="4"/>
  <c r="AL102" i="4"/>
  <c r="AL103" i="4"/>
  <c r="AM103" i="4" s="1"/>
  <c r="AL104" i="4"/>
  <c r="AM104" i="4" s="1"/>
  <c r="AN104" i="4" s="1"/>
  <c r="AO104" i="4" s="1"/>
  <c r="CP104" i="4" s="1"/>
  <c r="AL109" i="4"/>
  <c r="AL110" i="4"/>
  <c r="AL111" i="4"/>
  <c r="AM111" i="4" s="1"/>
  <c r="AN111" i="4" s="1"/>
  <c r="AL112" i="4"/>
  <c r="AL113" i="4"/>
  <c r="AM113" i="4" s="1"/>
  <c r="AN113" i="4" s="1"/>
  <c r="AO113" i="4" s="1"/>
  <c r="CP113" i="4" s="1"/>
  <c r="AL118" i="4"/>
  <c r="AL119" i="4"/>
  <c r="AL333" i="4" s="1"/>
  <c r="AL120" i="4"/>
  <c r="AL121" i="4"/>
  <c r="AL122" i="4"/>
  <c r="AL123" i="4"/>
  <c r="AM124" i="4"/>
  <c r="AO124" i="4" s="1"/>
  <c r="CP124" i="4" s="1"/>
  <c r="AL129" i="4"/>
  <c r="AM129" i="4" s="1"/>
  <c r="AN129" i="4" s="1"/>
  <c r="AO129" i="4" s="1"/>
  <c r="CP129" i="4" s="1"/>
  <c r="AK130" i="4"/>
  <c r="AL130" i="4"/>
  <c r="AM130" i="4"/>
  <c r="AL128" i="4"/>
  <c r="AF210" i="4"/>
  <c r="AF14" i="4" s="1"/>
  <c r="AF23" i="4"/>
  <c r="AF220" i="4"/>
  <c r="AF34" i="4"/>
  <c r="AF48" i="4"/>
  <c r="AF345" i="4" s="1"/>
  <c r="AG210" i="4"/>
  <c r="AG14" i="4" s="1"/>
  <c r="AG23" i="4"/>
  <c r="AG21" i="4"/>
  <c r="AG34" i="4"/>
  <c r="AG48" i="4"/>
  <c r="AG345" i="4" s="1"/>
  <c r="AI201" i="4"/>
  <c r="AI20" i="5"/>
  <c r="AI21" i="5"/>
  <c r="AI209" i="4"/>
  <c r="AI42" i="5"/>
  <c r="AI69" i="5" s="1"/>
  <c r="AI107" i="5"/>
  <c r="AI89" i="5"/>
  <c r="AI90" i="5" s="1"/>
  <c r="AI54" i="5"/>
  <c r="AI136" i="5"/>
  <c r="AJ136" i="5" s="1"/>
  <c r="AI214" i="4"/>
  <c r="AJ214" i="4" s="1"/>
  <c r="AI217" i="4"/>
  <c r="AJ217" i="4" s="1"/>
  <c r="AI35" i="4"/>
  <c r="AI36" i="4"/>
  <c r="AI77" i="4" s="1"/>
  <c r="AJ77" i="4" s="1"/>
  <c r="CO77" i="4" s="1"/>
  <c r="AI26" i="4"/>
  <c r="AJ26" i="4" s="1"/>
  <c r="AI48" i="4"/>
  <c r="AI345" i="4" s="1"/>
  <c r="AI53" i="4"/>
  <c r="AI140" i="5"/>
  <c r="AG86" i="4"/>
  <c r="AG267" i="4" s="1"/>
  <c r="AG87" i="4"/>
  <c r="AG88" i="4"/>
  <c r="AG89" i="4"/>
  <c r="AH89" i="4" s="1"/>
  <c r="AI89" i="4" s="1"/>
  <c r="AJ89" i="4" s="1"/>
  <c r="CO89" i="4" s="1"/>
  <c r="AG90" i="4"/>
  <c r="AG91" i="4"/>
  <c r="AG227" i="4" s="1"/>
  <c r="AJ92" i="4"/>
  <c r="CO92" i="4" s="1"/>
  <c r="AI93" i="4"/>
  <c r="AJ93" i="4" s="1"/>
  <c r="CO93" i="4" s="1"/>
  <c r="AG94" i="4"/>
  <c r="AH94" i="4" s="1"/>
  <c r="AG97" i="4"/>
  <c r="AH97" i="4" s="1"/>
  <c r="AG98" i="4"/>
  <c r="AG99" i="4"/>
  <c r="AH99" i="4" s="1"/>
  <c r="AG100" i="4"/>
  <c r="AH100" i="4" s="1"/>
  <c r="AG101" i="4"/>
  <c r="AG102" i="4"/>
  <c r="AH102" i="4" s="1"/>
  <c r="AG103" i="4"/>
  <c r="AH103" i="4" s="1"/>
  <c r="AG104" i="4"/>
  <c r="AG109" i="4"/>
  <c r="AH109" i="4" s="1"/>
  <c r="AG110" i="4"/>
  <c r="AG111" i="4"/>
  <c r="AG112" i="4"/>
  <c r="AG113" i="4"/>
  <c r="AH113" i="4" s="1"/>
  <c r="AI113" i="4" s="1"/>
  <c r="AJ113" i="4" s="1"/>
  <c r="CO113" i="4" s="1"/>
  <c r="AJ118" i="4"/>
  <c r="CO118" i="4" s="1"/>
  <c r="AG119" i="4"/>
  <c r="AG120" i="4"/>
  <c r="AG121" i="4"/>
  <c r="AH121" i="4" s="1"/>
  <c r="AG122" i="4"/>
  <c r="AH122" i="4" s="1"/>
  <c r="AG123" i="4"/>
  <c r="AJ124" i="4"/>
  <c r="CO124" i="4" s="1"/>
  <c r="AG129" i="4"/>
  <c r="AJ130" i="4"/>
  <c r="AJ128" i="4"/>
  <c r="CO128" i="4" s="1"/>
  <c r="AB84" i="4"/>
  <c r="AB86" i="4"/>
  <c r="AB87" i="4"/>
  <c r="AB88" i="4"/>
  <c r="AC88" i="4" s="1"/>
  <c r="AB89" i="4"/>
  <c r="AC89" i="4" s="1"/>
  <c r="AD89" i="4" s="1"/>
  <c r="AE89" i="4" s="1"/>
  <c r="CN89" i="4" s="1"/>
  <c r="AB90" i="4"/>
  <c r="AC90" i="4" s="1"/>
  <c r="AD90" i="4" s="1"/>
  <c r="AE90" i="4" s="1"/>
  <c r="CN90" i="4" s="1"/>
  <c r="AB91" i="4"/>
  <c r="AE92" i="4"/>
  <c r="AD93" i="4"/>
  <c r="AE93" i="4" s="1"/>
  <c r="CN93" i="4" s="1"/>
  <c r="AB94" i="4"/>
  <c r="AC94" i="4" s="1"/>
  <c r="AD94" i="4" s="1"/>
  <c r="AB97" i="4"/>
  <c r="AC97" i="4" s="1"/>
  <c r="AD97" i="4" s="1"/>
  <c r="AB98" i="4"/>
  <c r="AB99" i="4"/>
  <c r="AC99" i="4" s="1"/>
  <c r="AD99" i="4" s="1"/>
  <c r="AE99" i="4" s="1"/>
  <c r="CN99" i="4" s="1"/>
  <c r="AB100" i="4"/>
  <c r="AB101" i="4"/>
  <c r="AB102" i="4"/>
  <c r="AC102" i="4" s="1"/>
  <c r="AB103" i="4"/>
  <c r="AC103" i="4" s="1"/>
  <c r="AD103" i="4" s="1"/>
  <c r="AE103" i="4" s="1"/>
  <c r="CN103" i="4" s="1"/>
  <c r="AB104" i="4"/>
  <c r="AC104" i="4" s="1"/>
  <c r="AD104" i="4" s="1"/>
  <c r="AB109" i="4"/>
  <c r="AC109" i="4" s="1"/>
  <c r="AD109" i="4" s="1"/>
  <c r="AB110" i="4"/>
  <c r="AC110" i="4" s="1"/>
  <c r="AB111" i="4"/>
  <c r="AB112" i="4"/>
  <c r="AC112" i="4" s="1"/>
  <c r="AD112" i="4" s="1"/>
  <c r="AB113" i="4"/>
  <c r="AC113" i="4" s="1"/>
  <c r="AD113" i="4" s="1"/>
  <c r="AE118" i="4"/>
  <c r="CN118" i="4" s="1"/>
  <c r="AB119" i="4"/>
  <c r="AB302" i="4" s="1"/>
  <c r="AB303" i="4" s="1"/>
  <c r="AB120" i="4"/>
  <c r="AC120" i="4" s="1"/>
  <c r="AB121" i="4"/>
  <c r="AC121" i="4" s="1"/>
  <c r="AB122" i="4"/>
  <c r="AC122" i="4" s="1"/>
  <c r="AD122" i="4" s="1"/>
  <c r="AB123" i="4"/>
  <c r="AC123" i="4" s="1"/>
  <c r="AE124" i="4"/>
  <c r="AB129" i="4"/>
  <c r="AC129" i="4" s="1"/>
  <c r="AA130" i="4"/>
  <c r="AB130" i="4" s="1"/>
  <c r="AC130" i="4"/>
  <c r="AE128" i="4"/>
  <c r="CN128" i="4" s="1"/>
  <c r="W84" i="4"/>
  <c r="W86" i="4"/>
  <c r="X86" i="4" s="1"/>
  <c r="W87" i="4"/>
  <c r="W274" i="4" s="1"/>
  <c r="W88" i="4"/>
  <c r="X88" i="4" s="1"/>
  <c r="Y88" i="4" s="1"/>
  <c r="Z88" i="4" s="1"/>
  <c r="CM88" i="4" s="1"/>
  <c r="W89" i="4"/>
  <c r="X89" i="4" s="1"/>
  <c r="Y89" i="4" s="1"/>
  <c r="Z89" i="4" s="1"/>
  <c r="CM89" i="4" s="1"/>
  <c r="W90" i="4"/>
  <c r="X90" i="4" s="1"/>
  <c r="Y90" i="4" s="1"/>
  <c r="W91" i="4"/>
  <c r="X91" i="4" s="1"/>
  <c r="W93" i="4"/>
  <c r="X93" i="4" s="1"/>
  <c r="Y93" i="4" s="1"/>
  <c r="Z93" i="4" s="1"/>
  <c r="CM93" i="4" s="1"/>
  <c r="W94" i="4"/>
  <c r="X94" i="4" s="1"/>
  <c r="Y94" i="4" s="1"/>
  <c r="W97" i="4"/>
  <c r="X97" i="4" s="1"/>
  <c r="W98" i="4"/>
  <c r="X98" i="4" s="1"/>
  <c r="Y98" i="4" s="1"/>
  <c r="W99" i="4"/>
  <c r="X99" i="4" s="1"/>
  <c r="Y99" i="4" s="1"/>
  <c r="Z99" i="4" s="1"/>
  <c r="W100" i="4"/>
  <c r="X100" i="4" s="1"/>
  <c r="W101" i="4"/>
  <c r="X101" i="4" s="1"/>
  <c r="Y101" i="4" s="1"/>
  <c r="Z101" i="4" s="1"/>
  <c r="CM101" i="4" s="1"/>
  <c r="W102" i="4"/>
  <c r="X102" i="4" s="1"/>
  <c r="W103" i="4"/>
  <c r="X103" i="4" s="1"/>
  <c r="Y103" i="4" s="1"/>
  <c r="Z103" i="4" s="1"/>
  <c r="CM103" i="4" s="1"/>
  <c r="W104" i="4"/>
  <c r="X104" i="4" s="1"/>
  <c r="Y104" i="4" s="1"/>
  <c r="Z104" i="4" s="1"/>
  <c r="CM104" i="4" s="1"/>
  <c r="W109" i="4"/>
  <c r="X109" i="4" s="1"/>
  <c r="V110" i="4"/>
  <c r="W110" i="4" s="1"/>
  <c r="W111" i="4"/>
  <c r="X111" i="4" s="1"/>
  <c r="W112" i="4"/>
  <c r="W113" i="4"/>
  <c r="W118" i="4"/>
  <c r="W119" i="4"/>
  <c r="W120" i="4"/>
  <c r="X120" i="4" s="1"/>
  <c r="W121" i="4"/>
  <c r="X121" i="4" s="1"/>
  <c r="Y121" i="4" s="1"/>
  <c r="W122" i="4"/>
  <c r="X122" i="4" s="1"/>
  <c r="W123" i="4"/>
  <c r="X123" i="4" s="1"/>
  <c r="Y123" i="4" s="1"/>
  <c r="Z123" i="4" s="1"/>
  <c r="CM123" i="4" s="1"/>
  <c r="Z124" i="4"/>
  <c r="W129" i="4"/>
  <c r="X129" i="4" s="1"/>
  <c r="Z130" i="4"/>
  <c r="CM130" i="4" s="1"/>
  <c r="Z128" i="4"/>
  <c r="CM128" i="4" s="1"/>
  <c r="R84" i="4"/>
  <c r="S84" i="4" s="1"/>
  <c r="R86" i="4"/>
  <c r="S86" i="4" s="1"/>
  <c r="T86" i="4" s="1"/>
  <c r="R87" i="4"/>
  <c r="R88" i="4"/>
  <c r="S88" i="4" s="1"/>
  <c r="R89" i="4"/>
  <c r="S89" i="4" s="1"/>
  <c r="R90" i="4"/>
  <c r="S90" i="4" s="1"/>
  <c r="T90" i="4" s="1"/>
  <c r="R91" i="4"/>
  <c r="U93" i="4"/>
  <c r="CL93" i="4" s="1"/>
  <c r="Q94" i="4"/>
  <c r="R97" i="4"/>
  <c r="R98" i="4"/>
  <c r="R99" i="4"/>
  <c r="R100" i="4"/>
  <c r="R101" i="4"/>
  <c r="S101" i="4" s="1"/>
  <c r="T101" i="4" s="1"/>
  <c r="R102" i="4"/>
  <c r="S102" i="4" s="1"/>
  <c r="T102" i="4" s="1"/>
  <c r="R103" i="4"/>
  <c r="S103" i="4" s="1"/>
  <c r="T103" i="4" s="1"/>
  <c r="R104" i="4"/>
  <c r="R109" i="4"/>
  <c r="S109" i="4" s="1"/>
  <c r="Q110" i="4"/>
  <c r="R111" i="4"/>
  <c r="S111" i="4" s="1"/>
  <c r="T111" i="4" s="1"/>
  <c r="U111" i="4" s="1"/>
  <c r="CL111" i="4" s="1"/>
  <c r="R112" i="4"/>
  <c r="R113" i="4"/>
  <c r="R118" i="4"/>
  <c r="R119" i="4"/>
  <c r="R302" i="4" s="1"/>
  <c r="R303" i="4" s="1"/>
  <c r="R120" i="4"/>
  <c r="S120" i="4" s="1"/>
  <c r="R121" i="4"/>
  <c r="R122" i="4"/>
  <c r="S122" i="4" s="1"/>
  <c r="T122" i="4" s="1"/>
  <c r="U122" i="4" s="1"/>
  <c r="CL122" i="4" s="1"/>
  <c r="R123" i="4"/>
  <c r="U124" i="4"/>
  <c r="CL124" i="4" s="1"/>
  <c r="R129" i="4"/>
  <c r="S129" i="4" s="1"/>
  <c r="U130" i="4"/>
  <c r="U128" i="4"/>
  <c r="CL128" i="4" s="1"/>
  <c r="M84" i="4"/>
  <c r="N84" i="4" s="1"/>
  <c r="O84" i="4" s="1"/>
  <c r="M86" i="4"/>
  <c r="M87" i="4"/>
  <c r="M88" i="4"/>
  <c r="N88" i="4" s="1"/>
  <c r="O88" i="4" s="1"/>
  <c r="P88" i="4" s="1"/>
  <c r="CK88" i="4" s="1"/>
  <c r="M89" i="4"/>
  <c r="N89" i="4" s="1"/>
  <c r="O89" i="4" s="1"/>
  <c r="M90" i="4"/>
  <c r="N90" i="4" s="1"/>
  <c r="O90" i="4" s="1"/>
  <c r="M91" i="4"/>
  <c r="M227" i="4" s="1"/>
  <c r="L93" i="4"/>
  <c r="L94" i="4"/>
  <c r="M94" i="4" s="1"/>
  <c r="M97" i="4"/>
  <c r="N97" i="4" s="1"/>
  <c r="O97" i="4" s="1"/>
  <c r="P97" i="4" s="1"/>
  <c r="CK97" i="4" s="1"/>
  <c r="M98" i="4"/>
  <c r="M99" i="4"/>
  <c r="N99" i="4" s="1"/>
  <c r="M100" i="4"/>
  <c r="M101" i="4"/>
  <c r="N101" i="4" s="1"/>
  <c r="O101" i="4" s="1"/>
  <c r="P101" i="4" s="1"/>
  <c r="CK101" i="4" s="1"/>
  <c r="M102" i="4"/>
  <c r="N102" i="4" s="1"/>
  <c r="M103" i="4"/>
  <c r="N103" i="4" s="1"/>
  <c r="M104" i="4"/>
  <c r="N104" i="4" s="1"/>
  <c r="M109" i="4"/>
  <c r="L110" i="4"/>
  <c r="M111" i="4"/>
  <c r="N111" i="4" s="1"/>
  <c r="O111" i="4" s="1"/>
  <c r="P111" i="4" s="1"/>
  <c r="CK111" i="4" s="1"/>
  <c r="M112" i="4"/>
  <c r="N112" i="4" s="1"/>
  <c r="O112" i="4" s="1"/>
  <c r="P112" i="4" s="1"/>
  <c r="CK112" i="4" s="1"/>
  <c r="M113" i="4"/>
  <c r="N113" i="4" s="1"/>
  <c r="M118" i="4"/>
  <c r="M119" i="4"/>
  <c r="M302" i="4" s="1"/>
  <c r="M303" i="4" s="1"/>
  <c r="M120" i="4"/>
  <c r="M121" i="4"/>
  <c r="N121" i="4" s="1"/>
  <c r="M122" i="4"/>
  <c r="N122" i="4" s="1"/>
  <c r="O122" i="4" s="1"/>
  <c r="P122" i="4" s="1"/>
  <c r="CK122" i="4" s="1"/>
  <c r="M123" i="4"/>
  <c r="N123" i="4" s="1"/>
  <c r="O123" i="4" s="1"/>
  <c r="P123" i="4" s="1"/>
  <c r="CK123" i="4" s="1"/>
  <c r="P124" i="4"/>
  <c r="CK124" i="4" s="1"/>
  <c r="M129" i="4"/>
  <c r="N129" i="4" s="1"/>
  <c r="O129" i="4" s="1"/>
  <c r="P130" i="4"/>
  <c r="CK130" i="4" s="1"/>
  <c r="P128" i="4"/>
  <c r="CK128" i="4" s="1"/>
  <c r="H84" i="4"/>
  <c r="I84" i="4" s="1"/>
  <c r="J84" i="4" s="1"/>
  <c r="H86" i="4"/>
  <c r="H87" i="4"/>
  <c r="H88" i="4"/>
  <c r="H89" i="4"/>
  <c r="I89" i="4" s="1"/>
  <c r="H90" i="4"/>
  <c r="I90" i="4" s="1"/>
  <c r="J90" i="4" s="1"/>
  <c r="K90" i="4" s="1"/>
  <c r="CJ90" i="4" s="1"/>
  <c r="H91" i="4"/>
  <c r="H93" i="4"/>
  <c r="I93" i="4" s="1"/>
  <c r="J93" i="4" s="1"/>
  <c r="H94" i="4"/>
  <c r="H97" i="4"/>
  <c r="I97" i="4" s="1"/>
  <c r="H98" i="4"/>
  <c r="H99" i="4"/>
  <c r="I99" i="4" s="1"/>
  <c r="H100" i="4"/>
  <c r="I100" i="4" s="1"/>
  <c r="H101" i="4"/>
  <c r="I101" i="4" s="1"/>
  <c r="H102" i="4"/>
  <c r="I102" i="4" s="1"/>
  <c r="H103" i="4"/>
  <c r="I103" i="4" s="1"/>
  <c r="H104" i="4"/>
  <c r="I104" i="4" s="1"/>
  <c r="H109" i="4"/>
  <c r="G110" i="4"/>
  <c r="H111" i="4"/>
  <c r="H112" i="4"/>
  <c r="H113" i="4"/>
  <c r="I113" i="4" s="1"/>
  <c r="J113" i="4" s="1"/>
  <c r="K113" i="4" s="1"/>
  <c r="CJ113" i="4" s="1"/>
  <c r="H118" i="4"/>
  <c r="I118" i="4" s="1"/>
  <c r="H119" i="4"/>
  <c r="H120" i="4"/>
  <c r="H121" i="4"/>
  <c r="I121" i="4" s="1"/>
  <c r="J121" i="4" s="1"/>
  <c r="H122" i="4"/>
  <c r="H123" i="4"/>
  <c r="K124" i="4"/>
  <c r="CJ124" i="4" s="1"/>
  <c r="H129" i="4"/>
  <c r="K130" i="4"/>
  <c r="K128" i="4"/>
  <c r="CJ128" i="4" s="1"/>
  <c r="F106" i="4"/>
  <c r="F110" i="4"/>
  <c r="F126" i="4"/>
  <c r="E103" i="4"/>
  <c r="CH103" i="4" s="1"/>
  <c r="E110" i="4"/>
  <c r="E126" i="4"/>
  <c r="D93" i="4"/>
  <c r="D94" i="4"/>
  <c r="CG94" i="4" s="1"/>
  <c r="D104" i="4"/>
  <c r="CG104" i="4" s="1"/>
  <c r="D110" i="4"/>
  <c r="D126" i="4"/>
  <c r="C93" i="4"/>
  <c r="C94" i="4"/>
  <c r="C103" i="4"/>
  <c r="C110" i="4"/>
  <c r="C126" i="4"/>
  <c r="B93" i="4"/>
  <c r="B94" i="4"/>
  <c r="B103" i="4"/>
  <c r="CE103" i="4" s="1"/>
  <c r="B104" i="4"/>
  <c r="B110" i="4"/>
  <c r="B118" i="4"/>
  <c r="B126" i="4" s="1"/>
  <c r="BD184" i="4"/>
  <c r="CS184" i="4" s="1"/>
  <c r="BE302" i="4"/>
  <c r="BI88" i="4"/>
  <c r="CT88" i="4" s="1"/>
  <c r="BI92" i="4"/>
  <c r="BI109" i="4"/>
  <c r="CT109" i="4" s="1"/>
  <c r="BI130" i="4"/>
  <c r="CT130" i="4" s="1"/>
  <c r="BI128" i="4"/>
  <c r="BI143" i="4"/>
  <c r="CT143" i="4" s="1"/>
  <c r="BG148" i="5"/>
  <c r="BG145" i="5"/>
  <c r="BE312" i="4"/>
  <c r="BF312" i="4"/>
  <c r="BG311" i="4" s="1"/>
  <c r="BG313" i="4" s="1"/>
  <c r="AX237" i="5"/>
  <c r="BC237" i="5" s="1"/>
  <c r="AT399" i="5"/>
  <c r="AT413" i="5" s="1"/>
  <c r="AU413" i="5"/>
  <c r="AV413" i="5"/>
  <c r="AV426" i="5"/>
  <c r="AW413" i="5"/>
  <c r="AX406" i="5" s="1"/>
  <c r="AX413" i="5"/>
  <c r="AY324" i="5"/>
  <c r="AZ427" i="5"/>
  <c r="AZ307" i="5" s="1"/>
  <c r="BA427" i="5"/>
  <c r="BB427" i="5"/>
  <c r="BB307" i="5" s="1"/>
  <c r="BB413" i="5"/>
  <c r="BA413" i="5"/>
  <c r="BD309" i="5"/>
  <c r="CU309" i="5" s="1"/>
  <c r="BD435" i="5"/>
  <c r="BD310" i="5" s="1"/>
  <c r="CU310" i="5" s="1"/>
  <c r="BC320" i="5"/>
  <c r="BH321" i="5" s="1"/>
  <c r="BC310" i="5"/>
  <c r="BG183" i="4"/>
  <c r="BG185" i="4" s="1"/>
  <c r="BG95" i="5"/>
  <c r="BG96" i="5" s="1"/>
  <c r="BG141" i="5"/>
  <c r="BG169" i="4"/>
  <c r="BG175" i="4" s="1"/>
  <c r="BG448" i="5"/>
  <c r="BA447" i="5"/>
  <c r="BB367" i="5"/>
  <c r="BG391" i="5"/>
  <c r="BG390" i="5"/>
  <c r="BG336" i="5"/>
  <c r="BG332" i="5"/>
  <c r="BG321" i="5"/>
  <c r="BG262" i="5"/>
  <c r="BG261" i="5"/>
  <c r="BG258" i="5"/>
  <c r="BG257" i="5"/>
  <c r="BC254" i="5"/>
  <c r="BG198" i="5"/>
  <c r="BG194" i="5"/>
  <c r="BG193" i="5"/>
  <c r="BG395" i="5"/>
  <c r="BD68" i="4"/>
  <c r="CS68" i="4" s="1"/>
  <c r="AV23" i="5"/>
  <c r="AV362" i="5" s="1"/>
  <c r="AU77" i="4"/>
  <c r="AU246" i="4"/>
  <c r="AU247" i="4"/>
  <c r="AV247" i="4" s="1"/>
  <c r="AV77" i="4"/>
  <c r="AW77" i="4"/>
  <c r="BC316" i="5"/>
  <c r="B96" i="8"/>
  <c r="A96" i="8"/>
  <c r="B99" i="8"/>
  <c r="A99" i="8"/>
  <c r="A101" i="8"/>
  <c r="B94" i="8"/>
  <c r="A94" i="8"/>
  <c r="B91" i="8"/>
  <c r="B79" i="8"/>
  <c r="M78" i="8"/>
  <c r="A76" i="8"/>
  <c r="B75" i="8"/>
  <c r="A75" i="8"/>
  <c r="A71" i="8"/>
  <c r="B73" i="8"/>
  <c r="A73" i="8"/>
  <c r="A69" i="8"/>
  <c r="B65" i="8"/>
  <c r="A65" i="8"/>
  <c r="M64" i="8"/>
  <c r="A60" i="8"/>
  <c r="B58" i="8"/>
  <c r="A58" i="8"/>
  <c r="B57" i="8"/>
  <c r="A57" i="8"/>
  <c r="B56" i="8"/>
  <c r="A56" i="8"/>
  <c r="B55" i="8"/>
  <c r="A55" i="8"/>
  <c r="B54" i="8"/>
  <c r="A54" i="8"/>
  <c r="B53" i="8"/>
  <c r="A53" i="8"/>
  <c r="B52" i="8"/>
  <c r="A52" i="8"/>
  <c r="B50" i="8"/>
  <c r="A50" i="8"/>
  <c r="B49" i="8"/>
  <c r="A49" i="8"/>
  <c r="M48" i="8"/>
  <c r="A48" i="8"/>
  <c r="B47" i="8"/>
  <c r="A47" i="8"/>
  <c r="B45" i="8"/>
  <c r="A45" i="8"/>
  <c r="B44" i="8"/>
  <c r="A44" i="8"/>
  <c r="B42" i="8"/>
  <c r="A42" i="8"/>
  <c r="B41" i="8"/>
  <c r="A41" i="8"/>
  <c r="B40" i="8"/>
  <c r="A40" i="8"/>
  <c r="B37" i="8"/>
  <c r="A37" i="8"/>
  <c r="B36" i="8"/>
  <c r="A36" i="8"/>
  <c r="B35" i="8"/>
  <c r="A35" i="8"/>
  <c r="B34" i="8"/>
  <c r="A34" i="8"/>
  <c r="B32" i="8"/>
  <c r="A32" i="8"/>
  <c r="B30" i="8"/>
  <c r="A30" i="8"/>
  <c r="B29" i="8"/>
  <c r="A29" i="8"/>
  <c r="B27" i="8"/>
  <c r="A27" i="8"/>
  <c r="B26" i="8"/>
  <c r="A26" i="8"/>
  <c r="B25" i="8"/>
  <c r="A25" i="8"/>
  <c r="B24" i="8"/>
  <c r="A24" i="8"/>
  <c r="B22" i="8"/>
  <c r="A22" i="8"/>
  <c r="B21" i="8"/>
  <c r="A21" i="8"/>
  <c r="B20" i="8"/>
  <c r="A20" i="8"/>
  <c r="B18" i="8"/>
  <c r="A18" i="8"/>
  <c r="B15" i="8"/>
  <c r="A15" i="8"/>
  <c r="B13" i="8"/>
  <c r="A13" i="8"/>
  <c r="B12" i="8"/>
  <c r="A12" i="8"/>
  <c r="B10" i="8"/>
  <c r="A10" i="8"/>
  <c r="B8" i="8"/>
  <c r="A8" i="8"/>
  <c r="B7" i="8"/>
  <c r="A7" i="8"/>
  <c r="B5" i="8"/>
  <c r="A5" i="8"/>
  <c r="A4" i="8"/>
  <c r="BF448" i="5"/>
  <c r="BE448" i="5"/>
  <c r="BD448" i="5"/>
  <c r="BC448" i="5"/>
  <c r="BF447" i="5"/>
  <c r="BE447" i="5"/>
  <c r="AZ447" i="5"/>
  <c r="AX447" i="5"/>
  <c r="CF446" i="5"/>
  <c r="CF443" i="5"/>
  <c r="CF442" i="5"/>
  <c r="CF441" i="5"/>
  <c r="CF440" i="5"/>
  <c r="CF439" i="5"/>
  <c r="CF437" i="5"/>
  <c r="CF436" i="5"/>
  <c r="CF435" i="5"/>
  <c r="BI435" i="5"/>
  <c r="BI310" i="5" s="1"/>
  <c r="CV310" i="5" s="1"/>
  <c r="CF434" i="5"/>
  <c r="CF433" i="5"/>
  <c r="CF431" i="5"/>
  <c r="CF430" i="5"/>
  <c r="CF429" i="5"/>
  <c r="CF427" i="5"/>
  <c r="CF426" i="5"/>
  <c r="AQ426" i="5"/>
  <c r="AR426" i="5" s="1"/>
  <c r="AS426" i="5" s="1"/>
  <c r="CF421" i="5"/>
  <c r="CF419" i="5"/>
  <c r="CF418" i="5"/>
  <c r="CF417" i="5"/>
  <c r="CF416" i="5"/>
  <c r="CQ415" i="5"/>
  <c r="CF415" i="5"/>
  <c r="CR414" i="5"/>
  <c r="CQ414" i="5"/>
  <c r="CF414" i="5"/>
  <c r="CQ413" i="5"/>
  <c r="CF413" i="5"/>
  <c r="AZ413" i="5"/>
  <c r="BA406" i="5" s="1"/>
  <c r="AS413" i="5"/>
  <c r="AR413" i="5"/>
  <c r="AQ413" i="5"/>
  <c r="AP413" i="5"/>
  <c r="AN413" i="5"/>
  <c r="AM413" i="5"/>
  <c r="AN406" i="5" s="1"/>
  <c r="AM412" i="5"/>
  <c r="CQ406" i="5"/>
  <c r="CF406" i="5"/>
  <c r="CP403" i="5"/>
  <c r="CF403" i="5"/>
  <c r="AY403" i="5"/>
  <c r="AZ403" i="5" s="1"/>
  <c r="BA403" i="5" s="1"/>
  <c r="BB403" i="5" s="1"/>
  <c r="BC403" i="5" s="1"/>
  <c r="BD403" i="5" s="1"/>
  <c r="BE403" i="5" s="1"/>
  <c r="AT403" i="5"/>
  <c r="CS403" i="5" s="1"/>
  <c r="AO403" i="5"/>
  <c r="CR403" i="5" s="1"/>
  <c r="AJ403" i="5"/>
  <c r="CQ403" i="5" s="1"/>
  <c r="AA403" i="5"/>
  <c r="Y403" i="5"/>
  <c r="W403" i="5"/>
  <c r="V403" i="5"/>
  <c r="U403" i="5"/>
  <c r="CN403" i="5" s="1"/>
  <c r="T403" i="5"/>
  <c r="CP402" i="5"/>
  <c r="CN402" i="5"/>
  <c r="CM402" i="5"/>
  <c r="CF402" i="5"/>
  <c r="AY402" i="5"/>
  <c r="AZ402" i="5" s="1"/>
  <c r="BA402" i="5" s="1"/>
  <c r="BB402" i="5" s="1"/>
  <c r="BC402" i="5" s="1"/>
  <c r="BD402" i="5" s="1"/>
  <c r="AT402" i="5"/>
  <c r="CS402" i="5" s="1"/>
  <c r="AO402" i="5"/>
  <c r="CR402" i="5" s="1"/>
  <c r="AJ402" i="5"/>
  <c r="CQ402" i="5" s="1"/>
  <c r="Z402" i="5"/>
  <c r="Z403" i="5" s="1"/>
  <c r="CO403" i="5" s="1"/>
  <c r="X402" i="5"/>
  <c r="X403" i="5" s="1"/>
  <c r="O402" i="5"/>
  <c r="S403" i="5" s="1"/>
  <c r="N402" i="5"/>
  <c r="R403" i="5" s="1"/>
  <c r="M402" i="5"/>
  <c r="Q403" i="5" s="1"/>
  <c r="L402" i="5"/>
  <c r="P403" i="5" s="1"/>
  <c r="CM403" i="5" s="1"/>
  <c r="CF401" i="5"/>
  <c r="CF400" i="5"/>
  <c r="BG400" i="5"/>
  <c r="BF400" i="5"/>
  <c r="BE400" i="5"/>
  <c r="BC400" i="5"/>
  <c r="BD400" i="5" s="1"/>
  <c r="CU400" i="5" s="1"/>
  <c r="BB400" i="5"/>
  <c r="BA400" i="5"/>
  <c r="AZ400" i="5"/>
  <c r="AX400" i="5"/>
  <c r="AW400" i="5"/>
  <c r="AV400" i="5"/>
  <c r="AU400" i="5"/>
  <c r="AS400" i="5"/>
  <c r="AT400" i="5" s="1"/>
  <c r="CS400" i="5" s="1"/>
  <c r="AO400" i="5"/>
  <c r="CR400" i="5" s="1"/>
  <c r="AJ400" i="5"/>
  <c r="CF399" i="5"/>
  <c r="AO399" i="5"/>
  <c r="AJ399" i="5"/>
  <c r="CQ399" i="5" s="1"/>
  <c r="CF398" i="5"/>
  <c r="CF397" i="5"/>
  <c r="CF396" i="5"/>
  <c r="DA395" i="5"/>
  <c r="CZ395" i="5"/>
  <c r="CY395" i="5"/>
  <c r="CX395" i="5"/>
  <c r="CW395" i="5"/>
  <c r="CV395" i="5"/>
  <c r="CF395" i="5"/>
  <c r="BE395" i="5"/>
  <c r="BA395" i="5"/>
  <c r="AZ395" i="5"/>
  <c r="DA394" i="5"/>
  <c r="CZ394" i="5"/>
  <c r="CY394" i="5"/>
  <c r="CX394" i="5"/>
  <c r="CW394" i="5"/>
  <c r="CV394" i="5"/>
  <c r="CF394" i="5"/>
  <c r="BE394" i="5"/>
  <c r="BA394" i="5"/>
  <c r="AZ394" i="5"/>
  <c r="AW394" i="5"/>
  <c r="AO394" i="5"/>
  <c r="CR394" i="5" s="1"/>
  <c r="AJ394" i="5"/>
  <c r="CQ394" i="5" s="1"/>
  <c r="AI394" i="5"/>
  <c r="DA393" i="5"/>
  <c r="CZ393" i="5"/>
  <c r="CY393" i="5"/>
  <c r="CX393" i="5"/>
  <c r="CW393" i="5"/>
  <c r="CV393" i="5"/>
  <c r="CR393" i="5"/>
  <c r="CQ393" i="5"/>
  <c r="CP393" i="5"/>
  <c r="CF393" i="5"/>
  <c r="AY393" i="5"/>
  <c r="CT393" i="5" s="1"/>
  <c r="AS393" i="5"/>
  <c r="AQ393" i="5"/>
  <c r="AP393" i="5"/>
  <c r="AN393" i="5"/>
  <c r="AS394" i="5" s="1"/>
  <c r="AM393" i="5"/>
  <c r="AL393" i="5"/>
  <c r="AK393" i="5"/>
  <c r="AR392" i="5"/>
  <c r="DA391" i="5"/>
  <c r="CZ391" i="5"/>
  <c r="CY391" i="5"/>
  <c r="CX391" i="5"/>
  <c r="CW391" i="5"/>
  <c r="CV391" i="5"/>
  <c r="CF391" i="5"/>
  <c r="BF391" i="5"/>
  <c r="BE391" i="5"/>
  <c r="BB391" i="5"/>
  <c r="BA391" i="5"/>
  <c r="AZ391" i="5"/>
  <c r="DA390" i="5"/>
  <c r="CZ390" i="5"/>
  <c r="CY390" i="5"/>
  <c r="CX390" i="5"/>
  <c r="CW390" i="5"/>
  <c r="CV390" i="5"/>
  <c r="CF390" i="5"/>
  <c r="BF390" i="5"/>
  <c r="BE390" i="5"/>
  <c r="BC390" i="5"/>
  <c r="BB390" i="5"/>
  <c r="BA390" i="5"/>
  <c r="AZ390" i="5"/>
  <c r="AW390" i="5"/>
  <c r="AO390" i="5"/>
  <c r="CR390" i="5" s="1"/>
  <c r="AJ390" i="5"/>
  <c r="CQ390" i="5" s="1"/>
  <c r="AI390" i="5"/>
  <c r="DA389" i="5"/>
  <c r="CZ389" i="5"/>
  <c r="CY389" i="5"/>
  <c r="CX389" i="5"/>
  <c r="CW389" i="5"/>
  <c r="CV389" i="5"/>
  <c r="CR389" i="5"/>
  <c r="CQ389" i="5"/>
  <c r="CP389" i="5"/>
  <c r="CF389" i="5"/>
  <c r="AY389" i="5"/>
  <c r="AS389" i="5"/>
  <c r="AQ389" i="5"/>
  <c r="AP389" i="5"/>
  <c r="AN389" i="5"/>
  <c r="AM389" i="5"/>
  <c r="AL389" i="5"/>
  <c r="AK389" i="5"/>
  <c r="AK224" i="5" s="1"/>
  <c r="CF387" i="5"/>
  <c r="BG387" i="5"/>
  <c r="BF387" i="5"/>
  <c r="BE387" i="5"/>
  <c r="BB387" i="5"/>
  <c r="BA387" i="5"/>
  <c r="AZ387" i="5"/>
  <c r="CP386" i="5"/>
  <c r="CF386" i="5"/>
  <c r="BG386" i="5"/>
  <c r="BF386" i="5"/>
  <c r="BE386" i="5"/>
  <c r="BC386" i="5"/>
  <c r="BB386" i="5"/>
  <c r="BA386" i="5"/>
  <c r="AZ386" i="5"/>
  <c r="AW386" i="5"/>
  <c r="AO386" i="5"/>
  <c r="CR386" i="5" s="1"/>
  <c r="AJ386" i="5"/>
  <c r="CQ386" i="5" s="1"/>
  <c r="AI386" i="5"/>
  <c r="CR385" i="5"/>
  <c r="CQ385" i="5"/>
  <c r="CP385" i="5"/>
  <c r="CF385" i="5"/>
  <c r="BD385" i="5"/>
  <c r="AY385" i="5"/>
  <c r="CT385" i="5" s="1"/>
  <c r="AS385" i="5"/>
  <c r="AX386" i="5" s="1"/>
  <c r="AQ385" i="5"/>
  <c r="AP385" i="5"/>
  <c r="AN385" i="5"/>
  <c r="AN386" i="5" s="1"/>
  <c r="AM385" i="5"/>
  <c r="AL385" i="5"/>
  <c r="AL203" i="5" s="1"/>
  <c r="AK385" i="5"/>
  <c r="AK203" i="5" s="1"/>
  <c r="DA384" i="5"/>
  <c r="CZ384" i="5"/>
  <c r="CY384" i="5"/>
  <c r="CX384" i="5"/>
  <c r="CW384" i="5"/>
  <c r="CV384" i="5"/>
  <c r="CU384" i="5"/>
  <c r="CT384" i="5"/>
  <c r="CS384" i="5"/>
  <c r="CR384" i="5"/>
  <c r="CQ384" i="5"/>
  <c r="DA383" i="5"/>
  <c r="CZ383" i="5"/>
  <c r="CY383" i="5"/>
  <c r="CX383" i="5"/>
  <c r="CW383" i="5"/>
  <c r="CV383" i="5"/>
  <c r="CU383" i="5"/>
  <c r="CT383" i="5"/>
  <c r="CS383" i="5"/>
  <c r="CR383" i="5"/>
  <c r="CQ383" i="5"/>
  <c r="CF382" i="5"/>
  <c r="BE382" i="5"/>
  <c r="BF382" i="5" s="1"/>
  <c r="BG382" i="5" s="1"/>
  <c r="BB382" i="5"/>
  <c r="BA382" i="5"/>
  <c r="AZ382" i="5"/>
  <c r="CP381" i="5"/>
  <c r="CF381" i="5"/>
  <c r="BG381" i="5"/>
  <c r="BF381" i="5"/>
  <c r="BE381" i="5"/>
  <c r="BC381" i="5"/>
  <c r="BB381" i="5"/>
  <c r="BA381" i="5"/>
  <c r="AZ381" i="5"/>
  <c r="AW381" i="5"/>
  <c r="AO381" i="5"/>
  <c r="CR381" i="5" s="1"/>
  <c r="AJ381" i="5"/>
  <c r="CQ381" i="5" s="1"/>
  <c r="AI381" i="5"/>
  <c r="BD380" i="5"/>
  <c r="CU380" i="5" s="1"/>
  <c r="CR380" i="5"/>
  <c r="CQ380" i="5"/>
  <c r="CP380" i="5"/>
  <c r="CF380" i="5"/>
  <c r="AY380" i="5"/>
  <c r="AS380" i="5"/>
  <c r="AX381" i="5" s="1"/>
  <c r="AQ380" i="5"/>
  <c r="AP380" i="5"/>
  <c r="AU381" i="5" s="1"/>
  <c r="AN380" i="5"/>
  <c r="AM380" i="5"/>
  <c r="AL380" i="5"/>
  <c r="AK380" i="5"/>
  <c r="AX375" i="5"/>
  <c r="AW375" i="5"/>
  <c r="BD374" i="5"/>
  <c r="CF372" i="5"/>
  <c r="BZ372" i="5"/>
  <c r="BY372" i="5"/>
  <c r="BR372" i="5"/>
  <c r="BQ372" i="5"/>
  <c r="BP372" i="5"/>
  <c r="CF371" i="5"/>
  <c r="CF370" i="5"/>
  <c r="BR370" i="5"/>
  <c r="BQ370" i="5"/>
  <c r="BP370" i="5"/>
  <c r="CF369" i="5"/>
  <c r="CO368" i="5"/>
  <c r="CN368" i="5"/>
  <c r="CM368" i="5"/>
  <c r="CL368" i="5"/>
  <c r="CF368" i="5"/>
  <c r="CF367" i="5"/>
  <c r="BA367" i="5"/>
  <c r="BA375" i="5" s="1"/>
  <c r="AZ367" i="5"/>
  <c r="CF365" i="5"/>
  <c r="AS365" i="5"/>
  <c r="AR365" i="5"/>
  <c r="DA363" i="5"/>
  <c r="CZ363" i="5"/>
  <c r="CY363" i="5"/>
  <c r="CX363" i="5"/>
  <c r="CW363" i="5"/>
  <c r="CV363" i="5"/>
  <c r="CF363" i="5"/>
  <c r="AQ363" i="5"/>
  <c r="AP363" i="5"/>
  <c r="AN363" i="5"/>
  <c r="AM363" i="5"/>
  <c r="AL363" i="5"/>
  <c r="AK363" i="5"/>
  <c r="AI363" i="5"/>
  <c r="AH363" i="5"/>
  <c r="AG363" i="5"/>
  <c r="AF363" i="5"/>
  <c r="DA362" i="5"/>
  <c r="CZ362" i="5"/>
  <c r="CY362" i="5"/>
  <c r="CX362" i="5"/>
  <c r="CW362" i="5"/>
  <c r="CV362" i="5"/>
  <c r="CF362" i="5"/>
  <c r="AQ362" i="5"/>
  <c r="AP362" i="5"/>
  <c r="AN362" i="5"/>
  <c r="AM362" i="5"/>
  <c r="AL362" i="5"/>
  <c r="AK362" i="5"/>
  <c r="AI362" i="5"/>
  <c r="AH362" i="5"/>
  <c r="AG362" i="5"/>
  <c r="AF362" i="5"/>
  <c r="AD362" i="5"/>
  <c r="AC362" i="5"/>
  <c r="AB362" i="5"/>
  <c r="AA362" i="5"/>
  <c r="DA360" i="5"/>
  <c r="CZ360" i="5"/>
  <c r="CY360" i="5"/>
  <c r="CX360" i="5"/>
  <c r="CW360" i="5"/>
  <c r="CV360" i="5"/>
  <c r="CF360" i="5"/>
  <c r="AV360" i="5"/>
  <c r="AU360" i="5"/>
  <c r="AR360" i="5"/>
  <c r="AQ360" i="5"/>
  <c r="AP360" i="5"/>
  <c r="AN360" i="5"/>
  <c r="AM360" i="5"/>
  <c r="AL360" i="5"/>
  <c r="AK360" i="5"/>
  <c r="AI360" i="5"/>
  <c r="AH360" i="5"/>
  <c r="AG360" i="5"/>
  <c r="AF360" i="5"/>
  <c r="DA359" i="5"/>
  <c r="CZ359" i="5"/>
  <c r="CY359" i="5"/>
  <c r="CX359" i="5"/>
  <c r="CF359" i="5"/>
  <c r="AQ359" i="5"/>
  <c r="AP359" i="5"/>
  <c r="AN359" i="5"/>
  <c r="AM359" i="5"/>
  <c r="AL359" i="5"/>
  <c r="AK359" i="5"/>
  <c r="AI359" i="5"/>
  <c r="AH359" i="5"/>
  <c r="AG359" i="5"/>
  <c r="AF359" i="5"/>
  <c r="AD359" i="5"/>
  <c r="AC359" i="5"/>
  <c r="AB359" i="5"/>
  <c r="AA359" i="5"/>
  <c r="CF358" i="5"/>
  <c r="CF357" i="5"/>
  <c r="CF356" i="5"/>
  <c r="DA355" i="5"/>
  <c r="CZ355" i="5"/>
  <c r="CY355" i="5"/>
  <c r="CX355" i="5"/>
  <c r="CW355" i="5"/>
  <c r="CV355" i="5"/>
  <c r="CU355" i="5"/>
  <c r="CT355" i="5"/>
  <c r="CF355" i="5"/>
  <c r="DA354" i="5"/>
  <c r="CZ354" i="5"/>
  <c r="CY354" i="5"/>
  <c r="CX354" i="5"/>
  <c r="CW354" i="5"/>
  <c r="CV354" i="5"/>
  <c r="CU354" i="5"/>
  <c r="CT354" i="5"/>
  <c r="CF354" i="5"/>
  <c r="Z354" i="5"/>
  <c r="CO354" i="5" s="1"/>
  <c r="U354" i="5"/>
  <c r="CN354" i="5" s="1"/>
  <c r="P354" i="5"/>
  <c r="CM354" i="5" s="1"/>
  <c r="DA353" i="5"/>
  <c r="CZ353" i="5"/>
  <c r="CY353" i="5"/>
  <c r="CX353" i="5"/>
  <c r="CW353" i="5"/>
  <c r="CV353" i="5"/>
  <c r="CU353" i="5"/>
  <c r="CT353" i="5"/>
  <c r="CN353" i="5"/>
  <c r="CM353" i="5"/>
  <c r="CF353" i="5"/>
  <c r="DA352" i="5"/>
  <c r="CZ352" i="5"/>
  <c r="CY352" i="5"/>
  <c r="CX352" i="5"/>
  <c r="CW352" i="5"/>
  <c r="CV352" i="5"/>
  <c r="CU352" i="5"/>
  <c r="CT352" i="5"/>
  <c r="CO352" i="5"/>
  <c r="CN352" i="5"/>
  <c r="CM352" i="5"/>
  <c r="CF352" i="5"/>
  <c r="AH352" i="5"/>
  <c r="AG352" i="5"/>
  <c r="AF352" i="5"/>
  <c r="AD352" i="5"/>
  <c r="AC352" i="5"/>
  <c r="AB352" i="5"/>
  <c r="AA352" i="5"/>
  <c r="DA351" i="5"/>
  <c r="CZ351" i="5"/>
  <c r="CY351" i="5"/>
  <c r="CX351" i="5"/>
  <c r="CW351" i="5"/>
  <c r="CV351" i="5"/>
  <c r="CU351" i="5"/>
  <c r="CT351" i="5"/>
  <c r="CN351" i="5"/>
  <c r="CM351" i="5"/>
  <c r="CF351" i="5"/>
  <c r="AV351" i="5"/>
  <c r="AU351" i="5"/>
  <c r="AS351" i="5"/>
  <c r="AR351" i="5"/>
  <c r="AQ351" i="5"/>
  <c r="AP351" i="5"/>
  <c r="AN351" i="5"/>
  <c r="AM351" i="5"/>
  <c r="AL351" i="5"/>
  <c r="AK351" i="5"/>
  <c r="AI351" i="5"/>
  <c r="AI352" i="5" s="1"/>
  <c r="AE351" i="5"/>
  <c r="Z351" i="5"/>
  <c r="DA350" i="5"/>
  <c r="CZ350" i="5"/>
  <c r="CY350" i="5"/>
  <c r="CX350" i="5"/>
  <c r="CW350" i="5"/>
  <c r="CV350" i="5"/>
  <c r="CU350" i="5"/>
  <c r="CT350" i="5"/>
  <c r="CS350" i="5"/>
  <c r="CR350" i="5"/>
  <c r="CQ350" i="5"/>
  <c r="CP350" i="5"/>
  <c r="CO350" i="5"/>
  <c r="CN350" i="5"/>
  <c r="CM350" i="5"/>
  <c r="CF350" i="5"/>
  <c r="DA349" i="5"/>
  <c r="CZ349" i="5"/>
  <c r="CY349" i="5"/>
  <c r="CX349" i="5"/>
  <c r="CW349" i="5"/>
  <c r="CV349" i="5"/>
  <c r="CU349" i="5"/>
  <c r="CT349" i="5"/>
  <c r="CN349" i="5"/>
  <c r="CM349" i="5"/>
  <c r="CF349" i="5"/>
  <c r="DA348" i="5"/>
  <c r="CZ348" i="5"/>
  <c r="CY348" i="5"/>
  <c r="CX348" i="5"/>
  <c r="CW348" i="5"/>
  <c r="CV348" i="5"/>
  <c r="CU348" i="5"/>
  <c r="CT348" i="5"/>
  <c r="CO348" i="5"/>
  <c r="CN348" i="5"/>
  <c r="CM348" i="5"/>
  <c r="CF348" i="5"/>
  <c r="AH348" i="5"/>
  <c r="AG348" i="5"/>
  <c r="AF348" i="5"/>
  <c r="AD348" i="5"/>
  <c r="AC348" i="5"/>
  <c r="AB348" i="5"/>
  <c r="AA348" i="5"/>
  <c r="DA347" i="5"/>
  <c r="CZ347" i="5"/>
  <c r="CY347" i="5"/>
  <c r="CX347" i="5"/>
  <c r="CW347" i="5"/>
  <c r="CV347" i="5"/>
  <c r="CU347" i="5"/>
  <c r="CT347" i="5"/>
  <c r="CN347" i="5"/>
  <c r="CM347" i="5"/>
  <c r="CF347" i="5"/>
  <c r="AV347" i="5"/>
  <c r="AU347" i="5"/>
  <c r="AS347" i="5"/>
  <c r="AR347" i="5"/>
  <c r="AQ347" i="5"/>
  <c r="AP347" i="5"/>
  <c r="AN347" i="5"/>
  <c r="AM347" i="5"/>
  <c r="AL347" i="5"/>
  <c r="AK347" i="5"/>
  <c r="AK348" i="5" s="1"/>
  <c r="AI347" i="5"/>
  <c r="AE347" i="5"/>
  <c r="CP347" i="5" s="1"/>
  <c r="Z347" i="5"/>
  <c r="CO347" i="5" s="1"/>
  <c r="DA346" i="5"/>
  <c r="CZ346" i="5"/>
  <c r="CY346" i="5"/>
  <c r="CX346" i="5"/>
  <c r="CW346" i="5"/>
  <c r="CV346" i="5"/>
  <c r="CU346" i="5"/>
  <c r="CT346" i="5"/>
  <c r="CS346" i="5"/>
  <c r="CR346" i="5"/>
  <c r="CQ346" i="5"/>
  <c r="CP346" i="5"/>
  <c r="CO346" i="5"/>
  <c r="CN346" i="5"/>
  <c r="CM346" i="5"/>
  <c r="CF346" i="5"/>
  <c r="DA345" i="5"/>
  <c r="CZ345" i="5"/>
  <c r="CY345" i="5"/>
  <c r="CX345" i="5"/>
  <c r="CW345" i="5"/>
  <c r="CV345" i="5"/>
  <c r="CU345" i="5"/>
  <c r="CT345" i="5"/>
  <c r="CN345" i="5"/>
  <c r="CM345" i="5"/>
  <c r="CF345" i="5"/>
  <c r="DA344" i="5"/>
  <c r="CZ344" i="5"/>
  <c r="CY344" i="5"/>
  <c r="CX344" i="5"/>
  <c r="CW344" i="5"/>
  <c r="CV344" i="5"/>
  <c r="CU344" i="5"/>
  <c r="CT344" i="5"/>
  <c r="CO344" i="5"/>
  <c r="CN344" i="5"/>
  <c r="CM344" i="5"/>
  <c r="CF344" i="5"/>
  <c r="AH344" i="5"/>
  <c r="AG344" i="5"/>
  <c r="AF344" i="5"/>
  <c r="AD344" i="5"/>
  <c r="AC344" i="5"/>
  <c r="AB344" i="5"/>
  <c r="AA344" i="5"/>
  <c r="DA343" i="5"/>
  <c r="CZ343" i="5"/>
  <c r="CY343" i="5"/>
  <c r="CX343" i="5"/>
  <c r="CW343" i="5"/>
  <c r="CV343" i="5"/>
  <c r="CU343" i="5"/>
  <c r="CT343" i="5"/>
  <c r="CN343" i="5"/>
  <c r="CM343" i="5"/>
  <c r="CF343" i="5"/>
  <c r="AV343" i="5"/>
  <c r="AU343" i="5"/>
  <c r="AS343" i="5"/>
  <c r="AR343" i="5"/>
  <c r="AQ343" i="5"/>
  <c r="AP343" i="5"/>
  <c r="AP345" i="5" s="1"/>
  <c r="AN343" i="5"/>
  <c r="AM343" i="5"/>
  <c r="AL343" i="5"/>
  <c r="AK343" i="5"/>
  <c r="AI343" i="5"/>
  <c r="AI345" i="5" s="1"/>
  <c r="AE343" i="5"/>
  <c r="Z343" i="5"/>
  <c r="Z345" i="5" s="1"/>
  <c r="CO345" i="5" s="1"/>
  <c r="DA342" i="5"/>
  <c r="CZ342" i="5"/>
  <c r="CY342" i="5"/>
  <c r="CX342" i="5"/>
  <c r="CW342" i="5"/>
  <c r="CV342" i="5"/>
  <c r="CU342" i="5"/>
  <c r="CT342" i="5"/>
  <c r="CS342" i="5"/>
  <c r="CR342" i="5"/>
  <c r="CQ342" i="5"/>
  <c r="CP342" i="5"/>
  <c r="CO342" i="5"/>
  <c r="CN342" i="5"/>
  <c r="CM342" i="5"/>
  <c r="CF342" i="5"/>
  <c r="DA341" i="5"/>
  <c r="CZ341" i="5"/>
  <c r="CY341" i="5"/>
  <c r="CX341" i="5"/>
  <c r="CW341" i="5"/>
  <c r="CV341" i="5"/>
  <c r="CU341" i="5"/>
  <c r="CT341" i="5"/>
  <c r="CN341" i="5"/>
  <c r="CM341" i="5"/>
  <c r="CF341" i="5"/>
  <c r="DA340" i="5"/>
  <c r="CZ340" i="5"/>
  <c r="CY340" i="5"/>
  <c r="CX340" i="5"/>
  <c r="CW340" i="5"/>
  <c r="CV340" i="5"/>
  <c r="CU340" i="5"/>
  <c r="CT340" i="5"/>
  <c r="CO340" i="5"/>
  <c r="CN340" i="5"/>
  <c r="CM340" i="5"/>
  <c r="CF340" i="5"/>
  <c r="AH340" i="5"/>
  <c r="AG340" i="5"/>
  <c r="AF340" i="5"/>
  <c r="AD340" i="5"/>
  <c r="AC340" i="5"/>
  <c r="AB340" i="5"/>
  <c r="AA340" i="5"/>
  <c r="DA339" i="5"/>
  <c r="CZ339" i="5"/>
  <c r="CY339" i="5"/>
  <c r="CX339" i="5"/>
  <c r="CW339" i="5"/>
  <c r="CV339" i="5"/>
  <c r="CU339" i="5"/>
  <c r="CT339" i="5"/>
  <c r="CN339" i="5"/>
  <c r="CM339" i="5"/>
  <c r="CF339" i="5"/>
  <c r="AV339" i="5"/>
  <c r="AU339" i="5"/>
  <c r="AS339" i="5"/>
  <c r="AR339" i="5"/>
  <c r="AQ339" i="5"/>
  <c r="AP339" i="5"/>
  <c r="AN339" i="5"/>
  <c r="AM339" i="5"/>
  <c r="AL339" i="5"/>
  <c r="AK339" i="5"/>
  <c r="AI339" i="5"/>
  <c r="AE339" i="5"/>
  <c r="CP339" i="5" s="1"/>
  <c r="Z339" i="5"/>
  <c r="DA338" i="5"/>
  <c r="CZ338" i="5"/>
  <c r="CY338" i="5"/>
  <c r="CX338" i="5"/>
  <c r="CW338" i="5"/>
  <c r="CV338" i="5"/>
  <c r="CU338" i="5"/>
  <c r="CT338" i="5"/>
  <c r="CS338" i="5"/>
  <c r="CR338" i="5"/>
  <c r="CQ338" i="5"/>
  <c r="CP338" i="5"/>
  <c r="CO338" i="5"/>
  <c r="CN338" i="5"/>
  <c r="CM338" i="5"/>
  <c r="CF338" i="5"/>
  <c r="DA337" i="5"/>
  <c r="CZ337" i="5"/>
  <c r="CY337" i="5"/>
  <c r="CX337" i="5"/>
  <c r="CF337" i="5"/>
  <c r="DA336" i="5"/>
  <c r="CZ336" i="5"/>
  <c r="CY336" i="5"/>
  <c r="CX336" i="5"/>
  <c r="CO336" i="5"/>
  <c r="CF336" i="5"/>
  <c r="BE336" i="5"/>
  <c r="BC336" i="5"/>
  <c r="BB336" i="5"/>
  <c r="BA336" i="5"/>
  <c r="AZ336" i="5"/>
  <c r="AX336" i="5"/>
  <c r="AW336" i="5"/>
  <c r="AV336" i="5"/>
  <c r="AU336" i="5"/>
  <c r="AS336" i="5"/>
  <c r="AR336" i="5"/>
  <c r="AQ336" i="5"/>
  <c r="AP336" i="5"/>
  <c r="AN336" i="5"/>
  <c r="AM336" i="5"/>
  <c r="AL336" i="5"/>
  <c r="AK336" i="5"/>
  <c r="AI336" i="5"/>
  <c r="AH336" i="5"/>
  <c r="AG336" i="5"/>
  <c r="AF336" i="5"/>
  <c r="AD336" i="5"/>
  <c r="AC336" i="5"/>
  <c r="AB336" i="5"/>
  <c r="AA336" i="5"/>
  <c r="DA335" i="5"/>
  <c r="CZ335" i="5"/>
  <c r="CY335" i="5"/>
  <c r="CX335" i="5"/>
  <c r="CW335" i="5"/>
  <c r="CF335" i="5"/>
  <c r="AY335" i="5"/>
  <c r="AT335" i="5"/>
  <c r="AO335" i="5"/>
  <c r="AJ335" i="5"/>
  <c r="AE335" i="5"/>
  <c r="Z335" i="5"/>
  <c r="CF334" i="5"/>
  <c r="DA333" i="5"/>
  <c r="CZ333" i="5"/>
  <c r="CY333" i="5"/>
  <c r="CX333" i="5"/>
  <c r="CF333" i="5"/>
  <c r="DA332" i="5"/>
  <c r="CZ332" i="5"/>
  <c r="CY332" i="5"/>
  <c r="CX332" i="5"/>
  <c r="CO332" i="5"/>
  <c r="CF332" i="5"/>
  <c r="BF332" i="5"/>
  <c r="BE332" i="5"/>
  <c r="BC332" i="5"/>
  <c r="BB332" i="5"/>
  <c r="BA332" i="5"/>
  <c r="AZ332" i="5"/>
  <c r="AX332" i="5"/>
  <c r="AW332" i="5"/>
  <c r="AV332" i="5"/>
  <c r="AU332" i="5"/>
  <c r="AS332" i="5"/>
  <c r="AR332" i="5"/>
  <c r="AQ332" i="5"/>
  <c r="AP332" i="5"/>
  <c r="AN332" i="5"/>
  <c r="AM332" i="5"/>
  <c r="AL332" i="5"/>
  <c r="AK332" i="5"/>
  <c r="AI332" i="5"/>
  <c r="AH332" i="5"/>
  <c r="AG332" i="5"/>
  <c r="AF332" i="5"/>
  <c r="AD332" i="5"/>
  <c r="AC332" i="5"/>
  <c r="AB332" i="5"/>
  <c r="AA332" i="5"/>
  <c r="DA331" i="5"/>
  <c r="CZ331" i="5"/>
  <c r="CY331" i="5"/>
  <c r="CX331" i="5"/>
  <c r="CW331" i="5"/>
  <c r="CF331" i="5"/>
  <c r="AY331" i="5"/>
  <c r="AT331" i="5"/>
  <c r="AO331" i="5"/>
  <c r="CR331" i="5" s="1"/>
  <c r="AJ331" i="5"/>
  <c r="AE331" i="5"/>
  <c r="Z331" i="5"/>
  <c r="CF329" i="5"/>
  <c r="BG329" i="5"/>
  <c r="BF329" i="5"/>
  <c r="BE329" i="5"/>
  <c r="BB329" i="5"/>
  <c r="BA329" i="5"/>
  <c r="AX329" i="5"/>
  <c r="AW329" i="5"/>
  <c r="AV329" i="5"/>
  <c r="AU329" i="5"/>
  <c r="AS329" i="5"/>
  <c r="AR329" i="5"/>
  <c r="AQ329" i="5"/>
  <c r="AP329" i="5"/>
  <c r="AN329" i="5"/>
  <c r="AM329" i="5"/>
  <c r="AL329" i="5"/>
  <c r="AK329" i="5"/>
  <c r="AI329" i="5"/>
  <c r="AH329" i="5"/>
  <c r="AG329" i="5"/>
  <c r="AF329" i="5"/>
  <c r="AD329" i="5"/>
  <c r="AC329" i="5"/>
  <c r="AB329" i="5"/>
  <c r="AA329" i="5"/>
  <c r="CF328" i="5"/>
  <c r="BZ328" i="5"/>
  <c r="BY328" i="5"/>
  <c r="BR328" i="5"/>
  <c r="BQ328" i="5"/>
  <c r="BP328" i="5"/>
  <c r="CF327" i="5"/>
  <c r="CF326" i="5"/>
  <c r="BZ326" i="5"/>
  <c r="BY326" i="5"/>
  <c r="BR326" i="5"/>
  <c r="BQ326" i="5"/>
  <c r="BP326" i="5"/>
  <c r="CF325" i="5"/>
  <c r="BG325" i="5"/>
  <c r="BF325" i="5"/>
  <c r="BE325" i="5"/>
  <c r="BB325" i="5"/>
  <c r="BA325" i="5"/>
  <c r="AZ325" i="5"/>
  <c r="AX325" i="5"/>
  <c r="AW325" i="5"/>
  <c r="AV325" i="5"/>
  <c r="AU325" i="5"/>
  <c r="AS325" i="5"/>
  <c r="AR325" i="5"/>
  <c r="AQ325" i="5"/>
  <c r="AP325" i="5"/>
  <c r="AN325" i="5"/>
  <c r="AM325" i="5"/>
  <c r="AL325" i="5"/>
  <c r="AK325" i="5"/>
  <c r="AI325" i="5"/>
  <c r="AH325" i="5"/>
  <c r="AG325" i="5"/>
  <c r="AF325" i="5"/>
  <c r="AD325" i="5"/>
  <c r="AC325" i="5"/>
  <c r="AB325" i="5"/>
  <c r="AA325" i="5"/>
  <c r="CU324" i="5"/>
  <c r="CF324" i="5"/>
  <c r="AT324" i="5"/>
  <c r="AO324" i="5"/>
  <c r="AJ324" i="5"/>
  <c r="AE324" i="5"/>
  <c r="CP324" i="5" s="1"/>
  <c r="Z324" i="5"/>
  <c r="CO324" i="5" s="1"/>
  <c r="BF321" i="5"/>
  <c r="BE321" i="5"/>
  <c r="CF320" i="5"/>
  <c r="CF318" i="5"/>
  <c r="BG318" i="5"/>
  <c r="BF318" i="5"/>
  <c r="BB318" i="5"/>
  <c r="BA318" i="5"/>
  <c r="AX318" i="5"/>
  <c r="AW318" i="5"/>
  <c r="AV318" i="5"/>
  <c r="AU318" i="5"/>
  <c r="AS318" i="5"/>
  <c r="AR318" i="5"/>
  <c r="AQ318" i="5"/>
  <c r="AP318" i="5"/>
  <c r="AN318" i="5"/>
  <c r="AM318" i="5"/>
  <c r="AL318" i="5"/>
  <c r="AK318" i="5"/>
  <c r="AI318" i="5"/>
  <c r="AH318" i="5"/>
  <c r="AG318" i="5"/>
  <c r="AF318" i="5"/>
  <c r="AD318" i="5"/>
  <c r="AC318" i="5"/>
  <c r="AB318" i="5"/>
  <c r="AA318" i="5"/>
  <c r="CF317" i="5"/>
  <c r="BG317" i="5"/>
  <c r="BF317" i="5"/>
  <c r="BB317" i="5"/>
  <c r="BA317" i="5"/>
  <c r="AZ317" i="5"/>
  <c r="AX317" i="5"/>
  <c r="AW317" i="5"/>
  <c r="AV317" i="5"/>
  <c r="AU317" i="5"/>
  <c r="AS317" i="5"/>
  <c r="AR317" i="5"/>
  <c r="AQ317" i="5"/>
  <c r="AP317" i="5"/>
  <c r="AN317" i="5"/>
  <c r="AM317" i="5"/>
  <c r="AL317" i="5"/>
  <c r="AK317" i="5"/>
  <c r="AI317" i="5"/>
  <c r="AH317" i="5"/>
  <c r="AG317" i="5"/>
  <c r="AF317" i="5"/>
  <c r="AD317" i="5"/>
  <c r="AC317" i="5"/>
  <c r="AB317" i="5"/>
  <c r="AA317" i="5"/>
  <c r="CF316" i="5"/>
  <c r="AY316" i="5"/>
  <c r="AT316" i="5"/>
  <c r="CS316" i="5" s="1"/>
  <c r="AO316" i="5"/>
  <c r="CR316" i="5" s="1"/>
  <c r="AJ316" i="5"/>
  <c r="CQ316" i="5" s="1"/>
  <c r="AE316" i="5"/>
  <c r="Z316" i="5"/>
  <c r="CF313" i="5"/>
  <c r="CF312" i="5"/>
  <c r="CF311" i="5"/>
  <c r="CF310" i="5"/>
  <c r="BE310" i="5"/>
  <c r="BA310" i="5"/>
  <c r="AZ310" i="5"/>
  <c r="CF309" i="5"/>
  <c r="BE309" i="5"/>
  <c r="BB309" i="5"/>
  <c r="BA309" i="5"/>
  <c r="AZ309" i="5"/>
  <c r="AX309" i="5"/>
  <c r="AW309" i="5"/>
  <c r="AV309" i="5"/>
  <c r="AU309" i="5"/>
  <c r="AS309" i="5"/>
  <c r="AR309" i="5"/>
  <c r="AQ309" i="5"/>
  <c r="AP309" i="5"/>
  <c r="CF308" i="5"/>
  <c r="CF307" i="5"/>
  <c r="CF306" i="5"/>
  <c r="CF305" i="5"/>
  <c r="CF304" i="5"/>
  <c r="DA303" i="5"/>
  <c r="CZ303" i="5"/>
  <c r="CY303" i="5"/>
  <c r="CX303" i="5"/>
  <c r="CW303" i="5"/>
  <c r="CV303" i="5"/>
  <c r="CU303" i="5"/>
  <c r="CT303" i="5"/>
  <c r="CS303" i="5"/>
  <c r="DA302" i="5"/>
  <c r="CZ302" i="5"/>
  <c r="CY302" i="5"/>
  <c r="CX302" i="5"/>
  <c r="CW302" i="5"/>
  <c r="CV302" i="5"/>
  <c r="CU302" i="5"/>
  <c r="CT302" i="5"/>
  <c r="CS302" i="5"/>
  <c r="CF302" i="5"/>
  <c r="DA301" i="5"/>
  <c r="CZ301" i="5"/>
  <c r="CY301" i="5"/>
  <c r="CX301" i="5"/>
  <c r="CW301" i="5"/>
  <c r="CV301" i="5"/>
  <c r="CU301" i="5"/>
  <c r="CT301" i="5"/>
  <c r="CS301" i="5"/>
  <c r="CF301" i="5"/>
  <c r="DA300" i="5"/>
  <c r="CZ300" i="5"/>
  <c r="CY300" i="5"/>
  <c r="CX300" i="5"/>
  <c r="CW300" i="5"/>
  <c r="CV300" i="5"/>
  <c r="CU300" i="5"/>
  <c r="CT300" i="5"/>
  <c r="CS300" i="5"/>
  <c r="CF300" i="5"/>
  <c r="DA299" i="5"/>
  <c r="CZ299" i="5"/>
  <c r="CY299" i="5"/>
  <c r="CX299" i="5"/>
  <c r="CW299" i="5"/>
  <c r="CV299" i="5"/>
  <c r="CU299" i="5"/>
  <c r="CT299" i="5"/>
  <c r="CS299" i="5"/>
  <c r="CF299" i="5"/>
  <c r="DA298" i="5"/>
  <c r="CZ298" i="5"/>
  <c r="CY298" i="5"/>
  <c r="CX298" i="5"/>
  <c r="CW298" i="5"/>
  <c r="CV298" i="5"/>
  <c r="CU298" i="5"/>
  <c r="CT298" i="5"/>
  <c r="CS298" i="5"/>
  <c r="CF298" i="5"/>
  <c r="CF297" i="5"/>
  <c r="CF278" i="5"/>
  <c r="CF277" i="5"/>
  <c r="CF276" i="5"/>
  <c r="CF275" i="5"/>
  <c r="CF273" i="5"/>
  <c r="AT273" i="5"/>
  <c r="CS273" i="5" s="1"/>
  <c r="CS272" i="5"/>
  <c r="CF272" i="5"/>
  <c r="CS271" i="5"/>
  <c r="CF271" i="5"/>
  <c r="CF270" i="5"/>
  <c r="CT268" i="5"/>
  <c r="CF268" i="5"/>
  <c r="CT267" i="5"/>
  <c r="CF267" i="5"/>
  <c r="CF264" i="5"/>
  <c r="CF263" i="5"/>
  <c r="DA262" i="5"/>
  <c r="CZ262" i="5"/>
  <c r="CY262" i="5"/>
  <c r="CX262" i="5"/>
  <c r="CW262" i="5"/>
  <c r="CV262" i="5"/>
  <c r="CF262" i="5"/>
  <c r="BE262" i="5"/>
  <c r="BB262" i="5"/>
  <c r="BA262" i="5"/>
  <c r="AW262" i="5"/>
  <c r="AV262" i="5"/>
  <c r="AU262" i="5"/>
  <c r="DA261" i="5"/>
  <c r="CZ261" i="5"/>
  <c r="CY261" i="5"/>
  <c r="CX261" i="5"/>
  <c r="CW261" i="5"/>
  <c r="CV261" i="5"/>
  <c r="CF261" i="5"/>
  <c r="BE261" i="5"/>
  <c r="BC261" i="5"/>
  <c r="BB261" i="5"/>
  <c r="BA261" i="5"/>
  <c r="AZ261" i="5"/>
  <c r="AX261" i="5"/>
  <c r="AW261" i="5"/>
  <c r="AV261" i="5"/>
  <c r="AU261" i="5"/>
  <c r="AS261" i="5"/>
  <c r="AR261" i="5"/>
  <c r="AQ261" i="5"/>
  <c r="AP261" i="5"/>
  <c r="AN261" i="5"/>
  <c r="DA260" i="5"/>
  <c r="CZ260" i="5"/>
  <c r="CY260" i="5"/>
  <c r="CX260" i="5"/>
  <c r="CW260" i="5"/>
  <c r="CV260" i="5"/>
  <c r="CF260" i="5"/>
  <c r="AT260" i="5"/>
  <c r="AO260" i="5"/>
  <c r="AO228" i="5" s="1"/>
  <c r="AJ260" i="5"/>
  <c r="CQ260" i="5" s="1"/>
  <c r="DA258" i="5"/>
  <c r="CZ258" i="5"/>
  <c r="CY258" i="5"/>
  <c r="CX258" i="5"/>
  <c r="CW258" i="5"/>
  <c r="CV258" i="5"/>
  <c r="CF258" i="5"/>
  <c r="BF258" i="5"/>
  <c r="BE258" i="5"/>
  <c r="BB258" i="5"/>
  <c r="BA258" i="5"/>
  <c r="AX258" i="5"/>
  <c r="AW258" i="5"/>
  <c r="AV258" i="5"/>
  <c r="AU258" i="5"/>
  <c r="DA257" i="5"/>
  <c r="CZ257" i="5"/>
  <c r="CY257" i="5"/>
  <c r="CX257" i="5"/>
  <c r="CW257" i="5"/>
  <c r="CV257" i="5"/>
  <c r="CF257" i="5"/>
  <c r="BF257" i="5"/>
  <c r="BE257" i="5"/>
  <c r="BC257" i="5"/>
  <c r="BB257" i="5"/>
  <c r="BA257" i="5"/>
  <c r="AZ257" i="5"/>
  <c r="AX257" i="5"/>
  <c r="AW257" i="5"/>
  <c r="AV257" i="5"/>
  <c r="AU257" i="5"/>
  <c r="AS257" i="5"/>
  <c r="AR257" i="5"/>
  <c r="AQ257" i="5"/>
  <c r="AP257" i="5"/>
  <c r="AN257" i="5"/>
  <c r="DA256" i="5"/>
  <c r="CZ256" i="5"/>
  <c r="CY256" i="5"/>
  <c r="CX256" i="5"/>
  <c r="CW256" i="5"/>
  <c r="CV256" i="5"/>
  <c r="CF256" i="5"/>
  <c r="AT256" i="5"/>
  <c r="AO256" i="5"/>
  <c r="AJ256" i="5"/>
  <c r="CQ256" i="5" s="1"/>
  <c r="BS254" i="5"/>
  <c r="CW251" i="5"/>
  <c r="CF251" i="5"/>
  <c r="CW250" i="5"/>
  <c r="CF250" i="5"/>
  <c r="CW249" i="5"/>
  <c r="CF249" i="5"/>
  <c r="CF248" i="5"/>
  <c r="CF246" i="5"/>
  <c r="CQ245" i="5"/>
  <c r="CF245" i="5"/>
  <c r="BB245" i="5"/>
  <c r="BA245" i="5"/>
  <c r="AZ245" i="5"/>
  <c r="AX245" i="5"/>
  <c r="AW245" i="5"/>
  <c r="AW213" i="5" s="1"/>
  <c r="AW209" i="5" s="1"/>
  <c r="AN245" i="5"/>
  <c r="AM245" i="5"/>
  <c r="AL245" i="5"/>
  <c r="AK245" i="5"/>
  <c r="AI245" i="5"/>
  <c r="CL242" i="5"/>
  <c r="CK242" i="5"/>
  <c r="CJ242" i="5"/>
  <c r="CI242" i="5"/>
  <c r="CH242" i="5"/>
  <c r="CG242" i="5"/>
  <c r="CL241" i="5"/>
  <c r="CK241" i="5"/>
  <c r="CJ241" i="5"/>
  <c r="CI241" i="5"/>
  <c r="CH241" i="5"/>
  <c r="CG241" i="5"/>
  <c r="CF241" i="5"/>
  <c r="BG241" i="5"/>
  <c r="BF241" i="5"/>
  <c r="BE241" i="5"/>
  <c r="BB241" i="5"/>
  <c r="BA241" i="5"/>
  <c r="BA237" i="5" s="1"/>
  <c r="BF237" i="5" s="1"/>
  <c r="AX241" i="5"/>
  <c r="AW241" i="5"/>
  <c r="AN241" i="5"/>
  <c r="AM241" i="5"/>
  <c r="AL241" i="5"/>
  <c r="AK241" i="5"/>
  <c r="AI241" i="5"/>
  <c r="CL240" i="5"/>
  <c r="CK240" i="5"/>
  <c r="CJ240" i="5"/>
  <c r="CI240" i="5"/>
  <c r="CH240" i="5"/>
  <c r="CG240" i="5"/>
  <c r="CF240" i="5"/>
  <c r="BG240" i="5"/>
  <c r="BF240" i="5"/>
  <c r="BE240" i="5"/>
  <c r="BC240" i="5"/>
  <c r="BB240" i="5"/>
  <c r="AN240" i="5"/>
  <c r="CL239" i="5"/>
  <c r="CK239" i="5"/>
  <c r="CJ239" i="5"/>
  <c r="CI239" i="5"/>
  <c r="CH239" i="5"/>
  <c r="CG239" i="5"/>
  <c r="CF239" i="5"/>
  <c r="BD239" i="5"/>
  <c r="BD207" i="5" s="1"/>
  <c r="AV239" i="5"/>
  <c r="AU239" i="5"/>
  <c r="AU241" i="5" s="1"/>
  <c r="AS239" i="5"/>
  <c r="AR239" i="5"/>
  <c r="AW240" i="5" s="1"/>
  <c r="AQ239" i="5"/>
  <c r="AQ241" i="5" s="1"/>
  <c r="AP239" i="5"/>
  <c r="AO239" i="5"/>
  <c r="AJ239" i="5"/>
  <c r="CL238" i="5"/>
  <c r="CK238" i="5"/>
  <c r="CJ238" i="5"/>
  <c r="CI238" i="5"/>
  <c r="CH238" i="5"/>
  <c r="CG238" i="5"/>
  <c r="CL237" i="5"/>
  <c r="CK237" i="5"/>
  <c r="CJ237" i="5"/>
  <c r="CI237" i="5"/>
  <c r="CH237" i="5"/>
  <c r="CG237" i="5"/>
  <c r="CF237" i="5"/>
  <c r="AW237" i="5"/>
  <c r="BB237" i="5" s="1"/>
  <c r="BG237" i="5" s="1"/>
  <c r="AV237" i="5"/>
  <c r="AN237" i="5"/>
  <c r="AM237" i="5"/>
  <c r="AL237" i="5"/>
  <c r="AK237" i="5"/>
  <c r="AI237" i="5"/>
  <c r="CL236" i="5"/>
  <c r="CK236" i="5"/>
  <c r="CJ236" i="5"/>
  <c r="CI236" i="5"/>
  <c r="CH236" i="5"/>
  <c r="CG236" i="5"/>
  <c r="CF236" i="5"/>
  <c r="BG236" i="5"/>
  <c r="BF236" i="5"/>
  <c r="BE236" i="5"/>
  <c r="BC236" i="5"/>
  <c r="BB236" i="5"/>
  <c r="BA236" i="5"/>
  <c r="AN236" i="5"/>
  <c r="CL235" i="5"/>
  <c r="CK235" i="5"/>
  <c r="CJ235" i="5"/>
  <c r="CI235" i="5"/>
  <c r="CH235" i="5"/>
  <c r="CG235" i="5"/>
  <c r="CF235" i="5"/>
  <c r="BD235" i="5"/>
  <c r="AU235" i="5"/>
  <c r="AS235" i="5"/>
  <c r="AR235" i="5"/>
  <c r="AR237" i="5" s="1"/>
  <c r="AQ235" i="5"/>
  <c r="AQ237" i="5" s="1"/>
  <c r="AP235" i="5"/>
  <c r="AO235" i="5"/>
  <c r="AO203" i="5" s="1"/>
  <c r="AJ235" i="5"/>
  <c r="CL234" i="5"/>
  <c r="CK234" i="5"/>
  <c r="CJ234" i="5"/>
  <c r="CI234" i="5"/>
  <c r="CH234" i="5"/>
  <c r="CG234" i="5"/>
  <c r="CF234" i="5"/>
  <c r="CF233" i="5"/>
  <c r="CF232" i="5"/>
  <c r="CF198" i="5"/>
  <c r="BA198" i="5"/>
  <c r="AZ198" i="5"/>
  <c r="AX198" i="5"/>
  <c r="AW198" i="5"/>
  <c r="AV198" i="5"/>
  <c r="AU198" i="5"/>
  <c r="AS198" i="5"/>
  <c r="AR198" i="5"/>
  <c r="AQ198" i="5"/>
  <c r="AP198" i="5"/>
  <c r="AN198" i="5"/>
  <c r="AM198" i="5"/>
  <c r="AL198" i="5"/>
  <c r="AK198" i="5"/>
  <c r="AI198" i="5"/>
  <c r="AH198" i="5"/>
  <c r="AG198" i="5"/>
  <c r="AF198" i="5"/>
  <c r="AD198" i="5"/>
  <c r="AC198" i="5"/>
  <c r="AB198" i="5"/>
  <c r="AA198" i="5"/>
  <c r="CF197" i="5"/>
  <c r="BA197" i="5"/>
  <c r="AZ197" i="5"/>
  <c r="AX197" i="5"/>
  <c r="AW197" i="5"/>
  <c r="AV197" i="5"/>
  <c r="AU197" i="5"/>
  <c r="AS197" i="5"/>
  <c r="AR197" i="5"/>
  <c r="AQ197" i="5"/>
  <c r="AP197" i="5"/>
  <c r="AN197" i="5"/>
  <c r="AM197" i="5"/>
  <c r="AL197" i="5"/>
  <c r="AK197" i="5"/>
  <c r="AI197" i="5"/>
  <c r="AH197" i="5"/>
  <c r="AG197" i="5"/>
  <c r="AF197" i="5"/>
  <c r="AD197" i="5"/>
  <c r="AC197" i="5"/>
  <c r="AB197" i="5"/>
  <c r="AA197" i="5"/>
  <c r="CF196" i="5"/>
  <c r="AT196" i="5"/>
  <c r="AO196" i="5"/>
  <c r="AJ196" i="5"/>
  <c r="AE196" i="5"/>
  <c r="Z196" i="5"/>
  <c r="CF194" i="5"/>
  <c r="BF194" i="5"/>
  <c r="BE194" i="5"/>
  <c r="BB194" i="5"/>
  <c r="BA194" i="5"/>
  <c r="AZ194" i="5"/>
  <c r="AX194" i="5"/>
  <c r="AW194" i="5"/>
  <c r="AV194" i="5"/>
  <c r="AU194" i="5"/>
  <c r="AS194" i="5"/>
  <c r="AR194" i="5"/>
  <c r="AQ194" i="5"/>
  <c r="AP194" i="5"/>
  <c r="AN194" i="5"/>
  <c r="AM194" i="5"/>
  <c r="AL194" i="5"/>
  <c r="AK194" i="5"/>
  <c r="AI194" i="5"/>
  <c r="AH194" i="5"/>
  <c r="AG194" i="5"/>
  <c r="AF194" i="5"/>
  <c r="AD194" i="5"/>
  <c r="AC194" i="5"/>
  <c r="AB194" i="5"/>
  <c r="AA194" i="5"/>
  <c r="CF193" i="5"/>
  <c r="BF193" i="5"/>
  <c r="BE193" i="5"/>
  <c r="BC193" i="5"/>
  <c r="BB193" i="5"/>
  <c r="BA193" i="5"/>
  <c r="AZ193" i="5"/>
  <c r="AX193" i="5"/>
  <c r="AW193" i="5"/>
  <c r="AV193" i="5"/>
  <c r="AU193" i="5"/>
  <c r="AS193" i="5"/>
  <c r="AR193" i="5"/>
  <c r="AQ193" i="5"/>
  <c r="AP193" i="5"/>
  <c r="AN193" i="5"/>
  <c r="AM193" i="5"/>
  <c r="AL193" i="5"/>
  <c r="AK193" i="5"/>
  <c r="AI193" i="5"/>
  <c r="AH193" i="5"/>
  <c r="AG193" i="5"/>
  <c r="AF193" i="5"/>
  <c r="AD193" i="5"/>
  <c r="AC193" i="5"/>
  <c r="AB193" i="5"/>
  <c r="AA193" i="5"/>
  <c r="CF192" i="5"/>
  <c r="CF191" i="5"/>
  <c r="CF173" i="5"/>
  <c r="CF172" i="5"/>
  <c r="BF172" i="5"/>
  <c r="BE172" i="5"/>
  <c r="BE196" i="5" s="1"/>
  <c r="BJ197" i="5" s="1"/>
  <c r="BC172" i="5"/>
  <c r="BC196" i="5" s="1"/>
  <c r="BB172" i="5"/>
  <c r="BA172" i="5"/>
  <c r="AZ172" i="5"/>
  <c r="AX172" i="5"/>
  <c r="AW172" i="5"/>
  <c r="AV172" i="5"/>
  <c r="AU172" i="5"/>
  <c r="AS172" i="5"/>
  <c r="AR172" i="5"/>
  <c r="AQ172" i="5"/>
  <c r="AP172" i="5"/>
  <c r="AN172" i="5"/>
  <c r="AM172" i="5"/>
  <c r="AL172" i="5"/>
  <c r="AK172" i="5"/>
  <c r="AI172" i="5"/>
  <c r="AH172" i="5"/>
  <c r="AG172" i="5"/>
  <c r="AF172" i="5"/>
  <c r="AD172" i="5"/>
  <c r="AC172" i="5"/>
  <c r="AB172" i="5"/>
  <c r="AA172" i="5"/>
  <c r="Y172" i="5"/>
  <c r="X172" i="5"/>
  <c r="W172" i="5"/>
  <c r="V172" i="5"/>
  <c r="CF168" i="5"/>
  <c r="BG168" i="5"/>
  <c r="BF168" i="5"/>
  <c r="BE168" i="5"/>
  <c r="BB168" i="5"/>
  <c r="BA168" i="5"/>
  <c r="AZ168" i="5"/>
  <c r="AX168" i="5"/>
  <c r="AW168" i="5"/>
  <c r="AV168" i="5"/>
  <c r="AU168" i="5"/>
  <c r="AS168" i="5"/>
  <c r="AR168" i="5"/>
  <c r="AQ168" i="5"/>
  <c r="AP168" i="5"/>
  <c r="AN168" i="5"/>
  <c r="AM168" i="5"/>
  <c r="AL168" i="5"/>
  <c r="AK168" i="5"/>
  <c r="AI168" i="5"/>
  <c r="AH168" i="5"/>
  <c r="AG168" i="5"/>
  <c r="AF168" i="5"/>
  <c r="AD168" i="5"/>
  <c r="AC168" i="5"/>
  <c r="AB168" i="5"/>
  <c r="AA168" i="5"/>
  <c r="CF167" i="5"/>
  <c r="BG167" i="5"/>
  <c r="BF167" i="5"/>
  <c r="BE167" i="5"/>
  <c r="BC167" i="5"/>
  <c r="BB167" i="5"/>
  <c r="BA167" i="5"/>
  <c r="AZ167" i="5"/>
  <c r="AX167" i="5"/>
  <c r="AW167" i="5"/>
  <c r="AV167" i="5"/>
  <c r="AU167" i="5"/>
  <c r="AS167" i="5"/>
  <c r="AR167" i="5"/>
  <c r="AQ167" i="5"/>
  <c r="AP167" i="5"/>
  <c r="AN167" i="5"/>
  <c r="AM167" i="5"/>
  <c r="AL167" i="5"/>
  <c r="AK167" i="5"/>
  <c r="AI167" i="5"/>
  <c r="AH167" i="5"/>
  <c r="AG167" i="5"/>
  <c r="AF167" i="5"/>
  <c r="AD167" i="5"/>
  <c r="AC167" i="5"/>
  <c r="AB167" i="5"/>
  <c r="AA167" i="5"/>
  <c r="CF166" i="5"/>
  <c r="BD166" i="5"/>
  <c r="AY166" i="5"/>
  <c r="AT166" i="5"/>
  <c r="AT163" i="5" s="1"/>
  <c r="CS163" i="5" s="1"/>
  <c r="AO166" i="5"/>
  <c r="AJ166" i="5"/>
  <c r="AE166" i="5"/>
  <c r="CP166" i="5" s="1"/>
  <c r="Z166" i="5"/>
  <c r="Z168" i="5" s="1"/>
  <c r="DA165" i="5"/>
  <c r="CZ165" i="5"/>
  <c r="CY165" i="5"/>
  <c r="CX165" i="5"/>
  <c r="CW165" i="5"/>
  <c r="CV165" i="5"/>
  <c r="CU165" i="5"/>
  <c r="CP165" i="5"/>
  <c r="CO165" i="5"/>
  <c r="CF165" i="5"/>
  <c r="AY165" i="5"/>
  <c r="CT165" i="5" s="1"/>
  <c r="AT165" i="5"/>
  <c r="CS165" i="5" s="1"/>
  <c r="AO165" i="5"/>
  <c r="CR165" i="5" s="1"/>
  <c r="AJ165" i="5"/>
  <c r="CQ165" i="5" s="1"/>
  <c r="DA164" i="5"/>
  <c r="CZ164" i="5"/>
  <c r="CY164" i="5"/>
  <c r="CX164" i="5"/>
  <c r="CW164" i="5"/>
  <c r="CV164" i="5"/>
  <c r="CU164" i="5"/>
  <c r="CT164" i="5"/>
  <c r="CS164" i="5"/>
  <c r="CR164" i="5"/>
  <c r="CQ164" i="5"/>
  <c r="CP164" i="5"/>
  <c r="CO164" i="5"/>
  <c r="CF164" i="5"/>
  <c r="DA163" i="5"/>
  <c r="CZ163" i="5"/>
  <c r="CY163" i="5"/>
  <c r="CX163" i="5"/>
  <c r="CW163" i="5"/>
  <c r="CV163" i="5"/>
  <c r="CU163" i="5"/>
  <c r="CO163" i="5"/>
  <c r="CF163" i="5"/>
  <c r="CF161" i="5"/>
  <c r="BG161" i="5"/>
  <c r="BF161" i="5"/>
  <c r="BE161" i="5"/>
  <c r="BB161" i="5"/>
  <c r="BA161" i="5"/>
  <c r="AZ161" i="5"/>
  <c r="AX161" i="5"/>
  <c r="AW161" i="5"/>
  <c r="AV161" i="5"/>
  <c r="AU161" i="5"/>
  <c r="AS161" i="5"/>
  <c r="AR161" i="5"/>
  <c r="AQ161" i="5"/>
  <c r="AP161" i="5"/>
  <c r="AN161" i="5"/>
  <c r="AM161" i="5"/>
  <c r="AL161" i="5"/>
  <c r="AK161" i="5"/>
  <c r="AI161" i="5"/>
  <c r="AH161" i="5"/>
  <c r="AG161" i="5"/>
  <c r="AF161" i="5"/>
  <c r="AD161" i="5"/>
  <c r="AC161" i="5"/>
  <c r="AB161" i="5"/>
  <c r="AA161" i="5"/>
  <c r="CX160" i="5"/>
  <c r="CW160" i="5"/>
  <c r="CF160" i="5"/>
  <c r="DA159" i="5"/>
  <c r="CZ159" i="5"/>
  <c r="CY159" i="5"/>
  <c r="CX159" i="5"/>
  <c r="CW159" i="5"/>
  <c r="CF159" i="5"/>
  <c r="CX158" i="5"/>
  <c r="CW158" i="5"/>
  <c r="CF158" i="5"/>
  <c r="CO157" i="5"/>
  <c r="CL157" i="5"/>
  <c r="CG157" i="5"/>
  <c r="CF157" i="5"/>
  <c r="BG157" i="5"/>
  <c r="BF157" i="5"/>
  <c r="BE157" i="5"/>
  <c r="BC157" i="5"/>
  <c r="BB157" i="5"/>
  <c r="BA157" i="5"/>
  <c r="AZ157" i="5"/>
  <c r="AX157" i="5"/>
  <c r="AW157" i="5"/>
  <c r="AV157" i="5"/>
  <c r="AU157" i="5"/>
  <c r="AS157" i="5"/>
  <c r="AR157" i="5"/>
  <c r="AQ157" i="5"/>
  <c r="AP157" i="5"/>
  <c r="AN157" i="5"/>
  <c r="AM157" i="5"/>
  <c r="AL157" i="5"/>
  <c r="AK157" i="5"/>
  <c r="AI157" i="5"/>
  <c r="AH157" i="5"/>
  <c r="AG157" i="5"/>
  <c r="AF157" i="5"/>
  <c r="AD157" i="5"/>
  <c r="AC157" i="5"/>
  <c r="AB157" i="5"/>
  <c r="AA157" i="5"/>
  <c r="F157" i="5"/>
  <c r="CK157" i="5" s="1"/>
  <c r="E157" i="5"/>
  <c r="CJ157" i="5" s="1"/>
  <c r="D157" i="5"/>
  <c r="CI157" i="5" s="1"/>
  <c r="C157" i="5"/>
  <c r="CH157" i="5" s="1"/>
  <c r="CF156" i="5"/>
  <c r="BD156" i="5"/>
  <c r="AY156" i="5"/>
  <c r="AT156" i="5"/>
  <c r="AO156" i="5"/>
  <c r="AJ156" i="5"/>
  <c r="AE156" i="5"/>
  <c r="Z156" i="5"/>
  <c r="CO156" i="5" s="1"/>
  <c r="CF155" i="5"/>
  <c r="CF154" i="5"/>
  <c r="CQ153" i="5"/>
  <c r="CP153" i="5"/>
  <c r="CO153" i="5"/>
  <c r="CN153" i="5"/>
  <c r="CM153" i="5"/>
  <c r="CL153" i="5"/>
  <c r="CK153" i="5"/>
  <c r="CJ153" i="5"/>
  <c r="CI153" i="5"/>
  <c r="CH153" i="5"/>
  <c r="CG153" i="5"/>
  <c r="CF153" i="5"/>
  <c r="AS153" i="5"/>
  <c r="AR153" i="5"/>
  <c r="AQ153" i="5"/>
  <c r="CF152" i="5"/>
  <c r="CF151" i="5"/>
  <c r="CF148" i="5"/>
  <c r="BF148" i="5"/>
  <c r="BE148" i="5"/>
  <c r="BC148" i="5"/>
  <c r="BB148" i="5"/>
  <c r="BA148" i="5"/>
  <c r="AZ148" i="5"/>
  <c r="AX148" i="5"/>
  <c r="AW148" i="5"/>
  <c r="AV148" i="5"/>
  <c r="AU148" i="5"/>
  <c r="AR148" i="5"/>
  <c r="AQ148" i="5"/>
  <c r="AP148" i="5"/>
  <c r="CF147" i="5"/>
  <c r="CF146" i="5"/>
  <c r="CF145" i="5"/>
  <c r="BF145" i="5"/>
  <c r="BA145" i="5"/>
  <c r="AZ145" i="5"/>
  <c r="AU145" i="5"/>
  <c r="CL143" i="5"/>
  <c r="CK143" i="5"/>
  <c r="CJ143" i="5"/>
  <c r="CI143" i="5"/>
  <c r="CH143" i="5"/>
  <c r="CG143" i="5"/>
  <c r="CF143" i="5"/>
  <c r="CL142" i="5"/>
  <c r="CK142" i="5"/>
  <c r="CJ142" i="5"/>
  <c r="CI142" i="5"/>
  <c r="CH142" i="5"/>
  <c r="CG142" i="5"/>
  <c r="CF142" i="5"/>
  <c r="BF141" i="5"/>
  <c r="BE141" i="5"/>
  <c r="BB141" i="5"/>
  <c r="BA141" i="5"/>
  <c r="AZ141" i="5"/>
  <c r="DA140" i="5"/>
  <c r="CZ140" i="5"/>
  <c r="CY140" i="5"/>
  <c r="CL140" i="5"/>
  <c r="CK140" i="5"/>
  <c r="CJ140" i="5"/>
  <c r="CI140" i="5"/>
  <c r="CH140" i="5"/>
  <c r="CG140" i="5"/>
  <c r="CF140" i="5"/>
  <c r="BS140" i="5"/>
  <c r="CX140" i="5" s="1"/>
  <c r="BN140" i="5"/>
  <c r="CW140" i="5" s="1"/>
  <c r="CL137" i="5"/>
  <c r="CK137" i="5"/>
  <c r="CJ137" i="5"/>
  <c r="CI137" i="5"/>
  <c r="CH137" i="5"/>
  <c r="CG137" i="5"/>
  <c r="CF137" i="5"/>
  <c r="BA136" i="5"/>
  <c r="BD136" i="5" s="1"/>
  <c r="CU136" i="5" s="1"/>
  <c r="AX136" i="5"/>
  <c r="AW136" i="5"/>
  <c r="AV136" i="5"/>
  <c r="AU136" i="5"/>
  <c r="AS136" i="5"/>
  <c r="AR136" i="5"/>
  <c r="AQ136" i="5"/>
  <c r="AP136" i="5"/>
  <c r="AN136" i="5"/>
  <c r="AM136" i="5"/>
  <c r="AL136" i="5"/>
  <c r="AK136" i="5"/>
  <c r="AE136" i="5"/>
  <c r="CP131" i="5"/>
  <c r="CF131" i="5"/>
  <c r="DA130" i="5"/>
  <c r="CZ130" i="5"/>
  <c r="CY130" i="5"/>
  <c r="CX130" i="5"/>
  <c r="CW130" i="5"/>
  <c r="CV130" i="5"/>
  <c r="CU130" i="5"/>
  <c r="CT130" i="5"/>
  <c r="CS130" i="5"/>
  <c r="CR130" i="5"/>
  <c r="CF130" i="5"/>
  <c r="AI130" i="5"/>
  <c r="AH130" i="5"/>
  <c r="AG130" i="5"/>
  <c r="AF130" i="5"/>
  <c r="DA129" i="5"/>
  <c r="CZ129" i="5"/>
  <c r="CY129" i="5"/>
  <c r="CX129" i="5"/>
  <c r="CW129" i="5"/>
  <c r="CV129" i="5"/>
  <c r="CU129" i="5"/>
  <c r="CT129" i="5"/>
  <c r="CS129" i="5"/>
  <c r="CR129" i="5"/>
  <c r="CF129" i="5"/>
  <c r="AI129" i="5"/>
  <c r="AH129" i="5"/>
  <c r="AG129" i="5"/>
  <c r="AF129" i="5"/>
  <c r="AD129" i="5"/>
  <c r="AC129" i="5"/>
  <c r="AB129" i="5"/>
  <c r="AA129" i="5"/>
  <c r="Z129" i="5"/>
  <c r="CO129" i="5" s="1"/>
  <c r="U129" i="5"/>
  <c r="CN129" i="5" s="1"/>
  <c r="P129" i="5"/>
  <c r="CM129" i="5" s="1"/>
  <c r="K129" i="5"/>
  <c r="CL129" i="5" s="1"/>
  <c r="F129" i="5"/>
  <c r="CK129" i="5" s="1"/>
  <c r="E129" i="5"/>
  <c r="CJ129" i="5" s="1"/>
  <c r="D129" i="5"/>
  <c r="CI129" i="5" s="1"/>
  <c r="C129" i="5"/>
  <c r="CH129" i="5" s="1"/>
  <c r="B129" i="5"/>
  <c r="CG129" i="5" s="1"/>
  <c r="DA128" i="5"/>
  <c r="CZ128" i="5"/>
  <c r="CY128" i="5"/>
  <c r="CX128" i="5"/>
  <c r="CW128" i="5"/>
  <c r="CV128" i="5"/>
  <c r="CU128" i="5"/>
  <c r="CT128" i="5"/>
  <c r="CS128" i="5"/>
  <c r="CR128" i="5"/>
  <c r="CO128" i="5"/>
  <c r="CN128" i="5"/>
  <c r="CM128" i="5"/>
  <c r="CL128" i="5"/>
  <c r="CK128" i="5"/>
  <c r="CJ128" i="5"/>
  <c r="CI128" i="5"/>
  <c r="CH128" i="5"/>
  <c r="CG128" i="5"/>
  <c r="CF128" i="5"/>
  <c r="AJ128" i="5"/>
  <c r="AE128" i="5"/>
  <c r="CF126" i="5"/>
  <c r="CF125" i="5"/>
  <c r="Z125" i="5"/>
  <c r="U125" i="5"/>
  <c r="P125" i="5"/>
  <c r="P131" i="5" s="1"/>
  <c r="CM131" i="5" s="1"/>
  <c r="K125" i="5"/>
  <c r="F125" i="5"/>
  <c r="E125" i="5"/>
  <c r="CJ125" i="5" s="1"/>
  <c r="D125" i="5"/>
  <c r="D131" i="5" s="1"/>
  <c r="CI131" i="5" s="1"/>
  <c r="C125" i="5"/>
  <c r="B125" i="5"/>
  <c r="B131" i="5" s="1"/>
  <c r="CG131" i="5" s="1"/>
  <c r="AZ122" i="5"/>
  <c r="AZ123" i="5" s="1"/>
  <c r="BD121" i="5"/>
  <c r="CF117" i="5"/>
  <c r="AZ117" i="5"/>
  <c r="Z117" i="5"/>
  <c r="CO117" i="5" s="1"/>
  <c r="U117" i="5"/>
  <c r="CN117" i="5" s="1"/>
  <c r="P117" i="5"/>
  <c r="CM117" i="5" s="1"/>
  <c r="K117" i="5"/>
  <c r="CL117" i="5" s="1"/>
  <c r="F117" i="5"/>
  <c r="CK117" i="5" s="1"/>
  <c r="E117" i="5"/>
  <c r="CJ117" i="5" s="1"/>
  <c r="D117" i="5"/>
  <c r="CI117" i="5" s="1"/>
  <c r="C117" i="5"/>
  <c r="CH117" i="5" s="1"/>
  <c r="B117" i="5"/>
  <c r="CG117" i="5" s="1"/>
  <c r="CO116" i="5"/>
  <c r="CN116" i="5"/>
  <c r="CM116" i="5"/>
  <c r="CL116" i="5"/>
  <c r="CK116" i="5"/>
  <c r="CJ116" i="5"/>
  <c r="CI116" i="5"/>
  <c r="CH116" i="5"/>
  <c r="CG116" i="5"/>
  <c r="CF116" i="5"/>
  <c r="BB116" i="5"/>
  <c r="BB122" i="5" s="1"/>
  <c r="BB123" i="5" s="1"/>
  <c r="BA116" i="5"/>
  <c r="AE116" i="5"/>
  <c r="CP116" i="5" s="1"/>
  <c r="BF95" i="5"/>
  <c r="BF96" i="5" s="1"/>
  <c r="BA95" i="5"/>
  <c r="BA96" i="5" s="1"/>
  <c r="AZ95" i="5"/>
  <c r="AZ96" i="5" s="1"/>
  <c r="BI94" i="5"/>
  <c r="CV94" i="5" s="1"/>
  <c r="BC94" i="5"/>
  <c r="CF90" i="5"/>
  <c r="BA90" i="5"/>
  <c r="AU90" i="5"/>
  <c r="AD90" i="5"/>
  <c r="AC90" i="5"/>
  <c r="AB90" i="5"/>
  <c r="AA90" i="5"/>
  <c r="K90" i="5"/>
  <c r="CL90" i="5" s="1"/>
  <c r="CO89" i="5"/>
  <c r="CN89" i="5"/>
  <c r="CM89" i="5"/>
  <c r="CL89" i="5"/>
  <c r="CF89" i="5"/>
  <c r="BB89" i="5"/>
  <c r="AX89" i="5"/>
  <c r="AX90" i="5" s="1"/>
  <c r="AV89" i="5"/>
  <c r="AS89" i="5"/>
  <c r="AS145" i="5" s="1"/>
  <c r="AR89" i="5"/>
  <c r="AQ89" i="5"/>
  <c r="AP89" i="5"/>
  <c r="AK89" i="5"/>
  <c r="AH89" i="5"/>
  <c r="AH90" i="5" s="1"/>
  <c r="AG89" i="5"/>
  <c r="AF89" i="5"/>
  <c r="AE89" i="5"/>
  <c r="AE14" i="5"/>
  <c r="CP14" i="5" s="1"/>
  <c r="AZ113" i="5"/>
  <c r="AZ114" i="5" s="1"/>
  <c r="BD112" i="5"/>
  <c r="CF108" i="5"/>
  <c r="AU108" i="5"/>
  <c r="CP107" i="5"/>
  <c r="CO107" i="5"/>
  <c r="CN107" i="5"/>
  <c r="CM107" i="5"/>
  <c r="CL107" i="5"/>
  <c r="CF107" i="5"/>
  <c r="BA107" i="5"/>
  <c r="AV107" i="5"/>
  <c r="AV108" i="5" s="1"/>
  <c r="AQ107" i="5"/>
  <c r="AQ108" i="5" s="1"/>
  <c r="AP107" i="5"/>
  <c r="AP108" i="5" s="1"/>
  <c r="AK107" i="5"/>
  <c r="U86" i="5"/>
  <c r="U87" i="5" s="1"/>
  <c r="P86" i="5"/>
  <c r="P87" i="5" s="1"/>
  <c r="K86" i="5"/>
  <c r="K87" i="5" s="1"/>
  <c r="BD85" i="5"/>
  <c r="CU85" i="5" s="1"/>
  <c r="CF81" i="5"/>
  <c r="AV81" i="5"/>
  <c r="AU81" i="5"/>
  <c r="AD81" i="5"/>
  <c r="AC81" i="5"/>
  <c r="AB81" i="5"/>
  <c r="AA81" i="5"/>
  <c r="Z81" i="5"/>
  <c r="CO81" i="5" s="1"/>
  <c r="U81" i="5"/>
  <c r="CN81" i="5" s="1"/>
  <c r="P81" i="5"/>
  <c r="CM81" i="5" s="1"/>
  <c r="K81" i="5"/>
  <c r="CL81" i="5" s="1"/>
  <c r="F81" i="5"/>
  <c r="CK81" i="5" s="1"/>
  <c r="E81" i="5"/>
  <c r="CJ81" i="5" s="1"/>
  <c r="D81" i="5"/>
  <c r="CI81" i="5" s="1"/>
  <c r="C81" i="5"/>
  <c r="CH81" i="5" s="1"/>
  <c r="B81" i="5"/>
  <c r="CG81" i="5" s="1"/>
  <c r="CO80" i="5"/>
  <c r="CN80" i="5"/>
  <c r="CM80" i="5"/>
  <c r="CL80" i="5"/>
  <c r="CK80" i="5"/>
  <c r="CJ80" i="5"/>
  <c r="CI80" i="5"/>
  <c r="CH80" i="5"/>
  <c r="CG80" i="5"/>
  <c r="CF80" i="5"/>
  <c r="BA80" i="5"/>
  <c r="AZ80" i="5"/>
  <c r="AQ80" i="5"/>
  <c r="AQ81" i="5" s="1"/>
  <c r="AP80" i="5"/>
  <c r="AL80" i="5"/>
  <c r="AL81" i="5" s="1"/>
  <c r="AK80" i="5"/>
  <c r="AK81" i="5" s="1"/>
  <c r="AH80" i="5"/>
  <c r="AH81" i="5" s="1"/>
  <c r="AG80" i="5"/>
  <c r="AG81" i="5" s="1"/>
  <c r="AF80" i="5"/>
  <c r="AE80" i="5"/>
  <c r="CF79" i="5"/>
  <c r="CQ78" i="5"/>
  <c r="CP78" i="5"/>
  <c r="CO78" i="5"/>
  <c r="CN78" i="5"/>
  <c r="CM78" i="5"/>
  <c r="CL78" i="5"/>
  <c r="CK78" i="5"/>
  <c r="CJ78" i="5"/>
  <c r="CI78" i="5"/>
  <c r="CH78" i="5"/>
  <c r="CG78" i="5"/>
  <c r="CF78" i="5"/>
  <c r="CF77" i="5"/>
  <c r="CF76" i="5"/>
  <c r="CF75" i="5"/>
  <c r="CQ73" i="5"/>
  <c r="CP73" i="5"/>
  <c r="CO73" i="5"/>
  <c r="CN73" i="5"/>
  <c r="CM73" i="5"/>
  <c r="CL73" i="5"/>
  <c r="CK73" i="5"/>
  <c r="CJ73" i="5"/>
  <c r="CI73" i="5"/>
  <c r="CH73" i="5"/>
  <c r="CG73" i="5"/>
  <c r="CF73" i="5"/>
  <c r="AZ73" i="5"/>
  <c r="DA72" i="5"/>
  <c r="CZ72" i="5"/>
  <c r="CY72" i="5"/>
  <c r="CK72" i="5"/>
  <c r="CJ72" i="5"/>
  <c r="CI72" i="5"/>
  <c r="CH72" i="5"/>
  <c r="CG72" i="5"/>
  <c r="CF72" i="5"/>
  <c r="BS72" i="5"/>
  <c r="CX72" i="5" s="1"/>
  <c r="BN72" i="5"/>
  <c r="CW72" i="5" s="1"/>
  <c r="BH72" i="5"/>
  <c r="BF72" i="5"/>
  <c r="BE72" i="5"/>
  <c r="BC72" i="5"/>
  <c r="BB72" i="5"/>
  <c r="BB73" i="5" s="1"/>
  <c r="BA72" i="5"/>
  <c r="AY72" i="5"/>
  <c r="CT72" i="5" s="1"/>
  <c r="AS72" i="5"/>
  <c r="AP72" i="5"/>
  <c r="AO72" i="5"/>
  <c r="CR72" i="5" s="1"/>
  <c r="AJ72" i="5"/>
  <c r="CQ72" i="5" s="1"/>
  <c r="AE72" i="5"/>
  <c r="CP72" i="5" s="1"/>
  <c r="Z72" i="5"/>
  <c r="CO72" i="5" s="1"/>
  <c r="U72" i="5"/>
  <c r="CN72" i="5" s="1"/>
  <c r="P72" i="5"/>
  <c r="CM72" i="5" s="1"/>
  <c r="K72" i="5"/>
  <c r="CL72" i="5" s="1"/>
  <c r="CO71" i="5"/>
  <c r="CN71" i="5"/>
  <c r="CM71" i="5"/>
  <c r="CL71" i="5"/>
  <c r="CK71" i="5"/>
  <c r="CJ71" i="5"/>
  <c r="CI71" i="5"/>
  <c r="CH71" i="5"/>
  <c r="CG71" i="5"/>
  <c r="CF71" i="5"/>
  <c r="BJ71" i="5"/>
  <c r="BJ73" i="5" s="1"/>
  <c r="BG71" i="5"/>
  <c r="BF71" i="5"/>
  <c r="BC71" i="5"/>
  <c r="BA71" i="5"/>
  <c r="AL73" i="5"/>
  <c r="AI71" i="5"/>
  <c r="AJ71" i="5" s="1"/>
  <c r="CQ71" i="5" s="1"/>
  <c r="AE71" i="5"/>
  <c r="CP71" i="5" s="1"/>
  <c r="CF69" i="5"/>
  <c r="AH69" i="5"/>
  <c r="AG69" i="5"/>
  <c r="AF69" i="5"/>
  <c r="CQ67" i="5"/>
  <c r="CF67" i="5"/>
  <c r="BF67" i="5"/>
  <c r="BG67" i="5" s="1"/>
  <c r="BE67" i="5"/>
  <c r="BC67" i="5"/>
  <c r="BB67" i="5"/>
  <c r="BA67" i="5"/>
  <c r="AZ67" i="5"/>
  <c r="AT67" i="5"/>
  <c r="CS67" i="5" s="1"/>
  <c r="AJ58" i="5"/>
  <c r="CF56" i="5"/>
  <c r="BB56" i="5"/>
  <c r="CQ55" i="5"/>
  <c r="CF55" i="5"/>
  <c r="AQ55" i="5"/>
  <c r="AP55" i="5"/>
  <c r="CQ54" i="5"/>
  <c r="CF54" i="5"/>
  <c r="BF54" i="5"/>
  <c r="BA54" i="5"/>
  <c r="AZ54" i="5"/>
  <c r="AZ56" i="5" s="1"/>
  <c r="CF52" i="5"/>
  <c r="BF52" i="5"/>
  <c r="BE52" i="5"/>
  <c r="BB52" i="5"/>
  <c r="BA52" i="5"/>
  <c r="AX52" i="5"/>
  <c r="AV52" i="5"/>
  <c r="AU52" i="5"/>
  <c r="AS52" i="5"/>
  <c r="AR52" i="5"/>
  <c r="AQ52" i="5"/>
  <c r="AP52" i="5"/>
  <c r="AK52" i="5"/>
  <c r="CQ51" i="5"/>
  <c r="CF51" i="5"/>
  <c r="BF51" i="5"/>
  <c r="BC51" i="5"/>
  <c r="BA51" i="5"/>
  <c r="AX51" i="5"/>
  <c r="AV51" i="5"/>
  <c r="AU51" i="5"/>
  <c r="AP51" i="5"/>
  <c r="CF50" i="5"/>
  <c r="BG50" i="5"/>
  <c r="AZ50" i="5"/>
  <c r="BE51" i="5" s="1"/>
  <c r="AT50" i="5"/>
  <c r="AJ50" i="5"/>
  <c r="CF48" i="5"/>
  <c r="AV48" i="5"/>
  <c r="AU48" i="5"/>
  <c r="AQ48" i="5"/>
  <c r="AP48" i="5"/>
  <c r="AK48" i="5"/>
  <c r="CQ47" i="5"/>
  <c r="CF47" i="5"/>
  <c r="AV47" i="5"/>
  <c r="AU47" i="5"/>
  <c r="AP47" i="5"/>
  <c r="CF46" i="5"/>
  <c r="BF46" i="5"/>
  <c r="BB46" i="5"/>
  <c r="BB107" i="5" s="1"/>
  <c r="BA46" i="5"/>
  <c r="BA48" i="5" s="1"/>
  <c r="AX48" i="5"/>
  <c r="AX107" i="5"/>
  <c r="AR107" i="5"/>
  <c r="AJ46" i="5"/>
  <c r="CF44" i="5"/>
  <c r="AV44" i="5"/>
  <c r="AU44" i="5"/>
  <c r="AQ44" i="5"/>
  <c r="AP44" i="5"/>
  <c r="AL44" i="5"/>
  <c r="AK44" i="5"/>
  <c r="CQ43" i="5"/>
  <c r="CF43" i="5"/>
  <c r="AV43" i="5"/>
  <c r="AU43" i="5"/>
  <c r="AQ43" i="5"/>
  <c r="AP43" i="5"/>
  <c r="CF42" i="5"/>
  <c r="BF42" i="5"/>
  <c r="BF44" i="5" s="1"/>
  <c r="BB42" i="5"/>
  <c r="BA42" i="5"/>
  <c r="CF41" i="5"/>
  <c r="CF40" i="5"/>
  <c r="CF39" i="5"/>
  <c r="CP38" i="5"/>
  <c r="CG38" i="5"/>
  <c r="CF38" i="5"/>
  <c r="CF37" i="5"/>
  <c r="CF35" i="5"/>
  <c r="CG34" i="5"/>
  <c r="CF34" i="5"/>
  <c r="AI34" i="5"/>
  <c r="AH34" i="5"/>
  <c r="AG34" i="5"/>
  <c r="AF34" i="5"/>
  <c r="AD34" i="5"/>
  <c r="AC34" i="5"/>
  <c r="AB34" i="5"/>
  <c r="AA34" i="5"/>
  <c r="Z34" i="5"/>
  <c r="CO34" i="5" s="1"/>
  <c r="U34" i="5"/>
  <c r="CN34" i="5" s="1"/>
  <c r="P34" i="5"/>
  <c r="CM34" i="5" s="1"/>
  <c r="K34" i="5"/>
  <c r="CL34" i="5" s="1"/>
  <c r="F34" i="5"/>
  <c r="CK34" i="5" s="1"/>
  <c r="E34" i="5"/>
  <c r="CJ34" i="5" s="1"/>
  <c r="D34" i="5"/>
  <c r="CI34" i="5" s="1"/>
  <c r="C34" i="5"/>
  <c r="CH34" i="5" s="1"/>
  <c r="CO33" i="5"/>
  <c r="CN33" i="5"/>
  <c r="CM33" i="5"/>
  <c r="CL33" i="5"/>
  <c r="CK33" i="5"/>
  <c r="CJ33" i="5"/>
  <c r="CI33" i="5"/>
  <c r="CH33" i="5"/>
  <c r="CG33" i="5"/>
  <c r="CF33" i="5"/>
  <c r="AJ33" i="5"/>
  <c r="AE33" i="5"/>
  <c r="CP33" i="5" s="1"/>
  <c r="CF31" i="5"/>
  <c r="CF30" i="5"/>
  <c r="Z30" i="5"/>
  <c r="U30" i="5"/>
  <c r="P30" i="5"/>
  <c r="CM30" i="5" s="1"/>
  <c r="K30" i="5"/>
  <c r="CL30" i="5" s="1"/>
  <c r="F30" i="5"/>
  <c r="E30" i="5"/>
  <c r="CJ30" i="5" s="1"/>
  <c r="D30" i="5"/>
  <c r="D37" i="5" s="1"/>
  <c r="C30" i="5"/>
  <c r="CH30" i="5" s="1"/>
  <c r="B30" i="5"/>
  <c r="CO25" i="5"/>
  <c r="CN25" i="5"/>
  <c r="CM25" i="5"/>
  <c r="CL25" i="5"/>
  <c r="CF25" i="5"/>
  <c r="BD25" i="5"/>
  <c r="AY25" i="5"/>
  <c r="AY209" i="4" s="1"/>
  <c r="AT25" i="5"/>
  <c r="AT209" i="4" s="1"/>
  <c r="AO25" i="5"/>
  <c r="AO209" i="4" s="1"/>
  <c r="AJ25" i="5"/>
  <c r="AJ209" i="4" s="1"/>
  <c r="AE25" i="5"/>
  <c r="CP25" i="5" s="1"/>
  <c r="CG24" i="5"/>
  <c r="CF24" i="5"/>
  <c r="BG24" i="5"/>
  <c r="BF24" i="5"/>
  <c r="BE24" i="5"/>
  <c r="Z24" i="5"/>
  <c r="CO24" i="5" s="1"/>
  <c r="U24" i="5"/>
  <c r="CN24" i="5" s="1"/>
  <c r="P24" i="5"/>
  <c r="CM24" i="5" s="1"/>
  <c r="K24" i="5"/>
  <c r="CL24" i="5" s="1"/>
  <c r="F24" i="5"/>
  <c r="CK24" i="5" s="1"/>
  <c r="E24" i="5"/>
  <c r="CJ24" i="5" s="1"/>
  <c r="D24" i="5"/>
  <c r="CI24" i="5" s="1"/>
  <c r="C24" i="5"/>
  <c r="CH24" i="5" s="1"/>
  <c r="CF23" i="5"/>
  <c r="DA23" i="5"/>
  <c r="CZ23" i="5"/>
  <c r="CY23" i="5"/>
  <c r="AU23" i="5"/>
  <c r="AU208" i="4" s="1"/>
  <c r="AO23" i="5"/>
  <c r="CR23" i="5" s="1"/>
  <c r="AJ23" i="5"/>
  <c r="AE23" i="5"/>
  <c r="AE362" i="5" s="1"/>
  <c r="CP362" i="5" s="1"/>
  <c r="CF22" i="5"/>
  <c r="BZ22" i="5"/>
  <c r="DA22" i="5" s="1"/>
  <c r="BY22" i="5"/>
  <c r="CZ22" i="5" s="1"/>
  <c r="CY22" i="5"/>
  <c r="BR22" i="5"/>
  <c r="BQ22" i="5"/>
  <c r="BP22" i="5"/>
  <c r="AO22" i="5"/>
  <c r="AO207" i="4" s="1"/>
  <c r="AJ22" i="5"/>
  <c r="AE22" i="5"/>
  <c r="AE359" i="5" s="1"/>
  <c r="CP359" i="5" s="1"/>
  <c r="CO21" i="5"/>
  <c r="CN21" i="5"/>
  <c r="CM21" i="5"/>
  <c r="CL21" i="5"/>
  <c r="CK21" i="5"/>
  <c r="CJ21" i="5"/>
  <c r="CI21" i="5"/>
  <c r="CH21" i="5"/>
  <c r="CG21" i="5"/>
  <c r="CF21" i="5"/>
  <c r="AH21" i="5"/>
  <c r="AH16" i="5" s="1"/>
  <c r="AG21" i="5"/>
  <c r="AG395" i="5" s="1"/>
  <c r="AF21" i="5"/>
  <c r="AF116" i="5" s="1"/>
  <c r="AF117" i="5" s="1"/>
  <c r="AD21" i="5"/>
  <c r="AD387" i="5" s="1"/>
  <c r="AC21" i="5"/>
  <c r="AC30" i="5" s="1"/>
  <c r="AC37" i="5" s="1"/>
  <c r="AB21" i="5"/>
  <c r="AB117" i="5" s="1"/>
  <c r="AA21" i="5"/>
  <c r="AA117" i="5" s="1"/>
  <c r="CO20" i="5"/>
  <c r="CN20" i="5"/>
  <c r="CM20" i="5"/>
  <c r="CL20" i="5"/>
  <c r="CF20" i="5"/>
  <c r="AH20" i="5"/>
  <c r="AG20" i="5"/>
  <c r="AL354" i="5" s="1"/>
  <c r="AF20" i="5"/>
  <c r="AD20" i="5"/>
  <c r="AI354" i="5" s="1"/>
  <c r="AC20" i="5"/>
  <c r="AC341" i="5" s="1"/>
  <c r="AA20" i="5"/>
  <c r="AA354" i="5" s="1"/>
  <c r="AB20" i="5"/>
  <c r="CF15" i="5"/>
  <c r="BG15" i="5"/>
  <c r="BF15" i="5"/>
  <c r="BB15" i="5"/>
  <c r="BA15" i="5"/>
  <c r="AX15" i="5"/>
  <c r="AW15" i="5"/>
  <c r="AV15" i="5"/>
  <c r="AU15" i="5"/>
  <c r="AS15" i="5"/>
  <c r="AR15" i="5"/>
  <c r="AQ15" i="5"/>
  <c r="AP15" i="5"/>
  <c r="AN15" i="5"/>
  <c r="AM15" i="5"/>
  <c r="AL15" i="5"/>
  <c r="AK15" i="5"/>
  <c r="AI15" i="5"/>
  <c r="AH15" i="5"/>
  <c r="AG15" i="5"/>
  <c r="AF15" i="5"/>
  <c r="CF14" i="5"/>
  <c r="AT14" i="5"/>
  <c r="CS14" i="5" s="1"/>
  <c r="AO14" i="5"/>
  <c r="AO203" i="4" s="1"/>
  <c r="AJ14" i="5"/>
  <c r="CF19" i="5"/>
  <c r="BG19" i="5"/>
  <c r="BF19" i="5"/>
  <c r="BB19" i="5"/>
  <c r="BA19" i="5"/>
  <c r="AX19" i="5"/>
  <c r="AW19" i="5"/>
  <c r="AV19" i="5"/>
  <c r="AU19" i="5"/>
  <c r="AS19" i="5"/>
  <c r="AR19" i="5"/>
  <c r="AQ19" i="5"/>
  <c r="AP19" i="5"/>
  <c r="AN19" i="5"/>
  <c r="AM19" i="5"/>
  <c r="AL19" i="5"/>
  <c r="AK19" i="5"/>
  <c r="AI19" i="5"/>
  <c r="AH19" i="5"/>
  <c r="AG19" i="5"/>
  <c r="AF19" i="5"/>
  <c r="CF18" i="5"/>
  <c r="AY18" i="5"/>
  <c r="AT18" i="5"/>
  <c r="AO18" i="5"/>
  <c r="AJ18" i="5"/>
  <c r="CQ18" i="5" s="1"/>
  <c r="AE18" i="5"/>
  <c r="CF13" i="5"/>
  <c r="BG13" i="5"/>
  <c r="BF13" i="5"/>
  <c r="BE13" i="5"/>
  <c r="BB13" i="5"/>
  <c r="BA13" i="5"/>
  <c r="AZ13" i="5"/>
  <c r="AX13" i="5"/>
  <c r="AW13" i="5"/>
  <c r="AV13" i="5"/>
  <c r="AU13" i="5"/>
  <c r="AS13" i="5"/>
  <c r="AR13" i="5"/>
  <c r="AQ13" i="5"/>
  <c r="AP13" i="5"/>
  <c r="AN13" i="5"/>
  <c r="AM13" i="5"/>
  <c r="AL13" i="5"/>
  <c r="AK13" i="5"/>
  <c r="AI13" i="5"/>
  <c r="AH13" i="5"/>
  <c r="AG13" i="5"/>
  <c r="AF13" i="5"/>
  <c r="AD13" i="5"/>
  <c r="AC13" i="5"/>
  <c r="AB13" i="5"/>
  <c r="AA13" i="5"/>
  <c r="Z13" i="5"/>
  <c r="CO13" i="5" s="1"/>
  <c r="U13" i="5"/>
  <c r="CN13" i="5" s="1"/>
  <c r="P13" i="5"/>
  <c r="CM13" i="5" s="1"/>
  <c r="K13" i="5"/>
  <c r="CL13" i="5" s="1"/>
  <c r="CO12" i="5"/>
  <c r="CN12" i="5"/>
  <c r="CM12" i="5"/>
  <c r="CL12" i="5"/>
  <c r="CK12" i="5"/>
  <c r="CJ12" i="5"/>
  <c r="CI12" i="5"/>
  <c r="CH12" i="5"/>
  <c r="CG12" i="5"/>
  <c r="CF12" i="5"/>
  <c r="AY12" i="5"/>
  <c r="AT12" i="5"/>
  <c r="AO12" i="5"/>
  <c r="AJ12" i="5"/>
  <c r="CQ12" i="5" s="1"/>
  <c r="AE12" i="5"/>
  <c r="AE13" i="5" s="1"/>
  <c r="CP13" i="5" s="1"/>
  <c r="CF9" i="5"/>
  <c r="AU344" i="4"/>
  <c r="AP344" i="4"/>
  <c r="AK344" i="4"/>
  <c r="AF344" i="4"/>
  <c r="AA344" i="4"/>
  <c r="V344" i="4"/>
  <c r="Q344" i="4"/>
  <c r="L344" i="4"/>
  <c r="G344" i="4"/>
  <c r="F344" i="4"/>
  <c r="BE333" i="4"/>
  <c r="AZ333" i="4"/>
  <c r="AU333" i="4"/>
  <c r="AP333" i="4"/>
  <c r="AK333" i="4"/>
  <c r="AF333" i="4"/>
  <c r="AA333" i="4"/>
  <c r="V333" i="4"/>
  <c r="Q333" i="4"/>
  <c r="L333" i="4"/>
  <c r="G333" i="4"/>
  <c r="F333" i="4"/>
  <c r="E333" i="4"/>
  <c r="D333" i="4"/>
  <c r="C333" i="4"/>
  <c r="BG331" i="4"/>
  <c r="BF331" i="4"/>
  <c r="BC331" i="4"/>
  <c r="BB331" i="4"/>
  <c r="BA331" i="4"/>
  <c r="AX331" i="4"/>
  <c r="AW331" i="4"/>
  <c r="AV331" i="4"/>
  <c r="AS331" i="4"/>
  <c r="AR331" i="4"/>
  <c r="AQ331" i="4"/>
  <c r="AN331" i="4"/>
  <c r="AM331" i="4"/>
  <c r="AL331" i="4"/>
  <c r="AI331" i="4"/>
  <c r="AH331" i="4"/>
  <c r="AG331" i="4"/>
  <c r="AD331" i="4"/>
  <c r="AC331" i="4"/>
  <c r="AB331" i="4"/>
  <c r="Y331" i="4"/>
  <c r="X331" i="4"/>
  <c r="W331" i="4"/>
  <c r="T331" i="4"/>
  <c r="S331" i="4"/>
  <c r="R331" i="4"/>
  <c r="O331" i="4"/>
  <c r="N331" i="4"/>
  <c r="M331" i="4"/>
  <c r="J331" i="4"/>
  <c r="I331" i="4"/>
  <c r="H331" i="4"/>
  <c r="G331" i="4"/>
  <c r="F331" i="4"/>
  <c r="E331" i="4"/>
  <c r="D331" i="4"/>
  <c r="C319" i="4"/>
  <c r="AZ308" i="4"/>
  <c r="AZ315" i="4" s="1"/>
  <c r="AY315" i="4"/>
  <c r="AT315" i="4"/>
  <c r="AO315" i="4"/>
  <c r="AJ315" i="4"/>
  <c r="BA312" i="4"/>
  <c r="AZ312" i="4"/>
  <c r="AV312" i="4"/>
  <c r="AU312" i="4"/>
  <c r="AS312" i="4"/>
  <c r="AT312" i="4" s="1"/>
  <c r="AT66" i="4" s="1"/>
  <c r="AR312" i="4"/>
  <c r="AQ312" i="4"/>
  <c r="AQ311" i="4" s="1"/>
  <c r="AP312" i="4"/>
  <c r="AN66" i="4"/>
  <c r="AN312" i="4" s="1"/>
  <c r="AM312" i="4"/>
  <c r="AL312" i="4"/>
  <c r="AL311" i="4" s="1"/>
  <c r="AK312" i="4"/>
  <c r="AI312" i="4"/>
  <c r="AH312" i="4"/>
  <c r="AG312" i="4"/>
  <c r="AH311" i="4" s="1"/>
  <c r="AF312" i="4"/>
  <c r="AC312" i="4"/>
  <c r="AA312" i="4"/>
  <c r="AB312" i="4" s="1"/>
  <c r="AB311" i="4" s="1"/>
  <c r="X312" i="4"/>
  <c r="W312" i="4"/>
  <c r="V312" i="4"/>
  <c r="S312" i="4"/>
  <c r="R312" i="4"/>
  <c r="Q312" i="4"/>
  <c r="N312" i="4"/>
  <c r="M312" i="4"/>
  <c r="L312" i="4"/>
  <c r="I312" i="4"/>
  <c r="H312" i="4"/>
  <c r="G312" i="4"/>
  <c r="BE308" i="4"/>
  <c r="AU308" i="4"/>
  <c r="AU309" i="4" s="1"/>
  <c r="AZ302" i="4"/>
  <c r="AZ303" i="4" s="1"/>
  <c r="AU302" i="4"/>
  <c r="AU303" i="4" s="1"/>
  <c r="AP302" i="4"/>
  <c r="AP303" i="4" s="1"/>
  <c r="AK302" i="4"/>
  <c r="AK303" i="4" s="1"/>
  <c r="AF302" i="4"/>
  <c r="AA302" i="4"/>
  <c r="V302" i="4"/>
  <c r="V303" i="4" s="1"/>
  <c r="Q302" i="4"/>
  <c r="L302" i="4"/>
  <c r="L303" i="4" s="1"/>
  <c r="CQ298" i="4"/>
  <c r="CP298" i="4"/>
  <c r="CO298" i="4"/>
  <c r="CN298" i="4"/>
  <c r="CD298" i="4"/>
  <c r="CD296" i="4"/>
  <c r="CD295" i="4"/>
  <c r="BB294" i="4"/>
  <c r="BC294" i="4"/>
  <c r="AP294" i="4"/>
  <c r="AQ294" i="4"/>
  <c r="AL294" i="4"/>
  <c r="AM294" i="4"/>
  <c r="AH294" i="4"/>
  <c r="AI294" i="4"/>
  <c r="CN294" i="4" s="1"/>
  <c r="V294" i="4"/>
  <c r="W294" i="4"/>
  <c r="R294" i="4"/>
  <c r="S294" i="4"/>
  <c r="N294" i="4"/>
  <c r="O294" i="4"/>
  <c r="F294" i="4"/>
  <c r="G294" i="4"/>
  <c r="B294" i="4"/>
  <c r="C294" i="4"/>
  <c r="CD294" i="4"/>
  <c r="BE294" i="4"/>
  <c r="BA294" i="4"/>
  <c r="AZ294" i="4"/>
  <c r="AX294" i="4"/>
  <c r="AW294" i="4"/>
  <c r="AV294" i="4"/>
  <c r="AU294" i="4"/>
  <c r="AR294" i="4"/>
  <c r="AN294" i="4"/>
  <c r="AK294" i="4"/>
  <c r="AL295" i="4" s="1"/>
  <c r="AG294" i="4"/>
  <c r="AF294" i="4"/>
  <c r="AD294" i="4"/>
  <c r="AC294" i="4"/>
  <c r="AB294" i="4"/>
  <c r="AA294" i="4"/>
  <c r="Y294" i="4"/>
  <c r="X294" i="4"/>
  <c r="T294" i="4"/>
  <c r="Q294" i="4"/>
  <c r="M294" i="4"/>
  <c r="L294" i="4"/>
  <c r="J294" i="4"/>
  <c r="I294" i="4"/>
  <c r="H294" i="4"/>
  <c r="E294" i="4"/>
  <c r="D294" i="4"/>
  <c r="CD293" i="4"/>
  <c r="BF293" i="4"/>
  <c r="BE293" i="4"/>
  <c r="BC293" i="4"/>
  <c r="BB293" i="4"/>
  <c r="BA293" i="4"/>
  <c r="BA343" i="4" s="1"/>
  <c r="AZ293" i="4"/>
  <c r="AX293" i="4"/>
  <c r="AX343" i="4" s="1"/>
  <c r="AW293" i="4"/>
  <c r="AV293" i="4"/>
  <c r="AV343" i="4" s="1"/>
  <c r="AU293" i="4"/>
  <c r="AR293" i="4"/>
  <c r="AQ293" i="4"/>
  <c r="AQ343" i="4" s="1"/>
  <c r="AP293" i="4"/>
  <c r="AM293" i="4"/>
  <c r="AM343" i="4" s="1"/>
  <c r="AL293" i="4"/>
  <c r="AL343" i="4" s="1"/>
  <c r="AK293" i="4"/>
  <c r="AK343" i="4" s="1"/>
  <c r="AI293" i="4"/>
  <c r="AI343" i="4" s="1"/>
  <c r="AH293" i="4"/>
  <c r="AG293" i="4"/>
  <c r="AG343" i="4" s="1"/>
  <c r="AF293" i="4"/>
  <c r="AC293" i="4"/>
  <c r="AC343" i="4" s="1"/>
  <c r="AB293" i="4"/>
  <c r="AA293" i="4"/>
  <c r="X293" i="4"/>
  <c r="W293" i="4"/>
  <c r="W343" i="4" s="1"/>
  <c r="V293" i="4"/>
  <c r="S293" i="4"/>
  <c r="R293" i="4"/>
  <c r="Q293" i="4"/>
  <c r="Q343" i="4" s="1"/>
  <c r="N293" i="4"/>
  <c r="N343" i="4" s="1"/>
  <c r="M293" i="4"/>
  <c r="M343" i="4" s="1"/>
  <c r="L293" i="4"/>
  <c r="L343" i="4" s="1"/>
  <c r="I293" i="4"/>
  <c r="I343" i="4" s="1"/>
  <c r="H293" i="4"/>
  <c r="G293" i="4"/>
  <c r="G343" i="4" s="1"/>
  <c r="F293" i="4"/>
  <c r="F343" i="4" s="1"/>
  <c r="E293" i="4"/>
  <c r="E343" i="4" s="1"/>
  <c r="D293" i="4"/>
  <c r="D343" i="4" s="1"/>
  <c r="C293" i="4"/>
  <c r="C343" i="4" s="1"/>
  <c r="B293" i="4"/>
  <c r="B343" i="4" s="1"/>
  <c r="CY291" i="4"/>
  <c r="CX291" i="4"/>
  <c r="CW291" i="4"/>
  <c r="CV291" i="4"/>
  <c r="CU291" i="4"/>
  <c r="CT291" i="4"/>
  <c r="CS291" i="4"/>
  <c r="CR291" i="4"/>
  <c r="CQ291" i="4"/>
  <c r="CP291" i="4"/>
  <c r="CO291" i="4"/>
  <c r="CN291" i="4"/>
  <c r="CD291" i="4"/>
  <c r="CD290" i="4"/>
  <c r="CD289" i="4"/>
  <c r="CD288" i="4"/>
  <c r="BF284" i="4"/>
  <c r="BG280" i="4" s="1"/>
  <c r="BE284" i="4"/>
  <c r="BF280" i="4" s="1"/>
  <c r="BF281" i="4"/>
  <c r="BC284" i="4"/>
  <c r="BB284" i="4"/>
  <c r="BC280" i="4" s="1"/>
  <c r="BA284" i="4"/>
  <c r="BB281" i="4"/>
  <c r="AZ284" i="4"/>
  <c r="BA280" i="4" s="1"/>
  <c r="AX284" i="4"/>
  <c r="AW284" i="4"/>
  <c r="AX280" i="4" s="1"/>
  <c r="AX281" i="4"/>
  <c r="AV284" i="4"/>
  <c r="AW280" i="4"/>
  <c r="AU284" i="4"/>
  <c r="AV280" i="4" s="1"/>
  <c r="AS284" i="4"/>
  <c r="AR284" i="4"/>
  <c r="AS280" i="4"/>
  <c r="AQ284" i="4"/>
  <c r="AR280" i="4" s="1"/>
  <c r="AP284" i="4"/>
  <c r="AQ280" i="4" s="1"/>
  <c r="AN284" i="4"/>
  <c r="AM284" i="4"/>
  <c r="AN280" i="4" s="1"/>
  <c r="AL284" i="4"/>
  <c r="AK284" i="4"/>
  <c r="AL280" i="4" s="1"/>
  <c r="AI284" i="4"/>
  <c r="AH284" i="4"/>
  <c r="AI280" i="4" s="1"/>
  <c r="AG284" i="4"/>
  <c r="AH280" i="4" s="1"/>
  <c r="AH281" i="4"/>
  <c r="AF284" i="4"/>
  <c r="AG280" i="4" s="1"/>
  <c r="AD284" i="4"/>
  <c r="AC284" i="4"/>
  <c r="AD280" i="4" s="1"/>
  <c r="AD281" i="4"/>
  <c r="AB284" i="4"/>
  <c r="AC280" i="4" s="1"/>
  <c r="AA284" i="4"/>
  <c r="AB280" i="4" s="1"/>
  <c r="Y284" i="4"/>
  <c r="X284" i="4"/>
  <c r="Y280" i="4" s="1"/>
  <c r="W284" i="4"/>
  <c r="X280" i="4" s="1"/>
  <c r="V284" i="4"/>
  <c r="W280" i="4" s="1"/>
  <c r="T284" i="4"/>
  <c r="S284" i="4"/>
  <c r="T280" i="4" s="1"/>
  <c r="R284" i="4"/>
  <c r="Q284" i="4"/>
  <c r="R280" i="4" s="1"/>
  <c r="R281" i="4"/>
  <c r="O284" i="4"/>
  <c r="N284" i="4"/>
  <c r="O280" i="4" s="1"/>
  <c r="M284" i="4"/>
  <c r="N281" i="4"/>
  <c r="L284" i="4"/>
  <c r="J284" i="4"/>
  <c r="I284" i="4"/>
  <c r="J280" i="4" s="1"/>
  <c r="J281" i="4"/>
  <c r="H284" i="4"/>
  <c r="I280" i="4" s="1"/>
  <c r="G284" i="4"/>
  <c r="H280" i="4" s="1"/>
  <c r="F284" i="4"/>
  <c r="E284" i="4"/>
  <c r="F281" i="4"/>
  <c r="D284" i="4"/>
  <c r="E280" i="4" s="1"/>
  <c r="C284" i="4"/>
  <c r="D280" i="4" s="1"/>
  <c r="B284" i="4"/>
  <c r="C280" i="4" s="1"/>
  <c r="BZ282" i="4"/>
  <c r="BY282" i="4"/>
  <c r="BR282" i="4"/>
  <c r="BQ282" i="4"/>
  <c r="BP282" i="4"/>
  <c r="BZ281" i="4"/>
  <c r="BY281" i="4"/>
  <c r="BR281" i="4"/>
  <c r="BQ281" i="4"/>
  <c r="BP281" i="4"/>
  <c r="BG281" i="4"/>
  <c r="BE281" i="4"/>
  <c r="BC281" i="4"/>
  <c r="BA281" i="4"/>
  <c r="AZ281" i="4"/>
  <c r="AV281" i="4"/>
  <c r="AU281" i="4"/>
  <c r="AS281" i="4"/>
  <c r="AP281" i="4"/>
  <c r="AN281" i="4"/>
  <c r="AM281" i="4"/>
  <c r="AK281" i="4"/>
  <c r="AI281" i="4"/>
  <c r="AG281" i="4"/>
  <c r="AF281" i="4"/>
  <c r="AC281" i="4"/>
  <c r="AB281" i="4"/>
  <c r="AA281" i="4"/>
  <c r="Y281" i="4"/>
  <c r="X281" i="4"/>
  <c r="W281" i="4"/>
  <c r="V281" i="4"/>
  <c r="T281" i="4"/>
  <c r="S281" i="4"/>
  <c r="Q281" i="4"/>
  <c r="O281" i="4"/>
  <c r="M281" i="4"/>
  <c r="L281" i="4"/>
  <c r="I281" i="4"/>
  <c r="H281" i="4"/>
  <c r="G281" i="4"/>
  <c r="E281" i="4"/>
  <c r="D281" i="4"/>
  <c r="C281" i="4"/>
  <c r="M280" i="4"/>
  <c r="BF277" i="4"/>
  <c r="BG273" i="4" s="1"/>
  <c r="BE277" i="4"/>
  <c r="BF273" i="4" s="1"/>
  <c r="BC277" i="4"/>
  <c r="BB277" i="4"/>
  <c r="BC273" i="4" s="1"/>
  <c r="BA277" i="4"/>
  <c r="BB273" i="4" s="1"/>
  <c r="AZ277" i="4"/>
  <c r="BA273" i="4" s="1"/>
  <c r="AX277" i="4"/>
  <c r="AW277" i="4"/>
  <c r="AX273" i="4" s="1"/>
  <c r="AV277" i="4"/>
  <c r="AW273" i="4" s="1"/>
  <c r="AU277" i="4"/>
  <c r="AV273" i="4" s="1"/>
  <c r="AS277" i="4"/>
  <c r="AR277" i="4"/>
  <c r="AS273" i="4" s="1"/>
  <c r="AQ277" i="4"/>
  <c r="AR273" i="4" s="1"/>
  <c r="AP277" i="4"/>
  <c r="AQ273" i="4" s="1"/>
  <c r="AN277" i="4"/>
  <c r="AM277" i="4"/>
  <c r="AN273" i="4" s="1"/>
  <c r="AL277" i="4"/>
  <c r="AM273" i="4" s="1"/>
  <c r="AK277" i="4"/>
  <c r="AL273" i="4" s="1"/>
  <c r="AI277" i="4"/>
  <c r="AH277" i="4"/>
  <c r="AI273" i="4" s="1"/>
  <c r="AG277" i="4"/>
  <c r="AH273" i="4" s="1"/>
  <c r="AF277" i="4"/>
  <c r="AG273" i="4" s="1"/>
  <c r="AD277" i="4"/>
  <c r="AC277" i="4"/>
  <c r="AD273" i="4" s="1"/>
  <c r="BE274" i="4"/>
  <c r="AZ274" i="4"/>
  <c r="AU274" i="4"/>
  <c r="AP274" i="4"/>
  <c r="AK274" i="4"/>
  <c r="AF274" i="4"/>
  <c r="AA274" i="4"/>
  <c r="V274" i="4"/>
  <c r="Q274" i="4"/>
  <c r="L274" i="4"/>
  <c r="G274" i="4"/>
  <c r="F274" i="4"/>
  <c r="E274" i="4"/>
  <c r="D274" i="4"/>
  <c r="C274" i="4"/>
  <c r="B274" i="4"/>
  <c r="B275" i="4" s="1"/>
  <c r="BF270" i="4"/>
  <c r="BG265" i="4" s="1"/>
  <c r="BE270" i="4"/>
  <c r="BF265" i="4" s="1"/>
  <c r="BC270" i="4"/>
  <c r="BB270" i="4"/>
  <c r="BC265" i="4" s="1"/>
  <c r="BA270" i="4"/>
  <c r="BB265" i="4" s="1"/>
  <c r="AZ270" i="4"/>
  <c r="BA265" i="4" s="1"/>
  <c r="AX270" i="4"/>
  <c r="AW270" i="4"/>
  <c r="AX265" i="4" s="1"/>
  <c r="AV270" i="4"/>
  <c r="AW265" i="4" s="1"/>
  <c r="AU270" i="4"/>
  <c r="AV265" i="4" s="1"/>
  <c r="AS270" i="4"/>
  <c r="AR270" i="4"/>
  <c r="AS265" i="4" s="1"/>
  <c r="AQ270" i="4"/>
  <c r="AR265" i="4" s="1"/>
  <c r="AP270" i="4"/>
  <c r="AQ265" i="4" s="1"/>
  <c r="AN270" i="4"/>
  <c r="AM270" i="4"/>
  <c r="AN265" i="4" s="1"/>
  <c r="AL270" i="4"/>
  <c r="AK270" i="4"/>
  <c r="AL265" i="4" s="1"/>
  <c r="AI270" i="4"/>
  <c r="AH270" i="4"/>
  <c r="AI265" i="4" s="1"/>
  <c r="AG270" i="4"/>
  <c r="AF270" i="4"/>
  <c r="AG265" i="4" s="1"/>
  <c r="AD270" i="4"/>
  <c r="AC270" i="4"/>
  <c r="AD265" i="4" s="1"/>
  <c r="AB270" i="4"/>
  <c r="AC265" i="4" s="1"/>
  <c r="AA270" i="4"/>
  <c r="AB265" i="4" s="1"/>
  <c r="Y270" i="4"/>
  <c r="X270" i="4"/>
  <c r="Y265" i="4" s="1"/>
  <c r="W270" i="4"/>
  <c r="X265" i="4" s="1"/>
  <c r="V270" i="4"/>
  <c r="W265" i="4" s="1"/>
  <c r="T270" i="4"/>
  <c r="S270" i="4"/>
  <c r="T265" i="4" s="1"/>
  <c r="R270" i="4"/>
  <c r="S265" i="4" s="1"/>
  <c r="Q270" i="4"/>
  <c r="R265" i="4" s="1"/>
  <c r="O270" i="4"/>
  <c r="N270" i="4"/>
  <c r="O265" i="4" s="1"/>
  <c r="M270" i="4"/>
  <c r="N265" i="4" s="1"/>
  <c r="L270" i="4"/>
  <c r="M265" i="4" s="1"/>
  <c r="J270" i="4"/>
  <c r="I270" i="4"/>
  <c r="J265" i="4" s="1"/>
  <c r="H270" i="4"/>
  <c r="I265" i="4" s="1"/>
  <c r="G270" i="4"/>
  <c r="H265" i="4" s="1"/>
  <c r="F270" i="4"/>
  <c r="E270" i="4"/>
  <c r="F265" i="4" s="1"/>
  <c r="D270" i="4"/>
  <c r="E265" i="4" s="1"/>
  <c r="C270" i="4"/>
  <c r="D265" i="4" s="1"/>
  <c r="B270" i="4"/>
  <c r="C265" i="4" s="1"/>
  <c r="BZ268" i="4"/>
  <c r="BY268" i="4"/>
  <c r="BR268" i="4"/>
  <c r="BQ268" i="4"/>
  <c r="BP268" i="4"/>
  <c r="BE267" i="4"/>
  <c r="AZ267" i="4"/>
  <c r="AU267" i="4"/>
  <c r="AP267" i="4"/>
  <c r="AK267" i="4"/>
  <c r="AF267" i="4"/>
  <c r="AA267" i="4"/>
  <c r="V267" i="4"/>
  <c r="Q267" i="4"/>
  <c r="L267" i="4"/>
  <c r="G267" i="4"/>
  <c r="F267" i="4"/>
  <c r="E267" i="4"/>
  <c r="D267" i="4"/>
  <c r="C267" i="4"/>
  <c r="B267" i="4"/>
  <c r="BE266" i="4"/>
  <c r="AZ266" i="4"/>
  <c r="AU266" i="4"/>
  <c r="AP266" i="4"/>
  <c r="AK266" i="4"/>
  <c r="AF266" i="4"/>
  <c r="AA266" i="4"/>
  <c r="BZ262" i="4"/>
  <c r="BZ275" i="4" s="1"/>
  <c r="BY262" i="4"/>
  <c r="BY275" i="4" s="1"/>
  <c r="BR262" i="4"/>
  <c r="BR275" i="4" s="1"/>
  <c r="BQ262" i="4"/>
  <c r="BQ275" i="4" s="1"/>
  <c r="BP262" i="4"/>
  <c r="BP275" i="4" s="1"/>
  <c r="BH262" i="4"/>
  <c r="BG262" i="4"/>
  <c r="BF262" i="4"/>
  <c r="BE262" i="4"/>
  <c r="BC262" i="4"/>
  <c r="BB262" i="4"/>
  <c r="BA262" i="4"/>
  <c r="AZ262" i="4"/>
  <c r="BZ256" i="4"/>
  <c r="BY256" i="4"/>
  <c r="BR256" i="4"/>
  <c r="BQ256" i="4"/>
  <c r="BP256" i="4"/>
  <c r="BE252" i="4"/>
  <c r="BE342" i="4" s="1"/>
  <c r="AZ252" i="4"/>
  <c r="AZ342" i="4" s="1"/>
  <c r="AU252" i="4"/>
  <c r="AU342" i="4" s="1"/>
  <c r="AP252" i="4"/>
  <c r="AP342" i="4" s="1"/>
  <c r="AK252" i="4"/>
  <c r="AK342" i="4" s="1"/>
  <c r="AF252" i="4"/>
  <c r="AF342" i="4" s="1"/>
  <c r="AA252" i="4"/>
  <c r="BZ247" i="4"/>
  <c r="BZ245" i="4" s="1"/>
  <c r="BY247" i="4"/>
  <c r="BY245" i="4" s="1"/>
  <c r="BR247" i="4"/>
  <c r="BS247" i="4" s="1"/>
  <c r="BQ247" i="4"/>
  <c r="BQ245" i="4" s="1"/>
  <c r="BP247" i="4"/>
  <c r="BP245" i="4" s="1"/>
  <c r="BL245" i="4"/>
  <c r="BH247" i="4"/>
  <c r="BG247" i="4"/>
  <c r="BG245" i="4" s="1"/>
  <c r="BF247" i="4"/>
  <c r="BF245" i="4" s="1"/>
  <c r="BE247" i="4"/>
  <c r="BE245" i="4" s="1"/>
  <c r="BC247" i="4"/>
  <c r="BC245" i="4" s="1"/>
  <c r="BB247" i="4"/>
  <c r="BB245" i="4" s="1"/>
  <c r="BA247" i="4"/>
  <c r="BA245" i="4" s="1"/>
  <c r="AZ247" i="4"/>
  <c r="AZ245" i="4" s="1"/>
  <c r="AX247" i="4"/>
  <c r="AY247" i="4" s="1"/>
  <c r="AW247" i="4"/>
  <c r="AW245" i="4" s="1"/>
  <c r="AS247" i="4"/>
  <c r="AP247" i="4"/>
  <c r="AQ247" i="4" s="1"/>
  <c r="AR247" i="4" s="1"/>
  <c r="AN247" i="4"/>
  <c r="AM247" i="4"/>
  <c r="AM246" i="4"/>
  <c r="AL247" i="4"/>
  <c r="AK247" i="4"/>
  <c r="AI247" i="4"/>
  <c r="AH247" i="4"/>
  <c r="AG247" i="4"/>
  <c r="AF247" i="4"/>
  <c r="AD247" i="4"/>
  <c r="AD246" i="4"/>
  <c r="AC247" i="4"/>
  <c r="AC246" i="4"/>
  <c r="AB247" i="4"/>
  <c r="AA247" i="4"/>
  <c r="Y247" i="4"/>
  <c r="X247" i="4"/>
  <c r="W247" i="4"/>
  <c r="V247" i="4"/>
  <c r="T247" i="4"/>
  <c r="S247" i="4"/>
  <c r="S246" i="4"/>
  <c r="R247" i="4"/>
  <c r="Q247" i="4"/>
  <c r="O247" i="4"/>
  <c r="N247" i="4"/>
  <c r="M247" i="4"/>
  <c r="L247" i="4"/>
  <c r="J247" i="4"/>
  <c r="J246" i="4"/>
  <c r="I247" i="4"/>
  <c r="I246" i="4"/>
  <c r="H247" i="4"/>
  <c r="G247" i="4"/>
  <c r="BS246" i="4"/>
  <c r="BI246" i="4"/>
  <c r="BD246" i="4"/>
  <c r="AY246" i="4"/>
  <c r="AS246" i="4"/>
  <c r="AP246" i="4"/>
  <c r="AQ246" i="4" s="1"/>
  <c r="AN246" i="4"/>
  <c r="AN245" i="4" s="1"/>
  <c r="AL246" i="4"/>
  <c r="AK246" i="4"/>
  <c r="AI246" i="4"/>
  <c r="AH246" i="4"/>
  <c r="AG246" i="4"/>
  <c r="AF246" i="4"/>
  <c r="AB246" i="4"/>
  <c r="AA246" i="4"/>
  <c r="Y246" i="4"/>
  <c r="X246" i="4"/>
  <c r="W246" i="4"/>
  <c r="W245" i="4" s="1"/>
  <c r="W47" i="4" s="1"/>
  <c r="V246" i="4"/>
  <c r="T246" i="4"/>
  <c r="R246" i="4"/>
  <c r="Q246" i="4"/>
  <c r="Q245" i="4" s="1"/>
  <c r="O246" i="4"/>
  <c r="O245" i="4" s="1"/>
  <c r="N246" i="4"/>
  <c r="M246" i="4"/>
  <c r="L246" i="4"/>
  <c r="L245" i="4" s="1"/>
  <c r="H246" i="4"/>
  <c r="G246" i="4"/>
  <c r="G245" i="4" s="1"/>
  <c r="U245" i="4"/>
  <c r="P245" i="4"/>
  <c r="K245" i="4"/>
  <c r="F245" i="4"/>
  <c r="E245" i="4"/>
  <c r="D245" i="4"/>
  <c r="C245" i="4"/>
  <c r="B245" i="4"/>
  <c r="Y243" i="4"/>
  <c r="Y242" i="4"/>
  <c r="Y241" i="4"/>
  <c r="Y240" i="4"/>
  <c r="Y239" i="4"/>
  <c r="Y238" i="4"/>
  <c r="Y237" i="4"/>
  <c r="Y236" i="4"/>
  <c r="AH230" i="4"/>
  <c r="AG230" i="4"/>
  <c r="BE227" i="4"/>
  <c r="AZ227" i="4"/>
  <c r="AU227" i="4"/>
  <c r="AP227" i="4"/>
  <c r="AK227" i="4"/>
  <c r="AF227" i="4"/>
  <c r="AA227" i="4"/>
  <c r="V227" i="4"/>
  <c r="Q227" i="4"/>
  <c r="L227" i="4"/>
  <c r="G227" i="4"/>
  <c r="F227" i="4"/>
  <c r="E227" i="4"/>
  <c r="D227" i="4"/>
  <c r="C227" i="4"/>
  <c r="B227" i="4"/>
  <c r="AD224" i="4"/>
  <c r="W224" i="4"/>
  <c r="Y224" i="4" s="1"/>
  <c r="S224" i="4"/>
  <c r="R224" i="4"/>
  <c r="R23" i="4" s="1"/>
  <c r="O224" i="4"/>
  <c r="P224" i="4" s="1"/>
  <c r="G224" i="4"/>
  <c r="I224" i="4"/>
  <c r="I23" i="4" s="1"/>
  <c r="F224" i="4"/>
  <c r="AC220" i="4"/>
  <c r="AB220" i="4"/>
  <c r="AA220" i="4"/>
  <c r="AA230" i="4" s="1"/>
  <c r="X220" i="4"/>
  <c r="X230" i="4" s="1"/>
  <c r="W220" i="4"/>
  <c r="W230" i="4" s="1"/>
  <c r="W226" i="4" s="1"/>
  <c r="V220" i="4"/>
  <c r="S220" i="4"/>
  <c r="R220" i="4"/>
  <c r="Q220" i="4"/>
  <c r="N220" i="4"/>
  <c r="M220" i="4"/>
  <c r="M230" i="4" s="1"/>
  <c r="L220" i="4"/>
  <c r="L230" i="4" s="1"/>
  <c r="I220" i="4"/>
  <c r="I230" i="4" s="1"/>
  <c r="I222" i="4" s="1"/>
  <c r="H220" i="4"/>
  <c r="G220" i="4"/>
  <c r="G230" i="4" s="1"/>
  <c r="F220" i="4"/>
  <c r="E220" i="4"/>
  <c r="D220" i="4"/>
  <c r="D230" i="4" s="1"/>
  <c r="D226" i="4" s="1"/>
  <c r="C220" i="4"/>
  <c r="B220" i="4"/>
  <c r="AH218" i="4"/>
  <c r="AG218" i="4"/>
  <c r="AF218" i="4"/>
  <c r="AC218" i="4"/>
  <c r="AB218" i="4"/>
  <c r="AA218" i="4"/>
  <c r="X218" i="4"/>
  <c r="W218" i="4"/>
  <c r="V218" i="4"/>
  <c r="S218" i="4"/>
  <c r="R218" i="4"/>
  <c r="Q218" i="4"/>
  <c r="N218" i="4"/>
  <c r="M218" i="4"/>
  <c r="L218" i="4"/>
  <c r="I218" i="4"/>
  <c r="H218" i="4"/>
  <c r="G218" i="4"/>
  <c r="F218" i="4"/>
  <c r="E218" i="4"/>
  <c r="D218" i="4"/>
  <c r="C218" i="4"/>
  <c r="B218" i="4"/>
  <c r="AD217" i="4"/>
  <c r="AD19" i="4" s="1"/>
  <c r="Y217" i="4"/>
  <c r="T217" i="4"/>
  <c r="U217" i="4" s="1"/>
  <c r="O217" i="4"/>
  <c r="P217" i="4" s="1"/>
  <c r="J217" i="4"/>
  <c r="J19" i="4" s="1"/>
  <c r="AH215" i="4"/>
  <c r="AG215" i="4"/>
  <c r="AF215" i="4"/>
  <c r="AC215" i="4"/>
  <c r="AB215" i="4"/>
  <c r="AA215" i="4"/>
  <c r="X215" i="4"/>
  <c r="W215" i="4"/>
  <c r="V215" i="4"/>
  <c r="S215" i="4"/>
  <c r="R215" i="4"/>
  <c r="Q215" i="4"/>
  <c r="N215" i="4"/>
  <c r="M215" i="4"/>
  <c r="L215" i="4"/>
  <c r="I215" i="4"/>
  <c r="H215" i="4"/>
  <c r="G215" i="4"/>
  <c r="F215" i="4"/>
  <c r="E215" i="4"/>
  <c r="D215" i="4"/>
  <c r="C215" i="4"/>
  <c r="B215" i="4"/>
  <c r="AD214" i="4"/>
  <c r="AE214" i="4" s="1"/>
  <c r="Y214" i="4"/>
  <c r="T214" i="4"/>
  <c r="T220" i="4" s="1"/>
  <c r="O214" i="4"/>
  <c r="O18" i="4" s="1"/>
  <c r="J214" i="4"/>
  <c r="J18" i="4" s="1"/>
  <c r="AH210" i="4"/>
  <c r="AF221" i="4"/>
  <c r="AC210" i="4"/>
  <c r="AB210" i="4"/>
  <c r="AA210" i="4"/>
  <c r="X210" i="4"/>
  <c r="W210" i="4"/>
  <c r="V210" i="4"/>
  <c r="S210" i="4"/>
  <c r="R210" i="4"/>
  <c r="Q210" i="4"/>
  <c r="N210" i="4"/>
  <c r="M210" i="4"/>
  <c r="L210" i="4"/>
  <c r="I210" i="4"/>
  <c r="H210" i="4"/>
  <c r="G210" i="4"/>
  <c r="F210" i="4"/>
  <c r="E210" i="4"/>
  <c r="D210" i="4"/>
  <c r="C210" i="4"/>
  <c r="B210" i="4"/>
  <c r="A209" i="4"/>
  <c r="A205" i="4"/>
  <c r="AQ208" i="4"/>
  <c r="AP208" i="4"/>
  <c r="AN208" i="4"/>
  <c r="AM208" i="4"/>
  <c r="AL208" i="4"/>
  <c r="AK208" i="4"/>
  <c r="AI208" i="4"/>
  <c r="A208" i="4"/>
  <c r="AV207" i="4"/>
  <c r="AU207" i="4"/>
  <c r="AR207" i="4"/>
  <c r="AQ207" i="4"/>
  <c r="AP207" i="4"/>
  <c r="AN207" i="4"/>
  <c r="AM207" i="4"/>
  <c r="AL207" i="4"/>
  <c r="AK207" i="4"/>
  <c r="AI207" i="4"/>
  <c r="A207" i="4"/>
  <c r="A206" i="4"/>
  <c r="BG203" i="4"/>
  <c r="BF203" i="4"/>
  <c r="BE203" i="4"/>
  <c r="BB203" i="4"/>
  <c r="BA203" i="4"/>
  <c r="AX203" i="4"/>
  <c r="AW203" i="4"/>
  <c r="AV203" i="4"/>
  <c r="AU203" i="4"/>
  <c r="AS203" i="4"/>
  <c r="AR203" i="4"/>
  <c r="AQ203" i="4"/>
  <c r="AP203" i="4"/>
  <c r="AN203" i="4"/>
  <c r="AM203" i="4"/>
  <c r="AL203" i="4"/>
  <c r="AK203" i="4"/>
  <c r="AI203" i="4"/>
  <c r="A203" i="4"/>
  <c r="BG204" i="4"/>
  <c r="BF204" i="4"/>
  <c r="BF202" i="4" s="1"/>
  <c r="BE204" i="4"/>
  <c r="BE202" i="4" s="1"/>
  <c r="BB204" i="4"/>
  <c r="BA204" i="4"/>
  <c r="AX204" i="4"/>
  <c r="AW204" i="4"/>
  <c r="AV204" i="4"/>
  <c r="AU204" i="4"/>
  <c r="AS204" i="4"/>
  <c r="AR204" i="4"/>
  <c r="AQ204" i="4"/>
  <c r="AP204" i="4"/>
  <c r="AN204" i="4"/>
  <c r="AM204" i="4"/>
  <c r="AL204" i="4"/>
  <c r="AK204" i="4"/>
  <c r="AI204" i="4"/>
  <c r="A204" i="4"/>
  <c r="A201" i="4"/>
  <c r="AH199" i="4"/>
  <c r="AG199" i="4"/>
  <c r="AF199" i="4"/>
  <c r="AC199" i="4"/>
  <c r="AB199" i="4"/>
  <c r="AA199" i="4"/>
  <c r="X199" i="4"/>
  <c r="W199" i="4"/>
  <c r="V199" i="4"/>
  <c r="S199" i="4"/>
  <c r="R199" i="4"/>
  <c r="Q199" i="4"/>
  <c r="N199" i="4"/>
  <c r="M199" i="4"/>
  <c r="L199" i="4"/>
  <c r="F199" i="4"/>
  <c r="E199" i="4"/>
  <c r="D199" i="4"/>
  <c r="C199" i="4"/>
  <c r="AI198" i="4"/>
  <c r="AI218" i="4" s="1"/>
  <c r="AD198" i="4"/>
  <c r="Y198" i="4"/>
  <c r="T198" i="4"/>
  <c r="O198" i="4"/>
  <c r="J198" i="4"/>
  <c r="AH196" i="4"/>
  <c r="AG196" i="4"/>
  <c r="AF196" i="4"/>
  <c r="AC196" i="4"/>
  <c r="AB196" i="4"/>
  <c r="AA196" i="4"/>
  <c r="X196" i="4"/>
  <c r="W196" i="4"/>
  <c r="V196" i="4"/>
  <c r="S196" i="4"/>
  <c r="R196" i="4"/>
  <c r="Q196" i="4"/>
  <c r="N196" i="4"/>
  <c r="M196" i="4"/>
  <c r="L196" i="4"/>
  <c r="F196" i="4"/>
  <c r="E196" i="4"/>
  <c r="D196" i="4"/>
  <c r="C196" i="4"/>
  <c r="AI195" i="4"/>
  <c r="AJ195" i="4" s="1"/>
  <c r="AD195" i="4"/>
  <c r="Y195" i="4"/>
  <c r="Y11" i="4" s="1"/>
  <c r="T195" i="4"/>
  <c r="O195" i="4"/>
  <c r="P195" i="4" s="1"/>
  <c r="J195" i="4"/>
  <c r="CD189" i="4"/>
  <c r="CD187" i="4"/>
  <c r="CD185" i="4"/>
  <c r="BE183" i="4"/>
  <c r="BE185" i="4" s="1"/>
  <c r="BA183" i="4"/>
  <c r="BA185" i="4" s="1"/>
  <c r="AW183" i="4"/>
  <c r="AW185" i="4" s="1"/>
  <c r="AU183" i="4"/>
  <c r="AU185" i="4" s="1"/>
  <c r="AH183" i="4"/>
  <c r="AH185" i="4" s="1"/>
  <c r="AD183" i="4"/>
  <c r="AD185" i="4" s="1"/>
  <c r="AT184" i="4"/>
  <c r="CQ184" i="4" s="1"/>
  <c r="Z184" i="4"/>
  <c r="CM184" i="4" s="1"/>
  <c r="CI184" i="4"/>
  <c r="CH184" i="4"/>
  <c r="CG184" i="4"/>
  <c r="CF184" i="4"/>
  <c r="CE184" i="4"/>
  <c r="CD184" i="4"/>
  <c r="AY184" i="4"/>
  <c r="CR184" i="4" s="1"/>
  <c r="AO184" i="4"/>
  <c r="CP184" i="4" s="1"/>
  <c r="AJ184" i="4"/>
  <c r="CO184" i="4" s="1"/>
  <c r="AE184" i="4"/>
  <c r="CN184" i="4" s="1"/>
  <c r="U184" i="4"/>
  <c r="CL184" i="4" s="1"/>
  <c r="P184" i="4"/>
  <c r="CK184" i="4" s="1"/>
  <c r="K184" i="4"/>
  <c r="CJ184" i="4" s="1"/>
  <c r="CD183" i="4"/>
  <c r="BF183" i="4"/>
  <c r="BF185" i="4" s="1"/>
  <c r="BD178" i="4"/>
  <c r="CS178" i="4" s="1"/>
  <c r="BD179" i="4"/>
  <c r="CS179" i="4" s="1"/>
  <c r="BD180" i="4"/>
  <c r="CS180" i="4" s="1"/>
  <c r="BD181" i="4"/>
  <c r="BD182" i="4"/>
  <c r="CS182" i="4" s="1"/>
  <c r="BC183" i="4"/>
  <c r="BC185" i="4" s="1"/>
  <c r="BB183" i="4"/>
  <c r="BB185" i="4" s="1"/>
  <c r="AZ183" i="4"/>
  <c r="AZ185" i="4" s="1"/>
  <c r="AZ167" i="4"/>
  <c r="AZ169" i="4" s="1"/>
  <c r="AZ175" i="4" s="1"/>
  <c r="AX183" i="4"/>
  <c r="AX185" i="4" s="1"/>
  <c r="AV183" i="4"/>
  <c r="AS183" i="4"/>
  <c r="AS185" i="4" s="1"/>
  <c r="AR183" i="4"/>
  <c r="AR185" i="4" s="1"/>
  <c r="AQ183" i="4"/>
  <c r="AQ185" i="4" s="1"/>
  <c r="AP183" i="4"/>
  <c r="AP185" i="4" s="1"/>
  <c r="AN183" i="4"/>
  <c r="AN185" i="4" s="1"/>
  <c r="AM183" i="4"/>
  <c r="AM185" i="4" s="1"/>
  <c r="AL183" i="4"/>
  <c r="AL185" i="4" s="1"/>
  <c r="AK183" i="4"/>
  <c r="AK185" i="4" s="1"/>
  <c r="AJ178" i="4"/>
  <c r="AJ179" i="4"/>
  <c r="CO179" i="4" s="1"/>
  <c r="AJ180" i="4"/>
  <c r="CO180" i="4" s="1"/>
  <c r="AJ181" i="4"/>
  <c r="CO181" i="4" s="1"/>
  <c r="AJ182" i="4"/>
  <c r="CO182" i="4" s="1"/>
  <c r="AI183" i="4"/>
  <c r="AI185" i="4" s="1"/>
  <c r="AG183" i="4"/>
  <c r="AG185" i="4" s="1"/>
  <c r="AF183" i="4"/>
  <c r="AF185" i="4" s="1"/>
  <c r="AC183" i="4"/>
  <c r="AC185" i="4" s="1"/>
  <c r="AB183" i="4"/>
  <c r="AB185" i="4" s="1"/>
  <c r="AA183" i="4"/>
  <c r="AA185" i="4" s="1"/>
  <c r="Y183" i="4"/>
  <c r="Y185" i="4" s="1"/>
  <c r="X183" i="4"/>
  <c r="X185" i="4" s="1"/>
  <c r="W183" i="4"/>
  <c r="W185" i="4" s="1"/>
  <c r="V183" i="4"/>
  <c r="V185" i="4" s="1"/>
  <c r="T183" i="4"/>
  <c r="T185" i="4" s="1"/>
  <c r="S183" i="4"/>
  <c r="S185" i="4" s="1"/>
  <c r="R183" i="4"/>
  <c r="R185" i="4" s="1"/>
  <c r="Q183" i="4"/>
  <c r="Q185" i="4" s="1"/>
  <c r="P178" i="4"/>
  <c r="CK178" i="4" s="1"/>
  <c r="P179" i="4"/>
  <c r="P180" i="4"/>
  <c r="CK180" i="4" s="1"/>
  <c r="P181" i="4"/>
  <c r="CK181" i="4" s="1"/>
  <c r="P182" i="4"/>
  <c r="CK182" i="4" s="1"/>
  <c r="O183" i="4"/>
  <c r="O185" i="4" s="1"/>
  <c r="O167" i="4"/>
  <c r="P167" i="4" s="1"/>
  <c r="O173" i="4"/>
  <c r="N183" i="4"/>
  <c r="N185" i="4" s="1"/>
  <c r="M183" i="4"/>
  <c r="M185" i="4" s="1"/>
  <c r="L183" i="4"/>
  <c r="L185" i="4" s="1"/>
  <c r="J183" i="4"/>
  <c r="J185" i="4" s="1"/>
  <c r="J167" i="4"/>
  <c r="J173" i="4"/>
  <c r="K173" i="4" s="1"/>
  <c r="CJ173" i="4" s="1"/>
  <c r="I183" i="4"/>
  <c r="I185" i="4" s="1"/>
  <c r="H183" i="4"/>
  <c r="H185" i="4" s="1"/>
  <c r="G183" i="4"/>
  <c r="G185" i="4" s="1"/>
  <c r="F182" i="4"/>
  <c r="F183" i="4" s="1"/>
  <c r="F185" i="4" s="1"/>
  <c r="CI185" i="4" s="1"/>
  <c r="AT182" i="4"/>
  <c r="CQ182" i="4" s="1"/>
  <c r="Z182" i="4"/>
  <c r="CM182" i="4" s="1"/>
  <c r="U182" i="4"/>
  <c r="CL182" i="4" s="1"/>
  <c r="D182" i="4"/>
  <c r="CG182" i="4" s="1"/>
  <c r="B182" i="4"/>
  <c r="CE182" i="4" s="1"/>
  <c r="CD182" i="4"/>
  <c r="BI182" i="4"/>
  <c r="CT182" i="4" s="1"/>
  <c r="BN182" i="4"/>
  <c r="AY182" i="4"/>
  <c r="CR182" i="4" s="1"/>
  <c r="AO182" i="4"/>
  <c r="CP182" i="4" s="1"/>
  <c r="AE182" i="4"/>
  <c r="CN182" i="4" s="1"/>
  <c r="K182" i="4"/>
  <c r="CJ182" i="4" s="1"/>
  <c r="E182" i="4"/>
  <c r="E183" i="4" s="1"/>
  <c r="C182" i="4"/>
  <c r="CF182" i="4" s="1"/>
  <c r="AY181" i="4"/>
  <c r="CR181" i="4" s="1"/>
  <c r="AE181" i="4"/>
  <c r="CN181" i="4" s="1"/>
  <c r="K181" i="4"/>
  <c r="CJ181" i="4" s="1"/>
  <c r="CI181" i="4"/>
  <c r="CH181" i="4"/>
  <c r="CG181" i="4"/>
  <c r="CF181" i="4"/>
  <c r="CE181" i="4"/>
  <c r="CD181" i="4"/>
  <c r="BI181" i="4"/>
  <c r="AT181" i="4"/>
  <c r="CQ181" i="4" s="1"/>
  <c r="AO181" i="4"/>
  <c r="CP181" i="4" s="1"/>
  <c r="Z181" i="4"/>
  <c r="CM181" i="4" s="1"/>
  <c r="U181" i="4"/>
  <c r="CL181" i="4" s="1"/>
  <c r="AY180" i="4"/>
  <c r="CR180" i="4" s="1"/>
  <c r="AE180" i="4"/>
  <c r="CN180" i="4" s="1"/>
  <c r="K180" i="4"/>
  <c r="CJ180" i="4" s="1"/>
  <c r="CI180" i="4"/>
  <c r="CH180" i="4"/>
  <c r="CG180" i="4"/>
  <c r="CF180" i="4"/>
  <c r="CE180" i="4"/>
  <c r="CD180" i="4"/>
  <c r="AT180" i="4"/>
  <c r="CQ180" i="4" s="1"/>
  <c r="AO180" i="4"/>
  <c r="CP180" i="4" s="1"/>
  <c r="Z180" i="4"/>
  <c r="CM180" i="4" s="1"/>
  <c r="U180" i="4"/>
  <c r="CL180" i="4" s="1"/>
  <c r="AY179" i="4"/>
  <c r="CR179" i="4" s="1"/>
  <c r="AE179" i="4"/>
  <c r="K179" i="4"/>
  <c r="CJ179" i="4" s="1"/>
  <c r="CI179" i="4"/>
  <c r="CH179" i="4"/>
  <c r="CG179" i="4"/>
  <c r="CF179" i="4"/>
  <c r="CE179" i="4"/>
  <c r="CD179" i="4"/>
  <c r="AT179" i="4"/>
  <c r="CQ179" i="4" s="1"/>
  <c r="AO179" i="4"/>
  <c r="Z179" i="4"/>
  <c r="CM179" i="4" s="1"/>
  <c r="U179" i="4"/>
  <c r="CL179" i="4" s="1"/>
  <c r="AY178" i="4"/>
  <c r="CR178" i="4" s="1"/>
  <c r="AE178" i="4"/>
  <c r="K178" i="4"/>
  <c r="CJ178" i="4" s="1"/>
  <c r="CI178" i="4"/>
  <c r="CH178" i="4"/>
  <c r="CG178" i="4"/>
  <c r="CF178" i="4"/>
  <c r="CD178" i="4"/>
  <c r="BI178" i="4"/>
  <c r="CT178" i="4" s="1"/>
  <c r="AT178" i="4"/>
  <c r="AO178" i="4"/>
  <c r="CP178" i="4" s="1"/>
  <c r="Z178" i="4"/>
  <c r="U178" i="4"/>
  <c r="B178" i="4"/>
  <c r="C331" i="4" s="1"/>
  <c r="CD177" i="4"/>
  <c r="AY176" i="4"/>
  <c r="CR176" i="4" s="1"/>
  <c r="AT176" i="4"/>
  <c r="CQ176" i="4" s="1"/>
  <c r="AE176" i="4"/>
  <c r="CN176" i="4" s="1"/>
  <c r="CM176" i="4"/>
  <c r="CL176" i="4"/>
  <c r="CK176" i="4"/>
  <c r="CJ176" i="4"/>
  <c r="CI176" i="4"/>
  <c r="CH176" i="4"/>
  <c r="CG176" i="4"/>
  <c r="CF176" i="4"/>
  <c r="CE176" i="4"/>
  <c r="CD176" i="4"/>
  <c r="BI176" i="4"/>
  <c r="BD176" i="4"/>
  <c r="CS176" i="4" s="1"/>
  <c r="AO176" i="4"/>
  <c r="CP176" i="4" s="1"/>
  <c r="AJ176" i="4"/>
  <c r="CO176" i="4" s="1"/>
  <c r="CD175" i="4"/>
  <c r="F173" i="4"/>
  <c r="CI173" i="4" s="1"/>
  <c r="B173" i="4"/>
  <c r="CE173" i="4" s="1"/>
  <c r="CD173" i="4"/>
  <c r="BC173" i="4"/>
  <c r="BD173" i="4" s="1"/>
  <c r="CS173" i="4" s="1"/>
  <c r="AX173" i="4"/>
  <c r="AY173" i="4" s="1"/>
  <c r="CR173" i="4" s="1"/>
  <c r="AS173" i="4"/>
  <c r="AT173" i="4" s="1"/>
  <c r="CQ173" i="4" s="1"/>
  <c r="AO173" i="4"/>
  <c r="CP173" i="4" s="1"/>
  <c r="AJ173" i="4"/>
  <c r="CO173" i="4" s="1"/>
  <c r="AH173" i="4"/>
  <c r="AG173" i="4"/>
  <c r="AF173" i="4"/>
  <c r="AD173" i="4"/>
  <c r="AE173" i="4" s="1"/>
  <c r="CN173" i="4" s="1"/>
  <c r="AC173" i="4"/>
  <c r="AB173" i="4"/>
  <c r="AA173" i="4"/>
  <c r="Y173" i="4"/>
  <c r="Z173" i="4" s="1"/>
  <c r="CM173" i="4" s="1"/>
  <c r="X173" i="4"/>
  <c r="W173" i="4"/>
  <c r="V173" i="4"/>
  <c r="T173" i="4"/>
  <c r="U173" i="4" s="1"/>
  <c r="CL173" i="4" s="1"/>
  <c r="S173" i="4"/>
  <c r="R173" i="4"/>
  <c r="Q173" i="4"/>
  <c r="P173" i="4"/>
  <c r="CK173" i="4" s="1"/>
  <c r="N173" i="4"/>
  <c r="M173" i="4"/>
  <c r="L173" i="4"/>
  <c r="I173" i="4"/>
  <c r="H173" i="4"/>
  <c r="G173" i="4"/>
  <c r="E173" i="4"/>
  <c r="CH173" i="4" s="1"/>
  <c r="D173" i="4"/>
  <c r="CG173" i="4" s="1"/>
  <c r="C173" i="4"/>
  <c r="CF173" i="4" s="1"/>
  <c r="AY172" i="4"/>
  <c r="CR172" i="4" s="1"/>
  <c r="AT172" i="4"/>
  <c r="CQ172" i="4" s="1"/>
  <c r="AE172" i="4"/>
  <c r="CN172" i="4" s="1"/>
  <c r="Z172" i="4"/>
  <c r="CM172" i="4" s="1"/>
  <c r="K172" i="4"/>
  <c r="CJ172" i="4" s="1"/>
  <c r="CI172" i="4"/>
  <c r="CH172" i="4"/>
  <c r="CG172" i="4"/>
  <c r="CF172" i="4"/>
  <c r="CE172" i="4"/>
  <c r="CD172" i="4"/>
  <c r="BD172" i="4"/>
  <c r="CS172" i="4" s="1"/>
  <c r="AO172" i="4"/>
  <c r="CP172" i="4" s="1"/>
  <c r="AJ172" i="4"/>
  <c r="CO172" i="4" s="1"/>
  <c r="U172" i="4"/>
  <c r="CL172" i="4" s="1"/>
  <c r="P172" i="4"/>
  <c r="CK172" i="4" s="1"/>
  <c r="AY171" i="4"/>
  <c r="CR171" i="4" s="1"/>
  <c r="AT171" i="4"/>
  <c r="AE171" i="4"/>
  <c r="CN171" i="4" s="1"/>
  <c r="Z171" i="4"/>
  <c r="CM171" i="4" s="1"/>
  <c r="K171" i="4"/>
  <c r="CI171" i="4"/>
  <c r="CH171" i="4"/>
  <c r="CG171" i="4"/>
  <c r="CF171" i="4"/>
  <c r="CE171" i="4"/>
  <c r="CD171" i="4"/>
  <c r="BD171" i="4"/>
  <c r="BD164" i="4"/>
  <c r="AO171" i="4"/>
  <c r="AO164" i="4"/>
  <c r="CP164" i="4" s="1"/>
  <c r="AJ171" i="4"/>
  <c r="U171" i="4"/>
  <c r="CL171" i="4" s="1"/>
  <c r="P171" i="4"/>
  <c r="P294" i="4"/>
  <c r="Q295" i="4" s="1"/>
  <c r="Q296" i="4" s="1"/>
  <c r="CD169" i="4"/>
  <c r="AV169" i="4"/>
  <c r="AV175" i="4" s="1"/>
  <c r="AV187" i="4" s="1"/>
  <c r="AU169" i="4"/>
  <c r="AU175" i="4" s="1"/>
  <c r="AR169" i="4"/>
  <c r="AR175" i="4" s="1"/>
  <c r="AQ169" i="4"/>
  <c r="AQ175" i="4" s="1"/>
  <c r="AQ187" i="4" s="1"/>
  <c r="AP169" i="4"/>
  <c r="AP175" i="4" s="1"/>
  <c r="AN167" i="4"/>
  <c r="AM169" i="4"/>
  <c r="AM175" i="4" s="1"/>
  <c r="AL169" i="4"/>
  <c r="AL175" i="4" s="1"/>
  <c r="AK169" i="4"/>
  <c r="AK175" i="4" s="1"/>
  <c r="AI169" i="4"/>
  <c r="AI175" i="4" s="1"/>
  <c r="AH169" i="4"/>
  <c r="AG169" i="4"/>
  <c r="AF169" i="4"/>
  <c r="AD169" i="4"/>
  <c r="AC169" i="4"/>
  <c r="AA167" i="4"/>
  <c r="AA169" i="4" s="1"/>
  <c r="W167" i="4"/>
  <c r="W169" i="4" s="1"/>
  <c r="W175" i="4" s="1"/>
  <c r="W187" i="4" s="1"/>
  <c r="S167" i="4"/>
  <c r="S169" i="4"/>
  <c r="S175" i="4" s="1"/>
  <c r="G167" i="4"/>
  <c r="G169" i="4" s="1"/>
  <c r="C167" i="4"/>
  <c r="CF167" i="4" s="1"/>
  <c r="AX167" i="4"/>
  <c r="AT167" i="4"/>
  <c r="CQ167" i="4" s="1"/>
  <c r="F167" i="4"/>
  <c r="B167" i="4"/>
  <c r="B169" i="4" s="1"/>
  <c r="B175" i="4" s="1"/>
  <c r="CD167" i="4"/>
  <c r="BF167" i="4"/>
  <c r="BF169" i="4" s="1"/>
  <c r="BF175" i="4" s="1"/>
  <c r="BE167" i="4"/>
  <c r="BE169" i="4" s="1"/>
  <c r="BE175" i="4" s="1"/>
  <c r="BC167" i="4"/>
  <c r="BD167" i="4" s="1"/>
  <c r="CS167" i="4" s="1"/>
  <c r="BB167" i="4"/>
  <c r="BB169" i="4" s="1"/>
  <c r="BB175" i="4" s="1"/>
  <c r="BA167" i="4"/>
  <c r="BA169" i="4" s="1"/>
  <c r="BA175" i="4" s="1"/>
  <c r="AW167" i="4"/>
  <c r="AW169" i="4" s="1"/>
  <c r="AW175" i="4" s="1"/>
  <c r="AJ167" i="4"/>
  <c r="CO167" i="4" s="1"/>
  <c r="AE167" i="4"/>
  <c r="CN167" i="4" s="1"/>
  <c r="AB167" i="4"/>
  <c r="AB169" i="4" s="1"/>
  <c r="Y167" i="4"/>
  <c r="X167" i="4"/>
  <c r="X169" i="4" s="1"/>
  <c r="X175" i="4" s="1"/>
  <c r="V167" i="4"/>
  <c r="V169" i="4" s="1"/>
  <c r="V175" i="4" s="1"/>
  <c r="V187" i="4" s="1"/>
  <c r="T167" i="4"/>
  <c r="T169" i="4" s="1"/>
  <c r="R167" i="4"/>
  <c r="R169" i="4" s="1"/>
  <c r="Q167" i="4"/>
  <c r="Q169" i="4" s="1"/>
  <c r="Q175" i="4" s="1"/>
  <c r="N167" i="4"/>
  <c r="N169" i="4" s="1"/>
  <c r="M167" i="4"/>
  <c r="M169" i="4" s="1"/>
  <c r="L167" i="4"/>
  <c r="L169" i="4" s="1"/>
  <c r="L175" i="4" s="1"/>
  <c r="I167" i="4"/>
  <c r="I169" i="4" s="1"/>
  <c r="H167" i="4"/>
  <c r="H169" i="4" s="1"/>
  <c r="E167" i="4"/>
  <c r="E169" i="4" s="1"/>
  <c r="E175" i="4" s="1"/>
  <c r="D167" i="4"/>
  <c r="BD166" i="4"/>
  <c r="CS166" i="4" s="1"/>
  <c r="AY166" i="4"/>
  <c r="CR166" i="4" s="1"/>
  <c r="AT166" i="4"/>
  <c r="CQ166" i="4" s="1"/>
  <c r="AJ166" i="4"/>
  <c r="CO166" i="4" s="1"/>
  <c r="AE166" i="4"/>
  <c r="CN166" i="4" s="1"/>
  <c r="Z166" i="4"/>
  <c r="CM166" i="4" s="1"/>
  <c r="P166" i="4"/>
  <c r="CK166" i="4" s="1"/>
  <c r="K166" i="4"/>
  <c r="CJ166" i="4" s="1"/>
  <c r="CI166" i="4"/>
  <c r="CH166" i="4"/>
  <c r="CG166" i="4"/>
  <c r="CF166" i="4"/>
  <c r="CE166" i="4"/>
  <c r="CD166" i="4"/>
  <c r="AO166" i="4"/>
  <c r="CP166" i="4" s="1"/>
  <c r="U166" i="4"/>
  <c r="CL166" i="4" s="1"/>
  <c r="BD165" i="4"/>
  <c r="CS165" i="4" s="1"/>
  <c r="AY165" i="4"/>
  <c r="CR165" i="4" s="1"/>
  <c r="AT165" i="4"/>
  <c r="AJ165" i="4"/>
  <c r="CO165" i="4" s="1"/>
  <c r="AE165" i="4"/>
  <c r="CN165" i="4" s="1"/>
  <c r="Z165" i="4"/>
  <c r="CM165" i="4" s="1"/>
  <c r="P165" i="4"/>
  <c r="CK165" i="4" s="1"/>
  <c r="K165" i="4"/>
  <c r="CJ165" i="4" s="1"/>
  <c r="CI165" i="4"/>
  <c r="CH165" i="4"/>
  <c r="CG165" i="4"/>
  <c r="CF165" i="4"/>
  <c r="CE165" i="4"/>
  <c r="CD165" i="4"/>
  <c r="AO165" i="4"/>
  <c r="CP165" i="4" s="1"/>
  <c r="U165" i="4"/>
  <c r="CL165" i="4" s="1"/>
  <c r="AY164" i="4"/>
  <c r="CR164" i="4" s="1"/>
  <c r="CI164" i="4"/>
  <c r="CH164" i="4"/>
  <c r="CG164" i="4"/>
  <c r="CF164" i="4"/>
  <c r="CE164" i="4"/>
  <c r="CD164" i="4"/>
  <c r="AS164" i="4"/>
  <c r="AJ164" i="4"/>
  <c r="CO164" i="4" s="1"/>
  <c r="AE164" i="4"/>
  <c r="Z164" i="4"/>
  <c r="CM164" i="4" s="1"/>
  <c r="U164" i="4"/>
  <c r="CL164" i="4" s="1"/>
  <c r="P164" i="4"/>
  <c r="CK164" i="4" s="1"/>
  <c r="K164" i="4"/>
  <c r="CJ164" i="4" s="1"/>
  <c r="BD163" i="4"/>
  <c r="CS163" i="4" s="1"/>
  <c r="AY163" i="4"/>
  <c r="CR163" i="4" s="1"/>
  <c r="AO163" i="4"/>
  <c r="CP163" i="4" s="1"/>
  <c r="AJ163" i="4"/>
  <c r="CO163" i="4" s="1"/>
  <c r="AE163" i="4"/>
  <c r="CN163" i="4" s="1"/>
  <c r="U163" i="4"/>
  <c r="P163" i="4"/>
  <c r="CK163" i="4" s="1"/>
  <c r="K163" i="4"/>
  <c r="CJ163" i="4" s="1"/>
  <c r="CI163" i="4"/>
  <c r="CH163" i="4"/>
  <c r="CG163" i="4"/>
  <c r="CF163" i="4"/>
  <c r="CE163" i="4"/>
  <c r="CD163" i="4"/>
  <c r="AT163" i="4"/>
  <c r="CQ163" i="4" s="1"/>
  <c r="Z163" i="4"/>
  <c r="CM163" i="4" s="1"/>
  <c r="BD162" i="4"/>
  <c r="CS162" i="4" s="1"/>
  <c r="AY162" i="4"/>
  <c r="CR162" i="4" s="1"/>
  <c r="AO162" i="4"/>
  <c r="CP162" i="4" s="1"/>
  <c r="AJ162" i="4"/>
  <c r="CO162" i="4" s="1"/>
  <c r="AE162" i="4"/>
  <c r="CN162" i="4" s="1"/>
  <c r="U162" i="4"/>
  <c r="CL162" i="4" s="1"/>
  <c r="P162" i="4"/>
  <c r="CK162" i="4" s="1"/>
  <c r="K162" i="4"/>
  <c r="CJ162" i="4" s="1"/>
  <c r="CI162" i="4"/>
  <c r="CH162" i="4"/>
  <c r="CG162" i="4"/>
  <c r="CF162" i="4"/>
  <c r="CE162" i="4"/>
  <c r="CD162" i="4"/>
  <c r="AT162" i="4"/>
  <c r="CQ162" i="4" s="1"/>
  <c r="Z162" i="4"/>
  <c r="CM162" i="4" s="1"/>
  <c r="BD161" i="4"/>
  <c r="CS161" i="4" s="1"/>
  <c r="AY161" i="4"/>
  <c r="CR161" i="4" s="1"/>
  <c r="AO161" i="4"/>
  <c r="CP161" i="4" s="1"/>
  <c r="AJ161" i="4"/>
  <c r="CO161" i="4" s="1"/>
  <c r="AE161" i="4"/>
  <c r="CN161" i="4" s="1"/>
  <c r="U161" i="4"/>
  <c r="CL161" i="4" s="1"/>
  <c r="P161" i="4"/>
  <c r="CK161" i="4" s="1"/>
  <c r="K161" i="4"/>
  <c r="CJ161" i="4" s="1"/>
  <c r="CI161" i="4"/>
  <c r="CH161" i="4"/>
  <c r="CG161" i="4"/>
  <c r="CF161" i="4"/>
  <c r="CE161" i="4"/>
  <c r="CD161" i="4"/>
  <c r="AT161" i="4"/>
  <c r="CQ161" i="4" s="1"/>
  <c r="Z161" i="4"/>
  <c r="CM161" i="4" s="1"/>
  <c r="CD160" i="4"/>
  <c r="CD159" i="4"/>
  <c r="CD157" i="4"/>
  <c r="AX155" i="4"/>
  <c r="AY155" i="4" s="1"/>
  <c r="CR155" i="4" s="1"/>
  <c r="AE155" i="4"/>
  <c r="CN155" i="4" s="1"/>
  <c r="CD155" i="4"/>
  <c r="BI155" i="4"/>
  <c r="CT155" i="4" s="1"/>
  <c r="BE155" i="4"/>
  <c r="BC155" i="4"/>
  <c r="BD155" i="4" s="1"/>
  <c r="CS155" i="4" s="1"/>
  <c r="AW155" i="4"/>
  <c r="AV155" i="4"/>
  <c r="AU155" i="4"/>
  <c r="AS155" i="4"/>
  <c r="AT155" i="4" s="1"/>
  <c r="CQ155" i="4" s="1"/>
  <c r="AO155" i="4"/>
  <c r="CP155" i="4" s="1"/>
  <c r="AJ155" i="4"/>
  <c r="CO155" i="4" s="1"/>
  <c r="AB155" i="4"/>
  <c r="AA155" i="4"/>
  <c r="Y155" i="4"/>
  <c r="Z155" i="4" s="1"/>
  <c r="CM155" i="4" s="1"/>
  <c r="X155" i="4"/>
  <c r="W155" i="4"/>
  <c r="V155" i="4"/>
  <c r="T155" i="4"/>
  <c r="U155" i="4" s="1"/>
  <c r="CL155" i="4" s="1"/>
  <c r="S155" i="4"/>
  <c r="R155" i="4"/>
  <c r="Q155" i="4"/>
  <c r="O155" i="4"/>
  <c r="P155" i="4" s="1"/>
  <c r="CK155" i="4" s="1"/>
  <c r="N155" i="4"/>
  <c r="M155" i="4"/>
  <c r="L155" i="4"/>
  <c r="J155" i="4"/>
  <c r="K155" i="4" s="1"/>
  <c r="CJ155" i="4" s="1"/>
  <c r="I155" i="4"/>
  <c r="H155" i="4"/>
  <c r="G155" i="4"/>
  <c r="F155" i="4"/>
  <c r="CI155" i="4" s="1"/>
  <c r="E155" i="4"/>
  <c r="CH155" i="4" s="1"/>
  <c r="D155" i="4"/>
  <c r="CG155" i="4" s="1"/>
  <c r="C155" i="4"/>
  <c r="CF155" i="4" s="1"/>
  <c r="B155" i="4"/>
  <c r="CE155" i="4" s="1"/>
  <c r="O154" i="4"/>
  <c r="P154" i="4" s="1"/>
  <c r="CK154" i="4" s="1"/>
  <c r="D154" i="4"/>
  <c r="CE154" i="4"/>
  <c r="CD154" i="4"/>
  <c r="AE154" i="4"/>
  <c r="CN154" i="4" s="1"/>
  <c r="AB154" i="4"/>
  <c r="AB277" i="4" s="1"/>
  <c r="AA154" i="4"/>
  <c r="AA277" i="4" s="1"/>
  <c r="Y154" i="4"/>
  <c r="X154" i="4"/>
  <c r="X277" i="4" s="1"/>
  <c r="Y273" i="4" s="1"/>
  <c r="W154" i="4"/>
  <c r="W277" i="4" s="1"/>
  <c r="X273" i="4" s="1"/>
  <c r="V154" i="4"/>
  <c r="V277" i="4" s="1"/>
  <c r="W273" i="4" s="1"/>
  <c r="T154" i="4"/>
  <c r="S154" i="4"/>
  <c r="S277" i="4" s="1"/>
  <c r="T273" i="4" s="1"/>
  <c r="R154" i="4"/>
  <c r="R277" i="4" s="1"/>
  <c r="S273" i="4" s="1"/>
  <c r="Q154" i="4"/>
  <c r="Q277" i="4" s="1"/>
  <c r="R273" i="4" s="1"/>
  <c r="N154" i="4"/>
  <c r="N277" i="4" s="1"/>
  <c r="O273" i="4" s="1"/>
  <c r="M154" i="4"/>
  <c r="M277" i="4" s="1"/>
  <c r="L154" i="4"/>
  <c r="L277" i="4" s="1"/>
  <c r="M273" i="4" s="1"/>
  <c r="J154" i="4"/>
  <c r="J277" i="4" s="1"/>
  <c r="I154" i="4"/>
  <c r="I277" i="4" s="1"/>
  <c r="J273" i="4" s="1"/>
  <c r="H154" i="4"/>
  <c r="H277" i="4" s="1"/>
  <c r="I273" i="4" s="1"/>
  <c r="G154" i="4"/>
  <c r="G277" i="4" s="1"/>
  <c r="F154" i="4"/>
  <c r="F277" i="4" s="1"/>
  <c r="G273" i="4" s="1"/>
  <c r="E154" i="4"/>
  <c r="C154" i="4"/>
  <c r="C277" i="4" s="1"/>
  <c r="D273" i="4" s="1"/>
  <c r="AE153" i="4"/>
  <c r="CN153" i="4" s="1"/>
  <c r="Z153" i="4"/>
  <c r="CM153" i="4" s="1"/>
  <c r="K153" i="4"/>
  <c r="CJ153" i="4" s="1"/>
  <c r="CI153" i="4"/>
  <c r="CH153" i="4"/>
  <c r="CG153" i="4"/>
  <c r="CF153" i="4"/>
  <c r="CE153" i="4"/>
  <c r="CD153" i="4"/>
  <c r="U153" i="4"/>
  <c r="CL153" i="4" s="1"/>
  <c r="P153" i="4"/>
  <c r="CK153" i="4" s="1"/>
  <c r="AE152" i="4"/>
  <c r="CN152" i="4" s="1"/>
  <c r="Z152" i="4"/>
  <c r="CM152" i="4" s="1"/>
  <c r="K152" i="4"/>
  <c r="CJ152" i="4" s="1"/>
  <c r="CI152" i="4"/>
  <c r="CH152" i="4"/>
  <c r="CG152" i="4"/>
  <c r="CF152" i="4"/>
  <c r="CE152" i="4"/>
  <c r="CD152" i="4"/>
  <c r="U152" i="4"/>
  <c r="CL152" i="4" s="1"/>
  <c r="P152" i="4"/>
  <c r="CK152" i="4" s="1"/>
  <c r="AY151" i="4"/>
  <c r="CR151" i="4" s="1"/>
  <c r="CI151" i="4"/>
  <c r="CH151" i="4"/>
  <c r="CG151" i="4"/>
  <c r="CF151" i="4"/>
  <c r="CE151" i="4"/>
  <c r="CD151" i="4"/>
  <c r="BI151" i="4"/>
  <c r="CT151" i="4" s="1"/>
  <c r="BA151" i="4"/>
  <c r="BB151" i="4" s="1"/>
  <c r="BC151" i="4" s="1"/>
  <c r="BD151" i="4" s="1"/>
  <c r="AO151" i="4"/>
  <c r="CP151" i="4" s="1"/>
  <c r="AJ151" i="4"/>
  <c r="CO151" i="4" s="1"/>
  <c r="AE151" i="4"/>
  <c r="CN151" i="4" s="1"/>
  <c r="Z151" i="4"/>
  <c r="CM151" i="4" s="1"/>
  <c r="U151" i="4"/>
  <c r="CL151" i="4" s="1"/>
  <c r="P151" i="4"/>
  <c r="CK151" i="4" s="1"/>
  <c r="K151" i="4"/>
  <c r="CJ151" i="4" s="1"/>
  <c r="CD149" i="4"/>
  <c r="F149" i="4"/>
  <c r="BC147" i="4"/>
  <c r="BD147" i="4" s="1"/>
  <c r="CS147" i="4" s="1"/>
  <c r="AJ147" i="4"/>
  <c r="CO147" i="4" s="1"/>
  <c r="AE147" i="4"/>
  <c r="CN147" i="4" s="1"/>
  <c r="P147" i="4"/>
  <c r="CK147" i="4" s="1"/>
  <c r="K147" i="4"/>
  <c r="CJ147" i="4" s="1"/>
  <c r="CI147" i="4"/>
  <c r="CH147" i="4"/>
  <c r="CG147" i="4"/>
  <c r="CF147" i="4"/>
  <c r="CE147" i="4"/>
  <c r="CD147" i="4"/>
  <c r="AY147" i="4"/>
  <c r="CR147" i="4" s="1"/>
  <c r="AW147" i="4"/>
  <c r="AS147" i="4"/>
  <c r="AT147" i="4" s="1"/>
  <c r="CQ147" i="4" s="1"/>
  <c r="AN147" i="4"/>
  <c r="AO147" i="4" s="1"/>
  <c r="CP147" i="4" s="1"/>
  <c r="Z147" i="4"/>
  <c r="U147" i="4"/>
  <c r="CL147" i="4" s="1"/>
  <c r="AY146" i="4"/>
  <c r="CR146" i="4" s="1"/>
  <c r="AT146" i="4"/>
  <c r="CQ146" i="4" s="1"/>
  <c r="AE146" i="4"/>
  <c r="CN146" i="4" s="1"/>
  <c r="Z146" i="4"/>
  <c r="CM146" i="4" s="1"/>
  <c r="K146" i="4"/>
  <c r="CJ146" i="4" s="1"/>
  <c r="CI146" i="4"/>
  <c r="CH146" i="4"/>
  <c r="CG146" i="4"/>
  <c r="CF146" i="4"/>
  <c r="CE146" i="4"/>
  <c r="CD146" i="4"/>
  <c r="BD146" i="4"/>
  <c r="CS146" i="4" s="1"/>
  <c r="AO146" i="4"/>
  <c r="CP146" i="4" s="1"/>
  <c r="AJ146" i="4"/>
  <c r="CO146" i="4" s="1"/>
  <c r="U146" i="4"/>
  <c r="P146" i="4"/>
  <c r="CK146" i="4" s="1"/>
  <c r="CV145" i="4"/>
  <c r="AY145" i="4"/>
  <c r="CR145" i="4" s="1"/>
  <c r="AT145" i="4"/>
  <c r="CQ145" i="4" s="1"/>
  <c r="AE145" i="4"/>
  <c r="CN145" i="4" s="1"/>
  <c r="Z145" i="4"/>
  <c r="CM145" i="4" s="1"/>
  <c r="K145" i="4"/>
  <c r="CJ145" i="4" s="1"/>
  <c r="CI145" i="4"/>
  <c r="CH145" i="4"/>
  <c r="CG145" i="4"/>
  <c r="CF145" i="4"/>
  <c r="CE145" i="4"/>
  <c r="CD145" i="4"/>
  <c r="BD145" i="4"/>
  <c r="CS145" i="4" s="1"/>
  <c r="AO145" i="4"/>
  <c r="CP145" i="4" s="1"/>
  <c r="AJ145" i="4"/>
  <c r="CO145" i="4" s="1"/>
  <c r="U145" i="4"/>
  <c r="CL145" i="4" s="1"/>
  <c r="P145" i="4"/>
  <c r="CK145" i="4" s="1"/>
  <c r="AT144" i="4"/>
  <c r="CQ144" i="4" s="1"/>
  <c r="AO144" i="4"/>
  <c r="CP144" i="4" s="1"/>
  <c r="Z144" i="4"/>
  <c r="CM144" i="4" s="1"/>
  <c r="U144" i="4"/>
  <c r="CL144" i="4" s="1"/>
  <c r="CI144" i="4"/>
  <c r="CH144" i="4"/>
  <c r="CG144" i="4"/>
  <c r="CF144" i="4"/>
  <c r="CE144" i="4"/>
  <c r="CD144" i="4"/>
  <c r="BD144" i="4"/>
  <c r="CS144" i="4" s="1"/>
  <c r="AY144" i="4"/>
  <c r="CR144" i="4" s="1"/>
  <c r="AJ144" i="4"/>
  <c r="CO144" i="4" s="1"/>
  <c r="AE144" i="4"/>
  <c r="P144" i="4"/>
  <c r="CK144" i="4" s="1"/>
  <c r="K144" i="4"/>
  <c r="CJ144" i="4" s="1"/>
  <c r="AO143" i="4"/>
  <c r="CP143" i="4" s="1"/>
  <c r="AJ143" i="4"/>
  <c r="CO143" i="4" s="1"/>
  <c r="U143" i="4"/>
  <c r="CL143" i="4" s="1"/>
  <c r="P143" i="4"/>
  <c r="CK143" i="4" s="1"/>
  <c r="CI143" i="4"/>
  <c r="CH143" i="4"/>
  <c r="CG143" i="4"/>
  <c r="CF143" i="4"/>
  <c r="CE143" i="4"/>
  <c r="CD143" i="4"/>
  <c r="BD143" i="4"/>
  <c r="CS143" i="4" s="1"/>
  <c r="BA143" i="4"/>
  <c r="BB143" i="4" s="1"/>
  <c r="AY143" i="4"/>
  <c r="CR143" i="4" s="1"/>
  <c r="AT143" i="4"/>
  <c r="CQ143" i="4" s="1"/>
  <c r="AE143" i="4"/>
  <c r="CN143" i="4" s="1"/>
  <c r="Z143" i="4"/>
  <c r="CM143" i="4" s="1"/>
  <c r="K143" i="4"/>
  <c r="CJ143" i="4" s="1"/>
  <c r="CI142" i="4"/>
  <c r="CD142" i="4"/>
  <c r="CD141" i="4"/>
  <c r="CD140" i="4"/>
  <c r="AE139" i="4"/>
  <c r="CN139" i="4" s="1"/>
  <c r="P139" i="4"/>
  <c r="CK139" i="4" s="1"/>
  <c r="K139" i="4"/>
  <c r="CJ139" i="4" s="1"/>
  <c r="D139" i="4"/>
  <c r="CG139" i="4" s="1"/>
  <c r="C139" i="4"/>
  <c r="CF139" i="4" s="1"/>
  <c r="CD139" i="4"/>
  <c r="AG139" i="4"/>
  <c r="AF139" i="4"/>
  <c r="AD139" i="4"/>
  <c r="AC139" i="4"/>
  <c r="AB139" i="4"/>
  <c r="AA139" i="4"/>
  <c r="Z139" i="4"/>
  <c r="CM139" i="4" s="1"/>
  <c r="Y139" i="4"/>
  <c r="X139" i="4"/>
  <c r="W139" i="4"/>
  <c r="V139" i="4"/>
  <c r="U139" i="4"/>
  <c r="CL139" i="4" s="1"/>
  <c r="T139" i="4"/>
  <c r="S139" i="4"/>
  <c r="R139" i="4"/>
  <c r="Q139" i="4"/>
  <c r="O139" i="4"/>
  <c r="N139" i="4"/>
  <c r="M139" i="4"/>
  <c r="L139" i="4"/>
  <c r="J139" i="4"/>
  <c r="I139" i="4"/>
  <c r="H139" i="4"/>
  <c r="G139" i="4"/>
  <c r="F139" i="4"/>
  <c r="CI139" i="4" s="1"/>
  <c r="E139" i="4"/>
  <c r="CH139" i="4" s="1"/>
  <c r="B139" i="4"/>
  <c r="CE139" i="4" s="1"/>
  <c r="CD137" i="4"/>
  <c r="CD135" i="4"/>
  <c r="CE133" i="4"/>
  <c r="CD133" i="4"/>
  <c r="CD132" i="4"/>
  <c r="CY130" i="4"/>
  <c r="CX130" i="4"/>
  <c r="CW130" i="4"/>
  <c r="BN130" i="4"/>
  <c r="CU130" i="4" s="1"/>
  <c r="CL130" i="4"/>
  <c r="CI130" i="4"/>
  <c r="CH130" i="4"/>
  <c r="CG130" i="4"/>
  <c r="CF130" i="4"/>
  <c r="CE130" i="4"/>
  <c r="CD130" i="4"/>
  <c r="BS130" i="4"/>
  <c r="CV130" i="4" s="1"/>
  <c r="CS130" i="4"/>
  <c r="CO130" i="4"/>
  <c r="CJ130" i="4"/>
  <c r="CY129" i="4"/>
  <c r="CX129" i="4"/>
  <c r="CW129" i="4"/>
  <c r="CI129" i="4"/>
  <c r="CH129" i="4"/>
  <c r="CG129" i="4"/>
  <c r="CF129" i="4"/>
  <c r="CE129" i="4"/>
  <c r="CD129" i="4"/>
  <c r="BS129" i="4"/>
  <c r="CV129" i="4" s="1"/>
  <c r="CY128" i="4"/>
  <c r="CX128" i="4"/>
  <c r="CW128" i="4"/>
  <c r="CT128" i="4"/>
  <c r="CI128" i="4"/>
  <c r="CH128" i="4"/>
  <c r="CG128" i="4"/>
  <c r="CF128" i="4"/>
  <c r="CE128" i="4"/>
  <c r="CD128" i="4"/>
  <c r="BS128" i="4"/>
  <c r="CV128" i="4" s="1"/>
  <c r="BN128" i="4"/>
  <c r="CU128" i="4" s="1"/>
  <c r="CD126" i="4"/>
  <c r="AU126" i="4"/>
  <c r="AP126" i="4"/>
  <c r="AK126" i="4"/>
  <c r="AF126" i="4"/>
  <c r="AA126" i="4"/>
  <c r="V126" i="4"/>
  <c r="Q126" i="4"/>
  <c r="L126" i="4"/>
  <c r="G126" i="4"/>
  <c r="CY124" i="4"/>
  <c r="CX124" i="4"/>
  <c r="CW124" i="4"/>
  <c r="BS124" i="4"/>
  <c r="CV124" i="4" s="1"/>
  <c r="CI124" i="4"/>
  <c r="CH124" i="4"/>
  <c r="CG124" i="4"/>
  <c r="CF124" i="4"/>
  <c r="CE124" i="4"/>
  <c r="CD124" i="4"/>
  <c r="BN124" i="4"/>
  <c r="CU124" i="4" s="1"/>
  <c r="CN124" i="4"/>
  <c r="CM124" i="4"/>
  <c r="CY123" i="4"/>
  <c r="CX123" i="4"/>
  <c r="CW123" i="4"/>
  <c r="CI123" i="4"/>
  <c r="CH123" i="4"/>
  <c r="CG123" i="4"/>
  <c r="CF123" i="4"/>
  <c r="CE123" i="4"/>
  <c r="CD123" i="4"/>
  <c r="BS123" i="4"/>
  <c r="CV123" i="4" s="1"/>
  <c r="CY122" i="4"/>
  <c r="CX122" i="4"/>
  <c r="CW122" i="4"/>
  <c r="BS122" i="4"/>
  <c r="CV122" i="4" s="1"/>
  <c r="CI122" i="4"/>
  <c r="CH122" i="4"/>
  <c r="CG122" i="4"/>
  <c r="CF122" i="4"/>
  <c r="CE122" i="4"/>
  <c r="CD122" i="4"/>
  <c r="CI121" i="4"/>
  <c r="CH121" i="4"/>
  <c r="CG121" i="4"/>
  <c r="CF121" i="4"/>
  <c r="CE121" i="4"/>
  <c r="CD121" i="4"/>
  <c r="CI120" i="4"/>
  <c r="CH120" i="4"/>
  <c r="CG120" i="4"/>
  <c r="CF120" i="4"/>
  <c r="CE120" i="4"/>
  <c r="CD120" i="4"/>
  <c r="CI119" i="4"/>
  <c r="CH119" i="4"/>
  <c r="CG119" i="4"/>
  <c r="CF119" i="4"/>
  <c r="CE119" i="4"/>
  <c r="CD119" i="4"/>
  <c r="CY118" i="4"/>
  <c r="CX118" i="4"/>
  <c r="CW118" i="4"/>
  <c r="BS118" i="4"/>
  <c r="CV118" i="4" s="1"/>
  <c r="BN118" i="4"/>
  <c r="CU118" i="4" s="1"/>
  <c r="CI118" i="4"/>
  <c r="CH118" i="4"/>
  <c r="CG118" i="4"/>
  <c r="CF118" i="4"/>
  <c r="CE118" i="4"/>
  <c r="CD118" i="4"/>
  <c r="CD117" i="4"/>
  <c r="CD115" i="4"/>
  <c r="AZ115" i="4"/>
  <c r="AU115" i="4"/>
  <c r="AP115" i="4"/>
  <c r="AK115" i="4"/>
  <c r="AF115" i="4"/>
  <c r="AA115" i="4"/>
  <c r="V115" i="4"/>
  <c r="CI113" i="4"/>
  <c r="CH113" i="4"/>
  <c r="CG113" i="4"/>
  <c r="CF113" i="4"/>
  <c r="CE113" i="4"/>
  <c r="CD113" i="4"/>
  <c r="CY112" i="4"/>
  <c r="CX112" i="4"/>
  <c r="CW112" i="4"/>
  <c r="BS112" i="4"/>
  <c r="CV112" i="4" s="1"/>
  <c r="CI112" i="4"/>
  <c r="CH112" i="4"/>
  <c r="CG112" i="4"/>
  <c r="CF112" i="4"/>
  <c r="CE112" i="4"/>
  <c r="CD112" i="4"/>
  <c r="CY111" i="4"/>
  <c r="CX111" i="4"/>
  <c r="CW111" i="4"/>
  <c r="BS111" i="4"/>
  <c r="CV111" i="4" s="1"/>
  <c r="CI111" i="4"/>
  <c r="CH111" i="4"/>
  <c r="CG111" i="4"/>
  <c r="CF111" i="4"/>
  <c r="CF109" i="4"/>
  <c r="CF110" i="4"/>
  <c r="CE111" i="4"/>
  <c r="CD111" i="4"/>
  <c r="CE110" i="4"/>
  <c r="CD110" i="4"/>
  <c r="CH110" i="4"/>
  <c r="CY109" i="4"/>
  <c r="CX109" i="4"/>
  <c r="CW109" i="4"/>
  <c r="BS109" i="4"/>
  <c r="CV109" i="4" s="1"/>
  <c r="BN109" i="4"/>
  <c r="CU109" i="4" s="1"/>
  <c r="CI109" i="4"/>
  <c r="CH109" i="4"/>
  <c r="CG109" i="4"/>
  <c r="CE109" i="4"/>
  <c r="CD109" i="4"/>
  <c r="CD108" i="4"/>
  <c r="CD106" i="4"/>
  <c r="AA106" i="4"/>
  <c r="V106" i="4"/>
  <c r="G106" i="4"/>
  <c r="CI104" i="4"/>
  <c r="CH104" i="4"/>
  <c r="CF104" i="4"/>
  <c r="CD104" i="4"/>
  <c r="D344" i="4"/>
  <c r="CI103" i="4"/>
  <c r="CG103" i="4"/>
  <c r="CD103" i="4"/>
  <c r="CI102" i="4"/>
  <c r="CH102" i="4"/>
  <c r="CG102" i="4"/>
  <c r="CF102" i="4"/>
  <c r="CE102" i="4"/>
  <c r="CD102" i="4"/>
  <c r="CI101" i="4"/>
  <c r="CH101" i="4"/>
  <c r="CG101" i="4"/>
  <c r="CF101" i="4"/>
  <c r="CE101" i="4"/>
  <c r="CD101" i="4"/>
  <c r="CI100" i="4"/>
  <c r="CH100" i="4"/>
  <c r="CG100" i="4"/>
  <c r="CF100" i="4"/>
  <c r="CE100" i="4"/>
  <c r="CD100" i="4"/>
  <c r="CI99" i="4"/>
  <c r="CH99" i="4"/>
  <c r="CG99" i="4"/>
  <c r="CF99" i="4"/>
  <c r="CE99" i="4"/>
  <c r="CD99" i="4"/>
  <c r="CI98" i="4"/>
  <c r="CH98" i="4"/>
  <c r="CG98" i="4"/>
  <c r="CF98" i="4"/>
  <c r="CE98" i="4"/>
  <c r="CD98" i="4"/>
  <c r="CI97" i="4"/>
  <c r="CH97" i="4"/>
  <c r="CG97" i="4"/>
  <c r="CF97" i="4"/>
  <c r="CE97" i="4"/>
  <c r="CD97" i="4"/>
  <c r="CD96" i="4"/>
  <c r="BZ94" i="4"/>
  <c r="CY94" i="4" s="1"/>
  <c r="BY94" i="4"/>
  <c r="CX94" i="4" s="1"/>
  <c r="CI94" i="4"/>
  <c r="CH94" i="4"/>
  <c r="CD94" i="4"/>
  <c r="CW94" i="4"/>
  <c r="CE94" i="4"/>
  <c r="CY93" i="4"/>
  <c r="CX93" i="4"/>
  <c r="CW93" i="4"/>
  <c r="BN93" i="4"/>
  <c r="CU93" i="4" s="1"/>
  <c r="CI93" i="4"/>
  <c r="CH93" i="4"/>
  <c r="CD93" i="4"/>
  <c r="BS93" i="4"/>
  <c r="CV93" i="4" s="1"/>
  <c r="CF93" i="4"/>
  <c r="CE93" i="4"/>
  <c r="CY92" i="4"/>
  <c r="CX92" i="4"/>
  <c r="CW92" i="4"/>
  <c r="BS92" i="4"/>
  <c r="CN92" i="4"/>
  <c r="CM92" i="4"/>
  <c r="CL92" i="4"/>
  <c r="CK92" i="4"/>
  <c r="CJ92" i="4"/>
  <c r="CI92" i="4"/>
  <c r="CH92" i="4"/>
  <c r="CG92" i="4"/>
  <c r="CF92" i="4"/>
  <c r="CE92" i="4"/>
  <c r="CD92" i="4"/>
  <c r="BN92" i="4"/>
  <c r="BN281" i="4" s="1"/>
  <c r="AW281" i="4"/>
  <c r="AW282" i="4" s="1"/>
  <c r="AQ281" i="4"/>
  <c r="CI91" i="4"/>
  <c r="CH91" i="4"/>
  <c r="CG91" i="4"/>
  <c r="CF91" i="4"/>
  <c r="CE91" i="4"/>
  <c r="CD91" i="4"/>
  <c r="BF227" i="4"/>
  <c r="AB227" i="4"/>
  <c r="W227" i="4"/>
  <c r="R227" i="4"/>
  <c r="CI90" i="4"/>
  <c r="CH90" i="4"/>
  <c r="CG90" i="4"/>
  <c r="CF90" i="4"/>
  <c r="CE90" i="4"/>
  <c r="CD90" i="4"/>
  <c r="CY89" i="4"/>
  <c r="CX89" i="4"/>
  <c r="CW89" i="4"/>
  <c r="CI89" i="4"/>
  <c r="CH89" i="4"/>
  <c r="CG89" i="4"/>
  <c r="CF89" i="4"/>
  <c r="CE89" i="4"/>
  <c r="CD89" i="4"/>
  <c r="BS89" i="4"/>
  <c r="CV89" i="4" s="1"/>
  <c r="CY88" i="4"/>
  <c r="CX88" i="4"/>
  <c r="CW88" i="4"/>
  <c r="BS88" i="4"/>
  <c r="CV88" i="4" s="1"/>
  <c r="CI88" i="4"/>
  <c r="CH88" i="4"/>
  <c r="CG88" i="4"/>
  <c r="CF88" i="4"/>
  <c r="CE88" i="4"/>
  <c r="CD88" i="4"/>
  <c r="BN88" i="4"/>
  <c r="CU88" i="4" s="1"/>
  <c r="CI87" i="4"/>
  <c r="CH87" i="4"/>
  <c r="CG87" i="4"/>
  <c r="CF87" i="4"/>
  <c r="CE87" i="4"/>
  <c r="CD87" i="4"/>
  <c r="BY87" i="4"/>
  <c r="BF274" i="4"/>
  <c r="BF275" i="4" s="1"/>
  <c r="BA274" i="4"/>
  <c r="BA275" i="4" s="1"/>
  <c r="AQ274" i="4"/>
  <c r="AL274" i="4"/>
  <c r="AG274" i="4"/>
  <c r="M274" i="4"/>
  <c r="H274" i="4"/>
  <c r="CI86" i="4"/>
  <c r="CH86" i="4"/>
  <c r="CG86" i="4"/>
  <c r="CF86" i="4"/>
  <c r="CE86" i="4"/>
  <c r="CD86" i="4"/>
  <c r="BF267" i="4"/>
  <c r="BA267" i="4"/>
  <c r="R267" i="4"/>
  <c r="CD85" i="4"/>
  <c r="CI84" i="4"/>
  <c r="CH84" i="4"/>
  <c r="CG84" i="4"/>
  <c r="CF84" i="4"/>
  <c r="CE84" i="4"/>
  <c r="CD84" i="4"/>
  <c r="CD83" i="4"/>
  <c r="CN82" i="4"/>
  <c r="CM82" i="4"/>
  <c r="CL82" i="4"/>
  <c r="CK82" i="4"/>
  <c r="CJ82" i="4"/>
  <c r="CI82" i="4"/>
  <c r="CH82" i="4"/>
  <c r="CG82" i="4"/>
  <c r="CF82" i="4"/>
  <c r="CE82" i="4"/>
  <c r="CD82" i="4"/>
  <c r="CD80" i="4"/>
  <c r="CD79" i="4"/>
  <c r="CD78" i="4"/>
  <c r="CD77" i="4"/>
  <c r="BE77" i="4"/>
  <c r="AZ77" i="4"/>
  <c r="CD76" i="4"/>
  <c r="CD75" i="4"/>
  <c r="CD73" i="4"/>
  <c r="CD71" i="4"/>
  <c r="CD70" i="4"/>
  <c r="BG70" i="4"/>
  <c r="BF70" i="4"/>
  <c r="BE70" i="4"/>
  <c r="BC70" i="4"/>
  <c r="BB70" i="4"/>
  <c r="BA70" i="4"/>
  <c r="AZ70" i="4"/>
  <c r="AW70" i="4"/>
  <c r="AV70" i="4"/>
  <c r="AU70" i="4"/>
  <c r="AS70" i="4"/>
  <c r="AR70" i="4"/>
  <c r="AQ70" i="4"/>
  <c r="AP70" i="4"/>
  <c r="AN70" i="4"/>
  <c r="AM70" i="4"/>
  <c r="AL70" i="4"/>
  <c r="AK70" i="4"/>
  <c r="AJ70" i="4"/>
  <c r="CO70" i="4" s="1"/>
  <c r="AI70" i="4"/>
  <c r="AH70" i="4"/>
  <c r="AG70" i="4"/>
  <c r="AF70" i="4"/>
  <c r="AE70" i="4"/>
  <c r="CN70" i="4" s="1"/>
  <c r="AD70" i="4"/>
  <c r="AC70" i="4"/>
  <c r="AB70" i="4"/>
  <c r="AA70" i="4"/>
  <c r="Z70" i="4"/>
  <c r="CM70" i="4" s="1"/>
  <c r="Y70" i="4"/>
  <c r="X70" i="4"/>
  <c r="W70" i="4"/>
  <c r="V70" i="4"/>
  <c r="U70" i="4"/>
  <c r="CL70" i="4" s="1"/>
  <c r="T70" i="4"/>
  <c r="S70" i="4"/>
  <c r="R70" i="4"/>
  <c r="Q70" i="4"/>
  <c r="P70" i="4"/>
  <c r="CK70" i="4" s="1"/>
  <c r="O70" i="4"/>
  <c r="N70" i="4"/>
  <c r="M70" i="4"/>
  <c r="L70" i="4"/>
  <c r="K70" i="4"/>
  <c r="CJ70" i="4" s="1"/>
  <c r="J70" i="4"/>
  <c r="I70" i="4"/>
  <c r="H70" i="4"/>
  <c r="G70" i="4"/>
  <c r="G11" i="4"/>
  <c r="G12" i="4"/>
  <c r="G18" i="4"/>
  <c r="G19" i="4"/>
  <c r="G34" i="4"/>
  <c r="F70" i="4"/>
  <c r="CI70" i="4" s="1"/>
  <c r="E70" i="4"/>
  <c r="CH70" i="4" s="1"/>
  <c r="D70" i="4"/>
  <c r="CG70" i="4" s="1"/>
  <c r="C70" i="4"/>
  <c r="CF70" i="4" s="1"/>
  <c r="B70" i="4"/>
  <c r="CE70" i="4" s="1"/>
  <c r="BD69" i="4"/>
  <c r="CS69" i="4" s="1"/>
  <c r="AY69" i="4"/>
  <c r="CR69" i="4" s="1"/>
  <c r="AI69" i="4"/>
  <c r="AJ69" i="4" s="1"/>
  <c r="CO69" i="4" s="1"/>
  <c r="CN69" i="4"/>
  <c r="CM69" i="4"/>
  <c r="CL69" i="4"/>
  <c r="CK69" i="4"/>
  <c r="CJ69" i="4"/>
  <c r="CI69" i="4"/>
  <c r="CH69" i="4"/>
  <c r="CG69" i="4"/>
  <c r="CF69" i="4"/>
  <c r="CE69" i="4"/>
  <c r="CD69" i="4"/>
  <c r="AT69" i="4"/>
  <c r="AO69" i="4"/>
  <c r="CQ68" i="4"/>
  <c r="CP68" i="4"/>
  <c r="CO68" i="4"/>
  <c r="CN68" i="4"/>
  <c r="CM68" i="4"/>
  <c r="CL68" i="4"/>
  <c r="CK68" i="4"/>
  <c r="CJ68" i="4"/>
  <c r="CI68" i="4"/>
  <c r="CH68" i="4"/>
  <c r="CG68" i="4"/>
  <c r="CF68" i="4"/>
  <c r="CE68" i="4"/>
  <c r="CD68" i="4"/>
  <c r="AX68" i="4"/>
  <c r="AY68" i="4" s="1"/>
  <c r="CR68" i="4" s="1"/>
  <c r="CQ67" i="4"/>
  <c r="CP67" i="4"/>
  <c r="CO67" i="4"/>
  <c r="CN67" i="4"/>
  <c r="CM67" i="4"/>
  <c r="CL67" i="4"/>
  <c r="CK67" i="4"/>
  <c r="CJ67" i="4"/>
  <c r="CI67" i="4"/>
  <c r="CH67" i="4"/>
  <c r="CG67" i="4"/>
  <c r="CF67" i="4"/>
  <c r="CE67" i="4"/>
  <c r="CD67" i="4"/>
  <c r="BD67" i="4"/>
  <c r="CS67" i="4" s="1"/>
  <c r="AX67" i="4"/>
  <c r="AW67" i="4"/>
  <c r="AM67" i="4"/>
  <c r="F66" i="4"/>
  <c r="CI66" i="4" s="1"/>
  <c r="B66" i="4"/>
  <c r="B312" i="4" s="1"/>
  <c r="CD66" i="4"/>
  <c r="AD66" i="4"/>
  <c r="AD312" i="4" s="1"/>
  <c r="Y66" i="4"/>
  <c r="Z66" i="4" s="1"/>
  <c r="T66" i="4"/>
  <c r="T312" i="4" s="1"/>
  <c r="T311" i="4" s="1"/>
  <c r="O66" i="4"/>
  <c r="P66" i="4" s="1"/>
  <c r="J66" i="4"/>
  <c r="J312" i="4" s="1"/>
  <c r="J311" i="4" s="1"/>
  <c r="E66" i="4"/>
  <c r="D66" i="4"/>
  <c r="C66" i="4"/>
  <c r="C312" i="4" s="1"/>
  <c r="CD64" i="4"/>
  <c r="CD63" i="4"/>
  <c r="DB61" i="4"/>
  <c r="CY61" i="4"/>
  <c r="CX61" i="4"/>
  <c r="CW61" i="4"/>
  <c r="BS61" i="4"/>
  <c r="CV61" i="4" s="1"/>
  <c r="BD61" i="4"/>
  <c r="CS61" i="4" s="1"/>
  <c r="AY61" i="4"/>
  <c r="CR61" i="4" s="1"/>
  <c r="AJ61" i="4"/>
  <c r="CO61" i="4" s="1"/>
  <c r="AE61" i="4"/>
  <c r="CN61" i="4" s="1"/>
  <c r="P61" i="4"/>
  <c r="CK61" i="4" s="1"/>
  <c r="K61" i="4"/>
  <c r="CJ61" i="4" s="1"/>
  <c r="CI61" i="4"/>
  <c r="CH61" i="4"/>
  <c r="CG61" i="4"/>
  <c r="CF61" i="4"/>
  <c r="CE61" i="4"/>
  <c r="CD61" i="4"/>
  <c r="BN61" i="4"/>
  <c r="CU61" i="4" s="1"/>
  <c r="BI61" i="4"/>
  <c r="CT61" i="4" s="1"/>
  <c r="AT61" i="4"/>
  <c r="CQ61" i="4" s="1"/>
  <c r="AO61" i="4"/>
  <c r="CP61" i="4" s="1"/>
  <c r="Z61" i="4"/>
  <c r="CM61" i="4" s="1"/>
  <c r="U61" i="4"/>
  <c r="CL61" i="4" s="1"/>
  <c r="CD60" i="4"/>
  <c r="BD58" i="4"/>
  <c r="CS58" i="4" s="1"/>
  <c r="AY58" i="4"/>
  <c r="CR58" i="4" s="1"/>
  <c r="K58" i="4"/>
  <c r="CJ58" i="4" s="1"/>
  <c r="CI58" i="4"/>
  <c r="CH58" i="4"/>
  <c r="CG58" i="4"/>
  <c r="CF58" i="4"/>
  <c r="CE58" i="4"/>
  <c r="CD58" i="4"/>
  <c r="AS58" i="4"/>
  <c r="AM58" i="4"/>
  <c r="AM148" i="5" s="1"/>
  <c r="AL58" i="4"/>
  <c r="AL148" i="5" s="1"/>
  <c r="AK58" i="4"/>
  <c r="AK148" i="5" s="1"/>
  <c r="AI58" i="4"/>
  <c r="AJ58" i="4" s="1"/>
  <c r="CO58" i="4" s="1"/>
  <c r="AC58" i="4"/>
  <c r="AD58" i="4" s="1"/>
  <c r="AE58" i="4" s="1"/>
  <c r="CN58" i="4" s="1"/>
  <c r="Y58" i="4"/>
  <c r="Z58" i="4" s="1"/>
  <c r="CM58" i="4" s="1"/>
  <c r="T58" i="4"/>
  <c r="U58" i="4" s="1"/>
  <c r="CL58" i="4" s="1"/>
  <c r="P58" i="4"/>
  <c r="CK58" i="4" s="1"/>
  <c r="CD56" i="4"/>
  <c r="CY54" i="4"/>
  <c r="CX54" i="4"/>
  <c r="CW54" i="4"/>
  <c r="CH54" i="4"/>
  <c r="CE54" i="4"/>
  <c r="CD54" i="4"/>
  <c r="BR54" i="4"/>
  <c r="BR94" i="4" s="1"/>
  <c r="BQ54" i="4"/>
  <c r="BQ94" i="4" s="1"/>
  <c r="BP54" i="4"/>
  <c r="BM54" i="4"/>
  <c r="BL54" i="4"/>
  <c r="BK54" i="4"/>
  <c r="AC54" i="4"/>
  <c r="AD54" i="4" s="1"/>
  <c r="CY53" i="4"/>
  <c r="CX53" i="4"/>
  <c r="CW53" i="4"/>
  <c r="BI53" i="4"/>
  <c r="CT53" i="4" s="1"/>
  <c r="BD53" i="4"/>
  <c r="CS53" i="4" s="1"/>
  <c r="AO53" i="4"/>
  <c r="CP53" i="4" s="1"/>
  <c r="CI53" i="4"/>
  <c r="CH53" i="4"/>
  <c r="CG53" i="4"/>
  <c r="C53" i="4"/>
  <c r="CF53" i="4" s="1"/>
  <c r="CE53" i="4"/>
  <c r="CD53" i="4"/>
  <c r="BS53" i="4"/>
  <c r="CV53" i="4" s="1"/>
  <c r="BN53" i="4"/>
  <c r="CU53" i="4" s="1"/>
  <c r="AJ53" i="4"/>
  <c r="CO53" i="4" s="1"/>
  <c r="AD53" i="4"/>
  <c r="AE53" i="4" s="1"/>
  <c r="CN53" i="4" s="1"/>
  <c r="Y53" i="4"/>
  <c r="Z53" i="4" s="1"/>
  <c r="CM53" i="4" s="1"/>
  <c r="T53" i="4"/>
  <c r="U53" i="4" s="1"/>
  <c r="CL53" i="4" s="1"/>
  <c r="O53" i="4"/>
  <c r="P53" i="4" s="1"/>
  <c r="CK53" i="4" s="1"/>
  <c r="J53" i="4"/>
  <c r="K53" i="4" s="1"/>
  <c r="CJ53" i="4" s="1"/>
  <c r="CD51" i="4"/>
  <c r="CD49" i="4"/>
  <c r="CD48" i="4"/>
  <c r="BF252" i="4"/>
  <c r="BF342" i="4" s="1"/>
  <c r="BE345" i="4"/>
  <c r="BA252" i="4"/>
  <c r="BA342" i="4" s="1"/>
  <c r="AZ345" i="4"/>
  <c r="AH48" i="4"/>
  <c r="AH345" i="4" s="1"/>
  <c r="AC48" i="4"/>
  <c r="AC345" i="4" s="1"/>
  <c r="AC11" i="4"/>
  <c r="AC12" i="4"/>
  <c r="AC23" i="4"/>
  <c r="AC18" i="4"/>
  <c r="AC19" i="4"/>
  <c r="AC26" i="4"/>
  <c r="AD26" i="4" s="1"/>
  <c r="AE26" i="4" s="1"/>
  <c r="CN26" i="4" s="1"/>
  <c r="AB48" i="4"/>
  <c r="AB345" i="4" s="1"/>
  <c r="AA48" i="4"/>
  <c r="AA345" i="4" s="1"/>
  <c r="X48" i="4"/>
  <c r="X345" i="4" s="1"/>
  <c r="W11" i="4"/>
  <c r="W12" i="4"/>
  <c r="W23" i="4"/>
  <c r="W18" i="4"/>
  <c r="W19" i="4"/>
  <c r="W26" i="4"/>
  <c r="Y26" i="4" s="1"/>
  <c r="Z26" i="4" s="1"/>
  <c r="CM26" i="4" s="1"/>
  <c r="V48" i="4"/>
  <c r="V345" i="4" s="1"/>
  <c r="Q48" i="4"/>
  <c r="Q345" i="4" s="1"/>
  <c r="N48" i="4"/>
  <c r="N345" i="4" s="1"/>
  <c r="N11" i="4"/>
  <c r="N12" i="4"/>
  <c r="N23" i="4"/>
  <c r="N18" i="4"/>
  <c r="N19" i="4"/>
  <c r="M48" i="4"/>
  <c r="M345" i="4" s="1"/>
  <c r="M11" i="4"/>
  <c r="M12" i="4"/>
  <c r="M23" i="4"/>
  <c r="M18" i="4"/>
  <c r="M19" i="4"/>
  <c r="H12" i="4"/>
  <c r="H14" i="4" s="1"/>
  <c r="H236" i="4" s="1"/>
  <c r="H23" i="4"/>
  <c r="H18" i="4"/>
  <c r="H19" i="4"/>
  <c r="H48" i="4"/>
  <c r="H345" i="4" s="1"/>
  <c r="L11" i="4"/>
  <c r="L12" i="4"/>
  <c r="L23" i="4"/>
  <c r="L18" i="4"/>
  <c r="L19" i="4"/>
  <c r="L26" i="4"/>
  <c r="C11" i="4"/>
  <c r="C12" i="4"/>
  <c r="CF12" i="4" s="1"/>
  <c r="C23" i="4"/>
  <c r="CF23" i="4" s="1"/>
  <c r="C18" i="4"/>
  <c r="CF18" i="4" s="1"/>
  <c r="C19" i="4"/>
  <c r="C26" i="4"/>
  <c r="CF26" i="4" s="1"/>
  <c r="C252" i="4"/>
  <c r="C342" i="4" s="1"/>
  <c r="E48" i="4"/>
  <c r="CH48" i="4" s="1"/>
  <c r="E11" i="4"/>
  <c r="E12" i="4"/>
  <c r="E23" i="4"/>
  <c r="CH23" i="4" s="1"/>
  <c r="E18" i="4"/>
  <c r="E21" i="4" s="1"/>
  <c r="CH21" i="4" s="1"/>
  <c r="E19" i="4"/>
  <c r="E252" i="4"/>
  <c r="E342" i="4" s="1"/>
  <c r="D11" i="4"/>
  <c r="D12" i="4"/>
  <c r="CG12" i="4" s="1"/>
  <c r="D23" i="4"/>
  <c r="CG23" i="4" s="1"/>
  <c r="D18" i="4"/>
  <c r="D19" i="4"/>
  <c r="CG19" i="4" s="1"/>
  <c r="D26" i="4"/>
  <c r="CG26" i="4" s="1"/>
  <c r="D252" i="4"/>
  <c r="D342" i="4" s="1"/>
  <c r="B48" i="4"/>
  <c r="CE48" i="4" s="1"/>
  <c r="CY47" i="4"/>
  <c r="CX47" i="4"/>
  <c r="CW47" i="4"/>
  <c r="CH47" i="4"/>
  <c r="CE47" i="4"/>
  <c r="CD47" i="4"/>
  <c r="BS47" i="4"/>
  <c r="CV47" i="4" s="1"/>
  <c r="BN47" i="4"/>
  <c r="CU47" i="4" s="1"/>
  <c r="BD47" i="4"/>
  <c r="CS47" i="4" s="1"/>
  <c r="AY47" i="4"/>
  <c r="CR47" i="4" s="1"/>
  <c r="AT47" i="4"/>
  <c r="CQ47" i="4" s="1"/>
  <c r="AO47" i="4"/>
  <c r="CP47" i="4" s="1"/>
  <c r="AJ47" i="4"/>
  <c r="CO47" i="4" s="1"/>
  <c r="AD47" i="4"/>
  <c r="AE47" i="4" s="1"/>
  <c r="CN47" i="4" s="1"/>
  <c r="R11" i="4"/>
  <c r="R12" i="4"/>
  <c r="R18" i="4"/>
  <c r="R19" i="4"/>
  <c r="I11" i="4"/>
  <c r="I12" i="4"/>
  <c r="I18" i="4"/>
  <c r="I19" i="4"/>
  <c r="CI46" i="4"/>
  <c r="CH46" i="4"/>
  <c r="CG46" i="4"/>
  <c r="CF46" i="4"/>
  <c r="CE46" i="4"/>
  <c r="CD46" i="4"/>
  <c r="BD46" i="4"/>
  <c r="CS46" i="4" s="1"/>
  <c r="AT46" i="4"/>
  <c r="CQ46" i="4" s="1"/>
  <c r="AO46" i="4"/>
  <c r="AJ46" i="4"/>
  <c r="CO46" i="4" s="1"/>
  <c r="AD46" i="4"/>
  <c r="AE46" i="4" s="1"/>
  <c r="Y46" i="4"/>
  <c r="Z46" i="4" s="1"/>
  <c r="CM46" i="4" s="1"/>
  <c r="T46" i="4"/>
  <c r="U46" i="4" s="1"/>
  <c r="CL46" i="4" s="1"/>
  <c r="O46" i="4"/>
  <c r="P46" i="4" s="1"/>
  <c r="CK46" i="4" s="1"/>
  <c r="J46" i="4"/>
  <c r="K46" i="4" s="1"/>
  <c r="CJ46" i="4" s="1"/>
  <c r="CD45" i="4"/>
  <c r="BD42" i="4"/>
  <c r="CS42" i="4" s="1"/>
  <c r="AY42" i="4"/>
  <c r="CR42" i="4" s="1"/>
  <c r="AD42" i="4"/>
  <c r="AE42" i="4" s="1"/>
  <c r="CN42" i="4" s="1"/>
  <c r="J42" i="4"/>
  <c r="J293" i="4" s="1"/>
  <c r="CI42" i="4"/>
  <c r="CH42" i="4"/>
  <c r="CG42" i="4"/>
  <c r="CF42" i="4"/>
  <c r="CE42" i="4"/>
  <c r="CD42" i="4"/>
  <c r="AJ42" i="4"/>
  <c r="CO42" i="4" s="1"/>
  <c r="Y42" i="4"/>
  <c r="Y293" i="4" s="1"/>
  <c r="Y343" i="4" s="1"/>
  <c r="T42" i="4"/>
  <c r="O42" i="4"/>
  <c r="O293" i="4" s="1"/>
  <c r="CD40" i="4"/>
  <c r="CD39" i="4"/>
  <c r="CD37" i="4"/>
  <c r="CX36" i="4"/>
  <c r="CW36" i="4"/>
  <c r="CV36" i="4"/>
  <c r="CI36" i="4"/>
  <c r="CH36" i="4"/>
  <c r="CG36" i="4"/>
  <c r="CF36" i="4"/>
  <c r="B36" i="4"/>
  <c r="B77" i="4" s="1"/>
  <c r="CD36" i="4"/>
  <c r="CY36" i="4"/>
  <c r="AD36" i="4"/>
  <c r="AE36" i="4" s="1"/>
  <c r="CN36" i="4" s="1"/>
  <c r="AD35" i="4"/>
  <c r="AE35" i="4" s="1"/>
  <c r="CN35" i="4" s="1"/>
  <c r="AA11" i="4"/>
  <c r="AB11" i="4"/>
  <c r="AA12" i="4"/>
  <c r="AB12" i="4"/>
  <c r="AD12" i="4"/>
  <c r="Y36" i="4"/>
  <c r="T36" i="4"/>
  <c r="T77" i="4" s="1"/>
  <c r="O36" i="4"/>
  <c r="J36" i="4"/>
  <c r="J77" i="4" s="1"/>
  <c r="CI35" i="4"/>
  <c r="CH35" i="4"/>
  <c r="CG35" i="4"/>
  <c r="CG34" i="4" s="1"/>
  <c r="CF35" i="4"/>
  <c r="CE35" i="4"/>
  <c r="B11" i="4"/>
  <c r="CE11" i="4" s="1"/>
  <c r="B12" i="4"/>
  <c r="B23" i="4"/>
  <c r="CE23" i="4" s="1"/>
  <c r="B18" i="4"/>
  <c r="B19" i="4"/>
  <c r="CE19" i="4" s="1"/>
  <c r="CD35" i="4"/>
  <c r="AJ35" i="4"/>
  <c r="CO35" i="4" s="1"/>
  <c r="Y35" i="4"/>
  <c r="Z35" i="4" s="1"/>
  <c r="CM35" i="4" s="1"/>
  <c r="T35" i="4"/>
  <c r="U35" i="4" s="1"/>
  <c r="O35" i="4"/>
  <c r="P35" i="4" s="1"/>
  <c r="J35" i="4"/>
  <c r="K35" i="4" s="1"/>
  <c r="CJ35" i="4" s="1"/>
  <c r="CD34" i="4"/>
  <c r="AH34" i="4"/>
  <c r="AC34" i="4"/>
  <c r="AB34" i="4"/>
  <c r="AA34" i="4"/>
  <c r="X34" i="4"/>
  <c r="W34" i="4"/>
  <c r="V34" i="4"/>
  <c r="S34" i="4"/>
  <c r="R34" i="4"/>
  <c r="Q34" i="4"/>
  <c r="N34" i="4"/>
  <c r="M34" i="4"/>
  <c r="L34" i="4"/>
  <c r="I34" i="4"/>
  <c r="H34" i="4"/>
  <c r="F34" i="4"/>
  <c r="E34" i="4"/>
  <c r="D34" i="4"/>
  <c r="C34" i="4"/>
  <c r="CD32" i="4"/>
  <c r="CD31" i="4"/>
  <c r="CD30" i="4"/>
  <c r="CD28" i="4"/>
  <c r="CY26" i="4"/>
  <c r="CX26" i="4"/>
  <c r="CW26" i="4"/>
  <c r="BN26" i="4"/>
  <c r="CU26" i="4" s="1"/>
  <c r="T26" i="4"/>
  <c r="U26" i="4" s="1"/>
  <c r="CL26" i="4" s="1"/>
  <c r="F26" i="4"/>
  <c r="CI26" i="4" s="1"/>
  <c r="CH26" i="4"/>
  <c r="CE26" i="4"/>
  <c r="CD26" i="4"/>
  <c r="BS26" i="4"/>
  <c r="CV26" i="4" s="1"/>
  <c r="BI26" i="4"/>
  <c r="CT26" i="4" s="1"/>
  <c r="CO26" i="4"/>
  <c r="O26" i="4"/>
  <c r="P26" i="4" s="1"/>
  <c r="CK26" i="4" s="1"/>
  <c r="J26" i="4"/>
  <c r="K26" i="4" s="1"/>
  <c r="CJ26" i="4" s="1"/>
  <c r="CD24" i="4"/>
  <c r="CD23" i="4"/>
  <c r="AH23" i="4"/>
  <c r="AH21" i="4"/>
  <c r="AB23" i="4"/>
  <c r="AA23" i="4"/>
  <c r="X23" i="4"/>
  <c r="V23" i="4"/>
  <c r="Q23" i="4"/>
  <c r="CD22" i="4"/>
  <c r="CD21" i="4"/>
  <c r="Y19" i="4"/>
  <c r="V18" i="4"/>
  <c r="V19" i="4"/>
  <c r="Q18" i="4"/>
  <c r="Q19" i="4"/>
  <c r="F18" i="4"/>
  <c r="CI18" i="4" s="1"/>
  <c r="F19" i="4"/>
  <c r="CD19" i="4"/>
  <c r="AI19" i="4"/>
  <c r="AH19" i="4"/>
  <c r="AG19" i="4"/>
  <c r="AF19" i="4"/>
  <c r="AB19" i="4"/>
  <c r="AA19" i="4"/>
  <c r="X19" i="4"/>
  <c r="S19" i="4"/>
  <c r="CH19" i="4"/>
  <c r="CF19" i="4"/>
  <c r="CD18" i="4"/>
  <c r="AI18" i="4"/>
  <c r="AH18" i="4"/>
  <c r="AG18" i="4"/>
  <c r="AF18" i="4"/>
  <c r="AB18" i="4"/>
  <c r="AA18" i="4"/>
  <c r="X18" i="4"/>
  <c r="S18" i="4"/>
  <c r="CD17" i="4"/>
  <c r="CE15" i="4"/>
  <c r="CD15" i="4"/>
  <c r="CD14" i="4"/>
  <c r="CD12" i="4"/>
  <c r="AH12" i="4"/>
  <c r="AG12" i="4"/>
  <c r="AF12" i="4"/>
  <c r="Y12" i="4"/>
  <c r="X12" i="4"/>
  <c r="V12" i="4"/>
  <c r="S12" i="4"/>
  <c r="Q12" i="4"/>
  <c r="F12" i="4"/>
  <c r="CI12" i="4" s="1"/>
  <c r="CD11" i="4"/>
  <c r="AH11" i="4"/>
  <c r="AG11" i="4"/>
  <c r="AF11" i="4"/>
  <c r="X11" i="4"/>
  <c r="V11" i="4"/>
  <c r="S11" i="4"/>
  <c r="Q11" i="4"/>
  <c r="F11" i="4"/>
  <c r="CI11" i="4" s="1"/>
  <c r="CF11" i="4"/>
  <c r="CD10" i="4"/>
  <c r="BZ9" i="4"/>
  <c r="BZ82" i="4" s="1"/>
  <c r="BY9" i="4"/>
  <c r="BY192" i="4" s="1"/>
  <c r="BN9" i="4"/>
  <c r="BI9" i="4"/>
  <c r="BI82" i="4" s="1"/>
  <c r="AT9" i="4"/>
  <c r="CQ9" i="4" s="1"/>
  <c r="AO9" i="4"/>
  <c r="AO192" i="4" s="1"/>
  <c r="Z9" i="4"/>
  <c r="U9" i="4"/>
  <c r="U192" i="4" s="1"/>
  <c r="F9" i="4"/>
  <c r="CI9" i="4" s="1"/>
  <c r="E9" i="4"/>
  <c r="CH9" i="4" s="1"/>
  <c r="B9" i="4"/>
  <c r="CD9" i="4"/>
  <c r="BS9" i="4"/>
  <c r="BR9" i="4"/>
  <c r="BR9" i="5" s="1"/>
  <c r="BQ9" i="4"/>
  <c r="BQ192" i="4" s="1"/>
  <c r="BP9" i="4"/>
  <c r="BP9" i="5" s="1"/>
  <c r="BO9" i="4"/>
  <c r="BM9" i="4"/>
  <c r="BM9" i="5" s="1"/>
  <c r="BL9" i="4"/>
  <c r="BL82" i="4" s="1"/>
  <c r="BL139" i="4" s="1"/>
  <c r="BK9" i="4"/>
  <c r="BK9" i="5" s="1"/>
  <c r="BJ9" i="4"/>
  <c r="BH9" i="4"/>
  <c r="BH9" i="5" s="1"/>
  <c r="BG9" i="4"/>
  <c r="BG82" i="4" s="1"/>
  <c r="BG139" i="4" s="1"/>
  <c r="BF9" i="4"/>
  <c r="BF82" i="4" s="1"/>
  <c r="BF139" i="4" s="1"/>
  <c r="BE9" i="4"/>
  <c r="BE9" i="5" s="1"/>
  <c r="BD9" i="4"/>
  <c r="BD192" i="4" s="1"/>
  <c r="BC9" i="4"/>
  <c r="BC192" i="4" s="1"/>
  <c r="BB9" i="4"/>
  <c r="BB192" i="4" s="1"/>
  <c r="BA9" i="4"/>
  <c r="AZ9" i="4"/>
  <c r="AZ9" i="5" s="1"/>
  <c r="AY9" i="4"/>
  <c r="AY82" i="4" s="1"/>
  <c r="CR82" i="4" s="1"/>
  <c r="AX9" i="4"/>
  <c r="AX192" i="4" s="1"/>
  <c r="AW9" i="4"/>
  <c r="AW9" i="5" s="1"/>
  <c r="AV9" i="4"/>
  <c r="AU9" i="4"/>
  <c r="AU82" i="4" s="1"/>
  <c r="AU139" i="4" s="1"/>
  <c r="AS9" i="4"/>
  <c r="AS82" i="4" s="1"/>
  <c r="AS139" i="4" s="1"/>
  <c r="AR9" i="4"/>
  <c r="AR9" i="5" s="1"/>
  <c r="AQ9" i="4"/>
  <c r="AQ9" i="5" s="1"/>
  <c r="AQ446" i="5" s="1"/>
  <c r="AP9" i="4"/>
  <c r="AP9" i="5" s="1"/>
  <c r="AN9" i="4"/>
  <c r="AN9" i="5" s="1"/>
  <c r="AM9" i="4"/>
  <c r="AL9" i="4"/>
  <c r="AL192" i="4" s="1"/>
  <c r="AK9" i="4"/>
  <c r="AJ9" i="4"/>
  <c r="AJ192" i="4" s="1"/>
  <c r="AI9" i="4"/>
  <c r="AI192" i="4" s="1"/>
  <c r="AH9" i="4"/>
  <c r="AH82" i="4" s="1"/>
  <c r="AH139" i="4" s="1"/>
  <c r="AG9" i="4"/>
  <c r="AG192" i="4" s="1"/>
  <c r="AF9" i="4"/>
  <c r="AF9" i="5" s="1"/>
  <c r="AE9" i="4"/>
  <c r="AE9" i="5" s="1"/>
  <c r="AD9" i="4"/>
  <c r="AD9" i="5" s="1"/>
  <c r="AD41" i="5" s="1"/>
  <c r="AC9" i="4"/>
  <c r="AC9" i="5" s="1"/>
  <c r="AB9" i="4"/>
  <c r="AB9" i="5" s="1"/>
  <c r="AA9" i="4"/>
  <c r="AA9" i="5" s="1"/>
  <c r="AA398" i="5" s="1"/>
  <c r="Y9" i="4"/>
  <c r="Y9" i="5" s="1"/>
  <c r="X9" i="4"/>
  <c r="W9" i="4"/>
  <c r="W9" i="5" s="1"/>
  <c r="W446" i="5" s="1"/>
  <c r="V9" i="4"/>
  <c r="T9" i="4"/>
  <c r="T9" i="5" s="1"/>
  <c r="S9" i="4"/>
  <c r="S9" i="5" s="1"/>
  <c r="S398" i="5" s="1"/>
  <c r="R9" i="4"/>
  <c r="R9" i="5" s="1"/>
  <c r="R446" i="5" s="1"/>
  <c r="Q9" i="4"/>
  <c r="Q9" i="5" s="1"/>
  <c r="P9" i="4"/>
  <c r="CK9" i="4" s="1"/>
  <c r="O9" i="4"/>
  <c r="N9" i="4"/>
  <c r="N192" i="4" s="1"/>
  <c r="M9" i="4"/>
  <c r="M192" i="4" s="1"/>
  <c r="L9" i="4"/>
  <c r="K9" i="4"/>
  <c r="CJ9" i="4" s="1"/>
  <c r="J9" i="4"/>
  <c r="J9" i="5" s="1"/>
  <c r="I9" i="4"/>
  <c r="H9" i="4"/>
  <c r="G9" i="4"/>
  <c r="G9" i="5"/>
  <c r="G398" i="5" s="1"/>
  <c r="D9" i="4"/>
  <c r="C9" i="4"/>
  <c r="C192" i="4" s="1"/>
  <c r="BJ192" i="4"/>
  <c r="CS9" i="4"/>
  <c r="CG93" i="4"/>
  <c r="AB266" i="4"/>
  <c r="AB252" i="4"/>
  <c r="AB342" i="4" s="1"/>
  <c r="AQ252" i="4"/>
  <c r="BA266" i="4"/>
  <c r="BA268" i="4" s="1"/>
  <c r="BF266" i="4"/>
  <c r="CK171" i="4"/>
  <c r="CI183" i="4"/>
  <c r="AZ344" i="4"/>
  <c r="L266" i="4"/>
  <c r="BA115" i="4"/>
  <c r="BC169" i="4"/>
  <c r="CE178" i="4"/>
  <c r="U66" i="4"/>
  <c r="CL66" i="4" s="1"/>
  <c r="BB308" i="4"/>
  <c r="BB315" i="4" s="1"/>
  <c r="B183" i="4"/>
  <c r="C329" i="4" s="1"/>
  <c r="B336" i="4" s="1"/>
  <c r="AY21" i="4"/>
  <c r="CR21" i="4" s="1"/>
  <c r="F266" i="4"/>
  <c r="V252" i="4"/>
  <c r="V342" i="4" s="1"/>
  <c r="V266" i="4"/>
  <c r="G115" i="4"/>
  <c r="M333" i="4"/>
  <c r="AB333" i="4"/>
  <c r="AG333" i="4"/>
  <c r="AG302" i="4"/>
  <c r="AG303" i="4" s="1"/>
  <c r="AL302" i="4"/>
  <c r="AL303" i="4" s="1"/>
  <c r="AQ333" i="4"/>
  <c r="AQ302" i="4"/>
  <c r="AQ303" i="4" s="1"/>
  <c r="AV333" i="4"/>
  <c r="BA302" i="4"/>
  <c r="BA303" i="4" s="1"/>
  <c r="BF333" i="4"/>
  <c r="CN144" i="4"/>
  <c r="CM147" i="4"/>
  <c r="CI154" i="4"/>
  <c r="C183" i="4"/>
  <c r="AD210" i="4"/>
  <c r="O220" i="4"/>
  <c r="O230" i="4" s="1"/>
  <c r="AG222" i="4"/>
  <c r="AA303" i="4"/>
  <c r="X343" i="4"/>
  <c r="E230" i="4"/>
  <c r="E222" i="4" s="1"/>
  <c r="AC230" i="4"/>
  <c r="AF303" i="4"/>
  <c r="AI215" i="4"/>
  <c r="Y220" i="4"/>
  <c r="Y230" i="4" s="1"/>
  <c r="Z217" i="4"/>
  <c r="AT220" i="4"/>
  <c r="AX245" i="4"/>
  <c r="AS107" i="5"/>
  <c r="AS108" i="5" s="1"/>
  <c r="AL107" i="5"/>
  <c r="AL108" i="5" s="1"/>
  <c r="AR240" i="5"/>
  <c r="AQ258" i="5"/>
  <c r="AW51" i="5"/>
  <c r="AR241" i="5"/>
  <c r="CU316" i="5"/>
  <c r="CT380" i="5"/>
  <c r="AV386" i="5"/>
  <c r="AL386" i="5"/>
  <c r="AK390" i="5"/>
  <c r="AQ394" i="5"/>
  <c r="AD433" i="5"/>
  <c r="BB274" i="4"/>
  <c r="AM274" i="4"/>
  <c r="CR92" i="4"/>
  <c r="AI196" i="4"/>
  <c r="AF211" i="4"/>
  <c r="AE198" i="4"/>
  <c r="AG221" i="4"/>
  <c r="AG211" i="4"/>
  <c r="AJ198" i="4"/>
  <c r="AH211" i="4"/>
  <c r="U195" i="4"/>
  <c r="CH11" i="4"/>
  <c r="AD199" i="4"/>
  <c r="BZ87" i="4"/>
  <c r="AY312" i="4"/>
  <c r="AO35" i="4"/>
  <c r="CP35" i="4" s="1"/>
  <c r="AY36" i="4"/>
  <c r="CR36" i="4" s="1"/>
  <c r="CT176" i="4"/>
  <c r="BN176" i="4"/>
  <c r="BN181" i="4"/>
  <c r="AM89" i="5"/>
  <c r="AM90" i="5" s="1"/>
  <c r="BE48" i="5"/>
  <c r="AX47" i="5"/>
  <c r="AY46" i="5"/>
  <c r="AW80" i="5"/>
  <c r="AW81" i="5" s="1"/>
  <c r="BI25" i="5"/>
  <c r="CV25" i="5" s="1"/>
  <c r="AT46" i="5"/>
  <c r="CS46" i="5" s="1"/>
  <c r="AL48" i="5"/>
  <c r="AO54" i="5"/>
  <c r="CR54" i="5" s="1"/>
  <c r="BE44" i="5"/>
  <c r="AS48" i="5"/>
  <c r="AW107" i="5"/>
  <c r="AW108" i="5" s="1"/>
  <c r="CT167" i="4"/>
  <c r="BB310" i="5"/>
  <c r="CX278" i="5"/>
  <c r="CW278" i="5"/>
  <c r="CW277" i="5"/>
  <c r="CX277" i="5"/>
  <c r="CY277" i="5"/>
  <c r="CY278" i="5"/>
  <c r="DA278" i="5"/>
  <c r="CZ278" i="5"/>
  <c r="DA277" i="5"/>
  <c r="CZ277" i="5"/>
  <c r="CW276" i="5"/>
  <c r="CX276" i="5"/>
  <c r="CX249" i="5"/>
  <c r="CX251" i="5"/>
  <c r="CX250" i="5"/>
  <c r="CY276" i="5"/>
  <c r="CZ276" i="5"/>
  <c r="DA276" i="5"/>
  <c r="BG270" i="4"/>
  <c r="BH265" i="4" s="1"/>
  <c r="BG277" i="4"/>
  <c r="BH273" i="4" s="1"/>
  <c r="BG284" i="4"/>
  <c r="AT35" i="4"/>
  <c r="CQ35" i="4" s="1"/>
  <c r="BN155" i="4"/>
  <c r="BK151" i="4"/>
  <c r="BL151" i="4" s="1"/>
  <c r="BM151" i="4" s="1"/>
  <c r="BN151" i="4" s="1"/>
  <c r="BI85" i="5"/>
  <c r="CV85" i="5" s="1"/>
  <c r="AW382" i="5"/>
  <c r="BB308" i="5"/>
  <c r="BH209" i="4"/>
  <c r="BA307" i="5"/>
  <c r="BC325" i="5"/>
  <c r="BH167" i="5"/>
  <c r="BF260" i="5"/>
  <c r="BF261" i="5" s="1"/>
  <c r="CO402" i="5"/>
  <c r="AO67" i="5"/>
  <c r="CR67" i="5" s="1"/>
  <c r="BC382" i="5"/>
  <c r="CT324" i="5"/>
  <c r="CK179" i="4"/>
  <c r="K198" i="4"/>
  <c r="BK192" i="4"/>
  <c r="O11" i="4"/>
  <c r="J218" i="4"/>
  <c r="C54" i="4"/>
  <c r="CF54" i="4" s="1"/>
  <c r="C47" i="4"/>
  <c r="C48" i="4" s="1"/>
  <c r="D295" i="4"/>
  <c r="D296" i="4" s="1"/>
  <c r="AU245" i="4"/>
  <c r="AU78" i="4" s="1"/>
  <c r="AV246" i="4"/>
  <c r="T120" i="4"/>
  <c r="U120" i="4" s="1"/>
  <c r="CL120" i="4" s="1"/>
  <c r="S98" i="4"/>
  <c r="T98" i="4" s="1"/>
  <c r="AH90" i="4"/>
  <c r="AI90" i="4" s="1"/>
  <c r="AJ90" i="4" s="1"/>
  <c r="CO90" i="4" s="1"/>
  <c r="AH86" i="4"/>
  <c r="N109" i="4"/>
  <c r="O109" i="4" s="1"/>
  <c r="P109" i="4" s="1"/>
  <c r="T88" i="4"/>
  <c r="U88" i="4" s="1"/>
  <c r="CL88" i="4" s="1"/>
  <c r="AW104" i="4"/>
  <c r="AX104" i="4" s="1"/>
  <c r="AY104" i="4" s="1"/>
  <c r="CR104" i="4" s="1"/>
  <c r="AW100" i="4"/>
  <c r="AX100" i="4" s="1"/>
  <c r="AW89" i="4"/>
  <c r="AX89" i="4" s="1"/>
  <c r="AY89" i="4" s="1"/>
  <c r="CR89" i="4" s="1"/>
  <c r="I129" i="4"/>
  <c r="J129" i="4" s="1"/>
  <c r="K129" i="4" s="1"/>
  <c r="CJ129" i="4" s="1"/>
  <c r="S121" i="4"/>
  <c r="T121" i="4" s="1"/>
  <c r="AE94" i="4"/>
  <c r="CN94" i="4" s="1"/>
  <c r="AH111" i="4"/>
  <c r="AI111" i="4" s="1"/>
  <c r="AH91" i="4"/>
  <c r="AH87" i="4"/>
  <c r="AM109" i="4"/>
  <c r="AN109" i="4" s="1"/>
  <c r="X113" i="4"/>
  <c r="Y113" i="4" s="1"/>
  <c r="Z113" i="4" s="1"/>
  <c r="CM113" i="4" s="1"/>
  <c r="Z94" i="4"/>
  <c r="CM94" i="4" s="1"/>
  <c r="S104" i="4"/>
  <c r="T104" i="4" s="1"/>
  <c r="U104" i="4" s="1"/>
  <c r="CL104" i="4" s="1"/>
  <c r="S100" i="4"/>
  <c r="T100" i="4" s="1"/>
  <c r="X112" i="4"/>
  <c r="Y112" i="4" s="1"/>
  <c r="AH129" i="4"/>
  <c r="AI129" i="4" s="1"/>
  <c r="AJ129" i="4" s="1"/>
  <c r="CO129" i="4" s="1"/>
  <c r="AH88" i="4"/>
  <c r="AI88" i="4" s="1"/>
  <c r="AJ88" i="4" s="1"/>
  <c r="CO88" i="4" s="1"/>
  <c r="AN93" i="4"/>
  <c r="AO93" i="4" s="1"/>
  <c r="CP93" i="4" s="1"/>
  <c r="AR121" i="4"/>
  <c r="AS121" i="4" s="1"/>
  <c r="AT121" i="4" s="1"/>
  <c r="CQ121" i="4" s="1"/>
  <c r="AS113" i="4"/>
  <c r="AT113" i="4" s="1"/>
  <c r="CQ113" i="4" s="1"/>
  <c r="AS34" i="4"/>
  <c r="AT34" i="4" s="1"/>
  <c r="CQ34" i="4" s="1"/>
  <c r="F12" i="6" s="1"/>
  <c r="AX90" i="4"/>
  <c r="AR119" i="4"/>
  <c r="AS119" i="4" s="1"/>
  <c r="AR118" i="4"/>
  <c r="AW102" i="4"/>
  <c r="AX102" i="4" s="1"/>
  <c r="AY102" i="4" s="1"/>
  <c r="CR102" i="4" s="1"/>
  <c r="BC121" i="4"/>
  <c r="BC308" i="4" s="1"/>
  <c r="BC309" i="4" s="1"/>
  <c r="BC118" i="4"/>
  <c r="BD118" i="4" s="1"/>
  <c r="CS118" i="4" s="1"/>
  <c r="BA34" i="4"/>
  <c r="BB91" i="4"/>
  <c r="BB227" i="4" s="1"/>
  <c r="BH309" i="5"/>
  <c r="BI324" i="5"/>
  <c r="CV324" i="5" s="1"/>
  <c r="BH400" i="5"/>
  <c r="BI400" i="5" s="1"/>
  <c r="CV400" i="5" s="1"/>
  <c r="BI67" i="4"/>
  <c r="CT67" i="4" s="1"/>
  <c r="BI78" i="4"/>
  <c r="CT78" i="4" s="1"/>
  <c r="BI42" i="4"/>
  <c r="BI316" i="5"/>
  <c r="BH70" i="4"/>
  <c r="BI68" i="4"/>
  <c r="CT68" i="4" s="1"/>
  <c r="BH172" i="5"/>
  <c r="BJ167" i="5"/>
  <c r="BI156" i="5"/>
  <c r="CV156" i="5" s="1"/>
  <c r="BI18" i="5"/>
  <c r="BH204" i="4"/>
  <c r="BI21" i="5"/>
  <c r="BH205" i="4"/>
  <c r="BH168" i="5"/>
  <c r="BH201" i="4"/>
  <c r="BI12" i="5"/>
  <c r="BH161" i="5"/>
  <c r="BH46" i="5"/>
  <c r="BH48" i="5" s="1"/>
  <c r="BH113" i="5"/>
  <c r="BH114" i="5" s="1"/>
  <c r="BH203" i="4"/>
  <c r="BH318" i="5"/>
  <c r="BI14" i="5"/>
  <c r="BI203" i="4" s="1"/>
  <c r="BH30" i="5"/>
  <c r="BH20" i="5"/>
  <c r="BH21" i="4"/>
  <c r="BI220" i="4"/>
  <c r="BH95" i="5"/>
  <c r="BH96" i="5" s="1"/>
  <c r="BH145" i="5"/>
  <c r="BH50" i="5"/>
  <c r="BH331" i="4"/>
  <c r="BI179" i="4"/>
  <c r="CT179" i="4" s="1"/>
  <c r="BI46" i="4"/>
  <c r="CT46" i="4" s="1"/>
  <c r="BH48" i="4"/>
  <c r="BH345" i="4" s="1"/>
  <c r="BI180" i="4"/>
  <c r="CT180" i="4" s="1"/>
  <c r="BI58" i="4"/>
  <c r="CT58" i="4" s="1"/>
  <c r="BI184" i="4"/>
  <c r="CT184" i="4" s="1"/>
  <c r="J27" i="6" s="1"/>
  <c r="BH183" i="4"/>
  <c r="BH185" i="4" s="1"/>
  <c r="CV385" i="5"/>
  <c r="BH307" i="5"/>
  <c r="AR352" i="5"/>
  <c r="CP343" i="5"/>
  <c r="AM352" i="5"/>
  <c r="AV363" i="5"/>
  <c r="AV208" i="4"/>
  <c r="BG117" i="5"/>
  <c r="BG122" i="5"/>
  <c r="BG123" i="5" s="1"/>
  <c r="BG54" i="5"/>
  <c r="BG55" i="5" s="1"/>
  <c r="BF253" i="5"/>
  <c r="BF81" i="5"/>
  <c r="BF308" i="5"/>
  <c r="BG308" i="5"/>
  <c r="BG414" i="5"/>
  <c r="AN80" i="5"/>
  <c r="AN81" i="5" s="1"/>
  <c r="AR47" i="5"/>
  <c r="AM107" i="5"/>
  <c r="AM108" i="5" s="1"/>
  <c r="AV390" i="5"/>
  <c r="AL89" i="5"/>
  <c r="AL145" i="5" s="1"/>
  <c r="AT140" i="5"/>
  <c r="CS140" i="5" s="1"/>
  <c r="AR80" i="5"/>
  <c r="AR81" i="5" s="1"/>
  <c r="CV381" i="5"/>
  <c r="CV380" i="5"/>
  <c r="AD293" i="4"/>
  <c r="AD343" i="4" s="1"/>
  <c r="CI182" i="4"/>
  <c r="BA102" i="4"/>
  <c r="P89" i="4"/>
  <c r="CK89" i="4" s="1"/>
  <c r="P84" i="4"/>
  <c r="CK84" i="4" s="1"/>
  <c r="CH368" i="5"/>
  <c r="CK368" i="5"/>
  <c r="S280" i="4"/>
  <c r="S112" i="4"/>
  <c r="T112" i="4" s="1"/>
  <c r="U112" i="4" s="1"/>
  <c r="CL112" i="4" s="1"/>
  <c r="D106" i="4"/>
  <c r="BY145" i="4"/>
  <c r="BY98" i="4" s="1"/>
  <c r="CX98" i="4" s="1"/>
  <c r="P90" i="4"/>
  <c r="CK90" i="4" s="1"/>
  <c r="I122" i="4"/>
  <c r="J122" i="4" s="1"/>
  <c r="K122" i="4" s="1"/>
  <c r="CJ122" i="4" s="1"/>
  <c r="N120" i="4"/>
  <c r="O120" i="4" s="1"/>
  <c r="N119" i="4"/>
  <c r="O119" i="4" s="1"/>
  <c r="O302" i="4" s="1"/>
  <c r="O303" i="4" s="1"/>
  <c r="AR103" i="4"/>
  <c r="AS103" i="4" s="1"/>
  <c r="AW94" i="4"/>
  <c r="AX94" i="4" s="1"/>
  <c r="AY94" i="4" s="1"/>
  <c r="CR94" i="4" s="1"/>
  <c r="BB97" i="4"/>
  <c r="BC97" i="4" s="1"/>
  <c r="BC87" i="4"/>
  <c r="BD87" i="4" s="1"/>
  <c r="CS87" i="4" s="1"/>
  <c r="AN87" i="4"/>
  <c r="AO87" i="4" s="1"/>
  <c r="CP87" i="4" s="1"/>
  <c r="AR245" i="5"/>
  <c r="AX236" i="5"/>
  <c r="BK310" i="5"/>
  <c r="AL174" i="5"/>
  <c r="BE317" i="5"/>
  <c r="BE433" i="5"/>
  <c r="BE308" i="5" s="1"/>
  <c r="BE318" i="5"/>
  <c r="BE307" i="5"/>
  <c r="BC52" i="5"/>
  <c r="CS399" i="5"/>
  <c r="AM54" i="4"/>
  <c r="AX73" i="5"/>
  <c r="BC43" i="5"/>
  <c r="AX44" i="5"/>
  <c r="BI136" i="5"/>
  <c r="CV136" i="5" s="1"/>
  <c r="BE116" i="5"/>
  <c r="BE122" i="5" s="1"/>
  <c r="BG86" i="5"/>
  <c r="BG87" i="5" s="1"/>
  <c r="BG42" i="5"/>
  <c r="AQ348" i="5"/>
  <c r="AQ390" i="5"/>
  <c r="CX23" i="5"/>
  <c r="AT71" i="5"/>
  <c r="CS71" i="5" s="1"/>
  <c r="AG174" i="5"/>
  <c r="AV174" i="5"/>
  <c r="AR236" i="5"/>
  <c r="AU207" i="5"/>
  <c r="CQ25" i="5"/>
  <c r="AJ347" i="5"/>
  <c r="CQ347" i="5" s="1"/>
  <c r="AQ344" i="5"/>
  <c r="BE54" i="4"/>
  <c r="CG368" i="5"/>
  <c r="AL390" i="5"/>
  <c r="AL224" i="5"/>
  <c r="BH226" i="5"/>
  <c r="AX390" i="5"/>
  <c r="AK394" i="5"/>
  <c r="AK228" i="5"/>
  <c r="AU394" i="5"/>
  <c r="AL394" i="5"/>
  <c r="AL228" i="5"/>
  <c r="AQ228" i="5"/>
  <c r="AV229" i="5" s="1"/>
  <c r="BH209" i="5"/>
  <c r="AS348" i="5"/>
  <c r="AQ352" i="5"/>
  <c r="AV352" i="5"/>
  <c r="AW47" i="5"/>
  <c r="CV387" i="5"/>
  <c r="Z172" i="5"/>
  <c r="CV382" i="5"/>
  <c r="CV386" i="5"/>
  <c r="BF56" i="5"/>
  <c r="CI368" i="5"/>
  <c r="CS166" i="5"/>
  <c r="AY167" i="5"/>
  <c r="CT167" i="5" s="1"/>
  <c r="AB174" i="5"/>
  <c r="BA174" i="5"/>
  <c r="AR203" i="5"/>
  <c r="AW236" i="5"/>
  <c r="AV344" i="5"/>
  <c r="AT325" i="5"/>
  <c r="CS325" i="5" s="1"/>
  <c r="AP381" i="5"/>
  <c r="AP394" i="5"/>
  <c r="Z353" i="5"/>
  <c r="CO353" i="5" s="1"/>
  <c r="AQ75" i="5"/>
  <c r="AQ230" i="4" s="1"/>
  <c r="AV207" i="5"/>
  <c r="BA208" i="5" s="1"/>
  <c r="AK381" i="5"/>
  <c r="AK207" i="5"/>
  <c r="AR207" i="5"/>
  <c r="AW208" i="5" s="1"/>
  <c r="BH205" i="5"/>
  <c r="AO261" i="5"/>
  <c r="CR261" i="5" s="1"/>
  <c r="CR260" i="5"/>
  <c r="CJ368" i="5"/>
  <c r="BI294" i="4"/>
  <c r="CT294" i="4" s="1"/>
  <c r="CT264" i="5"/>
  <c r="BI146" i="4"/>
  <c r="CT146" i="4" s="1"/>
  <c r="BI144" i="4"/>
  <c r="CT144" i="4" s="1"/>
  <c r="BI172" i="4"/>
  <c r="CT172" i="4" s="1"/>
  <c r="BI162" i="4"/>
  <c r="BI165" i="4"/>
  <c r="CT165" i="4" s="1"/>
  <c r="BI163" i="4"/>
  <c r="CT163" i="4" s="1"/>
  <c r="BI166" i="4"/>
  <c r="CT166" i="4" s="1"/>
  <c r="BI161" i="4"/>
  <c r="CT161" i="4" s="1"/>
  <c r="BI173" i="4"/>
  <c r="CT173" i="4" s="1"/>
  <c r="BH230" i="5"/>
  <c r="CV237" i="5"/>
  <c r="CV235" i="5"/>
  <c r="CV236" i="5"/>
  <c r="CW237" i="5"/>
  <c r="CW235" i="5"/>
  <c r="CW241" i="5"/>
  <c r="CW239" i="5"/>
  <c r="CW236" i="5"/>
  <c r="CX241" i="5"/>
  <c r="CX239" i="5"/>
  <c r="CX235" i="5"/>
  <c r="CX237" i="5"/>
  <c r="CX236" i="5"/>
  <c r="CX240" i="5"/>
  <c r="CY237" i="5"/>
  <c r="CY241" i="5"/>
  <c r="CY235" i="5"/>
  <c r="CY236" i="5"/>
  <c r="CZ237" i="5"/>
  <c r="CY240" i="5"/>
  <c r="CY239" i="5"/>
  <c r="CZ241" i="5"/>
  <c r="DA237" i="5"/>
  <c r="DA241" i="5"/>
  <c r="CZ239" i="5"/>
  <c r="CZ240" i="5"/>
  <c r="CZ235" i="5"/>
  <c r="CZ236" i="5"/>
  <c r="DA240" i="5"/>
  <c r="DA239" i="5"/>
  <c r="DA235" i="5"/>
  <c r="DA236" i="5"/>
  <c r="CV239" i="5"/>
  <c r="CV241" i="5"/>
  <c r="CV240" i="5"/>
  <c r="CW240" i="5"/>
  <c r="CW386" i="5"/>
  <c r="CW387" i="5"/>
  <c r="CW385" i="5"/>
  <c r="CW380" i="5"/>
  <c r="CW381" i="5"/>
  <c r="CW382" i="5"/>
  <c r="CX380" i="5"/>
  <c r="CX381" i="5"/>
  <c r="CX382" i="5"/>
  <c r="CX385" i="5"/>
  <c r="CX386" i="5"/>
  <c r="CX387" i="5"/>
  <c r="CY382" i="5"/>
  <c r="CZ382" i="5"/>
  <c r="CY381" i="5"/>
  <c r="CY380" i="5"/>
  <c r="CY385" i="5"/>
  <c r="CY387" i="5"/>
  <c r="CY386" i="5"/>
  <c r="DA382" i="5"/>
  <c r="CZ380" i="5"/>
  <c r="CZ381" i="5"/>
  <c r="DA380" i="5"/>
  <c r="DA381" i="5"/>
  <c r="CZ387" i="5"/>
  <c r="CZ386" i="5"/>
  <c r="CZ385" i="5"/>
  <c r="DA387" i="5"/>
  <c r="DA386" i="5"/>
  <c r="DA385" i="5"/>
  <c r="AE344" i="5"/>
  <c r="CP344" i="5" s="1"/>
  <c r="CO343" i="5"/>
  <c r="BJ209" i="4"/>
  <c r="BB48" i="5"/>
  <c r="BN178" i="4"/>
  <c r="BI147" i="4"/>
  <c r="CT147" i="4" s="1"/>
  <c r="CU264" i="5"/>
  <c r="AP354" i="5"/>
  <c r="AP258" i="5"/>
  <c r="BF37" i="5"/>
  <c r="BF173" i="5" s="1"/>
  <c r="BD381" i="5"/>
  <c r="CU381" i="5" s="1"/>
  <c r="BB208" i="5"/>
  <c r="BG208" i="5"/>
  <c r="AW225" i="5"/>
  <c r="BB225" i="5"/>
  <c r="BG91" i="4"/>
  <c r="AR86" i="4"/>
  <c r="AR267" i="4" s="1"/>
  <c r="BB113" i="4"/>
  <c r="BC113" i="4" s="1"/>
  <c r="BD113" i="4" s="1"/>
  <c r="AH119" i="4"/>
  <c r="AM122" i="4"/>
  <c r="AN122" i="4" s="1"/>
  <c r="AO122" i="4" s="1"/>
  <c r="CP122" i="4" s="1"/>
  <c r="AR90" i="4"/>
  <c r="AS90" i="4" s="1"/>
  <c r="BG35" i="4"/>
  <c r="BH35" i="4" s="1"/>
  <c r="BI35" i="4" s="1"/>
  <c r="CT35" i="4" s="1"/>
  <c r="BH122" i="4"/>
  <c r="AS89" i="4"/>
  <c r="AT89" i="4" s="1"/>
  <c r="CQ89" i="4" s="1"/>
  <c r="BY157" i="5"/>
  <c r="CF9" i="4"/>
  <c r="F312" i="4"/>
  <c r="G311" i="4" s="1"/>
  <c r="CE104" i="4"/>
  <c r="B344" i="4"/>
  <c r="CI110" i="4"/>
  <c r="CI115" i="4" s="1"/>
  <c r="H267" i="4"/>
  <c r="I86" i="4"/>
  <c r="J86" i="4" s="1"/>
  <c r="K86" i="4" s="1"/>
  <c r="CJ86" i="4" s="1"/>
  <c r="N98" i="4"/>
  <c r="AM98" i="4"/>
  <c r="AN98" i="4" s="1"/>
  <c r="S230" i="4"/>
  <c r="S222" i="4" s="1"/>
  <c r="AC282" i="4"/>
  <c r="N91" i="4"/>
  <c r="N227" i="4" s="1"/>
  <c r="AL281" i="4"/>
  <c r="AO92" i="4"/>
  <c r="BD281" i="4"/>
  <c r="AE217" i="4"/>
  <c r="AZ309" i="4"/>
  <c r="BA432" i="5"/>
  <c r="E344" i="4"/>
  <c r="E106" i="4"/>
  <c r="AM89" i="4"/>
  <c r="AN89" i="4" s="1"/>
  <c r="BH93" i="4"/>
  <c r="BI93" i="4" s="1"/>
  <c r="CT93" i="4" s="1"/>
  <c r="BG94" i="4"/>
  <c r="CE167" i="4"/>
  <c r="M267" i="4"/>
  <c r="N86" i="4"/>
  <c r="N267" i="4" s="1"/>
  <c r="R274" i="4"/>
  <c r="S87" i="4"/>
  <c r="T87" i="4" s="1"/>
  <c r="Y91" i="4"/>
  <c r="Y227" i="4" s="1"/>
  <c r="Y228" i="4" s="1"/>
  <c r="X227" i="4"/>
  <c r="AC119" i="4"/>
  <c r="AD119" i="4" s="1"/>
  <c r="AW91" i="4"/>
  <c r="AW227" i="4" s="1"/>
  <c r="AV227" i="4"/>
  <c r="BC333" i="5"/>
  <c r="BJ309" i="5"/>
  <c r="CV431" i="5"/>
  <c r="BJ321" i="5"/>
  <c r="BN164" i="4"/>
  <c r="BN172" i="4"/>
  <c r="CN178" i="4"/>
  <c r="AR99" i="4"/>
  <c r="AS99" i="4" s="1"/>
  <c r="AR87" i="4"/>
  <c r="AS87" i="4" s="1"/>
  <c r="BH118" i="4"/>
  <c r="BI118" i="4" s="1"/>
  <c r="CT118" i="4" s="1"/>
  <c r="BG86" i="4"/>
  <c r="BH103" i="4"/>
  <c r="BI103" i="4" s="1"/>
  <c r="CT103" i="4" s="1"/>
  <c r="BJ317" i="5"/>
  <c r="BJ318" i="5"/>
  <c r="BJ203" i="4"/>
  <c r="BJ15" i="5"/>
  <c r="BJ169" i="4"/>
  <c r="BJ175" i="4" s="1"/>
  <c r="BJ115" i="4"/>
  <c r="BJ48" i="4"/>
  <c r="BJ345" i="4" s="1"/>
  <c r="BJ70" i="4"/>
  <c r="BJ69" i="4"/>
  <c r="BJ126" i="4"/>
  <c r="BJ183" i="4"/>
  <c r="BJ185" i="4" s="1"/>
  <c r="AQ387" i="5"/>
  <c r="AZ318" i="5"/>
  <c r="AZ20" i="5"/>
  <c r="AZ206" i="4" s="1"/>
  <c r="AZ30" i="5"/>
  <c r="AZ37" i="5" s="1"/>
  <c r="AZ246" i="5" s="1"/>
  <c r="BD14" i="5"/>
  <c r="AZ52" i="5"/>
  <c r="AZ203" i="4"/>
  <c r="BE15" i="5"/>
  <c r="AZ90" i="5"/>
  <c r="AZ337" i="5"/>
  <c r="AZ15" i="5"/>
  <c r="AZ46" i="5"/>
  <c r="BD46" i="5" s="1"/>
  <c r="AZ108" i="5"/>
  <c r="AZ258" i="5"/>
  <c r="BE19" i="5"/>
  <c r="AZ241" i="5"/>
  <c r="AZ237" i="5" s="1"/>
  <c r="BE237" i="5" s="1"/>
  <c r="AZ262" i="5"/>
  <c r="AZ204" i="4"/>
  <c r="AZ19" i="5"/>
  <c r="K37" i="5"/>
  <c r="K355" i="5" s="1"/>
  <c r="AR363" i="5"/>
  <c r="BC205" i="4"/>
  <c r="BC391" i="5"/>
  <c r="BC387" i="5"/>
  <c r="BC116" i="5"/>
  <c r="BC122" i="5" s="1"/>
  <c r="BC123" i="5" s="1"/>
  <c r="BD21" i="5"/>
  <c r="BC56" i="5"/>
  <c r="BH24" i="5"/>
  <c r="BJ13" i="5"/>
  <c r="BJ168" i="5"/>
  <c r="BJ201" i="4"/>
  <c r="BJ50" i="5"/>
  <c r="BJ52" i="5" s="1"/>
  <c r="BJ145" i="5"/>
  <c r="BJ95" i="5"/>
  <c r="BJ96" i="5" s="1"/>
  <c r="BJ108" i="5"/>
  <c r="BJ110" i="5" s="1"/>
  <c r="BJ172" i="5"/>
  <c r="BJ174" i="5" s="1"/>
  <c r="CV23" i="5"/>
  <c r="BJ204" i="4"/>
  <c r="BJ19" i="5"/>
  <c r="BJ20" i="5"/>
  <c r="BJ206" i="4" s="1"/>
  <c r="BJ87" i="5"/>
  <c r="BJ202" i="4"/>
  <c r="BJ204" i="5"/>
  <c r="BJ21" i="4"/>
  <c r="BJ46" i="5"/>
  <c r="BJ48" i="5" s="1"/>
  <c r="BJ104" i="5"/>
  <c r="BJ105" i="5" s="1"/>
  <c r="BJ400" i="5"/>
  <c r="BE406" i="5"/>
  <c r="BA229" i="5"/>
  <c r="G192" i="4"/>
  <c r="AM118" i="4"/>
  <c r="AN118" i="4" s="1"/>
  <c r="D183" i="4"/>
  <c r="BN136" i="5"/>
  <c r="CW136" i="5" s="1"/>
  <c r="BJ376" i="5"/>
  <c r="BE22" i="5"/>
  <c r="BK209" i="4"/>
  <c r="E37" i="5"/>
  <c r="BA73" i="5"/>
  <c r="BK71" i="5"/>
  <c r="BG174" i="5"/>
  <c r="BG175" i="5" s="1"/>
  <c r="BB375" i="5"/>
  <c r="BB376" i="5" s="1"/>
  <c r="BB369" i="5"/>
  <c r="AW44" i="5"/>
  <c r="BM310" i="5"/>
  <c r="BR435" i="5"/>
  <c r="BF406" i="5"/>
  <c r="BE415" i="5"/>
  <c r="AS207" i="4"/>
  <c r="AS359" i="5"/>
  <c r="AX359" i="5" s="1"/>
  <c r="BH204" i="5"/>
  <c r="BC204" i="5"/>
  <c r="CV331" i="5"/>
  <c r="AL344" i="5"/>
  <c r="BG204" i="5"/>
  <c r="BF208" i="5"/>
  <c r="BF225" i="5"/>
  <c r="BE229" i="5"/>
  <c r="AZ229" i="5"/>
  <c r="CU435" i="5"/>
  <c r="BJ343" i="4"/>
  <c r="BN25" i="5"/>
  <c r="CW25" i="5" s="1"/>
  <c r="BJ277" i="4"/>
  <c r="BK273" i="4" s="1"/>
  <c r="BJ284" i="4"/>
  <c r="BK280" i="4" s="1"/>
  <c r="BJ344" i="4"/>
  <c r="BK309" i="5"/>
  <c r="BK411" i="5"/>
  <c r="BG411" i="5"/>
  <c r="BH411" i="5"/>
  <c r="BC411" i="5"/>
  <c r="AJ197" i="5"/>
  <c r="AP205" i="4"/>
  <c r="BN254" i="5"/>
  <c r="CT335" i="5"/>
  <c r="BF31" i="5"/>
  <c r="BF38" i="5" s="1"/>
  <c r="AQ349" i="5"/>
  <c r="AQ345" i="5"/>
  <c r="AT261" i="5"/>
  <c r="CS261" i="5" s="1"/>
  <c r="CU385" i="5"/>
  <c r="BH308" i="5"/>
  <c r="AY228" i="5"/>
  <c r="AW426" i="5"/>
  <c r="AY426" i="5" s="1"/>
  <c r="CT426" i="5" s="1"/>
  <c r="AL395" i="5"/>
  <c r="AK258" i="5"/>
  <c r="AK262" i="5"/>
  <c r="AK349" i="5"/>
  <c r="AX382" i="5"/>
  <c r="AX391" i="5"/>
  <c r="AW16" i="5"/>
  <c r="BB17" i="5" s="1"/>
  <c r="BL310" i="5"/>
  <c r="BQ435" i="5"/>
  <c r="BH406" i="5"/>
  <c r="AZ437" i="5"/>
  <c r="AZ440" i="5" s="1"/>
  <c r="BJ24" i="5"/>
  <c r="AX145" i="5"/>
  <c r="AC349" i="5"/>
  <c r="BJ205" i="4"/>
  <c r="AY262" i="5"/>
  <c r="CT262" i="5" s="1"/>
  <c r="CQ128" i="5"/>
  <c r="AT172" i="5"/>
  <c r="CS172" i="5" s="1"/>
  <c r="AO201" i="4"/>
  <c r="AE163" i="5"/>
  <c r="CP163" i="5" s="1"/>
  <c r="CR14" i="5"/>
  <c r="AO329" i="5"/>
  <c r="CR329" i="5" s="1"/>
  <c r="AQ406" i="5"/>
  <c r="AW406" i="5"/>
  <c r="AW411" i="5" s="1"/>
  <c r="AV341" i="5"/>
  <c r="BC15" i="5"/>
  <c r="BC203" i="4"/>
  <c r="AK174" i="5"/>
  <c r="AP174" i="5"/>
  <c r="CP331" i="5"/>
  <c r="CT331" i="5"/>
  <c r="CP335" i="5"/>
  <c r="BC141" i="5"/>
  <c r="BD94" i="5"/>
  <c r="CU94" i="5" s="1"/>
  <c r="CR156" i="5"/>
  <c r="AT157" i="5"/>
  <c r="AO157" i="5"/>
  <c r="CR157" i="5" s="1"/>
  <c r="BG406" i="5"/>
  <c r="BB253" i="5"/>
  <c r="AW395" i="5"/>
  <c r="AC337" i="5"/>
  <c r="AC333" i="5"/>
  <c r="BC393" i="5"/>
  <c r="BC395" i="5" s="1"/>
  <c r="BC369" i="5"/>
  <c r="AZ225" i="5"/>
  <c r="BJ205" i="5"/>
  <c r="BO205" i="5" s="1"/>
  <c r="BD336" i="5"/>
  <c r="CU336" i="5" s="1"/>
  <c r="BK400" i="5"/>
  <c r="AY183" i="4"/>
  <c r="CU182" i="4"/>
  <c r="CT162" i="4"/>
  <c r="AB273" i="4"/>
  <c r="BN143" i="4"/>
  <c r="AD121" i="4"/>
  <c r="AE121" i="4" s="1"/>
  <c r="CN121" i="4" s="1"/>
  <c r="AM123" i="4"/>
  <c r="AN123" i="4" s="1"/>
  <c r="AO123" i="4" s="1"/>
  <c r="CP123" i="4" s="1"/>
  <c r="AT124" i="4"/>
  <c r="CQ124" i="4" s="1"/>
  <c r="BE303" i="4"/>
  <c r="AB126" i="4"/>
  <c r="S119" i="4"/>
  <c r="T119" i="4" s="1"/>
  <c r="R333" i="4"/>
  <c r="AG126" i="4"/>
  <c r="BG119" i="4"/>
  <c r="BH119" i="4" s="1"/>
  <c r="BH333" i="4" s="1"/>
  <c r="BF69" i="4"/>
  <c r="J118" i="4"/>
  <c r="K118" i="4" s="1"/>
  <c r="CJ118" i="4" s="1"/>
  <c r="W266" i="4"/>
  <c r="W252" i="4"/>
  <c r="W342" i="4" s="1"/>
  <c r="AW113" i="4"/>
  <c r="S113" i="4"/>
  <c r="T113" i="4" s="1"/>
  <c r="AL252" i="4"/>
  <c r="AL342" i="4" s="1"/>
  <c r="AM110" i="4"/>
  <c r="AL266" i="4"/>
  <c r="BJ342" i="4"/>
  <c r="O113" i="4"/>
  <c r="P113" i="4" s="1"/>
  <c r="CK113" i="4" s="1"/>
  <c r="AV115" i="4"/>
  <c r="AV252" i="4"/>
  <c r="AV342" i="4" s="1"/>
  <c r="BB104" i="4"/>
  <c r="BC104" i="4" s="1"/>
  <c r="BD104" i="4" s="1"/>
  <c r="CS104" i="4" s="1"/>
  <c r="AR98" i="4"/>
  <c r="AB344" i="4"/>
  <c r="AC98" i="4"/>
  <c r="AD98" i="4" s="1"/>
  <c r="W106" i="4"/>
  <c r="AV344" i="4"/>
  <c r="S99" i="4"/>
  <c r="T99" i="4" s="1"/>
  <c r="J97" i="4"/>
  <c r="K97" i="4" s="1"/>
  <c r="O104" i="4"/>
  <c r="P104" i="4" s="1"/>
  <c r="CK104" i="4" s="1"/>
  <c r="Y102" i="4"/>
  <c r="Z102" i="4" s="1"/>
  <c r="CM102" i="4" s="1"/>
  <c r="J103" i="4"/>
  <c r="K103" i="4" s="1"/>
  <c r="CJ103" i="4" s="1"/>
  <c r="Z98" i="4"/>
  <c r="CM98" i="4" s="1"/>
  <c r="J102" i="4"/>
  <c r="K102" i="4" s="1"/>
  <c r="CJ102" i="4" s="1"/>
  <c r="AI97" i="4"/>
  <c r="J101" i="4"/>
  <c r="K101" i="4" s="1"/>
  <c r="CJ101" i="4" s="1"/>
  <c r="O102" i="4"/>
  <c r="P102" i="4" s="1"/>
  <c r="CK102" i="4" s="1"/>
  <c r="Y100" i="4"/>
  <c r="Z100" i="4" s="1"/>
  <c r="CM100" i="4" s="1"/>
  <c r="AI100" i="4"/>
  <c r="AJ100" i="4" s="1"/>
  <c r="CO100" i="4" s="1"/>
  <c r="CR98" i="4"/>
  <c r="BB99" i="4"/>
  <c r="BC99" i="4" s="1"/>
  <c r="BD99" i="4" s="1"/>
  <c r="CS99" i="4" s="1"/>
  <c r="BC48" i="5"/>
  <c r="BC107" i="5"/>
  <c r="BC108" i="5" s="1"/>
  <c r="BC262" i="5"/>
  <c r="BG17" i="5"/>
  <c r="CR18" i="5"/>
  <c r="AO204" i="4"/>
  <c r="AI16" i="5"/>
  <c r="AI387" i="5"/>
  <c r="AJ207" i="4"/>
  <c r="AR206" i="4"/>
  <c r="Y129" i="4"/>
  <c r="Z129" i="4" s="1"/>
  <c r="CM129" i="4" s="1"/>
  <c r="AD129" i="4"/>
  <c r="AE129" i="4" s="1"/>
  <c r="CN129" i="4" s="1"/>
  <c r="T129" i="4"/>
  <c r="U129" i="4" s="1"/>
  <c r="CL129" i="4" s="1"/>
  <c r="AI122" i="4"/>
  <c r="AJ122" i="4" s="1"/>
  <c r="CO122" i="4" s="1"/>
  <c r="Y122" i="4"/>
  <c r="Z122" i="4" s="1"/>
  <c r="CM122" i="4" s="1"/>
  <c r="AD123" i="4"/>
  <c r="AE123" i="4" s="1"/>
  <c r="CN123" i="4" s="1"/>
  <c r="Y120" i="4"/>
  <c r="Z120" i="4" s="1"/>
  <c r="CM120" i="4" s="1"/>
  <c r="AX111" i="4"/>
  <c r="AY111" i="4" s="1"/>
  <c r="CR111" i="4" s="1"/>
  <c r="BC112" i="4"/>
  <c r="Y111" i="4"/>
  <c r="Z111" i="4" s="1"/>
  <c r="CM111" i="4" s="1"/>
  <c r="T109" i="4"/>
  <c r="U109" i="4" s="1"/>
  <c r="CL109" i="4" s="1"/>
  <c r="Y109" i="4"/>
  <c r="Z109" i="4" s="1"/>
  <c r="CM109" i="4" s="1"/>
  <c r="K93" i="4"/>
  <c r="AR281" i="4"/>
  <c r="AR282" i="4" s="1"/>
  <c r="AT92" i="4"/>
  <c r="CQ92" i="4" s="1"/>
  <c r="BZ157" i="5"/>
  <c r="DA157" i="5" s="1"/>
  <c r="BK172" i="5"/>
  <c r="BL167" i="5"/>
  <c r="BK359" i="5"/>
  <c r="BK204" i="4"/>
  <c r="BK19" i="5"/>
  <c r="BK126" i="4"/>
  <c r="BK307" i="5"/>
  <c r="BK321" i="5"/>
  <c r="BK70" i="4"/>
  <c r="BK13" i="5"/>
  <c r="BK201" i="4"/>
  <c r="BK17" i="5"/>
  <c r="BK202" i="4"/>
  <c r="BK208" i="5"/>
  <c r="BK205" i="4"/>
  <c r="BK24" i="5"/>
  <c r="BK317" i="5"/>
  <c r="BK318" i="5"/>
  <c r="BK203" i="4"/>
  <c r="BK50" i="5"/>
  <c r="BK52" i="5" s="1"/>
  <c r="BK15" i="5"/>
  <c r="BK20" i="5"/>
  <c r="BK206" i="4" s="1"/>
  <c r="BK30" i="5"/>
  <c r="BK368" i="5" s="1"/>
  <c r="BK95" i="5"/>
  <c r="BK96" i="5" s="1"/>
  <c r="BK145" i="5"/>
  <c r="BK21" i="4"/>
  <c r="BK86" i="5"/>
  <c r="BK87" i="5" s="1"/>
  <c r="BK42" i="5"/>
  <c r="BK46" i="5"/>
  <c r="BK48" i="5" s="1"/>
  <c r="BK104" i="5"/>
  <c r="BK105" i="5" s="1"/>
  <c r="BK169" i="4"/>
  <c r="BK175" i="4" s="1"/>
  <c r="BK48" i="4"/>
  <c r="BK345" i="4" s="1"/>
  <c r="BK183" i="4"/>
  <c r="BK185" i="4" s="1"/>
  <c r="N245" i="4"/>
  <c r="N78" i="4" s="1"/>
  <c r="S192" i="4"/>
  <c r="S41" i="5"/>
  <c r="AH9" i="5"/>
  <c r="AH398" i="5" s="1"/>
  <c r="AE192" i="4"/>
  <c r="CN9" i="4"/>
  <c r="AM9" i="5"/>
  <c r="AM41" i="5" s="1"/>
  <c r="BP82" i="4"/>
  <c r="BP139" i="4" s="1"/>
  <c r="AU9" i="5"/>
  <c r="AU41" i="5" s="1"/>
  <c r="AU192" i="4"/>
  <c r="BL192" i="4"/>
  <c r="BK302" i="4"/>
  <c r="BK303" i="4" s="1"/>
  <c r="S343" i="4"/>
  <c r="AR100" i="4"/>
  <c r="AS100" i="4" s="1"/>
  <c r="AT100" i="4" s="1"/>
  <c r="CQ100" i="4" s="1"/>
  <c r="BB280" i="4"/>
  <c r="I221" i="4"/>
  <c r="AI34" i="4"/>
  <c r="AS104" i="4"/>
  <c r="AT104" i="4" s="1"/>
  <c r="CQ104" i="4" s="1"/>
  <c r="J220" i="4"/>
  <c r="BN98" i="4"/>
  <c r="CU98" i="4" s="1"/>
  <c r="AZ51" i="5"/>
  <c r="AE167" i="5"/>
  <c r="CP167" i="5" s="1"/>
  <c r="AQ174" i="5"/>
  <c r="AP206" i="4"/>
  <c r="BD12" i="5"/>
  <c r="BC194" i="5"/>
  <c r="CR25" i="5"/>
  <c r="CR235" i="5"/>
  <c r="AC174" i="5"/>
  <c r="CQ50" i="5"/>
  <c r="BF247" i="5"/>
  <c r="CQ239" i="5"/>
  <c r="AC345" i="5"/>
  <c r="AT168" i="5"/>
  <c r="CS168" i="5" s="1"/>
  <c r="AN248" i="5"/>
  <c r="CQ66" i="4"/>
  <c r="AS311" i="4"/>
  <c r="H311" i="4"/>
  <c r="BC111" i="4"/>
  <c r="BD111" i="4" s="1"/>
  <c r="CS111" i="4" s="1"/>
  <c r="BC90" i="4"/>
  <c r="BD90" i="4" s="1"/>
  <c r="CS90" i="4" s="1"/>
  <c r="BC89" i="4"/>
  <c r="BD89" i="4" s="1"/>
  <c r="CS89" i="4" s="1"/>
  <c r="AI103" i="4"/>
  <c r="AJ103" i="4" s="1"/>
  <c r="CO103" i="4" s="1"/>
  <c r="AN88" i="4"/>
  <c r="AO88" i="4" s="1"/>
  <c r="CP88" i="4" s="1"/>
  <c r="CU92" i="4"/>
  <c r="CJ93" i="4"/>
  <c r="AI109" i="4"/>
  <c r="AJ109" i="4" s="1"/>
  <c r="CO109" i="4" s="1"/>
  <c r="BH280" i="4"/>
  <c r="BC343" i="4"/>
  <c r="I123" i="4"/>
  <c r="J123" i="4" s="1"/>
  <c r="K123" i="4" s="1"/>
  <c r="CJ123" i="4" s="1"/>
  <c r="I112" i="4"/>
  <c r="J112" i="4" s="1"/>
  <c r="O103" i="4"/>
  <c r="P103" i="4" s="1"/>
  <c r="CK103" i="4" s="1"/>
  <c r="O99" i="4"/>
  <c r="P99" i="4" s="1"/>
  <c r="CK99" i="4" s="1"/>
  <c r="BI122" i="4"/>
  <c r="CT122" i="4" s="1"/>
  <c r="AE113" i="4"/>
  <c r="CN113" i="4" s="1"/>
  <c r="AM101" i="4"/>
  <c r="AN101" i="4" s="1"/>
  <c r="AR120" i="4"/>
  <c r="AS112" i="4"/>
  <c r="AT112" i="4" s="1"/>
  <c r="CQ112" i="4" s="1"/>
  <c r="AY128" i="4"/>
  <c r="CR128" i="4" s="1"/>
  <c r="AW103" i="4"/>
  <c r="AX103" i="4" s="1"/>
  <c r="AY103" i="4" s="1"/>
  <c r="CR103" i="4" s="1"/>
  <c r="U101" i="4"/>
  <c r="CL101" i="4" s="1"/>
  <c r="AE112" i="4"/>
  <c r="CN112" i="4" s="1"/>
  <c r="AE104" i="4"/>
  <c r="CN104" i="4" s="1"/>
  <c r="AX123" i="4"/>
  <c r="AY123" i="4" s="1"/>
  <c r="CR123" i="4" s="1"/>
  <c r="BH67" i="5"/>
  <c r="BJ67" i="5" s="1"/>
  <c r="BK67" i="5" s="1"/>
  <c r="BL67" i="5" s="1"/>
  <c r="BM67" i="5" s="1"/>
  <c r="BO67" i="5" s="1"/>
  <c r="S446" i="5"/>
  <c r="AW398" i="5"/>
  <c r="AW41" i="5"/>
  <c r="BK205" i="5"/>
  <c r="BP205" i="5" s="1"/>
  <c r="BD71" i="5"/>
  <c r="CU71" i="5" s="1"/>
  <c r="BH71" i="5"/>
  <c r="BM71" i="5" s="1"/>
  <c r="BC73" i="5"/>
  <c r="BI448" i="5"/>
  <c r="BJ437" i="5"/>
  <c r="BJ440" i="5" s="1"/>
  <c r="BJ117" i="5"/>
  <c r="BJ119" i="5" s="1"/>
  <c r="BJ221" i="5"/>
  <c r="BJ226" i="5"/>
  <c r="BJ209" i="5"/>
  <c r="BH86" i="5"/>
  <c r="BH87" i="5" s="1"/>
  <c r="CY160" i="5"/>
  <c r="AU362" i="5"/>
  <c r="AX108" i="5"/>
  <c r="BF47" i="5"/>
  <c r="AQ145" i="5"/>
  <c r="CO168" i="5"/>
  <c r="CO166" i="5"/>
  <c r="BF196" i="5"/>
  <c r="BK197" i="5" s="1"/>
  <c r="AE198" i="5"/>
  <c r="CQ235" i="5"/>
  <c r="AO236" i="5"/>
  <c r="CR256" i="5"/>
  <c r="AS340" i="5"/>
  <c r="AJ343" i="5"/>
  <c r="AM344" i="5"/>
  <c r="AR344" i="5"/>
  <c r="AU349" i="5"/>
  <c r="BI309" i="5"/>
  <c r="CV309" i="5" s="1"/>
  <c r="BA43" i="5"/>
  <c r="BA44" i="5"/>
  <c r="AY235" i="5"/>
  <c r="AY237" i="5" s="1"/>
  <c r="CT237" i="5" s="1"/>
  <c r="CQ335" i="5"/>
  <c r="AK340" i="5"/>
  <c r="AV381" i="5"/>
  <c r="AQ382" i="5"/>
  <c r="BC447" i="5"/>
  <c r="AR55" i="5"/>
  <c r="AR69" i="5"/>
  <c r="AR75" i="5" s="1"/>
  <c r="AR230" i="4" s="1"/>
  <c r="AR21" i="5"/>
  <c r="AR382" i="5" s="1"/>
  <c r="BA54" i="4"/>
  <c r="BA23" i="4"/>
  <c r="BA28" i="4" s="1"/>
  <c r="BG46" i="5"/>
  <c r="BG108" i="5"/>
  <c r="BA204" i="5"/>
  <c r="BK204" i="5"/>
  <c r="BE208" i="5"/>
  <c r="AE168" i="5"/>
  <c r="CP168" i="5" s="1"/>
  <c r="CN30" i="5"/>
  <c r="BF204" i="5"/>
  <c r="AE340" i="5"/>
  <c r="CP340" i="5" s="1"/>
  <c r="BE73" i="5"/>
  <c r="U37" i="5"/>
  <c r="BA69" i="5"/>
  <c r="AU240" i="5"/>
  <c r="AO237" i="5"/>
  <c r="CR237" i="5" s="1"/>
  <c r="CV12" i="5"/>
  <c r="AG382" i="5"/>
  <c r="BB43" i="5"/>
  <c r="BB80" i="5"/>
  <c r="BB44" i="5"/>
  <c r="AI367" i="5"/>
  <c r="AU390" i="5"/>
  <c r="AP224" i="5"/>
  <c r="CT402" i="5"/>
  <c r="AQ414" i="5"/>
  <c r="AI382" i="5"/>
  <c r="AM48" i="5"/>
  <c r="AO50" i="5"/>
  <c r="AO51" i="5" s="1"/>
  <c r="CR51" i="5" s="1"/>
  <c r="AL56" i="5"/>
  <c r="AW54" i="4"/>
  <c r="AW89" i="5"/>
  <c r="AW90" i="5" s="1"/>
  <c r="AW52" i="5"/>
  <c r="AW69" i="5"/>
  <c r="AW75" i="5" s="1"/>
  <c r="AW230" i="4" s="1"/>
  <c r="AV69" i="5"/>
  <c r="AV75" i="5" s="1"/>
  <c r="AV230" i="4" s="1"/>
  <c r="BD332" i="5"/>
  <c r="CU332" i="5" s="1"/>
  <c r="BD18" i="5"/>
  <c r="BA308" i="5"/>
  <c r="AG387" i="5"/>
  <c r="AI395" i="5"/>
  <c r="CG125" i="5"/>
  <c r="BI157" i="5"/>
  <c r="BB69" i="5"/>
  <c r="BG225" i="5"/>
  <c r="AS258" i="5"/>
  <c r="AV55" i="5"/>
  <c r="BC309" i="5"/>
  <c r="AQ51" i="5"/>
  <c r="BG113" i="5"/>
  <c r="BG114" i="5" s="1"/>
  <c r="BG98" i="5"/>
  <c r="BG99" i="5" s="1"/>
  <c r="AT54" i="5"/>
  <c r="CS54" i="5" s="1"/>
  <c r="AY201" i="4"/>
  <c r="AA345" i="5"/>
  <c r="AF81" i="5"/>
  <c r="BA113" i="5"/>
  <c r="BA114" i="5" s="1"/>
  <c r="AF90" i="5"/>
  <c r="AI348" i="5"/>
  <c r="AN348" i="5"/>
  <c r="CO351" i="5"/>
  <c r="AQ224" i="5"/>
  <c r="AP228" i="5"/>
  <c r="AT393" i="5"/>
  <c r="AP395" i="5"/>
  <c r="BB393" i="5"/>
  <c r="BB395" i="5" s="1"/>
  <c r="AS55" i="5"/>
  <c r="AN44" i="5"/>
  <c r="AN69" i="5"/>
  <c r="AN75" i="5" s="1"/>
  <c r="AN230" i="4" s="1"/>
  <c r="AN349" i="5"/>
  <c r="AL206" i="4"/>
  <c r="AX56" i="5"/>
  <c r="AX16" i="5"/>
  <c r="BC24" i="5"/>
  <c r="AW391" i="5"/>
  <c r="AW205" i="4"/>
  <c r="BB24" i="5"/>
  <c r="AV345" i="5"/>
  <c r="BF122" i="5"/>
  <c r="AS23" i="5"/>
  <c r="AS208" i="4" s="1"/>
  <c r="AT22" i="5"/>
  <c r="AS360" i="5"/>
  <c r="AC354" i="5"/>
  <c r="AC353" i="5"/>
  <c r="AH116" i="5"/>
  <c r="AH117" i="5" s="1"/>
  <c r="AQ16" i="5"/>
  <c r="AQ205" i="4"/>
  <c r="BK248" i="5"/>
  <c r="BF248" i="5"/>
  <c r="AP245" i="5"/>
  <c r="AP248" i="5" s="1"/>
  <c r="AV241" i="5"/>
  <c r="BE225" i="5"/>
  <c r="AK391" i="5"/>
  <c r="BG415" i="5"/>
  <c r="BG421" i="5" s="1"/>
  <c r="BG426" i="5" s="1"/>
  <c r="BK308" i="5"/>
  <c r="W433" i="5"/>
  <c r="BC415" i="5"/>
  <c r="BC421" i="5" s="1"/>
  <c r="BC406" i="5"/>
  <c r="AV406" i="5"/>
  <c r="AV415" i="5"/>
  <c r="AV421" i="5" s="1"/>
  <c r="AV427" i="5" s="1"/>
  <c r="BF403" i="5"/>
  <c r="BG403" i="5" s="1"/>
  <c r="BH403" i="5" s="1"/>
  <c r="BI403" i="5" s="1"/>
  <c r="CU403" i="5"/>
  <c r="AZ202" i="4"/>
  <c r="BJ406" i="5"/>
  <c r="AJ203" i="4"/>
  <c r="AV90" i="5"/>
  <c r="AV145" i="5"/>
  <c r="BI333" i="5"/>
  <c r="CV333" i="5" s="1"/>
  <c r="CV14" i="5"/>
  <c r="AT89" i="5"/>
  <c r="CS89" i="5" s="1"/>
  <c r="AQ90" i="5"/>
  <c r="AB349" i="5"/>
  <c r="AB341" i="5"/>
  <c r="AB333" i="5"/>
  <c r="AF337" i="5"/>
  <c r="AF333" i="5"/>
  <c r="BE206" i="4"/>
  <c r="AL345" i="5"/>
  <c r="AL353" i="5"/>
  <c r="AL262" i="5"/>
  <c r="AL258" i="5"/>
  <c r="BE95" i="5"/>
  <c r="BE96" i="5" s="1"/>
  <c r="BE145" i="5"/>
  <c r="BI145" i="5" s="1"/>
  <c r="CV145" i="5" s="1"/>
  <c r="AS354" i="5"/>
  <c r="AN262" i="5"/>
  <c r="AN258" i="5"/>
  <c r="CP18" i="5"/>
  <c r="AF391" i="5"/>
  <c r="AR108" i="5"/>
  <c r="AM116" i="5"/>
  <c r="AQ116" i="5"/>
  <c r="AQ117" i="5" s="1"/>
  <c r="AH30" i="5"/>
  <c r="AH37" i="5" s="1"/>
  <c r="AH368" i="5" s="1"/>
  <c r="AH24" i="5"/>
  <c r="AH387" i="5"/>
  <c r="AH391" i="5"/>
  <c r="AH382" i="5"/>
  <c r="CV21" i="5"/>
  <c r="BI205" i="4"/>
  <c r="CG30" i="5"/>
  <c r="BH99" i="4"/>
  <c r="BI99" i="4" s="1"/>
  <c r="CT99" i="4" s="1"/>
  <c r="CL163" i="4"/>
  <c r="AQ342" i="4"/>
  <c r="E192" i="4"/>
  <c r="E9" i="5"/>
  <c r="CJ9" i="5" s="1"/>
  <c r="AO82" i="4"/>
  <c r="BB102" i="4"/>
  <c r="BC102" i="4" s="1"/>
  <c r="BD102" i="4" s="1"/>
  <c r="CS102" i="4" s="1"/>
  <c r="BA344" i="4"/>
  <c r="H243" i="4"/>
  <c r="H240" i="4"/>
  <c r="S226" i="4"/>
  <c r="BH91" i="4"/>
  <c r="N333" i="4"/>
  <c r="AQ82" i="4"/>
  <c r="AQ139" i="4" s="1"/>
  <c r="BD82" i="4"/>
  <c r="BD139" i="4" s="1"/>
  <c r="CS139" i="4" s="1"/>
  <c r="W231" i="4"/>
  <c r="CE12" i="4"/>
  <c r="I267" i="4"/>
  <c r="BE187" i="4"/>
  <c r="AM91" i="4"/>
  <c r="AN91" i="4" s="1"/>
  <c r="AN227" i="4" s="1"/>
  <c r="AL227" i="4"/>
  <c r="F47" i="4"/>
  <c r="CI47" i="4" s="1"/>
  <c r="F54" i="4"/>
  <c r="CI54" i="4" s="1"/>
  <c r="G132" i="4"/>
  <c r="X118" i="4"/>
  <c r="Y118" i="4" s="1"/>
  <c r="W126" i="4"/>
  <c r="S311" i="4"/>
  <c r="BH295" i="4"/>
  <c r="BH296" i="4" s="1"/>
  <c r="AW230" i="5"/>
  <c r="AW226" i="5"/>
  <c r="AW205" i="5"/>
  <c r="BM209" i="4"/>
  <c r="BB312" i="5"/>
  <c r="BI207" i="5"/>
  <c r="AU446" i="5"/>
  <c r="BD129" i="4"/>
  <c r="CS129" i="4" s="1"/>
  <c r="AD88" i="4"/>
  <c r="AE88" i="4" s="1"/>
  <c r="CN88" i="4" s="1"/>
  <c r="CV413" i="5"/>
  <c r="B230" i="4"/>
  <c r="B222" i="4" s="1"/>
  <c r="J245" i="4"/>
  <c r="AD282" i="4"/>
  <c r="AV282" i="4"/>
  <c r="AQ275" i="4"/>
  <c r="AT337" i="5"/>
  <c r="CS337" i="5" s="1"/>
  <c r="U126" i="5"/>
  <c r="CN126" i="5" s="1"/>
  <c r="AE281" i="4"/>
  <c r="AI282" i="4"/>
  <c r="AU340" i="5"/>
  <c r="R126" i="4"/>
  <c r="BE23" i="4"/>
  <c r="BE28" i="4" s="1"/>
  <c r="BI332" i="5"/>
  <c r="CV332" i="5" s="1"/>
  <c r="AQ386" i="5"/>
  <c r="BD112" i="4"/>
  <c r="CS112" i="4" s="1"/>
  <c r="AX78" i="4"/>
  <c r="AV367" i="5"/>
  <c r="BA369" i="5" s="1"/>
  <c r="BK295" i="4"/>
  <c r="BK296" i="4" s="1"/>
  <c r="AN99" i="4"/>
  <c r="AO99" i="4" s="1"/>
  <c r="CP99" i="4" s="1"/>
  <c r="BE311" i="4"/>
  <c r="AH353" i="5"/>
  <c r="AT426" i="5"/>
  <c r="CS426" i="5" s="1"/>
  <c r="AH337" i="5"/>
  <c r="BG227" i="4"/>
  <c r="P129" i="4"/>
  <c r="CK129" i="4" s="1"/>
  <c r="BC91" i="4"/>
  <c r="BC227" i="4" s="1"/>
  <c r="K9" i="5"/>
  <c r="K192" i="4"/>
  <c r="N9" i="5"/>
  <c r="N398" i="5" s="1"/>
  <c r="AL9" i="5"/>
  <c r="AL78" i="5" s="1"/>
  <c r="AL153" i="5" s="1"/>
  <c r="CP9" i="4"/>
  <c r="CI19" i="4"/>
  <c r="D312" i="4"/>
  <c r="CG66" i="4"/>
  <c r="AY167" i="4"/>
  <c r="CR167" i="4" s="1"/>
  <c r="AX169" i="4"/>
  <c r="AX175" i="4" s="1"/>
  <c r="AX187" i="4" s="1"/>
  <c r="CT181" i="4"/>
  <c r="AD215" i="4"/>
  <c r="K217" i="4"/>
  <c r="AA222" i="4"/>
  <c r="J224" i="4"/>
  <c r="G23" i="4"/>
  <c r="BB343" i="4"/>
  <c r="AC311" i="4"/>
  <c r="AJ13" i="5"/>
  <c r="CQ13" i="5" s="1"/>
  <c r="BO71" i="5"/>
  <c r="BO73" i="5" s="1"/>
  <c r="BN113" i="4"/>
  <c r="CU113" i="4" s="1"/>
  <c r="AX124" i="4"/>
  <c r="AY124" i="4" s="1"/>
  <c r="CR124" i="4" s="1"/>
  <c r="CK167" i="4"/>
  <c r="O98" i="4"/>
  <c r="CT42" i="4"/>
  <c r="AD77" i="4"/>
  <c r="T293" i="4"/>
  <c r="U42" i="4"/>
  <c r="CL42" i="4" s="1"/>
  <c r="CG11" i="4"/>
  <c r="CE126" i="4"/>
  <c r="CN164" i="4"/>
  <c r="U198" i="4"/>
  <c r="P214" i="4"/>
  <c r="O215" i="4"/>
  <c r="Q230" i="4"/>
  <c r="Q222" i="4" s="1"/>
  <c r="Q221" i="4"/>
  <c r="AH226" i="4"/>
  <c r="H245" i="4"/>
  <c r="G265" i="4"/>
  <c r="K265" i="4"/>
  <c r="AH265" i="4"/>
  <c r="AM265" i="4"/>
  <c r="F280" i="4"/>
  <c r="AA343" i="4"/>
  <c r="AF343" i="4"/>
  <c r="BC295" i="4"/>
  <c r="BC296" i="4" s="1"/>
  <c r="BB295" i="4"/>
  <c r="BB296" i="4" s="1"/>
  <c r="CT18" i="5"/>
  <c r="AY204" i="4"/>
  <c r="AA16" i="5"/>
  <c r="AS90" i="5"/>
  <c r="CU156" i="5"/>
  <c r="CR9" i="4"/>
  <c r="AY192" i="4"/>
  <c r="BR192" i="4"/>
  <c r="AY294" i="4"/>
  <c r="CR294" i="4" s="1"/>
  <c r="CQ171" i="4"/>
  <c r="AJ215" i="4"/>
  <c r="AA221" i="4"/>
  <c r="AA211" i="4"/>
  <c r="C221" i="4"/>
  <c r="AE224" i="4"/>
  <c r="AD23" i="4"/>
  <c r="BD247" i="4"/>
  <c r="R343" i="4"/>
  <c r="AR343" i="4"/>
  <c r="J295" i="4"/>
  <c r="BF295" i="4"/>
  <c r="BF296" i="4" s="1"/>
  <c r="W295" i="4"/>
  <c r="AZ86" i="5"/>
  <c r="AZ81" i="5"/>
  <c r="AZ42" i="5"/>
  <c r="AZ43" i="5" s="1"/>
  <c r="AP145" i="5"/>
  <c r="AP90" i="5"/>
  <c r="CH125" i="5"/>
  <c r="C126" i="5"/>
  <c r="CH126" i="5" s="1"/>
  <c r="C131" i="5"/>
  <c r="CH131" i="5" s="1"/>
  <c r="CL125" i="5"/>
  <c r="K131" i="5"/>
  <c r="CL131" i="5" s="1"/>
  <c r="U103" i="4"/>
  <c r="CL103" i="4" s="1"/>
  <c r="CS22" i="5"/>
  <c r="AN274" i="4"/>
  <c r="T267" i="4"/>
  <c r="D9" i="5"/>
  <c r="CI9" i="5" s="1"/>
  <c r="AA192" i="4"/>
  <c r="Y77" i="4"/>
  <c r="Z36" i="4"/>
  <c r="CM36" i="4" s="1"/>
  <c r="Y34" i="4"/>
  <c r="Y37" i="4" s="1"/>
  <c r="W21" i="4"/>
  <c r="CL146" i="4"/>
  <c r="AS294" i="4"/>
  <c r="AT164" i="4"/>
  <c r="CQ164" i="4" s="1"/>
  <c r="AS169" i="4"/>
  <c r="AS175" i="4" s="1"/>
  <c r="AS187" i="4" s="1"/>
  <c r="AN169" i="4"/>
  <c r="AN175" i="4" s="1"/>
  <c r="AN187" i="4" s="1"/>
  <c r="AO167" i="4"/>
  <c r="CP167" i="4" s="1"/>
  <c r="CP169" i="4" s="1"/>
  <c r="CP171" i="4"/>
  <c r="CL178" i="4"/>
  <c r="CQ178" i="4"/>
  <c r="K195" i="4"/>
  <c r="J11" i="4"/>
  <c r="AM280" i="4"/>
  <c r="AH343" i="4"/>
  <c r="BF343" i="4"/>
  <c r="AJ201" i="4"/>
  <c r="AO13" i="5"/>
  <c r="CR13" i="5" s="1"/>
  <c r="AH341" i="5"/>
  <c r="AH349" i="5"/>
  <c r="AH345" i="5"/>
  <c r="AH333" i="5"/>
  <c r="BD209" i="4"/>
  <c r="AP348" i="5"/>
  <c r="AC100" i="4"/>
  <c r="AD100" i="4" s="1"/>
  <c r="BF104" i="4"/>
  <c r="BG104" i="4" s="1"/>
  <c r="CH77" i="4"/>
  <c r="AQ415" i="5"/>
  <c r="AQ421" i="5" s="1"/>
  <c r="AQ427" i="5" s="1"/>
  <c r="AP340" i="5"/>
  <c r="AE97" i="4"/>
  <c r="CN97" i="4" s="1"/>
  <c r="AX120" i="4"/>
  <c r="AY120" i="4" s="1"/>
  <c r="CR120" i="4" s="1"/>
  <c r="U121" i="4"/>
  <c r="CL121" i="4" s="1"/>
  <c r="BC161" i="5"/>
  <c r="AT317" i="5"/>
  <c r="CS317" i="5" s="1"/>
  <c r="BL209" i="4"/>
  <c r="BH87" i="4"/>
  <c r="AH123" i="4"/>
  <c r="AI123" i="4" s="1"/>
  <c r="AJ123" i="4" s="1"/>
  <c r="CO123" i="4" s="1"/>
  <c r="AT309" i="5"/>
  <c r="CS309" i="5" s="1"/>
  <c r="CU239" i="5"/>
  <c r="AM390" i="5"/>
  <c r="AQ207" i="5"/>
  <c r="CT403" i="5"/>
  <c r="CQ331" i="5"/>
  <c r="BH13" i="5"/>
  <c r="BA333" i="4"/>
  <c r="U36" i="4"/>
  <c r="CL36" i="4" s="1"/>
  <c r="AJ281" i="4"/>
  <c r="BG97" i="4"/>
  <c r="BK225" i="5"/>
  <c r="BI224" i="5"/>
  <c r="BN225" i="5" s="1"/>
  <c r="AJ332" i="5"/>
  <c r="CQ332" i="5" s="1"/>
  <c r="AQ340" i="5"/>
  <c r="AW87" i="4"/>
  <c r="AW274" i="4" s="1"/>
  <c r="X87" i="4"/>
  <c r="Y87" i="4" s="1"/>
  <c r="Y274" i="4" s="1"/>
  <c r="AS69" i="5"/>
  <c r="AS75" i="5" s="1"/>
  <c r="AS230" i="4" s="1"/>
  <c r="Z90" i="4"/>
  <c r="CM90" i="4" s="1"/>
  <c r="U90" i="4"/>
  <c r="CL90" i="4" s="1"/>
  <c r="BB248" i="5"/>
  <c r="AQ240" i="5"/>
  <c r="Q115" i="4"/>
  <c r="BK230" i="5"/>
  <c r="C78" i="4"/>
  <c r="CF78" i="4" s="1"/>
  <c r="CS324" i="5"/>
  <c r="AM203" i="5"/>
  <c r="AE325" i="5"/>
  <c r="CP325" i="5" s="1"/>
  <c r="AR386" i="5"/>
  <c r="K84" i="4"/>
  <c r="CJ84" i="4" s="1"/>
  <c r="AN205" i="4"/>
  <c r="CQ431" i="5"/>
  <c r="BE344" i="4"/>
  <c r="AC101" i="4"/>
  <c r="AD101" i="4" s="1"/>
  <c r="BG100" i="4"/>
  <c r="BH100" i="4" s="1"/>
  <c r="BB204" i="5"/>
  <c r="F78" i="4"/>
  <c r="CI78" i="4" s="1"/>
  <c r="F48" i="4"/>
  <c r="F345" i="4" s="1"/>
  <c r="B226" i="4"/>
  <c r="AX87" i="4"/>
  <c r="AZ295" i="4"/>
  <c r="AZ296" i="4" s="1"/>
  <c r="P220" i="4"/>
  <c r="P230" i="4" s="1"/>
  <c r="P226" i="4" s="1"/>
  <c r="K224" i="4"/>
  <c r="CK109" i="4"/>
  <c r="BH104" i="4"/>
  <c r="BI104" i="4" s="1"/>
  <c r="CT104" i="4" s="1"/>
  <c r="K41" i="5"/>
  <c r="CL41" i="5" s="1"/>
  <c r="CP431" i="5"/>
  <c r="AA41" i="5"/>
  <c r="AA446" i="5"/>
  <c r="AT294" i="4"/>
  <c r="CQ294" i="4" s="1"/>
  <c r="Z118" i="4"/>
  <c r="CM118" i="4" s="1"/>
  <c r="BG22" i="5"/>
  <c r="BL205" i="4"/>
  <c r="BL24" i="5"/>
  <c r="BL22" i="5"/>
  <c r="BL70" i="4"/>
  <c r="Z37" i="5"/>
  <c r="CO30" i="5"/>
  <c r="AJ107" i="5"/>
  <c r="CQ107" i="5" s="1"/>
  <c r="AI108" i="5"/>
  <c r="AI349" i="5"/>
  <c r="AI333" i="5"/>
  <c r="AI258" i="5"/>
  <c r="AI353" i="5"/>
  <c r="AI262" i="5"/>
  <c r="AI206" i="4"/>
  <c r="AI337" i="5"/>
  <c r="AN354" i="5"/>
  <c r="AD353" i="5"/>
  <c r="AJ20" i="5"/>
  <c r="AJ258" i="5" s="1"/>
  <c r="CQ258" i="5" s="1"/>
  <c r="AH354" i="5"/>
  <c r="C31" i="5"/>
  <c r="CH31" i="5" s="1"/>
  <c r="E35" i="5"/>
  <c r="CJ35" i="5" s="1"/>
  <c r="AT262" i="5"/>
  <c r="CS262" i="5" s="1"/>
  <c r="BB37" i="5"/>
  <c r="BB246" i="5" s="1"/>
  <c r="AJ359" i="5"/>
  <c r="CQ359" i="5" s="1"/>
  <c r="AO360" i="5"/>
  <c r="CR360" i="5" s="1"/>
  <c r="CQ22" i="5"/>
  <c r="CK30" i="5"/>
  <c r="F37" i="5"/>
  <c r="AK56" i="5"/>
  <c r="BL204" i="4"/>
  <c r="BL19" i="5"/>
  <c r="BL17" i="5"/>
  <c r="BL202" i="4"/>
  <c r="BL168" i="5"/>
  <c r="BL13" i="5"/>
  <c r="BL201" i="4"/>
  <c r="BL54" i="5"/>
  <c r="BL56" i="5" s="1"/>
  <c r="BL46" i="5"/>
  <c r="BL104" i="5"/>
  <c r="BL105" i="5" s="1"/>
  <c r="BL99" i="5"/>
  <c r="BL86" i="5"/>
  <c r="BL87" i="5" s="1"/>
  <c r="BL42" i="5"/>
  <c r="BL44" i="5" s="1"/>
  <c r="BL20" i="5"/>
  <c r="BL206" i="4" s="1"/>
  <c r="BL30" i="5"/>
  <c r="BL368" i="5" s="1"/>
  <c r="BL15" i="5"/>
  <c r="BL203" i="4"/>
  <c r="BL95" i="5"/>
  <c r="BL96" i="5" s="1"/>
  <c r="BL50" i="5"/>
  <c r="BL52" i="5" s="1"/>
  <c r="BJ51" i="5" l="1"/>
  <c r="BF262" i="5"/>
  <c r="AM345" i="5"/>
  <c r="Z31" i="5"/>
  <c r="CO31" i="5" s="1"/>
  <c r="BN447" i="5"/>
  <c r="AL30" i="5"/>
  <c r="AN56" i="5"/>
  <c r="AN387" i="5"/>
  <c r="AN24" i="5"/>
  <c r="AL391" i="5"/>
  <c r="AL116" i="5"/>
  <c r="AL117" i="5" s="1"/>
  <c r="AD382" i="5"/>
  <c r="AW24" i="5"/>
  <c r="AL382" i="5"/>
  <c r="AL387" i="5"/>
  <c r="AD367" i="5"/>
  <c r="AI369" i="5" s="1"/>
  <c r="AN16" i="5"/>
  <c r="CP23" i="5"/>
  <c r="AN116" i="5"/>
  <c r="K126" i="5"/>
  <c r="CL126" i="5" s="1"/>
  <c r="C37" i="5"/>
  <c r="C35" i="5" s="1"/>
  <c r="CH35" i="5" s="1"/>
  <c r="K31" i="5"/>
  <c r="CL31" i="5" s="1"/>
  <c r="AO21" i="5"/>
  <c r="AO387" i="5" s="1"/>
  <c r="CR387" i="5" s="1"/>
  <c r="CI30" i="5"/>
  <c r="AG354" i="5"/>
  <c r="BG31" i="5"/>
  <c r="AK382" i="5"/>
  <c r="AP391" i="5"/>
  <c r="AR353" i="5"/>
  <c r="AP116" i="5"/>
  <c r="AP117" i="5" s="1"/>
  <c r="AP56" i="5"/>
  <c r="AP387" i="5"/>
  <c r="AK116" i="5"/>
  <c r="AK117" i="5" s="1"/>
  <c r="AO20" i="5"/>
  <c r="AO262" i="5" s="1"/>
  <c r="CR262" i="5" s="1"/>
  <c r="BG37" i="5"/>
  <c r="BG173" i="5" s="1"/>
  <c r="AG341" i="5"/>
  <c r="AR345" i="5"/>
  <c r="AR262" i="5"/>
  <c r="AP16" i="5"/>
  <c r="AP17" i="5" s="1"/>
  <c r="AP382" i="5"/>
  <c r="AK395" i="5"/>
  <c r="AA333" i="5"/>
  <c r="AM349" i="5"/>
  <c r="AP24" i="5"/>
  <c r="AN202" i="4"/>
  <c r="AO208" i="4"/>
  <c r="AO362" i="5"/>
  <c r="CR362" i="5" s="1"/>
  <c r="AX206" i="4"/>
  <c r="BJ368" i="5"/>
  <c r="BO31" i="5"/>
  <c r="V331" i="4"/>
  <c r="Z331" i="4" s="1"/>
  <c r="AR116" i="5"/>
  <c r="AR117" i="5" s="1"/>
  <c r="AF24" i="5"/>
  <c r="AK24" i="5"/>
  <c r="AF387" i="5"/>
  <c r="AA30" i="5"/>
  <c r="AA37" i="5" s="1"/>
  <c r="AA368" i="5" s="1"/>
  <c r="BY78" i="4"/>
  <c r="CX78" i="4" s="1"/>
  <c r="CW145" i="4"/>
  <c r="BT98" i="4"/>
  <c r="BX98" i="4" s="1"/>
  <c r="CW98" i="4" s="1"/>
  <c r="BT36" i="4"/>
  <c r="BV36" i="4"/>
  <c r="BU36" i="4"/>
  <c r="BU205" i="4"/>
  <c r="J210" i="4"/>
  <c r="BT205" i="4"/>
  <c r="AP245" i="4"/>
  <c r="AP78" i="4" s="1"/>
  <c r="T245" i="4"/>
  <c r="Y245" i="4"/>
  <c r="Z245" i="4" s="1"/>
  <c r="AG245" i="4"/>
  <c r="AG78" i="4" s="1"/>
  <c r="AL245" i="4"/>
  <c r="BO310" i="5"/>
  <c r="BT435" i="5"/>
  <c r="BP209" i="5"/>
  <c r="BU205" i="5"/>
  <c r="BU209" i="5" s="1"/>
  <c r="BR310" i="5"/>
  <c r="BW435" i="5"/>
  <c r="AJ52" i="5"/>
  <c r="CQ52" i="5" s="1"/>
  <c r="AS353" i="5"/>
  <c r="AR16" i="5"/>
  <c r="AW17" i="5" s="1"/>
  <c r="BO209" i="5"/>
  <c r="BT205" i="5"/>
  <c r="BT209" i="5" s="1"/>
  <c r="BQ310" i="5"/>
  <c r="BV435" i="5"/>
  <c r="CT25" i="5"/>
  <c r="BU310" i="5"/>
  <c r="BP309" i="5"/>
  <c r="BU324" i="5"/>
  <c r="AN411" i="5"/>
  <c r="AN412" i="5" s="1"/>
  <c r="AN416" i="5" s="1"/>
  <c r="BG210" i="4"/>
  <c r="BG221" i="4" s="1"/>
  <c r="AM174" i="5"/>
  <c r="AW174" i="5"/>
  <c r="AA367" i="5"/>
  <c r="AF367" i="5"/>
  <c r="AK369" i="5" s="1"/>
  <c r="AK367" i="5"/>
  <c r="AP367" i="5"/>
  <c r="AU369" i="5" s="1"/>
  <c r="AR414" i="5"/>
  <c r="BC208" i="5"/>
  <c r="BL411" i="5"/>
  <c r="BH248" i="5"/>
  <c r="BB196" i="5"/>
  <c r="BH253" i="5"/>
  <c r="BH254" i="5" s="1"/>
  <c r="BI254" i="5" s="1"/>
  <c r="AN414" i="5"/>
  <c r="AS414" i="5"/>
  <c r="AP433" i="5"/>
  <c r="AP308" i="5" s="1"/>
  <c r="BB174" i="5"/>
  <c r="AS406" i="5"/>
  <c r="AS411" i="5" s="1"/>
  <c r="AS433" i="5"/>
  <c r="AS308" i="5" s="1"/>
  <c r="AQ202" i="4"/>
  <c r="E282" i="4"/>
  <c r="BP78" i="5"/>
  <c r="BP153" i="5" s="1"/>
  <c r="BP41" i="5"/>
  <c r="W296" i="4"/>
  <c r="U293" i="4"/>
  <c r="AB192" i="4"/>
  <c r="BF9" i="5"/>
  <c r="BF78" i="5" s="1"/>
  <c r="BF153" i="5" s="1"/>
  <c r="AP210" i="4"/>
  <c r="AP231" i="4" s="1"/>
  <c r="BP192" i="4"/>
  <c r="X14" i="4"/>
  <c r="BB202" i="4"/>
  <c r="M295" i="4"/>
  <c r="M296" i="4" s="1"/>
  <c r="AD295" i="4"/>
  <c r="AD296" i="4" s="1"/>
  <c r="AY54" i="4"/>
  <c r="CR54" i="4" s="1"/>
  <c r="W41" i="5"/>
  <c r="AT82" i="4"/>
  <c r="CQ82" i="4" s="1"/>
  <c r="AT192" i="4"/>
  <c r="AB21" i="4"/>
  <c r="I295" i="4"/>
  <c r="AR295" i="4"/>
  <c r="AR296" i="4" s="1"/>
  <c r="AX295" i="4"/>
  <c r="G295" i="4"/>
  <c r="AQ295" i="4"/>
  <c r="X311" i="4"/>
  <c r="BZ192" i="4"/>
  <c r="AI295" i="4"/>
  <c r="AJ9" i="5"/>
  <c r="BK82" i="4"/>
  <c r="BK139" i="4" s="1"/>
  <c r="CW9" i="4"/>
  <c r="AK187" i="4"/>
  <c r="BT24" i="5"/>
  <c r="BP21" i="5"/>
  <c r="AA14" i="4"/>
  <c r="J221" i="4"/>
  <c r="AP202" i="4"/>
  <c r="K19" i="4"/>
  <c r="CJ19" i="4" s="1"/>
  <c r="AC245" i="4"/>
  <c r="O282" i="4"/>
  <c r="AQ282" i="4"/>
  <c r="BF282" i="4"/>
  <c r="I296" i="4"/>
  <c r="AX296" i="4"/>
  <c r="AQ296" i="4"/>
  <c r="AO48" i="4"/>
  <c r="AT385" i="5"/>
  <c r="AT386" i="5" s="1"/>
  <c r="CS386" i="5" s="1"/>
  <c r="AF331" i="4"/>
  <c r="BD9" i="5"/>
  <c r="BD41" i="5" s="1"/>
  <c r="CU41" i="5" s="1"/>
  <c r="AJ168" i="5"/>
  <c r="CQ168" i="5" s="1"/>
  <c r="BD168" i="5"/>
  <c r="CU168" i="5" s="1"/>
  <c r="BD245" i="5"/>
  <c r="CU245" i="5" s="1"/>
  <c r="AJ336" i="5"/>
  <c r="CQ336" i="5" s="1"/>
  <c r="AD130" i="4"/>
  <c r="AE130" i="4" s="1"/>
  <c r="CN130" i="4" s="1"/>
  <c r="AG28" i="4"/>
  <c r="AG320" i="4" s="1"/>
  <c r="AM56" i="5"/>
  <c r="AB41" i="5"/>
  <c r="AB446" i="5"/>
  <c r="AA242" i="4"/>
  <c r="AA37" i="4"/>
  <c r="AA238" i="4"/>
  <c r="T89" i="4"/>
  <c r="U89" i="4" s="1"/>
  <c r="CL89" i="4" s="1"/>
  <c r="AD16" i="5"/>
  <c r="AI17" i="5" s="1"/>
  <c r="AW275" i="4"/>
  <c r="AH41" i="5"/>
  <c r="BB47" i="5"/>
  <c r="AE23" i="4"/>
  <c r="CN23" i="4" s="1"/>
  <c r="T34" i="4"/>
  <c r="AS192" i="4"/>
  <c r="AR274" i="4"/>
  <c r="AD220" i="4"/>
  <c r="AD230" i="4" s="1"/>
  <c r="AL82" i="4"/>
  <c r="AL139" i="4" s="1"/>
  <c r="BD50" i="5"/>
  <c r="CU50" i="5" s="1"/>
  <c r="W78" i="4"/>
  <c r="C275" i="4"/>
  <c r="R192" i="4"/>
  <c r="H239" i="4"/>
  <c r="W398" i="5"/>
  <c r="AU245" i="5"/>
  <c r="AZ253" i="5" s="1"/>
  <c r="R398" i="5"/>
  <c r="AO317" i="5"/>
  <c r="CR317" i="5" s="1"/>
  <c r="O169" i="4"/>
  <c r="C9" i="5"/>
  <c r="CH9" i="5" s="1"/>
  <c r="AK386" i="5"/>
  <c r="BE312" i="5"/>
  <c r="BE313" i="5" s="1"/>
  <c r="J12" i="4"/>
  <c r="K12" i="4" s="1"/>
  <c r="CJ12" i="4" s="1"/>
  <c r="B345" i="4"/>
  <c r="J34" i="4"/>
  <c r="T196" i="4"/>
  <c r="AI11" i="4"/>
  <c r="AJ11" i="4" s="1"/>
  <c r="CO11" i="4" s="1"/>
  <c r="AS9" i="5"/>
  <c r="AS398" i="5" s="1"/>
  <c r="AE66" i="4"/>
  <c r="BB9" i="5"/>
  <c r="BB41" i="5" s="1"/>
  <c r="C282" i="4"/>
  <c r="BN98" i="5"/>
  <c r="F295" i="4"/>
  <c r="F296" i="4" s="1"/>
  <c r="H37" i="4"/>
  <c r="CF34" i="4"/>
  <c r="F221" i="4"/>
  <c r="R221" i="4"/>
  <c r="AS224" i="4"/>
  <c r="AF433" i="5"/>
  <c r="K36" i="4"/>
  <c r="CJ36" i="4" s="1"/>
  <c r="CJ34" i="4" s="1"/>
  <c r="AD18" i="4"/>
  <c r="AE18" i="4" s="1"/>
  <c r="CN18" i="4" s="1"/>
  <c r="AO9" i="5"/>
  <c r="CF47" i="4"/>
  <c r="AD192" i="4"/>
  <c r="BG9" i="5"/>
  <c r="BG41" i="5" s="1"/>
  <c r="AY89" i="5"/>
  <c r="CT89" i="5" s="1"/>
  <c r="AT360" i="5"/>
  <c r="CS360" i="5" s="1"/>
  <c r="AP229" i="5"/>
  <c r="R41" i="5"/>
  <c r="BL9" i="5"/>
  <c r="BL41" i="5" s="1"/>
  <c r="F14" i="4"/>
  <c r="F240" i="4" s="1"/>
  <c r="AH192" i="4"/>
  <c r="AZ192" i="4"/>
  <c r="BK43" i="5"/>
  <c r="U294" i="4"/>
  <c r="AL282" i="4"/>
  <c r="AZ240" i="5"/>
  <c r="AT48" i="5"/>
  <c r="CS48" i="5" s="1"/>
  <c r="K154" i="4"/>
  <c r="CJ154" i="4" s="1"/>
  <c r="W192" i="4"/>
  <c r="AA21" i="4"/>
  <c r="W14" i="4"/>
  <c r="W22" i="4" s="1"/>
  <c r="BA308" i="4"/>
  <c r="BA315" i="4" s="1"/>
  <c r="BB187" i="4"/>
  <c r="J215" i="4"/>
  <c r="D211" i="4"/>
  <c r="S211" i="4"/>
  <c r="S245" i="4"/>
  <c r="AY13" i="5"/>
  <c r="CT13" i="5" s="1"/>
  <c r="BZ77" i="4"/>
  <c r="BZ78" i="4" s="1"/>
  <c r="CY78" i="4" s="1"/>
  <c r="BN293" i="4"/>
  <c r="BN343" i="4" s="1"/>
  <c r="BL47" i="5"/>
  <c r="AF238" i="4"/>
  <c r="AF236" i="4"/>
  <c r="BI161" i="5"/>
  <c r="CV161" i="5" s="1"/>
  <c r="Z11" i="4"/>
  <c r="CM11" i="4" s="1"/>
  <c r="BL102" i="4"/>
  <c r="AU187" i="4"/>
  <c r="Y282" i="4"/>
  <c r="BC311" i="4"/>
  <c r="BC313" i="4" s="1"/>
  <c r="BG295" i="4"/>
  <c r="BL99" i="4"/>
  <c r="BM99" i="4" s="1"/>
  <c r="BL103" i="4"/>
  <c r="BM103" i="4" s="1"/>
  <c r="P18" i="4"/>
  <c r="CK18" i="4" s="1"/>
  <c r="BL100" i="4"/>
  <c r="BM100" i="4" s="1"/>
  <c r="W275" i="4"/>
  <c r="AZ331" i="4"/>
  <c r="BD331" i="4" s="1"/>
  <c r="J282" i="4"/>
  <c r="AN282" i="4"/>
  <c r="AX282" i="4"/>
  <c r="AJ293" i="4"/>
  <c r="AJ343" i="4" s="1"/>
  <c r="X295" i="4"/>
  <c r="X296" i="4" s="1"/>
  <c r="AL296" i="4"/>
  <c r="AM295" i="4"/>
  <c r="AM296" i="4" s="1"/>
  <c r="AR415" i="5"/>
  <c r="AR421" i="5" s="1"/>
  <c r="AR427" i="5" s="1"/>
  <c r="AR307" i="5" s="1"/>
  <c r="CA87" i="4"/>
  <c r="CZ36" i="4"/>
  <c r="CA77" i="4"/>
  <c r="BL101" i="4"/>
  <c r="BM101" i="4" s="1"/>
  <c r="BG38" i="5"/>
  <c r="Z38" i="5"/>
  <c r="CO38" i="5" s="1"/>
  <c r="AZ44" i="5"/>
  <c r="BJ443" i="5"/>
  <c r="BG368" i="5"/>
  <c r="BI201" i="4"/>
  <c r="BI168" i="5"/>
  <c r="CV168" i="5" s="1"/>
  <c r="AJ363" i="5"/>
  <c r="CQ363" i="5" s="1"/>
  <c r="AR341" i="5"/>
  <c r="AK387" i="5"/>
  <c r="BF17" i="5"/>
  <c r="AN17" i="5"/>
  <c r="BC394" i="5"/>
  <c r="BI209" i="4"/>
  <c r="BH37" i="5"/>
  <c r="BF437" i="5"/>
  <c r="BF443" i="5" s="1"/>
  <c r="AI174" i="5"/>
  <c r="BH325" i="5"/>
  <c r="BT324" i="5"/>
  <c r="AT198" i="5"/>
  <c r="BG302" i="4"/>
  <c r="BG303" i="4" s="1"/>
  <c r="BL112" i="4"/>
  <c r="BM112" i="4" s="1"/>
  <c r="BL129" i="4"/>
  <c r="BM129" i="4" s="1"/>
  <c r="BN129" i="4" s="1"/>
  <c r="CU129" i="4" s="1"/>
  <c r="BL89" i="4"/>
  <c r="BM89" i="4" s="1"/>
  <c r="AM227" i="4"/>
  <c r="L331" i="4"/>
  <c r="Y192" i="4"/>
  <c r="BP446" i="5"/>
  <c r="U312" i="4"/>
  <c r="BI192" i="4"/>
  <c r="O277" i="4"/>
  <c r="BQ82" i="4"/>
  <c r="BQ139" i="4" s="1"/>
  <c r="CH18" i="4"/>
  <c r="D14" i="4"/>
  <c r="D240" i="4" s="1"/>
  <c r="L187" i="4"/>
  <c r="M311" i="4"/>
  <c r="AW311" i="4"/>
  <c r="AW313" i="4" s="1"/>
  <c r="BL119" i="4"/>
  <c r="BM119" i="4" s="1"/>
  <c r="BL94" i="4"/>
  <c r="BM94" i="4" s="1"/>
  <c r="BN94" i="4" s="1"/>
  <c r="CU94" i="4" s="1"/>
  <c r="N302" i="4"/>
  <c r="N303" i="4" s="1"/>
  <c r="BP398" i="5"/>
  <c r="AL41" i="5"/>
  <c r="Q226" i="4"/>
  <c r="Z112" i="4"/>
  <c r="CM112" i="4" s="1"/>
  <c r="P183" i="4"/>
  <c r="E345" i="4"/>
  <c r="CT9" i="4"/>
  <c r="AP331" i="4"/>
  <c r="AT331" i="4" s="1"/>
  <c r="CF154" i="4"/>
  <c r="BL120" i="4"/>
  <c r="BP120" i="4"/>
  <c r="BU120" i="4" s="1"/>
  <c r="BM120" i="4"/>
  <c r="BR120" i="4" s="1"/>
  <c r="BW120" i="4" s="1"/>
  <c r="BL97" i="4"/>
  <c r="BM97" i="4" s="1"/>
  <c r="R14" i="4"/>
  <c r="CF169" i="4"/>
  <c r="CF175" i="4" s="1"/>
  <c r="AC221" i="4"/>
  <c r="BL87" i="4"/>
  <c r="BL274" i="4" s="1"/>
  <c r="BL111" i="4"/>
  <c r="BD73" i="5"/>
  <c r="CU73" i="5" s="1"/>
  <c r="BJ92" i="5"/>
  <c r="AY193" i="5"/>
  <c r="BL92" i="5"/>
  <c r="BQ92" i="5" s="1"/>
  <c r="BV92" i="5" s="1"/>
  <c r="BL246" i="5"/>
  <c r="BB368" i="5"/>
  <c r="AE20" i="5"/>
  <c r="AE341" i="5" s="1"/>
  <c r="CP341" i="5" s="1"/>
  <c r="AZ443" i="5"/>
  <c r="AR56" i="5"/>
  <c r="AJ208" i="4"/>
  <c r="AF354" i="5"/>
  <c r="BK51" i="5"/>
  <c r="AR205" i="4"/>
  <c r="AR202" i="4" s="1"/>
  <c r="AG353" i="5"/>
  <c r="BH214" i="5"/>
  <c r="CS25" i="5"/>
  <c r="AT329" i="5"/>
  <c r="CS329" i="5" s="1"/>
  <c r="BK449" i="5"/>
  <c r="BK450" i="5" s="1"/>
  <c r="BK246" i="5"/>
  <c r="BK175" i="5"/>
  <c r="BK173" i="5"/>
  <c r="AB30" i="5"/>
  <c r="AB37" i="5" s="1"/>
  <c r="AB368" i="5" s="1"/>
  <c r="AG349" i="5"/>
  <c r="AE194" i="5"/>
  <c r="BC174" i="5"/>
  <c r="BJ175" i="5"/>
  <c r="BJ173" i="5"/>
  <c r="AA337" i="5"/>
  <c r="AA349" i="5"/>
  <c r="AE90" i="5"/>
  <c r="CP90" i="5" s="1"/>
  <c r="AG337" i="5"/>
  <c r="AJ241" i="5"/>
  <c r="AG345" i="5"/>
  <c r="AU353" i="5"/>
  <c r="BK83" i="5"/>
  <c r="CO37" i="5"/>
  <c r="AV208" i="5"/>
  <c r="AR391" i="5"/>
  <c r="AR24" i="5"/>
  <c r="AG333" i="5"/>
  <c r="CT12" i="5"/>
  <c r="CP12" i="5"/>
  <c r="AJ237" i="5"/>
  <c r="CQ237" i="5" s="1"/>
  <c r="AE329" i="5"/>
  <c r="CP329" i="5" s="1"/>
  <c r="AJ15" i="5"/>
  <c r="CQ15" i="5" s="1"/>
  <c r="AJ360" i="5"/>
  <c r="CQ360" i="5" s="1"/>
  <c r="BS447" i="5"/>
  <c r="BJ37" i="5"/>
  <c r="BJ246" i="5"/>
  <c r="BP93" i="5"/>
  <c r="BK92" i="5"/>
  <c r="BP92" i="5" s="1"/>
  <c r="BU92" i="5" s="1"/>
  <c r="BK221" i="5"/>
  <c r="DA160" i="5"/>
  <c r="CA160" i="5"/>
  <c r="DB160" i="5" s="1"/>
  <c r="BL83" i="5"/>
  <c r="AD48" i="4"/>
  <c r="BN54" i="4"/>
  <c r="CU54" i="4" s="1"/>
  <c r="R311" i="4"/>
  <c r="AG311" i="4"/>
  <c r="AX311" i="4"/>
  <c r="AX313" i="4" s="1"/>
  <c r="DB54" i="4"/>
  <c r="BZ422" i="5"/>
  <c r="CA422" i="5"/>
  <c r="BO77" i="4"/>
  <c r="BG104" i="5"/>
  <c r="BG105" i="5" s="1"/>
  <c r="BK47" i="5"/>
  <c r="K281" i="4"/>
  <c r="AV311" i="4"/>
  <c r="AV313" i="4" s="1"/>
  <c r="AG228" i="4"/>
  <c r="I245" i="4"/>
  <c r="I54" i="4" s="1"/>
  <c r="M245" i="4"/>
  <c r="M78" i="4" s="1"/>
  <c r="AD245" i="4"/>
  <c r="AE245" i="4" s="1"/>
  <c r="AH245" i="4"/>
  <c r="AH78" i="4" s="1"/>
  <c r="BG296" i="4"/>
  <c r="BL35" i="4"/>
  <c r="BM35" i="4" s="1"/>
  <c r="BN35" i="4" s="1"/>
  <c r="D282" i="4"/>
  <c r="W282" i="4"/>
  <c r="AB282" i="4"/>
  <c r="K331" i="4"/>
  <c r="BJ210" i="4"/>
  <c r="BJ14" i="4" s="1"/>
  <c r="BJ228" i="4" s="1"/>
  <c r="BG187" i="4"/>
  <c r="AM205" i="4"/>
  <c r="AM202" i="4" s="1"/>
  <c r="AM30" i="5"/>
  <c r="AM37" i="5" s="1"/>
  <c r="AM246" i="5" s="1"/>
  <c r="AL24" i="5"/>
  <c r="AO363" i="5"/>
  <c r="CR363" i="5" s="1"/>
  <c r="AM16" i="5"/>
  <c r="AM17" i="5" s="1"/>
  <c r="CP22" i="5"/>
  <c r="AJ21" i="5"/>
  <c r="AJ395" i="5" s="1"/>
  <c r="CQ395" i="5" s="1"/>
  <c r="AM24" i="5"/>
  <c r="AG116" i="5"/>
  <c r="AG117" i="5" s="1"/>
  <c r="AB16" i="5"/>
  <c r="AS362" i="5"/>
  <c r="AS367" i="5" s="1"/>
  <c r="AX369" i="5" s="1"/>
  <c r="AG391" i="5"/>
  <c r="BE17" i="5"/>
  <c r="BB173" i="5"/>
  <c r="CH37" i="5"/>
  <c r="CK183" i="4"/>
  <c r="P185" i="4"/>
  <c r="CK185" i="4" s="1"/>
  <c r="AD120" i="4"/>
  <c r="AE120" i="4" s="1"/>
  <c r="N446" i="5"/>
  <c r="N41" i="5"/>
  <c r="X274" i="4"/>
  <c r="X275" i="4" s="1"/>
  <c r="P196" i="4"/>
  <c r="AN275" i="4"/>
  <c r="BD42" i="5"/>
  <c r="CU42" i="5" s="1"/>
  <c r="BH73" i="5"/>
  <c r="BD447" i="5"/>
  <c r="BI194" i="5"/>
  <c r="AE77" i="4"/>
  <c r="CN77" i="4" s="1"/>
  <c r="CP175" i="4"/>
  <c r="AT281" i="4"/>
  <c r="BG69" i="4"/>
  <c r="AC333" i="4"/>
  <c r="AC302" i="4"/>
  <c r="AC303" i="4" s="1"/>
  <c r="AW82" i="4"/>
  <c r="AW139" i="4" s="1"/>
  <c r="AN82" i="4"/>
  <c r="AN139" i="4" s="1"/>
  <c r="K66" i="4"/>
  <c r="K312" i="4" s="1"/>
  <c r="AN192" i="4"/>
  <c r="CH106" i="4"/>
  <c r="CI106" i="4"/>
  <c r="AE169" i="4"/>
  <c r="AE175" i="4" s="1"/>
  <c r="CE169" i="4"/>
  <c r="CE175" i="4" s="1"/>
  <c r="F228" i="4"/>
  <c r="N311" i="4"/>
  <c r="BA311" i="4"/>
  <c r="BA313" i="4" s="1"/>
  <c r="AN433" i="5"/>
  <c r="AO140" i="5"/>
  <c r="CR140" i="5" s="1"/>
  <c r="AT21" i="4"/>
  <c r="CQ21" i="4" s="1"/>
  <c r="AT53" i="4"/>
  <c r="CQ53" i="4" s="1"/>
  <c r="AP349" i="5"/>
  <c r="BB210" i="4"/>
  <c r="BB221" i="4" s="1"/>
  <c r="BC209" i="5"/>
  <c r="AY224" i="5"/>
  <c r="AW229" i="5"/>
  <c r="BH449" i="5"/>
  <c r="E78" i="4"/>
  <c r="CH78" i="4" s="1"/>
  <c r="BI67" i="5"/>
  <c r="CV67" i="5" s="1"/>
  <c r="BB75" i="5"/>
  <c r="S302" i="4"/>
  <c r="S303" i="4" s="1"/>
  <c r="CS157" i="5"/>
  <c r="AQ229" i="5"/>
  <c r="BH210" i="4"/>
  <c r="BH221" i="4" s="1"/>
  <c r="BD121" i="4"/>
  <c r="CS121" i="4" s="1"/>
  <c r="CP69" i="4"/>
  <c r="AY9" i="5"/>
  <c r="AY78" i="5" s="1"/>
  <c r="CT78" i="5" s="1"/>
  <c r="AC14" i="4"/>
  <c r="AC242" i="4" s="1"/>
  <c r="CG106" i="4"/>
  <c r="CI126" i="4"/>
  <c r="AF175" i="4"/>
  <c r="AF187" i="4" s="1"/>
  <c r="AW187" i="4"/>
  <c r="N211" i="4"/>
  <c r="X245" i="4"/>
  <c r="X78" i="4" s="1"/>
  <c r="AF245" i="4"/>
  <c r="AF78" i="4" s="1"/>
  <c r="AG275" i="4"/>
  <c r="G296" i="4"/>
  <c r="AH295" i="4"/>
  <c r="AH296" i="4" s="1"/>
  <c r="BF174" i="5"/>
  <c r="BF175" i="5" s="1"/>
  <c r="AT347" i="5"/>
  <c r="BD367" i="5"/>
  <c r="CU367" i="5" s="1"/>
  <c r="BF311" i="4"/>
  <c r="AT90" i="4"/>
  <c r="CQ90" i="4" s="1"/>
  <c r="BA124" i="4"/>
  <c r="BB124" i="4" s="1"/>
  <c r="BC124" i="4" s="1"/>
  <c r="BD98" i="4"/>
  <c r="CS98" i="4" s="1"/>
  <c r="AZ208" i="5"/>
  <c r="BA173" i="5"/>
  <c r="S333" i="4"/>
  <c r="BG333" i="4"/>
  <c r="BI333" i="4" s="1"/>
  <c r="AW192" i="4"/>
  <c r="M9" i="5"/>
  <c r="M41" i="5" s="1"/>
  <c r="AG9" i="5"/>
  <c r="AG398" i="5" s="1"/>
  <c r="R37" i="4"/>
  <c r="AD34" i="4"/>
  <c r="L21" i="4"/>
  <c r="L28" i="4" s="1"/>
  <c r="H24" i="4"/>
  <c r="N21" i="4"/>
  <c r="I175" i="4"/>
  <c r="I187" i="4" s="1"/>
  <c r="AA175" i="4"/>
  <c r="AI187" i="4"/>
  <c r="AZ187" i="4"/>
  <c r="AW202" i="4"/>
  <c r="L211" i="4"/>
  <c r="U218" i="4"/>
  <c r="AN295" i="4"/>
  <c r="AM311" i="4"/>
  <c r="AR311" i="4"/>
  <c r="AY107" i="5"/>
  <c r="AY108" i="5" s="1"/>
  <c r="CT108" i="5" s="1"/>
  <c r="BI71" i="5"/>
  <c r="CV71" i="5" s="1"/>
  <c r="AT72" i="5"/>
  <c r="AT73" i="5" s="1"/>
  <c r="CS73" i="5" s="1"/>
  <c r="CP89" i="5"/>
  <c r="AO136" i="5"/>
  <c r="CR136" i="5" s="1"/>
  <c r="AT136" i="5"/>
  <c r="CS136" i="5" s="1"/>
  <c r="AY136" i="5"/>
  <c r="CT136" i="5" s="1"/>
  <c r="AO197" i="5"/>
  <c r="AH367" i="5"/>
  <c r="AW78" i="4"/>
  <c r="BH437" i="5"/>
  <c r="BH442" i="5" s="1"/>
  <c r="BD44" i="5"/>
  <c r="CU44" i="5" s="1"/>
  <c r="BS435" i="5"/>
  <c r="BS310" i="5" s="1"/>
  <c r="CX310" i="5" s="1"/>
  <c r="BP310" i="5"/>
  <c r="CS347" i="5"/>
  <c r="AK213" i="5"/>
  <c r="AK209" i="5" s="1"/>
  <c r="BH116" i="5"/>
  <c r="BH54" i="5" s="1"/>
  <c r="BH104" i="5"/>
  <c r="BH125" i="5" s="1"/>
  <c r="AN21" i="4"/>
  <c r="AO220" i="4"/>
  <c r="AN89" i="5"/>
  <c r="AN52" i="5"/>
  <c r="AM73" i="5"/>
  <c r="AO71" i="5"/>
  <c r="AO73" i="5" s="1"/>
  <c r="CR73" i="5" s="1"/>
  <c r="AM262" i="5"/>
  <c r="AM206" i="4"/>
  <c r="AR354" i="5"/>
  <c r="AM258" i="5"/>
  <c r="AM353" i="5"/>
  <c r="AM354" i="5"/>
  <c r="AY257" i="5"/>
  <c r="CT257" i="5" s="1"/>
  <c r="BN222" i="5"/>
  <c r="N118" i="4"/>
  <c r="O118" i="4" s="1"/>
  <c r="M126" i="4"/>
  <c r="M110" i="4"/>
  <c r="M252" i="4" s="1"/>
  <c r="L252" i="4"/>
  <c r="L342" i="4" s="1"/>
  <c r="L115" i="4"/>
  <c r="S91" i="4"/>
  <c r="BJ449" i="5"/>
  <c r="BJ450" i="5" s="1"/>
  <c r="AL78" i="4"/>
  <c r="BB108" i="5"/>
  <c r="BB98" i="5"/>
  <c r="J230" i="4"/>
  <c r="J222" i="4" s="1"/>
  <c r="J23" i="4"/>
  <c r="BB322" i="5"/>
  <c r="BB313" i="5"/>
  <c r="AY394" i="5"/>
  <c r="CT394" i="5" s="1"/>
  <c r="AT394" i="5"/>
  <c r="CS394" i="5" s="1"/>
  <c r="BD204" i="4"/>
  <c r="BD258" i="5"/>
  <c r="CU258" i="5" s="1"/>
  <c r="AJ344" i="5"/>
  <c r="CQ344" i="5" s="1"/>
  <c r="CQ343" i="5"/>
  <c r="BI13" i="5"/>
  <c r="CV13" i="5" s="1"/>
  <c r="BD201" i="4"/>
  <c r="BD194" i="5"/>
  <c r="AB35" i="5"/>
  <c r="AY185" i="4"/>
  <c r="CR185" i="4" s="1"/>
  <c r="CR183" i="4"/>
  <c r="BD205" i="4"/>
  <c r="BD203" i="4"/>
  <c r="BH86" i="4"/>
  <c r="BI86" i="4" s="1"/>
  <c r="CT86" i="4" s="1"/>
  <c r="BG267" i="4"/>
  <c r="AE119" i="4"/>
  <c r="AD333" i="4"/>
  <c r="AE333" i="4" s="1"/>
  <c r="AD302" i="4"/>
  <c r="AD303" i="4" s="1"/>
  <c r="AD126" i="4"/>
  <c r="BP85" i="5"/>
  <c r="BQ85" i="5" s="1"/>
  <c r="BR85" i="5" s="1"/>
  <c r="BN85" i="5"/>
  <c r="CW85" i="5" s="1"/>
  <c r="AW204" i="5"/>
  <c r="AR204" i="5"/>
  <c r="X241" i="4"/>
  <c r="X240" i="4"/>
  <c r="K199" i="4"/>
  <c r="K218" i="4"/>
  <c r="CT46" i="5"/>
  <c r="AY48" i="5"/>
  <c r="CT48" i="5" s="1"/>
  <c r="AY47" i="5"/>
  <c r="CT47" i="5" s="1"/>
  <c r="AZ311" i="4"/>
  <c r="AZ313" i="4" s="1"/>
  <c r="AY66" i="4"/>
  <c r="CR66" i="4" s="1"/>
  <c r="AJ218" i="4"/>
  <c r="AJ199" i="4"/>
  <c r="CE9" i="4"/>
  <c r="B9" i="5"/>
  <c r="CG9" i="5" s="1"/>
  <c r="B192" i="4"/>
  <c r="Z192" i="4"/>
  <c r="Z9" i="5"/>
  <c r="Z446" i="5" s="1"/>
  <c r="BN9" i="5"/>
  <c r="CU9" i="4"/>
  <c r="BN192" i="4"/>
  <c r="CQ165" i="4"/>
  <c r="CQ169" i="4" s="1"/>
  <c r="CQ175" i="4" s="1"/>
  <c r="AT169" i="4"/>
  <c r="AT175" i="4" s="1"/>
  <c r="CG167" i="4"/>
  <c r="CG169" i="4" s="1"/>
  <c r="CG175" i="4" s="1"/>
  <c r="D169" i="4"/>
  <c r="D175" i="4" s="1"/>
  <c r="CO171" i="4"/>
  <c r="AJ294" i="4"/>
  <c r="BD294" i="4"/>
  <c r="CS171" i="4"/>
  <c r="E185" i="4"/>
  <c r="CH185" i="4" s="1"/>
  <c r="CH183" i="4"/>
  <c r="T199" i="4"/>
  <c r="T12" i="4"/>
  <c r="N230" i="4"/>
  <c r="N226" i="4" s="1"/>
  <c r="N221" i="4"/>
  <c r="V230" i="4"/>
  <c r="V221" i="4"/>
  <c r="AL340" i="5"/>
  <c r="AO339" i="5"/>
  <c r="AT339" i="5"/>
  <c r="AQ341" i="5"/>
  <c r="AV340" i="5"/>
  <c r="AN344" i="5"/>
  <c r="AN345" i="5"/>
  <c r="AS345" i="5"/>
  <c r="AS344" i="5"/>
  <c r="AO347" i="5"/>
  <c r="AL348" i="5"/>
  <c r="AV348" i="5"/>
  <c r="AN352" i="5"/>
  <c r="AM207" i="5"/>
  <c r="AR208" i="5" s="1"/>
  <c r="AM382" i="5"/>
  <c r="AM391" i="5"/>
  <c r="AM224" i="5"/>
  <c r="AR225" i="5" s="1"/>
  <c r="AR390" i="5"/>
  <c r="AS224" i="5"/>
  <c r="AS390" i="5"/>
  <c r="AT389" i="5"/>
  <c r="AM394" i="5"/>
  <c r="AM228" i="5"/>
  <c r="AR229" i="5" s="1"/>
  <c r="AS228" i="5"/>
  <c r="AX229" i="5" s="1"/>
  <c r="AX394" i="5"/>
  <c r="CR399" i="5"/>
  <c r="AO413" i="5"/>
  <c r="AH98" i="4"/>
  <c r="AI98" i="4" s="1"/>
  <c r="AJ98" i="4" s="1"/>
  <c r="CO98" i="4" s="1"/>
  <c r="AG344" i="4"/>
  <c r="AJ140" i="5"/>
  <c r="AI54" i="4"/>
  <c r="AJ54" i="4" s="1"/>
  <c r="CO54" i="4" s="1"/>
  <c r="AF21" i="4"/>
  <c r="AF230" i="4"/>
  <c r="AF226" i="4" s="1"/>
  <c r="AM128" i="4"/>
  <c r="AM121" i="4"/>
  <c r="AN121" i="4" s="1"/>
  <c r="AO121" i="4" s="1"/>
  <c r="CP121" i="4" s="1"/>
  <c r="BG129" i="4"/>
  <c r="BH129" i="4" s="1"/>
  <c r="BI129" i="4" s="1"/>
  <c r="CT129" i="4" s="1"/>
  <c r="BG121" i="4"/>
  <c r="BF308" i="4"/>
  <c r="BH112" i="4"/>
  <c r="BI112" i="4" s="1"/>
  <c r="CT112" i="4" s="1"/>
  <c r="BG48" i="4"/>
  <c r="BG345" i="4" s="1"/>
  <c r="BI47" i="4"/>
  <c r="CT47" i="4" s="1"/>
  <c r="BE69" i="5"/>
  <c r="BE75" i="5" s="1"/>
  <c r="BJ55" i="5"/>
  <c r="BF113" i="5"/>
  <c r="BF114" i="5" s="1"/>
  <c r="BF98" i="5"/>
  <c r="BF108" i="5"/>
  <c r="BK369" i="5"/>
  <c r="BF375" i="5"/>
  <c r="BF376" i="5" s="1"/>
  <c r="BF213" i="5"/>
  <c r="BF214" i="5" s="1"/>
  <c r="BF369" i="5"/>
  <c r="BF393" i="5"/>
  <c r="BF86" i="5"/>
  <c r="BF87" i="5" s="1"/>
  <c r="BI80" i="5"/>
  <c r="BI86" i="5" s="1"/>
  <c r="BE369" i="5"/>
  <c r="BJ369" i="5"/>
  <c r="BI245" i="5"/>
  <c r="BE247" i="5"/>
  <c r="BE253" i="5"/>
  <c r="BJ248" i="5"/>
  <c r="BJ253" i="5"/>
  <c r="BL248" i="5"/>
  <c r="BG213" i="5"/>
  <c r="BG248" i="5"/>
  <c r="BF442" i="5"/>
  <c r="BE37" i="5"/>
  <c r="BE31" i="5"/>
  <c r="BE38" i="5" s="1"/>
  <c r="BJ81" i="5"/>
  <c r="BJ42" i="5"/>
  <c r="AO193" i="5"/>
  <c r="AJ193" i="5"/>
  <c r="BP91" i="5"/>
  <c r="BL36" i="4"/>
  <c r="AA64" i="6"/>
  <c r="Q64" i="6"/>
  <c r="Z64" i="6"/>
  <c r="R64" i="6"/>
  <c r="X64" i="6"/>
  <c r="Y64" i="6"/>
  <c r="AO169" i="4"/>
  <c r="AO175" i="4" s="1"/>
  <c r="AX274" i="4"/>
  <c r="AY274" i="4" s="1"/>
  <c r="AY87" i="4"/>
  <c r="CR87" i="4" s="1"/>
  <c r="BH97" i="4"/>
  <c r="BI97" i="4" s="1"/>
  <c r="CT97" i="4" s="1"/>
  <c r="CR431" i="5"/>
  <c r="AT183" i="4"/>
  <c r="AA239" i="4"/>
  <c r="AA225" i="4"/>
  <c r="AA241" i="4"/>
  <c r="AA243" i="4"/>
  <c r="D221" i="4"/>
  <c r="BE331" i="4"/>
  <c r="L221" i="4"/>
  <c r="F21" i="4"/>
  <c r="CI21" i="4" s="1"/>
  <c r="AO78" i="5"/>
  <c r="CR78" i="5" s="1"/>
  <c r="AO41" i="5"/>
  <c r="CR41" i="5" s="1"/>
  <c r="X24" i="4"/>
  <c r="AV375" i="5"/>
  <c r="AJ36" i="4"/>
  <c r="CO36" i="4" s="1"/>
  <c r="CO34" i="4" s="1"/>
  <c r="D12" i="6" s="1"/>
  <c r="BN82" i="4"/>
  <c r="BN139" i="4" s="1"/>
  <c r="CP82" i="4"/>
  <c r="AO139" i="4"/>
  <c r="CP139" i="4" s="1"/>
  <c r="BP90" i="5"/>
  <c r="AW359" i="5"/>
  <c r="BB359" i="5" s="1"/>
  <c r="AZ375" i="5"/>
  <c r="BA75" i="5"/>
  <c r="AI344" i="5"/>
  <c r="BF197" i="5"/>
  <c r="BF198" i="5"/>
  <c r="BG54" i="4"/>
  <c r="BI54" i="4" s="1"/>
  <c r="CT54" i="4" s="1"/>
  <c r="AR126" i="4"/>
  <c r="V21" i="4"/>
  <c r="V28" i="4" s="1"/>
  <c r="CQ9" i="5"/>
  <c r="AJ41" i="5"/>
  <c r="CQ41" i="5" s="1"/>
  <c r="AS98" i="4"/>
  <c r="AT98" i="4" s="1"/>
  <c r="CQ98" i="4" s="1"/>
  <c r="AN110" i="4"/>
  <c r="AN252" i="4" s="1"/>
  <c r="AM266" i="4"/>
  <c r="AM252" i="4"/>
  <c r="AM342" i="4" s="1"/>
  <c r="BD387" i="5"/>
  <c r="CU387" i="5" s="1"/>
  <c r="AM145" i="5"/>
  <c r="BE375" i="5"/>
  <c r="BE376" i="5" s="1"/>
  <c r="BE421" i="5"/>
  <c r="BE426" i="5" s="1"/>
  <c r="BK73" i="5"/>
  <c r="BP71" i="5"/>
  <c r="BP73" i="5" s="1"/>
  <c r="BH99" i="5"/>
  <c r="AZ48" i="5"/>
  <c r="BE47" i="5"/>
  <c r="AM395" i="5"/>
  <c r="CP92" i="4"/>
  <c r="AO281" i="4"/>
  <c r="AJ42" i="5"/>
  <c r="AJ44" i="5" s="1"/>
  <c r="CQ44" i="5" s="1"/>
  <c r="BG44" i="5"/>
  <c r="BG43" i="5"/>
  <c r="BI317" i="5"/>
  <c r="CV317" i="5" s="1"/>
  <c r="CV316" i="5"/>
  <c r="BG36" i="4"/>
  <c r="BH36" i="4" s="1"/>
  <c r="BG253" i="5"/>
  <c r="BB78" i="5"/>
  <c r="BB153" i="5" s="1"/>
  <c r="BJ9" i="5"/>
  <c r="BJ41" i="5" s="1"/>
  <c r="BJ82" i="4"/>
  <c r="BJ139" i="4" s="1"/>
  <c r="BO82" i="4"/>
  <c r="BO139" i="4" s="1"/>
  <c r="BO192" i="4"/>
  <c r="BS82" i="4"/>
  <c r="CV82" i="4" s="1"/>
  <c r="BS9" i="5"/>
  <c r="BS41" i="5" s="1"/>
  <c r="CX41" i="5" s="1"/>
  <c r="BS192" i="4"/>
  <c r="P36" i="4"/>
  <c r="CK36" i="4" s="1"/>
  <c r="O77" i="4"/>
  <c r="O78" i="4" s="1"/>
  <c r="AA304" i="4"/>
  <c r="AA132" i="4"/>
  <c r="E277" i="4"/>
  <c r="F273" i="4" s="1"/>
  <c r="F275" i="4" s="1"/>
  <c r="CH154" i="4"/>
  <c r="U154" i="4"/>
  <c r="CL154" i="4" s="1"/>
  <c r="T277" i="4"/>
  <c r="Y277" i="4"/>
  <c r="Y275" i="4" s="1"/>
  <c r="Z154" i="4"/>
  <c r="CM154" i="4" s="1"/>
  <c r="G78" i="4"/>
  <c r="G47" i="4"/>
  <c r="G48" i="4" s="1"/>
  <c r="G345" i="4" s="1"/>
  <c r="BI247" i="4"/>
  <c r="BH245" i="4"/>
  <c r="K280" i="4"/>
  <c r="G280" i="4"/>
  <c r="G282" i="4" s="1"/>
  <c r="N280" i="4"/>
  <c r="N282" i="4" s="1"/>
  <c r="M282" i="4"/>
  <c r="V343" i="4"/>
  <c r="Z293" i="4"/>
  <c r="AB343" i="4"/>
  <c r="AE343" i="4" s="1"/>
  <c r="AE293" i="4"/>
  <c r="AU343" i="4"/>
  <c r="AY293" i="4"/>
  <c r="AY343" i="4" s="1"/>
  <c r="AZ343" i="4"/>
  <c r="BD293" i="4"/>
  <c r="BD343" i="4" s="1"/>
  <c r="BE343" i="4"/>
  <c r="N295" i="4"/>
  <c r="N296" i="4" s="1"/>
  <c r="O295" i="4"/>
  <c r="O296" i="4" s="1"/>
  <c r="BF48" i="5"/>
  <c r="BF69" i="5"/>
  <c r="BI50" i="5"/>
  <c r="BG51" i="5"/>
  <c r="BG52" i="5"/>
  <c r="BA86" i="5"/>
  <c r="BA81" i="5"/>
  <c r="AK108" i="5"/>
  <c r="BA108" i="5"/>
  <c r="BA98" i="5"/>
  <c r="BA99" i="5" s="1"/>
  <c r="AR145" i="5"/>
  <c r="AR90" i="5"/>
  <c r="BB145" i="5"/>
  <c r="BB90" i="5"/>
  <c r="BB95" i="5"/>
  <c r="BB96" i="5" s="1"/>
  <c r="BA122" i="5"/>
  <c r="BA123" i="5" s="1"/>
  <c r="BD116" i="5"/>
  <c r="BD122" i="5" s="1"/>
  <c r="BD123" i="5" s="1"/>
  <c r="U131" i="5"/>
  <c r="CN131" i="5" s="1"/>
  <c r="CN125" i="5"/>
  <c r="AE129" i="5"/>
  <c r="CP129" i="5" s="1"/>
  <c r="CP128" i="5"/>
  <c r="AJ157" i="5"/>
  <c r="CQ157" i="5" s="1"/>
  <c r="CP156" i="5"/>
  <c r="AE172" i="5"/>
  <c r="AE161" i="5"/>
  <c r="CP161" i="5" s="1"/>
  <c r="CT156" i="5"/>
  <c r="AY157" i="5"/>
  <c r="CT157" i="5" s="1"/>
  <c r="AY172" i="5"/>
  <c r="CT172" i="5" s="1"/>
  <c r="AJ163" i="5"/>
  <c r="CQ163" i="5" s="1"/>
  <c r="CQ166" i="5"/>
  <c r="AJ167" i="5"/>
  <c r="CQ167" i="5" s="1"/>
  <c r="CU166" i="5"/>
  <c r="BD167" i="5"/>
  <c r="CU167" i="5" s="1"/>
  <c r="AD174" i="5"/>
  <c r="AN174" i="5"/>
  <c r="AS174" i="5"/>
  <c r="AX174" i="5"/>
  <c r="BH197" i="5"/>
  <c r="BC198" i="5"/>
  <c r="BC197" i="5"/>
  <c r="AP237" i="5"/>
  <c r="AP203" i="5"/>
  <c r="AP204" i="5" s="1"/>
  <c r="AP236" i="5"/>
  <c r="AU237" i="5"/>
  <c r="AZ236" i="5"/>
  <c r="AU203" i="5"/>
  <c r="AU204" i="5" s="1"/>
  <c r="AO207" i="5"/>
  <c r="CR239" i="5"/>
  <c r="AS241" i="5"/>
  <c r="AX240" i="5"/>
  <c r="AX213" i="5"/>
  <c r="BC248" i="5"/>
  <c r="AO258" i="5"/>
  <c r="CR258" i="5" s="1"/>
  <c r="AO224" i="5"/>
  <c r="CS260" i="5"/>
  <c r="AY261" i="5"/>
  <c r="CT261" i="5" s="1"/>
  <c r="AJ325" i="5"/>
  <c r="CQ325" i="5" s="1"/>
  <c r="AJ329" i="5"/>
  <c r="CQ329" i="5" s="1"/>
  <c r="CQ324" i="5"/>
  <c r="CR335" i="5"/>
  <c r="AO336" i="5"/>
  <c r="CR336" i="5" s="1"/>
  <c r="AM340" i="5"/>
  <c r="AM341" i="5"/>
  <c r="AK344" i="5"/>
  <c r="AK345" i="5"/>
  <c r="AO343" i="5"/>
  <c r="AO344" i="5" s="1"/>
  <c r="CR344" i="5" s="1"/>
  <c r="AU345" i="5"/>
  <c r="AU344" i="5"/>
  <c r="AE348" i="5"/>
  <c r="CP348" i="5" s="1"/>
  <c r="AJ348" i="5"/>
  <c r="CQ348" i="5" s="1"/>
  <c r="AR349" i="5"/>
  <c r="AR348" i="5"/>
  <c r="AK352" i="5"/>
  <c r="AK353" i="5"/>
  <c r="AP353" i="5"/>
  <c r="AT351" i="5"/>
  <c r="CS351" i="5" s="1"/>
  <c r="AP352" i="5"/>
  <c r="AB367" i="5"/>
  <c r="AG367" i="5"/>
  <c r="AL367" i="5"/>
  <c r="AL213" i="5" s="1"/>
  <c r="AQ367" i="5"/>
  <c r="AN207" i="5"/>
  <c r="AN381" i="5"/>
  <c r="AN382" i="5"/>
  <c r="AS381" i="5"/>
  <c r="AT380" i="5"/>
  <c r="AT381" i="5" s="1"/>
  <c r="CS381" i="5" s="1"/>
  <c r="AU386" i="5"/>
  <c r="AP386" i="5"/>
  <c r="BD386" i="5"/>
  <c r="CU386" i="5" s="1"/>
  <c r="AN224" i="5"/>
  <c r="AN390" i="5"/>
  <c r="CT389" i="5"/>
  <c r="BD390" i="5"/>
  <c r="CU390" i="5" s="1"/>
  <c r="AN228" i="5"/>
  <c r="AN395" i="5"/>
  <c r="AN394" i="5"/>
  <c r="AC111" i="4"/>
  <c r="AD111" i="4" s="1"/>
  <c r="AE111" i="4" s="1"/>
  <c r="CN111" i="4" s="1"/>
  <c r="AB115" i="4"/>
  <c r="AC84" i="4"/>
  <c r="AB106" i="4"/>
  <c r="AH120" i="4"/>
  <c r="AI120" i="4" s="1"/>
  <c r="AJ120" i="4" s="1"/>
  <c r="CO120" i="4" s="1"/>
  <c r="AH112" i="4"/>
  <c r="AI112" i="4" s="1"/>
  <c r="AH104" i="4"/>
  <c r="AI104" i="4" s="1"/>
  <c r="AJ104" i="4" s="1"/>
  <c r="CO104" i="4" s="1"/>
  <c r="AH101" i="4"/>
  <c r="AI101" i="4" s="1"/>
  <c r="AJ101" i="4" s="1"/>
  <c r="CO101" i="4" s="1"/>
  <c r="AM120" i="4"/>
  <c r="AN120" i="4" s="1"/>
  <c r="AO120" i="4" s="1"/>
  <c r="CP120" i="4" s="1"/>
  <c r="AM112" i="4"/>
  <c r="AN112" i="4" s="1"/>
  <c r="AM94" i="4"/>
  <c r="AN94" i="4" s="1"/>
  <c r="AO94" i="4" s="1"/>
  <c r="CP94" i="4" s="1"/>
  <c r="AM90" i="4"/>
  <c r="AN90" i="4" s="1"/>
  <c r="AO90" i="4" s="1"/>
  <c r="CP90" i="4" s="1"/>
  <c r="AM86" i="4"/>
  <c r="AM267" i="4" s="1"/>
  <c r="AO42" i="4"/>
  <c r="CP42" i="4" s="1"/>
  <c r="AN293" i="4"/>
  <c r="AK125" i="5"/>
  <c r="AK131" i="5" s="1"/>
  <c r="BE450" i="5"/>
  <c r="BJ17" i="5"/>
  <c r="AB355" i="5"/>
  <c r="BD107" i="5"/>
  <c r="BD108" i="5" s="1"/>
  <c r="CU108" i="5" s="1"/>
  <c r="W64" i="6"/>
  <c r="V64" i="6"/>
  <c r="AA236" i="4"/>
  <c r="Z34" i="4"/>
  <c r="AE349" i="5"/>
  <c r="CP349" i="5" s="1"/>
  <c r="AV21" i="5"/>
  <c r="AV30" i="5" s="1"/>
  <c r="BD91" i="4"/>
  <c r="CS91" i="4" s="1"/>
  <c r="BH274" i="4"/>
  <c r="BI274" i="4" s="1"/>
  <c r="BI87" i="4"/>
  <c r="CT87" i="4" s="1"/>
  <c r="AT343" i="5"/>
  <c r="K210" i="4"/>
  <c r="K211" i="4" s="1"/>
  <c r="AQ433" i="5"/>
  <c r="AQ308" i="5" s="1"/>
  <c r="AZ125" i="5"/>
  <c r="AZ126" i="5" s="1"/>
  <c r="AZ87" i="5"/>
  <c r="T19" i="4"/>
  <c r="U19" i="4" s="1"/>
  <c r="CL19" i="4" s="1"/>
  <c r="AO80" i="5"/>
  <c r="AD78" i="4"/>
  <c r="AR275" i="4"/>
  <c r="E131" i="5"/>
  <c r="CJ131" i="5" s="1"/>
  <c r="CL9" i="5"/>
  <c r="K398" i="5"/>
  <c r="CL398" i="5" s="1"/>
  <c r="AH282" i="4"/>
  <c r="T218" i="4"/>
  <c r="AT235" i="5"/>
  <c r="AT237" i="5" s="1"/>
  <c r="CS237" i="5" s="1"/>
  <c r="CM9" i="4"/>
  <c r="O91" i="4"/>
  <c r="O227" i="4" s="1"/>
  <c r="CV9" i="4"/>
  <c r="AM125" i="5"/>
  <c r="AT90" i="5"/>
  <c r="CS90" i="5" s="1"/>
  <c r="CR20" i="5"/>
  <c r="AO206" i="4"/>
  <c r="AY203" i="5"/>
  <c r="BK312" i="5"/>
  <c r="BK313" i="5" s="1"/>
  <c r="AL349" i="5"/>
  <c r="BG394" i="5"/>
  <c r="BB228" i="5"/>
  <c r="AN353" i="5"/>
  <c r="BE437" i="5"/>
  <c r="BA312" i="5"/>
  <c r="BA313" i="5" s="1"/>
  <c r="BB86" i="5"/>
  <c r="BB87" i="5" s="1"/>
  <c r="BB81" i="5"/>
  <c r="U35" i="5"/>
  <c r="CN35" i="5" s="1"/>
  <c r="AR394" i="5"/>
  <c r="I282" i="4"/>
  <c r="AE122" i="4"/>
  <c r="CN122" i="4" s="1"/>
  <c r="BB282" i="4"/>
  <c r="D222" i="4"/>
  <c r="Z42" i="4"/>
  <c r="CM42" i="4" s="1"/>
  <c r="AL126" i="4"/>
  <c r="BH368" i="5"/>
  <c r="BH246" i="5"/>
  <c r="X236" i="4"/>
  <c r="AN100" i="4"/>
  <c r="AO100" i="4" s="1"/>
  <c r="CP100" i="4" s="1"/>
  <c r="V295" i="4"/>
  <c r="V296" i="4" s="1"/>
  <c r="AT318" i="5"/>
  <c r="CS318" i="5" s="1"/>
  <c r="BI367" i="5"/>
  <c r="BB437" i="5"/>
  <c r="BB441" i="5" s="1"/>
  <c r="AE157" i="5"/>
  <c r="CP157" i="5" s="1"/>
  <c r="BE213" i="5"/>
  <c r="AJ172" i="5"/>
  <c r="AO333" i="5"/>
  <c r="CR333" i="5" s="1"/>
  <c r="AO198" i="5"/>
  <c r="BG197" i="5"/>
  <c r="BB198" i="5"/>
  <c r="BD196" i="5"/>
  <c r="BD198" i="5" s="1"/>
  <c r="BF73" i="5"/>
  <c r="CZ157" i="5"/>
  <c r="AH333" i="4"/>
  <c r="AH302" i="4"/>
  <c r="AH303" i="4" s="1"/>
  <c r="AI119" i="4"/>
  <c r="AP344" i="5"/>
  <c r="AY317" i="5"/>
  <c r="CT317" i="5" s="1"/>
  <c r="AI80" i="5"/>
  <c r="BI20" i="5"/>
  <c r="BI206" i="4" s="1"/>
  <c r="BH206" i="4"/>
  <c r="Z349" i="5"/>
  <c r="CO349" i="5" s="1"/>
  <c r="AC222" i="4"/>
  <c r="AC226" i="4"/>
  <c r="AS446" i="5"/>
  <c r="CG9" i="4"/>
  <c r="D192" i="4"/>
  <c r="I9" i="5"/>
  <c r="I192" i="4"/>
  <c r="AN41" i="5"/>
  <c r="AN446" i="5"/>
  <c r="AN78" i="5"/>
  <c r="AN153" i="5" s="1"/>
  <c r="AR398" i="5"/>
  <c r="AR41" i="5"/>
  <c r="AR446" i="5"/>
  <c r="AV82" i="4"/>
  <c r="AV139" i="4" s="1"/>
  <c r="AV192" i="4"/>
  <c r="Q14" i="4"/>
  <c r="AH28" i="4"/>
  <c r="D241" i="4"/>
  <c r="D243" i="4"/>
  <c r="D242" i="4"/>
  <c r="D237" i="4"/>
  <c r="CG14" i="4"/>
  <c r="D236" i="4"/>
  <c r="AL267" i="4"/>
  <c r="AL268" i="4" s="1"/>
  <c r="BS281" i="4"/>
  <c r="CV92" i="4"/>
  <c r="AY169" i="4"/>
  <c r="AY175" i="4" s="1"/>
  <c r="F23" i="4"/>
  <c r="CI23" i="4" s="1"/>
  <c r="F230" i="4"/>
  <c r="F222" i="4" s="1"/>
  <c r="AG226" i="4"/>
  <c r="AG231" i="4"/>
  <c r="D47" i="4"/>
  <c r="D48" i="4" s="1"/>
  <c r="CG48" i="4" s="1"/>
  <c r="D54" i="4"/>
  <c r="CG54" i="4" s="1"/>
  <c r="AA245" i="4"/>
  <c r="AA78" i="4" s="1"/>
  <c r="AP343" i="4"/>
  <c r="AT293" i="4"/>
  <c r="AT343" i="4" s="1"/>
  <c r="Q303" i="4"/>
  <c r="AJ312" i="4"/>
  <c r="AK311" i="4" s="1"/>
  <c r="AI311" i="4"/>
  <c r="BB311" i="4"/>
  <c r="BB313" i="4" s="1"/>
  <c r="AO194" i="5"/>
  <c r="CR12" i="5"/>
  <c r="AO161" i="5"/>
  <c r="CR161" i="5" s="1"/>
  <c r="AT13" i="5"/>
  <c r="CS13" i="5" s="1"/>
  <c r="CS18" i="5"/>
  <c r="AT19" i="5"/>
  <c r="CS19" i="5" s="1"/>
  <c r="AT204" i="4"/>
  <c r="AY19" i="5"/>
  <c r="CT19" i="5" s="1"/>
  <c r="CQ14" i="5"/>
  <c r="AJ318" i="5"/>
  <c r="CQ318" i="5" s="1"/>
  <c r="AD341" i="5"/>
  <c r="AD337" i="5"/>
  <c r="AD333" i="5"/>
  <c r="AD345" i="5"/>
  <c r="AD354" i="5"/>
  <c r="AD30" i="5"/>
  <c r="AD37" i="5" s="1"/>
  <c r="AD117" i="5"/>
  <c r="AD391" i="5"/>
  <c r="AO359" i="5"/>
  <c r="CR359" i="5" s="1"/>
  <c r="CR22" i="5"/>
  <c r="CU25" i="5"/>
  <c r="CI37" i="5"/>
  <c r="D35" i="5"/>
  <c r="CI35" i="5" s="1"/>
  <c r="P37" i="5"/>
  <c r="U38" i="5" s="1"/>
  <c r="CN38" i="5" s="1"/>
  <c r="P31" i="5"/>
  <c r="CM31" i="5" s="1"/>
  <c r="BA55" i="5"/>
  <c r="BA56" i="5"/>
  <c r="BF55" i="5"/>
  <c r="BL71" i="5"/>
  <c r="BL73" i="5" s="1"/>
  <c r="BG73" i="5"/>
  <c r="AP81" i="5"/>
  <c r="AT80" i="5"/>
  <c r="CS80" i="5" s="1"/>
  <c r="AK90" i="5"/>
  <c r="AK145" i="5"/>
  <c r="CK125" i="5"/>
  <c r="F131" i="5"/>
  <c r="CK131" i="5" s="1"/>
  <c r="F126" i="5"/>
  <c r="CK126" i="5" s="1"/>
  <c r="CO125" i="5"/>
  <c r="Z126" i="5"/>
  <c r="CO126" i="5" s="1"/>
  <c r="AJ130" i="5"/>
  <c r="CQ130" i="5" s="1"/>
  <c r="AJ129" i="5"/>
  <c r="CQ129" i="5" s="1"/>
  <c r="CQ156" i="5"/>
  <c r="AJ161" i="5"/>
  <c r="CQ161" i="5" s="1"/>
  <c r="BD172" i="5"/>
  <c r="BD157" i="5"/>
  <c r="BD161" i="5"/>
  <c r="CU161" i="5" s="1"/>
  <c r="AO167" i="5"/>
  <c r="CR167" i="5" s="1"/>
  <c r="AO163" i="5"/>
  <c r="CR163" i="5" s="1"/>
  <c r="AO168" i="5"/>
  <c r="CR168" i="5" s="1"/>
  <c r="AT167" i="5"/>
  <c r="CS167" i="5" s="1"/>
  <c r="CR166" i="5"/>
  <c r="AO172" i="5"/>
  <c r="AA174" i="5"/>
  <c r="AF174" i="5"/>
  <c r="AU174" i="5"/>
  <c r="AZ174" i="5"/>
  <c r="BE174" i="5"/>
  <c r="BE175" i="5" s="1"/>
  <c r="BE197" i="5"/>
  <c r="BI196" i="5"/>
  <c r="BN197" i="5" s="1"/>
  <c r="BE198" i="5"/>
  <c r="Z198" i="5"/>
  <c r="AE197" i="5"/>
  <c r="AQ245" i="5"/>
  <c r="AQ248" i="5" s="1"/>
  <c r="AQ247" i="5" s="1"/>
  <c r="AV236" i="5"/>
  <c r="AQ203" i="5"/>
  <c r="AQ236" i="5"/>
  <c r="CU235" i="5"/>
  <c r="BD203" i="5"/>
  <c r="AT239" i="5"/>
  <c r="AP240" i="5"/>
  <c r="AZ213" i="5"/>
  <c r="AZ226" i="5" s="1"/>
  <c r="AT257" i="5"/>
  <c r="CS257" i="5" s="1"/>
  <c r="CS256" i="5"/>
  <c r="AT258" i="5"/>
  <c r="CS258" i="5" s="1"/>
  <c r="CP316" i="5"/>
  <c r="AE317" i="5"/>
  <c r="CP317" i="5" s="1"/>
  <c r="AE318" i="5"/>
  <c r="CP318" i="5" s="1"/>
  <c r="AJ317" i="5"/>
  <c r="CQ317" i="5" s="1"/>
  <c r="BD317" i="5"/>
  <c r="CU317" i="5" s="1"/>
  <c r="CT316" i="5"/>
  <c r="CR324" i="5"/>
  <c r="AO325" i="5"/>
  <c r="CR325" i="5" s="1"/>
  <c r="CO331" i="5"/>
  <c r="AE332" i="5"/>
  <c r="CP332" i="5" s="1"/>
  <c r="Z333" i="5"/>
  <c r="CO333" i="5" s="1"/>
  <c r="CS331" i="5"/>
  <c r="AY332" i="5"/>
  <c r="CT332" i="5" s="1"/>
  <c r="AE336" i="5"/>
  <c r="CP336" i="5" s="1"/>
  <c r="CO335" i="5"/>
  <c r="Z337" i="5"/>
  <c r="CO337" i="5" s="1"/>
  <c r="AT336" i="5"/>
  <c r="CS336" i="5" s="1"/>
  <c r="AY336" i="5"/>
  <c r="CT336" i="5" s="1"/>
  <c r="AI340" i="5"/>
  <c r="AN340" i="5"/>
  <c r="AM433" i="5"/>
  <c r="BC433" i="5"/>
  <c r="BH317" i="5"/>
  <c r="BC317" i="5"/>
  <c r="BC318" i="5"/>
  <c r="BC247" i="5"/>
  <c r="BC253" i="5"/>
  <c r="AX433" i="5"/>
  <c r="AX308" i="5" s="1"/>
  <c r="AW414" i="5"/>
  <c r="AW415" i="5"/>
  <c r="AW421" i="5" s="1"/>
  <c r="AW427" i="5" s="1"/>
  <c r="AV414" i="5"/>
  <c r="BI281" i="4"/>
  <c r="CT92" i="4"/>
  <c r="C344" i="4"/>
  <c r="CF103" i="4"/>
  <c r="D115" i="4"/>
  <c r="D132" i="4" s="1"/>
  <c r="D266" i="4"/>
  <c r="D268" i="4" s="1"/>
  <c r="CG110" i="4"/>
  <c r="CG115" i="4" s="1"/>
  <c r="F115" i="4"/>
  <c r="F132" i="4" s="1"/>
  <c r="F252" i="4"/>
  <c r="F342" i="4" s="1"/>
  <c r="H110" i="4"/>
  <c r="G252" i="4"/>
  <c r="G266" i="4"/>
  <c r="I98" i="4"/>
  <c r="J98" i="4" s="1"/>
  <c r="H344" i="4"/>
  <c r="I91" i="4"/>
  <c r="H227" i="4"/>
  <c r="H228" i="4" s="1"/>
  <c r="I87" i="4"/>
  <c r="H106" i="4"/>
  <c r="M344" i="4"/>
  <c r="P98" i="4"/>
  <c r="CK98" i="4" s="1"/>
  <c r="N87" i="4"/>
  <c r="S118" i="4"/>
  <c r="T118" i="4" s="1"/>
  <c r="R110" i="4"/>
  <c r="S110" i="4" s="1"/>
  <c r="Q266" i="4"/>
  <c r="Q252" i="4"/>
  <c r="U98" i="4"/>
  <c r="CL98" i="4" s="1"/>
  <c r="X119" i="4"/>
  <c r="W333" i="4"/>
  <c r="W302" i="4"/>
  <c r="W303" i="4" s="1"/>
  <c r="BG312" i="5"/>
  <c r="BG313" i="5" s="1"/>
  <c r="AJ337" i="5"/>
  <c r="CQ337" i="5" s="1"/>
  <c r="F35" i="5"/>
  <c r="CK35" i="5" s="1"/>
  <c r="K38" i="5"/>
  <c r="CL38" i="5" s="1"/>
  <c r="CK37" i="5"/>
  <c r="AD395" i="5"/>
  <c r="BI16" i="5"/>
  <c r="CV16" i="5" s="1"/>
  <c r="D31" i="5"/>
  <c r="CI31" i="5" s="1"/>
  <c r="AI341" i="5"/>
  <c r="AZ69" i="5"/>
  <c r="AZ75" i="5" s="1"/>
  <c r="T64" i="6"/>
  <c r="S64" i="6"/>
  <c r="AU295" i="4"/>
  <c r="AU296" i="4" s="1"/>
  <c r="CI48" i="4"/>
  <c r="AO446" i="5"/>
  <c r="AA237" i="4"/>
  <c r="AA240" i="4"/>
  <c r="K446" i="5"/>
  <c r="D228" i="4"/>
  <c r="CP20" i="5"/>
  <c r="K196" i="4"/>
  <c r="AK433" i="5"/>
  <c r="AC433" i="5"/>
  <c r="BE248" i="5"/>
  <c r="AN391" i="5"/>
  <c r="AU236" i="5"/>
  <c r="AD349" i="5"/>
  <c r="AV9" i="5"/>
  <c r="AH446" i="5"/>
  <c r="BD54" i="5"/>
  <c r="CN295" i="4"/>
  <c r="AI296" i="4"/>
  <c r="CN296" i="4" s="1"/>
  <c r="P331" i="4"/>
  <c r="E295" i="4"/>
  <c r="E296" i="4" s="1"/>
  <c r="P215" i="4"/>
  <c r="AJ169" i="4"/>
  <c r="AJ175" i="4" s="1"/>
  <c r="U355" i="5"/>
  <c r="CN355" i="5" s="1"/>
  <c r="BB117" i="5"/>
  <c r="BD13" i="5"/>
  <c r="CU13" i="5" s="1"/>
  <c r="AL344" i="4"/>
  <c r="BG449" i="5"/>
  <c r="BG450" i="5" s="1"/>
  <c r="AU352" i="5"/>
  <c r="AW412" i="5"/>
  <c r="AW416" i="5" s="1"/>
  <c r="AO332" i="5"/>
  <c r="CR332" i="5" s="1"/>
  <c r="BH227" i="4"/>
  <c r="BI227" i="4" s="1"/>
  <c r="BI91" i="4"/>
  <c r="CT91" i="4" s="1"/>
  <c r="AL341" i="5"/>
  <c r="BE210" i="4"/>
  <c r="BE221" i="4" s="1"/>
  <c r="CU14" i="5"/>
  <c r="CN37" i="5"/>
  <c r="AM348" i="5"/>
  <c r="AT207" i="4"/>
  <c r="AT359" i="5"/>
  <c r="CS359" i="5" s="1"/>
  <c r="AN203" i="5"/>
  <c r="BA117" i="5"/>
  <c r="AY161" i="5"/>
  <c r="CT161" i="5" s="1"/>
  <c r="BA437" i="5"/>
  <c r="BA442" i="5" s="1"/>
  <c r="AJ194" i="5"/>
  <c r="AP241" i="5"/>
  <c r="BG47" i="5"/>
  <c r="BG48" i="5"/>
  <c r="AP207" i="5"/>
  <c r="AP208" i="5" s="1"/>
  <c r="AO257" i="5"/>
  <c r="CR257" i="5" s="1"/>
  <c r="AU363" i="5"/>
  <c r="AO293" i="4"/>
  <c r="AO343" i="4" s="1"/>
  <c r="AU311" i="4"/>
  <c r="AU313" i="4" s="1"/>
  <c r="BE117" i="5"/>
  <c r="BK210" i="4"/>
  <c r="BK221" i="4" s="1"/>
  <c r="BP221" i="4" s="1"/>
  <c r="BU221" i="4" s="1"/>
  <c r="BH302" i="4"/>
  <c r="BH69" i="4"/>
  <c r="AC126" i="4"/>
  <c r="BJ31" i="5"/>
  <c r="X238" i="4"/>
  <c r="AJ97" i="4"/>
  <c r="CO97" i="4" s="1"/>
  <c r="W344" i="4"/>
  <c r="CS335" i="5"/>
  <c r="AT197" i="5"/>
  <c r="AV349" i="5"/>
  <c r="BF307" i="5"/>
  <c r="BF312" i="5" s="1"/>
  <c r="BE362" i="5"/>
  <c r="BE23" i="5" s="1"/>
  <c r="AO337" i="5"/>
  <c r="CR337" i="5" s="1"/>
  <c r="BG34" i="4"/>
  <c r="BG23" i="4" s="1"/>
  <c r="BG28" i="4" s="1"/>
  <c r="AS240" i="5"/>
  <c r="AJ351" i="5"/>
  <c r="BE56" i="5"/>
  <c r="AR248" i="5"/>
  <c r="AP222" i="4"/>
  <c r="AP224" i="4"/>
  <c r="AP23" i="4" s="1"/>
  <c r="AP28" i="4" s="1"/>
  <c r="AP320" i="4" s="1"/>
  <c r="AS352" i="5"/>
  <c r="AS51" i="5"/>
  <c r="AL115" i="4"/>
  <c r="BB82" i="4"/>
  <c r="BB139" i="4" s="1"/>
  <c r="AK9" i="5"/>
  <c r="AK41" i="5" s="1"/>
  <c r="AK192" i="4"/>
  <c r="AK82" i="4"/>
  <c r="AK139" i="4" s="1"/>
  <c r="AR82" i="4"/>
  <c r="AR139" i="4" s="1"/>
  <c r="AR192" i="4"/>
  <c r="AW78" i="5"/>
  <c r="AW153" i="5" s="1"/>
  <c r="AW446" i="5"/>
  <c r="E14" i="4"/>
  <c r="F15" i="4" s="1"/>
  <c r="CI15" i="4" s="1"/>
  <c r="CH12" i="4"/>
  <c r="E312" i="4"/>
  <c r="F311" i="4" s="1"/>
  <c r="CH66" i="4"/>
  <c r="BY274" i="4"/>
  <c r="CX87" i="4"/>
  <c r="N175" i="4"/>
  <c r="N187" i="4" s="1"/>
  <c r="CI167" i="4"/>
  <c r="CI169" i="4" s="1"/>
  <c r="CI175" i="4" s="1"/>
  <c r="CI187" i="4" s="1"/>
  <c r="F169" i="4"/>
  <c r="F175" i="4" s="1"/>
  <c r="F187" i="4" s="1"/>
  <c r="CS164" i="4"/>
  <c r="BD169" i="4"/>
  <c r="BD175" i="4" s="1"/>
  <c r="CJ171" i="4"/>
  <c r="K294" i="4"/>
  <c r="L295" i="4" s="1"/>
  <c r="CM178" i="4"/>
  <c r="Z183" i="4"/>
  <c r="CP179" i="4"/>
  <c r="AO183" i="4"/>
  <c r="CP183" i="4" s="1"/>
  <c r="J169" i="4"/>
  <c r="J175" i="4" s="1"/>
  <c r="J187" i="4" s="1"/>
  <c r="K167" i="4"/>
  <c r="CJ167" i="4" s="1"/>
  <c r="CJ169" i="4" s="1"/>
  <c r="T210" i="4"/>
  <c r="O12" i="4"/>
  <c r="O14" i="4" s="1"/>
  <c r="O240" i="4" s="1"/>
  <c r="P198" i="4"/>
  <c r="U199" i="4" s="1"/>
  <c r="O210" i="4"/>
  <c r="O211" i="4" s="1"/>
  <c r="O199" i="4"/>
  <c r="E221" i="4"/>
  <c r="E211" i="4"/>
  <c r="V211" i="4"/>
  <c r="Q231" i="4"/>
  <c r="W221" i="4"/>
  <c r="AB211" i="4"/>
  <c r="C230" i="4"/>
  <c r="C226" i="4" s="1"/>
  <c r="G222" i="4"/>
  <c r="G226" i="4"/>
  <c r="AA231" i="4"/>
  <c r="AA226" i="4"/>
  <c r="T224" i="4"/>
  <c r="U224" i="4" s="1"/>
  <c r="S23" i="4"/>
  <c r="AA228" i="4"/>
  <c r="AH222" i="4"/>
  <c r="AH231" i="4"/>
  <c r="AA342" i="4"/>
  <c r="AA253" i="4"/>
  <c r="T282" i="4"/>
  <c r="AS282" i="4"/>
  <c r="I311" i="4"/>
  <c r="W311" i="4"/>
  <c r="E31" i="5"/>
  <c r="CJ31" i="5" s="1"/>
  <c r="AQ125" i="5"/>
  <c r="AQ137" i="5" s="1"/>
  <c r="BA415" i="5"/>
  <c r="BA421" i="5" s="1"/>
  <c r="BA426" i="5" s="1"/>
  <c r="BA411" i="5"/>
  <c r="BA412" i="5" s="1"/>
  <c r="BA416" i="5" s="1"/>
  <c r="AY77" i="4"/>
  <c r="CR77" i="4" s="1"/>
  <c r="BB406" i="5"/>
  <c r="BB414" i="5"/>
  <c r="BB415" i="5"/>
  <c r="BB421" i="5" s="1"/>
  <c r="BB426" i="5" s="1"/>
  <c r="BB411" i="5"/>
  <c r="BA414" i="5"/>
  <c r="AW433" i="5"/>
  <c r="AW308" i="5" s="1"/>
  <c r="AY413" i="5"/>
  <c r="AX415" i="5"/>
  <c r="AX421" i="5" s="1"/>
  <c r="AX427" i="5" s="1"/>
  <c r="AX307" i="5" s="1"/>
  <c r="AX414" i="5"/>
  <c r="B115" i="4"/>
  <c r="B266" i="4"/>
  <c r="B268" i="4" s="1"/>
  <c r="B252" i="4"/>
  <c r="B342" i="4" s="1"/>
  <c r="B106" i="4"/>
  <c r="B132" i="4" s="1"/>
  <c r="B135" i="4" s="1"/>
  <c r="B142" i="4" s="1"/>
  <c r="B137" i="4" s="1"/>
  <c r="CF94" i="4"/>
  <c r="C106" i="4"/>
  <c r="E115" i="4"/>
  <c r="E132" i="4" s="1"/>
  <c r="E266" i="4"/>
  <c r="E268" i="4" s="1"/>
  <c r="I120" i="4"/>
  <c r="J120" i="4" s="1"/>
  <c r="K120" i="4" s="1"/>
  <c r="CJ120" i="4" s="1"/>
  <c r="H126" i="4"/>
  <c r="I109" i="4"/>
  <c r="AE101" i="4"/>
  <c r="CN101" i="4" s="1"/>
  <c r="AO21" i="4"/>
  <c r="CP21" i="4" s="1"/>
  <c r="AQ47" i="5"/>
  <c r="AL69" i="5"/>
  <c r="AL75" i="5" s="1"/>
  <c r="AL230" i="4" s="1"/>
  <c r="AL222" i="4" s="1"/>
  <c r="AQ227" i="4"/>
  <c r="AR91" i="4"/>
  <c r="AS91" i="4" s="1"/>
  <c r="AP73" i="5"/>
  <c r="AX113" i="4"/>
  <c r="AY113" i="4" s="1"/>
  <c r="CR113" i="4" s="1"/>
  <c r="AW99" i="4"/>
  <c r="AX99" i="4" s="1"/>
  <c r="AY99" i="4" s="1"/>
  <c r="CR99" i="4" s="1"/>
  <c r="AY35" i="4"/>
  <c r="CR35" i="4" s="1"/>
  <c r="AX34" i="4"/>
  <c r="AY34" i="4" s="1"/>
  <c r="CR34" i="4" s="1"/>
  <c r="G12" i="6" s="1"/>
  <c r="AX387" i="5"/>
  <c r="AX116" i="5"/>
  <c r="AX117" i="5" s="1"/>
  <c r="AU354" i="5"/>
  <c r="AU206" i="4"/>
  <c r="BC21" i="4"/>
  <c r="BD21" i="4" s="1"/>
  <c r="CS21" i="4" s="1"/>
  <c r="BD220" i="4"/>
  <c r="BB54" i="4"/>
  <c r="BD54" i="4" s="1"/>
  <c r="CS54" i="4" s="1"/>
  <c r="BD140" i="5"/>
  <c r="CU140" i="5" s="1"/>
  <c r="BG89" i="4"/>
  <c r="BH89" i="4" s="1"/>
  <c r="BI89" i="4" s="1"/>
  <c r="CT89" i="4" s="1"/>
  <c r="BD311" i="4"/>
  <c r="BS98" i="4"/>
  <c r="CV98" i="4" s="1"/>
  <c r="CU145" i="4"/>
  <c r="BF34" i="4"/>
  <c r="BF23" i="4" s="1"/>
  <c r="BF28" i="4" s="1"/>
  <c r="BF320" i="4" s="1"/>
  <c r="BL369" i="5"/>
  <c r="BG375" i="5"/>
  <c r="BG376" i="5" s="1"/>
  <c r="BI203" i="5"/>
  <c r="BE204" i="5"/>
  <c r="BH225" i="5"/>
  <c r="BC225" i="5"/>
  <c r="CU331" i="5"/>
  <c r="BD333" i="5"/>
  <c r="CU333" i="5" s="1"/>
  <c r="BC337" i="5"/>
  <c r="BH15" i="5"/>
  <c r="BC329" i="5"/>
  <c r="BK415" i="5"/>
  <c r="BJ414" i="5"/>
  <c r="BL91" i="4"/>
  <c r="BL227" i="4" s="1"/>
  <c r="BK227" i="4"/>
  <c r="BG362" i="5"/>
  <c r="BG23" i="5" s="1"/>
  <c r="Y433" i="5"/>
  <c r="AY194" i="5"/>
  <c r="AX43" i="5"/>
  <c r="AS43" i="5"/>
  <c r="AM282" i="4"/>
  <c r="F282" i="4"/>
  <c r="G268" i="4"/>
  <c r="H78" i="4"/>
  <c r="BN435" i="5"/>
  <c r="AY71" i="5"/>
  <c r="BD257" i="5"/>
  <c r="CU257" i="5" s="1"/>
  <c r="V311" i="4"/>
  <c r="AU341" i="5"/>
  <c r="BE90" i="5"/>
  <c r="BL406" i="5"/>
  <c r="BE414" i="5"/>
  <c r="BC69" i="5"/>
  <c r="BC75" i="5" s="1"/>
  <c r="AX395" i="5"/>
  <c r="BC30" i="5"/>
  <c r="BC449" i="5" s="1"/>
  <c r="BD224" i="5"/>
  <c r="BD225" i="5" s="1"/>
  <c r="AO46" i="5"/>
  <c r="AW55" i="5"/>
  <c r="AT20" i="5"/>
  <c r="BF414" i="5"/>
  <c r="AP262" i="5"/>
  <c r="AJ331" i="4"/>
  <c r="AQ115" i="4"/>
  <c r="AS101" i="4"/>
  <c r="AT101" i="4" s="1"/>
  <c r="CQ101" i="4" s="1"/>
  <c r="AW110" i="4"/>
  <c r="AW252" i="4" s="1"/>
  <c r="AW342" i="4" s="1"/>
  <c r="AW56" i="5"/>
  <c r="BC89" i="5"/>
  <c r="BD89" i="5" s="1"/>
  <c r="AQ411" i="5"/>
  <c r="AQ412" i="5" s="1"/>
  <c r="AQ416" i="5" s="1"/>
  <c r="AX30" i="5"/>
  <c r="CT256" i="5"/>
  <c r="BD308" i="5"/>
  <c r="CU308" i="5" s="1"/>
  <c r="AW43" i="5"/>
  <c r="BR36" i="4"/>
  <c r="BR77" i="4" s="1"/>
  <c r="BQ87" i="4"/>
  <c r="BQ274" i="4" s="1"/>
  <c r="BJ310" i="5"/>
  <c r="BJ312" i="5" s="1"/>
  <c r="BJ313" i="5" s="1"/>
  <c r="BF246" i="5"/>
  <c r="BF368" i="5"/>
  <c r="AX55" i="5"/>
  <c r="BH52" i="5"/>
  <c r="BH51" i="5"/>
  <c r="BI325" i="5"/>
  <c r="CV325" i="5" s="1"/>
  <c r="BI329" i="5"/>
  <c r="CV329" i="5" s="1"/>
  <c r="AI91" i="4"/>
  <c r="AH227" i="4"/>
  <c r="CY87" i="4"/>
  <c r="BZ274" i="4"/>
  <c r="BD398" i="5"/>
  <c r="CU398" i="5" s="1"/>
  <c r="V14" i="4"/>
  <c r="V239" i="4" s="1"/>
  <c r="AA28" i="4"/>
  <c r="AA320" i="4" s="1"/>
  <c r="AD311" i="4"/>
  <c r="CF126" i="4"/>
  <c r="CG126" i="4"/>
  <c r="CH126" i="4"/>
  <c r="M175" i="4"/>
  <c r="M187" i="4" s="1"/>
  <c r="R175" i="4"/>
  <c r="R187" i="4" s="1"/>
  <c r="Y169" i="4"/>
  <c r="Y175" i="4" s="1"/>
  <c r="Z167" i="4"/>
  <c r="AC175" i="4"/>
  <c r="AC187" i="4" s="1"/>
  <c r="AH175" i="4"/>
  <c r="AH187" i="4" s="1"/>
  <c r="CO178" i="4"/>
  <c r="AK331" i="4"/>
  <c r="AO331" i="4" s="1"/>
  <c r="AH221" i="4"/>
  <c r="AH14" i="4"/>
  <c r="AH22" i="4" s="1"/>
  <c r="Z214" i="4"/>
  <c r="Z220" i="4" s="1"/>
  <c r="Y215" i="4"/>
  <c r="V245" i="4"/>
  <c r="V78" i="4" s="1"/>
  <c r="U281" i="4"/>
  <c r="AT201" i="4"/>
  <c r="CS12" i="5"/>
  <c r="AB337" i="5"/>
  <c r="AB354" i="5"/>
  <c r="AB353" i="5"/>
  <c r="AF353" i="5"/>
  <c r="AF341" i="5"/>
  <c r="AF16" i="5"/>
  <c r="AF17" i="5" s="1"/>
  <c r="AF395" i="5"/>
  <c r="CQ46" i="5"/>
  <c r="AJ48" i="5"/>
  <c r="CQ48" i="5" s="1"/>
  <c r="CP80" i="5"/>
  <c r="AE81" i="5"/>
  <c r="CP81" i="5" s="1"/>
  <c r="I94" i="4"/>
  <c r="J94" i="4" s="1"/>
  <c r="R94" i="4"/>
  <c r="Q106" i="4"/>
  <c r="Q304" i="4" s="1"/>
  <c r="AC91" i="4"/>
  <c r="AC87" i="4"/>
  <c r="AB274" i="4"/>
  <c r="AG266" i="4"/>
  <c r="AG268" i="4" s="1"/>
  <c r="AH110" i="4"/>
  <c r="AI30" i="5"/>
  <c r="AI37" i="5" s="1"/>
  <c r="AI38" i="5" s="1"/>
  <c r="AI116" i="5"/>
  <c r="AO42" i="5"/>
  <c r="AM69" i="5"/>
  <c r="AM75" i="5" s="1"/>
  <c r="AM230" i="4" s="1"/>
  <c r="AQ126" i="4"/>
  <c r="AQ206" i="4"/>
  <c r="AQ210" i="4" s="1"/>
  <c r="AQ221" i="4" s="1"/>
  <c r="AQ354" i="5"/>
  <c r="AW116" i="5"/>
  <c r="AW117" i="5" s="1"/>
  <c r="AW387" i="5"/>
  <c r="AU48" i="4"/>
  <c r="AU345" i="4" s="1"/>
  <c r="AY46" i="4"/>
  <c r="CR46" i="4" s="1"/>
  <c r="BB120" i="4"/>
  <c r="BA77" i="4"/>
  <c r="BA78" i="4" s="1"/>
  <c r="BB36" i="4"/>
  <c r="BC36" i="4" s="1"/>
  <c r="BC77" i="4" s="1"/>
  <c r="BD399" i="5"/>
  <c r="CU399" i="5" s="1"/>
  <c r="BI406" i="5"/>
  <c r="CV406" i="5" s="1"/>
  <c r="CU413" i="5"/>
  <c r="BE81" i="5"/>
  <c r="BE86" i="5"/>
  <c r="BE87" i="5" s="1"/>
  <c r="CV166" i="5"/>
  <c r="BI167" i="5"/>
  <c r="CV167" i="5" s="1"/>
  <c r="BC168" i="5"/>
  <c r="BC13" i="5"/>
  <c r="BC204" i="4"/>
  <c r="BC202" i="4" s="1"/>
  <c r="BC20" i="5"/>
  <c r="BH19" i="5"/>
  <c r="BC258" i="5"/>
  <c r="AT194" i="5"/>
  <c r="AT193" i="5"/>
  <c r="BK117" i="5"/>
  <c r="BK119" i="5" s="1"/>
  <c r="BK99" i="5"/>
  <c r="AZ308" i="5"/>
  <c r="AZ312" i="5" s="1"/>
  <c r="BE314" i="5" s="1"/>
  <c r="AZ432" i="5"/>
  <c r="AK30" i="5"/>
  <c r="AK205" i="4"/>
  <c r="AK202" i="4" s="1"/>
  <c r="F31" i="5"/>
  <c r="CK31" i="5" s="1"/>
  <c r="AI24" i="5"/>
  <c r="AL398" i="5"/>
  <c r="BE43" i="5"/>
  <c r="AA24" i="4"/>
  <c r="AF15" i="4"/>
  <c r="BF344" i="4"/>
  <c r="K11" i="4"/>
  <c r="CS82" i="4"/>
  <c r="BK406" i="5"/>
  <c r="AV126" i="4"/>
  <c r="AT42" i="5"/>
  <c r="AT44" i="5" s="1"/>
  <c r="CS44" i="5" s="1"/>
  <c r="AS97" i="4"/>
  <c r="AT97" i="4" s="1"/>
  <c r="CQ97" i="4" s="1"/>
  <c r="BK414" i="5"/>
  <c r="AO294" i="4"/>
  <c r="AS295" i="4"/>
  <c r="AS296" i="4" s="1"/>
  <c r="U86" i="4"/>
  <c r="CL86" i="4" s="1"/>
  <c r="AE21" i="5"/>
  <c r="AE30" i="5" s="1"/>
  <c r="AY258" i="5"/>
  <c r="CT258" i="5" s="1"/>
  <c r="AE294" i="4"/>
  <c r="AF295" i="4" s="1"/>
  <c r="AF296" i="4" s="1"/>
  <c r="AJ183" i="4"/>
  <c r="CO183" i="4" s="1"/>
  <c r="AC78" i="4"/>
  <c r="AS86" i="4"/>
  <c r="AT86" i="4" s="1"/>
  <c r="CQ86" i="4" s="1"/>
  <c r="BI399" i="5"/>
  <c r="CV399" i="5" s="1"/>
  <c r="BN94" i="5"/>
  <c r="CW94" i="5" s="1"/>
  <c r="K273" i="4"/>
  <c r="BG192" i="4"/>
  <c r="AQ30" i="5"/>
  <c r="AQ37" i="5" s="1"/>
  <c r="AQ173" i="5" s="1"/>
  <c r="AF30" i="5"/>
  <c r="AF37" i="5" s="1"/>
  <c r="AF382" i="5"/>
  <c r="AF345" i="5"/>
  <c r="AF349" i="5"/>
  <c r="AB345" i="5"/>
  <c r="BI15" i="5"/>
  <c r="CV15" i="5" s="1"/>
  <c r="AO15" i="5"/>
  <c r="CR15" i="5" s="1"/>
  <c r="BC414" i="5"/>
  <c r="AU69" i="5"/>
  <c r="AU75" i="5" s="1"/>
  <c r="AU230" i="4" s="1"/>
  <c r="BH414" i="5"/>
  <c r="AY20" i="5"/>
  <c r="AQ225" i="5"/>
  <c r="BC16" i="5"/>
  <c r="BH17" i="5" s="1"/>
  <c r="AY140" i="5"/>
  <c r="CT140" i="5" s="1"/>
  <c r="AI205" i="4"/>
  <c r="AI202" i="4" s="1"/>
  <c r="AR406" i="5"/>
  <c r="AR411" i="5" s="1"/>
  <c r="AR412" i="5" s="1"/>
  <c r="AR416" i="5" s="1"/>
  <c r="AK354" i="5"/>
  <c r="AR395" i="5"/>
  <c r="AR30" i="5"/>
  <c r="AR387" i="5"/>
  <c r="BH42" i="5"/>
  <c r="BJ214" i="5"/>
  <c r="AN103" i="4"/>
  <c r="AO103" i="4" s="1"/>
  <c r="CP103" i="4" s="1"/>
  <c r="Z121" i="4"/>
  <c r="CM121" i="4" s="1"/>
  <c r="BC80" i="5"/>
  <c r="BC81" i="5" s="1"/>
  <c r="AQ344" i="4"/>
  <c r="BK333" i="4"/>
  <c r="AU398" i="5"/>
  <c r="AU78" i="5"/>
  <c r="AU153" i="5" s="1"/>
  <c r="F238" i="4"/>
  <c r="F239" i="4"/>
  <c r="AM446" i="5"/>
  <c r="AM78" i="5"/>
  <c r="AM153" i="5" s="1"/>
  <c r="BK69" i="4"/>
  <c r="AE109" i="4"/>
  <c r="CN109" i="4" s="1"/>
  <c r="AG115" i="4"/>
  <c r="AS111" i="4"/>
  <c r="AT111" i="4" s="1"/>
  <c r="CQ111" i="4" s="1"/>
  <c r="AS128" i="4"/>
  <c r="AT128" i="4" s="1"/>
  <c r="CQ128" i="4" s="1"/>
  <c r="AI391" i="5"/>
  <c r="BC241" i="5"/>
  <c r="BC19" i="5"/>
  <c r="AI99" i="4"/>
  <c r="AJ99" i="4" s="1"/>
  <c r="BF115" i="4"/>
  <c r="AW30" i="5"/>
  <c r="AW449" i="5" s="1"/>
  <c r="BC201" i="4"/>
  <c r="BI172" i="5"/>
  <c r="AV354" i="5"/>
  <c r="AE125" i="5"/>
  <c r="CP125" i="5" s="1"/>
  <c r="BH415" i="5"/>
  <c r="BC226" i="5"/>
  <c r="AX205" i="4"/>
  <c r="AX202" i="4" s="1"/>
  <c r="AP125" i="5"/>
  <c r="AP131" i="5" s="1"/>
  <c r="AO318" i="5"/>
  <c r="CR318" i="5" s="1"/>
  <c r="AQ262" i="5"/>
  <c r="BF411" i="5"/>
  <c r="BF412" i="5" s="1"/>
  <c r="BF416" i="5" s="1"/>
  <c r="BE411" i="5"/>
  <c r="BE412" i="5" s="1"/>
  <c r="BE416" i="5" s="1"/>
  <c r="BY141" i="5"/>
  <c r="O175" i="4"/>
  <c r="O187" i="4" s="1"/>
  <c r="BI123" i="4"/>
  <c r="CT123" i="4" s="1"/>
  <c r="AM119" i="4"/>
  <c r="BD261" i="5"/>
  <c r="CU261" i="5" s="1"/>
  <c r="AM44" i="5"/>
  <c r="AR43" i="5"/>
  <c r="BG369" i="5"/>
  <c r="AY54" i="5"/>
  <c r="BG437" i="5"/>
  <c r="AS94" i="4"/>
  <c r="AT94" i="4" s="1"/>
  <c r="CQ94" i="4" s="1"/>
  <c r="S282" i="4"/>
  <c r="AS44" i="5"/>
  <c r="BA47" i="5"/>
  <c r="BI21" i="4"/>
  <c r="CT21" i="4" s="1"/>
  <c r="BH174" i="5"/>
  <c r="AS118" i="4"/>
  <c r="AT118" i="4" s="1"/>
  <c r="CQ118" i="4" s="1"/>
  <c r="AI94" i="4"/>
  <c r="AJ94" i="4" s="1"/>
  <c r="CO94" i="4" s="1"/>
  <c r="S267" i="4"/>
  <c r="U267" i="4" s="1"/>
  <c r="Q331" i="4"/>
  <c r="U331" i="4" s="1"/>
  <c r="AE34" i="5"/>
  <c r="CP34" i="5" s="1"/>
  <c r="AF242" i="4"/>
  <c r="BB51" i="5"/>
  <c r="BQ9" i="5"/>
  <c r="BQ78" i="5" s="1"/>
  <c r="BQ153" i="5" s="1"/>
  <c r="AG252" i="4"/>
  <c r="AG342" i="4" s="1"/>
  <c r="H9" i="5"/>
  <c r="H41" i="5" s="1"/>
  <c r="H192" i="4"/>
  <c r="L9" i="5"/>
  <c r="L192" i="4"/>
  <c r="O9" i="5"/>
  <c r="O192" i="4"/>
  <c r="X9" i="5"/>
  <c r="X41" i="5" s="1"/>
  <c r="X192" i="4"/>
  <c r="AM192" i="4"/>
  <c r="AM82" i="4"/>
  <c r="AM139" i="4" s="1"/>
  <c r="CL9" i="4"/>
  <c r="U9" i="5"/>
  <c r="U398" i="5" s="1"/>
  <c r="CN398" i="5" s="1"/>
  <c r="S21" i="4"/>
  <c r="AJ19" i="4"/>
  <c r="CO19" i="4" s="1"/>
  <c r="Y18" i="4"/>
  <c r="Y21" i="4" s="1"/>
  <c r="Y22" i="4" s="1"/>
  <c r="AT42" i="4"/>
  <c r="CQ42" i="4" s="1"/>
  <c r="CG18" i="4"/>
  <c r="D21" i="4"/>
  <c r="D22" i="4" s="1"/>
  <c r="CG22" i="4" s="1"/>
  <c r="H241" i="4"/>
  <c r="H237" i="4"/>
  <c r="H238" i="4"/>
  <c r="H225" i="4"/>
  <c r="BP94" i="4"/>
  <c r="AO70" i="4"/>
  <c r="CP70" i="4" s="1"/>
  <c r="AT70" i="4"/>
  <c r="CQ70" i="4" s="1"/>
  <c r="AY70" i="4"/>
  <c r="CR70" i="4" s="1"/>
  <c r="BD70" i="4"/>
  <c r="CS70" i="4" s="1"/>
  <c r="W267" i="4"/>
  <c r="F157" i="4"/>
  <c r="CG154" i="4"/>
  <c r="D277" i="4"/>
  <c r="E273" i="4" s="1"/>
  <c r="H175" i="4"/>
  <c r="H187" i="4" s="1"/>
  <c r="P169" i="4"/>
  <c r="P175" i="4" s="1"/>
  <c r="AY220" i="4"/>
  <c r="Q78" i="4"/>
  <c r="AB245" i="4"/>
  <c r="AB78" i="4" s="1"/>
  <c r="AE78" i="4" s="1"/>
  <c r="CN78" i="4" s="1"/>
  <c r="AI245" i="4"/>
  <c r="AJ245" i="4" s="1"/>
  <c r="AJ249" i="4" s="1"/>
  <c r="D10" i="6" s="1"/>
  <c r="AC295" i="4"/>
  <c r="AG295" i="4"/>
  <c r="AV295" i="4"/>
  <c r="AV296" i="4" s="1"/>
  <c r="BA295" i="4"/>
  <c r="BD295" i="4" s="1"/>
  <c r="C295" i="4"/>
  <c r="AJ204" i="4"/>
  <c r="AO19" i="5"/>
  <c r="CR19" i="5" s="1"/>
  <c r="AJ19" i="5"/>
  <c r="CQ19" i="5" s="1"/>
  <c r="AT15" i="5"/>
  <c r="CS15" i="5" s="1"/>
  <c r="AT203" i="4"/>
  <c r="AA341" i="5"/>
  <c r="AA353" i="5"/>
  <c r="AG16" i="5"/>
  <c r="AG30" i="5"/>
  <c r="AL31" i="5" s="1"/>
  <c r="AG24" i="5"/>
  <c r="CQ23" i="5"/>
  <c r="AJ362" i="5"/>
  <c r="CQ362" i="5" s="1"/>
  <c r="B126" i="5"/>
  <c r="CG126" i="5" s="1"/>
  <c r="B37" i="5"/>
  <c r="C38" i="5" s="1"/>
  <c r="CH38" i="5" s="1"/>
  <c r="CQ33" i="5"/>
  <c r="AJ34" i="5"/>
  <c r="CQ34" i="5" s="1"/>
  <c r="AG90" i="5"/>
  <c r="AJ89" i="5"/>
  <c r="AJ90" i="5" s="1"/>
  <c r="CQ90" i="5" s="1"/>
  <c r="CS156" i="5"/>
  <c r="AT161" i="5"/>
  <c r="CS161" i="5" s="1"/>
  <c r="AY163" i="5"/>
  <c r="CT163" i="5" s="1"/>
  <c r="CT166" i="5"/>
  <c r="AY168" i="5"/>
  <c r="CT168" i="5" s="1"/>
  <c r="AH174" i="5"/>
  <c r="AR174" i="5"/>
  <c r="AS236" i="5"/>
  <c r="AS237" i="5"/>
  <c r="BA240" i="5"/>
  <c r="AV240" i="5"/>
  <c r="AV245" i="5"/>
  <c r="BG247" i="5"/>
  <c r="BB213" i="5"/>
  <c r="Z341" i="5"/>
  <c r="CO341" i="5" s="1"/>
  <c r="CO339" i="5"/>
  <c r="AP341" i="5"/>
  <c r="AU348" i="5"/>
  <c r="CP351" i="5"/>
  <c r="AE352" i="5"/>
  <c r="CP352" i="5" s="1"/>
  <c r="AL207" i="5"/>
  <c r="AQ208" i="5" s="1"/>
  <c r="AL381" i="5"/>
  <c r="AQ381" i="5"/>
  <c r="AM386" i="5"/>
  <c r="AM387" i="5"/>
  <c r="AQ391" i="5"/>
  <c r="AV394" i="5"/>
  <c r="AQ395" i="5"/>
  <c r="AO406" i="5"/>
  <c r="CR406" i="5" s="1"/>
  <c r="AM415" i="5"/>
  <c r="AN415" i="5"/>
  <c r="BD325" i="5"/>
  <c r="CU325" i="5" s="1"/>
  <c r="AY309" i="5"/>
  <c r="CT309" i="5" s="1"/>
  <c r="CT431" i="5"/>
  <c r="C115" i="4"/>
  <c r="C266" i="4"/>
  <c r="C268" i="4" s="1"/>
  <c r="I111" i="4"/>
  <c r="J111" i="4" s="1"/>
  <c r="I88" i="4"/>
  <c r="J88" i="4" s="1"/>
  <c r="M93" i="4"/>
  <c r="N93" i="4" s="1"/>
  <c r="O93" i="4" s="1"/>
  <c r="L106" i="4"/>
  <c r="L304" i="4" s="1"/>
  <c r="S123" i="4"/>
  <c r="T123" i="4" s="1"/>
  <c r="T126" i="4" s="1"/>
  <c r="AC86" i="4"/>
  <c r="AB267" i="4"/>
  <c r="AB268" i="4" s="1"/>
  <c r="AI102" i="4"/>
  <c r="AJ102" i="4" s="1"/>
  <c r="CO102" i="4" s="1"/>
  <c r="AM102" i="4"/>
  <c r="AN102" i="4" s="1"/>
  <c r="AN107" i="5"/>
  <c r="AN108" i="5" s="1"/>
  <c r="AS47" i="5"/>
  <c r="AN206" i="4"/>
  <c r="AN341" i="5"/>
  <c r="AR51" i="5"/>
  <c r="AM52" i="5"/>
  <c r="AO54" i="4"/>
  <c r="CP54" i="4" s="1"/>
  <c r="AL16" i="5"/>
  <c r="AL17" i="5" s="1"/>
  <c r="AL205" i="4"/>
  <c r="AL202" i="4" s="1"/>
  <c r="AK206" i="4"/>
  <c r="AK341" i="5"/>
  <c r="AS77" i="4"/>
  <c r="AT77" i="4" s="1"/>
  <c r="CQ77" i="4" s="1"/>
  <c r="AT36" i="4"/>
  <c r="CQ36" i="4" s="1"/>
  <c r="AS341" i="5"/>
  <c r="AS206" i="4"/>
  <c r="AS262" i="5"/>
  <c r="AR208" i="4"/>
  <c r="AR362" i="5"/>
  <c r="AR367" i="5" s="1"/>
  <c r="AW119" i="4"/>
  <c r="AV302" i="4"/>
  <c r="AV303" i="4" s="1"/>
  <c r="AV275" i="4"/>
  <c r="AX80" i="5"/>
  <c r="AY80" i="5" s="1"/>
  <c r="AY42" i="5"/>
  <c r="BD43" i="5" s="1"/>
  <c r="CU43" i="5" s="1"/>
  <c r="AX69" i="5"/>
  <c r="AX75" i="5" s="1"/>
  <c r="AX230" i="4" s="1"/>
  <c r="BB128" i="4"/>
  <c r="BC128" i="4" s="1"/>
  <c r="BB123" i="4"/>
  <c r="BC123" i="4" s="1"/>
  <c r="BD123" i="4" s="1"/>
  <c r="CS123" i="4" s="1"/>
  <c r="BB103" i="4"/>
  <c r="BC103" i="4" s="1"/>
  <c r="BD103" i="4" s="1"/>
  <c r="CS103" i="4" s="1"/>
  <c r="BB86" i="4"/>
  <c r="BB35" i="4"/>
  <c r="BI140" i="5"/>
  <c r="CV140" i="5" s="1"/>
  <c r="BI427" i="5"/>
  <c r="BI307" i="5" s="1"/>
  <c r="BI320" i="5" s="1"/>
  <c r="BH369" i="5"/>
  <c r="BC362" i="5"/>
  <c r="BC23" i="5" s="1"/>
  <c r="BC375" i="5"/>
  <c r="BC376" i="5" s="1"/>
  <c r="BD193" i="5"/>
  <c r="AV225" i="5"/>
  <c r="BL275" i="4"/>
  <c r="BK115" i="4"/>
  <c r="AZ210" i="4"/>
  <c r="BE211" i="4" s="1"/>
  <c r="AU225" i="5"/>
  <c r="BH282" i="4"/>
  <c r="BK282" i="4"/>
  <c r="BJ23" i="4"/>
  <c r="BJ28" i="4" s="1"/>
  <c r="AM275" i="4"/>
  <c r="BC175" i="4"/>
  <c r="BC187" i="4" s="1"/>
  <c r="AJ18" i="4"/>
  <c r="CO18" i="4" s="1"/>
  <c r="Z294" i="4"/>
  <c r="AA295" i="4" s="1"/>
  <c r="AA296" i="4" s="1"/>
  <c r="T175" i="4"/>
  <c r="T187" i="4" s="1"/>
  <c r="AB175" i="4"/>
  <c r="AB187" i="4" s="1"/>
  <c r="AD175" i="4"/>
  <c r="AD187" i="4" s="1"/>
  <c r="BA202" i="4"/>
  <c r="BG202" i="4"/>
  <c r="M211" i="4"/>
  <c r="R230" i="4"/>
  <c r="R245" i="4"/>
  <c r="R54" i="4" s="1"/>
  <c r="X282" i="4"/>
  <c r="AO241" i="5"/>
  <c r="AY239" i="5"/>
  <c r="AY325" i="5"/>
  <c r="CT325" i="5" s="1"/>
  <c r="AS349" i="5"/>
  <c r="AN130" i="4"/>
  <c r="AO130" i="4" s="1"/>
  <c r="CP130" i="4" s="1"/>
  <c r="AK75" i="5"/>
  <c r="AK230" i="4" s="1"/>
  <c r="AK222" i="4" s="1"/>
  <c r="AH433" i="5"/>
  <c r="I226" i="4"/>
  <c r="CR169" i="4"/>
  <c r="CR175" i="4" s="1"/>
  <c r="BG344" i="4"/>
  <c r="BH117" i="5"/>
  <c r="BI116" i="5"/>
  <c r="BI117" i="5" s="1"/>
  <c r="CV117" i="5" s="1"/>
  <c r="P222" i="4"/>
  <c r="AO153" i="5"/>
  <c r="CR153" i="5" s="1"/>
  <c r="BH344" i="4"/>
  <c r="AE100" i="4"/>
  <c r="CN100" i="4" s="1"/>
  <c r="CI132" i="4"/>
  <c r="CS72" i="5"/>
  <c r="BB266" i="4"/>
  <c r="BB252" i="4"/>
  <c r="BC110" i="4"/>
  <c r="BC115" i="4" s="1"/>
  <c r="BG266" i="4"/>
  <c r="BG268" i="4" s="1"/>
  <c r="BH110" i="4"/>
  <c r="BH266" i="4" s="1"/>
  <c r="BG252" i="4"/>
  <c r="BG342" i="4" s="1"/>
  <c r="AO227" i="4"/>
  <c r="BL205" i="5"/>
  <c r="BQ205" i="5" s="1"/>
  <c r="BK209" i="5"/>
  <c r="N94" i="4"/>
  <c r="O94" i="4" s="1"/>
  <c r="BH94" i="4"/>
  <c r="BI94" i="4" s="1"/>
  <c r="CT94" i="4" s="1"/>
  <c r="BS136" i="5"/>
  <c r="Q21" i="4"/>
  <c r="X37" i="4"/>
  <c r="O312" i="4"/>
  <c r="O311" i="4" s="1"/>
  <c r="CE66" i="4"/>
  <c r="AY67" i="4"/>
  <c r="CR67" i="4" s="1"/>
  <c r="CH115" i="4"/>
  <c r="CH132" i="4" s="1"/>
  <c r="CF115" i="4"/>
  <c r="CI149" i="4"/>
  <c r="CI157" i="4" s="1"/>
  <c r="G175" i="4"/>
  <c r="G187" i="4" s="1"/>
  <c r="O196" i="4"/>
  <c r="AJ198" i="5"/>
  <c r="AQ353" i="5"/>
  <c r="E38" i="5"/>
  <c r="CJ38" i="5" s="1"/>
  <c r="Z173" i="5"/>
  <c r="CO173" i="5" s="1"/>
  <c r="BI19" i="5"/>
  <c r="CV19" i="5" s="1"/>
  <c r="AY101" i="4"/>
  <c r="CR101" i="4" s="1"/>
  <c r="AE218" i="4"/>
  <c r="CI34" i="4"/>
  <c r="BI70" i="4"/>
  <c r="CT70" i="4" s="1"/>
  <c r="BF268" i="4"/>
  <c r="CE106" i="4"/>
  <c r="CN169" i="4"/>
  <c r="CN175" i="4" s="1"/>
  <c r="AR187" i="4"/>
  <c r="K18" i="4"/>
  <c r="AE220" i="4"/>
  <c r="AE230" i="4" s="1"/>
  <c r="AE226" i="4" s="1"/>
  <c r="AE19" i="4"/>
  <c r="CN19" i="4" s="1"/>
  <c r="X222" i="4"/>
  <c r="AT332" i="5"/>
  <c r="CS332" i="5" s="1"/>
  <c r="AR340" i="5"/>
  <c r="AT54" i="4"/>
  <c r="CQ54" i="4" s="1"/>
  <c r="I91" i="6"/>
  <c r="AO101" i="4"/>
  <c r="CP101" i="4" s="1"/>
  <c r="U99" i="4"/>
  <c r="CL99" i="4" s="1"/>
  <c r="AB132" i="4"/>
  <c r="BC412" i="5"/>
  <c r="BC416" i="5" s="1"/>
  <c r="AW344" i="4"/>
  <c r="BH312" i="5"/>
  <c r="BH313" i="5" s="1"/>
  <c r="AA22" i="4"/>
  <c r="L14" i="4"/>
  <c r="L241" i="4" s="1"/>
  <c r="N14" i="4"/>
  <c r="N22" i="4" s="1"/>
  <c r="W28" i="4"/>
  <c r="W320" i="4" s="1"/>
  <c r="AC21" i="4"/>
  <c r="AC28" i="4" s="1"/>
  <c r="AC320" i="4" s="1"/>
  <c r="G21" i="4"/>
  <c r="G28" i="4" s="1"/>
  <c r="G320" i="4" s="1"/>
  <c r="AC231" i="4"/>
  <c r="S221" i="4"/>
  <c r="W268" i="4"/>
  <c r="AC296" i="4"/>
  <c r="AG296" i="4"/>
  <c r="C296" i="4"/>
  <c r="BD67" i="5"/>
  <c r="CU67" i="5" s="1"/>
  <c r="AU367" i="5"/>
  <c r="AU375" i="5" s="1"/>
  <c r="BC86" i="5"/>
  <c r="BC87" i="5" s="1"/>
  <c r="CT169" i="4"/>
  <c r="CT175" i="4" s="1"/>
  <c r="BG412" i="5"/>
  <c r="BG416" i="5" s="1"/>
  <c r="BQ77" i="4"/>
  <c r="X344" i="4"/>
  <c r="CK169" i="4"/>
  <c r="CK175" i="4" s="1"/>
  <c r="CO169" i="4"/>
  <c r="U196" i="4"/>
  <c r="F268" i="4"/>
  <c r="AB14" i="4"/>
  <c r="AB239" i="4" s="1"/>
  <c r="AE34" i="4"/>
  <c r="I14" i="4"/>
  <c r="I239" i="4" s="1"/>
  <c r="Y312" i="4"/>
  <c r="Y311" i="4" s="1"/>
  <c r="AG175" i="4"/>
  <c r="AU331" i="4"/>
  <c r="AY331" i="4" s="1"/>
  <c r="C211" i="4"/>
  <c r="F211" i="4"/>
  <c r="H282" i="4"/>
  <c r="Y295" i="4"/>
  <c r="Y296" i="4" s="1"/>
  <c r="AW295" i="4"/>
  <c r="AT52" i="5"/>
  <c r="CS52" i="5" s="1"/>
  <c r="AP390" i="5"/>
  <c r="AX411" i="5"/>
  <c r="AX412" i="5" s="1"/>
  <c r="AX416" i="5" s="1"/>
  <c r="AX230" i="5"/>
  <c r="AX209" i="5"/>
  <c r="AX226" i="5"/>
  <c r="AX205" i="5"/>
  <c r="R115" i="4"/>
  <c r="R266" i="4"/>
  <c r="R252" i="4"/>
  <c r="BB302" i="4"/>
  <c r="BB303" i="4" s="1"/>
  <c r="BB333" i="4"/>
  <c r="BC119" i="4"/>
  <c r="T333" i="4"/>
  <c r="U333" i="4" s="1"/>
  <c r="T302" i="4"/>
  <c r="T303" i="4" s="1"/>
  <c r="BE398" i="5"/>
  <c r="BE78" i="5"/>
  <c r="BE153" i="5" s="1"/>
  <c r="BE41" i="5"/>
  <c r="BE446" i="5"/>
  <c r="U34" i="4"/>
  <c r="CL35" i="4"/>
  <c r="CL34" i="4" s="1"/>
  <c r="R236" i="4"/>
  <c r="R241" i="4"/>
  <c r="R225" i="4"/>
  <c r="R243" i="4"/>
  <c r="R239" i="4"/>
  <c r="R238" i="4"/>
  <c r="R242" i="4"/>
  <c r="R24" i="4"/>
  <c r="R240" i="4"/>
  <c r="R237" i="4"/>
  <c r="AM187" i="4"/>
  <c r="T23" i="4"/>
  <c r="T230" i="4"/>
  <c r="AA433" i="5"/>
  <c r="M115" i="4"/>
  <c r="M266" i="4"/>
  <c r="M268" i="4" s="1"/>
  <c r="N110" i="4"/>
  <c r="Q446" i="5"/>
  <c r="Q398" i="5"/>
  <c r="Q41" i="5"/>
  <c r="BH446" i="5"/>
  <c r="BH398" i="5"/>
  <c r="BH78" i="5"/>
  <c r="BH153" i="5" s="1"/>
  <c r="BH41" i="5"/>
  <c r="BR446" i="5"/>
  <c r="BR398" i="5"/>
  <c r="BR78" i="5"/>
  <c r="BR153" i="5" s="1"/>
  <c r="BR41" i="5"/>
  <c r="AB236" i="4"/>
  <c r="E240" i="4"/>
  <c r="CH14" i="4"/>
  <c r="E236" i="4"/>
  <c r="S187" i="4"/>
  <c r="X187" i="4"/>
  <c r="BA187" i="4"/>
  <c r="AS23" i="4"/>
  <c r="AS226" i="4"/>
  <c r="AD222" i="4"/>
  <c r="AD226" i="4"/>
  <c r="AD231" i="4"/>
  <c r="AB22" i="4"/>
  <c r="BR87" i="4"/>
  <c r="BJ187" i="4"/>
  <c r="BH77" i="4"/>
  <c r="BI36" i="4"/>
  <c r="CT36" i="4" s="1"/>
  <c r="AJ111" i="4"/>
  <c r="CO111" i="4" s="1"/>
  <c r="L296" i="4"/>
  <c r="Y226" i="4"/>
  <c r="Y222" i="4"/>
  <c r="AP446" i="5"/>
  <c r="AP398" i="5"/>
  <c r="AP41" i="5"/>
  <c r="AZ41" i="5"/>
  <c r="AZ446" i="5"/>
  <c r="AZ78" i="5"/>
  <c r="AZ153" i="5" s="1"/>
  <c r="AZ398" i="5"/>
  <c r="CE77" i="4"/>
  <c r="B78" i="4"/>
  <c r="CE78" i="4" s="1"/>
  <c r="O343" i="4"/>
  <c r="P343" i="4" s="1"/>
  <c r="P293" i="4"/>
  <c r="CP48" i="4"/>
  <c r="AO345" i="4"/>
  <c r="R228" i="4"/>
  <c r="AC273" i="4"/>
  <c r="AB275" i="4"/>
  <c r="Q187" i="4"/>
  <c r="AA187" i="4"/>
  <c r="CJ18" i="4"/>
  <c r="L222" i="4"/>
  <c r="L231" i="4"/>
  <c r="L226" i="4"/>
  <c r="Y23" i="4"/>
  <c r="Z23" i="4" s="1"/>
  <c r="Z224" i="4"/>
  <c r="Y225" i="4"/>
  <c r="R47" i="4"/>
  <c r="R48" i="4" s="1"/>
  <c r="R345" i="4" s="1"/>
  <c r="AO312" i="4"/>
  <c r="AN311" i="4"/>
  <c r="J100" i="4"/>
  <c r="K100" i="4" s="1"/>
  <c r="CJ100" i="4" s="1"/>
  <c r="J89" i="4"/>
  <c r="K89" i="4" s="1"/>
  <c r="CJ89" i="4" s="1"/>
  <c r="AC115" i="4"/>
  <c r="AC266" i="4"/>
  <c r="AD110" i="4"/>
  <c r="AC252" i="4"/>
  <c r="AG238" i="4"/>
  <c r="AG240" i="4"/>
  <c r="AG242" i="4"/>
  <c r="AG24" i="4"/>
  <c r="AG22" i="4"/>
  <c r="AG241" i="4"/>
  <c r="AG237" i="4"/>
  <c r="AG236" i="4"/>
  <c r="AG37" i="4"/>
  <c r="AG243" i="4"/>
  <c r="AG239" i="4"/>
  <c r="AG225" i="4"/>
  <c r="BE113" i="5"/>
  <c r="BE114" i="5" s="1"/>
  <c r="BI107" i="5"/>
  <c r="BI113" i="5" s="1"/>
  <c r="BI114" i="5" s="1"/>
  <c r="BE108" i="5"/>
  <c r="BE98" i="5"/>
  <c r="AS274" i="4"/>
  <c r="AT87" i="4"/>
  <c r="CQ87" i="4" s="1"/>
  <c r="O226" i="4"/>
  <c r="BI139" i="4"/>
  <c r="CT139" i="4" s="1"/>
  <c r="CT82" i="4"/>
  <c r="AI121" i="4"/>
  <c r="AJ121" i="4" s="1"/>
  <c r="CO121" i="4" s="1"/>
  <c r="AE302" i="4"/>
  <c r="AE303" i="4" s="1"/>
  <c r="CN119" i="4"/>
  <c r="T274" i="4"/>
  <c r="U87" i="4"/>
  <c r="CL87" i="4" s="1"/>
  <c r="AQ222" i="4"/>
  <c r="AQ224" i="4"/>
  <c r="K311" i="4"/>
  <c r="L311" i="4"/>
  <c r="AC398" i="5"/>
  <c r="AC446" i="5"/>
  <c r="AC41" i="5"/>
  <c r="V243" i="4"/>
  <c r="V238" i="4"/>
  <c r="V225" i="4"/>
  <c r="U23" i="4"/>
  <c r="K293" i="4"/>
  <c r="J343" i="4"/>
  <c r="D345" i="4"/>
  <c r="N28" i="4"/>
  <c r="N30" i="4" s="1"/>
  <c r="N341" i="4" s="1"/>
  <c r="N237" i="4"/>
  <c r="N239" i="4"/>
  <c r="AP187" i="4"/>
  <c r="T221" i="4"/>
  <c r="P12" i="4"/>
  <c r="CK12" i="4" s="1"/>
  <c r="M231" i="4"/>
  <c r="M226" i="4"/>
  <c r="M222" i="4"/>
  <c r="BB432" i="5"/>
  <c r="J99" i="4"/>
  <c r="K99" i="4" s="1"/>
  <c r="CJ99" i="4" s="1"/>
  <c r="T84" i="4"/>
  <c r="U84" i="4" s="1"/>
  <c r="CL84" i="4" s="1"/>
  <c r="X267" i="4"/>
  <c r="Y86" i="4"/>
  <c r="Y267" i="4" s="1"/>
  <c r="AS88" i="4"/>
  <c r="AS151" i="4" s="1"/>
  <c r="AT151" i="4" s="1"/>
  <c r="CQ151" i="4" s="1"/>
  <c r="BC101" i="4"/>
  <c r="BD101" i="4" s="1"/>
  <c r="CS101" i="4" s="1"/>
  <c r="BA362" i="5"/>
  <c r="BF359" i="5"/>
  <c r="BA22" i="5"/>
  <c r="BI204" i="4"/>
  <c r="BI202" i="4" s="1"/>
  <c r="Z87" i="4"/>
  <c r="CM87" i="4" s="1"/>
  <c r="AO91" i="4"/>
  <c r="CP91" i="4" s="1"/>
  <c r="K23" i="4"/>
  <c r="AA39" i="4"/>
  <c r="AA40" i="4" s="1"/>
  <c r="U210" i="4"/>
  <c r="BI208" i="5"/>
  <c r="AS222" i="4"/>
  <c r="T343" i="4"/>
  <c r="U343" i="4" s="1"/>
  <c r="AB28" i="4"/>
  <c r="AB320" i="4" s="1"/>
  <c r="AE333" i="5"/>
  <c r="CP333" i="5" s="1"/>
  <c r="BH216" i="5"/>
  <c r="BH222" i="5" s="1"/>
  <c r="BH221" i="5" s="1"/>
  <c r="O34" i="4"/>
  <c r="J267" i="4"/>
  <c r="CL37" i="5"/>
  <c r="BK44" i="5"/>
  <c r="P11" i="4"/>
  <c r="BJ442" i="5"/>
  <c r="CV157" i="5"/>
  <c r="BN446" i="5"/>
  <c r="AS41" i="5"/>
  <c r="AL90" i="5"/>
  <c r="BN209" i="4"/>
  <c r="BK174" i="5"/>
  <c r="BS54" i="4"/>
  <c r="CV54" i="4" s="1"/>
  <c r="K35" i="5"/>
  <c r="CL35" i="5" s="1"/>
  <c r="AO43" i="5"/>
  <c r="CR43" i="5" s="1"/>
  <c r="BH175" i="5"/>
  <c r="BJ125" i="5"/>
  <c r="AU208" i="5"/>
  <c r="CO172" i="5"/>
  <c r="G41" i="5"/>
  <c r="BL78" i="5"/>
  <c r="BL153" i="5" s="1"/>
  <c r="CR413" i="5"/>
  <c r="AJ34" i="4"/>
  <c r="BE82" i="4"/>
  <c r="BE139" i="4" s="1"/>
  <c r="AZ82" i="4"/>
  <c r="AZ139" i="4" s="1"/>
  <c r="BK187" i="4"/>
  <c r="BC113" i="5"/>
  <c r="BC114" i="5" s="1"/>
  <c r="BH111" i="4"/>
  <c r="BH115" i="4" s="1"/>
  <c r="BA246" i="5"/>
  <c r="CU21" i="5"/>
  <c r="AO55" i="5"/>
  <c r="CR55" i="5" s="1"/>
  <c r="K42" i="4"/>
  <c r="CJ42" i="4" s="1"/>
  <c r="P42" i="4"/>
  <c r="CK42" i="4" s="1"/>
  <c r="BH82" i="4"/>
  <c r="BH139" i="4" s="1"/>
  <c r="CF66" i="4"/>
  <c r="AN58" i="4"/>
  <c r="AN148" i="5" s="1"/>
  <c r="AP82" i="4"/>
  <c r="AP139" i="4" s="1"/>
  <c r="AT9" i="5"/>
  <c r="F192" i="4"/>
  <c r="B34" i="4"/>
  <c r="D275" i="4"/>
  <c r="BD72" i="5"/>
  <c r="CU72" i="5" s="1"/>
  <c r="AO351" i="5"/>
  <c r="AV353" i="5"/>
  <c r="AJ220" i="4"/>
  <c r="AI220" i="4" s="1"/>
  <c r="AI21" i="4" s="1"/>
  <c r="AJ21" i="4" s="1"/>
  <c r="CO21" i="4" s="1"/>
  <c r="AZ23" i="4"/>
  <c r="BL123" i="4"/>
  <c r="BM123" i="4" s="1"/>
  <c r="AV411" i="5"/>
  <c r="AV412" i="5" s="1"/>
  <c r="AV416" i="5" s="1"/>
  <c r="AJ345" i="5"/>
  <c r="CQ345" i="5" s="1"/>
  <c r="CJ37" i="5"/>
  <c r="BF123" i="5"/>
  <c r="BD117" i="5"/>
  <c r="CU117" i="5" s="1"/>
  <c r="AO118" i="4"/>
  <c r="AL37" i="5"/>
  <c r="AE337" i="5"/>
  <c r="CP337" i="5" s="1"/>
  <c r="AY139" i="4"/>
  <c r="CR139" i="4" s="1"/>
  <c r="J296" i="4"/>
  <c r="O222" i="4"/>
  <c r="J21" i="4"/>
  <c r="BK14" i="4"/>
  <c r="Q239" i="4"/>
  <c r="BK125" i="5"/>
  <c r="BL43" i="5"/>
  <c r="F38" i="5"/>
  <c r="CK38" i="5" s="1"/>
  <c r="AO354" i="5"/>
  <c r="CR354" i="5" s="1"/>
  <c r="Z355" i="5"/>
  <c r="CO355" i="5" s="1"/>
  <c r="Z35" i="5"/>
  <c r="CO35" i="5" s="1"/>
  <c r="AZ368" i="5"/>
  <c r="AO395" i="5"/>
  <c r="CR395" i="5" s="1"/>
  <c r="CV18" i="5"/>
  <c r="BB113" i="5"/>
  <c r="BB114" i="5" s="1"/>
  <c r="AV395" i="5"/>
  <c r="AL446" i="5"/>
  <c r="CS431" i="5"/>
  <c r="CU116" i="5"/>
  <c r="AJ185" i="4"/>
  <c r="U119" i="4"/>
  <c r="AB398" i="5"/>
  <c r="AD221" i="4"/>
  <c r="AE117" i="5"/>
  <c r="CP117" i="5" s="1"/>
  <c r="D253" i="4"/>
  <c r="AE353" i="5"/>
  <c r="CP353" i="5" s="1"/>
  <c r="AE345" i="5"/>
  <c r="CP345" i="5" s="1"/>
  <c r="BN167" i="4"/>
  <c r="AT174" i="5"/>
  <c r="BA376" i="5"/>
  <c r="AS267" i="4"/>
  <c r="AT267" i="4" s="1"/>
  <c r="AI302" i="4"/>
  <c r="AI303" i="4" s="1"/>
  <c r="Z77" i="4"/>
  <c r="CM77" i="4" s="1"/>
  <c r="BH443" i="5"/>
  <c r="AE12" i="4"/>
  <c r="CN12" i="4" s="1"/>
  <c r="CY9" i="4"/>
  <c r="BI318" i="5"/>
  <c r="CV318" i="5" s="1"/>
  <c r="AO274" i="4"/>
  <c r="BC205" i="5"/>
  <c r="F241" i="4"/>
  <c r="BR82" i="4"/>
  <c r="BR139" i="4" s="1"/>
  <c r="BM82" i="4"/>
  <c r="BM139" i="4" s="1"/>
  <c r="B185" i="4"/>
  <c r="E226" i="4"/>
  <c r="BC315" i="4"/>
  <c r="BD315" i="4" s="1"/>
  <c r="BI174" i="5"/>
  <c r="F236" i="4"/>
  <c r="AT51" i="5"/>
  <c r="CS51" i="5" s="1"/>
  <c r="AS120" i="4"/>
  <c r="CN34" i="4"/>
  <c r="C12" i="6" s="1"/>
  <c r="AH320" i="4"/>
  <c r="U102" i="4"/>
  <c r="CL102" i="4" s="1"/>
  <c r="E28" i="4"/>
  <c r="E30" i="4" s="1"/>
  <c r="F225" i="4"/>
  <c r="BI414" i="5"/>
  <c r="CV414" i="5" s="1"/>
  <c r="BJ441" i="5"/>
  <c r="CZ160" i="5"/>
  <c r="C21" i="4"/>
  <c r="P9" i="5"/>
  <c r="P119" i="4"/>
  <c r="BC216" i="5"/>
  <c r="J192" i="4"/>
  <c r="F243" i="4"/>
  <c r="AT23" i="5"/>
  <c r="AE367" i="5"/>
  <c r="CP367" i="5" s="1"/>
  <c r="Q238" i="4"/>
  <c r="CX145" i="4"/>
  <c r="AN117" i="5"/>
  <c r="Z12" i="4"/>
  <c r="CG47" i="4"/>
  <c r="Q192" i="4"/>
  <c r="W222" i="4"/>
  <c r="CJ66" i="4"/>
  <c r="S231" i="4"/>
  <c r="S274" i="4"/>
  <c r="U274" i="4" s="1"/>
  <c r="H242" i="4"/>
  <c r="BO9" i="5"/>
  <c r="AO111" i="4"/>
  <c r="CP111" i="4" s="1"/>
  <c r="AO185" i="4"/>
  <c r="CP185" i="4" s="1"/>
  <c r="CP187" i="4" s="1"/>
  <c r="AM117" i="5"/>
  <c r="AT107" i="5"/>
  <c r="BD318" i="5"/>
  <c r="CU318" i="5" s="1"/>
  <c r="BK37" i="5"/>
  <c r="BK214" i="5"/>
  <c r="BI42" i="5"/>
  <c r="BD80" i="5"/>
  <c r="CR50" i="5"/>
  <c r="BN398" i="5"/>
  <c r="CW398" i="5" s="1"/>
  <c r="AQ398" i="5"/>
  <c r="AY44" i="5"/>
  <c r="CT44" i="5" s="1"/>
  <c r="AZ442" i="5"/>
  <c r="BD78" i="5"/>
  <c r="AW248" i="5"/>
  <c r="BL398" i="5"/>
  <c r="BL446" i="5"/>
  <c r="CU9" i="5"/>
  <c r="BB115" i="4"/>
  <c r="AY311" i="4"/>
  <c r="AJ48" i="4"/>
  <c r="AT406" i="5"/>
  <c r="CS406" i="5" s="1"/>
  <c r="AA331" i="4"/>
  <c r="AE331" i="4" s="1"/>
  <c r="BI9" i="5"/>
  <c r="BE192" i="4"/>
  <c r="CO9" i="4"/>
  <c r="AX9" i="5"/>
  <c r="BG77" i="4"/>
  <c r="Z343" i="4"/>
  <c r="CP46" i="4"/>
  <c r="BG115" i="4"/>
  <c r="BG56" i="5"/>
  <c r="X243" i="4"/>
  <c r="AX97" i="4"/>
  <c r="AY97" i="4" s="1"/>
  <c r="CR97" i="4" s="1"/>
  <c r="AL275" i="4"/>
  <c r="BG275" i="4"/>
  <c r="AG187" i="4"/>
  <c r="BD382" i="5"/>
  <c r="CU382" i="5" s="1"/>
  <c r="BD391" i="5"/>
  <c r="CU391" i="5" s="1"/>
  <c r="AC16" i="5"/>
  <c r="AC117" i="5"/>
  <c r="CS50" i="5"/>
  <c r="BJ331" i="4"/>
  <c r="BN331" i="4" s="1"/>
  <c r="BB77" i="4"/>
  <c r="BB78" i="4" s="1"/>
  <c r="AI9" i="5"/>
  <c r="AD218" i="4"/>
  <c r="Z161" i="5"/>
  <c r="CO161" i="5" s="1"/>
  <c r="AJ339" i="5"/>
  <c r="AJ341" i="5" s="1"/>
  <c r="CQ341" i="5" s="1"/>
  <c r="AS207" i="5"/>
  <c r="CI125" i="5"/>
  <c r="AS386" i="5"/>
  <c r="AO245" i="5"/>
  <c r="AS245" i="5"/>
  <c r="AV245" i="4"/>
  <c r="AV78" i="4" s="1"/>
  <c r="P210" i="4"/>
  <c r="BG432" i="5"/>
  <c r="M221" i="4"/>
  <c r="T11" i="4"/>
  <c r="U11" i="4" s="1"/>
  <c r="O218" i="4"/>
  <c r="AI12" i="4"/>
  <c r="AJ12" i="4" s="1"/>
  <c r="Y196" i="4"/>
  <c r="CV435" i="5"/>
  <c r="BR245" i="4"/>
  <c r="CH182" i="4"/>
  <c r="CQ69" i="4"/>
  <c r="AC192" i="4"/>
  <c r="AX82" i="4"/>
  <c r="AX139" i="4" s="1"/>
  <c r="AP192" i="4"/>
  <c r="AI82" i="4"/>
  <c r="AI139" i="4" s="1"/>
  <c r="O23" i="4"/>
  <c r="P23" i="4" s="1"/>
  <c r="CE36" i="4"/>
  <c r="CE34" i="4" s="1"/>
  <c r="AE54" i="4"/>
  <c r="CN54" i="4" s="1"/>
  <c r="G14" i="4"/>
  <c r="G241" i="4" s="1"/>
  <c r="K183" i="4"/>
  <c r="Y187" i="4"/>
  <c r="G221" i="4"/>
  <c r="Q211" i="4"/>
  <c r="AK245" i="4"/>
  <c r="AK78" i="4" s="1"/>
  <c r="T295" i="4"/>
  <c r="T296" i="4" s="1"/>
  <c r="E126" i="5"/>
  <c r="CJ126" i="5" s="1"/>
  <c r="U31" i="5"/>
  <c r="CN31" i="5" s="1"/>
  <c r="AS73" i="5"/>
  <c r="AS203" i="5"/>
  <c r="AS204" i="5" s="1"/>
  <c r="BA213" i="5"/>
  <c r="AX225" i="5"/>
  <c r="BK34" i="4"/>
  <c r="BZ9" i="5"/>
  <c r="AY51" i="5"/>
  <c r="CT51" i="5" s="1"/>
  <c r="CE183" i="4"/>
  <c r="AM115" i="4"/>
  <c r="P192" i="4"/>
  <c r="P218" i="4"/>
  <c r="P91" i="4"/>
  <c r="AJ108" i="5"/>
  <c r="CQ108" i="5" s="1"/>
  <c r="AJ333" i="5"/>
  <c r="CQ333" i="5" s="1"/>
  <c r="D38" i="5"/>
  <c r="CI38" i="5" s="1"/>
  <c r="BN67" i="5"/>
  <c r="CW67" i="5" s="1"/>
  <c r="S28" i="4"/>
  <c r="S320" i="4" s="1"/>
  <c r="AC344" i="4"/>
  <c r="AE395" i="5"/>
  <c r="CP395" i="5" s="1"/>
  <c r="AI433" i="5"/>
  <c r="AE354" i="5"/>
  <c r="CP354" i="5" s="1"/>
  <c r="BD237" i="5"/>
  <c r="CU237" i="5" s="1"/>
  <c r="U12" i="4"/>
  <c r="CL12" i="4" s="1"/>
  <c r="AT55" i="5"/>
  <c r="CS55" i="5" s="1"/>
  <c r="BM192" i="4"/>
  <c r="AO52" i="5"/>
  <c r="CR52" i="5" s="1"/>
  <c r="BB275" i="4"/>
  <c r="BI331" i="4"/>
  <c r="K121" i="4"/>
  <c r="CJ121" i="4" s="1"/>
  <c r="AJ398" i="5"/>
  <c r="CQ398" i="5" s="1"/>
  <c r="AR344" i="4"/>
  <c r="BI183" i="4"/>
  <c r="BD48" i="4"/>
  <c r="BD227" i="4"/>
  <c r="O333" i="4"/>
  <c r="P333" i="4" s="1"/>
  <c r="AO98" i="4"/>
  <c r="CP98" i="4" s="1"/>
  <c r="AZ441" i="5"/>
  <c r="BD66" i="4"/>
  <c r="CS66" i="4" s="1"/>
  <c r="BH34" i="4"/>
  <c r="AM398" i="5"/>
  <c r="AS21" i="5"/>
  <c r="AT224" i="5"/>
  <c r="BD241" i="5"/>
  <c r="CU241" i="5" s="1"/>
  <c r="AS363" i="5"/>
  <c r="CS393" i="5"/>
  <c r="BF192" i="4"/>
  <c r="B14" i="4"/>
  <c r="AQ192" i="4"/>
  <c r="AR333" i="4"/>
  <c r="N126" i="4"/>
  <c r="BI24" i="5"/>
  <c r="CV24" i="5" s="1"/>
  <c r="BK31" i="5"/>
  <c r="BD329" i="5"/>
  <c r="CU329" i="5" s="1"/>
  <c r="BD337" i="5"/>
  <c r="CU337" i="5" s="1"/>
  <c r="BI30" i="5"/>
  <c r="BI368" i="5" s="1"/>
  <c r="AW145" i="5"/>
  <c r="AY145" i="5" s="1"/>
  <c r="CT145" i="5" s="1"/>
  <c r="AZ248" i="5"/>
  <c r="BJ415" i="5"/>
  <c r="BG69" i="5"/>
  <c r="BN41" i="5"/>
  <c r="CW41" i="5" s="1"/>
  <c r="AQ41" i="5"/>
  <c r="AN398" i="5"/>
  <c r="G446" i="5"/>
  <c r="AO89" i="5"/>
  <c r="AO90" i="5" s="1"/>
  <c r="CR90" i="5" s="1"/>
  <c r="BA368" i="5"/>
  <c r="BD446" i="5"/>
  <c r="AJ446" i="5"/>
  <c r="AM344" i="4"/>
  <c r="W54" i="4"/>
  <c r="Y54" i="4" s="1"/>
  <c r="Z54" i="4" s="1"/>
  <c r="CM54" i="4" s="1"/>
  <c r="BI69" i="4"/>
  <c r="CT69" i="4" s="1"/>
  <c r="AT48" i="4"/>
  <c r="AJ82" i="4"/>
  <c r="BH173" i="5"/>
  <c r="X237" i="4"/>
  <c r="X239" i="4"/>
  <c r="AH395" i="5"/>
  <c r="BF43" i="5"/>
  <c r="AM333" i="4"/>
  <c r="Z91" i="4"/>
  <c r="G54" i="4"/>
  <c r="X228" i="4"/>
  <c r="AR302" i="4"/>
  <c r="AR303" i="4" s="1"/>
  <c r="BG282" i="4"/>
  <c r="AR381" i="5"/>
  <c r="AM381" i="5"/>
  <c r="AI199" i="4"/>
  <c r="Y210" i="4"/>
  <c r="Y231" i="4" s="1"/>
  <c r="Z195" i="4"/>
  <c r="K214" i="4"/>
  <c r="T192" i="4"/>
  <c r="AF192" i="4"/>
  <c r="U167" i="4"/>
  <c r="BH192" i="4"/>
  <c r="CH167" i="4"/>
  <c r="CH169" i="4" s="1"/>
  <c r="CH175" i="4" s="1"/>
  <c r="F9" i="5"/>
  <c r="CK9" i="5" s="1"/>
  <c r="O19" i="4"/>
  <c r="AM245" i="4"/>
  <c r="AM78" i="4" s="1"/>
  <c r="BA282" i="4"/>
  <c r="S295" i="4"/>
  <c r="S296" i="4" s="1"/>
  <c r="AT333" i="5"/>
  <c r="CS333" i="5" s="1"/>
  <c r="AO240" i="5"/>
  <c r="BK77" i="4"/>
  <c r="AE193" i="5"/>
  <c r="BK274" i="4"/>
  <c r="BK275" i="4" s="1"/>
  <c r="CS169" i="4"/>
  <c r="CS175" i="4" s="1"/>
  <c r="V22" i="4"/>
  <c r="BK104" i="4"/>
  <c r="BK344" i="4" s="1"/>
  <c r="CP97" i="4"/>
  <c r="CG183" i="4"/>
  <c r="D185" i="4"/>
  <c r="AR227" i="4"/>
  <c r="AH267" i="4"/>
  <c r="AI86" i="4"/>
  <c r="BC9" i="5"/>
  <c r="BC82" i="4"/>
  <c r="BC139" i="4" s="1"/>
  <c r="CX9" i="4"/>
  <c r="BY9" i="5"/>
  <c r="BY82" i="4"/>
  <c r="H21" i="4"/>
  <c r="R275" i="4"/>
  <c r="CN179" i="4"/>
  <c r="AE183" i="4"/>
  <c r="Y97" i="4"/>
  <c r="Y344" i="4" s="1"/>
  <c r="X231" i="4"/>
  <c r="X226" i="4"/>
  <c r="CF183" i="4"/>
  <c r="C185" i="4"/>
  <c r="CF185" i="4" s="1"/>
  <c r="AY90" i="4"/>
  <c r="CR90" i="4" s="1"/>
  <c r="AV267" i="4"/>
  <c r="AV268" i="4" s="1"/>
  <c r="AW86" i="4"/>
  <c r="BG120" i="4"/>
  <c r="BF126" i="4"/>
  <c r="BI312" i="4"/>
  <c r="BH311" i="4"/>
  <c r="BH313" i="4" s="1"/>
  <c r="BQ121" i="4"/>
  <c r="BR121" i="4" s="1"/>
  <c r="BI90" i="4"/>
  <c r="CT90" i="4" s="1"/>
  <c r="BC274" i="4"/>
  <c r="X242" i="4"/>
  <c r="X225" i="4"/>
  <c r="AH274" i="4"/>
  <c r="AI87" i="4"/>
  <c r="AI274" i="4" s="1"/>
  <c r="AI275" i="4" s="1"/>
  <c r="V192" i="4"/>
  <c r="V9" i="5"/>
  <c r="AD446" i="5"/>
  <c r="AD398" i="5"/>
  <c r="BA9" i="5"/>
  <c r="BA192" i="4"/>
  <c r="BA82" i="4"/>
  <c r="BA139" i="4" s="1"/>
  <c r="B21" i="4"/>
  <c r="B28" i="4" s="1"/>
  <c r="CE18" i="4"/>
  <c r="AT58" i="4"/>
  <c r="CQ58" i="4" s="1"/>
  <c r="AS148" i="5"/>
  <c r="O121" i="4"/>
  <c r="P121" i="4" s="1"/>
  <c r="CK121" i="4" s="1"/>
  <c r="N100" i="4"/>
  <c r="R344" i="4"/>
  <c r="S97" i="4"/>
  <c r="X84" i="4"/>
  <c r="AF24" i="4"/>
  <c r="AF228" i="4"/>
  <c r="AF225" i="4"/>
  <c r="AF240" i="4"/>
  <c r="AF239" i="4"/>
  <c r="AF243" i="4"/>
  <c r="AF241" i="4"/>
  <c r="AF37" i="4"/>
  <c r="AF253" i="4"/>
  <c r="AF237" i="4"/>
  <c r="AN77" i="4"/>
  <c r="AO36" i="4"/>
  <c r="CP36" i="4" s="1"/>
  <c r="AR110" i="4"/>
  <c r="AQ266" i="4"/>
  <c r="AW121" i="4"/>
  <c r="AX121" i="4" s="1"/>
  <c r="AV308" i="4"/>
  <c r="AV309" i="4" s="1"/>
  <c r="BH252" i="4"/>
  <c r="BH342" i="4" s="1"/>
  <c r="BI110" i="4"/>
  <c r="V304" i="4"/>
  <c r="V132" i="4"/>
  <c r="CS181" i="4"/>
  <c r="BD183" i="4"/>
  <c r="AE195" i="4"/>
  <c r="AD11" i="4"/>
  <c r="AD196" i="4"/>
  <c r="Z198" i="4"/>
  <c r="AE199" i="4" s="1"/>
  <c r="Y218" i="4"/>
  <c r="Y199" i="4"/>
  <c r="R211" i="4"/>
  <c r="W211" i="4"/>
  <c r="R231" i="4"/>
  <c r="X211" i="4"/>
  <c r="X221" i="4"/>
  <c r="AC211" i="4"/>
  <c r="T18" i="4"/>
  <c r="T215" i="4"/>
  <c r="U214" i="4"/>
  <c r="H230" i="4"/>
  <c r="H226" i="4" s="1"/>
  <c r="H221" i="4"/>
  <c r="AB221" i="4"/>
  <c r="AB230" i="4"/>
  <c r="AB222" i="4" s="1"/>
  <c r="H343" i="4"/>
  <c r="H295" i="4"/>
  <c r="K295" i="4" s="1"/>
  <c r="I119" i="4"/>
  <c r="H333" i="4"/>
  <c r="J104" i="4"/>
  <c r="U100" i="4"/>
  <c r="CL100" i="4" s="1"/>
  <c r="AY78" i="4"/>
  <c r="CR78" i="4" s="1"/>
  <c r="X21" i="4"/>
  <c r="CH34" i="4"/>
  <c r="C14" i="4"/>
  <c r="C237" i="4" s="1"/>
  <c r="AW296" i="4"/>
  <c r="AW343" i="4"/>
  <c r="BI113" i="4"/>
  <c r="CT113" i="4" s="1"/>
  <c r="BI169" i="4"/>
  <c r="BI175" i="4" s="1"/>
  <c r="BJ295" i="4"/>
  <c r="BH187" i="4"/>
  <c r="BH275" i="4"/>
  <c r="I21" i="4"/>
  <c r="I28" i="4" s="1"/>
  <c r="M14" i="4"/>
  <c r="M24" i="4" s="1"/>
  <c r="CE115" i="4"/>
  <c r="CE132" i="4" s="1"/>
  <c r="CE135" i="4" s="1"/>
  <c r="BK266" i="4"/>
  <c r="BL110" i="4"/>
  <c r="BM110" i="4" s="1"/>
  <c r="BK252" i="4"/>
  <c r="S14" i="4"/>
  <c r="S240" i="4" s="1"/>
  <c r="Z19" i="4"/>
  <c r="CM19" i="4" s="1"/>
  <c r="CM34" i="4"/>
  <c r="B12" i="6" s="1"/>
  <c r="R21" i="4"/>
  <c r="R22" i="4" s="1"/>
  <c r="M21" i="4"/>
  <c r="L132" i="4"/>
  <c r="R282" i="4"/>
  <c r="U183" i="4"/>
  <c r="AS245" i="4"/>
  <c r="Z281" i="4"/>
  <c r="BF302" i="4"/>
  <c r="BF303" i="4" s="1"/>
  <c r="BI119" i="4"/>
  <c r="BI302" i="4" s="1"/>
  <c r="BL333" i="4"/>
  <c r="BL302" i="4"/>
  <c r="BL303" i="4" s="1"/>
  <c r="BP182" i="4"/>
  <c r="BQ182" i="4" s="1"/>
  <c r="BR182" i="4" s="1"/>
  <c r="BS182" i="4" s="1"/>
  <c r="AL187" i="4"/>
  <c r="P281" i="4"/>
  <c r="BC282" i="4"/>
  <c r="BI293" i="4"/>
  <c r="R295" i="4"/>
  <c r="AN34" i="4"/>
  <c r="AO34" i="4" s="1"/>
  <c r="CP34" i="4" s="1"/>
  <c r="E12" i="6" s="1"/>
  <c r="BL121" i="4"/>
  <c r="BM121" i="4" s="1"/>
  <c r="BM308" i="4" s="1"/>
  <c r="BK308" i="4"/>
  <c r="BK310" i="4" s="1"/>
  <c r="B221" i="4"/>
  <c r="D78" i="4"/>
  <c r="CG78" i="4" s="1"/>
  <c r="AG282" i="4"/>
  <c r="AB295" i="4"/>
  <c r="BK267" i="4"/>
  <c r="BL86" i="4"/>
  <c r="BL267" i="4" s="1"/>
  <c r="AQ307" i="5"/>
  <c r="AU222" i="4"/>
  <c r="AU233" i="4"/>
  <c r="AU232" i="4" s="1"/>
  <c r="AU224" i="4"/>
  <c r="BL125" i="5"/>
  <c r="BL126" i="5" s="1"/>
  <c r="AD173" i="5"/>
  <c r="AD35" i="5"/>
  <c r="AD355" i="5"/>
  <c r="AD368" i="5"/>
  <c r="BL210" i="4"/>
  <c r="BL221" i="4" s="1"/>
  <c r="BQ221" i="4" s="1"/>
  <c r="BV221" i="4" s="1"/>
  <c r="AJ354" i="5"/>
  <c r="CQ354" i="5" s="1"/>
  <c r="AJ353" i="5"/>
  <c r="CQ353" i="5" s="1"/>
  <c r="CQ20" i="5"/>
  <c r="AZ173" i="5"/>
  <c r="AT145" i="5"/>
  <c r="CS145" i="5" s="1"/>
  <c r="CV42" i="5"/>
  <c r="BB394" i="5"/>
  <c r="BD393" i="5"/>
  <c r="BD262" i="5"/>
  <c r="CU262" i="5" s="1"/>
  <c r="BD19" i="5"/>
  <c r="CU19" i="5" s="1"/>
  <c r="CU18" i="5"/>
  <c r="AY406" i="5"/>
  <c r="CT406" i="5" s="1"/>
  <c r="AU415" i="5"/>
  <c r="AU421" i="5" s="1"/>
  <c r="AU406" i="5"/>
  <c r="AU414" i="5"/>
  <c r="AT414" i="5"/>
  <c r="CS414" i="5" s="1"/>
  <c r="CS413" i="5"/>
  <c r="AJ262" i="5"/>
  <c r="CQ262" i="5" s="1"/>
  <c r="BI225" i="5"/>
  <c r="BI95" i="5"/>
  <c r="AY245" i="5"/>
  <c r="CT245" i="5" s="1"/>
  <c r="BD236" i="5"/>
  <c r="CU236" i="5" s="1"/>
  <c r="CT235" i="5"/>
  <c r="AJ206" i="4"/>
  <c r="AJ349" i="5"/>
  <c r="CQ349" i="5" s="1"/>
  <c r="AP225" i="5"/>
  <c r="BI90" i="5"/>
  <c r="CV90" i="5" s="1"/>
  <c r="AU229" i="5"/>
  <c r="CR89" i="5"/>
  <c r="BH322" i="5"/>
  <c r="BC426" i="5"/>
  <c r="BC427" i="5" s="1"/>
  <c r="BC228" i="5"/>
  <c r="BC98" i="5"/>
  <c r="BC99" i="5" s="1"/>
  <c r="BC117" i="5"/>
  <c r="BS22" i="5"/>
  <c r="CX22" i="5" s="1"/>
  <c r="BI141" i="5"/>
  <c r="BF210" i="4"/>
  <c r="BF221" i="4" s="1"/>
  <c r="CV427" i="5"/>
  <c r="BJ411" i="5"/>
  <c r="BJ412" i="5" s="1"/>
  <c r="BB197" i="5"/>
  <c r="BD141" i="5"/>
  <c r="AN367" i="5"/>
  <c r="BD375" i="5"/>
  <c r="AS415" i="5"/>
  <c r="AS421" i="5" s="1"/>
  <c r="AS427" i="5" s="1"/>
  <c r="AS307" i="5" s="1"/>
  <c r="BI447" i="5"/>
  <c r="AW210" i="4"/>
  <c r="AW14" i="4" s="1"/>
  <c r="AW228" i="4" s="1"/>
  <c r="BA225" i="5"/>
  <c r="BK437" i="5"/>
  <c r="BD81" i="5"/>
  <c r="CU81" i="5" s="1"/>
  <c r="BD30" i="5"/>
  <c r="CU12" i="5"/>
  <c r="BI72" i="5"/>
  <c r="CV72" i="5" s="1"/>
  <c r="AY447" i="5"/>
  <c r="BA210" i="4"/>
  <c r="CM125" i="5"/>
  <c r="BE55" i="5"/>
  <c r="D126" i="5"/>
  <c r="CI126" i="5" s="1"/>
  <c r="AZ55" i="5"/>
  <c r="P126" i="5"/>
  <c r="CM126" i="5" s="1"/>
  <c r="BL55" i="5"/>
  <c r="BD48" i="5"/>
  <c r="CU48" i="5" s="1"/>
  <c r="AZ104" i="5"/>
  <c r="AZ105" i="5" s="1"/>
  <c r="BJ69" i="5"/>
  <c r="BJ75" i="5" s="1"/>
  <c r="BF449" i="5"/>
  <c r="BF450" i="5" s="1"/>
  <c r="AZ47" i="5"/>
  <c r="BG125" i="5"/>
  <c r="CU46" i="5"/>
  <c r="BI46" i="5"/>
  <c r="CV46" i="5" s="1"/>
  <c r="BD47" i="5"/>
  <c r="CU47" i="5" s="1"/>
  <c r="BJ47" i="5"/>
  <c r="BH47" i="5"/>
  <c r="BR367" i="5"/>
  <c r="BW367" i="5" s="1"/>
  <c r="BW21" i="5" s="1"/>
  <c r="BN315" i="4"/>
  <c r="BQ315" i="4" s="1"/>
  <c r="BR315" i="4" s="1"/>
  <c r="BS315" i="4" s="1"/>
  <c r="BT315" i="4" s="1"/>
  <c r="BU315" i="4" s="1"/>
  <c r="BV315" i="4" s="1"/>
  <c r="BW315" i="4" s="1"/>
  <c r="BX315" i="4" s="1"/>
  <c r="BY315" i="4" s="1"/>
  <c r="BZ315" i="4" s="1"/>
  <c r="CA315" i="4" s="1"/>
  <c r="AY367" i="5"/>
  <c r="AZ376" i="5"/>
  <c r="AU21" i="5"/>
  <c r="AZ369" i="5"/>
  <c r="BD103" i="5"/>
  <c r="CU103" i="5" s="1"/>
  <c r="BL48" i="5"/>
  <c r="AX362" i="5"/>
  <c r="AX22" i="5"/>
  <c r="AC35" i="5"/>
  <c r="AC173" i="5"/>
  <c r="AC355" i="5"/>
  <c r="AH38" i="5"/>
  <c r="AC368" i="5"/>
  <c r="AO16" i="5"/>
  <c r="AZ362" i="5"/>
  <c r="AZ22" i="5"/>
  <c r="BE14" i="4"/>
  <c r="AP246" i="5"/>
  <c r="AP368" i="5"/>
  <c r="AP173" i="5"/>
  <c r="AP355" i="5"/>
  <c r="AN37" i="5"/>
  <c r="AN210" i="4"/>
  <c r="AC367" i="5"/>
  <c r="AM367" i="5"/>
  <c r="BL51" i="5"/>
  <c r="BL69" i="5"/>
  <c r="BL37" i="5"/>
  <c r="BL38" i="5" s="1"/>
  <c r="BL31" i="5"/>
  <c r="F28" i="4"/>
  <c r="F30" i="4" s="1"/>
  <c r="F22" i="4"/>
  <c r="CI22" i="4" s="1"/>
  <c r="AD345" i="4"/>
  <c r="AI78" i="4"/>
  <c r="AR246" i="4"/>
  <c r="AR245" i="4" s="1"/>
  <c r="AR78" i="4" s="1"/>
  <c r="AQ245" i="4"/>
  <c r="AQ78" i="4" s="1"/>
  <c r="W48" i="4"/>
  <c r="W345" i="4" s="1"/>
  <c r="Y345" i="4" s="1"/>
  <c r="Y47" i="4"/>
  <c r="Y48" i="4" s="1"/>
  <c r="L54" i="4"/>
  <c r="O54" i="4" s="1"/>
  <c r="P54" i="4" s="1"/>
  <c r="CK54" i="4" s="1"/>
  <c r="L47" i="4"/>
  <c r="L78" i="4"/>
  <c r="CU164" i="4"/>
  <c r="BP164" i="4"/>
  <c r="BQ164" i="4" s="1"/>
  <c r="BR164" i="4" s="1"/>
  <c r="BS164" i="4" s="1"/>
  <c r="BT164" i="4" s="1"/>
  <c r="BU164" i="4" s="1"/>
  <c r="BV164" i="4" s="1"/>
  <c r="BW164" i="4" s="1"/>
  <c r="BX164" i="4" s="1"/>
  <c r="BN171" i="4"/>
  <c r="BN294" i="4" s="1"/>
  <c r="BO295" i="4" s="1"/>
  <c r="BO296" i="4" s="1"/>
  <c r="BP296" i="4" s="1"/>
  <c r="BL69" i="4"/>
  <c r="I57" i="6"/>
  <c r="I48" i="6" s="1"/>
  <c r="I79" i="6"/>
  <c r="BY422" i="5"/>
  <c r="BM309" i="5"/>
  <c r="BR324" i="5"/>
  <c r="BL169" i="4"/>
  <c r="BL175" i="4" s="1"/>
  <c r="BL137" i="5"/>
  <c r="AZ131" i="5"/>
  <c r="AP369" i="5"/>
  <c r="CV403" i="5"/>
  <c r="BJ403" i="5"/>
  <c r="BK403" i="5" s="1"/>
  <c r="BL403" i="5" s="1"/>
  <c r="BM403" i="5" s="1"/>
  <c r="BN403" i="5" s="1"/>
  <c r="CW403" i="5" s="1"/>
  <c r="AV222" i="4"/>
  <c r="AV233" i="4"/>
  <c r="AV232" i="4" s="1"/>
  <c r="AV224" i="4"/>
  <c r="AR222" i="4"/>
  <c r="AR224" i="4"/>
  <c r="BM73" i="5"/>
  <c r="BR71" i="5"/>
  <c r="BJ238" i="4"/>
  <c r="CS113" i="4"/>
  <c r="AN266" i="4"/>
  <c r="BF426" i="5"/>
  <c r="AN115" i="4"/>
  <c r="AO109" i="4"/>
  <c r="BP155" i="4"/>
  <c r="BQ155" i="4" s="1"/>
  <c r="BR155" i="4" s="1"/>
  <c r="BS155" i="4" s="1"/>
  <c r="BT155" i="4" s="1"/>
  <c r="BU155" i="4" s="1"/>
  <c r="BV155" i="4" s="1"/>
  <c r="BW155" i="4" s="1"/>
  <c r="BX155" i="4" s="1"/>
  <c r="CU155" i="4"/>
  <c r="H446" i="5"/>
  <c r="T446" i="5"/>
  <c r="T41" i="5"/>
  <c r="T398" i="5"/>
  <c r="CP9" i="5"/>
  <c r="AE446" i="5"/>
  <c r="AE398" i="5"/>
  <c r="CP398" i="5" s="1"/>
  <c r="AE41" i="5"/>
  <c r="CP41" i="5" s="1"/>
  <c r="J78" i="4"/>
  <c r="K77" i="4"/>
  <c r="CJ77" i="4" s="1"/>
  <c r="I22" i="4"/>
  <c r="W242" i="4"/>
  <c r="W243" i="4"/>
  <c r="W37" i="4"/>
  <c r="P312" i="4"/>
  <c r="CK66" i="4"/>
  <c r="AM38" i="5"/>
  <c r="AN222" i="4"/>
  <c r="AW233" i="4"/>
  <c r="AW232" i="4" s="1"/>
  <c r="AW222" i="4"/>
  <c r="AW224" i="4"/>
  <c r="CU402" i="5"/>
  <c r="BE402" i="5"/>
  <c r="BF402" i="5" s="1"/>
  <c r="BG402" i="5" s="1"/>
  <c r="BH402" i="5" s="1"/>
  <c r="BI402" i="5" s="1"/>
  <c r="AA173" i="5"/>
  <c r="BN173" i="4"/>
  <c r="BH303" i="4"/>
  <c r="CO99" i="4"/>
  <c r="BH412" i="5"/>
  <c r="BP178" i="4"/>
  <c r="BQ178" i="4" s="1"/>
  <c r="BR178" i="4" s="1"/>
  <c r="BS178" i="4" s="1"/>
  <c r="BT178" i="4" s="1"/>
  <c r="BU178" i="4" s="1"/>
  <c r="BV178" i="4" s="1"/>
  <c r="BW178" i="4" s="1"/>
  <c r="BX178" i="4" s="1"/>
  <c r="CU178" i="4"/>
  <c r="AT119" i="4"/>
  <c r="AS333" i="4"/>
  <c r="AS302" i="4"/>
  <c r="AI227" i="4"/>
  <c r="AJ91" i="4"/>
  <c r="CO91" i="4" s="1"/>
  <c r="AY100" i="4"/>
  <c r="BP181" i="4"/>
  <c r="BQ181" i="4" s="1"/>
  <c r="BR181" i="4" s="1"/>
  <c r="BS181" i="4" s="1"/>
  <c r="BT181" i="4" s="1"/>
  <c r="BU181" i="4" s="1"/>
  <c r="BV181" i="4" s="1"/>
  <c r="BW181" i="4" s="1"/>
  <c r="BX181" i="4" s="1"/>
  <c r="CU181" i="4"/>
  <c r="AF446" i="5"/>
  <c r="AF398" i="5"/>
  <c r="AF41" i="5"/>
  <c r="BK41" i="5"/>
  <c r="BK446" i="5"/>
  <c r="BK78" i="5"/>
  <c r="BK153" i="5" s="1"/>
  <c r="BK398" i="5"/>
  <c r="BX41" i="5"/>
  <c r="CY41" i="5" s="1"/>
  <c r="CY398" i="5"/>
  <c r="CY9" i="5"/>
  <c r="X28" i="4"/>
  <c r="X22" i="4"/>
  <c r="CN46" i="4"/>
  <c r="AE48" i="4"/>
  <c r="C311" i="4"/>
  <c r="D311" i="4"/>
  <c r="BE151" i="4"/>
  <c r="CS151" i="4"/>
  <c r="AV307" i="5"/>
  <c r="AX222" i="4"/>
  <c r="CM99" i="4"/>
  <c r="U113" i="4"/>
  <c r="CU143" i="4"/>
  <c r="CU172" i="4"/>
  <c r="BE125" i="5"/>
  <c r="BE123" i="5"/>
  <c r="P120" i="4"/>
  <c r="CU151" i="4"/>
  <c r="BO151" i="4"/>
  <c r="BP151" i="4" s="1"/>
  <c r="BQ151" i="4" s="1"/>
  <c r="BR151" i="4" s="1"/>
  <c r="BS151" i="4" s="1"/>
  <c r="BT151" i="4" s="1"/>
  <c r="BU151" i="4" s="1"/>
  <c r="BV151" i="4" s="1"/>
  <c r="BW151" i="4" s="1"/>
  <c r="BX151" i="4" s="1"/>
  <c r="J41" i="5"/>
  <c r="J398" i="5"/>
  <c r="J446" i="5"/>
  <c r="Y446" i="5"/>
  <c r="Y398" i="5"/>
  <c r="Y41" i="5"/>
  <c r="Q28" i="4"/>
  <c r="CK35" i="4"/>
  <c r="T78" i="4"/>
  <c r="U77" i="4"/>
  <c r="CL77" i="4" s="1"/>
  <c r="AH173" i="5"/>
  <c r="AH35" i="5"/>
  <c r="AH355" i="5"/>
  <c r="K112" i="4"/>
  <c r="CJ97" i="4"/>
  <c r="BD97" i="4"/>
  <c r="BD36" i="4"/>
  <c r="CS36" i="4" s="1"/>
  <c r="CF48" i="4"/>
  <c r="C345" i="4"/>
  <c r="BP176" i="4"/>
  <c r="BQ176" i="4" s="1"/>
  <c r="BR176" i="4" s="1"/>
  <c r="BS176" i="4" s="1"/>
  <c r="BT176" i="4" s="1"/>
  <c r="BU176" i="4" s="1"/>
  <c r="BV176" i="4" s="1"/>
  <c r="BW176" i="4" s="1"/>
  <c r="BX176" i="4" s="1"/>
  <c r="CU176" i="4"/>
  <c r="Y24" i="4"/>
  <c r="AK446" i="5"/>
  <c r="BM398" i="5"/>
  <c r="BM78" i="5"/>
  <c r="BM153" i="5" s="1"/>
  <c r="BM446" i="5"/>
  <c r="BM41" i="5"/>
  <c r="CY82" i="4"/>
  <c r="BZ139" i="4"/>
  <c r="CY139" i="4" s="1"/>
  <c r="I225" i="4"/>
  <c r="I240" i="4"/>
  <c r="I241" i="4"/>
  <c r="I37" i="4"/>
  <c r="I243" i="4"/>
  <c r="M236" i="4"/>
  <c r="AC236" i="4"/>
  <c r="CM66" i="4"/>
  <c r="Z312" i="4"/>
  <c r="H273" i="4"/>
  <c r="H275" i="4" s="1"/>
  <c r="G275" i="4"/>
  <c r="N273" i="4"/>
  <c r="M275" i="4"/>
  <c r="BI100" i="4"/>
  <c r="AH31" i="5"/>
  <c r="BF187" i="4"/>
  <c r="AD102" i="4"/>
  <c r="AE102" i="4" s="1"/>
  <c r="CN102" i="4" s="1"/>
  <c r="AE98" i="4"/>
  <c r="AO110" i="4"/>
  <c r="AT99" i="4"/>
  <c r="AX91" i="4"/>
  <c r="O86" i="4"/>
  <c r="AO89" i="4"/>
  <c r="CP89" i="4" s="1"/>
  <c r="AT103" i="4"/>
  <c r="CQ103" i="4" s="1"/>
  <c r="AT122" i="4"/>
  <c r="CQ122" i="4" s="1"/>
  <c r="BI198" i="5"/>
  <c r="BZ145" i="4"/>
  <c r="X110" i="4"/>
  <c r="W115" i="4"/>
  <c r="Z131" i="5"/>
  <c r="AL352" i="5"/>
  <c r="BB100" i="4"/>
  <c r="BI193" i="5"/>
  <c r="C169" i="4"/>
  <c r="C175" i="4" s="1"/>
  <c r="BQ27" i="5"/>
  <c r="BA320" i="4"/>
  <c r="BE320" i="4"/>
  <c r="BR94" i="5"/>
  <c r="BP67" i="5"/>
  <c r="BQ67" i="5" s="1"/>
  <c r="BR67" i="5" s="1"/>
  <c r="BO209" i="4"/>
  <c r="BP25" i="5"/>
  <c r="BQ324" i="5"/>
  <c r="BV324" i="5" s="1"/>
  <c r="BL309" i="5"/>
  <c r="BN324" i="5"/>
  <c r="BL376" i="5"/>
  <c r="BL359" i="5"/>
  <c r="BN367" i="5"/>
  <c r="BQ367" i="5"/>
  <c r="BV367" i="5" s="1"/>
  <c r="BV21" i="5" s="1"/>
  <c r="L82" i="8"/>
  <c r="BJ24" i="4" l="1"/>
  <c r="BJ22" i="4"/>
  <c r="BJ239" i="4"/>
  <c r="BE322" i="5"/>
  <c r="AU376" i="5"/>
  <c r="CR71" i="5"/>
  <c r="BS398" i="5"/>
  <c r="CX398" i="5" s="1"/>
  <c r="AO30" i="5"/>
  <c r="BD51" i="5"/>
  <c r="CU51" i="5" s="1"/>
  <c r="BJ221" i="4"/>
  <c r="AT349" i="5"/>
  <c r="CS349" i="5" s="1"/>
  <c r="AS412" i="5"/>
  <c r="AS416" i="5" s="1"/>
  <c r="AP213" i="5"/>
  <c r="AP214" i="5" s="1"/>
  <c r="BJ242" i="4"/>
  <c r="AO56" i="5"/>
  <c r="CR56" i="5" s="1"/>
  <c r="AL125" i="5"/>
  <c r="AL131" i="5" s="1"/>
  <c r="CX9" i="5"/>
  <c r="AO205" i="4"/>
  <c r="BD52" i="5"/>
  <c r="CU52" i="5" s="1"/>
  <c r="CS385" i="5"/>
  <c r="BD248" i="5"/>
  <c r="CU248" i="5" s="1"/>
  <c r="BJ37" i="4"/>
  <c r="BJ243" i="4"/>
  <c r="AO382" i="5"/>
  <c r="CR382" i="5" s="1"/>
  <c r="AY386" i="5"/>
  <c r="CT386" i="5" s="1"/>
  <c r="CR21" i="5"/>
  <c r="AO116" i="5"/>
  <c r="AO117" i="5" s="1"/>
  <c r="CR117" i="5" s="1"/>
  <c r="BG246" i="5"/>
  <c r="AO391" i="5"/>
  <c r="CR391" i="5" s="1"/>
  <c r="AZ204" i="5"/>
  <c r="AA35" i="5"/>
  <c r="AM173" i="5"/>
  <c r="AJ367" i="5"/>
  <c r="AJ369" i="5" s="1"/>
  <c r="CQ369" i="5" s="1"/>
  <c r="AA355" i="5"/>
  <c r="AQ17" i="5"/>
  <c r="AM126" i="5"/>
  <c r="AF38" i="5"/>
  <c r="AR125" i="5"/>
  <c r="AR131" i="5" s="1"/>
  <c r="BV91" i="5"/>
  <c r="BV93" i="5"/>
  <c r="BV90" i="5"/>
  <c r="BQ91" i="5"/>
  <c r="BU91" i="5"/>
  <c r="BU93" i="5"/>
  <c r="BU90" i="5"/>
  <c r="BY92" i="5"/>
  <c r="BY91" i="5" s="1"/>
  <c r="BX21" i="5"/>
  <c r="BX205" i="4" s="1"/>
  <c r="BP205" i="4"/>
  <c r="Z230" i="4"/>
  <c r="Z222" i="4" s="1"/>
  <c r="BT77" i="4"/>
  <c r="BT87" i="4"/>
  <c r="BU87" i="4"/>
  <c r="BU274" i="4" s="1"/>
  <c r="BU77" i="4"/>
  <c r="BV77" i="4"/>
  <c r="BV87" i="4"/>
  <c r="BV274" i="4" s="1"/>
  <c r="I52" i="6"/>
  <c r="I53" i="6" s="1"/>
  <c r="BQ296" i="4"/>
  <c r="BR296" i="4" s="1"/>
  <c r="BW36" i="4"/>
  <c r="BW205" i="4"/>
  <c r="BV205" i="4"/>
  <c r="BU24" i="5"/>
  <c r="AP221" i="4"/>
  <c r="AQ368" i="5"/>
  <c r="AP14" i="4"/>
  <c r="AP209" i="5"/>
  <c r="AR17" i="5"/>
  <c r="AF369" i="5"/>
  <c r="AI173" i="5"/>
  <c r="AQ355" i="5"/>
  <c r="BG14" i="4"/>
  <c r="BG39" i="4" s="1"/>
  <c r="AH37" i="4"/>
  <c r="S37" i="4"/>
  <c r="CV182" i="4"/>
  <c r="BT182" i="4"/>
  <c r="BU182" i="4" s="1"/>
  <c r="BV182" i="4" s="1"/>
  <c r="BW182" i="4" s="1"/>
  <c r="BX182" i="4" s="1"/>
  <c r="BO24" i="5"/>
  <c r="BO117" i="5"/>
  <c r="BO119" i="5" s="1"/>
  <c r="BS94" i="5"/>
  <c r="BT94" i="5"/>
  <c r="BS85" i="5"/>
  <c r="CX85" i="5" s="1"/>
  <c r="BT85" i="5"/>
  <c r="P78" i="4"/>
  <c r="CK78" i="4" s="1"/>
  <c r="Y78" i="4"/>
  <c r="BQ209" i="5"/>
  <c r="BV205" i="5"/>
  <c r="BV209" i="5" s="1"/>
  <c r="BW310" i="5"/>
  <c r="BX367" i="5"/>
  <c r="BV310" i="5"/>
  <c r="BT310" i="5"/>
  <c r="BX435" i="5"/>
  <c r="BT309" i="5"/>
  <c r="BU309" i="5"/>
  <c r="BV309" i="5"/>
  <c r="BR309" i="5"/>
  <c r="BW324" i="5"/>
  <c r="AK398" i="5"/>
  <c r="BJ237" i="4"/>
  <c r="BJ240" i="4"/>
  <c r="BJ241" i="4"/>
  <c r="AL369" i="5"/>
  <c r="AE37" i="5"/>
  <c r="AE173" i="5" s="1"/>
  <c r="CP173" i="5" s="1"/>
  <c r="AX210" i="4"/>
  <c r="AX231" i="4" s="1"/>
  <c r="AU248" i="5"/>
  <c r="AY153" i="5"/>
  <c r="CT153" i="5" s="1"/>
  <c r="AO412" i="5"/>
  <c r="CR412" i="5" s="1"/>
  <c r="AX435" i="5"/>
  <c r="AX310" i="5" s="1"/>
  <c r="AX312" i="5" s="1"/>
  <c r="AQ38" i="5"/>
  <c r="BF446" i="5"/>
  <c r="AQ246" i="5"/>
  <c r="BJ39" i="4"/>
  <c r="AL224" i="4"/>
  <c r="BJ253" i="4"/>
  <c r="BJ236" i="4"/>
  <c r="AH369" i="5"/>
  <c r="BJ15" i="4"/>
  <c r="AU213" i="5"/>
  <c r="AU216" i="5" s="1"/>
  <c r="BC437" i="5"/>
  <c r="BC442" i="5" s="1"/>
  <c r="AQ435" i="5"/>
  <c r="AQ437" i="5" s="1"/>
  <c r="BK322" i="5"/>
  <c r="AP226" i="4"/>
  <c r="BF440" i="5"/>
  <c r="AB173" i="5"/>
  <c r="BF441" i="5"/>
  <c r="AS229" i="5"/>
  <c r="BO205" i="4"/>
  <c r="AC37" i="4"/>
  <c r="H398" i="5"/>
  <c r="AJ66" i="4"/>
  <c r="CO66" i="4" s="1"/>
  <c r="N31" i="4"/>
  <c r="AG30" i="4"/>
  <c r="AG341" i="4" s="1"/>
  <c r="AL210" i="4"/>
  <c r="AL231" i="4" s="1"/>
  <c r="N236" i="4"/>
  <c r="N243" i="4"/>
  <c r="V37" i="4"/>
  <c r="V228" i="4"/>
  <c r="AG39" i="4"/>
  <c r="BS139" i="4"/>
  <c r="CV139" i="4" s="1"/>
  <c r="AR210" i="4"/>
  <c r="AR14" i="4" s="1"/>
  <c r="AR239" i="4" s="1"/>
  <c r="BI210" i="4"/>
  <c r="BI221" i="4" s="1"/>
  <c r="CW139" i="4"/>
  <c r="CW82" i="4"/>
  <c r="C225" i="4"/>
  <c r="S238" i="4"/>
  <c r="AE21" i="4"/>
  <c r="BP24" i="5"/>
  <c r="AG446" i="5"/>
  <c r="N228" i="4"/>
  <c r="AD21" i="4"/>
  <c r="AD28" i="4" s="1"/>
  <c r="AG41" i="5"/>
  <c r="N241" i="4"/>
  <c r="N24" i="4"/>
  <c r="V24" i="4"/>
  <c r="V237" i="4"/>
  <c r="V242" i="4"/>
  <c r="BH14" i="4"/>
  <c r="BH22" i="4" s="1"/>
  <c r="BJ78" i="5"/>
  <c r="BJ153" i="5" s="1"/>
  <c r="K21" i="4"/>
  <c r="CJ21" i="4" s="1"/>
  <c r="BG446" i="5"/>
  <c r="BF398" i="5"/>
  <c r="BF41" i="5"/>
  <c r="AC243" i="4"/>
  <c r="S239" i="4"/>
  <c r="BD124" i="4"/>
  <c r="AT139" i="4"/>
  <c r="CQ139" i="4" s="1"/>
  <c r="N225" i="4"/>
  <c r="N240" i="4"/>
  <c r="N242" i="4"/>
  <c r="V253" i="4"/>
  <c r="AA15" i="4"/>
  <c r="V241" i="4"/>
  <c r="AO311" i="4"/>
  <c r="BA126" i="4"/>
  <c r="I238" i="4"/>
  <c r="I237" i="4"/>
  <c r="BR21" i="5"/>
  <c r="BF211" i="4"/>
  <c r="AB37" i="4"/>
  <c r="AB237" i="4"/>
  <c r="CF106" i="4"/>
  <c r="M446" i="5"/>
  <c r="AY41" i="5"/>
  <c r="CT41" i="5" s="1"/>
  <c r="C187" i="4"/>
  <c r="I242" i="4"/>
  <c r="I236" i="4"/>
  <c r="O221" i="4"/>
  <c r="P295" i="4"/>
  <c r="BE216" i="5"/>
  <c r="CJ175" i="4"/>
  <c r="BS94" i="4"/>
  <c r="CV94" i="4" s="1"/>
  <c r="BL131" i="5"/>
  <c r="AW450" i="5"/>
  <c r="AW435" i="5"/>
  <c r="AW437" i="5" s="1"/>
  <c r="AW443" i="5" s="1"/>
  <c r="AW307" i="5"/>
  <c r="BQ93" i="5"/>
  <c r="BL211" i="4"/>
  <c r="E311" i="4"/>
  <c r="P34" i="4"/>
  <c r="AX224" i="4"/>
  <c r="AX226" i="4" s="1"/>
  <c r="AM368" i="5"/>
  <c r="W239" i="4"/>
  <c r="W237" i="4"/>
  <c r="W225" i="4"/>
  <c r="W15" i="4"/>
  <c r="BH267" i="4"/>
  <c r="BN71" i="5"/>
  <c r="CW71" i="5" s="1"/>
  <c r="Z274" i="4"/>
  <c r="AP205" i="5"/>
  <c r="AJ78" i="4"/>
  <c r="CO78" i="4" s="1"/>
  <c r="BB125" i="5"/>
  <c r="BB126" i="5" s="1"/>
  <c r="BD449" i="5"/>
  <c r="AY421" i="5"/>
  <c r="CT421" i="5" s="1"/>
  <c r="M106" i="4"/>
  <c r="BG126" i="4"/>
  <c r="F253" i="4"/>
  <c r="AI31" i="5"/>
  <c r="BH440" i="5"/>
  <c r="BE209" i="5"/>
  <c r="AS126" i="4"/>
  <c r="M398" i="5"/>
  <c r="BF209" i="5"/>
  <c r="AT203" i="5"/>
  <c r="AY295" i="4"/>
  <c r="CK187" i="4"/>
  <c r="L22" i="4"/>
  <c r="N231" i="4"/>
  <c r="E275" i="4"/>
  <c r="J14" i="4"/>
  <c r="CT9" i="5"/>
  <c r="BM102" i="4"/>
  <c r="BN102" i="4" s="1"/>
  <c r="CU102" i="4" s="1"/>
  <c r="BG398" i="5"/>
  <c r="BG78" i="5"/>
  <c r="BG153" i="5" s="1"/>
  <c r="CY77" i="4"/>
  <c r="BZ141" i="5"/>
  <c r="BQ90" i="5"/>
  <c r="AW231" i="4"/>
  <c r="AM355" i="5"/>
  <c r="AB15" i="4"/>
  <c r="W236" i="4"/>
  <c r="W240" i="4"/>
  <c r="W238" i="4"/>
  <c r="AX275" i="4"/>
  <c r="AP226" i="5"/>
  <c r="BL14" i="4"/>
  <c r="AN31" i="5"/>
  <c r="BD113" i="5"/>
  <c r="BD114" i="5" s="1"/>
  <c r="AK224" i="4"/>
  <c r="AK226" i="4" s="1"/>
  <c r="AI35" i="5"/>
  <c r="AJ295" i="4"/>
  <c r="BI48" i="4"/>
  <c r="BH441" i="5"/>
  <c r="AK17" i="5"/>
  <c r="AE16" i="5"/>
  <c r="CP16" i="5" s="1"/>
  <c r="CT54" i="5"/>
  <c r="BC214" i="5"/>
  <c r="BJ216" i="5"/>
  <c r="I78" i="4"/>
  <c r="K78" i="4" s="1"/>
  <c r="CJ78" i="4" s="1"/>
  <c r="BQ71" i="5"/>
  <c r="BQ73" i="5" s="1"/>
  <c r="AC39" i="4"/>
  <c r="L225" i="4"/>
  <c r="X398" i="5"/>
  <c r="BB34" i="4"/>
  <c r="P187" i="4"/>
  <c r="J226" i="4"/>
  <c r="AY446" i="5"/>
  <c r="BB398" i="5"/>
  <c r="F237" i="4"/>
  <c r="F37" i="4"/>
  <c r="CI37" i="4" s="1"/>
  <c r="CI14" i="4"/>
  <c r="F242" i="4"/>
  <c r="CN66" i="4"/>
  <c r="AE312" i="4"/>
  <c r="BQ133" i="5"/>
  <c r="BQ83" i="5" s="1"/>
  <c r="BV83" i="5" s="1"/>
  <c r="CX136" i="5"/>
  <c r="W241" i="4"/>
  <c r="W24" i="4"/>
  <c r="W253" i="4"/>
  <c r="W228" i="4"/>
  <c r="AP230" i="5"/>
  <c r="AT353" i="5"/>
  <c r="CS353" i="5" s="1"/>
  <c r="AG347" i="4"/>
  <c r="BE205" i="5"/>
  <c r="CQ42" i="5"/>
  <c r="BE214" i="5"/>
  <c r="BI77" i="4"/>
  <c r="AM31" i="5"/>
  <c r="BC266" i="4"/>
  <c r="BD266" i="4" s="1"/>
  <c r="BD98" i="5"/>
  <c r="BD99" i="5" s="1"/>
  <c r="CU99" i="5" s="1"/>
  <c r="AF222" i="4"/>
  <c r="I47" i="4"/>
  <c r="I48" i="4" s="1"/>
  <c r="I345" i="4" s="1"/>
  <c r="L240" i="4"/>
  <c r="AH126" i="4"/>
  <c r="CO175" i="4"/>
  <c r="P199" i="4"/>
  <c r="AX233" i="4"/>
  <c r="AX232" i="4" s="1"/>
  <c r="AG17" i="5"/>
  <c r="BB446" i="5"/>
  <c r="K34" i="4"/>
  <c r="AY398" i="5"/>
  <c r="CT398" i="5" s="1"/>
  <c r="AJ387" i="5"/>
  <c r="CQ387" i="5" s="1"/>
  <c r="S54" i="4"/>
  <c r="T54" i="4" s="1"/>
  <c r="U54" i="4" s="1"/>
  <c r="CL54" i="4" s="1"/>
  <c r="S78" i="4"/>
  <c r="S47" i="4"/>
  <c r="S48" i="4" s="1"/>
  <c r="S345" i="4" s="1"/>
  <c r="CR9" i="5"/>
  <c r="AO398" i="5"/>
  <c r="CR398" i="5" s="1"/>
  <c r="AY48" i="4"/>
  <c r="CZ87" i="4"/>
  <c r="CA274" i="4"/>
  <c r="BL209" i="5"/>
  <c r="BM87" i="4"/>
  <c r="BM274" i="4" s="1"/>
  <c r="BM275" i="4" s="1"/>
  <c r="CV164" i="4"/>
  <c r="AG31" i="4"/>
  <c r="CA78" i="4"/>
  <c r="CZ78" i="4" s="1"/>
  <c r="CZ77" i="4"/>
  <c r="CA141" i="5"/>
  <c r="BJ421" i="5"/>
  <c r="BJ426" i="5" s="1"/>
  <c r="BH421" i="5"/>
  <c r="BJ416" i="5"/>
  <c r="BO309" i="5"/>
  <c r="BK412" i="5"/>
  <c r="BL412" i="5"/>
  <c r="BK421" i="5"/>
  <c r="BK426" i="5" s="1"/>
  <c r="BM252" i="4"/>
  <c r="BM342" i="4" s="1"/>
  <c r="BM266" i="4"/>
  <c r="BN122" i="4"/>
  <c r="CU122" i="4" s="1"/>
  <c r="BN123" i="4"/>
  <c r="CU123" i="4" s="1"/>
  <c r="BM333" i="4"/>
  <c r="BN333" i="4" s="1"/>
  <c r="BM302" i="4"/>
  <c r="BM303" i="4" s="1"/>
  <c r="D238" i="4"/>
  <c r="D37" i="4"/>
  <c r="CG37" i="4" s="1"/>
  <c r="D24" i="4"/>
  <c r="CG24" i="4" s="1"/>
  <c r="D239" i="4"/>
  <c r="BM86" i="4"/>
  <c r="BM267" i="4" s="1"/>
  <c r="BN267" i="4" s="1"/>
  <c r="BN89" i="4"/>
  <c r="CU89" i="4" s="1"/>
  <c r="BN112" i="4"/>
  <c r="CU112" i="4" s="1"/>
  <c r="CA145" i="4"/>
  <c r="CZ145" i="4" s="1"/>
  <c r="K98" i="4"/>
  <c r="CJ98" i="4" s="1"/>
  <c r="D225" i="4"/>
  <c r="BM91" i="4"/>
  <c r="BM227" i="4" s="1"/>
  <c r="H222" i="4"/>
  <c r="BM111" i="4"/>
  <c r="BN111" i="4" s="1"/>
  <c r="CU111" i="4" s="1"/>
  <c r="BM36" i="4"/>
  <c r="BN36" i="4" s="1"/>
  <c r="CU36" i="4" s="1"/>
  <c r="BQ120" i="4"/>
  <c r="BN120" i="4"/>
  <c r="CU120" i="4" s="1"/>
  <c r="AQ369" i="5"/>
  <c r="BJ83" i="5"/>
  <c r="BH105" i="5"/>
  <c r="BK314" i="5"/>
  <c r="BF313" i="5"/>
  <c r="AY313" i="4"/>
  <c r="DB36" i="4"/>
  <c r="AP137" i="5"/>
  <c r="AP138" i="5" s="1"/>
  <c r="BI48" i="5"/>
  <c r="CV48" i="5" s="1"/>
  <c r="BC104" i="5"/>
  <c r="BC105" i="5" s="1"/>
  <c r="AP126" i="5"/>
  <c r="BA104" i="5"/>
  <c r="BA105" i="5" s="1"/>
  <c r="AR137" i="5"/>
  <c r="AR138" i="5" s="1"/>
  <c r="CT107" i="5"/>
  <c r="BK54" i="5"/>
  <c r="BK56" i="5" s="1"/>
  <c r="AL137" i="5"/>
  <c r="AL138" i="5" s="1"/>
  <c r="AO102" i="4"/>
  <c r="CP102" i="4" s="1"/>
  <c r="E15" i="6" s="1"/>
  <c r="AN344" i="4"/>
  <c r="BJ296" i="4"/>
  <c r="BN295" i="4"/>
  <c r="BN296" i="4" s="1"/>
  <c r="Y221" i="4"/>
  <c r="P93" i="4"/>
  <c r="CK93" i="4" s="1"/>
  <c r="BQ448" i="5"/>
  <c r="BQ170" i="5"/>
  <c r="BQ159" i="5" s="1"/>
  <c r="BQ243" i="5"/>
  <c r="AB304" i="4"/>
  <c r="AP216" i="5"/>
  <c r="AJ382" i="5"/>
  <c r="CQ382" i="5" s="1"/>
  <c r="AJ391" i="5"/>
  <c r="CQ391" i="5" s="1"/>
  <c r="AM137" i="5"/>
  <c r="AM138" i="5" s="1"/>
  <c r="AJ56" i="5"/>
  <c r="CQ56" i="5" s="1"/>
  <c r="AO24" i="5"/>
  <c r="CR24" i="5" s="1"/>
  <c r="AM131" i="5"/>
  <c r="AJ205" i="4"/>
  <c r="AJ202" i="4" s="1"/>
  <c r="AF31" i="5"/>
  <c r="CQ21" i="5"/>
  <c r="AJ30" i="5"/>
  <c r="CQ30" i="5" s="1"/>
  <c r="AK205" i="5"/>
  <c r="AM210" i="4"/>
  <c r="AM231" i="4" s="1"/>
  <c r="BC31" i="5"/>
  <c r="BC38" i="5" s="1"/>
  <c r="BH450" i="5"/>
  <c r="AC239" i="4"/>
  <c r="L238" i="4"/>
  <c r="L242" i="4"/>
  <c r="AC225" i="4"/>
  <c r="AC241" i="4"/>
  <c r="AC238" i="4"/>
  <c r="AH15" i="4"/>
  <c r="L237" i="4"/>
  <c r="L243" i="4"/>
  <c r="L253" i="4"/>
  <c r="AC15" i="4"/>
  <c r="AC24" i="4"/>
  <c r="AC237" i="4"/>
  <c r="Q15" i="4"/>
  <c r="L236" i="4"/>
  <c r="AC253" i="4"/>
  <c r="AC240" i="4"/>
  <c r="L30" i="4"/>
  <c r="L341" i="4" s="1"/>
  <c r="L228" i="4"/>
  <c r="L24" i="4"/>
  <c r="L239" i="4"/>
  <c r="L37" i="4"/>
  <c r="AL214" i="5"/>
  <c r="AL205" i="5"/>
  <c r="CN120" i="4"/>
  <c r="CN126" i="4" s="1"/>
  <c r="AE126" i="4"/>
  <c r="P94" i="4"/>
  <c r="CK94" i="4" s="1"/>
  <c r="BC35" i="4"/>
  <c r="K111" i="4"/>
  <c r="CJ111" i="4" s="1"/>
  <c r="C132" i="4"/>
  <c r="AQ138" i="5"/>
  <c r="U118" i="4"/>
  <c r="CL118" i="4" s="1"/>
  <c r="AN86" i="4"/>
  <c r="AN267" i="4" s="1"/>
  <c r="AO267" i="4" s="1"/>
  <c r="K282" i="4"/>
  <c r="K284" i="4" s="1"/>
  <c r="AM268" i="4"/>
  <c r="AV376" i="5"/>
  <c r="AN128" i="4"/>
  <c r="AO128" i="4" s="1"/>
  <c r="CP128" i="4" s="1"/>
  <c r="BD55" i="5"/>
  <c r="CU55" i="5" s="1"/>
  <c r="CG132" i="4"/>
  <c r="AH30" i="4"/>
  <c r="BD16" i="5"/>
  <c r="J24" i="4"/>
  <c r="BB14" i="4"/>
  <c r="BB37" i="4" s="1"/>
  <c r="BG211" i="4"/>
  <c r="U123" i="4"/>
  <c r="CL123" i="4" s="1"/>
  <c r="K88" i="4"/>
  <c r="CJ88" i="4" s="1"/>
  <c r="AI210" i="4"/>
  <c r="AI221" i="4" s="1"/>
  <c r="BI73" i="5"/>
  <c r="CV73" i="5" s="1"/>
  <c r="Q22" i="4"/>
  <c r="O228" i="4"/>
  <c r="AO112" i="4"/>
  <c r="CP112" i="4" s="1"/>
  <c r="AJ112" i="4"/>
  <c r="CO112" i="4" s="1"/>
  <c r="AG369" i="5"/>
  <c r="CR187" i="4"/>
  <c r="BC17" i="5"/>
  <c r="D15" i="6"/>
  <c r="BD128" i="4"/>
  <c r="CS128" i="4" s="1"/>
  <c r="K94" i="4"/>
  <c r="CJ94" i="4" s="1"/>
  <c r="Z78" i="4"/>
  <c r="CM78" i="4" s="1"/>
  <c r="AH228" i="4"/>
  <c r="AQ31" i="5"/>
  <c r="Z18" i="4"/>
  <c r="CM18" i="4" s="1"/>
  <c r="BD313" i="4"/>
  <c r="BP87" i="4"/>
  <c r="BP274" i="4" s="1"/>
  <c r="BP77" i="4"/>
  <c r="BS77" i="4" s="1"/>
  <c r="CV77" i="4" s="1"/>
  <c r="BD213" i="5"/>
  <c r="BD209" i="5" s="1"/>
  <c r="CP30" i="5"/>
  <c r="AE31" i="5"/>
  <c r="CP31" i="5" s="1"/>
  <c r="AE126" i="5"/>
  <c r="CP126" i="5" s="1"/>
  <c r="BH69" i="5"/>
  <c r="BI54" i="5"/>
  <c r="BI69" i="5" s="1"/>
  <c r="AY81" i="5"/>
  <c r="CT81" i="5" s="1"/>
  <c r="CT80" i="5"/>
  <c r="AW369" i="5"/>
  <c r="AR213" i="5"/>
  <c r="AW376" i="5"/>
  <c r="V320" i="4"/>
  <c r="V30" i="4"/>
  <c r="V39" i="4"/>
  <c r="V40" i="4" s="1"/>
  <c r="CI189" i="4"/>
  <c r="BJ322" i="5"/>
  <c r="CX435" i="5"/>
  <c r="AV433" i="5"/>
  <c r="AP31" i="5"/>
  <c r="AK31" i="5"/>
  <c r="AZ406" i="5"/>
  <c r="CT413" i="5"/>
  <c r="BD415" i="5"/>
  <c r="CU415" i="5" s="1"/>
  <c r="AZ414" i="5"/>
  <c r="AY399" i="5"/>
  <c r="AZ415" i="5"/>
  <c r="AZ421" i="5" s="1"/>
  <c r="BD406" i="5"/>
  <c r="CU406" i="5" s="1"/>
  <c r="G342" i="4"/>
  <c r="I41" i="5"/>
  <c r="I398" i="5"/>
  <c r="AJ174" i="5"/>
  <c r="CQ172" i="5"/>
  <c r="BD95" i="5"/>
  <c r="BD90" i="5"/>
  <c r="CU90" i="5" s="1"/>
  <c r="CU89" i="5"/>
  <c r="AT344" i="5"/>
  <c r="CS344" i="5" s="1"/>
  <c r="CS343" i="5"/>
  <c r="AT345" i="5"/>
  <c r="CS345" i="5" s="1"/>
  <c r="AW362" i="5"/>
  <c r="AW22" i="5"/>
  <c r="AY22" i="5" s="1"/>
  <c r="BF394" i="5"/>
  <c r="BF395" i="5"/>
  <c r="BF228" i="5"/>
  <c r="BG308" i="4"/>
  <c r="BH121" i="4"/>
  <c r="BH308" i="4" s="1"/>
  <c r="AK295" i="4"/>
  <c r="CO294" i="4"/>
  <c r="AT148" i="5"/>
  <c r="CS148" i="5" s="1"/>
  <c r="AM224" i="4"/>
  <c r="AM226" i="4" s="1"/>
  <c r="AO86" i="4"/>
  <c r="CP86" i="4" s="1"/>
  <c r="BG75" i="5"/>
  <c r="AW115" i="4"/>
  <c r="Q228" i="4"/>
  <c r="AY381" i="5"/>
  <c r="CT381" i="5" s="1"/>
  <c r="CR343" i="5"/>
  <c r="Q242" i="4"/>
  <c r="AX110" i="4"/>
  <c r="AY110" i="4" s="1"/>
  <c r="AW266" i="4"/>
  <c r="CS235" i="5"/>
  <c r="P77" i="4"/>
  <c r="CK77" i="4" s="1"/>
  <c r="BG24" i="4"/>
  <c r="BA296" i="4"/>
  <c r="T211" i="4"/>
  <c r="AC30" i="4"/>
  <c r="O231" i="4"/>
  <c r="AG253" i="4"/>
  <c r="R78" i="4"/>
  <c r="E225" i="4"/>
  <c r="E15" i="4"/>
  <c r="CH15" i="4" s="1"/>
  <c r="E241" i="4"/>
  <c r="E239" i="4"/>
  <c r="AX376" i="5"/>
  <c r="BJ398" i="5"/>
  <c r="BA322" i="5"/>
  <c r="AM126" i="4"/>
  <c r="AX125" i="5"/>
  <c r="AY207" i="5"/>
  <c r="AY241" i="5"/>
  <c r="CT241" i="5" s="1"/>
  <c r="AY240" i="5"/>
  <c r="CT240" i="5" s="1"/>
  <c r="CT239" i="5"/>
  <c r="BD240" i="5"/>
  <c r="CU240" i="5" s="1"/>
  <c r="R222" i="4"/>
  <c r="R226" i="4"/>
  <c r="AG37" i="5"/>
  <c r="AL38" i="5" s="1"/>
  <c r="AG31" i="5"/>
  <c r="L398" i="5"/>
  <c r="L446" i="5"/>
  <c r="L41" i="5"/>
  <c r="BQ41" i="5"/>
  <c r="BQ398" i="5"/>
  <c r="BQ446" i="5"/>
  <c r="CV172" i="5"/>
  <c r="BI175" i="5"/>
  <c r="AR37" i="5"/>
  <c r="AR31" i="5"/>
  <c r="CT20" i="5"/>
  <c r="AY206" i="4"/>
  <c r="BD414" i="5"/>
  <c r="CU414" i="5" s="1"/>
  <c r="AP295" i="4"/>
  <c r="CP294" i="4"/>
  <c r="BC206" i="4"/>
  <c r="BC210" i="4" s="1"/>
  <c r="BD20" i="5"/>
  <c r="CR42" i="5"/>
  <c r="AO44" i="5"/>
  <c r="CR44" i="5" s="1"/>
  <c r="AC227" i="4"/>
  <c r="AC228" i="4" s="1"/>
  <c r="AD91" i="4"/>
  <c r="X433" i="5"/>
  <c r="Z169" i="4"/>
  <c r="Z175" i="4" s="1"/>
  <c r="CM167" i="4"/>
  <c r="CM169" i="4" s="1"/>
  <c r="CM175" i="4" s="1"/>
  <c r="AT47" i="5"/>
  <c r="CS47" i="5" s="1"/>
  <c r="AO47" i="5"/>
  <c r="CR47" i="5" s="1"/>
  <c r="CR46" i="5"/>
  <c r="AO48" i="5"/>
  <c r="CR48" i="5" s="1"/>
  <c r="AY73" i="5"/>
  <c r="CT73" i="5" s="1"/>
  <c r="CT71" i="5"/>
  <c r="CM183" i="4"/>
  <c r="Z185" i="4"/>
  <c r="CL446" i="5"/>
  <c r="X302" i="4"/>
  <c r="X303" i="4" s="1"/>
  <c r="Y119" i="4"/>
  <c r="X333" i="4"/>
  <c r="O87" i="4"/>
  <c r="N274" i="4"/>
  <c r="J87" i="4"/>
  <c r="I274" i="4"/>
  <c r="I110" i="4"/>
  <c r="H266" i="4"/>
  <c r="H252" i="4"/>
  <c r="AT240" i="5"/>
  <c r="CS240" i="5" s="1"/>
  <c r="CS239" i="5"/>
  <c r="AT241" i="5"/>
  <c r="CS241" i="5" s="1"/>
  <c r="AV204" i="5"/>
  <c r="AQ204" i="5"/>
  <c r="AO174" i="5"/>
  <c r="CR172" i="5"/>
  <c r="BD174" i="5"/>
  <c r="CU172" i="5"/>
  <c r="AJ80" i="5"/>
  <c r="AI81" i="5"/>
  <c r="AI125" i="5"/>
  <c r="BE226" i="5"/>
  <c r="BE230" i="5"/>
  <c r="BE442" i="5"/>
  <c r="BE443" i="5"/>
  <c r="BE441" i="5"/>
  <c r="AY236" i="5"/>
  <c r="CT236" i="5" s="1"/>
  <c r="V433" i="5"/>
  <c r="AO107" i="5"/>
  <c r="BI415" i="5"/>
  <c r="CV415" i="5" s="1"/>
  <c r="CU139" i="4"/>
  <c r="CU82" i="4"/>
  <c r="BM77" i="4"/>
  <c r="BJ43" i="5"/>
  <c r="BJ44" i="5"/>
  <c r="BE432" i="5"/>
  <c r="AF28" i="4"/>
  <c r="AF22" i="4"/>
  <c r="AP406" i="5"/>
  <c r="AP411" i="5" s="1"/>
  <c r="AT411" i="5" s="1"/>
  <c r="CS411" i="5" s="1"/>
  <c r="AP415" i="5"/>
  <c r="AP421" i="5" s="1"/>
  <c r="AP427" i="5" s="1"/>
  <c r="AP414" i="5"/>
  <c r="AT415" i="5"/>
  <c r="AS225" i="5"/>
  <c r="CS339" i="5"/>
  <c r="AT341" i="5"/>
  <c r="CS341" i="5" s="1"/>
  <c r="AT340" i="5"/>
  <c r="CS340" i="5" s="1"/>
  <c r="BD202" i="4"/>
  <c r="U446" i="5"/>
  <c r="CN9" i="5"/>
  <c r="AY43" i="5"/>
  <c r="CT43" i="5" s="1"/>
  <c r="AT43" i="5"/>
  <c r="CS43" i="5" s="1"/>
  <c r="AI110" i="4"/>
  <c r="AH252" i="4"/>
  <c r="AH266" i="4"/>
  <c r="AH268" i="4" s="1"/>
  <c r="AH115" i="4"/>
  <c r="AI333" i="4"/>
  <c r="AJ333" i="4" s="1"/>
  <c r="AJ119" i="4"/>
  <c r="AV382" i="5"/>
  <c r="AV24" i="5"/>
  <c r="AV16" i="5"/>
  <c r="AV387" i="5"/>
  <c r="AV391" i="5"/>
  <c r="AV205" i="4"/>
  <c r="AV116" i="5"/>
  <c r="BE368" i="5"/>
  <c r="BE173" i="5"/>
  <c r="BJ38" i="5"/>
  <c r="BE246" i="5"/>
  <c r="CV245" i="5"/>
  <c r="BI248" i="5"/>
  <c r="CV248" i="5" s="1"/>
  <c r="AH17" i="5"/>
  <c r="CU54" i="5"/>
  <c r="BD69" i="5"/>
  <c r="CU69" i="5" s="1"/>
  <c r="AC22" i="4"/>
  <c r="M243" i="4"/>
  <c r="BI247" i="5"/>
  <c r="BD427" i="5"/>
  <c r="CU427" i="5" s="1"/>
  <c r="AM222" i="4"/>
  <c r="T47" i="4"/>
  <c r="T48" i="4" s="1"/>
  <c r="BJ211" i="4"/>
  <c r="AY414" i="5"/>
  <c r="CT414" i="5" s="1"/>
  <c r="CQ89" i="5"/>
  <c r="AO367" i="5"/>
  <c r="CR367" i="5" s="1"/>
  <c r="BD56" i="5"/>
  <c r="CU56" i="5" s="1"/>
  <c r="AE382" i="5"/>
  <c r="CP382" i="5" s="1"/>
  <c r="AQ131" i="5"/>
  <c r="AF231" i="4"/>
  <c r="AX81" i="5"/>
  <c r="AW125" i="5"/>
  <c r="AW131" i="5" s="1"/>
  <c r="X446" i="5"/>
  <c r="AQ142" i="5"/>
  <c r="AQ143" i="5" s="1"/>
  <c r="E228" i="4"/>
  <c r="E253" i="4"/>
  <c r="E237" i="4"/>
  <c r="BI111" i="4"/>
  <c r="CT111" i="4" s="1"/>
  <c r="AY174" i="5"/>
  <c r="BC450" i="5"/>
  <c r="BB216" i="5"/>
  <c r="BB226" i="5"/>
  <c r="BB209" i="5"/>
  <c r="BB205" i="5"/>
  <c r="BB214" i="5"/>
  <c r="D28" i="4"/>
  <c r="CG21" i="4"/>
  <c r="AM302" i="4"/>
  <c r="AM303" i="4" s="1"/>
  <c r="AN119" i="4"/>
  <c r="K14" i="4"/>
  <c r="AI117" i="5"/>
  <c r="AJ116" i="5"/>
  <c r="BC95" i="5"/>
  <c r="BC96" i="5" s="1"/>
  <c r="BC90" i="5"/>
  <c r="BC145" i="5"/>
  <c r="BD145" i="5" s="1"/>
  <c r="CU145" i="5" s="1"/>
  <c r="BN310" i="5"/>
  <c r="CW310" i="5" s="1"/>
  <c r="CW435" i="5"/>
  <c r="H115" i="4"/>
  <c r="H132" i="4" s="1"/>
  <c r="BB412" i="5"/>
  <c r="BB416" i="5" s="1"/>
  <c r="AJ352" i="5"/>
  <c r="CQ352" i="5" s="1"/>
  <c r="CQ351" i="5"/>
  <c r="AI344" i="4"/>
  <c r="BA441" i="5"/>
  <c r="BA443" i="5"/>
  <c r="BH131" i="5"/>
  <c r="BH137" i="5"/>
  <c r="BH126" i="5"/>
  <c r="BG322" i="5"/>
  <c r="BN73" i="5"/>
  <c r="CW73" i="5" s="1"/>
  <c r="AR228" i="4"/>
  <c r="O37" i="4"/>
  <c r="AV213" i="5"/>
  <c r="AV214" i="5" s="1"/>
  <c r="AV248" i="5"/>
  <c r="BA248" i="5"/>
  <c r="BA247" i="5" s="1"/>
  <c r="BA253" i="5" s="1"/>
  <c r="BD253" i="5" s="1"/>
  <c r="BD247" i="5" s="1"/>
  <c r="B35" i="5"/>
  <c r="CG35" i="5" s="1"/>
  <c r="CG37" i="5"/>
  <c r="BG443" i="5"/>
  <c r="BG440" i="5"/>
  <c r="BG442" i="5"/>
  <c r="BG441" i="5"/>
  <c r="CP21" i="5"/>
  <c r="AE24" i="5"/>
  <c r="CP24" i="5" s="1"/>
  <c r="AE391" i="5"/>
  <c r="CP391" i="5" s="1"/>
  <c r="BJ432" i="5"/>
  <c r="CU157" i="5"/>
  <c r="Q243" i="4"/>
  <c r="Q225" i="4"/>
  <c r="Q24" i="4"/>
  <c r="Q236" i="4"/>
  <c r="BI213" i="5"/>
  <c r="BI214" i="5" s="1"/>
  <c r="CV367" i="5"/>
  <c r="BI369" i="5"/>
  <c r="CV369" i="5" s="1"/>
  <c r="AT207" i="5"/>
  <c r="AT208" i="5" s="1"/>
  <c r="CS380" i="5"/>
  <c r="CP172" i="5"/>
  <c r="AE174" i="5"/>
  <c r="AT185" i="4"/>
  <c r="CQ185" i="4" s="1"/>
  <c r="CQ187" i="4" s="1"/>
  <c r="CQ183" i="4"/>
  <c r="Z41" i="5"/>
  <c r="CO41" i="5" s="1"/>
  <c r="Z398" i="5"/>
  <c r="CO398" i="5" s="1"/>
  <c r="U78" i="4"/>
  <c r="CL78" i="4" s="1"/>
  <c r="CV307" i="5"/>
  <c r="T345" i="4"/>
  <c r="AK137" i="5"/>
  <c r="AK142" i="5" s="1"/>
  <c r="AK143" i="5" s="1"/>
  <c r="AK126" i="5"/>
  <c r="BG320" i="4"/>
  <c r="Y28" i="4"/>
  <c r="Y30" i="4" s="1"/>
  <c r="BA221" i="4"/>
  <c r="AK37" i="5"/>
  <c r="AK355" i="5" s="1"/>
  <c r="K296" i="4"/>
  <c r="CF187" i="4"/>
  <c r="AT69" i="5"/>
  <c r="AT75" i="5" s="1"/>
  <c r="BA24" i="5"/>
  <c r="AX37" i="5"/>
  <c r="AX368" i="5" s="1"/>
  <c r="U41" i="5"/>
  <c r="CN41" i="5" s="1"/>
  <c r="Q237" i="4"/>
  <c r="AO345" i="5"/>
  <c r="CR345" i="5" s="1"/>
  <c r="BG37" i="4"/>
  <c r="AX214" i="5"/>
  <c r="CO9" i="5"/>
  <c r="Q241" i="4"/>
  <c r="E243" i="4"/>
  <c r="E37" i="4"/>
  <c r="CH37" i="4" s="1"/>
  <c r="BJ446" i="5"/>
  <c r="BB126" i="4"/>
  <c r="AL209" i="5"/>
  <c r="S126" i="4"/>
  <c r="BA440" i="5"/>
  <c r="BC308" i="5"/>
  <c r="BI204" i="5"/>
  <c r="BD204" i="5"/>
  <c r="CM37" i="5"/>
  <c r="P35" i="5"/>
  <c r="CM35" i="5" s="1"/>
  <c r="P355" i="5"/>
  <c r="CM355" i="5" s="1"/>
  <c r="F226" i="4"/>
  <c r="BF125" i="5"/>
  <c r="BH432" i="5"/>
  <c r="AO81" i="5"/>
  <c r="CR81" i="5" s="1"/>
  <c r="CR80" i="5"/>
  <c r="AN343" i="4"/>
  <c r="AN296" i="4"/>
  <c r="AL433" i="5"/>
  <c r="CV50" i="5"/>
  <c r="BI51" i="5"/>
  <c r="CV51" i="5" s="1"/>
  <c r="BL77" i="4"/>
  <c r="BN77" i="4" s="1"/>
  <c r="BG214" i="5"/>
  <c r="BG226" i="5"/>
  <c r="BG209" i="5"/>
  <c r="BG230" i="5"/>
  <c r="BG216" i="5"/>
  <c r="BG205" i="5"/>
  <c r="BI253" i="5"/>
  <c r="BI81" i="5"/>
  <c r="CV81" i="5" s="1"/>
  <c r="CV80" i="5"/>
  <c r="BK216" i="5"/>
  <c r="BF226" i="5"/>
  <c r="BF205" i="5"/>
  <c r="AH344" i="4"/>
  <c r="AO349" i="5"/>
  <c r="CR349" i="5" s="1"/>
  <c r="CR347" i="5"/>
  <c r="AO348" i="5"/>
  <c r="CR348" i="5" s="1"/>
  <c r="AO341" i="5"/>
  <c r="CR341" i="5" s="1"/>
  <c r="CR339" i="5"/>
  <c r="V222" i="4"/>
  <c r="V226" i="4"/>
  <c r="V231" i="4"/>
  <c r="BD226" i="5"/>
  <c r="Q132" i="4"/>
  <c r="T91" i="4"/>
  <c r="S227" i="4"/>
  <c r="S228" i="4" s="1"/>
  <c r="AN145" i="5"/>
  <c r="AO145" i="5" s="1"/>
  <c r="CR145" i="5" s="1"/>
  <c r="AN90" i="5"/>
  <c r="BN359" i="5"/>
  <c r="CW359" i="5" s="1"/>
  <c r="N275" i="4"/>
  <c r="N15" i="4"/>
  <c r="I24" i="4"/>
  <c r="CK34" i="4"/>
  <c r="AX344" i="4"/>
  <c r="BI411" i="5"/>
  <c r="CV411" i="5" s="1"/>
  <c r="AJ344" i="4"/>
  <c r="C239" i="4"/>
  <c r="AZ137" i="5"/>
  <c r="AZ138" i="5" s="1"/>
  <c r="W30" i="4"/>
  <c r="W341" i="4" s="1"/>
  <c r="W347" i="4" s="1"/>
  <c r="F320" i="4"/>
  <c r="N320" i="4"/>
  <c r="BL75" i="5"/>
  <c r="BB211" i="4"/>
  <c r="AK214" i="5"/>
  <c r="CV116" i="5"/>
  <c r="BH122" i="5"/>
  <c r="BH123" i="5" s="1"/>
  <c r="AQ213" i="5"/>
  <c r="AQ226" i="5" s="1"/>
  <c r="AT228" i="5"/>
  <c r="AT229" i="5" s="1"/>
  <c r="CR116" i="5"/>
  <c r="CV20" i="5"/>
  <c r="AY415" i="5"/>
  <c r="CT415" i="5" s="1"/>
  <c r="AS78" i="4"/>
  <c r="I344" i="4"/>
  <c r="K343" i="4"/>
  <c r="CH187" i="4"/>
  <c r="E187" i="4"/>
  <c r="Q37" i="4"/>
  <c r="AO69" i="5"/>
  <c r="AO75" i="5" s="1"/>
  <c r="CR75" i="5" s="1"/>
  <c r="AT236" i="5"/>
  <c r="CS236" i="5" s="1"/>
  <c r="AE387" i="5"/>
  <c r="CP387" i="5" s="1"/>
  <c r="AA30" i="4"/>
  <c r="AA32" i="4" s="1"/>
  <c r="AI126" i="4"/>
  <c r="E24" i="4"/>
  <c r="CH24" i="4" s="1"/>
  <c r="AH39" i="4"/>
  <c r="AH40" i="4" s="1"/>
  <c r="F24" i="4"/>
  <c r="CI24" i="4" s="1"/>
  <c r="AT81" i="5"/>
  <c r="CS81" i="5" s="1"/>
  <c r="AJ69" i="5"/>
  <c r="CQ69" i="5" s="1"/>
  <c r="Q240" i="4"/>
  <c r="AY69" i="5"/>
  <c r="AY75" i="5" s="1"/>
  <c r="CT75" i="5" s="1"/>
  <c r="I446" i="5"/>
  <c r="AT245" i="5"/>
  <c r="AT277" i="5" s="1"/>
  <c r="AJ24" i="5"/>
  <c r="CQ24" i="5" s="1"/>
  <c r="AV56" i="5"/>
  <c r="CR446" i="5"/>
  <c r="CS42" i="5"/>
  <c r="CJ11" i="4"/>
  <c r="CU107" i="5"/>
  <c r="BI52" i="5"/>
  <c r="CV52" i="5" s="1"/>
  <c r="AY55" i="5"/>
  <c r="CT55" i="5" s="1"/>
  <c r="AO415" i="5"/>
  <c r="CR415" i="5" s="1"/>
  <c r="BG314" i="5"/>
  <c r="AQ126" i="5"/>
  <c r="AS344" i="4"/>
  <c r="W39" i="4"/>
  <c r="W40" i="4" s="1"/>
  <c r="N37" i="4"/>
  <c r="N238" i="4"/>
  <c r="V236" i="4"/>
  <c r="V240" i="4"/>
  <c r="V15" i="4"/>
  <c r="AQ231" i="4"/>
  <c r="T275" i="4"/>
  <c r="I106" i="4"/>
  <c r="AU433" i="5"/>
  <c r="AU308" i="5" s="1"/>
  <c r="E242" i="4"/>
  <c r="E22" i="4"/>
  <c r="CH22" i="4" s="1"/>
  <c r="E238" i="4"/>
  <c r="P38" i="5"/>
  <c r="CM38" i="5" s="1"/>
  <c r="CF132" i="4"/>
  <c r="BI266" i="4"/>
  <c r="AZ221" i="4"/>
  <c r="AZ14" i="4"/>
  <c r="AZ24" i="4" s="1"/>
  <c r="BE440" i="5"/>
  <c r="BC86" i="4"/>
  <c r="BB267" i="4"/>
  <c r="BB268" i="4" s="1"/>
  <c r="CT42" i="5"/>
  <c r="AW333" i="4"/>
  <c r="AW302" i="4"/>
  <c r="AW303" i="4" s="1"/>
  <c r="AX119" i="4"/>
  <c r="AY119" i="4" s="1"/>
  <c r="AD86" i="4"/>
  <c r="AC267" i="4"/>
  <c r="O398" i="5"/>
  <c r="O41" i="5"/>
  <c r="O446" i="5"/>
  <c r="BB31" i="5"/>
  <c r="AW214" i="5"/>
  <c r="AW31" i="5"/>
  <c r="AW37" i="5"/>
  <c r="BH44" i="5"/>
  <c r="BH43" i="5"/>
  <c r="AK210" i="4"/>
  <c r="BC120" i="4"/>
  <c r="BD120" i="4" s="1"/>
  <c r="CS120" i="4" s="1"/>
  <c r="AI368" i="5"/>
  <c r="AI355" i="5"/>
  <c r="AD87" i="4"/>
  <c r="AD274" i="4" s="1"/>
  <c r="AD275" i="4" s="1"/>
  <c r="AC274" i="4"/>
  <c r="S94" i="4"/>
  <c r="R106" i="4"/>
  <c r="R304" i="4" s="1"/>
  <c r="AJ16" i="5"/>
  <c r="CQ16" i="5" s="1"/>
  <c r="AH237" i="4"/>
  <c r="AH241" i="4"/>
  <c r="AH225" i="4"/>
  <c r="AH240" i="4"/>
  <c r="AH242" i="4"/>
  <c r="AH236" i="4"/>
  <c r="AH243" i="4"/>
  <c r="AH239" i="4"/>
  <c r="AH238" i="4"/>
  <c r="BF432" i="5"/>
  <c r="CS20" i="5"/>
  <c r="AT206" i="4"/>
  <c r="AT354" i="5"/>
  <c r="CS354" i="5" s="1"/>
  <c r="BH31" i="5"/>
  <c r="BH38" i="5" s="1"/>
  <c r="BC37" i="5"/>
  <c r="J109" i="4"/>
  <c r="I115" i="4"/>
  <c r="AB433" i="5"/>
  <c r="C222" i="4"/>
  <c r="F189" i="4"/>
  <c r="AV398" i="5"/>
  <c r="AV78" i="5"/>
  <c r="AV153" i="5" s="1"/>
  <c r="AV41" i="5"/>
  <c r="AV446" i="5"/>
  <c r="K169" i="4"/>
  <c r="K175" i="4" s="1"/>
  <c r="Q253" i="4"/>
  <c r="Q342" i="4"/>
  <c r="J91" i="4"/>
  <c r="I227" i="4"/>
  <c r="I228" i="4" s="1"/>
  <c r="AZ209" i="5"/>
  <c r="AZ214" i="5"/>
  <c r="AZ205" i="5"/>
  <c r="AZ230" i="5"/>
  <c r="BI197" i="5"/>
  <c r="AY187" i="4"/>
  <c r="AH24" i="4"/>
  <c r="BB443" i="5"/>
  <c r="BB442" i="5"/>
  <c r="BB440" i="5"/>
  <c r="BB229" i="5"/>
  <c r="BB230" i="5"/>
  <c r="BG229" i="5"/>
  <c r="AD84" i="4"/>
  <c r="AE84" i="4" s="1"/>
  <c r="CN84" i="4" s="1"/>
  <c r="AC106" i="4"/>
  <c r="AC132" i="4" s="1"/>
  <c r="BA87" i="5"/>
  <c r="BA125" i="5"/>
  <c r="BF75" i="5"/>
  <c r="BS78" i="5"/>
  <c r="BS446" i="5"/>
  <c r="AN125" i="5"/>
  <c r="AO125" i="5" s="1"/>
  <c r="AO126" i="5" s="1"/>
  <c r="CR126" i="5" s="1"/>
  <c r="X126" i="4"/>
  <c r="AV369" i="5"/>
  <c r="BG238" i="4"/>
  <c r="BG239" i="4"/>
  <c r="BG241" i="4"/>
  <c r="BG240" i="4"/>
  <c r="BF99" i="5"/>
  <c r="BF104" i="5"/>
  <c r="BF105" i="5" s="1"/>
  <c r="AY390" i="5"/>
  <c r="CT390" i="5" s="1"/>
  <c r="AT390" i="5"/>
  <c r="CS390" i="5" s="1"/>
  <c r="CS389" i="5"/>
  <c r="N222" i="4"/>
  <c r="CS294" i="4"/>
  <c r="BE295" i="4"/>
  <c r="BN78" i="5"/>
  <c r="CW9" i="5"/>
  <c r="BB99" i="5"/>
  <c r="BB104" i="5"/>
  <c r="BB105" i="5" s="1"/>
  <c r="P118" i="4"/>
  <c r="CK118" i="4" s="1"/>
  <c r="AT348" i="5"/>
  <c r="CS348" i="5" s="1"/>
  <c r="AT78" i="4"/>
  <c r="CQ78" i="4" s="1"/>
  <c r="CR295" i="4"/>
  <c r="AY296" i="4"/>
  <c r="CR296" i="4" s="1"/>
  <c r="CU431" i="5"/>
  <c r="J28" i="4"/>
  <c r="J320" i="4" s="1"/>
  <c r="AG15" i="4"/>
  <c r="AB238" i="4"/>
  <c r="AB228" i="4"/>
  <c r="AB253" i="4"/>
  <c r="BM205" i="5"/>
  <c r="BM209" i="5" s="1"/>
  <c r="AQ14" i="4"/>
  <c r="AQ243" i="4" s="1"/>
  <c r="BD110" i="4"/>
  <c r="BC252" i="4"/>
  <c r="BC342" i="4" s="1"/>
  <c r="AU427" i="5"/>
  <c r="AU307" i="5" s="1"/>
  <c r="BK268" i="4"/>
  <c r="AO344" i="4"/>
  <c r="G22" i="4"/>
  <c r="BB342" i="4"/>
  <c r="BO403" i="5"/>
  <c r="BP403" i="5" s="1"/>
  <c r="BQ403" i="5" s="1"/>
  <c r="BR403" i="5" s="1"/>
  <c r="BS403" i="5" s="1"/>
  <c r="BT403" i="5" s="1"/>
  <c r="BU403" i="5" s="1"/>
  <c r="BV403" i="5" s="1"/>
  <c r="BW403" i="5" s="1"/>
  <c r="BX403" i="5" s="1"/>
  <c r="M239" i="4"/>
  <c r="C133" i="4"/>
  <c r="CF133" i="4" s="1"/>
  <c r="R28" i="4"/>
  <c r="R39" i="4" s="1"/>
  <c r="BJ314" i="5"/>
  <c r="C243" i="4"/>
  <c r="AS435" i="5"/>
  <c r="AL126" i="5"/>
  <c r="G238" i="4"/>
  <c r="Z97" i="4"/>
  <c r="Z267" i="4"/>
  <c r="AB24" i="4"/>
  <c r="AB243" i="4"/>
  <c r="AB242" i="4"/>
  <c r="AB241" i="4"/>
  <c r="CY136" i="5"/>
  <c r="Z295" i="4"/>
  <c r="Z296" i="4" s="1"/>
  <c r="O126" i="4"/>
  <c r="C240" i="4"/>
  <c r="BN411" i="5"/>
  <c r="CW411" i="5" s="1"/>
  <c r="AB225" i="4"/>
  <c r="AB240" i="4"/>
  <c r="BQ78" i="4"/>
  <c r="BQ141" i="5"/>
  <c r="BQ103" i="5" s="1"/>
  <c r="BH56" i="5"/>
  <c r="BH55" i="5"/>
  <c r="CO12" i="4"/>
  <c r="AJ14" i="4"/>
  <c r="AJ37" i="4" s="1"/>
  <c r="CO37" i="4" s="1"/>
  <c r="CL11" i="4"/>
  <c r="U14" i="4"/>
  <c r="U24" i="4" s="1"/>
  <c r="CL24" i="4" s="1"/>
  <c r="AX14" i="4"/>
  <c r="AX221" i="4"/>
  <c r="CU446" i="5"/>
  <c r="CO446" i="5"/>
  <c r="BD153" i="5"/>
  <c r="CU153" i="5" s="1"/>
  <c r="CU78" i="5"/>
  <c r="BK22" i="4"/>
  <c r="BK242" i="4"/>
  <c r="BP242" i="4" s="1"/>
  <c r="BU242" i="4" s="1"/>
  <c r="BK239" i="4"/>
  <c r="BP239" i="4" s="1"/>
  <c r="BU239" i="4" s="1"/>
  <c r="BK238" i="4"/>
  <c r="BP238" i="4" s="1"/>
  <c r="BU238" i="4" s="1"/>
  <c r="BK241" i="4"/>
  <c r="BP241" i="4" s="1"/>
  <c r="BU241" i="4" s="1"/>
  <c r="BK228" i="4"/>
  <c r="BP228" i="4" s="1"/>
  <c r="BU228" i="4" s="1"/>
  <c r="BK236" i="4"/>
  <c r="BP236" i="4" s="1"/>
  <c r="BU236" i="4" s="1"/>
  <c r="BK237" i="4"/>
  <c r="BP237" i="4" s="1"/>
  <c r="BU237" i="4" s="1"/>
  <c r="BK243" i="4"/>
  <c r="BP243" i="4" s="1"/>
  <c r="BU243" i="4" s="1"/>
  <c r="BK240" i="4"/>
  <c r="BP240" i="4" s="1"/>
  <c r="BU240" i="4" s="1"/>
  <c r="CJ23" i="4"/>
  <c r="K28" i="4"/>
  <c r="K24" i="4"/>
  <c r="CJ24" i="4" s="1"/>
  <c r="BR141" i="5"/>
  <c r="BR103" i="5" s="1"/>
  <c r="BR78" i="4"/>
  <c r="E341" i="4"/>
  <c r="E347" i="4" s="1"/>
  <c r="E31" i="4"/>
  <c r="CH31" i="4" s="1"/>
  <c r="T222" i="4"/>
  <c r="T231" i="4"/>
  <c r="BR205" i="5"/>
  <c r="BC302" i="4"/>
  <c r="BC303" i="4" s="1"/>
  <c r="BC333" i="4"/>
  <c r="BD333" i="4" s="1"/>
  <c r="M242" i="4"/>
  <c r="M238" i="4"/>
  <c r="R15" i="4"/>
  <c r="M237" i="4"/>
  <c r="BC307" i="5"/>
  <c r="C242" i="4"/>
  <c r="C253" i="4"/>
  <c r="C236" i="4"/>
  <c r="BI252" i="4"/>
  <c r="AW221" i="4"/>
  <c r="M22" i="4"/>
  <c r="K215" i="4"/>
  <c r="K220" i="4"/>
  <c r="AD211" i="4"/>
  <c r="Y211" i="4"/>
  <c r="CQ48" i="4"/>
  <c r="AT345" i="4"/>
  <c r="BI185" i="4"/>
  <c r="CT185" i="4" s="1"/>
  <c r="CT187" i="4" s="1"/>
  <c r="CT183" i="4"/>
  <c r="AO37" i="5"/>
  <c r="AO246" i="5" s="1"/>
  <c r="CR246" i="5" s="1"/>
  <c r="CR30" i="5"/>
  <c r="AH45" i="4"/>
  <c r="BZ398" i="5"/>
  <c r="DA398" i="5" s="1"/>
  <c r="DA9" i="5"/>
  <c r="BZ446" i="5"/>
  <c r="BZ78" i="5"/>
  <c r="BZ41" i="5"/>
  <c r="DA41" i="5" s="1"/>
  <c r="BA226" i="5"/>
  <c r="BA205" i="5"/>
  <c r="BA209" i="5"/>
  <c r="BA214" i="5"/>
  <c r="BA230" i="5"/>
  <c r="G30" i="4"/>
  <c r="G239" i="4"/>
  <c r="G228" i="4"/>
  <c r="G253" i="4"/>
  <c r="G240" i="4"/>
  <c r="G236" i="4"/>
  <c r="G37" i="4"/>
  <c r="G237" i="4"/>
  <c r="G225" i="4"/>
  <c r="G242" i="4"/>
  <c r="G39" i="4"/>
  <c r="G243" i="4"/>
  <c r="G24" i="4"/>
  <c r="P211" i="4"/>
  <c r="P221" i="4"/>
  <c r="P231" i="4"/>
  <c r="AO248" i="5"/>
  <c r="CR248" i="5" s="1"/>
  <c r="CR245" i="5"/>
  <c r="CQ339" i="5"/>
  <c r="AJ340" i="5"/>
  <c r="CQ340" i="5" s="1"/>
  <c r="CU430" i="5"/>
  <c r="AI446" i="5"/>
  <c r="AI398" i="5"/>
  <c r="AI41" i="5"/>
  <c r="AX446" i="5"/>
  <c r="AX78" i="5"/>
  <c r="AX153" i="5" s="1"/>
  <c r="AX398" i="5"/>
  <c r="AX41" i="5"/>
  <c r="BI44" i="5"/>
  <c r="CV44" i="5" s="1"/>
  <c r="BI43" i="5"/>
  <c r="CV43" i="5" s="1"/>
  <c r="BI87" i="5"/>
  <c r="CV87" i="5" s="1"/>
  <c r="CV86" i="5"/>
  <c r="CS23" i="5"/>
  <c r="AT363" i="5"/>
  <c r="CS363" i="5" s="1"/>
  <c r="AT208" i="4"/>
  <c r="AT362" i="5"/>
  <c r="P302" i="4"/>
  <c r="P303" i="4" s="1"/>
  <c r="CK119" i="4"/>
  <c r="CF21" i="4"/>
  <c r="C28" i="4"/>
  <c r="CH28" i="4"/>
  <c r="E320" i="4"/>
  <c r="CU167" i="4"/>
  <c r="CL119" i="4"/>
  <c r="U302" i="4"/>
  <c r="U303" i="4" s="1"/>
  <c r="AC304" i="4"/>
  <c r="CO185" i="4"/>
  <c r="AJ187" i="4"/>
  <c r="CP118" i="4"/>
  <c r="T14" i="4"/>
  <c r="BF322" i="5"/>
  <c r="BF335" i="5"/>
  <c r="BF314" i="5"/>
  <c r="BB23" i="4"/>
  <c r="BJ137" i="5"/>
  <c r="BJ126" i="5"/>
  <c r="BJ131" i="5"/>
  <c r="AO58" i="4"/>
  <c r="U211" i="4"/>
  <c r="AA45" i="4"/>
  <c r="BK376" i="5"/>
  <c r="BF362" i="5"/>
  <c r="BF22" i="5"/>
  <c r="BI22" i="5" s="1"/>
  <c r="CV22" i="5" s="1"/>
  <c r="BI359" i="5"/>
  <c r="CV359" i="5" s="1"/>
  <c r="Z86" i="4"/>
  <c r="CM86" i="4" s="1"/>
  <c r="O236" i="4"/>
  <c r="O242" i="4"/>
  <c r="O15" i="4"/>
  <c r="O237" i="4"/>
  <c r="O238" i="4"/>
  <c r="O241" i="4"/>
  <c r="O225" i="4"/>
  <c r="O239" i="4"/>
  <c r="O243" i="4"/>
  <c r="AQ226" i="4"/>
  <c r="AQ23" i="4"/>
  <c r="BE104" i="5"/>
  <c r="BE105" i="5" s="1"/>
  <c r="BE99" i="5"/>
  <c r="AD115" i="4"/>
  <c r="AD252" i="4"/>
  <c r="AD342" i="4" s="1"/>
  <c r="AD266" i="4"/>
  <c r="AR242" i="4"/>
  <c r="AR22" i="4"/>
  <c r="AR37" i="4"/>
  <c r="L280" i="4"/>
  <c r="L282" i="4" s="1"/>
  <c r="P282" i="4" s="1"/>
  <c r="P280" i="4"/>
  <c r="B239" i="4"/>
  <c r="B236" i="4"/>
  <c r="B242" i="4"/>
  <c r="B241" i="4"/>
  <c r="B243" i="4"/>
  <c r="CE14" i="4"/>
  <c r="B228" i="4"/>
  <c r="B225" i="4"/>
  <c r="B237" i="4"/>
  <c r="B24" i="4"/>
  <c r="CE24" i="4" s="1"/>
  <c r="B238" i="4"/>
  <c r="B240" i="4"/>
  <c r="B253" i="4"/>
  <c r="BK38" i="5"/>
  <c r="AT204" i="5"/>
  <c r="AY204" i="5"/>
  <c r="CL23" i="4"/>
  <c r="AS275" i="4"/>
  <c r="AT274" i="4"/>
  <c r="CV107" i="5"/>
  <c r="BI108" i="5"/>
  <c r="CV108" i="5" s="1"/>
  <c r="AO66" i="4"/>
  <c r="AP311" i="4"/>
  <c r="AT311" i="4"/>
  <c r="M342" i="4"/>
  <c r="M240" i="4"/>
  <c r="M37" i="4"/>
  <c r="M241" i="4"/>
  <c r="M253" i="4"/>
  <c r="C241" i="4"/>
  <c r="C37" i="4"/>
  <c r="CF37" i="4" s="1"/>
  <c r="C228" i="4"/>
  <c r="C24" i="4"/>
  <c r="CF24" i="4" s="1"/>
  <c r="BL104" i="4"/>
  <c r="BL344" i="4" s="1"/>
  <c r="O21" i="4"/>
  <c r="O22" i="4" s="1"/>
  <c r="P19" i="4"/>
  <c r="CL167" i="4"/>
  <c r="CL169" i="4" s="1"/>
  <c r="CL175" i="4" s="1"/>
  <c r="U169" i="4"/>
  <c r="U175" i="4" s="1"/>
  <c r="AJ139" i="4"/>
  <c r="CO139" i="4" s="1"/>
  <c r="CO82" i="4"/>
  <c r="CQ446" i="5"/>
  <c r="AS395" i="5"/>
  <c r="AS205" i="4"/>
  <c r="AS16" i="5"/>
  <c r="AS116" i="5"/>
  <c r="AT21" i="5"/>
  <c r="AS387" i="5"/>
  <c r="AS24" i="5"/>
  <c r="AS391" i="5"/>
  <c r="AX24" i="5"/>
  <c r="AS30" i="5"/>
  <c r="AS56" i="5"/>
  <c r="AS382" i="5"/>
  <c r="AA31" i="4"/>
  <c r="CK91" i="4"/>
  <c r="P227" i="4"/>
  <c r="AX204" i="5"/>
  <c r="BD86" i="5"/>
  <c r="CU80" i="5"/>
  <c r="BO78" i="5"/>
  <c r="BO153" i="5" s="1"/>
  <c r="BO398" i="5"/>
  <c r="BO446" i="5"/>
  <c r="BO41" i="5"/>
  <c r="BF216" i="5"/>
  <c r="AO187" i="4"/>
  <c r="AO202" i="4"/>
  <c r="AO210" i="4"/>
  <c r="AO221" i="4" s="1"/>
  <c r="AG433" i="5"/>
  <c r="AT352" i="5"/>
  <c r="CS352" i="5" s="1"/>
  <c r="AO352" i="5"/>
  <c r="CR352" i="5" s="1"/>
  <c r="CR351" i="5"/>
  <c r="AO353" i="5"/>
  <c r="CR353" i="5" s="1"/>
  <c r="AT41" i="5"/>
  <c r="CS41" i="5" s="1"/>
  <c r="CS9" i="5"/>
  <c r="AT398" i="5"/>
  <c r="CS398" i="5" s="1"/>
  <c r="AT446" i="5"/>
  <c r="AT78" i="5"/>
  <c r="CK11" i="4"/>
  <c r="P14" i="4"/>
  <c r="P24" i="4" s="1"/>
  <c r="CK24" i="4" s="1"/>
  <c r="K267" i="4"/>
  <c r="AT120" i="4"/>
  <c r="CQ120" i="4" s="1"/>
  <c r="BA23" i="5"/>
  <c r="BA363" i="5"/>
  <c r="AT88" i="4"/>
  <c r="CQ88" i="4" s="1"/>
  <c r="L15" i="4"/>
  <c r="AG45" i="4"/>
  <c r="AG40" i="4"/>
  <c r="AE222" i="4"/>
  <c r="AB39" i="4"/>
  <c r="AB30" i="4"/>
  <c r="AG32" i="4" s="1"/>
  <c r="T226" i="4"/>
  <c r="S275" i="4"/>
  <c r="K22" i="4"/>
  <c r="CJ22" i="4" s="1"/>
  <c r="R268" i="4"/>
  <c r="CO48" i="4"/>
  <c r="AJ345" i="4"/>
  <c r="CK23" i="4"/>
  <c r="M225" i="4"/>
  <c r="M15" i="4"/>
  <c r="M228" i="4"/>
  <c r="C15" i="4"/>
  <c r="CF15" i="4" s="1"/>
  <c r="C238" i="4"/>
  <c r="CF14" i="4"/>
  <c r="BI98" i="5"/>
  <c r="BI99" i="5" s="1"/>
  <c r="CV99" i="5" s="1"/>
  <c r="Z215" i="4"/>
  <c r="Z196" i="4"/>
  <c r="CT48" i="4"/>
  <c r="BI345" i="4"/>
  <c r="CM91" i="4"/>
  <c r="Z227" i="4"/>
  <c r="CR48" i="4"/>
  <c r="AY345" i="4"/>
  <c r="AL221" i="4"/>
  <c r="CV30" i="5"/>
  <c r="BI37" i="5"/>
  <c r="AT225" i="5"/>
  <c r="AY225" i="5"/>
  <c r="BH37" i="4"/>
  <c r="BH23" i="4"/>
  <c r="BI34" i="4"/>
  <c r="CT34" i="4" s="1"/>
  <c r="I12" i="6" s="1"/>
  <c r="BD345" i="4"/>
  <c r="CS48" i="4"/>
  <c r="BA31" i="5"/>
  <c r="AV449" i="5"/>
  <c r="AV450" i="5" s="1"/>
  <c r="AV37" i="5"/>
  <c r="BA448" i="5"/>
  <c r="BB448" i="5"/>
  <c r="AV31" i="5"/>
  <c r="BK23" i="4"/>
  <c r="BK28" i="4" s="1"/>
  <c r="BK320" i="4" s="1"/>
  <c r="BK37" i="4"/>
  <c r="BP37" i="4" s="1"/>
  <c r="CO431" i="5"/>
  <c r="CJ183" i="4"/>
  <c r="K185" i="4"/>
  <c r="O24" i="4"/>
  <c r="AS248" i="5"/>
  <c r="AX248" i="5"/>
  <c r="AS213" i="5"/>
  <c r="AS205" i="5" s="1"/>
  <c r="AX208" i="5"/>
  <c r="AS208" i="5"/>
  <c r="CV9" i="5"/>
  <c r="BI41" i="5"/>
  <c r="CV41" i="5" s="1"/>
  <c r="BI78" i="5"/>
  <c r="BI446" i="5"/>
  <c r="BI398" i="5"/>
  <c r="CV398" i="5" s="1"/>
  <c r="AO340" i="5"/>
  <c r="CR340" i="5" s="1"/>
  <c r="CS107" i="5"/>
  <c r="AT108" i="5"/>
  <c r="CS108" i="5" s="1"/>
  <c r="CM12" i="4"/>
  <c r="Z14" i="4"/>
  <c r="Z24" i="4" s="1"/>
  <c r="CM24" i="4" s="1"/>
  <c r="BB362" i="5"/>
  <c r="BB22" i="5"/>
  <c r="BD22" i="5" s="1"/>
  <c r="P41" i="5"/>
  <c r="CM41" i="5" s="1"/>
  <c r="CM9" i="5"/>
  <c r="P398" i="5"/>
  <c r="CM398" i="5" s="1"/>
  <c r="P446" i="5"/>
  <c r="CE185" i="4"/>
  <c r="CE187" i="4" s="1"/>
  <c r="B187" i="4"/>
  <c r="AT248" i="5"/>
  <c r="CS248" i="5" s="1"/>
  <c r="BJ147" i="5"/>
  <c r="BK126" i="5"/>
  <c r="BK137" i="5"/>
  <c r="BK131" i="5"/>
  <c r="AL368" i="5"/>
  <c r="AL355" i="5"/>
  <c r="AL173" i="5"/>
  <c r="AL246" i="5"/>
  <c r="AZ28" i="4"/>
  <c r="B37" i="4"/>
  <c r="CE37" i="4" s="1"/>
  <c r="CW446" i="5"/>
  <c r="CS295" i="4"/>
  <c r="BD296" i="4"/>
  <c r="CS296" i="4" s="1"/>
  <c r="AC40" i="4"/>
  <c r="AC45" i="4"/>
  <c r="N39" i="4"/>
  <c r="BH236" i="4"/>
  <c r="BH238" i="4"/>
  <c r="BH240" i="4"/>
  <c r="BH239" i="4"/>
  <c r="BH243" i="4"/>
  <c r="BH237" i="4"/>
  <c r="BH242" i="4"/>
  <c r="BH241" i="4"/>
  <c r="AC342" i="4"/>
  <c r="AE110" i="4"/>
  <c r="Z226" i="4"/>
  <c r="P296" i="4"/>
  <c r="BR274" i="4"/>
  <c r="BS274" i="4" s="1"/>
  <c r="BS87" i="4"/>
  <c r="CV87" i="4" s="1"/>
  <c r="AS28" i="4"/>
  <c r="AS320" i="4" s="1"/>
  <c r="E39" i="4"/>
  <c r="N266" i="4"/>
  <c r="N268" i="4" s="1"/>
  <c r="O110" i="4"/>
  <c r="N115" i="4"/>
  <c r="N252" i="4"/>
  <c r="BD119" i="4"/>
  <c r="R342" i="4"/>
  <c r="R253" i="4"/>
  <c r="T110" i="4"/>
  <c r="U110" i="4" s="1"/>
  <c r="S115" i="4"/>
  <c r="S266" i="4"/>
  <c r="S268" i="4" s="1"/>
  <c r="S252" i="4"/>
  <c r="I30" i="4"/>
  <c r="N32" i="4" s="1"/>
  <c r="I39" i="4"/>
  <c r="I45" i="4" s="1"/>
  <c r="BK342" i="4"/>
  <c r="BK253" i="4"/>
  <c r="AN224" i="4"/>
  <c r="M28" i="4"/>
  <c r="S243" i="4"/>
  <c r="S24" i="4"/>
  <c r="S241" i="4"/>
  <c r="D15" i="4"/>
  <c r="CG15" i="4" s="1"/>
  <c r="C39" i="4"/>
  <c r="C22" i="4"/>
  <c r="CF22" i="4" s="1"/>
  <c r="C30" i="4"/>
  <c r="U215" i="4"/>
  <c r="U220" i="4"/>
  <c r="AQ268" i="4"/>
  <c r="T97" i="4"/>
  <c r="S344" i="4"/>
  <c r="S106" i="4"/>
  <c r="V41" i="5"/>
  <c r="V446" i="5"/>
  <c r="V398" i="5"/>
  <c r="AJ87" i="4"/>
  <c r="CO87" i="4" s="1"/>
  <c r="BS121" i="4"/>
  <c r="CN183" i="4"/>
  <c r="AE185" i="4"/>
  <c r="BY139" i="4"/>
  <c r="CX139" i="4" s="1"/>
  <c r="CX82" i="4"/>
  <c r="BC446" i="5"/>
  <c r="BC41" i="5"/>
  <c r="BC398" i="5"/>
  <c r="BC78" i="5"/>
  <c r="BC153" i="5" s="1"/>
  <c r="CO295" i="4"/>
  <c r="AJ296" i="4"/>
  <c r="CO296" i="4" s="1"/>
  <c r="CL183" i="4"/>
  <c r="U185" i="4"/>
  <c r="I333" i="4"/>
  <c r="I126" i="4"/>
  <c r="I132" i="4" s="1"/>
  <c r="J119" i="4"/>
  <c r="K119" i="4" s="1"/>
  <c r="AD14" i="4"/>
  <c r="AE11" i="4"/>
  <c r="AR252" i="4"/>
  <c r="AR266" i="4"/>
  <c r="AR268" i="4" s="1"/>
  <c r="AR115" i="4"/>
  <c r="AS110" i="4"/>
  <c r="BA41" i="5"/>
  <c r="BA78" i="5"/>
  <c r="BA153" i="5" s="1"/>
  <c r="BA446" i="5"/>
  <c r="BA398" i="5"/>
  <c r="BE39" i="4"/>
  <c r="BE40" i="4" s="1"/>
  <c r="S237" i="4"/>
  <c r="S236" i="4"/>
  <c r="R296" i="4"/>
  <c r="U295" i="4"/>
  <c r="U296" i="4" s="1"/>
  <c r="BL252" i="4"/>
  <c r="BL342" i="4" s="1"/>
  <c r="BL266" i="4"/>
  <c r="BL268" i="4" s="1"/>
  <c r="BL115" i="4"/>
  <c r="U18" i="4"/>
  <c r="T21" i="4"/>
  <c r="AE196" i="4"/>
  <c r="AJ196" i="4"/>
  <c r="AE210" i="4"/>
  <c r="AE215" i="4"/>
  <c r="AX308" i="4"/>
  <c r="AX126" i="4"/>
  <c r="M132" i="4"/>
  <c r="M304" i="4"/>
  <c r="CE21" i="4"/>
  <c r="B22" i="4"/>
  <c r="CE22" i="4" s="1"/>
  <c r="BI66" i="4"/>
  <c r="CT66" i="4" s="1"/>
  <c r="BJ311" i="4"/>
  <c r="BJ313" i="4" s="1"/>
  <c r="BI311" i="4"/>
  <c r="AW267" i="4"/>
  <c r="AW268" i="4" s="1"/>
  <c r="AX86" i="4"/>
  <c r="AX267" i="4" s="1"/>
  <c r="AS227" i="4"/>
  <c r="AT91" i="4"/>
  <c r="CQ91" i="4" s="1"/>
  <c r="AB296" i="4"/>
  <c r="AE295" i="4"/>
  <c r="AE296" i="4" s="1"/>
  <c r="S22" i="4"/>
  <c r="S39" i="4"/>
  <c r="S30" i="4"/>
  <c r="J344" i="4"/>
  <c r="CT110" i="4"/>
  <c r="CZ9" i="5"/>
  <c r="BY398" i="5"/>
  <c r="CZ398" i="5" s="1"/>
  <c r="BY41" i="5"/>
  <c r="CZ41" i="5" s="1"/>
  <c r="BY78" i="5"/>
  <c r="BY446" i="5"/>
  <c r="S15" i="4"/>
  <c r="S225" i="4"/>
  <c r="S242" i="4"/>
  <c r="X15" i="4"/>
  <c r="BL308" i="4"/>
  <c r="BN121" i="4"/>
  <c r="CU121" i="4" s="1"/>
  <c r="BL126" i="4"/>
  <c r="BI343" i="4"/>
  <c r="K104" i="4"/>
  <c r="H296" i="4"/>
  <c r="AB231" i="4"/>
  <c r="AB226" i="4"/>
  <c r="Z210" i="4"/>
  <c r="Z218" i="4"/>
  <c r="Z199" i="4"/>
  <c r="CS183" i="4"/>
  <c r="BD185" i="4"/>
  <c r="AW308" i="4"/>
  <c r="AW126" i="4"/>
  <c r="AY121" i="4"/>
  <c r="AO77" i="4"/>
  <c r="CP77" i="4" s="1"/>
  <c r="AN78" i="4"/>
  <c r="AO78" i="4" s="1"/>
  <c r="CP78" i="4" s="1"/>
  <c r="Y84" i="4"/>
  <c r="X106" i="4"/>
  <c r="O100" i="4"/>
  <c r="O344" i="4" s="1"/>
  <c r="N344" i="4"/>
  <c r="N106" i="4"/>
  <c r="AH275" i="4"/>
  <c r="AJ274" i="4"/>
  <c r="BD274" i="4"/>
  <c r="BC275" i="4"/>
  <c r="BH120" i="4"/>
  <c r="H28" i="4"/>
  <c r="H22" i="4"/>
  <c r="AJ86" i="4"/>
  <c r="CO86" i="4" s="1"/>
  <c r="AI267" i="4"/>
  <c r="CG185" i="4"/>
  <c r="CG187" i="4" s="1"/>
  <c r="D187" i="4"/>
  <c r="BK441" i="5"/>
  <c r="BK440" i="5"/>
  <c r="BK443" i="5"/>
  <c r="BK442" i="5"/>
  <c r="AU23" i="4"/>
  <c r="AU28" i="4" s="1"/>
  <c r="AU320" i="4" s="1"/>
  <c r="AU226" i="4"/>
  <c r="BA14" i="4"/>
  <c r="BA39" i="4" s="1"/>
  <c r="BA45" i="4" s="1"/>
  <c r="BK211" i="4"/>
  <c r="BI96" i="5"/>
  <c r="CV96" i="5" s="1"/>
  <c r="CV95" i="5"/>
  <c r="CQ367" i="5"/>
  <c r="AE35" i="5"/>
  <c r="CP35" i="5" s="1"/>
  <c r="BJ320" i="4"/>
  <c r="BF14" i="4"/>
  <c r="BI14" i="4" s="1"/>
  <c r="BI253" i="4" s="1"/>
  <c r="AZ322" i="5"/>
  <c r="AZ313" i="5"/>
  <c r="BD37" i="5"/>
  <c r="BD214" i="5"/>
  <c r="CU30" i="5"/>
  <c r="BI31" i="5"/>
  <c r="BH229" i="5"/>
  <c r="BC229" i="5"/>
  <c r="BD228" i="5"/>
  <c r="BC230" i="5"/>
  <c r="AU411" i="5"/>
  <c r="AY411" i="5" s="1"/>
  <c r="CT411" i="5" s="1"/>
  <c r="AF355" i="5"/>
  <c r="AF35" i="5"/>
  <c r="AF368" i="5"/>
  <c r="AF173" i="5"/>
  <c r="AK368" i="5"/>
  <c r="AK38" i="5"/>
  <c r="AP38" i="5"/>
  <c r="AQ310" i="5"/>
  <c r="AQ312" i="5" s="1"/>
  <c r="AQ313" i="5" s="1"/>
  <c r="BL253" i="4"/>
  <c r="AN369" i="5"/>
  <c r="AS369" i="5"/>
  <c r="AN213" i="5"/>
  <c r="CU393" i="5"/>
  <c r="BD395" i="5"/>
  <c r="CU395" i="5" s="1"/>
  <c r="BD394" i="5"/>
  <c r="CU394" i="5" s="1"/>
  <c r="BM24" i="5"/>
  <c r="BM205" i="4"/>
  <c r="BN21" i="5"/>
  <c r="BM22" i="5"/>
  <c r="I49" i="6"/>
  <c r="I38" i="6" s="1"/>
  <c r="N2" i="6" s="1"/>
  <c r="BI449" i="5"/>
  <c r="BI450" i="5" s="1"/>
  <c r="BI47" i="5"/>
  <c r="CV47" i="5" s="1"/>
  <c r="BG131" i="5"/>
  <c r="BG137" i="5"/>
  <c r="BG126" i="5"/>
  <c r="BB131" i="5"/>
  <c r="BB137" i="5"/>
  <c r="AY21" i="5"/>
  <c r="AY375" i="5"/>
  <c r="CT367" i="5"/>
  <c r="BD369" i="5"/>
  <c r="CU369" i="5" s="1"/>
  <c r="AY213" i="5"/>
  <c r="BD376" i="5"/>
  <c r="AU382" i="5"/>
  <c r="AU56" i="5"/>
  <c r="AU391" i="5"/>
  <c r="AU116" i="5"/>
  <c r="AU205" i="4"/>
  <c r="AU24" i="5"/>
  <c r="AU16" i="5"/>
  <c r="AU395" i="5"/>
  <c r="AU30" i="5"/>
  <c r="AU214" i="5" s="1"/>
  <c r="AZ24" i="5"/>
  <c r="AU387" i="5"/>
  <c r="AU226" i="5"/>
  <c r="AZ216" i="5"/>
  <c r="AU205" i="5"/>
  <c r="AU230" i="5"/>
  <c r="AU209" i="5"/>
  <c r="BD104" i="5"/>
  <c r="AN14" i="4"/>
  <c r="AN253" i="4" s="1"/>
  <c r="AN231" i="4"/>
  <c r="AN221" i="4"/>
  <c r="CR16" i="5"/>
  <c r="BC363" i="5"/>
  <c r="AX363" i="5"/>
  <c r="AX23" i="5"/>
  <c r="AW37" i="4"/>
  <c r="AW239" i="4"/>
  <c r="AW22" i="4"/>
  <c r="AW242" i="4"/>
  <c r="AW237" i="4"/>
  <c r="AW238" i="4"/>
  <c r="AW15" i="4"/>
  <c r="AW236" i="4"/>
  <c r="AW240" i="4"/>
  <c r="AW243" i="4"/>
  <c r="AW241" i="4"/>
  <c r="AW253" i="4"/>
  <c r="BE242" i="4"/>
  <c r="BE238" i="4"/>
  <c r="BE253" i="4"/>
  <c r="BE243" i="4"/>
  <c r="BE236" i="4"/>
  <c r="BE22" i="4"/>
  <c r="BE24" i="4"/>
  <c r="BE240" i="4"/>
  <c r="BE37" i="4"/>
  <c r="BE228" i="4"/>
  <c r="BE237" i="4"/>
  <c r="BE241" i="4"/>
  <c r="BE239" i="4"/>
  <c r="AM213" i="5"/>
  <c r="AM369" i="5"/>
  <c r="AR369" i="5"/>
  <c r="AN173" i="5"/>
  <c r="AN355" i="5"/>
  <c r="AN246" i="5"/>
  <c r="AN368" i="5"/>
  <c r="AN38" i="5"/>
  <c r="AZ23" i="5"/>
  <c r="AZ363" i="5"/>
  <c r="BE363" i="5"/>
  <c r="BL243" i="4"/>
  <c r="BQ243" i="4" s="1"/>
  <c r="BV243" i="4" s="1"/>
  <c r="BL228" i="4"/>
  <c r="BQ228" i="4" s="1"/>
  <c r="BV228" i="4" s="1"/>
  <c r="BL242" i="4"/>
  <c r="BQ242" i="4" s="1"/>
  <c r="BV242" i="4" s="1"/>
  <c r="BL237" i="4"/>
  <c r="BQ237" i="4" s="1"/>
  <c r="BV237" i="4" s="1"/>
  <c r="BL240" i="4"/>
  <c r="BQ240" i="4" s="1"/>
  <c r="BV240" i="4" s="1"/>
  <c r="BL236" i="4"/>
  <c r="BQ236" i="4" s="1"/>
  <c r="BV236" i="4" s="1"/>
  <c r="BL238" i="4"/>
  <c r="BQ238" i="4" s="1"/>
  <c r="BV238" i="4" s="1"/>
  <c r="BL241" i="4"/>
  <c r="BQ241" i="4" s="1"/>
  <c r="BV241" i="4" s="1"/>
  <c r="BL15" i="4"/>
  <c r="L320" i="4"/>
  <c r="L39" i="4"/>
  <c r="CI28" i="4"/>
  <c r="F39" i="4"/>
  <c r="AD39" i="4"/>
  <c r="AD320" i="4"/>
  <c r="AE320" i="4" s="1"/>
  <c r="AD30" i="4"/>
  <c r="V341" i="4"/>
  <c r="V347" i="4" s="1"/>
  <c r="V31" i="4"/>
  <c r="CN21" i="4"/>
  <c r="AE28" i="4"/>
  <c r="L31" i="4"/>
  <c r="F32" i="4"/>
  <c r="CI32" i="4" s="1"/>
  <c r="F31" i="4"/>
  <c r="CI31" i="4" s="1"/>
  <c r="F341" i="4"/>
  <c r="F347" i="4" s="1"/>
  <c r="W31" i="4"/>
  <c r="C111" i="8"/>
  <c r="S49" i="6"/>
  <c r="S48" i="6"/>
  <c r="S50" i="6"/>
  <c r="O54" i="6"/>
  <c r="S47" i="6"/>
  <c r="Z47" i="4"/>
  <c r="Z48" i="4" s="1"/>
  <c r="L48" i="4"/>
  <c r="O47" i="4"/>
  <c r="O48" i="4" s="1"/>
  <c r="CU171" i="4"/>
  <c r="AR433" i="5"/>
  <c r="Z137" i="5"/>
  <c r="CO131" i="5"/>
  <c r="CY145" i="4"/>
  <c r="BZ98" i="4"/>
  <c r="CY98" i="4" s="1"/>
  <c r="O267" i="4"/>
  <c r="P86" i="4"/>
  <c r="AD344" i="4"/>
  <c r="AE311" i="4"/>
  <c r="AA311" i="4"/>
  <c r="Z311" i="4"/>
  <c r="Q30" i="4"/>
  <c r="Q39" i="4"/>
  <c r="Q320" i="4"/>
  <c r="BP143" i="4"/>
  <c r="BP113" i="4" s="1"/>
  <c r="X39" i="4"/>
  <c r="X320" i="4"/>
  <c r="X30" i="4"/>
  <c r="AS303" i="4"/>
  <c r="BJ402" i="5"/>
  <c r="BK402" i="5" s="1"/>
  <c r="BL402" i="5" s="1"/>
  <c r="BM402" i="5" s="1"/>
  <c r="BN402" i="5" s="1"/>
  <c r="CV402" i="5"/>
  <c r="BL142" i="5"/>
  <c r="BL138" i="5"/>
  <c r="BB344" i="4"/>
  <c r="W132" i="4"/>
  <c r="W304" i="4"/>
  <c r="AX227" i="4"/>
  <c r="AY91" i="4"/>
  <c r="CR91" i="4" s="1"/>
  <c r="CP110" i="4"/>
  <c r="E16" i="6" s="1"/>
  <c r="CE28" i="4"/>
  <c r="B321" i="4"/>
  <c r="B320" i="4"/>
  <c r="B30" i="4"/>
  <c r="B39" i="4"/>
  <c r="Y320" i="4"/>
  <c r="Y39" i="4"/>
  <c r="CS97" i="4"/>
  <c r="AP239" i="4"/>
  <c r="AP241" i="4"/>
  <c r="AP37" i="4"/>
  <c r="AP22" i="4"/>
  <c r="AP228" i="4"/>
  <c r="AP238" i="4"/>
  <c r="AP24" i="4"/>
  <c r="AP253" i="4"/>
  <c r="AP243" i="4"/>
  <c r="AP39" i="4"/>
  <c r="AP225" i="4"/>
  <c r="AP240" i="4"/>
  <c r="AP237" i="4"/>
  <c r="AP236" i="4"/>
  <c r="AP242" i="4"/>
  <c r="B149" i="4"/>
  <c r="B157" i="4" s="1"/>
  <c r="CE142" i="4"/>
  <c r="CK120" i="4"/>
  <c r="AE345" i="4"/>
  <c r="CN48" i="4"/>
  <c r="CY153" i="5"/>
  <c r="CY78" i="5"/>
  <c r="CR100" i="4"/>
  <c r="G15" i="6" s="1"/>
  <c r="AY344" i="4"/>
  <c r="AT333" i="4"/>
  <c r="BH416" i="5"/>
  <c r="BI412" i="5"/>
  <c r="CU173" i="4"/>
  <c r="AL226" i="4"/>
  <c r="AL23" i="4"/>
  <c r="CP446" i="5"/>
  <c r="BH268" i="4"/>
  <c r="BI267" i="4"/>
  <c r="BI342" i="4"/>
  <c r="BR73" i="5"/>
  <c r="BS73" i="5" s="1"/>
  <c r="CX73" i="5" s="1"/>
  <c r="BS71" i="5"/>
  <c r="BL308" i="5"/>
  <c r="BP27" i="5"/>
  <c r="X252" i="4"/>
  <c r="X115" i="4"/>
  <c r="X266" i="4"/>
  <c r="Y110" i="4"/>
  <c r="Z110" i="4" s="1"/>
  <c r="CN98" i="4"/>
  <c r="AE344" i="4"/>
  <c r="BC100" i="4"/>
  <c r="BC344" i="4" s="1"/>
  <c r="CM23" i="4"/>
  <c r="BC78" i="4"/>
  <c r="BD78" i="4" s="1"/>
  <c r="CS78" i="4" s="1"/>
  <c r="BD77" i="4"/>
  <c r="CS77" i="4" s="1"/>
  <c r="CJ112" i="4"/>
  <c r="CV151" i="4"/>
  <c r="CY446" i="5"/>
  <c r="AT302" i="4"/>
  <c r="CQ119" i="4"/>
  <c r="CQ126" i="4" s="1"/>
  <c r="AT126" i="4"/>
  <c r="CW164" i="4"/>
  <c r="BY164" i="4"/>
  <c r="AW23" i="4"/>
  <c r="AW226" i="4"/>
  <c r="AW225" i="4"/>
  <c r="Q311" i="4"/>
  <c r="U311" i="4"/>
  <c r="P311" i="4"/>
  <c r="CV155" i="4"/>
  <c r="AN342" i="4"/>
  <c r="AO252" i="4"/>
  <c r="CS124" i="4"/>
  <c r="CQ99" i="4"/>
  <c r="F15" i="6" s="1"/>
  <c r="AT344" i="4"/>
  <c r="CT100" i="4"/>
  <c r="I15" i="6" s="1"/>
  <c r="BI344" i="4"/>
  <c r="I40" i="4"/>
  <c r="CV176" i="4"/>
  <c r="BE131" i="5"/>
  <c r="BE137" i="5"/>
  <c r="BE126" i="5"/>
  <c r="BP172" i="4"/>
  <c r="CL113" i="4"/>
  <c r="R320" i="4"/>
  <c r="CV181" i="4"/>
  <c r="AJ227" i="4"/>
  <c r="CV178" i="4"/>
  <c r="CV320" i="5"/>
  <c r="BI321" i="5"/>
  <c r="CV321" i="5" s="1"/>
  <c r="AN23" i="4"/>
  <c r="AN226" i="4"/>
  <c r="M320" i="4"/>
  <c r="I320" i="4"/>
  <c r="AO115" i="4"/>
  <c r="CP109" i="4"/>
  <c r="CP115" i="4" s="1"/>
  <c r="AN268" i="4"/>
  <c r="AO266" i="4"/>
  <c r="AR226" i="4"/>
  <c r="AT224" i="4"/>
  <c r="AR23" i="4"/>
  <c r="AV23" i="4"/>
  <c r="AV226" i="4"/>
  <c r="BJ40" i="4"/>
  <c r="BJ45" i="4"/>
  <c r="BJ30" i="4"/>
  <c r="BL449" i="5"/>
  <c r="CW367" i="5"/>
  <c r="BN369" i="5"/>
  <c r="CW369" i="5" s="1"/>
  <c r="BQ25" i="5"/>
  <c r="BP209" i="4"/>
  <c r="BS324" i="5"/>
  <c r="BQ309" i="5"/>
  <c r="CX94" i="5"/>
  <c r="BQ21" i="5"/>
  <c r="BQ119" i="5" s="1"/>
  <c r="BV119" i="5" s="1"/>
  <c r="BS367" i="5"/>
  <c r="BN309" i="5"/>
  <c r="CW309" i="5" s="1"/>
  <c r="CW324" i="5"/>
  <c r="BN325" i="5"/>
  <c r="CW325" i="5" s="1"/>
  <c r="BS67" i="5"/>
  <c r="BL21" i="4"/>
  <c r="AR238" i="4" l="1"/>
  <c r="AR243" i="4"/>
  <c r="AW211" i="4"/>
  <c r="AR240" i="4"/>
  <c r="AR237" i="4"/>
  <c r="AR225" i="4"/>
  <c r="AR241" i="4"/>
  <c r="AR236" i="4"/>
  <c r="AR126" i="5"/>
  <c r="AM14" i="4"/>
  <c r="AM228" i="4" s="1"/>
  <c r="CU98" i="5"/>
  <c r="BQ250" i="5"/>
  <c r="BQ211" i="5"/>
  <c r="BV81" i="5"/>
  <c r="BV84" i="5"/>
  <c r="BV82" i="5"/>
  <c r="BR24" i="5"/>
  <c r="BW24" i="5"/>
  <c r="BS120" i="4"/>
  <c r="BV120" i="4"/>
  <c r="BX120" i="4" s="1"/>
  <c r="BT274" i="4"/>
  <c r="BW77" i="4"/>
  <c r="BW87" i="4"/>
  <c r="BW274" i="4" s="1"/>
  <c r="BV78" i="4"/>
  <c r="BV141" i="5"/>
  <c r="BX77" i="4"/>
  <c r="CW77" i="4" s="1"/>
  <c r="BT78" i="4"/>
  <c r="BT141" i="5"/>
  <c r="BN274" i="4"/>
  <c r="BU78" i="4"/>
  <c r="BU141" i="5"/>
  <c r="AM211" i="4"/>
  <c r="BV24" i="5"/>
  <c r="AM221" i="4"/>
  <c r="BR205" i="4"/>
  <c r="BG45" i="4"/>
  <c r="BG40" i="4"/>
  <c r="BG30" i="4"/>
  <c r="BG31" i="4" s="1"/>
  <c r="CV54" i="5"/>
  <c r="AQ211" i="4"/>
  <c r="AO17" i="5"/>
  <c r="AL14" i="4"/>
  <c r="AL225" i="4" s="1"/>
  <c r="AL211" i="4"/>
  <c r="BG253" i="4"/>
  <c r="BG242" i="4"/>
  <c r="BG22" i="4"/>
  <c r="BG228" i="4"/>
  <c r="BG243" i="4"/>
  <c r="BG237" i="4"/>
  <c r="BG236" i="4"/>
  <c r="AJ17" i="5"/>
  <c r="AJ228" i="4"/>
  <c r="I341" i="4"/>
  <c r="V45" i="4"/>
  <c r="V249" i="4" s="1"/>
  <c r="L32" i="4"/>
  <c r="I31" i="4"/>
  <c r="BX369" i="5"/>
  <c r="CY369" i="5" s="1"/>
  <c r="BU94" i="5"/>
  <c r="BU85" i="5"/>
  <c r="BR209" i="5"/>
  <c r="BW205" i="5"/>
  <c r="BW209" i="5" s="1"/>
  <c r="BC443" i="5"/>
  <c r="AE355" i="5"/>
  <c r="CP355" i="5" s="1"/>
  <c r="AE368" i="5"/>
  <c r="CP368" i="5" s="1"/>
  <c r="BX310" i="5"/>
  <c r="CY310" i="5" s="1"/>
  <c r="AP142" i="5"/>
  <c r="AP143" i="5" s="1"/>
  <c r="CP37" i="5"/>
  <c r="AO416" i="5"/>
  <c r="CR416" i="5" s="1"/>
  <c r="CY435" i="5"/>
  <c r="AY229" i="5"/>
  <c r="AM237" i="4"/>
  <c r="BC441" i="5"/>
  <c r="BC440" i="5"/>
  <c r="BW309" i="5"/>
  <c r="BX324" i="5"/>
  <c r="BM432" i="5"/>
  <c r="BR432" i="5" s="1"/>
  <c r="BW432" i="5" s="1"/>
  <c r="AW310" i="5"/>
  <c r="AW312" i="5" s="1"/>
  <c r="AW313" i="5" s="1"/>
  <c r="AX437" i="5"/>
  <c r="AX440" i="5" s="1"/>
  <c r="AM142" i="5"/>
  <c r="AM143" i="5" s="1"/>
  <c r="AK246" i="5"/>
  <c r="AY230" i="4"/>
  <c r="AY233" i="4" s="1"/>
  <c r="AY232" i="4" s="1"/>
  <c r="CR69" i="5"/>
  <c r="BD205" i="5"/>
  <c r="AR231" i="4"/>
  <c r="AR221" i="4"/>
  <c r="CT69" i="5"/>
  <c r="BC312" i="5"/>
  <c r="BC322" i="5" s="1"/>
  <c r="AX436" i="5"/>
  <c r="BI432" i="5"/>
  <c r="BI433" i="5" s="1"/>
  <c r="AR211" i="4"/>
  <c r="AM236" i="4"/>
  <c r="AM243" i="4"/>
  <c r="BC432" i="5"/>
  <c r="BD432" i="5" s="1"/>
  <c r="AS437" i="5"/>
  <c r="AS443" i="5" s="1"/>
  <c r="AM241" i="4"/>
  <c r="AM22" i="4"/>
  <c r="AM239" i="4"/>
  <c r="AM15" i="4"/>
  <c r="AM238" i="4"/>
  <c r="BH228" i="4"/>
  <c r="BH253" i="4"/>
  <c r="CF135" i="4"/>
  <c r="AJ210" i="4"/>
  <c r="AO211" i="4" s="1"/>
  <c r="CT446" i="5"/>
  <c r="BE45" i="4"/>
  <c r="BE49" i="4" s="1"/>
  <c r="R30" i="4"/>
  <c r="R31" i="4" s="1"/>
  <c r="Z21" i="4"/>
  <c r="Z28" i="4" s="1"/>
  <c r="C135" i="4"/>
  <c r="BQ82" i="5"/>
  <c r="BQ84" i="5"/>
  <c r="BQ81" i="5"/>
  <c r="AS310" i="5"/>
  <c r="AS312" i="5" s="1"/>
  <c r="AX314" i="5" s="1"/>
  <c r="AX23" i="4"/>
  <c r="BD437" i="5"/>
  <c r="AK23" i="4"/>
  <c r="AA341" i="4"/>
  <c r="AA347" i="4" s="1"/>
  <c r="AA348" i="4" s="1"/>
  <c r="CO187" i="4"/>
  <c r="U126" i="4"/>
  <c r="AO31" i="5"/>
  <c r="CR31" i="5" s="1"/>
  <c r="AP412" i="5"/>
  <c r="AP416" i="5" s="1"/>
  <c r="J238" i="4"/>
  <c r="J239" i="4"/>
  <c r="J236" i="4"/>
  <c r="J242" i="4"/>
  <c r="J225" i="4"/>
  <c r="J37" i="4"/>
  <c r="J241" i="4"/>
  <c r="J243" i="4"/>
  <c r="J237" i="4"/>
  <c r="J240" i="4"/>
  <c r="J22" i="4"/>
  <c r="AX225" i="4"/>
  <c r="BD307" i="5"/>
  <c r="BD312" i="5" s="1"/>
  <c r="BB15" i="4"/>
  <c r="AY253" i="5"/>
  <c r="AJ31" i="5"/>
  <c r="CQ31" i="5" s="1"/>
  <c r="BP133" i="5"/>
  <c r="AF311" i="4"/>
  <c r="AJ311" i="4"/>
  <c r="AY224" i="4"/>
  <c r="BF240" i="4"/>
  <c r="BK55" i="5"/>
  <c r="BD75" i="5"/>
  <c r="CU75" i="5" s="1"/>
  <c r="CL126" i="4"/>
  <c r="AX246" i="5"/>
  <c r="CT77" i="4"/>
  <c r="BI121" i="5"/>
  <c r="BM104" i="4"/>
  <c r="BN104" i="4" s="1"/>
  <c r="CU104" i="4" s="1"/>
  <c r="BM268" i="4"/>
  <c r="BL416" i="5"/>
  <c r="BH426" i="5"/>
  <c r="BI426" i="5" s="1"/>
  <c r="CV426" i="5" s="1"/>
  <c r="BI421" i="5"/>
  <c r="CV421" i="5" s="1"/>
  <c r="BK416" i="5"/>
  <c r="CA98" i="4"/>
  <c r="CZ98" i="4" s="1"/>
  <c r="CV120" i="4"/>
  <c r="BM344" i="4"/>
  <c r="AM23" i="4"/>
  <c r="AZ142" i="5"/>
  <c r="BF242" i="4"/>
  <c r="AN211" i="4"/>
  <c r="AX313" i="5"/>
  <c r="AT412" i="5"/>
  <c r="BY435" i="5"/>
  <c r="CS69" i="5"/>
  <c r="CX403" i="5"/>
  <c r="AX173" i="5"/>
  <c r="BF22" i="4"/>
  <c r="BE15" i="4"/>
  <c r="U47" i="4"/>
  <c r="F348" i="4"/>
  <c r="BS112" i="5"/>
  <c r="BL113" i="5"/>
  <c r="AL142" i="5"/>
  <c r="AL143" i="5" s="1"/>
  <c r="BK69" i="5"/>
  <c r="BK75" i="5" s="1"/>
  <c r="AR142" i="5"/>
  <c r="AR143" i="5" s="1"/>
  <c r="BI55" i="5"/>
  <c r="CV55" i="5" s="1"/>
  <c r="AW137" i="5"/>
  <c r="AW138" i="5" s="1"/>
  <c r="BI56" i="5"/>
  <c r="CV56" i="5" s="1"/>
  <c r="AK138" i="5"/>
  <c r="BN266" i="4"/>
  <c r="BT432" i="5"/>
  <c r="CM47" i="4"/>
  <c r="P284" i="4"/>
  <c r="U280" i="4" s="1"/>
  <c r="AN225" i="4"/>
  <c r="AO224" i="4"/>
  <c r="BP141" i="5"/>
  <c r="BP78" i="4"/>
  <c r="BS78" i="4" s="1"/>
  <c r="CV78" i="4" s="1"/>
  <c r="AI211" i="4"/>
  <c r="AI14" i="4"/>
  <c r="AN15" i="4" s="1"/>
  <c r="BB241" i="4"/>
  <c r="BB239" i="4"/>
  <c r="BB243" i="4"/>
  <c r="BB242" i="4"/>
  <c r="BB240" i="4"/>
  <c r="BB228" i="4"/>
  <c r="BB236" i="4"/>
  <c r="BB237" i="4"/>
  <c r="BB238" i="4"/>
  <c r="BB22" i="4"/>
  <c r="BG15" i="4"/>
  <c r="CU16" i="5"/>
  <c r="BI17" i="5"/>
  <c r="CV17" i="5" s="1"/>
  <c r="BD35" i="4"/>
  <c r="CS35" i="4" s="1"/>
  <c r="BC34" i="4"/>
  <c r="BC126" i="4"/>
  <c r="BB253" i="4"/>
  <c r="E21" i="6"/>
  <c r="AT187" i="4"/>
  <c r="AH341" i="4"/>
  <c r="AH31" i="4"/>
  <c r="CU77" i="4"/>
  <c r="CW103" i="5"/>
  <c r="AY115" i="4"/>
  <c r="CR110" i="4"/>
  <c r="BN153" i="5"/>
  <c r="CW153" i="5" s="1"/>
  <c r="CW78" i="5"/>
  <c r="BA126" i="5"/>
  <c r="BA137" i="5"/>
  <c r="BA131" i="5"/>
  <c r="AK211" i="4"/>
  <c r="AK221" i="4"/>
  <c r="AK14" i="4"/>
  <c r="AK231" i="4"/>
  <c r="AP211" i="4"/>
  <c r="AV216" i="5"/>
  <c r="AQ216" i="5"/>
  <c r="AQ209" i="5"/>
  <c r="AQ230" i="5"/>
  <c r="AQ214" i="5"/>
  <c r="T227" i="4"/>
  <c r="U91" i="4"/>
  <c r="BK147" i="5"/>
  <c r="BI216" i="5"/>
  <c r="BI226" i="5"/>
  <c r="BI209" i="5"/>
  <c r="BH138" i="5"/>
  <c r="BH142" i="5"/>
  <c r="AO119" i="4"/>
  <c r="AN302" i="4"/>
  <c r="AN303" i="4" s="1"/>
  <c r="AN126" i="4"/>
  <c r="AN333" i="4"/>
  <c r="AO333" i="4" s="1"/>
  <c r="CN446" i="5"/>
  <c r="CS415" i="5"/>
  <c r="AT421" i="5"/>
  <c r="CS421" i="5" s="1"/>
  <c r="I275" i="4"/>
  <c r="AX126" i="5"/>
  <c r="AX131" i="5"/>
  <c r="AX137" i="5"/>
  <c r="BH75" i="5"/>
  <c r="P37" i="4"/>
  <c r="CK37" i="4" s="1"/>
  <c r="BD254" i="5"/>
  <c r="BA228" i="4"/>
  <c r="CV98" i="5"/>
  <c r="AO369" i="5"/>
  <c r="CR369" i="5" s="1"/>
  <c r="BD126" i="4"/>
  <c r="Z225" i="4"/>
  <c r="CS245" i="5"/>
  <c r="AX252" i="4"/>
  <c r="AY252" i="4" s="1"/>
  <c r="AY342" i="4" s="1"/>
  <c r="AW126" i="5"/>
  <c r="BI295" i="4"/>
  <c r="BE296" i="4"/>
  <c r="CX446" i="5"/>
  <c r="J227" i="4"/>
  <c r="J228" i="4" s="1"/>
  <c r="K91" i="4"/>
  <c r="T94" i="4"/>
  <c r="U94" i="4" s="1"/>
  <c r="CL94" i="4" s="1"/>
  <c r="AD267" i="4"/>
  <c r="AE267" i="4" s="1"/>
  <c r="AE86" i="4"/>
  <c r="CN86" i="4" s="1"/>
  <c r="BC267" i="4"/>
  <c r="BD86" i="4"/>
  <c r="CS86" i="4" s="1"/>
  <c r="CR125" i="5"/>
  <c r="AO137" i="5"/>
  <c r="CQ116" i="5"/>
  <c r="AJ117" i="5"/>
  <c r="CQ117" i="5" s="1"/>
  <c r="CG28" i="4"/>
  <c r="D30" i="4"/>
  <c r="D320" i="4"/>
  <c r="D39" i="4"/>
  <c r="AJ302" i="4"/>
  <c r="AJ303" i="4" s="1"/>
  <c r="CO119" i="4"/>
  <c r="CO126" i="4" s="1"/>
  <c r="AJ126" i="4"/>
  <c r="AF30" i="4"/>
  <c r="AF320" i="4"/>
  <c r="AF39" i="4"/>
  <c r="AJ81" i="5"/>
  <c r="CQ81" i="5" s="1"/>
  <c r="CQ80" i="5"/>
  <c r="H342" i="4"/>
  <c r="H253" i="4"/>
  <c r="J274" i="4"/>
  <c r="J275" i="4" s="1"/>
  <c r="K87" i="4"/>
  <c r="CJ87" i="4" s="1"/>
  <c r="Z119" i="4"/>
  <c r="Y126" i="4"/>
  <c r="Y302" i="4"/>
  <c r="Y303" i="4" s="1"/>
  <c r="Y333" i="4"/>
  <c r="Z333" i="4" s="1"/>
  <c r="Z187" i="4"/>
  <c r="CM185" i="4"/>
  <c r="CM187" i="4" s="1"/>
  <c r="AT295" i="4"/>
  <c r="AP296" i="4"/>
  <c r="AG35" i="5"/>
  <c r="AG38" i="5"/>
  <c r="AG355" i="5"/>
  <c r="AG173" i="5"/>
  <c r="AG368" i="5"/>
  <c r="AC268" i="4"/>
  <c r="AC31" i="4"/>
  <c r="AH32" i="4"/>
  <c r="AC341" i="4"/>
  <c r="AC347" i="4" s="1"/>
  <c r="CU95" i="5"/>
  <c r="BD96" i="5"/>
  <c r="CU96" i="5" s="1"/>
  <c r="AZ426" i="5"/>
  <c r="BD426" i="5" s="1"/>
  <c r="CU426" i="5" s="1"/>
  <c r="BD421" i="5"/>
  <c r="CU421" i="5" s="1"/>
  <c r="AR209" i="5"/>
  <c r="AR230" i="5"/>
  <c r="AR226" i="5"/>
  <c r="AW216" i="5"/>
  <c r="AR214" i="5"/>
  <c r="AR205" i="5"/>
  <c r="BE30" i="4"/>
  <c r="BE341" i="4" s="1"/>
  <c r="BE347" i="4" s="1"/>
  <c r="P126" i="4"/>
  <c r="AD106" i="4"/>
  <c r="AD132" i="4" s="1"/>
  <c r="AB32" i="4"/>
  <c r="J106" i="4"/>
  <c r="AT276" i="5"/>
  <c r="AP276" i="5" s="1"/>
  <c r="O28" i="4"/>
  <c r="O320" i="4" s="1"/>
  <c r="P320" i="4" s="1"/>
  <c r="BY136" i="5"/>
  <c r="BZ136" i="5" s="1"/>
  <c r="AX115" i="4"/>
  <c r="AO213" i="5"/>
  <c r="AO209" i="5" s="1"/>
  <c r="AQ240" i="4"/>
  <c r="R132" i="4"/>
  <c r="CX78" i="5"/>
  <c r="BS153" i="5"/>
  <c r="CX153" i="5" s="1"/>
  <c r="AE274" i="4"/>
  <c r="AY302" i="4"/>
  <c r="AY303" i="4" s="1"/>
  <c r="CR119" i="4"/>
  <c r="BI121" i="4"/>
  <c r="CT121" i="4" s="1"/>
  <c r="BF126" i="5"/>
  <c r="BF131" i="5"/>
  <c r="BF137" i="5"/>
  <c r="AV209" i="5"/>
  <c r="AV226" i="5"/>
  <c r="AV205" i="5"/>
  <c r="AV230" i="5"/>
  <c r="AV117" i="5"/>
  <c r="AV125" i="5"/>
  <c r="BA17" i="5"/>
  <c r="AV17" i="5"/>
  <c r="AH342" i="4"/>
  <c r="AH253" i="4"/>
  <c r="AP307" i="5"/>
  <c r="AT427" i="5"/>
  <c r="AP435" i="5"/>
  <c r="BN78" i="4"/>
  <c r="CU78" i="4" s="1"/>
  <c r="BN141" i="5"/>
  <c r="H268" i="4"/>
  <c r="AD227" i="4"/>
  <c r="AD228" i="4" s="1"/>
  <c r="AE91" i="4"/>
  <c r="BD206" i="4"/>
  <c r="BD210" i="4" s="1"/>
  <c r="CU20" i="5"/>
  <c r="AC275" i="4"/>
  <c r="AK296" i="4"/>
  <c r="AO295" i="4"/>
  <c r="CT22" i="5"/>
  <c r="AY359" i="5"/>
  <c r="CT359" i="5" s="1"/>
  <c r="AY360" i="5"/>
  <c r="CT360" i="5" s="1"/>
  <c r="AY401" i="5"/>
  <c r="CT399" i="5"/>
  <c r="AY400" i="5"/>
  <c r="CT400" i="5" s="1"/>
  <c r="AV308" i="5"/>
  <c r="AV435" i="5"/>
  <c r="BI205" i="5"/>
  <c r="AM225" i="4"/>
  <c r="BF37" i="4"/>
  <c r="AY248" i="5"/>
  <c r="CT248" i="5" s="1"/>
  <c r="AK173" i="5"/>
  <c r="AJ37" i="5"/>
  <c r="AJ173" i="5" s="1"/>
  <c r="CQ173" i="5" s="1"/>
  <c r="BI115" i="4"/>
  <c r="AM253" i="4"/>
  <c r="AM240" i="4"/>
  <c r="AM242" i="4"/>
  <c r="AT278" i="5"/>
  <c r="AQ237" i="4"/>
  <c r="AX266" i="4"/>
  <c r="AY266" i="4" s="1"/>
  <c r="W45" i="4"/>
  <c r="W51" i="4" s="1"/>
  <c r="W63" i="4" s="1"/>
  <c r="AR15" i="4"/>
  <c r="BA216" i="5"/>
  <c r="AQ205" i="5"/>
  <c r="BD252" i="4"/>
  <c r="BD342" i="4" s="1"/>
  <c r="AN137" i="5"/>
  <c r="AN131" i="5"/>
  <c r="AO131" i="5" s="1"/>
  <c r="CR131" i="5" s="1"/>
  <c r="AN126" i="5"/>
  <c r="K109" i="4"/>
  <c r="BC368" i="5"/>
  <c r="BC246" i="5"/>
  <c r="BC173" i="5"/>
  <c r="AE87" i="4"/>
  <c r="CN87" i="4" s="1"/>
  <c r="AW173" i="5"/>
  <c r="AW368" i="5"/>
  <c r="AW246" i="5"/>
  <c r="BB38" i="5"/>
  <c r="AW38" i="5"/>
  <c r="AX302" i="4"/>
  <c r="AX303" i="4" s="1"/>
  <c r="AX333" i="4"/>
  <c r="AY333" i="4" s="1"/>
  <c r="AZ239" i="4"/>
  <c r="AZ242" i="4"/>
  <c r="AZ37" i="4"/>
  <c r="AZ253" i="4"/>
  <c r="AZ236" i="4"/>
  <c r="AZ238" i="4"/>
  <c r="AZ240" i="4"/>
  <c r="AZ228" i="4"/>
  <c r="AZ241" i="4"/>
  <c r="AZ22" i="4"/>
  <c r="AZ243" i="4"/>
  <c r="AZ237" i="4"/>
  <c r="K243" i="4"/>
  <c r="K239" i="4"/>
  <c r="K237" i="4"/>
  <c r="K240" i="4"/>
  <c r="CJ14" i="4"/>
  <c r="K238" i="4"/>
  <c r="K236" i="4"/>
  <c r="K37" i="4"/>
  <c r="CJ37" i="4" s="1"/>
  <c r="K225" i="4"/>
  <c r="K241" i="4"/>
  <c r="K242" i="4"/>
  <c r="K15" i="4"/>
  <c r="CJ15" i="4" s="1"/>
  <c r="AV202" i="4"/>
  <c r="AV210" i="4"/>
  <c r="AI266" i="4"/>
  <c r="AJ266" i="4" s="1"/>
  <c r="AI115" i="4"/>
  <c r="AI252" i="4"/>
  <c r="AJ252" i="4" s="1"/>
  <c r="AJ110" i="4"/>
  <c r="BN87" i="4"/>
  <c r="CU87" i="4" s="1"/>
  <c r="AO108" i="5"/>
  <c r="CR108" i="5" s="1"/>
  <c r="CR107" i="5"/>
  <c r="AJ125" i="5"/>
  <c r="AI126" i="5"/>
  <c r="AI131" i="5"/>
  <c r="AI137" i="5"/>
  <c r="I266" i="4"/>
  <c r="I268" i="4" s="1"/>
  <c r="I252" i="4"/>
  <c r="J110" i="4"/>
  <c r="J115" i="4" s="1"/>
  <c r="O274" i="4"/>
  <c r="O275" i="4" s="1"/>
  <c r="P87" i="4"/>
  <c r="CK87" i="4" s="1"/>
  <c r="BC14" i="4"/>
  <c r="BD14" i="4" s="1"/>
  <c r="BD242" i="4" s="1"/>
  <c r="BC211" i="4"/>
  <c r="BC221" i="4"/>
  <c r="BH211" i="4"/>
  <c r="AR368" i="5"/>
  <c r="AR173" i="5"/>
  <c r="AR38" i="5"/>
  <c r="AR355" i="5"/>
  <c r="AR246" i="5"/>
  <c r="AY208" i="5"/>
  <c r="BD208" i="5"/>
  <c r="BC125" i="5"/>
  <c r="BI228" i="5"/>
  <c r="BK229" i="5"/>
  <c r="BF229" i="5"/>
  <c r="BF230" i="5"/>
  <c r="AW23" i="5"/>
  <c r="AY23" i="5" s="1"/>
  <c r="AW363" i="5"/>
  <c r="AZ411" i="5"/>
  <c r="BD411" i="5" s="1"/>
  <c r="CU411" i="5" s="1"/>
  <c r="AY427" i="5"/>
  <c r="CT427" i="5" s="1"/>
  <c r="CK126" i="4"/>
  <c r="AQ228" i="4"/>
  <c r="AQ236" i="4"/>
  <c r="J30" i="4"/>
  <c r="AQ225" i="4"/>
  <c r="J39" i="4"/>
  <c r="J45" i="4" s="1"/>
  <c r="CM97" i="4"/>
  <c r="B15" i="6" s="1"/>
  <c r="Z344" i="4"/>
  <c r="CS110" i="4"/>
  <c r="BD115" i="4"/>
  <c r="AQ238" i="4"/>
  <c r="AQ242" i="4"/>
  <c r="AU435" i="5"/>
  <c r="AU437" i="5" s="1"/>
  <c r="AQ22" i="4"/>
  <c r="BK24" i="4"/>
  <c r="AQ37" i="4"/>
  <c r="AQ241" i="4"/>
  <c r="AQ239" i="4"/>
  <c r="AQ253" i="4"/>
  <c r="Q280" i="4"/>
  <c r="Q282" i="4" s="1"/>
  <c r="U282" i="4" s="1"/>
  <c r="CU22" i="5"/>
  <c r="BD360" i="5"/>
  <c r="CU360" i="5" s="1"/>
  <c r="BD359" i="5"/>
  <c r="CU359" i="5" s="1"/>
  <c r="CL110" i="4"/>
  <c r="U115" i="4"/>
  <c r="BK142" i="5"/>
  <c r="BK138" i="5"/>
  <c r="AX17" i="5"/>
  <c r="AS17" i="5"/>
  <c r="AT16" i="5"/>
  <c r="BG147" i="5"/>
  <c r="CJ28" i="4"/>
  <c r="K39" i="4"/>
  <c r="K30" i="4"/>
  <c r="BH314" i="5"/>
  <c r="P47" i="4"/>
  <c r="P48" i="4" s="1"/>
  <c r="BF238" i="4"/>
  <c r="BF236" i="4"/>
  <c r="BF239" i="4"/>
  <c r="BF24" i="4"/>
  <c r="BA242" i="4"/>
  <c r="S342" i="4"/>
  <c r="S253" i="4"/>
  <c r="O266" i="4"/>
  <c r="P266" i="4" s="1"/>
  <c r="O115" i="4"/>
  <c r="O252" i="4"/>
  <c r="P110" i="4"/>
  <c r="AE252" i="4"/>
  <c r="AE342" i="4" s="1"/>
  <c r="AY277" i="5"/>
  <c r="AQ277" i="5"/>
  <c r="CS277" i="5"/>
  <c r="AP277" i="5"/>
  <c r="BB23" i="5"/>
  <c r="BD23" i="5" s="1"/>
  <c r="BB363" i="5"/>
  <c r="BG363" i="5"/>
  <c r="CV78" i="5"/>
  <c r="BI153" i="5"/>
  <c r="CV153" i="5" s="1"/>
  <c r="AV246" i="5"/>
  <c r="AV368" i="5"/>
  <c r="BA38" i="5"/>
  <c r="AV355" i="5"/>
  <c r="AV38" i="5"/>
  <c r="AV173" i="5"/>
  <c r="BB314" i="5"/>
  <c r="BI187" i="4"/>
  <c r="AB40" i="4"/>
  <c r="AB45" i="4"/>
  <c r="P239" i="4"/>
  <c r="P236" i="4"/>
  <c r="P225" i="4"/>
  <c r="P240" i="4"/>
  <c r="CK14" i="4"/>
  <c r="P241" i="4"/>
  <c r="P243" i="4"/>
  <c r="P15" i="4"/>
  <c r="CK15" i="4" s="1"/>
  <c r="P242" i="4"/>
  <c r="P237" i="4"/>
  <c r="P238" i="4"/>
  <c r="Z433" i="5"/>
  <c r="CO433" i="5" s="1"/>
  <c r="CO430" i="5"/>
  <c r="P228" i="4"/>
  <c r="CS21" i="5"/>
  <c r="AT30" i="5"/>
  <c r="AT391" i="5"/>
  <c r="CS391" i="5" s="1"/>
  <c r="AT205" i="4"/>
  <c r="AT24" i="5"/>
  <c r="CS24" i="5" s="1"/>
  <c r="AT387" i="5"/>
  <c r="CS387" i="5" s="1"/>
  <c r="AT382" i="5"/>
  <c r="CS382" i="5" s="1"/>
  <c r="AT56" i="5"/>
  <c r="CS56" i="5" s="1"/>
  <c r="AT395" i="5"/>
  <c r="CS395" i="5" s="1"/>
  <c r="CK19" i="4"/>
  <c r="P21" i="4"/>
  <c r="CZ435" i="5"/>
  <c r="BY310" i="5"/>
  <c r="CZ310" i="5" s="1"/>
  <c r="BZ435" i="5"/>
  <c r="CA435" i="5" s="1"/>
  <c r="AA49" i="4"/>
  <c r="AA249" i="4"/>
  <c r="AA51" i="4"/>
  <c r="BJ138" i="5"/>
  <c r="BJ142" i="5"/>
  <c r="BF336" i="5"/>
  <c r="BI335" i="5"/>
  <c r="BN336" i="5" s="1"/>
  <c r="CW336" i="5" s="1"/>
  <c r="BK336" i="5"/>
  <c r="BF337" i="5"/>
  <c r="DA446" i="5"/>
  <c r="AH51" i="4"/>
  <c r="AH49" i="4"/>
  <c r="AH249" i="4"/>
  <c r="AO355" i="5"/>
  <c r="CR355" i="5" s="1"/>
  <c r="AO173" i="5"/>
  <c r="CR173" i="5" s="1"/>
  <c r="CR37" i="5"/>
  <c r="AO368" i="5"/>
  <c r="CR368" i="5" s="1"/>
  <c r="AX240" i="4"/>
  <c r="AX239" i="4"/>
  <c r="AX22" i="4"/>
  <c r="AX37" i="4"/>
  <c r="AX236" i="4"/>
  <c r="AX237" i="4"/>
  <c r="AX243" i="4"/>
  <c r="AX242" i="4"/>
  <c r="AX241" i="4"/>
  <c r="AX238" i="4"/>
  <c r="AC249" i="4"/>
  <c r="AC51" i="4"/>
  <c r="AC49" i="4"/>
  <c r="AE433" i="5"/>
  <c r="CP433" i="5" s="1"/>
  <c r="CP430" i="5"/>
  <c r="U242" i="4"/>
  <c r="U239" i="4"/>
  <c r="U238" i="4"/>
  <c r="U241" i="4"/>
  <c r="U236" i="4"/>
  <c r="U240" i="4"/>
  <c r="U15" i="4"/>
  <c r="CL15" i="4" s="1"/>
  <c r="U243" i="4"/>
  <c r="CL14" i="4"/>
  <c r="U237" i="4"/>
  <c r="CL115" i="4"/>
  <c r="BF243" i="4"/>
  <c r="BF253" i="4"/>
  <c r="BF241" i="4"/>
  <c r="BA22" i="4"/>
  <c r="AY433" i="5"/>
  <c r="CT430" i="5"/>
  <c r="N40" i="4"/>
  <c r="N45" i="4"/>
  <c r="CV430" i="5"/>
  <c r="Z228" i="4"/>
  <c r="Z241" i="4"/>
  <c r="Z15" i="4"/>
  <c r="CM15" i="4" s="1"/>
  <c r="B6" i="6" s="1"/>
  <c r="Z237" i="4"/>
  <c r="CM14" i="4"/>
  <c r="Z243" i="4"/>
  <c r="Z240" i="4"/>
  <c r="Z239" i="4"/>
  <c r="Z242" i="4"/>
  <c r="Z236" i="4"/>
  <c r="Z238" i="4"/>
  <c r="Z37" i="4"/>
  <c r="CM37" i="4" s="1"/>
  <c r="CJ185" i="4"/>
  <c r="CJ187" i="4" s="1"/>
  <c r="K187" i="4"/>
  <c r="BI246" i="5"/>
  <c r="CV246" i="5" s="1"/>
  <c r="CV368" i="5"/>
  <c r="CV37" i="5"/>
  <c r="BI173" i="5"/>
  <c r="CV173" i="5" s="1"/>
  <c r="AL22" i="4"/>
  <c r="AL238" i="4"/>
  <c r="AL239" i="4"/>
  <c r="AL253" i="4"/>
  <c r="AW442" i="5"/>
  <c r="AW441" i="5"/>
  <c r="AW440" i="5"/>
  <c r="AT153" i="5"/>
  <c r="CS153" i="5" s="1"/>
  <c r="CS78" i="5"/>
  <c r="AX442" i="5"/>
  <c r="AX441" i="5"/>
  <c r="AS117" i="5"/>
  <c r="AS125" i="5"/>
  <c r="AT116" i="5"/>
  <c r="U225" i="4"/>
  <c r="AD268" i="4"/>
  <c r="AE266" i="4"/>
  <c r="AQ28" i="4"/>
  <c r="AQ24" i="4"/>
  <c r="O39" i="4"/>
  <c r="BF23" i="5"/>
  <c r="BF363" i="5"/>
  <c r="CP58" i="4"/>
  <c r="AO148" i="5"/>
  <c r="CR148" i="5" s="1"/>
  <c r="BB28" i="4"/>
  <c r="BB24" i="4"/>
  <c r="T242" i="4"/>
  <c r="T239" i="4"/>
  <c r="T238" i="4"/>
  <c r="T243" i="4"/>
  <c r="T236" i="4"/>
  <c r="Y15" i="4"/>
  <c r="T241" i="4"/>
  <c r="T240" i="4"/>
  <c r="T15" i="4"/>
  <c r="T237" i="4"/>
  <c r="T37" i="4"/>
  <c r="T225" i="4"/>
  <c r="T24" i="4"/>
  <c r="T228" i="4"/>
  <c r="BP167" i="4"/>
  <c r="G31" i="4"/>
  <c r="G341" i="4"/>
  <c r="G347" i="4" s="1"/>
  <c r="AT230" i="4"/>
  <c r="AT226" i="4" s="1"/>
  <c r="CS75" i="5"/>
  <c r="K221" i="4"/>
  <c r="K230" i="4"/>
  <c r="K222" i="4" s="1"/>
  <c r="BK39" i="4"/>
  <c r="G16" i="6"/>
  <c r="G20" i="6" s="1"/>
  <c r="CR115" i="4"/>
  <c r="CO14" i="4"/>
  <c r="AJ236" i="4"/>
  <c r="AJ238" i="4"/>
  <c r="AJ237" i="4"/>
  <c r="AJ239" i="4"/>
  <c r="AJ242" i="4"/>
  <c r="AJ243" i="4"/>
  <c r="AJ240" i="4"/>
  <c r="AJ241" i="4"/>
  <c r="AJ22" i="4"/>
  <c r="CO22" i="4" s="1"/>
  <c r="N342" i="4"/>
  <c r="N347" i="4" s="1"/>
  <c r="N253" i="4"/>
  <c r="AS226" i="5"/>
  <c r="AS230" i="5"/>
  <c r="AS214" i="5"/>
  <c r="AX216" i="5"/>
  <c r="BB449" i="5"/>
  <c r="BB450" i="5" s="1"/>
  <c r="CS446" i="5"/>
  <c r="CU86" i="5"/>
  <c r="BD87" i="5"/>
  <c r="CU87" i="5" s="1"/>
  <c r="BD125" i="5"/>
  <c r="CH30" i="4"/>
  <c r="CH39" i="4"/>
  <c r="CH45" i="4" s="1"/>
  <c r="O106" i="4"/>
  <c r="BF237" i="4"/>
  <c r="BF228" i="4"/>
  <c r="BF39" i="4"/>
  <c r="BF40" i="4" s="1"/>
  <c r="BK15" i="4"/>
  <c r="T266" i="4"/>
  <c r="T252" i="4"/>
  <c r="U252" i="4" s="1"/>
  <c r="T115" i="4"/>
  <c r="CS119" i="4"/>
  <c r="CS126" i="4" s="1"/>
  <c r="BD302" i="4"/>
  <c r="BD303" i="4" s="1"/>
  <c r="E45" i="4"/>
  <c r="E40" i="4"/>
  <c r="CH40" i="4" s="1"/>
  <c r="CN110" i="4"/>
  <c r="AE115" i="4"/>
  <c r="AZ320" i="4"/>
  <c r="AZ39" i="4"/>
  <c r="AP278" i="5"/>
  <c r="AQ278" i="5"/>
  <c r="AY278" i="5"/>
  <c r="CS278" i="5"/>
  <c r="AQ276" i="5"/>
  <c r="CS276" i="5"/>
  <c r="CM446" i="5"/>
  <c r="CV446" i="5"/>
  <c r="AS209" i="5"/>
  <c r="BA449" i="5"/>
  <c r="BA450" i="5" s="1"/>
  <c r="BI23" i="4"/>
  <c r="CT23" i="4" s="1"/>
  <c r="BH28" i="4"/>
  <c r="BH24" i="4"/>
  <c r="AQ15" i="4"/>
  <c r="AW147" i="5"/>
  <c r="U37" i="4"/>
  <c r="CL37" i="4" s="1"/>
  <c r="AB341" i="4"/>
  <c r="AB347" i="4" s="1"/>
  <c r="AG348" i="4" s="1"/>
  <c r="AB31" i="4"/>
  <c r="J341" i="4"/>
  <c r="J31" i="4"/>
  <c r="AG249" i="4"/>
  <c r="AG49" i="4"/>
  <c r="AG51" i="4"/>
  <c r="AX448" i="5"/>
  <c r="AX31" i="5"/>
  <c r="AX38" i="5" s="1"/>
  <c r="AS37" i="5"/>
  <c r="AS355" i="5"/>
  <c r="AS31" i="5"/>
  <c r="AS38" i="5" s="1"/>
  <c r="AS202" i="4"/>
  <c r="AS210" i="4"/>
  <c r="CP66" i="4"/>
  <c r="CS412" i="5"/>
  <c r="AT416" i="5"/>
  <c r="CS416" i="5" s="1"/>
  <c r="C321" i="4"/>
  <c r="CF28" i="4"/>
  <c r="CF30" i="4" s="1"/>
  <c r="C320" i="4"/>
  <c r="AT367" i="5"/>
  <c r="CS362" i="5"/>
  <c r="G40" i="4"/>
  <c r="G45" i="4"/>
  <c r="BZ153" i="5"/>
  <c r="DA153" i="5" s="1"/>
  <c r="DA78" i="5"/>
  <c r="AY267" i="4"/>
  <c r="P100" i="4"/>
  <c r="BY153" i="5"/>
  <c r="CZ153" i="5" s="1"/>
  <c r="CZ78" i="5"/>
  <c r="AY86" i="4"/>
  <c r="CR86" i="4" s="1"/>
  <c r="T22" i="4"/>
  <c r="T28" i="4"/>
  <c r="AT110" i="4"/>
  <c r="AS266" i="4"/>
  <c r="AS268" i="4" s="1"/>
  <c r="AS252" i="4"/>
  <c r="AS115" i="4"/>
  <c r="CN11" i="4"/>
  <c r="AE14" i="4"/>
  <c r="AE30" i="4" s="1"/>
  <c r="Z22" i="4"/>
  <c r="CM22" i="4" s="1"/>
  <c r="C341" i="4"/>
  <c r="C347" i="4" s="1"/>
  <c r="D32" i="4"/>
  <c r="CG32" i="4" s="1"/>
  <c r="C31" i="4"/>
  <c r="CF31" i="4" s="1"/>
  <c r="M30" i="4"/>
  <c r="M39" i="4"/>
  <c r="BI120" i="4"/>
  <c r="CT120" i="4" s="1"/>
  <c r="BH126" i="4"/>
  <c r="CS185" i="4"/>
  <c r="CS187" i="4" s="1"/>
  <c r="BD187" i="4"/>
  <c r="Z211" i="4"/>
  <c r="Z231" i="4"/>
  <c r="Z221" i="4"/>
  <c r="CJ104" i="4"/>
  <c r="K344" i="4"/>
  <c r="I16" i="6"/>
  <c r="I20" i="6" s="1"/>
  <c r="CT115" i="4"/>
  <c r="S31" i="4"/>
  <c r="S341" i="4"/>
  <c r="S347" i="4" s="1"/>
  <c r="S32" i="4"/>
  <c r="AE211" i="4"/>
  <c r="AE221" i="4"/>
  <c r="AE231" i="4"/>
  <c r="CL18" i="4"/>
  <c r="U21" i="4"/>
  <c r="AD243" i="4"/>
  <c r="AD15" i="4"/>
  <c r="AD240" i="4"/>
  <c r="AD253" i="4"/>
  <c r="AD236" i="4"/>
  <c r="AD241" i="4"/>
  <c r="AD37" i="4"/>
  <c r="AD242" i="4"/>
  <c r="AD238" i="4"/>
  <c r="AD225" i="4"/>
  <c r="AD24" i="4"/>
  <c r="AD239" i="4"/>
  <c r="AD237" i="4"/>
  <c r="AD22" i="4"/>
  <c r="CN185" i="4"/>
  <c r="CN187" i="4" s="1"/>
  <c r="AE187" i="4"/>
  <c r="S304" i="4"/>
  <c r="S132" i="4"/>
  <c r="N132" i="4"/>
  <c r="N304" i="4"/>
  <c r="CR121" i="4"/>
  <c r="CR126" i="4" s="1"/>
  <c r="AY126" i="4"/>
  <c r="S45" i="4"/>
  <c r="S40" i="4"/>
  <c r="CJ119" i="4"/>
  <c r="CJ126" i="4" s="1"/>
  <c r="K302" i="4"/>
  <c r="K303" i="4" s="1"/>
  <c r="K126" i="4"/>
  <c r="CL185" i="4"/>
  <c r="CL187" i="4" s="1"/>
  <c r="U187" i="4"/>
  <c r="AJ267" i="4"/>
  <c r="U230" i="4"/>
  <c r="U221" i="4"/>
  <c r="C40" i="4"/>
  <c r="CF40" i="4" s="1"/>
  <c r="C45" i="4"/>
  <c r="H30" i="4"/>
  <c r="H39" i="4"/>
  <c r="H320" i="4"/>
  <c r="K320" i="4" s="1"/>
  <c r="Y106" i="4"/>
  <c r="Z84" i="4"/>
  <c r="CZ446" i="5"/>
  <c r="AT227" i="4"/>
  <c r="AR342" i="4"/>
  <c r="AR253" i="4"/>
  <c r="J333" i="4"/>
  <c r="K333" i="4" s="1"/>
  <c r="J126" i="4"/>
  <c r="CV121" i="4"/>
  <c r="T344" i="4"/>
  <c r="U97" i="4"/>
  <c r="BA30" i="4"/>
  <c r="BA31" i="4" s="1"/>
  <c r="BA239" i="4"/>
  <c r="BA236" i="4"/>
  <c r="BA24" i="4"/>
  <c r="BA243" i="4"/>
  <c r="AJ211" i="4"/>
  <c r="AN205" i="5"/>
  <c r="AN209" i="5"/>
  <c r="AN214" i="5"/>
  <c r="AS216" i="5"/>
  <c r="CU37" i="5"/>
  <c r="BD368" i="5"/>
  <c r="CU368" i="5" s="1"/>
  <c r="BD246" i="5"/>
  <c r="CU246" i="5" s="1"/>
  <c r="BD173" i="5"/>
  <c r="CU173" i="5" s="1"/>
  <c r="AK28" i="4"/>
  <c r="BA40" i="4"/>
  <c r="BA240" i="4"/>
  <c r="BA238" i="4"/>
  <c r="AQ441" i="5"/>
  <c r="AQ443" i="5"/>
  <c r="AQ440" i="5"/>
  <c r="AQ442" i="5"/>
  <c r="CV31" i="5"/>
  <c r="BI38" i="5"/>
  <c r="CV38" i="5" s="1"/>
  <c r="BF15" i="4"/>
  <c r="BA241" i="4"/>
  <c r="BA37" i="4"/>
  <c r="BA253" i="4"/>
  <c r="BA237" i="4"/>
  <c r="AU412" i="5"/>
  <c r="BD229" i="5"/>
  <c r="BI229" i="5"/>
  <c r="BD230" i="5"/>
  <c r="BN24" i="5"/>
  <c r="CW24" i="5" s="1"/>
  <c r="CW21" i="5"/>
  <c r="BN205" i="4"/>
  <c r="BN22" i="5"/>
  <c r="CW22" i="5" s="1"/>
  <c r="BK113" i="5"/>
  <c r="BK122" i="5"/>
  <c r="BJ113" i="5"/>
  <c r="BJ122" i="5"/>
  <c r="BB138" i="5"/>
  <c r="BB142" i="5"/>
  <c r="BG142" i="5"/>
  <c r="BG138" i="5"/>
  <c r="BL450" i="5"/>
  <c r="AU37" i="5"/>
  <c r="AU449" i="5"/>
  <c r="AZ448" i="5"/>
  <c r="AU31" i="5"/>
  <c r="AZ31" i="5"/>
  <c r="AU210" i="4"/>
  <c r="AU202" i="4"/>
  <c r="AY116" i="5"/>
  <c r="AU117" i="5"/>
  <c r="AU125" i="5"/>
  <c r="AY205" i="5"/>
  <c r="AY226" i="5"/>
  <c r="AY230" i="5"/>
  <c r="BD216" i="5"/>
  <c r="AY209" i="5"/>
  <c r="AZ17" i="5"/>
  <c r="AU17" i="5"/>
  <c r="AY16" i="5"/>
  <c r="AY382" i="5"/>
  <c r="CT382" i="5" s="1"/>
  <c r="AY56" i="5"/>
  <c r="CT56" i="5" s="1"/>
  <c r="AY395" i="5"/>
  <c r="CT395" i="5" s="1"/>
  <c r="AY205" i="4"/>
  <c r="BD24" i="5"/>
  <c r="CU24" i="5" s="1"/>
  <c r="AY24" i="5"/>
  <c r="CT24" i="5" s="1"/>
  <c r="AY391" i="5"/>
  <c r="CT391" i="5" s="1"/>
  <c r="CT21" i="5"/>
  <c r="AY387" i="5"/>
  <c r="CT387" i="5" s="1"/>
  <c r="CV69" i="5"/>
  <c r="BI75" i="5"/>
  <c r="CV75" i="5" s="1"/>
  <c r="CU104" i="5"/>
  <c r="BD105" i="5"/>
  <c r="CU105" i="5" s="1"/>
  <c r="AM205" i="5"/>
  <c r="AM209" i="5"/>
  <c r="AR216" i="5"/>
  <c r="AM214" i="5"/>
  <c r="AN240" i="4"/>
  <c r="AN228" i="4"/>
  <c r="AN239" i="4"/>
  <c r="AN37" i="4"/>
  <c r="AN236" i="4"/>
  <c r="AN241" i="4"/>
  <c r="AN237" i="4"/>
  <c r="AN242" i="4"/>
  <c r="AN22" i="4"/>
  <c r="AN238" i="4"/>
  <c r="AN243" i="4"/>
  <c r="BI236" i="4"/>
  <c r="BI228" i="4"/>
  <c r="BI241" i="4"/>
  <c r="BI239" i="4"/>
  <c r="BI238" i="4"/>
  <c r="BI37" i="4"/>
  <c r="CT37" i="4" s="1"/>
  <c r="BI243" i="4"/>
  <c r="BI240" i="4"/>
  <c r="BI242" i="4"/>
  <c r="BI22" i="4"/>
  <c r="CT22" i="4" s="1"/>
  <c r="CT14" i="4"/>
  <c r="I17" i="6" s="1"/>
  <c r="BI237" i="4"/>
  <c r="F40" i="4"/>
  <c r="CI40" i="4" s="1"/>
  <c r="F45" i="4"/>
  <c r="L45" i="4"/>
  <c r="L249" i="4" s="1"/>
  <c r="L40" i="4"/>
  <c r="CI30" i="4"/>
  <c r="CI39" i="4"/>
  <c r="CI45" i="4" s="1"/>
  <c r="V51" i="4"/>
  <c r="CN28" i="4"/>
  <c r="AD40" i="4"/>
  <c r="AD45" i="4"/>
  <c r="AD341" i="4"/>
  <c r="AD347" i="4" s="1"/>
  <c r="AD31" i="4"/>
  <c r="O345" i="4"/>
  <c r="Z345" i="4"/>
  <c r="CM48" i="4"/>
  <c r="CL47" i="4"/>
  <c r="U48" i="4"/>
  <c r="L345" i="4"/>
  <c r="L347" i="4" s="1"/>
  <c r="L348" i="4" s="1"/>
  <c r="CU295" i="4"/>
  <c r="BP171" i="4"/>
  <c r="CU294" i="4"/>
  <c r="CM110" i="4"/>
  <c r="Z115" i="4"/>
  <c r="AY23" i="4"/>
  <c r="AV28" i="4"/>
  <c r="AN28" i="4"/>
  <c r="AN24" i="4"/>
  <c r="W32" i="4"/>
  <c r="BQ172" i="4"/>
  <c r="BE142" i="5"/>
  <c r="BE138" i="5"/>
  <c r="BY176" i="4"/>
  <c r="CW176" i="4"/>
  <c r="CW155" i="4"/>
  <c r="BY155" i="4"/>
  <c r="CX164" i="4"/>
  <c r="BZ164" i="4"/>
  <c r="CA164" i="4" s="1"/>
  <c r="AT303" i="4"/>
  <c r="CW151" i="4"/>
  <c r="BY151" i="4"/>
  <c r="C15" i="6"/>
  <c r="X132" i="4"/>
  <c r="X304" i="4"/>
  <c r="CV412" i="5"/>
  <c r="BI416" i="5"/>
  <c r="CV416" i="5" s="1"/>
  <c r="AD32" i="4"/>
  <c r="Y341" i="4"/>
  <c r="Y31" i="4"/>
  <c r="B341" i="4"/>
  <c r="B347" i="4" s="1"/>
  <c r="B31" i="4"/>
  <c r="CE31" i="4" s="1"/>
  <c r="C32" i="4"/>
  <c r="CF32" i="4" s="1"/>
  <c r="BL143" i="5"/>
  <c r="BL230" i="4"/>
  <c r="BL222" i="4" s="1"/>
  <c r="AZ143" i="5"/>
  <c r="AZ230" i="4"/>
  <c r="Z320" i="4"/>
  <c r="X253" i="4"/>
  <c r="X342" i="4"/>
  <c r="BX71" i="5"/>
  <c r="CX71" i="5"/>
  <c r="AO230" i="4"/>
  <c r="AO226" i="4" s="1"/>
  <c r="CE149" i="4"/>
  <c r="CE157" i="4" s="1"/>
  <c r="CE189" i="4" s="1"/>
  <c r="CE137" i="4"/>
  <c r="Y45" i="4"/>
  <c r="Y40" i="4"/>
  <c r="E20" i="6"/>
  <c r="CW402" i="5"/>
  <c r="BO402" i="5"/>
  <c r="BP402" i="5" s="1"/>
  <c r="BQ402" i="5" s="1"/>
  <c r="BR402" i="5" s="1"/>
  <c r="BS402" i="5" s="1"/>
  <c r="BT402" i="5" s="1"/>
  <c r="BU402" i="5" s="1"/>
  <c r="BV402" i="5" s="1"/>
  <c r="BW402" i="5" s="1"/>
  <c r="BX402" i="5" s="1"/>
  <c r="X45" i="4"/>
  <c r="X40" i="4"/>
  <c r="Q45" i="4"/>
  <c r="Q40" i="4"/>
  <c r="CK86" i="4"/>
  <c r="P106" i="4"/>
  <c r="AR24" i="4"/>
  <c r="AR28" i="4"/>
  <c r="AT23" i="4"/>
  <c r="I249" i="4"/>
  <c r="I51" i="4"/>
  <c r="Z39" i="4"/>
  <c r="Z30" i="4"/>
  <c r="CM28" i="4"/>
  <c r="Y252" i="4"/>
  <c r="Z252" i="4" s="1"/>
  <c r="Y266" i="4"/>
  <c r="Y268" i="4" s="1"/>
  <c r="Y115" i="4"/>
  <c r="BL318" i="5"/>
  <c r="BL317" i="5"/>
  <c r="BD442" i="5"/>
  <c r="CU442" i="5" s="1"/>
  <c r="CU437" i="5"/>
  <c r="BD443" i="5"/>
  <c r="CU443" i="5" s="1"/>
  <c r="BD441" i="5"/>
  <c r="CU441" i="5" s="1"/>
  <c r="B189" i="4"/>
  <c r="BQ143" i="4"/>
  <c r="BQ113" i="4" s="1"/>
  <c r="V32" i="4"/>
  <c r="Q32" i="4"/>
  <c r="Q31" i="4"/>
  <c r="Q341" i="4"/>
  <c r="Q347" i="4" s="1"/>
  <c r="O268" i="4"/>
  <c r="P267" i="4"/>
  <c r="AR308" i="5"/>
  <c r="AR435" i="5"/>
  <c r="CW178" i="4"/>
  <c r="BY178" i="4"/>
  <c r="BY181" i="4"/>
  <c r="CW181" i="4"/>
  <c r="R40" i="4"/>
  <c r="R45" i="4"/>
  <c r="BH147" i="5"/>
  <c r="AO342" i="4"/>
  <c r="D133" i="4"/>
  <c r="C142" i="4"/>
  <c r="C137" i="4" s="1"/>
  <c r="AW28" i="4"/>
  <c r="AW24" i="4"/>
  <c r="AX24" i="4"/>
  <c r="AX28" i="4"/>
  <c r="X268" i="4"/>
  <c r="AL28" i="4"/>
  <c r="BD440" i="5"/>
  <c r="CU440" i="5" s="1"/>
  <c r="AP45" i="4"/>
  <c r="AP40" i="4"/>
  <c r="AP30" i="4"/>
  <c r="B45" i="4"/>
  <c r="B40" i="4"/>
  <c r="CE40" i="4" s="1"/>
  <c r="CE39" i="4"/>
  <c r="CE45" i="4" s="1"/>
  <c r="CE51" i="4" s="1"/>
  <c r="CE30" i="4"/>
  <c r="AX228" i="4"/>
  <c r="AY227" i="4"/>
  <c r="BD100" i="4"/>
  <c r="X341" i="4"/>
  <c r="X31" i="4"/>
  <c r="AC32" i="4"/>
  <c r="X32" i="4"/>
  <c r="AD304" i="4"/>
  <c r="BN448" i="5"/>
  <c r="BP243" i="5"/>
  <c r="BP448" i="5"/>
  <c r="BP170" i="5"/>
  <c r="BP159" i="5" s="1"/>
  <c r="BJ51" i="4"/>
  <c r="BJ249" i="4"/>
  <c r="BJ49" i="4"/>
  <c r="BE249" i="4"/>
  <c r="BG51" i="4"/>
  <c r="BG249" i="4"/>
  <c r="BG49" i="4"/>
  <c r="BJ341" i="4"/>
  <c r="BJ347" i="4" s="1"/>
  <c r="BJ31" i="4"/>
  <c r="BA51" i="4"/>
  <c r="BA49" i="4"/>
  <c r="BA249" i="4"/>
  <c r="BL22" i="4"/>
  <c r="BQ209" i="4"/>
  <c r="BR25" i="5"/>
  <c r="BT25" i="5" s="1"/>
  <c r="CX367" i="5"/>
  <c r="BS369" i="5"/>
  <c r="CX369" i="5" s="1"/>
  <c r="BY403" i="5"/>
  <c r="CY403" i="5"/>
  <c r="CX67" i="5"/>
  <c r="BX67" i="5"/>
  <c r="BQ205" i="4"/>
  <c r="BQ24" i="5"/>
  <c r="BS21" i="5"/>
  <c r="BX24" i="5" s="1"/>
  <c r="CX324" i="5"/>
  <c r="BS325" i="5"/>
  <c r="CX325" i="5" s="1"/>
  <c r="BS309" i="5"/>
  <c r="CX309" i="5" s="1"/>
  <c r="L85" i="8"/>
  <c r="L88" i="8"/>
  <c r="AL243" i="4" l="1"/>
  <c r="AL242" i="4"/>
  <c r="AL241" i="4"/>
  <c r="AL237" i="4"/>
  <c r="AL37" i="4"/>
  <c r="AL228" i="4"/>
  <c r="AL24" i="4"/>
  <c r="AL236" i="4"/>
  <c r="AL240" i="4"/>
  <c r="AL15" i="4"/>
  <c r="AO14" i="4"/>
  <c r="CP14" i="4" s="1"/>
  <c r="AM37" i="4"/>
  <c r="BJ123" i="5"/>
  <c r="BJ114" i="5"/>
  <c r="BP83" i="5"/>
  <c r="BU83" i="5" s="1"/>
  <c r="BP119" i="5"/>
  <c r="BU119" i="5" s="1"/>
  <c r="BP250" i="5"/>
  <c r="BP211" i="5"/>
  <c r="BX87" i="4"/>
  <c r="CW87" i="4" s="1"/>
  <c r="BQ112" i="5"/>
  <c r="BQ121" i="5" s="1"/>
  <c r="BP112" i="5"/>
  <c r="BV118" i="5"/>
  <c r="BV120" i="5"/>
  <c r="AJ221" i="4"/>
  <c r="BX274" i="4"/>
  <c r="T106" i="4"/>
  <c r="CM21" i="4"/>
  <c r="AX253" i="4"/>
  <c r="BJ32" i="4"/>
  <c r="AX342" i="4"/>
  <c r="BT103" i="5"/>
  <c r="BW78" i="4"/>
  <c r="BX78" i="4" s="1"/>
  <c r="BW141" i="5"/>
  <c r="BX141" i="5" s="1"/>
  <c r="BS121" i="5"/>
  <c r="BX112" i="5"/>
  <c r="BY112" i="5" s="1"/>
  <c r="R341" i="4"/>
  <c r="R347" i="4" s="1"/>
  <c r="R32" i="4"/>
  <c r="AO225" i="4"/>
  <c r="BG341" i="4"/>
  <c r="BG347" i="4" s="1"/>
  <c r="V49" i="4"/>
  <c r="BV94" i="5"/>
  <c r="BU103" i="5"/>
  <c r="BV85" i="5"/>
  <c r="BU25" i="5"/>
  <c r="BT209" i="4"/>
  <c r="W56" i="4"/>
  <c r="BE51" i="4"/>
  <c r="CU307" i="5"/>
  <c r="AO23" i="4"/>
  <c r="BA341" i="4"/>
  <c r="BA347" i="4" s="1"/>
  <c r="AY226" i="4"/>
  <c r="AY222" i="4"/>
  <c r="BC313" i="5"/>
  <c r="BC314" i="5"/>
  <c r="AU310" i="5"/>
  <c r="AU312" i="5" s="1"/>
  <c r="AU313" i="5" s="1"/>
  <c r="BX325" i="5"/>
  <c r="CY325" i="5" s="1"/>
  <c r="BX309" i="5"/>
  <c r="AY435" i="5"/>
  <c r="AY310" i="5" s="1"/>
  <c r="CT310" i="5" s="1"/>
  <c r="AX443" i="5"/>
  <c r="AS440" i="5"/>
  <c r="AS442" i="5"/>
  <c r="AM24" i="4"/>
  <c r="AO38" i="5"/>
  <c r="CR38" i="5" s="1"/>
  <c r="AS313" i="5"/>
  <c r="AS441" i="5"/>
  <c r="BP81" i="5"/>
  <c r="BP82" i="5"/>
  <c r="BP84" i="5"/>
  <c r="BI122" i="5"/>
  <c r="BI103" i="5"/>
  <c r="J47" i="4"/>
  <c r="J54" i="4"/>
  <c r="K54" i="4" s="1"/>
  <c r="CJ54" i="4" s="1"/>
  <c r="CZ136" i="5"/>
  <c r="BY120" i="4"/>
  <c r="CW120" i="4"/>
  <c r="AY307" i="5"/>
  <c r="BP121" i="5"/>
  <c r="AM28" i="4"/>
  <c r="BI15" i="4"/>
  <c r="DB435" i="5"/>
  <c r="CA310" i="5"/>
  <c r="DB310" i="5" s="1"/>
  <c r="BI230" i="5"/>
  <c r="BN229" i="5"/>
  <c r="BD239" i="4"/>
  <c r="BE31" i="4"/>
  <c r="CS14" i="4"/>
  <c r="CZ164" i="4"/>
  <c r="BL122" i="5"/>
  <c r="BL123" i="5" s="1"/>
  <c r="DA136" i="5"/>
  <c r="CA136" i="5"/>
  <c r="DB136" i="5" s="1"/>
  <c r="AW142" i="5"/>
  <c r="AW143" i="5" s="1"/>
  <c r="BI24" i="4"/>
  <c r="CT24" i="4" s="1"/>
  <c r="BD253" i="4"/>
  <c r="AH347" i="4"/>
  <c r="AH348" i="4" s="1"/>
  <c r="BD241" i="4"/>
  <c r="BD237" i="4"/>
  <c r="BD22" i="4"/>
  <c r="CS22" i="4" s="1"/>
  <c r="BS141" i="5"/>
  <c r="BS103" i="5" s="1"/>
  <c r="CX103" i="5" s="1"/>
  <c r="BP103" i="5"/>
  <c r="AE39" i="4"/>
  <c r="J40" i="4"/>
  <c r="AJ246" i="5"/>
  <c r="CQ246" i="5" s="1"/>
  <c r="AJ368" i="5"/>
  <c r="CQ368" i="5" s="1"/>
  <c r="AJ355" i="5"/>
  <c r="CQ355" i="5" s="1"/>
  <c r="CT23" i="5"/>
  <c r="AY363" i="5"/>
  <c r="CT363" i="5" s="1"/>
  <c r="AJ342" i="4"/>
  <c r="AJ253" i="4"/>
  <c r="AI22" i="4"/>
  <c r="AI15" i="4"/>
  <c r="AI241" i="4"/>
  <c r="AI228" i="4"/>
  <c r="AI238" i="4"/>
  <c r="AI237" i="4"/>
  <c r="AI236" i="4"/>
  <c r="AI240" i="4"/>
  <c r="AI239" i="4"/>
  <c r="AI243" i="4"/>
  <c r="AI242" i="4"/>
  <c r="AI37" i="4"/>
  <c r="AZ412" i="5"/>
  <c r="AZ416" i="5" s="1"/>
  <c r="BD34" i="4"/>
  <c r="BC23" i="4"/>
  <c r="BC24" i="4" s="1"/>
  <c r="BD363" i="5"/>
  <c r="CU363" i="5" s="1"/>
  <c r="BD362" i="5"/>
  <c r="CU362" i="5" s="1"/>
  <c r="CU23" i="5"/>
  <c r="BD412" i="5"/>
  <c r="AI75" i="5"/>
  <c r="AI230" i="4" s="1"/>
  <c r="AI142" i="5"/>
  <c r="AI143" i="5" s="1"/>
  <c r="AI138" i="5"/>
  <c r="CQ295" i="4"/>
  <c r="AT296" i="4"/>
  <c r="CQ296" i="4" s="1"/>
  <c r="AF341" i="4"/>
  <c r="AF347" i="4" s="1"/>
  <c r="AF348" i="4" s="1"/>
  <c r="AF31" i="4"/>
  <c r="AF32" i="4"/>
  <c r="D40" i="4"/>
  <c r="CG40" i="4" s="1"/>
  <c r="D45" i="4"/>
  <c r="CK47" i="4"/>
  <c r="AY362" i="5"/>
  <c r="CT362" i="5" s="1"/>
  <c r="J132" i="4"/>
  <c r="AO214" i="5"/>
  <c r="J266" i="4"/>
  <c r="J268" i="4" s="1"/>
  <c r="K268" i="4" s="1"/>
  <c r="J252" i="4"/>
  <c r="K110" i="4"/>
  <c r="CJ110" i="4" s="1"/>
  <c r="CJ109" i="4"/>
  <c r="P274" i="4"/>
  <c r="AV126" i="5"/>
  <c r="AV137" i="5"/>
  <c r="AV131" i="5"/>
  <c r="AO433" i="5"/>
  <c r="CR433" i="5" s="1"/>
  <c r="CR430" i="5"/>
  <c r="BD267" i="4"/>
  <c r="BC268" i="4"/>
  <c r="K227" i="4"/>
  <c r="K228" i="4" s="1"/>
  <c r="CJ91" i="4"/>
  <c r="AI268" i="4"/>
  <c r="K275" i="4"/>
  <c r="AO302" i="4"/>
  <c r="AO303" i="4" s="1"/>
  <c r="CP119" i="4"/>
  <c r="CP126" i="4" s="1"/>
  <c r="AO126" i="4"/>
  <c r="AK228" i="4"/>
  <c r="AK243" i="4"/>
  <c r="AK15" i="4"/>
  <c r="AK237" i="4"/>
  <c r="AK238" i="4"/>
  <c r="AK225" i="4"/>
  <c r="AK240" i="4"/>
  <c r="AK241" i="4"/>
  <c r="AK242" i="4"/>
  <c r="AK239" i="4"/>
  <c r="AK236" i="4"/>
  <c r="AK253" i="4"/>
  <c r="AK37" i="4"/>
  <c r="AK22" i="4"/>
  <c r="AP15" i="4"/>
  <c r="BA138" i="5"/>
  <c r="BA142" i="5"/>
  <c r="BP118" i="5"/>
  <c r="AU436" i="5"/>
  <c r="I21" i="6"/>
  <c r="L51" i="4"/>
  <c r="L63" i="4" s="1"/>
  <c r="BD240" i="4"/>
  <c r="BD238" i="4"/>
  <c r="BD243" i="4"/>
  <c r="AK24" i="4"/>
  <c r="AJ38" i="5"/>
  <c r="CQ38" i="5" s="1"/>
  <c r="CQ37" i="5"/>
  <c r="K106" i="4"/>
  <c r="C323" i="4"/>
  <c r="D319" i="4" s="1"/>
  <c r="D321" i="4" s="1"/>
  <c r="D323" i="4" s="1"/>
  <c r="E319" i="4" s="1"/>
  <c r="E321" i="4" s="1"/>
  <c r="E323" i="4" s="1"/>
  <c r="F319" i="4" s="1"/>
  <c r="F321" i="4" s="1"/>
  <c r="F323" i="4" s="1"/>
  <c r="W49" i="4"/>
  <c r="O132" i="4"/>
  <c r="AO205" i="5"/>
  <c r="O30" i="4"/>
  <c r="O341" i="4" s="1"/>
  <c r="BC137" i="5"/>
  <c r="BC126" i="5"/>
  <c r="BC131" i="5"/>
  <c r="BC241" i="4"/>
  <c r="BC240" i="4"/>
  <c r="BC22" i="4"/>
  <c r="BH15" i="4"/>
  <c r="BC228" i="4"/>
  <c r="BC253" i="4"/>
  <c r="BC37" i="4"/>
  <c r="BC242" i="4"/>
  <c r="BC238" i="4"/>
  <c r="BC239" i="4"/>
  <c r="BC243" i="4"/>
  <c r="BC237" i="4"/>
  <c r="BC236" i="4"/>
  <c r="BC15" i="4"/>
  <c r="I342" i="4"/>
  <c r="I347" i="4" s="1"/>
  <c r="I253" i="4"/>
  <c r="AJ115" i="4"/>
  <c r="CO110" i="4"/>
  <c r="AN142" i="5"/>
  <c r="AN143" i="5" s="1"/>
  <c r="AN138" i="5"/>
  <c r="AV436" i="5"/>
  <c r="AV310" i="5"/>
  <c r="AV312" i="5" s="1"/>
  <c r="AV437" i="5"/>
  <c r="CP295" i="4"/>
  <c r="AO296" i="4"/>
  <c r="CP296" i="4" s="1"/>
  <c r="BD221" i="4"/>
  <c r="BI211" i="4"/>
  <c r="AP310" i="5"/>
  <c r="AP312" i="5" s="1"/>
  <c r="AP313" i="5" s="1"/>
  <c r="AP437" i="5"/>
  <c r="BF138" i="5"/>
  <c r="BF142" i="5"/>
  <c r="AF40" i="4"/>
  <c r="AF45" i="4"/>
  <c r="D31" i="4"/>
  <c r="CG31" i="4" s="1"/>
  <c r="D341" i="4"/>
  <c r="D347" i="4" s="1"/>
  <c r="E348" i="4" s="1"/>
  <c r="E32" i="4"/>
  <c r="CH32" i="4" s="1"/>
  <c r="AO142" i="5"/>
  <c r="AO138" i="5"/>
  <c r="CR138" i="5" s="1"/>
  <c r="CR137" i="5"/>
  <c r="CT295" i="4"/>
  <c r="BI296" i="4"/>
  <c r="CT296" i="4" s="1"/>
  <c r="AX138" i="5"/>
  <c r="AX142" i="5"/>
  <c r="AX143" i="5" s="1"/>
  <c r="K274" i="4"/>
  <c r="BH143" i="5"/>
  <c r="BH230" i="4"/>
  <c r="G21" i="6"/>
  <c r="L49" i="4"/>
  <c r="BD236" i="4"/>
  <c r="BD228" i="4"/>
  <c r="AJ35" i="5"/>
  <c r="CQ35" i="5" s="1"/>
  <c r="AT266" i="4"/>
  <c r="CJ106" i="4"/>
  <c r="W249" i="4"/>
  <c r="AJ137" i="5"/>
  <c r="AJ131" i="5"/>
  <c r="CQ131" i="5" s="1"/>
  <c r="CQ125" i="5"/>
  <c r="AJ126" i="5"/>
  <c r="CQ126" i="5" s="1"/>
  <c r="AI253" i="4"/>
  <c r="AI342" i="4"/>
  <c r="AV221" i="4"/>
  <c r="AV14" i="4"/>
  <c r="AV39" i="4" s="1"/>
  <c r="AV231" i="4"/>
  <c r="AV211" i="4"/>
  <c r="BA211" i="4"/>
  <c r="AX268" i="4"/>
  <c r="AE227" i="4"/>
  <c r="CN91" i="4"/>
  <c r="CN106" i="4" s="1"/>
  <c r="AT307" i="5"/>
  <c r="CS307" i="5" s="1"/>
  <c r="CS427" i="5"/>
  <c r="AE106" i="4"/>
  <c r="Z126" i="4"/>
  <c r="CM119" i="4"/>
  <c r="CM126" i="4" s="1"/>
  <c r="Z302" i="4"/>
  <c r="Z303" i="4" s="1"/>
  <c r="CG39" i="4"/>
  <c r="CG45" i="4" s="1"/>
  <c r="CG30" i="4"/>
  <c r="U227" i="4"/>
  <c r="U228" i="4" s="1"/>
  <c r="CL91" i="4"/>
  <c r="H16" i="6"/>
  <c r="CS115" i="4"/>
  <c r="G51" i="4"/>
  <c r="G249" i="4"/>
  <c r="AS221" i="4"/>
  <c r="AS14" i="4"/>
  <c r="AS253" i="4" s="1"/>
  <c r="AS231" i="4"/>
  <c r="AS211" i="4"/>
  <c r="AX211" i="4"/>
  <c r="AU276" i="5"/>
  <c r="AZ276" i="5" s="1"/>
  <c r="AP271" i="5"/>
  <c r="CT433" i="5"/>
  <c r="AY308" i="5"/>
  <c r="CT308" i="5" s="1"/>
  <c r="J249" i="4"/>
  <c r="AR277" i="5"/>
  <c r="AS277" i="5" s="1"/>
  <c r="AQ272" i="5"/>
  <c r="AV277" i="5"/>
  <c r="O304" i="4"/>
  <c r="BF30" i="4"/>
  <c r="BF341" i="4" s="1"/>
  <c r="BF347" i="4" s="1"/>
  <c r="S348" i="4"/>
  <c r="AY448" i="5"/>
  <c r="AX449" i="5"/>
  <c r="AX450" i="5" s="1"/>
  <c r="AZ40" i="4"/>
  <c r="AZ30" i="4"/>
  <c r="AZ45" i="4"/>
  <c r="C16" i="6"/>
  <c r="C20" i="6" s="1"/>
  <c r="CN115" i="4"/>
  <c r="BK432" i="5"/>
  <c r="CH51" i="4"/>
  <c r="CH49" i="4"/>
  <c r="CU125" i="5"/>
  <c r="BD131" i="5"/>
  <c r="CU131" i="5" s="1"/>
  <c r="BD137" i="5"/>
  <c r="BD126" i="5"/>
  <c r="CU126" i="5" s="1"/>
  <c r="BQ167" i="4"/>
  <c r="BP102" i="4"/>
  <c r="BB39" i="4"/>
  <c r="BB320" i="4"/>
  <c r="BI308" i="5"/>
  <c r="CV433" i="5"/>
  <c r="BI437" i="5"/>
  <c r="AC56" i="4"/>
  <c r="AC63" i="4"/>
  <c r="BA147" i="5"/>
  <c r="CK21" i="4"/>
  <c r="P22" i="4"/>
  <c r="CK22" i="4" s="1"/>
  <c r="P28" i="4"/>
  <c r="AP272" i="5"/>
  <c r="AU277" i="5"/>
  <c r="CK110" i="4"/>
  <c r="CK115" i="4" s="1"/>
  <c r="P115" i="4"/>
  <c r="CJ30" i="4"/>
  <c r="CJ39" i="4"/>
  <c r="CJ45" i="4" s="1"/>
  <c r="BL147" i="5"/>
  <c r="AR278" i="5"/>
  <c r="AS278" i="5" s="1"/>
  <c r="AQ273" i="5"/>
  <c r="AV278" i="5"/>
  <c r="T268" i="4"/>
  <c r="U266" i="4"/>
  <c r="AT222" i="4"/>
  <c r="N51" i="4"/>
  <c r="N249" i="4"/>
  <c r="N49" i="4"/>
  <c r="U253" i="4"/>
  <c r="U342" i="4"/>
  <c r="K341" i="4"/>
  <c r="K31" i="4"/>
  <c r="CJ31" i="4" s="1"/>
  <c r="K32" i="4"/>
  <c r="CJ32" i="4" s="1"/>
  <c r="BF45" i="4"/>
  <c r="BF51" i="4" s="1"/>
  <c r="AG63" i="4"/>
  <c r="AG56" i="4"/>
  <c r="AV276" i="5"/>
  <c r="AQ271" i="5"/>
  <c r="AR276" i="5"/>
  <c r="AS276" i="5" s="1"/>
  <c r="CT278" i="5"/>
  <c r="T342" i="4"/>
  <c r="T253" i="4"/>
  <c r="AB348" i="4"/>
  <c r="D18" i="6"/>
  <c r="D17" i="6"/>
  <c r="O45" i="4"/>
  <c r="O40" i="4"/>
  <c r="AT117" i="5"/>
  <c r="CS117" i="5" s="1"/>
  <c r="CS116" i="5"/>
  <c r="BJ230" i="4"/>
  <c r="BJ143" i="5"/>
  <c r="AA56" i="4"/>
  <c r="AA63" i="4"/>
  <c r="BZ310" i="5"/>
  <c r="DA310" i="5" s="1"/>
  <c r="DA435" i="5"/>
  <c r="AM147" i="5"/>
  <c r="AT37" i="5"/>
  <c r="AT31" i="5"/>
  <c r="CS30" i="5"/>
  <c r="AT355" i="5"/>
  <c r="CS355" i="5" s="1"/>
  <c r="BF147" i="5"/>
  <c r="CQ430" i="5"/>
  <c r="AJ433" i="5"/>
  <c r="CQ433" i="5" s="1"/>
  <c r="O253" i="4"/>
  <c r="O342" i="4"/>
  <c r="AZ147" i="5"/>
  <c r="P252" i="4"/>
  <c r="U284" i="4"/>
  <c r="CS367" i="5"/>
  <c r="AT369" i="5"/>
  <c r="CS369" i="5" s="1"/>
  <c r="AY369" i="5"/>
  <c r="CT369" i="5" s="1"/>
  <c r="AT213" i="5"/>
  <c r="AS368" i="5"/>
  <c r="AS173" i="5"/>
  <c r="AS246" i="5"/>
  <c r="AS131" i="5"/>
  <c r="AT131" i="5" s="1"/>
  <c r="CS131" i="5" s="1"/>
  <c r="AS137" i="5"/>
  <c r="AS126" i="5"/>
  <c r="AT125" i="5"/>
  <c r="BH320" i="4"/>
  <c r="BI320" i="4" s="1"/>
  <c r="BI28" i="4"/>
  <c r="CT28" i="4" s="1"/>
  <c r="BH39" i="4"/>
  <c r="AU278" i="5"/>
  <c r="AP273" i="5"/>
  <c r="E249" i="4"/>
  <c r="E51" i="4"/>
  <c r="BK45" i="4"/>
  <c r="BK30" i="4"/>
  <c r="BK40" i="4"/>
  <c r="K231" i="4"/>
  <c r="K226" i="4"/>
  <c r="AQ320" i="4"/>
  <c r="AQ39" i="4"/>
  <c r="B17" i="6"/>
  <c r="B18" i="6"/>
  <c r="AH63" i="4"/>
  <c r="AH56" i="4"/>
  <c r="BI337" i="5"/>
  <c r="CV337" i="5" s="1"/>
  <c r="CV335" i="5"/>
  <c r="BI336" i="5"/>
  <c r="CV336" i="5" s="1"/>
  <c r="AT202" i="4"/>
  <c r="AT210" i="4"/>
  <c r="AT231" i="4" s="1"/>
  <c r="AB249" i="4"/>
  <c r="AB49" i="4"/>
  <c r="AB51" i="4"/>
  <c r="CT277" i="5"/>
  <c r="AY276" i="5"/>
  <c r="AY376" i="5"/>
  <c r="K45" i="4"/>
  <c r="K40" i="4"/>
  <c r="CJ40" i="4" s="1"/>
  <c r="CS16" i="5"/>
  <c r="AT17" i="5"/>
  <c r="AK147" i="5"/>
  <c r="BK143" i="5"/>
  <c r="BK230" i="4"/>
  <c r="CF39" i="4"/>
  <c r="CF45" i="4" s="1"/>
  <c r="CF51" i="4" s="1"/>
  <c r="U106" i="4"/>
  <c r="CL97" i="4"/>
  <c r="U344" i="4"/>
  <c r="BY121" i="4"/>
  <c r="CW121" i="4"/>
  <c r="H40" i="4"/>
  <c r="H45" i="4"/>
  <c r="AJ15" i="4"/>
  <c r="CO15" i="4" s="1"/>
  <c r="D6" i="6" s="1"/>
  <c r="AE243" i="4"/>
  <c r="AE240" i="4"/>
  <c r="AE37" i="4"/>
  <c r="CN37" i="4" s="1"/>
  <c r="AE241" i="4"/>
  <c r="AE242" i="4"/>
  <c r="AE228" i="4"/>
  <c r="AE24" i="4"/>
  <c r="CN24" i="4" s="1"/>
  <c r="AE238" i="4"/>
  <c r="CN14" i="4"/>
  <c r="CN39" i="4" s="1"/>
  <c r="AE15" i="4"/>
  <c r="CN15" i="4" s="1"/>
  <c r="C6" i="6" s="1"/>
  <c r="AE239" i="4"/>
  <c r="AE236" i="4"/>
  <c r="AE237" i="4"/>
  <c r="AE253" i="4"/>
  <c r="AE225" i="4"/>
  <c r="AE22" i="4"/>
  <c r="CN22" i="4" s="1"/>
  <c r="T320" i="4"/>
  <c r="U320" i="4" s="1"/>
  <c r="T39" i="4"/>
  <c r="CM84" i="4"/>
  <c r="CM106" i="4" s="1"/>
  <c r="Z106" i="4"/>
  <c r="H341" i="4"/>
  <c r="H347" i="4" s="1"/>
  <c r="H348" i="4" s="1"/>
  <c r="H31" i="4"/>
  <c r="C51" i="4"/>
  <c r="C249" i="4"/>
  <c r="U231" i="4"/>
  <c r="U226" i="4"/>
  <c r="U22" i="4"/>
  <c r="CL22" i="4" s="1"/>
  <c r="U28" i="4"/>
  <c r="CL21" i="4"/>
  <c r="M40" i="4"/>
  <c r="M45" i="4"/>
  <c r="CQ110" i="4"/>
  <c r="AT115" i="4"/>
  <c r="CK100" i="4"/>
  <c r="CK106" i="4" s="1"/>
  <c r="P344" i="4"/>
  <c r="T132" i="4"/>
  <c r="T304" i="4"/>
  <c r="M341" i="4"/>
  <c r="M347" i="4" s="1"/>
  <c r="M32" i="4"/>
  <c r="M31" i="4"/>
  <c r="W60" i="4"/>
  <c r="W351" i="4"/>
  <c r="U222" i="4"/>
  <c r="S249" i="4"/>
  <c r="S49" i="4"/>
  <c r="S51" i="4"/>
  <c r="AT252" i="4"/>
  <c r="AS342" i="4"/>
  <c r="W76" i="4"/>
  <c r="W79" i="4" s="1"/>
  <c r="W80" i="4" s="1"/>
  <c r="W64" i="4"/>
  <c r="W73" i="4" s="1"/>
  <c r="W72" i="4"/>
  <c r="AY412" i="5"/>
  <c r="AU416" i="5"/>
  <c r="AK320" i="4"/>
  <c r="AK39" i="4"/>
  <c r="BN170" i="5"/>
  <c r="BL114" i="5"/>
  <c r="BK123" i="5"/>
  <c r="BK114" i="5"/>
  <c r="BG230" i="4"/>
  <c r="BG143" i="5"/>
  <c r="BB143" i="5"/>
  <c r="BB230" i="4"/>
  <c r="AY202" i="4"/>
  <c r="AY210" i="4"/>
  <c r="AY117" i="5"/>
  <c r="CT117" i="5" s="1"/>
  <c r="CT116" i="5"/>
  <c r="AY125" i="5"/>
  <c r="BD17" i="5"/>
  <c r="CT16" i="5"/>
  <c r="AY17" i="5"/>
  <c r="AZ449" i="5"/>
  <c r="AZ450" i="5" s="1"/>
  <c r="AU131" i="5"/>
  <c r="AU126" i="5"/>
  <c r="AU137" i="5"/>
  <c r="AU14" i="4"/>
  <c r="AU221" i="4"/>
  <c r="AU231" i="4"/>
  <c r="AZ211" i="4"/>
  <c r="AU211" i="4"/>
  <c r="AU450" i="5"/>
  <c r="AU173" i="5"/>
  <c r="AZ38" i="5"/>
  <c r="AU38" i="5"/>
  <c r="AU246" i="5"/>
  <c r="AU355" i="5"/>
  <c r="AU368" i="5"/>
  <c r="I19" i="6"/>
  <c r="I18" i="6"/>
  <c r="CT15" i="4"/>
  <c r="I6" i="6" s="1"/>
  <c r="AO240" i="4"/>
  <c r="AO242" i="4"/>
  <c r="AO243" i="4"/>
  <c r="CI49" i="4"/>
  <c r="CI51" i="4"/>
  <c r="F51" i="4"/>
  <c r="F249" i="4"/>
  <c r="AD249" i="4"/>
  <c r="AD49" i="4"/>
  <c r="AD51" i="4"/>
  <c r="AE31" i="4"/>
  <c r="CN31" i="4" s="1"/>
  <c r="C9" i="6" s="1"/>
  <c r="AE341" i="4"/>
  <c r="AE347" i="4" s="1"/>
  <c r="AE40" i="4"/>
  <c r="CN40" i="4" s="1"/>
  <c r="C8" i="6" s="1"/>
  <c r="AE45" i="4"/>
  <c r="V56" i="4"/>
  <c r="V63" i="4"/>
  <c r="CL48" i="4"/>
  <c r="U345" i="4"/>
  <c r="P345" i="4"/>
  <c r="CK48" i="4"/>
  <c r="BP294" i="4"/>
  <c r="BP295" i="4" s="1"/>
  <c r="BP293" i="4" s="1"/>
  <c r="BQ171" i="4"/>
  <c r="CW430" i="5"/>
  <c r="BJ348" i="4"/>
  <c r="Z253" i="4"/>
  <c r="Z342" i="4"/>
  <c r="Q49" i="4"/>
  <c r="Q249" i="4"/>
  <c r="Q51" i="4"/>
  <c r="AO28" i="4"/>
  <c r="CP28" i="4" s="1"/>
  <c r="AL320" i="4"/>
  <c r="AL39" i="4"/>
  <c r="AW320" i="4"/>
  <c r="AW39" i="4"/>
  <c r="BZ181" i="4"/>
  <c r="CX181" i="4"/>
  <c r="AW436" i="5"/>
  <c r="AR437" i="5"/>
  <c r="AR443" i="5" s="1"/>
  <c r="AR310" i="5"/>
  <c r="AR312" i="5" s="1"/>
  <c r="Q348" i="4"/>
  <c r="V348" i="4"/>
  <c r="AU441" i="5"/>
  <c r="AU442" i="5"/>
  <c r="AU440" i="5"/>
  <c r="AU443" i="5"/>
  <c r="Y304" i="4"/>
  <c r="Y132" i="4"/>
  <c r="Z31" i="4"/>
  <c r="CM31" i="4" s="1"/>
  <c r="B9" i="6" s="1"/>
  <c r="Z341" i="4"/>
  <c r="AE32" i="4"/>
  <c r="CN32" i="4" s="1"/>
  <c r="CQ23" i="4"/>
  <c r="CX402" i="5"/>
  <c r="BE147" i="5"/>
  <c r="G348" i="4"/>
  <c r="C348" i="4"/>
  <c r="CU312" i="5"/>
  <c r="BD313" i="5"/>
  <c r="CU313" i="5" s="1"/>
  <c r="BD322" i="5"/>
  <c r="BZ176" i="4"/>
  <c r="CX176" i="4"/>
  <c r="AV320" i="4"/>
  <c r="AY28" i="4"/>
  <c r="B16" i="6"/>
  <c r="CM115" i="4"/>
  <c r="B249" i="4"/>
  <c r="B51" i="4"/>
  <c r="R51" i="4"/>
  <c r="R249" i="4"/>
  <c r="R49" i="4"/>
  <c r="AM320" i="4"/>
  <c r="AM39" i="4"/>
  <c r="Y249" i="4"/>
  <c r="Y49" i="4"/>
  <c r="Y51" i="4"/>
  <c r="AZ314" i="5"/>
  <c r="CX151" i="4"/>
  <c r="BZ151" i="4"/>
  <c r="BR172" i="4"/>
  <c r="CR23" i="4"/>
  <c r="AP49" i="4"/>
  <c r="AP51" i="4"/>
  <c r="AP249" i="4"/>
  <c r="BR143" i="4"/>
  <c r="BS143" i="4" s="1"/>
  <c r="Z45" i="4"/>
  <c r="Z40" i="4"/>
  <c r="CM40" i="4" s="1"/>
  <c r="B8" i="6" s="1"/>
  <c r="BX73" i="5"/>
  <c r="CY73" i="5" s="1"/>
  <c r="CY71" i="5"/>
  <c r="BY71" i="5"/>
  <c r="X347" i="4"/>
  <c r="Z266" i="4"/>
  <c r="AX320" i="4"/>
  <c r="AX39" i="4"/>
  <c r="CF142" i="4"/>
  <c r="C149" i="4"/>
  <c r="C157" i="4" s="1"/>
  <c r="Y342" i="4"/>
  <c r="Y347" i="4" s="1"/>
  <c r="Y253" i="4"/>
  <c r="CT307" i="5"/>
  <c r="CY164" i="4"/>
  <c r="BZ155" i="4"/>
  <c r="CX155" i="4"/>
  <c r="W348" i="4"/>
  <c r="BZ178" i="4"/>
  <c r="CX178" i="4"/>
  <c r="AT28" i="4"/>
  <c r="CQ28" i="4" s="1"/>
  <c r="AR39" i="4"/>
  <c r="AR320" i="4"/>
  <c r="P132" i="4"/>
  <c r="P304" i="4"/>
  <c r="CS100" i="4"/>
  <c r="H15" i="6" s="1"/>
  <c r="BD344" i="4"/>
  <c r="CE63" i="4"/>
  <c r="CE64" i="4" s="1"/>
  <c r="CE56" i="4"/>
  <c r="CE60" i="4" s="1"/>
  <c r="AP341" i="4"/>
  <c r="AP347" i="4" s="1"/>
  <c r="AP31" i="4"/>
  <c r="CP23" i="4"/>
  <c r="CG133" i="4"/>
  <c r="CG135" i="4" s="1"/>
  <c r="D135" i="4"/>
  <c r="BB147" i="5"/>
  <c r="CM30" i="4"/>
  <c r="CM39" i="4"/>
  <c r="I63" i="4"/>
  <c r="I56" i="4"/>
  <c r="AT433" i="5"/>
  <c r="CS430" i="5"/>
  <c r="X51" i="4"/>
  <c r="X249" i="4"/>
  <c r="X49" i="4"/>
  <c r="AO222" i="4"/>
  <c r="AO231" i="4"/>
  <c r="AR147" i="5"/>
  <c r="AZ233" i="4"/>
  <c r="AZ232" i="4" s="1"/>
  <c r="AZ222" i="4"/>
  <c r="AZ231" i="4"/>
  <c r="AZ224" i="4"/>
  <c r="BL231" i="4"/>
  <c r="AQ147" i="5"/>
  <c r="BE143" i="5"/>
  <c r="BE230" i="4"/>
  <c r="AN320" i="4"/>
  <c r="AN39" i="4"/>
  <c r="BP158" i="5"/>
  <c r="BP157" i="5"/>
  <c r="BP160" i="5"/>
  <c r="BN211" i="5"/>
  <c r="BA63" i="4"/>
  <c r="BA56" i="4"/>
  <c r="BG63" i="4"/>
  <c r="BG56" i="4"/>
  <c r="BE63" i="4"/>
  <c r="BE56" i="4"/>
  <c r="BJ56" i="4"/>
  <c r="BJ63" i="4"/>
  <c r="BL172" i="5"/>
  <c r="CX21" i="5"/>
  <c r="BS24" i="5"/>
  <c r="CX24" i="5" s="1"/>
  <c r="BS205" i="4"/>
  <c r="CY324" i="5"/>
  <c r="BY324" i="5"/>
  <c r="CY309" i="5"/>
  <c r="CZ403" i="5"/>
  <c r="BZ403" i="5"/>
  <c r="BQ120" i="5"/>
  <c r="BQ118" i="5"/>
  <c r="CY67" i="5"/>
  <c r="BY67" i="5"/>
  <c r="BY367" i="5"/>
  <c r="CY367" i="5"/>
  <c r="BR209" i="4"/>
  <c r="BS25" i="5"/>
  <c r="AO24" i="4" l="1"/>
  <c r="CP24" i="4" s="1"/>
  <c r="AO237" i="4"/>
  <c r="AO37" i="4"/>
  <c r="CP37" i="4" s="1"/>
  <c r="AO22" i="4"/>
  <c r="CP22" i="4" s="1"/>
  <c r="AO241" i="4"/>
  <c r="AO239" i="4"/>
  <c r="AO236" i="4"/>
  <c r="AO253" i="4"/>
  <c r="AO15" i="4"/>
  <c r="AO228" i="4"/>
  <c r="AO238" i="4"/>
  <c r="BU84" i="5"/>
  <c r="BU81" i="5"/>
  <c r="BU82" i="5"/>
  <c r="BV117" i="5"/>
  <c r="BV116" i="5" s="1"/>
  <c r="BV112" i="5"/>
  <c r="BV121" i="5" s="1"/>
  <c r="BU112" i="5"/>
  <c r="BU121" i="5" s="1"/>
  <c r="BT112" i="5"/>
  <c r="BT121" i="5" s="1"/>
  <c r="O32" i="4"/>
  <c r="BP120" i="5"/>
  <c r="BP117" i="5" s="1"/>
  <c r="BP116" i="5" s="1"/>
  <c r="BT143" i="4"/>
  <c r="BW94" i="5"/>
  <c r="BX94" i="5"/>
  <c r="BV103" i="5"/>
  <c r="BW85" i="5"/>
  <c r="BX85" i="5" s="1"/>
  <c r="BV25" i="5"/>
  <c r="BU209" i="4"/>
  <c r="BZ112" i="5"/>
  <c r="CA112" i="5" s="1"/>
  <c r="CT435" i="5"/>
  <c r="AY437" i="5"/>
  <c r="AY443" i="5" s="1"/>
  <c r="CT443" i="5" s="1"/>
  <c r="BF249" i="4"/>
  <c r="BR112" i="5"/>
  <c r="BR121" i="5" s="1"/>
  <c r="AU314" i="5"/>
  <c r="BF49" i="4"/>
  <c r="BF31" i="4"/>
  <c r="AT320" i="4"/>
  <c r="O31" i="4"/>
  <c r="J48" i="4"/>
  <c r="K47" i="4"/>
  <c r="BI123" i="5"/>
  <c r="BI125" i="5"/>
  <c r="CV103" i="5"/>
  <c r="BI104" i="5"/>
  <c r="H19" i="6"/>
  <c r="CY178" i="4"/>
  <c r="CA178" i="4"/>
  <c r="CZ178" i="4" s="1"/>
  <c r="K115" i="4"/>
  <c r="K132" i="4" s="1"/>
  <c r="CY181" i="4"/>
  <c r="CA181" i="4"/>
  <c r="CZ181" i="4" s="1"/>
  <c r="BZ120" i="4"/>
  <c r="CY120" i="4" s="1"/>
  <c r="CX120" i="4"/>
  <c r="DA403" i="5"/>
  <c r="CA403" i="5"/>
  <c r="DB403" i="5" s="1"/>
  <c r="BL175" i="5"/>
  <c r="BL173" i="5"/>
  <c r="L56" i="4"/>
  <c r="D348" i="4"/>
  <c r="CY176" i="4"/>
  <c r="CA176" i="4"/>
  <c r="CZ176" i="4" s="1"/>
  <c r="CY155" i="4"/>
  <c r="CA155" i="4"/>
  <c r="CZ155" i="4" s="1"/>
  <c r="CY151" i="4"/>
  <c r="CA151" i="4"/>
  <c r="CZ151" i="4" s="1"/>
  <c r="CN132" i="4"/>
  <c r="K277" i="4"/>
  <c r="L273" i="4" s="1"/>
  <c r="L275" i="4" s="1"/>
  <c r="P275" i="4" s="1"/>
  <c r="C17" i="6"/>
  <c r="CN30" i="4"/>
  <c r="AY449" i="5"/>
  <c r="AY450" i="5" s="1"/>
  <c r="CJ115" i="4"/>
  <c r="BD23" i="4"/>
  <c r="BC28" i="4"/>
  <c r="M348" i="4"/>
  <c r="CJ132" i="4"/>
  <c r="BD37" i="4"/>
  <c r="CS37" i="4" s="1"/>
  <c r="CS34" i="4"/>
  <c r="H12" i="6" s="1"/>
  <c r="BF143" i="5"/>
  <c r="BF230" i="4"/>
  <c r="AV443" i="5"/>
  <c r="AV442" i="5"/>
  <c r="AV440" i="5"/>
  <c r="AV441" i="5"/>
  <c r="BA230" i="4"/>
  <c r="BA143" i="5"/>
  <c r="D249" i="4"/>
  <c r="G360" i="4" s="1"/>
  <c r="D51" i="4"/>
  <c r="R348" i="4"/>
  <c r="CL106" i="4"/>
  <c r="CL132" i="4" s="1"/>
  <c r="AE132" i="4"/>
  <c r="AE304" i="4"/>
  <c r="BH224" i="4"/>
  <c r="BH231" i="4"/>
  <c r="BH222" i="4"/>
  <c r="BH233" i="4"/>
  <c r="BH232" i="4" s="1"/>
  <c r="AV313" i="5"/>
  <c r="BA314" i="5"/>
  <c r="AV314" i="5"/>
  <c r="CU412" i="5"/>
  <c r="BD416" i="5"/>
  <c r="CU416" i="5" s="1"/>
  <c r="BI147" i="5"/>
  <c r="CV147" i="5" s="1"/>
  <c r="Z304" i="4"/>
  <c r="K266" i="4"/>
  <c r="K270" i="4" s="1"/>
  <c r="BC147" i="5"/>
  <c r="BD147" i="5" s="1"/>
  <c r="CU147" i="5" s="1"/>
  <c r="AJ75" i="5"/>
  <c r="CQ75" i="5" s="1"/>
  <c r="AJ142" i="5"/>
  <c r="AJ143" i="5" s="1"/>
  <c r="AJ138" i="5"/>
  <c r="CR142" i="5"/>
  <c r="AO143" i="5"/>
  <c r="CR143" i="5" s="1"/>
  <c r="AF51" i="4"/>
  <c r="AF249" i="4"/>
  <c r="AG360" i="4" s="1"/>
  <c r="AF49" i="4"/>
  <c r="AP443" i="5"/>
  <c r="AP442" i="5"/>
  <c r="AP440" i="5"/>
  <c r="AP441" i="5"/>
  <c r="I348" i="4"/>
  <c r="G319" i="4"/>
  <c r="G321" i="4" s="1"/>
  <c r="G323" i="4" s="1"/>
  <c r="H319" i="4" s="1"/>
  <c r="K319" i="4"/>
  <c r="CM132" i="4"/>
  <c r="BI146" i="5"/>
  <c r="CV146" i="5" s="1"/>
  <c r="O347" i="4"/>
  <c r="AV273" i="5"/>
  <c r="CG49" i="4"/>
  <c r="CG51" i="4"/>
  <c r="AV236" i="4"/>
  <c r="AV239" i="4"/>
  <c r="AV238" i="4"/>
  <c r="AV253" i="4"/>
  <c r="AV241" i="4"/>
  <c r="AV22" i="4"/>
  <c r="AV243" i="4"/>
  <c r="AV228" i="4"/>
  <c r="AV240" i="4"/>
  <c r="AV37" i="4"/>
  <c r="AV237" i="4"/>
  <c r="AV242" i="4"/>
  <c r="AV225" i="4"/>
  <c r="BA15" i="4"/>
  <c r="AV15" i="4"/>
  <c r="AV24" i="4"/>
  <c r="CO115" i="4"/>
  <c r="D16" i="6"/>
  <c r="BC142" i="5"/>
  <c r="BC138" i="5"/>
  <c r="AV142" i="5"/>
  <c r="AV143" i="5" s="1"/>
  <c r="AV138" i="5"/>
  <c r="J342" i="4"/>
  <c r="J253" i="4"/>
  <c r="K252" i="4"/>
  <c r="AI222" i="4"/>
  <c r="AI231" i="4"/>
  <c r="AI224" i="4"/>
  <c r="N348" i="4"/>
  <c r="BK32" i="4"/>
  <c r="Z132" i="4"/>
  <c r="C21" i="6"/>
  <c r="AS271" i="5"/>
  <c r="Z347" i="4"/>
  <c r="AE348" i="4" s="1"/>
  <c r="BP432" i="5"/>
  <c r="BU432" i="5" s="1"/>
  <c r="E63" i="4"/>
  <c r="E56" i="4"/>
  <c r="AC351" i="4"/>
  <c r="AC60" i="4"/>
  <c r="K249" i="4"/>
  <c r="AB63" i="4"/>
  <c r="AB56" i="4"/>
  <c r="AH351" i="4"/>
  <c r="AH60" i="4"/>
  <c r="AU271" i="5"/>
  <c r="AU273" i="5"/>
  <c r="AT216" i="5"/>
  <c r="AT209" i="5"/>
  <c r="AT226" i="5"/>
  <c r="AT214" i="5"/>
  <c r="AT205" i="5"/>
  <c r="AT230" i="5"/>
  <c r="AY216" i="5"/>
  <c r="P253" i="4"/>
  <c r="P342" i="4"/>
  <c r="AG351" i="4"/>
  <c r="AG84" i="4"/>
  <c r="AG60" i="4"/>
  <c r="N63" i="4"/>
  <c r="N56" i="4"/>
  <c r="AC72" i="4"/>
  <c r="AC76" i="4"/>
  <c r="AC79" i="4" s="1"/>
  <c r="AC80" i="4" s="1"/>
  <c r="AC64" i="4"/>
  <c r="AC73" i="4" s="1"/>
  <c r="BI441" i="5"/>
  <c r="CV441" i="5" s="1"/>
  <c r="BI442" i="5"/>
  <c r="CV442" i="5" s="1"/>
  <c r="CV437" i="5"/>
  <c r="BI440" i="5"/>
  <c r="CV440" i="5" s="1"/>
  <c r="BI443" i="5"/>
  <c r="CV443" i="5" s="1"/>
  <c r="BB30" i="4"/>
  <c r="BB45" i="4"/>
  <c r="BB40" i="4"/>
  <c r="AW277" i="5"/>
  <c r="AR272" i="5"/>
  <c r="AW276" i="5"/>
  <c r="AX276" i="5" s="1"/>
  <c r="AR271" i="5"/>
  <c r="CW431" i="5"/>
  <c r="BL432" i="5"/>
  <c r="BQ432" i="5" s="1"/>
  <c r="BV432" i="5" s="1"/>
  <c r="AZ249" i="4"/>
  <c r="AZ51" i="4"/>
  <c r="AZ49" i="4"/>
  <c r="G56" i="4"/>
  <c r="G63" i="4"/>
  <c r="Y360" i="4"/>
  <c r="Z360" i="4" s="1"/>
  <c r="CF56" i="4"/>
  <c r="CF60" i="4" s="1"/>
  <c r="CF63" i="4"/>
  <c r="CF64" i="4" s="1"/>
  <c r="AY271" i="5"/>
  <c r="CT271" i="5" s="1"/>
  <c r="AY265" i="5"/>
  <c r="CT265" i="5" s="1"/>
  <c r="CT276" i="5"/>
  <c r="AY273" i="5"/>
  <c r="CT273" i="5" s="1"/>
  <c r="AY272" i="5"/>
  <c r="CT272" i="5" s="1"/>
  <c r="AB360" i="4"/>
  <c r="AQ40" i="4"/>
  <c r="AQ30" i="4"/>
  <c r="AQ45" i="4"/>
  <c r="BH45" i="4"/>
  <c r="BH40" i="4"/>
  <c r="BH30" i="4"/>
  <c r="BI30" i="4" s="1"/>
  <c r="CS31" i="5"/>
  <c r="AT38" i="5"/>
  <c r="CS38" i="5" s="1"/>
  <c r="AA76" i="4"/>
  <c r="AA79" i="4" s="1"/>
  <c r="AA80" i="4" s="1"/>
  <c r="AA72" i="4"/>
  <c r="AA64" i="4"/>
  <c r="AA73" i="4" s="1"/>
  <c r="AC360" i="4"/>
  <c r="AZ277" i="5"/>
  <c r="AU272" i="5"/>
  <c r="CK28" i="4"/>
  <c r="P39" i="4"/>
  <c r="P30" i="4"/>
  <c r="BI312" i="5"/>
  <c r="BI313" i="5" s="1"/>
  <c r="CV308" i="5"/>
  <c r="BR167" i="4"/>
  <c r="BQ102" i="4"/>
  <c r="CU137" i="5"/>
  <c r="BD142" i="5"/>
  <c r="BD138" i="5"/>
  <c r="CU138" i="5" s="1"/>
  <c r="CH63" i="4"/>
  <c r="CH64" i="4" s="1"/>
  <c r="CH56" i="4"/>
  <c r="CH60" i="4" s="1"/>
  <c r="AZ31" i="4"/>
  <c r="BE32" i="4"/>
  <c r="AZ341" i="4"/>
  <c r="AZ347" i="4" s="1"/>
  <c r="BE348" i="4" s="1"/>
  <c r="BF32" i="4"/>
  <c r="AV272" i="5"/>
  <c r="BA277" i="5"/>
  <c r="AA360" i="4"/>
  <c r="BI39" i="4"/>
  <c r="AS236" i="4"/>
  <c r="AS37" i="4"/>
  <c r="AS240" i="4"/>
  <c r="AS243" i="4"/>
  <c r="AS239" i="4"/>
  <c r="AS241" i="4"/>
  <c r="AS238" i="4"/>
  <c r="AS39" i="4"/>
  <c r="AT39" i="4" s="1"/>
  <c r="AS242" i="4"/>
  <c r="AS237" i="4"/>
  <c r="AS22" i="4"/>
  <c r="AS225" i="4"/>
  <c r="AS24" i="4"/>
  <c r="AT14" i="4"/>
  <c r="AX15" i="4"/>
  <c r="AS228" i="4"/>
  <c r="AS15" i="4"/>
  <c r="AD360" i="4"/>
  <c r="AE360" i="4" s="1"/>
  <c r="AT211" i="4"/>
  <c r="AT221" i="4"/>
  <c r="AH64" i="4"/>
  <c r="AH72" i="4"/>
  <c r="AH76" i="4"/>
  <c r="AH79" i="4" s="1"/>
  <c r="AH80" i="4" s="1"/>
  <c r="AH73" i="4"/>
  <c r="BK31" i="4"/>
  <c r="BK341" i="4"/>
  <c r="BK347" i="4" s="1"/>
  <c r="BK348" i="4" s="1"/>
  <c r="AS273" i="5"/>
  <c r="AS138" i="5"/>
  <c r="AS142" i="5"/>
  <c r="AS143" i="5" s="1"/>
  <c r="BJ231" i="4"/>
  <c r="BJ224" i="4"/>
  <c r="BJ233" i="4"/>
  <c r="BJ232" i="4" s="1"/>
  <c r="BJ222" i="4"/>
  <c r="AG76" i="4"/>
  <c r="AG79" i="4" s="1"/>
  <c r="AG80" i="4" s="1"/>
  <c r="AG64" i="4"/>
  <c r="AG73" i="4"/>
  <c r="AG72" i="4"/>
  <c r="AS272" i="5"/>
  <c r="CK132" i="4"/>
  <c r="BK222" i="4"/>
  <c r="BK233" i="4"/>
  <c r="BK232" i="4" s="1"/>
  <c r="BK224" i="4"/>
  <c r="BK231" i="4"/>
  <c r="BK51" i="4"/>
  <c r="BK249" i="4"/>
  <c r="BK49" i="4"/>
  <c r="AT126" i="5"/>
  <c r="CS126" i="5" s="1"/>
  <c r="CS125" i="5"/>
  <c r="AT137" i="5"/>
  <c r="Z280" i="4"/>
  <c r="V280" i="4"/>
  <c r="V282" i="4" s="1"/>
  <c r="Z282" i="4" s="1"/>
  <c r="CS37" i="5"/>
  <c r="AT173" i="5"/>
  <c r="CS173" i="5" s="1"/>
  <c r="AT246" i="5"/>
  <c r="CS246" i="5" s="1"/>
  <c r="AT368" i="5"/>
  <c r="CS368" i="5" s="1"/>
  <c r="AA60" i="4"/>
  <c r="AA351" i="4"/>
  <c r="O249" i="4"/>
  <c r="R360" i="4" s="1"/>
  <c r="O49" i="4"/>
  <c r="O51" i="4"/>
  <c r="BA276" i="5"/>
  <c r="AV271" i="5"/>
  <c r="AW278" i="5"/>
  <c r="AX278" i="5" s="1"/>
  <c r="AR273" i="5"/>
  <c r="BQ117" i="5"/>
  <c r="BQ116" i="5" s="1"/>
  <c r="BQ54" i="5" s="1"/>
  <c r="S63" i="4"/>
  <c r="S56" i="4"/>
  <c r="F16" i="6"/>
  <c r="CQ115" i="4"/>
  <c r="U30" i="4"/>
  <c r="CL28" i="4"/>
  <c r="U39" i="4"/>
  <c r="C63" i="4"/>
  <c r="C56" i="4"/>
  <c r="H51" i="4"/>
  <c r="H249" i="4"/>
  <c r="L360" i="4" s="1"/>
  <c r="BZ121" i="4"/>
  <c r="CX121" i="4"/>
  <c r="M249" i="4"/>
  <c r="M360" i="4" s="1"/>
  <c r="M51" i="4"/>
  <c r="M49" i="4"/>
  <c r="T45" i="4"/>
  <c r="T40" i="4"/>
  <c r="AT342" i="4"/>
  <c r="W71" i="4"/>
  <c r="W332" i="4"/>
  <c r="W334" i="4" s="1"/>
  <c r="C19" i="6"/>
  <c r="C18" i="6"/>
  <c r="CW182" i="4"/>
  <c r="BY182" i="4"/>
  <c r="U132" i="4"/>
  <c r="U304" i="4"/>
  <c r="BF348" i="4"/>
  <c r="AK45" i="4"/>
  <c r="AK40" i="4"/>
  <c r="AK30" i="4"/>
  <c r="CT412" i="5"/>
  <c r="AY416" i="5"/>
  <c r="CT416" i="5" s="1"/>
  <c r="BM54" i="5"/>
  <c r="BN116" i="5"/>
  <c r="BM122" i="5"/>
  <c r="BB222" i="4"/>
  <c r="BB233" i="4"/>
  <c r="BB232" i="4" s="1"/>
  <c r="BB231" i="4"/>
  <c r="BB224" i="4"/>
  <c r="BG224" i="4"/>
  <c r="BG231" i="4"/>
  <c r="BG222" i="4"/>
  <c r="BG233" i="4"/>
  <c r="BG232" i="4" s="1"/>
  <c r="AU228" i="4"/>
  <c r="AU225" i="4"/>
  <c r="AU236" i="4"/>
  <c r="AU242" i="4"/>
  <c r="AU243" i="4"/>
  <c r="AU24" i="4"/>
  <c r="AU39" i="4"/>
  <c r="AU253" i="4"/>
  <c r="AU241" i="4"/>
  <c r="AU22" i="4"/>
  <c r="AU237" i="4"/>
  <c r="AU240" i="4"/>
  <c r="AZ15" i="4"/>
  <c r="AU239" i="4"/>
  <c r="AU37" i="4"/>
  <c r="AU238" i="4"/>
  <c r="AU15" i="4"/>
  <c r="AY14" i="4"/>
  <c r="AU138" i="5"/>
  <c r="AU142" i="5"/>
  <c r="AU143" i="5" s="1"/>
  <c r="AY211" i="4"/>
  <c r="BD211" i="4"/>
  <c r="AY231" i="4"/>
  <c r="AY221" i="4"/>
  <c r="AY137" i="5"/>
  <c r="CT125" i="5"/>
  <c r="AY131" i="5"/>
  <c r="CT131" i="5" s="1"/>
  <c r="BF63" i="4"/>
  <c r="BF56" i="4"/>
  <c r="CP15" i="4"/>
  <c r="E6" i="6" s="1"/>
  <c r="E18" i="6"/>
  <c r="E17" i="6"/>
  <c r="E19" i="6"/>
  <c r="F56" i="4"/>
  <c r="F63" i="4"/>
  <c r="CI63" i="4"/>
  <c r="CI64" i="4" s="1"/>
  <c r="CI56" i="4"/>
  <c r="CI60" i="4" s="1"/>
  <c r="V72" i="4"/>
  <c r="V64" i="4"/>
  <c r="V73" i="4" s="1"/>
  <c r="V76" i="4"/>
  <c r="V79" i="4" s="1"/>
  <c r="V80" i="4" s="1"/>
  <c r="AE249" i="4"/>
  <c r="C10" i="6" s="1"/>
  <c r="AE51" i="4"/>
  <c r="AE49" i="4"/>
  <c r="AD56" i="4"/>
  <c r="AD63" i="4"/>
  <c r="C5" i="6"/>
  <c r="CN45" i="4"/>
  <c r="V351" i="4"/>
  <c r="V60" i="4"/>
  <c r="L60" i="4"/>
  <c r="L351" i="4"/>
  <c r="L72" i="4"/>
  <c r="L64" i="4"/>
  <c r="L73" i="4" s="1"/>
  <c r="L76" i="4"/>
  <c r="L79" i="4" s="1"/>
  <c r="L80" i="4" s="1"/>
  <c r="CU296" i="4"/>
  <c r="BN42" i="4"/>
  <c r="BQ294" i="4"/>
  <c r="BQ295" i="4" s="1"/>
  <c r="BR171" i="4"/>
  <c r="BP42" i="4"/>
  <c r="BP343" i="4"/>
  <c r="AY312" i="5"/>
  <c r="BD314" i="5" s="1"/>
  <c r="BE231" i="4"/>
  <c r="BE233" i="4"/>
  <c r="BE232" i="4" s="1"/>
  <c r="BE222" i="4"/>
  <c r="BE224" i="4"/>
  <c r="B5" i="6"/>
  <c r="CM45" i="4"/>
  <c r="E133" i="4"/>
  <c r="D142" i="4"/>
  <c r="D137" i="4" s="1"/>
  <c r="AZ226" i="4"/>
  <c r="AZ225" i="4"/>
  <c r="X56" i="4"/>
  <c r="X63" i="4"/>
  <c r="I76" i="4"/>
  <c r="I64" i="4"/>
  <c r="I72" i="4"/>
  <c r="I73" i="4"/>
  <c r="BZ71" i="5"/>
  <c r="CZ71" i="5"/>
  <c r="BY73" i="5"/>
  <c r="CZ73" i="5" s="1"/>
  <c r="BR113" i="4"/>
  <c r="BS113" i="4" s="1"/>
  <c r="CV113" i="4" s="1"/>
  <c r="AP147" i="5"/>
  <c r="R63" i="4"/>
  <c r="R56" i="4"/>
  <c r="B20" i="6"/>
  <c r="B19" i="6"/>
  <c r="B21" i="6"/>
  <c r="AY320" i="4"/>
  <c r="AW40" i="4"/>
  <c r="AW30" i="4"/>
  <c r="AW45" i="4"/>
  <c r="AL45" i="4"/>
  <c r="AL40" i="4"/>
  <c r="AL30" i="4"/>
  <c r="AO39" i="4"/>
  <c r="AC348" i="4"/>
  <c r="X348" i="4"/>
  <c r="BS172" i="4"/>
  <c r="BT172" i="4" s="1"/>
  <c r="AR313" i="5"/>
  <c r="AW314" i="5"/>
  <c r="CY402" i="5"/>
  <c r="BY402" i="5"/>
  <c r="Q56" i="4"/>
  <c r="Q63" i="4"/>
  <c r="CS433" i="5"/>
  <c r="AT435" i="5"/>
  <c r="AT308" i="5"/>
  <c r="H21" i="6"/>
  <c r="H17" i="6"/>
  <c r="AR45" i="4"/>
  <c r="AR40" i="4"/>
  <c r="AR30" i="4"/>
  <c r="AL147" i="5"/>
  <c r="C189" i="4"/>
  <c r="C354" i="4"/>
  <c r="C352" i="4"/>
  <c r="Z51" i="4"/>
  <c r="Z49" i="4"/>
  <c r="Z249" i="4"/>
  <c r="B10" i="6" s="1"/>
  <c r="AP63" i="4"/>
  <c r="AP56" i="4"/>
  <c r="B56" i="4"/>
  <c r="B63" i="4"/>
  <c r="CR28" i="4"/>
  <c r="AR442" i="5"/>
  <c r="AR440" i="5"/>
  <c r="AR441" i="5"/>
  <c r="AO320" i="4"/>
  <c r="AN30" i="4"/>
  <c r="AN45" i="4"/>
  <c r="AN40" i="4"/>
  <c r="AD348" i="4"/>
  <c r="I351" i="4"/>
  <c r="I60" i="4"/>
  <c r="CT437" i="5"/>
  <c r="CF149" i="4"/>
  <c r="CF157" i="4" s="1"/>
  <c r="CF189" i="4" s="1"/>
  <c r="CF137" i="4"/>
  <c r="AX30" i="4"/>
  <c r="AX40" i="4"/>
  <c r="AX45" i="4"/>
  <c r="CV143" i="4"/>
  <c r="Y56" i="4"/>
  <c r="Y63" i="4"/>
  <c r="AM45" i="4"/>
  <c r="AM30" i="4"/>
  <c r="AM40" i="4"/>
  <c r="AV30" i="4"/>
  <c r="AV40" i="4"/>
  <c r="AV45" i="4"/>
  <c r="BN146" i="5"/>
  <c r="CW146" i="5" s="1"/>
  <c r="BP249" i="5"/>
  <c r="BP248" i="5"/>
  <c r="BP245" i="5" s="1"/>
  <c r="BP251" i="5"/>
  <c r="BT156" i="5"/>
  <c r="BP156" i="5"/>
  <c r="BU156" i="5" s="1"/>
  <c r="BO54" i="5"/>
  <c r="BO122" i="5"/>
  <c r="BJ351" i="4"/>
  <c r="BJ84" i="4"/>
  <c r="BJ106" i="4" s="1"/>
  <c r="BJ60" i="4"/>
  <c r="BG72" i="4"/>
  <c r="BG64" i="4"/>
  <c r="BG76" i="4"/>
  <c r="BG79" i="4" s="1"/>
  <c r="BG80" i="4" s="1"/>
  <c r="BA73" i="4"/>
  <c r="BA76" i="4"/>
  <c r="BA79" i="4" s="1"/>
  <c r="BA80" i="4" s="1"/>
  <c r="BA72" i="4"/>
  <c r="BA64" i="4"/>
  <c r="BJ76" i="4"/>
  <c r="BJ79" i="4" s="1"/>
  <c r="BJ80" i="4" s="1"/>
  <c r="BJ64" i="4"/>
  <c r="BJ72" i="4"/>
  <c r="BE84" i="4"/>
  <c r="BE351" i="4"/>
  <c r="BE60" i="4"/>
  <c r="BE76" i="4"/>
  <c r="BE64" i="4"/>
  <c r="BE73" i="4" s="1"/>
  <c r="BE72" i="4"/>
  <c r="BG84" i="4"/>
  <c r="BG106" i="4" s="1"/>
  <c r="BG351" i="4"/>
  <c r="BG60" i="4"/>
  <c r="BA351" i="4"/>
  <c r="BA84" i="4"/>
  <c r="BA106" i="4" s="1"/>
  <c r="BA60" i="4"/>
  <c r="BN166" i="5"/>
  <c r="BL174" i="5"/>
  <c r="BQ248" i="5"/>
  <c r="BQ245" i="5" s="1"/>
  <c r="BQ249" i="5"/>
  <c r="BQ251" i="5"/>
  <c r="BL216" i="5"/>
  <c r="BL221" i="5"/>
  <c r="BL214" i="5"/>
  <c r="BQ158" i="5"/>
  <c r="BQ160" i="5"/>
  <c r="BQ157" i="5"/>
  <c r="BY21" i="5"/>
  <c r="CZ367" i="5"/>
  <c r="BZ367" i="5"/>
  <c r="CY21" i="5"/>
  <c r="CY24" i="5"/>
  <c r="CZ67" i="5"/>
  <c r="BZ67" i="5"/>
  <c r="DA67" i="5" s="1"/>
  <c r="CZ324" i="5"/>
  <c r="BY309" i="5"/>
  <c r="CZ309" i="5" s="1"/>
  <c r="BZ324" i="5"/>
  <c r="CA324" i="5" s="1"/>
  <c r="CB324" i="5" s="1"/>
  <c r="CX25" i="5"/>
  <c r="BS209" i="4"/>
  <c r="D88" i="8"/>
  <c r="I88" i="8"/>
  <c r="BM123" i="5" l="1"/>
  <c r="BP122" i="5"/>
  <c r="BP123" i="5" s="1"/>
  <c r="BP54" i="5"/>
  <c r="BP55" i="5" s="1"/>
  <c r="BV122" i="5"/>
  <c r="BV123" i="5" s="1"/>
  <c r="BW112" i="5"/>
  <c r="BW121" i="5" s="1"/>
  <c r="J88" i="8"/>
  <c r="F88" i="8"/>
  <c r="G88" i="8"/>
  <c r="M88" i="8"/>
  <c r="BO123" i="5"/>
  <c r="BU118" i="5"/>
  <c r="BU120" i="5"/>
  <c r="BU172" i="4"/>
  <c r="BU143" i="4"/>
  <c r="BT113" i="4"/>
  <c r="BY94" i="5"/>
  <c r="CY94" i="5"/>
  <c r="BX121" i="5"/>
  <c r="BX103" i="5"/>
  <c r="CY103" i="5" s="1"/>
  <c r="CY85" i="5"/>
  <c r="BY85" i="5"/>
  <c r="BW103" i="5"/>
  <c r="BW25" i="5"/>
  <c r="BV209" i="4"/>
  <c r="BX25" i="5"/>
  <c r="BX209" i="4" s="1"/>
  <c r="AY442" i="5"/>
  <c r="BX432" i="5"/>
  <c r="BU250" i="5"/>
  <c r="AY441" i="5"/>
  <c r="BV250" i="5"/>
  <c r="AY440" i="5"/>
  <c r="K304" i="4"/>
  <c r="CA367" i="5"/>
  <c r="CA21" i="5" s="1"/>
  <c r="P273" i="4"/>
  <c r="CV104" i="5"/>
  <c r="BI105" i="5"/>
  <c r="CV105" i="5" s="1"/>
  <c r="K48" i="4"/>
  <c r="CJ47" i="4"/>
  <c r="J345" i="4"/>
  <c r="J347" i="4" s="1"/>
  <c r="J51" i="4"/>
  <c r="BI126" i="5"/>
  <c r="CV126" i="5" s="1"/>
  <c r="BI137" i="5"/>
  <c r="CV125" i="5"/>
  <c r="BI131" i="5"/>
  <c r="CV131" i="5" s="1"/>
  <c r="AH360" i="4"/>
  <c r="CY121" i="4"/>
  <c r="CA121" i="4"/>
  <c r="CZ121" i="4" s="1"/>
  <c r="CA309" i="5"/>
  <c r="DB309" i="5" s="1"/>
  <c r="DB324" i="5"/>
  <c r="BN432" i="5"/>
  <c r="BN433" i="5" s="1"/>
  <c r="H18" i="6"/>
  <c r="H20" i="6"/>
  <c r="BC320" i="4"/>
  <c r="BD320" i="4" s="1"/>
  <c r="BC39" i="4"/>
  <c r="BD28" i="4"/>
  <c r="BD24" i="4"/>
  <c r="CS24" i="4" s="1"/>
  <c r="CS23" i="4"/>
  <c r="BD146" i="5"/>
  <c r="P277" i="4"/>
  <c r="U273" i="4" s="1"/>
  <c r="AI23" i="4"/>
  <c r="AJ224" i="4"/>
  <c r="AI225" i="4"/>
  <c r="AI226" i="4"/>
  <c r="AV147" i="5"/>
  <c r="BA233" i="4"/>
  <c r="BA232" i="4" s="1"/>
  <c r="BA224" i="4"/>
  <c r="BA222" i="4"/>
  <c r="BA231" i="4"/>
  <c r="CT312" i="5"/>
  <c r="BI148" i="5"/>
  <c r="CV148" i="5" s="1"/>
  <c r="AF360" i="4"/>
  <c r="AF56" i="4"/>
  <c r="AF63" i="4"/>
  <c r="L265" i="4"/>
  <c r="L268" i="4" s="1"/>
  <c r="P268" i="4" s="1"/>
  <c r="P265" i="4"/>
  <c r="BH226" i="4"/>
  <c r="BH225" i="4"/>
  <c r="D63" i="4"/>
  <c r="D56" i="4"/>
  <c r="BF233" i="4"/>
  <c r="BF232" i="4" s="1"/>
  <c r="BF222" i="4"/>
  <c r="BF231" i="4"/>
  <c r="BF224" i="4"/>
  <c r="BC230" i="4"/>
  <c r="BC143" i="5"/>
  <c r="K342" i="4"/>
  <c r="K253" i="4"/>
  <c r="D20" i="6"/>
  <c r="D19" i="6"/>
  <c r="D21" i="6"/>
  <c r="CG56" i="4"/>
  <c r="CG60" i="4" s="1"/>
  <c r="CG63" i="4"/>
  <c r="CG64" i="4" s="1"/>
  <c r="H321" i="4"/>
  <c r="H323" i="4" s="1"/>
  <c r="I319" i="4" s="1"/>
  <c r="BS432" i="5"/>
  <c r="BY432" i="5" s="1"/>
  <c r="BZ432" i="5" s="1"/>
  <c r="CA432" i="5" s="1"/>
  <c r="AY14" i="5"/>
  <c r="AY337" i="5" s="1"/>
  <c r="CT337" i="5" s="1"/>
  <c r="S360" i="4"/>
  <c r="AY322" i="5"/>
  <c r="BK63" i="4"/>
  <c r="BK56" i="4"/>
  <c r="AT239" i="4"/>
  <c r="AT238" i="4"/>
  <c r="AT37" i="4"/>
  <c r="CQ37" i="4" s="1"/>
  <c r="AT240" i="4"/>
  <c r="AT243" i="4"/>
  <c r="AT242" i="4"/>
  <c r="AT228" i="4"/>
  <c r="AT15" i="4"/>
  <c r="CQ14" i="4"/>
  <c r="AT225" i="4"/>
  <c r="AT241" i="4"/>
  <c r="AT237" i="4"/>
  <c r="AT22" i="4"/>
  <c r="CQ22" i="4" s="1"/>
  <c r="AT236" i="4"/>
  <c r="AT24" i="4"/>
  <c r="CQ24" i="4" s="1"/>
  <c r="BB341" i="4"/>
  <c r="BB347" i="4" s="1"/>
  <c r="BG348" i="4" s="1"/>
  <c r="BG32" i="4"/>
  <c r="BB31" i="4"/>
  <c r="N60" i="4"/>
  <c r="N351" i="4"/>
  <c r="AG71" i="4"/>
  <c r="AG332" i="4"/>
  <c r="AG334" i="4" s="1"/>
  <c r="E72" i="4"/>
  <c r="E76" i="4"/>
  <c r="E64" i="4"/>
  <c r="E73" i="4"/>
  <c r="CH73" i="4" s="1"/>
  <c r="I360" i="4"/>
  <c r="H360" i="4"/>
  <c r="AX268" i="5"/>
  <c r="BC278" i="5"/>
  <c r="AA71" i="4"/>
  <c r="AA332" i="4"/>
  <c r="AA334" i="4" s="1"/>
  <c r="BJ225" i="4"/>
  <c r="BJ226" i="4"/>
  <c r="BH341" i="4"/>
  <c r="BH347" i="4" s="1"/>
  <c r="BH31" i="4"/>
  <c r="AQ249" i="4"/>
  <c r="AQ49" i="4"/>
  <c r="AQ51" i="4"/>
  <c r="G64" i="4"/>
  <c r="G76" i="4"/>
  <c r="G79" i="4" s="1"/>
  <c r="G80" i="4" s="1"/>
  <c r="G72" i="4"/>
  <c r="G73" i="4"/>
  <c r="BM308" i="5"/>
  <c r="BB49" i="4"/>
  <c r="BB249" i="4"/>
  <c r="BB51" i="4"/>
  <c r="AH71" i="4"/>
  <c r="AH332" i="4"/>
  <c r="AH334" i="4" s="1"/>
  <c r="AB60" i="4"/>
  <c r="AB351" i="4"/>
  <c r="Q360" i="4"/>
  <c r="E351" i="4"/>
  <c r="E60" i="4"/>
  <c r="BN308" i="5"/>
  <c r="CW308" i="5" s="1"/>
  <c r="O56" i="4"/>
  <c r="O63" i="4"/>
  <c r="CT39" i="4"/>
  <c r="I5" i="6" s="1"/>
  <c r="BI40" i="4"/>
  <c r="CT40" i="4" s="1"/>
  <c r="I8" i="6" s="1"/>
  <c r="BI45" i="4"/>
  <c r="P341" i="4"/>
  <c r="P347" i="4" s="1"/>
  <c r="P32" i="4"/>
  <c r="CK32" i="4" s="1"/>
  <c r="P31" i="4"/>
  <c r="CK31" i="4" s="1"/>
  <c r="AQ31" i="4"/>
  <c r="AQ341" i="4"/>
  <c r="AQ347" i="4" s="1"/>
  <c r="AX265" i="5"/>
  <c r="G60" i="4"/>
  <c r="G351" i="4"/>
  <c r="BB278" i="5"/>
  <c r="AW273" i="5"/>
  <c r="Z284" i="4"/>
  <c r="BS167" i="4"/>
  <c r="BT167" i="4" s="1"/>
  <c r="BR102" i="4"/>
  <c r="BS102" i="4" s="1"/>
  <c r="CV102" i="4" s="1"/>
  <c r="CV313" i="5"/>
  <c r="BI322" i="5"/>
  <c r="CV312" i="5"/>
  <c r="BI314" i="5"/>
  <c r="P45" i="4"/>
  <c r="P40" i="4"/>
  <c r="CK40" i="4" s="1"/>
  <c r="AW271" i="5"/>
  <c r="N72" i="4"/>
  <c r="N64" i="4"/>
  <c r="N73" i="4" s="1"/>
  <c r="N76" i="4"/>
  <c r="N79" i="4" s="1"/>
  <c r="N80" i="4" s="1"/>
  <c r="AG106" i="4"/>
  <c r="BK226" i="4"/>
  <c r="BK225" i="4"/>
  <c r="CT30" i="4"/>
  <c r="BI341" i="4"/>
  <c r="BI347" i="4" s="1"/>
  <c r="BI31" i="4"/>
  <c r="CT31" i="4" s="1"/>
  <c r="I9" i="6" s="1"/>
  <c r="BE277" i="5"/>
  <c r="AB64" i="4"/>
  <c r="AB73" i="4" s="1"/>
  <c r="AB76" i="4"/>
  <c r="AB79" i="4" s="1"/>
  <c r="AB80" i="4" s="1"/>
  <c r="AB72" i="4"/>
  <c r="AY39" i="4"/>
  <c r="AY40" i="4" s="1"/>
  <c r="CR40" i="4" s="1"/>
  <c r="G8" i="6" s="1"/>
  <c r="AT253" i="4"/>
  <c r="J360" i="4"/>
  <c r="K360" i="4" s="1"/>
  <c r="N360" i="4"/>
  <c r="BA278" i="5"/>
  <c r="BA272" i="5" s="1"/>
  <c r="O360" i="4"/>
  <c r="AT138" i="5"/>
  <c r="CS138" i="5" s="1"/>
  <c r="CS137" i="5"/>
  <c r="AT142" i="5"/>
  <c r="AS30" i="4"/>
  <c r="AS32" i="4" s="1"/>
  <c r="AS40" i="4"/>
  <c r="AS45" i="4"/>
  <c r="AZ278" i="5"/>
  <c r="BF277" i="5"/>
  <c r="BD143" i="5"/>
  <c r="CU143" i="5" s="1"/>
  <c r="BD230" i="4"/>
  <c r="CU142" i="5"/>
  <c r="CK30" i="4"/>
  <c r="CK39" i="4"/>
  <c r="CK45" i="4" s="1"/>
  <c r="BH51" i="4"/>
  <c r="BH249" i="4"/>
  <c r="BH49" i="4"/>
  <c r="AZ56" i="4"/>
  <c r="AZ63" i="4"/>
  <c r="BB277" i="5"/>
  <c r="AW272" i="5"/>
  <c r="AX277" i="5"/>
  <c r="AC332" i="4"/>
  <c r="AC334" i="4" s="1"/>
  <c r="AC71" i="4"/>
  <c r="BQ122" i="5"/>
  <c r="BQ123" i="5" s="1"/>
  <c r="M56" i="4"/>
  <c r="M63" i="4"/>
  <c r="U40" i="4"/>
  <c r="CL40" i="4" s="1"/>
  <c r="U45" i="4"/>
  <c r="F20" i="6"/>
  <c r="F21" i="6"/>
  <c r="BZ182" i="4"/>
  <c r="CX182" i="4"/>
  <c r="H63" i="4"/>
  <c r="H56" i="4"/>
  <c r="CL30" i="4"/>
  <c r="CL39" i="4"/>
  <c r="CL45" i="4" s="1"/>
  <c r="S351" i="4"/>
  <c r="S60" i="4"/>
  <c r="T249" i="4"/>
  <c r="T51" i="4"/>
  <c r="T49" i="4"/>
  <c r="C60" i="4"/>
  <c r="C351" i="4"/>
  <c r="C353" i="4" s="1"/>
  <c r="C355" i="4" s="1"/>
  <c r="U341" i="4"/>
  <c r="U347" i="4" s="1"/>
  <c r="U31" i="4"/>
  <c r="CL31" i="4" s="1"/>
  <c r="U32" i="4"/>
  <c r="CL32" i="4" s="1"/>
  <c r="T30" i="4"/>
  <c r="Z32" i="4"/>
  <c r="CM32" i="4" s="1"/>
  <c r="S72" i="4"/>
  <c r="S76" i="4"/>
  <c r="S79" i="4" s="1"/>
  <c r="S80" i="4" s="1"/>
  <c r="S64" i="4"/>
  <c r="S73" i="4" s="1"/>
  <c r="C64" i="4"/>
  <c r="C72" i="4"/>
  <c r="C73" i="4"/>
  <c r="CF73" i="4" s="1"/>
  <c r="C76" i="4"/>
  <c r="AK341" i="4"/>
  <c r="AK347" i="4" s="1"/>
  <c r="AK32" i="4"/>
  <c r="AK31" i="4"/>
  <c r="AP32" i="4"/>
  <c r="AK49" i="4"/>
  <c r="AK249" i="4"/>
  <c r="AK51" i="4"/>
  <c r="CW116" i="5"/>
  <c r="BN122" i="5"/>
  <c r="BN117" i="5"/>
  <c r="BN54" i="5"/>
  <c r="BM55" i="5"/>
  <c r="BM56" i="5"/>
  <c r="BO172" i="5"/>
  <c r="BO175" i="5" s="1"/>
  <c r="BB226" i="4"/>
  <c r="BB225" i="4"/>
  <c r="BG226" i="4"/>
  <c r="BG225" i="4"/>
  <c r="AU30" i="4"/>
  <c r="AY30" i="4" s="1"/>
  <c r="AU45" i="4"/>
  <c r="AU40" i="4"/>
  <c r="AY240" i="4"/>
  <c r="AY22" i="4"/>
  <c r="CR22" i="4" s="1"/>
  <c r="AY241" i="4"/>
  <c r="AY225" i="4"/>
  <c r="AY15" i="4"/>
  <c r="CR14" i="4"/>
  <c r="AY236" i="4"/>
  <c r="AY239" i="4"/>
  <c r="BD15" i="4"/>
  <c r="AY37" i="4"/>
  <c r="CR37" i="4" s="1"/>
  <c r="AY243" i="4"/>
  <c r="AY238" i="4"/>
  <c r="AY253" i="4"/>
  <c r="AY237" i="4"/>
  <c r="AY242" i="4"/>
  <c r="AY228" i="4"/>
  <c r="AY24" i="4"/>
  <c r="CR24" i="4" s="1"/>
  <c r="CT137" i="5"/>
  <c r="AY142" i="5"/>
  <c r="CT142" i="5" s="1"/>
  <c r="BF60" i="4"/>
  <c r="BF351" i="4"/>
  <c r="BF84" i="4"/>
  <c r="BF106" i="4" s="1"/>
  <c r="BG73" i="4"/>
  <c r="BF72" i="4"/>
  <c r="BF64" i="4"/>
  <c r="BF73" i="4" s="1"/>
  <c r="BF76" i="4"/>
  <c r="BF79" i="4" s="1"/>
  <c r="BF80" i="4" s="1"/>
  <c r="C11" i="6"/>
  <c r="C13" i="6" s="1"/>
  <c r="C23" i="6" s="1"/>
  <c r="F72" i="4"/>
  <c r="F76" i="4"/>
  <c r="F73" i="4"/>
  <c r="CI73" i="4" s="1"/>
  <c r="F64" i="4"/>
  <c r="F60" i="4"/>
  <c r="F351" i="4"/>
  <c r="AD60" i="4"/>
  <c r="AD351" i="4"/>
  <c r="AE63" i="4"/>
  <c r="AE56" i="4"/>
  <c r="CN51" i="4"/>
  <c r="CN49" i="4"/>
  <c r="V332" i="4"/>
  <c r="V334" i="4" s="1"/>
  <c r="V71" i="4"/>
  <c r="AD72" i="4"/>
  <c r="AD64" i="4"/>
  <c r="AD73" i="4" s="1"/>
  <c r="AD76" i="4"/>
  <c r="L332" i="4"/>
  <c r="L334" i="4" s="1"/>
  <c r="L71" i="4"/>
  <c r="CU42" i="4"/>
  <c r="BQ293" i="4"/>
  <c r="BR294" i="4"/>
  <c r="BR295" i="4" s="1"/>
  <c r="BR293" i="4" s="1"/>
  <c r="BS171" i="4"/>
  <c r="BT171" i="4" s="1"/>
  <c r="I332" i="4"/>
  <c r="I71" i="4"/>
  <c r="AN51" i="4"/>
  <c r="AN49" i="4"/>
  <c r="AN249" i="4"/>
  <c r="B351" i="4"/>
  <c r="B60" i="4"/>
  <c r="B71" i="4" s="1"/>
  <c r="CE71" i="4" s="1"/>
  <c r="AR341" i="4"/>
  <c r="AR347" i="4" s="1"/>
  <c r="AR31" i="4"/>
  <c r="AR32" i="4"/>
  <c r="AM341" i="4"/>
  <c r="AM347" i="4" s="1"/>
  <c r="AM348" i="4" s="1"/>
  <c r="AM32" i="4"/>
  <c r="AM31" i="4"/>
  <c r="AX49" i="4"/>
  <c r="AX51" i="4"/>
  <c r="AX249" i="4"/>
  <c r="CT440" i="5"/>
  <c r="AN31" i="4"/>
  <c r="AN341" i="4"/>
  <c r="AN347" i="4" s="1"/>
  <c r="AP84" i="4"/>
  <c r="AP60" i="4"/>
  <c r="AP351" i="4"/>
  <c r="Q72" i="4"/>
  <c r="Q64" i="4"/>
  <c r="Q73" i="4" s="1"/>
  <c r="Q76" i="4"/>
  <c r="CZ402" i="5"/>
  <c r="BZ402" i="5"/>
  <c r="AL51" i="4"/>
  <c r="AL249" i="4"/>
  <c r="AL49" i="4"/>
  <c r="I79" i="4"/>
  <c r="CH133" i="4"/>
  <c r="CH135" i="4" s="1"/>
  <c r="E135" i="4"/>
  <c r="AV249" i="4"/>
  <c r="AV51" i="4"/>
  <c r="AV49" i="4"/>
  <c r="Y60" i="4"/>
  <c r="Y351" i="4"/>
  <c r="AY318" i="5"/>
  <c r="CT318" i="5" s="1"/>
  <c r="AV32" i="4"/>
  <c r="AV341" i="4"/>
  <c r="AV347" i="4" s="1"/>
  <c r="AV31" i="4"/>
  <c r="BA32" i="4"/>
  <c r="AM249" i="4"/>
  <c r="AM51" i="4"/>
  <c r="AM49" i="4"/>
  <c r="CT442" i="5"/>
  <c r="AP73" i="4"/>
  <c r="AP64" i="4"/>
  <c r="AP72" i="4"/>
  <c r="AP76" i="4"/>
  <c r="AR249" i="4"/>
  <c r="AR51" i="4"/>
  <c r="AR49" i="4"/>
  <c r="CS308" i="5"/>
  <c r="Q351" i="4"/>
  <c r="Q60" i="4"/>
  <c r="CV172" i="4"/>
  <c r="CP39" i="4"/>
  <c r="E5" i="6" s="1"/>
  <c r="AO40" i="4"/>
  <c r="CP40" i="4" s="1"/>
  <c r="E8" i="6" s="1"/>
  <c r="AO45" i="4"/>
  <c r="AW51" i="4"/>
  <c r="AW49" i="4"/>
  <c r="AW249" i="4"/>
  <c r="R60" i="4"/>
  <c r="R351" i="4"/>
  <c r="X76" i="4"/>
  <c r="X72" i="4"/>
  <c r="X64" i="4"/>
  <c r="X73" i="4" s="1"/>
  <c r="CM51" i="4"/>
  <c r="CM49" i="4"/>
  <c r="CR39" i="4"/>
  <c r="G5" i="6" s="1"/>
  <c r="Y72" i="4"/>
  <c r="Y76" i="4"/>
  <c r="Y79" i="4" s="1"/>
  <c r="Y80" i="4" s="1"/>
  <c r="Y64" i="4"/>
  <c r="Y73" i="4" s="1"/>
  <c r="AX341" i="4"/>
  <c r="AX347" i="4" s="1"/>
  <c r="AX31" i="4"/>
  <c r="B73" i="4"/>
  <c r="CE73" i="4" s="1"/>
  <c r="B64" i="4"/>
  <c r="B72" i="4"/>
  <c r="B76" i="4"/>
  <c r="Z63" i="4"/>
  <c r="Z56" i="4"/>
  <c r="AT45" i="4"/>
  <c r="AT40" i="4"/>
  <c r="CQ40" i="4" s="1"/>
  <c r="F8" i="6" s="1"/>
  <c r="CQ39" i="4"/>
  <c r="F5" i="6" s="1"/>
  <c r="AT437" i="5"/>
  <c r="AT443" i="5" s="1"/>
  <c r="CS443" i="5" s="1"/>
  <c r="CS435" i="5"/>
  <c r="AT310" i="5"/>
  <c r="CS310" i="5" s="1"/>
  <c r="AY436" i="5"/>
  <c r="AL341" i="4"/>
  <c r="AL347" i="4" s="1"/>
  <c r="AL31" i="4"/>
  <c r="AO30" i="4"/>
  <c r="AL32" i="4"/>
  <c r="AQ32" i="4"/>
  <c r="AW31" i="4"/>
  <c r="AW32" i="4"/>
  <c r="AW341" i="4"/>
  <c r="AW347" i="4" s="1"/>
  <c r="BB32" i="4"/>
  <c r="R76" i="4"/>
  <c r="R79" i="4" s="1"/>
  <c r="R80" i="4" s="1"/>
  <c r="R64" i="4"/>
  <c r="R73" i="4" s="1"/>
  <c r="R72" i="4"/>
  <c r="DA71" i="5"/>
  <c r="BZ73" i="5"/>
  <c r="DA73" i="5" s="1"/>
  <c r="X351" i="4"/>
  <c r="X60" i="4"/>
  <c r="B11" i="6"/>
  <c r="B13" i="6" s="1"/>
  <c r="B23" i="6" s="1"/>
  <c r="C7" i="6"/>
  <c r="BE225" i="4"/>
  <c r="BE226" i="4"/>
  <c r="CG142" i="4"/>
  <c r="D149" i="4"/>
  <c r="D157" i="4" s="1"/>
  <c r="BM172" i="5"/>
  <c r="BM175" i="5" s="1"/>
  <c r="BN253" i="5"/>
  <c r="BN247" i="5" s="1"/>
  <c r="BN245" i="5"/>
  <c r="BO55" i="5"/>
  <c r="BO56" i="5"/>
  <c r="BN156" i="5"/>
  <c r="BP18" i="5"/>
  <c r="BP110" i="5" s="1"/>
  <c r="BP247" i="5"/>
  <c r="BP253" i="5" s="1"/>
  <c r="BP213" i="5"/>
  <c r="BP56" i="5"/>
  <c r="BO108" i="5"/>
  <c r="BO110" i="5" s="1"/>
  <c r="BA132" i="4"/>
  <c r="BA304" i="4"/>
  <c r="BJ73" i="4"/>
  <c r="BG71" i="4"/>
  <c r="BG332" i="4"/>
  <c r="BG334" i="4" s="1"/>
  <c r="BE79" i="4"/>
  <c r="BE71" i="4"/>
  <c r="BE332" i="4"/>
  <c r="BJ332" i="4"/>
  <c r="BJ334" i="4" s="1"/>
  <c r="BJ71" i="4"/>
  <c r="BA332" i="4"/>
  <c r="BA334" i="4" s="1"/>
  <c r="BA71" i="4"/>
  <c r="BG132" i="4"/>
  <c r="BG304" i="4"/>
  <c r="BJ132" i="4"/>
  <c r="BJ304" i="4"/>
  <c r="BE106" i="4"/>
  <c r="BQ247" i="5"/>
  <c r="BQ253" i="5" s="1"/>
  <c r="BQ18" i="5"/>
  <c r="BQ110" i="5" s="1"/>
  <c r="BQ213" i="5"/>
  <c r="BQ156" i="5"/>
  <c r="BV156" i="5" s="1"/>
  <c r="BL208" i="5"/>
  <c r="BL204" i="5"/>
  <c r="BN167" i="5"/>
  <c r="CW166" i="5"/>
  <c r="BQ55" i="5"/>
  <c r="BQ56" i="5"/>
  <c r="BY25" i="5"/>
  <c r="CY25" i="5"/>
  <c r="DA367" i="5"/>
  <c r="BZ21" i="5"/>
  <c r="DA324" i="5"/>
  <c r="BZ309" i="5"/>
  <c r="DA309" i="5" s="1"/>
  <c r="BY205" i="4"/>
  <c r="CZ21" i="5"/>
  <c r="CB21" i="5"/>
  <c r="BY24" i="5"/>
  <c r="CZ24" i="5" s="1"/>
  <c r="BU117" i="5" l="1"/>
  <c r="BU116" i="5" s="1"/>
  <c r="BU122" i="5" s="1"/>
  <c r="BU123" i="5" s="1"/>
  <c r="AY45" i="4"/>
  <c r="BV172" i="4"/>
  <c r="BU167" i="4"/>
  <c r="BT102" i="4"/>
  <c r="BV143" i="4"/>
  <c r="BV113" i="4" s="1"/>
  <c r="BU113" i="4"/>
  <c r="BU171" i="4"/>
  <c r="BT294" i="4"/>
  <c r="BZ94" i="5"/>
  <c r="CZ94" i="5"/>
  <c r="BZ85" i="5"/>
  <c r="CZ85" i="5"/>
  <c r="BY103" i="5"/>
  <c r="BY121" i="5"/>
  <c r="BW209" i="4"/>
  <c r="CT441" i="5"/>
  <c r="BV249" i="5"/>
  <c r="BV251" i="5"/>
  <c r="AY203" i="4"/>
  <c r="AY30" i="5"/>
  <c r="BU249" i="5"/>
  <c r="BU251" i="5"/>
  <c r="C24" i="6"/>
  <c r="DB367" i="5"/>
  <c r="J348" i="4"/>
  <c r="O348" i="4"/>
  <c r="K345" i="4"/>
  <c r="K347" i="4" s="1"/>
  <c r="K51" i="4"/>
  <c r="CJ48" i="4"/>
  <c r="K49" i="4"/>
  <c r="BI138" i="5"/>
  <c r="CV138" i="5" s="1"/>
  <c r="CV137" i="5"/>
  <c r="BI142" i="5"/>
  <c r="J63" i="4"/>
  <c r="J56" i="4"/>
  <c r="DA402" i="5"/>
  <c r="CA402" i="5"/>
  <c r="DB402" i="5" s="1"/>
  <c r="CA24" i="5"/>
  <c r="DB24" i="5" s="1"/>
  <c r="CY182" i="4"/>
  <c r="CA182" i="4"/>
  <c r="CZ182" i="4" s="1"/>
  <c r="CA205" i="4"/>
  <c r="DB21" i="5"/>
  <c r="P270" i="4"/>
  <c r="Q265" i="4" s="1"/>
  <c r="Q268" i="4" s="1"/>
  <c r="U268" i="4" s="1"/>
  <c r="CU146" i="5"/>
  <c r="BD148" i="5"/>
  <c r="CU148" i="5" s="1"/>
  <c r="BC30" i="4"/>
  <c r="BD39" i="4"/>
  <c r="BC40" i="4"/>
  <c r="BC45" i="4"/>
  <c r="Q273" i="4"/>
  <c r="Q275" i="4" s="1"/>
  <c r="U275" i="4" s="1"/>
  <c r="U277" i="4" s="1"/>
  <c r="CS28" i="4"/>
  <c r="I321" i="4"/>
  <c r="I323" i="4" s="1"/>
  <c r="J319" i="4" s="1"/>
  <c r="D73" i="4"/>
  <c r="CG73" i="4" s="1"/>
  <c r="D76" i="4"/>
  <c r="D64" i="4"/>
  <c r="D72" i="4"/>
  <c r="U265" i="4"/>
  <c r="BA226" i="4"/>
  <c r="BA225" i="4"/>
  <c r="CX430" i="5"/>
  <c r="AR360" i="4"/>
  <c r="AY15" i="5"/>
  <c r="CT15" i="5" s="1"/>
  <c r="CT14" i="5"/>
  <c r="AY52" i="5"/>
  <c r="CT52" i="5" s="1"/>
  <c r="BF226" i="4"/>
  <c r="BF225" i="4"/>
  <c r="AF73" i="4"/>
  <c r="AF64" i="4"/>
  <c r="AF72" i="4"/>
  <c r="AF76" i="4"/>
  <c r="AF79" i="4" s="1"/>
  <c r="AF80" i="4" s="1"/>
  <c r="AJ225" i="4"/>
  <c r="AJ230" i="4"/>
  <c r="AJ226" i="4" s="1"/>
  <c r="AY329" i="5"/>
  <c r="CT329" i="5" s="1"/>
  <c r="BD15" i="5"/>
  <c r="CU15" i="5" s="1"/>
  <c r="BC231" i="4"/>
  <c r="BC224" i="4"/>
  <c r="BC222" i="4"/>
  <c r="BC233" i="4"/>
  <c r="BC232" i="4" s="1"/>
  <c r="AF60" i="4"/>
  <c r="AF351" i="4"/>
  <c r="AF84" i="4"/>
  <c r="AI28" i="4"/>
  <c r="AJ23" i="4"/>
  <c r="AI24" i="4"/>
  <c r="B7" i="6"/>
  <c r="AY333" i="5"/>
  <c r="CT333" i="5" s="1"/>
  <c r="AY90" i="5"/>
  <c r="CT90" i="5" s="1"/>
  <c r="BA360" i="4"/>
  <c r="D351" i="4"/>
  <c r="D60" i="4"/>
  <c r="BP166" i="5"/>
  <c r="BP172" i="5" s="1"/>
  <c r="CW433" i="5"/>
  <c r="AQ360" i="4"/>
  <c r="AS31" i="4"/>
  <c r="AS341" i="4"/>
  <c r="AS347" i="4" s="1"/>
  <c r="AX348" i="4" s="1"/>
  <c r="BC277" i="5"/>
  <c r="BD277" i="5" s="1"/>
  <c r="AX267" i="5"/>
  <c r="AX272" i="5"/>
  <c r="BJ360" i="4"/>
  <c r="BH360" i="4"/>
  <c r="BD233" i="4"/>
  <c r="BD232" i="4" s="1"/>
  <c r="BD222" i="4"/>
  <c r="BD224" i="4"/>
  <c r="BD231" i="4"/>
  <c r="BE278" i="5"/>
  <c r="AZ273" i="5"/>
  <c r="BD278" i="5"/>
  <c r="P360" i="4"/>
  <c r="AZ272" i="5"/>
  <c r="AX271" i="5"/>
  <c r="BO308" i="5"/>
  <c r="AQ63" i="4"/>
  <c r="AQ56" i="4"/>
  <c r="AS147" i="5"/>
  <c r="AT147" i="5" s="1"/>
  <c r="CS147" i="5" s="1"/>
  <c r="AT146" i="5"/>
  <c r="CS146" i="5" s="1"/>
  <c r="N71" i="4"/>
  <c r="N332" i="4"/>
  <c r="N334" i="4" s="1"/>
  <c r="F18" i="6"/>
  <c r="F17" i="6"/>
  <c r="AX32" i="4"/>
  <c r="AZ73" i="4"/>
  <c r="AZ76" i="4"/>
  <c r="AZ79" i="4" s="1"/>
  <c r="AZ80" i="4" s="1"/>
  <c r="AZ72" i="4"/>
  <c r="AZ64" i="4"/>
  <c r="BH63" i="4"/>
  <c r="BH56" i="4"/>
  <c r="AS49" i="4"/>
  <c r="AS51" i="4"/>
  <c r="AS249" i="4"/>
  <c r="AS360" i="4" s="1"/>
  <c r="AT360" i="4" s="1"/>
  <c r="AT143" i="5"/>
  <c r="CS143" i="5" s="1"/>
  <c r="CS142" i="5"/>
  <c r="AG304" i="4"/>
  <c r="AG132" i="4"/>
  <c r="CV167" i="4"/>
  <c r="O76" i="4"/>
  <c r="O79" i="4" s="1"/>
  <c r="O80" i="4" s="1"/>
  <c r="O72" i="4"/>
  <c r="O64" i="4"/>
  <c r="O73" i="4" s="1"/>
  <c r="E332" i="4"/>
  <c r="E334" i="4" s="1"/>
  <c r="E71" i="4"/>
  <c r="CH71" i="4" s="1"/>
  <c r="AZ360" i="4"/>
  <c r="BK360" i="4"/>
  <c r="AX147" i="5"/>
  <c r="CQ15" i="4"/>
  <c r="F6" i="6" s="1"/>
  <c r="BK60" i="4"/>
  <c r="BK351" i="4"/>
  <c r="BK84" i="4"/>
  <c r="BK106" i="4" s="1"/>
  <c r="W360" i="4"/>
  <c r="V360" i="4"/>
  <c r="T360" i="4"/>
  <c r="X360" i="4"/>
  <c r="BS146" i="5"/>
  <c r="CX146" i="5" s="1"/>
  <c r="BG277" i="5"/>
  <c r="BB276" i="5"/>
  <c r="AZ60" i="4"/>
  <c r="AZ351" i="4"/>
  <c r="AZ84" i="4"/>
  <c r="AZ106" i="4" s="1"/>
  <c r="AZ132" i="4" s="1"/>
  <c r="BA271" i="5"/>
  <c r="BA273" i="5"/>
  <c r="BF278" i="5"/>
  <c r="BF276" i="5" s="1"/>
  <c r="BF271" i="5" s="1"/>
  <c r="BG278" i="5"/>
  <c r="BB273" i="5"/>
  <c r="G71" i="4"/>
  <c r="G332" i="4"/>
  <c r="G334" i="4" s="1"/>
  <c r="BI249" i="4"/>
  <c r="BI49" i="4"/>
  <c r="BI51" i="4"/>
  <c r="BI245" i="4"/>
  <c r="CT45" i="4"/>
  <c r="CT49" i="4" s="1"/>
  <c r="O351" i="4"/>
  <c r="O60" i="4"/>
  <c r="BB63" i="4"/>
  <c r="BB56" i="4"/>
  <c r="AX273" i="5"/>
  <c r="E79" i="4"/>
  <c r="CH76" i="4"/>
  <c r="BK76" i="4"/>
  <c r="BK79" i="4" s="1"/>
  <c r="BK80" i="4" s="1"/>
  <c r="BK64" i="4"/>
  <c r="BK72" i="4"/>
  <c r="AT30" i="4"/>
  <c r="AT32" i="4" s="1"/>
  <c r="CQ32" i="4" s="1"/>
  <c r="AN360" i="4"/>
  <c r="AP360" i="4"/>
  <c r="F19" i="6"/>
  <c r="CK51" i="4"/>
  <c r="CK49" i="4"/>
  <c r="P51" i="4"/>
  <c r="P249" i="4"/>
  <c r="P49" i="4"/>
  <c r="AE280" i="4"/>
  <c r="AA280" i="4"/>
  <c r="AA282" i="4" s="1"/>
  <c r="AE282" i="4" s="1"/>
  <c r="AB332" i="4"/>
  <c r="AB334" i="4" s="1"/>
  <c r="AB71" i="4"/>
  <c r="BB360" i="4"/>
  <c r="BN316" i="5"/>
  <c r="BM317" i="5"/>
  <c r="AZ271" i="5"/>
  <c r="C332" i="4"/>
  <c r="C334" i="4" s="1"/>
  <c r="C336" i="4" s="1"/>
  <c r="C71" i="4"/>
  <c r="CF71" i="4" s="1"/>
  <c r="U51" i="4"/>
  <c r="U49" i="4"/>
  <c r="U249" i="4"/>
  <c r="S332" i="4"/>
  <c r="S334" i="4" s="1"/>
  <c r="S71" i="4"/>
  <c r="H351" i="4"/>
  <c r="H60" i="4"/>
  <c r="U348" i="4"/>
  <c r="Z348" i="4"/>
  <c r="T56" i="4"/>
  <c r="T63" i="4"/>
  <c r="H64" i="4"/>
  <c r="H72" i="4"/>
  <c r="H73" i="4"/>
  <c r="H76" i="4"/>
  <c r="M72" i="4"/>
  <c r="M76" i="4"/>
  <c r="M64" i="4"/>
  <c r="M73" i="4" s="1"/>
  <c r="CF76" i="4"/>
  <c r="C79" i="4"/>
  <c r="Y32" i="4"/>
  <c r="T341" i="4"/>
  <c r="T347" i="4" s="1"/>
  <c r="T32" i="4"/>
  <c r="T31" i="4"/>
  <c r="CL51" i="4"/>
  <c r="CL49" i="4"/>
  <c r="M60" i="4"/>
  <c r="M351" i="4"/>
  <c r="BO167" i="5"/>
  <c r="AK63" i="4"/>
  <c r="AK56" i="4"/>
  <c r="AK348" i="4"/>
  <c r="AP348" i="4"/>
  <c r="CW117" i="5"/>
  <c r="BN123" i="5"/>
  <c r="R50" i="6"/>
  <c r="BN55" i="5"/>
  <c r="CW55" i="5" s="1"/>
  <c r="BN56" i="5"/>
  <c r="CW56" i="5" s="1"/>
  <c r="CW54" i="5"/>
  <c r="CS15" i="4"/>
  <c r="H6" i="6" s="1"/>
  <c r="CR15" i="4"/>
  <c r="G6" i="6" s="1"/>
  <c r="AU49" i="4"/>
  <c r="AU51" i="4"/>
  <c r="AU249" i="4"/>
  <c r="G17" i="6"/>
  <c r="G19" i="6"/>
  <c r="G18" i="6"/>
  <c r="AU341" i="4"/>
  <c r="AU347" i="4" s="1"/>
  <c r="AU31" i="4"/>
  <c r="AZ32" i="4"/>
  <c r="AU32" i="4"/>
  <c r="BF132" i="4"/>
  <c r="BF304" i="4"/>
  <c r="BF332" i="4"/>
  <c r="BF334" i="4" s="1"/>
  <c r="BF71" i="4"/>
  <c r="CI76" i="4"/>
  <c r="F79" i="4"/>
  <c r="F71" i="4"/>
  <c r="CI71" i="4" s="1"/>
  <c r="F332" i="4"/>
  <c r="F334" i="4" s="1"/>
  <c r="AE351" i="4"/>
  <c r="AE60" i="4"/>
  <c r="AE71" i="4" s="1"/>
  <c r="CN71" i="4" s="1"/>
  <c r="AE64" i="4"/>
  <c r="AE73" i="4" s="1"/>
  <c r="CN73" i="4" s="1"/>
  <c r="AE72" i="4"/>
  <c r="AD79" i="4"/>
  <c r="AE76" i="4"/>
  <c r="CN76" i="4" s="1"/>
  <c r="CN56" i="4"/>
  <c r="CN60" i="4" s="1"/>
  <c r="CN63" i="4"/>
  <c r="CN64" i="4" s="1"/>
  <c r="AD71" i="4"/>
  <c r="AD332" i="4"/>
  <c r="BR343" i="4"/>
  <c r="BR42" i="4"/>
  <c r="BQ343" i="4"/>
  <c r="BQ42" i="4"/>
  <c r="BS293" i="4"/>
  <c r="BS294" i="4"/>
  <c r="BT295" i="4" s="1"/>
  <c r="CV171" i="4"/>
  <c r="BS295" i="4"/>
  <c r="CV295" i="4" s="1"/>
  <c r="BM174" i="5"/>
  <c r="D189" i="4"/>
  <c r="D354" i="4"/>
  <c r="D352" i="4"/>
  <c r="AW348" i="4"/>
  <c r="BB348" i="4"/>
  <c r="CS437" i="5"/>
  <c r="AT440" i="5"/>
  <c r="CS440" i="5" s="1"/>
  <c r="AT442" i="5"/>
  <c r="CS442" i="5" s="1"/>
  <c r="AT441" i="5"/>
  <c r="CS441" i="5" s="1"/>
  <c r="AN147" i="5"/>
  <c r="AO147" i="5" s="1"/>
  <c r="CR147" i="5" s="1"/>
  <c r="AO146" i="5"/>
  <c r="CR146" i="5" s="1"/>
  <c r="AW56" i="4"/>
  <c r="AW63" i="4"/>
  <c r="Q332" i="4"/>
  <c r="Q71" i="4"/>
  <c r="AV348" i="4"/>
  <c r="BA348" i="4"/>
  <c r="AV63" i="4"/>
  <c r="AV56" i="4"/>
  <c r="I80" i="4"/>
  <c r="AP106" i="4"/>
  <c r="CG149" i="4"/>
  <c r="CG157" i="4" s="1"/>
  <c r="CG189" i="4" s="1"/>
  <c r="CG137" i="4"/>
  <c r="X71" i="4"/>
  <c r="X332" i="4"/>
  <c r="AO341" i="4"/>
  <c r="AO347" i="4" s="1"/>
  <c r="CP30" i="4"/>
  <c r="AO31" i="4"/>
  <c r="CP31" i="4" s="1"/>
  <c r="E9" i="6" s="1"/>
  <c r="F7" i="6"/>
  <c r="AU147" i="5"/>
  <c r="AY49" i="4"/>
  <c r="CR45" i="4"/>
  <c r="CR49" i="4" s="1"/>
  <c r="AY245" i="4"/>
  <c r="AY249" i="4" s="1"/>
  <c r="G10" i="6" s="1"/>
  <c r="G11" i="6" s="1"/>
  <c r="G13" i="6" s="1"/>
  <c r="G23" i="6" s="1"/>
  <c r="AY51" i="4"/>
  <c r="CM56" i="4"/>
  <c r="CM60" i="4" s="1"/>
  <c r="CM63" i="4"/>
  <c r="CM64" i="4" s="1"/>
  <c r="R332" i="4"/>
  <c r="R334" i="4" s="1"/>
  <c r="R71" i="4"/>
  <c r="AO51" i="4"/>
  <c r="AO245" i="4"/>
  <c r="AO249" i="4" s="1"/>
  <c r="E10" i="6" s="1"/>
  <c r="E11" i="6" s="1"/>
  <c r="E13" i="6" s="1"/>
  <c r="E23" i="6" s="1"/>
  <c r="AO49" i="4"/>
  <c r="CP45" i="4"/>
  <c r="CP49" i="4" s="1"/>
  <c r="AR63" i="4"/>
  <c r="AR56" i="4"/>
  <c r="AP79" i="4"/>
  <c r="F133" i="4"/>
  <c r="E142" i="4"/>
  <c r="E137" i="4" s="1"/>
  <c r="AL63" i="4"/>
  <c r="AL56" i="4"/>
  <c r="Z351" i="4"/>
  <c r="Z60" i="4"/>
  <c r="Z71" i="4" s="1"/>
  <c r="CM71" i="4" s="1"/>
  <c r="CE76" i="4"/>
  <c r="B79" i="4"/>
  <c r="G7" i="6"/>
  <c r="AT312" i="5"/>
  <c r="AY341" i="4"/>
  <c r="AY347" i="4" s="1"/>
  <c r="AY31" i="4"/>
  <c r="CR31" i="4" s="1"/>
  <c r="G9" i="6" s="1"/>
  <c r="CR30" i="4"/>
  <c r="Y71" i="4"/>
  <c r="Y332" i="4"/>
  <c r="Y334" i="4" s="1"/>
  <c r="AX56" i="4"/>
  <c r="AX63" i="4"/>
  <c r="AR348" i="4"/>
  <c r="AN63" i="4"/>
  <c r="AN56" i="4"/>
  <c r="I334" i="4"/>
  <c r="AL348" i="4"/>
  <c r="AQ348" i="4"/>
  <c r="AT51" i="4"/>
  <c r="AT49" i="4"/>
  <c r="AT245" i="4"/>
  <c r="AT249" i="4" s="1"/>
  <c r="F10" i="6" s="1"/>
  <c r="F11" i="6" s="1"/>
  <c r="F13" i="6" s="1"/>
  <c r="F23" i="6" s="1"/>
  <c r="CQ45" i="4"/>
  <c r="CQ49" i="4" s="1"/>
  <c r="Z72" i="4"/>
  <c r="Z64" i="4"/>
  <c r="Z73" i="4" s="1"/>
  <c r="CM73" i="4" s="1"/>
  <c r="X79" i="4"/>
  <c r="Z76" i="4"/>
  <c r="CM76" i="4" s="1"/>
  <c r="AM56" i="4"/>
  <c r="AM63" i="4"/>
  <c r="AY37" i="5"/>
  <c r="AY31" i="5"/>
  <c r="BD450" i="5"/>
  <c r="AY214" i="5"/>
  <c r="CT30" i="5"/>
  <c r="BD31" i="5"/>
  <c r="AY126" i="5"/>
  <c r="CT126" i="5" s="1"/>
  <c r="AY138" i="5"/>
  <c r="CT138" i="5" s="1"/>
  <c r="AY143" i="5"/>
  <c r="CT143" i="5" s="1"/>
  <c r="Q79" i="4"/>
  <c r="AP332" i="4"/>
  <c r="AP71" i="4"/>
  <c r="BP204" i="4"/>
  <c r="BP16" i="5"/>
  <c r="BP19" i="5"/>
  <c r="CW156" i="5"/>
  <c r="BN157" i="5"/>
  <c r="BN172" i="5"/>
  <c r="BN175" i="5" s="1"/>
  <c r="BM216" i="5"/>
  <c r="BM221" i="5"/>
  <c r="BN221" i="5" s="1"/>
  <c r="BO216" i="5"/>
  <c r="BO204" i="5"/>
  <c r="BO215" i="5"/>
  <c r="BO208" i="5"/>
  <c r="BP216" i="5"/>
  <c r="BP207" i="5"/>
  <c r="BP208" i="5" s="1"/>
  <c r="BP203" i="5"/>
  <c r="BP204" i="5" s="1"/>
  <c r="BP215" i="5"/>
  <c r="CW245" i="5"/>
  <c r="BN248" i="5"/>
  <c r="CW248" i="5" s="1"/>
  <c r="BO204" i="4"/>
  <c r="BO19" i="5"/>
  <c r="BM204" i="4"/>
  <c r="BM19" i="5"/>
  <c r="BN18" i="5"/>
  <c r="BE80" i="4"/>
  <c r="BE334" i="4"/>
  <c r="BE304" i="4"/>
  <c r="BE132" i="4"/>
  <c r="BQ216" i="5"/>
  <c r="BQ215" i="5"/>
  <c r="BQ203" i="5"/>
  <c r="BQ207" i="5"/>
  <c r="CW167" i="5"/>
  <c r="BQ204" i="4"/>
  <c r="BQ16" i="5"/>
  <c r="BQ19" i="5"/>
  <c r="BO174" i="5"/>
  <c r="DA21" i="5"/>
  <c r="BZ205" i="4"/>
  <c r="BZ24" i="5"/>
  <c r="DA24" i="5" s="1"/>
  <c r="CZ25" i="5"/>
  <c r="BZ25" i="5"/>
  <c r="CA25" i="5" s="1"/>
  <c r="BY209" i="4"/>
  <c r="BL321" i="5"/>
  <c r="BV248" i="5" l="1"/>
  <c r="BV245" i="5" s="1"/>
  <c r="BV18" i="5" s="1"/>
  <c r="BV204" i="4" s="1"/>
  <c r="BU248" i="5"/>
  <c r="BU245" i="5" s="1"/>
  <c r="BU18" i="5" s="1"/>
  <c r="BU16" i="5" s="1"/>
  <c r="BU202" i="4" s="1"/>
  <c r="BV110" i="5"/>
  <c r="BW172" i="4"/>
  <c r="BV167" i="4"/>
  <c r="BU102" i="4"/>
  <c r="BW143" i="4"/>
  <c r="BX143" i="4" s="1"/>
  <c r="BT293" i="4"/>
  <c r="BV171" i="4"/>
  <c r="BU294" i="4"/>
  <c r="DA94" i="5"/>
  <c r="CA94" i="5"/>
  <c r="DB94" i="5" s="1"/>
  <c r="CZ103" i="5"/>
  <c r="CA85" i="5"/>
  <c r="DA85" i="5"/>
  <c r="BZ103" i="5"/>
  <c r="DA103" i="5" s="1"/>
  <c r="BZ121" i="5"/>
  <c r="AY146" i="5"/>
  <c r="CT146" i="5" s="1"/>
  <c r="K348" i="4"/>
  <c r="P348" i="4"/>
  <c r="J76" i="4"/>
  <c r="J79" i="4" s="1"/>
  <c r="J80" i="4" s="1"/>
  <c r="J72" i="4"/>
  <c r="J64" i="4"/>
  <c r="J73" i="4"/>
  <c r="BI230" i="4"/>
  <c r="CV142" i="5"/>
  <c r="BI143" i="5"/>
  <c r="CV143" i="5" s="1"/>
  <c r="CJ49" i="4"/>
  <c r="CJ51" i="4"/>
  <c r="AY147" i="5"/>
  <c r="CT147" i="5" s="1"/>
  <c r="K56" i="4"/>
  <c r="K63" i="4"/>
  <c r="J60" i="4"/>
  <c r="J351" i="4"/>
  <c r="D353" i="4"/>
  <c r="D355" i="4" s="1"/>
  <c r="DB25" i="5"/>
  <c r="CA209" i="4"/>
  <c r="AS348" i="4"/>
  <c r="BQ166" i="5"/>
  <c r="BQ172" i="5" s="1"/>
  <c r="AZ304" i="4"/>
  <c r="CQ30" i="4"/>
  <c r="DB42" i="4"/>
  <c r="DB343" i="4"/>
  <c r="BP167" i="5"/>
  <c r="AT341" i="4"/>
  <c r="AT347" i="4" s="1"/>
  <c r="AT348" i="4" s="1"/>
  <c r="J321" i="4"/>
  <c r="K321" i="4" s="1"/>
  <c r="K323" i="4" s="1"/>
  <c r="BC249" i="4"/>
  <c r="BC49" i="4"/>
  <c r="BC51" i="4"/>
  <c r="BD40" i="4"/>
  <c r="CS39" i="4"/>
  <c r="H5" i="6" s="1"/>
  <c r="BD45" i="4"/>
  <c r="BC341" i="4"/>
  <c r="BC347" i="4" s="1"/>
  <c r="BH32" i="4"/>
  <c r="BC31" i="4"/>
  <c r="BD30" i="4"/>
  <c r="BC32" i="4"/>
  <c r="D332" i="4"/>
  <c r="D334" i="4" s="1"/>
  <c r="D71" i="4"/>
  <c r="CG71" i="4" s="1"/>
  <c r="D79" i="4"/>
  <c r="CG76" i="4"/>
  <c r="AJ28" i="4"/>
  <c r="AJ24" i="4"/>
  <c r="CO24" i="4" s="1"/>
  <c r="CO23" i="4"/>
  <c r="AF71" i="4"/>
  <c r="AF332" i="4"/>
  <c r="AF334" i="4" s="1"/>
  <c r="BC226" i="4"/>
  <c r="BC225" i="4"/>
  <c r="U270" i="4"/>
  <c r="AT31" i="4"/>
  <c r="CQ31" i="4" s="1"/>
  <c r="F9" i="6" s="1"/>
  <c r="AY32" i="4"/>
  <c r="CR32" i="4" s="1"/>
  <c r="AI39" i="4"/>
  <c r="AI320" i="4"/>
  <c r="AJ320" i="4" s="1"/>
  <c r="AI30" i="4"/>
  <c r="Z273" i="4"/>
  <c r="V273" i="4"/>
  <c r="V275" i="4" s="1"/>
  <c r="Z275" i="4" s="1"/>
  <c r="AU360" i="4"/>
  <c r="AF106" i="4"/>
  <c r="AH84" i="4"/>
  <c r="AH106" i="4" s="1"/>
  <c r="AJ231" i="4"/>
  <c r="AJ222" i="4"/>
  <c r="BP175" i="5"/>
  <c r="I10" i="6"/>
  <c r="I11" i="6" s="1"/>
  <c r="I13" i="6" s="1"/>
  <c r="I23" i="6" s="1"/>
  <c r="BG276" i="5"/>
  <c r="BG271" i="5" s="1"/>
  <c r="AX360" i="4"/>
  <c r="AY360" i="4" s="1"/>
  <c r="P63" i="4"/>
  <c r="P56" i="4"/>
  <c r="BB84" i="4"/>
  <c r="BB106" i="4" s="1"/>
  <c r="BB60" i="4"/>
  <c r="BB351" i="4"/>
  <c r="CT51" i="4"/>
  <c r="BI56" i="4"/>
  <c r="BI63" i="4"/>
  <c r="CU278" i="5"/>
  <c r="BD268" i="5"/>
  <c r="CU268" i="5" s="1"/>
  <c r="CW316" i="5"/>
  <c r="BN317" i="5"/>
  <c r="CW317" i="5" s="1"/>
  <c r="BF272" i="5"/>
  <c r="E80" i="4"/>
  <c r="CH80" i="4" s="1"/>
  <c r="CH79" i="4"/>
  <c r="U360" i="4"/>
  <c r="BH76" i="4"/>
  <c r="BH64" i="4"/>
  <c r="BH73" i="4" s="1"/>
  <c r="BH72" i="4"/>
  <c r="BO317" i="5"/>
  <c r="BI360" i="4"/>
  <c r="BH277" i="5"/>
  <c r="BI277" i="5" s="1"/>
  <c r="BC276" i="5"/>
  <c r="BC272" i="5" s="1"/>
  <c r="BK73" i="4"/>
  <c r="BF273" i="5"/>
  <c r="BK332" i="4"/>
  <c r="BK334" i="4" s="1"/>
  <c r="BK71" i="4"/>
  <c r="BD226" i="4"/>
  <c r="BD225" i="4"/>
  <c r="AE284" i="4"/>
  <c r="BD267" i="5"/>
  <c r="CU267" i="5" s="1"/>
  <c r="CU277" i="5"/>
  <c r="AO360" i="4"/>
  <c r="AW360" i="4"/>
  <c r="BB76" i="4"/>
  <c r="BB79" i="4" s="1"/>
  <c r="BB80" i="4" s="1"/>
  <c r="BB73" i="4"/>
  <c r="BB72" i="4"/>
  <c r="BB64" i="4"/>
  <c r="AZ332" i="4"/>
  <c r="AZ334" i="4" s="1"/>
  <c r="AZ71" i="4"/>
  <c r="AQ60" i="4"/>
  <c r="AQ84" i="4"/>
  <c r="AQ106" i="4" s="1"/>
  <c r="AQ351" i="4"/>
  <c r="BP433" i="5"/>
  <c r="BP308" i="5" s="1"/>
  <c r="BP316" i="5" s="1"/>
  <c r="AV360" i="4"/>
  <c r="O71" i="4"/>
  <c r="O332" i="4"/>
  <c r="O334" i="4" s="1"/>
  <c r="CK63" i="4"/>
  <c r="CK64" i="4" s="1"/>
  <c r="CK56" i="4"/>
  <c r="CK60" i="4" s="1"/>
  <c r="BB272" i="5"/>
  <c r="BB271" i="5"/>
  <c r="BK132" i="4"/>
  <c r="BK304" i="4"/>
  <c r="AS63" i="4"/>
  <c r="AS56" i="4"/>
  <c r="BH60" i="4"/>
  <c r="BH351" i="4"/>
  <c r="BH84" i="4"/>
  <c r="AQ72" i="4"/>
  <c r="AQ76" i="4"/>
  <c r="AQ79" i="4" s="1"/>
  <c r="AQ80" i="4" s="1"/>
  <c r="AQ64" i="4"/>
  <c r="AQ73" i="4"/>
  <c r="BE276" i="5"/>
  <c r="BI278" i="5"/>
  <c r="T348" i="4"/>
  <c r="Y348" i="4"/>
  <c r="T60" i="4"/>
  <c r="T351" i="4"/>
  <c r="CL63" i="4"/>
  <c r="CL64" i="4" s="1"/>
  <c r="CL56" i="4"/>
  <c r="CL60" i="4" s="1"/>
  <c r="M79" i="4"/>
  <c r="P76" i="4"/>
  <c r="CK76" i="4" s="1"/>
  <c r="U56" i="4"/>
  <c r="U63" i="4"/>
  <c r="C80" i="4"/>
  <c r="CF80" i="4" s="1"/>
  <c r="CF79" i="4"/>
  <c r="M71" i="4"/>
  <c r="M332" i="4"/>
  <c r="H79" i="4"/>
  <c r="K76" i="4"/>
  <c r="CJ76" i="4" s="1"/>
  <c r="T76" i="4"/>
  <c r="T72" i="4"/>
  <c r="T64" i="4"/>
  <c r="T73" i="4" s="1"/>
  <c r="H71" i="4"/>
  <c r="H332" i="4"/>
  <c r="C337" i="4"/>
  <c r="D329" i="4"/>
  <c r="AK76" i="4"/>
  <c r="AK79" i="4" s="1"/>
  <c r="AK80" i="4" s="1"/>
  <c r="AK73" i="4"/>
  <c r="AK72" i="4"/>
  <c r="AK64" i="4"/>
  <c r="AK60" i="4"/>
  <c r="AK351" i="4"/>
  <c r="AK84" i="4"/>
  <c r="AK106" i="4" s="1"/>
  <c r="BM201" i="4"/>
  <c r="BN12" i="5"/>
  <c r="AZ348" i="4"/>
  <c r="AU348" i="4"/>
  <c r="AU63" i="4"/>
  <c r="AU56" i="4"/>
  <c r="F80" i="4"/>
  <c r="CI80" i="4" s="1"/>
  <c r="CI79" i="4"/>
  <c r="AD334" i="4"/>
  <c r="AE334" i="4" s="1"/>
  <c r="AE332" i="4"/>
  <c r="AD80" i="4"/>
  <c r="AE80" i="4" s="1"/>
  <c r="CN80" i="4" s="1"/>
  <c r="AE79" i="4"/>
  <c r="CN79" i="4" s="1"/>
  <c r="F24" i="6"/>
  <c r="BS42" i="4"/>
  <c r="CV294" i="4"/>
  <c r="BS343" i="4"/>
  <c r="BS296" i="4"/>
  <c r="G24" i="6"/>
  <c r="AM84" i="4"/>
  <c r="AM106" i="4" s="1"/>
  <c r="AM351" i="4"/>
  <c r="AM60" i="4"/>
  <c r="AT63" i="4"/>
  <c r="CQ51" i="4"/>
  <c r="AT56" i="4"/>
  <c r="AN73" i="4"/>
  <c r="AN72" i="4"/>
  <c r="AN64" i="4"/>
  <c r="AN76" i="4"/>
  <c r="AN79" i="4" s="1"/>
  <c r="AN80" i="4" s="1"/>
  <c r="AX60" i="4"/>
  <c r="AX84" i="4"/>
  <c r="AX106" i="4" s="1"/>
  <c r="AX351" i="4"/>
  <c r="AL84" i="4"/>
  <c r="AL351" i="4"/>
  <c r="AL60" i="4"/>
  <c r="CH142" i="4"/>
  <c r="E149" i="4"/>
  <c r="E157" i="4" s="1"/>
  <c r="AR72" i="4"/>
  <c r="AR64" i="4"/>
  <c r="AR73" i="4"/>
  <c r="AR76" i="4"/>
  <c r="AO63" i="4"/>
  <c r="CP51" i="4"/>
  <c r="AO56" i="4"/>
  <c r="X334" i="4"/>
  <c r="Z334" i="4" s="1"/>
  <c r="Z332" i="4"/>
  <c r="AP132" i="4"/>
  <c r="AP304" i="4"/>
  <c r="AV76" i="4"/>
  <c r="AV72" i="4"/>
  <c r="AV64" i="4"/>
  <c r="AV73" i="4" s="1"/>
  <c r="BD38" i="5"/>
  <c r="CU38" i="5" s="1"/>
  <c r="CU31" i="5"/>
  <c r="AY38" i="5"/>
  <c r="CT38" i="5" s="1"/>
  <c r="CT31" i="5"/>
  <c r="AL72" i="4"/>
  <c r="AL64" i="4"/>
  <c r="AL76" i="4"/>
  <c r="AL73" i="4"/>
  <c r="F135" i="4"/>
  <c r="CI133" i="4"/>
  <c r="CI135" i="4" s="1"/>
  <c r="CI137" i="4" s="1"/>
  <c r="AP80" i="4"/>
  <c r="AY63" i="4"/>
  <c r="AY56" i="4"/>
  <c r="CR51" i="4"/>
  <c r="Q334" i="4"/>
  <c r="Q80" i="4"/>
  <c r="CT37" i="5"/>
  <c r="AY173" i="5"/>
  <c r="CT173" i="5" s="1"/>
  <c r="AY246" i="5"/>
  <c r="CT246" i="5" s="1"/>
  <c r="AY368" i="5"/>
  <c r="CT368" i="5" s="1"/>
  <c r="AY313" i="5"/>
  <c r="CT313" i="5" s="1"/>
  <c r="X80" i="4"/>
  <c r="Z80" i="4" s="1"/>
  <c r="CM80" i="4" s="1"/>
  <c r="Z79" i="4"/>
  <c r="CM79" i="4" s="1"/>
  <c r="AT313" i="5"/>
  <c r="CS313" i="5" s="1"/>
  <c r="CS312" i="5"/>
  <c r="AY314" i="5"/>
  <c r="CE79" i="4"/>
  <c r="B80" i="4"/>
  <c r="CE80" i="4" s="1"/>
  <c r="AW64" i="4"/>
  <c r="AW72" i="4"/>
  <c r="AW76" i="4"/>
  <c r="AW79" i="4" s="1"/>
  <c r="AW80" i="4" s="1"/>
  <c r="AW73" i="4"/>
  <c r="AP334" i="4"/>
  <c r="AM73" i="4"/>
  <c r="AM64" i="4"/>
  <c r="AM76" i="4"/>
  <c r="AM79" i="4" s="1"/>
  <c r="AM80" i="4" s="1"/>
  <c r="AM72" i="4"/>
  <c r="AN84" i="4"/>
  <c r="AN106" i="4" s="1"/>
  <c r="AN60" i="4"/>
  <c r="AN351" i="4"/>
  <c r="AX72" i="4"/>
  <c r="AX76" i="4"/>
  <c r="AX79" i="4" s="1"/>
  <c r="AX80" i="4" s="1"/>
  <c r="AX73" i="4"/>
  <c r="AX64" i="4"/>
  <c r="AR351" i="4"/>
  <c r="AR60" i="4"/>
  <c r="AR84" i="4"/>
  <c r="AV60" i="4"/>
  <c r="AV351" i="4"/>
  <c r="AV84" i="4"/>
  <c r="AW84" i="4"/>
  <c r="AW106" i="4" s="1"/>
  <c r="AW60" i="4"/>
  <c r="AW351" i="4"/>
  <c r="BN16" i="5"/>
  <c r="BM202" i="4"/>
  <c r="BM17" i="5"/>
  <c r="BN204" i="4"/>
  <c r="BN19" i="5"/>
  <c r="CW19" i="5" s="1"/>
  <c r="CW18" i="5"/>
  <c r="BM208" i="5"/>
  <c r="BN207" i="5"/>
  <c r="CW172" i="5"/>
  <c r="BN174" i="5"/>
  <c r="BP111" i="5"/>
  <c r="BP109" i="5"/>
  <c r="CW157" i="5"/>
  <c r="BP17" i="5"/>
  <c r="BP202" i="4"/>
  <c r="BO202" i="4"/>
  <c r="BO17" i="5"/>
  <c r="BM204" i="5"/>
  <c r="BN203" i="5"/>
  <c r="BP12" i="5"/>
  <c r="BP174" i="5"/>
  <c r="BQ111" i="5"/>
  <c r="BQ109" i="5"/>
  <c r="BQ204" i="5"/>
  <c r="BO201" i="4"/>
  <c r="BO13" i="5"/>
  <c r="BO168" i="5"/>
  <c r="BQ17" i="5"/>
  <c r="BQ202" i="4"/>
  <c r="BQ208" i="5"/>
  <c r="DA25" i="5"/>
  <c r="BZ209" i="4"/>
  <c r="BV247" i="5" l="1"/>
  <c r="BV253" i="5" s="1"/>
  <c r="BV19" i="5"/>
  <c r="BV213" i="5"/>
  <c r="BV216" i="5" s="1"/>
  <c r="BV16" i="5"/>
  <c r="BV202" i="4" s="1"/>
  <c r="BU247" i="5"/>
  <c r="BU253" i="5" s="1"/>
  <c r="BG272" i="5"/>
  <c r="BN213" i="5"/>
  <c r="BN205" i="5" s="1"/>
  <c r="BV207" i="5"/>
  <c r="BV208" i="5" s="1"/>
  <c r="BU213" i="5"/>
  <c r="BU216" i="5" s="1"/>
  <c r="BU110" i="5"/>
  <c r="BU109" i="5" s="1"/>
  <c r="BU19" i="5"/>
  <c r="BU204" i="4"/>
  <c r="BV215" i="5"/>
  <c r="BV203" i="5"/>
  <c r="BV204" i="5" s="1"/>
  <c r="BU17" i="5"/>
  <c r="BV17" i="5"/>
  <c r="BV111" i="5"/>
  <c r="BV109" i="5"/>
  <c r="BV108" i="5" s="1"/>
  <c r="BV107" i="5" s="1"/>
  <c r="BX172" i="4"/>
  <c r="BW167" i="4"/>
  <c r="BV102" i="4"/>
  <c r="BY143" i="4"/>
  <c r="CW143" i="4"/>
  <c r="BW113" i="4"/>
  <c r="BX113" i="4" s="1"/>
  <c r="CW113" i="4" s="1"/>
  <c r="BW171" i="4"/>
  <c r="BV294" i="4"/>
  <c r="BV295" i="4" s="1"/>
  <c r="BV293" i="4" s="1"/>
  <c r="BT343" i="4"/>
  <c r="BT42" i="4"/>
  <c r="BU295" i="4"/>
  <c r="DB85" i="5"/>
  <c r="CA103" i="5"/>
  <c r="DB103" i="5" s="1"/>
  <c r="CA121" i="5"/>
  <c r="AY148" i="5"/>
  <c r="CT148" i="5" s="1"/>
  <c r="BG273" i="5"/>
  <c r="K60" i="4"/>
  <c r="K71" i="4" s="1"/>
  <c r="CJ71" i="4" s="1"/>
  <c r="K351" i="4"/>
  <c r="J71" i="4"/>
  <c r="J332" i="4"/>
  <c r="J334" i="4" s="1"/>
  <c r="K64" i="4"/>
  <c r="K73" i="4" s="1"/>
  <c r="CJ73" i="4" s="1"/>
  <c r="K72" i="4"/>
  <c r="CJ63" i="4"/>
  <c r="CJ64" i="4" s="1"/>
  <c r="CJ56" i="4"/>
  <c r="CJ60" i="4" s="1"/>
  <c r="BI222" i="4"/>
  <c r="BI224" i="4"/>
  <c r="BI233" i="4"/>
  <c r="BI232" i="4" s="1"/>
  <c r="BI231" i="4"/>
  <c r="BR166" i="5"/>
  <c r="AY348" i="4"/>
  <c r="J323" i="4"/>
  <c r="BQ167" i="5"/>
  <c r="BN13" i="5"/>
  <c r="CW13" i="5" s="1"/>
  <c r="BN194" i="5"/>
  <c r="BN198" i="5"/>
  <c r="Z277" i="4"/>
  <c r="P319" i="4"/>
  <c r="L319" i="4"/>
  <c r="L321" i="4" s="1"/>
  <c r="L323" i="4" s="1"/>
  <c r="M319" i="4" s="1"/>
  <c r="M321" i="4" s="1"/>
  <c r="M323" i="4" s="1"/>
  <c r="N319" i="4" s="1"/>
  <c r="D336" i="4"/>
  <c r="E329" i="4" s="1"/>
  <c r="E336" i="4" s="1"/>
  <c r="CS40" i="4"/>
  <c r="H8" i="6" s="1"/>
  <c r="BC348" i="4"/>
  <c r="BH348" i="4"/>
  <c r="BC56" i="4"/>
  <c r="BC63" i="4"/>
  <c r="BD32" i="4"/>
  <c r="CS32" i="4" s="1"/>
  <c r="BI32" i="4"/>
  <c r="CT32" i="4" s="1"/>
  <c r="BD31" i="4"/>
  <c r="CS31" i="4" s="1"/>
  <c r="H9" i="6" s="1"/>
  <c r="BD341" i="4"/>
  <c r="BD347" i="4" s="1"/>
  <c r="CS30" i="4"/>
  <c r="BD51" i="4"/>
  <c r="BD245" i="4"/>
  <c r="BD249" i="4" s="1"/>
  <c r="H10" i="6" s="1"/>
  <c r="H11" i="6" s="1"/>
  <c r="H13" i="6" s="1"/>
  <c r="H23" i="6" s="1"/>
  <c r="H24" i="6" s="1"/>
  <c r="BD49" i="4"/>
  <c r="CS45" i="4"/>
  <c r="CS49" i="4" s="1"/>
  <c r="H7" i="6"/>
  <c r="I7" i="6"/>
  <c r="BG360" i="4"/>
  <c r="BF360" i="4"/>
  <c r="BC360" i="4"/>
  <c r="BD360" i="4" s="1"/>
  <c r="BE360" i="4"/>
  <c r="Z265" i="4"/>
  <c r="V265" i="4"/>
  <c r="V268" i="4" s="1"/>
  <c r="Z268" i="4" s="1"/>
  <c r="AH304" i="4"/>
  <c r="AH132" i="4"/>
  <c r="AN32" i="4"/>
  <c r="AI32" i="4"/>
  <c r="AI31" i="4"/>
  <c r="AI341" i="4"/>
  <c r="AI347" i="4" s="1"/>
  <c r="D80" i="4"/>
  <c r="CG80" i="4" s="1"/>
  <c r="CG79" i="4"/>
  <c r="AF132" i="4"/>
  <c r="AF304" i="4"/>
  <c r="AJ39" i="4"/>
  <c r="AI40" i="4"/>
  <c r="AI45" i="4"/>
  <c r="AJ30" i="4"/>
  <c r="CO28" i="4"/>
  <c r="BQ175" i="5"/>
  <c r="BD276" i="5"/>
  <c r="BD273" i="5" s="1"/>
  <c r="CU273" i="5" s="1"/>
  <c r="BB71" i="4"/>
  <c r="BB332" i="4"/>
  <c r="BB334" i="4" s="1"/>
  <c r="BH106" i="4"/>
  <c r="BI84" i="4"/>
  <c r="AS72" i="4"/>
  <c r="AT72" i="4" s="1"/>
  <c r="AS73" i="4"/>
  <c r="AT73" i="4" s="1"/>
  <c r="CQ73" i="4" s="1"/>
  <c r="AS76" i="4"/>
  <c r="AS79" i="4" s="1"/>
  <c r="AS80" i="4" s="1"/>
  <c r="AS64" i="4"/>
  <c r="AQ132" i="4"/>
  <c r="AQ304" i="4"/>
  <c r="CT56" i="4"/>
  <c r="BI351" i="4"/>
  <c r="BI60" i="4"/>
  <c r="BB304" i="4"/>
  <c r="BB132" i="4"/>
  <c r="AS60" i="4"/>
  <c r="AS351" i="4"/>
  <c r="AS84" i="4"/>
  <c r="AS106" i="4" s="1"/>
  <c r="P64" i="4"/>
  <c r="P73" i="4" s="1"/>
  <c r="CK73" i="4" s="1"/>
  <c r="P72" i="4"/>
  <c r="CV278" i="5"/>
  <c r="BP317" i="5"/>
  <c r="AQ332" i="4"/>
  <c r="AQ334" i="4" s="1"/>
  <c r="AQ71" i="4"/>
  <c r="BH276" i="5"/>
  <c r="BH271" i="5" s="1"/>
  <c r="BC271" i="5"/>
  <c r="BC273" i="5"/>
  <c r="BH79" i="4"/>
  <c r="BI76" i="4"/>
  <c r="CT76" i="4" s="1"/>
  <c r="BI64" i="4"/>
  <c r="BI72" i="4"/>
  <c r="CT63" i="4"/>
  <c r="BE273" i="5"/>
  <c r="BE271" i="5"/>
  <c r="BE272" i="5"/>
  <c r="BH332" i="4"/>
  <c r="BH71" i="4"/>
  <c r="BQ433" i="5"/>
  <c r="BQ308" i="5" s="1"/>
  <c r="BQ316" i="5" s="1"/>
  <c r="CV277" i="5"/>
  <c r="BI267" i="5"/>
  <c r="CV267" i="5" s="1"/>
  <c r="AJ280" i="4"/>
  <c r="AF280" i="4"/>
  <c r="AF282" i="4" s="1"/>
  <c r="AJ282" i="4" s="1"/>
  <c r="P351" i="4"/>
  <c r="P60" i="4"/>
  <c r="P71" i="4" s="1"/>
  <c r="CK71" i="4" s="1"/>
  <c r="BP108" i="5"/>
  <c r="H334" i="4"/>
  <c r="T71" i="4"/>
  <c r="T332" i="4"/>
  <c r="U64" i="4"/>
  <c r="U73" i="4" s="1"/>
  <c r="CL73" i="4" s="1"/>
  <c r="U72" i="4"/>
  <c r="P332" i="4"/>
  <c r="M334" i="4"/>
  <c r="P334" i="4" s="1"/>
  <c r="T79" i="4"/>
  <c r="U76" i="4"/>
  <c r="CL76" i="4" s="1"/>
  <c r="M80" i="4"/>
  <c r="P80" i="4" s="1"/>
  <c r="CK80" i="4" s="1"/>
  <c r="P79" i="4"/>
  <c r="CK79" i="4" s="1"/>
  <c r="H80" i="4"/>
  <c r="K80" i="4" s="1"/>
  <c r="CJ80" i="4" s="1"/>
  <c r="K79" i="4"/>
  <c r="CJ79" i="4" s="1"/>
  <c r="U351" i="4"/>
  <c r="U60" i="4"/>
  <c r="U71" i="4" s="1"/>
  <c r="CL71" i="4" s="1"/>
  <c r="AK132" i="4"/>
  <c r="AK304" i="4"/>
  <c r="AK71" i="4"/>
  <c r="AK332" i="4"/>
  <c r="AK334" i="4" s="1"/>
  <c r="BQ108" i="5"/>
  <c r="BQ107" i="5" s="1"/>
  <c r="BN161" i="5"/>
  <c r="CW161" i="5" s="1"/>
  <c r="CW12" i="5"/>
  <c r="BN201" i="4"/>
  <c r="BN168" i="5"/>
  <c r="CW168" i="5" s="1"/>
  <c r="AU60" i="4"/>
  <c r="AU351" i="4"/>
  <c r="AU84" i="4"/>
  <c r="AU106" i="4" s="1"/>
  <c r="AU64" i="4"/>
  <c r="AU73" i="4" s="1"/>
  <c r="AY73" i="4" s="1"/>
  <c r="CR73" i="4" s="1"/>
  <c r="AU72" i="4"/>
  <c r="AY72" i="4" s="1"/>
  <c r="AU76" i="4"/>
  <c r="AU79" i="4" s="1"/>
  <c r="AU80" i="4" s="1"/>
  <c r="CV296" i="4"/>
  <c r="CV42" i="4"/>
  <c r="AO72" i="4"/>
  <c r="AN132" i="4"/>
  <c r="AN304" i="4"/>
  <c r="K133" i="4"/>
  <c r="F137" i="4"/>
  <c r="G133" i="4"/>
  <c r="G135" i="4" s="1"/>
  <c r="AR79" i="4"/>
  <c r="AL106" i="4"/>
  <c r="AO84" i="4"/>
  <c r="AW71" i="4"/>
  <c r="AW332" i="4"/>
  <c r="AW334" i="4" s="1"/>
  <c r="AR106" i="4"/>
  <c r="AO351" i="4"/>
  <c r="AO60" i="4"/>
  <c r="CP56" i="4"/>
  <c r="CH149" i="4"/>
  <c r="CH157" i="4" s="1"/>
  <c r="CH189" i="4" s="1"/>
  <c r="CH137" i="4"/>
  <c r="CQ63" i="4"/>
  <c r="AT64" i="4"/>
  <c r="CQ64" i="4" s="1"/>
  <c r="AV106" i="4"/>
  <c r="AN71" i="4"/>
  <c r="AN332" i="4"/>
  <c r="AN334" i="4" s="1"/>
  <c r="BL183" i="4"/>
  <c r="AO64" i="4"/>
  <c r="CP64" i="4" s="1"/>
  <c r="CP63" i="4"/>
  <c r="CQ56" i="4"/>
  <c r="AT60" i="4"/>
  <c r="AT351" i="4"/>
  <c r="AM332" i="4"/>
  <c r="AM334" i="4" s="1"/>
  <c r="AM71" i="4"/>
  <c r="F354" i="4"/>
  <c r="E189" i="4"/>
  <c r="F352" i="4"/>
  <c r="F353" i="4" s="1"/>
  <c r="E354" i="4"/>
  <c r="E352" i="4"/>
  <c r="E353" i="4" s="1"/>
  <c r="AV332" i="4"/>
  <c r="AV71" i="4"/>
  <c r="AY60" i="4"/>
  <c r="CR56" i="4"/>
  <c r="AY351" i="4"/>
  <c r="AO73" i="4"/>
  <c r="CP73" i="4" s="1"/>
  <c r="AX304" i="4"/>
  <c r="AX132" i="4"/>
  <c r="AM304" i="4"/>
  <c r="AM132" i="4"/>
  <c r="AW304" i="4"/>
  <c r="AW132" i="4"/>
  <c r="AR71" i="4"/>
  <c r="AR332" i="4"/>
  <c r="CR63" i="4"/>
  <c r="AY64" i="4"/>
  <c r="CR64" i="4" s="1"/>
  <c r="AO76" i="4"/>
  <c r="CP76" i="4" s="1"/>
  <c r="AL79" i="4"/>
  <c r="AV79" i="4"/>
  <c r="AL71" i="4"/>
  <c r="AL332" i="4"/>
  <c r="AX71" i="4"/>
  <c r="AX332" i="4"/>
  <c r="AX334" i="4" s="1"/>
  <c r="BN204" i="5"/>
  <c r="BN208" i="5"/>
  <c r="BN209" i="5"/>
  <c r="CW16" i="5"/>
  <c r="BN17" i="5"/>
  <c r="CW17" i="5" s="1"/>
  <c r="BN202" i="4"/>
  <c r="BO42" i="5"/>
  <c r="BO86" i="5"/>
  <c r="BO87" i="5" s="1"/>
  <c r="BQ12" i="5"/>
  <c r="BQ174" i="5"/>
  <c r="BP13" i="5"/>
  <c r="BP161" i="5"/>
  <c r="BP80" i="5"/>
  <c r="BP201" i="4"/>
  <c r="BP168" i="5"/>
  <c r="BU203" i="5" l="1"/>
  <c r="BU204" i="5" s="1"/>
  <c r="BU215" i="5"/>
  <c r="BN226" i="5"/>
  <c r="BN216" i="5"/>
  <c r="BN230" i="5"/>
  <c r="BN215" i="5"/>
  <c r="BU207" i="5"/>
  <c r="BU208" i="5" s="1"/>
  <c r="BU111" i="5"/>
  <c r="BU108" i="5" s="1"/>
  <c r="BU107" i="5" s="1"/>
  <c r="BU113" i="5" s="1"/>
  <c r="BU114" i="5" s="1"/>
  <c r="BV113" i="5"/>
  <c r="BV114" i="5" s="1"/>
  <c r="BV98" i="5"/>
  <c r="CW172" i="4"/>
  <c r="BY172" i="4"/>
  <c r="BX167" i="4"/>
  <c r="BW102" i="4"/>
  <c r="BX102" i="4" s="1"/>
  <c r="CW102" i="4" s="1"/>
  <c r="BY113" i="4"/>
  <c r="CX113" i="4" s="1"/>
  <c r="BZ143" i="4"/>
  <c r="BZ113" i="4" s="1"/>
  <c r="CY113" i="4" s="1"/>
  <c r="CX143" i="4"/>
  <c r="BU293" i="4"/>
  <c r="BV42" i="4"/>
  <c r="BV343" i="4"/>
  <c r="BW294" i="4"/>
  <c r="BW295" i="4" s="1"/>
  <c r="BX171" i="4"/>
  <c r="BR433" i="5"/>
  <c r="BR308" i="5" s="1"/>
  <c r="BR316" i="5" s="1"/>
  <c r="BR317" i="5" s="1"/>
  <c r="BS166" i="5"/>
  <c r="CX166" i="5" s="1"/>
  <c r="BR167" i="5"/>
  <c r="K334" i="4"/>
  <c r="BI226" i="4"/>
  <c r="BI225" i="4"/>
  <c r="K332" i="4"/>
  <c r="D337" i="4"/>
  <c r="BQ46" i="5"/>
  <c r="BQ47" i="5" s="1"/>
  <c r="BQ98" i="5"/>
  <c r="AA273" i="4"/>
  <c r="AA275" i="4" s="1"/>
  <c r="AE275" i="4" s="1"/>
  <c r="AE273" i="4"/>
  <c r="AT76" i="4"/>
  <c r="CQ76" i="4" s="1"/>
  <c r="BD271" i="5"/>
  <c r="CU271" i="5" s="1"/>
  <c r="BD272" i="5"/>
  <c r="CU272" i="5" s="1"/>
  <c r="BI348" i="4"/>
  <c r="BD348" i="4"/>
  <c r="BC73" i="4"/>
  <c r="BC72" i="4"/>
  <c r="BC64" i="4"/>
  <c r="BC76" i="4"/>
  <c r="I24" i="6"/>
  <c r="BC84" i="4"/>
  <c r="BC351" i="4"/>
  <c r="BC60" i="4"/>
  <c r="CS51" i="4"/>
  <c r="BD56" i="4"/>
  <c r="BD63" i="4"/>
  <c r="AI51" i="4"/>
  <c r="AI49" i="4"/>
  <c r="AI249" i="4"/>
  <c r="AT84" i="4"/>
  <c r="AT106" i="4" s="1"/>
  <c r="CO30" i="4"/>
  <c r="CO39" i="4"/>
  <c r="AJ40" i="4"/>
  <c r="CO40" i="4" s="1"/>
  <c r="D8" i="6" s="1"/>
  <c r="AJ45" i="4"/>
  <c r="BD265" i="5"/>
  <c r="CU265" i="5" s="1"/>
  <c r="AO32" i="4"/>
  <c r="CP32" i="4" s="1"/>
  <c r="AJ32" i="4"/>
  <c r="CO32" i="4" s="1"/>
  <c r="AJ341" i="4"/>
  <c r="AJ347" i="4" s="1"/>
  <c r="AJ31" i="4"/>
  <c r="CO31" i="4" s="1"/>
  <c r="D9" i="6" s="1"/>
  <c r="AI348" i="4"/>
  <c r="AN348" i="4"/>
  <c r="Z270" i="4"/>
  <c r="BP107" i="5"/>
  <c r="BM46" i="5"/>
  <c r="BM86" i="5"/>
  <c r="CU276" i="5"/>
  <c r="BI106" i="4"/>
  <c r="CT84" i="4"/>
  <c r="CT106" i="4" s="1"/>
  <c r="BH272" i="5"/>
  <c r="BI276" i="5"/>
  <c r="BH80" i="4"/>
  <c r="BI79" i="4"/>
  <c r="CT79" i="4" s="1"/>
  <c r="AS71" i="4"/>
  <c r="AS332" i="4"/>
  <c r="AS334" i="4" s="1"/>
  <c r="BH304" i="4"/>
  <c r="BH132" i="4"/>
  <c r="F355" i="4"/>
  <c r="AJ284" i="4"/>
  <c r="BH334" i="4"/>
  <c r="BI334" i="4" s="1"/>
  <c r="BI332" i="4"/>
  <c r="BQ317" i="5"/>
  <c r="BS431" i="5"/>
  <c r="BI73" i="4"/>
  <c r="CT73" i="4" s="1"/>
  <c r="CT64" i="4"/>
  <c r="AS132" i="4"/>
  <c r="AS304" i="4"/>
  <c r="CT60" i="4"/>
  <c r="BI71" i="4"/>
  <c r="CT71" i="4" s="1"/>
  <c r="BQ113" i="5"/>
  <c r="BQ114" i="5" s="1"/>
  <c r="E355" i="4"/>
  <c r="BL185" i="4"/>
  <c r="T334" i="4"/>
  <c r="U334" i="4" s="1"/>
  <c r="U332" i="4"/>
  <c r="E337" i="4"/>
  <c r="F329" i="4"/>
  <c r="F336" i="4" s="1"/>
  <c r="T80" i="4"/>
  <c r="U80" i="4" s="1"/>
  <c r="CL80" i="4" s="1"/>
  <c r="U79" i="4"/>
  <c r="CL79" i="4" s="1"/>
  <c r="AY76" i="4"/>
  <c r="CR76" i="4" s="1"/>
  <c r="AY84" i="4"/>
  <c r="CR84" i="4" s="1"/>
  <c r="CR106" i="4" s="1"/>
  <c r="CR132" i="4" s="1"/>
  <c r="AU304" i="4"/>
  <c r="AU132" i="4"/>
  <c r="AU71" i="4"/>
  <c r="AU332" i="4"/>
  <c r="AU334" i="4" s="1"/>
  <c r="AV80" i="4"/>
  <c r="AY80" i="4" s="1"/>
  <c r="CR80" i="4" s="1"/>
  <c r="AY79" i="4"/>
  <c r="CR79" i="4" s="1"/>
  <c r="AR80" i="4"/>
  <c r="AT80" i="4" s="1"/>
  <c r="CQ80" i="4" s="1"/>
  <c r="AT79" i="4"/>
  <c r="CQ79" i="4" s="1"/>
  <c r="AV334" i="4"/>
  <c r="AV304" i="4"/>
  <c r="AV132" i="4"/>
  <c r="N321" i="4"/>
  <c r="N323" i="4" s="1"/>
  <c r="O319" i="4" s="1"/>
  <c r="AL334" i="4"/>
  <c r="AO334" i="4" s="1"/>
  <c r="AO332" i="4"/>
  <c r="AL80" i="4"/>
  <c r="AO80" i="4" s="1"/>
  <c r="CP80" i="4" s="1"/>
  <c r="AO79" i="4"/>
  <c r="CP79" i="4" s="1"/>
  <c r="CQ60" i="4"/>
  <c r="AT71" i="4"/>
  <c r="CQ71" i="4" s="1"/>
  <c r="AO106" i="4"/>
  <c r="CP84" i="4"/>
  <c r="CP106" i="4" s="1"/>
  <c r="CP132" i="4" s="1"/>
  <c r="AR304" i="4"/>
  <c r="AR132" i="4"/>
  <c r="G142" i="4"/>
  <c r="H133" i="4"/>
  <c r="H135" i="4" s="1"/>
  <c r="AR334" i="4"/>
  <c r="AY71" i="4"/>
  <c r="CR71" i="4" s="1"/>
  <c r="CR60" i="4"/>
  <c r="AO71" i="4"/>
  <c r="CP71" i="4" s="1"/>
  <c r="CP60" i="4"/>
  <c r="AL304" i="4"/>
  <c r="AL132" i="4"/>
  <c r="CJ133" i="4"/>
  <c r="CJ135" i="4" s="1"/>
  <c r="K135" i="4"/>
  <c r="BO113" i="5"/>
  <c r="BO46" i="5"/>
  <c r="BO44" i="5"/>
  <c r="BO43" i="5"/>
  <c r="BP42" i="5"/>
  <c r="BP86" i="5"/>
  <c r="BP87" i="5" s="1"/>
  <c r="BQ80" i="5"/>
  <c r="BQ201" i="4"/>
  <c r="BQ13" i="5"/>
  <c r="BQ161" i="5"/>
  <c r="BQ168" i="5"/>
  <c r="D85" i="8"/>
  <c r="BS316" i="5" l="1"/>
  <c r="CX316" i="5" s="1"/>
  <c r="BU98" i="5"/>
  <c r="BU99" i="5" s="1"/>
  <c r="BV99" i="5"/>
  <c r="BV104" i="5"/>
  <c r="BV105" i="5" s="1"/>
  <c r="M85" i="8"/>
  <c r="G85" i="8"/>
  <c r="F85" i="8"/>
  <c r="BO114" i="5"/>
  <c r="CX172" i="4"/>
  <c r="BZ172" i="4"/>
  <c r="CW167" i="4"/>
  <c r="BY167" i="4"/>
  <c r="CY143" i="4"/>
  <c r="CA143" i="4"/>
  <c r="CZ143" i="4" s="1"/>
  <c r="BW293" i="4"/>
  <c r="BX293" i="4" s="1"/>
  <c r="BX295" i="4"/>
  <c r="CW295" i="4" s="1"/>
  <c r="BX294" i="4"/>
  <c r="CW294" i="4" s="1"/>
  <c r="BY171" i="4"/>
  <c r="CW171" i="4"/>
  <c r="BU42" i="4"/>
  <c r="BU343" i="4"/>
  <c r="DA146" i="5"/>
  <c r="CZ146" i="5"/>
  <c r="BX146" i="5"/>
  <c r="CY146" i="5" s="1"/>
  <c r="BT433" i="5"/>
  <c r="BS167" i="5"/>
  <c r="CX167" i="5" s="1"/>
  <c r="AE277" i="4"/>
  <c r="CQ84" i="4"/>
  <c r="CQ106" i="4" s="1"/>
  <c r="CQ132" i="4" s="1"/>
  <c r="BQ104" i="5"/>
  <c r="BQ105" i="5" s="1"/>
  <c r="BQ99" i="5"/>
  <c r="BQ48" i="5"/>
  <c r="BP46" i="5"/>
  <c r="BP47" i="5" s="1"/>
  <c r="BP98" i="5"/>
  <c r="BP99" i="5" s="1"/>
  <c r="BI80" i="4"/>
  <c r="CT80" i="4" s="1"/>
  <c r="AT332" i="4"/>
  <c r="BC71" i="4"/>
  <c r="BC332" i="4"/>
  <c r="BC79" i="4"/>
  <c r="BD76" i="4"/>
  <c r="CS76" i="4" s="1"/>
  <c r="BD72" i="4"/>
  <c r="BD64" i="4"/>
  <c r="CS63" i="4"/>
  <c r="BD351" i="4"/>
  <c r="BD60" i="4"/>
  <c r="CS56" i="4"/>
  <c r="BC106" i="4"/>
  <c r="BD84" i="4"/>
  <c r="AJ51" i="4"/>
  <c r="AJ49" i="4"/>
  <c r="AK360" i="4"/>
  <c r="AM360" i="4"/>
  <c r="AL360" i="4"/>
  <c r="AI360" i="4"/>
  <c r="AJ360" i="4" s="1"/>
  <c r="AE265" i="4"/>
  <c r="AA265" i="4"/>
  <c r="AA268" i="4" s="1"/>
  <c r="AE268" i="4" s="1"/>
  <c r="AJ348" i="4"/>
  <c r="AO348" i="4"/>
  <c r="CO45" i="4"/>
  <c r="D5" i="6"/>
  <c r="AI63" i="4"/>
  <c r="AI56" i="4"/>
  <c r="BM99" i="5"/>
  <c r="BP113" i="5"/>
  <c r="BP114" i="5" s="1"/>
  <c r="BM113" i="5"/>
  <c r="BN107" i="5"/>
  <c r="BN108" i="5" s="1"/>
  <c r="BM42" i="5"/>
  <c r="BM44" i="5" s="1"/>
  <c r="BN80" i="5"/>
  <c r="CW80" i="5" s="1"/>
  <c r="AT334" i="4"/>
  <c r="BL187" i="4"/>
  <c r="AJ153" i="4"/>
  <c r="CO153" i="4" s="1"/>
  <c r="AK280" i="4"/>
  <c r="AK282" i="4" s="1"/>
  <c r="AO282" i="4" s="1"/>
  <c r="AO280" i="4"/>
  <c r="G149" i="4"/>
  <c r="G157" i="4" s="1"/>
  <c r="G354" i="4" s="1"/>
  <c r="G361" i="4"/>
  <c r="G362" i="4" s="1"/>
  <c r="CX431" i="5"/>
  <c r="BS433" i="5"/>
  <c r="BI271" i="5"/>
  <c r="CV271" i="5" s="1"/>
  <c r="BI265" i="5"/>
  <c r="CV265" i="5" s="1"/>
  <c r="CV276" i="5"/>
  <c r="BI273" i="5"/>
  <c r="CV273" i="5" s="1"/>
  <c r="BI272" i="5"/>
  <c r="CV272" i="5" s="1"/>
  <c r="F337" i="4"/>
  <c r="G329" i="4"/>
  <c r="AY106" i="4"/>
  <c r="AY132" i="4" s="1"/>
  <c r="AY334" i="4"/>
  <c r="AY332" i="4"/>
  <c r="O321" i="4"/>
  <c r="P321" i="4" s="1"/>
  <c r="P323" i="4" s="1"/>
  <c r="G137" i="4"/>
  <c r="P133" i="4"/>
  <c r="K142" i="4"/>
  <c r="K137" i="4" s="1"/>
  <c r="L133" i="4"/>
  <c r="L135" i="4" s="1"/>
  <c r="I133" i="4"/>
  <c r="I135" i="4" s="1"/>
  <c r="H142" i="4"/>
  <c r="H137" i="4" s="1"/>
  <c r="AO132" i="4"/>
  <c r="AO304" i="4"/>
  <c r="AT132" i="4"/>
  <c r="AT304" i="4"/>
  <c r="BM47" i="5"/>
  <c r="BM48" i="5"/>
  <c r="BN46" i="5"/>
  <c r="BO48" i="5"/>
  <c r="BO47" i="5"/>
  <c r="BO104" i="5"/>
  <c r="BO105" i="5" s="1"/>
  <c r="BP44" i="5"/>
  <c r="BP43" i="5"/>
  <c r="BQ42" i="5"/>
  <c r="BQ86" i="5"/>
  <c r="BQ87" i="5" s="1"/>
  <c r="BM87" i="5"/>
  <c r="I85" i="8"/>
  <c r="CA113" i="4" l="1"/>
  <c r="CZ113" i="4" s="1"/>
  <c r="J85" i="8"/>
  <c r="BS317" i="5"/>
  <c r="CX317" i="5" s="1"/>
  <c r="BU104" i="5"/>
  <c r="BU105" i="5" s="1"/>
  <c r="CA172" i="4"/>
  <c r="CY172" i="4"/>
  <c r="CX167" i="4"/>
  <c r="BY102" i="4"/>
  <c r="CX102" i="4" s="1"/>
  <c r="BZ167" i="4"/>
  <c r="BX296" i="4"/>
  <c r="BX343" i="4"/>
  <c r="CX171" i="4"/>
  <c r="BZ171" i="4"/>
  <c r="BY294" i="4"/>
  <c r="BW343" i="4"/>
  <c r="BW42" i="4"/>
  <c r="BX42" i="4" s="1"/>
  <c r="CW42" i="4" s="1"/>
  <c r="BU433" i="5"/>
  <c r="BT308" i="5"/>
  <c r="BT316" i="5" s="1"/>
  <c r="AF273" i="4"/>
  <c r="AF275" i="4" s="1"/>
  <c r="AJ275" i="4" s="1"/>
  <c r="AJ273" i="4"/>
  <c r="BP48" i="5"/>
  <c r="AY304" i="4"/>
  <c r="BN104" i="5"/>
  <c r="BP104" i="5"/>
  <c r="BM114" i="5"/>
  <c r="BD106" i="4"/>
  <c r="CS84" i="4"/>
  <c r="CS106" i="4" s="1"/>
  <c r="CS132" i="4" s="1"/>
  <c r="BC132" i="4"/>
  <c r="BC304" i="4"/>
  <c r="BC80" i="4"/>
  <c r="BD80" i="4" s="1"/>
  <c r="CS80" i="4" s="1"/>
  <c r="BD79" i="4"/>
  <c r="CS79" i="4" s="1"/>
  <c r="BD73" i="4"/>
  <c r="CS73" i="4" s="1"/>
  <c r="CS64" i="4"/>
  <c r="BC334" i="4"/>
  <c r="BD334" i="4" s="1"/>
  <c r="BD332" i="4"/>
  <c r="CS60" i="4"/>
  <c r="BD71" i="4"/>
  <c r="CS71" i="4" s="1"/>
  <c r="AI64" i="4"/>
  <c r="AI72" i="4"/>
  <c r="AJ72" i="4" s="1"/>
  <c r="AI76" i="4"/>
  <c r="AI73" i="4"/>
  <c r="AJ73" i="4" s="1"/>
  <c r="CO73" i="4" s="1"/>
  <c r="AJ56" i="4"/>
  <c r="AJ63" i="4"/>
  <c r="AJ64" i="4" s="1"/>
  <c r="G352" i="4"/>
  <c r="G353" i="4" s="1"/>
  <c r="G355" i="4" s="1"/>
  <c r="E7" i="6"/>
  <c r="D7" i="6"/>
  <c r="D11" i="6"/>
  <c r="D13" i="6" s="1"/>
  <c r="D23" i="6" s="1"/>
  <c r="CO51" i="4"/>
  <c r="CO49" i="4"/>
  <c r="AE270" i="4"/>
  <c r="AI60" i="4"/>
  <c r="AI351" i="4"/>
  <c r="AI84" i="4"/>
  <c r="BM104" i="5"/>
  <c r="BN113" i="5"/>
  <c r="BN114" i="5" s="1"/>
  <c r="CW107" i="5"/>
  <c r="BN81" i="5"/>
  <c r="CW81" i="5" s="1"/>
  <c r="BN86" i="5"/>
  <c r="CW86" i="5" s="1"/>
  <c r="BM43" i="5"/>
  <c r="BN42" i="5"/>
  <c r="BN43" i="5" s="1"/>
  <c r="CW43" i="5" s="1"/>
  <c r="G189" i="4"/>
  <c r="AO284" i="4"/>
  <c r="H149" i="4"/>
  <c r="H157" i="4" s="1"/>
  <c r="H189" i="4" s="1"/>
  <c r="H361" i="4"/>
  <c r="H362" i="4" s="1"/>
  <c r="BS308" i="5"/>
  <c r="CX308" i="5" s="1"/>
  <c r="CX433" i="5"/>
  <c r="O323" i="4"/>
  <c r="K329" i="4"/>
  <c r="K336" i="4" s="1"/>
  <c r="G336" i="4"/>
  <c r="U319" i="4"/>
  <c r="Q319" i="4"/>
  <c r="CJ142" i="4"/>
  <c r="K149" i="4"/>
  <c r="K157" i="4" s="1"/>
  <c r="J133" i="4"/>
  <c r="J135" i="4" s="1"/>
  <c r="I142" i="4"/>
  <c r="CK133" i="4"/>
  <c r="CK135" i="4" s="1"/>
  <c r="P135" i="4"/>
  <c r="M133" i="4"/>
  <c r="M135" i="4" s="1"/>
  <c r="L142" i="4"/>
  <c r="CW108" i="5"/>
  <c r="BN47" i="5"/>
  <c r="CW47" i="5" s="1"/>
  <c r="CW46" i="5"/>
  <c r="BN48" i="5"/>
  <c r="CW48" i="5" s="1"/>
  <c r="BQ43" i="5"/>
  <c r="BQ44" i="5"/>
  <c r="I82" i="8"/>
  <c r="BP105" i="5" l="1"/>
  <c r="CZ172" i="4"/>
  <c r="CA167" i="4"/>
  <c r="BZ102" i="4"/>
  <c r="CY102" i="4" s="1"/>
  <c r="CY167" i="4"/>
  <c r="CA171" i="4"/>
  <c r="CY171" i="4"/>
  <c r="BZ294" i="4"/>
  <c r="BY295" i="4"/>
  <c r="CX295" i="4" s="1"/>
  <c r="CX294" i="4"/>
  <c r="CW296" i="4"/>
  <c r="BY296" i="4"/>
  <c r="BW433" i="5"/>
  <c r="BV433" i="5"/>
  <c r="BT317" i="5"/>
  <c r="BU308" i="5"/>
  <c r="BU316" i="5" s="1"/>
  <c r="AJ277" i="4"/>
  <c r="AJ154" i="4" s="1"/>
  <c r="CO154" i="4" s="1"/>
  <c r="CW98" i="5"/>
  <c r="BN99" i="5"/>
  <c r="CW99" i="5" s="1"/>
  <c r="BM105" i="5"/>
  <c r="BD304" i="4"/>
  <c r="BD132" i="4"/>
  <c r="AJ265" i="4"/>
  <c r="AF265" i="4"/>
  <c r="AF268" i="4" s="1"/>
  <c r="AJ268" i="4" s="1"/>
  <c r="AJ84" i="4"/>
  <c r="AI106" i="4"/>
  <c r="AI79" i="4"/>
  <c r="AJ76" i="4"/>
  <c r="CO76" i="4" s="1"/>
  <c r="CO56" i="4"/>
  <c r="CO60" i="4" s="1"/>
  <c r="CO63" i="4"/>
  <c r="CO64" i="4" s="1"/>
  <c r="AI332" i="4"/>
  <c r="AI71" i="4"/>
  <c r="D24" i="6"/>
  <c r="E24" i="6"/>
  <c r="AJ60" i="4"/>
  <c r="AJ71" i="4" s="1"/>
  <c r="CO71" i="4" s="1"/>
  <c r="AJ351" i="4"/>
  <c r="R48" i="6"/>
  <c r="R47" i="6"/>
  <c r="CW42" i="5"/>
  <c r="BN44" i="5"/>
  <c r="CW44" i="5" s="1"/>
  <c r="BN87" i="5"/>
  <c r="CW87" i="5" s="1"/>
  <c r="H354" i="4"/>
  <c r="H352" i="4"/>
  <c r="H353" i="4" s="1"/>
  <c r="L149" i="4"/>
  <c r="L157" i="4" s="1"/>
  <c r="L189" i="4" s="1"/>
  <c r="I149" i="4"/>
  <c r="I157" i="4" s="1"/>
  <c r="I354" i="4" s="1"/>
  <c r="I361" i="4"/>
  <c r="I362" i="4" s="1"/>
  <c r="AP280" i="4"/>
  <c r="AP282" i="4" s="1"/>
  <c r="AT282" i="4" s="1"/>
  <c r="AO153" i="4"/>
  <c r="CP153" i="4" s="1"/>
  <c r="AT280" i="4"/>
  <c r="L329" i="4"/>
  <c r="K337" i="4"/>
  <c r="G337" i="4"/>
  <c r="H329" i="4"/>
  <c r="H336" i="4" s="1"/>
  <c r="K189" i="4"/>
  <c r="L137" i="4"/>
  <c r="I137" i="4"/>
  <c r="CJ149" i="4"/>
  <c r="CJ157" i="4" s="1"/>
  <c r="CJ189" i="4" s="1"/>
  <c r="CJ137" i="4"/>
  <c r="Q321" i="4"/>
  <c r="Q323" i="4" s="1"/>
  <c r="R319" i="4" s="1"/>
  <c r="M142" i="4"/>
  <c r="M137" i="4" s="1"/>
  <c r="N133" i="4"/>
  <c r="N135" i="4" s="1"/>
  <c r="P142" i="4"/>
  <c r="P137" i="4" s="1"/>
  <c r="U133" i="4"/>
  <c r="Q133" i="4"/>
  <c r="Q135" i="4" s="1"/>
  <c r="J142" i="4"/>
  <c r="L361" i="4" s="1"/>
  <c r="L362" i="4" s="1"/>
  <c r="CW104" i="5"/>
  <c r="BN105" i="5"/>
  <c r="CW105" i="5" s="1"/>
  <c r="BX431" i="5" l="1"/>
  <c r="BX433" i="5" s="1"/>
  <c r="CZ167" i="4"/>
  <c r="CA102" i="4"/>
  <c r="CZ102" i="4" s="1"/>
  <c r="BY293" i="4"/>
  <c r="CX296" i="4"/>
  <c r="BZ296" i="4"/>
  <c r="CY294" i="4"/>
  <c r="BZ295" i="4"/>
  <c r="CA294" i="4"/>
  <c r="CZ294" i="4" s="1"/>
  <c r="CZ171" i="4"/>
  <c r="BV308" i="5"/>
  <c r="BV316" i="5" s="1"/>
  <c r="BU317" i="5"/>
  <c r="BW308" i="5"/>
  <c r="BW316" i="5" s="1"/>
  <c r="AK273" i="4"/>
  <c r="AK275" i="4" s="1"/>
  <c r="AO275" i="4" s="1"/>
  <c r="AO273" i="4"/>
  <c r="J137" i="4"/>
  <c r="L352" i="4"/>
  <c r="L353" i="4" s="1"/>
  <c r="L354" i="4"/>
  <c r="AI304" i="4"/>
  <c r="AI132" i="4"/>
  <c r="AJ106" i="4"/>
  <c r="CO84" i="4"/>
  <c r="CO106" i="4" s="1"/>
  <c r="CO132" i="4" s="1"/>
  <c r="AI334" i="4"/>
  <c r="AJ334" i="4" s="1"/>
  <c r="AJ332" i="4"/>
  <c r="AJ79" i="4"/>
  <c r="CO79" i="4" s="1"/>
  <c r="AI80" i="4"/>
  <c r="AJ80" i="4" s="1"/>
  <c r="CO80" i="4" s="1"/>
  <c r="AJ270" i="4"/>
  <c r="I352" i="4"/>
  <c r="I353" i="4" s="1"/>
  <c r="I355" i="4" s="1"/>
  <c r="I189" i="4"/>
  <c r="AT284" i="4"/>
  <c r="J149" i="4"/>
  <c r="J157" i="4" s="1"/>
  <c r="K352" i="4" s="1"/>
  <c r="K353" i="4" s="1"/>
  <c r="J361" i="4"/>
  <c r="M149" i="4"/>
  <c r="M157" i="4" s="1"/>
  <c r="M352" i="4" s="1"/>
  <c r="M353" i="4" s="1"/>
  <c r="M361" i="4"/>
  <c r="M362" i="4" s="1"/>
  <c r="H355" i="4"/>
  <c r="H337" i="4"/>
  <c r="I329" i="4"/>
  <c r="I336" i="4" s="1"/>
  <c r="L336" i="4"/>
  <c r="P329" i="4"/>
  <c r="P336" i="4" s="1"/>
  <c r="CK142" i="4"/>
  <c r="P149" i="4"/>
  <c r="P157" i="4" s="1"/>
  <c r="R133" i="4"/>
  <c r="R135" i="4" s="1"/>
  <c r="Q142" i="4"/>
  <c r="R321" i="4"/>
  <c r="R323" i="4" s="1"/>
  <c r="S319" i="4" s="1"/>
  <c r="CL133" i="4"/>
  <c r="CL135" i="4" s="1"/>
  <c r="U135" i="4"/>
  <c r="O133" i="4"/>
  <c r="O135" i="4" s="1"/>
  <c r="N142" i="4"/>
  <c r="CY431" i="5" l="1"/>
  <c r="AO277" i="4"/>
  <c r="CY296" i="4"/>
  <c r="CA296" i="4"/>
  <c r="CZ296" i="4" s="1"/>
  <c r="CY295" i="4"/>
  <c r="BZ293" i="4"/>
  <c r="CA295" i="4"/>
  <c r="BY42" i="4"/>
  <c r="CX42" i="4" s="1"/>
  <c r="BY343" i="4"/>
  <c r="CZ431" i="5"/>
  <c r="BW317" i="5"/>
  <c r="BX308" i="5"/>
  <c r="BV317" i="5"/>
  <c r="BX316" i="5"/>
  <c r="BX317" i="5" s="1"/>
  <c r="L355" i="4"/>
  <c r="M189" i="4"/>
  <c r="AJ132" i="4"/>
  <c r="AJ304" i="4"/>
  <c r="M354" i="4"/>
  <c r="M355" i="4" s="1"/>
  <c r="AO265" i="4"/>
  <c r="AJ152" i="4"/>
  <c r="CO152" i="4" s="1"/>
  <c r="AK265" i="4"/>
  <c r="AK268" i="4" s="1"/>
  <c r="AO268" i="4" s="1"/>
  <c r="J362" i="4"/>
  <c r="K362" i="4" s="1"/>
  <c r="K361" i="4"/>
  <c r="Q149" i="4"/>
  <c r="Q157" i="4" s="1"/>
  <c r="Q354" i="4" s="1"/>
  <c r="J352" i="4"/>
  <c r="J353" i="4" s="1"/>
  <c r="J354" i="4"/>
  <c r="J189" i="4"/>
  <c r="N149" i="4"/>
  <c r="N157" i="4" s="1"/>
  <c r="N352" i="4" s="1"/>
  <c r="N353" i="4" s="1"/>
  <c r="N361" i="4"/>
  <c r="N362" i="4" s="1"/>
  <c r="AU280" i="4"/>
  <c r="AU282" i="4" s="1"/>
  <c r="AY282" i="4" s="1"/>
  <c r="AT153" i="4"/>
  <c r="CQ153" i="4" s="1"/>
  <c r="AY280" i="4"/>
  <c r="K354" i="4"/>
  <c r="K355" i="4" s="1"/>
  <c r="L337" i="4"/>
  <c r="M329" i="4"/>
  <c r="M336" i="4" s="1"/>
  <c r="I337" i="4"/>
  <c r="J329" i="4"/>
  <c r="J336" i="4" s="1"/>
  <c r="J337" i="4" s="1"/>
  <c r="P337" i="4"/>
  <c r="Q329" i="4"/>
  <c r="S321" i="4"/>
  <c r="S323" i="4" s="1"/>
  <c r="T319" i="4" s="1"/>
  <c r="N137" i="4"/>
  <c r="CK149" i="4"/>
  <c r="CK157" i="4" s="1"/>
  <c r="CK189" i="4" s="1"/>
  <c r="CK137" i="4"/>
  <c r="Z133" i="4"/>
  <c r="U142" i="4"/>
  <c r="V133" i="4"/>
  <c r="V135" i="4" s="1"/>
  <c r="Q137" i="4"/>
  <c r="O142" i="4"/>
  <c r="O137" i="4" s="1"/>
  <c r="R142" i="4"/>
  <c r="S133" i="4"/>
  <c r="S135" i="4" s="1"/>
  <c r="P189" i="4"/>
  <c r="AO154" i="4" l="1"/>
  <c r="CP154" i="4" s="1"/>
  <c r="AP273" i="4"/>
  <c r="AP275" i="4" s="1"/>
  <c r="AT275" i="4" s="1"/>
  <c r="AT273" i="4"/>
  <c r="AT277" i="4" s="1"/>
  <c r="AU273" i="4" s="1"/>
  <c r="AU275" i="4" s="1"/>
  <c r="AY275" i="4" s="1"/>
  <c r="BZ42" i="4"/>
  <c r="CY42" i="4" s="1"/>
  <c r="BZ343" i="4"/>
  <c r="CZ295" i="4"/>
  <c r="CA293" i="4"/>
  <c r="DB431" i="5"/>
  <c r="DA431" i="5"/>
  <c r="AO270" i="4"/>
  <c r="AT265" i="4" s="1"/>
  <c r="N189" i="4"/>
  <c r="Q352" i="4"/>
  <c r="Q353" i="4" s="1"/>
  <c r="Q355" i="4" s="1"/>
  <c r="N354" i="4"/>
  <c r="N355" i="4" s="1"/>
  <c r="Q189" i="4"/>
  <c r="AY273" i="4"/>
  <c r="AY277" i="4" s="1"/>
  <c r="Q361" i="4"/>
  <c r="Q362" i="4" s="1"/>
  <c r="AY284" i="4"/>
  <c r="J355" i="4"/>
  <c r="O149" i="4"/>
  <c r="O157" i="4" s="1"/>
  <c r="P352" i="4" s="1"/>
  <c r="P353" i="4" s="1"/>
  <c r="O361" i="4"/>
  <c r="R149" i="4"/>
  <c r="R157" i="4" s="1"/>
  <c r="R352" i="4" s="1"/>
  <c r="R353" i="4" s="1"/>
  <c r="R361" i="4"/>
  <c r="R362" i="4" s="1"/>
  <c r="AT154" i="4"/>
  <c r="CQ154" i="4" s="1"/>
  <c r="Q336" i="4"/>
  <c r="U329" i="4"/>
  <c r="U336" i="4" s="1"/>
  <c r="N329" i="4"/>
  <c r="N336" i="4" s="1"/>
  <c r="M337" i="4"/>
  <c r="T321" i="4"/>
  <c r="T323" i="4" s="1"/>
  <c r="R137" i="4"/>
  <c r="W133" i="4"/>
  <c r="W135" i="4" s="1"/>
  <c r="V142" i="4"/>
  <c r="CL142" i="4"/>
  <c r="U149" i="4"/>
  <c r="U157" i="4" s="1"/>
  <c r="CM133" i="4"/>
  <c r="CM135" i="4" s="1"/>
  <c r="Z135" i="4"/>
  <c r="T133" i="4"/>
  <c r="T135" i="4" s="1"/>
  <c r="S142" i="4"/>
  <c r="U137" i="4"/>
  <c r="CA343" i="4" l="1"/>
  <c r="CA42" i="4"/>
  <c r="CZ42" i="4" s="1"/>
  <c r="AO152" i="4"/>
  <c r="CP152" i="4" s="1"/>
  <c r="AP265" i="4"/>
  <c r="AP268" i="4" s="1"/>
  <c r="AT268" i="4" s="1"/>
  <c r="AT270" i="4" s="1"/>
  <c r="AU265" i="4" s="1"/>
  <c r="AU268" i="4" s="1"/>
  <c r="AY268" i="4" s="1"/>
  <c r="R354" i="4"/>
  <c r="R355" i="4" s="1"/>
  <c r="U321" i="4"/>
  <c r="U323" i="4" s="1"/>
  <c r="V319" i="4" s="1"/>
  <c r="O189" i="4"/>
  <c r="P354" i="4"/>
  <c r="P355" i="4" s="1"/>
  <c r="AY153" i="4"/>
  <c r="CR153" i="4" s="1"/>
  <c r="BD280" i="4"/>
  <c r="AZ280" i="4"/>
  <c r="AZ282" i="4" s="1"/>
  <c r="BD282" i="4" s="1"/>
  <c r="P361" i="4"/>
  <c r="O362" i="4"/>
  <c r="P362" i="4" s="1"/>
  <c r="O354" i="4"/>
  <c r="O352" i="4"/>
  <c r="O353" i="4" s="1"/>
  <c r="S149" i="4"/>
  <c r="S157" i="4" s="1"/>
  <c r="S352" i="4" s="1"/>
  <c r="S353" i="4" s="1"/>
  <c r="S361" i="4"/>
  <c r="S362" i="4" s="1"/>
  <c r="R189" i="4"/>
  <c r="V149" i="4"/>
  <c r="V157" i="4" s="1"/>
  <c r="V352" i="4" s="1"/>
  <c r="V353" i="4" s="1"/>
  <c r="O329" i="4"/>
  <c r="O336" i="4" s="1"/>
  <c r="O337" i="4" s="1"/>
  <c r="N337" i="4"/>
  <c r="V329" i="4"/>
  <c r="U337" i="4"/>
  <c r="Q337" i="4"/>
  <c r="R329" i="4"/>
  <c r="R336" i="4" s="1"/>
  <c r="T142" i="4"/>
  <c r="V137" i="4"/>
  <c r="BD273" i="4"/>
  <c r="AZ273" i="4"/>
  <c r="AZ275" i="4" s="1"/>
  <c r="BD275" i="4" s="1"/>
  <c r="AY154" i="4"/>
  <c r="CR154" i="4" s="1"/>
  <c r="U189" i="4"/>
  <c r="AA133" i="4"/>
  <c r="AA135" i="4" s="1"/>
  <c r="Z142" i="4"/>
  <c r="AE133" i="4"/>
  <c r="CL149" i="4"/>
  <c r="CL157" i="4" s="1"/>
  <c r="CL189" i="4" s="1"/>
  <c r="CL137" i="4"/>
  <c r="S137" i="4"/>
  <c r="X133" i="4"/>
  <c r="X135" i="4" s="1"/>
  <c r="W142" i="4"/>
  <c r="AY265" i="4" l="1"/>
  <c r="AY270" i="4" s="1"/>
  <c r="AT152" i="4"/>
  <c r="CQ152" i="4" s="1"/>
  <c r="V354" i="4"/>
  <c r="V355" i="4" s="1"/>
  <c r="Z319" i="4"/>
  <c r="O355" i="4"/>
  <c r="S354" i="4"/>
  <c r="S355" i="4" s="1"/>
  <c r="S189" i="4"/>
  <c r="BD284" i="4"/>
  <c r="BD153" i="4" s="1"/>
  <c r="CS153" i="4" s="1"/>
  <c r="T149" i="4"/>
  <c r="T157" i="4" s="1"/>
  <c r="T352" i="4" s="1"/>
  <c r="T353" i="4" s="1"/>
  <c r="T361" i="4"/>
  <c r="W149" i="4"/>
  <c r="W157" i="4" s="1"/>
  <c r="W352" i="4" s="1"/>
  <c r="W353" i="4" s="1"/>
  <c r="W361" i="4"/>
  <c r="W362" i="4" s="1"/>
  <c r="V189" i="4"/>
  <c r="T137" i="4"/>
  <c r="V361" i="4"/>
  <c r="V362" i="4" s="1"/>
  <c r="V336" i="4"/>
  <c r="Z329" i="4"/>
  <c r="Z336" i="4" s="1"/>
  <c r="R337" i="4"/>
  <c r="S329" i="4"/>
  <c r="S336" i="4" s="1"/>
  <c r="W137" i="4"/>
  <c r="CN133" i="4"/>
  <c r="CN135" i="4" s="1"/>
  <c r="AE135" i="4"/>
  <c r="CM142" i="4"/>
  <c r="Z149" i="4"/>
  <c r="Z157" i="4" s="1"/>
  <c r="AA142" i="4"/>
  <c r="AB133" i="4"/>
  <c r="AB135" i="4" s="1"/>
  <c r="BD277" i="4"/>
  <c r="X142" i="4"/>
  <c r="Y133" i="4"/>
  <c r="Y135" i="4" s="1"/>
  <c r="Z137" i="4"/>
  <c r="V321" i="4"/>
  <c r="U352" i="4" l="1"/>
  <c r="U353" i="4" s="1"/>
  <c r="W354" i="4"/>
  <c r="W355" i="4" s="1"/>
  <c r="W189" i="4"/>
  <c r="BE280" i="4"/>
  <c r="BE282" i="4" s="1"/>
  <c r="BI282" i="4" s="1"/>
  <c r="T354" i="4"/>
  <c r="T355" i="4" s="1"/>
  <c r="T189" i="4"/>
  <c r="BI280" i="4"/>
  <c r="U354" i="4"/>
  <c r="AY152" i="4"/>
  <c r="CR152" i="4" s="1"/>
  <c r="BD265" i="4"/>
  <c r="AZ265" i="4"/>
  <c r="AZ268" i="4" s="1"/>
  <c r="BD268" i="4" s="1"/>
  <c r="X149" i="4"/>
  <c r="X157" i="4" s="1"/>
  <c r="X354" i="4" s="1"/>
  <c r="X361" i="4"/>
  <c r="X362" i="4" s="1"/>
  <c r="AA149" i="4"/>
  <c r="AA157" i="4" s="1"/>
  <c r="AA354" i="4" s="1"/>
  <c r="U361" i="4"/>
  <c r="T362" i="4"/>
  <c r="U362" i="4" s="1"/>
  <c r="T329" i="4"/>
  <c r="T336" i="4" s="1"/>
  <c r="T337" i="4" s="1"/>
  <c r="S337" i="4"/>
  <c r="Z337" i="4"/>
  <c r="AA329" i="4"/>
  <c r="X137" i="4"/>
  <c r="V337" i="4"/>
  <c r="W329" i="4"/>
  <c r="W336" i="4" s="1"/>
  <c r="CM149" i="4"/>
  <c r="CM157" i="4" s="1"/>
  <c r="CM189" i="4" s="1"/>
  <c r="CM137" i="4"/>
  <c r="BI273" i="4"/>
  <c r="BE273" i="4"/>
  <c r="BE275" i="4" s="1"/>
  <c r="BI275" i="4" s="1"/>
  <c r="BD154" i="4"/>
  <c r="CS154" i="4" s="1"/>
  <c r="AB142" i="4"/>
  <c r="AC133" i="4"/>
  <c r="AC135" i="4" s="1"/>
  <c r="AE142" i="4"/>
  <c r="AE137" i="4" s="1"/>
  <c r="AF133" i="4"/>
  <c r="AF135" i="4" s="1"/>
  <c r="AJ133" i="4"/>
  <c r="Y142" i="4"/>
  <c r="V323" i="4"/>
  <c r="W319" i="4" s="1"/>
  <c r="AA137" i="4"/>
  <c r="Z189" i="4"/>
  <c r="U355" i="4" l="1"/>
  <c r="X352" i="4"/>
  <c r="X353" i="4" s="1"/>
  <c r="X355" i="4" s="1"/>
  <c r="BI284" i="4"/>
  <c r="BN280" i="4" s="1"/>
  <c r="AA352" i="4"/>
  <c r="AA353" i="4" s="1"/>
  <c r="AA355" i="4" s="1"/>
  <c r="AA189" i="4"/>
  <c r="BD270" i="4"/>
  <c r="X189" i="4"/>
  <c r="Y149" i="4"/>
  <c r="Y157" i="4" s="1"/>
  <c r="Y354" i="4" s="1"/>
  <c r="Y361" i="4"/>
  <c r="AB149" i="4"/>
  <c r="AB157" i="4" s="1"/>
  <c r="AB189" i="4" s="1"/>
  <c r="AB361" i="4"/>
  <c r="AB362" i="4" s="1"/>
  <c r="AA361" i="4"/>
  <c r="AA362" i="4" s="1"/>
  <c r="W337" i="4"/>
  <c r="X329" i="4"/>
  <c r="X336" i="4" s="1"/>
  <c r="AE329" i="4"/>
  <c r="AE336" i="4" s="1"/>
  <c r="AA336" i="4"/>
  <c r="BI277" i="4"/>
  <c r="AB137" i="4"/>
  <c r="Y137" i="4"/>
  <c r="AG133" i="4"/>
  <c r="AG135" i="4" s="1"/>
  <c r="AF142" i="4"/>
  <c r="AE289" i="4"/>
  <c r="AE149" i="4"/>
  <c r="AE157" i="4" s="1"/>
  <c r="CN142" i="4"/>
  <c r="AD133" i="4"/>
  <c r="AD135" i="4" s="1"/>
  <c r="AC142" i="4"/>
  <c r="W321" i="4"/>
  <c r="W323" i="4" s="1"/>
  <c r="X319" i="4" s="1"/>
  <c r="CO133" i="4"/>
  <c r="CO135" i="4" s="1"/>
  <c r="AJ135" i="4"/>
  <c r="BI153" i="4" l="1"/>
  <c r="CT153" i="4" s="1"/>
  <c r="BJ280" i="4"/>
  <c r="BJ282" i="4" s="1"/>
  <c r="BN282" i="4" s="1"/>
  <c r="BN284" i="4" s="1"/>
  <c r="BO280" i="4" s="1"/>
  <c r="BO282" i="4" s="1"/>
  <c r="BS282" i="4" s="1"/>
  <c r="Z352" i="4"/>
  <c r="Z353" i="4" s="1"/>
  <c r="Y189" i="4"/>
  <c r="Z354" i="4"/>
  <c r="Y352" i="4"/>
  <c r="Y353" i="4" s="1"/>
  <c r="Y355" i="4" s="1"/>
  <c r="BI154" i="4"/>
  <c r="CT154" i="4" s="1"/>
  <c r="BN273" i="4"/>
  <c r="BE265" i="4"/>
  <c r="BE268" i="4" s="1"/>
  <c r="BI268" i="4" s="1"/>
  <c r="BD152" i="4"/>
  <c r="CS152" i="4" s="1"/>
  <c r="BI265" i="4"/>
  <c r="AC149" i="4"/>
  <c r="AC157" i="4" s="1"/>
  <c r="AC352" i="4" s="1"/>
  <c r="AC353" i="4" s="1"/>
  <c r="AC361" i="4"/>
  <c r="AC362" i="4" s="1"/>
  <c r="BJ273" i="4"/>
  <c r="BJ275" i="4" s="1"/>
  <c r="BN275" i="4" s="1"/>
  <c r="AB354" i="4"/>
  <c r="AB352" i="4"/>
  <c r="AB353" i="4" s="1"/>
  <c r="AF137" i="4"/>
  <c r="Y362" i="4"/>
  <c r="Z362" i="4" s="1"/>
  <c r="Z361" i="4"/>
  <c r="AB329" i="4"/>
  <c r="AB336" i="4" s="1"/>
  <c r="AA337" i="4"/>
  <c r="AF329" i="4"/>
  <c r="AE337" i="4"/>
  <c r="Y329" i="4"/>
  <c r="Y336" i="4" s="1"/>
  <c r="Y337" i="4" s="1"/>
  <c r="X337" i="4"/>
  <c r="CN149" i="4"/>
  <c r="CN157" i="4" s="1"/>
  <c r="CN189" i="4" s="1"/>
  <c r="CN137" i="4"/>
  <c r="AH133" i="4"/>
  <c r="AH135" i="4" s="1"/>
  <c r="AG142" i="4"/>
  <c r="X321" i="4"/>
  <c r="X323" i="4" s="1"/>
  <c r="Y319" i="4" s="1"/>
  <c r="AE189" i="4"/>
  <c r="AC354" i="4"/>
  <c r="AC137" i="4"/>
  <c r="AK133" i="4"/>
  <c r="AJ142" i="4"/>
  <c r="AD142" i="4"/>
  <c r="AF149" i="4"/>
  <c r="AF157" i="4" s="1"/>
  <c r="AF289" i="4"/>
  <c r="AF290" i="4" s="1"/>
  <c r="Z355" i="4" l="1"/>
  <c r="BN277" i="4"/>
  <c r="BO273" i="4" s="1"/>
  <c r="BO275" i="4" s="1"/>
  <c r="BS275" i="4" s="1"/>
  <c r="AC355" i="4"/>
  <c r="BI270" i="4"/>
  <c r="AC189" i="4"/>
  <c r="AB355" i="4"/>
  <c r="AD149" i="4"/>
  <c r="AD157" i="4" s="1"/>
  <c r="AE352" i="4" s="1"/>
  <c r="AE353" i="4" s="1"/>
  <c r="AD361" i="4"/>
  <c r="AG137" i="4"/>
  <c r="AG361" i="4"/>
  <c r="AG362" i="4" s="1"/>
  <c r="AF361" i="4"/>
  <c r="AF362" i="4" s="1"/>
  <c r="AJ329" i="4"/>
  <c r="AJ336" i="4" s="1"/>
  <c r="AF336" i="4"/>
  <c r="AC329" i="4"/>
  <c r="AC336" i="4" s="1"/>
  <c r="AB337" i="4"/>
  <c r="Y321" i="4"/>
  <c r="Z321" i="4" s="1"/>
  <c r="Z323" i="4" s="1"/>
  <c r="AF189" i="4"/>
  <c r="AF352" i="4"/>
  <c r="AF353" i="4" s="1"/>
  <c r="AD189" i="4"/>
  <c r="AJ149" i="4"/>
  <c r="AJ157" i="4" s="1"/>
  <c r="AJ289" i="4"/>
  <c r="CO142" i="4"/>
  <c r="AD137" i="4"/>
  <c r="AO133" i="4"/>
  <c r="AK135" i="4"/>
  <c r="AG289" i="4"/>
  <c r="AG290" i="4" s="1"/>
  <c r="AG149" i="4"/>
  <c r="AG157" i="4" s="1"/>
  <c r="AJ137" i="4"/>
  <c r="AF354" i="4"/>
  <c r="AI133" i="4"/>
  <c r="AI135" i="4" s="1"/>
  <c r="AH142" i="4"/>
  <c r="L101" i="8"/>
  <c r="D4" i="8"/>
  <c r="I45" i="8"/>
  <c r="L91" i="8"/>
  <c r="L35" i="8"/>
  <c r="L30" i="8"/>
  <c r="L75" i="8"/>
  <c r="D79" i="8"/>
  <c r="L22" i="8"/>
  <c r="I52" i="8"/>
  <c r="L60" i="8"/>
  <c r="L56" i="8"/>
  <c r="L49" i="8"/>
  <c r="D26" i="8"/>
  <c r="I36" i="8"/>
  <c r="C4" i="8"/>
  <c r="L36" i="8"/>
  <c r="L13" i="8"/>
  <c r="L76" i="8"/>
  <c r="D69" i="8"/>
  <c r="L55" i="8"/>
  <c r="L41" i="8"/>
  <c r="L32" i="8"/>
  <c r="I26" i="8"/>
  <c r="L58" i="8"/>
  <c r="L99" i="8"/>
  <c r="I41" i="8"/>
  <c r="L12" i="8"/>
  <c r="I53" i="8"/>
  <c r="L7" i="8"/>
  <c r="L8" i="8"/>
  <c r="I94" i="8"/>
  <c r="L79" i="8"/>
  <c r="L20" i="8"/>
  <c r="D65" i="8"/>
  <c r="L29" i="8"/>
  <c r="L57" i="8"/>
  <c r="L21" i="8"/>
  <c r="I4" i="8"/>
  <c r="I54" i="8"/>
  <c r="D42" i="8"/>
  <c r="L34" i="8"/>
  <c r="I79" i="8"/>
  <c r="L25" i="8"/>
  <c r="L50" i="8"/>
  <c r="I71" i="8"/>
  <c r="D41" i="8"/>
  <c r="I65" i="8"/>
  <c r="L65" i="8"/>
  <c r="D18" i="8"/>
  <c r="L24" i="8"/>
  <c r="L18" i="8"/>
  <c r="L26" i="8"/>
  <c r="D75" i="8"/>
  <c r="D67" i="8"/>
  <c r="D36" i="8"/>
  <c r="D32" i="8"/>
  <c r="L42" i="8"/>
  <c r="D71" i="8"/>
  <c r="L4" i="8"/>
  <c r="I42" i="8"/>
  <c r="I75" i="8"/>
  <c r="L45" i="8"/>
  <c r="I73" i="8"/>
  <c r="L47" i="8"/>
  <c r="D94" i="8"/>
  <c r="I32" i="8"/>
  <c r="L44" i="8"/>
  <c r="L69" i="8"/>
  <c r="I25" i="8"/>
  <c r="L27" i="8"/>
  <c r="L40" i="8"/>
  <c r="D99" i="8"/>
  <c r="L53" i="8"/>
  <c r="L52" i="8"/>
  <c r="L71" i="8"/>
  <c r="I99" i="8"/>
  <c r="I69" i="8"/>
  <c r="L54" i="8"/>
  <c r="L73" i="8"/>
  <c r="I18" i="8"/>
  <c r="L10" i="8"/>
  <c r="L96" i="8"/>
  <c r="L37" i="8"/>
  <c r="I35" i="8"/>
  <c r="L94" i="8"/>
  <c r="L15" i="8"/>
  <c r="D82" i="8"/>
  <c r="J82" i="8" l="1"/>
  <c r="D83" i="8"/>
  <c r="M82" i="8"/>
  <c r="G82" i="8"/>
  <c r="F82" i="8"/>
  <c r="L16" i="8"/>
  <c r="G99" i="8"/>
  <c r="J99" i="8"/>
  <c r="M99" i="8"/>
  <c r="F99" i="8"/>
  <c r="C86" i="8"/>
  <c r="L38" i="8"/>
  <c r="L86" i="8"/>
  <c r="L67" i="8"/>
  <c r="M67" i="8" s="1"/>
  <c r="C92" i="8"/>
  <c r="L97" i="8"/>
  <c r="F94" i="8"/>
  <c r="G94" i="8"/>
  <c r="C38" i="8"/>
  <c r="C89" i="8"/>
  <c r="L63" i="8"/>
  <c r="F71" i="8"/>
  <c r="G71" i="8"/>
  <c r="D89" i="8"/>
  <c r="J71" i="8"/>
  <c r="M71" i="8"/>
  <c r="I86" i="8"/>
  <c r="I67" i="8"/>
  <c r="J67" i="8" s="1"/>
  <c r="M32" i="8"/>
  <c r="J32" i="8"/>
  <c r="G32" i="8"/>
  <c r="F32" i="8"/>
  <c r="G36" i="8"/>
  <c r="J36" i="8"/>
  <c r="M36" i="8"/>
  <c r="F36" i="8"/>
  <c r="L89" i="8"/>
  <c r="G67" i="8"/>
  <c r="F67" i="8"/>
  <c r="J75" i="8"/>
  <c r="F75" i="8"/>
  <c r="M75" i="8"/>
  <c r="G75" i="8"/>
  <c r="D86" i="8"/>
  <c r="J69" i="8"/>
  <c r="F69" i="8"/>
  <c r="M69" i="8"/>
  <c r="G69" i="8"/>
  <c r="M18" i="8"/>
  <c r="G18" i="8"/>
  <c r="J18" i="8"/>
  <c r="F18" i="8"/>
  <c r="C63" i="8"/>
  <c r="G41" i="8"/>
  <c r="F41" i="8"/>
  <c r="J41" i="8"/>
  <c r="M41" i="8"/>
  <c r="C96" i="8"/>
  <c r="C97" i="8" s="1"/>
  <c r="C102" i="8"/>
  <c r="I89" i="8"/>
  <c r="M26" i="8"/>
  <c r="G26" i="8"/>
  <c r="J26" i="8"/>
  <c r="F26" i="8"/>
  <c r="I80" i="8"/>
  <c r="J42" i="8"/>
  <c r="F42" i="8"/>
  <c r="M42" i="8"/>
  <c r="G42" i="8"/>
  <c r="M79" i="8"/>
  <c r="J79" i="8"/>
  <c r="D80" i="8"/>
  <c r="F79" i="8"/>
  <c r="G79" i="8"/>
  <c r="I63" i="8"/>
  <c r="L92" i="8"/>
  <c r="C83" i="8"/>
  <c r="F65" i="8"/>
  <c r="G65" i="8"/>
  <c r="J65" i="8"/>
  <c r="M65" i="8"/>
  <c r="C16" i="8"/>
  <c r="D63" i="8"/>
  <c r="L80" i="8"/>
  <c r="L102" i="8"/>
  <c r="C80" i="8"/>
  <c r="BJ265" i="4"/>
  <c r="BJ268" i="4" s="1"/>
  <c r="BN268" i="4" s="1"/>
  <c r="BN265" i="4"/>
  <c r="BI152" i="4"/>
  <c r="CT152" i="4" s="1"/>
  <c r="AD352" i="4"/>
  <c r="AD353" i="4" s="1"/>
  <c r="AD354" i="4"/>
  <c r="AE354" i="4"/>
  <c r="AE355" i="4" s="1"/>
  <c r="AH137" i="4"/>
  <c r="AH361" i="4"/>
  <c r="AH362" i="4" s="1"/>
  <c r="AD362" i="4"/>
  <c r="AE362" i="4" s="1"/>
  <c r="AE361" i="4"/>
  <c r="AD329" i="4"/>
  <c r="AD336" i="4" s="1"/>
  <c r="AD337" i="4" s="1"/>
  <c r="AC337" i="4"/>
  <c r="AG329" i="4"/>
  <c r="AG336" i="4" s="1"/>
  <c r="AF337" i="4"/>
  <c r="AK329" i="4"/>
  <c r="AJ337" i="4"/>
  <c r="AG189" i="4"/>
  <c r="CP133" i="4"/>
  <c r="CP135" i="4" s="1"/>
  <c r="AO135" i="4"/>
  <c r="AJ189" i="4"/>
  <c r="AH289" i="4"/>
  <c r="AH290" i="4" s="1"/>
  <c r="AH149" i="4"/>
  <c r="AH157" i="4" s="1"/>
  <c r="AH352" i="4" s="1"/>
  <c r="AH353" i="4" s="1"/>
  <c r="AE319" i="4"/>
  <c r="AA319" i="4"/>
  <c r="AI142" i="4"/>
  <c r="CO149" i="4"/>
  <c r="CO157" i="4" s="1"/>
  <c r="CO189" i="4" s="1"/>
  <c r="CO137" i="4"/>
  <c r="AF355" i="4"/>
  <c r="AG354" i="4"/>
  <c r="Y323" i="4"/>
  <c r="AL133" i="4"/>
  <c r="AL135" i="4" s="1"/>
  <c r="AK142" i="4"/>
  <c r="CO289" i="4"/>
  <c r="AG352" i="4"/>
  <c r="AG353" i="4" s="1"/>
  <c r="M80" i="8" l="1"/>
  <c r="M89" i="8"/>
  <c r="M86" i="8"/>
  <c r="I83" i="8"/>
  <c r="J83" i="8" s="1"/>
  <c r="J89" i="8"/>
  <c r="F80" i="8"/>
  <c r="J80" i="8"/>
  <c r="F86" i="8"/>
  <c r="L83" i="8"/>
  <c r="M83" i="8" s="1"/>
  <c r="F89" i="8"/>
  <c r="F83" i="8"/>
  <c r="J86" i="8"/>
  <c r="BN270" i="4"/>
  <c r="BO265" i="4" s="1"/>
  <c r="BO268" i="4" s="1"/>
  <c r="BS268" i="4" s="1"/>
  <c r="AD355" i="4"/>
  <c r="AK137" i="4"/>
  <c r="AK361" i="4"/>
  <c r="AK362" i="4" s="1"/>
  <c r="AI137" i="4"/>
  <c r="AI361" i="4"/>
  <c r="AH329" i="4"/>
  <c r="AH336" i="4" s="1"/>
  <c r="AG337" i="4"/>
  <c r="AK336" i="4"/>
  <c r="AO329" i="4"/>
  <c r="AO336" i="4" s="1"/>
  <c r="AG355" i="4"/>
  <c r="AO142" i="4"/>
  <c r="AT133" i="4"/>
  <c r="AP133" i="4"/>
  <c r="AP135" i="4" s="1"/>
  <c r="AK289" i="4"/>
  <c r="AK149" i="4"/>
  <c r="AK157" i="4" s="1"/>
  <c r="AI289" i="4"/>
  <c r="CN289" i="4" s="1"/>
  <c r="AI149" i="4"/>
  <c r="AI157" i="4" s="1"/>
  <c r="AI354" i="4" s="1"/>
  <c r="AH189" i="4"/>
  <c r="AL142" i="4"/>
  <c r="AM133" i="4"/>
  <c r="AM135" i="4" s="1"/>
  <c r="AA321" i="4"/>
  <c r="AA323" i="4" s="1"/>
  <c r="AB319" i="4" s="1"/>
  <c r="AH354" i="4"/>
  <c r="AH355" i="4" s="1"/>
  <c r="AL137" i="4" l="1"/>
  <c r="AL361" i="4"/>
  <c r="AL362" i="4" s="1"/>
  <c r="AI290" i="4"/>
  <c r="CN290" i="4" s="1"/>
  <c r="AJ361" i="4"/>
  <c r="AI362" i="4"/>
  <c r="AJ362" i="4" s="1"/>
  <c r="AO337" i="4"/>
  <c r="AP329" i="4"/>
  <c r="AL329" i="4"/>
  <c r="AL336" i="4" s="1"/>
  <c r="AK337" i="4"/>
  <c r="AH337" i="4"/>
  <c r="AI329" i="4"/>
  <c r="AI336" i="4" s="1"/>
  <c r="AI337" i="4" s="1"/>
  <c r="AI352" i="4"/>
  <c r="AI353" i="4" s="1"/>
  <c r="AI355" i="4" s="1"/>
  <c r="AN133" i="4"/>
  <c r="AN135" i="4" s="1"/>
  <c r="AM142" i="4"/>
  <c r="AK290" i="4"/>
  <c r="CP142" i="4"/>
  <c r="AO289" i="4"/>
  <c r="AO149" i="4"/>
  <c r="AO157" i="4" s="1"/>
  <c r="AP142" i="4"/>
  <c r="AQ133" i="4"/>
  <c r="AQ135" i="4" s="1"/>
  <c r="AB321" i="4"/>
  <c r="AB323" i="4" s="1"/>
  <c r="AC319" i="4" s="1"/>
  <c r="AL149" i="4"/>
  <c r="AL157" i="4" s="1"/>
  <c r="AL352" i="4" s="1"/>
  <c r="AL353" i="4" s="1"/>
  <c r="AL289" i="4"/>
  <c r="CQ133" i="4"/>
  <c r="CQ135" i="4" s="1"/>
  <c r="AT135" i="4"/>
  <c r="AJ352" i="4"/>
  <c r="AJ353" i="4" s="1"/>
  <c r="AJ354" i="4"/>
  <c r="AI189" i="4"/>
  <c r="AK189" i="4"/>
  <c r="AK352" i="4"/>
  <c r="AK353" i="4" s="1"/>
  <c r="AK354" i="4"/>
  <c r="AO137" i="4"/>
  <c r="AJ290" i="4" l="1"/>
  <c r="CO290" i="4" s="1"/>
  <c r="AP137" i="4"/>
  <c r="AM137" i="4"/>
  <c r="AM361" i="4"/>
  <c r="AM362" i="4" s="1"/>
  <c r="AM329" i="4"/>
  <c r="AM336" i="4" s="1"/>
  <c r="AL337" i="4"/>
  <c r="AP336" i="4"/>
  <c r="AT329" i="4"/>
  <c r="AT336" i="4" s="1"/>
  <c r="AC321" i="4"/>
  <c r="AC323" i="4" s="1"/>
  <c r="AD319" i="4" s="1"/>
  <c r="AR133" i="4"/>
  <c r="AR135" i="4" s="1"/>
  <c r="AQ142" i="4"/>
  <c r="AJ355" i="4"/>
  <c r="AL189" i="4"/>
  <c r="AO189" i="4"/>
  <c r="AL290" i="4"/>
  <c r="AL354" i="4"/>
  <c r="AL355" i="4" s="1"/>
  <c r="AT142" i="4"/>
  <c r="AT137" i="4" s="1"/>
  <c r="AU133" i="4"/>
  <c r="AP149" i="4"/>
  <c r="AP157" i="4" s="1"/>
  <c r="AP289" i="4"/>
  <c r="AP290" i="4" s="1"/>
  <c r="CP289" i="4"/>
  <c r="AM289" i="4"/>
  <c r="AM149" i="4"/>
  <c r="AM157" i="4" s="1"/>
  <c r="AM352" i="4" s="1"/>
  <c r="AM353" i="4" s="1"/>
  <c r="AK355" i="4"/>
  <c r="CP149" i="4"/>
  <c r="CP157" i="4" s="1"/>
  <c r="CP189" i="4" s="1"/>
  <c r="CP137" i="4"/>
  <c r="AN142" i="4"/>
  <c r="AP361" i="4" s="1"/>
  <c r="AP362" i="4" s="1"/>
  <c r="AN137" i="4" l="1"/>
  <c r="AN361" i="4"/>
  <c r="AQ361" i="4"/>
  <c r="AQ362" i="4" s="1"/>
  <c r="AT337" i="4"/>
  <c r="AU329" i="4"/>
  <c r="AQ329" i="4"/>
  <c r="AQ336" i="4" s="1"/>
  <c r="AP337" i="4"/>
  <c r="AM337" i="4"/>
  <c r="AN329" i="4"/>
  <c r="AN336" i="4" s="1"/>
  <c r="AN337" i="4" s="1"/>
  <c r="AP189" i="4"/>
  <c r="AQ289" i="4"/>
  <c r="AQ290" i="4" s="1"/>
  <c r="AQ149" i="4"/>
  <c r="AQ157" i="4" s="1"/>
  <c r="AY133" i="4"/>
  <c r="AU135" i="4"/>
  <c r="AP352" i="4"/>
  <c r="AP353" i="4" s="1"/>
  <c r="AM354" i="4"/>
  <c r="AM355" i="4" s="1"/>
  <c r="AR142" i="4"/>
  <c r="AR361" i="4" s="1"/>
  <c r="AR362" i="4" s="1"/>
  <c r="AS133" i="4"/>
  <c r="AS135" i="4" s="1"/>
  <c r="AM290" i="4"/>
  <c r="AD321" i="4"/>
  <c r="AD323" i="4" s="1"/>
  <c r="AN149" i="4"/>
  <c r="AN157" i="4" s="1"/>
  <c r="AN352" i="4" s="1"/>
  <c r="AN353" i="4" s="1"/>
  <c r="AN289" i="4"/>
  <c r="AN290" i="4" s="1"/>
  <c r="AM189" i="4"/>
  <c r="CQ142" i="4"/>
  <c r="AT289" i="4"/>
  <c r="AT149" i="4"/>
  <c r="AT157" i="4" s="1"/>
  <c r="AP354" i="4"/>
  <c r="AQ137" i="4"/>
  <c r="AO361" i="4" l="1"/>
  <c r="AN362" i="4"/>
  <c r="AO362" i="4" s="1"/>
  <c r="AQ337" i="4"/>
  <c r="AR329" i="4"/>
  <c r="AR336" i="4" s="1"/>
  <c r="AY329" i="4"/>
  <c r="AY336" i="4" s="1"/>
  <c r="AU336" i="4"/>
  <c r="AE321" i="4"/>
  <c r="AE323" i="4" s="1"/>
  <c r="AF319" i="4" s="1"/>
  <c r="AO290" i="4"/>
  <c r="CP290" i="4" s="1"/>
  <c r="AT189" i="4"/>
  <c r="AO354" i="4"/>
  <c r="AN189" i="4"/>
  <c r="AO352" i="4"/>
  <c r="AO353" i="4" s="1"/>
  <c r="AR289" i="4"/>
  <c r="AR290" i="4" s="1"/>
  <c r="AR149" i="4"/>
  <c r="AR157" i="4" s="1"/>
  <c r="AR352" i="4" s="1"/>
  <c r="AR353" i="4" s="1"/>
  <c r="CR133" i="4"/>
  <c r="CR135" i="4" s="1"/>
  <c r="AY135" i="4"/>
  <c r="AQ189" i="4"/>
  <c r="AQ352" i="4"/>
  <c r="AQ353" i="4" s="1"/>
  <c r="CQ289" i="4"/>
  <c r="AN354" i="4"/>
  <c r="AN355" i="4" s="1"/>
  <c r="CQ149" i="4"/>
  <c r="CQ157" i="4" s="1"/>
  <c r="CQ189" i="4" s="1"/>
  <c r="CQ137" i="4"/>
  <c r="AS142" i="4"/>
  <c r="AP355" i="4"/>
  <c r="AR137" i="4"/>
  <c r="AV133" i="4"/>
  <c r="AV135" i="4" s="1"/>
  <c r="AU142" i="4"/>
  <c r="AQ354" i="4"/>
  <c r="AS137" i="4" l="1"/>
  <c r="AS361" i="4"/>
  <c r="AU137" i="4"/>
  <c r="AU361" i="4"/>
  <c r="AU362" i="4" s="1"/>
  <c r="AJ319" i="4"/>
  <c r="AU337" i="4"/>
  <c r="AV329" i="4"/>
  <c r="AV336" i="4" s="1"/>
  <c r="AZ329" i="4"/>
  <c r="AY337" i="4"/>
  <c r="AR337" i="4"/>
  <c r="AS329" i="4"/>
  <c r="AS336" i="4" s="1"/>
  <c r="AS337" i="4" s="1"/>
  <c r="AO355" i="4"/>
  <c r="AV142" i="4"/>
  <c r="AW133" i="4"/>
  <c r="AW135" i="4" s="1"/>
  <c r="AQ355" i="4"/>
  <c r="AZ133" i="4"/>
  <c r="AY142" i="4"/>
  <c r="AF321" i="4"/>
  <c r="AR189" i="4"/>
  <c r="AU289" i="4"/>
  <c r="AU149" i="4"/>
  <c r="AU157" i="4" s="1"/>
  <c r="AS149" i="4"/>
  <c r="AS157" i="4" s="1"/>
  <c r="AS354" i="4" s="1"/>
  <c r="AS289" i="4"/>
  <c r="AS290" i="4" s="1"/>
  <c r="AT290" i="4" s="1"/>
  <c r="CQ290" i="4" s="1"/>
  <c r="AR354" i="4"/>
  <c r="AR355" i="4" s="1"/>
  <c r="AV137" i="4" l="1"/>
  <c r="AV361" i="4"/>
  <c r="AV362" i="4" s="1"/>
  <c r="AS362" i="4"/>
  <c r="AT362" i="4" s="1"/>
  <c r="AT361" i="4"/>
  <c r="BD329" i="4"/>
  <c r="BD336" i="4" s="1"/>
  <c r="AZ336" i="4"/>
  <c r="AV337" i="4"/>
  <c r="AW329" i="4"/>
  <c r="AW336" i="4" s="1"/>
  <c r="AU189" i="4"/>
  <c r="AU354" i="4"/>
  <c r="AU352" i="4"/>
  <c r="AU353" i="4" s="1"/>
  <c r="AU290" i="4"/>
  <c r="AY149" i="4"/>
  <c r="AY157" i="4" s="1"/>
  <c r="AY298" i="4"/>
  <c r="CR298" i="4" s="1"/>
  <c r="CR142" i="4"/>
  <c r="AY289" i="4"/>
  <c r="CR289" i="4" s="1"/>
  <c r="AV149" i="4"/>
  <c r="AV157" i="4" s="1"/>
  <c r="AV352" i="4" s="1"/>
  <c r="AV353" i="4" s="1"/>
  <c r="AV289" i="4"/>
  <c r="AV290" i="4" s="1"/>
  <c r="AF323" i="4"/>
  <c r="AG319" i="4" s="1"/>
  <c r="BD133" i="4"/>
  <c r="AZ135" i="4"/>
  <c r="AS189" i="4"/>
  <c r="AT354" i="4"/>
  <c r="AT352" i="4"/>
  <c r="AT353" i="4" s="1"/>
  <c r="AS352" i="4"/>
  <c r="AS353" i="4" s="1"/>
  <c r="AS355" i="4" s="1"/>
  <c r="AY137" i="4"/>
  <c r="AX133" i="4"/>
  <c r="AX135" i="4" s="1"/>
  <c r="AW142" i="4"/>
  <c r="AW137" i="4" l="1"/>
  <c r="AW361" i="4"/>
  <c r="AW362" i="4" s="1"/>
  <c r="AX329" i="4"/>
  <c r="AX336" i="4" s="1"/>
  <c r="AX337" i="4" s="1"/>
  <c r="AW337" i="4"/>
  <c r="BA329" i="4"/>
  <c r="BA336" i="4" s="1"/>
  <c r="AZ337" i="4"/>
  <c r="BE329" i="4"/>
  <c r="BD337" i="4"/>
  <c r="AT355" i="4"/>
  <c r="AG321" i="4"/>
  <c r="AG323" i="4" s="1"/>
  <c r="AH319" i="4" s="1"/>
  <c r="CR149" i="4"/>
  <c r="CR157" i="4" s="1"/>
  <c r="CR189" i="4" s="1"/>
  <c r="CR137" i="4"/>
  <c r="AV354" i="4"/>
  <c r="AV355" i="4" s="1"/>
  <c r="AW149" i="4"/>
  <c r="AW157" i="4" s="1"/>
  <c r="AW352" i="4" s="1"/>
  <c r="AW353" i="4" s="1"/>
  <c r="AW289" i="4"/>
  <c r="AW290" i="4" s="1"/>
  <c r="AZ142" i="4"/>
  <c r="BA133" i="4"/>
  <c r="BA135" i="4" s="1"/>
  <c r="AX142" i="4"/>
  <c r="CS133" i="4"/>
  <c r="CS135" i="4" s="1"/>
  <c r="BD135" i="4"/>
  <c r="AV189" i="4"/>
  <c r="AY189" i="4"/>
  <c r="AU355" i="4"/>
  <c r="AZ137" i="4" l="1"/>
  <c r="AZ361" i="4"/>
  <c r="AZ362" i="4" s="1"/>
  <c r="AX137" i="4"/>
  <c r="AX361" i="4"/>
  <c r="BA337" i="4"/>
  <c r="BB329" i="4"/>
  <c r="BB336" i="4" s="1"/>
  <c r="BI329" i="4"/>
  <c r="BI336" i="4" s="1"/>
  <c r="BE336" i="4"/>
  <c r="AW189" i="4"/>
  <c r="AH321" i="4"/>
  <c r="AH323" i="4" s="1"/>
  <c r="AI319" i="4" s="1"/>
  <c r="BD142" i="4"/>
  <c r="BD137" i="4" s="1"/>
  <c r="BE133" i="4"/>
  <c r="BA142" i="4"/>
  <c r="BB133" i="4"/>
  <c r="BB135" i="4" s="1"/>
  <c r="AW354" i="4"/>
  <c r="AW355" i="4" s="1"/>
  <c r="AX149" i="4"/>
  <c r="AX157" i="4" s="1"/>
  <c r="AX354" i="4" s="1"/>
  <c r="AX289" i="4"/>
  <c r="AX290" i="4" s="1"/>
  <c r="AY290" i="4" s="1"/>
  <c r="CR290" i="4" s="1"/>
  <c r="AZ289" i="4"/>
  <c r="AZ149" i="4"/>
  <c r="AZ157" i="4" s="1"/>
  <c r="AZ298" i="4"/>
  <c r="BA137" i="4" l="1"/>
  <c r="BA361" i="4"/>
  <c r="BA362" i="4" s="1"/>
  <c r="AY361" i="4"/>
  <c r="AX362" i="4"/>
  <c r="AY362" i="4" s="1"/>
  <c r="BF329" i="4"/>
  <c r="BF336" i="4" s="1"/>
  <c r="BE337" i="4"/>
  <c r="BI337" i="4"/>
  <c r="BJ329" i="4"/>
  <c r="BN329" i="4" s="1"/>
  <c r="BB337" i="4"/>
  <c r="BC329" i="4"/>
  <c r="BC336" i="4" s="1"/>
  <c r="BC337" i="4" s="1"/>
  <c r="AZ290" i="4"/>
  <c r="BA289" i="4"/>
  <c r="BA149" i="4"/>
  <c r="BA157" i="4" s="1"/>
  <c r="BA352" i="4" s="1"/>
  <c r="BA353" i="4" s="1"/>
  <c r="BA298" i="4"/>
  <c r="AI321" i="4"/>
  <c r="AJ321" i="4" s="1"/>
  <c r="AJ323" i="4" s="1"/>
  <c r="AX189" i="4"/>
  <c r="AY352" i="4"/>
  <c r="AY353" i="4" s="1"/>
  <c r="AY354" i="4"/>
  <c r="BI133" i="4"/>
  <c r="BE135" i="4"/>
  <c r="AZ189" i="4"/>
  <c r="AZ354" i="4"/>
  <c r="AZ352" i="4"/>
  <c r="AZ353" i="4" s="1"/>
  <c r="BB142" i="4"/>
  <c r="BC133" i="4"/>
  <c r="BC135" i="4" s="1"/>
  <c r="BC142" i="4" s="1"/>
  <c r="CS142" i="4"/>
  <c r="BD289" i="4"/>
  <c r="CS289" i="4" s="1"/>
  <c r="BD298" i="4"/>
  <c r="CS298" i="4" s="1"/>
  <c r="BD149" i="4"/>
  <c r="BD157" i="4" s="1"/>
  <c r="AX352" i="4"/>
  <c r="AX353" i="4" s="1"/>
  <c r="AX355" i="4" s="1"/>
  <c r="BA354" i="4" l="1"/>
  <c r="BA355" i="4" s="1"/>
  <c r="BC361" i="4"/>
  <c r="BC362" i="4" s="1"/>
  <c r="BD362" i="4" s="1"/>
  <c r="BB137" i="4"/>
  <c r="BB361" i="4"/>
  <c r="BB362" i="4" s="1"/>
  <c r="BJ336" i="4"/>
  <c r="BG329" i="4"/>
  <c r="BG336" i="4" s="1"/>
  <c r="BF337" i="4"/>
  <c r="AZ355" i="4"/>
  <c r="AY355" i="4"/>
  <c r="CS149" i="4"/>
  <c r="CS157" i="4" s="1"/>
  <c r="CS189" i="4" s="1"/>
  <c r="CS137" i="4"/>
  <c r="AO319" i="4"/>
  <c r="AK319" i="4"/>
  <c r="BA189" i="4"/>
  <c r="BD189" i="4"/>
  <c r="BC137" i="4"/>
  <c r="BC298" i="4"/>
  <c r="BC289" i="4"/>
  <c r="BC149" i="4"/>
  <c r="BC157" i="4" s="1"/>
  <c r="BF133" i="4"/>
  <c r="BF135" i="4" s="1"/>
  <c r="BE142" i="4"/>
  <c r="AI323" i="4"/>
  <c r="BA290" i="4"/>
  <c r="CT133" i="4"/>
  <c r="BB149" i="4"/>
  <c r="BB157" i="4" s="1"/>
  <c r="BB352" i="4" s="1"/>
  <c r="BB353" i="4" s="1"/>
  <c r="BB289" i="4"/>
  <c r="BB290" i="4" s="1"/>
  <c r="BB298" i="4"/>
  <c r="BD361" i="4" l="1"/>
  <c r="BE137" i="4"/>
  <c r="BE361" i="4"/>
  <c r="BE362" i="4" s="1"/>
  <c r="BG337" i="4"/>
  <c r="BH329" i="4"/>
  <c r="BH336" i="4" s="1"/>
  <c r="BH337" i="4" s="1"/>
  <c r="BK329" i="4"/>
  <c r="BK336" i="4" s="1"/>
  <c r="BJ337" i="4"/>
  <c r="BF142" i="4"/>
  <c r="BF361" i="4" s="1"/>
  <c r="BF362" i="4" s="1"/>
  <c r="BG133" i="4"/>
  <c r="BG135" i="4" s="1"/>
  <c r="BC189" i="4"/>
  <c r="BD352" i="4"/>
  <c r="BD353" i="4" s="1"/>
  <c r="BD354" i="4"/>
  <c r="BB189" i="4"/>
  <c r="BC354" i="4"/>
  <c r="BC352" i="4"/>
  <c r="BC353" i="4" s="1"/>
  <c r="BC290" i="4"/>
  <c r="BD290" i="4" s="1"/>
  <c r="CS290" i="4" s="1"/>
  <c r="BB354" i="4"/>
  <c r="BB355" i="4" s="1"/>
  <c r="BE289" i="4"/>
  <c r="BE149" i="4"/>
  <c r="BE157" i="4" s="1"/>
  <c r="BE298" i="4"/>
  <c r="AK321" i="4"/>
  <c r="AK323" i="4" s="1"/>
  <c r="AL319" i="4" s="1"/>
  <c r="BL329" i="4" l="1"/>
  <c r="BK337" i="4"/>
  <c r="BC355" i="4"/>
  <c r="BG142" i="4"/>
  <c r="BG361" i="4" s="1"/>
  <c r="BG362" i="4" s="1"/>
  <c r="BH133" i="4"/>
  <c r="BH135" i="4" s="1"/>
  <c r="BE189" i="4"/>
  <c r="BE352" i="4"/>
  <c r="BE353" i="4" s="1"/>
  <c r="BE354" i="4"/>
  <c r="BF289" i="4"/>
  <c r="BF298" i="4"/>
  <c r="BF149" i="4"/>
  <c r="BF157" i="4" s="1"/>
  <c r="AL321" i="4"/>
  <c r="AL323" i="4" s="1"/>
  <c r="AM319" i="4" s="1"/>
  <c r="BF290" i="4"/>
  <c r="BE290" i="4"/>
  <c r="BD355" i="4"/>
  <c r="BF137" i="4"/>
  <c r="AM321" i="4" l="1"/>
  <c r="BF352" i="4"/>
  <c r="BF353" i="4" s="1"/>
  <c r="BF189" i="4"/>
  <c r="BF354" i="4"/>
  <c r="BG289" i="4"/>
  <c r="BG290" i="4" s="1"/>
  <c r="BG298" i="4"/>
  <c r="BG149" i="4"/>
  <c r="BG157" i="4" s="1"/>
  <c r="BE355" i="4"/>
  <c r="BG137" i="4"/>
  <c r="BH142" i="4"/>
  <c r="BH137" i="4" l="1"/>
  <c r="BH361" i="4"/>
  <c r="BF355" i="4"/>
  <c r="BG189" i="4"/>
  <c r="BG354" i="4"/>
  <c r="BG352" i="4"/>
  <c r="BG353" i="4" s="1"/>
  <c r="BH149" i="4"/>
  <c r="BH157" i="4" s="1"/>
  <c r="BH298" i="4"/>
  <c r="BH289" i="4"/>
  <c r="BH290" i="4" s="1"/>
  <c r="BI290" i="4" s="1"/>
  <c r="CT290" i="4" s="1"/>
  <c r="AM323" i="4"/>
  <c r="AN319" i="4" s="1"/>
  <c r="BI361" i="4" l="1"/>
  <c r="BH362" i="4"/>
  <c r="BI362" i="4" s="1"/>
  <c r="BG355" i="4"/>
  <c r="AN321" i="4"/>
  <c r="AO321" i="4" s="1"/>
  <c r="AO323" i="4" s="1"/>
  <c r="BH189" i="4"/>
  <c r="BH352" i="4"/>
  <c r="BH353" i="4" s="1"/>
  <c r="BH354" i="4"/>
  <c r="AT319" i="4" l="1"/>
  <c r="AP319" i="4"/>
  <c r="BH355" i="4"/>
  <c r="AN323" i="4"/>
  <c r="AP321" i="4" l="1"/>
  <c r="AP323" i="4" s="1"/>
  <c r="AQ319" i="4" s="1"/>
  <c r="AQ321" i="4" l="1"/>
  <c r="AQ323" i="4" s="1"/>
  <c r="AR319" i="4" s="1"/>
  <c r="AR321" i="4" l="1"/>
  <c r="AR323" i="4" s="1"/>
  <c r="AS319" i="4" s="1"/>
  <c r="AS321" i="4" l="1"/>
  <c r="AT321" i="4" s="1"/>
  <c r="AT323" i="4" s="1"/>
  <c r="AS323" i="4" l="1"/>
  <c r="AU319" i="4"/>
  <c r="AY319" i="4"/>
  <c r="AU321" i="4" l="1"/>
  <c r="AU323" i="4" s="1"/>
  <c r="AV319" i="4" s="1"/>
  <c r="AV321" i="4" l="1"/>
  <c r="AV323" i="4" s="1"/>
  <c r="AW319" i="4" s="1"/>
  <c r="AW321" i="4" l="1"/>
  <c r="AW323" i="4" l="1"/>
  <c r="AX319" i="4" s="1"/>
  <c r="AX321" i="4" l="1"/>
  <c r="AY321" i="4" s="1"/>
  <c r="AY323" i="4" s="1"/>
  <c r="AZ319" i="4" l="1"/>
  <c r="BD319" i="4"/>
  <c r="AX323" i="4"/>
  <c r="AZ321" i="4" l="1"/>
  <c r="AZ323" i="4" s="1"/>
  <c r="BA319" i="4" s="1"/>
  <c r="BA321" i="4" l="1"/>
  <c r="BA323" i="4" s="1"/>
  <c r="BB319" i="4" s="1"/>
  <c r="BB321" i="4" l="1"/>
  <c r="BB323" i="4" s="1"/>
  <c r="BC319" i="4" s="1"/>
  <c r="BC321" i="4" l="1"/>
  <c r="BD321" i="4" s="1"/>
  <c r="BD323" i="4" s="1"/>
  <c r="BE319" i="4" l="1"/>
  <c r="BE321" i="4" s="1"/>
  <c r="BI319" i="4"/>
  <c r="BC323" i="4"/>
  <c r="BE323" i="4" l="1"/>
  <c r="BF319" i="4" s="1"/>
  <c r="BF321" i="4" s="1"/>
  <c r="BF323" i="4" s="1"/>
  <c r="BG319" i="4" s="1"/>
  <c r="BG321" i="4" l="1"/>
  <c r="BG323" i="4" l="1"/>
  <c r="BH319" i="4" s="1"/>
  <c r="BH321" i="4" l="1"/>
  <c r="BI321" i="4" s="1"/>
  <c r="BI323" i="4" s="1"/>
  <c r="BN319" i="4" s="1"/>
  <c r="BJ319" i="4" l="1"/>
  <c r="BJ321" i="4" s="1"/>
  <c r="BJ323" i="4" s="1"/>
  <c r="BK319" i="4" s="1"/>
  <c r="BH323" i="4"/>
  <c r="BK321" i="4" l="1"/>
  <c r="BK323" i="4" s="1"/>
  <c r="BL319" i="4" s="1"/>
  <c r="BL400" i="5" l="1"/>
  <c r="BM406" i="5"/>
  <c r="BL414" i="5"/>
  <c r="BL415" i="5"/>
  <c r="BL421" i="5" l="1"/>
  <c r="BL426" i="5" s="1"/>
  <c r="BM400" i="5"/>
  <c r="BN400" i="5" s="1"/>
  <c r="CW400" i="5" s="1"/>
  <c r="BL307" i="5" l="1"/>
  <c r="BL312" i="5" s="1"/>
  <c r="BL313" i="5" s="1"/>
  <c r="BL437" i="5"/>
  <c r="BL440" i="5" s="1"/>
  <c r="BL314" i="5" l="1"/>
  <c r="BL322" i="5"/>
  <c r="BL441" i="5"/>
  <c r="BL442" i="5"/>
  <c r="BL443" i="5"/>
  <c r="BM321" i="5" l="1"/>
  <c r="BM203" i="4" l="1"/>
  <c r="BM210" i="4" s="1"/>
  <c r="BM20" i="5"/>
  <c r="BM30" i="5"/>
  <c r="BM318" i="5"/>
  <c r="BN14" i="5"/>
  <c r="BM15" i="5"/>
  <c r="I76" i="8"/>
  <c r="BM368" i="5" l="1"/>
  <c r="BN333" i="5"/>
  <c r="CW333" i="5" s="1"/>
  <c r="BN337" i="5"/>
  <c r="CW337" i="5" s="1"/>
  <c r="BR27" i="5"/>
  <c r="BM173" i="5"/>
  <c r="BM246" i="5"/>
  <c r="BM221" i="4"/>
  <c r="BR221" i="4" s="1"/>
  <c r="BW221" i="4" s="1"/>
  <c r="BM14" i="4"/>
  <c r="BM206" i="4"/>
  <c r="BN20" i="5"/>
  <c r="BM211" i="4"/>
  <c r="BN203" i="4"/>
  <c r="BN210" i="4" s="1"/>
  <c r="BN211" i="4" s="1"/>
  <c r="CW14" i="5"/>
  <c r="BN30" i="5"/>
  <c r="BN318" i="5"/>
  <c r="CW318" i="5" s="1"/>
  <c r="BN329" i="5"/>
  <c r="CW329" i="5" s="1"/>
  <c r="BN15" i="5"/>
  <c r="CW15" i="5" s="1"/>
  <c r="BM31" i="5"/>
  <c r="BM38" i="5" s="1"/>
  <c r="BM214" i="5"/>
  <c r="BM449" i="5"/>
  <c r="BM450" i="5" s="1"/>
  <c r="BM37" i="5"/>
  <c r="I7" i="8"/>
  <c r="BN368" i="5" l="1"/>
  <c r="BR170" i="5"/>
  <c r="BR159" i="5" s="1"/>
  <c r="BR243" i="5"/>
  <c r="BR211" i="5" s="1"/>
  <c r="BS211" i="5" s="1"/>
  <c r="BR448" i="5"/>
  <c r="BS448" i="5" s="1"/>
  <c r="BN173" i="5"/>
  <c r="BN246" i="5"/>
  <c r="BM15" i="4"/>
  <c r="BM242" i="4"/>
  <c r="BM240" i="4"/>
  <c r="BR240" i="4" s="1"/>
  <c r="BW240" i="4" s="1"/>
  <c r="BM238" i="4"/>
  <c r="BR238" i="4" s="1"/>
  <c r="BW238" i="4" s="1"/>
  <c r="BM236" i="4"/>
  <c r="BR236" i="4" s="1"/>
  <c r="BW236" i="4" s="1"/>
  <c r="BM228" i="4"/>
  <c r="BR228" i="4" s="1"/>
  <c r="BW228" i="4" s="1"/>
  <c r="BM243" i="4"/>
  <c r="BR243" i="4" s="1"/>
  <c r="BW243" i="4" s="1"/>
  <c r="BM241" i="4"/>
  <c r="BR241" i="4" s="1"/>
  <c r="BW241" i="4" s="1"/>
  <c r="BM239" i="4"/>
  <c r="BR239" i="4" s="1"/>
  <c r="BW239" i="4" s="1"/>
  <c r="BM237" i="4"/>
  <c r="BR237" i="4" s="1"/>
  <c r="BW237" i="4" s="1"/>
  <c r="BM253" i="4"/>
  <c r="BN449" i="5"/>
  <c r="BM451" i="5"/>
  <c r="BN14" i="4"/>
  <c r="BN163" i="4"/>
  <c r="BN162" i="4"/>
  <c r="BN37" i="5"/>
  <c r="BN31" i="5"/>
  <c r="BN214" i="5"/>
  <c r="CW30" i="5"/>
  <c r="BN206" i="4"/>
  <c r="CW20" i="5"/>
  <c r="BM21" i="4"/>
  <c r="BN220" i="4"/>
  <c r="I8" i="8"/>
  <c r="I10" i="8"/>
  <c r="BR250" i="5" l="1"/>
  <c r="BS243" i="5"/>
  <c r="BS170" i="5"/>
  <c r="BN241" i="4"/>
  <c r="BN240" i="4"/>
  <c r="BN144" i="4"/>
  <c r="BN236" i="4" s="1"/>
  <c r="CW368" i="5"/>
  <c r="CW37" i="5"/>
  <c r="CW246" i="5"/>
  <c r="CW173" i="5"/>
  <c r="BN227" i="4"/>
  <c r="BN228" i="4" s="1"/>
  <c r="CU162" i="4"/>
  <c r="CU14" i="4"/>
  <c r="BN15" i="4"/>
  <c r="BN101" i="4"/>
  <c r="CU101" i="4" s="1"/>
  <c r="BN166" i="4"/>
  <c r="BN243" i="4" s="1"/>
  <c r="BN221" i="4"/>
  <c r="BN147" i="4"/>
  <c r="BN239" i="4" s="1"/>
  <c r="BN90" i="4"/>
  <c r="CU90" i="4" s="1"/>
  <c r="BN146" i="4"/>
  <c r="BN238" i="4" s="1"/>
  <c r="CU163" i="4"/>
  <c r="BN450" i="5"/>
  <c r="BN165" i="4"/>
  <c r="BN242" i="4" s="1"/>
  <c r="BN103" i="4"/>
  <c r="CU103" i="4" s="1"/>
  <c r="BM22" i="4"/>
  <c r="BN21" i="4"/>
  <c r="CW31" i="5"/>
  <c r="BN38" i="5"/>
  <c r="CW38" i="5" s="1"/>
  <c r="BN100" i="4"/>
  <c r="CU100" i="4" s="1"/>
  <c r="BM169" i="4"/>
  <c r="BM175" i="4" s="1"/>
  <c r="BN161" i="4"/>
  <c r="BN237" i="4" s="1"/>
  <c r="BN252" i="4"/>
  <c r="BN342" i="4" s="1"/>
  <c r="BR158" i="5" l="1"/>
  <c r="BR160" i="5"/>
  <c r="BR157" i="5"/>
  <c r="BR249" i="5"/>
  <c r="BR251" i="5"/>
  <c r="BR248" i="5"/>
  <c r="BR245" i="5" s="1"/>
  <c r="BW250" i="5" s="1"/>
  <c r="BN110" i="4"/>
  <c r="BM115" i="4"/>
  <c r="BN253" i="4"/>
  <c r="CU147" i="4"/>
  <c r="BN97" i="4"/>
  <c r="CU144" i="4"/>
  <c r="CU161" i="4"/>
  <c r="BN169" i="4"/>
  <c r="BN175" i="4" s="1"/>
  <c r="CU146" i="4"/>
  <c r="CU166" i="4"/>
  <c r="CU15" i="4"/>
  <c r="J6" i="6" s="1"/>
  <c r="CU165" i="4"/>
  <c r="BN22" i="4"/>
  <c r="CU21" i="4"/>
  <c r="BN91" i="4"/>
  <c r="CU91" i="4" s="1"/>
  <c r="BW249" i="5" l="1"/>
  <c r="BW251" i="5"/>
  <c r="BR156" i="5"/>
  <c r="BR247" i="5"/>
  <c r="BR253" i="5" s="1"/>
  <c r="BR18" i="5"/>
  <c r="BR213" i="5"/>
  <c r="BS245" i="5"/>
  <c r="CU169" i="4"/>
  <c r="CU175" i="4" s="1"/>
  <c r="CU97" i="4"/>
  <c r="BN115" i="4"/>
  <c r="CU110" i="4"/>
  <c r="BN179" i="4"/>
  <c r="BO331" i="4" s="1"/>
  <c r="CU22" i="4"/>
  <c r="BW248" i="5" l="1"/>
  <c r="BW245" i="5" s="1"/>
  <c r="BW18" i="5" s="1"/>
  <c r="BW204" i="4" s="1"/>
  <c r="BW156" i="5"/>
  <c r="BT166" i="5"/>
  <c r="BS248" i="5"/>
  <c r="CX248" i="5" s="1"/>
  <c r="CX245" i="5"/>
  <c r="BS213" i="5"/>
  <c r="BS156" i="5"/>
  <c r="BR172" i="5"/>
  <c r="BR19" i="5"/>
  <c r="BS18" i="5"/>
  <c r="BR16" i="5"/>
  <c r="BR204" i="4"/>
  <c r="BR215" i="5"/>
  <c r="BR207" i="5"/>
  <c r="BR216" i="5"/>
  <c r="BR203" i="5"/>
  <c r="J16" i="6"/>
  <c r="CU115" i="4"/>
  <c r="CU179" i="4"/>
  <c r="BW19" i="5" l="1"/>
  <c r="BW213" i="5"/>
  <c r="BW207" i="5" s="1"/>
  <c r="BW208" i="5" s="1"/>
  <c r="BW16" i="5"/>
  <c r="BW202" i="4" s="1"/>
  <c r="BW247" i="5"/>
  <c r="BW253" i="5" s="1"/>
  <c r="BU166" i="5"/>
  <c r="BT167" i="5"/>
  <c r="BT172" i="5"/>
  <c r="BT12" i="5" s="1"/>
  <c r="BX156" i="5"/>
  <c r="BW215" i="5"/>
  <c r="BS207" i="5"/>
  <c r="BR208" i="5"/>
  <c r="BS204" i="4"/>
  <c r="CX18" i="5"/>
  <c r="BS19" i="5"/>
  <c r="CX19" i="5" s="1"/>
  <c r="BR175" i="5"/>
  <c r="BR12" i="5"/>
  <c r="BR174" i="5"/>
  <c r="BS203" i="5"/>
  <c r="BR204" i="5"/>
  <c r="CX156" i="5"/>
  <c r="BS172" i="5"/>
  <c r="BS157" i="5"/>
  <c r="CY250" i="5"/>
  <c r="CY249" i="5"/>
  <c r="CY251" i="5"/>
  <c r="BR202" i="4"/>
  <c r="BR17" i="5"/>
  <c r="BS16" i="5"/>
  <c r="BS215" i="5"/>
  <c r="BS216" i="5"/>
  <c r="J19" i="6"/>
  <c r="BW216" i="5" l="1"/>
  <c r="BW203" i="5"/>
  <c r="BW204" i="5" s="1"/>
  <c r="BW17" i="5"/>
  <c r="BT201" i="4"/>
  <c r="BT13" i="5"/>
  <c r="BT161" i="5"/>
  <c r="BT168" i="5"/>
  <c r="BX157" i="5"/>
  <c r="BV166" i="5"/>
  <c r="BU167" i="5"/>
  <c r="BU172" i="5"/>
  <c r="BU12" i="5" s="1"/>
  <c r="BU168" i="5" s="1"/>
  <c r="BT174" i="5"/>
  <c r="CY156" i="5"/>
  <c r="BY156" i="5"/>
  <c r="CX16" i="5"/>
  <c r="BS17" i="5"/>
  <c r="CX17" i="5" s="1"/>
  <c r="BS202" i="4"/>
  <c r="CX157" i="5"/>
  <c r="BS12" i="5"/>
  <c r="BR13" i="5"/>
  <c r="BR168" i="5"/>
  <c r="BR201" i="4"/>
  <c r="BR161" i="5"/>
  <c r="BS209" i="5"/>
  <c r="BS208" i="5"/>
  <c r="BS175" i="5"/>
  <c r="CX172" i="5"/>
  <c r="BS174" i="5"/>
  <c r="BS204" i="5"/>
  <c r="BS205" i="5"/>
  <c r="BL34" i="4"/>
  <c r="BU201" i="4" l="1"/>
  <c r="BU80" i="5"/>
  <c r="BU86" i="5" s="1"/>
  <c r="BU13" i="5"/>
  <c r="BU161" i="5"/>
  <c r="BU174" i="5"/>
  <c r="BU175" i="5"/>
  <c r="BV167" i="5"/>
  <c r="BW166" i="5"/>
  <c r="BV172" i="5"/>
  <c r="BV12" i="5" s="1"/>
  <c r="CY157" i="5"/>
  <c r="CX12" i="5"/>
  <c r="BS13" i="5"/>
  <c r="CX13" i="5" s="1"/>
  <c r="BS201" i="4"/>
  <c r="BS168" i="5"/>
  <c r="CX168" i="5" s="1"/>
  <c r="BS161" i="5"/>
  <c r="CX161" i="5" s="1"/>
  <c r="CZ156" i="5"/>
  <c r="BZ156" i="5"/>
  <c r="BL233" i="4"/>
  <c r="BL232" i="4" s="1"/>
  <c r="BL224" i="4"/>
  <c r="BL225" i="4" s="1"/>
  <c r="BL23" i="4"/>
  <c r="BL37" i="4"/>
  <c r="BV80" i="5" l="1"/>
  <c r="BV86" i="5" s="1"/>
  <c r="BV201" i="4"/>
  <c r="BV13" i="5"/>
  <c r="BV161" i="5"/>
  <c r="BU87" i="5"/>
  <c r="BV168" i="5"/>
  <c r="BV175" i="5"/>
  <c r="BV174" i="5"/>
  <c r="BW167" i="5"/>
  <c r="BW172" i="5"/>
  <c r="BW12" i="5" s="1"/>
  <c r="BX166" i="5"/>
  <c r="CA156" i="5"/>
  <c r="CB156" i="5" s="1"/>
  <c r="DA156" i="5"/>
  <c r="BL226" i="4"/>
  <c r="BQ37" i="4"/>
  <c r="BL28" i="4"/>
  <c r="BL24" i="4"/>
  <c r="BW201" i="4" l="1"/>
  <c r="BW13" i="5"/>
  <c r="BW161" i="5"/>
  <c r="BX12" i="5"/>
  <c r="BW168" i="5"/>
  <c r="BV87" i="5"/>
  <c r="BX167" i="5"/>
  <c r="BX172" i="5"/>
  <c r="CY166" i="5"/>
  <c r="BY166" i="5"/>
  <c r="BW174" i="5"/>
  <c r="BW175" i="5"/>
  <c r="DB156" i="5"/>
  <c r="BL39" i="4"/>
  <c r="BL320" i="4"/>
  <c r="BL321" i="4"/>
  <c r="BX201" i="4" l="1"/>
  <c r="BX13" i="5"/>
  <c r="CY167" i="5"/>
  <c r="BX175" i="5"/>
  <c r="BX174" i="5"/>
  <c r="CY172" i="5"/>
  <c r="BY172" i="5"/>
  <c r="CZ166" i="5"/>
  <c r="BZ166" i="5"/>
  <c r="BY167" i="5"/>
  <c r="BL323" i="4"/>
  <c r="BM319" i="4" s="1"/>
  <c r="BL40" i="4"/>
  <c r="BL45" i="4"/>
  <c r="BL30" i="4"/>
  <c r="CZ167" i="5" l="1"/>
  <c r="BZ172" i="5"/>
  <c r="CA166" i="5"/>
  <c r="BZ167" i="5"/>
  <c r="DA167" i="5" s="1"/>
  <c r="DA166" i="5"/>
  <c r="BX168" i="5"/>
  <c r="CY168" i="5" s="1"/>
  <c r="BX161" i="5"/>
  <c r="CY161" i="5" s="1"/>
  <c r="CY13" i="5"/>
  <c r="CY12" i="5"/>
  <c r="BY174" i="5"/>
  <c r="BY12" i="5"/>
  <c r="CZ172" i="5"/>
  <c r="BL31" i="4"/>
  <c r="BL341" i="4"/>
  <c r="BL32" i="4"/>
  <c r="BZ12" i="5" l="1"/>
  <c r="DA172" i="5"/>
  <c r="BZ174" i="5"/>
  <c r="CZ12" i="5"/>
  <c r="BY13" i="5"/>
  <c r="CZ13" i="5" s="1"/>
  <c r="BY161" i="5"/>
  <c r="CZ161" i="5" s="1"/>
  <c r="BY201" i="4"/>
  <c r="BY168" i="5"/>
  <c r="CZ168" i="5" s="1"/>
  <c r="CA167" i="5"/>
  <c r="DB167" i="5" s="1"/>
  <c r="DB166" i="5"/>
  <c r="CA172" i="5"/>
  <c r="BL48" i="4"/>
  <c r="BL249" i="4"/>
  <c r="CA12" i="5" l="1"/>
  <c r="CB12" i="5" s="1"/>
  <c r="U69" i="6" s="1"/>
  <c r="DB172" i="5"/>
  <c r="CA174" i="5"/>
  <c r="BZ201" i="4"/>
  <c r="BZ161" i="5"/>
  <c r="DA161" i="5" s="1"/>
  <c r="BZ13" i="5"/>
  <c r="DA13" i="5" s="1"/>
  <c r="DA12" i="5"/>
  <c r="BZ168" i="5"/>
  <c r="DA168" i="5" s="1"/>
  <c r="BL49" i="4"/>
  <c r="BL360" i="4"/>
  <c r="BL51" i="4"/>
  <c r="BL345" i="4"/>
  <c r="CA201" i="4" l="1"/>
  <c r="CA161" i="5"/>
  <c r="DB161" i="5" s="1"/>
  <c r="CA13" i="5"/>
  <c r="DB13" i="5" s="1"/>
  <c r="DB12" i="5"/>
  <c r="CA168" i="5"/>
  <c r="DB168" i="5" s="1"/>
  <c r="BL63" i="4"/>
  <c r="BL72" i="4" s="1"/>
  <c r="BL56" i="4"/>
  <c r="BL347" i="4"/>
  <c r="BL76" i="4" l="1"/>
  <c r="BL79" i="4" s="1"/>
  <c r="BL64" i="4"/>
  <c r="BL84" i="4"/>
  <c r="BL351" i="4"/>
  <c r="BL60" i="4"/>
  <c r="BL348" i="4"/>
  <c r="BL73" i="4" l="1"/>
  <c r="BL332" i="4"/>
  <c r="BL71" i="4"/>
  <c r="BL106" i="4"/>
  <c r="BL80" i="4"/>
  <c r="BL304" i="4" l="1"/>
  <c r="BL132" i="4"/>
  <c r="BL334" i="4"/>
  <c r="BL336" i="4" s="1"/>
  <c r="BM329" i="4" s="1"/>
  <c r="BL337" i="4" l="1"/>
  <c r="BS273" i="4" l="1"/>
  <c r="BS277" i="4" s="1"/>
  <c r="BN154" i="4"/>
  <c r="BT273" i="4" l="1"/>
  <c r="BT277" i="4" s="1"/>
  <c r="BX273" i="4"/>
  <c r="BX277" i="4" s="1"/>
  <c r="BX154" i="4" s="1"/>
  <c r="CU154" i="4"/>
  <c r="BS154" i="4"/>
  <c r="BP273" i="4"/>
  <c r="BP277" i="4" s="1"/>
  <c r="BU273" i="4" l="1"/>
  <c r="BU277" i="4" s="1"/>
  <c r="BT154" i="4"/>
  <c r="BY273" i="4"/>
  <c r="BY277" i="4" s="1"/>
  <c r="CV154" i="4"/>
  <c r="BP154" i="4"/>
  <c r="BQ273" i="4"/>
  <c r="BQ277" i="4" s="1"/>
  <c r="BV273" i="4" l="1"/>
  <c r="BV277" i="4" s="1"/>
  <c r="BU154" i="4"/>
  <c r="BQ154" i="4"/>
  <c r="BR273" i="4"/>
  <c r="BR277" i="4" s="1"/>
  <c r="BR154" i="4" s="1"/>
  <c r="BY154" i="4"/>
  <c r="BZ273" i="4"/>
  <c r="BZ277" i="4" s="1"/>
  <c r="CW154" i="4"/>
  <c r="BW273" i="4" l="1"/>
  <c r="BW277" i="4" s="1"/>
  <c r="BW154" i="4" s="1"/>
  <c r="BV154" i="4"/>
  <c r="BZ154" i="4"/>
  <c r="CY154" i="4" s="1"/>
  <c r="CA273" i="4"/>
  <c r="CA277" i="4" s="1"/>
  <c r="CA154" i="4" s="1"/>
  <c r="CZ154" i="4" s="1"/>
  <c r="CX154" i="4"/>
  <c r="BS280" i="4" l="1"/>
  <c r="BS284" i="4" s="1"/>
  <c r="BN153" i="4"/>
  <c r="BT280" i="4" l="1"/>
  <c r="BT284" i="4" s="1"/>
  <c r="BX280" i="4"/>
  <c r="BX284" i="4" s="1"/>
  <c r="BX153" i="4" s="1"/>
  <c r="CU153" i="4"/>
  <c r="BS153" i="4"/>
  <c r="BP280" i="4"/>
  <c r="BP284" i="4" s="1"/>
  <c r="BT153" i="4" l="1"/>
  <c r="BU280" i="4"/>
  <c r="BU284" i="4" s="1"/>
  <c r="BY280" i="4"/>
  <c r="BY284" i="4" s="1"/>
  <c r="CV153" i="4"/>
  <c r="BP153" i="4"/>
  <c r="BQ280" i="4"/>
  <c r="BQ284" i="4" s="1"/>
  <c r="BV280" i="4" l="1"/>
  <c r="BV284" i="4" s="1"/>
  <c r="BU153" i="4"/>
  <c r="BQ153" i="4"/>
  <c r="BR280" i="4"/>
  <c r="BR284" i="4" s="1"/>
  <c r="BR153" i="4" s="1"/>
  <c r="BY153" i="4"/>
  <c r="BZ280" i="4"/>
  <c r="BZ284" i="4" s="1"/>
  <c r="CW153" i="4"/>
  <c r="BW280" i="4" l="1"/>
  <c r="BW284" i="4" s="1"/>
  <c r="BW153" i="4" s="1"/>
  <c r="BV153" i="4"/>
  <c r="BZ153" i="4"/>
  <c r="CY153" i="4" s="1"/>
  <c r="CA280" i="4"/>
  <c r="CA284" i="4" s="1"/>
  <c r="CA153" i="4" s="1"/>
  <c r="CZ153" i="4" s="1"/>
  <c r="CX153" i="4"/>
  <c r="CT119" i="4"/>
  <c r="CT126" i="4" s="1"/>
  <c r="CT132" i="4" s="1"/>
  <c r="CT135" i="4" s="1"/>
  <c r="BI126" i="4"/>
  <c r="BI132" i="4" s="1"/>
  <c r="BI135" i="4" s="1"/>
  <c r="BI303" i="4"/>
  <c r="BI304" i="4"/>
  <c r="BJ133" i="4" l="1"/>
  <c r="BJ135" i="4" s="1"/>
  <c r="BI142" i="4"/>
  <c r="CT142" i="4" s="1"/>
  <c r="BN133" i="4" l="1"/>
  <c r="CU133" i="4" s="1"/>
  <c r="BI137" i="4"/>
  <c r="BI298" i="4"/>
  <c r="CT298" i="4" s="1"/>
  <c r="BI289" i="4"/>
  <c r="CT289" i="4" s="1"/>
  <c r="BI149" i="4"/>
  <c r="BI157" i="4" s="1"/>
  <c r="J28" i="6"/>
  <c r="CT149" i="4"/>
  <c r="CT157" i="4" s="1"/>
  <c r="CT189" i="4" s="1"/>
  <c r="BK133" i="4"/>
  <c r="BK135" i="4" s="1"/>
  <c r="BJ142" i="4"/>
  <c r="BJ361" i="4" s="1"/>
  <c r="BJ362" i="4" s="1"/>
  <c r="CT137" i="4"/>
  <c r="BI352" i="4" l="1"/>
  <c r="BI353" i="4" s="1"/>
  <c r="BI189" i="4"/>
  <c r="BI354" i="4"/>
  <c r="BJ298" i="4"/>
  <c r="BJ149" i="4"/>
  <c r="BJ157" i="4" s="1"/>
  <c r="BJ289" i="4"/>
  <c r="BJ137" i="4"/>
  <c r="BL133" i="4"/>
  <c r="BL135" i="4" s="1"/>
  <c r="BK142" i="4"/>
  <c r="BK137" i="4" l="1"/>
  <c r="BK361" i="4"/>
  <c r="BK362" i="4" s="1"/>
  <c r="BI355" i="4"/>
  <c r="BJ290" i="4"/>
  <c r="BJ189" i="4"/>
  <c r="BJ352" i="4"/>
  <c r="BJ353" i="4" s="1"/>
  <c r="BJ354" i="4"/>
  <c r="BK298" i="4"/>
  <c r="BK149" i="4"/>
  <c r="BK157" i="4" s="1"/>
  <c r="BK354" i="4" s="1"/>
  <c r="BK289" i="4"/>
  <c r="BL142" i="4"/>
  <c r="BL361" i="4" s="1"/>
  <c r="BL362" i="4" s="1"/>
  <c r="BM133" i="4"/>
  <c r="BL149" i="4" l="1"/>
  <c r="BL157" i="4" s="1"/>
  <c r="BL289" i="4"/>
  <c r="BL290" i="4" s="1"/>
  <c r="BJ355" i="4"/>
  <c r="BL298" i="4"/>
  <c r="BL137" i="4"/>
  <c r="BK189" i="4"/>
  <c r="BK352" i="4"/>
  <c r="BK353" i="4" s="1"/>
  <c r="BK355" i="4" s="1"/>
  <c r="BK290" i="4"/>
  <c r="BL239" i="4" l="1"/>
  <c r="BQ239" i="4" s="1"/>
  <c r="BV239" i="4" s="1"/>
  <c r="BL354" i="4"/>
  <c r="BL352" i="4"/>
  <c r="BL353" i="4" s="1"/>
  <c r="BL189" i="4"/>
  <c r="BK311" i="4"/>
  <c r="BK313" i="4" s="1"/>
  <c r="BP313" i="4" s="1"/>
  <c r="BU313" i="4" s="1"/>
  <c r="BN67" i="4" l="1"/>
  <c r="CU67" i="4" s="1"/>
  <c r="BN99" i="4"/>
  <c r="BN344" i="4" s="1"/>
  <c r="BL355" i="4"/>
  <c r="BN312" i="4"/>
  <c r="BO311" i="4" s="1"/>
  <c r="CU99" i="4" l="1"/>
  <c r="BN68" i="4"/>
  <c r="BM70" i="4"/>
  <c r="BN66" i="4"/>
  <c r="BN311" i="4"/>
  <c r="I56" i="8"/>
  <c r="CU66" i="4" l="1"/>
  <c r="J15" i="6"/>
  <c r="CU68" i="4"/>
  <c r="BN70" i="4"/>
  <c r="BN119" i="4"/>
  <c r="BN302" i="4" s="1"/>
  <c r="BN303" i="4" s="1"/>
  <c r="BM69" i="4"/>
  <c r="BM126" i="4"/>
  <c r="I55" i="8"/>
  <c r="BN69" i="4" l="1"/>
  <c r="CU69" i="4" s="1"/>
  <c r="J17" i="6"/>
  <c r="J21" i="6"/>
  <c r="CU119" i="4"/>
  <c r="CU126" i="4" s="1"/>
  <c r="BN126" i="4"/>
  <c r="CU70" i="4"/>
  <c r="K31" i="6" s="1"/>
  <c r="J31" i="6" s="1"/>
  <c r="BE309" i="4" l="1"/>
  <c r="BF309" i="4"/>
  <c r="BE313" i="4"/>
  <c r="BF313" i="4"/>
  <c r="BE315" i="4"/>
  <c r="BF315" i="4"/>
  <c r="BI313" i="4" l="1"/>
  <c r="BL313" i="4" l="1"/>
  <c r="BN313" i="4" l="1"/>
  <c r="BQ313" i="4"/>
  <c r="BV313" i="4" s="1"/>
  <c r="BN89" i="5"/>
  <c r="BN95" i="5" s="1"/>
  <c r="BR91" i="5"/>
  <c r="BM95" i="5"/>
  <c r="BM145" i="5"/>
  <c r="BN145" i="5" s="1"/>
  <c r="CW145" i="5" s="1"/>
  <c r="I91" i="8"/>
  <c r="I92" i="8" l="1"/>
  <c r="BM96" i="5"/>
  <c r="BM125" i="5"/>
  <c r="BM131" i="5" s="1"/>
  <c r="BR93" i="5"/>
  <c r="R49" i="6"/>
  <c r="R51" i="6" s="1"/>
  <c r="S54" i="6" s="1"/>
  <c r="BN125" i="5"/>
  <c r="BN96" i="5"/>
  <c r="CW96" i="5" s="1"/>
  <c r="CW95" i="5"/>
  <c r="BR90" i="5"/>
  <c r="BN90" i="5"/>
  <c r="BM50" i="5"/>
  <c r="CW89" i="5"/>
  <c r="BZ92" i="5" l="1"/>
  <c r="BZ91" i="5" s="1"/>
  <c r="BM137" i="5"/>
  <c r="BM126" i="5"/>
  <c r="CW125" i="5"/>
  <c r="BN137" i="5"/>
  <c r="BN131" i="5"/>
  <c r="CW131" i="5" s="1"/>
  <c r="BN126" i="5"/>
  <c r="CW126" i="5" s="1"/>
  <c r="CW90" i="5"/>
  <c r="BM51" i="5"/>
  <c r="BM52" i="5"/>
  <c r="BM69" i="5"/>
  <c r="BN50" i="5"/>
  <c r="I96" i="8"/>
  <c r="CA92" i="5" l="1"/>
  <c r="CA91" i="5" s="1"/>
  <c r="I97" i="8"/>
  <c r="BR133" i="5"/>
  <c r="BY90" i="5"/>
  <c r="CZ90" i="5" s="1"/>
  <c r="BM75" i="5"/>
  <c r="BY93" i="5"/>
  <c r="BM138" i="5"/>
  <c r="BM142" i="5"/>
  <c r="BM143" i="5" s="1"/>
  <c r="BZ93" i="5"/>
  <c r="BZ90" i="5"/>
  <c r="CW137" i="5"/>
  <c r="BN142" i="5"/>
  <c r="BN138" i="5"/>
  <c r="CW138" i="5" s="1"/>
  <c r="CW50" i="5"/>
  <c r="BN51" i="5"/>
  <c r="CW51" i="5" s="1"/>
  <c r="BN52" i="5"/>
  <c r="CW52" i="5" s="1"/>
  <c r="BN69" i="5"/>
  <c r="BR83" i="5" l="1"/>
  <c r="BW83" i="5" s="1"/>
  <c r="BR119" i="5"/>
  <c r="BW119" i="5" s="1"/>
  <c r="BS133" i="5"/>
  <c r="BR110" i="5"/>
  <c r="BR111" i="5" s="1"/>
  <c r="CA93" i="5"/>
  <c r="CA90" i="5"/>
  <c r="DB90" i="5" s="1"/>
  <c r="BR82" i="5"/>
  <c r="BR84" i="5"/>
  <c r="BR81" i="5"/>
  <c r="BM230" i="4"/>
  <c r="BM222" i="4" s="1"/>
  <c r="DA90" i="5"/>
  <c r="BN230" i="4"/>
  <c r="BN143" i="5"/>
  <c r="CW143" i="5" s="1"/>
  <c r="CW142" i="5"/>
  <c r="CW69" i="5"/>
  <c r="BN75" i="5"/>
  <c r="BW110" i="5" l="1"/>
  <c r="BW111" i="5" s="1"/>
  <c r="BW82" i="5"/>
  <c r="BW84" i="5"/>
  <c r="BW81" i="5"/>
  <c r="BW80" i="5" s="1"/>
  <c r="BW86" i="5" s="1"/>
  <c r="BW87" i="5" s="1"/>
  <c r="BR109" i="5"/>
  <c r="BR108" i="5" s="1"/>
  <c r="BW118" i="5"/>
  <c r="BW120" i="5"/>
  <c r="BR120" i="5"/>
  <c r="BR118" i="5"/>
  <c r="BR117" i="5" s="1"/>
  <c r="BR116" i="5" s="1"/>
  <c r="BR122" i="5" s="1"/>
  <c r="BR123" i="5" s="1"/>
  <c r="BR80" i="5"/>
  <c r="BR42" i="5" s="1"/>
  <c r="BM231" i="4"/>
  <c r="BN231" i="4"/>
  <c r="BN222" i="4"/>
  <c r="CW75" i="5"/>
  <c r="BW109" i="5" l="1"/>
  <c r="BW108" i="5" s="1"/>
  <c r="BW107" i="5" s="1"/>
  <c r="BW113" i="5" s="1"/>
  <c r="BW114" i="5" s="1"/>
  <c r="BW117" i="5"/>
  <c r="BW116" i="5" s="1"/>
  <c r="BW122" i="5" s="1"/>
  <c r="BW123" i="5" s="1"/>
  <c r="BR54" i="5"/>
  <c r="BR55" i="5" s="1"/>
  <c r="BS116" i="5"/>
  <c r="BS117" i="5" s="1"/>
  <c r="BR107" i="5"/>
  <c r="BR98" i="5" s="1"/>
  <c r="BR86" i="5"/>
  <c r="BR87" i="5" s="1"/>
  <c r="BS80" i="5"/>
  <c r="BS81" i="5" s="1"/>
  <c r="BR43" i="5"/>
  <c r="BR44" i="5"/>
  <c r="BS42" i="5"/>
  <c r="BN46" i="4"/>
  <c r="BM48" i="4"/>
  <c r="I37" i="8"/>
  <c r="BW98" i="5" l="1"/>
  <c r="BW99" i="5" s="1"/>
  <c r="BM345" i="4"/>
  <c r="BS54" i="5"/>
  <c r="BS55" i="5" s="1"/>
  <c r="CX55" i="5" s="1"/>
  <c r="BR56" i="5"/>
  <c r="BS107" i="5"/>
  <c r="BS113" i="5" s="1"/>
  <c r="BS114" i="5" s="1"/>
  <c r="BS122" i="5"/>
  <c r="BS123" i="5" s="1"/>
  <c r="CX116" i="5"/>
  <c r="BR113" i="5"/>
  <c r="BR114" i="5" s="1"/>
  <c r="BS98" i="5"/>
  <c r="BS99" i="5" s="1"/>
  <c r="CX99" i="5" s="1"/>
  <c r="BR104" i="5"/>
  <c r="BR105" i="5" s="1"/>
  <c r="BR99" i="5"/>
  <c r="BR46" i="5"/>
  <c r="BS86" i="5"/>
  <c r="CX86" i="5" s="1"/>
  <c r="CX80" i="5"/>
  <c r="CX81" i="5"/>
  <c r="BS43" i="5"/>
  <c r="CX43" i="5" s="1"/>
  <c r="BS44" i="5"/>
  <c r="CX44" i="5" s="1"/>
  <c r="CX42" i="5"/>
  <c r="CX117" i="5"/>
  <c r="BN48" i="4"/>
  <c r="BN345" i="4" s="1"/>
  <c r="CU46" i="4"/>
  <c r="BW104" i="5" l="1"/>
  <c r="BW105" i="5" s="1"/>
  <c r="CX54" i="5"/>
  <c r="BS56" i="5"/>
  <c r="CX56" i="5" s="1"/>
  <c r="BS108" i="5"/>
  <c r="CX107" i="5"/>
  <c r="CX98" i="5"/>
  <c r="BS104" i="5"/>
  <c r="BR47" i="5"/>
  <c r="BR48" i="5"/>
  <c r="BS46" i="5"/>
  <c r="BS87" i="5"/>
  <c r="CX87" i="5" s="1"/>
  <c r="CU48" i="4"/>
  <c r="CX108" i="5" l="1"/>
  <c r="CX104" i="5"/>
  <c r="BS105" i="5"/>
  <c r="CX105" i="5" s="1"/>
  <c r="BS47" i="5"/>
  <c r="CX47" i="5" s="1"/>
  <c r="BS48" i="5"/>
  <c r="CX48" i="5" s="1"/>
  <c r="CX46" i="5"/>
  <c r="BM412" i="5" l="1"/>
  <c r="BN413" i="5"/>
  <c r="BM415" i="5"/>
  <c r="BO406" i="5" l="1"/>
  <c r="BO411" i="5"/>
  <c r="BO415" i="5"/>
  <c r="BO421" i="5" s="1"/>
  <c r="BO426" i="5" s="1"/>
  <c r="BO414" i="5"/>
  <c r="BN414" i="5"/>
  <c r="CW414" i="5" s="1"/>
  <c r="BM421" i="5"/>
  <c r="BM426" i="5" s="1"/>
  <c r="CW413" i="5"/>
  <c r="BN415" i="5"/>
  <c r="BN412" i="5"/>
  <c r="CW412" i="5" s="1"/>
  <c r="BM416" i="5"/>
  <c r="BM307" i="5"/>
  <c r="BM312" i="5" s="1"/>
  <c r="BM313" i="5" s="1"/>
  <c r="BM437" i="5"/>
  <c r="BM440" i="5" s="1"/>
  <c r="BN427" i="5"/>
  <c r="BN426" i="5"/>
  <c r="BP412" i="5"/>
  <c r="BR411" i="5"/>
  <c r="BQ411" i="5"/>
  <c r="BN399" i="5"/>
  <c r="CW399" i="5" s="1"/>
  <c r="BR412" i="5"/>
  <c r="BP411" i="5"/>
  <c r="BQ412" i="5"/>
  <c r="BS406" i="5"/>
  <c r="CX406" i="5" s="1"/>
  <c r="BO412" i="5" l="1"/>
  <c r="BO416" i="5" s="1"/>
  <c r="BN421" i="5"/>
  <c r="CW421" i="5" s="1"/>
  <c r="BN416" i="5"/>
  <c r="CW416" i="5" s="1"/>
  <c r="CW415" i="5"/>
  <c r="BP406" i="5"/>
  <c r="BP413" i="5" s="1"/>
  <c r="BP415" i="5" s="1"/>
  <c r="BO400" i="5"/>
  <c r="BM322" i="5"/>
  <c r="BM314" i="5"/>
  <c r="BS412" i="5"/>
  <c r="CW426" i="5"/>
  <c r="CW427" i="5"/>
  <c r="BN307" i="5"/>
  <c r="BN437" i="5"/>
  <c r="BN440" i="5" s="1"/>
  <c r="CW440" i="5" s="1"/>
  <c r="BS411" i="5"/>
  <c r="CX411" i="5" s="1"/>
  <c r="BM441" i="5"/>
  <c r="BM442" i="5"/>
  <c r="BM443" i="5"/>
  <c r="BS416" i="5" l="1"/>
  <c r="CX416" i="5" s="1"/>
  <c r="CX412" i="5"/>
  <c r="BP421" i="5"/>
  <c r="BP399" i="5"/>
  <c r="BP414" i="5"/>
  <c r="BQ406" i="5"/>
  <c r="BQ413" i="5" s="1"/>
  <c r="BN320" i="5"/>
  <c r="CW307" i="5"/>
  <c r="BN441" i="5"/>
  <c r="CW441" i="5" s="1"/>
  <c r="CW437" i="5"/>
  <c r="BN442" i="5"/>
  <c r="CW442" i="5" s="1"/>
  <c r="BN443" i="5"/>
  <c r="CW443" i="5" s="1"/>
  <c r="BP400" i="5" l="1"/>
  <c r="BQ399" i="5"/>
  <c r="BQ414" i="5"/>
  <c r="BR406" i="5"/>
  <c r="BR413" i="5" s="1"/>
  <c r="CW320" i="5"/>
  <c r="BN321" i="5"/>
  <c r="CW321" i="5" s="1"/>
  <c r="BQ415" i="5"/>
  <c r="BQ400" i="5" l="1"/>
  <c r="BP426" i="5"/>
  <c r="BS413" i="5"/>
  <c r="BR399" i="5"/>
  <c r="BR414" i="5"/>
  <c r="BQ421" i="5"/>
  <c r="BR415" i="5"/>
  <c r="BT411" i="5" l="1"/>
  <c r="BT412" i="5"/>
  <c r="BW411" i="5"/>
  <c r="BW412" i="5"/>
  <c r="BX406" i="5"/>
  <c r="BV411" i="5"/>
  <c r="BV412" i="5"/>
  <c r="BT406" i="5"/>
  <c r="BU411" i="5"/>
  <c r="BU412" i="5"/>
  <c r="BR400" i="5"/>
  <c r="BS400" i="5" s="1"/>
  <c r="CX400" i="5" s="1"/>
  <c r="BR421" i="5"/>
  <c r="BS421" i="5" s="1"/>
  <c r="CX421" i="5" s="1"/>
  <c r="BS415" i="5"/>
  <c r="CX413" i="5"/>
  <c r="BS399" i="5"/>
  <c r="CX399" i="5" s="1"/>
  <c r="BS414" i="5"/>
  <c r="CX414" i="5" s="1"/>
  <c r="BQ426" i="5"/>
  <c r="BP427" i="5"/>
  <c r="BO307" i="5"/>
  <c r="BO440" i="5"/>
  <c r="BT413" i="5" l="1"/>
  <c r="BT415" i="5" s="1"/>
  <c r="BX412" i="5"/>
  <c r="BX411" i="5"/>
  <c r="CY411" i="5" s="1"/>
  <c r="BR426" i="5"/>
  <c r="BR427" i="5" s="1"/>
  <c r="BR307" i="5" s="1"/>
  <c r="CX415" i="5"/>
  <c r="BO312" i="5"/>
  <c r="BP307" i="5"/>
  <c r="BP437" i="5"/>
  <c r="BP440" i="5" s="1"/>
  <c r="BO442" i="5"/>
  <c r="BO441" i="5"/>
  <c r="BO443" i="5"/>
  <c r="BQ427" i="5"/>
  <c r="CY406" i="5"/>
  <c r="BT399" i="5" l="1"/>
  <c r="BT400" i="5" s="1"/>
  <c r="BT414" i="5"/>
  <c r="BU406" i="5"/>
  <c r="BU413" i="5" s="1"/>
  <c r="BU399" i="5" s="1"/>
  <c r="BU400" i="5" s="1"/>
  <c r="BT421" i="5"/>
  <c r="BX416" i="5"/>
  <c r="CY416" i="5" s="1"/>
  <c r="CY412" i="5"/>
  <c r="BR437" i="5"/>
  <c r="BR440" i="5" s="1"/>
  <c r="BS426" i="5"/>
  <c r="BS427" i="5"/>
  <c r="CX427" i="5" s="1"/>
  <c r="BP442" i="5"/>
  <c r="BP443" i="5"/>
  <c r="BP441" i="5"/>
  <c r="BO322" i="5"/>
  <c r="BO321" i="5"/>
  <c r="BP320" i="5"/>
  <c r="BP312" i="5"/>
  <c r="BO314" i="5"/>
  <c r="BQ307" i="5"/>
  <c r="BQ437" i="5"/>
  <c r="BQ440" i="5" s="1"/>
  <c r="BR320" i="5"/>
  <c r="BR312" i="5"/>
  <c r="D73" i="8"/>
  <c r="BV406" i="5" l="1"/>
  <c r="BV413" i="5" s="1"/>
  <c r="BV399" i="5" s="1"/>
  <c r="BV400" i="5" s="1"/>
  <c r="BU415" i="5"/>
  <c r="BU421" i="5" s="1"/>
  <c r="BU414" i="5"/>
  <c r="CX426" i="5"/>
  <c r="BT426" i="5"/>
  <c r="F73" i="8"/>
  <c r="M73" i="8"/>
  <c r="G73" i="8"/>
  <c r="J73" i="8"/>
  <c r="BR443" i="5"/>
  <c r="BS437" i="5"/>
  <c r="BS440" i="5" s="1"/>
  <c r="CX440" i="5" s="1"/>
  <c r="BR442" i="5"/>
  <c r="BR441" i="5"/>
  <c r="BS307" i="5"/>
  <c r="CX307" i="5" s="1"/>
  <c r="BP321" i="5"/>
  <c r="BP322" i="5"/>
  <c r="BR14" i="5"/>
  <c r="BR314" i="5"/>
  <c r="BO203" i="4"/>
  <c r="BO210" i="4" s="1"/>
  <c r="BO318" i="5"/>
  <c r="BO15" i="5"/>
  <c r="BO20" i="5"/>
  <c r="BQ441" i="5"/>
  <c r="BQ443" i="5"/>
  <c r="BQ442" i="5"/>
  <c r="BR322" i="5"/>
  <c r="BR321" i="5"/>
  <c r="BQ312" i="5"/>
  <c r="BQ320" i="5"/>
  <c r="BP314" i="5"/>
  <c r="BP14" i="5"/>
  <c r="D76" i="8"/>
  <c r="BV415" i="5" l="1"/>
  <c r="BV421" i="5" s="1"/>
  <c r="BV414" i="5"/>
  <c r="BW406" i="5"/>
  <c r="BW413" i="5" s="1"/>
  <c r="BW415" i="5" s="1"/>
  <c r="BO221" i="4"/>
  <c r="BT221" i="4" s="1"/>
  <c r="BO14" i="4"/>
  <c r="BT27" i="5"/>
  <c r="BT243" i="5" s="1"/>
  <c r="BT211" i="5" s="1"/>
  <c r="BX211" i="5" s="1"/>
  <c r="BU426" i="5"/>
  <c r="BT427" i="5"/>
  <c r="BS441" i="5"/>
  <c r="CX441" i="5" s="1"/>
  <c r="J76" i="8"/>
  <c r="G76" i="8"/>
  <c r="M76" i="8"/>
  <c r="F76" i="8"/>
  <c r="BS443" i="5"/>
  <c r="CX443" i="5" s="1"/>
  <c r="BS312" i="5"/>
  <c r="BS320" i="5"/>
  <c r="BS321" i="5" s="1"/>
  <c r="CX321" i="5" s="1"/>
  <c r="BS442" i="5"/>
  <c r="CX442" i="5" s="1"/>
  <c r="CX437" i="5"/>
  <c r="BO313" i="5"/>
  <c r="BO50" i="5"/>
  <c r="BO52" i="5" s="1"/>
  <c r="BO173" i="5"/>
  <c r="BO246" i="5"/>
  <c r="BO211" i="4"/>
  <c r="BO37" i="5"/>
  <c r="BO214" i="5"/>
  <c r="BO449" i="5"/>
  <c r="BQ322" i="5"/>
  <c r="BQ321" i="5"/>
  <c r="BQ314" i="5"/>
  <c r="BQ14" i="5"/>
  <c r="BO206" i="4"/>
  <c r="BO95" i="5"/>
  <c r="BP203" i="4"/>
  <c r="BP210" i="4" s="1"/>
  <c r="BP30" i="5"/>
  <c r="BP89" i="5"/>
  <c r="BP318" i="5"/>
  <c r="BP15" i="5"/>
  <c r="BP20" i="5"/>
  <c r="BP206" i="4" s="1"/>
  <c r="BP329" i="5"/>
  <c r="BR203" i="4"/>
  <c r="BR210" i="4" s="1"/>
  <c r="BR15" i="5"/>
  <c r="BR20" i="5"/>
  <c r="BR206" i="4" s="1"/>
  <c r="BR329" i="5"/>
  <c r="BR30" i="5"/>
  <c r="BR89" i="5"/>
  <c r="BR318" i="5"/>
  <c r="D91" i="8"/>
  <c r="D7" i="8"/>
  <c r="BW399" i="5" l="1"/>
  <c r="BW400" i="5" s="1"/>
  <c r="BX400" i="5" s="1"/>
  <c r="CY400" i="5" s="1"/>
  <c r="BX413" i="5"/>
  <c r="BX414" i="5" s="1"/>
  <c r="CY414" i="5" s="1"/>
  <c r="BW414" i="5"/>
  <c r="BO241" i="4"/>
  <c r="BT241" i="4" s="1"/>
  <c r="BO237" i="4"/>
  <c r="BT237" i="4" s="1"/>
  <c r="BO37" i="4"/>
  <c r="BO228" i="4"/>
  <c r="BT228" i="4" s="1"/>
  <c r="BO240" i="4"/>
  <c r="BT240" i="4" s="1"/>
  <c r="BO236" i="4"/>
  <c r="BT236" i="4" s="1"/>
  <c r="BO243" i="4"/>
  <c r="BT243" i="4" s="1"/>
  <c r="BO242" i="4"/>
  <c r="BT242" i="4" s="1"/>
  <c r="BO238" i="4"/>
  <c r="BT238" i="4" s="1"/>
  <c r="BO239" i="4"/>
  <c r="BT239" i="4" s="1"/>
  <c r="BO253" i="4"/>
  <c r="BT170" i="5"/>
  <c r="BT175" i="5" s="1"/>
  <c r="BT448" i="5"/>
  <c r="BX448" i="5" s="1"/>
  <c r="BT307" i="5"/>
  <c r="BT437" i="5"/>
  <c r="BW421" i="5"/>
  <c r="BX415" i="5"/>
  <c r="BV426" i="5"/>
  <c r="BU427" i="5"/>
  <c r="BT250" i="5"/>
  <c r="BX243" i="5"/>
  <c r="M7" i="8"/>
  <c r="D107" i="8"/>
  <c r="J7" i="8"/>
  <c r="F7" i="8"/>
  <c r="G7" i="8"/>
  <c r="G91" i="8"/>
  <c r="M91" i="8"/>
  <c r="F91" i="8"/>
  <c r="D92" i="8"/>
  <c r="J91" i="8"/>
  <c r="BP313" i="5"/>
  <c r="BP368" i="5"/>
  <c r="BR313" i="5"/>
  <c r="BR368" i="5"/>
  <c r="CX320" i="5"/>
  <c r="BS322" i="5"/>
  <c r="CX312" i="5"/>
  <c r="BO51" i="5"/>
  <c r="BO69" i="5"/>
  <c r="BO75" i="5" s="1"/>
  <c r="BR173" i="5"/>
  <c r="BR246" i="5"/>
  <c r="BP246" i="5"/>
  <c r="BP173" i="5"/>
  <c r="BP145" i="5"/>
  <c r="BP95" i="5"/>
  <c r="BP125" i="5" s="1"/>
  <c r="BO96" i="5"/>
  <c r="BO125" i="5"/>
  <c r="BP50" i="5"/>
  <c r="BQ203" i="4"/>
  <c r="BQ210" i="4" s="1"/>
  <c r="BQ15" i="5"/>
  <c r="BQ20" i="5"/>
  <c r="BQ206" i="4" s="1"/>
  <c r="BQ329" i="5"/>
  <c r="BQ30" i="5"/>
  <c r="BQ89" i="5"/>
  <c r="BQ318" i="5"/>
  <c r="BO450" i="5"/>
  <c r="BR95" i="5"/>
  <c r="BR145" i="5"/>
  <c r="BR50" i="5"/>
  <c r="BP14" i="4"/>
  <c r="BP31" i="5"/>
  <c r="BP37" i="5"/>
  <c r="BP214" i="5"/>
  <c r="BP449" i="5"/>
  <c r="BP450" i="5" s="1"/>
  <c r="BO15" i="4"/>
  <c r="BO21" i="4"/>
  <c r="BO23" i="4" s="1"/>
  <c r="BR14" i="4"/>
  <c r="BR214" i="5"/>
  <c r="BR31" i="5"/>
  <c r="BR38" i="5" s="1"/>
  <c r="BR37" i="5"/>
  <c r="BR449" i="5"/>
  <c r="BR450" i="5" s="1"/>
  <c r="BR211" i="4"/>
  <c r="BR220" i="4"/>
  <c r="BP211" i="4"/>
  <c r="BP220" i="4"/>
  <c r="BO38" i="5"/>
  <c r="BS14" i="5"/>
  <c r="D8" i="8"/>
  <c r="D10" i="8"/>
  <c r="BY406" i="5" l="1"/>
  <c r="CZ406" i="5" s="1"/>
  <c r="BY411" i="5"/>
  <c r="CZ411" i="5" s="1"/>
  <c r="BY412" i="5"/>
  <c r="CZ412" i="5" s="1"/>
  <c r="BX399" i="5"/>
  <c r="CY399" i="5" s="1"/>
  <c r="CY413" i="5"/>
  <c r="BU307" i="5"/>
  <c r="BU437" i="5"/>
  <c r="BT442" i="5"/>
  <c r="BT443" i="5"/>
  <c r="BT441" i="5"/>
  <c r="BV427" i="5"/>
  <c r="BW426" i="5"/>
  <c r="BX426" i="5" s="1"/>
  <c r="CY426" i="5" s="1"/>
  <c r="CY415" i="5"/>
  <c r="BT440" i="5"/>
  <c r="BX421" i="5"/>
  <c r="CY421" i="5" s="1"/>
  <c r="BT320" i="5"/>
  <c r="BT312" i="5"/>
  <c r="BT14" i="5" s="1"/>
  <c r="BT251" i="5"/>
  <c r="BT249" i="5"/>
  <c r="BT248" i="5"/>
  <c r="BT245" i="5" s="1"/>
  <c r="BT18" i="5" s="1"/>
  <c r="M10" i="8"/>
  <c r="J10" i="8"/>
  <c r="F10" i="8"/>
  <c r="G10" i="8"/>
  <c r="F8" i="8"/>
  <c r="J8" i="8"/>
  <c r="M8" i="8"/>
  <c r="G8" i="8"/>
  <c r="BQ313" i="5"/>
  <c r="BQ368" i="5"/>
  <c r="F92" i="8"/>
  <c r="M92" i="8"/>
  <c r="J92" i="8"/>
  <c r="BS89" i="5"/>
  <c r="CX89" i="5" s="1"/>
  <c r="BQ246" i="5"/>
  <c r="BQ173" i="5"/>
  <c r="BS20" i="5"/>
  <c r="BS206" i="4" s="1"/>
  <c r="BP38" i="5"/>
  <c r="BR51" i="5"/>
  <c r="BR52" i="5"/>
  <c r="BR69" i="5"/>
  <c r="BR75" i="5" s="1"/>
  <c r="BQ14" i="4"/>
  <c r="BQ31" i="5"/>
  <c r="BQ37" i="5"/>
  <c r="BQ214" i="5"/>
  <c r="BQ449" i="5"/>
  <c r="BQ450" i="5" s="1"/>
  <c r="BS450" i="5" s="1"/>
  <c r="BQ211" i="4"/>
  <c r="BQ220" i="4"/>
  <c r="BS220" i="4" s="1"/>
  <c r="BS203" i="4"/>
  <c r="BS210" i="4" s="1"/>
  <c r="BS211" i="4" s="1"/>
  <c r="BS318" i="5"/>
  <c r="CX318" i="5" s="1"/>
  <c r="CX14" i="5"/>
  <c r="BS15" i="5"/>
  <c r="CX15" i="5" s="1"/>
  <c r="BS329" i="5"/>
  <c r="CX329" i="5" s="1"/>
  <c r="BS30" i="5"/>
  <c r="BP96" i="5"/>
  <c r="BR15" i="4"/>
  <c r="BR227" i="4"/>
  <c r="BR91" i="4" s="1"/>
  <c r="BR144" i="4"/>
  <c r="BS144" i="4" s="1"/>
  <c r="BR146" i="4"/>
  <c r="BS146" i="4" s="1"/>
  <c r="BR147" i="4"/>
  <c r="BS147" i="4" s="1"/>
  <c r="BR161" i="4"/>
  <c r="BR162" i="4"/>
  <c r="BS162" i="4" s="1"/>
  <c r="BR163" i="4"/>
  <c r="BS163" i="4" s="1"/>
  <c r="BR165" i="4"/>
  <c r="BR166" i="4"/>
  <c r="BR252" i="4"/>
  <c r="BO22" i="4"/>
  <c r="BO169" i="4"/>
  <c r="BR96" i="5"/>
  <c r="BR125" i="5"/>
  <c r="BQ95" i="5"/>
  <c r="BQ145" i="5"/>
  <c r="BP51" i="5"/>
  <c r="BP52" i="5"/>
  <c r="BP69" i="5"/>
  <c r="BP75" i="5" s="1"/>
  <c r="BP21" i="4"/>
  <c r="BR21" i="4"/>
  <c r="BR22" i="4" s="1"/>
  <c r="BP15" i="4"/>
  <c r="BP34" i="4"/>
  <c r="BP144" i="4"/>
  <c r="BP97" i="4" s="1"/>
  <c r="BP146" i="4"/>
  <c r="BP147" i="4"/>
  <c r="BP99" i="4" s="1"/>
  <c r="BP161" i="4"/>
  <c r="BP162" i="4"/>
  <c r="BP163" i="4"/>
  <c r="BP165" i="4"/>
  <c r="BP103" i="4" s="1"/>
  <c r="BP166" i="4"/>
  <c r="BP101" i="4" s="1"/>
  <c r="BP227" i="4"/>
  <c r="BP91" i="4" s="1"/>
  <c r="BP252" i="4"/>
  <c r="BQ50" i="5"/>
  <c r="BO126" i="5"/>
  <c r="BO131" i="5"/>
  <c r="BO137" i="5"/>
  <c r="BT133" i="5" s="1"/>
  <c r="BT119" i="5" s="1"/>
  <c r="D96" i="8"/>
  <c r="BP173" i="4" l="1"/>
  <c r="BY413" i="5"/>
  <c r="CA412" i="5" s="1"/>
  <c r="DB412" i="5" s="1"/>
  <c r="BW427" i="5"/>
  <c r="BW307" i="5" s="1"/>
  <c r="BT15" i="5"/>
  <c r="BT203" i="4"/>
  <c r="BT89" i="5"/>
  <c r="BT329" i="5"/>
  <c r="BT318" i="5"/>
  <c r="BX133" i="5"/>
  <c r="BT83" i="5"/>
  <c r="BT110" i="5"/>
  <c r="BT204" i="4"/>
  <c r="BR311" i="4"/>
  <c r="BW311" i="4"/>
  <c r="BX18" i="5"/>
  <c r="BT16" i="5"/>
  <c r="BT202" i="4" s="1"/>
  <c r="BT20" i="5"/>
  <c r="BT19" i="5"/>
  <c r="BY415" i="5"/>
  <c r="BY399" i="5"/>
  <c r="BT314" i="5"/>
  <c r="BV307" i="5"/>
  <c r="BV437" i="5"/>
  <c r="BV440" i="5" s="1"/>
  <c r="BU440" i="5"/>
  <c r="BU443" i="5"/>
  <c r="BU442" i="5"/>
  <c r="BU441" i="5"/>
  <c r="BT322" i="5"/>
  <c r="BT321" i="5"/>
  <c r="BU320" i="5"/>
  <c r="BU312" i="5"/>
  <c r="BU14" i="5" s="1"/>
  <c r="BT247" i="5"/>
  <c r="BT253" i="5" s="1"/>
  <c r="BX253" i="5" s="1"/>
  <c r="BX247" i="5" s="1"/>
  <c r="BX245" i="5"/>
  <c r="BY250" i="5" s="1"/>
  <c r="BT213" i="5"/>
  <c r="F96" i="8"/>
  <c r="D97" i="8"/>
  <c r="G96" i="8"/>
  <c r="J96" i="8"/>
  <c r="M96" i="8"/>
  <c r="BS313" i="5"/>
  <c r="BS368" i="5"/>
  <c r="BS95" i="5"/>
  <c r="CX95" i="5" s="1"/>
  <c r="BS90" i="5"/>
  <c r="CX90" i="5" s="1"/>
  <c r="DB14" i="4"/>
  <c r="DB37" i="4" s="1"/>
  <c r="CX20" i="5"/>
  <c r="BS246" i="5"/>
  <c r="BS173" i="5"/>
  <c r="BM452" i="5"/>
  <c r="BS221" i="4"/>
  <c r="BP100" i="4"/>
  <c r="BP169" i="4"/>
  <c r="BQ96" i="5"/>
  <c r="BQ125" i="5"/>
  <c r="BS166" i="4"/>
  <c r="BS161" i="4"/>
  <c r="BR169" i="4"/>
  <c r="BP35" i="4"/>
  <c r="BO115" i="4"/>
  <c r="BP22" i="4"/>
  <c r="BR126" i="5"/>
  <c r="BR131" i="5"/>
  <c r="BR137" i="5"/>
  <c r="BS165" i="4"/>
  <c r="CV147" i="4"/>
  <c r="BQ15" i="4"/>
  <c r="BQ34" i="4"/>
  <c r="BQ144" i="4"/>
  <c r="BR97" i="4" s="1"/>
  <c r="BQ146" i="4"/>
  <c r="BR90" i="4" s="1"/>
  <c r="BQ147" i="4"/>
  <c r="BR99" i="4" s="1"/>
  <c r="BQ161" i="4"/>
  <c r="BQ162" i="4"/>
  <c r="BQ163" i="4"/>
  <c r="BQ165" i="4"/>
  <c r="BQ103" i="4" s="1"/>
  <c r="BQ166" i="4"/>
  <c r="BQ101" i="4" s="1"/>
  <c r="BQ252" i="4"/>
  <c r="BS252" i="4" s="1"/>
  <c r="BQ227" i="4"/>
  <c r="BQ91" i="4" s="1"/>
  <c r="BS91" i="4" s="1"/>
  <c r="CV91" i="4" s="1"/>
  <c r="BS14" i="4"/>
  <c r="CV163" i="4"/>
  <c r="CV146" i="4"/>
  <c r="CX30" i="5"/>
  <c r="BS31" i="5"/>
  <c r="BS37" i="5"/>
  <c r="BS214" i="5"/>
  <c r="BQ21" i="4"/>
  <c r="BQ38" i="5"/>
  <c r="BS449" i="5"/>
  <c r="BP110" i="4"/>
  <c r="BP342" i="4"/>
  <c r="BQ51" i="5"/>
  <c r="BQ52" i="5"/>
  <c r="BQ69" i="5"/>
  <c r="BQ75" i="5" s="1"/>
  <c r="BO138" i="5"/>
  <c r="BO142" i="5"/>
  <c r="BS50" i="5"/>
  <c r="BS145" i="5"/>
  <c r="BR110" i="4"/>
  <c r="BR342" i="4"/>
  <c r="CV162" i="4"/>
  <c r="CV144" i="4"/>
  <c r="BP126" i="5"/>
  <c r="BP131" i="5"/>
  <c r="BP137" i="5"/>
  <c r="BP90" i="4"/>
  <c r="CA411" i="5" l="1"/>
  <c r="DB411" i="5" s="1"/>
  <c r="BY414" i="5"/>
  <c r="CZ414" i="5" s="1"/>
  <c r="CZ413" i="5"/>
  <c r="BZ406" i="5"/>
  <c r="DA406" i="5" s="1"/>
  <c r="BZ412" i="5"/>
  <c r="DA412" i="5" s="1"/>
  <c r="BZ411" i="5"/>
  <c r="DA411" i="5" s="1"/>
  <c r="BP175" i="4"/>
  <c r="BQ173" i="4"/>
  <c r="BP104" i="4"/>
  <c r="BP344" i="4" s="1"/>
  <c r="BO175" i="4"/>
  <c r="BW437" i="5"/>
  <c r="BW443" i="5" s="1"/>
  <c r="BT210" i="4"/>
  <c r="BT211" i="4" s="1"/>
  <c r="BX427" i="5"/>
  <c r="BX437" i="5" s="1"/>
  <c r="BU15" i="5"/>
  <c r="BU203" i="4"/>
  <c r="BU210" i="4" s="1"/>
  <c r="BU89" i="5"/>
  <c r="BU20" i="5"/>
  <c r="BU206" i="4" s="1"/>
  <c r="BU329" i="5"/>
  <c r="BU318" i="5"/>
  <c r="BU30" i="5"/>
  <c r="BU313" i="5" s="1"/>
  <c r="BT145" i="5"/>
  <c r="BT95" i="5"/>
  <c r="BT96" i="5" s="1"/>
  <c r="BX19" i="5"/>
  <c r="BX204" i="4"/>
  <c r="BT111" i="5"/>
  <c r="BT84" i="5"/>
  <c r="BT82" i="5"/>
  <c r="BT81" i="5"/>
  <c r="BT80" i="5" s="1"/>
  <c r="BY83" i="5"/>
  <c r="BY82" i="5" s="1"/>
  <c r="BT206" i="4"/>
  <c r="BT109" i="5"/>
  <c r="BY119" i="5"/>
  <c r="BY118" i="5" s="1"/>
  <c r="BT120" i="5"/>
  <c r="BT117" i="5" s="1"/>
  <c r="BT116" i="5" s="1"/>
  <c r="BT118" i="5"/>
  <c r="BP311" i="4"/>
  <c r="BX16" i="5"/>
  <c r="BX202" i="4" s="1"/>
  <c r="BT17" i="5"/>
  <c r="BT30" i="5"/>
  <c r="BX248" i="5"/>
  <c r="CY248" i="5" s="1"/>
  <c r="BU322" i="5"/>
  <c r="BU321" i="5"/>
  <c r="BZ413" i="5"/>
  <c r="BV320" i="5"/>
  <c r="BV312" i="5"/>
  <c r="BV14" i="5" s="1"/>
  <c r="CZ399" i="5"/>
  <c r="BY400" i="5"/>
  <c r="CZ400" i="5" s="1"/>
  <c r="BU314" i="5"/>
  <c r="BV442" i="5"/>
  <c r="BV443" i="5"/>
  <c r="BV441" i="5"/>
  <c r="CZ415" i="5"/>
  <c r="BY421" i="5"/>
  <c r="BW320" i="5"/>
  <c r="BW312" i="5"/>
  <c r="BW14" i="5" s="1"/>
  <c r="BT215" i="5"/>
  <c r="BT216" i="5"/>
  <c r="BT203" i="5"/>
  <c r="BT207" i="5"/>
  <c r="BX213" i="5"/>
  <c r="CY245" i="5"/>
  <c r="M97" i="8"/>
  <c r="F97" i="8"/>
  <c r="J97" i="8"/>
  <c r="BS125" i="5"/>
  <c r="BS131" i="5" s="1"/>
  <c r="CX131" i="5" s="1"/>
  <c r="BS96" i="5"/>
  <c r="CX96" i="5" s="1"/>
  <c r="BS236" i="4"/>
  <c r="BQ97" i="4"/>
  <c r="BS97" i="4" s="1"/>
  <c r="CV97" i="4" s="1"/>
  <c r="BS21" i="4"/>
  <c r="DB21" i="4"/>
  <c r="DB22" i="4" s="1"/>
  <c r="BS241" i="4"/>
  <c r="BS240" i="4"/>
  <c r="BR100" i="4"/>
  <c r="BS238" i="4"/>
  <c r="BS342" i="4"/>
  <c r="BS253" i="4"/>
  <c r="BO143" i="5"/>
  <c r="BO230" i="4"/>
  <c r="BO222" i="4" s="1"/>
  <c r="BV311" i="4"/>
  <c r="CX37" i="5"/>
  <c r="CX173" i="5"/>
  <c r="CX246" i="5"/>
  <c r="CX368" i="5"/>
  <c r="CX313" i="5"/>
  <c r="BP179" i="4"/>
  <c r="BR138" i="5"/>
  <c r="BR142" i="5"/>
  <c r="BP86" i="4"/>
  <c r="BP267" i="4" s="1"/>
  <c r="BS227" i="4"/>
  <c r="BS228" i="4" s="1"/>
  <c r="CV166" i="4"/>
  <c r="BS243" i="4"/>
  <c r="BP138" i="5"/>
  <c r="BP142" i="5"/>
  <c r="BP115" i="4"/>
  <c r="BP266" i="4"/>
  <c r="CX31" i="5"/>
  <c r="BS38" i="5"/>
  <c r="CX38" i="5" s="1"/>
  <c r="BQ110" i="4"/>
  <c r="BS110" i="4" s="1"/>
  <c r="BQ342" i="4"/>
  <c r="DB342" i="4" s="1"/>
  <c r="CV165" i="4"/>
  <c r="BS242" i="4"/>
  <c r="BR101" i="4"/>
  <c r="BS101" i="4" s="1"/>
  <c r="CV101" i="4" s="1"/>
  <c r="CX145" i="5"/>
  <c r="BR115" i="4"/>
  <c r="BR266" i="4"/>
  <c r="CX50" i="5"/>
  <c r="BS51" i="5"/>
  <c r="CX51" i="5" s="1"/>
  <c r="BS52" i="5"/>
  <c r="CX52" i="5" s="1"/>
  <c r="BS69" i="5"/>
  <c r="BQ22" i="4"/>
  <c r="BQ90" i="4"/>
  <c r="BS90" i="4" s="1"/>
  <c r="CV90" i="4" s="1"/>
  <c r="BS15" i="4"/>
  <c r="CV14" i="4"/>
  <c r="BQ100" i="4"/>
  <c r="BQ169" i="4"/>
  <c r="BQ35" i="4"/>
  <c r="BS239" i="4"/>
  <c r="BR103" i="4"/>
  <c r="BQ99" i="4"/>
  <c r="BS99" i="4" s="1"/>
  <c r="CV99" i="4" s="1"/>
  <c r="CV161" i="4"/>
  <c r="BS169" i="4"/>
  <c r="BS237" i="4"/>
  <c r="BQ126" i="5"/>
  <c r="BQ131" i="5"/>
  <c r="BQ137" i="5"/>
  <c r="D52" i="8"/>
  <c r="BQ175" i="4" l="1"/>
  <c r="CY427" i="5"/>
  <c r="BR173" i="4"/>
  <c r="BQ104" i="4"/>
  <c r="BQ344" i="4" s="1"/>
  <c r="BT108" i="5"/>
  <c r="BT107" i="5" s="1"/>
  <c r="BX107" i="5" s="1"/>
  <c r="BX108" i="5" s="1"/>
  <c r="BW442" i="5"/>
  <c r="BX307" i="5"/>
  <c r="CY307" i="5" s="1"/>
  <c r="BW441" i="5"/>
  <c r="BT220" i="4"/>
  <c r="BT21" i="4" s="1"/>
  <c r="BW440" i="5"/>
  <c r="BV15" i="5"/>
  <c r="BV203" i="4"/>
  <c r="BV210" i="4" s="1"/>
  <c r="BV89" i="5"/>
  <c r="BV20" i="5"/>
  <c r="BV329" i="5"/>
  <c r="BV318" i="5"/>
  <c r="BV30" i="5"/>
  <c r="BV313" i="5" s="1"/>
  <c r="BX14" i="5"/>
  <c r="BU220" i="4"/>
  <c r="BU211" i="4"/>
  <c r="BW203" i="4"/>
  <c r="BW210" i="4" s="1"/>
  <c r="BW89" i="5"/>
  <c r="BW15" i="5"/>
  <c r="BW20" i="5"/>
  <c r="BW206" i="4" s="1"/>
  <c r="BW329" i="5"/>
  <c r="BW318" i="5"/>
  <c r="BW30" i="5"/>
  <c r="BW313" i="5" s="1"/>
  <c r="BU173" i="5"/>
  <c r="BU449" i="5"/>
  <c r="BU450" i="5" s="1"/>
  <c r="BU246" i="5"/>
  <c r="BU368" i="5"/>
  <c r="BU214" i="5"/>
  <c r="BU14" i="4"/>
  <c r="BU31" i="5"/>
  <c r="BU145" i="5"/>
  <c r="BU95" i="5"/>
  <c r="BY81" i="5"/>
  <c r="BY84" i="5"/>
  <c r="BZ83" i="5"/>
  <c r="BT14" i="4"/>
  <c r="BT122" i="5"/>
  <c r="BT123" i="5" s="1"/>
  <c r="BX116" i="5"/>
  <c r="BT86" i="5"/>
  <c r="BX80" i="5"/>
  <c r="BZ119" i="5"/>
  <c r="BZ118" i="5" s="1"/>
  <c r="BY120" i="5"/>
  <c r="BY117" i="5" s="1"/>
  <c r="BU311" i="4"/>
  <c r="BT31" i="5"/>
  <c r="BX17" i="5"/>
  <c r="BT214" i="5"/>
  <c r="BT368" i="5"/>
  <c r="BT173" i="5"/>
  <c r="BT449" i="5"/>
  <c r="BT246" i="5"/>
  <c r="BT313" i="5"/>
  <c r="BX440" i="5"/>
  <c r="BX443" i="5"/>
  <c r="BX442" i="5"/>
  <c r="BX441" i="5"/>
  <c r="BW322" i="5"/>
  <c r="BW321" i="5"/>
  <c r="CA406" i="5"/>
  <c r="DA413" i="5"/>
  <c r="BZ414" i="5"/>
  <c r="DA414" i="5" s="1"/>
  <c r="BZ399" i="5"/>
  <c r="BZ415" i="5"/>
  <c r="BY426" i="5"/>
  <c r="CZ421" i="5"/>
  <c r="BV314" i="5"/>
  <c r="BV322" i="5"/>
  <c r="BV321" i="5"/>
  <c r="BW314" i="5"/>
  <c r="CZ250" i="5"/>
  <c r="BY249" i="5"/>
  <c r="CZ249" i="5" s="1"/>
  <c r="BY251" i="5"/>
  <c r="CZ251" i="5" s="1"/>
  <c r="BX215" i="5"/>
  <c r="BX216" i="5"/>
  <c r="BT208" i="5"/>
  <c r="BX207" i="5"/>
  <c r="CY19" i="5"/>
  <c r="CY18" i="5"/>
  <c r="BT204" i="5"/>
  <c r="BX203" i="5"/>
  <c r="CX125" i="5"/>
  <c r="M52" i="8"/>
  <c r="J52" i="8"/>
  <c r="F52" i="8"/>
  <c r="G52" i="8"/>
  <c r="BS126" i="5"/>
  <c r="CX126" i="5" s="1"/>
  <c r="BS137" i="5"/>
  <c r="BS138" i="5" s="1"/>
  <c r="CX138" i="5" s="1"/>
  <c r="CV21" i="4"/>
  <c r="BS22" i="4"/>
  <c r="BS100" i="4"/>
  <c r="CV100" i="4" s="1"/>
  <c r="CV169" i="4"/>
  <c r="BQ86" i="4"/>
  <c r="BQ115" i="4"/>
  <c r="BQ266" i="4"/>
  <c r="BS266" i="4" s="1"/>
  <c r="CV15" i="4"/>
  <c r="K6" i="6" s="1"/>
  <c r="BP39" i="4"/>
  <c r="BP45" i="4" s="1"/>
  <c r="BP143" i="5"/>
  <c r="BP230" i="4"/>
  <c r="BQ179" i="4"/>
  <c r="BP331" i="4"/>
  <c r="BS103" i="4"/>
  <c r="CV103" i="4" s="1"/>
  <c r="BR39" i="4"/>
  <c r="BR45" i="4" s="1"/>
  <c r="BR143" i="5"/>
  <c r="BR230" i="4"/>
  <c r="CX69" i="5"/>
  <c r="BS75" i="5"/>
  <c r="CX75" i="5" s="1"/>
  <c r="CV110" i="4"/>
  <c r="BS115" i="4"/>
  <c r="BQ138" i="5"/>
  <c r="BQ142" i="5"/>
  <c r="BQ311" i="4"/>
  <c r="BO231" i="4"/>
  <c r="D53" i="8"/>
  <c r="BS173" i="4" l="1"/>
  <c r="BR104" i="4"/>
  <c r="BR175" i="4"/>
  <c r="BT98" i="5"/>
  <c r="BT104" i="5" s="1"/>
  <c r="BT105" i="5" s="1"/>
  <c r="BT113" i="5"/>
  <c r="BT114" i="5" s="1"/>
  <c r="BX113" i="5"/>
  <c r="BX114" i="5" s="1"/>
  <c r="BY248" i="5"/>
  <c r="BY245" i="5" s="1"/>
  <c r="BX320" i="5"/>
  <c r="BX321" i="5" s="1"/>
  <c r="CY321" i="5" s="1"/>
  <c r="BX312" i="5"/>
  <c r="BX314" i="5" s="1"/>
  <c r="BW145" i="5"/>
  <c r="BW95" i="5"/>
  <c r="BX203" i="4"/>
  <c r="BX210" i="4" s="1"/>
  <c r="BX211" i="4" s="1"/>
  <c r="BX15" i="5"/>
  <c r="BV206" i="4"/>
  <c r="BX20" i="5"/>
  <c r="BX206" i="4" s="1"/>
  <c r="BX30" i="5"/>
  <c r="BX31" i="5" s="1"/>
  <c r="BW220" i="4"/>
  <c r="BW211" i="4"/>
  <c r="BV173" i="5"/>
  <c r="BV14" i="4"/>
  <c r="BV449" i="5"/>
  <c r="BV450" i="5" s="1"/>
  <c r="BV368" i="5"/>
  <c r="BV246" i="5"/>
  <c r="BV214" i="5"/>
  <c r="BV31" i="5"/>
  <c r="BV145" i="5"/>
  <c r="BX145" i="5" s="1"/>
  <c r="BV95" i="5"/>
  <c r="BX89" i="5"/>
  <c r="BV220" i="4"/>
  <c r="BV211" i="4"/>
  <c r="BU96" i="5"/>
  <c r="BU125" i="5"/>
  <c r="BU161" i="4"/>
  <c r="BU146" i="4"/>
  <c r="BU227" i="4"/>
  <c r="BU91" i="4" s="1"/>
  <c r="BU162" i="4"/>
  <c r="BU163" i="4"/>
  <c r="BU165" i="4"/>
  <c r="BU166" i="4"/>
  <c r="BU147" i="4"/>
  <c r="BU252" i="4"/>
  <c r="BU144" i="4"/>
  <c r="BU34" i="4"/>
  <c r="BU35" i="4" s="1"/>
  <c r="BU86" i="4" s="1"/>
  <c r="BU267" i="4" s="1"/>
  <c r="BU15" i="4"/>
  <c r="BW173" i="5"/>
  <c r="BW246" i="5"/>
  <c r="BW368" i="5"/>
  <c r="BW214" i="5"/>
  <c r="BW14" i="4"/>
  <c r="BW449" i="5"/>
  <c r="BW450" i="5" s="1"/>
  <c r="BW31" i="5"/>
  <c r="BU21" i="4"/>
  <c r="BU22" i="4" s="1"/>
  <c r="BT22" i="4"/>
  <c r="BX81" i="5"/>
  <c r="BX86" i="5"/>
  <c r="CY80" i="5"/>
  <c r="BX42" i="5"/>
  <c r="CZ81" i="5"/>
  <c r="BY80" i="5"/>
  <c r="BT87" i="5"/>
  <c r="CA83" i="5"/>
  <c r="BZ84" i="5"/>
  <c r="BZ82" i="5"/>
  <c r="BZ81" i="5" s="1"/>
  <c r="BX98" i="5"/>
  <c r="CZ117" i="5"/>
  <c r="BY116" i="5"/>
  <c r="BT15" i="4"/>
  <c r="BT166" i="4"/>
  <c r="BT161" i="4"/>
  <c r="BT144" i="4"/>
  <c r="BT165" i="4"/>
  <c r="BT163" i="4"/>
  <c r="BT162" i="4"/>
  <c r="BT147" i="4"/>
  <c r="BT146" i="4"/>
  <c r="BT227" i="4"/>
  <c r="BT34" i="4"/>
  <c r="BT252" i="4"/>
  <c r="CA119" i="5"/>
  <c r="CA118" i="5" s="1"/>
  <c r="BZ120" i="5"/>
  <c r="BZ117" i="5" s="1"/>
  <c r="BX122" i="5"/>
  <c r="BX123" i="5" s="1"/>
  <c r="BX117" i="5"/>
  <c r="CY116" i="5"/>
  <c r="BX54" i="5"/>
  <c r="BT450" i="5"/>
  <c r="CZ426" i="5"/>
  <c r="DA415" i="5"/>
  <c r="BZ421" i="5"/>
  <c r="BZ426" i="5" s="1"/>
  <c r="DA426" i="5" s="1"/>
  <c r="DB406" i="5"/>
  <c r="CA413" i="5"/>
  <c r="BY427" i="5"/>
  <c r="BZ400" i="5"/>
  <c r="DA400" i="5" s="1"/>
  <c r="DA399" i="5"/>
  <c r="CZ248" i="5"/>
  <c r="BX204" i="5"/>
  <c r="BX205" i="5"/>
  <c r="BY205" i="5" s="1"/>
  <c r="CY17" i="5"/>
  <c r="CY16" i="5"/>
  <c r="BX208" i="5"/>
  <c r="BX209" i="5"/>
  <c r="F53" i="8"/>
  <c r="M53" i="8"/>
  <c r="G53" i="8"/>
  <c r="J53" i="8"/>
  <c r="BS142" i="5"/>
  <c r="BS230" i="4" s="1"/>
  <c r="CX137" i="5"/>
  <c r="CV22" i="4"/>
  <c r="K16" i="6"/>
  <c r="CV115" i="4"/>
  <c r="BP30" i="4"/>
  <c r="BP40" i="4"/>
  <c r="BQ267" i="4"/>
  <c r="BR179" i="4"/>
  <c r="BQ331" i="4"/>
  <c r="BP224" i="4"/>
  <c r="BP231" i="4"/>
  <c r="BP233" i="4"/>
  <c r="BP232" i="4" s="1"/>
  <c r="BP222" i="4"/>
  <c r="BQ39" i="4"/>
  <c r="BQ45" i="4" s="1"/>
  <c r="BQ143" i="5"/>
  <c r="BQ230" i="4"/>
  <c r="BR40" i="4"/>
  <c r="BR231" i="4"/>
  <c r="BR222" i="4"/>
  <c r="D35" i="8"/>
  <c r="D54" i="8"/>
  <c r="BS104" i="4" l="1"/>
  <c r="BR344" i="4"/>
  <c r="DB344" i="4" s="1"/>
  <c r="BT173" i="4"/>
  <c r="CV173" i="4"/>
  <c r="CV175" i="4" s="1"/>
  <c r="BS175" i="4"/>
  <c r="BT99" i="5"/>
  <c r="CY320" i="5"/>
  <c r="CA120" i="5"/>
  <c r="BX322" i="5"/>
  <c r="BX450" i="5"/>
  <c r="BX14" i="4"/>
  <c r="BX15" i="4" s="1"/>
  <c r="BX449" i="5"/>
  <c r="BV96" i="5"/>
  <c r="BV125" i="5"/>
  <c r="BV144" i="4"/>
  <c r="BV165" i="4"/>
  <c r="BV103" i="4" s="1"/>
  <c r="BV146" i="4"/>
  <c r="BV252" i="4"/>
  <c r="BV166" i="4"/>
  <c r="BV101" i="4" s="1"/>
  <c r="BV163" i="4"/>
  <c r="BV34" i="4"/>
  <c r="BV35" i="4" s="1"/>
  <c r="BV86" i="4" s="1"/>
  <c r="BV267" i="4" s="1"/>
  <c r="BV161" i="4"/>
  <c r="BV147" i="4"/>
  <c r="BV99" i="4" s="1"/>
  <c r="BV162" i="4"/>
  <c r="BV227" i="4"/>
  <c r="BV91" i="4" s="1"/>
  <c r="BV15" i="4"/>
  <c r="BW96" i="5"/>
  <c r="BW125" i="5"/>
  <c r="BW227" i="4"/>
  <c r="BW91" i="4" s="1"/>
  <c r="BW163" i="4"/>
  <c r="BX163" i="4" s="1"/>
  <c r="BW147" i="4"/>
  <c r="BX147" i="4" s="1"/>
  <c r="BW161" i="4"/>
  <c r="BW34" i="4"/>
  <c r="BW35" i="4" s="1"/>
  <c r="BW86" i="4" s="1"/>
  <c r="BW267" i="4" s="1"/>
  <c r="BW144" i="4"/>
  <c r="BX144" i="4" s="1"/>
  <c r="BW162" i="4"/>
  <c r="BX162" i="4" s="1"/>
  <c r="BW252" i="4"/>
  <c r="BW165" i="4"/>
  <c r="BW166" i="4"/>
  <c r="BW146" i="4"/>
  <c r="BX146" i="4" s="1"/>
  <c r="BW15" i="4"/>
  <c r="BU110" i="4"/>
  <c r="BU342" i="4"/>
  <c r="BU169" i="4"/>
  <c r="BV21" i="4"/>
  <c r="BX220" i="4"/>
  <c r="BX221" i="4" s="1"/>
  <c r="BY221" i="4" s="1"/>
  <c r="BZ221" i="4" s="1"/>
  <c r="CA221" i="4" s="1"/>
  <c r="BU137" i="5"/>
  <c r="BU126" i="5"/>
  <c r="BX95" i="5"/>
  <c r="BX96" i="5" s="1"/>
  <c r="BX90" i="5"/>
  <c r="BW21" i="4"/>
  <c r="BW22" i="4" s="1"/>
  <c r="BT125" i="5"/>
  <c r="BT137" i="5" s="1"/>
  <c r="BT110" i="4"/>
  <c r="BT342" i="4"/>
  <c r="BU99" i="4"/>
  <c r="BT99" i="4"/>
  <c r="BU97" i="4"/>
  <c r="BT97" i="4"/>
  <c r="BY122" i="5"/>
  <c r="BY123" i="5" s="1"/>
  <c r="BY54" i="5"/>
  <c r="CZ116" i="5"/>
  <c r="BY86" i="5"/>
  <c r="BY42" i="5"/>
  <c r="CZ80" i="5"/>
  <c r="BX87" i="5"/>
  <c r="CY87" i="5" s="1"/>
  <c r="CY86" i="5"/>
  <c r="BX55" i="5"/>
  <c r="CY55" i="5" s="1"/>
  <c r="CY54" i="5"/>
  <c r="BX56" i="5"/>
  <c r="CY56" i="5" s="1"/>
  <c r="BZ116" i="5"/>
  <c r="DA117" i="5"/>
  <c r="BT35" i="4"/>
  <c r="BT169" i="4"/>
  <c r="BT100" i="4"/>
  <c r="BU100" i="4"/>
  <c r="BX99" i="5"/>
  <c r="BX104" i="5"/>
  <c r="BX105" i="5" s="1"/>
  <c r="CA84" i="5"/>
  <c r="CA82" i="5"/>
  <c r="CY81" i="5"/>
  <c r="BT91" i="4"/>
  <c r="BT101" i="4"/>
  <c r="BU101" i="4"/>
  <c r="DA81" i="5"/>
  <c r="BZ80" i="5"/>
  <c r="CY42" i="5"/>
  <c r="BX44" i="5"/>
  <c r="CY44" i="5" s="1"/>
  <c r="BX43" i="5"/>
  <c r="CY43" i="5" s="1"/>
  <c r="CY117" i="5"/>
  <c r="BU90" i="4"/>
  <c r="BT90" i="4"/>
  <c r="BT103" i="4"/>
  <c r="BU103" i="4"/>
  <c r="DA421" i="5"/>
  <c r="BZ427" i="5"/>
  <c r="CA415" i="5"/>
  <c r="CA414" i="5"/>
  <c r="DB414" i="5" s="1"/>
  <c r="DB413" i="5"/>
  <c r="CA399" i="5"/>
  <c r="BY307" i="5"/>
  <c r="CZ427" i="5"/>
  <c r="BY18" i="5"/>
  <c r="BY110" i="5" s="1"/>
  <c r="BY109" i="5" s="1"/>
  <c r="BY247" i="5"/>
  <c r="BY253" i="5" s="1"/>
  <c r="CZ245" i="5"/>
  <c r="BZ250" i="5"/>
  <c r="BY213" i="5"/>
  <c r="BY209" i="5"/>
  <c r="BZ205" i="5"/>
  <c r="CY108" i="5"/>
  <c r="F35" i="8"/>
  <c r="G35" i="8"/>
  <c r="M35" i="8"/>
  <c r="J35" i="8"/>
  <c r="M54" i="8"/>
  <c r="F54" i="8"/>
  <c r="G54" i="8"/>
  <c r="J54" i="8"/>
  <c r="BS143" i="5"/>
  <c r="CX143" i="5" s="1"/>
  <c r="CX142" i="5"/>
  <c r="BS231" i="4"/>
  <c r="BS222" i="4"/>
  <c r="BO48" i="4"/>
  <c r="BO345" i="4" s="1"/>
  <c r="BQ30" i="4"/>
  <c r="BQ40" i="4"/>
  <c r="BO70" i="4"/>
  <c r="BP46" i="4"/>
  <c r="BP23" i="4"/>
  <c r="BP225" i="4"/>
  <c r="BP226" i="4"/>
  <c r="BQ231" i="4"/>
  <c r="BQ233" i="4"/>
  <c r="BQ232" i="4" s="1"/>
  <c r="BQ224" i="4"/>
  <c r="BQ222" i="4"/>
  <c r="BP31" i="4"/>
  <c r="BP32" i="4"/>
  <c r="BP341" i="4"/>
  <c r="BR46" i="4"/>
  <c r="BR48" i="4" s="1"/>
  <c r="BR51" i="4" s="1"/>
  <c r="BS179" i="4"/>
  <c r="BR331" i="4"/>
  <c r="BS331" i="4" s="1"/>
  <c r="K19" i="6"/>
  <c r="D56" i="8"/>
  <c r="D37" i="8"/>
  <c r="CA81" i="5" l="1"/>
  <c r="BU173" i="4"/>
  <c r="BT104" i="4"/>
  <c r="BT175" i="4"/>
  <c r="CV104" i="4"/>
  <c r="K15" i="6" s="1"/>
  <c r="BS344" i="4"/>
  <c r="CA117" i="5"/>
  <c r="BX91" i="4"/>
  <c r="BX227" i="4"/>
  <c r="BX228" i="4" s="1"/>
  <c r="BY228" i="4" s="1"/>
  <c r="BZ228" i="4" s="1"/>
  <c r="CA228" i="4" s="1"/>
  <c r="BX34" i="4"/>
  <c r="BT179" i="4"/>
  <c r="BU179" i="4" s="1"/>
  <c r="BX252" i="4"/>
  <c r="BX253" i="4" s="1"/>
  <c r="BV22" i="4"/>
  <c r="BX21" i="4"/>
  <c r="BX22" i="4" s="1"/>
  <c r="BW100" i="4"/>
  <c r="BX161" i="4"/>
  <c r="BW169" i="4"/>
  <c r="BX166" i="4"/>
  <c r="BW101" i="4"/>
  <c r="BX101" i="4" s="1"/>
  <c r="BV100" i="4"/>
  <c r="BV169" i="4"/>
  <c r="BV110" i="4"/>
  <c r="BV342" i="4"/>
  <c r="BV126" i="5"/>
  <c r="BV137" i="5"/>
  <c r="BW137" i="5"/>
  <c r="BW126" i="5"/>
  <c r="BU115" i="4"/>
  <c r="BU266" i="4"/>
  <c r="BX165" i="4"/>
  <c r="BW103" i="4"/>
  <c r="BV90" i="4"/>
  <c r="BW90" i="4"/>
  <c r="BU142" i="5"/>
  <c r="BU138" i="5"/>
  <c r="BW110" i="4"/>
  <c r="BW342" i="4"/>
  <c r="CY90" i="5"/>
  <c r="BW99" i="4"/>
  <c r="BX99" i="4" s="1"/>
  <c r="BV97" i="4"/>
  <c r="BW97" i="4"/>
  <c r="BX125" i="5"/>
  <c r="BX126" i="5" s="1"/>
  <c r="BX103" i="4"/>
  <c r="BT126" i="5"/>
  <c r="BZ86" i="5"/>
  <c r="BZ42" i="5"/>
  <c r="DA80" i="5"/>
  <c r="BZ54" i="5"/>
  <c r="BZ122" i="5"/>
  <c r="BZ123" i="5" s="1"/>
  <c r="DA116" i="5"/>
  <c r="BY87" i="5"/>
  <c r="CZ87" i="5" s="1"/>
  <c r="CZ86" i="5"/>
  <c r="BT344" i="4"/>
  <c r="BY203" i="5"/>
  <c r="BY204" i="5" s="1"/>
  <c r="CA80" i="5"/>
  <c r="DB81" i="5"/>
  <c r="BX35" i="4"/>
  <c r="BT86" i="4"/>
  <c r="BY56" i="5"/>
  <c r="CZ56" i="5" s="1"/>
  <c r="CZ54" i="5"/>
  <c r="BY55" i="5"/>
  <c r="CZ55" i="5" s="1"/>
  <c r="BT266" i="4"/>
  <c r="BT115" i="4"/>
  <c r="BT142" i="5"/>
  <c r="BT138" i="5"/>
  <c r="BY44" i="5"/>
  <c r="CZ44" i="5" s="1"/>
  <c r="BY43" i="5"/>
  <c r="CZ43" i="5" s="1"/>
  <c r="CZ42" i="5"/>
  <c r="CZ307" i="5"/>
  <c r="BY320" i="5"/>
  <c r="DB415" i="5"/>
  <c r="CA421" i="5"/>
  <c r="DB399" i="5"/>
  <c r="CA400" i="5"/>
  <c r="DB400" i="5" s="1"/>
  <c r="DA427" i="5"/>
  <c r="BZ307" i="5"/>
  <c r="BZ209" i="5"/>
  <c r="CA205" i="5"/>
  <c r="CA209" i="5" s="1"/>
  <c r="BY16" i="5"/>
  <c r="CZ18" i="5"/>
  <c r="CB18" i="5"/>
  <c r="BY204" i="4"/>
  <c r="BY19" i="5"/>
  <c r="CZ19" i="5" s="1"/>
  <c r="BY215" i="5"/>
  <c r="BY216" i="5"/>
  <c r="CY107" i="5"/>
  <c r="BX46" i="5"/>
  <c r="BY207" i="5"/>
  <c r="BY208" i="5" s="1"/>
  <c r="BZ249" i="5"/>
  <c r="DA249" i="5" s="1"/>
  <c r="BZ251" i="5"/>
  <c r="DA251" i="5" s="1"/>
  <c r="DA250" i="5"/>
  <c r="F56" i="8"/>
  <c r="M56" i="8"/>
  <c r="J56" i="8"/>
  <c r="G56" i="8"/>
  <c r="J37" i="8"/>
  <c r="M37" i="8"/>
  <c r="F37" i="8"/>
  <c r="G37" i="8"/>
  <c r="CV179" i="4"/>
  <c r="BR49" i="4"/>
  <c r="BR345" i="4"/>
  <c r="BQ23" i="4"/>
  <c r="BQ225" i="4"/>
  <c r="BQ226" i="4"/>
  <c r="BQ46" i="4"/>
  <c r="BQ48" i="4" s="1"/>
  <c r="BQ51" i="4" s="1"/>
  <c r="BP48" i="4"/>
  <c r="BR56" i="4"/>
  <c r="BR84" i="4"/>
  <c r="BP24" i="4"/>
  <c r="BP28" i="4"/>
  <c r="BQ31" i="4"/>
  <c r="BQ32" i="4"/>
  <c r="BQ341" i="4"/>
  <c r="BV173" i="4" l="1"/>
  <c r="BV175" i="4" s="1"/>
  <c r="BU104" i="4"/>
  <c r="BU344" i="4" s="1"/>
  <c r="K17" i="6"/>
  <c r="K21" i="6"/>
  <c r="BU175" i="4"/>
  <c r="BZ248" i="5"/>
  <c r="DA248" i="5" s="1"/>
  <c r="CA116" i="5"/>
  <c r="DB117" i="5"/>
  <c r="BT331" i="4"/>
  <c r="BX97" i="4"/>
  <c r="BX100" i="4"/>
  <c r="BX90" i="4"/>
  <c r="BV142" i="5"/>
  <c r="BV138" i="5"/>
  <c r="BV115" i="4"/>
  <c r="BV266" i="4"/>
  <c r="BW266" i="4"/>
  <c r="BW115" i="4"/>
  <c r="BX110" i="4"/>
  <c r="BX115" i="4" s="1"/>
  <c r="BU39" i="4"/>
  <c r="BU45" i="4" s="1"/>
  <c r="BU143" i="5"/>
  <c r="BU230" i="4"/>
  <c r="BW142" i="5"/>
  <c r="BW138" i="5"/>
  <c r="BX169" i="4"/>
  <c r="BX137" i="5"/>
  <c r="BX138" i="5" s="1"/>
  <c r="BX86" i="4"/>
  <c r="BT267" i="4"/>
  <c r="BX267" i="4" s="1"/>
  <c r="DA42" i="5"/>
  <c r="BZ44" i="5"/>
  <c r="DA44" i="5" s="1"/>
  <c r="BZ43" i="5"/>
  <c r="DA43" i="5" s="1"/>
  <c r="BT39" i="4"/>
  <c r="BT45" i="4" s="1"/>
  <c r="BT230" i="4"/>
  <c r="BT143" i="5"/>
  <c r="BV179" i="4"/>
  <c r="BU331" i="4"/>
  <c r="DA86" i="5"/>
  <c r="BZ87" i="5"/>
  <c r="DA87" i="5" s="1"/>
  <c r="DB80" i="5"/>
  <c r="CA86" i="5"/>
  <c r="BZ55" i="5"/>
  <c r="DA55" i="5" s="1"/>
  <c r="DA54" i="5"/>
  <c r="BZ56" i="5"/>
  <c r="DA56" i="5" s="1"/>
  <c r="BZ320" i="5"/>
  <c r="DA307" i="5"/>
  <c r="DB421" i="5"/>
  <c r="CA426" i="5"/>
  <c r="BY321" i="5"/>
  <c r="CZ321" i="5" s="1"/>
  <c r="CZ320" i="5"/>
  <c r="CY46" i="5"/>
  <c r="BX47" i="5"/>
  <c r="CY47" i="5" s="1"/>
  <c r="BX48" i="5"/>
  <c r="CY48" i="5" s="1"/>
  <c r="CY98" i="5"/>
  <c r="BY202" i="4"/>
  <c r="BY17" i="5"/>
  <c r="CZ17" i="5" s="1"/>
  <c r="CZ16" i="5"/>
  <c r="BY111" i="5"/>
  <c r="BY108" i="5" s="1"/>
  <c r="DB48" i="4"/>
  <c r="DB46" i="4"/>
  <c r="BS46" i="4"/>
  <c r="BP49" i="4"/>
  <c r="BP345" i="4"/>
  <c r="BP51" i="4"/>
  <c r="BQ56" i="4"/>
  <c r="BQ84" i="4"/>
  <c r="BQ106" i="4" s="1"/>
  <c r="BP320" i="4"/>
  <c r="BR351" i="4"/>
  <c r="BQ49" i="4"/>
  <c r="BQ345" i="4"/>
  <c r="BQ347" i="4" s="1"/>
  <c r="BQ24" i="4"/>
  <c r="BQ28" i="4"/>
  <c r="BW173" i="4" l="1"/>
  <c r="BV104" i="4"/>
  <c r="BV344" i="4" s="1"/>
  <c r="BZ245" i="5"/>
  <c r="CA250" i="5" s="1"/>
  <c r="CA122" i="5"/>
  <c r="CA123" i="5" s="1"/>
  <c r="DB116" i="5"/>
  <c r="BX266" i="4"/>
  <c r="BU30" i="4"/>
  <c r="BU40" i="4"/>
  <c r="BW39" i="4"/>
  <c r="BW45" i="4" s="1"/>
  <c r="BW143" i="5"/>
  <c r="BW230" i="4"/>
  <c r="BV39" i="4"/>
  <c r="BV143" i="5"/>
  <c r="BV230" i="4"/>
  <c r="BU231" i="4"/>
  <c r="BU224" i="4"/>
  <c r="BU233" i="4"/>
  <c r="BU232" i="4" s="1"/>
  <c r="BU222" i="4"/>
  <c r="BT224" i="4"/>
  <c r="BT233" i="4"/>
  <c r="BT232" i="4" s="1"/>
  <c r="BT231" i="4"/>
  <c r="BT222" i="4"/>
  <c r="CA87" i="5"/>
  <c r="DB87" i="5" s="1"/>
  <c r="DB86" i="5"/>
  <c r="BT40" i="4"/>
  <c r="BT30" i="4"/>
  <c r="BT360" i="4"/>
  <c r="BU360" i="4"/>
  <c r="BW179" i="4"/>
  <c r="BV331" i="4"/>
  <c r="BQ348" i="4"/>
  <c r="DA320" i="5"/>
  <c r="BZ321" i="5"/>
  <c r="DA321" i="5" s="1"/>
  <c r="CA427" i="5"/>
  <c r="CB427" i="5" s="1"/>
  <c r="DB426" i="5"/>
  <c r="CY99" i="5"/>
  <c r="CY104" i="5"/>
  <c r="CY105" i="5"/>
  <c r="BY107" i="5"/>
  <c r="CZ108" i="5"/>
  <c r="CV46" i="4"/>
  <c r="DB345" i="4"/>
  <c r="BS48" i="4"/>
  <c r="BP56" i="4"/>
  <c r="BP84" i="4"/>
  <c r="BP106" i="4" s="1"/>
  <c r="BQ320" i="4"/>
  <c r="BQ351" i="4"/>
  <c r="BP347" i="4"/>
  <c r="BX173" i="4" l="1"/>
  <c r="BW104" i="4"/>
  <c r="BW175" i="4"/>
  <c r="BZ18" i="5"/>
  <c r="DA18" i="5" s="1"/>
  <c r="BZ247" i="5"/>
  <c r="BZ253" i="5" s="1"/>
  <c r="DA245" i="5"/>
  <c r="BZ213" i="5"/>
  <c r="BZ207" i="5" s="1"/>
  <c r="BZ208" i="5" s="1"/>
  <c r="BV360" i="4"/>
  <c r="BV45" i="4"/>
  <c r="BW360" i="4"/>
  <c r="BX360" i="4" s="1"/>
  <c r="BU226" i="4"/>
  <c r="BU225" i="4"/>
  <c r="BU23" i="4"/>
  <c r="BW40" i="4"/>
  <c r="BW30" i="4"/>
  <c r="BV30" i="4"/>
  <c r="BV40" i="4"/>
  <c r="BX39" i="4"/>
  <c r="BX45" i="4" s="1"/>
  <c r="BW233" i="4"/>
  <c r="BW232" i="4" s="1"/>
  <c r="BW231" i="4"/>
  <c r="BW224" i="4"/>
  <c r="BW222" i="4"/>
  <c r="BU46" i="4"/>
  <c r="BU48" i="4" s="1"/>
  <c r="BU51" i="4" s="1"/>
  <c r="BV231" i="4"/>
  <c r="BV224" i="4"/>
  <c r="BV233" i="4"/>
  <c r="BV232" i="4" s="1"/>
  <c r="BV222" i="4"/>
  <c r="BU341" i="4"/>
  <c r="BU31" i="4"/>
  <c r="BU32" i="4"/>
  <c r="BT46" i="4"/>
  <c r="BT226" i="4"/>
  <c r="BT225" i="4"/>
  <c r="BT23" i="4"/>
  <c r="BX179" i="4"/>
  <c r="BW331" i="4"/>
  <c r="BX331" i="4" s="1"/>
  <c r="BT341" i="4"/>
  <c r="BT31" i="4"/>
  <c r="CA307" i="5"/>
  <c r="DB427" i="5"/>
  <c r="BY113" i="5"/>
  <c r="BY114" i="5" s="1"/>
  <c r="CZ107" i="5"/>
  <c r="BY98" i="5"/>
  <c r="BY46" i="5"/>
  <c r="DB250" i="5"/>
  <c r="CA251" i="5"/>
  <c r="DB251" i="5" s="1"/>
  <c r="CA249" i="5"/>
  <c r="DB249" i="5" s="1"/>
  <c r="BS345" i="4"/>
  <c r="CV48" i="4"/>
  <c r="BP348" i="4"/>
  <c r="BP351" i="4"/>
  <c r="BZ215" i="5" l="1"/>
  <c r="BZ19" i="5"/>
  <c r="DA19" i="5" s="1"/>
  <c r="BZ216" i="5"/>
  <c r="BZ203" i="5"/>
  <c r="BZ204" i="5" s="1"/>
  <c r="BX104" i="4"/>
  <c r="CW104" i="4" s="1"/>
  <c r="BW344" i="4"/>
  <c r="BY173" i="4"/>
  <c r="CW173" i="4"/>
  <c r="BX175" i="4"/>
  <c r="BZ16" i="5"/>
  <c r="DA16" i="5" s="1"/>
  <c r="BZ204" i="4"/>
  <c r="BZ110" i="5"/>
  <c r="BZ109" i="5" s="1"/>
  <c r="CA248" i="5"/>
  <c r="DB248" i="5" s="1"/>
  <c r="BX30" i="4"/>
  <c r="BX341" i="4" s="1"/>
  <c r="BX40" i="4"/>
  <c r="BV226" i="4"/>
  <c r="BV225" i="4"/>
  <c r="BV23" i="4"/>
  <c r="BW46" i="4"/>
  <c r="BW48" i="4" s="1"/>
  <c r="BU28" i="4"/>
  <c r="BU320" i="4" s="1"/>
  <c r="BU24" i="4"/>
  <c r="BU84" i="4"/>
  <c r="BU106" i="4" s="1"/>
  <c r="BU56" i="4"/>
  <c r="BU351" i="4" s="1"/>
  <c r="BV46" i="4"/>
  <c r="BV48" i="4" s="1"/>
  <c r="BV51" i="4" s="1"/>
  <c r="BU49" i="4"/>
  <c r="BU345" i="4"/>
  <c r="BV31" i="4"/>
  <c r="BV341" i="4"/>
  <c r="BV32" i="4"/>
  <c r="BU347" i="4"/>
  <c r="BU348" i="4" s="1"/>
  <c r="BW226" i="4"/>
  <c r="BW23" i="4"/>
  <c r="BW225" i="4"/>
  <c r="BW341" i="4"/>
  <c r="BW31" i="4"/>
  <c r="BT24" i="4"/>
  <c r="BT28" i="4"/>
  <c r="BT48" i="4"/>
  <c r="CA320" i="5"/>
  <c r="CB320" i="5" s="1"/>
  <c r="DB307" i="5"/>
  <c r="CZ46" i="5"/>
  <c r="BY48" i="5"/>
  <c r="CZ48" i="5" s="1"/>
  <c r="BY47" i="5"/>
  <c r="CZ47" i="5" s="1"/>
  <c r="BY104" i="5"/>
  <c r="BY99" i="5"/>
  <c r="CZ98" i="5"/>
  <c r="BZ111" i="5" l="1"/>
  <c r="BZ108" i="5" s="1"/>
  <c r="BZ107" i="5" s="1"/>
  <c r="CX173" i="4"/>
  <c r="BZ173" i="4"/>
  <c r="BY104" i="4"/>
  <c r="CX104" i="4" s="1"/>
  <c r="BZ17" i="5"/>
  <c r="DA17" i="5" s="1"/>
  <c r="BZ202" i="4"/>
  <c r="CA245" i="5"/>
  <c r="CA18" i="5" s="1"/>
  <c r="BX31" i="4"/>
  <c r="BX23" i="4"/>
  <c r="BX24" i="4" s="1"/>
  <c r="BW49" i="4"/>
  <c r="BW345" i="4"/>
  <c r="BW347" i="4" s="1"/>
  <c r="BW24" i="4"/>
  <c r="BW28" i="4"/>
  <c r="BW320" i="4" s="1"/>
  <c r="BV84" i="4"/>
  <c r="BV106" i="4" s="1"/>
  <c r="BV56" i="4"/>
  <c r="BV351" i="4" s="1"/>
  <c r="BV24" i="4"/>
  <c r="BV28" i="4"/>
  <c r="BV320" i="4" s="1"/>
  <c r="BX46" i="4"/>
  <c r="BX48" i="4" s="1"/>
  <c r="BX49" i="4" s="1"/>
  <c r="BV345" i="4"/>
  <c r="BV347" i="4" s="1"/>
  <c r="BV348" i="4" s="1"/>
  <c r="BV49" i="4"/>
  <c r="BW51" i="4"/>
  <c r="BT320" i="4"/>
  <c r="BT49" i="4"/>
  <c r="BT345" i="4"/>
  <c r="BT347" i="4" s="1"/>
  <c r="BT51" i="4"/>
  <c r="CA321" i="5"/>
  <c r="DB321" i="5" s="1"/>
  <c r="DB320" i="5"/>
  <c r="DA108" i="5"/>
  <c r="CZ99" i="5"/>
  <c r="CZ104" i="5"/>
  <c r="BY105" i="5"/>
  <c r="CZ105" i="5" s="1"/>
  <c r="DB245" i="5" l="1"/>
  <c r="CY173" i="4"/>
  <c r="CA173" i="4"/>
  <c r="BZ104" i="4"/>
  <c r="CY104" i="4" s="1"/>
  <c r="CA213" i="5"/>
  <c r="CA215" i="5" s="1"/>
  <c r="CA247" i="5"/>
  <c r="CA253" i="5" s="1"/>
  <c r="CB253" i="5" s="1"/>
  <c r="BX320" i="4"/>
  <c r="BX28" i="4"/>
  <c r="BW56" i="4"/>
  <c r="BW351" i="4" s="1"/>
  <c r="BW84" i="4"/>
  <c r="BW106" i="4" s="1"/>
  <c r="BX51" i="4"/>
  <c r="BX56" i="4" s="1"/>
  <c r="BT84" i="4"/>
  <c r="BT56" i="4"/>
  <c r="BT351" i="4" s="1"/>
  <c r="DB18" i="5"/>
  <c r="CA204" i="4"/>
  <c r="CA16" i="5"/>
  <c r="CB16" i="5" s="1"/>
  <c r="U70" i="6" s="1"/>
  <c r="CA19" i="5"/>
  <c r="DB19" i="5" s="1"/>
  <c r="CA110" i="5"/>
  <c r="CA109" i="5" s="1"/>
  <c r="BZ98" i="5"/>
  <c r="DA107" i="5"/>
  <c r="BZ113" i="5"/>
  <c r="BZ114" i="5" s="1"/>
  <c r="BZ46" i="5"/>
  <c r="CA203" i="5" l="1"/>
  <c r="CA204" i="5" s="1"/>
  <c r="CZ173" i="4"/>
  <c r="CA104" i="4"/>
  <c r="CZ104" i="4" s="1"/>
  <c r="CA216" i="5"/>
  <c r="CA207" i="5"/>
  <c r="CA208" i="5" s="1"/>
  <c r="BT106" i="4"/>
  <c r="BX84" i="4"/>
  <c r="BX106" i="4" s="1"/>
  <c r="CA202" i="4"/>
  <c r="CA17" i="5"/>
  <c r="DB17" i="5" s="1"/>
  <c r="DB16" i="5"/>
  <c r="CA111" i="5"/>
  <c r="CA108" i="5" s="1"/>
  <c r="BZ47" i="5"/>
  <c r="DA47" i="5" s="1"/>
  <c r="BZ48" i="5"/>
  <c r="DA48" i="5" s="1"/>
  <c r="DA46" i="5"/>
  <c r="BZ99" i="5"/>
  <c r="DA99" i="5" s="1"/>
  <c r="BZ104" i="5"/>
  <c r="DA98" i="5"/>
  <c r="Q15" i="6"/>
  <c r="R15" i="6" s="1"/>
  <c r="S15" i="6" s="1"/>
  <c r="T15" i="6" s="1"/>
  <c r="BZ105" i="5" l="1"/>
  <c r="DA105" i="5" s="1"/>
  <c r="DA104" i="5"/>
  <c r="DB108" i="5"/>
  <c r="CA107" i="5"/>
  <c r="DB107" i="5" l="1"/>
  <c r="CA113" i="5"/>
  <c r="CA114" i="5" s="1"/>
  <c r="CA98" i="5"/>
  <c r="CA99" i="5" l="1"/>
  <c r="DB99" i="5" s="1"/>
  <c r="CA104" i="5"/>
  <c r="DB98" i="5"/>
  <c r="DB104" i="5" l="1"/>
  <c r="CA105" i="5"/>
  <c r="DB105" i="5" s="1"/>
  <c r="BM34" i="4" l="1"/>
  <c r="CU35" i="4"/>
  <c r="BN86" i="4"/>
  <c r="CU86" i="4" s="1"/>
  <c r="BN152" i="4"/>
  <c r="I24" i="8"/>
  <c r="BM23" i="4" l="1"/>
  <c r="BM37" i="4"/>
  <c r="BM224" i="4"/>
  <c r="BM225" i="4" s="1"/>
  <c r="BN34" i="4"/>
  <c r="BN233" i="4" s="1"/>
  <c r="BN232" i="4" s="1"/>
  <c r="BM233" i="4"/>
  <c r="BM232" i="4" s="1"/>
  <c r="CU152" i="4"/>
  <c r="BS265" i="4"/>
  <c r="I12" i="8"/>
  <c r="D27" i="8"/>
  <c r="I27" i="8"/>
  <c r="BN23" i="4" l="1"/>
  <c r="BN24" i="4" s="1"/>
  <c r="BM24" i="4"/>
  <c r="BM28" i="4"/>
  <c r="BM39" i="4" s="1"/>
  <c r="F27" i="8"/>
  <c r="M27" i="8"/>
  <c r="G27" i="8"/>
  <c r="J27" i="8"/>
  <c r="BR37" i="4"/>
  <c r="BR34" i="4" s="1"/>
  <c r="BM226" i="4"/>
  <c r="BN37" i="4"/>
  <c r="BN224" i="4"/>
  <c r="CU34" i="4"/>
  <c r="J12" i="6" s="1"/>
  <c r="J20" i="6" s="1"/>
  <c r="CU23" i="4"/>
  <c r="I101" i="8"/>
  <c r="I29" i="8"/>
  <c r="I13" i="8"/>
  <c r="I15" i="8"/>
  <c r="BM321" i="4" l="1"/>
  <c r="BN321" i="4" s="1"/>
  <c r="I16" i="8"/>
  <c r="I102" i="8"/>
  <c r="BM320" i="4"/>
  <c r="BN39" i="4"/>
  <c r="BN45" i="4" s="1"/>
  <c r="BN28" i="4"/>
  <c r="CU28" i="4" s="1"/>
  <c r="BR35" i="4"/>
  <c r="BR30" i="4"/>
  <c r="BW32" i="4" s="1"/>
  <c r="BR233" i="4"/>
  <c r="BR232" i="4" s="1"/>
  <c r="BR224" i="4"/>
  <c r="BM40" i="4"/>
  <c r="BM45" i="4"/>
  <c r="CU37" i="4"/>
  <c r="J18" i="6"/>
  <c r="BM30" i="4"/>
  <c r="BN225" i="4"/>
  <c r="BN226" i="4"/>
  <c r="CU24" i="4"/>
  <c r="CU39" i="4"/>
  <c r="J5" i="6" s="1"/>
  <c r="I34" i="8"/>
  <c r="I30" i="8"/>
  <c r="I20" i="8"/>
  <c r="BN40" i="4" l="1"/>
  <c r="BM323" i="4"/>
  <c r="BN320" i="4"/>
  <c r="BN323" i="4" s="1"/>
  <c r="BO319" i="4" s="1"/>
  <c r="I38" i="8"/>
  <c r="BM249" i="4"/>
  <c r="BN30" i="4"/>
  <c r="BN31" i="4" s="1"/>
  <c r="CU31" i="4" s="1"/>
  <c r="J9" i="6" s="1"/>
  <c r="BR23" i="4"/>
  <c r="BR225" i="4"/>
  <c r="BR226" i="4"/>
  <c r="BR31" i="4"/>
  <c r="BR341" i="4"/>
  <c r="BR86" i="4"/>
  <c r="BR32" i="4"/>
  <c r="BM341" i="4"/>
  <c r="BM347" i="4" s="1"/>
  <c r="BM51" i="4"/>
  <c r="BM32" i="4"/>
  <c r="BM49" i="4"/>
  <c r="BM31" i="4"/>
  <c r="BN245" i="4"/>
  <c r="BN49" i="4"/>
  <c r="BN249" i="4"/>
  <c r="J10" i="6" s="1"/>
  <c r="J11" i="6" s="1"/>
  <c r="J13" i="6" s="1"/>
  <c r="J23" i="6" s="1"/>
  <c r="BN51" i="4"/>
  <c r="CU45" i="4"/>
  <c r="CU49" i="4" s="1"/>
  <c r="J7" i="6"/>
  <c r="BN341" i="4"/>
  <c r="BN347" i="4" s="1"/>
  <c r="CU30" i="4"/>
  <c r="K68" i="6" s="1"/>
  <c r="BN32" i="4"/>
  <c r="CU32" i="4" s="1"/>
  <c r="CU40" i="4"/>
  <c r="J8" i="6" s="1"/>
  <c r="I21" i="8"/>
  <c r="I40" i="8"/>
  <c r="I22" i="8"/>
  <c r="BS319" i="4" l="1"/>
  <c r="BM360" i="4"/>
  <c r="BN360" i="4" s="1"/>
  <c r="BM56" i="4"/>
  <c r="BM84" i="4" s="1"/>
  <c r="BR347" i="4"/>
  <c r="BR24" i="4"/>
  <c r="BR28" i="4"/>
  <c r="BR267" i="4"/>
  <c r="BR106" i="4"/>
  <c r="BN348" i="4"/>
  <c r="BN56" i="4"/>
  <c r="CU51" i="4"/>
  <c r="BM348" i="4"/>
  <c r="J24" i="6"/>
  <c r="K71" i="6"/>
  <c r="BM351" i="4"/>
  <c r="I44" i="8"/>
  <c r="BW348" i="4" l="1"/>
  <c r="BR320" i="4"/>
  <c r="BR348" i="4"/>
  <c r="BN84" i="4"/>
  <c r="BM106" i="4"/>
  <c r="BN351" i="4"/>
  <c r="CU56" i="4"/>
  <c r="BM132" i="4" l="1"/>
  <c r="BM135" i="4" s="1"/>
  <c r="BM304" i="4"/>
  <c r="CU84" i="4"/>
  <c r="CU106" i="4" s="1"/>
  <c r="CU132" i="4" s="1"/>
  <c r="CU135" i="4" s="1"/>
  <c r="BN106" i="4"/>
  <c r="BN304" i="4" l="1"/>
  <c r="BN132" i="4"/>
  <c r="BN135" i="4" s="1"/>
  <c r="BM142" i="4"/>
  <c r="BM298" i="4" l="1"/>
  <c r="BM289" i="4"/>
  <c r="BM290" i="4" s="1"/>
  <c r="BN290" i="4" s="1"/>
  <c r="CU290" i="4" s="1"/>
  <c r="BM149" i="4"/>
  <c r="BM157" i="4" s="1"/>
  <c r="BO133" i="4"/>
  <c r="BN142" i="4"/>
  <c r="BM137" i="4"/>
  <c r="BS133" i="4" l="1"/>
  <c r="BM352" i="4"/>
  <c r="BM353" i="4" s="1"/>
  <c r="CU142" i="4"/>
  <c r="BN298" i="4"/>
  <c r="CU298" i="4" s="1"/>
  <c r="BN289" i="4"/>
  <c r="CU289" i="4" s="1"/>
  <c r="BN149" i="4"/>
  <c r="BN157" i="4" s="1"/>
  <c r="BN352" i="4" s="1"/>
  <c r="BN353" i="4" s="1"/>
  <c r="BN137" i="4"/>
  <c r="K28" i="6" l="1"/>
  <c r="CU149" i="4"/>
  <c r="CU157" i="4" s="1"/>
  <c r="CU137" i="4"/>
  <c r="CV133" i="4"/>
  <c r="BN58" i="4" l="1"/>
  <c r="BN60" i="4" s="1"/>
  <c r="BM60" i="4"/>
  <c r="BM63" i="4"/>
  <c r="BN180" i="4"/>
  <c r="BN184" i="4"/>
  <c r="I49" i="8"/>
  <c r="I47" i="8"/>
  <c r="BM64" i="4" l="1"/>
  <c r="CU58" i="4"/>
  <c r="BN63" i="4"/>
  <c r="CU63" i="4" s="1"/>
  <c r="BM72" i="4"/>
  <c r="BM76" i="4"/>
  <c r="BN76" i="4" s="1"/>
  <c r="CU76" i="4" s="1"/>
  <c r="CU60" i="4"/>
  <c r="BN71" i="4"/>
  <c r="CU71" i="4" s="1"/>
  <c r="K69" i="6" s="1"/>
  <c r="BM71" i="4"/>
  <c r="BM332" i="4"/>
  <c r="BM183" i="4"/>
  <c r="BM185" i="4" s="1"/>
  <c r="CU184" i="4"/>
  <c r="K27" i="6" s="1"/>
  <c r="CU180" i="4"/>
  <c r="BN183" i="4"/>
  <c r="I58" i="8"/>
  <c r="I50" i="8"/>
  <c r="BM73" i="4" l="1"/>
  <c r="BN72" i="4"/>
  <c r="BN64" i="4"/>
  <c r="BN73" i="4" s="1"/>
  <c r="CU73" i="4" s="1"/>
  <c r="BM79" i="4"/>
  <c r="BM80" i="4" s="1"/>
  <c r="BM361" i="4"/>
  <c r="BM354" i="4"/>
  <c r="BM355" i="4" s="1"/>
  <c r="BN332" i="4"/>
  <c r="BM334" i="4"/>
  <c r="BN334" i="4" s="1"/>
  <c r="BM187" i="4"/>
  <c r="BM189" i="4" s="1"/>
  <c r="BN185" i="4"/>
  <c r="BN354" i="4" s="1"/>
  <c r="BN355" i="4" s="1"/>
  <c r="CU183" i="4"/>
  <c r="I57" i="8"/>
  <c r="I60" i="8"/>
  <c r="CU64" i="4" l="1"/>
  <c r="BN80" i="4"/>
  <c r="CU80" i="4" s="1"/>
  <c r="K70" i="6" s="1"/>
  <c r="BN79" i="4"/>
  <c r="CU79" i="4" s="1"/>
  <c r="BM336" i="4"/>
  <c r="BM337" i="4" s="1"/>
  <c r="BN336" i="4"/>
  <c r="BO329" i="4" s="1"/>
  <c r="BN361" i="4"/>
  <c r="BM362" i="4"/>
  <c r="BN362" i="4" s="1"/>
  <c r="CU185" i="4"/>
  <c r="CU187" i="4" s="1"/>
  <c r="CU189" i="4" s="1"/>
  <c r="BN187" i="4"/>
  <c r="BN189" i="4" s="1"/>
  <c r="BN337" i="4" l="1"/>
  <c r="BS329" i="4"/>
  <c r="BM148" i="5"/>
  <c r="BM147" i="5" s="1"/>
  <c r="BN147" i="5" l="1"/>
  <c r="BN148" i="5" l="1"/>
  <c r="CW148" i="5" s="1"/>
  <c r="CW147" i="5"/>
  <c r="BO69" i="4" l="1"/>
  <c r="BO126" i="4"/>
  <c r="D55" i="8"/>
  <c r="J55" i="8" l="1"/>
  <c r="M55" i="8"/>
  <c r="F55" i="8"/>
  <c r="G55" i="8"/>
  <c r="BT160" i="5" l="1"/>
  <c r="CZ430" i="5" l="1"/>
  <c r="BY433" i="5"/>
  <c r="CZ433" i="5" l="1"/>
  <c r="BY437" i="5"/>
  <c r="BY308" i="5"/>
  <c r="DA430" i="5"/>
  <c r="BZ433" i="5"/>
  <c r="DA433" i="5" l="1"/>
  <c r="BZ437" i="5"/>
  <c r="BZ308" i="5"/>
  <c r="CZ308" i="5"/>
  <c r="BY316" i="5"/>
  <c r="BY312" i="5"/>
  <c r="CZ437" i="5"/>
  <c r="BY440" i="5"/>
  <c r="CZ440" i="5" s="1"/>
  <c r="BY442" i="5"/>
  <c r="CZ442" i="5" s="1"/>
  <c r="BY443" i="5"/>
  <c r="CZ443" i="5" s="1"/>
  <c r="DB430" i="5"/>
  <c r="CA433" i="5"/>
  <c r="BY441" i="5"/>
  <c r="CZ441" i="5" s="1"/>
  <c r="DA437" i="5" l="1"/>
  <c r="BZ443" i="5"/>
  <c r="DA443" i="5" s="1"/>
  <c r="BZ442" i="5"/>
  <c r="DA442" i="5" s="1"/>
  <c r="BZ440" i="5"/>
  <c r="DA440" i="5" s="1"/>
  <c r="DA308" i="5"/>
  <c r="BZ316" i="5"/>
  <c r="BZ312" i="5"/>
  <c r="BY322" i="5"/>
  <c r="CZ312" i="5"/>
  <c r="BY14" i="5"/>
  <c r="BY318" i="5" s="1"/>
  <c r="CZ318" i="5" s="1"/>
  <c r="CZ316" i="5"/>
  <c r="BZ441" i="5"/>
  <c r="DA441" i="5" s="1"/>
  <c r="DB433" i="5"/>
  <c r="CA437" i="5"/>
  <c r="CA441" i="5" s="1"/>
  <c r="DB441" i="5" s="1"/>
  <c r="CA308" i="5"/>
  <c r="DA316" i="5" l="1"/>
  <c r="BZ317" i="5"/>
  <c r="DA317" i="5" s="1"/>
  <c r="CZ14" i="5"/>
  <c r="BY329" i="5"/>
  <c r="CZ329" i="5" s="1"/>
  <c r="BY20" i="5"/>
  <c r="BY203" i="4"/>
  <c r="BY210" i="4" s="1"/>
  <c r="BY30" i="5"/>
  <c r="BY89" i="5"/>
  <c r="DB308" i="5"/>
  <c r="CA316" i="5"/>
  <c r="CB316" i="5" s="1"/>
  <c r="CA312" i="5"/>
  <c r="DB437" i="5"/>
  <c r="CA442" i="5"/>
  <c r="DB442" i="5" s="1"/>
  <c r="CA443" i="5"/>
  <c r="DB443" i="5" s="1"/>
  <c r="CA440" i="5"/>
  <c r="DB440" i="5" s="1"/>
  <c r="DA312" i="5"/>
  <c r="BZ322" i="5"/>
  <c r="BZ314" i="5"/>
  <c r="BZ14" i="5"/>
  <c r="BY50" i="5" l="1"/>
  <c r="CZ50" i="5" s="1"/>
  <c r="BY220" i="4"/>
  <c r="BZ329" i="5"/>
  <c r="DA329" i="5" s="1"/>
  <c r="DA14" i="5"/>
  <c r="BZ15" i="5"/>
  <c r="DA15" i="5" s="1"/>
  <c r="BZ20" i="5"/>
  <c r="BZ203" i="4"/>
  <c r="BZ210" i="4" s="1"/>
  <c r="BZ30" i="5"/>
  <c r="BZ89" i="5"/>
  <c r="BZ50" i="5" s="1"/>
  <c r="CZ20" i="5"/>
  <c r="BY206" i="4"/>
  <c r="CB20" i="5"/>
  <c r="BZ318" i="5"/>
  <c r="DA318" i="5" s="1"/>
  <c r="CA322" i="5"/>
  <c r="DB312" i="5"/>
  <c r="CA314" i="5"/>
  <c r="CA14" i="5"/>
  <c r="CB14" i="5" s="1"/>
  <c r="U71" i="6" s="1"/>
  <c r="CZ89" i="5"/>
  <c r="BY145" i="5"/>
  <c r="BY95" i="5"/>
  <c r="CA318" i="5"/>
  <c r="DB318" i="5" s="1"/>
  <c r="DB316" i="5"/>
  <c r="CA317" i="5"/>
  <c r="DB317" i="5" s="1"/>
  <c r="BY214" i="5"/>
  <c r="CZ30" i="5"/>
  <c r="BY246" i="5"/>
  <c r="CZ246" i="5" s="1"/>
  <c r="BY368" i="5"/>
  <c r="CZ368" i="5" s="1"/>
  <c r="BY37" i="5"/>
  <c r="CZ37" i="5" s="1"/>
  <c r="BY173" i="5"/>
  <c r="CZ173" i="5" s="1"/>
  <c r="BY449" i="5"/>
  <c r="BY14" i="4"/>
  <c r="BY313" i="5"/>
  <c r="CZ313" i="5" s="1"/>
  <c r="BY69" i="5" l="1"/>
  <c r="CZ69" i="5" s="1"/>
  <c r="BY52" i="5"/>
  <c r="CZ52" i="5" s="1"/>
  <c r="DA50" i="5"/>
  <c r="BZ52" i="5"/>
  <c r="DA52" i="5" s="1"/>
  <c r="BZ51" i="5"/>
  <c r="DA51" i="5" s="1"/>
  <c r="BZ69" i="5"/>
  <c r="DA30" i="5"/>
  <c r="BZ37" i="5"/>
  <c r="DA37" i="5" s="1"/>
  <c r="BZ246" i="5"/>
  <c r="DA246" i="5" s="1"/>
  <c r="BZ214" i="5"/>
  <c r="BZ368" i="5"/>
  <c r="DA368" i="5" s="1"/>
  <c r="BZ449" i="5"/>
  <c r="BZ450" i="5" s="1"/>
  <c r="BZ173" i="5"/>
  <c r="DA173" i="5" s="1"/>
  <c r="BZ31" i="5"/>
  <c r="BZ14" i="4"/>
  <c r="BZ313" i="5"/>
  <c r="DA313" i="5" s="1"/>
  <c r="BY75" i="5"/>
  <c r="CZ75" i="5" s="1"/>
  <c r="BY21" i="4"/>
  <c r="DB14" i="5"/>
  <c r="CA329" i="5"/>
  <c r="DB329" i="5" s="1"/>
  <c r="CA15" i="5"/>
  <c r="DB15" i="5" s="1"/>
  <c r="CA20" i="5"/>
  <c r="CA203" i="4"/>
  <c r="CA210" i="4" s="1"/>
  <c r="CA30" i="5"/>
  <c r="CB30" i="5" s="1"/>
  <c r="U68" i="6" s="1"/>
  <c r="CA89" i="5"/>
  <c r="BZ211" i="4"/>
  <c r="BZ220" i="4"/>
  <c r="CZ95" i="5"/>
  <c r="BY96" i="5"/>
  <c r="CZ96" i="5" s="1"/>
  <c r="BY125" i="5"/>
  <c r="CX14" i="4"/>
  <c r="BY227" i="4"/>
  <c r="BY91" i="4" s="1"/>
  <c r="CX91" i="4" s="1"/>
  <c r="BY252" i="4"/>
  <c r="CZ145" i="5"/>
  <c r="DA89" i="5"/>
  <c r="BZ145" i="5"/>
  <c r="BZ95" i="5"/>
  <c r="BZ206" i="4"/>
  <c r="DA20" i="5"/>
  <c r="BY131" i="5" l="1"/>
  <c r="CZ131" i="5" s="1"/>
  <c r="BY126" i="5"/>
  <c r="CZ126" i="5" s="1"/>
  <c r="CZ125" i="5"/>
  <c r="BY137" i="5"/>
  <c r="BZ21" i="4"/>
  <c r="DB89" i="5"/>
  <c r="CA145" i="5"/>
  <c r="CA95" i="5"/>
  <c r="CX21" i="4"/>
  <c r="BY22" i="4"/>
  <c r="CY14" i="4"/>
  <c r="BZ15" i="4"/>
  <c r="CY15" i="4" s="1"/>
  <c r="N6" i="6" s="1"/>
  <c r="BZ227" i="4"/>
  <c r="BZ91" i="4" s="1"/>
  <c r="CY91" i="4" s="1"/>
  <c r="BZ252" i="4"/>
  <c r="DB30" i="5"/>
  <c r="CA368" i="5"/>
  <c r="DB368" i="5" s="1"/>
  <c r="CA449" i="5"/>
  <c r="CA450" i="5" s="1"/>
  <c r="CA31" i="5"/>
  <c r="DB31" i="5" s="1"/>
  <c r="CA246" i="5"/>
  <c r="DB246" i="5" s="1"/>
  <c r="CA214" i="5"/>
  <c r="CA173" i="5"/>
  <c r="DB173" i="5" s="1"/>
  <c r="CA14" i="4"/>
  <c r="CB14" i="4" s="1"/>
  <c r="CA313" i="5"/>
  <c r="DB313" i="5" s="1"/>
  <c r="DA145" i="5"/>
  <c r="BY342" i="4"/>
  <c r="BY110" i="4"/>
  <c r="CA211" i="4"/>
  <c r="CA220" i="4"/>
  <c r="BZ38" i="5"/>
  <c r="DA38" i="5" s="1"/>
  <c r="DA31" i="5"/>
  <c r="DA95" i="5"/>
  <c r="BZ96" i="5"/>
  <c r="DA96" i="5" s="1"/>
  <c r="BZ125" i="5"/>
  <c r="CA206" i="4"/>
  <c r="DB20" i="5"/>
  <c r="DA69" i="5"/>
  <c r="BZ75" i="5"/>
  <c r="DA75" i="5" s="1"/>
  <c r="BY266" i="4" l="1"/>
  <c r="BY115" i="4"/>
  <c r="CX110" i="4"/>
  <c r="CZ14" i="4"/>
  <c r="CA15" i="4"/>
  <c r="CZ15" i="4" s="1"/>
  <c r="O6" i="6" s="1"/>
  <c r="CA227" i="4"/>
  <c r="CA91" i="4" s="1"/>
  <c r="CZ91" i="4" s="1"/>
  <c r="CA252" i="4"/>
  <c r="CY21" i="4"/>
  <c r="BZ22" i="4"/>
  <c r="CY22" i="4" s="1"/>
  <c r="BZ131" i="5"/>
  <c r="DA131" i="5" s="1"/>
  <c r="DA125" i="5"/>
  <c r="BZ126" i="5"/>
  <c r="DA126" i="5" s="1"/>
  <c r="BZ137" i="5"/>
  <c r="BZ342" i="4"/>
  <c r="BZ110" i="4"/>
  <c r="DB95" i="5"/>
  <c r="CA96" i="5"/>
  <c r="DB96" i="5" s="1"/>
  <c r="CA125" i="5"/>
  <c r="CB125" i="5" s="1"/>
  <c r="DB145" i="5"/>
  <c r="CZ137" i="5"/>
  <c r="BY138" i="5"/>
  <c r="CZ138" i="5" s="1"/>
  <c r="BY142" i="5"/>
  <c r="CA21" i="4"/>
  <c r="CX22" i="4"/>
  <c r="CZ142" i="5" l="1"/>
  <c r="BY143" i="5"/>
  <c r="CZ143" i="5" s="1"/>
  <c r="BY39" i="4"/>
  <c r="BY45" i="4" s="1"/>
  <c r="BY230" i="4"/>
  <c r="CX115" i="4"/>
  <c r="M16" i="6"/>
  <c r="CZ21" i="4"/>
  <c r="CA22" i="4"/>
  <c r="CZ22" i="4" s="1"/>
  <c r="BZ266" i="4"/>
  <c r="BZ115" i="4"/>
  <c r="CY110" i="4"/>
  <c r="CA131" i="5"/>
  <c r="DB131" i="5" s="1"/>
  <c r="DB125" i="5"/>
  <c r="CA126" i="5"/>
  <c r="DB126" i="5" s="1"/>
  <c r="CA137" i="5"/>
  <c r="CA342" i="4"/>
  <c r="CA110" i="4"/>
  <c r="DA137" i="5"/>
  <c r="BZ138" i="5"/>
  <c r="DA138" i="5" s="1"/>
  <c r="BZ142" i="5"/>
  <c r="BZ143" i="5" l="1"/>
  <c r="DA143" i="5" s="1"/>
  <c r="DA142" i="5"/>
  <c r="BZ39" i="4"/>
  <c r="BZ45" i="4" s="1"/>
  <c r="BZ230" i="4"/>
  <c r="CY115" i="4"/>
  <c r="N16" i="6"/>
  <c r="BY231" i="4"/>
  <c r="BY222" i="4"/>
  <c r="BY40" i="4"/>
  <c r="CX39" i="4"/>
  <c r="M5" i="6" s="1"/>
  <c r="M19" i="6"/>
  <c r="CA266" i="4"/>
  <c r="CA115" i="4"/>
  <c r="CZ110" i="4"/>
  <c r="DB137" i="5"/>
  <c r="CA138" i="5"/>
  <c r="DB138" i="5" s="1"/>
  <c r="CA142" i="5"/>
  <c r="BZ40" i="4" l="1"/>
  <c r="CY40" i="4" s="1"/>
  <c r="N8" i="6" s="1"/>
  <c r="CY39" i="4"/>
  <c r="N5" i="6" s="1"/>
  <c r="CX45" i="4"/>
  <c r="CX40" i="4"/>
  <c r="M8" i="6" s="1"/>
  <c r="CA143" i="5"/>
  <c r="DB143" i="5" s="1"/>
  <c r="DB142" i="5"/>
  <c r="CA39" i="4"/>
  <c r="CA230" i="4"/>
  <c r="CZ115" i="4"/>
  <c r="O16" i="6"/>
  <c r="N19" i="6"/>
  <c r="BZ231" i="4"/>
  <c r="BZ222" i="4"/>
  <c r="CB39" i="4" l="1"/>
  <c r="CA45" i="4"/>
  <c r="CA40" i="4"/>
  <c r="CZ40" i="4" s="1"/>
  <c r="O8" i="6" s="1"/>
  <c r="CZ39" i="4"/>
  <c r="O5" i="6" s="1"/>
  <c r="O19" i="6"/>
  <c r="P16" i="6"/>
  <c r="CY45" i="4"/>
  <c r="N7" i="6"/>
  <c r="CA231" i="4"/>
  <c r="CA222" i="4"/>
  <c r="O7" i="6" l="1"/>
  <c r="P5" i="6"/>
  <c r="CZ45" i="4"/>
  <c r="P21" i="6"/>
  <c r="Q16" i="6"/>
  <c r="Q21" i="6" l="1"/>
  <c r="R16" i="6"/>
  <c r="Q5" i="6"/>
  <c r="R5" i="6" l="1"/>
  <c r="S16" i="6"/>
  <c r="S21" i="6" s="1"/>
  <c r="R21" i="6"/>
  <c r="S5" i="6" l="1"/>
  <c r="T5" i="6" l="1"/>
  <c r="CY430" i="5" l="1"/>
  <c r="CY433" i="5" l="1"/>
  <c r="CY308" i="5" l="1"/>
  <c r="CY437" i="5"/>
  <c r="CY443" i="5"/>
  <c r="CY442" i="5"/>
  <c r="CY440" i="5"/>
  <c r="CY441" i="5"/>
  <c r="CY312" i="5" l="1"/>
  <c r="BY314" i="5"/>
  <c r="CY316" i="5"/>
  <c r="BY317" i="5"/>
  <c r="CZ317" i="5" s="1"/>
  <c r="CY317" i="5"/>
  <c r="BX318" i="5" l="1"/>
  <c r="CY318" i="5" s="1"/>
  <c r="BX329" i="5"/>
  <c r="CY329" i="5" s="1"/>
  <c r="CY14" i="5"/>
  <c r="CY15" i="5"/>
  <c r="BY15" i="5"/>
  <c r="CZ15" i="5" s="1"/>
  <c r="BX50" i="5"/>
  <c r="BX368" i="5"/>
  <c r="BX313" i="5" l="1"/>
  <c r="CY313" i="5" s="1"/>
  <c r="BY211" i="4"/>
  <c r="CY89" i="5"/>
  <c r="CY50" i="5"/>
  <c r="BX52" i="5"/>
  <c r="CY52" i="5" s="1"/>
  <c r="BY51" i="5"/>
  <c r="CZ51" i="5" s="1"/>
  <c r="BX51" i="5"/>
  <c r="CY51" i="5" s="1"/>
  <c r="BX69" i="5"/>
  <c r="CY20" i="5"/>
  <c r="BX214" i="5"/>
  <c r="BY450" i="5"/>
  <c r="CY368" i="5"/>
  <c r="CY30" i="5"/>
  <c r="BX173" i="5"/>
  <c r="CY173" i="5" s="1"/>
  <c r="BX37" i="5"/>
  <c r="CY37" i="5" s="1"/>
  <c r="BY31" i="5"/>
  <c r="BX246" i="5"/>
  <c r="CY246" i="5" s="1"/>
  <c r="BX37" i="4"/>
  <c r="CW14" i="4" l="1"/>
  <c r="BY15" i="4"/>
  <c r="BX342" i="4"/>
  <c r="CZ31" i="5"/>
  <c r="BY38" i="5"/>
  <c r="CZ38" i="5" s="1"/>
  <c r="CY95" i="5"/>
  <c r="CY96" i="5"/>
  <c r="CY31" i="5"/>
  <c r="BX38" i="5"/>
  <c r="CY38" i="5" s="1"/>
  <c r="CY69" i="5"/>
  <c r="BX75" i="5"/>
  <c r="CY75" i="5" s="1"/>
  <c r="CY145" i="5"/>
  <c r="CX15" i="4" l="1"/>
  <c r="M6" i="6" s="1"/>
  <c r="CW15" i="4"/>
  <c r="L6" i="6" s="1"/>
  <c r="BX131" i="5"/>
  <c r="CY131" i="5" s="1"/>
  <c r="CY125" i="5"/>
  <c r="CY126" i="5"/>
  <c r="BX142" i="5"/>
  <c r="CW21" i="4"/>
  <c r="CW91" i="4"/>
  <c r="BX143" i="5" l="1"/>
  <c r="BX230" i="4"/>
  <c r="CW22" i="4"/>
  <c r="CY137" i="5"/>
  <c r="CY138" i="5"/>
  <c r="CW179" i="4"/>
  <c r="BY179" i="4"/>
  <c r="CW110" i="4"/>
  <c r="BX233" i="4" l="1"/>
  <c r="BX232" i="4" s="1"/>
  <c r="BX231" i="4"/>
  <c r="BX224" i="4"/>
  <c r="BX222" i="4"/>
  <c r="CW115" i="4"/>
  <c r="L16" i="6"/>
  <c r="BY331" i="4"/>
  <c r="CX179" i="4"/>
  <c r="BZ179" i="4"/>
  <c r="CY142" i="5"/>
  <c r="CY143" i="5"/>
  <c r="BX226" i="4" l="1"/>
  <c r="BX225" i="4"/>
  <c r="CW39" i="4"/>
  <c r="L5" i="6" s="1"/>
  <c r="BZ331" i="4"/>
  <c r="CY179" i="4"/>
  <c r="CA179" i="4"/>
  <c r="L19" i="6"/>
  <c r="CW45" i="4" l="1"/>
  <c r="CW40" i="4"/>
  <c r="L8" i="6" s="1"/>
  <c r="CA331" i="4"/>
  <c r="CZ179" i="4"/>
  <c r="M7" i="6"/>
  <c r="CW37" i="4" l="1"/>
  <c r="BY37" i="4"/>
  <c r="BZ37" i="4" s="1"/>
  <c r="CY37" i="4" l="1"/>
  <c r="BZ34" i="4"/>
  <c r="CA37" i="4"/>
  <c r="CX37" i="4"/>
  <c r="BY34" i="4"/>
  <c r="CW34" i="4"/>
  <c r="L12" i="6" s="1"/>
  <c r="BZ233" i="4" l="1"/>
  <c r="BZ232" i="4" s="1"/>
  <c r="BZ224" i="4"/>
  <c r="BZ30" i="4"/>
  <c r="CY34" i="4"/>
  <c r="N12" i="6" s="1"/>
  <c r="BZ35" i="4"/>
  <c r="CW35" i="4"/>
  <c r="BY233" i="4"/>
  <c r="BY232" i="4" s="1"/>
  <c r="BY224" i="4"/>
  <c r="BY30" i="4"/>
  <c r="BY35" i="4"/>
  <c r="CX34" i="4"/>
  <c r="M12" i="6" s="1"/>
  <c r="L18" i="6"/>
  <c r="L20" i="6"/>
  <c r="CW30" i="4"/>
  <c r="M68" i="6" s="1"/>
  <c r="CZ37" i="4"/>
  <c r="CA34" i="4"/>
  <c r="CX35" i="4" l="1"/>
  <c r="BY86" i="4"/>
  <c r="CW86" i="4"/>
  <c r="CY30" i="4"/>
  <c r="BZ31" i="4"/>
  <c r="CY31" i="4" s="1"/>
  <c r="N9" i="6" s="1"/>
  <c r="BZ32" i="4"/>
  <c r="CY32" i="4" s="1"/>
  <c r="BZ341" i="4"/>
  <c r="CW31" i="4"/>
  <c r="L9" i="6" s="1"/>
  <c r="CX30" i="4"/>
  <c r="BY31" i="4"/>
  <c r="BY32" i="4"/>
  <c r="BY341" i="4"/>
  <c r="BZ226" i="4"/>
  <c r="BZ225" i="4"/>
  <c r="BZ23" i="4"/>
  <c r="CW23" i="4"/>
  <c r="BY225" i="4"/>
  <c r="BY226" i="4"/>
  <c r="BY23" i="4"/>
  <c r="CY35" i="4"/>
  <c r="BZ86" i="4"/>
  <c r="CA233" i="4"/>
  <c r="CA232" i="4" s="1"/>
  <c r="CA224" i="4"/>
  <c r="CA30" i="4"/>
  <c r="CB30" i="4" s="1"/>
  <c r="U73" i="6" s="1"/>
  <c r="CZ34" i="4"/>
  <c r="O12" i="6" s="1"/>
  <c r="CA35" i="4"/>
  <c r="M18" i="6"/>
  <c r="M20" i="6"/>
  <c r="N20" i="6"/>
  <c r="N18" i="6"/>
  <c r="CZ30" i="4" l="1"/>
  <c r="CA32" i="4"/>
  <c r="CZ32" i="4" s="1"/>
  <c r="CA31" i="4"/>
  <c r="CZ31" i="4" s="1"/>
  <c r="O9" i="6" s="1"/>
  <c r="CA341" i="4"/>
  <c r="CA226" i="4"/>
  <c r="CA225" i="4"/>
  <c r="CA23" i="4"/>
  <c r="CX32" i="4"/>
  <c r="O18" i="6"/>
  <c r="O20" i="6"/>
  <c r="P12" i="6"/>
  <c r="BZ267" i="4"/>
  <c r="CY86" i="4"/>
  <c r="CW28" i="4"/>
  <c r="CX23" i="4"/>
  <c r="BY24" i="4"/>
  <c r="BY28" i="4"/>
  <c r="BZ24" i="4"/>
  <c r="CY24" i="4" s="1"/>
  <c r="CY23" i="4"/>
  <c r="BZ28" i="4"/>
  <c r="BY267" i="4"/>
  <c r="CX86" i="4"/>
  <c r="CZ35" i="4"/>
  <c r="CA86" i="4"/>
  <c r="CW24" i="4"/>
  <c r="CX31" i="4"/>
  <c r="M9" i="6" s="1"/>
  <c r="CX24" i="4" l="1"/>
  <c r="BZ320" i="4"/>
  <c r="CY28" i="4"/>
  <c r="CA267" i="4"/>
  <c r="CZ86" i="4"/>
  <c r="CA24" i="4"/>
  <c r="CZ24" i="4" s="1"/>
  <c r="CZ23" i="4"/>
  <c r="CA28" i="4"/>
  <c r="Q12" i="6"/>
  <c r="CX28" i="4"/>
  <c r="BY320" i="4"/>
  <c r="R12" i="6" l="1"/>
  <c r="CZ28" i="4"/>
  <c r="CA320" i="4"/>
  <c r="S12" i="6" l="1"/>
  <c r="T12" i="6" l="1"/>
  <c r="T16" i="6" l="1"/>
  <c r="T21" i="6" s="1"/>
  <c r="CW146" i="4" l="1"/>
  <c r="CW90" i="4"/>
  <c r="BX238" i="4"/>
  <c r="BY238" i="4" s="1"/>
  <c r="BY146" i="4" l="1"/>
  <c r="BZ238" i="4"/>
  <c r="CX146" i="4" l="1"/>
  <c r="BY90" i="4"/>
  <c r="CA238" i="4"/>
  <c r="CA146" i="4" s="1"/>
  <c r="CZ146" i="4" s="1"/>
  <c r="BZ146" i="4"/>
  <c r="BZ90" i="4" s="1"/>
  <c r="CX90" i="4" l="1"/>
  <c r="CY90" i="4"/>
  <c r="CY146" i="4"/>
  <c r="CA90" i="4"/>
  <c r="CZ90" i="4" l="1"/>
  <c r="CW147" i="4"/>
  <c r="CW166" i="4"/>
  <c r="CW165" i="4"/>
  <c r="CW163" i="4"/>
  <c r="CW99" i="4"/>
  <c r="CW103" i="4"/>
  <c r="CW162" i="4"/>
  <c r="BX240" i="4"/>
  <c r="BY240" i="4" s="1"/>
  <c r="CW144" i="4"/>
  <c r="CW101" i="4"/>
  <c r="CW100" i="4"/>
  <c r="BX241" i="4"/>
  <c r="BY241" i="4" s="1"/>
  <c r="BX242" i="4"/>
  <c r="BY242" i="4" s="1"/>
  <c r="BX237" i="4"/>
  <c r="BY237" i="4" s="1"/>
  <c r="BY161" i="4" s="1"/>
  <c r="CW161" i="4"/>
  <c r="BX239" i="4"/>
  <c r="BY239" i="4" s="1"/>
  <c r="BX243" i="4"/>
  <c r="BY243" i="4" s="1"/>
  <c r="BY166" i="4" s="1"/>
  <c r="BX236" i="4"/>
  <c r="BY236" i="4" s="1"/>
  <c r="BZ236" i="4" s="1"/>
  <c r="CA236" i="4" s="1"/>
  <c r="BX344" i="4"/>
  <c r="CW169" i="4" l="1"/>
  <c r="CW175" i="4" s="1"/>
  <c r="CA144" i="4"/>
  <c r="CZ144" i="4" s="1"/>
  <c r="BY144" i="4"/>
  <c r="CX144" i="4" s="1"/>
  <c r="CX161" i="4"/>
  <c r="BY101" i="4"/>
  <c r="CX101" i="4" s="1"/>
  <c r="CX166" i="4"/>
  <c r="BY147" i="4"/>
  <c r="BZ239" i="4"/>
  <c r="BZ237" i="4"/>
  <c r="BZ242" i="4"/>
  <c r="BY165" i="4"/>
  <c r="CW97" i="4"/>
  <c r="BZ243" i="4"/>
  <c r="BZ241" i="4"/>
  <c r="BY163" i="4"/>
  <c r="CX163" i="4" s="1"/>
  <c r="BY162" i="4"/>
  <c r="CX162" i="4" s="1"/>
  <c r="BZ240" i="4"/>
  <c r="BZ144" i="4" l="1"/>
  <c r="BZ97" i="4" s="1"/>
  <c r="BY97" i="4"/>
  <c r="BZ166" i="4"/>
  <c r="CA243" i="4"/>
  <c r="CA166" i="4" s="1"/>
  <c r="CA237" i="4"/>
  <c r="CA161" i="4" s="1"/>
  <c r="BZ161" i="4"/>
  <c r="BZ147" i="4"/>
  <c r="BZ99" i="4" s="1"/>
  <c r="CY99" i="4" s="1"/>
  <c r="CA239" i="4"/>
  <c r="CA147" i="4" s="1"/>
  <c r="CZ147" i="4" s="1"/>
  <c r="L15" i="6"/>
  <c r="CX165" i="4"/>
  <c r="CX169" i="4" s="1"/>
  <c r="CX175" i="4" s="1"/>
  <c r="BY103" i="4"/>
  <c r="CX103" i="4" s="1"/>
  <c r="CX147" i="4"/>
  <c r="BY99" i="4"/>
  <c r="CX99" i="4" s="1"/>
  <c r="BY169" i="4"/>
  <c r="BY175" i="4" s="1"/>
  <c r="BZ162" i="4"/>
  <c r="CY162" i="4" s="1"/>
  <c r="CA240" i="4"/>
  <c r="CA162" i="4" s="1"/>
  <c r="CZ162" i="4" s="1"/>
  <c r="BZ163" i="4"/>
  <c r="CY163" i="4" s="1"/>
  <c r="CA241" i="4"/>
  <c r="CA163" i="4" s="1"/>
  <c r="CZ163" i="4" s="1"/>
  <c r="BZ165" i="4"/>
  <c r="CA242" i="4"/>
  <c r="CA165" i="4" s="1"/>
  <c r="CY144" i="4"/>
  <c r="CA97" i="4"/>
  <c r="BY100" i="4"/>
  <c r="CX100" i="4" s="1"/>
  <c r="CY97" i="4" l="1"/>
  <c r="CX97" i="4"/>
  <c r="M15" i="6" s="1"/>
  <c r="CY165" i="4"/>
  <c r="BZ103" i="4"/>
  <c r="CY103" i="4" s="1"/>
  <c r="BY344" i="4"/>
  <c r="L17" i="6"/>
  <c r="L21" i="6"/>
  <c r="CA99" i="4"/>
  <c r="CZ99" i="4" s="1"/>
  <c r="CY147" i="4"/>
  <c r="BZ101" i="4"/>
  <c r="CY101" i="4" s="1"/>
  <c r="CY166" i="4"/>
  <c r="CY161" i="4"/>
  <c r="BZ169" i="4"/>
  <c r="BZ175" i="4" s="1"/>
  <c r="BZ100" i="4"/>
  <c r="CZ97" i="4"/>
  <c r="CA100" i="4"/>
  <c r="CZ100" i="4" s="1"/>
  <c r="CZ161" i="4"/>
  <c r="CA169" i="4"/>
  <c r="CA175" i="4" s="1"/>
  <c r="CA103" i="4"/>
  <c r="CZ103" i="4" s="1"/>
  <c r="CZ165" i="4"/>
  <c r="CZ166" i="4"/>
  <c r="CA101" i="4"/>
  <c r="CZ101" i="4" s="1"/>
  <c r="CY169" i="4" l="1"/>
  <c r="CY175" i="4" s="1"/>
  <c r="CZ169" i="4"/>
  <c r="CZ175" i="4" s="1"/>
  <c r="M17" i="6"/>
  <c r="M21" i="6"/>
  <c r="O15" i="6"/>
  <c r="CY100" i="4"/>
  <c r="CA344" i="4"/>
  <c r="BZ344" i="4"/>
  <c r="O17" i="6" l="1"/>
  <c r="O21" i="6"/>
  <c r="N15" i="6"/>
  <c r="N17" i="6" l="1"/>
  <c r="N21" i="6"/>
  <c r="CW46" i="4"/>
  <c r="BX245" i="4"/>
  <c r="CW78" i="4" s="1"/>
  <c r="CW48" i="4"/>
  <c r="CW49" i="4" s="1"/>
  <c r="CW51" i="4"/>
  <c r="CW56" i="4" l="1"/>
  <c r="BX345" i="4" l="1"/>
  <c r="BX347" i="4" s="1"/>
  <c r="BX351" i="4"/>
  <c r="CW84" i="4"/>
  <c r="CW106" i="4" s="1"/>
  <c r="BX249" i="4"/>
  <c r="L10" i="6" s="1"/>
  <c r="L11" i="6" s="1"/>
  <c r="L13" i="6" s="1"/>
  <c r="L23" i="6" s="1"/>
  <c r="M71" i="6" l="1"/>
  <c r="BY249" i="4"/>
  <c r="BY360" i="4" l="1"/>
  <c r="M10" i="6"/>
  <c r="M11" i="6" s="1"/>
  <c r="M13" i="6" s="1"/>
  <c r="M23" i="6" s="1"/>
  <c r="BZ249" i="4"/>
  <c r="BY46" i="4"/>
  <c r="P79" i="6"/>
  <c r="P91" i="6"/>
  <c r="CX46" i="4" l="1"/>
  <c r="BY48" i="4"/>
  <c r="N10" i="6"/>
  <c r="N11" i="6" s="1"/>
  <c r="N13" i="6" s="1"/>
  <c r="N23" i="6" s="1"/>
  <c r="BZ360" i="4"/>
  <c r="BZ46" i="4"/>
  <c r="CA249" i="4"/>
  <c r="M24" i="6"/>
  <c r="CA360" i="4" l="1"/>
  <c r="CA46" i="4"/>
  <c r="O10" i="6"/>
  <c r="CX48" i="4"/>
  <c r="CX49" i="4" s="1"/>
  <c r="BY49" i="4"/>
  <c r="BY345" i="4"/>
  <c r="BY347" i="4" s="1"/>
  <c r="BY348" i="4" s="1"/>
  <c r="BY51" i="4"/>
  <c r="CY46" i="4"/>
  <c r="BZ48" i="4"/>
  <c r="N24" i="6"/>
  <c r="CZ46" i="4" l="1"/>
  <c r="CA48" i="4"/>
  <c r="CY48" i="4"/>
  <c r="CY49" i="4" s="1"/>
  <c r="BZ49" i="4"/>
  <c r="BZ345" i="4"/>
  <c r="BZ347" i="4" s="1"/>
  <c r="BZ348" i="4" s="1"/>
  <c r="BZ51" i="4"/>
  <c r="CX51" i="4"/>
  <c r="BY84" i="4"/>
  <c r="BY56" i="4"/>
  <c r="O11" i="6"/>
  <c r="O13" i="6" s="1"/>
  <c r="O23" i="6" s="1"/>
  <c r="P10" i="6"/>
  <c r="CZ48" i="4" l="1"/>
  <c r="CZ49" i="4" s="1"/>
  <c r="CA49" i="4"/>
  <c r="CA345" i="4"/>
  <c r="CA347" i="4" s="1"/>
  <c r="CA348" i="4" s="1"/>
  <c r="CA51" i="4"/>
  <c r="Q10" i="6"/>
  <c r="P11" i="6"/>
  <c r="P13" i="6" s="1"/>
  <c r="P23" i="6" s="1"/>
  <c r="CY51" i="4"/>
  <c r="BZ56" i="4"/>
  <c r="BZ84" i="4"/>
  <c r="O24" i="6"/>
  <c r="CX56" i="4"/>
  <c r="BY351" i="4"/>
  <c r="BY106" i="4"/>
  <c r="CX84" i="4"/>
  <c r="CX106" i="4" s="1"/>
  <c r="BZ106" i="4" l="1"/>
  <c r="CY84" i="4"/>
  <c r="CY106" i="4" s="1"/>
  <c r="P24" i="6"/>
  <c r="CY56" i="4"/>
  <c r="BZ351" i="4"/>
  <c r="Q11" i="6"/>
  <c r="Q13" i="6" s="1"/>
  <c r="Q23" i="6" s="1"/>
  <c r="R10" i="6"/>
  <c r="CZ51" i="4"/>
  <c r="CA56" i="4"/>
  <c r="CA84" i="4"/>
  <c r="Q24" i="6" l="1"/>
  <c r="CZ56" i="4"/>
  <c r="CA351" i="4"/>
  <c r="CZ84" i="4"/>
  <c r="CZ106" i="4" s="1"/>
  <c r="CA106" i="4"/>
  <c r="R11" i="6"/>
  <c r="R13" i="6" s="1"/>
  <c r="R23" i="6" s="1"/>
  <c r="S10" i="6"/>
  <c r="T10" i="6" l="1"/>
  <c r="T11" i="6" s="1"/>
  <c r="T13" i="6" s="1"/>
  <c r="T23" i="6" s="1"/>
  <c r="S11" i="6"/>
  <c r="S13" i="6" s="1"/>
  <c r="S23" i="6" s="1"/>
  <c r="R24" i="6"/>
  <c r="S24" i="6" l="1"/>
  <c r="I39" i="6"/>
  <c r="T24" i="6"/>
  <c r="R63" i="6" l="1"/>
  <c r="AA63" i="6"/>
  <c r="U63" i="6"/>
  <c r="N26" i="6" s="1"/>
  <c r="Y63" i="6"/>
  <c r="R26" i="6" s="1"/>
  <c r="V63" i="6"/>
  <c r="O26" i="6" s="1"/>
  <c r="W63" i="6"/>
  <c r="P26" i="6" s="1"/>
  <c r="T63" i="6"/>
  <c r="M26" i="6" s="1"/>
  <c r="S63" i="6"/>
  <c r="L26" i="6" s="1"/>
  <c r="I45" i="6"/>
  <c r="J2" i="6" s="1"/>
  <c r="Q63" i="6"/>
  <c r="X63" i="6"/>
  <c r="Q26" i="6" s="1"/>
  <c r="Z63" i="6"/>
  <c r="S26" i="6" s="1"/>
  <c r="BP147" i="5" l="1"/>
  <c r="BQ147" i="5" s="1"/>
  <c r="BQ148" i="5" l="1"/>
  <c r="BQ58" i="4" s="1"/>
  <c r="BR147" i="5"/>
  <c r="BS147" i="5" s="1"/>
  <c r="BP148" i="5"/>
  <c r="BP58" i="4" s="1"/>
  <c r="BQ60" i="4" l="1"/>
  <c r="BQ63" i="4"/>
  <c r="BP60" i="4"/>
  <c r="BP63" i="4"/>
  <c r="CX147" i="5"/>
  <c r="BS148" i="5"/>
  <c r="CX148" i="5" s="1"/>
  <c r="BR148" i="5"/>
  <c r="BR58" i="4" s="1"/>
  <c r="BT147" i="5"/>
  <c r="BP64" i="4" l="1"/>
  <c r="BP76" i="4"/>
  <c r="BP79" i="4" s="1"/>
  <c r="BQ332" i="4"/>
  <c r="BR60" i="4"/>
  <c r="BR63" i="4"/>
  <c r="BP332" i="4"/>
  <c r="BU147" i="5"/>
  <c r="BT148" i="5"/>
  <c r="BT58" i="4" s="1"/>
  <c r="BQ64" i="4"/>
  <c r="BQ76" i="4"/>
  <c r="BQ79" i="4" s="1"/>
  <c r="BR64" i="4" l="1"/>
  <c r="BR76" i="4"/>
  <c r="BR332" i="4"/>
  <c r="BT60" i="4"/>
  <c r="BT63" i="4"/>
  <c r="BU148" i="5"/>
  <c r="BU58" i="4" s="1"/>
  <c r="BV147" i="5"/>
  <c r="BT64" i="4" l="1"/>
  <c r="BT76" i="4"/>
  <c r="BR79" i="4"/>
  <c r="BW147" i="5"/>
  <c r="BW148" i="5" s="1"/>
  <c r="BW58" i="4" s="1"/>
  <c r="BV148" i="5"/>
  <c r="BV58" i="4" s="1"/>
  <c r="BU63" i="4"/>
  <c r="BU60" i="4"/>
  <c r="BT332" i="4"/>
  <c r="BX58" i="4" l="1"/>
  <c r="CW58" i="4" s="1"/>
  <c r="BV60" i="4"/>
  <c r="BV63" i="4"/>
  <c r="BU332" i="4"/>
  <c r="BW60" i="4"/>
  <c r="BW63" i="4"/>
  <c r="BT79" i="4"/>
  <c r="BU76" i="4"/>
  <c r="BU79" i="4" s="1"/>
  <c r="BU64" i="4"/>
  <c r="BX147" i="5"/>
  <c r="BX63" i="4" l="1"/>
  <c r="CW63" i="4" s="1"/>
  <c r="BX60" i="4"/>
  <c r="BW64" i="4"/>
  <c r="BW76" i="4"/>
  <c r="BW79" i="4" s="1"/>
  <c r="BV332" i="4"/>
  <c r="CY147" i="5"/>
  <c r="BX148" i="5"/>
  <c r="CY148" i="5" s="1"/>
  <c r="BY147" i="5"/>
  <c r="CW60" i="4"/>
  <c r="BW332" i="4"/>
  <c r="BV64" i="4"/>
  <c r="BV76" i="4"/>
  <c r="BV79" i="4" s="1"/>
  <c r="BX64" i="4" l="1"/>
  <c r="BX332" i="4"/>
  <c r="BX79" i="4"/>
  <c r="CW79" i="4" s="1"/>
  <c r="BX76" i="4"/>
  <c r="CW76" i="4" s="1"/>
  <c r="CZ147" i="5"/>
  <c r="BY148" i="5"/>
  <c r="BZ147" i="5"/>
  <c r="CW64" i="4" l="1"/>
  <c r="DA147" i="5"/>
  <c r="CA147" i="5"/>
  <c r="BZ148" i="5"/>
  <c r="CZ148" i="5"/>
  <c r="BY58" i="4"/>
  <c r="DA148" i="5" l="1"/>
  <c r="BZ58" i="4"/>
  <c r="CX58" i="4"/>
  <c r="BY60" i="4"/>
  <c r="BY63" i="4"/>
  <c r="DB147" i="5"/>
  <c r="CA148" i="5"/>
  <c r="CY58" i="4" l="1"/>
  <c r="BZ60" i="4"/>
  <c r="BZ63" i="4"/>
  <c r="CX63" i="4"/>
  <c r="BY64" i="4"/>
  <c r="BY76" i="4"/>
  <c r="DB148" i="5"/>
  <c r="CA58" i="4"/>
  <c r="BY332" i="4"/>
  <c r="CX60" i="4"/>
  <c r="CZ58" i="4" l="1"/>
  <c r="CA63" i="4"/>
  <c r="CB63" i="4" s="1"/>
  <c r="CA60" i="4"/>
  <c r="CX64" i="4"/>
  <c r="BZ332" i="4"/>
  <c r="CY60" i="4"/>
  <c r="CX76" i="4"/>
  <c r="BY79" i="4"/>
  <c r="CY63" i="4"/>
  <c r="BZ76" i="4"/>
  <c r="BZ64" i="4"/>
  <c r="CY76" i="4" l="1"/>
  <c r="BZ79" i="4"/>
  <c r="CX79" i="4"/>
  <c r="CZ60" i="4"/>
  <c r="CA332" i="4"/>
  <c r="CZ63" i="4"/>
  <c r="CA64" i="4"/>
  <c r="CB64" i="4" s="1"/>
  <c r="CA76" i="4"/>
  <c r="CY64" i="4"/>
  <c r="CZ76" i="4" l="1"/>
  <c r="CA79" i="4"/>
  <c r="CZ64" i="4"/>
  <c r="CY79" i="4"/>
  <c r="CZ79" i="4" l="1"/>
  <c r="BP184" i="4"/>
  <c r="BQ184" i="4" s="1"/>
  <c r="BR184" i="4" s="1"/>
  <c r="BS184" i="4" s="1"/>
  <c r="D45" i="8"/>
  <c r="G45" i="8" l="1"/>
  <c r="F45" i="8"/>
  <c r="J45" i="8"/>
  <c r="M45" i="8"/>
  <c r="CV184" i="4"/>
  <c r="L27" i="6" s="1"/>
  <c r="BT184" i="4"/>
  <c r="BU184" i="4" s="1"/>
  <c r="BV184" i="4" s="1"/>
  <c r="BW184" i="4" s="1"/>
  <c r="BX184" i="4" s="1"/>
  <c r="DB58" i="4"/>
  <c r="BS58" i="4"/>
  <c r="CW184" i="4" l="1"/>
  <c r="M27" i="6" s="1"/>
  <c r="BY184" i="4"/>
  <c r="CV58" i="4"/>
  <c r="BO183" i="4" l="1"/>
  <c r="BO185" i="4" s="1"/>
  <c r="CX184" i="4"/>
  <c r="N27" i="6" s="1"/>
  <c r="BZ184" i="4"/>
  <c r="BO187" i="4" l="1"/>
  <c r="CA184" i="4"/>
  <c r="CZ184" i="4" s="1"/>
  <c r="CY184" i="4"/>
  <c r="O27" i="6" s="1"/>
  <c r="P27" i="6" l="1"/>
  <c r="Q27" i="6" l="1"/>
  <c r="R27" i="6" l="1"/>
  <c r="S27" i="6" l="1"/>
  <c r="DB34" i="4" l="1"/>
  <c r="BO233" i="4"/>
  <c r="BO232" i="4" s="1"/>
  <c r="D24" i="8"/>
  <c r="J24" i="8" l="1"/>
  <c r="F24" i="8"/>
  <c r="G24" i="8"/>
  <c r="M24" i="8"/>
  <c r="BO224" i="4"/>
  <c r="BS34" i="4"/>
  <c r="CV34" i="4" s="1"/>
  <c r="K12" i="6" s="1"/>
  <c r="BS86" i="4"/>
  <c r="D12" i="8"/>
  <c r="D25" i="8"/>
  <c r="G25" i="8" l="1"/>
  <c r="F25" i="8"/>
  <c r="M25" i="8"/>
  <c r="J25" i="8"/>
  <c r="F12" i="8"/>
  <c r="G12" i="8"/>
  <c r="M12" i="8"/>
  <c r="J12" i="8"/>
  <c r="K20" i="6"/>
  <c r="K18" i="6"/>
  <c r="CV86" i="4"/>
  <c r="BS35" i="4"/>
  <c r="CV35" i="4" s="1"/>
  <c r="DB35" i="4"/>
  <c r="DB23" i="4"/>
  <c r="DB24" i="4" s="1"/>
  <c r="BO24" i="4"/>
  <c r="BS23" i="4"/>
  <c r="BO28" i="4"/>
  <c r="BS233" i="4"/>
  <c r="BS232" i="4" s="1"/>
  <c r="BS37" i="4"/>
  <c r="CV37" i="4" s="1"/>
  <c r="BS224" i="4"/>
  <c r="BO225" i="4"/>
  <c r="BO226" i="4"/>
  <c r="D13" i="8"/>
  <c r="D15" i="8"/>
  <c r="BO39" i="4" l="1"/>
  <c r="BO321" i="4"/>
  <c r="BO320" i="4"/>
  <c r="M13" i="8"/>
  <c r="J13" i="8"/>
  <c r="G13" i="8"/>
  <c r="F13" i="8"/>
  <c r="F15" i="8"/>
  <c r="G15" i="8"/>
  <c r="J15" i="8"/>
  <c r="M15" i="8"/>
  <c r="D16" i="8"/>
  <c r="BS267" i="4"/>
  <c r="BS270" i="4" s="1"/>
  <c r="DB28" i="4"/>
  <c r="BS28" i="4"/>
  <c r="BS225" i="4"/>
  <c r="BS226" i="4"/>
  <c r="CV23" i="4"/>
  <c r="BS24" i="4"/>
  <c r="D29" i="8"/>
  <c r="D101" i="8"/>
  <c r="BS39" i="4" l="1"/>
  <c r="BO45" i="4"/>
  <c r="DB45" i="4" s="1"/>
  <c r="DB39" i="4"/>
  <c r="DB40" i="4" s="1"/>
  <c r="BO40" i="4"/>
  <c r="BO30" i="4"/>
  <c r="BS30" i="4" s="1"/>
  <c r="BO323" i="4"/>
  <c r="BP319" i="4" s="1"/>
  <c r="D102" i="8"/>
  <c r="M102" i="8" s="1"/>
  <c r="G101" i="8"/>
  <c r="F101" i="8"/>
  <c r="J101" i="8"/>
  <c r="M101" i="8"/>
  <c r="G29" i="8"/>
  <c r="J29" i="8"/>
  <c r="M29" i="8"/>
  <c r="D109" i="8"/>
  <c r="F29" i="8"/>
  <c r="CV39" i="4"/>
  <c r="K5" i="6" s="1"/>
  <c r="BS40" i="4"/>
  <c r="BO51" i="4"/>
  <c r="BO63" i="4" s="1"/>
  <c r="F16" i="8"/>
  <c r="M16" i="8"/>
  <c r="J16" i="8"/>
  <c r="BS320" i="4"/>
  <c r="BT265" i="4"/>
  <c r="BT270" i="4" s="1"/>
  <c r="BS152" i="4"/>
  <c r="BX265" i="4"/>
  <c r="BX270" i="4" s="1"/>
  <c r="CV24" i="4"/>
  <c r="CV28" i="4"/>
  <c r="BP265" i="4"/>
  <c r="BP270" i="4" s="1"/>
  <c r="D20" i="8"/>
  <c r="D30" i="8"/>
  <c r="D34" i="8"/>
  <c r="D40" i="8"/>
  <c r="BS45" i="4" l="1"/>
  <c r="CV45" i="4" s="1"/>
  <c r="CV49" i="4" s="1"/>
  <c r="G34" i="8"/>
  <c r="D38" i="8"/>
  <c r="F34" i="8"/>
  <c r="J34" i="8"/>
  <c r="M34" i="8"/>
  <c r="BO49" i="4"/>
  <c r="BO249" i="4"/>
  <c r="BO31" i="4"/>
  <c r="BT32" i="4"/>
  <c r="DB30" i="4"/>
  <c r="DB31" i="4" s="1"/>
  <c r="BO32" i="4"/>
  <c r="F102" i="8"/>
  <c r="D108" i="8"/>
  <c r="J20" i="8"/>
  <c r="G20" i="8"/>
  <c r="F20" i="8"/>
  <c r="M20" i="8"/>
  <c r="J30" i="8"/>
  <c r="F30" i="8"/>
  <c r="D111" i="8"/>
  <c r="G30" i="8"/>
  <c r="M30" i="8"/>
  <c r="BO341" i="4"/>
  <c r="BO347" i="4" s="1"/>
  <c r="BO348" i="4" s="1"/>
  <c r="J102" i="8"/>
  <c r="G40" i="8"/>
  <c r="J40" i="8"/>
  <c r="F40" i="8"/>
  <c r="M40" i="8"/>
  <c r="BS249" i="4"/>
  <c r="K10" i="6" s="1"/>
  <c r="K11" i="6" s="1"/>
  <c r="K13" i="6" s="1"/>
  <c r="K23" i="6" s="1"/>
  <c r="BS341" i="4"/>
  <c r="BS347" i="4" s="1"/>
  <c r="BX32" i="4"/>
  <c r="CV30" i="4"/>
  <c r="L68" i="6" s="1"/>
  <c r="BS32" i="4"/>
  <c r="BS31" i="4"/>
  <c r="CV40" i="4"/>
  <c r="K8" i="6" s="1"/>
  <c r="BO56" i="4"/>
  <c r="DB51" i="4"/>
  <c r="K7" i="6"/>
  <c r="L7" i="6"/>
  <c r="CV152" i="4"/>
  <c r="BP152" i="4"/>
  <c r="BQ265" i="4"/>
  <c r="BQ270" i="4" s="1"/>
  <c r="BT152" i="4"/>
  <c r="BU265" i="4"/>
  <c r="BU270" i="4" s="1"/>
  <c r="BX152" i="4"/>
  <c r="BY265" i="4"/>
  <c r="BY270" i="4" s="1"/>
  <c r="BP321" i="4"/>
  <c r="BP323" i="4" s="1"/>
  <c r="BQ319" i="4" s="1"/>
  <c r="D21" i="8"/>
  <c r="D49" i="8"/>
  <c r="D44" i="8"/>
  <c r="D22" i="8"/>
  <c r="BS245" i="4" l="1"/>
  <c r="BS49" i="4"/>
  <c r="BS51" i="4"/>
  <c r="BO351" i="4"/>
  <c r="BO60" i="4"/>
  <c r="BO332" i="4" s="1"/>
  <c r="BQ360" i="4"/>
  <c r="BO360" i="4"/>
  <c r="BP360" i="4"/>
  <c r="BR360" i="4"/>
  <c r="BS360" i="4" s="1"/>
  <c r="M21" i="8"/>
  <c r="F21" i="8"/>
  <c r="J21" i="8"/>
  <c r="G21" i="8"/>
  <c r="G22" i="8"/>
  <c r="F22" i="8"/>
  <c r="J22" i="8"/>
  <c r="M22" i="8"/>
  <c r="DB341" i="4"/>
  <c r="G44" i="8"/>
  <c r="F44" i="8"/>
  <c r="M44" i="8"/>
  <c r="J44" i="8"/>
  <c r="G49" i="8"/>
  <c r="J49" i="8"/>
  <c r="M49" i="8"/>
  <c r="F49" i="8"/>
  <c r="CV32" i="4"/>
  <c r="BO84" i="4"/>
  <c r="DB56" i="4"/>
  <c r="BS56" i="4"/>
  <c r="CV51" i="4"/>
  <c r="BS63" i="4"/>
  <c r="BT348" i="4"/>
  <c r="DB347" i="4"/>
  <c r="CW32" i="4"/>
  <c r="L24" i="6"/>
  <c r="J26" i="6"/>
  <c r="J30" i="6" s="1"/>
  <c r="J32" i="6" s="1"/>
  <c r="J33" i="6" s="1"/>
  <c r="L71" i="6"/>
  <c r="K26" i="6"/>
  <c r="K30" i="6" s="1"/>
  <c r="K32" i="6" s="1"/>
  <c r="K33" i="6" s="1"/>
  <c r="K24" i="6"/>
  <c r="BO64" i="4"/>
  <c r="DB63" i="4"/>
  <c r="BO76" i="4"/>
  <c r="BO72" i="4"/>
  <c r="CV31" i="4"/>
  <c r="K9" i="6" s="1"/>
  <c r="BX348" i="4"/>
  <c r="BS348" i="4"/>
  <c r="BY152" i="4"/>
  <c r="BZ265" i="4"/>
  <c r="BZ270" i="4" s="1"/>
  <c r="CW152" i="4"/>
  <c r="BQ321" i="4"/>
  <c r="BQ323" i="4" s="1"/>
  <c r="BR319" i="4" s="1"/>
  <c r="BU152" i="4"/>
  <c r="BV265" i="4"/>
  <c r="BV270" i="4" s="1"/>
  <c r="BQ152" i="4"/>
  <c r="BR265" i="4"/>
  <c r="BR270" i="4" s="1"/>
  <c r="BR152" i="4" s="1"/>
  <c r="D47" i="8"/>
  <c r="D50" i="8"/>
  <c r="BO334" i="4" l="1"/>
  <c r="BO336" i="4" s="1"/>
  <c r="BO337" i="4" s="1"/>
  <c r="J47" i="8"/>
  <c r="G47" i="8"/>
  <c r="M47" i="8"/>
  <c r="F47" i="8"/>
  <c r="F50" i="8"/>
  <c r="J50" i="8"/>
  <c r="G50" i="8"/>
  <c r="M50" i="8"/>
  <c r="BS76" i="4"/>
  <c r="CV76" i="4" s="1"/>
  <c r="BO79" i="4"/>
  <c r="DB60" i="4"/>
  <c r="BO71" i="4"/>
  <c r="O79" i="6"/>
  <c r="O91" i="6"/>
  <c r="CV56" i="4"/>
  <c r="BS351" i="4"/>
  <c r="BS60" i="4"/>
  <c r="DB64" i="4"/>
  <c r="BO73" i="4"/>
  <c r="BS64" i="4"/>
  <c r="CV63" i="4"/>
  <c r="BS84" i="4"/>
  <c r="BO106" i="4"/>
  <c r="BO304" i="4" s="1"/>
  <c r="BW265" i="4"/>
  <c r="BW270" i="4" s="1"/>
  <c r="BW152" i="4" s="1"/>
  <c r="BV152" i="4"/>
  <c r="BR321" i="4"/>
  <c r="BS321" i="4" s="1"/>
  <c r="BS323" i="4" s="1"/>
  <c r="CA265" i="4"/>
  <c r="CA270" i="4" s="1"/>
  <c r="CA152" i="4" s="1"/>
  <c r="BZ152" i="4"/>
  <c r="CX152" i="4"/>
  <c r="D58" i="8"/>
  <c r="D57" i="8"/>
  <c r="J58" i="8" l="1"/>
  <c r="F58" i="8"/>
  <c r="G58" i="8"/>
  <c r="M58" i="8"/>
  <c r="M57" i="8"/>
  <c r="J57" i="8"/>
  <c r="F57" i="8"/>
  <c r="G57" i="8"/>
  <c r="BS332" i="4"/>
  <c r="CV60" i="4"/>
  <c r="BO80" i="4"/>
  <c r="BS79" i="4"/>
  <c r="CV79" i="4" s="1"/>
  <c r="BT304" i="4"/>
  <c r="BT302" i="4" s="1"/>
  <c r="BO132" i="4"/>
  <c r="BO135" i="4" s="1"/>
  <c r="CV64" i="4"/>
  <c r="CV84" i="4"/>
  <c r="CV106" i="4" s="1"/>
  <c r="BS106" i="4"/>
  <c r="CY152" i="4"/>
  <c r="CZ152" i="4"/>
  <c r="BT319" i="4"/>
  <c r="BX319" i="4"/>
  <c r="BR323" i="4"/>
  <c r="D60" i="8"/>
  <c r="M60" i="8" l="1"/>
  <c r="D110" i="8"/>
  <c r="F60" i="8"/>
  <c r="G60" i="8"/>
  <c r="J60" i="8"/>
  <c r="BP133" i="4"/>
  <c r="BO142" i="4"/>
  <c r="BT119" i="4"/>
  <c r="BT321" i="4"/>
  <c r="O70" i="6" l="1"/>
  <c r="BO298" i="4"/>
  <c r="BO289" i="4"/>
  <c r="BO290" i="4" s="1"/>
  <c r="BO361" i="4"/>
  <c r="BO362" i="4" s="1"/>
  <c r="BP329" i="4"/>
  <c r="BO137" i="4"/>
  <c r="BO149" i="4"/>
  <c r="BO157" i="4" s="1"/>
  <c r="BT333" i="4"/>
  <c r="BT126" i="4"/>
  <c r="BT132" i="4" s="1"/>
  <c r="BT323" i="4"/>
  <c r="BU319" i="4" s="1"/>
  <c r="BO354" i="4" l="1"/>
  <c r="BO352" i="4"/>
  <c r="BO353" i="4" s="1"/>
  <c r="J79" i="6"/>
  <c r="J91" i="6"/>
  <c r="BO189" i="4"/>
  <c r="BU321" i="4"/>
  <c r="BU323" i="4" s="1"/>
  <c r="BV319" i="4" s="1"/>
  <c r="BO355" i="4" l="1"/>
  <c r="L79" i="6"/>
  <c r="K79" i="6"/>
  <c r="L91" i="6"/>
  <c r="K91" i="6"/>
  <c r="BV321" i="4"/>
  <c r="BV323" i="4" s="1"/>
  <c r="BW319" i="4" s="1"/>
  <c r="BW321" i="4" l="1"/>
  <c r="BX321" i="4" s="1"/>
  <c r="BX323" i="4" s="1"/>
  <c r="BY319" i="4" s="1"/>
  <c r="BW323" i="4" l="1"/>
  <c r="BY321" i="4"/>
  <c r="BY323" i="4" s="1"/>
  <c r="BZ319" i="4" s="1"/>
  <c r="BZ321" i="4" l="1"/>
  <c r="BZ323" i="4" s="1"/>
  <c r="CA319" i="4" s="1"/>
  <c r="CA321" i="4" l="1"/>
  <c r="CA323" i="4" s="1"/>
  <c r="BS313" i="4" l="1"/>
  <c r="BP312" i="4"/>
  <c r="BT313" i="4"/>
  <c r="BX313" i="4" s="1"/>
  <c r="BY313" i="4" s="1"/>
  <c r="BY311" i="4" l="1"/>
  <c r="BZ313" i="4"/>
  <c r="BP66" i="4"/>
  <c r="BQ312" i="4"/>
  <c r="BT311" i="4"/>
  <c r="BZ311" i="4" l="1"/>
  <c r="CA313" i="4"/>
  <c r="CA311" i="4" s="1"/>
  <c r="BQ66" i="4"/>
  <c r="BR312" i="4"/>
  <c r="BP67" i="4"/>
  <c r="BP302" i="4"/>
  <c r="BS312" i="4" l="1"/>
  <c r="BR66" i="4"/>
  <c r="BR302" i="4" s="1"/>
  <c r="BQ67" i="4"/>
  <c r="BR67" i="4"/>
  <c r="BQ302" i="4"/>
  <c r="BP119" i="4"/>
  <c r="BS302" i="4"/>
  <c r="BP304" i="4"/>
  <c r="BP68" i="4"/>
  <c r="BQ68" i="4" l="1"/>
  <c r="BR68" i="4" s="1"/>
  <c r="BS304" i="4"/>
  <c r="BR119" i="4"/>
  <c r="BR304" i="4"/>
  <c r="BQ70" i="4"/>
  <c r="BQ72" i="4"/>
  <c r="BS67" i="4"/>
  <c r="CV67" i="4" s="1"/>
  <c r="BP333" i="4"/>
  <c r="BP69" i="4"/>
  <c r="BP126" i="4"/>
  <c r="BP132" i="4" s="1"/>
  <c r="BP135" i="4" s="1"/>
  <c r="BP180" i="4"/>
  <c r="BP70" i="4"/>
  <c r="BP72" i="4"/>
  <c r="BQ119" i="4"/>
  <c r="BQ304" i="4"/>
  <c r="BS311" i="4"/>
  <c r="BS66" i="4"/>
  <c r="CV66" i="4" s="1"/>
  <c r="BT312" i="4"/>
  <c r="BR70" i="4" l="1"/>
  <c r="BR72" i="4"/>
  <c r="BS68" i="4"/>
  <c r="BS72" i="4" s="1"/>
  <c r="BR333" i="4"/>
  <c r="BR69" i="4"/>
  <c r="BR126" i="4"/>
  <c r="BR132" i="4" s="1"/>
  <c r="BP142" i="4"/>
  <c r="BQ133" i="4"/>
  <c r="BS70" i="4"/>
  <c r="BP71" i="4"/>
  <c r="BP80" i="4"/>
  <c r="BP73" i="4"/>
  <c r="BQ71" i="4"/>
  <c r="BQ80" i="4"/>
  <c r="BQ73" i="4"/>
  <c r="BP334" i="4"/>
  <c r="BP336" i="4" s="1"/>
  <c r="BQ180" i="4"/>
  <c r="BP183" i="4"/>
  <c r="BP185" i="4" s="1"/>
  <c r="BU312" i="4"/>
  <c r="BT66" i="4"/>
  <c r="BQ333" i="4"/>
  <c r="BQ69" i="4"/>
  <c r="BQ126" i="4"/>
  <c r="BQ132" i="4" s="1"/>
  <c r="BS119" i="4"/>
  <c r="BR71" i="4"/>
  <c r="BR73" i="4"/>
  <c r="BR80" i="4"/>
  <c r="BS303" i="4"/>
  <c r="BS69" i="4" l="1"/>
  <c r="CV69" i="4" s="1"/>
  <c r="CV68" i="4"/>
  <c r="BS333" i="4"/>
  <c r="BS126" i="4"/>
  <c r="BS132" i="4" s="1"/>
  <c r="BS135" i="4" s="1"/>
  <c r="CV119" i="4"/>
  <c r="CV126" i="4" s="1"/>
  <c r="CV132" i="4" s="1"/>
  <c r="CV135" i="4" s="1"/>
  <c r="BT67" i="4"/>
  <c r="BT303" i="4"/>
  <c r="BU303" i="4" s="1"/>
  <c r="BS80" i="4"/>
  <c r="BP137" i="4"/>
  <c r="BP289" i="4"/>
  <c r="BP290" i="4" s="1"/>
  <c r="BP149" i="4"/>
  <c r="BP157" i="4" s="1"/>
  <c r="BP298" i="4"/>
  <c r="BP187" i="4"/>
  <c r="BP361" i="4"/>
  <c r="BP362" i="4" s="1"/>
  <c r="BQ334" i="4"/>
  <c r="BQ183" i="4"/>
  <c r="BQ185" i="4" s="1"/>
  <c r="BR180" i="4"/>
  <c r="CV70" i="4"/>
  <c r="L31" i="6" s="1"/>
  <c r="BS71" i="4"/>
  <c r="BS73" i="4"/>
  <c r="BU66" i="4"/>
  <c r="BV312" i="4"/>
  <c r="BP337" i="4"/>
  <c r="BQ329" i="4"/>
  <c r="DB73" i="4"/>
  <c r="BQ135" i="4"/>
  <c r="BQ336" i="4" l="1"/>
  <c r="BQ337" i="4" s="1"/>
  <c r="BP352" i="4"/>
  <c r="BP353" i="4" s="1"/>
  <c r="BP354" i="4"/>
  <c r="BT133" i="4"/>
  <c r="BS142" i="4"/>
  <c r="BS137" i="4" s="1"/>
  <c r="CV71" i="4"/>
  <c r="L69" i="6" s="1"/>
  <c r="CV73" i="4"/>
  <c r="BQ187" i="4"/>
  <c r="CV80" i="4"/>
  <c r="L70" i="6" s="1"/>
  <c r="BQ142" i="4"/>
  <c r="BR133" i="4"/>
  <c r="BR135" i="4" s="1"/>
  <c r="BV303" i="4"/>
  <c r="BU302" i="4"/>
  <c r="BV66" i="4"/>
  <c r="BW312" i="4"/>
  <c r="BT68" i="4"/>
  <c r="BT69" i="4"/>
  <c r="BS180" i="4"/>
  <c r="BR183" i="4"/>
  <c r="BR185" i="4" s="1"/>
  <c r="BR334" i="4"/>
  <c r="BS334" i="4" s="1"/>
  <c r="BS336" i="4" s="1"/>
  <c r="BP189" i="4"/>
  <c r="BU67" i="4"/>
  <c r="BU68" i="4" l="1"/>
  <c r="BU72" i="4" s="1"/>
  <c r="BR329" i="4"/>
  <c r="BR336" i="4" s="1"/>
  <c r="BR337" i="4" s="1"/>
  <c r="BP355" i="4"/>
  <c r="BT329" i="4"/>
  <c r="BX329" i="4" s="1"/>
  <c r="BR142" i="4"/>
  <c r="BR137" i="4" s="1"/>
  <c r="BR187" i="4"/>
  <c r="BT72" i="4"/>
  <c r="BT70" i="4"/>
  <c r="BU119" i="4"/>
  <c r="BU304" i="4"/>
  <c r="BQ149" i="4"/>
  <c r="BQ157" i="4" s="1"/>
  <c r="BQ189" i="4" s="1"/>
  <c r="BQ298" i="4"/>
  <c r="BQ289" i="4"/>
  <c r="BQ290" i="4" s="1"/>
  <c r="BS289" i="4"/>
  <c r="CV289" i="4" s="1"/>
  <c r="BS298" i="4"/>
  <c r="CV298" i="4" s="1"/>
  <c r="CV142" i="4"/>
  <c r="BS149" i="4"/>
  <c r="BS157" i="4" s="1"/>
  <c r="CV180" i="4"/>
  <c r="BS183" i="4"/>
  <c r="BS337" i="4" s="1"/>
  <c r="BT180" i="4"/>
  <c r="BW303" i="4"/>
  <c r="BV302" i="4"/>
  <c r="M91" i="6"/>
  <c r="M79" i="6"/>
  <c r="BV67" i="4"/>
  <c r="BW66" i="4"/>
  <c r="BW67" i="4" s="1"/>
  <c r="BX312" i="4"/>
  <c r="BQ137" i="4"/>
  <c r="BQ361" i="4"/>
  <c r="BQ362" i="4" s="1"/>
  <c r="BX133" i="4"/>
  <c r="CW133" i="4" s="1"/>
  <c r="BT135" i="4"/>
  <c r="BU70" i="4" l="1"/>
  <c r="BU80" i="4" s="1"/>
  <c r="BW302" i="4"/>
  <c r="BX302" i="4" s="1"/>
  <c r="BX304" i="4" s="1"/>
  <c r="BY304" i="4" s="1"/>
  <c r="BT334" i="4"/>
  <c r="BT183" i="4"/>
  <c r="BT185" i="4" s="1"/>
  <c r="BU180" i="4"/>
  <c r="BX311" i="4"/>
  <c r="BX66" i="4"/>
  <c r="BY312" i="4"/>
  <c r="BR289" i="4"/>
  <c r="BR290" i="4" s="1"/>
  <c r="BS290" i="4" s="1"/>
  <c r="CV290" i="4" s="1"/>
  <c r="BR149" i="4"/>
  <c r="BR157" i="4" s="1"/>
  <c r="BR189" i="4" s="1"/>
  <c r="BR298" i="4"/>
  <c r="BV304" i="4"/>
  <c r="BV119" i="4"/>
  <c r="CV149" i="4"/>
  <c r="CV157" i="4" s="1"/>
  <c r="L28" i="6"/>
  <c r="L30" i="6" s="1"/>
  <c r="L32" i="6" s="1"/>
  <c r="L33" i="6" s="1"/>
  <c r="CV137" i="4"/>
  <c r="BU69" i="4"/>
  <c r="BU126" i="4"/>
  <c r="BU132" i="4" s="1"/>
  <c r="BU333" i="4"/>
  <c r="BR361" i="4"/>
  <c r="BT142" i="4"/>
  <c r="BT137" i="4" s="1"/>
  <c r="BU133" i="4"/>
  <c r="BS185" i="4"/>
  <c r="CV183" i="4"/>
  <c r="BV68" i="4"/>
  <c r="BX67" i="4"/>
  <c r="CW67" i="4" s="1"/>
  <c r="BU73" i="4"/>
  <c r="BQ354" i="4"/>
  <c r="BQ352" i="4"/>
  <c r="BQ353" i="4" s="1"/>
  <c r="BT71" i="4"/>
  <c r="BT73" i="4"/>
  <c r="BT80" i="4"/>
  <c r="BU71" i="4" l="1"/>
  <c r="BR354" i="4"/>
  <c r="BW119" i="4"/>
  <c r="BX119" i="4" s="1"/>
  <c r="BX126" i="4" s="1"/>
  <c r="BX132" i="4" s="1"/>
  <c r="BX135" i="4" s="1"/>
  <c r="BW304" i="4"/>
  <c r="J34" i="6"/>
  <c r="L36" i="6" s="1"/>
  <c r="U66" i="6" s="1"/>
  <c r="BQ355" i="4"/>
  <c r="BS187" i="4"/>
  <c r="BS189" i="4" s="1"/>
  <c r="CV185" i="4"/>
  <c r="CV187" i="4" s="1"/>
  <c r="CV189" i="4" s="1"/>
  <c r="BR362" i="4"/>
  <c r="BS362" i="4" s="1"/>
  <c r="BS361" i="4"/>
  <c r="BV69" i="4"/>
  <c r="BV333" i="4"/>
  <c r="BV126" i="4"/>
  <c r="BV132" i="4" s="1"/>
  <c r="CW66" i="4"/>
  <c r="BU334" i="4"/>
  <c r="BU183" i="4"/>
  <c r="BU185" i="4" s="1"/>
  <c r="BV180" i="4"/>
  <c r="BZ304" i="4"/>
  <c r="BY302" i="4"/>
  <c r="BT336" i="4"/>
  <c r="BT187" i="4"/>
  <c r="BT361" i="4"/>
  <c r="BT362" i="4" s="1"/>
  <c r="BV72" i="4"/>
  <c r="BV70" i="4"/>
  <c r="BT149" i="4"/>
  <c r="BT157" i="4" s="1"/>
  <c r="BT298" i="4"/>
  <c r="BT289" i="4"/>
  <c r="BU135" i="4"/>
  <c r="BR352" i="4"/>
  <c r="BR353" i="4" s="1"/>
  <c r="BS352" i="4"/>
  <c r="BS353" i="4" s="1"/>
  <c r="BS354" i="4"/>
  <c r="BZ312" i="4"/>
  <c r="BY66" i="4"/>
  <c r="BX303" i="4"/>
  <c r="BW68" i="4"/>
  <c r="BW126" i="4" l="1"/>
  <c r="BW132" i="4" s="1"/>
  <c r="BW333" i="4"/>
  <c r="BX333" i="4" s="1"/>
  <c r="BW69" i="4"/>
  <c r="BX69" i="4" s="1"/>
  <c r="CW69" i="4" s="1"/>
  <c r="BR355" i="4"/>
  <c r="CW119" i="4"/>
  <c r="CW126" i="4" s="1"/>
  <c r="CW132" i="4" s="1"/>
  <c r="CW135" i="4" s="1"/>
  <c r="N36" i="6"/>
  <c r="BT354" i="4"/>
  <c r="BT352" i="4"/>
  <c r="BT353" i="4" s="1"/>
  <c r="CX66" i="4"/>
  <c r="BT337" i="4"/>
  <c r="BU329" i="4"/>
  <c r="BU336" i="4" s="1"/>
  <c r="CA312" i="4"/>
  <c r="CA66" i="4" s="1"/>
  <c r="CZ66" i="4" s="1"/>
  <c r="BZ66" i="4"/>
  <c r="BY303" i="4"/>
  <c r="BY119" i="4"/>
  <c r="BY67" i="4"/>
  <c r="BW72" i="4"/>
  <c r="BW70" i="4"/>
  <c r="BX70" i="4" s="1"/>
  <c r="BV133" i="4"/>
  <c r="BV135" i="4" s="1"/>
  <c r="BU142" i="4"/>
  <c r="BU361" i="4" s="1"/>
  <c r="BU362" i="4" s="1"/>
  <c r="BX68" i="4"/>
  <c r="BT189" i="4"/>
  <c r="CA304" i="4"/>
  <c r="CA302" i="4" s="1"/>
  <c r="BZ302" i="4"/>
  <c r="BW180" i="4"/>
  <c r="BV183" i="4"/>
  <c r="BV185" i="4" s="1"/>
  <c r="BV334" i="4"/>
  <c r="BS355" i="4"/>
  <c r="BT290" i="4"/>
  <c r="BV80" i="4"/>
  <c r="BV73" i="4"/>
  <c r="BV71" i="4"/>
  <c r="BX142" i="4"/>
  <c r="BX137" i="4" s="1"/>
  <c r="BY133" i="4"/>
  <c r="CX133" i="4" s="1"/>
  <c r="BU187" i="4"/>
  <c r="A85" i="6" l="1"/>
  <c r="I85" i="6" s="1"/>
  <c r="CA303" i="4"/>
  <c r="CA119" i="4"/>
  <c r="BU289" i="4"/>
  <c r="BU298" i="4"/>
  <c r="BU149" i="4"/>
  <c r="BU157" i="4" s="1"/>
  <c r="BU189" i="4" s="1"/>
  <c r="CX67" i="4"/>
  <c r="BY68" i="4"/>
  <c r="CY66" i="4"/>
  <c r="CA67" i="4"/>
  <c r="BW334" i="4"/>
  <c r="BX334" i="4" s="1"/>
  <c r="BX336" i="4" s="1"/>
  <c r="BW183" i="4"/>
  <c r="BW185" i="4" s="1"/>
  <c r="BX180" i="4"/>
  <c r="BZ67" i="4"/>
  <c r="BV187" i="4"/>
  <c r="CW68" i="4"/>
  <c r="BX72" i="4"/>
  <c r="BW73" i="4"/>
  <c r="BW80" i="4"/>
  <c r="BX80" i="4" s="1"/>
  <c r="BW71" i="4"/>
  <c r="BY69" i="4"/>
  <c r="CX69" i="4" s="1"/>
  <c r="BY333" i="4"/>
  <c r="BY126" i="4"/>
  <c r="BY132" i="4" s="1"/>
  <c r="BY135" i="4" s="1"/>
  <c r="CX119" i="4"/>
  <c r="CX126" i="4" s="1"/>
  <c r="CX132" i="4" s="1"/>
  <c r="CX135" i="4" s="1"/>
  <c r="BV329" i="4"/>
  <c r="BV336" i="4" s="1"/>
  <c r="BU337" i="4"/>
  <c r="CW70" i="4"/>
  <c r="M31" i="6" s="1"/>
  <c r="BX71" i="4"/>
  <c r="BX73" i="4"/>
  <c r="BV142" i="4"/>
  <c r="BV361" i="4" s="1"/>
  <c r="BV362" i="4" s="1"/>
  <c r="BW133" i="4"/>
  <c r="BW135" i="4" s="1"/>
  <c r="BX298" i="4"/>
  <c r="CW298" i="4" s="1"/>
  <c r="BX149" i="4"/>
  <c r="BX157" i="4" s="1"/>
  <c r="CW142" i="4"/>
  <c r="BX289" i="4"/>
  <c r="BZ303" i="4"/>
  <c r="BZ119" i="4"/>
  <c r="BU137" i="4"/>
  <c r="BT355" i="4"/>
  <c r="J85" i="6" l="1"/>
  <c r="O85" i="6"/>
  <c r="P85" i="6"/>
  <c r="A86" i="6"/>
  <c r="M86" i="6" s="1"/>
  <c r="M85" i="6"/>
  <c r="A84" i="6"/>
  <c r="A83" i="6" s="1"/>
  <c r="I84" i="6"/>
  <c r="J84" i="6" s="1"/>
  <c r="BV137" i="4"/>
  <c r="CW80" i="4"/>
  <c r="M70" i="6" s="1"/>
  <c r="L85" i="6"/>
  <c r="K85" i="6"/>
  <c r="CA333" i="4"/>
  <c r="CA69" i="4"/>
  <c r="CZ69" i="4" s="1"/>
  <c r="CZ119" i="4"/>
  <c r="CZ126" i="4" s="1"/>
  <c r="CZ132" i="4" s="1"/>
  <c r="CA126" i="4"/>
  <c r="CA132" i="4" s="1"/>
  <c r="BW329" i="4"/>
  <c r="BW336" i="4" s="1"/>
  <c r="BW337" i="4" s="1"/>
  <c r="BV337" i="4"/>
  <c r="CY67" i="4"/>
  <c r="BZ68" i="4"/>
  <c r="CA68" i="4" s="1"/>
  <c r="BU352" i="4"/>
  <c r="BU353" i="4" s="1"/>
  <c r="BU354" i="4"/>
  <c r="CY119" i="4"/>
  <c r="CY126" i="4" s="1"/>
  <c r="CY132" i="4" s="1"/>
  <c r="BZ69" i="4"/>
  <c r="CY69" i="4" s="1"/>
  <c r="BZ333" i="4"/>
  <c r="BZ126" i="4"/>
  <c r="BZ132" i="4" s="1"/>
  <c r="CW73" i="4"/>
  <c r="A82" i="6"/>
  <c r="I83" i="6"/>
  <c r="M83" i="6"/>
  <c r="M28" i="6"/>
  <c r="M30" i="6" s="1"/>
  <c r="M32" i="6" s="1"/>
  <c r="M33" i="6" s="1"/>
  <c r="CW149" i="4"/>
  <c r="CW157" i="4" s="1"/>
  <c r="CW137" i="4"/>
  <c r="BW142" i="4"/>
  <c r="BW137" i="4" s="1"/>
  <c r="CW71" i="4"/>
  <c r="M69" i="6" s="1"/>
  <c r="CW180" i="4"/>
  <c r="BY180" i="4"/>
  <c r="BX183" i="4"/>
  <c r="BX337" i="4" s="1"/>
  <c r="CZ67" i="4"/>
  <c r="CW289" i="4"/>
  <c r="BY329" i="4"/>
  <c r="BV298" i="4"/>
  <c r="BV289" i="4"/>
  <c r="BV149" i="4"/>
  <c r="BV157" i="4" s="1"/>
  <c r="BV189" i="4" s="1"/>
  <c r="BZ133" i="4"/>
  <c r="CY133" i="4" s="1"/>
  <c r="BY142" i="4"/>
  <c r="BW187" i="4"/>
  <c r="CX68" i="4"/>
  <c r="BY72" i="4"/>
  <c r="BY70" i="4"/>
  <c r="BU290" i="4"/>
  <c r="N83" i="6" l="1"/>
  <c r="I86" i="6"/>
  <c r="O86" i="6" s="1"/>
  <c r="A87" i="6"/>
  <c r="A88" i="6" s="1"/>
  <c r="M88" i="6" s="1"/>
  <c r="M84" i="6"/>
  <c r="P86" i="6"/>
  <c r="BW361" i="4"/>
  <c r="BW362" i="4" s="1"/>
  <c r="BX362" i="4" s="1"/>
  <c r="O84" i="6"/>
  <c r="P84" i="6"/>
  <c r="BZ135" i="4"/>
  <c r="CA133" i="4" s="1"/>
  <c r="CZ133" i="4" s="1"/>
  <c r="CZ135" i="4" s="1"/>
  <c r="CZ68" i="4"/>
  <c r="CA72" i="4"/>
  <c r="CB72" i="4" s="1"/>
  <c r="CA70" i="4"/>
  <c r="CX70" i="4"/>
  <c r="N31" i="6" s="1"/>
  <c r="BY71" i="4"/>
  <c r="BY73" i="4"/>
  <c r="BY80" i="4"/>
  <c r="CY135" i="4"/>
  <c r="BV352" i="4"/>
  <c r="BV353" i="4" s="1"/>
  <c r="N79" i="6"/>
  <c r="N91" i="6"/>
  <c r="U74" i="6"/>
  <c r="N85" i="6"/>
  <c r="N86" i="6"/>
  <c r="N84" i="6"/>
  <c r="BY149" i="4"/>
  <c r="BY157" i="4" s="1"/>
  <c r="BY298" i="4"/>
  <c r="CX298" i="4" s="1"/>
  <c r="CX142" i="4"/>
  <c r="BY289" i="4"/>
  <c r="BZ72" i="4"/>
  <c r="CY68" i="4"/>
  <c r="BZ70" i="4"/>
  <c r="BY137" i="4"/>
  <c r="BX185" i="4"/>
  <c r="CW183" i="4"/>
  <c r="J83" i="6"/>
  <c r="O83" i="6"/>
  <c r="P83" i="6"/>
  <c r="BU355" i="4"/>
  <c r="A89" i="6"/>
  <c r="K84" i="6"/>
  <c r="L84" i="6"/>
  <c r="BV290" i="4"/>
  <c r="BY334" i="4"/>
  <c r="BY336" i="4" s="1"/>
  <c r="CX180" i="4"/>
  <c r="BY183" i="4"/>
  <c r="BZ180" i="4"/>
  <c r="BW149" i="4"/>
  <c r="BW157" i="4" s="1"/>
  <c r="BW352" i="4" s="1"/>
  <c r="BW353" i="4" s="1"/>
  <c r="BW298" i="4"/>
  <c r="BW289" i="4"/>
  <c r="BW290" i="4" s="1"/>
  <c r="I82" i="6"/>
  <c r="A81" i="6"/>
  <c r="M82" i="6"/>
  <c r="N82" i="6"/>
  <c r="BV354" i="4"/>
  <c r="N87" i="6"/>
  <c r="N88" i="6" l="1"/>
  <c r="I88" i="6"/>
  <c r="J86" i="6"/>
  <c r="M87" i="6"/>
  <c r="I87" i="6"/>
  <c r="J87" i="6" s="1"/>
  <c r="BX361" i="4"/>
  <c r="O87" i="6"/>
  <c r="BZ142" i="4"/>
  <c r="BZ137" i="4" s="1"/>
  <c r="BX290" i="4"/>
  <c r="CW290" i="4" s="1"/>
  <c r="CX183" i="4"/>
  <c r="BY185" i="4"/>
  <c r="BY354" i="4" s="1"/>
  <c r="O82" i="6"/>
  <c r="J82" i="6"/>
  <c r="P82" i="6"/>
  <c r="BZ334" i="4"/>
  <c r="CA180" i="4"/>
  <c r="CY180" i="4"/>
  <c r="BZ183" i="4"/>
  <c r="M89" i="6"/>
  <c r="I89" i="6"/>
  <c r="A90" i="6"/>
  <c r="N89" i="6"/>
  <c r="BX187" i="4"/>
  <c r="BX189" i="4" s="1"/>
  <c r="CW185" i="4"/>
  <c r="CW187" i="4" s="1"/>
  <c r="CW189" i="4" s="1"/>
  <c r="CY70" i="4"/>
  <c r="O31" i="6" s="1"/>
  <c r="P31" i="6" s="1"/>
  <c r="Q31" i="6" s="1"/>
  <c r="R31" i="6" s="1"/>
  <c r="S31" i="6" s="1"/>
  <c r="BZ71" i="4"/>
  <c r="CY71" i="4" s="1"/>
  <c r="BZ73" i="4"/>
  <c r="BZ80" i="4"/>
  <c r="BV355" i="4"/>
  <c r="BW189" i="4"/>
  <c r="K87" i="6"/>
  <c r="L87" i="6"/>
  <c r="BY352" i="4"/>
  <c r="BY353" i="4" s="1"/>
  <c r="CX80" i="4"/>
  <c r="CA135" i="4"/>
  <c r="CA142" i="4" s="1"/>
  <c r="J88" i="6"/>
  <c r="O88" i="6"/>
  <c r="P88" i="6"/>
  <c r="L83" i="6"/>
  <c r="K83" i="6"/>
  <c r="CX289" i="4"/>
  <c r="BY290" i="4"/>
  <c r="CX290" i="4" s="1"/>
  <c r="CX73" i="4"/>
  <c r="BY337" i="4"/>
  <c r="BZ329" i="4"/>
  <c r="I81" i="6"/>
  <c r="A80" i="6"/>
  <c r="M81" i="6"/>
  <c r="N81" i="6"/>
  <c r="BX354" i="4"/>
  <c r="BX352" i="4"/>
  <c r="BX353" i="4" s="1"/>
  <c r="CX149" i="4"/>
  <c r="CX157" i="4" s="1"/>
  <c r="N28" i="6"/>
  <c r="N30" i="6" s="1"/>
  <c r="N32" i="6" s="1"/>
  <c r="N33" i="6" s="1"/>
  <c r="CX137" i="4"/>
  <c r="BW354" i="4"/>
  <c r="BW355" i="4" s="1"/>
  <c r="CX71" i="4"/>
  <c r="CZ70" i="4"/>
  <c r="CA73" i="4"/>
  <c r="CA80" i="4"/>
  <c r="CA71" i="4"/>
  <c r="CZ71" i="4" s="1"/>
  <c r="K86" i="6" l="1"/>
  <c r="L86" i="6"/>
  <c r="P87" i="6"/>
  <c r="BZ149" i="4"/>
  <c r="BZ157" i="4" s="1"/>
  <c r="BZ352" i="4" s="1"/>
  <c r="BZ353" i="4" s="1"/>
  <c r="CY142" i="4"/>
  <c r="CY149" i="4" s="1"/>
  <c r="CY157" i="4" s="1"/>
  <c r="BZ289" i="4"/>
  <c r="BZ290" i="4" s="1"/>
  <c r="CY290" i="4" s="1"/>
  <c r="BZ298" i="4"/>
  <c r="CY298" i="4" s="1"/>
  <c r="BY355" i="4"/>
  <c r="BZ336" i="4"/>
  <c r="CA329" i="4" s="1"/>
  <c r="CZ73" i="4"/>
  <c r="CB73" i="4"/>
  <c r="CZ80" i="4"/>
  <c r="CB80" i="4"/>
  <c r="U72" i="6" s="1"/>
  <c r="BX355" i="4"/>
  <c r="M80" i="6"/>
  <c r="I80" i="6"/>
  <c r="N80" i="6"/>
  <c r="K88" i="6"/>
  <c r="L88" i="6"/>
  <c r="CY80" i="4"/>
  <c r="O89" i="6"/>
  <c r="J89" i="6"/>
  <c r="P89" i="6"/>
  <c r="CZ180" i="4"/>
  <c r="CA334" i="4"/>
  <c r="CA183" i="4"/>
  <c r="CA298" i="4"/>
  <c r="CZ298" i="4" s="1"/>
  <c r="CZ142" i="4"/>
  <c r="CA149" i="4"/>
  <c r="CA157" i="4" s="1"/>
  <c r="CA289" i="4"/>
  <c r="CZ289" i="4" s="1"/>
  <c r="CY73" i="4"/>
  <c r="BY361" i="4"/>
  <c r="BY362" i="4" s="1"/>
  <c r="CX185" i="4"/>
  <c r="CX187" i="4" s="1"/>
  <c r="CX189" i="4" s="1"/>
  <c r="BY187" i="4"/>
  <c r="BY189" i="4" s="1"/>
  <c r="P81" i="6"/>
  <c r="O81" i="6"/>
  <c r="J81" i="6"/>
  <c r="BZ185" i="4"/>
  <c r="CY183" i="4"/>
  <c r="M90" i="6"/>
  <c r="I90" i="6"/>
  <c r="N90" i="6"/>
  <c r="L82" i="6"/>
  <c r="K82" i="6"/>
  <c r="CY137" i="4" l="1"/>
  <c r="CA290" i="4"/>
  <c r="CZ290" i="4" s="1"/>
  <c r="CA352" i="4"/>
  <c r="CA353" i="4" s="1"/>
  <c r="CY289" i="4"/>
  <c r="O28" i="6"/>
  <c r="O30" i="6" s="1"/>
  <c r="O32" i="6" s="1"/>
  <c r="O33" i="6" s="1"/>
  <c r="BZ337" i="4"/>
  <c r="CA336" i="4"/>
  <c r="CA337" i="4" s="1"/>
  <c r="BZ361" i="4"/>
  <c r="BZ362" i="4" s="1"/>
  <c r="BZ187" i="4"/>
  <c r="BZ189" i="4" s="1"/>
  <c r="CY185" i="4"/>
  <c r="CY187" i="4" s="1"/>
  <c r="CY189" i="4" s="1"/>
  <c r="CA185" i="4"/>
  <c r="CZ183" i="4"/>
  <c r="K89" i="6"/>
  <c r="L89" i="6"/>
  <c r="K81" i="6"/>
  <c r="L81" i="6"/>
  <c r="CZ149" i="4"/>
  <c r="CZ157" i="4" s="1"/>
  <c r="CZ137" i="4"/>
  <c r="BZ354" i="4"/>
  <c r="BZ355" i="4" s="1"/>
  <c r="P90" i="6"/>
  <c r="J90" i="6"/>
  <c r="O90" i="6"/>
  <c r="P80" i="6"/>
  <c r="O80" i="6"/>
  <c r="J80" i="6"/>
  <c r="P28" i="6" l="1"/>
  <c r="P30" i="6" s="1"/>
  <c r="P32" i="6" s="1"/>
  <c r="P33" i="6" s="1"/>
  <c r="L80" i="6"/>
  <c r="K80" i="6"/>
  <c r="L90" i="6"/>
  <c r="K90" i="6"/>
  <c r="CA187" i="4"/>
  <c r="CA189" i="4" s="1"/>
  <c r="CA361" i="4"/>
  <c r="CA362" i="4" s="1"/>
  <c r="CZ185" i="4"/>
  <c r="CZ187" i="4" s="1"/>
  <c r="CZ189" i="4" s="1"/>
  <c r="CA354" i="4"/>
  <c r="CA355" i="4" s="1"/>
  <c r="Q28" i="6" l="1"/>
  <c r="Q30" i="6" s="1"/>
  <c r="Q32" i="6" s="1"/>
  <c r="Q33" i="6" s="1"/>
  <c r="R28" i="6" l="1"/>
  <c r="S28" i="6" s="1"/>
  <c r="S30" i="6" s="1"/>
  <c r="S32" i="6" s="1"/>
  <c r="S33" i="6" s="1"/>
  <c r="R30" i="6" l="1"/>
  <c r="R32" i="6" s="1"/>
  <c r="R33" i="6" s="1"/>
  <c r="BS253" i="5" l="1"/>
  <c r="BS247" i="5" s="1"/>
  <c r="BN312" i="5"/>
  <c r="CW312" i="5" s="1"/>
  <c r="BN322" i="5" l="1"/>
  <c r="BS314" i="5"/>
  <c r="BN313" i="5"/>
  <c r="CW313" i="5" s="1"/>
  <c r="BN314" i="5"/>
</calcChain>
</file>

<file path=xl/comments1.xml><?xml version="1.0" encoding="utf-8"?>
<comments xmlns="http://schemas.openxmlformats.org/spreadsheetml/2006/main">
  <authors>
    <author>kapltoni</author>
    <author>Goldstein, Jeff (Research)</author>
    <author>Galindo, Denny</author>
    <author>vinayv</author>
    <author>khushbup</author>
    <author>subbose</author>
    <author>Kaplan, Toni (Research)</author>
    <author>hemalatk</author>
  </authors>
  <commentList>
    <comment ref="A14" authorId="0">
      <text>
        <r>
          <rPr>
            <b/>
            <sz val="8"/>
            <color indexed="81"/>
            <rFont val="Tahoma"/>
            <family val="2"/>
          </rPr>
          <t>2010 and prior not restated for divestitures</t>
        </r>
        <r>
          <rPr>
            <sz val="8"/>
            <color indexed="81"/>
            <rFont val="Tahoma"/>
            <family val="2"/>
          </rPr>
          <t xml:space="preserve">
</t>
        </r>
      </text>
    </comment>
    <comment ref="AE15" authorId="0">
      <text>
        <r>
          <rPr>
            <b/>
            <sz val="8"/>
            <color indexed="81"/>
            <rFont val="Tahoma"/>
            <family val="2"/>
          </rPr>
          <t>kapltoni:</t>
        </r>
        <r>
          <rPr>
            <sz val="8"/>
            <color indexed="81"/>
            <rFont val="Tahoma"/>
            <family val="2"/>
          </rPr>
          <t xml:space="preserve">
3.4% ex. Broadcasting</t>
        </r>
      </text>
    </comment>
    <comment ref="AJ15" authorId="0">
      <text>
        <r>
          <rPr>
            <b/>
            <sz val="8"/>
            <color indexed="81"/>
            <rFont val="Tahoma"/>
            <family val="2"/>
          </rPr>
          <t>kapltoni:</t>
        </r>
        <r>
          <rPr>
            <sz val="8"/>
            <color indexed="81"/>
            <rFont val="Tahoma"/>
            <family val="2"/>
          </rPr>
          <t xml:space="preserve">
2.9% ex Broadcasting</t>
        </r>
      </text>
    </comment>
    <comment ref="AY15" authorId="1">
      <text>
        <r>
          <rPr>
            <b/>
            <sz val="9"/>
            <color indexed="81"/>
            <rFont val="Tahoma"/>
            <family val="2"/>
          </rPr>
          <t>Goldstein, Jeff (Research):</t>
        </r>
        <r>
          <rPr>
            <sz val="9"/>
            <color indexed="81"/>
            <rFont val="Tahoma"/>
            <family val="2"/>
          </rPr>
          <t xml:space="preserve">
3Q14 Transcript: Guiding to Mid to High Single Digit Growth</t>
        </r>
      </text>
    </comment>
    <comment ref="BD15" authorId="2">
      <text>
        <r>
          <rPr>
            <b/>
            <sz val="9"/>
            <color indexed="81"/>
            <rFont val="Tahoma"/>
            <family val="2"/>
          </rPr>
          <t>Galindo, Denny:</t>
        </r>
        <r>
          <rPr>
            <sz val="9"/>
            <color indexed="81"/>
            <rFont val="Tahoma"/>
            <family val="2"/>
          </rPr>
          <t xml:space="preserve">
4Q14 Guidance: mid single digit growth
 FX a 1-1.5% drag.
1Q15 Guidance: FX gets more challenging in Q2 and Q3 and then moderates a bit. (2% 1Q impact)</t>
        </r>
      </text>
    </comment>
    <comment ref="BI15" authorId="1">
      <text>
        <r>
          <rPr>
            <b/>
            <sz val="9"/>
            <color indexed="81"/>
            <rFont val="Tahoma"/>
            <family val="2"/>
          </rPr>
          <t>Goldstein, Jeff (Research):</t>
        </r>
        <r>
          <rPr>
            <sz val="9"/>
            <color indexed="81"/>
            <rFont val="Tahoma"/>
            <family val="2"/>
          </rPr>
          <t xml:space="preserve">
Guidance of mid single digit growth (2Q16)</t>
        </r>
      </text>
    </comment>
    <comment ref="BN15" authorId="1">
      <text>
        <r>
          <rPr>
            <b/>
            <sz val="9"/>
            <color indexed="81"/>
            <rFont val="Tahoma"/>
            <family val="2"/>
          </rPr>
          <t>Goldstein, Jeff (Research):</t>
        </r>
        <r>
          <rPr>
            <sz val="9"/>
            <color indexed="81"/>
            <rFont val="Tahoma"/>
            <family val="2"/>
          </rPr>
          <t xml:space="preserve">
Guidance of MSD increase (as of 2Q17)
Guidance of low single digit increase (As of 1Q17)</t>
        </r>
      </text>
    </comment>
    <comment ref="BS15" authorId="1">
      <text>
        <r>
          <rPr>
            <b/>
            <sz val="9"/>
            <color indexed="81"/>
            <rFont val="Tahoma"/>
            <family val="2"/>
          </rPr>
          <t>Goldstein, Jeff (Research):</t>
        </r>
        <r>
          <rPr>
            <sz val="9"/>
            <color indexed="81"/>
            <rFont val="Tahoma"/>
            <family val="2"/>
          </rPr>
          <t xml:space="preserve">
Guidance of MSD revenue growth (as of 4Q17 earnings)</t>
        </r>
      </text>
    </comment>
    <comment ref="BG23" authorId="1">
      <text>
        <r>
          <rPr>
            <b/>
            <sz val="9"/>
            <color indexed="81"/>
            <rFont val="Tahoma"/>
            <family val="2"/>
          </rPr>
          <t>Goldstein, Jeff (Research):</t>
        </r>
        <r>
          <rPr>
            <sz val="9"/>
            <color indexed="81"/>
            <rFont val="Tahoma"/>
            <family val="2"/>
          </rPr>
          <t xml:space="preserve">
Includes 722M gain on disposition</t>
        </r>
      </text>
    </comment>
    <comment ref="BH23" authorId="1">
      <text>
        <r>
          <rPr>
            <b/>
            <sz val="9"/>
            <color indexed="81"/>
            <rFont val="Tahoma"/>
            <family val="2"/>
          </rPr>
          <t>Goldstein, Jeff (Research):</t>
        </r>
        <r>
          <rPr>
            <sz val="9"/>
            <color indexed="81"/>
            <rFont val="Tahoma"/>
            <family val="2"/>
          </rPr>
          <t xml:space="preserve">
379M - Gain on disposition</t>
        </r>
      </text>
    </comment>
    <comment ref="C26" authorId="3">
      <text>
        <r>
          <rPr>
            <sz val="8"/>
            <color indexed="81"/>
            <rFont val="Tahoma"/>
            <family val="2"/>
          </rPr>
          <t xml:space="preserve">$14.5 m:  pre-tax loss on the disposition of MMS International
</t>
        </r>
        <r>
          <rPr>
            <sz val="8"/>
            <color indexed="81"/>
            <rFont val="Tahoma"/>
            <family val="2"/>
          </rPr>
          <t xml:space="preserve">
Source: 8k-4Q 2003</t>
        </r>
      </text>
    </comment>
    <comment ref="D26" authorId="3">
      <text>
        <r>
          <rPr>
            <sz val="8"/>
            <color indexed="81"/>
            <rFont val="Tahoma"/>
            <family val="2"/>
          </rPr>
          <t xml:space="preserve">$131.3:  pre-tax gain from the sale of the Company’s equity investment in Rock-McGraw, Inc. </t>
        </r>
        <r>
          <rPr>
            <sz val="8"/>
            <color indexed="81"/>
            <rFont val="Tahoma"/>
            <family val="2"/>
          </rPr>
          <t xml:space="preserve">
Source: Exhibit 2  8K-4Q 2004
</t>
        </r>
      </text>
    </comment>
    <comment ref="F26" authorId="3">
      <text>
        <r>
          <rPr>
            <sz val="8"/>
            <color indexed="81"/>
            <rFont val="Tahoma"/>
            <family val="2"/>
          </rPr>
          <t>$6.8 m: pre-tax gain on the sale of Corporate Value Consulting on September 30, 2005</t>
        </r>
        <r>
          <rPr>
            <sz val="8"/>
            <color indexed="81"/>
            <rFont val="Tahoma"/>
            <family val="2"/>
          </rPr>
          <t xml:space="preserve">
$5.5 m: pre-tax loss on the sale of the Healthcare Information Group on November 8, 2005
Source: Exhibit 2 , 8K-4Q 2006
</t>
        </r>
      </text>
    </comment>
    <comment ref="L26" authorId="3">
      <text>
        <r>
          <rPr>
            <sz val="8"/>
            <color indexed="81"/>
            <rFont val="Tahoma"/>
            <family val="2"/>
          </rPr>
          <t xml:space="preserve">$17.3m:  pre-tax gain on the sale of the Company's mutual fund data business on March 16, 2007 , recorded as Other income
</t>
        </r>
        <r>
          <rPr>
            <sz val="8"/>
            <color indexed="81"/>
            <rFont val="Tahoma"/>
            <family val="2"/>
          </rPr>
          <t xml:space="preserve">
Source : Exhibit 2, 8K-1Q 2008</t>
        </r>
      </text>
    </comment>
    <comment ref="W26" authorId="3">
      <text>
        <r>
          <rPr>
            <sz val="8"/>
            <color indexed="81"/>
            <rFont val="Tahoma"/>
            <family val="2"/>
          </rPr>
          <t>$13.8m : Pre-tax loss on the sale of Vista Research, Inc</t>
        </r>
        <r>
          <rPr>
            <sz val="8"/>
            <color indexed="81"/>
            <rFont val="Tahoma"/>
            <family val="2"/>
          </rPr>
          <t xml:space="preserve">
Source : Exhibit 2, 8K-2Q 2010</t>
        </r>
      </text>
    </comment>
    <comment ref="AC26" authorId="3">
      <text>
        <r>
          <rPr>
            <sz val="8"/>
            <color indexed="81"/>
            <rFont val="Tahoma"/>
            <family val="2"/>
          </rPr>
          <t xml:space="preserve">$7.3m:  Gain on the sale of certain equity interests at Standard &amp; Poor's segment in Q3 2010 
$3.8m:  Gain on the sale of McGraw-Hill Education's Australian secondary education business in Q3 2010 
Source: Exhibit 5, 8-K 3Q11
</t>
        </r>
        <r>
          <rPr>
            <sz val="8"/>
            <color indexed="81"/>
            <rFont val="Tahoma"/>
            <family val="2"/>
          </rPr>
          <t xml:space="preserve">
</t>
        </r>
      </text>
    </comment>
    <comment ref="AG26" authorId="0">
      <text>
        <r>
          <rPr>
            <b/>
            <sz val="8"/>
            <color indexed="81"/>
            <rFont val="Tahoma"/>
            <family val="2"/>
          </rPr>
          <t>kapltoni:</t>
        </r>
        <r>
          <rPr>
            <sz val="8"/>
            <color indexed="81"/>
            <rFont val="Tahoma"/>
            <family val="2"/>
          </rPr>
          <t xml:space="preserve">
gain on sale of LinkedIn</t>
        </r>
      </text>
    </comment>
    <comment ref="AJ26" authorId="0">
      <text>
        <r>
          <rPr>
            <b/>
            <sz val="8"/>
            <color indexed="81"/>
            <rFont val="Tahoma"/>
            <family val="2"/>
          </rPr>
          <t>kapltoni:</t>
        </r>
        <r>
          <rPr>
            <sz val="8"/>
            <color indexed="81"/>
            <rFont val="Tahoma"/>
            <family val="2"/>
          </rPr>
          <t xml:space="preserve">
Gain on sale of LinkedIn</t>
        </r>
      </text>
    </comment>
    <comment ref="BA26" authorId="1">
      <text>
        <r>
          <rPr>
            <b/>
            <sz val="9"/>
            <color indexed="81"/>
            <rFont val="Tahoma"/>
            <family val="2"/>
          </rPr>
          <t>Goldstein, Jeff (Research):</t>
        </r>
        <r>
          <rPr>
            <sz val="9"/>
            <color indexed="81"/>
            <rFont val="Tahoma"/>
            <family val="2"/>
          </rPr>
          <t xml:space="preserve">
Gain on the sale of legacy McGraw Hill Construction investment </t>
        </r>
      </text>
    </comment>
    <comment ref="BD28" authorId="2">
      <text>
        <r>
          <rPr>
            <b/>
            <sz val="9"/>
            <color indexed="81"/>
            <rFont val="Tahoma"/>
            <family val="2"/>
          </rPr>
          <t>Galindo, Denny:</t>
        </r>
        <r>
          <rPr>
            <sz val="9"/>
            <color indexed="81"/>
            <rFont val="Tahoma"/>
            <family val="2"/>
          </rPr>
          <t xml:space="preserve">
Expect $140M in savings , 75% finished by 2015</t>
        </r>
      </text>
    </comment>
    <comment ref="BD35" authorId="1">
      <text>
        <r>
          <rPr>
            <b/>
            <sz val="9"/>
            <color indexed="81"/>
            <rFont val="Tahoma"/>
            <family val="2"/>
          </rPr>
          <t>Goldstein, Jeff (Research):</t>
        </r>
        <r>
          <rPr>
            <sz val="9"/>
            <color indexed="81"/>
            <rFont val="Tahoma"/>
            <family val="2"/>
          </rPr>
          <t xml:space="preserve">
Assume SNL's depreciation is 3% of SNL revenue</t>
        </r>
      </text>
    </comment>
    <comment ref="BS36" authorId="1">
      <text>
        <r>
          <rPr>
            <b/>
            <sz val="9"/>
            <color indexed="81"/>
            <rFont val="Tahoma"/>
            <family val="2"/>
          </rPr>
          <t>Goldstein, Jeff (Research):</t>
        </r>
        <r>
          <rPr>
            <sz val="9"/>
            <color indexed="81"/>
            <rFont val="Tahoma"/>
            <family val="2"/>
          </rPr>
          <t xml:space="preserve">
Guidance for $125-$130M of deal-related amortization post Kensho acquisition (as of 1Q18 earnings)</t>
        </r>
      </text>
    </comment>
    <comment ref="BX36" authorId="1">
      <text>
        <r>
          <rPr>
            <b/>
            <sz val="9"/>
            <color indexed="81"/>
            <rFont val="Tahoma"/>
            <family val="2"/>
          </rPr>
          <t>Goldstein, Jeff (Research):</t>
        </r>
        <r>
          <rPr>
            <sz val="9"/>
            <color indexed="81"/>
            <rFont val="Tahoma"/>
            <family val="2"/>
          </rPr>
          <t xml:space="preserve">
2017 10K. Plus 32.5M to reflect step up in amortization guidance post Kensho acquisition.</t>
        </r>
      </text>
    </comment>
    <comment ref="BY36" authorId="1">
      <text>
        <r>
          <rPr>
            <b/>
            <sz val="9"/>
            <color indexed="81"/>
            <rFont val="Tahoma"/>
            <family val="2"/>
          </rPr>
          <t>Goldstein, Jeff (Research):</t>
        </r>
        <r>
          <rPr>
            <sz val="9"/>
            <color indexed="81"/>
            <rFont val="Tahoma"/>
            <family val="2"/>
          </rPr>
          <t xml:space="preserve">
2017 10K. Plus 32.5M to reflect step up in amortization guidance post Kensho acquisition.</t>
        </r>
      </text>
    </comment>
    <comment ref="BZ36" authorId="1">
      <text>
        <r>
          <rPr>
            <b/>
            <sz val="9"/>
            <color indexed="81"/>
            <rFont val="Tahoma"/>
            <family val="2"/>
          </rPr>
          <t>Goldstein, Jeff (Research):</t>
        </r>
        <r>
          <rPr>
            <sz val="9"/>
            <color indexed="81"/>
            <rFont val="Tahoma"/>
            <family val="2"/>
          </rPr>
          <t xml:space="preserve">
2017 10K. Plus 32.5M to reflect step up in amortization guidance post Kensho acquisition.</t>
        </r>
      </text>
    </comment>
    <comment ref="CA36" authorId="1">
      <text>
        <r>
          <rPr>
            <b/>
            <sz val="9"/>
            <color indexed="81"/>
            <rFont val="Tahoma"/>
            <family val="2"/>
          </rPr>
          <t>Goldstein, Jeff (Research):</t>
        </r>
        <r>
          <rPr>
            <sz val="9"/>
            <color indexed="81"/>
            <rFont val="Tahoma"/>
            <family val="2"/>
          </rPr>
          <t xml:space="preserve">
2017 10K. Plus 32.5M to reflect step up in amortization guidance post Kensho acquisition.</t>
        </r>
      </text>
    </comment>
    <comment ref="BD40" authorId="2">
      <text>
        <r>
          <rPr>
            <b/>
            <sz val="9"/>
            <color indexed="81"/>
            <rFont val="Tahoma"/>
            <family val="2"/>
          </rPr>
          <t>Galindo, Denny:</t>
        </r>
        <r>
          <rPr>
            <sz val="9"/>
            <color indexed="81"/>
            <rFont val="Tahoma"/>
            <family val="2"/>
          </rPr>
          <t xml:space="preserve">
125 bps expansion</t>
        </r>
      </text>
    </comment>
    <comment ref="BH42" authorId="1">
      <text>
        <r>
          <rPr>
            <b/>
            <sz val="9"/>
            <color indexed="81"/>
            <rFont val="Tahoma"/>
            <family val="2"/>
          </rPr>
          <t>Goldstein, Jeff (Research):</t>
        </r>
        <r>
          <rPr>
            <sz val="9"/>
            <color indexed="81"/>
            <rFont val="Tahoma"/>
            <family val="2"/>
          </rPr>
          <t xml:space="preserve">
Less 21M redemption fee related to early payment of senior notes</t>
        </r>
      </text>
    </comment>
    <comment ref="BI42" authorId="1">
      <text>
        <r>
          <rPr>
            <b/>
            <sz val="9"/>
            <color indexed="81"/>
            <rFont val="Tahoma"/>
            <family val="2"/>
          </rPr>
          <t>Goldstein, Jeff (Research):</t>
        </r>
        <r>
          <rPr>
            <sz val="9"/>
            <color indexed="81"/>
            <rFont val="Tahoma"/>
            <family val="2"/>
          </rPr>
          <t xml:space="preserve">
Guidance of ~160M</t>
        </r>
      </text>
    </comment>
    <comment ref="BN42" authorId="1">
      <text>
        <r>
          <rPr>
            <b/>
            <sz val="9"/>
            <color indexed="81"/>
            <rFont val="Tahoma"/>
            <family val="2"/>
          </rPr>
          <t>Goldstein, Jeff (Research):</t>
        </r>
        <r>
          <rPr>
            <sz val="9"/>
            <color indexed="81"/>
            <rFont val="Tahoma"/>
            <family val="2"/>
          </rPr>
          <t xml:space="preserve">
Guidance of $145M (as of 3Q17 earnings)
Guidance of $150M (as of 2Q17)
Guidance of 155M increase (As of 1Q17)</t>
        </r>
      </text>
    </comment>
    <comment ref="BS42" authorId="1">
      <text>
        <r>
          <rPr>
            <b/>
            <sz val="9"/>
            <color indexed="81"/>
            <rFont val="Tahoma"/>
            <family val="2"/>
          </rPr>
          <t>Goldstein, Jeff (Research):</t>
        </r>
        <r>
          <rPr>
            <sz val="9"/>
            <color indexed="81"/>
            <rFont val="Tahoma"/>
            <family val="2"/>
          </rPr>
          <t xml:space="preserve">
Interest expense guidance of $145M-$150M (as of 4Q17 earnings)</t>
        </r>
      </text>
    </comment>
    <comment ref="AU46" authorId="2">
      <text>
        <r>
          <rPr>
            <b/>
            <sz val="9"/>
            <color indexed="81"/>
            <rFont val="Tahoma"/>
            <family val="2"/>
          </rPr>
          <t>Galindo, Denny:</t>
        </r>
        <r>
          <rPr>
            <sz val="9"/>
            <color indexed="81"/>
            <rFont val="Tahoma"/>
            <family val="2"/>
          </rPr>
          <t xml:space="preserve">
Adjusted For MH Contr</t>
        </r>
      </text>
    </comment>
    <comment ref="AV46" authorId="2">
      <text>
        <r>
          <rPr>
            <b/>
            <sz val="9"/>
            <color indexed="81"/>
            <rFont val="Tahoma"/>
            <family val="2"/>
          </rPr>
          <t>Galindo, Denny:</t>
        </r>
        <r>
          <rPr>
            <sz val="9"/>
            <color indexed="81"/>
            <rFont val="Tahoma"/>
            <family val="2"/>
          </rPr>
          <t xml:space="preserve">
Adjusted For MH Contr</t>
        </r>
      </text>
    </comment>
    <comment ref="C47" authorId="3">
      <text>
        <r>
          <rPr>
            <sz val="8"/>
            <color indexed="81"/>
            <rFont val="Tahoma"/>
            <family val="2"/>
          </rPr>
          <t xml:space="preserve">$14.5 m:  pre-tax loss on the disposition of MMS International
</t>
        </r>
        <r>
          <rPr>
            <sz val="8"/>
            <color indexed="81"/>
            <rFont val="Tahoma"/>
            <family val="2"/>
          </rPr>
          <t xml:space="preserve">
Source: 8k-4Q 2003</t>
        </r>
      </text>
    </comment>
    <comment ref="D47" authorId="3">
      <text>
        <r>
          <rPr>
            <sz val="8"/>
            <color indexed="81"/>
            <rFont val="Tahoma"/>
            <family val="2"/>
          </rPr>
          <t xml:space="preserve">$131.3:  pre-tax gain from the sale of the Company’s equity investment in Rock-McGraw, Inc. </t>
        </r>
        <r>
          <rPr>
            <sz val="8"/>
            <color indexed="81"/>
            <rFont val="Tahoma"/>
            <family val="2"/>
          </rPr>
          <t xml:space="preserve">
Source: Exhibit 2  8K-4Q 2004</t>
        </r>
      </text>
    </comment>
    <comment ref="F47" authorId="3">
      <text>
        <r>
          <rPr>
            <sz val="8"/>
            <color indexed="81"/>
            <rFont val="Tahoma"/>
            <family val="2"/>
          </rPr>
          <t>$6.8 m: pre-tax gain on the sale of Corporate Value Consulting on September 30, 2005</t>
        </r>
        <r>
          <rPr>
            <sz val="8"/>
            <color indexed="81"/>
            <rFont val="Tahoma"/>
            <family val="2"/>
          </rPr>
          <t xml:space="preserve">
$5.5 m: pre-tax loss on the sale of the Healthcare Information Group on November 8, 2005
$23.2 m: pre-tax restructuring charge
Source: Exhibit 2 , 8K-4Q 2006</t>
        </r>
      </text>
    </comment>
    <comment ref="G47" authorId="3">
      <text>
        <r>
          <rPr>
            <sz val="8"/>
            <color indexed="81"/>
            <rFont val="Tahoma"/>
            <family val="2"/>
          </rPr>
          <t xml:space="preserve">$23.8m :pre-tax related to the elimination of the Company's restoration stock option program </t>
        </r>
        <r>
          <rPr>
            <sz val="8"/>
            <color indexed="81"/>
            <rFont val="Tahoma"/>
            <family val="2"/>
          </rPr>
          <t xml:space="preserve">
Source: Exhibit 2, 8K-1Q 2007</t>
        </r>
      </text>
    </comment>
    <comment ref="I47" authorId="3">
      <text>
        <r>
          <rPr>
            <sz val="8"/>
            <color indexed="81"/>
            <rFont val="Tahoma"/>
            <family val="2"/>
          </rPr>
          <t xml:space="preserve">$15.4 m: one-time pre-tax restructuring charge 
</t>
        </r>
        <r>
          <rPr>
            <sz val="8"/>
            <color indexed="81"/>
            <rFont val="Tahoma"/>
            <family val="2"/>
          </rPr>
          <t xml:space="preserve">
Source: Exhibit 2,  8K-3Q 2007
 </t>
        </r>
      </text>
    </comment>
    <comment ref="J47" authorId="3">
      <text>
        <r>
          <rPr>
            <sz val="8"/>
            <color indexed="81"/>
            <rFont val="Tahoma"/>
            <family val="2"/>
          </rPr>
          <t xml:space="preserve">$31.5m: one-time pre-tax restructuring charge 
</t>
        </r>
        <r>
          <rPr>
            <sz val="8"/>
            <color indexed="81"/>
            <rFont val="Tahoma"/>
            <family val="2"/>
          </rPr>
          <t xml:space="preserve">
Source: Exhibit 2,  8K-4Q 2007
 </t>
        </r>
      </text>
    </comment>
    <comment ref="O47" authorId="3">
      <text>
        <r>
          <rPr>
            <sz val="8"/>
            <color indexed="81"/>
            <rFont val="Tahoma"/>
            <family val="2"/>
          </rPr>
          <t xml:space="preserve">$43.7m: pre-tax restructuring charge 
</t>
        </r>
        <r>
          <rPr>
            <sz val="8"/>
            <color indexed="81"/>
            <rFont val="Tahoma"/>
            <family val="2"/>
          </rPr>
          <t xml:space="preserve">
Source: Exhibit 2,8K-4Q 2008</t>
        </r>
      </text>
    </comment>
    <comment ref="R47" authorId="3">
      <text>
        <r>
          <rPr>
            <sz val="8"/>
            <color indexed="81"/>
            <rFont val="Tahoma"/>
            <family val="2"/>
          </rPr>
          <t xml:space="preserve">$23.7 m:  pre-tax restructuring charge 
</t>
        </r>
        <r>
          <rPr>
            <sz val="8"/>
            <color indexed="81"/>
            <rFont val="Tahoma"/>
            <family val="2"/>
          </rPr>
          <t xml:space="preserve">
Source : Exhibit 2, 8K-3Q 2009</t>
        </r>
      </text>
    </comment>
    <comment ref="S47" authorId="3">
      <text>
        <r>
          <rPr>
            <sz val="8"/>
            <color indexed="81"/>
            <rFont val="Tahoma"/>
            <family val="2"/>
          </rPr>
          <t>23.4 m: pre-tax restructuring charge of $23.4 million as follows</t>
        </r>
        <r>
          <rPr>
            <sz val="8"/>
            <color indexed="81"/>
            <rFont val="Tahoma"/>
            <family val="2"/>
          </rPr>
          <t xml:space="preserve">
</t>
        </r>
      </text>
    </comment>
    <comment ref="T47" authorId="3">
      <text>
        <r>
          <rPr>
            <sz val="8"/>
            <color indexed="81"/>
            <rFont val="Tahoma"/>
            <family val="2"/>
          </rPr>
          <t xml:space="preserve">$73.4 :pre-tax restructuring charge </t>
        </r>
        <r>
          <rPr>
            <sz val="8"/>
            <color indexed="81"/>
            <rFont val="Tahoma"/>
            <family val="2"/>
          </rPr>
          <t xml:space="preserve">
</t>
        </r>
      </text>
    </comment>
    <comment ref="W47" authorId="3">
      <text>
        <r>
          <rPr>
            <sz val="8"/>
            <color indexed="81"/>
            <rFont val="Tahoma"/>
            <family val="2"/>
          </rPr>
          <t>$13.8m : Pre-tax loss on the sale of Vista Research, Inc
$15.2m:  pre-tax restructuring charge</t>
        </r>
        <r>
          <rPr>
            <sz val="8"/>
            <color indexed="81"/>
            <rFont val="Tahoma"/>
            <family val="2"/>
          </rPr>
          <t xml:space="preserve">
Source : Exhibit 2, 8K-2Q 2010</t>
        </r>
      </text>
    </comment>
    <comment ref="AX47" authorId="2">
      <text>
        <r>
          <rPr>
            <b/>
            <sz val="9"/>
            <color indexed="81"/>
            <rFont val="Tahoma"/>
            <family val="2"/>
          </rPr>
          <t>Galindo, Denny:</t>
        </r>
        <r>
          <rPr>
            <sz val="9"/>
            <color indexed="81"/>
            <rFont val="Tahoma"/>
            <family val="2"/>
          </rPr>
          <t xml:space="preserve">
Tax impact of restructuring and  legal settlement</t>
        </r>
      </text>
    </comment>
    <comment ref="BN49" authorId="1">
      <text>
        <r>
          <rPr>
            <b/>
            <sz val="9"/>
            <color indexed="81"/>
            <rFont val="Tahoma"/>
            <family val="2"/>
          </rPr>
          <t>Goldstein, Jeff (Research):</t>
        </r>
        <r>
          <rPr>
            <sz val="9"/>
            <color indexed="81"/>
            <rFont val="Tahoma"/>
            <family val="2"/>
          </rPr>
          <t xml:space="preserve">
Guidance of less than 30% (as of 3Q17 earnings)
Guidance of 30-31% (as of 2Q17)</t>
        </r>
      </text>
    </comment>
    <comment ref="AK53" authorId="4">
      <text>
        <r>
          <rPr>
            <sz val="8"/>
            <color indexed="81"/>
            <rFont val="Tahoma"/>
            <family val="2"/>
          </rPr>
          <t xml:space="preserve">Includes:
Loss from discontinued operations: $(36.0)m
</t>
        </r>
      </text>
    </comment>
    <comment ref="AL53" authorId="4">
      <text>
        <r>
          <rPr>
            <sz val="8"/>
            <color indexed="81"/>
            <rFont val="Tahoma"/>
            <family val="2"/>
          </rPr>
          <t xml:space="preserve">Includes:
Loss from discontinued operations: $40.0m
</t>
        </r>
      </text>
    </comment>
    <comment ref="AM53" authorId="4">
      <text>
        <r>
          <rPr>
            <sz val="8"/>
            <color indexed="81"/>
            <rFont val="Tahoma"/>
            <family val="2"/>
          </rPr>
          <t xml:space="preserve">Includes:
Income (loss) from discontinued operations: $165.0m
</t>
        </r>
        <r>
          <rPr>
            <sz val="8"/>
            <color indexed="81"/>
            <rFont val="Tahoma"/>
            <family val="2"/>
          </rPr>
          <t xml:space="preserve">
</t>
        </r>
      </text>
    </comment>
    <comment ref="AP53" authorId="4">
      <text>
        <r>
          <rPr>
            <sz val="8"/>
            <color indexed="81"/>
            <rFont val="Tahoma"/>
            <family val="2"/>
          </rPr>
          <t xml:space="preserve">Includes:
Loss from discontinued operations: $(31.0)m
Gain on sale of discontinued operations: $612.0m
</t>
        </r>
        <r>
          <rPr>
            <sz val="8"/>
            <color indexed="81"/>
            <rFont val="Tahoma"/>
            <family val="2"/>
          </rPr>
          <t xml:space="preserve">
</t>
        </r>
      </text>
    </comment>
    <comment ref="AT53" authorId="2">
      <text>
        <r>
          <rPr>
            <b/>
            <sz val="9"/>
            <color indexed="81"/>
            <rFont val="Tahoma"/>
            <family val="2"/>
          </rPr>
          <t>Galindo, Denny:</t>
        </r>
        <r>
          <rPr>
            <sz val="9"/>
            <color indexed="81"/>
            <rFont val="Tahoma"/>
            <family val="2"/>
          </rPr>
          <t xml:space="preserve">
Does not Include 15M in Op income from MH Contr in 1Q13 ad 2Q13 less taxes</t>
        </r>
      </text>
    </comment>
    <comment ref="C54" authorId="3">
      <text>
        <r>
          <rPr>
            <sz val="8"/>
            <color indexed="81"/>
            <rFont val="Tahoma"/>
            <family val="2"/>
          </rPr>
          <t xml:space="preserve">$14.5 m:  pre-tax loss on the disposition of MMS International
</t>
        </r>
        <r>
          <rPr>
            <sz val="8"/>
            <color indexed="81"/>
            <rFont val="Tahoma"/>
            <family val="2"/>
          </rPr>
          <t xml:space="preserve">
Source: 8k-4Q 2003</t>
        </r>
      </text>
    </comment>
    <comment ref="D54" authorId="3">
      <text>
        <r>
          <rPr>
            <sz val="8"/>
            <color indexed="81"/>
            <rFont val="Tahoma"/>
            <family val="2"/>
          </rPr>
          <t xml:space="preserve">$131.3:  pre-tax gain from the sale of the Company’s equity investment in Rock-McGraw, Inc. </t>
        </r>
        <r>
          <rPr>
            <sz val="8"/>
            <color indexed="81"/>
            <rFont val="Tahoma"/>
            <family val="2"/>
          </rPr>
          <t xml:space="preserve">
Source: Exhibit 2  8K-4Q 2004</t>
        </r>
      </text>
    </comment>
    <comment ref="F54" authorId="3">
      <text>
        <r>
          <rPr>
            <sz val="8"/>
            <color indexed="81"/>
            <rFont val="Tahoma"/>
            <family val="2"/>
          </rPr>
          <t>$6.8 m: pre-tax gain on the sale of Corporate Value Consulting on September 30, 2005</t>
        </r>
        <r>
          <rPr>
            <sz val="8"/>
            <color indexed="81"/>
            <rFont val="Tahoma"/>
            <family val="2"/>
          </rPr>
          <t xml:space="preserve">
$5.5 m: pre-tax loss on the sale of the Healthcare Information Group on November 8, 2005
$23.2 m: pre-tax restructuring charge
Source: Exhibit 2 , 8K-4Q 2006</t>
        </r>
      </text>
    </comment>
    <comment ref="G54" authorId="3">
      <text>
        <r>
          <rPr>
            <sz val="8"/>
            <color indexed="81"/>
            <rFont val="Tahoma"/>
            <family val="2"/>
          </rPr>
          <t xml:space="preserve">$23.8m :pre-tax related to the elimination of the Company's restoration stock option program </t>
        </r>
        <r>
          <rPr>
            <sz val="8"/>
            <color indexed="81"/>
            <rFont val="Tahoma"/>
            <family val="2"/>
          </rPr>
          <t xml:space="preserve">
Source: Exhibit 2, 8K-1Q 2007</t>
        </r>
      </text>
    </comment>
    <comment ref="I54" authorId="3">
      <text>
        <r>
          <rPr>
            <sz val="8"/>
            <color indexed="81"/>
            <rFont val="Tahoma"/>
            <family val="2"/>
          </rPr>
          <t xml:space="preserve">$15.4 m: one-time pre-tax restructuring charge 
</t>
        </r>
        <r>
          <rPr>
            <sz val="8"/>
            <color indexed="81"/>
            <rFont val="Tahoma"/>
            <family val="2"/>
          </rPr>
          <t xml:space="preserve">
Source: Exhibit 2,  8K-3Q 2007
 </t>
        </r>
      </text>
    </comment>
    <comment ref="J54" authorId="3">
      <text>
        <r>
          <rPr>
            <sz val="8"/>
            <color indexed="81"/>
            <rFont val="Tahoma"/>
            <family val="2"/>
          </rPr>
          <t xml:space="preserve">$31.5m: one-time pre-tax restructuring charge 
</t>
        </r>
        <r>
          <rPr>
            <sz val="8"/>
            <color indexed="81"/>
            <rFont val="Tahoma"/>
            <family val="2"/>
          </rPr>
          <t xml:space="preserve">
Source: Exhibit 2,  8K-4Q 2007
 </t>
        </r>
      </text>
    </comment>
    <comment ref="O54" authorId="3">
      <text>
        <r>
          <rPr>
            <sz val="8"/>
            <color indexed="81"/>
            <rFont val="Tahoma"/>
            <family val="2"/>
          </rPr>
          <t xml:space="preserve">$43.7m: pre-tax restructuring charge 
</t>
        </r>
        <r>
          <rPr>
            <sz val="8"/>
            <color indexed="81"/>
            <rFont val="Tahoma"/>
            <family val="2"/>
          </rPr>
          <t xml:space="preserve">
Source: Exhibit 2,8K-4Q 2008</t>
        </r>
      </text>
    </comment>
    <comment ref="R54" authorId="3">
      <text>
        <r>
          <rPr>
            <sz val="8"/>
            <color indexed="81"/>
            <rFont val="Tahoma"/>
            <family val="2"/>
          </rPr>
          <t xml:space="preserve">$23.7 m:  pre-tax restructuring charge 
</t>
        </r>
        <r>
          <rPr>
            <sz val="8"/>
            <color indexed="81"/>
            <rFont val="Tahoma"/>
            <family val="2"/>
          </rPr>
          <t xml:space="preserve">
Source : Exhibit 2, 8K-3Q 2009</t>
        </r>
      </text>
    </comment>
    <comment ref="S54" authorId="3">
      <text>
        <r>
          <rPr>
            <sz val="8"/>
            <color indexed="81"/>
            <rFont val="Tahoma"/>
            <family val="2"/>
          </rPr>
          <t>23.4 m: pre-tax restructuring charge of $23.4 million as follows</t>
        </r>
        <r>
          <rPr>
            <sz val="8"/>
            <color indexed="81"/>
            <rFont val="Tahoma"/>
            <family val="2"/>
          </rPr>
          <t xml:space="preserve">
</t>
        </r>
      </text>
    </comment>
    <comment ref="T54" authorId="3">
      <text>
        <r>
          <rPr>
            <sz val="8"/>
            <color indexed="81"/>
            <rFont val="Tahoma"/>
            <family val="2"/>
          </rPr>
          <t xml:space="preserve">$73.4 :pre-tax restructuring charge </t>
        </r>
        <r>
          <rPr>
            <sz val="8"/>
            <color indexed="81"/>
            <rFont val="Tahoma"/>
            <family val="2"/>
          </rPr>
          <t xml:space="preserve">
</t>
        </r>
      </text>
    </comment>
    <comment ref="W54" authorId="3">
      <text>
        <r>
          <rPr>
            <sz val="8"/>
            <color indexed="81"/>
            <rFont val="Tahoma"/>
            <family val="2"/>
          </rPr>
          <t>$13.8m : Pre-tax loss on the sale of Vista Research, Inc
$15.2m:  pre-tax restructuring charge</t>
        </r>
        <r>
          <rPr>
            <sz val="8"/>
            <color indexed="81"/>
            <rFont val="Tahoma"/>
            <family val="2"/>
          </rPr>
          <t xml:space="preserve">
Source : Exhibit 2, 8K-2Q 2010</t>
        </r>
      </text>
    </comment>
    <comment ref="Y54" authorId="5">
      <text>
        <r>
          <rPr>
            <sz val="8"/>
            <color indexed="81"/>
            <rFont val="Tahoma"/>
            <family val="2"/>
          </rPr>
          <t xml:space="preserve">$11.8m (post tax) consolidated figure relates to:
</t>
        </r>
        <r>
          <rPr>
            <sz val="8"/>
            <color indexed="81"/>
            <rFont val="Tahoma"/>
            <family val="2"/>
          </rPr>
          <t xml:space="preserve">
1. Includes a $13.8 million loss on the sale of Vista Research, Inc. and a net restructuring reversal of $(0.4) million
2. Net restructuring charge at the McGraw-Hill Education segment 
3. Includes a $10.5 million gain on the sale of BusinessWeek and a net restructuring charge of $4.0 million
Source: 8- k, 4Q10 </t>
        </r>
      </text>
    </comment>
    <comment ref="AC54" authorId="3">
      <text>
        <r>
          <rPr>
            <sz val="8"/>
            <color indexed="81"/>
            <rFont val="Tahoma"/>
            <family val="2"/>
          </rPr>
          <t xml:space="preserve">$7.1m (post tax): Gain on the sale of certain equity interests at Standard &amp; Poor's segment and Gain on the sale of McGraw-Hill Education's Australian secondary education business
$2.3m (Post tax): Expense related to the sale of certain equity interests at Standard &amp; Poor's segment </t>
        </r>
        <r>
          <rPr>
            <sz val="8"/>
            <color indexed="81"/>
            <rFont val="Tahoma"/>
            <family val="2"/>
          </rPr>
          <t xml:space="preserve">
</t>
        </r>
      </text>
    </comment>
    <comment ref="AD54" authorId="5">
      <text>
        <r>
          <rPr>
            <sz val="8"/>
            <color indexed="81"/>
            <rFont val="Tahoma"/>
            <family val="2"/>
          </rPr>
          <t xml:space="preserve">$9.6m (post tax) consolidated figure relates to:
</t>
        </r>
        <r>
          <rPr>
            <sz val="8"/>
            <color indexed="81"/>
            <rFont val="Tahoma"/>
            <family val="2"/>
          </rPr>
          <t xml:space="preserve">
1. Restructuring charge 
2. Charge for subleasing excess space in the New York facilities 
3. Gain on the sale of certain equity interests at our Financial Services segment 
4. Gain on the sale of McGraw-Hill Education's Australian secondary education business  
$2.3m (Post-tax): Gain on the sale of certain equity interests at our Financial Services segment 
Source: 8- k, 4Q10 </t>
        </r>
      </text>
    </comment>
    <comment ref="BH54" authorId="1">
      <text>
        <r>
          <rPr>
            <b/>
            <sz val="9"/>
            <color indexed="81"/>
            <rFont val="Tahoma"/>
            <family val="2"/>
          </rPr>
          <t>Goldstein, Jeff (Research):</t>
        </r>
        <r>
          <rPr>
            <sz val="9"/>
            <color indexed="81"/>
            <rFont val="Tahoma"/>
            <family val="2"/>
          </rPr>
          <t xml:space="preserve">
Less 21M redemption fee related to early payment of senior notes</t>
        </r>
      </text>
    </comment>
    <comment ref="BO54" authorId="1">
      <text>
        <r>
          <rPr>
            <b/>
            <sz val="9"/>
            <color indexed="81"/>
            <rFont val="Tahoma"/>
            <family val="2"/>
          </rPr>
          <t>Goldstein, Jeff (Research):</t>
        </r>
        <r>
          <rPr>
            <sz val="9"/>
            <color indexed="81"/>
            <rFont val="Tahoma"/>
            <family val="2"/>
          </rPr>
          <t xml:space="preserve">
Includes 4M of other income</t>
        </r>
      </text>
    </comment>
    <comment ref="AC58" authorId="3">
      <text>
        <r>
          <rPr>
            <sz val="8"/>
            <color indexed="81"/>
            <rFont val="Tahoma"/>
            <family val="2"/>
          </rPr>
          <t xml:space="preserve">$2.3m (Post tax): Expense related to the sale of certain equity interests at Standard &amp; Poor's segment </t>
        </r>
        <r>
          <rPr>
            <sz val="8"/>
            <color indexed="81"/>
            <rFont val="Tahoma"/>
            <family val="2"/>
          </rPr>
          <t xml:space="preserve">
</t>
        </r>
      </text>
    </comment>
    <comment ref="AD58" authorId="3">
      <text>
        <r>
          <rPr>
            <sz val="8"/>
            <color indexed="81"/>
            <rFont val="Tahoma"/>
            <family val="2"/>
          </rPr>
          <t xml:space="preserve">$2.3m (Post tax): Expense related to the sale of certain equity interests at Standard &amp; Poor's segment </t>
        </r>
        <r>
          <rPr>
            <sz val="8"/>
            <color indexed="81"/>
            <rFont val="Tahoma"/>
            <family val="2"/>
          </rPr>
          <t xml:space="preserve">
</t>
        </r>
      </text>
    </comment>
    <comment ref="AI58" authorId="1">
      <text>
        <r>
          <rPr>
            <b/>
            <sz val="9"/>
            <color indexed="81"/>
            <rFont val="Tahoma"/>
            <family val="2"/>
          </rPr>
          <t>Goldstein, Jeff (Research):</t>
        </r>
        <r>
          <rPr>
            <sz val="9"/>
            <color indexed="81"/>
            <rFont val="Tahoma"/>
            <family val="2"/>
          </rPr>
          <t xml:space="preserve">
$5m in NCI net income-continuing and $2m NCI net loss-discontinued</t>
        </r>
      </text>
    </comment>
    <comment ref="AK58" authorId="1">
      <text>
        <r>
          <rPr>
            <b/>
            <sz val="9"/>
            <color indexed="81"/>
            <rFont val="Tahoma"/>
            <family val="2"/>
          </rPr>
          <t xml:space="preserve">Goldstein, Jeff (Research): </t>
        </r>
        <r>
          <rPr>
            <sz val="9"/>
            <color indexed="81"/>
            <rFont val="Tahoma"/>
            <family val="2"/>
          </rPr>
          <t>$5m NCI net income-continuining + $1m NCI net loss-discontinued</t>
        </r>
      </text>
    </comment>
    <comment ref="AL58" authorId="1">
      <text>
        <r>
          <rPr>
            <b/>
            <sz val="9"/>
            <color indexed="81"/>
            <rFont val="Tahoma"/>
            <family val="2"/>
          </rPr>
          <t>Goldstein, Jeff (Research):</t>
        </r>
        <r>
          <rPr>
            <sz val="9"/>
            <color indexed="81"/>
            <rFont val="Tahoma"/>
            <family val="2"/>
          </rPr>
          <t xml:space="preserve">
$3m NCI net income-continuing and $1m NCI net income discontinuing</t>
        </r>
      </text>
    </comment>
    <comment ref="AM58" authorId="1">
      <text>
        <r>
          <rPr>
            <b/>
            <sz val="9"/>
            <color indexed="81"/>
            <rFont val="Tahoma"/>
            <family val="2"/>
          </rPr>
          <t>Goldstein, Jeff (Research):</t>
        </r>
        <r>
          <rPr>
            <sz val="9"/>
            <color indexed="81"/>
            <rFont val="Tahoma"/>
            <family val="2"/>
          </rPr>
          <t xml:space="preserve">
21m NCI net income-continuing + 2m NCI net income-discontinued</t>
        </r>
      </text>
    </comment>
    <comment ref="AX70" authorId="2">
      <text>
        <r>
          <rPr>
            <b/>
            <sz val="9"/>
            <color indexed="81"/>
            <rFont val="Tahoma"/>
            <family val="2"/>
          </rPr>
          <t>Galindo, Denny:</t>
        </r>
        <r>
          <rPr>
            <sz val="9"/>
            <color indexed="81"/>
            <rFont val="Tahoma"/>
            <family val="2"/>
          </rPr>
          <t xml:space="preserve">
Estimated Dilutive share count (if no loss) From ER</t>
        </r>
      </text>
    </comment>
    <comment ref="BD72" authorId="2">
      <text>
        <r>
          <rPr>
            <b/>
            <sz val="9"/>
            <color indexed="81"/>
            <rFont val="Tahoma"/>
            <family val="2"/>
          </rPr>
          <t>Galindo, Denny:</t>
        </r>
        <r>
          <rPr>
            <sz val="9"/>
            <color indexed="81"/>
            <rFont val="Tahoma"/>
            <family val="2"/>
          </rPr>
          <t xml:space="preserve">
3Q15: Increasing to $4.45-$4.50</t>
        </r>
      </text>
    </comment>
    <comment ref="BC78" authorId="1">
      <text>
        <r>
          <rPr>
            <b/>
            <sz val="9"/>
            <color indexed="81"/>
            <rFont val="Tahoma"/>
            <family val="2"/>
          </rPr>
          <t>Goldstein, Jeff (Research):</t>
        </r>
        <r>
          <rPr>
            <sz val="9"/>
            <color indexed="81"/>
            <rFont val="Tahoma"/>
            <family val="2"/>
          </rPr>
          <t xml:space="preserve">
After tax impact of $20M</t>
        </r>
      </text>
    </comment>
    <comment ref="BF78" authorId="1">
      <text>
        <r>
          <rPr>
            <b/>
            <sz val="9"/>
            <color indexed="81"/>
            <rFont val="Tahoma"/>
            <family val="2"/>
          </rPr>
          <t>Goldstein, Jeff (Research):</t>
        </r>
        <r>
          <rPr>
            <sz val="9"/>
            <color indexed="81"/>
            <rFont val="Tahoma"/>
            <family val="2"/>
          </rPr>
          <t xml:space="preserve">
8K. Provision for taxes on income</t>
        </r>
      </text>
    </comment>
    <comment ref="BG78" authorId="1">
      <text>
        <r>
          <rPr>
            <b/>
            <sz val="9"/>
            <color indexed="81"/>
            <rFont val="Tahoma"/>
            <family val="2"/>
          </rPr>
          <t>Goldstein, Jeff (Research):</t>
        </r>
        <r>
          <rPr>
            <sz val="9"/>
            <color indexed="81"/>
            <rFont val="Tahoma"/>
            <family val="2"/>
          </rPr>
          <t xml:space="preserve">
8K. Provision for taxes on income</t>
        </r>
      </text>
    </comment>
    <comment ref="BI80" authorId="6">
      <text>
        <r>
          <rPr>
            <b/>
            <sz val="9"/>
            <color indexed="81"/>
            <rFont val="Tahoma"/>
            <family val="2"/>
          </rPr>
          <t>Kaplan, Toni (Research):</t>
        </r>
        <r>
          <rPr>
            <sz val="9"/>
            <color indexed="81"/>
            <rFont val="Tahoma"/>
            <family val="2"/>
          </rPr>
          <t xml:space="preserve">
3Q16: $5.15-$5.25
2Q16: $5.05-$5.20</t>
        </r>
      </text>
    </comment>
    <comment ref="BN80" authorId="1">
      <text>
        <r>
          <rPr>
            <b/>
            <sz val="9"/>
            <color indexed="81"/>
            <rFont val="Tahoma"/>
            <family val="2"/>
          </rPr>
          <t xml:space="preserve">Goldstein, Jeff (Research):
</t>
        </r>
        <r>
          <rPr>
            <sz val="9"/>
            <color indexed="81"/>
            <rFont val="Tahoma"/>
            <family val="2"/>
          </rPr>
          <t>Guidance of $6.55-$6.70 (as of 3Q17)</t>
        </r>
        <r>
          <rPr>
            <b/>
            <sz val="9"/>
            <color indexed="81"/>
            <rFont val="Tahoma"/>
            <family val="2"/>
          </rPr>
          <t xml:space="preserve">
</t>
        </r>
        <r>
          <rPr>
            <sz val="9"/>
            <color indexed="81"/>
            <rFont val="Tahoma"/>
            <family val="2"/>
          </rPr>
          <t>Guidance of $6.15-$6.30 (As of 2Q17)</t>
        </r>
        <r>
          <rPr>
            <b/>
            <sz val="9"/>
            <color indexed="81"/>
            <rFont val="Tahoma"/>
            <family val="2"/>
          </rPr>
          <t xml:space="preserve">
</t>
        </r>
        <r>
          <rPr>
            <sz val="9"/>
            <color indexed="81"/>
            <rFont val="Tahoma"/>
            <family val="2"/>
          </rPr>
          <t xml:space="preserve">
Guidance of $6.00-$6.20 (as of 1Q17)
Guidance of $5.90-$6.15 (as of 4Q16)</t>
        </r>
      </text>
    </comment>
    <comment ref="BS80" authorId="1">
      <text>
        <r>
          <rPr>
            <b/>
            <sz val="9"/>
            <color indexed="81"/>
            <rFont val="Tahoma"/>
            <family val="2"/>
          </rPr>
          <t>Goldstein, Jeff (Research):</t>
        </r>
        <r>
          <rPr>
            <sz val="9"/>
            <color indexed="81"/>
            <rFont val="Tahoma"/>
            <family val="2"/>
          </rPr>
          <t xml:space="preserve">
1Q18: Reiterated guidance of $8.45-$8.60
4Q17: Guidance of $8.45-$8.60</t>
        </r>
      </text>
    </comment>
    <comment ref="AK84" authorId="4">
      <text>
        <r>
          <rPr>
            <sz val="8"/>
            <color indexed="81"/>
            <rFont val="Tahoma"/>
            <family val="2"/>
          </rPr>
          <t>From 1Q12 onwards,  CFS starts with Net Income from Continuing Operations.</t>
        </r>
        <r>
          <rPr>
            <sz val="8"/>
            <color indexed="81"/>
            <rFont val="Tahoma"/>
            <family val="2"/>
          </rPr>
          <t xml:space="preserve">
</t>
        </r>
      </text>
    </comment>
    <comment ref="AU84" authorId="4">
      <text>
        <r>
          <rPr>
            <sz val="8"/>
            <color indexed="81"/>
            <rFont val="Tahoma"/>
            <family val="2"/>
          </rPr>
          <t>From 1Q12 onwards,  CFS starts with Net Income from Continuing Operations.</t>
        </r>
        <r>
          <rPr>
            <sz val="8"/>
            <color indexed="81"/>
            <rFont val="Tahoma"/>
            <family val="2"/>
          </rPr>
          <t xml:space="preserve">
</t>
        </r>
      </text>
    </comment>
    <comment ref="AV84" authorId="4">
      <text>
        <r>
          <rPr>
            <sz val="8"/>
            <color indexed="81"/>
            <rFont val="Tahoma"/>
            <family val="2"/>
          </rPr>
          <t>From 1Q12 onwards,  CFS starts with Net Income from Continuing Operations.</t>
        </r>
        <r>
          <rPr>
            <sz val="8"/>
            <color indexed="81"/>
            <rFont val="Tahoma"/>
            <family val="2"/>
          </rPr>
          <t xml:space="preserve">
</t>
        </r>
      </text>
    </comment>
    <comment ref="D92" authorId="3">
      <text>
        <r>
          <rPr>
            <sz val="8"/>
            <color indexed="81"/>
            <rFont val="Tahoma"/>
            <family val="2"/>
          </rPr>
          <t xml:space="preserve"> Loss on disposition of juvenile retail publishing business, primarily goodwill impairment $75,919</t>
        </r>
        <r>
          <rPr>
            <sz val="8"/>
            <color indexed="81"/>
            <rFont val="Tahoma"/>
            <family val="2"/>
          </rPr>
          <t xml:space="preserve">
</t>
        </r>
      </text>
    </comment>
    <comment ref="B93" authorId="3">
      <text>
        <r>
          <rPr>
            <sz val="8"/>
            <color indexed="81"/>
            <rFont val="Tahoma"/>
            <family val="2"/>
          </rPr>
          <t>Includes:Other $8,347 + Gain on sale of real estate $6,925</t>
        </r>
        <r>
          <rPr>
            <sz val="8"/>
            <color indexed="81"/>
            <rFont val="Tahoma"/>
            <family val="2"/>
          </rPr>
          <t xml:space="preserve">
</t>
        </r>
      </text>
    </comment>
    <comment ref="C93" authorId="3">
      <text>
        <r>
          <rPr>
            <sz val="8"/>
            <color indexed="81"/>
            <rFont val="Tahoma"/>
            <family val="2"/>
          </rPr>
          <t>Includes: loss on sale of MMS International 14,534 + Other $9,618</t>
        </r>
        <r>
          <rPr>
            <sz val="8"/>
            <color indexed="81"/>
            <rFont val="Tahoma"/>
            <family val="2"/>
          </rPr>
          <t xml:space="preserve">
</t>
        </r>
      </text>
    </comment>
    <comment ref="D93" authorId="3">
      <text>
        <r>
          <rPr>
            <sz val="8"/>
            <color indexed="81"/>
            <rFont val="Tahoma"/>
            <family val="2"/>
          </rPr>
          <t xml:space="preserve">Includes:Gain on sale of S&amp;P ComStock $-86,953  + Gain on sale of Rock-McGraw, Inc.$-131.250 </t>
        </r>
        <r>
          <rPr>
            <sz val="8"/>
            <color indexed="81"/>
            <rFont val="Tahoma"/>
            <family val="2"/>
          </rPr>
          <t xml:space="preserve">
</t>
        </r>
      </text>
    </comment>
    <comment ref="L93" authorId="3">
      <text>
        <r>
          <rPr>
            <sz val="8"/>
            <color indexed="81"/>
            <rFont val="Tahoma"/>
            <family val="2"/>
          </rPr>
          <t xml:space="preserve">Includes: Gain on sale of business $17,305
</t>
        </r>
        <r>
          <rPr>
            <sz val="8"/>
            <color indexed="81"/>
            <rFont val="Tahoma"/>
            <family val="2"/>
          </rPr>
          <t xml:space="preserve">
</t>
        </r>
      </text>
    </comment>
    <comment ref="M93" authorId="3">
      <text>
        <r>
          <rPr>
            <sz val="8"/>
            <color indexed="81"/>
            <rFont val="Tahoma"/>
            <family val="2"/>
          </rPr>
          <t xml:space="preserve">Includes: Gain on sale of business $17,305 </t>
        </r>
        <r>
          <rPr>
            <sz val="8"/>
            <color indexed="81"/>
            <rFont val="Tahoma"/>
            <family val="2"/>
          </rPr>
          <t xml:space="preserve">
</t>
        </r>
      </text>
    </comment>
    <comment ref="N93" authorId="3">
      <text>
        <r>
          <rPr>
            <sz val="8"/>
            <color indexed="81"/>
            <rFont val="Tahoma"/>
            <family val="2"/>
          </rPr>
          <t xml:space="preserve">Includes: Gain on sale of business $21,432 </t>
        </r>
        <r>
          <rPr>
            <sz val="8"/>
            <color indexed="81"/>
            <rFont val="Tahoma"/>
            <family val="2"/>
          </rPr>
          <t xml:space="preserve">
</t>
        </r>
      </text>
    </comment>
    <comment ref="O93" authorId="3">
      <text>
        <r>
          <rPr>
            <sz val="8"/>
            <color indexed="81"/>
            <rFont val="Tahoma"/>
            <family val="2"/>
          </rPr>
          <t xml:space="preserve">Includes: Gain on sale of business $21,432 </t>
        </r>
        <r>
          <rPr>
            <sz val="8"/>
            <color indexed="81"/>
            <rFont val="Tahoma"/>
            <family val="2"/>
          </rPr>
          <t xml:space="preserve">
</t>
        </r>
      </text>
    </comment>
    <comment ref="W93" authorId="3">
      <text>
        <r>
          <rPr>
            <sz val="8"/>
            <color indexed="81"/>
            <rFont val="Tahoma"/>
            <family val="2"/>
          </rPr>
          <t xml:space="preserve">Includes: Loss on disposition of business $13,849 </t>
        </r>
        <r>
          <rPr>
            <sz val="8"/>
            <color indexed="81"/>
            <rFont val="Tahoma"/>
            <family val="2"/>
          </rPr>
          <t xml:space="preserve">
</t>
        </r>
      </text>
    </comment>
    <comment ref="X93" authorId="3">
      <text>
        <r>
          <rPr>
            <sz val="8"/>
            <color indexed="81"/>
            <rFont val="Tahoma"/>
            <family val="2"/>
          </rPr>
          <t xml:space="preserve">Includes: Loss on disposition of business $13,849 </t>
        </r>
        <r>
          <rPr>
            <sz val="8"/>
            <color indexed="81"/>
            <rFont val="Tahoma"/>
            <family val="2"/>
          </rPr>
          <t xml:space="preserve">
</t>
        </r>
      </text>
    </comment>
    <comment ref="Y93" authorId="3">
      <text>
        <r>
          <rPr>
            <sz val="8"/>
            <color indexed="81"/>
            <rFont val="Tahoma"/>
            <family val="2"/>
          </rPr>
          <t>Includes: Loss on disposition of business $3,304</t>
        </r>
        <r>
          <rPr>
            <sz val="8"/>
            <color indexed="81"/>
            <rFont val="Tahoma"/>
            <family val="2"/>
          </rPr>
          <t xml:space="preserve">
</t>
        </r>
      </text>
    </comment>
    <comment ref="AD93" authorId="3">
      <text>
        <r>
          <rPr>
            <sz val="8"/>
            <color indexed="81"/>
            <rFont val="Tahoma"/>
            <family val="2"/>
          </rPr>
          <t xml:space="preserve">Includes:Gain on dispositions $ 11,058
</t>
        </r>
      </text>
    </comment>
    <comment ref="B94" authorId="3">
      <text>
        <r>
          <rPr>
            <sz val="8"/>
            <color indexed="81"/>
            <rFont val="Tahoma"/>
            <family val="2"/>
          </rPr>
          <t xml:space="preserve">Includes:Restructuring and asset write-downs 
$158,962                                                                     </t>
        </r>
      </text>
    </comment>
    <comment ref="D94" authorId="3">
      <text>
        <r>
          <rPr>
            <sz val="8"/>
            <color indexed="81"/>
            <rFont val="Tahoma"/>
            <family val="2"/>
          </rPr>
          <t>Includes:other -12,468+ Dividend from Rock-McGraw, Inc $103,500</t>
        </r>
        <r>
          <rPr>
            <sz val="8"/>
            <color indexed="81"/>
            <rFont val="Tahoma"/>
            <family val="2"/>
          </rPr>
          <t xml:space="preserve">
</t>
        </r>
      </text>
    </comment>
    <comment ref="Q94" authorId="3">
      <text>
        <r>
          <rPr>
            <sz val="8"/>
            <color indexed="81"/>
            <rFont val="Tahoma"/>
            <family val="2"/>
          </rPr>
          <t>Includes: Noncontrolling interests $2,462 +  other $2,055</t>
        </r>
        <r>
          <rPr>
            <sz val="8"/>
            <color indexed="81"/>
            <rFont val="Tahoma"/>
            <family val="2"/>
          </rPr>
          <t xml:space="preserve">
</t>
        </r>
      </text>
    </comment>
    <comment ref="X94" authorId="3">
      <text>
        <r>
          <rPr>
            <sz val="8"/>
            <color indexed="81"/>
            <rFont val="Tahoma"/>
            <family val="2"/>
          </rPr>
          <t>Other $4,172</t>
        </r>
        <r>
          <rPr>
            <sz val="8"/>
            <color indexed="81"/>
            <rFont val="Tahoma"/>
            <family val="2"/>
          </rPr>
          <t xml:space="preserve">
</t>
        </r>
      </text>
    </comment>
    <comment ref="Y94" authorId="3">
      <text>
        <r>
          <rPr>
            <sz val="8"/>
            <color indexed="81"/>
            <rFont val="Tahoma"/>
            <family val="2"/>
          </rPr>
          <t>Includes:  Other $11,539</t>
        </r>
        <r>
          <rPr>
            <sz val="8"/>
            <color indexed="81"/>
            <rFont val="Tahoma"/>
            <family val="2"/>
          </rPr>
          <t xml:space="preserve">
</t>
        </r>
      </text>
    </comment>
    <comment ref="AD94" authorId="3">
      <text>
        <r>
          <rPr>
            <sz val="8"/>
            <color indexed="81"/>
            <rFont val="Tahoma"/>
            <family val="2"/>
          </rPr>
          <t>Includes:Other $35,111</t>
        </r>
        <r>
          <rPr>
            <sz val="8"/>
            <color indexed="81"/>
            <rFont val="Tahoma"/>
            <family val="2"/>
          </rPr>
          <t xml:space="preserve">
</t>
        </r>
      </text>
    </comment>
    <comment ref="BF94" authorId="1">
      <text>
        <r>
          <rPr>
            <b/>
            <sz val="9"/>
            <color indexed="81"/>
            <rFont val="Tahoma"/>
            <family val="2"/>
          </rPr>
          <t>Goldstein, Jeff (Research):</t>
        </r>
        <r>
          <rPr>
            <sz val="9"/>
            <color indexed="81"/>
            <rFont val="Tahoma"/>
            <family val="2"/>
          </rPr>
          <t xml:space="preserve">
Includes rounding plug</t>
        </r>
      </text>
    </comment>
    <comment ref="BG94" authorId="1">
      <text>
        <r>
          <rPr>
            <b/>
            <sz val="9"/>
            <color indexed="81"/>
            <rFont val="Tahoma"/>
            <family val="2"/>
          </rPr>
          <t>Goldstein, Jeff (Research):</t>
        </r>
        <r>
          <rPr>
            <sz val="9"/>
            <color indexed="81"/>
            <rFont val="Tahoma"/>
            <family val="2"/>
          </rPr>
          <t xml:space="preserve">
Includes rounding plug</t>
        </r>
      </text>
    </comment>
    <comment ref="BH94" authorId="1">
      <text>
        <r>
          <rPr>
            <b/>
            <sz val="9"/>
            <color indexed="81"/>
            <rFont val="Tahoma"/>
            <family val="2"/>
          </rPr>
          <t>Goldstein, Jeff (Research):</t>
        </r>
        <r>
          <rPr>
            <sz val="9"/>
            <color indexed="81"/>
            <rFont val="Tahoma"/>
            <family val="2"/>
          </rPr>
          <t xml:space="preserve">
54M - Accrued legal and regulatory settlements
Includes rounding plug</t>
        </r>
      </text>
    </comment>
    <comment ref="B97" authorId="3">
      <text>
        <r>
          <rPr>
            <sz val="8"/>
            <color indexed="81"/>
            <rFont val="Tahoma"/>
            <family val="2"/>
          </rPr>
          <t>Includes: Decrease in accounts receivable and inventory</t>
        </r>
        <r>
          <rPr>
            <sz val="8"/>
            <color indexed="81"/>
            <rFont val="Tahoma"/>
            <family val="2"/>
          </rPr>
          <t xml:space="preserve">
</t>
        </r>
      </text>
    </comment>
    <comment ref="C97" authorId="3">
      <text>
        <r>
          <rPr>
            <sz val="8"/>
            <color indexed="81"/>
            <rFont val="Tahoma"/>
            <family val="2"/>
          </rPr>
          <t>Includes: Decrease in accounts receivable and inventory</t>
        </r>
        <r>
          <rPr>
            <sz val="8"/>
            <color indexed="81"/>
            <rFont val="Tahoma"/>
            <family val="2"/>
          </rPr>
          <t xml:space="preserve">
</t>
        </r>
      </text>
    </comment>
    <comment ref="B101" authorId="3">
      <text>
        <r>
          <rPr>
            <sz val="8"/>
            <color indexed="81"/>
            <rFont val="Tahoma"/>
            <family val="2"/>
          </rPr>
          <t>Includes:Increase/(decrease) in unearned revenue and other current liabilities</t>
        </r>
        <r>
          <rPr>
            <sz val="8"/>
            <color indexed="81"/>
            <rFont val="Tahoma"/>
            <family val="2"/>
          </rPr>
          <t xml:space="preserve">
</t>
        </r>
      </text>
    </comment>
    <comment ref="C101" authorId="3">
      <text>
        <r>
          <rPr>
            <sz val="8"/>
            <color indexed="81"/>
            <rFont val="Tahoma"/>
            <family val="2"/>
          </rPr>
          <t>Includes:Increase/(decrease) in unearned revenue and other current liabilities</t>
        </r>
        <r>
          <rPr>
            <sz val="8"/>
            <color indexed="81"/>
            <rFont val="Tahoma"/>
            <family val="2"/>
          </rPr>
          <t xml:space="preserve">
</t>
        </r>
      </text>
    </comment>
    <comment ref="AZ102" authorId="1">
      <text>
        <r>
          <rPr>
            <b/>
            <sz val="9"/>
            <color indexed="81"/>
            <rFont val="Tahoma"/>
            <family val="2"/>
          </rPr>
          <t>Goldstein, Jeff (Research):</t>
        </r>
        <r>
          <rPr>
            <sz val="9"/>
            <color indexed="81"/>
            <rFont val="Tahoma"/>
            <family val="2"/>
          </rPr>
          <t xml:space="preserve">
Accrued legal and regulatory settlement</t>
        </r>
      </text>
    </comment>
    <comment ref="B103" authorId="3">
      <text>
        <r>
          <rPr>
            <sz val="8"/>
            <color indexed="81"/>
            <rFont val="Tahoma"/>
            <family val="2"/>
          </rPr>
          <t>Includes:Net change in deferred income taxes $7,357 + Increase in interest and income taxes currently payable $42,618</t>
        </r>
        <r>
          <rPr>
            <sz val="8"/>
            <color indexed="81"/>
            <rFont val="Tahoma"/>
            <family val="2"/>
          </rPr>
          <t xml:space="preserve">
</t>
        </r>
      </text>
    </comment>
    <comment ref="C103" authorId="3">
      <text>
        <r>
          <rPr>
            <sz val="8"/>
            <color indexed="81"/>
            <rFont val="Tahoma"/>
            <family val="2"/>
          </rPr>
          <t>Includes:Net change in deferred income taxes $64,492 + Increase in interest and income taxes currently payable $18,475</t>
        </r>
        <r>
          <rPr>
            <sz val="8"/>
            <color indexed="81"/>
            <rFont val="Tahoma"/>
            <family val="2"/>
          </rPr>
          <t xml:space="preserve">
</t>
        </r>
      </text>
    </comment>
    <comment ref="E103" authorId="3">
      <text>
        <r>
          <rPr>
            <sz val="8"/>
            <color indexed="81"/>
            <rFont val="Tahoma"/>
            <family val="2"/>
          </rPr>
          <t>Includes: Increase/(decrease) in interest and income taxes currently payable $106,800+ Net change in deferred income taxes $28,664</t>
        </r>
        <r>
          <rPr>
            <sz val="8"/>
            <color indexed="81"/>
            <rFont val="Tahoma"/>
            <family val="2"/>
          </rPr>
          <t xml:space="preserve">
</t>
        </r>
      </text>
    </comment>
    <comment ref="G103" authorId="3">
      <text>
        <r>
          <rPr>
            <sz val="8"/>
            <color indexed="81"/>
            <rFont val="Tahoma"/>
            <family val="2"/>
          </rPr>
          <t>Includes: Interest and income taxes currently payable $11,004</t>
        </r>
        <r>
          <rPr>
            <sz val="8"/>
            <color indexed="81"/>
            <rFont val="Tahoma"/>
            <family val="2"/>
          </rPr>
          <t xml:space="preserve">
</t>
        </r>
      </text>
    </comment>
    <comment ref="H103" authorId="3">
      <text>
        <r>
          <rPr>
            <sz val="8"/>
            <color indexed="81"/>
            <rFont val="Tahoma"/>
            <family val="2"/>
          </rPr>
          <t>Includes: Interest and income taxes currently payable $11,004</t>
        </r>
        <r>
          <rPr>
            <sz val="8"/>
            <color indexed="81"/>
            <rFont val="Tahoma"/>
            <family val="2"/>
          </rPr>
          <t xml:space="preserve">
</t>
        </r>
      </text>
    </comment>
    <comment ref="I103" authorId="3">
      <text>
        <r>
          <rPr>
            <sz val="8"/>
            <color indexed="81"/>
            <rFont val="Tahoma"/>
            <family val="2"/>
          </rPr>
          <t>Includes: Interest and income taxes currently payable $11,004</t>
        </r>
        <r>
          <rPr>
            <sz val="8"/>
            <color indexed="81"/>
            <rFont val="Tahoma"/>
            <family val="2"/>
          </rPr>
          <t xml:space="preserve">
</t>
        </r>
      </text>
    </comment>
    <comment ref="BA104" authorId="1">
      <text>
        <r>
          <rPr>
            <b/>
            <sz val="9"/>
            <color indexed="81"/>
            <rFont val="Tahoma"/>
            <family val="2"/>
          </rPr>
          <t>Goldstein, Jeff (Research):</t>
        </r>
        <r>
          <rPr>
            <sz val="9"/>
            <color indexed="81"/>
            <rFont val="Tahoma"/>
            <family val="2"/>
          </rPr>
          <t xml:space="preserve">
Includes rounding plug</t>
        </r>
      </text>
    </comment>
    <comment ref="BB104" authorId="1">
      <text>
        <r>
          <rPr>
            <b/>
            <sz val="9"/>
            <color indexed="81"/>
            <rFont val="Tahoma"/>
            <family val="2"/>
          </rPr>
          <t>Goldstein, Jeff (Research):</t>
        </r>
        <r>
          <rPr>
            <sz val="9"/>
            <color indexed="81"/>
            <rFont val="Tahoma"/>
            <family val="2"/>
          </rPr>
          <t xml:space="preserve">
Includes rounding plug</t>
        </r>
      </text>
    </comment>
    <comment ref="BE104" authorId="1">
      <text>
        <r>
          <rPr>
            <b/>
            <sz val="9"/>
            <color indexed="81"/>
            <rFont val="Tahoma"/>
            <family val="2"/>
          </rPr>
          <t>Goldstein, Jeff (Research):</t>
        </r>
        <r>
          <rPr>
            <sz val="9"/>
            <color indexed="81"/>
            <rFont val="Tahoma"/>
            <family val="2"/>
          </rPr>
          <t xml:space="preserve">
108M of accrued legal and regulatory settlements</t>
        </r>
      </text>
    </comment>
    <comment ref="BH104" authorId="1">
      <text>
        <r>
          <rPr>
            <b/>
            <sz val="9"/>
            <color indexed="81"/>
            <rFont val="Tahoma"/>
            <family val="2"/>
          </rPr>
          <t>Goldstein, Jeff (Research):</t>
        </r>
        <r>
          <rPr>
            <sz val="9"/>
            <color indexed="81"/>
            <rFont val="Tahoma"/>
            <family val="2"/>
          </rPr>
          <t xml:space="preserve">
150M - Accrued legal and regulatory settlements</t>
        </r>
      </text>
    </comment>
    <comment ref="AZ106" authorId="1">
      <text>
        <r>
          <rPr>
            <b/>
            <sz val="9"/>
            <color indexed="81"/>
            <rFont val="Tahoma"/>
            <family val="2"/>
          </rPr>
          <t>Goldstein, Jeff (Research):</t>
        </r>
        <r>
          <rPr>
            <sz val="9"/>
            <color indexed="81"/>
            <rFont val="Tahoma"/>
            <family val="2"/>
          </rPr>
          <t xml:space="preserve">
</t>
        </r>
      </text>
    </comment>
    <comment ref="B110" authorId="3">
      <text>
        <r>
          <rPr>
            <sz val="8"/>
            <color indexed="81"/>
            <rFont val="Tahoma"/>
            <family val="2"/>
          </rPr>
          <t xml:space="preserve">Includes: Purchases of property and equipment $116,895 + Additions to technology projects $28,840 </t>
        </r>
        <r>
          <rPr>
            <sz val="8"/>
            <color indexed="81"/>
            <rFont val="Tahoma"/>
            <family val="2"/>
          </rPr>
          <t xml:space="preserve">
</t>
        </r>
      </text>
    </comment>
    <comment ref="D110" authorId="3">
      <text>
        <r>
          <rPr>
            <sz val="8"/>
            <color indexed="81"/>
            <rFont val="Tahoma"/>
            <family val="2"/>
          </rPr>
          <t xml:space="preserve">Includes: Purchases of property and equipment $114,984 + Additions to technology projects $28,145   </t>
        </r>
        <r>
          <rPr>
            <sz val="8"/>
            <color indexed="81"/>
            <rFont val="Tahoma"/>
            <family val="2"/>
          </rPr>
          <t xml:space="preserve">
</t>
        </r>
      </text>
    </comment>
    <comment ref="E110" authorId="3">
      <text>
        <r>
          <rPr>
            <sz val="8"/>
            <color indexed="81"/>
            <rFont val="Tahoma"/>
            <family val="2"/>
          </rPr>
          <t xml:space="preserve">Includes: Purchases of property and equipment $139,003 + Additions to technology projects $10,623     </t>
        </r>
        <r>
          <rPr>
            <sz val="8"/>
            <color indexed="81"/>
            <rFont val="Tahoma"/>
            <family val="2"/>
          </rPr>
          <t xml:space="preserve">
</t>
        </r>
      </text>
    </comment>
    <comment ref="F110" authorId="3">
      <text>
        <r>
          <rPr>
            <sz val="8"/>
            <color indexed="81"/>
            <rFont val="Tahoma"/>
            <family val="2"/>
          </rPr>
          <t xml:space="preserve">Includes: Purchases of property and equipment $120,232 + Additions to technology projects $16,456      </t>
        </r>
        <r>
          <rPr>
            <sz val="8"/>
            <color indexed="81"/>
            <rFont val="Tahoma"/>
            <family val="2"/>
          </rPr>
          <t xml:space="preserve">
</t>
        </r>
      </text>
    </comment>
    <comment ref="G110" authorId="3">
      <text>
        <r>
          <rPr>
            <sz val="8"/>
            <color indexed="81"/>
            <rFont val="Tahoma"/>
            <family val="2"/>
          </rPr>
          <t xml:space="preserve">Includes: Purchases of property and equipment $11,648 + Additions to technology projects $2,933        </t>
        </r>
        <r>
          <rPr>
            <sz val="8"/>
            <color indexed="81"/>
            <rFont val="Tahoma"/>
            <family val="2"/>
          </rPr>
          <t xml:space="preserve">
</t>
        </r>
      </text>
    </comment>
    <comment ref="H110" authorId="3">
      <text>
        <r>
          <rPr>
            <sz val="8"/>
            <color indexed="81"/>
            <rFont val="Tahoma"/>
            <family val="2"/>
          </rPr>
          <t xml:space="preserve">Includes: Purchases of property and equipment $32,176 + Additions to technology projects $10,716         </t>
        </r>
        <r>
          <rPr>
            <sz val="8"/>
            <color indexed="81"/>
            <rFont val="Tahoma"/>
            <family val="2"/>
          </rPr>
          <t xml:space="preserve">
</t>
        </r>
      </text>
    </comment>
    <comment ref="I110" authorId="3">
      <text>
        <r>
          <rPr>
            <sz val="8"/>
            <color indexed="81"/>
            <rFont val="Tahoma"/>
            <family val="2"/>
          </rPr>
          <t xml:space="preserve">Includes: Purchases of property and equipment $56,798 + Additions to technology projects $15,434        </t>
        </r>
        <r>
          <rPr>
            <sz val="8"/>
            <color indexed="81"/>
            <rFont val="Tahoma"/>
            <family val="2"/>
          </rPr>
          <t xml:space="preserve">
</t>
        </r>
      </text>
    </comment>
    <comment ref="J110" authorId="3">
      <text>
        <r>
          <rPr>
            <sz val="8"/>
            <color indexed="81"/>
            <rFont val="Tahoma"/>
            <family val="2"/>
          </rPr>
          <t xml:space="preserve">Includes: Purchases of property and equipment $126,593 + Additions to technology projects $22,978       </t>
        </r>
        <r>
          <rPr>
            <sz val="8"/>
            <color indexed="81"/>
            <rFont val="Tahoma"/>
            <family val="2"/>
          </rPr>
          <t xml:space="preserve">
</t>
        </r>
      </text>
    </comment>
    <comment ref="L110" authorId="3">
      <text>
        <r>
          <rPr>
            <sz val="8"/>
            <color indexed="81"/>
            <rFont val="Tahoma"/>
            <family val="2"/>
          </rPr>
          <t xml:space="preserve">Includes: Purchases of property and equipment $22,700 + Additions to technology projects $2,333          </t>
        </r>
        <r>
          <rPr>
            <sz val="8"/>
            <color indexed="81"/>
            <rFont val="Tahoma"/>
            <family val="2"/>
          </rPr>
          <t xml:space="preserve">
</t>
        </r>
      </text>
    </comment>
    <comment ref="M110" authorId="3">
      <text>
        <r>
          <rPr>
            <sz val="8"/>
            <color indexed="81"/>
            <rFont val="Tahoma"/>
            <family val="2"/>
          </rPr>
          <t xml:space="preserve">Includes: Purchases of property and equipment $83,449 + Additions to technology projects 7,791         </t>
        </r>
        <r>
          <rPr>
            <sz val="8"/>
            <color indexed="81"/>
            <rFont val="Tahoma"/>
            <family val="2"/>
          </rPr>
          <t xml:space="preserve">
</t>
        </r>
      </text>
    </comment>
    <comment ref="N110" authorId="3">
      <text>
        <r>
          <rPr>
            <sz val="8"/>
            <color indexed="81"/>
            <rFont val="Tahoma"/>
            <family val="2"/>
          </rPr>
          <t xml:space="preserve">Includes: Purchases of property and equipment $146.453 + Additions to technology projects 10,483        </t>
        </r>
        <r>
          <rPr>
            <sz val="8"/>
            <color indexed="81"/>
            <rFont val="Tahoma"/>
            <family val="2"/>
          </rPr>
          <t xml:space="preserve">
</t>
        </r>
      </text>
    </comment>
    <comment ref="O110" authorId="3">
      <text>
        <r>
          <rPr>
            <sz val="8"/>
            <color indexed="81"/>
            <rFont val="Tahoma"/>
            <family val="2"/>
          </rPr>
          <t xml:space="preserve">Includes: Purchases of property and equipment $229,609 + Additions to technology projects 16,654         </t>
        </r>
        <r>
          <rPr>
            <sz val="8"/>
            <color indexed="81"/>
            <rFont val="Tahoma"/>
            <family val="2"/>
          </rPr>
          <t xml:space="preserve">
</t>
        </r>
      </text>
    </comment>
    <comment ref="Q110" authorId="3">
      <text>
        <r>
          <rPr>
            <sz val="8"/>
            <color indexed="81"/>
            <rFont val="Tahoma"/>
            <family val="2"/>
          </rPr>
          <t>Includes:Purchase of property and equipment $23,572 + Additions to technology projects $6,006</t>
        </r>
        <r>
          <rPr>
            <sz val="8"/>
            <color indexed="81"/>
            <rFont val="Tahoma"/>
            <family val="2"/>
          </rPr>
          <t xml:space="preserve">
</t>
        </r>
      </text>
    </comment>
    <comment ref="R110" authorId="3">
      <text>
        <r>
          <rPr>
            <sz val="8"/>
            <color indexed="81"/>
            <rFont val="Tahoma"/>
            <family val="2"/>
          </rPr>
          <t>Includes:Purchase of property and equipment $48,756 + Additions to technology projects $10,141</t>
        </r>
        <r>
          <rPr>
            <sz val="8"/>
            <color indexed="81"/>
            <rFont val="Tahoma"/>
            <family val="2"/>
          </rPr>
          <t xml:space="preserve">
</t>
        </r>
      </text>
    </comment>
    <comment ref="S110" authorId="3">
      <text>
        <r>
          <rPr>
            <sz val="8"/>
            <color indexed="81"/>
            <rFont val="Tahoma"/>
            <family val="2"/>
          </rPr>
          <t>Includes:Purchase of property and equipment $66,437 + Additions to technology projects $18,581</t>
        </r>
        <r>
          <rPr>
            <sz val="8"/>
            <color indexed="81"/>
            <rFont val="Tahoma"/>
            <family val="2"/>
          </rPr>
          <t xml:space="preserve">
</t>
        </r>
      </text>
    </comment>
    <comment ref="T110" authorId="3">
      <text>
        <r>
          <rPr>
            <sz val="8"/>
            <color indexed="81"/>
            <rFont val="Tahoma"/>
            <family val="2"/>
          </rPr>
          <t>Includes:Purchase of property and equipment $105,978 + Additions to technology projects $25,353</t>
        </r>
        <r>
          <rPr>
            <sz val="8"/>
            <color indexed="81"/>
            <rFont val="Tahoma"/>
            <family val="2"/>
          </rPr>
          <t xml:space="preserve">
</t>
        </r>
      </text>
    </comment>
    <comment ref="V110" authorId="3">
      <text>
        <r>
          <rPr>
            <sz val="8"/>
            <color indexed="81"/>
            <rFont val="Tahoma"/>
            <family val="2"/>
          </rPr>
          <t>Includes: Additions to technology projects $1,711 + Purchase of property and equipment $31</t>
        </r>
        <r>
          <rPr>
            <sz val="8"/>
            <color indexed="81"/>
            <rFont val="Tahoma"/>
            <family val="2"/>
          </rPr>
          <t xml:space="preserve">
</t>
        </r>
      </text>
    </comment>
    <comment ref="W110" authorId="3">
      <text>
        <r>
          <rPr>
            <sz val="8"/>
            <color indexed="81"/>
            <rFont val="Tahoma"/>
            <family val="2"/>
          </rPr>
          <t>Includes: Additions to technology projects $7,671 + Purchase of property and equipment $16,898</t>
        </r>
        <r>
          <rPr>
            <sz val="8"/>
            <color indexed="81"/>
            <rFont val="Tahoma"/>
            <family val="2"/>
          </rPr>
          <t xml:space="preserve">
</t>
        </r>
      </text>
    </comment>
    <comment ref="X110" authorId="3">
      <text>
        <r>
          <rPr>
            <sz val="8"/>
            <color indexed="81"/>
            <rFont val="Tahoma"/>
            <family val="2"/>
          </rPr>
          <t>Includes: Additions to technology projects $14,801 + Purchase of property and equipment $32,603</t>
        </r>
        <r>
          <rPr>
            <sz val="8"/>
            <color indexed="81"/>
            <rFont val="Tahoma"/>
            <family val="2"/>
          </rPr>
          <t xml:space="preserve">
</t>
        </r>
      </text>
    </comment>
    <comment ref="AY110" authorId="1">
      <text>
        <r>
          <rPr>
            <b/>
            <sz val="9"/>
            <color indexed="81"/>
            <rFont val="Tahoma"/>
            <family val="2"/>
          </rPr>
          <t>Goldstein, Jeff (Research):</t>
        </r>
        <r>
          <rPr>
            <sz val="9"/>
            <color indexed="81"/>
            <rFont val="Tahoma"/>
            <family val="2"/>
          </rPr>
          <t xml:space="preserve">
Guidance is $100m</t>
        </r>
      </text>
    </comment>
    <comment ref="AW111" authorId="2">
      <text>
        <r>
          <rPr>
            <b/>
            <sz val="9"/>
            <color indexed="81"/>
            <rFont val="Tahoma"/>
            <family val="2"/>
          </rPr>
          <t>Galindo, Denny:</t>
        </r>
        <r>
          <rPr>
            <sz val="9"/>
            <color indexed="81"/>
            <rFont val="Tahoma"/>
            <family val="2"/>
          </rPr>
          <t xml:space="preserve">
Acquisition of ecplise, LNG information</t>
        </r>
      </text>
    </comment>
    <comment ref="W112" authorId="3">
      <text>
        <r>
          <rPr>
            <sz val="8"/>
            <color indexed="81"/>
            <rFont val="Tahoma"/>
            <family val="2"/>
          </rPr>
          <t>Includes: Proceeds from sale of business $9,731+ Disposition of property and equipment $60</t>
        </r>
        <r>
          <rPr>
            <sz val="8"/>
            <color indexed="81"/>
            <rFont val="Tahoma"/>
            <family val="2"/>
          </rPr>
          <t xml:space="preserve">
</t>
        </r>
      </text>
    </comment>
    <comment ref="X112" authorId="3">
      <text>
        <r>
          <rPr>
            <sz val="8"/>
            <color indexed="81"/>
            <rFont val="Tahoma"/>
            <family val="2"/>
          </rPr>
          <t>Includes: Proceeds from dispositions $9,731+ Disposition of property and equipment $88</t>
        </r>
        <r>
          <rPr>
            <sz val="8"/>
            <color indexed="81"/>
            <rFont val="Tahoma"/>
            <family val="2"/>
          </rPr>
          <t xml:space="preserve">
</t>
        </r>
      </text>
    </comment>
    <comment ref="AW112" authorId="2">
      <text>
        <r>
          <rPr>
            <b/>
            <sz val="9"/>
            <color indexed="81"/>
            <rFont val="Tahoma"/>
            <family val="2"/>
          </rPr>
          <t>Galindo, Denny:</t>
        </r>
        <r>
          <rPr>
            <sz val="9"/>
            <color indexed="81"/>
            <rFont val="Tahoma"/>
            <family val="2"/>
          </rPr>
          <t xml:space="preserve">
Construction</t>
        </r>
      </text>
    </comment>
    <comment ref="C113" authorId="3">
      <text>
        <r>
          <rPr>
            <sz val="8"/>
            <color indexed="81"/>
            <rFont val="Tahoma"/>
            <family val="2"/>
          </rPr>
          <t>Includes: Other $3,299</t>
        </r>
        <r>
          <rPr>
            <sz val="8"/>
            <color indexed="81"/>
            <rFont val="Tahoma"/>
            <family val="2"/>
          </rPr>
          <t xml:space="preserve">
</t>
        </r>
      </text>
    </comment>
    <comment ref="AV113" authorId="7">
      <text>
        <r>
          <rPr>
            <sz val="8"/>
            <color indexed="81"/>
            <rFont val="Tahoma"/>
            <family val="2"/>
          </rPr>
          <t>Includes: Other</t>
        </r>
      </text>
    </comment>
    <comment ref="B118" authorId="3">
      <text>
        <r>
          <rPr>
            <sz val="8"/>
            <color indexed="81"/>
            <rFont val="Tahoma"/>
            <family val="2"/>
          </rPr>
          <t>Includes:Repayment of long-term debt $741</t>
        </r>
        <r>
          <rPr>
            <sz val="8"/>
            <color indexed="81"/>
            <rFont val="Tahoma"/>
            <family val="2"/>
          </rPr>
          <t xml:space="preserve">
</t>
        </r>
      </text>
    </comment>
    <comment ref="D118" authorId="3">
      <text>
        <r>
          <rPr>
            <sz val="8"/>
            <color indexed="81"/>
            <rFont val="Tahoma"/>
            <family val="2"/>
          </rPr>
          <t>Includes: Payments)/additions to commercial paper and other short-term debt — net $552,719</t>
        </r>
        <r>
          <rPr>
            <sz val="8"/>
            <color indexed="81"/>
            <rFont val="Tahoma"/>
            <family val="2"/>
          </rPr>
          <t xml:space="preserve">
</t>
        </r>
      </text>
    </comment>
    <comment ref="O118" authorId="3">
      <text>
        <r>
          <rPr>
            <sz val="8"/>
            <color indexed="81"/>
            <rFont val="Tahoma"/>
            <family val="2"/>
          </rPr>
          <t>Includes: Proceeds from issuance of senior notes, net $1,188,803</t>
        </r>
        <r>
          <rPr>
            <sz val="8"/>
            <color indexed="81"/>
            <rFont val="Tahoma"/>
            <family val="2"/>
          </rPr>
          <t xml:space="preserve">
</t>
        </r>
      </text>
    </comment>
    <comment ref="X118" authorId="3">
      <text>
        <r>
          <rPr>
            <sz val="8"/>
            <color indexed="81"/>
            <rFont val="Tahoma"/>
            <family val="2"/>
          </rPr>
          <t>Includes: Repayments on short-term debt, net $70,000</t>
        </r>
        <r>
          <rPr>
            <sz val="8"/>
            <color indexed="81"/>
            <rFont val="Tahoma"/>
            <family val="2"/>
          </rPr>
          <t xml:space="preserve">
</t>
        </r>
      </text>
    </comment>
    <comment ref="BB118" authorId="1">
      <text>
        <r>
          <rPr>
            <b/>
            <sz val="9"/>
            <color indexed="81"/>
            <rFont val="Tahoma"/>
            <family val="2"/>
          </rPr>
          <t>Goldstein, Jeff (Research):</t>
        </r>
        <r>
          <rPr>
            <sz val="9"/>
            <color indexed="81"/>
            <rFont val="Tahoma"/>
            <family val="2"/>
          </rPr>
          <t xml:space="preserve">
SNL acquisition</t>
        </r>
      </text>
    </comment>
    <comment ref="BD119" authorId="1">
      <text>
        <r>
          <rPr>
            <b/>
            <sz val="9"/>
            <color indexed="81"/>
            <rFont val="Tahoma"/>
            <family val="2"/>
          </rPr>
          <t>Goldstein, Jeff (Research):</t>
        </r>
        <r>
          <rPr>
            <sz val="9"/>
            <color indexed="81"/>
            <rFont val="Tahoma"/>
            <family val="2"/>
          </rPr>
          <t xml:space="preserve">
Have grown dividends for 40 years straight</t>
        </r>
      </text>
    </comment>
    <comment ref="AD120" authorId="3">
      <text>
        <r>
          <rPr>
            <sz val="8"/>
            <color indexed="81"/>
            <rFont val="Tahoma"/>
            <family val="2"/>
          </rPr>
          <t xml:space="preserve">Includes:Dividends paid to noncontrolling interests $18,906 + Other payments to noncontrolling interests $17,844
</t>
        </r>
      </text>
    </comment>
    <comment ref="BL121" authorId="1">
      <text>
        <r>
          <rPr>
            <b/>
            <sz val="9"/>
            <color indexed="81"/>
            <rFont val="Tahoma"/>
            <family val="2"/>
          </rPr>
          <t>Goldstein, Jeff (Research):</t>
        </r>
        <r>
          <rPr>
            <sz val="9"/>
            <color indexed="81"/>
            <rFont val="Tahoma"/>
            <family val="2"/>
          </rPr>
          <t xml:space="preserve">
Announced $500M ASR with 2Q earnings</t>
        </r>
      </text>
    </comment>
    <comment ref="BM122" authorId="1">
      <text>
        <r>
          <rPr>
            <b/>
            <sz val="9"/>
            <color indexed="81"/>
            <rFont val="Tahoma"/>
            <family val="2"/>
          </rPr>
          <t>Goldstein, Jeff (Research):</t>
        </r>
        <r>
          <rPr>
            <sz val="9"/>
            <color indexed="81"/>
            <rFont val="Tahoma"/>
            <family val="2"/>
          </rPr>
          <t xml:space="preserve">
Plug</t>
        </r>
      </text>
    </comment>
    <comment ref="C123" authorId="3">
      <text>
        <r>
          <rPr>
            <sz val="8"/>
            <color indexed="81"/>
            <rFont val="Tahoma"/>
            <family val="2"/>
          </rPr>
          <t xml:space="preserve">Includes: other $575 
 </t>
        </r>
        <r>
          <rPr>
            <sz val="8"/>
            <color indexed="81"/>
            <rFont val="Tahoma"/>
            <family val="2"/>
          </rPr>
          <t xml:space="preserve">
</t>
        </r>
      </text>
    </comment>
    <comment ref="D123" authorId="3">
      <text>
        <r>
          <rPr>
            <sz val="8"/>
            <color indexed="81"/>
            <rFont val="Tahoma"/>
            <family val="2"/>
          </rPr>
          <t xml:space="preserve">Includes: other $408
 </t>
        </r>
        <r>
          <rPr>
            <sz val="8"/>
            <color indexed="81"/>
            <rFont val="Tahoma"/>
            <family val="2"/>
          </rPr>
          <t xml:space="preserve">
</t>
        </r>
      </text>
    </comment>
    <comment ref="F123" authorId="3">
      <text>
        <r>
          <rPr>
            <sz val="8"/>
            <color indexed="81"/>
            <rFont val="Tahoma"/>
            <family val="2"/>
          </rPr>
          <t>Includes: Other $169</t>
        </r>
        <r>
          <rPr>
            <sz val="8"/>
            <color indexed="81"/>
            <rFont val="Tahoma"/>
            <family val="2"/>
          </rPr>
          <t xml:space="preserve">
</t>
        </r>
      </text>
    </comment>
    <comment ref="J123" authorId="3">
      <text>
        <r>
          <rPr>
            <sz val="8"/>
            <color indexed="81"/>
            <rFont val="Tahoma"/>
            <family val="2"/>
          </rPr>
          <t>Includes: Other $75</t>
        </r>
        <r>
          <rPr>
            <sz val="8"/>
            <color indexed="81"/>
            <rFont val="Tahoma"/>
            <family val="2"/>
          </rPr>
          <t xml:space="preserve">
</t>
        </r>
      </text>
    </comment>
    <comment ref="AQ124" authorId="4">
      <text>
        <r>
          <rPr>
            <sz val="8"/>
            <color indexed="81"/>
            <rFont val="Tahoma"/>
            <family val="2"/>
          </rPr>
          <t>Contingent consideration payment</t>
        </r>
      </text>
    </comment>
    <comment ref="AR124" authorId="4">
      <text>
        <r>
          <rPr>
            <sz val="8"/>
            <color indexed="81"/>
            <rFont val="Tahoma"/>
            <family val="2"/>
          </rPr>
          <t>Contingent consideration payment: $(12.0)m
Purchase of CRISIL shares: $(214.0)m</t>
        </r>
      </text>
    </comment>
    <comment ref="AS124" authorId="4">
      <text>
        <r>
          <rPr>
            <sz val="8"/>
            <color indexed="81"/>
            <rFont val="Tahoma"/>
            <family val="2"/>
          </rPr>
          <t>Contingent consideration payment: $(12.0)m
Purchase of CRISIL shares: $(214.0)m</t>
        </r>
      </text>
    </comment>
    <comment ref="AV124" authorId="4">
      <text>
        <r>
          <rPr>
            <sz val="8"/>
            <color indexed="81"/>
            <rFont val="Tahoma"/>
            <family val="2"/>
          </rPr>
          <t>Contingent consideration payment</t>
        </r>
      </text>
    </comment>
    <comment ref="BH124" authorId="1">
      <text>
        <r>
          <rPr>
            <b/>
            <sz val="9"/>
            <color indexed="81"/>
            <rFont val="Tahoma"/>
            <family val="2"/>
          </rPr>
          <t>Goldstein, Jeff (Research):</t>
        </r>
        <r>
          <rPr>
            <sz val="9"/>
            <color indexed="81"/>
            <rFont val="Tahoma"/>
            <family val="2"/>
          </rPr>
          <t xml:space="preserve">
Contingent consideration payments</t>
        </r>
      </text>
    </comment>
    <comment ref="AS128" authorId="2">
      <text>
        <r>
          <rPr>
            <b/>
            <sz val="9"/>
            <color indexed="81"/>
            <rFont val="Tahoma"/>
            <family val="2"/>
          </rPr>
          <t>Galindo, Denny:</t>
        </r>
        <r>
          <rPr>
            <sz val="9"/>
            <color indexed="81"/>
            <rFont val="Tahoma"/>
            <family val="2"/>
          </rPr>
          <t xml:space="preserve">
13M of Cash from Discontinued is still included in 1Q13 and 2Q13 elated to MCHE</t>
        </r>
      </text>
    </comment>
    <comment ref="BH129" authorId="1">
      <text>
        <r>
          <rPr>
            <b/>
            <sz val="9"/>
            <color indexed="81"/>
            <rFont val="Tahoma"/>
            <family val="2"/>
          </rPr>
          <t>Goldstein, Jeff (Research):</t>
        </r>
        <r>
          <rPr>
            <sz val="9"/>
            <color indexed="81"/>
            <rFont val="Tahoma"/>
            <family val="2"/>
          </rPr>
          <t xml:space="preserve">
Includes rounding plug</t>
        </r>
      </text>
    </comment>
    <comment ref="AF130" authorId="0">
      <text>
        <r>
          <rPr>
            <sz val="8"/>
            <color indexed="81"/>
            <rFont val="Tahoma"/>
            <family val="2"/>
          </rPr>
          <t>rounding</t>
        </r>
        <r>
          <rPr>
            <sz val="8"/>
            <color indexed="81"/>
            <rFont val="Tahoma"/>
            <family val="2"/>
          </rPr>
          <t xml:space="preserve">
</t>
        </r>
      </text>
    </comment>
    <comment ref="AK130" authorId="4">
      <text>
        <r>
          <rPr>
            <sz val="8"/>
            <color indexed="81"/>
            <rFont val="Tahoma"/>
            <family val="2"/>
          </rPr>
          <t xml:space="preserve">Closing cash balance As on Mar 31, 2012 as per 1Q13(CFS) is $806.0m whereas as per 1Q12(BS) is $908.0m </t>
        </r>
      </text>
    </comment>
    <comment ref="AL130" authorId="4">
      <text>
        <r>
          <rPr>
            <sz val="8"/>
            <color indexed="81"/>
            <rFont val="Tahoma"/>
            <family val="2"/>
          </rPr>
          <t xml:space="preserve">Closing cash balance As on Jun 30, 2012 as per 2Q13(CFS) is $737.0m whereas as per 2Q12(BS) is $836.0m                </t>
        </r>
      </text>
    </comment>
    <comment ref="AM130" authorId="4">
      <text>
        <r>
          <rPr>
            <sz val="8"/>
            <color indexed="81"/>
            <rFont val="Tahoma"/>
            <family val="2"/>
          </rPr>
          <t xml:space="preserve">Closing cash balance As on Sep 30, 2012 as per 3Q13(CFS) is $1,135.0m whereas as per 2Q12(BS) is $1,243.0m </t>
        </r>
        <r>
          <rPr>
            <sz val="8"/>
            <color indexed="81"/>
            <rFont val="Tahoma"/>
            <family val="2"/>
          </rPr>
          <t xml:space="preserve">
</t>
        </r>
      </text>
    </comment>
    <comment ref="AN130" authorId="4">
      <text>
        <r>
          <rPr>
            <sz val="8"/>
            <color indexed="81"/>
            <rFont val="Tahoma"/>
            <family val="2"/>
          </rPr>
          <t>Difference in opening balance</t>
        </r>
        <r>
          <rPr>
            <sz val="8"/>
            <color indexed="81"/>
            <rFont val="Tahoma"/>
            <family val="2"/>
          </rPr>
          <t xml:space="preserve">
</t>
        </r>
      </text>
    </comment>
    <comment ref="AN147" authorId="4">
      <text>
        <r>
          <rPr>
            <sz val="8"/>
            <color indexed="81"/>
            <rFont val="Tahoma"/>
            <family val="2"/>
          </rPr>
          <t>Includes:
Prepaid and other current assets: $127.0m
Assets held for sale: $1,940.0m</t>
        </r>
        <r>
          <rPr>
            <sz val="8"/>
            <color indexed="81"/>
            <rFont val="Tahoma"/>
            <family val="2"/>
          </rPr>
          <t xml:space="preserve">
</t>
        </r>
      </text>
    </comment>
    <comment ref="AS147" authorId="4">
      <text>
        <r>
          <rPr>
            <sz val="8"/>
            <color indexed="81"/>
            <rFont val="Tahoma"/>
            <family val="2"/>
          </rPr>
          <t>Includes:
Prepaid and other current assets: $228.0m
Assets held for sale: $61.0m</t>
        </r>
        <r>
          <rPr>
            <sz val="8"/>
            <color indexed="81"/>
            <rFont val="Tahoma"/>
            <family val="2"/>
          </rPr>
          <t xml:space="preserve">
</t>
        </r>
      </text>
    </comment>
    <comment ref="BE147" authorId="1">
      <text>
        <r>
          <rPr>
            <b/>
            <sz val="9"/>
            <color indexed="81"/>
            <rFont val="Tahoma"/>
            <family val="2"/>
          </rPr>
          <t>Goldstein, Jeff (Research):</t>
        </r>
        <r>
          <rPr>
            <sz val="9"/>
            <color indexed="81"/>
            <rFont val="Tahoma"/>
            <family val="2"/>
          </rPr>
          <t xml:space="preserve">
571M of assets of businesses held for sale</t>
        </r>
      </text>
    </comment>
    <comment ref="BG147" authorId="1">
      <text>
        <r>
          <rPr>
            <b/>
            <sz val="9"/>
            <color indexed="81"/>
            <rFont val="Tahoma"/>
            <family val="2"/>
          </rPr>
          <t>Goldstein, Jeff (Research):</t>
        </r>
        <r>
          <rPr>
            <sz val="9"/>
            <color indexed="81"/>
            <rFont val="Tahoma"/>
            <family val="2"/>
          </rPr>
          <t xml:space="preserve">
66M = Assets of businesses held for sale</t>
        </r>
      </text>
    </comment>
    <comment ref="BH147" authorId="1">
      <text>
        <r>
          <rPr>
            <b/>
            <sz val="9"/>
            <color indexed="81"/>
            <rFont val="Tahoma"/>
            <family val="2"/>
          </rPr>
          <t>Goldstein, Jeff (Research):</t>
        </r>
        <r>
          <rPr>
            <sz val="9"/>
            <color indexed="81"/>
            <rFont val="Tahoma"/>
            <family val="2"/>
          </rPr>
          <t xml:space="preserve">
7M - Assets of a business held for sale</t>
        </r>
      </text>
    </comment>
    <comment ref="B155" authorId="3">
      <text>
        <r>
          <rPr>
            <sz val="8"/>
            <color indexed="81"/>
            <rFont val="Tahoma"/>
            <family val="2"/>
          </rPr>
          <t xml:space="preserve">Includes:Investment in Rock-McGraw, Inc. - at equity $105,538 and Includes: Assets for pension benefits $211,582 </t>
        </r>
        <r>
          <rPr>
            <sz val="8"/>
            <color indexed="81"/>
            <rFont val="Tahoma"/>
            <family val="2"/>
          </rPr>
          <t xml:space="preserve">
</t>
        </r>
      </text>
    </comment>
    <comment ref="C155" authorId="3">
      <text>
        <r>
          <rPr>
            <sz val="8"/>
            <color indexed="81"/>
            <rFont val="Tahoma"/>
            <family val="2"/>
          </rPr>
          <t>Includes: Assets for pension benefits $261,243 + Investments in Rock-McGraw $119,442</t>
        </r>
        <r>
          <rPr>
            <sz val="8"/>
            <color indexed="81"/>
            <rFont val="Tahoma"/>
            <family val="2"/>
          </rPr>
          <t xml:space="preserve">
</t>
        </r>
      </text>
    </comment>
    <comment ref="D155" authorId="3">
      <text>
        <r>
          <rPr>
            <sz val="8"/>
            <color indexed="81"/>
            <rFont val="Tahoma"/>
            <family val="2"/>
          </rPr>
          <t xml:space="preserve">Includes: Assets for pension benefits $288,244 </t>
        </r>
        <r>
          <rPr>
            <sz val="8"/>
            <color indexed="81"/>
            <rFont val="Tahoma"/>
            <family val="2"/>
          </rPr>
          <t xml:space="preserve">
</t>
        </r>
      </text>
    </comment>
    <comment ref="E155" authorId="3">
      <text>
        <r>
          <rPr>
            <sz val="8"/>
            <color indexed="81"/>
            <rFont val="Tahoma"/>
            <family val="2"/>
          </rPr>
          <t xml:space="preserve">Includes: Assets for pension benefits $299,792 </t>
        </r>
        <r>
          <rPr>
            <sz val="8"/>
            <color indexed="81"/>
            <rFont val="Tahoma"/>
            <family val="2"/>
          </rPr>
          <t xml:space="preserve">
</t>
        </r>
      </text>
    </comment>
    <comment ref="F155" authorId="3">
      <text>
        <r>
          <rPr>
            <sz val="8"/>
            <color indexed="81"/>
            <rFont val="Tahoma"/>
            <family val="2"/>
          </rPr>
          <t>Includes: Assets for pension benefits $288,868</t>
        </r>
        <r>
          <rPr>
            <sz val="8"/>
            <color indexed="81"/>
            <rFont val="Tahoma"/>
            <family val="2"/>
          </rPr>
          <t xml:space="preserve">
</t>
        </r>
      </text>
    </comment>
    <comment ref="G155" authorId="3">
      <text>
        <r>
          <rPr>
            <sz val="8"/>
            <color indexed="81"/>
            <rFont val="Tahoma"/>
            <family val="2"/>
          </rPr>
          <t>Includes: Assets for pension benefits $283,061</t>
        </r>
        <r>
          <rPr>
            <sz val="8"/>
            <color indexed="81"/>
            <rFont val="Tahoma"/>
            <family val="2"/>
          </rPr>
          <t xml:space="preserve">
</t>
        </r>
      </text>
    </comment>
    <comment ref="H155" authorId="3">
      <text>
        <r>
          <rPr>
            <sz val="8"/>
            <color indexed="81"/>
            <rFont val="Tahoma"/>
            <family val="2"/>
          </rPr>
          <t>Includes: Assets for pension benefits $276,829</t>
        </r>
        <r>
          <rPr>
            <sz val="8"/>
            <color indexed="81"/>
            <rFont val="Tahoma"/>
            <family val="2"/>
          </rPr>
          <t xml:space="preserve">
</t>
        </r>
      </text>
    </comment>
    <comment ref="I155" authorId="3">
      <text>
        <r>
          <rPr>
            <sz val="8"/>
            <color indexed="81"/>
            <rFont val="Tahoma"/>
            <family val="2"/>
          </rPr>
          <t>Includes: Assets for pension benefits $270,809</t>
        </r>
        <r>
          <rPr>
            <sz val="8"/>
            <color indexed="81"/>
            <rFont val="Tahoma"/>
            <family val="2"/>
          </rPr>
          <t xml:space="preserve">
</t>
        </r>
      </text>
    </comment>
    <comment ref="J155" authorId="3">
      <text>
        <r>
          <rPr>
            <sz val="8"/>
            <color indexed="81"/>
            <rFont val="Tahoma"/>
            <family val="2"/>
          </rPr>
          <t>Includes: Assets for pension benefits $228,588</t>
        </r>
        <r>
          <rPr>
            <sz val="8"/>
            <color indexed="81"/>
            <rFont val="Tahoma"/>
            <family val="2"/>
          </rPr>
          <t xml:space="preserve">
</t>
        </r>
      </text>
    </comment>
    <comment ref="L155" authorId="3">
      <text>
        <r>
          <rPr>
            <sz val="8"/>
            <color indexed="81"/>
            <rFont val="Tahoma"/>
            <family val="2"/>
          </rPr>
          <t>Includes: Assets for pension benefits $225,377</t>
        </r>
        <r>
          <rPr>
            <sz val="8"/>
            <color indexed="81"/>
            <rFont val="Tahoma"/>
            <family val="2"/>
          </rPr>
          <t xml:space="preserve">
</t>
        </r>
      </text>
    </comment>
    <comment ref="M155" authorId="3">
      <text>
        <r>
          <rPr>
            <sz val="8"/>
            <color indexed="81"/>
            <rFont val="Tahoma"/>
            <family val="2"/>
          </rPr>
          <t>Includes: Assets for pension benefits $184,485</t>
        </r>
        <r>
          <rPr>
            <sz val="8"/>
            <color indexed="81"/>
            <rFont val="Tahoma"/>
            <family val="2"/>
          </rPr>
          <t xml:space="preserve">
</t>
        </r>
      </text>
    </comment>
    <comment ref="N155" authorId="3">
      <text>
        <r>
          <rPr>
            <sz val="8"/>
            <color indexed="81"/>
            <rFont val="Tahoma"/>
            <family val="2"/>
          </rPr>
          <t>Includes: Assets for pension benefits $179,287</t>
        </r>
        <r>
          <rPr>
            <sz val="8"/>
            <color indexed="81"/>
            <rFont val="Tahoma"/>
            <family val="2"/>
          </rPr>
          <t xml:space="preserve">
</t>
        </r>
      </text>
    </comment>
    <comment ref="O155" authorId="3">
      <text>
        <r>
          <rPr>
            <sz val="8"/>
            <color indexed="81"/>
            <rFont val="Tahoma"/>
            <family val="2"/>
          </rPr>
          <t>Includes: Assets for pension benefits $276,487</t>
        </r>
        <r>
          <rPr>
            <sz val="8"/>
            <color indexed="81"/>
            <rFont val="Tahoma"/>
            <family val="2"/>
          </rPr>
          <t xml:space="preserve">
</t>
        </r>
      </text>
    </comment>
    <comment ref="Q155" authorId="3">
      <text>
        <r>
          <rPr>
            <sz val="8"/>
            <color indexed="81"/>
            <rFont val="Tahoma"/>
            <family val="2"/>
          </rPr>
          <t>Includes: Assets for pension benefits $273,498</t>
        </r>
        <r>
          <rPr>
            <sz val="8"/>
            <color indexed="81"/>
            <rFont val="Tahoma"/>
            <family val="2"/>
          </rPr>
          <t xml:space="preserve">
</t>
        </r>
      </text>
    </comment>
    <comment ref="R155" authorId="3">
      <text>
        <r>
          <rPr>
            <sz val="8"/>
            <color indexed="81"/>
            <rFont val="Tahoma"/>
            <family val="2"/>
          </rPr>
          <t>Includes: Assets for pension benefits $263,535</t>
        </r>
        <r>
          <rPr>
            <sz val="8"/>
            <color indexed="81"/>
            <rFont val="Tahoma"/>
            <family val="2"/>
          </rPr>
          <t xml:space="preserve">
</t>
        </r>
      </text>
    </comment>
    <comment ref="S155" authorId="3">
      <text>
        <r>
          <rPr>
            <sz val="8"/>
            <color indexed="81"/>
            <rFont val="Tahoma"/>
            <family val="2"/>
          </rPr>
          <t>Includes: Assets for pension benefits $260,989</t>
        </r>
        <r>
          <rPr>
            <sz val="8"/>
            <color indexed="81"/>
            <rFont val="Tahoma"/>
            <family val="2"/>
          </rPr>
          <t xml:space="preserve">
</t>
        </r>
      </text>
    </comment>
    <comment ref="T155" authorId="3">
      <text>
        <r>
          <rPr>
            <sz val="8"/>
            <color indexed="81"/>
            <rFont val="Tahoma"/>
            <family val="2"/>
          </rPr>
          <t>Includes: Assets for pension benefits $52,994 + Deferred income taxes $79,559</t>
        </r>
        <r>
          <rPr>
            <sz val="8"/>
            <color indexed="81"/>
            <rFont val="Tahoma"/>
            <family val="2"/>
          </rPr>
          <t xml:space="preserve">
</t>
        </r>
      </text>
    </comment>
    <comment ref="U155" authorId="3">
      <text>
        <r>
          <rPr>
            <sz val="8"/>
            <color indexed="81"/>
            <rFont val="Tahoma"/>
            <family val="2"/>
          </rPr>
          <t>Includes: Assets for pension benefits $ + Deferred income taxes $</t>
        </r>
        <r>
          <rPr>
            <sz val="8"/>
            <color indexed="81"/>
            <rFont val="Tahoma"/>
            <family val="2"/>
          </rPr>
          <t xml:space="preserve">
</t>
        </r>
      </text>
    </comment>
    <comment ref="V155" authorId="3">
      <text>
        <r>
          <rPr>
            <sz val="8"/>
            <color indexed="81"/>
            <rFont val="Tahoma"/>
            <family val="2"/>
          </rPr>
          <t>Includes: Assets for pension benefits $ + Deferred income taxes $</t>
        </r>
        <r>
          <rPr>
            <sz val="8"/>
            <color indexed="81"/>
            <rFont val="Tahoma"/>
            <family val="2"/>
          </rPr>
          <t xml:space="preserve">
</t>
        </r>
      </text>
    </comment>
    <comment ref="W155" authorId="3">
      <text>
        <r>
          <rPr>
            <sz val="8"/>
            <color indexed="81"/>
            <rFont val="Tahoma"/>
            <family val="2"/>
          </rPr>
          <t>Includes: Assets for pension benefits $57,417 + Deferred income taxes $53,484</t>
        </r>
        <r>
          <rPr>
            <sz val="8"/>
            <color indexed="81"/>
            <rFont val="Tahoma"/>
            <family val="2"/>
          </rPr>
          <t xml:space="preserve">
</t>
        </r>
      </text>
    </comment>
    <comment ref="X155" authorId="3">
      <text>
        <r>
          <rPr>
            <sz val="8"/>
            <color indexed="81"/>
            <rFont val="Tahoma"/>
            <family val="2"/>
          </rPr>
          <t>Includes: Assets for pension benefits $59,396 + Deferred income taxes $47,513</t>
        </r>
        <r>
          <rPr>
            <sz val="8"/>
            <color indexed="81"/>
            <rFont val="Tahoma"/>
            <family val="2"/>
          </rPr>
          <t xml:space="preserve">
</t>
        </r>
      </text>
    </comment>
    <comment ref="Y155" authorId="3">
      <text>
        <r>
          <rPr>
            <sz val="8"/>
            <color indexed="81"/>
            <rFont val="Tahoma"/>
            <family val="2"/>
          </rPr>
          <t>Includes: Assets for pension benefits $78,522 + Deferred income taxes $24,072</t>
        </r>
        <r>
          <rPr>
            <sz val="8"/>
            <color indexed="81"/>
            <rFont val="Tahoma"/>
            <family val="2"/>
          </rPr>
          <t xml:space="preserve">
</t>
        </r>
      </text>
    </comment>
    <comment ref="Z155" authorId="3">
      <text>
        <r>
          <rPr>
            <sz val="8"/>
            <color indexed="81"/>
            <rFont val="Tahoma"/>
            <family val="2"/>
          </rPr>
          <t>Includes: Assets for pension benefits $ + Deferred income taxes $</t>
        </r>
        <r>
          <rPr>
            <sz val="8"/>
            <color indexed="81"/>
            <rFont val="Tahoma"/>
            <family val="2"/>
          </rPr>
          <t xml:space="preserve">
</t>
        </r>
      </text>
    </comment>
    <comment ref="AA155" authorId="3">
      <text>
        <r>
          <rPr>
            <sz val="8"/>
            <color indexed="81"/>
            <rFont val="Tahoma"/>
            <family val="2"/>
          </rPr>
          <t>Includes: Assets for pension benefits $80,447 + Deferred income taxes $22,694</t>
        </r>
        <r>
          <rPr>
            <sz val="8"/>
            <color indexed="81"/>
            <rFont val="Tahoma"/>
            <family val="2"/>
          </rPr>
          <t xml:space="preserve">
</t>
        </r>
      </text>
    </comment>
    <comment ref="AB155" authorId="3">
      <text>
        <r>
          <rPr>
            <sz val="8"/>
            <color indexed="81"/>
            <rFont val="Tahoma"/>
            <family val="2"/>
          </rPr>
          <t>Includes: Assets for pension benefits $76,962 + Deferred income taxes $21,782</t>
        </r>
        <r>
          <rPr>
            <sz val="8"/>
            <color indexed="81"/>
            <rFont val="Tahoma"/>
            <family val="2"/>
          </rPr>
          <t xml:space="preserve">
</t>
        </r>
      </text>
    </comment>
    <comment ref="AS155" authorId="4">
      <text>
        <r>
          <rPr>
            <sz val="8"/>
            <color indexed="81"/>
            <rFont val="Tahoma"/>
            <family val="2"/>
          </rPr>
          <t>Asset for pension benefits: $261.0m
Other non-current assets: $170.0m</t>
        </r>
        <r>
          <rPr>
            <sz val="8"/>
            <color indexed="81"/>
            <rFont val="Tahoma"/>
            <family val="2"/>
          </rPr>
          <t xml:space="preserve">
</t>
        </r>
      </text>
    </comment>
    <comment ref="AU155" authorId="4">
      <text>
        <r>
          <rPr>
            <sz val="8"/>
            <color indexed="81"/>
            <rFont val="Tahoma"/>
            <family val="2"/>
          </rPr>
          <t>Asset for pension benefits: $277.0m
Other non-current assets: $179.0m</t>
        </r>
        <r>
          <rPr>
            <sz val="8"/>
            <color indexed="81"/>
            <rFont val="Tahoma"/>
            <family val="2"/>
          </rPr>
          <t xml:space="preserve">
</t>
        </r>
      </text>
    </comment>
    <comment ref="AV155" authorId="4">
      <text>
        <r>
          <rPr>
            <sz val="8"/>
            <color indexed="81"/>
            <rFont val="Tahoma"/>
            <family val="2"/>
          </rPr>
          <t>Asset for pension benefits: $230.0m
Other non-current assets: $185.0m</t>
        </r>
        <r>
          <rPr>
            <sz val="8"/>
            <color indexed="81"/>
            <rFont val="Tahoma"/>
            <family val="2"/>
          </rPr>
          <t xml:space="preserve">
</t>
        </r>
      </text>
    </comment>
    <comment ref="BC155" authorId="1">
      <text>
        <r>
          <rPr>
            <b/>
            <sz val="9"/>
            <color indexed="81"/>
            <rFont val="Tahoma"/>
            <family val="2"/>
          </rPr>
          <t>Goldstein, Jeff (Research):</t>
        </r>
        <r>
          <rPr>
            <sz val="9"/>
            <color indexed="81"/>
            <rFont val="Tahoma"/>
            <family val="2"/>
          </rPr>
          <t xml:space="preserve">
.6M = rounding plug</t>
        </r>
      </text>
    </comment>
    <comment ref="BE155" authorId="1">
      <text>
        <r>
          <rPr>
            <b/>
            <sz val="9"/>
            <color indexed="81"/>
            <rFont val="Tahoma"/>
            <family val="2"/>
          </rPr>
          <t>Goldstein, Jeff (Research):</t>
        </r>
        <r>
          <rPr>
            <sz val="9"/>
            <color indexed="81"/>
            <rFont val="Tahoma"/>
            <family val="2"/>
          </rPr>
          <t xml:space="preserve">
.6M = rounding plug</t>
        </r>
      </text>
    </comment>
    <comment ref="B167" authorId="3">
      <text>
        <r>
          <rPr>
            <sz val="8"/>
            <color indexed="81"/>
            <rFont val="Tahoma"/>
            <family val="2"/>
          </rPr>
          <t xml:space="preserve">Includes: Notes payable $ 222,953
</t>
        </r>
        <r>
          <rPr>
            <sz val="8"/>
            <color indexed="81"/>
            <rFont val="Tahoma"/>
            <family val="2"/>
          </rPr>
          <t xml:space="preserve">
</t>
        </r>
      </text>
    </comment>
    <comment ref="C167" authorId="3">
      <text>
        <r>
          <rPr>
            <sz val="8"/>
            <color indexed="81"/>
            <rFont val="Tahoma"/>
            <family val="2"/>
          </rPr>
          <t>Includes: Notes payable $ 119,414</t>
        </r>
        <r>
          <rPr>
            <sz val="8"/>
            <color indexed="81"/>
            <rFont val="Tahoma"/>
            <family val="2"/>
          </rPr>
          <t xml:space="preserve">
</t>
        </r>
      </text>
    </comment>
    <comment ref="D167" authorId="3">
      <text>
        <r>
          <rPr>
            <sz val="8"/>
            <color indexed="81"/>
            <rFont val="Tahoma"/>
            <family val="2"/>
          </rPr>
          <t>Includes:Deferred gain on sale leaseback $7,516
 + Notes payable $25,955</t>
        </r>
        <r>
          <rPr>
            <sz val="8"/>
            <color indexed="81"/>
            <rFont val="Tahoma"/>
            <family val="2"/>
          </rPr>
          <t xml:space="preserve">
</t>
        </r>
      </text>
    </comment>
    <comment ref="E167" authorId="3">
      <text>
        <r>
          <rPr>
            <sz val="8"/>
            <color indexed="81"/>
            <rFont val="Tahoma"/>
            <family val="2"/>
          </rPr>
          <t>Includes:Deferred gain on sale leaseback $7,516  + Notes payable $4,613</t>
        </r>
        <r>
          <rPr>
            <sz val="8"/>
            <color indexed="81"/>
            <rFont val="Tahoma"/>
            <family val="2"/>
          </rPr>
          <t xml:space="preserve">
</t>
        </r>
      </text>
    </comment>
    <comment ref="F167" authorId="3">
      <text>
        <r>
          <rPr>
            <sz val="8"/>
            <color indexed="81"/>
            <rFont val="Tahoma"/>
            <family val="2"/>
          </rPr>
          <t>Includes:Deferred gain on sale leaseback $7,927  + Notes payable $2,947</t>
        </r>
        <r>
          <rPr>
            <sz val="8"/>
            <color indexed="81"/>
            <rFont val="Tahoma"/>
            <family val="2"/>
          </rPr>
          <t xml:space="preserve">
</t>
        </r>
      </text>
    </comment>
    <comment ref="G167" authorId="3">
      <text>
        <r>
          <rPr>
            <sz val="8"/>
            <color indexed="81"/>
            <rFont val="Tahoma"/>
            <family val="2"/>
          </rPr>
          <t>Includes:Deferred gain on sale leaseback $7,927  + Notes payable $2,881</t>
        </r>
        <r>
          <rPr>
            <sz val="8"/>
            <color indexed="81"/>
            <rFont val="Tahoma"/>
            <family val="2"/>
          </rPr>
          <t xml:space="preserve">
</t>
        </r>
      </text>
    </comment>
    <comment ref="H167" authorId="3">
      <text>
        <r>
          <rPr>
            <sz val="8"/>
            <color indexed="81"/>
            <rFont val="Tahoma"/>
            <family val="2"/>
          </rPr>
          <t>Includes:Deferred gain on sale leaseback $7,927  + Notes payable $681,257</t>
        </r>
        <r>
          <rPr>
            <sz val="8"/>
            <color indexed="81"/>
            <rFont val="Tahoma"/>
            <family val="2"/>
          </rPr>
          <t xml:space="preserve">
</t>
        </r>
      </text>
    </comment>
    <comment ref="I167" authorId="3">
      <text>
        <r>
          <rPr>
            <sz val="8"/>
            <color indexed="81"/>
            <rFont val="Tahoma"/>
            <family val="2"/>
          </rPr>
          <t>Includes:Deferred gain on sale leaseback $7,927  + Notes payable $235,080</t>
        </r>
        <r>
          <rPr>
            <sz val="8"/>
            <color indexed="81"/>
            <rFont val="Tahoma"/>
            <family val="2"/>
          </rPr>
          <t xml:space="preserve">
</t>
        </r>
      </text>
    </comment>
    <comment ref="J167" authorId="3">
      <text>
        <r>
          <rPr>
            <sz val="8"/>
            <color indexed="81"/>
            <rFont val="Tahoma"/>
            <family val="2"/>
          </rPr>
          <t>Includes:Deferred gain on sale leaseback $9,011  + Notes payable $ 2,367</t>
        </r>
        <r>
          <rPr>
            <sz val="8"/>
            <color indexed="81"/>
            <rFont val="Tahoma"/>
            <family val="2"/>
          </rPr>
          <t xml:space="preserve">
</t>
        </r>
      </text>
    </comment>
    <comment ref="L167" authorId="3">
      <text>
        <r>
          <rPr>
            <sz val="8"/>
            <color indexed="81"/>
            <rFont val="Tahoma"/>
            <family val="2"/>
          </rPr>
          <t>Includes:Deferred gain on sale leaseback $9,300  + Notes payable $607,151</t>
        </r>
        <r>
          <rPr>
            <sz val="8"/>
            <color indexed="81"/>
            <rFont val="Tahoma"/>
            <family val="2"/>
          </rPr>
          <t xml:space="preserve">
</t>
        </r>
      </text>
    </comment>
    <comment ref="M167" authorId="3">
      <text>
        <r>
          <rPr>
            <sz val="8"/>
            <color indexed="81"/>
            <rFont val="Tahoma"/>
            <family val="2"/>
          </rPr>
          <t>Includes:Deferred gain on sale leaseback $9,590  + Notes payable $994,193</t>
        </r>
        <r>
          <rPr>
            <sz val="8"/>
            <color indexed="81"/>
            <rFont val="Tahoma"/>
            <family val="2"/>
          </rPr>
          <t xml:space="preserve">
</t>
        </r>
      </text>
    </comment>
    <comment ref="N167" authorId="3">
      <text>
        <r>
          <rPr>
            <sz val="8"/>
            <color indexed="81"/>
            <rFont val="Tahoma"/>
            <family val="2"/>
          </rPr>
          <t>Includes:Deferred gain on sale leaseback $9,883 + Notes payable $1,330,992</t>
        </r>
        <r>
          <rPr>
            <sz val="8"/>
            <color indexed="81"/>
            <rFont val="Tahoma"/>
            <family val="2"/>
          </rPr>
          <t xml:space="preserve">
</t>
        </r>
      </text>
    </comment>
    <comment ref="O167" authorId="3">
      <text>
        <r>
          <rPr>
            <sz val="8"/>
            <color indexed="81"/>
            <rFont val="Tahoma"/>
            <family val="2"/>
          </rPr>
          <t>Includes:Deferred gain on sale leaseback $10,180  + Notes payable $22</t>
        </r>
        <r>
          <rPr>
            <sz val="8"/>
            <color indexed="81"/>
            <rFont val="Tahoma"/>
            <family val="2"/>
          </rPr>
          <t xml:space="preserve">
</t>
        </r>
      </text>
    </comment>
    <comment ref="Q167" authorId="3">
      <text>
        <r>
          <rPr>
            <sz val="8"/>
            <color indexed="81"/>
            <rFont val="Tahoma"/>
            <family val="2"/>
          </rPr>
          <t>Includes:Deferred gain on sale leaseback $10,359  + Notes payable $396,222</t>
        </r>
        <r>
          <rPr>
            <sz val="8"/>
            <color indexed="81"/>
            <rFont val="Tahoma"/>
            <family val="2"/>
          </rPr>
          <t xml:space="preserve">
</t>
        </r>
      </text>
    </comment>
    <comment ref="R167" authorId="3">
      <text>
        <r>
          <rPr>
            <sz val="8"/>
            <color indexed="81"/>
            <rFont val="Tahoma"/>
            <family val="2"/>
          </rPr>
          <t>Includes:Deferred gain on sale leaseback $1,102.7  + Notes payable $</t>
        </r>
        <r>
          <rPr>
            <sz val="8"/>
            <color indexed="81"/>
            <rFont val="Tahoma"/>
            <family val="2"/>
          </rPr>
          <t xml:space="preserve">
</t>
        </r>
      </text>
    </comment>
    <comment ref="S167" authorId="3">
      <text>
        <r>
          <rPr>
            <sz val="8"/>
            <color indexed="81"/>
            <rFont val="Tahoma"/>
            <family val="2"/>
          </rPr>
          <t>Includes:Deferred gain on sale leaseback $  + Notes payable $</t>
        </r>
        <r>
          <rPr>
            <sz val="8"/>
            <color indexed="81"/>
            <rFont val="Tahoma"/>
            <family val="2"/>
          </rPr>
          <t xml:space="preserve">
</t>
        </r>
      </text>
    </comment>
    <comment ref="T167" authorId="3">
      <text>
        <r>
          <rPr>
            <sz val="8"/>
            <color indexed="81"/>
            <rFont val="Tahoma"/>
            <family val="2"/>
          </rPr>
          <t>Includes:Deferred gain on sale leaseback $10,726  + Notes payable $70,022</t>
        </r>
        <r>
          <rPr>
            <sz val="8"/>
            <color indexed="81"/>
            <rFont val="Tahoma"/>
            <family val="2"/>
          </rPr>
          <t xml:space="preserve">
</t>
        </r>
      </text>
    </comment>
    <comment ref="V167" authorId="3">
      <text>
        <r>
          <rPr>
            <sz val="8"/>
            <color indexed="81"/>
            <rFont val="Tahoma"/>
            <family val="2"/>
          </rPr>
          <t>Includes:Deferred gain on sale leaseback $ 10,851 + Notes payable $159,922</t>
        </r>
        <r>
          <rPr>
            <sz val="8"/>
            <color indexed="81"/>
            <rFont val="Tahoma"/>
            <family val="2"/>
          </rPr>
          <t xml:space="preserve">
</t>
        </r>
      </text>
    </comment>
    <comment ref="W167" authorId="3">
      <text>
        <r>
          <rPr>
            <sz val="8"/>
            <color indexed="81"/>
            <rFont val="Tahoma"/>
            <family val="2"/>
          </rPr>
          <t>Includes:Deferred gain on sale leaseback $ 10,978 + Notes payable $89,622</t>
        </r>
        <r>
          <rPr>
            <sz val="8"/>
            <color indexed="81"/>
            <rFont val="Tahoma"/>
            <family val="2"/>
          </rPr>
          <t xml:space="preserve">
</t>
        </r>
      </text>
    </comment>
    <comment ref="X167" authorId="3">
      <text>
        <r>
          <rPr>
            <sz val="8"/>
            <color indexed="81"/>
            <rFont val="Tahoma"/>
            <family val="2"/>
          </rPr>
          <t>Includes:Deferred gain on sale leaseback $11,106  + Notes payable $22</t>
        </r>
        <r>
          <rPr>
            <sz val="8"/>
            <color indexed="81"/>
            <rFont val="Tahoma"/>
            <family val="2"/>
          </rPr>
          <t xml:space="preserve">
</t>
        </r>
      </text>
    </comment>
    <comment ref="Y167" authorId="3">
      <text>
        <r>
          <rPr>
            <sz val="8"/>
            <color indexed="81"/>
            <rFont val="Tahoma"/>
            <family val="2"/>
          </rPr>
          <t>Includes:Deferred gain on sale leaseback $11,236  + Notes payable $22</t>
        </r>
        <r>
          <rPr>
            <sz val="8"/>
            <color indexed="81"/>
            <rFont val="Tahoma"/>
            <family val="2"/>
          </rPr>
          <t xml:space="preserve">
</t>
        </r>
      </text>
    </comment>
    <comment ref="AA167" authorId="3">
      <text>
        <r>
          <rPr>
            <sz val="8"/>
            <color indexed="81"/>
            <rFont val="Tahoma"/>
            <family val="2"/>
          </rPr>
          <t>Includes:Deferred gain on sale leaseback $11,367  + Notes payable $22</t>
        </r>
        <r>
          <rPr>
            <sz val="8"/>
            <color indexed="81"/>
            <rFont val="Tahoma"/>
            <family val="2"/>
          </rPr>
          <t xml:space="preserve">
</t>
        </r>
      </text>
    </comment>
    <comment ref="AB167" authorId="3">
      <text>
        <r>
          <rPr>
            <sz val="8"/>
            <color indexed="81"/>
            <rFont val="Tahoma"/>
            <family val="2"/>
          </rPr>
          <t>Includes:Deferred gain on sale leaseback $11,499  + Notes payable $22</t>
        </r>
        <r>
          <rPr>
            <sz val="8"/>
            <color indexed="81"/>
            <rFont val="Tahoma"/>
            <family val="2"/>
          </rPr>
          <t xml:space="preserve">
</t>
        </r>
      </text>
    </comment>
    <comment ref="AN167" authorId="4">
      <text>
        <r>
          <rPr>
            <sz val="8"/>
            <color indexed="81"/>
            <rFont val="Tahoma"/>
            <family val="2"/>
          </rPr>
          <t>Other current liabilities: $457.0m
Liabilities held for sale: $664.0m</t>
        </r>
        <r>
          <rPr>
            <sz val="8"/>
            <color indexed="81"/>
            <rFont val="Tahoma"/>
            <family val="2"/>
          </rPr>
          <t xml:space="preserve">
</t>
        </r>
      </text>
    </comment>
    <comment ref="AZ167" authorId="1">
      <text>
        <r>
          <rPr>
            <b/>
            <sz val="9"/>
            <color indexed="81"/>
            <rFont val="Tahoma"/>
            <family val="2"/>
          </rPr>
          <t>Goldstein, Jeff (Research):</t>
        </r>
        <r>
          <rPr>
            <sz val="9"/>
            <color indexed="81"/>
            <rFont val="Tahoma"/>
            <family val="2"/>
          </rPr>
          <t xml:space="preserve">
Accrued legal and regulatory settlements + other current liabilities</t>
        </r>
      </text>
    </comment>
    <comment ref="BE167" authorId="1">
      <text>
        <r>
          <rPr>
            <b/>
            <sz val="9"/>
            <color indexed="81"/>
            <rFont val="Tahoma"/>
            <family val="2"/>
          </rPr>
          <t>Goldstein, Jeff (Research):</t>
        </r>
        <r>
          <rPr>
            <sz val="9"/>
            <color indexed="81"/>
            <rFont val="Tahoma"/>
            <family val="2"/>
          </rPr>
          <t xml:space="preserve">
203M of liabilities of businesses held for sale</t>
        </r>
      </text>
    </comment>
    <comment ref="BF167" authorId="1">
      <text>
        <r>
          <rPr>
            <b/>
            <sz val="9"/>
            <color indexed="81"/>
            <rFont val="Tahoma"/>
            <family val="2"/>
          </rPr>
          <t>Goldstein, Jeff (Research):</t>
        </r>
        <r>
          <rPr>
            <sz val="9"/>
            <color indexed="81"/>
            <rFont val="Tahoma"/>
            <family val="2"/>
          </rPr>
          <t xml:space="preserve">
207M of liabilities of businesses held for sale</t>
        </r>
      </text>
    </comment>
    <comment ref="BG167" authorId="1">
      <text>
        <r>
          <rPr>
            <b/>
            <sz val="9"/>
            <color indexed="81"/>
            <rFont val="Tahoma"/>
            <family val="2"/>
          </rPr>
          <t>Goldstein, Jeff (Research):</t>
        </r>
        <r>
          <rPr>
            <sz val="9"/>
            <color indexed="81"/>
            <rFont val="Tahoma"/>
            <family val="2"/>
          </rPr>
          <t xml:space="preserve">
321M - Income taxes payable
384M - Other current liabilities
24M - Liabilities of businesses held for sale</t>
        </r>
      </text>
    </comment>
    <comment ref="B173" authorId="3">
      <text>
        <r>
          <rPr>
            <sz val="8"/>
            <color indexed="81"/>
            <rFont val="Tahoma"/>
            <family val="2"/>
          </rPr>
          <t xml:space="preserve">Includes:Deferred Income Taxes $190,334 </t>
        </r>
        <r>
          <rPr>
            <sz val="8"/>
            <color indexed="81"/>
            <rFont val="Tahoma"/>
            <family val="2"/>
          </rPr>
          <t xml:space="preserve">
</t>
        </r>
      </text>
    </comment>
    <comment ref="C173" authorId="3">
      <text>
        <r>
          <rPr>
            <sz val="8"/>
            <color indexed="81"/>
            <rFont val="Tahoma"/>
            <family val="2"/>
          </rPr>
          <t xml:space="preserve">Includes:Deferred Income Taxes $200,114 </t>
        </r>
        <r>
          <rPr>
            <sz val="8"/>
            <color indexed="81"/>
            <rFont val="Tahoma"/>
            <family val="2"/>
          </rPr>
          <t xml:space="preserve">
</t>
        </r>
      </text>
    </comment>
    <comment ref="D173" authorId="3">
      <text>
        <r>
          <rPr>
            <sz val="8"/>
            <color indexed="81"/>
            <rFont val="Tahoma"/>
            <family val="2"/>
          </rPr>
          <t>Includes:Deferred Income Taxes $200,485 + Deferred gain on sale leaseback $204,783</t>
        </r>
        <r>
          <rPr>
            <sz val="8"/>
            <color indexed="81"/>
            <rFont val="Tahoma"/>
            <family val="2"/>
          </rPr>
          <t xml:space="preserve">
</t>
        </r>
      </text>
    </comment>
    <comment ref="E173" authorId="3">
      <text>
        <r>
          <rPr>
            <sz val="8"/>
            <color indexed="81"/>
            <rFont val="Tahoma"/>
            <family val="2"/>
          </rPr>
          <t>Includes:Deferred Income Taxes $232,081 + Deferred gain on sale leaseback $197,267</t>
        </r>
        <r>
          <rPr>
            <sz val="8"/>
            <color indexed="81"/>
            <rFont val="Tahoma"/>
            <family val="2"/>
          </rPr>
          <t xml:space="preserve">
</t>
        </r>
      </text>
    </comment>
    <comment ref="F173" authorId="3">
      <text>
        <r>
          <rPr>
            <sz val="8"/>
            <color indexed="81"/>
            <rFont val="Tahoma"/>
            <family val="2"/>
          </rPr>
          <t>Includes:Deferred Income Taxes $318,015 + Deferred gain on sale leaseback $189,260</t>
        </r>
        <r>
          <rPr>
            <sz val="8"/>
            <color indexed="81"/>
            <rFont val="Tahoma"/>
            <family val="2"/>
          </rPr>
          <t xml:space="preserve">
</t>
        </r>
      </text>
    </comment>
    <comment ref="G173" authorId="3">
      <text>
        <r>
          <rPr>
            <sz val="8"/>
            <color indexed="81"/>
            <rFont val="Tahoma"/>
            <family val="2"/>
          </rPr>
          <t>Includes:Deferred Income Taxes $293,396 + Deferred gain on sale leaseback $187,305</t>
        </r>
        <r>
          <rPr>
            <sz val="8"/>
            <color indexed="81"/>
            <rFont val="Tahoma"/>
            <family val="2"/>
          </rPr>
          <t xml:space="preserve">
</t>
        </r>
      </text>
    </comment>
    <comment ref="H173" authorId="3">
      <text>
        <r>
          <rPr>
            <sz val="8"/>
            <color indexed="81"/>
            <rFont val="Tahoma"/>
            <family val="2"/>
          </rPr>
          <t>Includes:Deferred Income Taxes $ 289,247+ Deferred gain on sale leaseback $185,327</t>
        </r>
        <r>
          <rPr>
            <sz val="8"/>
            <color indexed="81"/>
            <rFont val="Tahoma"/>
            <family val="2"/>
          </rPr>
          <t xml:space="preserve">
</t>
        </r>
      </text>
    </comment>
    <comment ref="I173" authorId="3">
      <text>
        <r>
          <rPr>
            <sz val="8"/>
            <color indexed="81"/>
            <rFont val="Tahoma"/>
            <family val="2"/>
          </rPr>
          <t>Includes:Deferred Income Taxes $278,435 + Deferred gain on sale leaseback $183,327</t>
        </r>
        <r>
          <rPr>
            <sz val="8"/>
            <color indexed="81"/>
            <rFont val="Tahoma"/>
            <family val="2"/>
          </rPr>
          <t xml:space="preserve">
</t>
        </r>
      </text>
    </comment>
    <comment ref="J173" authorId="3">
      <text>
        <r>
          <rPr>
            <sz val="8"/>
            <color indexed="81"/>
            <rFont val="Tahoma"/>
            <family val="2"/>
          </rPr>
          <t>Includes:Deferred Income Taxes $150,713 + Deferred gain on sale leaseback $180,221</t>
        </r>
        <r>
          <rPr>
            <sz val="8"/>
            <color indexed="81"/>
            <rFont val="Tahoma"/>
            <family val="2"/>
          </rPr>
          <t xml:space="preserve">
</t>
        </r>
      </text>
    </comment>
    <comment ref="L173" authorId="3">
      <text>
        <r>
          <rPr>
            <sz val="8"/>
            <color indexed="81"/>
            <rFont val="Tahoma"/>
            <family val="2"/>
          </rPr>
          <t>Includes:Deferred Income Taxes $111,104 + Deferred gain on sale leaseback $177,692</t>
        </r>
        <r>
          <rPr>
            <sz val="8"/>
            <color indexed="81"/>
            <rFont val="Tahoma"/>
            <family val="2"/>
          </rPr>
          <t xml:space="preserve">
</t>
        </r>
      </text>
    </comment>
    <comment ref="M173" authorId="3">
      <text>
        <r>
          <rPr>
            <sz val="8"/>
            <color indexed="81"/>
            <rFont val="Tahoma"/>
            <family val="2"/>
          </rPr>
          <t>Includes:Deferred Income Taxes $91,604 + Deferred gain on sale leaseback $175,138</t>
        </r>
        <r>
          <rPr>
            <sz val="8"/>
            <color indexed="81"/>
            <rFont val="Tahoma"/>
            <family val="2"/>
          </rPr>
          <t xml:space="preserve">
</t>
        </r>
      </text>
    </comment>
    <comment ref="N173" authorId="3">
      <text>
        <r>
          <rPr>
            <sz val="8"/>
            <color indexed="81"/>
            <rFont val="Tahoma"/>
            <family val="2"/>
          </rPr>
          <t>Includes:Deferred Income Taxes $ 84,305+ Deferred gain on sale leaseback $172,555</t>
        </r>
        <r>
          <rPr>
            <sz val="8"/>
            <color indexed="81"/>
            <rFont val="Tahoma"/>
            <family val="2"/>
          </rPr>
          <t xml:space="preserve">
</t>
        </r>
      </text>
    </comment>
    <comment ref="O173" authorId="3">
      <text>
        <r>
          <rPr>
            <sz val="8"/>
            <color indexed="81"/>
            <rFont val="Tahoma"/>
            <family val="2"/>
          </rPr>
          <t>Includes:Deferred Income Taxes $ 139,173+ Deferred gain on sale leaseback $169,941</t>
        </r>
        <r>
          <rPr>
            <sz val="8"/>
            <color indexed="81"/>
            <rFont val="Tahoma"/>
            <family val="2"/>
          </rPr>
          <t xml:space="preserve">
</t>
        </r>
      </text>
    </comment>
    <comment ref="Q173" authorId="3">
      <text>
        <r>
          <rPr>
            <sz val="8"/>
            <color indexed="81"/>
            <rFont val="Tahoma"/>
            <family val="2"/>
          </rPr>
          <t>Includes:Deferred Income Taxes $125,773 + Deferred gain on sale leaseback $167,236</t>
        </r>
        <r>
          <rPr>
            <sz val="8"/>
            <color indexed="81"/>
            <rFont val="Tahoma"/>
            <family val="2"/>
          </rPr>
          <t xml:space="preserve">
</t>
        </r>
      </text>
    </comment>
    <comment ref="R173" authorId="3">
      <text>
        <r>
          <rPr>
            <sz val="8"/>
            <color indexed="81"/>
            <rFont val="Tahoma"/>
            <family val="2"/>
          </rPr>
          <t>Includes:Deferred Income Taxes $112,069 + Deferred gain on sale leaseback $164,561</t>
        </r>
        <r>
          <rPr>
            <sz val="8"/>
            <color indexed="81"/>
            <rFont val="Tahoma"/>
            <family val="2"/>
          </rPr>
          <t xml:space="preserve">
</t>
        </r>
      </text>
    </comment>
    <comment ref="S173" authorId="3">
      <text>
        <r>
          <rPr>
            <sz val="8"/>
            <color indexed="81"/>
            <rFont val="Tahoma"/>
            <family val="2"/>
          </rPr>
          <t xml:space="preserve">Includes:Deferred Income Taxes $129,099 + Deferred gain on sale leaseback $161,854
</t>
        </r>
        <r>
          <rPr>
            <sz val="8"/>
            <color indexed="81"/>
            <rFont val="Tahoma"/>
            <family val="2"/>
          </rPr>
          <t xml:space="preserve">
</t>
        </r>
      </text>
    </comment>
    <comment ref="T173" authorId="3">
      <text>
        <r>
          <rPr>
            <sz val="8"/>
            <color indexed="81"/>
            <rFont val="Tahoma"/>
            <family val="2"/>
          </rPr>
          <t>Includes:Deferred Income Taxes $3,406 + Deferred gain on sale leaseback $159,115</t>
        </r>
        <r>
          <rPr>
            <sz val="8"/>
            <color indexed="81"/>
            <rFont val="Tahoma"/>
            <family val="2"/>
          </rPr>
          <t xml:space="preserve">
</t>
        </r>
      </text>
    </comment>
    <comment ref="V173" authorId="3">
      <text>
        <r>
          <rPr>
            <sz val="8"/>
            <color indexed="81"/>
            <rFont val="Tahoma"/>
            <family val="2"/>
          </rPr>
          <t>Includes:Deferred Income Taxes $2,087 + Deferred gain on sale leaseback $156,345</t>
        </r>
        <r>
          <rPr>
            <sz val="8"/>
            <color indexed="81"/>
            <rFont val="Tahoma"/>
            <family val="2"/>
          </rPr>
          <t xml:space="preserve">
</t>
        </r>
      </text>
    </comment>
    <comment ref="W173" authorId="3">
      <text>
        <r>
          <rPr>
            <sz val="8"/>
            <color indexed="81"/>
            <rFont val="Tahoma"/>
            <family val="2"/>
          </rPr>
          <t>Includes:Deferred Income Taxes $3,154 + Deferred gain on sale leaseback $153,542</t>
        </r>
        <r>
          <rPr>
            <sz val="8"/>
            <color indexed="81"/>
            <rFont val="Tahoma"/>
            <family val="2"/>
          </rPr>
          <t xml:space="preserve">
</t>
        </r>
      </text>
    </comment>
    <comment ref="X173" authorId="3">
      <text>
        <r>
          <rPr>
            <sz val="8"/>
            <color indexed="81"/>
            <rFont val="Tahoma"/>
            <family val="2"/>
          </rPr>
          <t>Includes:Deferred Income Taxes $ 3,357+ Deferred gain on sale leaseback $150,707</t>
        </r>
        <r>
          <rPr>
            <sz val="8"/>
            <color indexed="81"/>
            <rFont val="Tahoma"/>
            <family val="2"/>
          </rPr>
          <t xml:space="preserve">
</t>
        </r>
      </text>
    </comment>
    <comment ref="Y173" authorId="3">
      <text>
        <r>
          <rPr>
            <sz val="8"/>
            <color indexed="81"/>
            <rFont val="Tahoma"/>
            <family val="2"/>
          </rPr>
          <t>Includes:Deferred Income Taxes $9,965 + Deferred gain on sale leaseback $147,838</t>
        </r>
        <r>
          <rPr>
            <sz val="8"/>
            <color indexed="81"/>
            <rFont val="Tahoma"/>
            <family val="2"/>
          </rPr>
          <t xml:space="preserve">
</t>
        </r>
      </text>
    </comment>
    <comment ref="AA173" authorId="3">
      <text>
        <r>
          <rPr>
            <sz val="8"/>
            <color indexed="81"/>
            <rFont val="Tahoma"/>
            <family val="2"/>
          </rPr>
          <t>Includes:Deferred Income Taxes $9,428 + Deferred gain on sale leaseback $144,936</t>
        </r>
        <r>
          <rPr>
            <sz val="8"/>
            <color indexed="81"/>
            <rFont val="Tahoma"/>
            <family val="2"/>
          </rPr>
          <t xml:space="preserve">
</t>
        </r>
      </text>
    </comment>
    <comment ref="AB173" authorId="3">
      <text>
        <r>
          <rPr>
            <sz val="8"/>
            <color indexed="81"/>
            <rFont val="Tahoma"/>
            <family val="2"/>
          </rPr>
          <t>Includes:Deferred Income Taxes 8,971$ + Deferred gain on sale leaseback $142,001</t>
        </r>
        <r>
          <rPr>
            <sz val="8"/>
            <color indexed="81"/>
            <rFont val="Tahoma"/>
            <family val="2"/>
          </rPr>
          <t xml:space="preserve">
</t>
        </r>
      </text>
    </comment>
    <comment ref="AS173" authorId="4">
      <text>
        <r>
          <rPr>
            <sz val="8"/>
            <color indexed="81"/>
            <rFont val="Tahoma"/>
            <family val="2"/>
          </rPr>
          <t>Deferred income taxes: $205.0m
Other non-current liabilities: $267.0m</t>
        </r>
        <r>
          <rPr>
            <sz val="8"/>
            <color indexed="81"/>
            <rFont val="Tahoma"/>
            <family val="2"/>
          </rPr>
          <t xml:space="preserve">
</t>
        </r>
      </text>
    </comment>
    <comment ref="A176" authorId="0">
      <text>
        <r>
          <rPr>
            <b/>
            <sz val="8"/>
            <color indexed="81"/>
            <rFont val="Tahoma"/>
            <family val="2"/>
          </rPr>
          <t>kapltoni:</t>
        </r>
        <r>
          <rPr>
            <sz val="8"/>
            <color indexed="81"/>
            <rFont val="Tahoma"/>
            <family val="2"/>
          </rPr>
          <t xml:space="preserve">
S&amp;P DJ Indices partnership contains redemption features</t>
        </r>
      </text>
    </comment>
    <comment ref="B178" authorId="3">
      <text>
        <r>
          <rPr>
            <sz val="8"/>
            <color indexed="81"/>
            <rFont val="Tahoma"/>
            <family val="2"/>
          </rPr>
          <t>Includes : Preference stock $13</t>
        </r>
        <r>
          <rPr>
            <sz val="8"/>
            <color indexed="81"/>
            <rFont val="Tahoma"/>
            <family val="2"/>
          </rPr>
          <t xml:space="preserve">
</t>
        </r>
      </text>
    </comment>
    <comment ref="C182" authorId="3">
      <text>
        <r>
          <rPr>
            <sz val="8"/>
            <color indexed="81"/>
            <rFont val="Tahoma"/>
            <family val="2"/>
          </rPr>
          <t xml:space="preserve">Includes:Unearned compensation on restricted stock $ 15,312 </t>
        </r>
        <r>
          <rPr>
            <sz val="8"/>
            <color indexed="81"/>
            <rFont val="Tahoma"/>
            <family val="2"/>
          </rPr>
          <t xml:space="preserve">
</t>
        </r>
      </text>
    </comment>
    <comment ref="D182" authorId="3">
      <text>
        <r>
          <rPr>
            <sz val="8"/>
            <color indexed="81"/>
            <rFont val="Tahoma"/>
            <family val="2"/>
          </rPr>
          <t xml:space="preserve">Includes:Unearned compensation on restricted stock $ 17,913 </t>
        </r>
        <r>
          <rPr>
            <sz val="8"/>
            <color indexed="81"/>
            <rFont val="Tahoma"/>
            <family val="2"/>
          </rPr>
          <t xml:space="preserve">
</t>
        </r>
      </text>
    </comment>
    <comment ref="E182" authorId="3">
      <text>
        <r>
          <rPr>
            <sz val="8"/>
            <color indexed="81"/>
            <rFont val="Tahoma"/>
            <family val="2"/>
          </rPr>
          <t xml:space="preserve">Includes:Unearned compensation on restricted stock $ 20,031 </t>
        </r>
        <r>
          <rPr>
            <sz val="8"/>
            <color indexed="81"/>
            <rFont val="Tahoma"/>
            <family val="2"/>
          </rPr>
          <t xml:space="preserve">
</t>
        </r>
      </text>
    </comment>
    <comment ref="F182" authorId="3">
      <text>
        <r>
          <rPr>
            <sz val="8"/>
            <color indexed="81"/>
            <rFont val="Tahoma"/>
            <family val="2"/>
          </rPr>
          <t xml:space="preserve">Includes:Unearned compensation on restricted stock $ 15,758 </t>
        </r>
        <r>
          <rPr>
            <sz val="8"/>
            <color indexed="81"/>
            <rFont val="Tahoma"/>
            <family val="2"/>
          </rPr>
          <t xml:space="preserve">
</t>
        </r>
      </text>
    </comment>
    <comment ref="BF182" authorId="1">
      <text>
        <r>
          <rPr>
            <b/>
            <sz val="9"/>
            <color indexed="81"/>
            <rFont val="Tahoma"/>
            <family val="2"/>
          </rPr>
          <t>Goldstein, Jeff (Research):</t>
        </r>
        <r>
          <rPr>
            <sz val="9"/>
            <color indexed="81"/>
            <rFont val="Tahoma"/>
            <family val="2"/>
          </rPr>
          <t xml:space="preserve">
Plug. Update with 10Q</t>
        </r>
      </text>
    </comment>
    <comment ref="AI202" authorId="1">
      <text>
        <r>
          <rPr>
            <b/>
            <sz val="9"/>
            <color indexed="81"/>
            <rFont val="Tahoma"/>
            <family val="2"/>
          </rPr>
          <t>Goldstein, Jeff (Research):</t>
        </r>
        <r>
          <rPr>
            <sz val="9"/>
            <color indexed="81"/>
            <rFont val="Tahoma"/>
            <family val="2"/>
          </rPr>
          <t xml:space="preserve">
Includes J.D. Power</t>
        </r>
      </text>
    </comment>
    <comment ref="AJ202" authorId="1">
      <text>
        <r>
          <rPr>
            <b/>
            <sz val="9"/>
            <color indexed="81"/>
            <rFont val="Tahoma"/>
            <family val="2"/>
          </rPr>
          <t>Goldstein, Jeff (Research):</t>
        </r>
        <r>
          <rPr>
            <sz val="9"/>
            <color indexed="81"/>
            <rFont val="Tahoma"/>
            <family val="2"/>
          </rPr>
          <t xml:space="preserve">
Includes J.D. Power</t>
        </r>
      </text>
    </comment>
    <comment ref="AK202" authorId="1">
      <text>
        <r>
          <rPr>
            <b/>
            <sz val="9"/>
            <color indexed="81"/>
            <rFont val="Tahoma"/>
            <family val="2"/>
          </rPr>
          <t>Goldstein, Jeff (Research):</t>
        </r>
        <r>
          <rPr>
            <sz val="9"/>
            <color indexed="81"/>
            <rFont val="Tahoma"/>
            <family val="2"/>
          </rPr>
          <t xml:space="preserve">
Includes J.D. Power</t>
        </r>
      </text>
    </comment>
    <comment ref="AL202" authorId="1">
      <text>
        <r>
          <rPr>
            <b/>
            <sz val="9"/>
            <color indexed="81"/>
            <rFont val="Tahoma"/>
            <family val="2"/>
          </rPr>
          <t>Goldstein, Jeff (Research):</t>
        </r>
        <r>
          <rPr>
            <sz val="9"/>
            <color indexed="81"/>
            <rFont val="Tahoma"/>
            <family val="2"/>
          </rPr>
          <t xml:space="preserve">
Includes J.D. Power</t>
        </r>
      </text>
    </comment>
    <comment ref="AM202" authorId="1">
      <text>
        <r>
          <rPr>
            <b/>
            <sz val="9"/>
            <color indexed="81"/>
            <rFont val="Tahoma"/>
            <family val="2"/>
          </rPr>
          <t>Goldstein, Jeff (Research):</t>
        </r>
        <r>
          <rPr>
            <sz val="9"/>
            <color indexed="81"/>
            <rFont val="Tahoma"/>
            <family val="2"/>
          </rPr>
          <t xml:space="preserve">
Includes J.D. Power</t>
        </r>
      </text>
    </comment>
    <comment ref="AN202" authorId="1">
      <text>
        <r>
          <rPr>
            <b/>
            <sz val="9"/>
            <color indexed="81"/>
            <rFont val="Tahoma"/>
            <family val="2"/>
          </rPr>
          <t>Goldstein, Jeff (Research):</t>
        </r>
        <r>
          <rPr>
            <sz val="9"/>
            <color indexed="81"/>
            <rFont val="Tahoma"/>
            <family val="2"/>
          </rPr>
          <t xml:space="preserve">
Includes J.D. Power</t>
        </r>
      </text>
    </comment>
    <comment ref="AO202" authorId="1">
      <text>
        <r>
          <rPr>
            <b/>
            <sz val="9"/>
            <color indexed="81"/>
            <rFont val="Tahoma"/>
            <family val="2"/>
          </rPr>
          <t>Goldstein, Jeff (Research):</t>
        </r>
        <r>
          <rPr>
            <sz val="9"/>
            <color indexed="81"/>
            <rFont val="Tahoma"/>
            <family val="2"/>
          </rPr>
          <t xml:space="preserve">
Includes J.D. Power</t>
        </r>
      </text>
    </comment>
    <comment ref="AP202" authorId="1">
      <text>
        <r>
          <rPr>
            <b/>
            <sz val="9"/>
            <color indexed="81"/>
            <rFont val="Tahoma"/>
            <family val="2"/>
          </rPr>
          <t>Goldstein, Jeff (Research):</t>
        </r>
        <r>
          <rPr>
            <sz val="9"/>
            <color indexed="81"/>
            <rFont val="Tahoma"/>
            <family val="2"/>
          </rPr>
          <t xml:space="preserve">
Includes J.D. Power</t>
        </r>
      </text>
    </comment>
    <comment ref="AQ202" authorId="1">
      <text>
        <r>
          <rPr>
            <b/>
            <sz val="9"/>
            <color indexed="81"/>
            <rFont val="Tahoma"/>
            <family val="2"/>
          </rPr>
          <t>Goldstein, Jeff (Research):</t>
        </r>
        <r>
          <rPr>
            <sz val="9"/>
            <color indexed="81"/>
            <rFont val="Tahoma"/>
            <family val="2"/>
          </rPr>
          <t xml:space="preserve">
Includes J.D. Power</t>
        </r>
      </text>
    </comment>
    <comment ref="AR202" authorId="1">
      <text>
        <r>
          <rPr>
            <b/>
            <sz val="9"/>
            <color indexed="81"/>
            <rFont val="Tahoma"/>
            <family val="2"/>
          </rPr>
          <t>Goldstein, Jeff (Research):</t>
        </r>
        <r>
          <rPr>
            <sz val="9"/>
            <color indexed="81"/>
            <rFont val="Tahoma"/>
            <family val="2"/>
          </rPr>
          <t xml:space="preserve">
Includes J.D. Power</t>
        </r>
      </text>
    </comment>
    <comment ref="AS202" authorId="1">
      <text>
        <r>
          <rPr>
            <b/>
            <sz val="9"/>
            <color indexed="81"/>
            <rFont val="Tahoma"/>
            <family val="2"/>
          </rPr>
          <t>Goldstein, Jeff (Research):</t>
        </r>
        <r>
          <rPr>
            <sz val="9"/>
            <color indexed="81"/>
            <rFont val="Tahoma"/>
            <family val="2"/>
          </rPr>
          <t xml:space="preserve">
Includes J.D. Power</t>
        </r>
      </text>
    </comment>
    <comment ref="AT202" authorId="1">
      <text>
        <r>
          <rPr>
            <b/>
            <sz val="9"/>
            <color indexed="81"/>
            <rFont val="Tahoma"/>
            <family val="2"/>
          </rPr>
          <t>Goldstein, Jeff (Research):</t>
        </r>
        <r>
          <rPr>
            <sz val="9"/>
            <color indexed="81"/>
            <rFont val="Tahoma"/>
            <family val="2"/>
          </rPr>
          <t xml:space="preserve">
Includes J.D. Power</t>
        </r>
      </text>
    </comment>
    <comment ref="AU202" authorId="1">
      <text>
        <r>
          <rPr>
            <b/>
            <sz val="9"/>
            <color indexed="81"/>
            <rFont val="Tahoma"/>
            <family val="2"/>
          </rPr>
          <t>Goldstein, Jeff (Research):</t>
        </r>
        <r>
          <rPr>
            <sz val="9"/>
            <color indexed="81"/>
            <rFont val="Tahoma"/>
            <family val="2"/>
          </rPr>
          <t xml:space="preserve">
Includes J.D. Power</t>
        </r>
      </text>
    </comment>
    <comment ref="AV202" authorId="1">
      <text>
        <r>
          <rPr>
            <b/>
            <sz val="9"/>
            <color indexed="81"/>
            <rFont val="Tahoma"/>
            <family val="2"/>
          </rPr>
          <t>Goldstein, Jeff (Research):</t>
        </r>
        <r>
          <rPr>
            <sz val="9"/>
            <color indexed="81"/>
            <rFont val="Tahoma"/>
            <family val="2"/>
          </rPr>
          <t xml:space="preserve">
Includes J.D. Power</t>
        </r>
      </text>
    </comment>
    <comment ref="AW202" authorId="1">
      <text>
        <r>
          <rPr>
            <b/>
            <sz val="9"/>
            <color indexed="81"/>
            <rFont val="Tahoma"/>
            <family val="2"/>
          </rPr>
          <t>Goldstein, Jeff (Research):</t>
        </r>
        <r>
          <rPr>
            <sz val="9"/>
            <color indexed="81"/>
            <rFont val="Tahoma"/>
            <family val="2"/>
          </rPr>
          <t xml:space="preserve">
Includes J.D. Power</t>
        </r>
      </text>
    </comment>
    <comment ref="AX202" authorId="1">
      <text>
        <r>
          <rPr>
            <b/>
            <sz val="9"/>
            <color indexed="81"/>
            <rFont val="Tahoma"/>
            <family val="2"/>
          </rPr>
          <t>Goldstein, Jeff (Research):</t>
        </r>
        <r>
          <rPr>
            <sz val="9"/>
            <color indexed="81"/>
            <rFont val="Tahoma"/>
            <family val="2"/>
          </rPr>
          <t xml:space="preserve">
Includes J.D. Power</t>
        </r>
      </text>
    </comment>
    <comment ref="AY202" authorId="1">
      <text>
        <r>
          <rPr>
            <b/>
            <sz val="9"/>
            <color indexed="81"/>
            <rFont val="Tahoma"/>
            <family val="2"/>
          </rPr>
          <t>Goldstein, Jeff (Research):</t>
        </r>
        <r>
          <rPr>
            <sz val="9"/>
            <color indexed="81"/>
            <rFont val="Tahoma"/>
            <family val="2"/>
          </rPr>
          <t xml:space="preserve">
Includes J.D. Power</t>
        </r>
      </text>
    </comment>
    <comment ref="AZ202" authorId="1">
      <text>
        <r>
          <rPr>
            <b/>
            <sz val="9"/>
            <color indexed="81"/>
            <rFont val="Tahoma"/>
            <family val="2"/>
          </rPr>
          <t>Goldstein, Jeff (Research):</t>
        </r>
        <r>
          <rPr>
            <sz val="9"/>
            <color indexed="81"/>
            <rFont val="Tahoma"/>
            <family val="2"/>
          </rPr>
          <t xml:space="preserve">
Includes J.D. Power</t>
        </r>
      </text>
    </comment>
    <comment ref="BA202" authorId="1">
      <text>
        <r>
          <rPr>
            <b/>
            <sz val="9"/>
            <color indexed="81"/>
            <rFont val="Tahoma"/>
            <family val="2"/>
          </rPr>
          <t>Goldstein, Jeff (Research):</t>
        </r>
        <r>
          <rPr>
            <sz val="9"/>
            <color indexed="81"/>
            <rFont val="Tahoma"/>
            <family val="2"/>
          </rPr>
          <t xml:space="preserve">
Includes J.D. Power</t>
        </r>
      </text>
    </comment>
    <comment ref="BB202" authorId="1">
      <text>
        <r>
          <rPr>
            <b/>
            <sz val="9"/>
            <color indexed="81"/>
            <rFont val="Tahoma"/>
            <family val="2"/>
          </rPr>
          <t>Goldstein, Jeff (Research):</t>
        </r>
        <r>
          <rPr>
            <sz val="9"/>
            <color indexed="81"/>
            <rFont val="Tahoma"/>
            <family val="2"/>
          </rPr>
          <t xml:space="preserve">
Includes J.D. Power</t>
        </r>
      </text>
    </comment>
    <comment ref="BC202" authorId="1">
      <text>
        <r>
          <rPr>
            <b/>
            <sz val="9"/>
            <color indexed="81"/>
            <rFont val="Tahoma"/>
            <family val="2"/>
          </rPr>
          <t>Goldstein, Jeff (Research):</t>
        </r>
        <r>
          <rPr>
            <sz val="9"/>
            <color indexed="81"/>
            <rFont val="Tahoma"/>
            <family val="2"/>
          </rPr>
          <t xml:space="preserve">
Includes J.D. Power</t>
        </r>
      </text>
    </comment>
    <comment ref="BD202" authorId="1">
      <text>
        <r>
          <rPr>
            <b/>
            <sz val="9"/>
            <color indexed="81"/>
            <rFont val="Tahoma"/>
            <family val="2"/>
          </rPr>
          <t>Goldstein, Jeff (Research):</t>
        </r>
        <r>
          <rPr>
            <sz val="9"/>
            <color indexed="81"/>
            <rFont val="Tahoma"/>
            <family val="2"/>
          </rPr>
          <t xml:space="preserve">
Includes J.D. Power</t>
        </r>
      </text>
    </comment>
    <comment ref="BE202" authorId="1">
      <text>
        <r>
          <rPr>
            <b/>
            <sz val="9"/>
            <color indexed="81"/>
            <rFont val="Tahoma"/>
            <family val="2"/>
          </rPr>
          <t>Goldstein, Jeff (Research):</t>
        </r>
        <r>
          <rPr>
            <sz val="9"/>
            <color indexed="81"/>
            <rFont val="Tahoma"/>
            <family val="2"/>
          </rPr>
          <t xml:space="preserve">
Includes J.D. Power</t>
        </r>
      </text>
    </comment>
    <comment ref="BF202" authorId="1">
      <text>
        <r>
          <rPr>
            <b/>
            <sz val="9"/>
            <color indexed="81"/>
            <rFont val="Tahoma"/>
            <family val="2"/>
          </rPr>
          <t>Goldstein, Jeff (Research):</t>
        </r>
        <r>
          <rPr>
            <sz val="9"/>
            <color indexed="81"/>
            <rFont val="Tahoma"/>
            <family val="2"/>
          </rPr>
          <t xml:space="preserve">
Includes J.D. Power</t>
        </r>
      </text>
    </comment>
    <comment ref="BG202" authorId="1">
      <text>
        <r>
          <rPr>
            <b/>
            <sz val="9"/>
            <color indexed="81"/>
            <rFont val="Tahoma"/>
            <family val="2"/>
          </rPr>
          <t>Goldstein, Jeff (Research):</t>
        </r>
        <r>
          <rPr>
            <sz val="9"/>
            <color indexed="81"/>
            <rFont val="Tahoma"/>
            <family val="2"/>
          </rPr>
          <t xml:space="preserve">
Includes J.D. Power</t>
        </r>
      </text>
    </comment>
    <comment ref="BH202" authorId="1">
      <text>
        <r>
          <rPr>
            <b/>
            <sz val="9"/>
            <color indexed="81"/>
            <rFont val="Tahoma"/>
            <family val="2"/>
          </rPr>
          <t>Goldstein, Jeff (Research):</t>
        </r>
        <r>
          <rPr>
            <sz val="9"/>
            <color indexed="81"/>
            <rFont val="Tahoma"/>
            <family val="2"/>
          </rPr>
          <t xml:space="preserve">
No longer includes J.D. Power</t>
        </r>
      </text>
    </comment>
    <comment ref="BI202" authorId="1">
      <text>
        <r>
          <rPr>
            <b/>
            <sz val="9"/>
            <color indexed="81"/>
            <rFont val="Tahoma"/>
            <family val="2"/>
          </rPr>
          <t>Goldstein, Jeff (Research):</t>
        </r>
        <r>
          <rPr>
            <sz val="9"/>
            <color indexed="81"/>
            <rFont val="Tahoma"/>
            <family val="2"/>
          </rPr>
          <t xml:space="preserve">
Includes J.D. Power</t>
        </r>
      </text>
    </comment>
    <comment ref="BA220" authorId="1">
      <text>
        <r>
          <rPr>
            <b/>
            <sz val="9"/>
            <color indexed="81"/>
            <rFont val="Tahoma"/>
            <family val="2"/>
          </rPr>
          <t>Goldstein, Jeff (Research):</t>
        </r>
        <r>
          <rPr>
            <sz val="9"/>
            <color indexed="81"/>
            <rFont val="Tahoma"/>
            <family val="2"/>
          </rPr>
          <t xml:space="preserve">
10Q</t>
        </r>
      </text>
    </comment>
    <comment ref="BB220" authorId="1">
      <text>
        <r>
          <rPr>
            <b/>
            <sz val="9"/>
            <color indexed="81"/>
            <rFont val="Tahoma"/>
            <family val="2"/>
          </rPr>
          <t>Goldstein, Jeff (Research):</t>
        </r>
        <r>
          <rPr>
            <sz val="9"/>
            <color indexed="81"/>
            <rFont val="Tahoma"/>
            <family val="2"/>
          </rPr>
          <t xml:space="preserve">
10Q</t>
        </r>
      </text>
    </comment>
    <comment ref="BC220" authorId="1">
      <text>
        <r>
          <rPr>
            <b/>
            <sz val="9"/>
            <color indexed="81"/>
            <rFont val="Tahoma"/>
            <family val="2"/>
          </rPr>
          <t>Goldstein, Jeff (Research):</t>
        </r>
        <r>
          <rPr>
            <sz val="9"/>
            <color indexed="81"/>
            <rFont val="Tahoma"/>
            <family val="2"/>
          </rPr>
          <t xml:space="preserve">
10K</t>
        </r>
      </text>
    </comment>
    <comment ref="BG220" authorId="1">
      <text>
        <r>
          <rPr>
            <b/>
            <sz val="9"/>
            <color indexed="81"/>
            <rFont val="Tahoma"/>
            <family val="2"/>
          </rPr>
          <t>Goldstein, Jeff (Research):</t>
        </r>
        <r>
          <rPr>
            <sz val="9"/>
            <color indexed="81"/>
            <rFont val="Tahoma"/>
            <family val="2"/>
          </rPr>
          <t xml:space="preserve">
10Q</t>
        </r>
      </text>
    </comment>
    <comment ref="BH220" authorId="1">
      <text>
        <r>
          <rPr>
            <b/>
            <sz val="9"/>
            <color indexed="81"/>
            <rFont val="Tahoma"/>
            <family val="2"/>
          </rPr>
          <t>Goldstein, Jeff (Research):</t>
        </r>
        <r>
          <rPr>
            <sz val="9"/>
            <color indexed="81"/>
            <rFont val="Tahoma"/>
            <family val="2"/>
          </rPr>
          <t xml:space="preserve">
10K</t>
        </r>
      </text>
    </comment>
    <comment ref="BJ220" authorId="1">
      <text>
        <r>
          <rPr>
            <b/>
            <sz val="9"/>
            <color indexed="81"/>
            <rFont val="Tahoma"/>
            <family val="2"/>
          </rPr>
          <t>Goldstein, Jeff (Research):</t>
        </r>
        <r>
          <rPr>
            <sz val="9"/>
            <color indexed="81"/>
            <rFont val="Tahoma"/>
            <family val="2"/>
          </rPr>
          <t xml:space="preserve">
10Q</t>
        </r>
      </text>
    </comment>
    <comment ref="BK220" authorId="1">
      <text>
        <r>
          <rPr>
            <b/>
            <sz val="9"/>
            <color indexed="81"/>
            <rFont val="Tahoma"/>
            <family val="2"/>
          </rPr>
          <t>Goldstein, Jeff (Research):</t>
        </r>
        <r>
          <rPr>
            <sz val="9"/>
            <color indexed="81"/>
            <rFont val="Tahoma"/>
            <family val="2"/>
          </rPr>
          <t xml:space="preserve">
10Q</t>
        </r>
      </text>
    </comment>
    <comment ref="BL220" authorId="1">
      <text>
        <r>
          <rPr>
            <b/>
            <sz val="9"/>
            <color indexed="81"/>
            <rFont val="Tahoma"/>
            <family val="2"/>
          </rPr>
          <t>Goldstein, Jeff (Research):</t>
        </r>
        <r>
          <rPr>
            <sz val="9"/>
            <color indexed="81"/>
            <rFont val="Tahoma"/>
            <family val="2"/>
          </rPr>
          <t xml:space="preserve">
10Q</t>
        </r>
      </text>
    </comment>
    <comment ref="BO220" authorId="1">
      <text>
        <r>
          <rPr>
            <b/>
            <sz val="9"/>
            <color indexed="81"/>
            <rFont val="Tahoma"/>
            <family val="2"/>
          </rPr>
          <t>Goldstein, Jeff (Research):</t>
        </r>
        <r>
          <rPr>
            <sz val="9"/>
            <color indexed="81"/>
            <rFont val="Tahoma"/>
            <family val="2"/>
          </rPr>
          <t xml:space="preserve">
10Q</t>
        </r>
      </text>
    </comment>
    <comment ref="F224" authorId="3">
      <text>
        <r>
          <rPr>
            <sz val="8"/>
            <color indexed="81"/>
            <rFont val="Tahoma"/>
            <family val="2"/>
          </rPr>
          <t xml:space="preserve">$23.2 m: pre-tax restructuring charge
Source: Exhibit 2 , 8K-4Q 2006
</t>
        </r>
      </text>
    </comment>
    <comment ref="G224" authorId="3">
      <text>
        <r>
          <rPr>
            <sz val="8"/>
            <color indexed="81"/>
            <rFont val="Tahoma"/>
            <family val="2"/>
          </rPr>
          <t xml:space="preserve">$23.8m :pre-tax related to the elimination of the Company's restoration stock option program </t>
        </r>
        <r>
          <rPr>
            <sz val="8"/>
            <color indexed="81"/>
            <rFont val="Tahoma"/>
            <family val="2"/>
          </rPr>
          <t xml:space="preserve">
Comprises of :
$2.7 m: Information &amp; Media
$4.2 m: McGraw-Hill Education
$2.1m:Financial Services
$14.8m: Corporate
Source: Exhibit 2, 8K-1Q 2007</t>
        </r>
      </text>
    </comment>
    <comment ref="I224" authorId="3">
      <text>
        <r>
          <rPr>
            <sz val="8"/>
            <color indexed="81"/>
            <rFont val="Tahoma"/>
            <family val="2"/>
          </rPr>
          <t>$15.4 m: one-time pre-tax restructuring charge 
Comprises of :
$5.8 m: Information &amp; Media
$5.6 m: McGraw-Hill Education
$4.1m: Corporate</t>
        </r>
        <r>
          <rPr>
            <sz val="8"/>
            <color indexed="81"/>
            <rFont val="Tahoma"/>
            <family val="2"/>
          </rPr>
          <t xml:space="preserve">
Source: Exhibit 2,  8K-3Q 2007
 </t>
        </r>
      </text>
    </comment>
    <comment ref="J224" authorId="3">
      <text>
        <r>
          <rPr>
            <sz val="8"/>
            <color indexed="81"/>
            <rFont val="Tahoma"/>
            <family val="2"/>
          </rPr>
          <t>$31.5m: one-time pre-tax restructuring charge 
Comprises of :
$8.7 m: Information &amp; Media
$16.0 m: McGraw-Hill Education
$6.8 m: Corporate</t>
        </r>
        <r>
          <rPr>
            <sz val="8"/>
            <color indexed="81"/>
            <rFont val="Tahoma"/>
            <family val="2"/>
          </rPr>
          <t xml:space="preserve">
Source: Exhibit 2,  8K-4Q 2007
 </t>
        </r>
      </text>
    </comment>
    <comment ref="O224" authorId="3">
      <text>
        <r>
          <rPr>
            <sz val="8"/>
            <color indexed="81"/>
            <rFont val="Tahoma"/>
            <family val="2"/>
          </rPr>
          <t xml:space="preserve">$43.7m: pre-tax restructuring charge 
Comprises of :
$16.3m: McGraw-Hill Education
$18.8m: Financial Services
$6.7m: Information &amp; Media
$1.9m: General Corporate
</t>
        </r>
        <r>
          <rPr>
            <sz val="8"/>
            <color indexed="81"/>
            <rFont val="Tahoma"/>
            <family val="2"/>
          </rPr>
          <t xml:space="preserve">
Source: Exhibit 2,8K-4Q 2008</t>
        </r>
      </text>
    </comment>
    <comment ref="R224" authorId="3">
      <text>
        <r>
          <rPr>
            <sz val="8"/>
            <color indexed="81"/>
            <rFont val="Tahoma"/>
            <family val="2"/>
          </rPr>
          <t xml:space="preserve">$23.7 m:  pre-tax restructuring charge 
Comprises of :
$8.5m :McGraw-Hill Education
$15.2m:Financial Services
</t>
        </r>
        <r>
          <rPr>
            <sz val="8"/>
            <color indexed="81"/>
            <rFont val="Tahoma"/>
            <family val="2"/>
          </rPr>
          <t xml:space="preserve">
Source : Exhibit 2, 8K-3Q 2009</t>
        </r>
      </text>
    </comment>
    <comment ref="S224" authorId="3">
      <text>
        <r>
          <rPr>
            <sz val="8"/>
            <color indexed="81"/>
            <rFont val="Tahoma"/>
            <family val="2"/>
          </rPr>
          <t xml:space="preserve">$23.4 m:  pre-tax restructuring  
Comprises of :
$ 5.4m :McGraw-Hill Education
$4.1m:Financial Services
$13.9m: Information &amp; Media
</t>
        </r>
        <r>
          <rPr>
            <sz val="8"/>
            <color indexed="81"/>
            <rFont val="Tahoma"/>
            <family val="2"/>
          </rPr>
          <t xml:space="preserve">
Source : Exhibit 2, 8K-3Q 2009</t>
        </r>
      </text>
    </comment>
    <comment ref="T224" authorId="3">
      <text>
        <r>
          <rPr>
            <sz val="8"/>
            <color indexed="81"/>
            <rFont val="Tahoma"/>
            <family val="2"/>
          </rPr>
          <t>$73.4 :pre-tax restructuring charge 
Comprises of :
$25.3m :McGraw-Hill Education
$25.9m :Financial Services 
$19.2m : Information &amp; Media
$3.0 m: General Corporate</t>
        </r>
        <r>
          <rPr>
            <sz val="8"/>
            <color indexed="81"/>
            <rFont val="Tahoma"/>
            <family val="2"/>
          </rPr>
          <t xml:space="preserve">
Source : Exhibit 2, 8K-4Q 2009</t>
        </r>
      </text>
    </comment>
    <comment ref="W224" authorId="3">
      <text>
        <r>
          <rPr>
            <sz val="8"/>
            <color indexed="81"/>
            <rFont val="Tahoma"/>
            <family val="2"/>
          </rPr>
          <t>$15.2m:  pre-tax restructuring charge 
Comprises of : 
$11.6m: McGraw-Hill Education
$-0.4m: Financial Services
$4m: Information &amp; Media,
Source : Exhibit 2, 8K-2Q 2010</t>
        </r>
      </text>
    </comment>
    <comment ref="Y224" authorId="3">
      <text>
        <r>
          <rPr>
            <sz val="8"/>
            <color indexed="81"/>
            <rFont val="Tahoma"/>
            <family val="2"/>
          </rPr>
          <t xml:space="preserve">$6.6 m: $10.5 million gain on the sale of BusinessWeek and a net restructuring charge of $4.0 million 
$11.6m: Net restructuring charge at McGraw-Hill Education segment 
</t>
        </r>
        <r>
          <rPr>
            <sz val="8"/>
            <color indexed="81"/>
            <rFont val="Tahoma"/>
            <family val="2"/>
          </rPr>
          <t xml:space="preserve">
Source : Exhibit 2, 8K-4Q 2010</t>
        </r>
      </text>
    </comment>
    <comment ref="AD224" authorId="3">
      <text>
        <r>
          <rPr>
            <sz val="8"/>
            <color indexed="81"/>
            <rFont val="Tahoma"/>
            <family val="2"/>
          </rPr>
          <t xml:space="preserve">$10.6m: Restructuring charge  Information &amp; Media segment in Q4 2010 
$15.6 m: Charge for subleasing excess space in New York facilities in Q4 2010 
</t>
        </r>
        <r>
          <rPr>
            <sz val="8"/>
            <color indexed="81"/>
            <rFont val="Tahoma"/>
            <family val="2"/>
          </rPr>
          <t xml:space="preserve">
Source : Exhibit 5, 8K-4Q 2010
</t>
        </r>
      </text>
    </comment>
    <comment ref="BG230" authorId="1">
      <text>
        <r>
          <rPr>
            <b/>
            <sz val="9"/>
            <color indexed="81"/>
            <rFont val="Tahoma"/>
            <family val="2"/>
          </rPr>
          <t>Goldstein, Jeff (Research):</t>
        </r>
        <r>
          <rPr>
            <sz val="9"/>
            <color indexed="81"/>
            <rFont val="Tahoma"/>
            <family val="2"/>
          </rPr>
          <t xml:space="preserve">
Adjusted for JD Power gain</t>
        </r>
      </text>
    </comment>
    <comment ref="BH230" authorId="1">
      <text>
        <r>
          <rPr>
            <b/>
            <sz val="9"/>
            <color indexed="81"/>
            <rFont val="Tahoma"/>
            <family val="2"/>
          </rPr>
          <t>Goldstein, Jeff (Research):</t>
        </r>
        <r>
          <rPr>
            <sz val="9"/>
            <color indexed="81"/>
            <rFont val="Tahoma"/>
            <family val="2"/>
          </rPr>
          <t xml:space="preserve">
Adjusted to reflect gain on disposition from J.D. Power</t>
        </r>
      </text>
    </comment>
    <comment ref="F247" authorId="3">
      <text>
        <r>
          <rPr>
            <sz val="8"/>
            <color indexed="81"/>
            <rFont val="Tahoma"/>
            <family val="2"/>
          </rPr>
          <t>Includes: Repatriation of earnings</t>
        </r>
        <r>
          <rPr>
            <sz val="8"/>
            <color indexed="81"/>
            <rFont val="Tahoma"/>
            <family val="2"/>
          </rPr>
          <t xml:space="preserve">
</t>
        </r>
      </text>
    </comment>
    <comment ref="BD249" authorId="2">
      <text>
        <r>
          <rPr>
            <b/>
            <sz val="9"/>
            <color indexed="81"/>
            <rFont val="Tahoma"/>
            <family val="2"/>
          </rPr>
          <t>Galindo, Denny:</t>
        </r>
        <r>
          <rPr>
            <sz val="9"/>
            <color indexed="81"/>
            <rFont val="Tahoma"/>
            <family val="2"/>
          </rPr>
          <t xml:space="preserve">
expect 31.5%</t>
        </r>
      </text>
    </comment>
    <comment ref="BI249" authorId="1">
      <text>
        <r>
          <rPr>
            <b/>
            <sz val="9"/>
            <color indexed="81"/>
            <rFont val="Tahoma"/>
            <family val="2"/>
          </rPr>
          <t>Goldstein, Jeff (Research):</t>
        </r>
        <r>
          <rPr>
            <sz val="9"/>
            <color indexed="81"/>
            <rFont val="Tahoma"/>
            <family val="2"/>
          </rPr>
          <t xml:space="preserve">
Guidance of ~31%</t>
        </r>
      </text>
    </comment>
    <comment ref="BP249" authorId="1">
      <text>
        <r>
          <rPr>
            <b/>
            <sz val="9"/>
            <color indexed="81"/>
            <rFont val="Tahoma"/>
            <family val="2"/>
          </rPr>
          <t>Goldstein, Jeff (Research):</t>
        </r>
        <r>
          <rPr>
            <sz val="9"/>
            <color indexed="81"/>
            <rFont val="Tahoma"/>
            <family val="2"/>
          </rPr>
          <t xml:space="preserve">
Tax rate guidance of 21-22.5%</t>
        </r>
      </text>
    </comment>
    <comment ref="BQ249" authorId="1">
      <text>
        <r>
          <rPr>
            <b/>
            <sz val="9"/>
            <color indexed="81"/>
            <rFont val="Tahoma"/>
            <family val="2"/>
          </rPr>
          <t>Goldstein, Jeff (Research):</t>
        </r>
        <r>
          <rPr>
            <sz val="9"/>
            <color indexed="81"/>
            <rFont val="Tahoma"/>
            <family val="2"/>
          </rPr>
          <t xml:space="preserve">
Tax rate guidance of 21-22.5%</t>
        </r>
      </text>
    </comment>
    <comment ref="BR249" authorId="1">
      <text>
        <r>
          <rPr>
            <b/>
            <sz val="9"/>
            <color indexed="81"/>
            <rFont val="Tahoma"/>
            <family val="2"/>
          </rPr>
          <t>Goldstein, Jeff (Research):</t>
        </r>
        <r>
          <rPr>
            <sz val="9"/>
            <color indexed="81"/>
            <rFont val="Tahoma"/>
            <family val="2"/>
          </rPr>
          <t xml:space="preserve">
Tax rate guidance of 21-22.5%</t>
        </r>
      </text>
    </comment>
    <comment ref="BI252" authorId="1">
      <text>
        <r>
          <rPr>
            <b/>
            <sz val="9"/>
            <color indexed="81"/>
            <rFont val="Tahoma"/>
            <family val="2"/>
          </rPr>
          <t>Goldstein, Jeff (Research):</t>
        </r>
        <r>
          <rPr>
            <sz val="9"/>
            <color indexed="81"/>
            <rFont val="Tahoma"/>
            <family val="2"/>
          </rPr>
          <t xml:space="preserve">
120M guidance (3Q16)</t>
        </r>
      </text>
    </comment>
    <comment ref="BN252" authorId="1">
      <text>
        <r>
          <rPr>
            <b/>
            <sz val="9"/>
            <color indexed="81"/>
            <rFont val="Tahoma"/>
            <family val="2"/>
          </rPr>
          <t>Goldstein, Jeff (Research):</t>
        </r>
        <r>
          <rPr>
            <sz val="9"/>
            <color indexed="81"/>
            <rFont val="Tahoma"/>
            <family val="2"/>
          </rPr>
          <t xml:space="preserve">
Guidance of $125M (as of 3Q17 earnings)
Guidance of 125-140M (as of 2Q17)</t>
        </r>
      </text>
    </comment>
    <comment ref="BS252" authorId="1">
      <text>
        <r>
          <rPr>
            <b/>
            <sz val="9"/>
            <color indexed="81"/>
            <rFont val="Tahoma"/>
            <family val="2"/>
          </rPr>
          <t>Goldstein, Jeff (Research):</t>
        </r>
        <r>
          <rPr>
            <sz val="9"/>
            <color indexed="81"/>
            <rFont val="Tahoma"/>
            <family val="2"/>
          </rPr>
          <t xml:space="preserve">
2018 guidance of ~$125M (as of 4Q17 earnings)</t>
        </r>
      </text>
    </comment>
    <comment ref="BX252" authorId="1">
      <text>
        <r>
          <rPr>
            <b/>
            <sz val="9"/>
            <color indexed="81"/>
            <rFont val="Tahoma"/>
            <family val="2"/>
          </rPr>
          <t>Goldstein, Jeff (Research):</t>
        </r>
        <r>
          <rPr>
            <sz val="9"/>
            <color indexed="81"/>
            <rFont val="Tahoma"/>
            <family val="2"/>
          </rPr>
          <t xml:space="preserve">
LT guidance of $125M of capex. Disclosed in 2Q17 earnings call.</t>
        </r>
      </text>
    </comment>
    <comment ref="BY252" authorId="1">
      <text>
        <r>
          <rPr>
            <b/>
            <sz val="9"/>
            <color indexed="81"/>
            <rFont val="Tahoma"/>
            <family val="2"/>
          </rPr>
          <t>Goldstein, Jeff (Research):</t>
        </r>
        <r>
          <rPr>
            <sz val="9"/>
            <color indexed="81"/>
            <rFont val="Tahoma"/>
            <family val="2"/>
          </rPr>
          <t xml:space="preserve">
LT guidance of $125M of capex. Disclosed in 2Q17 earnings call.</t>
        </r>
      </text>
    </comment>
    <comment ref="BZ252" authorId="1">
      <text>
        <r>
          <rPr>
            <b/>
            <sz val="9"/>
            <color indexed="81"/>
            <rFont val="Tahoma"/>
            <family val="2"/>
          </rPr>
          <t>Goldstein, Jeff (Research):</t>
        </r>
        <r>
          <rPr>
            <sz val="9"/>
            <color indexed="81"/>
            <rFont val="Tahoma"/>
            <family val="2"/>
          </rPr>
          <t xml:space="preserve">
LT guidance of $125M of capex. Disclosed in 2Q17 earnings call.</t>
        </r>
      </text>
    </comment>
    <comment ref="CA252" authorId="1">
      <text>
        <r>
          <rPr>
            <b/>
            <sz val="9"/>
            <color indexed="81"/>
            <rFont val="Tahoma"/>
            <family val="2"/>
          </rPr>
          <t>Goldstein, Jeff (Research):</t>
        </r>
        <r>
          <rPr>
            <sz val="9"/>
            <color indexed="81"/>
            <rFont val="Tahoma"/>
            <family val="2"/>
          </rPr>
          <t xml:space="preserve">
LT guidance of $125M of capex. Disclosed in 2Q17 earnings call.</t>
        </r>
      </text>
    </comment>
    <comment ref="BB260" authorId="1">
      <text>
        <r>
          <rPr>
            <b/>
            <sz val="9"/>
            <color indexed="81"/>
            <rFont val="Tahoma"/>
            <family val="2"/>
          </rPr>
          <t>Goldstein, Jeff (Research):</t>
        </r>
        <r>
          <rPr>
            <sz val="9"/>
            <color indexed="81"/>
            <rFont val="Tahoma"/>
            <family val="2"/>
          </rPr>
          <t xml:space="preserve">
Assume ~60% based on VRSK acquisition of WoodMac </t>
        </r>
      </text>
    </comment>
    <comment ref="BN293" authorId="1">
      <text>
        <r>
          <rPr>
            <b/>
            <sz val="9"/>
            <color indexed="81"/>
            <rFont val="Tahoma"/>
            <family val="2"/>
          </rPr>
          <t>Goldstein, Jeff (Research):</t>
        </r>
        <r>
          <rPr>
            <sz val="9"/>
            <color indexed="81"/>
            <rFont val="Tahoma"/>
            <family val="2"/>
          </rPr>
          <t xml:space="preserve">
Guidance of $145M (As of 3Q17 Earnings)</t>
        </r>
      </text>
    </comment>
    <comment ref="BB296" authorId="1">
      <text>
        <r>
          <rPr>
            <b/>
            <sz val="9"/>
            <color indexed="81"/>
            <rFont val="Tahoma"/>
            <family val="2"/>
          </rPr>
          <t>Goldstein, Jeff (Research):</t>
        </r>
        <r>
          <rPr>
            <sz val="9"/>
            <color indexed="81"/>
            <rFont val="Tahoma"/>
            <family val="2"/>
          </rPr>
          <t xml:space="preserve">
New debt raised on 8/18</t>
        </r>
      </text>
    </comment>
    <comment ref="BF296" authorId="1">
      <text>
        <r>
          <rPr>
            <b/>
            <sz val="9"/>
            <color indexed="81"/>
            <rFont val="Tahoma"/>
            <family val="2"/>
          </rPr>
          <t>Goldstein, Jeff (Research):</t>
        </r>
        <r>
          <rPr>
            <sz val="9"/>
            <color indexed="81"/>
            <rFont val="Tahoma"/>
            <family val="2"/>
          </rPr>
          <t xml:space="preserve">
Assumes short term debt has 2% interest rate</t>
        </r>
      </text>
    </comment>
    <comment ref="BG309" authorId="1">
      <text>
        <r>
          <rPr>
            <b/>
            <sz val="9"/>
            <color indexed="81"/>
            <rFont val="Tahoma"/>
            <family val="2"/>
          </rPr>
          <t>Goldstein, Jeff (Research):</t>
        </r>
        <r>
          <rPr>
            <sz val="9"/>
            <color indexed="81"/>
            <rFont val="Tahoma"/>
            <family val="2"/>
          </rPr>
          <t xml:space="preserve">
Average September price when ASR was done</t>
        </r>
      </text>
    </comment>
    <comment ref="AN315" authorId="4">
      <text>
        <r>
          <rPr>
            <sz val="8"/>
            <color indexed="81"/>
            <rFont val="Tahoma"/>
            <family val="2"/>
          </rPr>
          <t>Closing price as on 12/31/2012
Source: Yahoo Finance</t>
        </r>
        <r>
          <rPr>
            <sz val="8"/>
            <color indexed="81"/>
            <rFont val="Tahoma"/>
            <family val="2"/>
          </rPr>
          <t xml:space="preserve">
</t>
        </r>
      </text>
    </comment>
    <comment ref="AP315" authorId="4">
      <text>
        <r>
          <rPr>
            <sz val="8"/>
            <color indexed="81"/>
            <rFont val="Tahoma"/>
            <family val="2"/>
          </rPr>
          <t>Closing price as on 03/28/2013
Source: Yahoo Finance</t>
        </r>
        <r>
          <rPr>
            <sz val="8"/>
            <color indexed="81"/>
            <rFont val="Tahoma"/>
            <family val="2"/>
          </rPr>
          <t xml:space="preserve">
</t>
        </r>
      </text>
    </comment>
    <comment ref="AQ315" authorId="4">
      <text>
        <r>
          <rPr>
            <sz val="8"/>
            <color indexed="81"/>
            <rFont val="Tahoma"/>
            <family val="2"/>
          </rPr>
          <t>Closing price as on 06/28/2013
Source: Yahoo Finance</t>
        </r>
        <r>
          <rPr>
            <sz val="8"/>
            <color indexed="81"/>
            <rFont val="Tahoma"/>
            <family val="2"/>
          </rPr>
          <t xml:space="preserve">
</t>
        </r>
      </text>
    </comment>
    <comment ref="AR315" authorId="4">
      <text>
        <r>
          <rPr>
            <sz val="8"/>
            <color indexed="81"/>
            <rFont val="Tahoma"/>
            <family val="2"/>
          </rPr>
          <t>Closing price as on 09/30/2013
Source: Yahoo Finance</t>
        </r>
        <r>
          <rPr>
            <sz val="8"/>
            <color indexed="81"/>
            <rFont val="Tahoma"/>
            <family val="2"/>
          </rPr>
          <t xml:space="preserve">
</t>
        </r>
      </text>
    </comment>
    <comment ref="AS315" authorId="4">
      <text>
        <r>
          <rPr>
            <sz val="8"/>
            <color indexed="81"/>
            <rFont val="Tahoma"/>
            <family val="2"/>
          </rPr>
          <t>Closing price as on 12/31/2013
Source: Yahoo Finance</t>
        </r>
        <r>
          <rPr>
            <sz val="8"/>
            <color indexed="81"/>
            <rFont val="Tahoma"/>
            <family val="2"/>
          </rPr>
          <t xml:space="preserve">
</t>
        </r>
      </text>
    </comment>
    <comment ref="AU315" authorId="4">
      <text>
        <r>
          <rPr>
            <sz val="8"/>
            <color indexed="81"/>
            <rFont val="Tahoma"/>
            <family val="2"/>
          </rPr>
          <t>Closing price as on 03/31/2014
Source: Yahoo Finance</t>
        </r>
        <r>
          <rPr>
            <sz val="8"/>
            <color indexed="81"/>
            <rFont val="Tahoma"/>
            <family val="2"/>
          </rPr>
          <t xml:space="preserve">
</t>
        </r>
      </text>
    </comment>
    <comment ref="AV315" authorId="4">
      <text>
        <r>
          <rPr>
            <sz val="8"/>
            <color indexed="81"/>
            <rFont val="Tahoma"/>
            <family val="2"/>
          </rPr>
          <t>Closing price as on 06/30/2014
Source: Yahoo Finance</t>
        </r>
        <r>
          <rPr>
            <sz val="8"/>
            <color indexed="81"/>
            <rFont val="Tahoma"/>
            <family val="2"/>
          </rPr>
          <t xml:space="preserve">
</t>
        </r>
      </text>
    </comment>
    <comment ref="BG315" authorId="1">
      <text>
        <r>
          <rPr>
            <b/>
            <sz val="9"/>
            <color indexed="81"/>
            <rFont val="Tahoma"/>
            <family val="2"/>
          </rPr>
          <t>Goldstein, Jeff (Research):</t>
        </r>
        <r>
          <rPr>
            <sz val="9"/>
            <color indexed="81"/>
            <rFont val="Tahoma"/>
            <family val="2"/>
          </rPr>
          <t xml:space="preserve">
Average September price when ASR was done</t>
        </r>
      </text>
    </comment>
    <comment ref="BH315" authorId="1">
      <text>
        <r>
          <rPr>
            <b/>
            <sz val="9"/>
            <color indexed="81"/>
            <rFont val="Tahoma"/>
            <family val="2"/>
          </rPr>
          <t>Goldstein, Jeff (Research):</t>
        </r>
        <r>
          <rPr>
            <sz val="9"/>
            <color indexed="81"/>
            <rFont val="Tahoma"/>
            <family val="2"/>
          </rPr>
          <t xml:space="preserve">
Average 4Q price</t>
        </r>
      </text>
    </comment>
    <comment ref="BJ315" authorId="1">
      <text>
        <r>
          <rPr>
            <b/>
            <sz val="9"/>
            <color indexed="81"/>
            <rFont val="Tahoma"/>
            <family val="2"/>
          </rPr>
          <t>Goldstein, Jeff (Research):</t>
        </r>
        <r>
          <rPr>
            <sz val="9"/>
            <color indexed="81"/>
            <rFont val="Tahoma"/>
            <family val="2"/>
          </rPr>
          <t xml:space="preserve">
Average 1Q price</t>
        </r>
      </text>
    </comment>
    <comment ref="BK315" authorId="1">
      <text>
        <r>
          <rPr>
            <b/>
            <sz val="9"/>
            <color indexed="81"/>
            <rFont val="Tahoma"/>
            <family val="2"/>
          </rPr>
          <t>Goldstein, Jeff (Research):</t>
        </r>
        <r>
          <rPr>
            <sz val="9"/>
            <color indexed="81"/>
            <rFont val="Tahoma"/>
            <family val="2"/>
          </rPr>
          <t xml:space="preserve">
2Q ending period price</t>
        </r>
      </text>
    </comment>
    <comment ref="BL315" authorId="1">
      <text>
        <r>
          <rPr>
            <b/>
            <sz val="9"/>
            <color indexed="81"/>
            <rFont val="Tahoma"/>
            <family val="2"/>
          </rPr>
          <t>Goldstein, Jeff (Research):</t>
        </r>
        <r>
          <rPr>
            <sz val="9"/>
            <color indexed="81"/>
            <rFont val="Tahoma"/>
            <family val="2"/>
          </rPr>
          <t xml:space="preserve">
3Q ending price</t>
        </r>
      </text>
    </comment>
    <comment ref="BM315" authorId="1">
      <text>
        <r>
          <rPr>
            <b/>
            <sz val="9"/>
            <color indexed="81"/>
            <rFont val="Tahoma"/>
            <family val="2"/>
          </rPr>
          <t>Goldstein, Jeff (Research):</t>
        </r>
        <r>
          <rPr>
            <sz val="9"/>
            <color indexed="81"/>
            <rFont val="Tahoma"/>
            <family val="2"/>
          </rPr>
          <t xml:space="preserve">
12/31 price</t>
        </r>
      </text>
    </comment>
    <comment ref="AY347" authorId="1">
      <text>
        <r>
          <rPr>
            <b/>
            <sz val="9"/>
            <color indexed="81"/>
            <rFont val="Tahoma"/>
            <family val="2"/>
          </rPr>
          <t>Goldstein, Jeff (Research):</t>
        </r>
        <r>
          <rPr>
            <sz val="9"/>
            <color indexed="81"/>
            <rFont val="Tahoma"/>
            <family val="2"/>
          </rPr>
          <t xml:space="preserve">
Expect $1B in FCF (From 14Q2 transcript)</t>
        </r>
      </text>
    </comment>
  </commentList>
</comments>
</file>

<file path=xl/comments2.xml><?xml version="1.0" encoding="utf-8"?>
<comments xmlns="http://schemas.openxmlformats.org/spreadsheetml/2006/main">
  <authors>
    <author>kapltoni</author>
    <author>sinrahul</author>
    <author>Goldstein, Jeff (Research)</author>
    <author>Galindo, Denny</author>
    <author>amitansv</author>
    <author>khushbup</author>
    <author>ancsan</author>
  </authors>
  <commentList>
    <comment ref="B12" authorId="0">
      <text>
        <r>
          <rPr>
            <b/>
            <sz val="8"/>
            <color indexed="81"/>
            <rFont val="Tahoma"/>
            <family val="2"/>
          </rPr>
          <t>kapltoni:</t>
        </r>
        <r>
          <rPr>
            <sz val="8"/>
            <color indexed="81"/>
            <rFont val="Tahoma"/>
            <family val="2"/>
          </rPr>
          <t xml:space="preserve">
includes CapIQ and Indices as well as ratings</t>
        </r>
      </text>
    </comment>
    <comment ref="C12" authorId="0">
      <text>
        <r>
          <rPr>
            <b/>
            <sz val="8"/>
            <color indexed="81"/>
            <rFont val="Tahoma"/>
            <family val="2"/>
          </rPr>
          <t>kapltoni:</t>
        </r>
        <r>
          <rPr>
            <sz val="8"/>
            <color indexed="81"/>
            <rFont val="Tahoma"/>
            <family val="2"/>
          </rPr>
          <t xml:space="preserve">
includes CapIQ and Indices as well as ratings</t>
        </r>
      </text>
    </comment>
    <comment ref="D12" authorId="0">
      <text>
        <r>
          <rPr>
            <b/>
            <sz val="8"/>
            <color indexed="81"/>
            <rFont val="Tahoma"/>
            <family val="2"/>
          </rPr>
          <t>kapltoni:</t>
        </r>
        <r>
          <rPr>
            <sz val="8"/>
            <color indexed="81"/>
            <rFont val="Tahoma"/>
            <family val="2"/>
          </rPr>
          <t xml:space="preserve">
includes CapIQ and Indices as well as ratings</t>
        </r>
      </text>
    </comment>
    <comment ref="E12" authorId="0">
      <text>
        <r>
          <rPr>
            <b/>
            <sz val="8"/>
            <color indexed="81"/>
            <rFont val="Tahoma"/>
            <family val="2"/>
          </rPr>
          <t>kapltoni:</t>
        </r>
        <r>
          <rPr>
            <sz val="8"/>
            <color indexed="81"/>
            <rFont val="Tahoma"/>
            <family val="2"/>
          </rPr>
          <t xml:space="preserve">
includes CapIQ and Indices as well as ratings</t>
        </r>
      </text>
    </comment>
    <comment ref="F12" authorId="0">
      <text>
        <r>
          <rPr>
            <b/>
            <sz val="8"/>
            <color indexed="81"/>
            <rFont val="Tahoma"/>
            <family val="2"/>
          </rPr>
          <t>kapltoni:</t>
        </r>
        <r>
          <rPr>
            <sz val="8"/>
            <color indexed="81"/>
            <rFont val="Tahoma"/>
            <family val="2"/>
          </rPr>
          <t xml:space="preserve">
includes CapIQ and Indices as well as ratings</t>
        </r>
      </text>
    </comment>
    <comment ref="K13" authorId="1">
      <text>
        <r>
          <rPr>
            <sz val="8"/>
            <color indexed="81"/>
            <rFont val="Tahoma"/>
            <family val="2"/>
          </rPr>
          <t xml:space="preserve">2005 includes Indices and CapIQ
</t>
        </r>
        <r>
          <rPr>
            <sz val="8"/>
            <color indexed="81"/>
            <rFont val="Tahoma"/>
            <family val="2"/>
          </rPr>
          <t xml:space="preserve">
</t>
        </r>
      </text>
    </comment>
    <comment ref="AM13" authorId="0">
      <text>
        <r>
          <rPr>
            <b/>
            <sz val="8"/>
            <color indexed="81"/>
            <rFont val="Tahoma"/>
            <family val="2"/>
          </rPr>
          <t>kapltoni:</t>
        </r>
        <r>
          <rPr>
            <sz val="8"/>
            <color indexed="81"/>
            <rFont val="Tahoma"/>
            <family val="2"/>
          </rPr>
          <t xml:space="preserve">
72% increase in US corp issuance and 126% increase in European corp issuance, 9% incr public finance, 65% in US structured finance, 33% decline in Euro struct fin</t>
        </r>
      </text>
    </comment>
    <comment ref="BA13" authorId="2">
      <text>
        <r>
          <rPr>
            <b/>
            <sz val="9"/>
            <color indexed="81"/>
            <rFont val="Tahoma"/>
            <family val="2"/>
          </rPr>
          <t>Goldstein, Jeff (Research):</t>
        </r>
        <r>
          <rPr>
            <sz val="9"/>
            <color indexed="81"/>
            <rFont val="Tahoma"/>
            <family val="2"/>
          </rPr>
          <t xml:space="preserve">
Forex impact of -4%.
15% y/y increase in U.S. issuance
33% y/y decrease in European issuance</t>
        </r>
      </text>
    </comment>
    <comment ref="AM15" authorId="0">
      <text>
        <r>
          <rPr>
            <b/>
            <sz val="8"/>
            <color indexed="81"/>
            <rFont val="Tahoma"/>
            <family val="2"/>
          </rPr>
          <t>kapltoni:</t>
        </r>
        <r>
          <rPr>
            <sz val="8"/>
            <color indexed="81"/>
            <rFont val="Tahoma"/>
            <family val="2"/>
          </rPr>
          <t xml:space="preserve">
incl DJ, ex DJ -7% due to high volumes of exchange traded derivative contracts in Q311</t>
        </r>
      </text>
    </comment>
    <comment ref="BA15" authorId="2">
      <text>
        <r>
          <rPr>
            <b/>
            <sz val="9"/>
            <color indexed="81"/>
            <rFont val="Tahoma"/>
            <family val="2"/>
          </rPr>
          <t>Goldstein, Jeff (Research):</t>
        </r>
        <r>
          <rPr>
            <sz val="9"/>
            <color indexed="81"/>
            <rFont val="Tahoma"/>
            <family val="2"/>
          </rPr>
          <t xml:space="preserve">
ETF, derivative, mutual fund and data license revenue all increased
• Products based on S&amp;P DJI smart beta indices increased 55% year‐over‐year to $133.6 billion
• Inflows into U.S. equity ETFs declined
• Launched flagship S&amp;P 500 Bond Index</t>
        </r>
      </text>
    </comment>
    <comment ref="AA16" authorId="2">
      <text>
        <r>
          <rPr>
            <b/>
            <sz val="9"/>
            <color indexed="81"/>
            <rFont val="Tahoma"/>
            <family val="2"/>
          </rPr>
          <t>Goldstein, Jeff (Research):</t>
        </r>
        <r>
          <rPr>
            <sz val="9"/>
            <color indexed="81"/>
            <rFont val="Tahoma"/>
            <family val="2"/>
          </rPr>
          <t xml:space="preserve">
Includes J.D. Power</t>
        </r>
      </text>
    </comment>
    <comment ref="AB16" authorId="2">
      <text>
        <r>
          <rPr>
            <b/>
            <sz val="9"/>
            <color indexed="81"/>
            <rFont val="Tahoma"/>
            <family val="2"/>
          </rPr>
          <t>Goldstein, Jeff (Research):</t>
        </r>
        <r>
          <rPr>
            <sz val="9"/>
            <color indexed="81"/>
            <rFont val="Tahoma"/>
            <family val="2"/>
          </rPr>
          <t xml:space="preserve">
Includes J.D. Power</t>
        </r>
      </text>
    </comment>
    <comment ref="AC16" authorId="2">
      <text>
        <r>
          <rPr>
            <b/>
            <sz val="9"/>
            <color indexed="81"/>
            <rFont val="Tahoma"/>
            <family val="2"/>
          </rPr>
          <t>Goldstein, Jeff (Research):</t>
        </r>
        <r>
          <rPr>
            <sz val="9"/>
            <color indexed="81"/>
            <rFont val="Tahoma"/>
            <family val="2"/>
          </rPr>
          <t xml:space="preserve">
Includes J.D. Power</t>
        </r>
      </text>
    </comment>
    <comment ref="AD16" authorId="2">
      <text>
        <r>
          <rPr>
            <b/>
            <sz val="9"/>
            <color indexed="81"/>
            <rFont val="Tahoma"/>
            <family val="2"/>
          </rPr>
          <t>Goldstein, Jeff (Research):</t>
        </r>
        <r>
          <rPr>
            <sz val="9"/>
            <color indexed="81"/>
            <rFont val="Tahoma"/>
            <family val="2"/>
          </rPr>
          <t xml:space="preserve">
Includes J.D. Power</t>
        </r>
      </text>
    </comment>
    <comment ref="AE16" authorId="2">
      <text>
        <r>
          <rPr>
            <b/>
            <sz val="9"/>
            <color indexed="81"/>
            <rFont val="Tahoma"/>
            <family val="2"/>
          </rPr>
          <t>Goldstein, Jeff (Research):</t>
        </r>
        <r>
          <rPr>
            <sz val="9"/>
            <color indexed="81"/>
            <rFont val="Tahoma"/>
            <family val="2"/>
          </rPr>
          <t xml:space="preserve">
Includes J.D. Power</t>
        </r>
      </text>
    </comment>
    <comment ref="AF16" authorId="2">
      <text>
        <r>
          <rPr>
            <b/>
            <sz val="9"/>
            <color indexed="81"/>
            <rFont val="Tahoma"/>
            <family val="2"/>
          </rPr>
          <t>Goldstein, Jeff (Research):</t>
        </r>
        <r>
          <rPr>
            <sz val="9"/>
            <color indexed="81"/>
            <rFont val="Tahoma"/>
            <family val="2"/>
          </rPr>
          <t xml:space="preserve">
Includes J.D. Power</t>
        </r>
      </text>
    </comment>
    <comment ref="AG16" authorId="2">
      <text>
        <r>
          <rPr>
            <b/>
            <sz val="9"/>
            <color indexed="81"/>
            <rFont val="Tahoma"/>
            <family val="2"/>
          </rPr>
          <t>Goldstein, Jeff (Research):</t>
        </r>
        <r>
          <rPr>
            <sz val="9"/>
            <color indexed="81"/>
            <rFont val="Tahoma"/>
            <family val="2"/>
          </rPr>
          <t xml:space="preserve">
Includes J.D. Power</t>
        </r>
      </text>
    </comment>
    <comment ref="AH16" authorId="2">
      <text>
        <r>
          <rPr>
            <b/>
            <sz val="9"/>
            <color indexed="81"/>
            <rFont val="Tahoma"/>
            <family val="2"/>
          </rPr>
          <t>Goldstein, Jeff (Research):</t>
        </r>
        <r>
          <rPr>
            <sz val="9"/>
            <color indexed="81"/>
            <rFont val="Tahoma"/>
            <family val="2"/>
          </rPr>
          <t xml:space="preserve">
Includes J.D. Power</t>
        </r>
      </text>
    </comment>
    <comment ref="AI16" authorId="2">
      <text>
        <r>
          <rPr>
            <b/>
            <sz val="9"/>
            <color indexed="81"/>
            <rFont val="Tahoma"/>
            <family val="2"/>
          </rPr>
          <t>Goldstein, Jeff (Research):</t>
        </r>
        <r>
          <rPr>
            <sz val="9"/>
            <color indexed="81"/>
            <rFont val="Tahoma"/>
            <family val="2"/>
          </rPr>
          <t xml:space="preserve">
Includes J.D. Power</t>
        </r>
      </text>
    </comment>
    <comment ref="AJ16" authorId="2">
      <text>
        <r>
          <rPr>
            <b/>
            <sz val="9"/>
            <color indexed="81"/>
            <rFont val="Tahoma"/>
            <family val="2"/>
          </rPr>
          <t>Goldstein, Jeff (Research):</t>
        </r>
        <r>
          <rPr>
            <sz val="9"/>
            <color indexed="81"/>
            <rFont val="Tahoma"/>
            <family val="2"/>
          </rPr>
          <t xml:space="preserve">
Includes J.D. Power</t>
        </r>
      </text>
    </comment>
    <comment ref="AK16" authorId="2">
      <text>
        <r>
          <rPr>
            <b/>
            <sz val="9"/>
            <color indexed="81"/>
            <rFont val="Tahoma"/>
            <family val="2"/>
          </rPr>
          <t>Goldstein, Jeff (Research):</t>
        </r>
        <r>
          <rPr>
            <sz val="9"/>
            <color indexed="81"/>
            <rFont val="Tahoma"/>
            <family val="2"/>
          </rPr>
          <t xml:space="preserve">
Includes J.D. Power</t>
        </r>
      </text>
    </comment>
    <comment ref="AL16" authorId="2">
      <text>
        <r>
          <rPr>
            <b/>
            <sz val="9"/>
            <color indexed="81"/>
            <rFont val="Tahoma"/>
            <family val="2"/>
          </rPr>
          <t>Goldstein, Jeff (Research):</t>
        </r>
        <r>
          <rPr>
            <sz val="9"/>
            <color indexed="81"/>
            <rFont val="Tahoma"/>
            <family val="2"/>
          </rPr>
          <t xml:space="preserve">
Includes J.D. Power</t>
        </r>
      </text>
    </comment>
    <comment ref="AM16" authorId="2">
      <text>
        <r>
          <rPr>
            <b/>
            <sz val="9"/>
            <color indexed="81"/>
            <rFont val="Tahoma"/>
            <family val="2"/>
          </rPr>
          <t>Goldstein, Jeff (Research):</t>
        </r>
        <r>
          <rPr>
            <sz val="9"/>
            <color indexed="81"/>
            <rFont val="Tahoma"/>
            <family val="2"/>
          </rPr>
          <t xml:space="preserve">
Includes J.D. Power</t>
        </r>
      </text>
    </comment>
    <comment ref="AN16" authorId="2">
      <text>
        <r>
          <rPr>
            <b/>
            <sz val="9"/>
            <color indexed="81"/>
            <rFont val="Tahoma"/>
            <family val="2"/>
          </rPr>
          <t>Goldstein, Jeff (Research):</t>
        </r>
        <r>
          <rPr>
            <sz val="9"/>
            <color indexed="81"/>
            <rFont val="Tahoma"/>
            <family val="2"/>
          </rPr>
          <t xml:space="preserve">
Includes J.D. Power</t>
        </r>
      </text>
    </comment>
    <comment ref="AO16" authorId="2">
      <text>
        <r>
          <rPr>
            <b/>
            <sz val="9"/>
            <color indexed="81"/>
            <rFont val="Tahoma"/>
            <family val="2"/>
          </rPr>
          <t>Goldstein, Jeff (Research):</t>
        </r>
        <r>
          <rPr>
            <sz val="9"/>
            <color indexed="81"/>
            <rFont val="Tahoma"/>
            <family val="2"/>
          </rPr>
          <t xml:space="preserve">
Includes J.D. Power</t>
        </r>
      </text>
    </comment>
    <comment ref="AP16" authorId="2">
      <text>
        <r>
          <rPr>
            <b/>
            <sz val="9"/>
            <color indexed="81"/>
            <rFont val="Tahoma"/>
            <family val="2"/>
          </rPr>
          <t>Goldstein, Jeff (Research):</t>
        </r>
        <r>
          <rPr>
            <sz val="9"/>
            <color indexed="81"/>
            <rFont val="Tahoma"/>
            <family val="2"/>
          </rPr>
          <t xml:space="preserve">
Includes J.D. Power</t>
        </r>
      </text>
    </comment>
    <comment ref="AQ16" authorId="2">
      <text>
        <r>
          <rPr>
            <b/>
            <sz val="9"/>
            <color indexed="81"/>
            <rFont val="Tahoma"/>
            <family val="2"/>
          </rPr>
          <t>Goldstein, Jeff (Research):</t>
        </r>
        <r>
          <rPr>
            <sz val="9"/>
            <color indexed="81"/>
            <rFont val="Tahoma"/>
            <family val="2"/>
          </rPr>
          <t xml:space="preserve">
Includes J.D. Power</t>
        </r>
      </text>
    </comment>
    <comment ref="AR16" authorId="2">
      <text>
        <r>
          <rPr>
            <b/>
            <sz val="9"/>
            <color indexed="81"/>
            <rFont val="Tahoma"/>
            <family val="2"/>
          </rPr>
          <t>Goldstein, Jeff (Research):</t>
        </r>
        <r>
          <rPr>
            <sz val="9"/>
            <color indexed="81"/>
            <rFont val="Tahoma"/>
            <family val="2"/>
          </rPr>
          <t xml:space="preserve">
Includes J.D. Power</t>
        </r>
      </text>
    </comment>
    <comment ref="AS16" authorId="2">
      <text>
        <r>
          <rPr>
            <b/>
            <sz val="9"/>
            <color indexed="81"/>
            <rFont val="Tahoma"/>
            <family val="2"/>
          </rPr>
          <t>Goldstein, Jeff (Research):</t>
        </r>
        <r>
          <rPr>
            <sz val="9"/>
            <color indexed="81"/>
            <rFont val="Tahoma"/>
            <family val="2"/>
          </rPr>
          <t xml:space="preserve">
Includes J.D. Power</t>
        </r>
      </text>
    </comment>
    <comment ref="AT16" authorId="2">
      <text>
        <r>
          <rPr>
            <b/>
            <sz val="9"/>
            <color indexed="81"/>
            <rFont val="Tahoma"/>
            <family val="2"/>
          </rPr>
          <t>Goldstein, Jeff (Research):</t>
        </r>
        <r>
          <rPr>
            <sz val="9"/>
            <color indexed="81"/>
            <rFont val="Tahoma"/>
            <family val="2"/>
          </rPr>
          <t xml:space="preserve">
Includes J.D. Power</t>
        </r>
      </text>
    </comment>
    <comment ref="AU16" authorId="2">
      <text>
        <r>
          <rPr>
            <b/>
            <sz val="9"/>
            <color indexed="81"/>
            <rFont val="Tahoma"/>
            <family val="2"/>
          </rPr>
          <t>Goldstein, Jeff (Research):</t>
        </r>
        <r>
          <rPr>
            <sz val="9"/>
            <color indexed="81"/>
            <rFont val="Tahoma"/>
            <family val="2"/>
          </rPr>
          <t xml:space="preserve">
Includes J.D. Power</t>
        </r>
      </text>
    </comment>
    <comment ref="AV16" authorId="2">
      <text>
        <r>
          <rPr>
            <b/>
            <sz val="9"/>
            <color indexed="81"/>
            <rFont val="Tahoma"/>
            <family val="2"/>
          </rPr>
          <t>Goldstein, Jeff (Research):</t>
        </r>
        <r>
          <rPr>
            <sz val="9"/>
            <color indexed="81"/>
            <rFont val="Tahoma"/>
            <family val="2"/>
          </rPr>
          <t xml:space="preserve">
Includes J.D. Power</t>
        </r>
      </text>
    </comment>
    <comment ref="AW16" authorId="2">
      <text>
        <r>
          <rPr>
            <b/>
            <sz val="9"/>
            <color indexed="81"/>
            <rFont val="Tahoma"/>
            <family val="2"/>
          </rPr>
          <t>Goldstein, Jeff (Research):</t>
        </r>
        <r>
          <rPr>
            <sz val="9"/>
            <color indexed="81"/>
            <rFont val="Tahoma"/>
            <family val="2"/>
          </rPr>
          <t xml:space="preserve">
Includes J.D. Power</t>
        </r>
      </text>
    </comment>
    <comment ref="AX16" authorId="2">
      <text>
        <r>
          <rPr>
            <b/>
            <sz val="9"/>
            <color indexed="81"/>
            <rFont val="Tahoma"/>
            <family val="2"/>
          </rPr>
          <t>Goldstein, Jeff (Research):</t>
        </r>
        <r>
          <rPr>
            <sz val="9"/>
            <color indexed="81"/>
            <rFont val="Tahoma"/>
            <family val="2"/>
          </rPr>
          <t xml:space="preserve">
Includes J.D. Power</t>
        </r>
      </text>
    </comment>
    <comment ref="AY16" authorId="2">
      <text>
        <r>
          <rPr>
            <b/>
            <sz val="9"/>
            <color indexed="81"/>
            <rFont val="Tahoma"/>
            <family val="2"/>
          </rPr>
          <t>Goldstein, Jeff (Research):</t>
        </r>
        <r>
          <rPr>
            <sz val="9"/>
            <color indexed="81"/>
            <rFont val="Tahoma"/>
            <family val="2"/>
          </rPr>
          <t xml:space="preserve">
Includes J.D. Power</t>
        </r>
      </text>
    </comment>
    <comment ref="AZ16" authorId="2">
      <text>
        <r>
          <rPr>
            <b/>
            <sz val="9"/>
            <color indexed="81"/>
            <rFont val="Tahoma"/>
            <family val="2"/>
          </rPr>
          <t>Goldstein, Jeff (Research):</t>
        </r>
        <r>
          <rPr>
            <sz val="9"/>
            <color indexed="81"/>
            <rFont val="Tahoma"/>
            <family val="2"/>
          </rPr>
          <t xml:space="preserve">
Includes J.D. Power</t>
        </r>
      </text>
    </comment>
    <comment ref="BA16" authorId="2">
      <text>
        <r>
          <rPr>
            <b/>
            <sz val="9"/>
            <color indexed="81"/>
            <rFont val="Tahoma"/>
            <family val="2"/>
          </rPr>
          <t>Goldstein, Jeff (Research):</t>
        </r>
        <r>
          <rPr>
            <sz val="9"/>
            <color indexed="81"/>
            <rFont val="Tahoma"/>
            <family val="2"/>
          </rPr>
          <t xml:space="preserve">
Includes J.D. Power</t>
        </r>
      </text>
    </comment>
    <comment ref="BB16" authorId="2">
      <text>
        <r>
          <rPr>
            <b/>
            <sz val="9"/>
            <color indexed="81"/>
            <rFont val="Tahoma"/>
            <family val="2"/>
          </rPr>
          <t>Goldstein, Jeff (Research):</t>
        </r>
        <r>
          <rPr>
            <sz val="9"/>
            <color indexed="81"/>
            <rFont val="Tahoma"/>
            <family val="2"/>
          </rPr>
          <t xml:space="preserve">
Includes J.D. Power</t>
        </r>
      </text>
    </comment>
    <comment ref="BC16" authorId="2">
      <text>
        <r>
          <rPr>
            <b/>
            <sz val="9"/>
            <color indexed="81"/>
            <rFont val="Tahoma"/>
            <family val="2"/>
          </rPr>
          <t>Goldstein, Jeff (Research):</t>
        </r>
        <r>
          <rPr>
            <sz val="9"/>
            <color indexed="81"/>
            <rFont val="Tahoma"/>
            <family val="2"/>
          </rPr>
          <t xml:space="preserve">
Includes J.D. Power</t>
        </r>
      </text>
    </comment>
    <comment ref="BD16" authorId="2">
      <text>
        <r>
          <rPr>
            <b/>
            <sz val="9"/>
            <color indexed="81"/>
            <rFont val="Tahoma"/>
            <family val="2"/>
          </rPr>
          <t>Goldstein, Jeff (Research):</t>
        </r>
        <r>
          <rPr>
            <sz val="9"/>
            <color indexed="81"/>
            <rFont val="Tahoma"/>
            <family val="2"/>
          </rPr>
          <t xml:space="preserve">
Includes J.D. Power</t>
        </r>
      </text>
    </comment>
    <comment ref="BE16" authorId="2">
      <text>
        <r>
          <rPr>
            <b/>
            <sz val="9"/>
            <color indexed="81"/>
            <rFont val="Tahoma"/>
            <family val="2"/>
          </rPr>
          <t>Goldstein, Jeff (Research):</t>
        </r>
        <r>
          <rPr>
            <sz val="9"/>
            <color indexed="81"/>
            <rFont val="Tahoma"/>
            <family val="2"/>
          </rPr>
          <t xml:space="preserve">
Includes J.D. Power</t>
        </r>
      </text>
    </comment>
    <comment ref="BF16" authorId="2">
      <text>
        <r>
          <rPr>
            <b/>
            <sz val="9"/>
            <color indexed="81"/>
            <rFont val="Tahoma"/>
            <family val="2"/>
          </rPr>
          <t>Goldstein, Jeff (Research):</t>
        </r>
        <r>
          <rPr>
            <sz val="9"/>
            <color indexed="81"/>
            <rFont val="Tahoma"/>
            <family val="2"/>
          </rPr>
          <t xml:space="preserve">
Includes J.D. Power</t>
        </r>
      </text>
    </comment>
    <comment ref="BG16" authorId="2">
      <text>
        <r>
          <rPr>
            <b/>
            <sz val="9"/>
            <color indexed="81"/>
            <rFont val="Tahoma"/>
            <family val="2"/>
          </rPr>
          <t>Goldstein, Jeff (Research):</t>
        </r>
        <r>
          <rPr>
            <sz val="9"/>
            <color indexed="81"/>
            <rFont val="Tahoma"/>
            <family val="2"/>
          </rPr>
          <t xml:space="preserve">
Includes J.D. Power</t>
        </r>
      </text>
    </comment>
    <comment ref="BH16" authorId="2">
      <text>
        <r>
          <rPr>
            <b/>
            <sz val="9"/>
            <color indexed="81"/>
            <rFont val="Tahoma"/>
            <family val="2"/>
          </rPr>
          <t>Goldstein, Jeff (Research):</t>
        </r>
        <r>
          <rPr>
            <sz val="9"/>
            <color indexed="81"/>
            <rFont val="Tahoma"/>
            <family val="2"/>
          </rPr>
          <t xml:space="preserve">
No longer includes J.D. Power</t>
        </r>
      </text>
    </comment>
    <comment ref="BI16" authorId="2">
      <text>
        <r>
          <rPr>
            <b/>
            <sz val="9"/>
            <color indexed="81"/>
            <rFont val="Tahoma"/>
            <family val="2"/>
          </rPr>
          <t>Goldstein, Jeff (Research):</t>
        </r>
        <r>
          <rPr>
            <sz val="9"/>
            <color indexed="81"/>
            <rFont val="Tahoma"/>
            <family val="2"/>
          </rPr>
          <t xml:space="preserve">
Includes J.D. Power for 8 months of year</t>
        </r>
      </text>
    </comment>
    <comment ref="BJ16" authorId="2">
      <text>
        <r>
          <rPr>
            <b/>
            <sz val="9"/>
            <color indexed="81"/>
            <rFont val="Tahoma"/>
            <family val="2"/>
          </rPr>
          <t>Goldstein, Jeff (Research):</t>
        </r>
        <r>
          <rPr>
            <sz val="9"/>
            <color indexed="81"/>
            <rFont val="Tahoma"/>
            <family val="2"/>
          </rPr>
          <t xml:space="preserve">
No longer includes J.D. Power</t>
        </r>
      </text>
    </comment>
    <comment ref="BA19" authorId="2">
      <text>
        <r>
          <rPr>
            <b/>
            <sz val="9"/>
            <color indexed="81"/>
            <rFont val="Tahoma"/>
            <family val="2"/>
          </rPr>
          <t>Goldstein, Jeff (Research):</t>
        </r>
        <r>
          <rPr>
            <sz val="9"/>
            <color indexed="81"/>
            <rFont val="Tahoma"/>
            <family val="2"/>
          </rPr>
          <t xml:space="preserve">
+7% excluding forex</t>
        </r>
      </text>
    </comment>
    <comment ref="AE20" authorId="0">
      <text>
        <r>
          <rPr>
            <b/>
            <sz val="8"/>
            <color indexed="81"/>
            <rFont val="Tahoma"/>
            <family val="2"/>
          </rPr>
          <t>kapltoni:</t>
        </r>
        <r>
          <rPr>
            <sz val="8"/>
            <color indexed="81"/>
            <rFont val="Tahoma"/>
            <family val="2"/>
          </rPr>
          <t xml:space="preserve">
TheMarkets.com contributed $14M</t>
        </r>
      </text>
    </comment>
    <comment ref="AJ20" authorId="0">
      <text>
        <r>
          <rPr>
            <b/>
            <sz val="8"/>
            <color indexed="81"/>
            <rFont val="Tahoma"/>
            <family val="2"/>
          </rPr>
          <t>kapltoni:</t>
        </r>
        <r>
          <rPr>
            <sz val="8"/>
            <color indexed="81"/>
            <rFont val="Tahoma"/>
            <family val="2"/>
          </rPr>
          <t xml:space="preserve">
TheMarkets.com contributed 49M</t>
        </r>
      </text>
    </comment>
    <comment ref="A21" authorId="0">
      <text>
        <r>
          <rPr>
            <sz val="8"/>
            <color indexed="81"/>
            <rFont val="Tahoma"/>
            <family val="2"/>
          </rPr>
          <t>Divested J.D. Power in 3Q16</t>
        </r>
      </text>
    </comment>
    <comment ref="Z21" authorId="0">
      <text>
        <r>
          <rPr>
            <b/>
            <sz val="8"/>
            <color indexed="81"/>
            <rFont val="Tahoma"/>
            <family val="2"/>
          </rPr>
          <t>kapltoni:</t>
        </r>
        <r>
          <rPr>
            <sz val="8"/>
            <color indexed="81"/>
            <rFont val="Tahoma"/>
            <family val="2"/>
          </rPr>
          <t xml:space="preserve">
Commodities &amp; Commercial includes the Broadcasting Group for 2008 and prior.  Broadcasting has been reclassified as a discontinued operation and is not included in results for 2009, 2010, and 2011.</t>
        </r>
      </text>
    </comment>
    <comment ref="AQ21" authorId="3">
      <text>
        <r>
          <rPr>
            <b/>
            <sz val="9"/>
            <color indexed="81"/>
            <rFont val="Tahoma"/>
            <family val="2"/>
          </rPr>
          <t>Galindo, Denny:</t>
        </r>
        <r>
          <rPr>
            <sz val="9"/>
            <color indexed="81"/>
            <rFont val="Tahoma"/>
            <family val="2"/>
          </rPr>
          <t xml:space="preserve">
Does not include sale of MH Const</t>
        </r>
      </text>
    </comment>
    <comment ref="AR21" authorId="3">
      <text>
        <r>
          <rPr>
            <b/>
            <sz val="9"/>
            <color indexed="81"/>
            <rFont val="Tahoma"/>
            <family val="2"/>
          </rPr>
          <t>Galindo, Denny:</t>
        </r>
        <r>
          <rPr>
            <sz val="9"/>
            <color indexed="81"/>
            <rFont val="Tahoma"/>
            <family val="2"/>
          </rPr>
          <t xml:space="preserve">
Restated for sale of MH Constr</t>
        </r>
      </text>
    </comment>
    <comment ref="AJ22" authorId="0">
      <text>
        <r>
          <rPr>
            <b/>
            <sz val="8"/>
            <color indexed="81"/>
            <rFont val="Tahoma"/>
            <family val="2"/>
          </rPr>
          <t>kapltoni:</t>
        </r>
        <r>
          <rPr>
            <sz val="8"/>
            <color indexed="81"/>
            <rFont val="Tahoma"/>
            <family val="2"/>
          </rPr>
          <t xml:space="preserve">
$25M related to BENTEK &amp; Steel Business Briefing</t>
        </r>
      </text>
    </comment>
    <comment ref="AW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AX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AZ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A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B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C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E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F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G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H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J22" authorId="1">
      <text>
        <r>
          <rPr>
            <sz val="8"/>
            <color indexed="81"/>
            <rFont val="Tahoma"/>
            <family val="2"/>
          </rPr>
          <t>Company stopped reporting Commodity &amp; Commercial segment separately from 3Q14 onwards.</t>
        </r>
        <r>
          <rPr>
            <sz val="8"/>
            <color indexed="81"/>
            <rFont val="Tahoma"/>
            <family val="2"/>
          </rPr>
          <t xml:space="preserve">
</t>
        </r>
      </text>
    </comment>
    <comment ref="AR23" authorId="1">
      <text>
        <r>
          <rPr>
            <sz val="8"/>
            <color indexed="81"/>
            <rFont val="Tahoma"/>
            <family val="2"/>
          </rPr>
          <t>Assumed adjustment for McGraw Hill Construction segment revenue, which was reclassified as a discontinued operation due to its impending sale.</t>
        </r>
        <r>
          <rPr>
            <sz val="8"/>
            <color indexed="81"/>
            <rFont val="Tahoma"/>
            <family val="2"/>
          </rPr>
          <t xml:space="preserve">
</t>
        </r>
      </text>
    </comment>
    <comment ref="AS23" authorId="2">
      <text>
        <r>
          <rPr>
            <b/>
            <sz val="9"/>
            <color indexed="81"/>
            <rFont val="Tahoma"/>
            <family val="2"/>
          </rPr>
          <t>Goldstein, Jeff (Research):</t>
        </r>
        <r>
          <rPr>
            <sz val="9"/>
            <color indexed="81"/>
            <rFont val="Tahoma"/>
            <family val="2"/>
          </rPr>
          <t xml:space="preserve">
Assumed adjustment for McGraw Hill Construction</t>
        </r>
      </text>
    </comment>
    <comment ref="AU23" authorId="3">
      <text>
        <r>
          <rPr>
            <b/>
            <sz val="9"/>
            <color indexed="81"/>
            <rFont val="Tahoma"/>
            <family val="2"/>
          </rPr>
          <t>Galindo, Denny:</t>
        </r>
        <r>
          <rPr>
            <sz val="9"/>
            <color indexed="81"/>
            <rFont val="Tahoma"/>
            <family val="2"/>
          </rPr>
          <t xml:space="preserve">
less estimated Construcion </t>
        </r>
      </text>
    </comment>
    <comment ref="AV23" authorId="3">
      <text>
        <r>
          <rPr>
            <b/>
            <sz val="9"/>
            <color indexed="81"/>
            <rFont val="Tahoma"/>
            <family val="2"/>
          </rPr>
          <t>Galindo, Denny:</t>
        </r>
        <r>
          <rPr>
            <sz val="9"/>
            <color indexed="81"/>
            <rFont val="Tahoma"/>
            <family val="2"/>
          </rPr>
          <t xml:space="preserve">
less estimated Construcion </t>
        </r>
      </text>
    </comment>
    <comment ref="AW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AX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AZ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A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B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C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E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F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G23" authorId="1">
      <text>
        <r>
          <rPr>
            <sz val="8"/>
            <color indexed="81"/>
            <rFont val="Tahoma"/>
            <family val="2"/>
          </rPr>
          <t>Company stopped reporting Commodity &amp; Commercial segment separately from 3Q14 onwards.</t>
        </r>
        <r>
          <rPr>
            <sz val="8"/>
            <color indexed="81"/>
            <rFont val="Tahoma"/>
            <family val="2"/>
          </rPr>
          <t xml:space="preserve">
</t>
        </r>
      </text>
    </comment>
    <comment ref="BA24" authorId="2">
      <text>
        <r>
          <rPr>
            <b/>
            <sz val="9"/>
            <color indexed="81"/>
            <rFont val="Tahoma"/>
            <family val="2"/>
          </rPr>
          <t>Goldstein, Jeff (Research):</t>
        </r>
        <r>
          <rPr>
            <sz val="9"/>
            <color indexed="81"/>
            <rFont val="Tahoma"/>
            <family val="2"/>
          </rPr>
          <t xml:space="preserve">
Platts led the segment, delivering high single‐digit revenue growth
J.D. Power revenue was modestly positive led by double‐digit PIN
growth and modest growth in the U.S. auto sector</t>
        </r>
      </text>
    </comment>
    <comment ref="BA31" authorId="2">
      <text>
        <r>
          <rPr>
            <b/>
            <sz val="9"/>
            <color indexed="81"/>
            <rFont val="Tahoma"/>
            <family val="2"/>
          </rPr>
          <t>Goldstein, Jeff (Research):</t>
        </r>
        <r>
          <rPr>
            <sz val="9"/>
            <color indexed="81"/>
            <rFont val="Tahoma"/>
            <family val="2"/>
          </rPr>
          <t xml:space="preserve">
Forex impact of -3%</t>
        </r>
      </text>
    </comment>
    <comment ref="A37" authorId="0">
      <text>
        <r>
          <rPr>
            <sz val="8"/>
            <color indexed="81"/>
            <rFont val="Tahoma"/>
            <family val="2"/>
          </rPr>
          <t>Commodities &amp; Commercial includes the Broadcasting Group for 2008 and prior.  Broadcasting has been reclassified as a discontinued operation and is not included in results for 2009, 2010, and 2011.</t>
        </r>
      </text>
    </comment>
    <comment ref="AI42" authorId="2">
      <text>
        <r>
          <rPr>
            <b/>
            <sz val="9"/>
            <color indexed="81"/>
            <rFont val="Tahoma"/>
            <family val="2"/>
          </rPr>
          <t>Goldstein, Jeff (Research):</t>
        </r>
        <r>
          <rPr>
            <sz val="9"/>
            <color indexed="81"/>
            <rFont val="Tahoma"/>
            <family val="2"/>
          </rPr>
          <t xml:space="preserve">
$9m restructuring charges</t>
        </r>
      </text>
    </comment>
    <comment ref="AM42" authorId="2">
      <text>
        <r>
          <rPr>
            <b/>
            <sz val="9"/>
            <color indexed="81"/>
            <rFont val="Tahoma"/>
            <family val="2"/>
          </rPr>
          <t>Goldstein, Jeff (Research):</t>
        </r>
        <r>
          <rPr>
            <sz val="9"/>
            <color indexed="81"/>
            <rFont val="Tahoma"/>
            <family val="2"/>
          </rPr>
          <t xml:space="preserve">
$8m restructuring charge</t>
        </r>
      </text>
    </comment>
    <comment ref="AN42" authorId="2">
      <text>
        <r>
          <rPr>
            <b/>
            <sz val="9"/>
            <color indexed="81"/>
            <rFont val="Tahoma"/>
            <family val="2"/>
          </rPr>
          <t>Goldstein, Jeff (Research):</t>
        </r>
        <r>
          <rPr>
            <sz val="9"/>
            <color indexed="81"/>
            <rFont val="Tahoma"/>
            <family val="2"/>
          </rPr>
          <t xml:space="preserve">
$8m restructuring charges </t>
        </r>
      </text>
    </comment>
    <comment ref="AR42" authorId="2">
      <text>
        <r>
          <rPr>
            <b/>
            <sz val="9"/>
            <color indexed="81"/>
            <rFont val="Tahoma"/>
            <family val="2"/>
          </rPr>
          <t>Goldstein, Jeff (Research):</t>
        </r>
        <r>
          <rPr>
            <sz val="9"/>
            <color indexed="81"/>
            <rFont val="Tahoma"/>
            <family val="2"/>
          </rPr>
          <t xml:space="preserve">
$16m Gain on sale of an equity investment held by CRISIL</t>
        </r>
      </text>
    </comment>
    <comment ref="AS42" authorId="2">
      <text>
        <r>
          <rPr>
            <b/>
            <sz val="9"/>
            <color indexed="81"/>
            <rFont val="Tahoma"/>
            <family val="2"/>
          </rPr>
          <t>Goldstein, Jeff (Research):</t>
        </r>
        <r>
          <rPr>
            <sz val="9"/>
            <color indexed="81"/>
            <rFont val="Tahoma"/>
            <family val="2"/>
          </rPr>
          <t xml:space="preserve">
$10m Restructuring charge</t>
        </r>
      </text>
    </comment>
    <comment ref="AW42" authorId="3">
      <text>
        <r>
          <rPr>
            <b/>
            <sz val="9"/>
            <color indexed="81"/>
            <rFont val="Tahoma"/>
            <family val="2"/>
          </rPr>
          <t>Galindo, Denny:</t>
        </r>
        <r>
          <rPr>
            <sz val="9"/>
            <color indexed="81"/>
            <rFont val="Tahoma"/>
            <family val="2"/>
          </rPr>
          <t xml:space="preserve">
60M regulatory matters and 23M restructuring</t>
        </r>
      </text>
    </comment>
    <comment ref="AX42" authorId="3">
      <text>
        <r>
          <rPr>
            <b/>
            <sz val="9"/>
            <color indexed="81"/>
            <rFont val="Tahoma"/>
            <family val="2"/>
          </rPr>
          <t>Galindo, Denny:</t>
        </r>
        <r>
          <rPr>
            <sz val="9"/>
            <color indexed="81"/>
            <rFont val="Tahoma"/>
            <family val="2"/>
          </rPr>
          <t xml:space="preserve">
Charge removed</t>
        </r>
      </text>
    </comment>
    <comment ref="BA42" authorId="3">
      <text>
        <r>
          <rPr>
            <b/>
            <sz val="9"/>
            <color indexed="81"/>
            <rFont val="Tahoma"/>
            <family val="2"/>
          </rPr>
          <t>Galindo, Denny:</t>
        </r>
        <r>
          <rPr>
            <sz val="9"/>
            <color indexed="81"/>
            <rFont val="Tahoma"/>
            <family val="2"/>
          </rPr>
          <t xml:space="preserve">
Ex 45M benefit and 4M Legal Charge</t>
        </r>
      </text>
    </comment>
    <comment ref="BE42" authorId="2">
      <text>
        <r>
          <rPr>
            <b/>
            <sz val="9"/>
            <color indexed="81"/>
            <rFont val="Tahoma"/>
            <family val="2"/>
          </rPr>
          <t>Goldstein, Jeff (Research):</t>
        </r>
        <r>
          <rPr>
            <sz val="9"/>
            <color indexed="81"/>
            <rFont val="Tahoma"/>
            <family val="2"/>
          </rPr>
          <t xml:space="preserve">
Benefit from legal settlement insurance recoveries (15M) offset by legal settlement charge (3M)</t>
        </r>
      </text>
    </comment>
    <comment ref="BA43" authorId="2">
      <text>
        <r>
          <rPr>
            <b/>
            <sz val="9"/>
            <color indexed="81"/>
            <rFont val="Tahoma"/>
            <family val="2"/>
          </rPr>
          <t>Goldstein, Jeff (Research):</t>
        </r>
        <r>
          <rPr>
            <sz val="9"/>
            <color indexed="81"/>
            <rFont val="Tahoma"/>
            <family val="2"/>
          </rPr>
          <t xml:space="preserve">
Decreased 3% excluding Forex.
Reduced headcount from recent restructuring
Significant decrease in legal expenses offset by Dodd Frank implementation
Continue to invest in compliance and technology </t>
        </r>
      </text>
    </comment>
    <comment ref="AZ44" authorId="2">
      <text>
        <r>
          <rPr>
            <b/>
            <sz val="9"/>
            <color indexed="81"/>
            <rFont val="Tahoma"/>
            <family val="2"/>
          </rPr>
          <t>Goldstein, Jeff (Research):</t>
        </r>
        <r>
          <rPr>
            <sz val="9"/>
            <color indexed="81"/>
            <rFont val="Tahoma"/>
            <family val="2"/>
          </rPr>
          <t xml:space="preserve">
Driven by reduced headcount from recent restructuring (1Q CC).</t>
        </r>
      </text>
    </comment>
    <comment ref="BD44" authorId="2">
      <text>
        <r>
          <rPr>
            <b/>
            <sz val="9"/>
            <color indexed="81"/>
            <rFont val="Tahoma"/>
            <family val="2"/>
          </rPr>
          <t>Goldstein, Jeff (Research):</t>
        </r>
        <r>
          <rPr>
            <sz val="9"/>
            <color indexed="81"/>
            <rFont val="Tahoma"/>
            <family val="2"/>
          </rPr>
          <t xml:space="preserve">
Outlook for legal expenses looks more promising than a year ago. (1Q15 CC)</t>
        </r>
      </text>
    </comment>
    <comment ref="BF44" authorId="2">
      <text>
        <r>
          <rPr>
            <b/>
            <sz val="9"/>
            <color indexed="81"/>
            <rFont val="Tahoma"/>
            <family val="2"/>
          </rPr>
          <t>Goldstein, Jeff (Research):</t>
        </r>
        <r>
          <rPr>
            <sz val="9"/>
            <color indexed="81"/>
            <rFont val="Tahoma"/>
            <family val="2"/>
          </rPr>
          <t xml:space="preserve">
3% expense benefit from FX in 2Q</t>
        </r>
      </text>
    </comment>
    <comment ref="AM46" authorId="2">
      <text>
        <r>
          <rPr>
            <b/>
            <sz val="9"/>
            <color indexed="81"/>
            <rFont val="Tahoma"/>
            <family val="2"/>
          </rPr>
          <t>Goldstein, Jeff (Research):</t>
        </r>
        <r>
          <rPr>
            <sz val="9"/>
            <color indexed="81"/>
            <rFont val="Tahoma"/>
            <family val="2"/>
          </rPr>
          <t xml:space="preserve">
$14m restructuring charge</t>
        </r>
      </text>
    </comment>
    <comment ref="AN46" authorId="2">
      <text>
        <r>
          <rPr>
            <b/>
            <sz val="9"/>
            <color indexed="81"/>
            <rFont val="Tahoma"/>
            <family val="2"/>
          </rPr>
          <t>Goldstein, Jeff (Research):</t>
        </r>
        <r>
          <rPr>
            <sz val="9"/>
            <color indexed="81"/>
            <rFont val="Tahoma"/>
            <family val="2"/>
          </rPr>
          <t xml:space="preserve">
$5m restructuring charges</t>
        </r>
      </text>
    </comment>
    <comment ref="AR46" authorId="2">
      <text>
        <r>
          <rPr>
            <b/>
            <sz val="9"/>
            <color indexed="81"/>
            <rFont val="Tahoma"/>
            <family val="2"/>
          </rPr>
          <t>Goldstein, Jeff (Research):</t>
        </r>
        <r>
          <rPr>
            <sz val="9"/>
            <color indexed="81"/>
            <rFont val="Tahoma"/>
            <family val="2"/>
          </rPr>
          <t xml:space="preserve">
Loss on sale of Financial Communications and restructuring charges</t>
        </r>
      </text>
    </comment>
    <comment ref="AS46" authorId="2">
      <text>
        <r>
          <rPr>
            <b/>
            <sz val="9"/>
            <color indexed="81"/>
            <rFont val="Tahoma"/>
            <family val="2"/>
          </rPr>
          <t>Goldstein, Jeff (Research):</t>
        </r>
        <r>
          <rPr>
            <sz val="9"/>
            <color indexed="81"/>
            <rFont val="Tahoma"/>
            <family val="2"/>
          </rPr>
          <t xml:space="preserve">
Restructuring Charge</t>
        </r>
      </text>
    </comment>
    <comment ref="AX46" authorId="3">
      <text>
        <r>
          <rPr>
            <b/>
            <sz val="9"/>
            <color indexed="81"/>
            <rFont val="Tahoma"/>
            <family val="2"/>
          </rPr>
          <t>Galindo, Denny:</t>
        </r>
        <r>
          <rPr>
            <sz val="9"/>
            <color indexed="81"/>
            <rFont val="Tahoma"/>
            <family val="2"/>
          </rPr>
          <t xml:space="preserve">
5M in restructuring round to 6m to get op income</t>
        </r>
      </text>
    </comment>
    <comment ref="BA46" authorId="3">
      <text>
        <r>
          <rPr>
            <b/>
            <sz val="9"/>
            <color indexed="81"/>
            <rFont val="Tahoma"/>
            <family val="2"/>
          </rPr>
          <t>Galindo, Denny:</t>
        </r>
        <r>
          <rPr>
            <sz val="9"/>
            <color indexed="81"/>
            <rFont val="Tahoma"/>
            <family val="2"/>
          </rPr>
          <t xml:space="preserve">
12M restructuring</t>
        </r>
      </text>
    </comment>
    <comment ref="BE46" authorId="2">
      <text>
        <r>
          <rPr>
            <b/>
            <sz val="9"/>
            <color indexed="81"/>
            <rFont val="Tahoma"/>
            <family val="2"/>
          </rPr>
          <t>Goldstein, Jeff (Research):</t>
        </r>
        <r>
          <rPr>
            <sz val="9"/>
            <color indexed="81"/>
            <rFont val="Tahoma"/>
            <family val="2"/>
          </rPr>
          <t xml:space="preserve">
24M technology related impairment charge</t>
        </r>
      </text>
    </comment>
    <comment ref="BI46" authorId="2">
      <text>
        <r>
          <rPr>
            <b/>
            <sz val="9"/>
            <color indexed="81"/>
            <rFont val="Tahoma"/>
            <family val="2"/>
          </rPr>
          <t>Goldstein, Jeff (Research):</t>
        </r>
        <r>
          <rPr>
            <sz val="9"/>
            <color indexed="81"/>
            <rFont val="Tahoma"/>
            <family val="2"/>
          </rPr>
          <t xml:space="preserve">
Expect 28M in cost synergies in 2016 (1/3 of 100M in expected SNL synergies will come in 2016 with 80-90% as cost synergies (1/3*100*.85 = 28M)</t>
        </r>
      </text>
    </comment>
    <comment ref="BA47" authorId="2">
      <text>
        <r>
          <rPr>
            <b/>
            <sz val="9"/>
            <color indexed="81"/>
            <rFont val="Tahoma"/>
            <family val="2"/>
          </rPr>
          <t>Goldstein, Jeff (Research):</t>
        </r>
        <r>
          <rPr>
            <sz val="9"/>
            <color indexed="81"/>
            <rFont val="Tahoma"/>
            <family val="2"/>
          </rPr>
          <t xml:space="preserve">
+3% excluding forex</t>
        </r>
      </text>
    </comment>
    <comment ref="BF48" authorId="2">
      <text>
        <r>
          <rPr>
            <b/>
            <sz val="9"/>
            <color indexed="81"/>
            <rFont val="Tahoma"/>
            <family val="2"/>
          </rPr>
          <t>Goldstein, Jeff (Research):</t>
        </r>
        <r>
          <rPr>
            <sz val="9"/>
            <color indexed="81"/>
            <rFont val="Tahoma"/>
            <family val="2"/>
          </rPr>
          <t xml:space="preserve">
Would have been similar to 1Q16 margin if not for margin impact (100bps benefit in 2Q vs. 200bps benefit in 1Q)</t>
        </r>
      </text>
    </comment>
    <comment ref="BN48" authorId="2">
      <text>
        <r>
          <rPr>
            <b/>
            <sz val="9"/>
            <color indexed="81"/>
            <rFont val="Tahoma"/>
            <family val="2"/>
          </rPr>
          <t>Goldstein, Jeff (Research):</t>
        </r>
        <r>
          <rPr>
            <sz val="9"/>
            <color indexed="81"/>
            <rFont val="Tahoma"/>
            <family val="2"/>
          </rPr>
          <t xml:space="preserve">
50bps of core expansion plus 16M in cost synergies
Guidance is for $100M in synergies from 2016-2018. Synergies are expected 50/50 between cost and revenue. Therefore, annual cost synergies of ~$16M (50M divided by 3 years)</t>
        </r>
      </text>
    </comment>
    <comment ref="BS48" authorId="2">
      <text>
        <r>
          <rPr>
            <b/>
            <sz val="9"/>
            <color indexed="81"/>
            <rFont val="Tahoma"/>
            <family val="2"/>
          </rPr>
          <t>Goldstein, Jeff (Research):</t>
        </r>
        <r>
          <rPr>
            <sz val="9"/>
            <color indexed="81"/>
            <rFont val="Tahoma"/>
            <family val="2"/>
          </rPr>
          <t xml:space="preserve">
50bps of core expansion plus 16M in cost synergies
Guidance is for $100M in synergies from 2016-2018. Synergies are expected 50/50 between cost and revenue. Therefore, annual cost synergies of ~$16M (50M divided by 3 years)</t>
        </r>
      </text>
    </comment>
    <comment ref="BX48" authorId="2">
      <text>
        <r>
          <rPr>
            <b/>
            <sz val="9"/>
            <color indexed="81"/>
            <rFont val="Tahoma"/>
            <family val="2"/>
          </rPr>
          <t>Goldstein, Jeff (Research):</t>
        </r>
        <r>
          <rPr>
            <sz val="9"/>
            <color indexed="81"/>
            <rFont val="Tahoma"/>
            <family val="2"/>
          </rPr>
          <t xml:space="preserve">
Cost synergies complete. Core margin expansion</t>
        </r>
      </text>
    </comment>
    <comment ref="AL50" authorId="2">
      <text>
        <r>
          <rPr>
            <b/>
            <sz val="9"/>
            <color indexed="81"/>
            <rFont val="Tahoma"/>
            <family val="2"/>
          </rPr>
          <t>Goldstein, Jeff (Research):</t>
        </r>
        <r>
          <rPr>
            <sz val="9"/>
            <color indexed="81"/>
            <rFont val="Tahoma"/>
            <family val="2"/>
          </rPr>
          <t xml:space="preserve">
Transaction costs associated with S&amp;P Dow Jones LLC joint venture</t>
        </r>
      </text>
    </comment>
    <comment ref="AM50" authorId="2">
      <text>
        <r>
          <rPr>
            <b/>
            <sz val="9"/>
            <color indexed="81"/>
            <rFont val="Tahoma"/>
            <family val="2"/>
          </rPr>
          <t>Goldstein, Jeff (Research):</t>
        </r>
        <r>
          <rPr>
            <sz val="9"/>
            <color indexed="81"/>
            <rFont val="Tahoma"/>
            <family val="2"/>
          </rPr>
          <t>$4m restructuring charge plus costs associated with Dow Jones joint venture</t>
        </r>
      </text>
    </comment>
    <comment ref="AN50" authorId="2">
      <text>
        <r>
          <rPr>
            <b/>
            <sz val="9"/>
            <color indexed="81"/>
            <rFont val="Tahoma"/>
            <family val="2"/>
          </rPr>
          <t>Goldstein, Jeff (Research):</t>
        </r>
        <r>
          <rPr>
            <sz val="9"/>
            <color indexed="81"/>
            <rFont val="Tahoma"/>
            <family val="2"/>
          </rPr>
          <t xml:space="preserve">
$3m restructuring charge and costs associated with Dow Jones joint venture</t>
        </r>
      </text>
    </comment>
    <comment ref="AW50" authorId="2">
      <text>
        <r>
          <rPr>
            <b/>
            <sz val="9"/>
            <color indexed="81"/>
            <rFont val="Tahoma"/>
            <family val="2"/>
          </rPr>
          <t>Goldstein, Jeff (Research):</t>
        </r>
        <r>
          <rPr>
            <sz val="9"/>
            <color indexed="81"/>
            <rFont val="Tahoma"/>
            <family val="2"/>
          </rPr>
          <t xml:space="preserve">
Adjustment is for corporate development activities</t>
        </r>
      </text>
    </comment>
    <comment ref="BA51" authorId="2">
      <text>
        <r>
          <rPr>
            <b/>
            <sz val="9"/>
            <color indexed="81"/>
            <rFont val="Tahoma"/>
            <family val="2"/>
          </rPr>
          <t>Goldstein, Jeff (Research):</t>
        </r>
        <r>
          <rPr>
            <sz val="9"/>
            <color indexed="81"/>
            <rFont val="Tahoma"/>
            <family val="2"/>
          </rPr>
          <t xml:space="preserve">
+3% excluding forex</t>
        </r>
      </text>
    </comment>
    <comment ref="AI54" authorId="2">
      <text>
        <r>
          <rPr>
            <b/>
            <sz val="9"/>
            <color indexed="81"/>
            <rFont val="Tahoma"/>
            <family val="2"/>
          </rPr>
          <t>Goldstein, Jeff (Research):</t>
        </r>
        <r>
          <rPr>
            <sz val="9"/>
            <color indexed="81"/>
            <rFont val="Tahoma"/>
            <family val="2"/>
          </rPr>
          <t xml:space="preserve">
$6m restructuring charges</t>
        </r>
      </text>
    </comment>
    <comment ref="AM54" authorId="2">
      <text>
        <r>
          <rPr>
            <b/>
            <sz val="9"/>
            <color indexed="81"/>
            <rFont val="Tahoma"/>
            <family val="2"/>
          </rPr>
          <t>Goldstein, Jeff (Research):</t>
        </r>
        <r>
          <rPr>
            <sz val="9"/>
            <color indexed="81"/>
            <rFont val="Tahoma"/>
            <family val="2"/>
          </rPr>
          <t xml:space="preserve">
$7m restructuring charge</t>
        </r>
      </text>
    </comment>
    <comment ref="AN54" authorId="2">
      <text>
        <r>
          <rPr>
            <b/>
            <sz val="9"/>
            <color indexed="81"/>
            <rFont val="Tahoma"/>
            <family val="2"/>
          </rPr>
          <t>Goldstein, Jeff (Research):</t>
        </r>
        <r>
          <rPr>
            <sz val="9"/>
            <color indexed="81"/>
            <rFont val="Tahoma"/>
            <family val="2"/>
          </rPr>
          <t xml:space="preserve">
$6m restructuring charges</t>
        </r>
      </text>
    </comment>
    <comment ref="AR54" authorId="2">
      <text>
        <r>
          <rPr>
            <b/>
            <sz val="9"/>
            <color indexed="81"/>
            <rFont val="Tahoma"/>
            <family val="2"/>
          </rPr>
          <t>Goldstein, Jeff (Research):</t>
        </r>
        <r>
          <rPr>
            <sz val="9"/>
            <color indexed="81"/>
            <rFont val="Tahoma"/>
            <family val="2"/>
          </rPr>
          <t xml:space="preserve">
Gain on sale of Aviation Week and Restructuring Charges</t>
        </r>
      </text>
    </comment>
    <comment ref="AS54" authorId="2">
      <text>
        <r>
          <rPr>
            <b/>
            <sz val="9"/>
            <color indexed="81"/>
            <rFont val="Tahoma"/>
            <family val="2"/>
          </rPr>
          <t>Goldstein, Jeff (Research):</t>
        </r>
        <r>
          <rPr>
            <sz val="9"/>
            <color indexed="81"/>
            <rFont val="Tahoma"/>
            <family val="2"/>
          </rPr>
          <t xml:space="preserve">
Restructuring Charge</t>
        </r>
      </text>
    </comment>
    <comment ref="AU54" authorId="3">
      <text>
        <r>
          <rPr>
            <b/>
            <sz val="9"/>
            <color indexed="81"/>
            <rFont val="Tahoma"/>
            <family val="2"/>
          </rPr>
          <t>Galindo, Denny:</t>
        </r>
        <r>
          <rPr>
            <sz val="9"/>
            <color indexed="81"/>
            <rFont val="Tahoma"/>
            <family val="2"/>
          </rPr>
          <t xml:space="preserve">
Estimated</t>
        </r>
      </text>
    </comment>
    <comment ref="AV54" authorId="3">
      <text>
        <r>
          <rPr>
            <b/>
            <sz val="9"/>
            <color indexed="81"/>
            <rFont val="Tahoma"/>
            <family val="2"/>
          </rPr>
          <t>Galindo, Denny:</t>
        </r>
        <r>
          <rPr>
            <sz val="9"/>
            <color indexed="81"/>
            <rFont val="Tahoma"/>
            <family val="2"/>
          </rPr>
          <t xml:space="preserve">
Estimated</t>
        </r>
      </text>
    </comment>
    <comment ref="AW54" authorId="2">
      <text>
        <r>
          <rPr>
            <b/>
            <sz val="9"/>
            <color indexed="81"/>
            <rFont val="Tahoma"/>
            <family val="2"/>
          </rPr>
          <t>Goldstein, Jeff (Research):</t>
        </r>
        <r>
          <rPr>
            <sz val="9"/>
            <color indexed="81"/>
            <rFont val="Tahoma"/>
            <family val="2"/>
          </rPr>
          <t xml:space="preserve">
Restructuring charge</t>
        </r>
      </text>
    </comment>
    <comment ref="AX54" authorId="3">
      <text>
        <r>
          <rPr>
            <b/>
            <sz val="9"/>
            <color indexed="81"/>
            <rFont val="Tahoma"/>
            <family val="2"/>
          </rPr>
          <t>Galindo, Denny:</t>
        </r>
        <r>
          <rPr>
            <sz val="9"/>
            <color indexed="81"/>
            <rFont val="Tahoma"/>
            <family val="2"/>
          </rPr>
          <t xml:space="preserve">
less $4m in restructuring</t>
        </r>
      </text>
    </comment>
    <comment ref="BA54" authorId="3">
      <text>
        <r>
          <rPr>
            <b/>
            <sz val="9"/>
            <color indexed="81"/>
            <rFont val="Tahoma"/>
            <family val="2"/>
          </rPr>
          <t>Galindo, Denny:</t>
        </r>
        <r>
          <rPr>
            <sz val="9"/>
            <color indexed="81"/>
            <rFont val="Tahoma"/>
            <family val="2"/>
          </rPr>
          <t xml:space="preserve">
1M restructuring</t>
        </r>
      </text>
    </comment>
    <comment ref="BE54" authorId="2">
      <text>
        <r>
          <rPr>
            <b/>
            <sz val="9"/>
            <color indexed="81"/>
            <rFont val="Tahoma"/>
            <family val="2"/>
          </rPr>
          <t>Goldstein, Jeff (Research):</t>
        </r>
        <r>
          <rPr>
            <sz val="9"/>
            <color indexed="81"/>
            <rFont val="Tahoma"/>
            <family val="2"/>
          </rPr>
          <t xml:space="preserve">
3M disposition related costs</t>
        </r>
      </text>
    </comment>
    <comment ref="BS56" authorId="2">
      <text>
        <r>
          <rPr>
            <b/>
            <sz val="9"/>
            <color indexed="81"/>
            <rFont val="Tahoma"/>
            <family val="2"/>
          </rPr>
          <t>Goldstein, Jeff (Research):</t>
        </r>
        <r>
          <rPr>
            <sz val="9"/>
            <color indexed="81"/>
            <rFont val="Tahoma"/>
            <family val="2"/>
          </rPr>
          <t xml:space="preserve">
Margin pressure from more competition</t>
        </r>
      </text>
    </comment>
    <comment ref="AI58" authorId="1">
      <text>
        <r>
          <rPr>
            <sz val="8"/>
            <color indexed="81"/>
            <rFont val="Tahoma"/>
            <family val="2"/>
          </rPr>
          <t>McGraw-Hill Education Reclassified to Discontinued Operations in Anticipation of the Sale Closing in the 1st Quarter</t>
        </r>
        <r>
          <rPr>
            <sz val="8"/>
            <color indexed="81"/>
            <rFont val="Tahoma"/>
            <family val="2"/>
          </rPr>
          <t xml:space="preserve">
</t>
        </r>
      </text>
    </comment>
    <comment ref="BD69" authorId="2">
      <text>
        <r>
          <rPr>
            <b/>
            <sz val="9"/>
            <color indexed="81"/>
            <rFont val="Tahoma"/>
            <family val="2"/>
          </rPr>
          <t>Goldstein, Jeff (Research):</t>
        </r>
        <r>
          <rPr>
            <sz val="9"/>
            <color indexed="81"/>
            <rFont val="Tahoma"/>
            <family val="2"/>
          </rPr>
          <t xml:space="preserve">
Expect to achieve almost half of $140m in cost savings program in 2015. 4Q14 CC.</t>
        </r>
      </text>
    </comment>
    <comment ref="AK71"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and a charge related to a reduction in lease commitments.</t>
        </r>
      </text>
    </comment>
    <comment ref="AL71"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and severance charges</t>
        </r>
      </text>
    </comment>
    <comment ref="AM71"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restructuring charges and other non-recurring costs. 
</t>
        </r>
      </text>
    </comment>
    <comment ref="AP71" authorId="2">
      <text>
        <r>
          <rPr>
            <b/>
            <sz val="9"/>
            <color indexed="81"/>
            <rFont val="Tahoma"/>
            <family val="2"/>
          </rPr>
          <t>Goldstein, Jeff (Research):</t>
        </r>
        <r>
          <rPr>
            <sz val="9"/>
            <color indexed="81"/>
            <rFont val="Tahoma"/>
            <family val="2"/>
          </rPr>
          <t xml:space="preserve">
Includes $44 million in costs necessary to enable the separation of McGraw-Hill Education and reduce our cost structure and approximately $77 million for pre-tax legal settlements.</t>
        </r>
      </text>
    </comment>
    <comment ref="AQ71" authorId="2">
      <text>
        <r>
          <rPr>
            <b/>
            <sz val="9"/>
            <color indexed="81"/>
            <rFont val="Tahoma"/>
            <family val="2"/>
          </rPr>
          <t>Goldstein, Jeff (Research):</t>
        </r>
        <r>
          <rPr>
            <sz val="9"/>
            <color indexed="81"/>
            <rFont val="Tahoma"/>
            <family val="2"/>
          </rPr>
          <t xml:space="preserve">
Costs to enable the separation of MHE and reduce cost structure</t>
        </r>
      </text>
    </comment>
    <comment ref="AR71" authorId="2">
      <text>
        <r>
          <rPr>
            <b/>
            <sz val="9"/>
            <color indexed="81"/>
            <rFont val="Tahoma"/>
            <family val="2"/>
          </rPr>
          <t>Goldstein, Jeff (Research):</t>
        </r>
        <r>
          <rPr>
            <sz val="9"/>
            <color indexed="81"/>
            <rFont val="Tahoma"/>
            <family val="2"/>
          </rPr>
          <t xml:space="preserve">
Separation of MHE and reduction in cost structure</t>
        </r>
      </text>
    </comment>
    <comment ref="AS71" authorId="2">
      <text>
        <r>
          <rPr>
            <b/>
            <sz val="9"/>
            <color indexed="81"/>
            <rFont val="Tahoma"/>
            <family val="2"/>
          </rPr>
          <t>Goldstein, Jeff (Research):</t>
        </r>
        <r>
          <rPr>
            <sz val="9"/>
            <color indexed="81"/>
            <rFont val="Tahoma"/>
            <family val="2"/>
          </rPr>
          <t xml:space="preserve">
Includes $36m non-cash impairment charge and $14m related to terminating varous leases</t>
        </r>
      </text>
    </comment>
    <comment ref="AU71" authorId="3">
      <text>
        <r>
          <rPr>
            <b/>
            <sz val="9"/>
            <color indexed="81"/>
            <rFont val="Tahoma"/>
            <family val="2"/>
          </rPr>
          <t>Galindo, Denny:</t>
        </r>
        <r>
          <rPr>
            <sz val="9"/>
            <color indexed="81"/>
            <rFont val="Tahoma"/>
            <family val="2"/>
          </rPr>
          <t xml:space="preserve">
estimated</t>
        </r>
      </text>
    </comment>
    <comment ref="AV71" authorId="3">
      <text>
        <r>
          <rPr>
            <b/>
            <sz val="9"/>
            <color indexed="81"/>
            <rFont val="Tahoma"/>
            <family val="2"/>
          </rPr>
          <t>Galindo, Denny:</t>
        </r>
        <r>
          <rPr>
            <sz val="9"/>
            <color indexed="81"/>
            <rFont val="Tahoma"/>
            <family val="2"/>
          </rPr>
          <t xml:space="preserve">
Estimated</t>
        </r>
      </text>
    </comment>
    <comment ref="AW71" authorId="2">
      <text>
        <r>
          <rPr>
            <b/>
            <sz val="9"/>
            <color indexed="81"/>
            <rFont val="Tahoma"/>
            <family val="2"/>
          </rPr>
          <t>Goldstein, Jeff (Research):</t>
        </r>
        <r>
          <rPr>
            <sz val="9"/>
            <color indexed="81"/>
            <rFont val="Tahoma"/>
            <family val="2"/>
          </rPr>
          <t xml:space="preserve">
Restructuring charge</t>
        </r>
      </text>
    </comment>
    <comment ref="BI71" authorId="2">
      <text>
        <r>
          <rPr>
            <b/>
            <sz val="9"/>
            <color indexed="81"/>
            <rFont val="Tahoma"/>
            <family val="2"/>
          </rPr>
          <t>Goldstein, Jeff (Research):</t>
        </r>
        <r>
          <rPr>
            <sz val="9"/>
            <color indexed="81"/>
            <rFont val="Tahoma"/>
            <family val="2"/>
          </rPr>
          <t xml:space="preserve">
Guidance of 145-150M</t>
        </r>
      </text>
    </comment>
    <comment ref="BA72" authorId="3">
      <text>
        <r>
          <rPr>
            <b/>
            <sz val="9"/>
            <color indexed="81"/>
            <rFont val="Tahoma"/>
            <family val="2"/>
          </rPr>
          <t>Galindo, Denny:</t>
        </r>
        <r>
          <rPr>
            <sz val="9"/>
            <color indexed="81"/>
            <rFont val="Tahoma"/>
            <family val="2"/>
          </rPr>
          <t xml:space="preserve">
includes 11M gain from MH Construction</t>
        </r>
      </text>
    </comment>
    <comment ref="BC72" authorId="2">
      <text>
        <r>
          <rPr>
            <b/>
            <sz val="9"/>
            <color indexed="81"/>
            <rFont val="Tahoma"/>
            <family val="2"/>
          </rPr>
          <t>Goldstein, Jeff (Research):</t>
        </r>
        <r>
          <rPr>
            <sz val="9"/>
            <color indexed="81"/>
            <rFont val="Tahoma"/>
            <family val="2"/>
          </rPr>
          <t xml:space="preserve">
20M for Ratings, 25M for Cap IQ and SNL, 9M for Unallocated Expense</t>
        </r>
      </text>
    </comment>
    <comment ref="BE72" authorId="2">
      <text>
        <r>
          <rPr>
            <b/>
            <sz val="9"/>
            <color indexed="81"/>
            <rFont val="Tahoma"/>
            <family val="2"/>
          </rPr>
          <t>Goldstein, Jeff (Research):</t>
        </r>
        <r>
          <rPr>
            <sz val="9"/>
            <color indexed="81"/>
            <rFont val="Tahoma"/>
            <family val="2"/>
          </rPr>
          <t xml:space="preserve">
(12M) from Ratings
24M from Market Intelligence
3M from C&amp;C</t>
        </r>
      </text>
    </comment>
    <comment ref="AW74" authorId="2">
      <text>
        <r>
          <rPr>
            <b/>
            <sz val="9"/>
            <color indexed="81"/>
            <rFont val="Tahoma"/>
            <family val="2"/>
          </rPr>
          <t>Goldstein, Jeff (Research):</t>
        </r>
        <r>
          <rPr>
            <sz val="9"/>
            <color indexed="81"/>
            <rFont val="Tahoma"/>
            <family val="2"/>
          </rPr>
          <t xml:space="preserve">
7m restructuring charge</t>
        </r>
      </text>
    </comment>
    <comment ref="AP78" authorId="3">
      <text>
        <r>
          <rPr>
            <b/>
            <sz val="9"/>
            <color indexed="81"/>
            <rFont val="Tahoma"/>
            <family val="2"/>
          </rPr>
          <t>Galindo, Denny:</t>
        </r>
        <r>
          <rPr>
            <sz val="9"/>
            <color indexed="81"/>
            <rFont val="Tahoma"/>
            <family val="2"/>
          </rPr>
          <t xml:space="preserve">
Alloacted more of Corp to segments</t>
        </r>
      </text>
    </comment>
    <comment ref="B80" authorId="0">
      <text>
        <r>
          <rPr>
            <b/>
            <sz val="8"/>
            <color indexed="81"/>
            <rFont val="Tahoma"/>
            <family val="2"/>
          </rPr>
          <t>kapltoni:</t>
        </r>
        <r>
          <rPr>
            <sz val="8"/>
            <color indexed="81"/>
            <rFont val="Tahoma"/>
            <family val="2"/>
          </rPr>
          <t xml:space="preserve">
includes S&amp;P Ratings, Cap IQ, S&amp;P Indices</t>
        </r>
      </text>
    </comment>
    <comment ref="C80" authorId="0">
      <text>
        <r>
          <rPr>
            <b/>
            <sz val="8"/>
            <color indexed="81"/>
            <rFont val="Tahoma"/>
            <family val="2"/>
          </rPr>
          <t>kapltoni:</t>
        </r>
        <r>
          <rPr>
            <sz val="8"/>
            <color indexed="81"/>
            <rFont val="Tahoma"/>
            <family val="2"/>
          </rPr>
          <t xml:space="preserve">
includes S&amp;P Ratings, Cap IQ, S&amp;P Indices</t>
        </r>
      </text>
    </comment>
    <comment ref="D80" authorId="0">
      <text>
        <r>
          <rPr>
            <b/>
            <sz val="8"/>
            <color indexed="81"/>
            <rFont val="Tahoma"/>
            <family val="2"/>
          </rPr>
          <t>kapltoni:</t>
        </r>
        <r>
          <rPr>
            <sz val="8"/>
            <color indexed="81"/>
            <rFont val="Tahoma"/>
            <family val="2"/>
          </rPr>
          <t xml:space="preserve">
includes S&amp;P Ratings, Cap IQ, S&amp;P Indices</t>
        </r>
      </text>
    </comment>
    <comment ref="E80" authorId="0">
      <text>
        <r>
          <rPr>
            <b/>
            <sz val="8"/>
            <color indexed="81"/>
            <rFont val="Tahoma"/>
            <family val="2"/>
          </rPr>
          <t>kapltoni:</t>
        </r>
        <r>
          <rPr>
            <sz val="8"/>
            <color indexed="81"/>
            <rFont val="Tahoma"/>
            <family val="2"/>
          </rPr>
          <t xml:space="preserve">
includes S&amp;P Ratings, Cap IQ, S&amp;P Indices</t>
        </r>
      </text>
    </comment>
    <comment ref="F80" authorId="0">
      <text>
        <r>
          <rPr>
            <b/>
            <sz val="8"/>
            <color indexed="81"/>
            <rFont val="Tahoma"/>
            <family val="2"/>
          </rPr>
          <t>kapltoni:</t>
        </r>
        <r>
          <rPr>
            <sz val="8"/>
            <color indexed="81"/>
            <rFont val="Tahoma"/>
            <family val="2"/>
          </rPr>
          <t xml:space="preserve">
includes S&amp;P Ratings, Cap IQ, S&amp;P Indices</t>
        </r>
      </text>
    </comment>
    <comment ref="Z80" authorId="2">
      <text>
        <r>
          <rPr>
            <b/>
            <sz val="9"/>
            <color indexed="81"/>
            <rFont val="Tahoma"/>
            <family val="2"/>
          </rPr>
          <t>Goldstein, Jeff (Research):</t>
        </r>
        <r>
          <rPr>
            <sz val="9"/>
            <color indexed="81"/>
            <rFont val="Tahoma"/>
            <family val="2"/>
          </rPr>
          <t xml:space="preserve">
Last year I see ratings
data for</t>
        </r>
      </text>
    </comment>
    <comment ref="BA80" authorId="3">
      <text>
        <r>
          <rPr>
            <b/>
            <sz val="9"/>
            <color indexed="81"/>
            <rFont val="Tahoma"/>
            <family val="2"/>
          </rPr>
          <t>Galindo, Denny:</t>
        </r>
        <r>
          <rPr>
            <sz val="9"/>
            <color indexed="81"/>
            <rFont val="Tahoma"/>
            <family val="2"/>
          </rPr>
          <t xml:space="preserve">
ex 45M benefir from legal recovery and 4M expense</t>
        </r>
      </text>
    </comment>
    <comment ref="BH80" authorId="2">
      <text>
        <r>
          <rPr>
            <b/>
            <sz val="9"/>
            <color indexed="81"/>
            <rFont val="Tahoma"/>
            <family val="2"/>
          </rPr>
          <t>Goldstein, Jeff (Research):</t>
        </r>
        <r>
          <rPr>
            <sz val="9"/>
            <color indexed="81"/>
            <rFont val="Tahoma"/>
            <family val="2"/>
          </rPr>
          <t xml:space="preserve">
54M - Legal settlement insurance recovery</t>
        </r>
      </text>
    </comment>
    <comment ref="BJ80" authorId="2">
      <text>
        <r>
          <rPr>
            <b/>
            <sz val="9"/>
            <color indexed="81"/>
            <rFont val="Tahoma"/>
            <family val="2"/>
          </rPr>
          <t>Goldstein, Jeff (Research):</t>
        </r>
        <r>
          <rPr>
            <sz val="9"/>
            <color indexed="81"/>
            <rFont val="Tahoma"/>
            <family val="2"/>
          </rPr>
          <t xml:space="preserve">
Includes $2M legal settlement expense</t>
        </r>
      </text>
    </comment>
    <comment ref="K81" authorId="2">
      <text>
        <r>
          <rPr>
            <b/>
            <sz val="9"/>
            <color indexed="81"/>
            <rFont val="Tahoma"/>
            <family val="2"/>
          </rPr>
          <t>Goldstein, Jeff (Research):</t>
        </r>
        <r>
          <rPr>
            <sz val="9"/>
            <color indexed="81"/>
            <rFont val="Tahoma"/>
            <family val="2"/>
          </rPr>
          <t xml:space="preserve">
From 2012 Investor Fact Book
</t>
        </r>
      </text>
    </comment>
    <comment ref="AZ81" authorId="2">
      <text>
        <r>
          <rPr>
            <b/>
            <sz val="9"/>
            <color indexed="81"/>
            <rFont val="Tahoma"/>
            <family val="2"/>
          </rPr>
          <t>Goldstein, Jeff (Research):</t>
        </r>
        <r>
          <rPr>
            <sz val="9"/>
            <color indexed="81"/>
            <rFont val="Tahoma"/>
            <family val="2"/>
          </rPr>
          <t xml:space="preserve">
Driven by reduced headcount from recent restructuring (1Q CC)</t>
        </r>
      </text>
    </comment>
    <comment ref="BK81" authorId="2">
      <text>
        <r>
          <rPr>
            <b/>
            <sz val="9"/>
            <color indexed="81"/>
            <rFont val="Tahoma"/>
            <family val="2"/>
          </rPr>
          <t>Goldstein, Jeff (Research):</t>
        </r>
        <r>
          <rPr>
            <sz val="9"/>
            <color indexed="81"/>
            <rFont val="Tahoma"/>
            <family val="2"/>
          </rPr>
          <t xml:space="preserve">
Y/Y decline in margin due to increased headcount, incentive compensation, and investments in
productivity. 
</t>
        </r>
        <r>
          <rPr>
            <b/>
            <sz val="9"/>
            <color indexed="81"/>
            <rFont val="Tahoma"/>
            <family val="2"/>
          </rPr>
          <t>Management indicated margin up y/y when exclude one incentive comp timing</t>
        </r>
      </text>
    </comment>
    <comment ref="BR83" authorId="2">
      <text>
        <r>
          <rPr>
            <b/>
            <sz val="9"/>
            <color indexed="81"/>
            <rFont val="Tahoma"/>
            <family val="2"/>
          </rPr>
          <t>Goldstein, Jeff (Research):</t>
        </r>
        <r>
          <rPr>
            <sz val="9"/>
            <color indexed="81"/>
            <rFont val="Tahoma"/>
            <family val="2"/>
          </rPr>
          <t xml:space="preserve">
Tough comp</t>
        </r>
      </text>
    </comment>
    <comment ref="BF87" authorId="2">
      <text>
        <r>
          <rPr>
            <b/>
            <sz val="9"/>
            <color indexed="81"/>
            <rFont val="Tahoma"/>
            <family val="2"/>
          </rPr>
          <t>Goldstein, Jeff (Research):</t>
        </r>
        <r>
          <rPr>
            <sz val="9"/>
            <color indexed="81"/>
            <rFont val="Tahoma"/>
            <family val="2"/>
          </rPr>
          <t xml:space="preserve">
150 bps benefit from FX</t>
        </r>
      </text>
    </comment>
    <comment ref="BG87" authorId="2">
      <text>
        <r>
          <rPr>
            <b/>
            <sz val="9"/>
            <color indexed="81"/>
            <rFont val="Tahoma"/>
            <family val="2"/>
          </rPr>
          <t>Goldstein, Jeff (Research):</t>
        </r>
        <r>
          <rPr>
            <sz val="9"/>
            <color indexed="81"/>
            <rFont val="Tahoma"/>
            <family val="2"/>
          </rPr>
          <t xml:space="preserve">
FX had negligible impact on operating profit (earnings transcript)</t>
        </r>
      </text>
    </comment>
    <comment ref="BJ87" authorId="2">
      <text>
        <r>
          <rPr>
            <b/>
            <sz val="9"/>
            <color indexed="81"/>
            <rFont val="Tahoma"/>
            <family val="2"/>
          </rPr>
          <t>Goldstein, Jeff (Research):</t>
        </r>
        <r>
          <rPr>
            <sz val="9"/>
            <color indexed="81"/>
            <rFont val="Tahoma"/>
            <family val="2"/>
          </rPr>
          <t xml:space="preserve">
-8M (110bps) impact on operating profit from FX (Slide 21 of 1Q earnings slides)</t>
        </r>
      </text>
    </comment>
    <comment ref="BS87" authorId="2">
      <text>
        <r>
          <rPr>
            <b/>
            <sz val="9"/>
            <color indexed="81"/>
            <rFont val="Tahoma"/>
            <family val="2"/>
          </rPr>
          <t>Goldstein, Jeff (Research):</t>
        </r>
        <r>
          <rPr>
            <sz val="9"/>
            <color indexed="81"/>
            <rFont val="Tahoma"/>
            <family val="2"/>
          </rPr>
          <t xml:space="preserve">
Management expects margin improvement from every segment in 2018</t>
        </r>
      </text>
    </comment>
    <comment ref="BZ87" authorId="2">
      <text>
        <r>
          <rPr>
            <b/>
            <sz val="9"/>
            <color indexed="81"/>
            <rFont val="Tahoma"/>
            <family val="2"/>
          </rPr>
          <t>Goldstein, Jeff (Research):</t>
        </r>
        <r>
          <rPr>
            <sz val="9"/>
            <color indexed="81"/>
            <rFont val="Tahoma"/>
            <family val="2"/>
          </rPr>
          <t xml:space="preserve">
Overall aspiration is the a sustainable low 50% range (as of 1Q17 earnings call)</t>
        </r>
      </text>
    </comment>
    <comment ref="BK90" authorId="2">
      <text>
        <r>
          <rPr>
            <b/>
            <sz val="9"/>
            <color indexed="81"/>
            <rFont val="Tahoma"/>
            <family val="2"/>
          </rPr>
          <t>Goldstein, Jeff (Research):</t>
        </r>
        <r>
          <rPr>
            <sz val="9"/>
            <color indexed="81"/>
            <rFont val="Tahoma"/>
            <family val="2"/>
          </rPr>
          <t xml:space="preserve">
Adjusted operating profit increased 18% as revenue gains were partially offset by increased headcount in commercial and operations to support future growth as well as incentive compensation. 
</t>
        </r>
        <r>
          <rPr>
            <b/>
            <sz val="9"/>
            <color indexed="81"/>
            <rFont val="Tahoma"/>
            <family val="2"/>
          </rPr>
          <t xml:space="preserve">
Management indicated margins up y/y excluding timing of incentive comp</t>
        </r>
      </text>
    </comment>
    <comment ref="BJ92" authorId="2">
      <text>
        <r>
          <rPr>
            <b/>
            <sz val="9"/>
            <color indexed="81"/>
            <rFont val="Tahoma"/>
            <family val="2"/>
          </rPr>
          <t>Goldstein, Jeff (Research):</t>
        </r>
        <r>
          <rPr>
            <sz val="9"/>
            <color indexed="81"/>
            <rFont val="Tahoma"/>
            <family val="2"/>
          </rPr>
          <t xml:space="preserve">
Margin expansion is offset by a step up in y/y costs realted to inclusion of Trucost, investment in a third data center, and investments in headcount and capability</t>
        </r>
      </text>
    </comment>
    <comment ref="BK92" authorId="2">
      <text>
        <r>
          <rPr>
            <b/>
            <sz val="9"/>
            <color indexed="81"/>
            <rFont val="Tahoma"/>
            <family val="2"/>
          </rPr>
          <t>Goldstein, Jeff (Research):</t>
        </r>
        <r>
          <rPr>
            <sz val="9"/>
            <color indexed="81"/>
            <rFont val="Tahoma"/>
            <family val="2"/>
          </rPr>
          <t xml:space="preserve">
Margin expansion is offset by a step up in y/y costs realted to inclusion of Trucost, investment in a third data center, and investments in headcount and capability</t>
        </r>
      </text>
    </comment>
    <comment ref="BL92" authorId="2">
      <text>
        <r>
          <rPr>
            <b/>
            <sz val="9"/>
            <color indexed="81"/>
            <rFont val="Tahoma"/>
            <family val="2"/>
          </rPr>
          <t>Goldstein, Jeff (Research):</t>
        </r>
        <r>
          <rPr>
            <sz val="9"/>
            <color indexed="81"/>
            <rFont val="Tahoma"/>
            <family val="2"/>
          </rPr>
          <t xml:space="preserve">
Margin expansion is offset by a step up in y/y costs realted to inclusion of Trucost, investment in a third data center, and investments in headcount and capability</t>
        </r>
      </text>
    </comment>
    <comment ref="BG96" authorId="2">
      <text>
        <r>
          <rPr>
            <b/>
            <sz val="9"/>
            <color indexed="81"/>
            <rFont val="Tahoma"/>
            <family val="2"/>
          </rPr>
          <t>Goldstein, Jeff (Research):</t>
        </r>
        <r>
          <rPr>
            <sz val="9"/>
            <color indexed="81"/>
            <rFont val="Tahoma"/>
            <family val="2"/>
          </rPr>
          <t xml:space="preserve">
Lower y/y due to lower volumes of exchange traded derivatives on CBOE</t>
        </r>
      </text>
    </comment>
    <comment ref="BH96" authorId="2">
      <text>
        <r>
          <rPr>
            <b/>
            <sz val="9"/>
            <color indexed="81"/>
            <rFont val="Tahoma"/>
            <family val="2"/>
          </rPr>
          <t>Goldstein, Jeff (Research):</t>
        </r>
        <r>
          <rPr>
            <sz val="9"/>
            <color indexed="81"/>
            <rFont val="Tahoma"/>
            <family val="2"/>
          </rPr>
          <t xml:space="preserve">
Margins declined due primarily to the Trucost acquisition, investments in a third data center, increased
marketing costs, and higher cost of sales from growth, and OTC derivatives activity.</t>
        </r>
      </text>
    </comment>
    <comment ref="BL96" authorId="2">
      <text>
        <r>
          <rPr>
            <b/>
            <sz val="9"/>
            <color indexed="81"/>
            <rFont val="Tahoma"/>
            <family val="2"/>
          </rPr>
          <t>Goldstein, Jeff (Research):</t>
        </r>
        <r>
          <rPr>
            <sz val="9"/>
            <color indexed="81"/>
            <rFont val="Tahoma"/>
            <family val="2"/>
          </rPr>
          <t xml:space="preserve">
Margin down because of an increase in performance driven costs and additional investments, particularly the Trucost acquisition</t>
        </r>
      </text>
    </comment>
    <comment ref="BS96" authorId="2">
      <text>
        <r>
          <rPr>
            <b/>
            <sz val="9"/>
            <color indexed="81"/>
            <rFont val="Tahoma"/>
            <family val="2"/>
          </rPr>
          <t>Goldstein, Jeff (Research):</t>
        </r>
        <r>
          <rPr>
            <sz val="9"/>
            <color indexed="81"/>
            <rFont val="Tahoma"/>
            <family val="2"/>
          </rPr>
          <t xml:space="preserve">
Management expects margin improvement from every segment in 2018</t>
        </r>
      </text>
    </comment>
    <comment ref="BZ96" authorId="2">
      <text>
        <r>
          <rPr>
            <b/>
            <sz val="9"/>
            <color indexed="81"/>
            <rFont val="Tahoma"/>
            <family val="2"/>
          </rPr>
          <t>Goldstein, Jeff (Research):</t>
        </r>
        <r>
          <rPr>
            <sz val="9"/>
            <color indexed="81"/>
            <rFont val="Tahoma"/>
            <family val="2"/>
          </rPr>
          <t xml:space="preserve">
No long term margin target within Indices</t>
        </r>
      </text>
    </comment>
    <comment ref="CA96" authorId="2">
      <text>
        <r>
          <rPr>
            <b/>
            <sz val="9"/>
            <color indexed="81"/>
            <rFont val="Tahoma"/>
            <family val="2"/>
          </rPr>
          <t>Goldstein, Jeff (Research):</t>
        </r>
        <r>
          <rPr>
            <sz val="9"/>
            <color indexed="81"/>
            <rFont val="Tahoma"/>
            <family val="2"/>
          </rPr>
          <t xml:space="preserve">
No long term margin target within Indices</t>
        </r>
      </text>
    </comment>
    <comment ref="AZ98" authorId="2">
      <text>
        <r>
          <rPr>
            <b/>
            <sz val="9"/>
            <color indexed="81"/>
            <rFont val="Tahoma"/>
            <family val="2"/>
          </rPr>
          <t>Goldstein, Jeff (Research):</t>
        </r>
        <r>
          <rPr>
            <sz val="9"/>
            <color indexed="81"/>
            <rFont val="Tahoma"/>
            <family val="2"/>
          </rPr>
          <t xml:space="preserve">
Includes J.D. Power</t>
        </r>
      </text>
    </comment>
    <comment ref="BA98" authorId="2">
      <text>
        <r>
          <rPr>
            <b/>
            <sz val="9"/>
            <color indexed="81"/>
            <rFont val="Tahoma"/>
            <family val="2"/>
          </rPr>
          <t>Goldstein, Jeff (Research):</t>
        </r>
        <r>
          <rPr>
            <sz val="9"/>
            <color indexed="81"/>
            <rFont val="Tahoma"/>
            <family val="2"/>
          </rPr>
          <t xml:space="preserve">
Includes J.D. Power</t>
        </r>
      </text>
    </comment>
    <comment ref="BB98" authorId="2">
      <text>
        <r>
          <rPr>
            <b/>
            <sz val="9"/>
            <color indexed="81"/>
            <rFont val="Tahoma"/>
            <family val="2"/>
          </rPr>
          <t>Goldstein, Jeff (Research):</t>
        </r>
        <r>
          <rPr>
            <sz val="9"/>
            <color indexed="81"/>
            <rFont val="Tahoma"/>
            <family val="2"/>
          </rPr>
          <t xml:space="preserve">
Includes J.D. Power</t>
        </r>
      </text>
    </comment>
    <comment ref="BC98" authorId="2">
      <text>
        <r>
          <rPr>
            <b/>
            <sz val="9"/>
            <color indexed="81"/>
            <rFont val="Tahoma"/>
            <family val="2"/>
          </rPr>
          <t>Goldstein, Jeff (Research):</t>
        </r>
        <r>
          <rPr>
            <sz val="9"/>
            <color indexed="81"/>
            <rFont val="Tahoma"/>
            <family val="2"/>
          </rPr>
          <t xml:space="preserve">
Includes J.D. Power</t>
        </r>
      </text>
    </comment>
    <comment ref="BD98" authorId="2">
      <text>
        <r>
          <rPr>
            <b/>
            <sz val="9"/>
            <color indexed="81"/>
            <rFont val="Tahoma"/>
            <family val="2"/>
          </rPr>
          <t>Goldstein, Jeff (Research):</t>
        </r>
        <r>
          <rPr>
            <sz val="9"/>
            <color indexed="81"/>
            <rFont val="Tahoma"/>
            <family val="2"/>
          </rPr>
          <t xml:space="preserve">
Includes J.D. Power</t>
        </r>
      </text>
    </comment>
    <comment ref="BE98" authorId="2">
      <text>
        <r>
          <rPr>
            <b/>
            <sz val="9"/>
            <color indexed="81"/>
            <rFont val="Tahoma"/>
            <family val="2"/>
          </rPr>
          <t>Goldstein, Jeff (Research):</t>
        </r>
        <r>
          <rPr>
            <sz val="9"/>
            <color indexed="81"/>
            <rFont val="Tahoma"/>
            <family val="2"/>
          </rPr>
          <t xml:space="preserve">
Includes J.D. Power</t>
        </r>
      </text>
    </comment>
    <comment ref="BF98" authorId="2">
      <text>
        <r>
          <rPr>
            <b/>
            <sz val="9"/>
            <color indexed="81"/>
            <rFont val="Tahoma"/>
            <family val="2"/>
          </rPr>
          <t>Goldstein, Jeff (Research):</t>
        </r>
        <r>
          <rPr>
            <sz val="9"/>
            <color indexed="81"/>
            <rFont val="Tahoma"/>
            <family val="2"/>
          </rPr>
          <t xml:space="preserve">
Includes J.D. Power</t>
        </r>
      </text>
    </comment>
    <comment ref="BG98" authorId="2">
      <text>
        <r>
          <rPr>
            <b/>
            <sz val="9"/>
            <color indexed="81"/>
            <rFont val="Tahoma"/>
            <family val="2"/>
          </rPr>
          <t>Goldstein, Jeff (Research):</t>
        </r>
        <r>
          <rPr>
            <sz val="9"/>
            <color indexed="81"/>
            <rFont val="Tahoma"/>
            <family val="2"/>
          </rPr>
          <t xml:space="preserve">
Includes J.D. Power</t>
        </r>
      </text>
    </comment>
    <comment ref="BH98" authorId="2">
      <text>
        <r>
          <rPr>
            <b/>
            <sz val="9"/>
            <color indexed="81"/>
            <rFont val="Tahoma"/>
            <family val="2"/>
          </rPr>
          <t>Goldstein, Jeff (Research):</t>
        </r>
        <r>
          <rPr>
            <sz val="9"/>
            <color indexed="81"/>
            <rFont val="Tahoma"/>
            <family val="2"/>
          </rPr>
          <t xml:space="preserve">
No longer includes J.D. Power
379M - Gain on disposition
31M - Disposition related costs</t>
        </r>
      </text>
    </comment>
    <comment ref="BJ98" authorId="2">
      <text>
        <r>
          <rPr>
            <b/>
            <sz val="9"/>
            <color indexed="81"/>
            <rFont val="Tahoma"/>
            <family val="2"/>
          </rPr>
          <t>Goldstein, Jeff (Research):</t>
        </r>
        <r>
          <rPr>
            <sz val="9"/>
            <color indexed="81"/>
            <rFont val="Tahoma"/>
            <family val="2"/>
          </rPr>
          <t xml:space="preserve">
2017 includes non-cash acquisition and disposition-related adjustments of $15 million</t>
        </r>
      </text>
    </comment>
    <comment ref="BK98" authorId="2">
      <text>
        <r>
          <rPr>
            <b/>
            <sz val="9"/>
            <color indexed="81"/>
            <rFont val="Tahoma"/>
            <family val="2"/>
          </rPr>
          <t>Goldstein, Jeff (Research):</t>
        </r>
        <r>
          <rPr>
            <sz val="9"/>
            <color indexed="81"/>
            <rFont val="Tahoma"/>
            <family val="2"/>
          </rPr>
          <t xml:space="preserve">
13M of adjustments
6M - Exiting leased facility
5M - Severance charges
2M - Asset write off</t>
        </r>
      </text>
    </comment>
    <comment ref="AZ99" authorId="2">
      <text>
        <r>
          <rPr>
            <b/>
            <sz val="9"/>
            <color indexed="81"/>
            <rFont val="Tahoma"/>
            <family val="2"/>
          </rPr>
          <t>Goldstein, Jeff (Research):</t>
        </r>
        <r>
          <rPr>
            <sz val="9"/>
            <color indexed="81"/>
            <rFont val="Tahoma"/>
            <family val="2"/>
          </rPr>
          <t xml:space="preserve">
Includes J.D. Power</t>
        </r>
      </text>
    </comment>
    <comment ref="BA99" authorId="2">
      <text>
        <r>
          <rPr>
            <b/>
            <sz val="9"/>
            <color indexed="81"/>
            <rFont val="Tahoma"/>
            <family val="2"/>
          </rPr>
          <t>Goldstein, Jeff (Research):</t>
        </r>
        <r>
          <rPr>
            <sz val="9"/>
            <color indexed="81"/>
            <rFont val="Tahoma"/>
            <family val="2"/>
          </rPr>
          <t xml:space="preserve">
Includes J.D. Power</t>
        </r>
      </text>
    </comment>
    <comment ref="BB99" authorId="2">
      <text>
        <r>
          <rPr>
            <b/>
            <sz val="9"/>
            <color indexed="81"/>
            <rFont val="Tahoma"/>
            <family val="2"/>
          </rPr>
          <t>Goldstein, Jeff (Research):</t>
        </r>
        <r>
          <rPr>
            <sz val="9"/>
            <color indexed="81"/>
            <rFont val="Tahoma"/>
            <family val="2"/>
          </rPr>
          <t xml:space="preserve">
Includes J.D. Power</t>
        </r>
      </text>
    </comment>
    <comment ref="BC99" authorId="2">
      <text>
        <r>
          <rPr>
            <b/>
            <sz val="9"/>
            <color indexed="81"/>
            <rFont val="Tahoma"/>
            <family val="2"/>
          </rPr>
          <t>Goldstein, Jeff (Research):</t>
        </r>
        <r>
          <rPr>
            <sz val="9"/>
            <color indexed="81"/>
            <rFont val="Tahoma"/>
            <family val="2"/>
          </rPr>
          <t xml:space="preserve">
Includes J.D. Power</t>
        </r>
      </text>
    </comment>
    <comment ref="BD99" authorId="2">
      <text>
        <r>
          <rPr>
            <b/>
            <sz val="9"/>
            <color indexed="81"/>
            <rFont val="Tahoma"/>
            <family val="2"/>
          </rPr>
          <t>Goldstein, Jeff (Research):</t>
        </r>
        <r>
          <rPr>
            <sz val="9"/>
            <color indexed="81"/>
            <rFont val="Tahoma"/>
            <family val="2"/>
          </rPr>
          <t xml:space="preserve">
Includes J.D. Power</t>
        </r>
      </text>
    </comment>
    <comment ref="BE99" authorId="2">
      <text>
        <r>
          <rPr>
            <b/>
            <sz val="9"/>
            <color indexed="81"/>
            <rFont val="Tahoma"/>
            <family val="2"/>
          </rPr>
          <t>Goldstein, Jeff (Research):</t>
        </r>
        <r>
          <rPr>
            <sz val="9"/>
            <color indexed="81"/>
            <rFont val="Tahoma"/>
            <family val="2"/>
          </rPr>
          <t xml:space="preserve">
Includes J.D. Power</t>
        </r>
      </text>
    </comment>
    <comment ref="BF99" authorId="2">
      <text>
        <r>
          <rPr>
            <b/>
            <sz val="9"/>
            <color indexed="81"/>
            <rFont val="Tahoma"/>
            <family val="2"/>
          </rPr>
          <t>Goldstein, Jeff (Research):</t>
        </r>
        <r>
          <rPr>
            <sz val="9"/>
            <color indexed="81"/>
            <rFont val="Tahoma"/>
            <family val="2"/>
          </rPr>
          <t xml:space="preserve">
Includes J.D. Power</t>
        </r>
      </text>
    </comment>
    <comment ref="BG99" authorId="2">
      <text>
        <r>
          <rPr>
            <b/>
            <sz val="9"/>
            <color indexed="81"/>
            <rFont val="Tahoma"/>
            <family val="2"/>
          </rPr>
          <t>Goldstein, Jeff (Research):</t>
        </r>
        <r>
          <rPr>
            <sz val="9"/>
            <color indexed="81"/>
            <rFont val="Tahoma"/>
            <family val="2"/>
          </rPr>
          <t xml:space="preserve">
Includes J.D. Power</t>
        </r>
      </text>
    </comment>
    <comment ref="BL105" authorId="2">
      <text>
        <r>
          <rPr>
            <b/>
            <sz val="9"/>
            <color indexed="81"/>
            <rFont val="Tahoma"/>
            <family val="2"/>
          </rPr>
          <t>Goldstein, Jeff (Research):</t>
        </r>
        <r>
          <rPr>
            <sz val="9"/>
            <color indexed="81"/>
            <rFont val="Tahoma"/>
            <family val="2"/>
          </rPr>
          <t xml:space="preserve">
Assume modest q/q margin expansion as seasonality should be more limited with ~90% of revenue from subscriptions</t>
        </r>
      </text>
    </comment>
    <comment ref="BM105" authorId="2">
      <text>
        <r>
          <rPr>
            <b/>
            <sz val="9"/>
            <color indexed="81"/>
            <rFont val="Tahoma"/>
            <family val="2"/>
          </rPr>
          <t>Goldstein, Jeff (Research):</t>
        </r>
        <r>
          <rPr>
            <sz val="9"/>
            <color indexed="81"/>
            <rFont val="Tahoma"/>
            <family val="2"/>
          </rPr>
          <t xml:space="preserve">
Assume modest q/q margin expansion as seasonality should be more limited with ~90% of revenue from subscriptions</t>
        </r>
      </text>
    </comment>
    <comment ref="BX105" authorId="2">
      <text>
        <r>
          <rPr>
            <b/>
            <sz val="9"/>
            <color indexed="81"/>
            <rFont val="Tahoma"/>
            <family val="2"/>
          </rPr>
          <t>Goldstein, Jeff (Research):</t>
        </r>
        <r>
          <rPr>
            <sz val="9"/>
            <color indexed="81"/>
            <rFont val="Tahoma"/>
            <family val="2"/>
          </rPr>
          <t xml:space="preserve">
Aspire to mid to high 30s margin: 4Q16 earnings call.</t>
        </r>
      </text>
    </comment>
    <comment ref="BY105" authorId="2">
      <text>
        <r>
          <rPr>
            <b/>
            <sz val="9"/>
            <color indexed="81"/>
            <rFont val="Tahoma"/>
            <family val="2"/>
          </rPr>
          <t>Goldstein, Jeff (Research):</t>
        </r>
        <r>
          <rPr>
            <sz val="9"/>
            <color indexed="81"/>
            <rFont val="Tahoma"/>
            <family val="2"/>
          </rPr>
          <t xml:space="preserve">
Aspire to mid to high 30s margin: 4Q16 earnings call.</t>
        </r>
      </text>
    </comment>
    <comment ref="BZ105" authorId="2">
      <text>
        <r>
          <rPr>
            <b/>
            <sz val="9"/>
            <color indexed="81"/>
            <rFont val="Tahoma"/>
            <family val="2"/>
          </rPr>
          <t>Goldstein, Jeff (Research):</t>
        </r>
        <r>
          <rPr>
            <sz val="9"/>
            <color indexed="81"/>
            <rFont val="Tahoma"/>
            <family val="2"/>
          </rPr>
          <t xml:space="preserve">
Aspire to mid to high 30s margin: 4Q16 earnings call.</t>
        </r>
      </text>
    </comment>
    <comment ref="CA105" authorId="2">
      <text>
        <r>
          <rPr>
            <b/>
            <sz val="9"/>
            <color indexed="81"/>
            <rFont val="Tahoma"/>
            <family val="2"/>
          </rPr>
          <t>Goldstein, Jeff (Research):</t>
        </r>
        <r>
          <rPr>
            <sz val="9"/>
            <color indexed="81"/>
            <rFont val="Tahoma"/>
            <family val="2"/>
          </rPr>
          <t xml:space="preserve">
Aspire to mid to high 30s margin: 4Q16 earnings call.</t>
        </r>
      </text>
    </comment>
    <comment ref="BG107" authorId="2">
      <text>
        <r>
          <rPr>
            <b/>
            <sz val="9"/>
            <color indexed="81"/>
            <rFont val="Tahoma"/>
            <family val="2"/>
          </rPr>
          <t>Goldstein, Jeff (Research):</t>
        </r>
        <r>
          <rPr>
            <sz val="9"/>
            <color indexed="81"/>
            <rFont val="Tahoma"/>
            <family val="2"/>
          </rPr>
          <t xml:space="preserve">
5M d- Disposition related costs
1M - Acquisition related cost
Reduced by 1M for rounding</t>
        </r>
      </text>
    </comment>
    <comment ref="BH107" authorId="2">
      <text>
        <r>
          <rPr>
            <b/>
            <sz val="9"/>
            <color indexed="81"/>
            <rFont val="Tahoma"/>
            <family val="2"/>
          </rPr>
          <t>Goldstein, Jeff (Research):</t>
        </r>
        <r>
          <rPr>
            <sz val="9"/>
            <color indexed="81"/>
            <rFont val="Tahoma"/>
            <family val="2"/>
          </rPr>
          <t xml:space="preserve">
Estimated. No longer reported</t>
        </r>
      </text>
    </comment>
    <comment ref="BJ107" authorId="2">
      <text>
        <r>
          <rPr>
            <b/>
            <sz val="9"/>
            <color indexed="81"/>
            <rFont val="Tahoma"/>
            <family val="2"/>
          </rPr>
          <t>Goldstein, Jeff (Research):</t>
        </r>
        <r>
          <rPr>
            <sz val="9"/>
            <color indexed="81"/>
            <rFont val="Tahoma"/>
            <family val="2"/>
          </rPr>
          <t xml:space="preserve">
Disclosed with 4Q17 earnings</t>
        </r>
      </text>
    </comment>
    <comment ref="BK107" authorId="2">
      <text>
        <r>
          <rPr>
            <b/>
            <sz val="9"/>
            <color indexed="81"/>
            <rFont val="Tahoma"/>
            <family val="2"/>
          </rPr>
          <t>Goldstein, Jeff (Research):</t>
        </r>
        <r>
          <rPr>
            <sz val="9"/>
            <color indexed="81"/>
            <rFont val="Tahoma"/>
            <family val="2"/>
          </rPr>
          <t xml:space="preserve">
Disclosed with 4Q17 earnings</t>
        </r>
      </text>
    </comment>
    <comment ref="BL107" authorId="2">
      <text>
        <r>
          <rPr>
            <b/>
            <sz val="9"/>
            <color indexed="81"/>
            <rFont val="Tahoma"/>
            <family val="2"/>
          </rPr>
          <t>Goldstein, Jeff (Research):</t>
        </r>
        <r>
          <rPr>
            <sz val="9"/>
            <color indexed="81"/>
            <rFont val="Tahoma"/>
            <family val="2"/>
          </rPr>
          <t xml:space="preserve">
Disclosed with 4Q17 earnings</t>
        </r>
      </text>
    </comment>
    <comment ref="BM107" authorId="2">
      <text>
        <r>
          <rPr>
            <b/>
            <sz val="9"/>
            <color indexed="81"/>
            <rFont val="Tahoma"/>
            <family val="2"/>
          </rPr>
          <t>Goldstein, Jeff (Research):</t>
        </r>
        <r>
          <rPr>
            <sz val="9"/>
            <color indexed="81"/>
            <rFont val="Tahoma"/>
            <family val="2"/>
          </rPr>
          <t xml:space="preserve">
Disclosed with 4Q17 earnings</t>
        </r>
      </text>
    </comment>
    <comment ref="BP110" authorId="2">
      <text>
        <r>
          <rPr>
            <b/>
            <sz val="9"/>
            <color indexed="81"/>
            <rFont val="Tahoma"/>
            <family val="2"/>
          </rPr>
          <t>Goldstein, Jeff (Research):</t>
        </r>
        <r>
          <rPr>
            <sz val="9"/>
            <color indexed="81"/>
            <rFont val="Tahoma"/>
            <family val="2"/>
          </rPr>
          <t xml:space="preserve">
80bps of core expansion plus 20M in cost synergies
Management said $75M in actual synergies achieved in 2017 (we estimate $65M from cost). We estimate an incremental $20M in 2018 cost synergies to get to $85M total ($85M is total target). 
Current guidance is for $105M in synergies from 2016-2018. Synergies are expected as 85M of cost and 20M of revenue synergies. 
Plus FX benefit/loss
Plus margin lift from less y/y amortization</t>
        </r>
      </text>
    </comment>
    <comment ref="BQ110" authorId="2">
      <text>
        <r>
          <rPr>
            <b/>
            <sz val="9"/>
            <color indexed="81"/>
            <rFont val="Tahoma"/>
            <family val="2"/>
          </rPr>
          <t>Goldstein, Jeff (Research):</t>
        </r>
        <r>
          <rPr>
            <sz val="9"/>
            <color indexed="81"/>
            <rFont val="Tahoma"/>
            <family val="2"/>
          </rPr>
          <t xml:space="preserve">
50bps of core expansion plus 20M in cost synergies
Management said $75M in actual synergies achieved in 2017 (we estimate $65M from cost). We estimate an incremental $20M in 2018 cost synergies to get to $85M total ($85M is total target). 
Current guidance is for $105M in synergies from 2016-2018. Synergies are expected as 85M of cost and 20M of revenue synergies. 
Plus FX benefit/loss
Plus margin lift from less y/y amortization</t>
        </r>
      </text>
    </comment>
    <comment ref="BR110" authorId="2">
      <text>
        <r>
          <rPr>
            <b/>
            <sz val="9"/>
            <color indexed="81"/>
            <rFont val="Tahoma"/>
            <family val="2"/>
          </rPr>
          <t>Goldstein, Jeff (Research):</t>
        </r>
        <r>
          <rPr>
            <sz val="9"/>
            <color indexed="81"/>
            <rFont val="Tahoma"/>
            <family val="2"/>
          </rPr>
          <t xml:space="preserve">
50bps of core expansion plus 20M in cost synergies
Management said $75M in actual synergies achieved in 2017 (we estimate $65M from cost). We estimate an incremental $20M in 2018 cost synergies to get to $85M total ($85M is total target). 
Current guidance is for $105M in synergies from 2016-2018. Synergies are expected as 85M of cost and 20M of revenue synergies. 
Plus FX benefit/loss
Plus margin lift from less y/y amortization</t>
        </r>
      </text>
    </comment>
    <comment ref="BT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U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V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W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Y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Z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CA110" authorId="2">
      <text>
        <r>
          <rPr>
            <b/>
            <sz val="9"/>
            <color indexed="81"/>
            <rFont val="Tahoma"/>
            <family val="2"/>
          </rPr>
          <t>Goldstein, Jeff (Research):</t>
        </r>
        <r>
          <rPr>
            <sz val="9"/>
            <color indexed="81"/>
            <rFont val="Tahoma"/>
            <family val="2"/>
          </rPr>
          <t xml:space="preserve">
Plus FX benefit/loss
Plus margin lift from less y/y amortization</t>
        </r>
      </text>
    </comment>
    <comment ref="BH112" authorId="2">
      <text>
        <r>
          <rPr>
            <b/>
            <sz val="9"/>
            <color indexed="81"/>
            <rFont val="Tahoma"/>
            <family val="2"/>
          </rPr>
          <t>Goldstein, Jeff (Research):</t>
        </r>
        <r>
          <rPr>
            <sz val="9"/>
            <color indexed="81"/>
            <rFont val="Tahoma"/>
            <family val="2"/>
          </rPr>
          <t xml:space="preserve">
No longer reported</t>
        </r>
      </text>
    </comment>
    <comment ref="BS112" authorId="2">
      <text>
        <r>
          <rPr>
            <b/>
            <sz val="9"/>
            <color indexed="81"/>
            <rFont val="Tahoma"/>
            <family val="2"/>
          </rPr>
          <t>Goldstein, Jeff (Research):</t>
        </r>
        <r>
          <rPr>
            <sz val="9"/>
            <color indexed="81"/>
            <rFont val="Tahoma"/>
            <family val="2"/>
          </rPr>
          <t xml:space="preserve">
</t>
        </r>
      </text>
    </comment>
    <comment ref="BF114" authorId="2">
      <text>
        <r>
          <rPr>
            <b/>
            <sz val="9"/>
            <color indexed="81"/>
            <rFont val="Tahoma"/>
            <family val="2"/>
          </rPr>
          <t>Goldstein, Jeff (Research):</t>
        </r>
        <r>
          <rPr>
            <sz val="9"/>
            <color indexed="81"/>
            <rFont val="Tahoma"/>
            <family val="2"/>
          </rPr>
          <t xml:space="preserve">
100 bps benefit from FX</t>
        </r>
      </text>
    </comment>
    <comment ref="BG114" authorId="2">
      <text>
        <r>
          <rPr>
            <b/>
            <sz val="9"/>
            <color indexed="81"/>
            <rFont val="Tahoma"/>
            <family val="2"/>
          </rPr>
          <t>Goldstein, Jeff (Research):</t>
        </r>
        <r>
          <rPr>
            <sz val="9"/>
            <color indexed="81"/>
            <rFont val="Tahoma"/>
            <family val="2"/>
          </rPr>
          <t xml:space="preserve">
FX had a neglible impact on operating profit</t>
        </r>
      </text>
    </comment>
    <comment ref="BO114" authorId="2">
      <text>
        <r>
          <rPr>
            <b/>
            <sz val="9"/>
            <color indexed="81"/>
            <rFont val="Tahoma"/>
            <family val="2"/>
          </rPr>
          <t>Goldstein, Jeff (Research):</t>
        </r>
        <r>
          <rPr>
            <sz val="9"/>
            <color indexed="81"/>
            <rFont val="Tahoma"/>
            <family val="2"/>
          </rPr>
          <t xml:space="preserve">
Adjusted operating profit margin declined primarily due to increased investments in commercial and technology, increased data costs, FX, and timing of expenses</t>
        </r>
      </text>
    </comment>
    <comment ref="BP114" authorId="2">
      <text>
        <r>
          <rPr>
            <b/>
            <sz val="9"/>
            <color indexed="81"/>
            <rFont val="Tahoma"/>
            <family val="2"/>
          </rPr>
          <t>Goldstein, Jeff (Research):</t>
        </r>
        <r>
          <rPr>
            <sz val="9"/>
            <color indexed="81"/>
            <rFont val="Tahoma"/>
            <family val="2"/>
          </rPr>
          <t xml:space="preserve">
Management expects step up in market intelligence margins in 2Q</t>
        </r>
      </text>
    </comment>
    <comment ref="BS114" authorId="2">
      <text>
        <r>
          <rPr>
            <b/>
            <sz val="9"/>
            <color indexed="81"/>
            <rFont val="Tahoma"/>
            <family val="2"/>
          </rPr>
          <t>Goldstein, Jeff (Research):</t>
        </r>
        <r>
          <rPr>
            <sz val="9"/>
            <color indexed="81"/>
            <rFont val="Tahoma"/>
            <family val="2"/>
          </rPr>
          <t xml:space="preserve">
Management expects margin improvement from every segment in 2018</t>
        </r>
      </text>
    </comment>
    <comment ref="BY114" authorId="2">
      <text>
        <r>
          <rPr>
            <b/>
            <sz val="9"/>
            <color indexed="81"/>
            <rFont val="Tahoma"/>
            <family val="2"/>
          </rPr>
          <t>Goldstein, Jeff (Research):</t>
        </r>
        <r>
          <rPr>
            <sz val="9"/>
            <color indexed="81"/>
            <rFont val="Tahoma"/>
            <family val="2"/>
          </rPr>
          <t xml:space="preserve">
Mid 30s long term target: 2Q16 earnings call</t>
        </r>
      </text>
    </comment>
    <comment ref="BZ114" authorId="2">
      <text>
        <r>
          <rPr>
            <b/>
            <sz val="9"/>
            <color indexed="81"/>
            <rFont val="Tahoma"/>
            <family val="2"/>
          </rPr>
          <t>Goldstein, Jeff (Research):</t>
        </r>
        <r>
          <rPr>
            <sz val="9"/>
            <color indexed="81"/>
            <rFont val="Tahoma"/>
            <family val="2"/>
          </rPr>
          <t xml:space="preserve">
Mid 30s long term target: 2Q16 earnings call</t>
        </r>
      </text>
    </comment>
    <comment ref="CA114" authorId="2">
      <text>
        <r>
          <rPr>
            <b/>
            <sz val="9"/>
            <color indexed="81"/>
            <rFont val="Tahoma"/>
            <family val="2"/>
          </rPr>
          <t>Goldstein, Jeff (Research):</t>
        </r>
        <r>
          <rPr>
            <sz val="9"/>
            <color indexed="81"/>
            <rFont val="Tahoma"/>
            <family val="2"/>
          </rPr>
          <t xml:space="preserve">
Mid 30s long term target: 2Q16 earnings call</t>
        </r>
      </text>
    </comment>
    <comment ref="A116" authorId="2">
      <text>
        <r>
          <rPr>
            <b/>
            <sz val="9"/>
            <color indexed="81"/>
            <rFont val="Tahoma"/>
            <family val="2"/>
          </rPr>
          <t>Goldstein, Jeff (Research):</t>
        </r>
        <r>
          <rPr>
            <sz val="9"/>
            <color indexed="81"/>
            <rFont val="Tahoma"/>
            <family val="2"/>
          </rPr>
          <t xml:space="preserve">
Divested J.D. Power in 3Q16</t>
        </r>
      </text>
    </comment>
    <comment ref="AU116" authorId="3">
      <text>
        <r>
          <rPr>
            <b/>
            <sz val="9"/>
            <color indexed="81"/>
            <rFont val="Tahoma"/>
            <family val="2"/>
          </rPr>
          <t>Galindo, Denny:</t>
        </r>
        <r>
          <rPr>
            <sz val="9"/>
            <color indexed="81"/>
            <rFont val="Tahoma"/>
            <family val="2"/>
          </rPr>
          <t xml:space="preserve">
</t>
        </r>
      </text>
    </comment>
    <comment ref="AV116" authorId="3">
      <text>
        <r>
          <rPr>
            <b/>
            <sz val="9"/>
            <color indexed="81"/>
            <rFont val="Tahoma"/>
            <family val="2"/>
          </rPr>
          <t>Galindo, Denny:</t>
        </r>
        <r>
          <rPr>
            <sz val="9"/>
            <color indexed="81"/>
            <rFont val="Tahoma"/>
            <family val="2"/>
          </rPr>
          <t xml:space="preserve">
</t>
        </r>
      </text>
    </comment>
    <comment ref="BG116" authorId="2">
      <text>
        <r>
          <rPr>
            <b/>
            <sz val="9"/>
            <color indexed="81"/>
            <rFont val="Tahoma"/>
            <family val="2"/>
          </rPr>
          <t>Goldstein, Jeff (Research):</t>
        </r>
        <r>
          <rPr>
            <sz val="9"/>
            <color indexed="81"/>
            <rFont val="Tahoma"/>
            <family val="2"/>
          </rPr>
          <t xml:space="preserve">
722M gain on sale of J.D. Power. 
1M of disposition related costs.</t>
        </r>
      </text>
    </comment>
    <comment ref="BH116" authorId="2">
      <text>
        <r>
          <rPr>
            <b/>
            <sz val="9"/>
            <color indexed="81"/>
            <rFont val="Tahoma"/>
            <family val="2"/>
          </rPr>
          <t>Goldstein, Jeff (Research):</t>
        </r>
        <r>
          <rPr>
            <sz val="9"/>
            <color indexed="81"/>
            <rFont val="Tahoma"/>
            <family val="2"/>
          </rPr>
          <t xml:space="preserve">
No longer reported</t>
        </r>
      </text>
    </comment>
    <comment ref="BJ116" authorId="2">
      <text>
        <r>
          <rPr>
            <b/>
            <sz val="9"/>
            <color indexed="81"/>
            <rFont val="Tahoma"/>
            <family val="2"/>
          </rPr>
          <t>Goldstein, Jeff (Research):</t>
        </r>
        <r>
          <rPr>
            <sz val="9"/>
            <color indexed="81"/>
            <rFont val="Tahoma"/>
            <family val="2"/>
          </rPr>
          <t xml:space="preserve">
Exclusively Platts. Disclosed with 4Q17 earnings</t>
        </r>
      </text>
    </comment>
    <comment ref="BK116" authorId="2">
      <text>
        <r>
          <rPr>
            <b/>
            <sz val="9"/>
            <color indexed="81"/>
            <rFont val="Tahoma"/>
            <family val="2"/>
          </rPr>
          <t>Goldstein, Jeff (Research):</t>
        </r>
        <r>
          <rPr>
            <sz val="9"/>
            <color indexed="81"/>
            <rFont val="Tahoma"/>
            <family val="2"/>
          </rPr>
          <t xml:space="preserve">
Exclusively Platts. Disclosed with 4Q17 earnings</t>
        </r>
      </text>
    </comment>
    <comment ref="BL116" authorId="2">
      <text>
        <r>
          <rPr>
            <b/>
            <sz val="9"/>
            <color indexed="81"/>
            <rFont val="Tahoma"/>
            <family val="2"/>
          </rPr>
          <t>Goldstein, Jeff (Research):</t>
        </r>
        <r>
          <rPr>
            <sz val="9"/>
            <color indexed="81"/>
            <rFont val="Tahoma"/>
            <family val="2"/>
          </rPr>
          <t xml:space="preserve">
Exclusively Platts. Disclosed with 4Q17 earnings</t>
        </r>
      </text>
    </comment>
    <comment ref="BM116" authorId="2">
      <text>
        <r>
          <rPr>
            <b/>
            <sz val="9"/>
            <color indexed="81"/>
            <rFont val="Tahoma"/>
            <family val="2"/>
          </rPr>
          <t>Goldstein, Jeff (Research):</t>
        </r>
        <r>
          <rPr>
            <sz val="9"/>
            <color indexed="81"/>
            <rFont val="Tahoma"/>
            <family val="2"/>
          </rPr>
          <t xml:space="preserve">
Exclusively Platts. Disclosed with 4Q17 earnings</t>
        </r>
      </text>
    </comment>
    <comment ref="AZ117" authorId="2">
      <text>
        <r>
          <rPr>
            <b/>
            <sz val="9"/>
            <color indexed="81"/>
            <rFont val="Tahoma"/>
            <family val="2"/>
          </rPr>
          <t>Goldstein, Jeff (Research):</t>
        </r>
        <r>
          <rPr>
            <sz val="9"/>
            <color indexed="81"/>
            <rFont val="Tahoma"/>
            <family val="2"/>
          </rPr>
          <t xml:space="preserve">
Less investment in the business in order to get ahead of the potential slowdown in the market (1Q15 CC)</t>
        </r>
      </text>
    </comment>
    <comment ref="BH117" authorId="2">
      <text>
        <r>
          <rPr>
            <b/>
            <sz val="9"/>
            <color indexed="81"/>
            <rFont val="Tahoma"/>
            <family val="2"/>
          </rPr>
          <t>Goldstein, Jeff (Research):</t>
        </r>
        <r>
          <rPr>
            <sz val="9"/>
            <color indexed="81"/>
            <rFont val="Tahoma"/>
            <family val="2"/>
          </rPr>
          <t xml:space="preserve">
Not reported. We estimate 2015 standalone Platts margin was 43%</t>
        </r>
      </text>
    </comment>
    <comment ref="BJ117" authorId="2">
      <text>
        <r>
          <rPr>
            <b/>
            <sz val="9"/>
            <color indexed="81"/>
            <rFont val="Tahoma"/>
            <family val="2"/>
          </rPr>
          <t>Goldstein, Jeff (Research):</t>
        </r>
        <r>
          <rPr>
            <sz val="9"/>
            <color indexed="81"/>
            <rFont val="Tahoma"/>
            <family val="2"/>
          </rPr>
          <t xml:space="preserve">
Not reported. We estimate 2015 standalone Platts margin was 43%</t>
        </r>
      </text>
    </comment>
    <comment ref="BK117" authorId="2">
      <text>
        <r>
          <rPr>
            <b/>
            <sz val="9"/>
            <color indexed="81"/>
            <rFont val="Tahoma"/>
            <family val="2"/>
          </rPr>
          <t>Goldstein, Jeff (Research):</t>
        </r>
        <r>
          <rPr>
            <sz val="9"/>
            <color indexed="81"/>
            <rFont val="Tahoma"/>
            <family val="2"/>
          </rPr>
          <t xml:space="preserve">
Not reported. We estimate 2015 standalone Platts margin was 43%</t>
        </r>
      </text>
    </comment>
    <comment ref="BL117" authorId="2">
      <text>
        <r>
          <rPr>
            <b/>
            <sz val="9"/>
            <color indexed="81"/>
            <rFont val="Tahoma"/>
            <family val="2"/>
          </rPr>
          <t>Goldstein, Jeff (Research):</t>
        </r>
        <r>
          <rPr>
            <sz val="9"/>
            <color indexed="81"/>
            <rFont val="Tahoma"/>
            <family val="2"/>
          </rPr>
          <t xml:space="preserve">
Not reported. We estimate 2015 standalone Platts margin was 43%</t>
        </r>
      </text>
    </comment>
    <comment ref="BM117" authorId="2">
      <text>
        <r>
          <rPr>
            <b/>
            <sz val="9"/>
            <color indexed="81"/>
            <rFont val="Tahoma"/>
            <family val="2"/>
          </rPr>
          <t>Goldstein, Jeff (Research):</t>
        </r>
        <r>
          <rPr>
            <sz val="9"/>
            <color indexed="81"/>
            <rFont val="Tahoma"/>
            <family val="2"/>
          </rPr>
          <t xml:space="preserve">
Not reported. We estimate 2015 standalone Platts margin was 43%</t>
        </r>
      </text>
    </comment>
    <comment ref="BG121" authorId="2">
      <text>
        <r>
          <rPr>
            <b/>
            <sz val="9"/>
            <color indexed="81"/>
            <rFont val="Tahoma"/>
            <family val="2"/>
          </rPr>
          <t>Goldstein, Jeff (Research):</t>
        </r>
        <r>
          <rPr>
            <sz val="9"/>
            <color indexed="81"/>
            <rFont val="Tahoma"/>
            <family val="2"/>
          </rPr>
          <t xml:space="preserve">
Plugged from income statement</t>
        </r>
      </text>
    </comment>
    <comment ref="BH121" authorId="2">
      <text>
        <r>
          <rPr>
            <b/>
            <sz val="9"/>
            <color indexed="81"/>
            <rFont val="Tahoma"/>
            <family val="2"/>
          </rPr>
          <t>Goldstein, Jeff (Research):</t>
        </r>
        <r>
          <rPr>
            <sz val="9"/>
            <color indexed="81"/>
            <rFont val="Tahoma"/>
            <family val="2"/>
          </rPr>
          <t xml:space="preserve">
No longer reported</t>
        </r>
      </text>
    </comment>
    <comment ref="BI121" authorId="2">
      <text>
        <r>
          <rPr>
            <b/>
            <sz val="9"/>
            <color indexed="81"/>
            <rFont val="Tahoma"/>
            <family val="2"/>
          </rPr>
          <t>Goldstein, Jeff (Research):</t>
        </r>
        <r>
          <rPr>
            <sz val="9"/>
            <color indexed="81"/>
            <rFont val="Tahoma"/>
            <family val="2"/>
          </rPr>
          <t xml:space="preserve">
Plugged from income statement</t>
        </r>
      </text>
    </comment>
    <comment ref="BN121" authorId="2">
      <text>
        <r>
          <rPr>
            <b/>
            <sz val="9"/>
            <color indexed="81"/>
            <rFont val="Tahoma"/>
            <family val="2"/>
          </rPr>
          <t>Goldstein, Jeff (Research):</t>
        </r>
        <r>
          <rPr>
            <sz val="9"/>
            <color indexed="81"/>
            <rFont val="Tahoma"/>
            <family val="2"/>
          </rPr>
          <t xml:space="preserve">
Plugged from income statement</t>
        </r>
      </text>
    </comment>
    <comment ref="BO121" authorId="2">
      <text>
        <r>
          <rPr>
            <b/>
            <sz val="9"/>
            <color indexed="81"/>
            <rFont val="Tahoma"/>
            <family val="2"/>
          </rPr>
          <t>Goldstein, Jeff (Research):</t>
        </r>
        <r>
          <rPr>
            <sz val="9"/>
            <color indexed="81"/>
            <rFont val="Tahoma"/>
            <family val="2"/>
          </rPr>
          <t xml:space="preserve">
Plugged from income statement</t>
        </r>
      </text>
    </comment>
    <comment ref="BP121" authorId="2">
      <text>
        <r>
          <rPr>
            <b/>
            <sz val="9"/>
            <color indexed="81"/>
            <rFont val="Tahoma"/>
            <family val="2"/>
          </rPr>
          <t>Goldstein, Jeff (Research):</t>
        </r>
        <r>
          <rPr>
            <sz val="9"/>
            <color indexed="81"/>
            <rFont val="Tahoma"/>
            <family val="2"/>
          </rPr>
          <t xml:space="preserve">
Plugged from income statement</t>
        </r>
      </text>
    </comment>
    <comment ref="BQ121" authorId="2">
      <text>
        <r>
          <rPr>
            <b/>
            <sz val="9"/>
            <color indexed="81"/>
            <rFont val="Tahoma"/>
            <family val="2"/>
          </rPr>
          <t>Goldstein, Jeff (Research):</t>
        </r>
        <r>
          <rPr>
            <sz val="9"/>
            <color indexed="81"/>
            <rFont val="Tahoma"/>
            <family val="2"/>
          </rPr>
          <t xml:space="preserve">
Plugged from income statement</t>
        </r>
      </text>
    </comment>
    <comment ref="BR121" authorId="2">
      <text>
        <r>
          <rPr>
            <b/>
            <sz val="9"/>
            <color indexed="81"/>
            <rFont val="Tahoma"/>
            <family val="2"/>
          </rPr>
          <t>Goldstein, Jeff (Research):</t>
        </r>
        <r>
          <rPr>
            <sz val="9"/>
            <color indexed="81"/>
            <rFont val="Tahoma"/>
            <family val="2"/>
          </rPr>
          <t xml:space="preserve">
Plugged from income statement</t>
        </r>
      </text>
    </comment>
    <comment ref="BS121" authorId="2">
      <text>
        <r>
          <rPr>
            <b/>
            <sz val="9"/>
            <color indexed="81"/>
            <rFont val="Tahoma"/>
            <family val="2"/>
          </rPr>
          <t>Goldstein, Jeff (Research):</t>
        </r>
        <r>
          <rPr>
            <sz val="9"/>
            <color indexed="81"/>
            <rFont val="Tahoma"/>
            <family val="2"/>
          </rPr>
          <t xml:space="preserve">
Plugged from income statement</t>
        </r>
      </text>
    </comment>
    <comment ref="BT121" authorId="2">
      <text>
        <r>
          <rPr>
            <b/>
            <sz val="9"/>
            <color indexed="81"/>
            <rFont val="Tahoma"/>
            <family val="2"/>
          </rPr>
          <t>Goldstein, Jeff (Research):</t>
        </r>
        <r>
          <rPr>
            <sz val="9"/>
            <color indexed="81"/>
            <rFont val="Tahoma"/>
            <family val="2"/>
          </rPr>
          <t xml:space="preserve">
Plugged from income statement</t>
        </r>
      </text>
    </comment>
    <comment ref="BU121" authorId="2">
      <text>
        <r>
          <rPr>
            <b/>
            <sz val="9"/>
            <color indexed="81"/>
            <rFont val="Tahoma"/>
            <family val="2"/>
          </rPr>
          <t>Goldstein, Jeff (Research):</t>
        </r>
        <r>
          <rPr>
            <sz val="9"/>
            <color indexed="81"/>
            <rFont val="Tahoma"/>
            <family val="2"/>
          </rPr>
          <t xml:space="preserve">
Plugged from income statement</t>
        </r>
      </text>
    </comment>
    <comment ref="BV121" authorId="2">
      <text>
        <r>
          <rPr>
            <b/>
            <sz val="9"/>
            <color indexed="81"/>
            <rFont val="Tahoma"/>
            <family val="2"/>
          </rPr>
          <t>Goldstein, Jeff (Research):</t>
        </r>
        <r>
          <rPr>
            <sz val="9"/>
            <color indexed="81"/>
            <rFont val="Tahoma"/>
            <family val="2"/>
          </rPr>
          <t xml:space="preserve">
Plugged from income statement</t>
        </r>
      </text>
    </comment>
    <comment ref="BW121" authorId="2">
      <text>
        <r>
          <rPr>
            <b/>
            <sz val="9"/>
            <color indexed="81"/>
            <rFont val="Tahoma"/>
            <family val="2"/>
          </rPr>
          <t>Goldstein, Jeff (Research):</t>
        </r>
        <r>
          <rPr>
            <sz val="9"/>
            <color indexed="81"/>
            <rFont val="Tahoma"/>
            <family val="2"/>
          </rPr>
          <t xml:space="preserve">
Plugged from income statement</t>
        </r>
      </text>
    </comment>
    <comment ref="BX121" authorId="2">
      <text>
        <r>
          <rPr>
            <b/>
            <sz val="9"/>
            <color indexed="81"/>
            <rFont val="Tahoma"/>
            <family val="2"/>
          </rPr>
          <t>Goldstein, Jeff (Research):</t>
        </r>
        <r>
          <rPr>
            <sz val="9"/>
            <color indexed="81"/>
            <rFont val="Tahoma"/>
            <family val="2"/>
          </rPr>
          <t xml:space="preserve">
Plugged from income statement</t>
        </r>
      </text>
    </comment>
    <comment ref="BY121" authorId="2">
      <text>
        <r>
          <rPr>
            <b/>
            <sz val="9"/>
            <color indexed="81"/>
            <rFont val="Tahoma"/>
            <family val="2"/>
          </rPr>
          <t>Goldstein, Jeff (Research):</t>
        </r>
        <r>
          <rPr>
            <sz val="9"/>
            <color indexed="81"/>
            <rFont val="Tahoma"/>
            <family val="2"/>
          </rPr>
          <t xml:space="preserve">
Plugged from income statement</t>
        </r>
      </text>
    </comment>
    <comment ref="BZ121" authorId="2">
      <text>
        <r>
          <rPr>
            <b/>
            <sz val="9"/>
            <color indexed="81"/>
            <rFont val="Tahoma"/>
            <family val="2"/>
          </rPr>
          <t>Goldstein, Jeff (Research):</t>
        </r>
        <r>
          <rPr>
            <sz val="9"/>
            <color indexed="81"/>
            <rFont val="Tahoma"/>
            <family val="2"/>
          </rPr>
          <t xml:space="preserve">
Plugged from income statement</t>
        </r>
      </text>
    </comment>
    <comment ref="CA121" authorId="2">
      <text>
        <r>
          <rPr>
            <b/>
            <sz val="9"/>
            <color indexed="81"/>
            <rFont val="Tahoma"/>
            <family val="2"/>
          </rPr>
          <t>Goldstein, Jeff (Research):</t>
        </r>
        <r>
          <rPr>
            <sz val="9"/>
            <color indexed="81"/>
            <rFont val="Tahoma"/>
            <family val="2"/>
          </rPr>
          <t xml:space="preserve">
Plugged from income statement</t>
        </r>
      </text>
    </comment>
    <comment ref="BO123" authorId="2">
      <text>
        <r>
          <rPr>
            <b/>
            <sz val="9"/>
            <color indexed="81"/>
            <rFont val="Tahoma"/>
            <family val="2"/>
          </rPr>
          <t>Goldstein, Jeff (Research):</t>
        </r>
        <r>
          <rPr>
            <sz val="9"/>
            <color indexed="81"/>
            <rFont val="Tahoma"/>
            <family val="2"/>
          </rPr>
          <t xml:space="preserve">
Adjusted operating profit margin declined primarily due lower Global Trading
Services revenue, FX, and timing of expenses</t>
        </r>
      </text>
    </comment>
    <comment ref="BR123" authorId="2">
      <text>
        <r>
          <rPr>
            <b/>
            <sz val="9"/>
            <color indexed="81"/>
            <rFont val="Tahoma"/>
            <family val="2"/>
          </rPr>
          <t>Goldstein, Jeff (Research):</t>
        </r>
        <r>
          <rPr>
            <sz val="9"/>
            <color indexed="81"/>
            <rFont val="Tahoma"/>
            <family val="2"/>
          </rPr>
          <t xml:space="preserve">
Expenses were back half weighted in 2017 that won't recur in 2018</t>
        </r>
      </text>
    </comment>
    <comment ref="BS123" authorId="2">
      <text>
        <r>
          <rPr>
            <b/>
            <sz val="9"/>
            <color indexed="81"/>
            <rFont val="Tahoma"/>
            <family val="2"/>
          </rPr>
          <t>Goldstein, Jeff (Research):</t>
        </r>
        <r>
          <rPr>
            <sz val="9"/>
            <color indexed="81"/>
            <rFont val="Tahoma"/>
            <family val="2"/>
          </rPr>
          <t xml:space="preserve">
Management expects margin improvement from every segment in 2018</t>
        </r>
      </text>
    </comment>
    <comment ref="BC126" authorId="2">
      <text>
        <r>
          <rPr>
            <b/>
            <sz val="9"/>
            <color indexed="81"/>
            <rFont val="Tahoma"/>
            <family val="2"/>
          </rPr>
          <t>Goldstein, Jeff (Research):</t>
        </r>
        <r>
          <rPr>
            <sz val="9"/>
            <color indexed="81"/>
            <rFont val="Tahoma"/>
            <family val="2"/>
          </rPr>
          <t xml:space="preserve">
From 3Q14 transcript: "tend to run a little bit heavier in expense in 4th quarter</t>
        </r>
      </text>
    </comment>
    <comment ref="AK136"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and a charge related to a reduction in lease commitments.</t>
        </r>
      </text>
    </comment>
    <comment ref="AL136"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and severance charges</t>
        </r>
      </text>
    </comment>
    <comment ref="AM136" authorId="2">
      <text>
        <r>
          <rPr>
            <b/>
            <sz val="9"/>
            <color indexed="81"/>
            <rFont val="Tahoma"/>
            <family val="2"/>
          </rPr>
          <t>Goldstein, Jeff (Research):</t>
        </r>
        <r>
          <rPr>
            <sz val="9"/>
            <color indexed="81"/>
            <rFont val="Tahoma"/>
            <family val="2"/>
          </rPr>
          <t xml:space="preserve">
Includes Growth and Value Plan related costs necessary to enable the separation of MHE and reduce our cost structure, which primarily includes professional fees, restructuring charges and other non-recurring costs. 
</t>
        </r>
      </text>
    </comment>
    <comment ref="AP136" authorId="2">
      <text>
        <r>
          <rPr>
            <b/>
            <sz val="9"/>
            <color indexed="81"/>
            <rFont val="Tahoma"/>
            <family val="2"/>
          </rPr>
          <t>Goldstein, Jeff (Research):</t>
        </r>
        <r>
          <rPr>
            <sz val="9"/>
            <color indexed="81"/>
            <rFont val="Tahoma"/>
            <family val="2"/>
          </rPr>
          <t xml:space="preserve">
Includes $44 million in costs necessary to enable the separation of McGraw-Hill Education and reduce our cost structure and approximately $77 million for pre-tax legal settlements.</t>
        </r>
      </text>
    </comment>
    <comment ref="AQ136" authorId="2">
      <text>
        <r>
          <rPr>
            <b/>
            <sz val="9"/>
            <color indexed="81"/>
            <rFont val="Tahoma"/>
            <family val="2"/>
          </rPr>
          <t>Goldstein, Jeff (Research):</t>
        </r>
        <r>
          <rPr>
            <sz val="9"/>
            <color indexed="81"/>
            <rFont val="Tahoma"/>
            <family val="2"/>
          </rPr>
          <t xml:space="preserve">
Costs to enable the separation of MHE and reduce cost structure</t>
        </r>
      </text>
    </comment>
    <comment ref="AR136" authorId="2">
      <text>
        <r>
          <rPr>
            <b/>
            <sz val="9"/>
            <color indexed="81"/>
            <rFont val="Tahoma"/>
            <family val="2"/>
          </rPr>
          <t>Goldstein, Jeff (Research):</t>
        </r>
        <r>
          <rPr>
            <sz val="9"/>
            <color indexed="81"/>
            <rFont val="Tahoma"/>
            <family val="2"/>
          </rPr>
          <t xml:space="preserve">
Separation of MHE and reduction in cost structure</t>
        </r>
      </text>
    </comment>
    <comment ref="AS136" authorId="2">
      <text>
        <r>
          <rPr>
            <b/>
            <sz val="9"/>
            <color indexed="81"/>
            <rFont val="Tahoma"/>
            <family val="2"/>
          </rPr>
          <t>Goldstein, Jeff (Research):</t>
        </r>
        <r>
          <rPr>
            <sz val="9"/>
            <color indexed="81"/>
            <rFont val="Tahoma"/>
            <family val="2"/>
          </rPr>
          <t xml:space="preserve">
Includes $36m non-cash impairment charge and $14m related to terminating varous leases</t>
        </r>
      </text>
    </comment>
    <comment ref="AU136" authorId="3">
      <text>
        <r>
          <rPr>
            <b/>
            <sz val="9"/>
            <color indexed="81"/>
            <rFont val="Tahoma"/>
            <family val="2"/>
          </rPr>
          <t>Galindo, Denny:</t>
        </r>
        <r>
          <rPr>
            <sz val="9"/>
            <color indexed="81"/>
            <rFont val="Tahoma"/>
            <family val="2"/>
          </rPr>
          <t xml:space="preserve">
estimated</t>
        </r>
      </text>
    </comment>
    <comment ref="AV136" authorId="3">
      <text>
        <r>
          <rPr>
            <b/>
            <sz val="9"/>
            <color indexed="81"/>
            <rFont val="Tahoma"/>
            <family val="2"/>
          </rPr>
          <t>Galindo, Denny:</t>
        </r>
        <r>
          <rPr>
            <sz val="9"/>
            <color indexed="81"/>
            <rFont val="Tahoma"/>
            <family val="2"/>
          </rPr>
          <t xml:space="preserve">
Estimated</t>
        </r>
      </text>
    </comment>
    <comment ref="AW136" authorId="2">
      <text>
        <r>
          <rPr>
            <b/>
            <sz val="9"/>
            <color indexed="81"/>
            <rFont val="Tahoma"/>
            <family val="2"/>
          </rPr>
          <t>Goldstein, Jeff (Research):</t>
        </r>
        <r>
          <rPr>
            <sz val="9"/>
            <color indexed="81"/>
            <rFont val="Tahoma"/>
            <family val="2"/>
          </rPr>
          <t xml:space="preserve">
Restructuring charge</t>
        </r>
      </text>
    </comment>
    <comment ref="BI136" authorId="2">
      <text>
        <r>
          <rPr>
            <b/>
            <sz val="9"/>
            <color indexed="81"/>
            <rFont val="Tahoma"/>
            <family val="2"/>
          </rPr>
          <t>Goldstein, Jeff (Research):</t>
        </r>
        <r>
          <rPr>
            <sz val="9"/>
            <color indexed="81"/>
            <rFont val="Tahoma"/>
            <family val="2"/>
          </rPr>
          <t xml:space="preserve">
New guidance of $135M due to reduced professional fees (3Q earnings call)
Previous guidance of 145-150M</t>
        </r>
      </text>
    </comment>
    <comment ref="BN136" authorId="2">
      <text>
        <r>
          <rPr>
            <b/>
            <sz val="9"/>
            <color indexed="81"/>
            <rFont val="Tahoma"/>
            <family val="2"/>
          </rPr>
          <t>Goldstein, Jeff (Research):</t>
        </r>
        <r>
          <rPr>
            <sz val="9"/>
            <color indexed="81"/>
            <rFont val="Tahoma"/>
            <family val="2"/>
          </rPr>
          <t xml:space="preserve">
Guidance of $135-140M (as of 3Q17 earnings)
Guidance of $130-135M (as of 2Q17)
Guidance of $130-140M (as of 1Q17)</t>
        </r>
      </text>
    </comment>
    <comment ref="BO136" authorId="2">
      <text>
        <r>
          <rPr>
            <b/>
            <sz val="9"/>
            <color indexed="81"/>
            <rFont val="Tahoma"/>
            <family val="2"/>
          </rPr>
          <t>Goldstein, Jeff (Research):</t>
        </r>
        <r>
          <rPr>
            <sz val="9"/>
            <color indexed="81"/>
            <rFont val="Tahoma"/>
            <family val="2"/>
          </rPr>
          <t xml:space="preserve">
Includes $20M payment to S&amp;P global foundation</t>
        </r>
      </text>
    </comment>
    <comment ref="BS136" authorId="2">
      <text>
        <r>
          <rPr>
            <b/>
            <sz val="9"/>
            <color indexed="81"/>
            <rFont val="Tahoma"/>
            <family val="2"/>
          </rPr>
          <t>Goldstein, Jeff (Research):</t>
        </r>
        <r>
          <rPr>
            <sz val="9"/>
            <color indexed="81"/>
            <rFont val="Tahoma"/>
            <family val="2"/>
          </rPr>
          <t xml:space="preserve">
Guidance is for 160-170M, which includes one time contribution of $20M to S&amp;P foundation in 1Q18</t>
        </r>
      </text>
    </comment>
    <comment ref="BX136" authorId="2">
      <text>
        <r>
          <rPr>
            <b/>
            <sz val="9"/>
            <color indexed="81"/>
            <rFont val="Tahoma"/>
            <family val="2"/>
          </rPr>
          <t>Goldstein, Jeff (Research):</t>
        </r>
        <r>
          <rPr>
            <sz val="9"/>
            <color indexed="81"/>
            <rFont val="Tahoma"/>
            <family val="2"/>
          </rPr>
          <t xml:space="preserve">
Excludes 1Q18 one time payment of $20M</t>
        </r>
      </text>
    </comment>
    <comment ref="BG137" authorId="2">
      <text>
        <r>
          <rPr>
            <b/>
            <sz val="9"/>
            <color indexed="81"/>
            <rFont val="Tahoma"/>
            <family val="2"/>
          </rPr>
          <t>Goldstein, Jeff (Research):</t>
        </r>
        <r>
          <rPr>
            <sz val="9"/>
            <color indexed="81"/>
            <rFont val="Tahoma"/>
            <family val="2"/>
          </rPr>
          <t xml:space="preserve">
Rounding plug</t>
        </r>
      </text>
    </comment>
    <comment ref="BF138" authorId="2">
      <text>
        <r>
          <rPr>
            <b/>
            <sz val="9"/>
            <color indexed="81"/>
            <rFont val="Tahoma"/>
            <family val="2"/>
          </rPr>
          <t>Goldstein, Jeff (Research):</t>
        </r>
        <r>
          <rPr>
            <sz val="9"/>
            <color indexed="81"/>
            <rFont val="Tahoma"/>
            <family val="2"/>
          </rPr>
          <t xml:space="preserve">
100bps of margin expansion due to FX</t>
        </r>
      </text>
    </comment>
    <comment ref="BG138" authorId="2">
      <text>
        <r>
          <rPr>
            <b/>
            <sz val="9"/>
            <color indexed="81"/>
            <rFont val="Tahoma"/>
            <family val="2"/>
          </rPr>
          <t>Goldstein, Jeff (Research):</t>
        </r>
        <r>
          <rPr>
            <sz val="9"/>
            <color indexed="81"/>
            <rFont val="Tahoma"/>
            <family val="2"/>
          </rPr>
          <t xml:space="preserve">
60bps attributed to FX</t>
        </r>
      </text>
    </comment>
    <comment ref="BI138" authorId="2">
      <text>
        <r>
          <rPr>
            <b/>
            <sz val="9"/>
            <color indexed="81"/>
            <rFont val="Tahoma"/>
            <family val="2"/>
          </rPr>
          <t>Goldstein, Jeff (Research):</t>
        </r>
        <r>
          <rPr>
            <sz val="9"/>
            <color indexed="81"/>
            <rFont val="Tahoma"/>
            <family val="2"/>
          </rPr>
          <t xml:space="preserve">
Guidance of 200bps of y/y margin improvement (3Q16 earnings call)
Guidance of 150bps of y/y margin improvement (2Q16 earnings call)
</t>
        </r>
      </text>
    </comment>
    <comment ref="BN138" authorId="2">
      <text>
        <r>
          <rPr>
            <b/>
            <sz val="9"/>
            <color indexed="81"/>
            <rFont val="Tahoma"/>
            <family val="2"/>
          </rPr>
          <t>Goldstein, Jeff (Research):</t>
        </r>
        <r>
          <rPr>
            <sz val="9"/>
            <color indexed="81"/>
            <rFont val="Tahoma"/>
            <family val="2"/>
          </rPr>
          <t xml:space="preserve">
Guidance of 46.%-47.0% (as of 3Q17 earnings)
Guidance of 45.0% to 46.0% (as of 2Q17 earnings)
Guidance of 44.5%-45.5% (as of 1Q17)</t>
        </r>
      </text>
    </comment>
    <comment ref="BS138" authorId="2">
      <text>
        <r>
          <rPr>
            <b/>
            <sz val="9"/>
            <color indexed="81"/>
            <rFont val="Tahoma"/>
            <family val="2"/>
          </rPr>
          <t>Goldstein, Jeff (Research):</t>
        </r>
        <r>
          <rPr>
            <sz val="9"/>
            <color indexed="81"/>
            <rFont val="Tahoma"/>
            <family val="2"/>
          </rPr>
          <t xml:space="preserve">
As of 4Q17: 47.5% - 48.5% guidance. Management expects a margin contrbution from every segment in 2018.</t>
        </r>
      </text>
    </comment>
    <comment ref="AI140" authorId="4">
      <text>
        <r>
          <rPr>
            <sz val="8"/>
            <color indexed="81"/>
            <rFont val="Tahoma"/>
            <family val="2"/>
          </rPr>
          <t xml:space="preserve">Restructuring charges and $10 million of Growth and Value Plan costs.
</t>
        </r>
      </text>
    </comment>
    <comment ref="AK140" authorId="0">
      <text>
        <r>
          <rPr>
            <b/>
            <sz val="8"/>
            <color indexed="81"/>
            <rFont val="Tahoma"/>
            <family val="2"/>
          </rPr>
          <t>kapltoni:</t>
        </r>
        <r>
          <rPr>
            <sz val="8"/>
            <color indexed="81"/>
            <rFont val="Tahoma"/>
            <family val="2"/>
          </rPr>
          <t xml:space="preserve">
Growth and value plan charges</t>
        </r>
      </text>
    </comment>
    <comment ref="AL140" authorId="0">
      <text>
        <r>
          <rPr>
            <b/>
            <sz val="8"/>
            <color indexed="81"/>
            <rFont val="Tahoma"/>
            <family val="2"/>
          </rPr>
          <t>kapltoni:</t>
        </r>
        <r>
          <rPr>
            <sz val="8"/>
            <color indexed="81"/>
            <rFont val="Tahoma"/>
            <family val="2"/>
          </rPr>
          <t xml:space="preserve">
Transaction costs assoc with DJ JV of $14M and $24M of Growth and Value Plan charges - prof fees/severance.</t>
        </r>
      </text>
    </comment>
    <comment ref="AM140" authorId="4">
      <text>
        <r>
          <rPr>
            <sz val="8"/>
            <color indexed="81"/>
            <rFont val="Tahoma"/>
            <family val="2"/>
          </rPr>
          <t>$33 mn: Restructuring charges and transaction costs associated with S&amp;P Dow Jones LLC joint venture.
$48 mn: Growth and Value Plan related costs.</t>
        </r>
      </text>
    </comment>
    <comment ref="AN140" authorId="4">
      <text>
        <r>
          <rPr>
            <sz val="8"/>
            <color indexed="81"/>
            <rFont val="Tahoma"/>
            <family val="2"/>
          </rPr>
          <t>$22 mn: Restructuring charges and transaction costs associated with S&amp;P Dow Jones LLC joint venture.
$3 mn: Growth and Value Plan related costs.</t>
        </r>
      </text>
    </comment>
    <comment ref="AP140" authorId="5">
      <text>
        <r>
          <rPr>
            <sz val="8"/>
            <color indexed="81"/>
            <rFont val="Tahoma"/>
            <family val="2"/>
          </rPr>
          <t>Includes MHE separation cost and pre-tax settlements</t>
        </r>
        <r>
          <rPr>
            <sz val="8"/>
            <color indexed="81"/>
            <rFont val="Tahoma"/>
            <family val="2"/>
          </rPr>
          <t xml:space="preserve">
</t>
        </r>
      </text>
    </comment>
    <comment ref="AQ140" authorId="5">
      <text>
        <r>
          <rPr>
            <sz val="8"/>
            <color indexed="81"/>
            <rFont val="Tahoma"/>
            <family val="2"/>
          </rPr>
          <t>Growth and Value Plan charges</t>
        </r>
      </text>
    </comment>
    <comment ref="BA140" authorId="2">
      <text>
        <r>
          <rPr>
            <b/>
            <sz val="9"/>
            <color indexed="81"/>
            <rFont val="Tahoma"/>
            <family val="2"/>
          </rPr>
          <t>Goldstein, Jeff (Research):</t>
        </r>
        <r>
          <rPr>
            <sz val="9"/>
            <color indexed="81"/>
            <rFont val="Tahoma"/>
            <family val="2"/>
          </rPr>
          <t xml:space="preserve">
-33M for Ratings. 12M for Cap IQ. 1M for C&amp;C</t>
        </r>
      </text>
    </comment>
    <comment ref="BC140" authorId="2">
      <text>
        <r>
          <rPr>
            <b/>
            <sz val="9"/>
            <color indexed="81"/>
            <rFont val="Tahoma"/>
            <family val="2"/>
          </rPr>
          <t>Goldstein, Jeff (Research):</t>
        </r>
        <r>
          <rPr>
            <sz val="9"/>
            <color indexed="81"/>
            <rFont val="Tahoma"/>
            <family val="2"/>
          </rPr>
          <t xml:space="preserve">
20M for Ratings, 25M for Cap IQ and SNL, 9M for Unallocated Expense</t>
        </r>
      </text>
    </comment>
    <comment ref="BE140" authorId="2">
      <text>
        <r>
          <rPr>
            <b/>
            <sz val="9"/>
            <color indexed="81"/>
            <rFont val="Tahoma"/>
            <family val="2"/>
          </rPr>
          <t>Goldstein, Jeff (Research):</t>
        </r>
        <r>
          <rPr>
            <sz val="9"/>
            <color indexed="81"/>
            <rFont val="Tahoma"/>
            <family val="2"/>
          </rPr>
          <t xml:space="preserve">
(12M) from Ratings
24M from Market Intelligence
3M from C&amp;C</t>
        </r>
      </text>
    </comment>
    <comment ref="BG140" authorId="2">
      <text>
        <r>
          <rPr>
            <b/>
            <sz val="9"/>
            <color indexed="81"/>
            <rFont val="Tahoma"/>
            <family val="2"/>
          </rPr>
          <t>Goldstein, Jeff (Research):</t>
        </r>
        <r>
          <rPr>
            <sz val="9"/>
            <color indexed="81"/>
            <rFont val="Tahoma"/>
            <family val="2"/>
          </rPr>
          <t xml:space="preserve">
Includes 1M rounding plug</t>
        </r>
      </text>
    </comment>
    <comment ref="BP140" authorId="2">
      <text>
        <r>
          <rPr>
            <b/>
            <sz val="9"/>
            <color indexed="81"/>
            <rFont val="Tahoma"/>
            <family val="2"/>
          </rPr>
          <t>Goldstein, Jeff (Research):</t>
        </r>
        <r>
          <rPr>
            <sz val="9"/>
            <color indexed="81"/>
            <rFont val="Tahoma"/>
            <family val="2"/>
          </rPr>
          <t xml:space="preserve">
Guidance is for $30-35M of full year Kensho integration plans</t>
        </r>
      </text>
    </comment>
    <comment ref="BQ140" authorId="2">
      <text>
        <r>
          <rPr>
            <b/>
            <sz val="9"/>
            <color indexed="81"/>
            <rFont val="Tahoma"/>
            <family val="2"/>
          </rPr>
          <t>Goldstein, Jeff (Research):</t>
        </r>
        <r>
          <rPr>
            <sz val="9"/>
            <color indexed="81"/>
            <rFont val="Tahoma"/>
            <family val="2"/>
          </rPr>
          <t xml:space="preserve">
Guidance is for $30-35M of full year Kensho integration plans</t>
        </r>
      </text>
    </comment>
    <comment ref="BR140" authorId="2">
      <text>
        <r>
          <rPr>
            <b/>
            <sz val="9"/>
            <color indexed="81"/>
            <rFont val="Tahoma"/>
            <family val="2"/>
          </rPr>
          <t>Goldstein, Jeff (Research):</t>
        </r>
        <r>
          <rPr>
            <sz val="9"/>
            <color indexed="81"/>
            <rFont val="Tahoma"/>
            <family val="2"/>
          </rPr>
          <t xml:space="preserve">
Guidance is for $30-35M of full year Kensho integration plans</t>
        </r>
      </text>
    </comment>
    <comment ref="BG141" authorId="2">
      <text>
        <r>
          <rPr>
            <b/>
            <sz val="9"/>
            <color indexed="81"/>
            <rFont val="Tahoma"/>
            <family val="2"/>
          </rPr>
          <t>Goldstein, Jeff (Research):</t>
        </r>
        <r>
          <rPr>
            <sz val="9"/>
            <color indexed="81"/>
            <rFont val="Tahoma"/>
            <family val="2"/>
          </rPr>
          <t xml:space="preserve">
Adjusted for rounding</t>
        </r>
      </text>
    </comment>
    <comment ref="A145" authorId="1">
      <text>
        <r>
          <rPr>
            <sz val="8"/>
            <color indexed="81"/>
            <rFont val="Tahoma"/>
            <family val="2"/>
          </rPr>
          <t xml:space="preserve">MHFI owns 73% of S&amp;P Dow Jones Indices, CME Group owns 24.4% through its affiliates, and Dow Jones &amp; Company, Inc. indirectly owns 2.6%. </t>
        </r>
        <r>
          <rPr>
            <sz val="8"/>
            <color indexed="81"/>
            <rFont val="Tahoma"/>
            <family val="2"/>
          </rPr>
          <t xml:space="preserve">
</t>
        </r>
      </text>
    </comment>
    <comment ref="A146" authorId="1">
      <text>
        <r>
          <rPr>
            <sz val="8"/>
            <color indexed="81"/>
            <rFont val="Tahoma"/>
            <family val="2"/>
          </rPr>
          <t>Shareholding of
MHFI is at 67.84% of the share capital
in CRISIL</t>
        </r>
      </text>
    </comment>
    <comment ref="A156" authorId="0">
      <text>
        <r>
          <rPr>
            <b/>
            <sz val="8"/>
            <color indexed="81"/>
            <rFont val="Tahoma"/>
            <family val="2"/>
          </rPr>
          <t>kapltoni:</t>
        </r>
        <r>
          <rPr>
            <sz val="8"/>
            <color indexed="81"/>
            <rFont val="Tahoma"/>
            <family val="2"/>
          </rPr>
          <t xml:space="preserve">
rev related to ratings of publicly issued debt, bank loan ratings and corporate credit ests</t>
        </r>
      </text>
    </comment>
    <comment ref="AV157" authorId="3">
      <text>
        <r>
          <rPr>
            <b/>
            <sz val="9"/>
            <color indexed="81"/>
            <rFont val="Tahoma"/>
            <family val="2"/>
          </rPr>
          <t>Galindo, Denny:</t>
        </r>
        <r>
          <rPr>
            <sz val="9"/>
            <color indexed="81"/>
            <rFont val="Tahoma"/>
            <family val="2"/>
          </rPr>
          <t xml:space="preserve">
issuance up 15% in US, 37% in Europe
EU HY up 109%
HY up, FIG issuance up for regulations bank loans up 19%</t>
        </r>
      </text>
    </comment>
    <comment ref="AZ157" authorId="3">
      <text>
        <r>
          <rPr>
            <b/>
            <sz val="9"/>
            <color indexed="81"/>
            <rFont val="Tahoma"/>
            <family val="2"/>
          </rPr>
          <t>Galindo, Denny:</t>
        </r>
        <r>
          <rPr>
            <sz val="9"/>
            <color indexed="81"/>
            <rFont val="Tahoma"/>
            <family val="2"/>
          </rPr>
          <t xml:space="preserve">
Strong public, US, corp, ABS, weak Europe, loans </t>
        </r>
      </text>
    </comment>
    <comment ref="BA157" authorId="2">
      <text>
        <r>
          <rPr>
            <b/>
            <sz val="9"/>
            <color indexed="81"/>
            <rFont val="Tahoma"/>
            <family val="2"/>
          </rPr>
          <t>Goldstein, Jeff (Research):</t>
        </r>
        <r>
          <rPr>
            <sz val="9"/>
            <color indexed="81"/>
            <rFont val="Tahoma"/>
            <family val="2"/>
          </rPr>
          <t xml:space="preserve">
4% growth excluding forex.
Strong U.S. IG and public. Weak HY and structured excepted for U.S. CMBS and European RMBS.
Due to public finance issuance and M&amp;A driven, IG issuance in U.S.
15% y/y increase in overall U.S. issuance.
33% y/y decrease in overall European issuance.</t>
        </r>
      </text>
    </comment>
    <comment ref="BO157" authorId="2">
      <text>
        <r>
          <rPr>
            <b/>
            <sz val="9"/>
            <color indexed="81"/>
            <rFont val="Tahoma"/>
            <family val="2"/>
          </rPr>
          <t>Goldstein, Jeff (Research):</t>
        </r>
        <r>
          <rPr>
            <sz val="9"/>
            <color indexed="81"/>
            <rFont val="Tahoma"/>
            <family val="2"/>
          </rPr>
          <t xml:space="preserve">
Transaction revenue decreased as declines in corporate bonds and public
finance were slightly larger than gains in structured products</t>
        </r>
      </text>
    </comment>
    <comment ref="AZ159" authorId="3">
      <text>
        <r>
          <rPr>
            <b/>
            <sz val="9"/>
            <color indexed="81"/>
            <rFont val="Tahoma"/>
            <family val="2"/>
          </rPr>
          <t>Galindo, Denny:</t>
        </r>
        <r>
          <rPr>
            <sz val="9"/>
            <color indexed="81"/>
            <rFont val="Tahoma"/>
            <family val="2"/>
          </rPr>
          <t xml:space="preserve">
Faster than MCO due to Corp Strength</t>
        </r>
      </text>
    </comment>
    <comment ref="BA159" authorId="3">
      <text>
        <r>
          <rPr>
            <b/>
            <sz val="9"/>
            <color indexed="81"/>
            <rFont val="Tahoma"/>
            <family val="2"/>
          </rPr>
          <t>Galindo, Denny:</t>
        </r>
        <r>
          <rPr>
            <sz val="9"/>
            <color indexed="81"/>
            <rFont val="Tahoma"/>
            <family val="2"/>
          </rPr>
          <t xml:space="preserve">
down 1% (2 year stack still up) less 2% currency</t>
        </r>
      </text>
    </comment>
    <comment ref="BB159" authorId="3">
      <text>
        <r>
          <rPr>
            <b/>
            <sz val="9"/>
            <color indexed="81"/>
            <rFont val="Tahoma"/>
            <family val="2"/>
          </rPr>
          <t>Galindo, Denny:</t>
        </r>
        <r>
          <rPr>
            <sz val="9"/>
            <color indexed="81"/>
            <rFont val="Tahoma"/>
            <family val="2"/>
          </rPr>
          <t xml:space="preserve"> -2% market growth + 0.5% improving share (This expects currency impact of 2.5%)</t>
        </r>
      </text>
    </comment>
    <comment ref="BC159" authorId="3">
      <text>
        <r>
          <rPr>
            <b/>
            <sz val="9"/>
            <color indexed="81"/>
            <rFont val="Tahoma"/>
            <family val="2"/>
          </rPr>
          <t>Galindo, Denny:</t>
        </r>
        <r>
          <rPr>
            <sz val="9"/>
            <color indexed="81"/>
            <rFont val="Tahoma"/>
            <family val="2"/>
          </rPr>
          <t xml:space="preserve">
Assuming that 4Q revenue growth difference between MHFI and MCO is similar to YTD difference</t>
        </r>
      </text>
    </comment>
    <comment ref="BR159" authorId="2">
      <text>
        <r>
          <rPr>
            <b/>
            <sz val="9"/>
            <color indexed="81"/>
            <rFont val="Tahoma"/>
            <family val="2"/>
          </rPr>
          <t>Goldstein, Jeff (Research):</t>
        </r>
        <r>
          <rPr>
            <sz val="9"/>
            <color indexed="81"/>
            <rFont val="Tahoma"/>
            <family val="2"/>
          </rPr>
          <t xml:space="preserve">
Tough comp</t>
        </r>
      </text>
    </comment>
    <comment ref="A166" authorId="0">
      <text>
        <r>
          <rPr>
            <b/>
            <sz val="8"/>
            <color indexed="81"/>
            <rFont val="Tahoma"/>
            <family val="2"/>
          </rPr>
          <t>kapltoni:</t>
        </r>
        <r>
          <rPr>
            <sz val="8"/>
            <color indexed="81"/>
            <rFont val="Tahoma"/>
            <family val="2"/>
          </rPr>
          <t xml:space="preserve">
rev related to fees for frequent issuer programs and surveillance, includes intersegment royalty rev from Cap IQ/Indices</t>
        </r>
      </text>
    </comment>
    <comment ref="BA166" authorId="2">
      <text>
        <r>
          <rPr>
            <b/>
            <sz val="9"/>
            <color indexed="81"/>
            <rFont val="Tahoma"/>
            <family val="2"/>
          </rPr>
          <t>Goldstein, Jeff (Research):</t>
        </r>
        <r>
          <rPr>
            <sz val="9"/>
            <color indexed="81"/>
            <rFont val="Tahoma"/>
            <family val="2"/>
          </rPr>
          <t xml:space="preserve">
Sequentially btw 1Q and 2Q, increasing btw 5-17</t>
        </r>
      </text>
    </comment>
    <comment ref="AV167" authorId="3">
      <text>
        <r>
          <rPr>
            <b/>
            <sz val="9"/>
            <color indexed="81"/>
            <rFont val="Tahoma"/>
            <family val="2"/>
          </rPr>
          <t>Galindo, Denny:</t>
        </r>
        <r>
          <rPr>
            <sz val="9"/>
            <color indexed="81"/>
            <rFont val="Tahoma"/>
            <family val="2"/>
          </rPr>
          <t xml:space="preserve">
increased annual fees</t>
        </r>
      </text>
    </comment>
    <comment ref="BA167" authorId="2">
      <text>
        <r>
          <rPr>
            <b/>
            <sz val="9"/>
            <color indexed="81"/>
            <rFont val="Tahoma"/>
            <family val="2"/>
          </rPr>
          <t>Goldstein, Jeff (Research):</t>
        </r>
        <r>
          <rPr>
            <sz val="9"/>
            <color indexed="81"/>
            <rFont val="Tahoma"/>
            <family val="2"/>
          </rPr>
          <t xml:space="preserve">
Decreased due to strong U.S. dollar. Excluding forex, non-transaction revenue +3%</t>
        </r>
      </text>
    </comment>
    <comment ref="BG167" authorId="2">
      <text>
        <r>
          <rPr>
            <b/>
            <sz val="9"/>
            <color indexed="81"/>
            <rFont val="Tahoma"/>
            <family val="2"/>
          </rPr>
          <t>Goldstein, Jeff (Research):</t>
        </r>
        <r>
          <rPr>
            <sz val="9"/>
            <color indexed="81"/>
            <rFont val="Tahoma"/>
            <family val="2"/>
          </rPr>
          <t xml:space="preserve">
Growth in surveillance fees offset
by lower Rating Evaluation Service fees</t>
        </r>
      </text>
    </comment>
    <comment ref="BO167" authorId="2">
      <text>
        <r>
          <rPr>
            <b/>
            <sz val="9"/>
            <color indexed="81"/>
            <rFont val="Tahoma"/>
            <family val="2"/>
          </rPr>
          <t>Goldstein, Jeff (Research):</t>
        </r>
        <r>
          <rPr>
            <sz val="9"/>
            <color indexed="81"/>
            <rFont val="Tahoma"/>
            <family val="2"/>
          </rPr>
          <t xml:space="preserve">
Non-transaction revenue increased due to growth in fees associated with
surveillance as well as large increases in new entity ratings and Rating
Evaluation Service fees</t>
        </r>
      </text>
    </comment>
    <comment ref="BN174" authorId="2">
      <text>
        <r>
          <rPr>
            <b/>
            <sz val="9"/>
            <color indexed="81"/>
            <rFont val="Tahoma"/>
            <family val="2"/>
          </rPr>
          <t>Goldstein, Jeff (Research):</t>
        </r>
        <r>
          <rPr>
            <sz val="9"/>
            <color indexed="81"/>
            <rFont val="Tahoma"/>
            <family val="2"/>
          </rPr>
          <t xml:space="preserve">
SPGI forecasting 3% annual issuance growth (4Q16 earnings call)</t>
        </r>
      </text>
    </comment>
    <comment ref="BE175" authorId="2">
      <text>
        <r>
          <rPr>
            <b/>
            <sz val="9"/>
            <color indexed="81"/>
            <rFont val="Tahoma"/>
            <family val="2"/>
          </rPr>
          <t>Goldstein, Jeff (Research):</t>
        </r>
        <r>
          <rPr>
            <sz val="9"/>
            <color indexed="81"/>
            <rFont val="Tahoma"/>
            <family val="2"/>
          </rPr>
          <t xml:space="preserve">
Commentary on 1Q16 call indicated FX impact was "negligible"</t>
        </r>
      </text>
    </comment>
    <comment ref="BF175" authorId="2">
      <text>
        <r>
          <rPr>
            <b/>
            <sz val="9"/>
            <color indexed="81"/>
            <rFont val="Tahoma"/>
            <family val="2"/>
          </rPr>
          <t>Goldstein, Jeff (Research):</t>
        </r>
        <r>
          <rPr>
            <sz val="9"/>
            <color indexed="81"/>
            <rFont val="Tahoma"/>
            <family val="2"/>
          </rPr>
          <t xml:space="preserve">
Negligible impact from forex (2Q16 earnings call)</t>
        </r>
      </text>
    </comment>
    <comment ref="BG175" authorId="2">
      <text>
        <r>
          <rPr>
            <b/>
            <sz val="9"/>
            <color indexed="81"/>
            <rFont val="Tahoma"/>
            <family val="2"/>
          </rPr>
          <t>Goldstein, Jeff (Research):</t>
        </r>
        <r>
          <rPr>
            <sz val="9"/>
            <color indexed="81"/>
            <rFont val="Tahoma"/>
            <family val="2"/>
          </rPr>
          <t xml:space="preserve">
1% unfavorable impact from Forex (3Q earnings call)</t>
        </r>
      </text>
    </comment>
    <comment ref="BH175" authorId="2">
      <text>
        <r>
          <rPr>
            <b/>
            <sz val="9"/>
            <color indexed="81"/>
            <rFont val="Tahoma"/>
            <family val="2"/>
          </rPr>
          <t>Goldstein, Jeff (Research):</t>
        </r>
        <r>
          <rPr>
            <sz val="9"/>
            <color indexed="81"/>
            <rFont val="Tahoma"/>
            <family val="2"/>
          </rPr>
          <t xml:space="preserve">
8M unfavorable impact on 4Q Ratings revenue (4Q slides)</t>
        </r>
      </text>
    </comment>
    <comment ref="BI175" authorId="2">
      <text>
        <r>
          <rPr>
            <b/>
            <sz val="9"/>
            <color indexed="81"/>
            <rFont val="Tahoma"/>
            <family val="2"/>
          </rPr>
          <t>Goldstein, Jeff (Research):</t>
        </r>
        <r>
          <rPr>
            <sz val="9"/>
            <color indexed="81"/>
            <rFont val="Tahoma"/>
            <family val="2"/>
          </rPr>
          <t xml:space="preserve">
18M unfavorable impact on 2016 Ratings revenue (4Q slides)</t>
        </r>
      </text>
    </comment>
    <comment ref="BJ175" authorId="2">
      <text>
        <r>
          <rPr>
            <b/>
            <sz val="9"/>
            <color indexed="81"/>
            <rFont val="Tahoma"/>
            <family val="2"/>
          </rPr>
          <t>Goldstein, Jeff (Research):</t>
        </r>
        <r>
          <rPr>
            <sz val="9"/>
            <color indexed="81"/>
            <rFont val="Tahoma"/>
            <family val="2"/>
          </rPr>
          <t xml:space="preserve">
6M unfavorable impact on 1Q Ratings revenue (1Q slides)</t>
        </r>
      </text>
    </comment>
    <comment ref="BK175" authorId="2">
      <text>
        <r>
          <rPr>
            <b/>
            <sz val="9"/>
            <color indexed="81"/>
            <rFont val="Tahoma"/>
            <family val="2"/>
          </rPr>
          <t>Goldstein, Jeff (Research):</t>
        </r>
        <r>
          <rPr>
            <sz val="9"/>
            <color indexed="81"/>
            <rFont val="Tahoma"/>
            <family val="2"/>
          </rPr>
          <t xml:space="preserve">
6M revenue headwind disclosed in earnings presentation</t>
        </r>
      </text>
    </comment>
    <comment ref="BL175" authorId="2">
      <text>
        <r>
          <rPr>
            <b/>
            <sz val="9"/>
            <color indexed="81"/>
            <rFont val="Tahoma"/>
            <family val="2"/>
          </rPr>
          <t>Goldstein, Jeff (Research):</t>
        </r>
        <r>
          <rPr>
            <sz val="9"/>
            <color indexed="81"/>
            <rFont val="Tahoma"/>
            <family val="2"/>
          </rPr>
          <t xml:space="preserve">
4M revenue benefit disclosed in earnings presentation</t>
        </r>
      </text>
    </comment>
    <comment ref="P178" authorId="2">
      <text>
        <r>
          <rPr>
            <b/>
            <sz val="9"/>
            <color indexed="81"/>
            <rFont val="Tahoma"/>
            <family val="2"/>
          </rPr>
          <t>Goldstein, Jeff (Research):</t>
        </r>
        <r>
          <rPr>
            <sz val="9"/>
            <color indexed="81"/>
            <rFont val="Tahoma"/>
            <family val="2"/>
          </rPr>
          <t xml:space="preserve">
2017 Investor Factbook</t>
        </r>
      </text>
    </comment>
    <comment ref="AO178" authorId="2">
      <text>
        <r>
          <rPr>
            <b/>
            <sz val="9"/>
            <color indexed="81"/>
            <rFont val="Tahoma"/>
            <family val="2"/>
          </rPr>
          <t>Goldstein, Jeff (Research):</t>
        </r>
        <r>
          <rPr>
            <sz val="9"/>
            <color indexed="81"/>
            <rFont val="Tahoma"/>
            <family val="2"/>
          </rPr>
          <t xml:space="preserve">
2017 Investor Factbook</t>
        </r>
      </text>
    </comment>
    <comment ref="AT178" authorId="2">
      <text>
        <r>
          <rPr>
            <b/>
            <sz val="9"/>
            <color indexed="81"/>
            <rFont val="Tahoma"/>
            <family val="2"/>
          </rPr>
          <t>Goldstein, Jeff (Research):</t>
        </r>
        <r>
          <rPr>
            <sz val="9"/>
            <color indexed="81"/>
            <rFont val="Tahoma"/>
            <family val="2"/>
          </rPr>
          <t xml:space="preserve">
2017 Investor Factbook</t>
        </r>
      </text>
    </comment>
    <comment ref="AY178" authorId="2">
      <text>
        <r>
          <rPr>
            <b/>
            <sz val="9"/>
            <color indexed="81"/>
            <rFont val="Tahoma"/>
            <family val="2"/>
          </rPr>
          <t>Goldstein, Jeff (Research):</t>
        </r>
        <r>
          <rPr>
            <sz val="9"/>
            <color indexed="81"/>
            <rFont val="Tahoma"/>
            <family val="2"/>
          </rPr>
          <t xml:space="preserve">
2017 Investor Factbook</t>
        </r>
      </text>
    </comment>
    <comment ref="BD178" authorId="2">
      <text>
        <r>
          <rPr>
            <b/>
            <sz val="9"/>
            <color indexed="81"/>
            <rFont val="Tahoma"/>
            <family val="2"/>
          </rPr>
          <t>Goldstein, Jeff (Research):</t>
        </r>
        <r>
          <rPr>
            <sz val="9"/>
            <color indexed="81"/>
            <rFont val="Tahoma"/>
            <family val="2"/>
          </rPr>
          <t xml:space="preserve">
2017 Investor Factbook</t>
        </r>
      </text>
    </comment>
    <comment ref="BI178" authorId="2">
      <text>
        <r>
          <rPr>
            <b/>
            <sz val="9"/>
            <color indexed="81"/>
            <rFont val="Tahoma"/>
            <family val="2"/>
          </rPr>
          <t>Goldstein, Jeff (Research):</t>
        </r>
        <r>
          <rPr>
            <sz val="9"/>
            <color indexed="81"/>
            <rFont val="Tahoma"/>
            <family val="2"/>
          </rPr>
          <t xml:space="preserve">
2017 Investor Factbook</t>
        </r>
      </text>
    </comment>
    <comment ref="P179" authorId="2">
      <text>
        <r>
          <rPr>
            <b/>
            <sz val="9"/>
            <color indexed="81"/>
            <rFont val="Tahoma"/>
            <family val="2"/>
          </rPr>
          <t>Goldstein, Jeff (Research):</t>
        </r>
        <r>
          <rPr>
            <sz val="9"/>
            <color indexed="81"/>
            <rFont val="Tahoma"/>
            <family val="2"/>
          </rPr>
          <t xml:space="preserve">
2017 Investor Factbook</t>
        </r>
      </text>
    </comment>
    <comment ref="AO179" authorId="2">
      <text>
        <r>
          <rPr>
            <b/>
            <sz val="9"/>
            <color indexed="81"/>
            <rFont val="Tahoma"/>
            <family val="2"/>
          </rPr>
          <t>Goldstein, Jeff (Research):</t>
        </r>
        <r>
          <rPr>
            <sz val="9"/>
            <color indexed="81"/>
            <rFont val="Tahoma"/>
            <family val="2"/>
          </rPr>
          <t xml:space="preserve">
2017 Investor Factbook</t>
        </r>
      </text>
    </comment>
    <comment ref="AT179" authorId="2">
      <text>
        <r>
          <rPr>
            <b/>
            <sz val="9"/>
            <color indexed="81"/>
            <rFont val="Tahoma"/>
            <family val="2"/>
          </rPr>
          <t>Goldstein, Jeff (Research):</t>
        </r>
        <r>
          <rPr>
            <sz val="9"/>
            <color indexed="81"/>
            <rFont val="Tahoma"/>
            <family val="2"/>
          </rPr>
          <t xml:space="preserve">
2017 Investor Factbook</t>
        </r>
      </text>
    </comment>
    <comment ref="AY179" authorId="2">
      <text>
        <r>
          <rPr>
            <b/>
            <sz val="9"/>
            <color indexed="81"/>
            <rFont val="Tahoma"/>
            <family val="2"/>
          </rPr>
          <t>Goldstein, Jeff (Research):</t>
        </r>
        <r>
          <rPr>
            <sz val="9"/>
            <color indexed="81"/>
            <rFont val="Tahoma"/>
            <family val="2"/>
          </rPr>
          <t xml:space="preserve">
2017 Investor Factbook</t>
        </r>
      </text>
    </comment>
    <comment ref="BD179" authorId="2">
      <text>
        <r>
          <rPr>
            <b/>
            <sz val="9"/>
            <color indexed="81"/>
            <rFont val="Tahoma"/>
            <family val="2"/>
          </rPr>
          <t>Goldstein, Jeff (Research):</t>
        </r>
        <r>
          <rPr>
            <sz val="9"/>
            <color indexed="81"/>
            <rFont val="Tahoma"/>
            <family val="2"/>
          </rPr>
          <t xml:space="preserve">
2017 Investor Factbook</t>
        </r>
      </text>
    </comment>
    <comment ref="BI179" authorId="2">
      <text>
        <r>
          <rPr>
            <b/>
            <sz val="9"/>
            <color indexed="81"/>
            <rFont val="Tahoma"/>
            <family val="2"/>
          </rPr>
          <t>Goldstein, Jeff (Research):</t>
        </r>
        <r>
          <rPr>
            <sz val="9"/>
            <color indexed="81"/>
            <rFont val="Tahoma"/>
            <family val="2"/>
          </rPr>
          <t xml:space="preserve">
2017 Investor Factbook</t>
        </r>
      </text>
    </comment>
    <comment ref="P180" authorId="2">
      <text>
        <r>
          <rPr>
            <b/>
            <sz val="9"/>
            <color indexed="81"/>
            <rFont val="Tahoma"/>
            <family val="2"/>
          </rPr>
          <t>Goldstein, Jeff (Research):</t>
        </r>
        <r>
          <rPr>
            <sz val="9"/>
            <color indexed="81"/>
            <rFont val="Tahoma"/>
            <family val="2"/>
          </rPr>
          <t xml:space="preserve">
2017 Investor Factbook</t>
        </r>
      </text>
    </comment>
    <comment ref="AO180" authorId="2">
      <text>
        <r>
          <rPr>
            <b/>
            <sz val="9"/>
            <color indexed="81"/>
            <rFont val="Tahoma"/>
            <family val="2"/>
          </rPr>
          <t>Goldstein, Jeff (Research):</t>
        </r>
        <r>
          <rPr>
            <sz val="9"/>
            <color indexed="81"/>
            <rFont val="Tahoma"/>
            <family val="2"/>
          </rPr>
          <t xml:space="preserve">
2017 Investor Factbook</t>
        </r>
      </text>
    </comment>
    <comment ref="AT180" authorId="2">
      <text>
        <r>
          <rPr>
            <b/>
            <sz val="9"/>
            <color indexed="81"/>
            <rFont val="Tahoma"/>
            <family val="2"/>
          </rPr>
          <t>Goldstein, Jeff (Research):</t>
        </r>
        <r>
          <rPr>
            <sz val="9"/>
            <color indexed="81"/>
            <rFont val="Tahoma"/>
            <family val="2"/>
          </rPr>
          <t xml:space="preserve">
2017 Investor Factbook</t>
        </r>
      </text>
    </comment>
    <comment ref="AY180" authorId="2">
      <text>
        <r>
          <rPr>
            <b/>
            <sz val="9"/>
            <color indexed="81"/>
            <rFont val="Tahoma"/>
            <family val="2"/>
          </rPr>
          <t>Goldstein, Jeff (Research):</t>
        </r>
        <r>
          <rPr>
            <sz val="9"/>
            <color indexed="81"/>
            <rFont val="Tahoma"/>
            <family val="2"/>
          </rPr>
          <t xml:space="preserve">
2017 Investor Factbook</t>
        </r>
      </text>
    </comment>
    <comment ref="BD180" authorId="2">
      <text>
        <r>
          <rPr>
            <b/>
            <sz val="9"/>
            <color indexed="81"/>
            <rFont val="Tahoma"/>
            <family val="2"/>
          </rPr>
          <t>Goldstein, Jeff (Research):</t>
        </r>
        <r>
          <rPr>
            <sz val="9"/>
            <color indexed="81"/>
            <rFont val="Tahoma"/>
            <family val="2"/>
          </rPr>
          <t xml:space="preserve">
2017 Investor Factbook</t>
        </r>
      </text>
    </comment>
    <comment ref="BI180" authorId="2">
      <text>
        <r>
          <rPr>
            <b/>
            <sz val="9"/>
            <color indexed="81"/>
            <rFont val="Tahoma"/>
            <family val="2"/>
          </rPr>
          <t>Goldstein, Jeff (Research):</t>
        </r>
        <r>
          <rPr>
            <sz val="9"/>
            <color indexed="81"/>
            <rFont val="Tahoma"/>
            <family val="2"/>
          </rPr>
          <t xml:space="preserve">
2017 Investor Factbook</t>
        </r>
      </text>
    </comment>
    <comment ref="P181" authorId="2">
      <text>
        <r>
          <rPr>
            <b/>
            <sz val="9"/>
            <color indexed="81"/>
            <rFont val="Tahoma"/>
            <family val="2"/>
          </rPr>
          <t>Goldstein, Jeff (Research):</t>
        </r>
        <r>
          <rPr>
            <sz val="9"/>
            <color indexed="81"/>
            <rFont val="Tahoma"/>
            <family val="2"/>
          </rPr>
          <t xml:space="preserve">
2017 Investor Factbook</t>
        </r>
      </text>
    </comment>
    <comment ref="AO181" authorId="2">
      <text>
        <r>
          <rPr>
            <b/>
            <sz val="9"/>
            <color indexed="81"/>
            <rFont val="Tahoma"/>
            <family val="2"/>
          </rPr>
          <t>Goldstein, Jeff (Research):</t>
        </r>
        <r>
          <rPr>
            <sz val="9"/>
            <color indexed="81"/>
            <rFont val="Tahoma"/>
            <family val="2"/>
          </rPr>
          <t xml:space="preserve">
2017 Investor Factbook</t>
        </r>
      </text>
    </comment>
    <comment ref="AT181" authorId="2">
      <text>
        <r>
          <rPr>
            <b/>
            <sz val="9"/>
            <color indexed="81"/>
            <rFont val="Tahoma"/>
            <family val="2"/>
          </rPr>
          <t>Goldstein, Jeff (Research):</t>
        </r>
        <r>
          <rPr>
            <sz val="9"/>
            <color indexed="81"/>
            <rFont val="Tahoma"/>
            <family val="2"/>
          </rPr>
          <t xml:space="preserve">
2017 Investor Factbook</t>
        </r>
      </text>
    </comment>
    <comment ref="AY181" authorId="2">
      <text>
        <r>
          <rPr>
            <b/>
            <sz val="9"/>
            <color indexed="81"/>
            <rFont val="Tahoma"/>
            <family val="2"/>
          </rPr>
          <t>Goldstein, Jeff (Research):</t>
        </r>
        <r>
          <rPr>
            <sz val="9"/>
            <color indexed="81"/>
            <rFont val="Tahoma"/>
            <family val="2"/>
          </rPr>
          <t xml:space="preserve">
2017 Investor Factbook</t>
        </r>
      </text>
    </comment>
    <comment ref="BD181" authorId="2">
      <text>
        <r>
          <rPr>
            <b/>
            <sz val="9"/>
            <color indexed="81"/>
            <rFont val="Tahoma"/>
            <family val="2"/>
          </rPr>
          <t>Goldstein, Jeff (Research):</t>
        </r>
        <r>
          <rPr>
            <sz val="9"/>
            <color indexed="81"/>
            <rFont val="Tahoma"/>
            <family val="2"/>
          </rPr>
          <t xml:space="preserve">
2017 Investor Factbook</t>
        </r>
      </text>
    </comment>
    <comment ref="BI181" authorId="2">
      <text>
        <r>
          <rPr>
            <b/>
            <sz val="9"/>
            <color indexed="81"/>
            <rFont val="Tahoma"/>
            <family val="2"/>
          </rPr>
          <t>Goldstein, Jeff (Research):</t>
        </r>
        <r>
          <rPr>
            <sz val="9"/>
            <color indexed="81"/>
            <rFont val="Tahoma"/>
            <family val="2"/>
          </rPr>
          <t xml:space="preserve">
2017 Investor Factbook</t>
        </r>
      </text>
    </comment>
    <comment ref="P182" authorId="2">
      <text>
        <r>
          <rPr>
            <b/>
            <sz val="9"/>
            <color indexed="81"/>
            <rFont val="Tahoma"/>
            <family val="2"/>
          </rPr>
          <t>Goldstein, Jeff (Research):</t>
        </r>
        <r>
          <rPr>
            <sz val="9"/>
            <color indexed="81"/>
            <rFont val="Tahoma"/>
            <family val="2"/>
          </rPr>
          <t xml:space="preserve">
2017 Investor Factbook</t>
        </r>
      </text>
    </comment>
    <comment ref="AO182" authorId="2">
      <text>
        <r>
          <rPr>
            <b/>
            <sz val="9"/>
            <color indexed="81"/>
            <rFont val="Tahoma"/>
            <family val="2"/>
          </rPr>
          <t>Goldstein, Jeff (Research):</t>
        </r>
        <r>
          <rPr>
            <sz val="9"/>
            <color indexed="81"/>
            <rFont val="Tahoma"/>
            <family val="2"/>
          </rPr>
          <t xml:space="preserve">
2017 Investor Factbook</t>
        </r>
      </text>
    </comment>
    <comment ref="AT182" authorId="2">
      <text>
        <r>
          <rPr>
            <b/>
            <sz val="9"/>
            <color indexed="81"/>
            <rFont val="Tahoma"/>
            <family val="2"/>
          </rPr>
          <t>Goldstein, Jeff (Research):</t>
        </r>
        <r>
          <rPr>
            <sz val="9"/>
            <color indexed="81"/>
            <rFont val="Tahoma"/>
            <family val="2"/>
          </rPr>
          <t xml:space="preserve">
2017 Investor Factbook</t>
        </r>
      </text>
    </comment>
    <comment ref="AY182" authorId="2">
      <text>
        <r>
          <rPr>
            <b/>
            <sz val="9"/>
            <color indexed="81"/>
            <rFont val="Tahoma"/>
            <family val="2"/>
          </rPr>
          <t>Goldstein, Jeff (Research):</t>
        </r>
        <r>
          <rPr>
            <sz val="9"/>
            <color indexed="81"/>
            <rFont val="Tahoma"/>
            <family val="2"/>
          </rPr>
          <t xml:space="preserve">
2017 Investor Factbook</t>
        </r>
      </text>
    </comment>
    <comment ref="BD182" authorId="2">
      <text>
        <r>
          <rPr>
            <b/>
            <sz val="9"/>
            <color indexed="81"/>
            <rFont val="Tahoma"/>
            <family val="2"/>
          </rPr>
          <t>Goldstein, Jeff (Research):</t>
        </r>
        <r>
          <rPr>
            <sz val="9"/>
            <color indexed="81"/>
            <rFont val="Tahoma"/>
            <family val="2"/>
          </rPr>
          <t xml:space="preserve">
2017 Investor Factbook</t>
        </r>
      </text>
    </comment>
    <comment ref="BI182" authorId="2">
      <text>
        <r>
          <rPr>
            <b/>
            <sz val="9"/>
            <color indexed="81"/>
            <rFont val="Tahoma"/>
            <family val="2"/>
          </rPr>
          <t>Goldstein, Jeff (Research):</t>
        </r>
        <r>
          <rPr>
            <sz val="9"/>
            <color indexed="81"/>
            <rFont val="Tahoma"/>
            <family val="2"/>
          </rPr>
          <t xml:space="preserve">
2017 Investor Factbook</t>
        </r>
      </text>
    </comment>
    <comment ref="BO186" authorId="2">
      <text>
        <r>
          <rPr>
            <b/>
            <sz val="9"/>
            <color indexed="81"/>
            <rFont val="Tahoma"/>
            <family val="2"/>
          </rPr>
          <t>Goldstein, Jeff (Research):</t>
        </r>
        <r>
          <rPr>
            <sz val="9"/>
            <color indexed="81"/>
            <rFont val="Tahoma"/>
            <family val="2"/>
          </rPr>
          <t xml:space="preserve">
Restated</t>
        </r>
      </text>
    </comment>
    <comment ref="AZ197" authorId="3">
      <text>
        <r>
          <rPr>
            <b/>
            <sz val="9"/>
            <color indexed="81"/>
            <rFont val="Tahoma"/>
            <family val="2"/>
          </rPr>
          <t>Galindo, Denny:</t>
        </r>
        <r>
          <rPr>
            <sz val="9"/>
            <color indexed="81"/>
            <rFont val="Tahoma"/>
            <family val="2"/>
          </rPr>
          <t xml:space="preserve">
more loans on BS of banks</t>
        </r>
      </text>
    </comment>
    <comment ref="BH203" authorId="2">
      <text>
        <r>
          <rPr>
            <b/>
            <sz val="9"/>
            <color indexed="81"/>
            <rFont val="Tahoma"/>
            <family val="2"/>
          </rPr>
          <t>Goldstein, Jeff (Research):</t>
        </r>
        <r>
          <rPr>
            <sz val="9"/>
            <color indexed="81"/>
            <rFont val="Tahoma"/>
            <family val="2"/>
          </rPr>
          <t xml:space="preserve">
1st quarter of new reporting structure (legacy Market Intelligence business plus Platts). No longer includes J.D. Power</t>
        </r>
      </text>
    </comment>
    <comment ref="BH205" authorId="2">
      <text>
        <r>
          <rPr>
            <b/>
            <sz val="9"/>
            <color indexed="81"/>
            <rFont val="Tahoma"/>
            <family val="2"/>
          </rPr>
          <t>Goldstein, Jeff (Research):</t>
        </r>
        <r>
          <rPr>
            <sz val="9"/>
            <color indexed="81"/>
            <rFont val="Tahoma"/>
            <family val="2"/>
          </rPr>
          <t xml:space="preserve">
Now less transactional b/c no longer includes J.D. Power</t>
        </r>
      </text>
    </comment>
    <comment ref="BJ205" authorId="2">
      <text>
        <r>
          <rPr>
            <b/>
            <sz val="9"/>
            <color indexed="81"/>
            <rFont val="Tahoma"/>
            <family val="2"/>
          </rPr>
          <t>Goldstein, Jeff (Research):</t>
        </r>
        <r>
          <rPr>
            <sz val="9"/>
            <color indexed="81"/>
            <rFont val="Tahoma"/>
            <family val="2"/>
          </rPr>
          <t xml:space="preserve">
Now less transactional b/c no longer includes J.D. Power</t>
        </r>
      </text>
    </comment>
    <comment ref="BH207" authorId="2">
      <text>
        <r>
          <rPr>
            <b/>
            <sz val="9"/>
            <color indexed="81"/>
            <rFont val="Tahoma"/>
            <family val="2"/>
          </rPr>
          <t>Goldstein, Jeff (Research):</t>
        </r>
        <r>
          <rPr>
            <sz val="9"/>
            <color indexed="81"/>
            <rFont val="Tahoma"/>
            <family val="2"/>
          </rPr>
          <t xml:space="preserve">
1st quarter of new reporting structure (legacy Market Intelligence business plus Platts). No longer includes J.D. Power</t>
        </r>
      </text>
    </comment>
    <comment ref="BH213" authorId="2">
      <text>
        <r>
          <rPr>
            <b/>
            <sz val="9"/>
            <color indexed="81"/>
            <rFont val="Tahoma"/>
            <family val="2"/>
          </rPr>
          <t>Goldstein, Jeff (Research):</t>
        </r>
        <r>
          <rPr>
            <sz val="9"/>
            <color indexed="81"/>
            <rFont val="Tahoma"/>
            <family val="2"/>
          </rPr>
          <t xml:space="preserve">
1st quarter of new reporting structure (legacy Market Intelligence business plus Platts). No longer includes J.D. Power</t>
        </r>
      </text>
    </comment>
    <comment ref="BH215" authorId="2">
      <text>
        <r>
          <rPr>
            <b/>
            <sz val="9"/>
            <color indexed="81"/>
            <rFont val="Tahoma"/>
            <family val="2"/>
          </rPr>
          <t>Goldstein, Jeff (Research):</t>
        </r>
        <r>
          <rPr>
            <sz val="9"/>
            <color indexed="81"/>
            <rFont val="Tahoma"/>
            <family val="2"/>
          </rPr>
          <t xml:space="preserve">
4Q slides</t>
        </r>
      </text>
    </comment>
    <comment ref="BH222" authorId="2">
      <text>
        <r>
          <rPr>
            <b/>
            <sz val="9"/>
            <color indexed="81"/>
            <rFont val="Tahoma"/>
            <family val="2"/>
          </rPr>
          <t>Goldstein, Jeff (Research):</t>
        </r>
        <r>
          <rPr>
            <sz val="9"/>
            <color indexed="81"/>
            <rFont val="Tahoma"/>
            <family val="2"/>
          </rPr>
          <t xml:space="preserve">
Divestitures of J.D. Power, SPSE/CMA and Equity and
Fund Research</t>
        </r>
      </text>
    </comment>
    <comment ref="BJ222" authorId="2">
      <text>
        <r>
          <rPr>
            <b/>
            <sz val="9"/>
            <color indexed="81"/>
            <rFont val="Tahoma"/>
            <family val="2"/>
          </rPr>
          <t>Goldstein, Jeff (Research):</t>
        </r>
        <r>
          <rPr>
            <sz val="9"/>
            <color indexed="81"/>
            <rFont val="Tahoma"/>
            <family val="2"/>
          </rPr>
          <t xml:space="preserve">
118M of divested revenue from 1Q16. 11M of acquired revenue in 1Q17
Divestitures of J.D. Power, SPSE/CMA and Equity and
Fund Research</t>
        </r>
      </text>
    </comment>
    <comment ref="BK222" authorId="2">
      <text>
        <r>
          <rPr>
            <b/>
            <sz val="9"/>
            <color indexed="81"/>
            <rFont val="Tahoma"/>
            <family val="2"/>
          </rPr>
          <t>Goldstein, Jeff (Research):</t>
        </r>
        <r>
          <rPr>
            <sz val="9"/>
            <color indexed="81"/>
            <rFont val="Tahoma"/>
            <family val="2"/>
          </rPr>
          <t xml:space="preserve">
118M of divested revenue from 2Q16. 11M of acquired revenue in 2Q17
Divestitures of J.D. Power, SPSE/CMA and Equity and
Fund Research</t>
        </r>
      </text>
    </comment>
    <comment ref="BL222" authorId="2">
      <text>
        <r>
          <rPr>
            <b/>
            <sz val="9"/>
            <color indexed="81"/>
            <rFont val="Tahoma"/>
            <family val="2"/>
          </rPr>
          <t>Goldstein, Jeff (Research):</t>
        </r>
        <r>
          <rPr>
            <sz val="9"/>
            <color indexed="81"/>
            <rFont val="Tahoma"/>
            <family val="2"/>
          </rPr>
          <t xml:space="preserve">
92M of divested revenue from 3Q16, 9M of acquired revenue in 3Q17
Divestitures of J.D. Power, SPSE/CMA and Equity and
Fund Research
</t>
        </r>
      </text>
    </comment>
    <comment ref="BM222" authorId="2">
      <text>
        <r>
          <rPr>
            <b/>
            <sz val="9"/>
            <color indexed="81"/>
            <rFont val="Tahoma"/>
            <family val="2"/>
          </rPr>
          <t>Goldstein, Jeff (Research):</t>
        </r>
        <r>
          <rPr>
            <sz val="9"/>
            <color indexed="81"/>
            <rFont val="Tahoma"/>
            <family val="2"/>
          </rPr>
          <t xml:space="preserve">
6M of divested revenue</t>
        </r>
      </text>
    </comment>
    <comment ref="A235" authorId="2">
      <text>
        <r>
          <rPr>
            <b/>
            <sz val="9"/>
            <color indexed="81"/>
            <rFont val="Tahoma"/>
            <family val="2"/>
          </rPr>
          <t>Goldstein, Jeff (Research):</t>
        </r>
        <r>
          <rPr>
            <sz val="9"/>
            <color indexed="81"/>
            <rFont val="Tahoma"/>
            <family val="2"/>
          </rPr>
          <t xml:space="preserve">
Non-subscription revenue is related to certain advisory, pricing and analytical services.</t>
        </r>
      </text>
    </comment>
    <comment ref="A239" authorId="2">
      <text>
        <r>
          <rPr>
            <b/>
            <sz val="9"/>
            <color indexed="81"/>
            <rFont val="Tahoma"/>
            <family val="2"/>
          </rPr>
          <t>Goldstein, Jeff (Research):</t>
        </r>
        <r>
          <rPr>
            <sz val="9"/>
            <color indexed="81"/>
            <rFont val="Tahoma"/>
            <family val="2"/>
          </rPr>
          <t xml:space="preserve">
Subscription revenue is related to credit ratings-related information products, S&amp;P Capital IQ Desktop, investment research products and other data subscriptions</t>
        </r>
      </text>
    </comment>
    <comment ref="BJ239" authorId="2">
      <text>
        <r>
          <rPr>
            <b/>
            <sz val="9"/>
            <color indexed="81"/>
            <rFont val="Tahoma"/>
            <family val="2"/>
          </rPr>
          <t>Goldstein, Jeff (Research):</t>
        </r>
        <r>
          <rPr>
            <sz val="9"/>
            <color indexed="81"/>
            <rFont val="Tahoma"/>
            <family val="2"/>
          </rPr>
          <t xml:space="preserve">
Includes asset linked fees</t>
        </r>
      </text>
    </comment>
    <comment ref="BO239" authorId="2">
      <text>
        <r>
          <rPr>
            <b/>
            <sz val="9"/>
            <color indexed="81"/>
            <rFont val="Tahoma"/>
            <family val="2"/>
          </rPr>
          <t>Goldstein, Jeff (Research):</t>
        </r>
        <r>
          <rPr>
            <sz val="9"/>
            <color indexed="81"/>
            <rFont val="Tahoma"/>
            <family val="2"/>
          </rPr>
          <t xml:space="preserve">
Includes asset linked fees</t>
        </r>
      </text>
    </comment>
    <comment ref="AN247" authorId="2">
      <text>
        <r>
          <rPr>
            <b/>
            <sz val="9"/>
            <color indexed="81"/>
            <rFont val="Tahoma"/>
            <family val="2"/>
          </rPr>
          <t>Goldstein, Jeff (Research):</t>
        </r>
        <r>
          <rPr>
            <sz val="9"/>
            <color indexed="81"/>
            <rFont val="Tahoma"/>
            <family val="2"/>
          </rPr>
          <t xml:space="preserve">
Excluding CMA, R2 Financial, and QuantHouse, revenue
increased 5% for 4Q 2012 and 7% for full-year 2012</t>
        </r>
      </text>
    </comment>
    <comment ref="AO247" authorId="2">
      <text>
        <r>
          <rPr>
            <b/>
            <sz val="9"/>
            <color indexed="81"/>
            <rFont val="Tahoma"/>
            <family val="2"/>
          </rPr>
          <t>Goldstein, Jeff (Research):</t>
        </r>
        <r>
          <rPr>
            <sz val="9"/>
            <color indexed="81"/>
            <rFont val="Tahoma"/>
            <family val="2"/>
          </rPr>
          <t xml:space="preserve">
Excluding CMA, R2 Financial, and QuantHouse, revenue
increased 5% for 4Q 2012 and 7% for full-year 2012</t>
        </r>
      </text>
    </comment>
    <comment ref="AP247" authorId="2">
      <text>
        <r>
          <rPr>
            <b/>
            <sz val="9"/>
            <color indexed="81"/>
            <rFont val="Tahoma"/>
            <family val="2"/>
          </rPr>
          <t>Goldstein, Jeff (Research):</t>
        </r>
        <r>
          <rPr>
            <sz val="9"/>
            <color indexed="81"/>
            <rFont val="Tahoma"/>
            <family val="2"/>
          </rPr>
          <t xml:space="preserve">
Excluding recent acquisitions and closure of several regional products organic revenue grew 3%</t>
        </r>
      </text>
    </comment>
    <comment ref="AQ247" authorId="2">
      <text>
        <r>
          <rPr>
            <b/>
            <sz val="9"/>
            <color indexed="81"/>
            <rFont val="Tahoma"/>
            <family val="2"/>
          </rPr>
          <t>Goldstein, Jeff (Research):</t>
        </r>
        <r>
          <rPr>
            <sz val="9"/>
            <color indexed="81"/>
            <rFont val="Tahoma"/>
            <family val="2"/>
          </rPr>
          <t xml:space="preserve">
Revenue from recent acquisitions offset the lost revenue from the ongoing portfolio rationalization of several small products</t>
        </r>
      </text>
    </comment>
    <comment ref="AR247" authorId="2">
      <text>
        <r>
          <rPr>
            <b/>
            <sz val="9"/>
            <color indexed="81"/>
            <rFont val="Tahoma"/>
            <family val="2"/>
          </rPr>
          <t>Goldstein, Jeff (Research):</t>
        </r>
        <r>
          <rPr>
            <sz val="9"/>
            <color indexed="81"/>
            <rFont val="Tahoma"/>
            <family val="2"/>
          </rPr>
          <t xml:space="preserve">
Organic growth was approximately 5% excluding lost revenue from ongoing portfolio rationalization of several small products</t>
        </r>
      </text>
    </comment>
    <comment ref="AS247" authorId="2">
      <text>
        <r>
          <rPr>
            <b/>
            <sz val="9"/>
            <color indexed="81"/>
            <rFont val="Tahoma"/>
            <family val="2"/>
          </rPr>
          <t>Goldstein, Jeff (Research):</t>
        </r>
        <r>
          <rPr>
            <sz val="9"/>
            <color indexed="81"/>
            <rFont val="Tahoma"/>
            <family val="2"/>
          </rPr>
          <t xml:space="preserve">
Organic growth was approximately 5% excluding lost revenue from ongoing portfolio rationalization of several small products</t>
        </r>
      </text>
    </comment>
    <comment ref="AU247" authorId="2">
      <text>
        <r>
          <rPr>
            <b/>
            <sz val="9"/>
            <color indexed="81"/>
            <rFont val="Tahoma"/>
            <family val="2"/>
          </rPr>
          <t>Goldstein, Jeff (Research):</t>
        </r>
        <r>
          <rPr>
            <sz val="9"/>
            <color indexed="81"/>
            <rFont val="Tahoma"/>
            <family val="2"/>
          </rPr>
          <t xml:space="preserve">
Organic growth was approximately 6% excluding lost revenue from ongoing portfolio rationalization of several small products</t>
        </r>
      </text>
    </comment>
    <comment ref="AV247" authorId="2">
      <text>
        <r>
          <rPr>
            <b/>
            <sz val="9"/>
            <color indexed="81"/>
            <rFont val="Tahoma"/>
            <family val="2"/>
          </rPr>
          <t>Goldstein, Jeff (Research):</t>
        </r>
        <r>
          <rPr>
            <sz val="9"/>
            <color indexed="81"/>
            <rFont val="Tahoma"/>
            <family val="2"/>
          </rPr>
          <t xml:space="preserve">
Organic growth was 9% excluding lost revenue from 2013 portfolio rationalization</t>
        </r>
      </text>
    </comment>
    <comment ref="AW247" authorId="2">
      <text>
        <r>
          <rPr>
            <b/>
            <sz val="9"/>
            <color indexed="81"/>
            <rFont val="Tahoma"/>
            <family val="2"/>
          </rPr>
          <t>Goldstein, Jeff (Research):</t>
        </r>
        <r>
          <rPr>
            <sz val="9"/>
            <color indexed="81"/>
            <rFont val="Tahoma"/>
            <family val="2"/>
          </rPr>
          <t xml:space="preserve">
Organic growth was approximately 7% excluding lost revenue from portfolio rationalization of several small products</t>
        </r>
      </text>
    </comment>
    <comment ref="AX247" authorId="2">
      <text>
        <r>
          <rPr>
            <b/>
            <sz val="9"/>
            <color indexed="81"/>
            <rFont val="Tahoma"/>
            <family val="2"/>
          </rPr>
          <t>Goldstein, Jeff (Research):</t>
        </r>
        <r>
          <rPr>
            <sz val="9"/>
            <color indexed="81"/>
            <rFont val="Tahoma"/>
            <family val="2"/>
          </rPr>
          <t xml:space="preserve">
Organic growth for the full‐year 2014 and 4Q 2014 was 7% and 6%, respectively, excluding lost revenue from product rationalization</t>
        </r>
      </text>
    </comment>
    <comment ref="AY247" authorId="2">
      <text>
        <r>
          <rPr>
            <b/>
            <sz val="9"/>
            <color indexed="81"/>
            <rFont val="Tahoma"/>
            <family val="2"/>
          </rPr>
          <t>Goldstein, Jeff (Research):</t>
        </r>
        <r>
          <rPr>
            <sz val="9"/>
            <color indexed="81"/>
            <rFont val="Tahoma"/>
            <family val="2"/>
          </rPr>
          <t xml:space="preserve">
Organic growth for the full‐year 2014 and 4Q 2014 was 7% and 6%, respectively, excluding lost revenue from product rationalization</t>
        </r>
      </text>
    </comment>
    <comment ref="AZ247" authorId="2">
      <text>
        <r>
          <rPr>
            <b/>
            <sz val="9"/>
            <color indexed="81"/>
            <rFont val="Tahoma"/>
            <family val="2"/>
          </rPr>
          <t>Goldstein, Jeff (Research):</t>
        </r>
        <r>
          <rPr>
            <sz val="9"/>
            <color indexed="81"/>
            <rFont val="Tahoma"/>
            <family val="2"/>
          </rPr>
          <t xml:space="preserve">
Organic growth for 1Q 2015 was 7%, excluding lost revenue from product rationalization</t>
        </r>
      </text>
    </comment>
    <comment ref="BB247" authorId="3">
      <text>
        <r>
          <rPr>
            <b/>
            <sz val="9"/>
            <color indexed="81"/>
            <rFont val="Tahoma"/>
            <family val="2"/>
          </rPr>
          <t>Galindo, Denny:</t>
        </r>
        <r>
          <rPr>
            <sz val="9"/>
            <color indexed="81"/>
            <rFont val="Tahoma"/>
            <family val="2"/>
          </rPr>
          <t xml:space="preserve">
7% EX snl and product Closures</t>
        </r>
      </text>
    </comment>
    <comment ref="BE247" authorId="2">
      <text>
        <r>
          <rPr>
            <b/>
            <sz val="9"/>
            <color indexed="81"/>
            <rFont val="Tahoma"/>
            <family val="2"/>
          </rPr>
          <t>Goldstein, Jeff (Research):</t>
        </r>
        <r>
          <rPr>
            <sz val="9"/>
            <color indexed="81"/>
            <rFont val="Tahoma"/>
            <family val="2"/>
          </rPr>
          <t xml:space="preserve">
Adjusted for 1M of product closures in 2015</t>
        </r>
      </text>
    </comment>
    <comment ref="BF247" authorId="2">
      <text>
        <r>
          <rPr>
            <b/>
            <sz val="9"/>
            <color indexed="81"/>
            <rFont val="Tahoma"/>
            <family val="2"/>
          </rPr>
          <t>Goldstein, Jeff (Research):</t>
        </r>
        <r>
          <rPr>
            <sz val="9"/>
            <color indexed="81"/>
            <rFont val="Tahoma"/>
            <family val="2"/>
          </rPr>
          <t xml:space="preserve">
2Q15 revenue adjusted for 1M of product closures</t>
        </r>
      </text>
    </comment>
    <comment ref="BH247" authorId="2">
      <text>
        <r>
          <rPr>
            <b/>
            <sz val="9"/>
            <color indexed="81"/>
            <rFont val="Tahoma"/>
            <family val="2"/>
          </rPr>
          <t>Goldstein, Jeff (Research):</t>
        </r>
        <r>
          <rPr>
            <sz val="9"/>
            <color indexed="81"/>
            <rFont val="Tahoma"/>
            <family val="2"/>
          </rPr>
          <t xml:space="preserve">
Disclosed. (4Q earnings). SNL grew 14% organically</t>
        </r>
      </text>
    </comment>
    <comment ref="BI247" authorId="2">
      <text>
        <r>
          <rPr>
            <b/>
            <sz val="9"/>
            <color indexed="81"/>
            <rFont val="Tahoma"/>
            <family val="2"/>
          </rPr>
          <t>Goldstein, Jeff (Research):</t>
        </r>
        <r>
          <rPr>
            <sz val="9"/>
            <color indexed="81"/>
            <rFont val="Tahoma"/>
            <family val="2"/>
          </rPr>
          <t xml:space="preserve">
Removes the 4Q divested from 2015 rev</t>
        </r>
      </text>
    </comment>
    <comment ref="BP250" authorId="2">
      <text>
        <r>
          <rPr>
            <b/>
            <sz val="9"/>
            <color indexed="81"/>
            <rFont val="Tahoma"/>
            <family val="2"/>
          </rPr>
          <t>Goldstein, Jeff (Research):</t>
        </r>
        <r>
          <rPr>
            <sz val="9"/>
            <color indexed="81"/>
            <rFont val="Tahoma"/>
            <family val="2"/>
          </rPr>
          <t xml:space="preserve">
Assumes incremental  $10M of revenue synergies 
Guidance is for $105M of synergies by 2019 ($85M/cost, $20M/revenue)</t>
        </r>
      </text>
    </comment>
    <comment ref="BQ250" authorId="2">
      <text>
        <r>
          <rPr>
            <b/>
            <sz val="9"/>
            <color indexed="81"/>
            <rFont val="Tahoma"/>
            <family val="2"/>
          </rPr>
          <t>Goldstein, Jeff (Research):</t>
        </r>
        <r>
          <rPr>
            <sz val="9"/>
            <color indexed="81"/>
            <rFont val="Tahoma"/>
            <family val="2"/>
          </rPr>
          <t xml:space="preserve">
Assumes incremental  $10M of revenue synergies 
Guidance is for $105M of synergies by 2019 ($85M/cost, $20M/revenue)</t>
        </r>
      </text>
    </comment>
    <comment ref="BR250" authorId="2">
      <text>
        <r>
          <rPr>
            <b/>
            <sz val="9"/>
            <color indexed="81"/>
            <rFont val="Tahoma"/>
            <family val="2"/>
          </rPr>
          <t>Goldstein, Jeff (Research):</t>
        </r>
        <r>
          <rPr>
            <sz val="9"/>
            <color indexed="81"/>
            <rFont val="Tahoma"/>
            <family val="2"/>
          </rPr>
          <t xml:space="preserve">
Assumes incremental  $10M of revenue synergies 
Guidance is for $105M of synergies by 2019 ($85M/cost, $20M/revenue)</t>
        </r>
      </text>
    </comment>
    <comment ref="BH253" authorId="2">
      <text>
        <r>
          <rPr>
            <b/>
            <sz val="9"/>
            <color indexed="81"/>
            <rFont val="Tahoma"/>
            <family val="2"/>
          </rPr>
          <t>Goldstein, Jeff (Research):</t>
        </r>
        <r>
          <rPr>
            <sz val="9"/>
            <color indexed="81"/>
            <rFont val="Tahoma"/>
            <family val="2"/>
          </rPr>
          <t xml:space="preserve">
Organic revenue within Market Intelligence increased 10% (4Q slides)</t>
        </r>
      </text>
    </comment>
    <comment ref="BB254" authorId="3">
      <text>
        <r>
          <rPr>
            <b/>
            <sz val="9"/>
            <color indexed="81"/>
            <rFont val="Tahoma"/>
            <family val="2"/>
          </rPr>
          <t>Galindo, Denny:</t>
        </r>
        <r>
          <rPr>
            <sz val="9"/>
            <color indexed="81"/>
            <rFont val="Tahoma"/>
            <family val="2"/>
          </rPr>
          <t xml:space="preserve">
includes some product closures</t>
        </r>
      </text>
    </comment>
    <comment ref="BC254" authorId="2">
      <text>
        <r>
          <rPr>
            <b/>
            <sz val="9"/>
            <color indexed="81"/>
            <rFont val="Tahoma"/>
            <family val="2"/>
          </rPr>
          <t>Goldstein, Jeff (Research):</t>
        </r>
        <r>
          <rPr>
            <sz val="9"/>
            <color indexed="81"/>
            <rFont val="Tahoma"/>
            <family val="2"/>
          </rPr>
          <t xml:space="preserve">
An increase of 14% compared to 4Q14 (4Q15 investor slides)</t>
        </r>
      </text>
    </comment>
    <comment ref="BE254" authorId="2">
      <text>
        <r>
          <rPr>
            <b/>
            <sz val="9"/>
            <color indexed="81"/>
            <rFont val="Tahoma"/>
            <family val="2"/>
          </rPr>
          <t>Goldstein, Jeff (Research):</t>
        </r>
        <r>
          <rPr>
            <sz val="9"/>
            <color indexed="81"/>
            <rFont val="Tahoma"/>
            <family val="2"/>
          </rPr>
          <t xml:space="preserve">
SNL revenue increased 13% y/y</t>
        </r>
      </text>
    </comment>
    <comment ref="BF254" authorId="2">
      <text>
        <r>
          <rPr>
            <b/>
            <sz val="9"/>
            <color indexed="81"/>
            <rFont val="Tahoma"/>
            <family val="2"/>
          </rPr>
          <t>Goldstein, Jeff (Research):</t>
        </r>
        <r>
          <rPr>
            <sz val="9"/>
            <color indexed="81"/>
            <rFont val="Tahoma"/>
            <family val="2"/>
          </rPr>
          <t xml:space="preserve">
Core SNL revenue grew 10% y/y</t>
        </r>
      </text>
    </comment>
    <comment ref="BG254" authorId="2">
      <text>
        <r>
          <rPr>
            <b/>
            <sz val="9"/>
            <color indexed="81"/>
            <rFont val="Tahoma"/>
            <family val="2"/>
          </rPr>
          <t>Goldstein, Jeff (Research):</t>
        </r>
        <r>
          <rPr>
            <sz val="9"/>
            <color indexed="81"/>
            <rFont val="Tahoma"/>
            <family val="2"/>
          </rPr>
          <t xml:space="preserve">
Core SNL revenue grew 12% y/y</t>
        </r>
      </text>
    </comment>
    <comment ref="BH254" authorId="2">
      <text>
        <r>
          <rPr>
            <b/>
            <sz val="9"/>
            <color indexed="81"/>
            <rFont val="Tahoma"/>
            <family val="2"/>
          </rPr>
          <t>Goldstein, Jeff (Research):</t>
        </r>
        <r>
          <rPr>
            <sz val="9"/>
            <color indexed="81"/>
            <rFont val="Tahoma"/>
            <family val="2"/>
          </rPr>
          <t xml:space="preserve">
Divested SPSE/CMA pricing businesses and Equity and Fund Research
All deals completed in 4Q16</t>
        </r>
      </text>
    </comment>
    <comment ref="BJ254" authorId="2">
      <text>
        <r>
          <rPr>
            <b/>
            <sz val="9"/>
            <color indexed="81"/>
            <rFont val="Tahoma"/>
            <family val="2"/>
          </rPr>
          <t>Goldstein, Jeff (Research):</t>
        </r>
        <r>
          <rPr>
            <sz val="9"/>
            <color indexed="81"/>
            <rFont val="Tahoma"/>
            <family val="2"/>
          </rPr>
          <t xml:space="preserve">
Divested SPSE/CMA pricing businesses and Equity and Fund Research
38M divested revenue reported in 1Q</t>
        </r>
      </text>
    </comment>
    <comment ref="BK254" authorId="2">
      <text>
        <r>
          <rPr>
            <b/>
            <sz val="9"/>
            <color indexed="81"/>
            <rFont val="Tahoma"/>
            <family val="2"/>
          </rPr>
          <t>Goldstein, Jeff (Research):</t>
        </r>
        <r>
          <rPr>
            <sz val="9"/>
            <color indexed="81"/>
            <rFont val="Tahoma"/>
            <family val="2"/>
          </rPr>
          <t xml:space="preserve">
Divested SPSE/CMA pricing businesses and Equity and Fund Research
37M divested revenue reported in 2Q</t>
        </r>
      </text>
    </comment>
    <comment ref="BL254" authorId="2">
      <text>
        <r>
          <rPr>
            <b/>
            <sz val="9"/>
            <color indexed="81"/>
            <rFont val="Tahoma"/>
            <family val="2"/>
          </rPr>
          <t>Goldstein, Jeff (Research):</t>
        </r>
        <r>
          <rPr>
            <sz val="9"/>
            <color indexed="81"/>
            <rFont val="Tahoma"/>
            <family val="2"/>
          </rPr>
          <t xml:space="preserve">
37M of revenue divested reported in 3Q</t>
        </r>
      </text>
    </comment>
    <comment ref="BM254" authorId="2">
      <text>
        <r>
          <rPr>
            <b/>
            <sz val="9"/>
            <color indexed="81"/>
            <rFont val="Tahoma"/>
            <family val="2"/>
          </rPr>
          <t>Goldstein, Jeff (Research):</t>
        </r>
        <r>
          <rPr>
            <sz val="9"/>
            <color indexed="81"/>
            <rFont val="Tahoma"/>
            <family val="2"/>
          </rPr>
          <t xml:space="preserve">
6M of divested revenue</t>
        </r>
      </text>
    </comment>
    <comment ref="A264" authorId="2">
      <text>
        <r>
          <rPr>
            <b/>
            <sz val="9"/>
            <color indexed="81"/>
            <rFont val="Tahoma"/>
            <family val="2"/>
          </rPr>
          <t>Goldstein, Jeff (Research):</t>
        </r>
        <r>
          <rPr>
            <sz val="9"/>
            <color indexed="81"/>
            <rFont val="Tahoma"/>
            <family val="2"/>
          </rPr>
          <t xml:space="preserve">
A product suite that provides data, analytics and third-party research for global finance professionals, which includes the S&amp;P Capital IQ Desktop, SNL, Leveraged Commentary &amp; Data, Investment Advisory and integrated bulk data feeds that can be customized, which include CUSIP and Compustat; </t>
        </r>
      </text>
    </comment>
    <comment ref="AU265" authorId="3">
      <text>
        <r>
          <rPr>
            <b/>
            <sz val="9"/>
            <color indexed="81"/>
            <rFont val="Tahoma"/>
            <family val="2"/>
          </rPr>
          <t>Galindo, Denny:</t>
        </r>
        <r>
          <rPr>
            <sz val="9"/>
            <color indexed="81"/>
            <rFont val="Tahoma"/>
            <family val="2"/>
          </rPr>
          <t xml:space="preserve">
8% increase in Cap IQ desktop revenue</t>
        </r>
      </text>
    </comment>
    <comment ref="AV265" authorId="3">
      <text>
        <r>
          <rPr>
            <b/>
            <sz val="9"/>
            <color indexed="81"/>
            <rFont val="Tahoma"/>
            <family val="2"/>
          </rPr>
          <t>Galindo, Denny:</t>
        </r>
        <r>
          <rPr>
            <sz val="9"/>
            <color indexed="81"/>
            <rFont val="Tahoma"/>
            <family val="2"/>
          </rPr>
          <t xml:space="preserve">
12% desktop revenue</t>
        </r>
      </text>
    </comment>
    <comment ref="AW265" authorId="3">
      <text>
        <r>
          <rPr>
            <b/>
            <sz val="9"/>
            <color indexed="81"/>
            <rFont val="Tahoma"/>
            <family val="2"/>
          </rPr>
          <t>Galindo, Denny:</t>
        </r>
        <r>
          <rPr>
            <sz val="9"/>
            <color indexed="81"/>
            <rFont val="Tahoma"/>
            <family val="2"/>
          </rPr>
          <t xml:space="preserve">
13% increase in Desktop</t>
        </r>
      </text>
    </comment>
    <comment ref="AZ265" authorId="3">
      <text>
        <r>
          <rPr>
            <b/>
            <sz val="9"/>
            <color indexed="81"/>
            <rFont val="Tahoma"/>
            <family val="2"/>
          </rPr>
          <t>Galindo, Denny:</t>
        </r>
        <r>
          <rPr>
            <sz val="9"/>
            <color indexed="81"/>
            <rFont val="Tahoma"/>
            <family val="2"/>
          </rPr>
          <t xml:space="preserve">
desktop up low tweens</t>
        </r>
      </text>
    </comment>
    <comment ref="BA265" authorId="2">
      <text>
        <r>
          <rPr>
            <b/>
            <sz val="9"/>
            <color indexed="81"/>
            <rFont val="Tahoma"/>
            <family val="2"/>
          </rPr>
          <t>Goldstein, Jeff (Research):</t>
        </r>
        <r>
          <rPr>
            <sz val="9"/>
            <color indexed="81"/>
            <rFont val="Tahoma"/>
            <family val="2"/>
          </rPr>
          <t xml:space="preserve">
DD increase in desktop</t>
        </r>
      </text>
    </comment>
    <comment ref="BC265" authorId="3">
      <text>
        <r>
          <rPr>
            <b/>
            <sz val="9"/>
            <color indexed="81"/>
            <rFont val="Tahoma"/>
            <family val="2"/>
          </rPr>
          <t>Galindo, Denny:</t>
        </r>
        <r>
          <rPr>
            <sz val="9"/>
            <color indexed="81"/>
            <rFont val="Tahoma"/>
            <family val="2"/>
          </rPr>
          <t xml:space="preserve">
Core SNL revenue increased 14%</t>
        </r>
      </text>
    </comment>
    <comment ref="BE265" authorId="2">
      <text>
        <r>
          <rPr>
            <b/>
            <sz val="9"/>
            <color indexed="81"/>
            <rFont val="Tahoma"/>
            <family val="2"/>
          </rPr>
          <t>Goldstein, Jeff (Research):</t>
        </r>
        <r>
          <rPr>
            <sz val="9"/>
            <color indexed="81"/>
            <rFont val="Tahoma"/>
            <family val="2"/>
          </rPr>
          <t xml:space="preserve">
Trancript: HSD increase in Desktop revenue</t>
        </r>
      </text>
    </comment>
    <comment ref="BF265" authorId="2">
      <text>
        <r>
          <rPr>
            <b/>
            <sz val="9"/>
            <color indexed="81"/>
            <rFont val="Tahoma"/>
            <family val="2"/>
          </rPr>
          <t>Goldstein, Jeff (Research):</t>
        </r>
        <r>
          <rPr>
            <sz val="9"/>
            <color indexed="81"/>
            <rFont val="Tahoma"/>
            <family val="2"/>
          </rPr>
          <t xml:space="preserve">
Capital IQ Desktop and Enterprise Solutions delivered high single digit growth
Energy and Media verticals delivered the highest SNL growth rates
</t>
        </r>
      </text>
    </comment>
    <comment ref="BH265" authorId="2">
      <text>
        <r>
          <rPr>
            <b/>
            <sz val="9"/>
            <color indexed="81"/>
            <rFont val="Tahoma"/>
            <family val="2"/>
          </rPr>
          <t>Goldstein, Jeff (Research):</t>
        </r>
        <r>
          <rPr>
            <sz val="9"/>
            <color indexed="81"/>
            <rFont val="Tahoma"/>
            <family val="2"/>
          </rPr>
          <t xml:space="preserve">
S&amp;P Capital IQ
Desktop
delivered high
single-digit
growth</t>
        </r>
      </text>
    </comment>
    <comment ref="BH266" authorId="2">
      <text>
        <r>
          <rPr>
            <b/>
            <sz val="9"/>
            <color indexed="81"/>
            <rFont val="Tahoma"/>
            <family val="2"/>
          </rPr>
          <t>Goldstein, Jeff (Research):</t>
        </r>
        <r>
          <rPr>
            <sz val="9"/>
            <color indexed="81"/>
            <rFont val="Tahoma"/>
            <family val="2"/>
          </rPr>
          <t xml:space="preserve">
U.S. FIG,
IR Solutions,
Energy, and
International FIG
verticals were
the largest
contributors of
growth</t>
        </r>
      </text>
    </comment>
    <comment ref="A267" authorId="2">
      <text>
        <r>
          <rPr>
            <b/>
            <sz val="9"/>
            <color indexed="81"/>
            <rFont val="Tahoma"/>
            <family val="2"/>
          </rPr>
          <t>Goldstein, Jeff (Research):</t>
        </r>
        <r>
          <rPr>
            <sz val="9"/>
            <color indexed="81"/>
            <rFont val="Tahoma"/>
            <family val="2"/>
          </rPr>
          <t xml:space="preserve">
Commercial arm that sells S&amp;P Global Ratings' credit ratings and related data, analytics and research, which includes subscription-based offerings, RatingsDirect® and RatingsXpress®; and</t>
        </r>
      </text>
    </comment>
    <comment ref="AU267" authorId="3">
      <text>
        <r>
          <rPr>
            <b/>
            <sz val="9"/>
            <color indexed="81"/>
            <rFont val="Tahoma"/>
            <family val="2"/>
          </rPr>
          <t>Galindo, Denny:</t>
        </r>
        <r>
          <rPr>
            <sz val="9"/>
            <color indexed="81"/>
            <rFont val="Tahoma"/>
            <family val="2"/>
          </rPr>
          <t xml:space="preserve">
5%8% increase in ratinsg express</t>
        </r>
      </text>
    </comment>
    <comment ref="AV267" authorId="3">
      <text>
        <r>
          <rPr>
            <b/>
            <sz val="9"/>
            <color indexed="81"/>
            <rFont val="Tahoma"/>
            <family val="2"/>
          </rPr>
          <t>Galindo, Denny:</t>
        </r>
        <r>
          <rPr>
            <sz val="9"/>
            <color indexed="81"/>
            <rFont val="Tahoma"/>
            <family val="2"/>
          </rPr>
          <t xml:space="preserve">
11% in Ratings express</t>
        </r>
      </text>
    </comment>
    <comment ref="AW267" authorId="3">
      <text>
        <r>
          <rPr>
            <b/>
            <sz val="9"/>
            <color indexed="81"/>
            <rFont val="Tahoma"/>
            <family val="2"/>
          </rPr>
          <t>Galindo, Denny:</t>
        </r>
        <r>
          <rPr>
            <sz val="9"/>
            <color indexed="81"/>
            <rFont val="Tahoma"/>
            <family val="2"/>
          </rPr>
          <t xml:space="preserve">
11% growth in ratinsg express</t>
        </r>
      </text>
    </comment>
    <comment ref="AZ267" authorId="3">
      <text>
        <r>
          <rPr>
            <b/>
            <sz val="9"/>
            <color indexed="81"/>
            <rFont val="Tahoma"/>
            <family val="2"/>
          </rPr>
          <t>Galindo, Denny:</t>
        </r>
        <r>
          <rPr>
            <sz val="9"/>
            <color indexed="81"/>
            <rFont val="Tahoma"/>
            <family val="2"/>
          </rPr>
          <t xml:space="preserve">
single digit growth in ratings express</t>
        </r>
      </text>
    </comment>
    <comment ref="BA267" authorId="2">
      <text>
        <r>
          <rPr>
            <b/>
            <sz val="9"/>
            <color indexed="81"/>
            <rFont val="Tahoma"/>
            <family val="2"/>
          </rPr>
          <t>Goldstein, Jeff (Research):</t>
        </r>
        <r>
          <rPr>
            <sz val="9"/>
            <color indexed="81"/>
            <rFont val="Tahoma"/>
            <family val="2"/>
          </rPr>
          <t xml:space="preserve">
Consistent growth in RatingsXpress and RatingsDirect</t>
        </r>
      </text>
    </comment>
    <comment ref="BB267" authorId="3">
      <text>
        <r>
          <rPr>
            <b/>
            <sz val="9"/>
            <color indexed="81"/>
            <rFont val="Tahoma"/>
            <family val="2"/>
          </rPr>
          <t>Galindo, Denny:</t>
        </r>
        <r>
          <rPr>
            <sz val="9"/>
            <color indexed="81"/>
            <rFont val="Tahoma"/>
            <family val="2"/>
          </rPr>
          <t xml:space="preserve">
MCO growing 7% organically</t>
        </r>
      </text>
    </comment>
    <comment ref="BE267" authorId="2">
      <text>
        <r>
          <rPr>
            <b/>
            <sz val="9"/>
            <color indexed="81"/>
            <rFont val="Tahoma"/>
            <family val="2"/>
          </rPr>
          <t>Goldstein, Jeff (Research):</t>
        </r>
        <r>
          <rPr>
            <sz val="9"/>
            <color indexed="81"/>
            <rFont val="Tahoma"/>
            <family val="2"/>
          </rPr>
          <t xml:space="preserve">
Transcript: Double digit Ratings Express growth. Used to meet regulatory reporting needs</t>
        </r>
      </text>
    </comment>
    <comment ref="BF267" authorId="2">
      <text>
        <r>
          <rPr>
            <b/>
            <sz val="9"/>
            <color indexed="81"/>
            <rFont val="Tahoma"/>
            <family val="2"/>
          </rPr>
          <t>Goldstein, Jeff (Research):</t>
        </r>
        <r>
          <rPr>
            <sz val="9"/>
            <color indexed="81"/>
            <rFont val="Tahoma"/>
            <family val="2"/>
          </rPr>
          <t xml:space="preserve">
RatingsXpress had double-digit growth. RatingsDirect delivered mid single digit growth</t>
        </r>
      </text>
    </comment>
    <comment ref="BH267" authorId="2">
      <text>
        <r>
          <rPr>
            <b/>
            <sz val="9"/>
            <color indexed="81"/>
            <rFont val="Tahoma"/>
            <family val="2"/>
          </rPr>
          <t>Goldstein, Jeff (Research):</t>
        </r>
        <r>
          <rPr>
            <sz val="9"/>
            <color indexed="81"/>
            <rFont val="Tahoma"/>
            <family val="2"/>
          </rPr>
          <t xml:space="preserve">
RatingsXpress® had
mid-teens growth
RatingsDirect®
delivered high singledigit
growth</t>
        </r>
      </text>
    </comment>
    <comment ref="A268" authorId="2">
      <text>
        <r>
          <rPr>
            <b/>
            <sz val="9"/>
            <color indexed="81"/>
            <rFont val="Tahoma"/>
            <family val="2"/>
          </rPr>
          <t>Goldstein, Jeff (Research):</t>
        </r>
        <r>
          <rPr>
            <sz val="9"/>
            <color indexed="81"/>
            <rFont val="Tahoma"/>
            <family val="2"/>
          </rPr>
          <t xml:space="preserve">
A comprehensive source of market research for financial professionals, which includes Global Market Intelligence and Equity Research Services.</t>
        </r>
      </text>
    </comment>
    <comment ref="AU268" authorId="3">
      <text>
        <r>
          <rPr>
            <b/>
            <sz val="9"/>
            <color indexed="81"/>
            <rFont val="Tahoma"/>
            <family val="2"/>
          </rPr>
          <t>Galindo, Denny:</t>
        </r>
        <r>
          <rPr>
            <sz val="9"/>
            <color indexed="81"/>
            <rFont val="Tahoma"/>
            <family val="2"/>
          </rPr>
          <t xml:space="preserve">
26% increase in Leverage Commentary &amp; Data
increase offset by shutting down SMR in Europe</t>
        </r>
      </text>
    </comment>
    <comment ref="AV268" authorId="3">
      <text>
        <r>
          <rPr>
            <b/>
            <sz val="9"/>
            <color indexed="81"/>
            <rFont val="Tahoma"/>
            <family val="2"/>
          </rPr>
          <t>Galindo, Denny:</t>
        </r>
        <r>
          <rPr>
            <sz val="9"/>
            <color indexed="81"/>
            <rFont val="Tahoma"/>
            <family val="2"/>
          </rPr>
          <t xml:space="preserve">
douebl digit LCD growth offset by shutting down FMR europe and declien in Equity research</t>
        </r>
      </text>
    </comment>
    <comment ref="AW268" authorId="3">
      <text>
        <r>
          <rPr>
            <b/>
            <sz val="9"/>
            <color indexed="81"/>
            <rFont val="Tahoma"/>
            <family val="2"/>
          </rPr>
          <t>Galindo, Denny:</t>
        </r>
        <r>
          <rPr>
            <sz val="9"/>
            <color indexed="81"/>
            <rFont val="Tahoma"/>
            <family val="2"/>
          </rPr>
          <t xml:space="preserve">
LCD double digit 
Offset by shutdown of FMR</t>
        </r>
      </text>
    </comment>
    <comment ref="AZ268" authorId="3">
      <text>
        <r>
          <rPr>
            <b/>
            <sz val="9"/>
            <color indexed="81"/>
            <rFont val="Tahoma"/>
            <family val="2"/>
          </rPr>
          <t>Galindo, Denny:</t>
        </r>
        <r>
          <rPr>
            <sz val="9"/>
            <color indexed="81"/>
            <rFont val="Tahoma"/>
            <family val="2"/>
          </rPr>
          <t xml:space="preserve">
global markets markets intelligence doubwl digit growth, decilne sin ER and shutdown opf SMR Europe</t>
        </r>
      </text>
    </comment>
    <comment ref="BA268" authorId="2">
      <text>
        <r>
          <rPr>
            <b/>
            <sz val="9"/>
            <color indexed="81"/>
            <rFont val="Tahoma"/>
            <family val="2"/>
          </rPr>
          <t>Goldstein, Jeff (Research):</t>
        </r>
        <r>
          <rPr>
            <sz val="9"/>
            <color indexed="81"/>
            <rFont val="Tahoma"/>
            <family val="2"/>
          </rPr>
          <t xml:space="preserve">
GMI DD growth offset by declines in equity research services
Combined GMI and LCD revenue now exceeds ERS revenue</t>
        </r>
      </text>
    </comment>
    <comment ref="BC268" authorId="3">
      <text>
        <r>
          <rPr>
            <b/>
            <sz val="9"/>
            <color indexed="81"/>
            <rFont val="Tahoma"/>
            <family val="2"/>
          </rPr>
          <t>Galindo, Denny:</t>
        </r>
        <r>
          <rPr>
            <sz val="9"/>
            <color indexed="81"/>
            <rFont val="Tahoma"/>
            <family val="2"/>
          </rPr>
          <t xml:space="preserve">
easy comp</t>
        </r>
      </text>
    </comment>
    <comment ref="BE268" authorId="2">
      <text>
        <r>
          <rPr>
            <b/>
            <sz val="9"/>
            <color indexed="81"/>
            <rFont val="Tahoma"/>
            <family val="2"/>
          </rPr>
          <t>Goldstein, Jeff (Research):</t>
        </r>
        <r>
          <rPr>
            <sz val="9"/>
            <color indexed="81"/>
            <rFont val="Tahoma"/>
            <family val="2"/>
          </rPr>
          <t xml:space="preserve">
Transcript: Decline in equity research services
LCD now moved to Financial Data and Analytics</t>
        </r>
      </text>
    </comment>
    <comment ref="BF268" authorId="2">
      <text>
        <r>
          <rPr>
            <b/>
            <sz val="9"/>
            <color indexed="81"/>
            <rFont val="Tahoma"/>
            <family val="2"/>
          </rPr>
          <t>Goldstein, Jeff (Research):</t>
        </r>
        <r>
          <rPr>
            <sz val="9"/>
            <color indexed="81"/>
            <rFont val="Tahoma"/>
            <family val="2"/>
          </rPr>
          <t xml:space="preserve">
Decrease due to declines in equity research</t>
        </r>
      </text>
    </comment>
    <comment ref="BH268" authorId="2">
      <text>
        <r>
          <rPr>
            <b/>
            <sz val="9"/>
            <color indexed="81"/>
            <rFont val="Tahoma"/>
            <family val="2"/>
          </rPr>
          <t>Goldstein, Jeff (Research):</t>
        </r>
        <r>
          <rPr>
            <sz val="9"/>
            <color indexed="81"/>
            <rFont val="Tahoma"/>
            <family val="2"/>
          </rPr>
          <t xml:space="preserve">
Sold this business</t>
        </r>
      </text>
    </comment>
    <comment ref="A271" authorId="2">
      <text>
        <r>
          <rPr>
            <b/>
            <sz val="9"/>
            <color indexed="81"/>
            <rFont val="Tahoma"/>
            <family val="2"/>
          </rPr>
          <t>Goldstein, Jeff (Research):</t>
        </r>
        <r>
          <rPr>
            <sz val="9"/>
            <color indexed="81"/>
            <rFont val="Tahoma"/>
            <family val="2"/>
          </rPr>
          <t xml:space="preserve">
Previously named Desktop &amp; Enterprise</t>
        </r>
      </text>
    </comment>
    <comment ref="A272" authorId="2">
      <text>
        <r>
          <rPr>
            <b/>
            <sz val="9"/>
            <color indexed="81"/>
            <rFont val="Tahoma"/>
            <family val="2"/>
          </rPr>
          <t>Goldstein, Jeff (Research):</t>
        </r>
        <r>
          <rPr>
            <sz val="9"/>
            <color indexed="81"/>
            <rFont val="Tahoma"/>
            <family val="2"/>
          </rPr>
          <t xml:space="preserve">
Previously named S&amp;P Credit Solutions</t>
        </r>
      </text>
    </comment>
    <comment ref="A273" authorId="2">
      <text>
        <r>
          <rPr>
            <b/>
            <sz val="9"/>
            <color indexed="81"/>
            <rFont val="Tahoma"/>
            <family val="2"/>
          </rPr>
          <t>Goldstein, Jeff (Research):</t>
        </r>
        <r>
          <rPr>
            <sz val="9"/>
            <color indexed="81"/>
            <rFont val="Tahoma"/>
            <family val="2"/>
          </rPr>
          <t xml:space="preserve">
Previously named Market Intelligence</t>
        </r>
      </text>
    </comment>
    <comment ref="A276" authorId="2">
      <text>
        <r>
          <rPr>
            <b/>
            <sz val="9"/>
            <color indexed="81"/>
            <rFont val="Tahoma"/>
            <family val="2"/>
          </rPr>
          <t>Goldstein, Jeff (Research):</t>
        </r>
        <r>
          <rPr>
            <sz val="9"/>
            <color indexed="81"/>
            <rFont val="Tahoma"/>
            <family val="2"/>
          </rPr>
          <t xml:space="preserve">
Previously named Desktop &amp; Enterprise</t>
        </r>
      </text>
    </comment>
    <comment ref="BB276" authorId="3">
      <text>
        <r>
          <rPr>
            <b/>
            <sz val="9"/>
            <color indexed="81"/>
            <rFont val="Tahoma"/>
            <family val="2"/>
          </rPr>
          <t>Galindo, Denny:</t>
        </r>
        <r>
          <rPr>
            <sz val="9"/>
            <color indexed="81"/>
            <rFont val="Tahoma"/>
            <family val="2"/>
          </rPr>
          <t xml:space="preserve">
21 from SNL</t>
        </r>
      </text>
    </comment>
    <comment ref="A277" authorId="2">
      <text>
        <r>
          <rPr>
            <b/>
            <sz val="9"/>
            <color indexed="81"/>
            <rFont val="Tahoma"/>
            <family val="2"/>
          </rPr>
          <t>Goldstein, Jeff (Research):</t>
        </r>
        <r>
          <rPr>
            <sz val="9"/>
            <color indexed="81"/>
            <rFont val="Tahoma"/>
            <family val="2"/>
          </rPr>
          <t xml:space="preserve">
Previously named S&amp;P Credit Solutions</t>
        </r>
      </text>
    </comment>
    <comment ref="A278" authorId="2">
      <text>
        <r>
          <rPr>
            <b/>
            <sz val="9"/>
            <color indexed="81"/>
            <rFont val="Tahoma"/>
            <family val="2"/>
          </rPr>
          <t>Goldstein, Jeff (Research):</t>
        </r>
        <r>
          <rPr>
            <sz val="9"/>
            <color indexed="81"/>
            <rFont val="Tahoma"/>
            <family val="2"/>
          </rPr>
          <t xml:space="preserve">
Previously named Market Intelligence</t>
        </r>
      </text>
    </comment>
    <comment ref="BH278" authorId="2">
      <text>
        <r>
          <rPr>
            <b/>
            <sz val="9"/>
            <color indexed="81"/>
            <rFont val="Tahoma"/>
            <family val="2"/>
          </rPr>
          <t>Goldstein, Jeff (Research):</t>
        </r>
        <r>
          <rPr>
            <sz val="9"/>
            <color indexed="81"/>
            <rFont val="Tahoma"/>
            <family val="2"/>
          </rPr>
          <t xml:space="preserve">
Sold this business</t>
        </r>
      </text>
    </comment>
    <comment ref="A281" authorId="2">
      <text>
        <r>
          <rPr>
            <b/>
            <sz val="9"/>
            <color indexed="81"/>
            <rFont val="Tahoma"/>
            <family val="2"/>
          </rPr>
          <t>Goldstein, Jeff (Research):</t>
        </r>
        <r>
          <rPr>
            <sz val="9"/>
            <color indexed="81"/>
            <rFont val="Tahoma"/>
            <family val="2"/>
          </rPr>
          <t xml:space="preserve">
Cap IQ and SNL</t>
        </r>
      </text>
    </comment>
    <comment ref="A282" authorId="2">
      <text>
        <r>
          <rPr>
            <b/>
            <sz val="9"/>
            <color indexed="81"/>
            <rFont val="Tahoma"/>
            <family val="2"/>
          </rPr>
          <t>Goldstein, Jeff (Research):</t>
        </r>
        <r>
          <rPr>
            <sz val="9"/>
            <color indexed="81"/>
            <rFont val="Tahoma"/>
            <family val="2"/>
          </rPr>
          <t xml:space="preserve">
Data feeds</t>
        </r>
      </text>
    </comment>
    <comment ref="A283" authorId="2">
      <text>
        <r>
          <rPr>
            <b/>
            <sz val="9"/>
            <color indexed="81"/>
            <rFont val="Tahoma"/>
            <family val="2"/>
          </rPr>
          <t>Goldstein, Jeff (Research):</t>
        </r>
        <r>
          <rPr>
            <sz val="9"/>
            <color indexed="81"/>
            <rFont val="Tahoma"/>
            <family val="2"/>
          </rPr>
          <t xml:space="preserve">
Commercial arm that sells S&amp;P Global Ratings' credit ratings and related data, analytics and research, which includes subscription-based offerings, RatingsDirect® and RatingsXpress®; and</t>
        </r>
      </text>
    </comment>
    <comment ref="BJ283" authorId="2">
      <text>
        <r>
          <rPr>
            <b/>
            <sz val="9"/>
            <color indexed="81"/>
            <rFont val="Tahoma"/>
            <family val="2"/>
          </rPr>
          <t>Goldstein, Jeff (Research):</t>
        </r>
        <r>
          <rPr>
            <sz val="9"/>
            <color indexed="81"/>
            <rFont val="Tahoma"/>
            <family val="2"/>
          </rPr>
          <t xml:space="preserve">
Mid teens growth of RatingsXpress
High single digit growth of RatingsDirect</t>
        </r>
      </text>
    </comment>
    <comment ref="AT298" authorId="3">
      <text>
        <r>
          <rPr>
            <b/>
            <sz val="9"/>
            <color indexed="81"/>
            <rFont val="Tahoma"/>
            <family val="2"/>
          </rPr>
          <t>Galindo, Denny:</t>
        </r>
        <r>
          <rPr>
            <sz val="9"/>
            <color indexed="81"/>
            <rFont val="Tahoma"/>
            <family val="2"/>
          </rPr>
          <t xml:space="preserve">
2014 Investor Day</t>
        </r>
      </text>
    </comment>
    <comment ref="A316" authorId="2">
      <text>
        <r>
          <rPr>
            <b/>
            <sz val="9"/>
            <color indexed="81"/>
            <rFont val="Tahoma"/>
            <family val="2"/>
          </rPr>
          <t>Goldstein, Jeff (Research):</t>
        </r>
        <r>
          <rPr>
            <sz val="9"/>
            <color indexed="81"/>
            <rFont val="Tahoma"/>
            <family val="2"/>
          </rPr>
          <t xml:space="preserve">
Transaction revenue relates to trading based fees from exchange-traded derivatives.</t>
        </r>
      </text>
    </comment>
    <comment ref="AF316" authorId="4">
      <text>
        <r>
          <rPr>
            <sz val="8"/>
            <color indexed="81"/>
            <rFont val="Tahoma"/>
            <family val="2"/>
          </rPr>
          <t xml:space="preserve">Company has not provided breakup for S&amp;P Capital IQ and S&amp;P Indices, hence entire revenue assumed to be in S&amp;P Indices.
</t>
        </r>
      </text>
    </comment>
    <comment ref="AZ316" authorId="2">
      <text>
        <r>
          <rPr>
            <b/>
            <sz val="9"/>
            <color indexed="81"/>
            <rFont val="Tahoma"/>
            <family val="2"/>
          </rPr>
          <t>Goldstein, Jeff (Research):</t>
        </r>
        <r>
          <rPr>
            <sz val="9"/>
            <color indexed="81"/>
            <rFont val="Tahoma"/>
            <family val="2"/>
          </rPr>
          <t xml:space="preserve">
New reporting presentation</t>
        </r>
      </text>
    </comment>
    <comment ref="BA316" authorId="2">
      <text>
        <r>
          <rPr>
            <b/>
            <sz val="9"/>
            <color indexed="81"/>
            <rFont val="Tahoma"/>
            <family val="2"/>
          </rPr>
          <t>Goldstein, Jeff (Research):</t>
        </r>
        <r>
          <rPr>
            <sz val="9"/>
            <color indexed="81"/>
            <rFont val="Tahoma"/>
            <family val="2"/>
          </rPr>
          <t xml:space="preserve">
New reporting presentation</t>
        </r>
      </text>
    </comment>
    <comment ref="BD316" authorId="2">
      <text>
        <r>
          <rPr>
            <b/>
            <sz val="9"/>
            <color indexed="81"/>
            <rFont val="Tahoma"/>
            <family val="2"/>
          </rPr>
          <t>Goldstein, Jeff (Research):</t>
        </r>
        <r>
          <rPr>
            <sz val="9"/>
            <color indexed="81"/>
            <rFont val="Tahoma"/>
            <family val="2"/>
          </rPr>
          <t xml:space="preserve">
New reporting presentation
2016 investor factbook</t>
        </r>
      </text>
    </comment>
    <comment ref="A320" authorId="2">
      <text>
        <r>
          <rPr>
            <b/>
            <sz val="9"/>
            <color indexed="81"/>
            <rFont val="Tahoma"/>
            <family val="2"/>
          </rPr>
          <t>Goldstein, Jeff (Research):</t>
        </r>
        <r>
          <rPr>
            <sz val="9"/>
            <color indexed="81"/>
            <rFont val="Tahoma"/>
            <family val="2"/>
          </rPr>
          <t xml:space="preserve">
Primarily related to fees based on assets underlying exchange-traded funds, mutual funds and insurance products</t>
        </r>
      </text>
    </comment>
    <comment ref="AT320" authorId="2">
      <text>
        <r>
          <rPr>
            <b/>
            <sz val="9"/>
            <color indexed="81"/>
            <rFont val="Tahoma"/>
            <family val="2"/>
          </rPr>
          <t>Goldstein, Jeff (Research):</t>
        </r>
        <r>
          <rPr>
            <sz val="9"/>
            <color indexed="81"/>
            <rFont val="Tahoma"/>
            <family val="2"/>
          </rPr>
          <t xml:space="preserve">
2016 investor factbook</t>
        </r>
      </text>
    </comment>
    <comment ref="AY320" authorId="2">
      <text>
        <r>
          <rPr>
            <b/>
            <sz val="9"/>
            <color indexed="81"/>
            <rFont val="Tahoma"/>
            <family val="2"/>
          </rPr>
          <t>Goldstein, Jeff (Research):</t>
        </r>
        <r>
          <rPr>
            <sz val="9"/>
            <color indexed="81"/>
            <rFont val="Tahoma"/>
            <family val="2"/>
          </rPr>
          <t xml:space="preserve">
2016 investor factbook</t>
        </r>
      </text>
    </comment>
    <comment ref="BD320" authorId="2">
      <text>
        <r>
          <rPr>
            <b/>
            <sz val="9"/>
            <color indexed="81"/>
            <rFont val="Tahoma"/>
            <family val="2"/>
          </rPr>
          <t>Goldstein, Jeff (Research):</t>
        </r>
        <r>
          <rPr>
            <sz val="9"/>
            <color indexed="81"/>
            <rFont val="Tahoma"/>
            <family val="2"/>
          </rPr>
          <t xml:space="preserve">
New reporting presentation
2016 investor factbook</t>
        </r>
      </text>
    </comment>
    <comment ref="A324" authorId="2">
      <text>
        <r>
          <rPr>
            <b/>
            <sz val="9"/>
            <color indexed="81"/>
            <rFont val="Tahoma"/>
            <family val="2"/>
          </rPr>
          <t>Goldstein, Jeff (Research):</t>
        </r>
        <r>
          <rPr>
            <sz val="9"/>
            <color indexed="81"/>
            <rFont val="Tahoma"/>
            <family val="2"/>
          </rPr>
          <t xml:space="preserve">
Subscription revenue is related to data subscriptions, which support index fund management, portfolio analytics and research</t>
        </r>
      </text>
    </comment>
    <comment ref="AF324" authorId="4">
      <text>
        <r>
          <rPr>
            <sz val="8"/>
            <color indexed="81"/>
            <rFont val="Tahoma"/>
            <family val="2"/>
          </rPr>
          <t xml:space="preserve">Company has not provided breakup for S&amp;P Capital IQ and S&amp;P Indices, hence entire revenue assumed to be in S&amp;P Indices.
</t>
        </r>
      </text>
    </comment>
    <comment ref="AM324" authorId="3">
      <text>
        <r>
          <rPr>
            <b/>
            <sz val="9"/>
            <color indexed="81"/>
            <rFont val="Tahoma"/>
            <family val="2"/>
          </rPr>
          <t>Galindo, Denny:</t>
        </r>
        <r>
          <rPr>
            <sz val="9"/>
            <color indexed="81"/>
            <rFont val="Tahoma"/>
            <family val="2"/>
          </rPr>
          <t xml:space="preserve">
Added DJ</t>
        </r>
      </text>
    </comment>
    <comment ref="BD324" authorId="2">
      <text>
        <r>
          <rPr>
            <b/>
            <sz val="9"/>
            <color indexed="81"/>
            <rFont val="Tahoma"/>
            <family val="2"/>
          </rPr>
          <t>Goldstein, Jeff (Research):</t>
        </r>
        <r>
          <rPr>
            <sz val="9"/>
            <color indexed="81"/>
            <rFont val="Tahoma"/>
            <family val="2"/>
          </rPr>
          <t xml:space="preserve">
New reporting presentation
2016 investor factbook</t>
        </r>
      </text>
    </comment>
    <comment ref="AF331" authorId="4">
      <text>
        <r>
          <rPr>
            <sz val="8"/>
            <color indexed="81"/>
            <rFont val="Tahoma"/>
            <family val="2"/>
          </rPr>
          <t xml:space="preserve">Company has not provided breakup for S&amp;P Capital IQ and S&amp;P Indices, hence entire revenue assumed to be in S&amp;P Indices.
</t>
        </r>
      </text>
    </comment>
    <comment ref="AF335" authorId="4">
      <text>
        <r>
          <rPr>
            <sz val="8"/>
            <color indexed="81"/>
            <rFont val="Tahoma"/>
            <family val="2"/>
          </rPr>
          <t xml:space="preserve">Company has not provided breakup for S&amp;P Capital IQ and S&amp;P Indices, hence entire revenue assumed to be in S&amp;P Indices.
</t>
        </r>
      </text>
    </comment>
    <comment ref="A358" authorId="1">
      <text>
        <r>
          <rPr>
            <sz val="8"/>
            <color indexed="81"/>
            <rFont val="Tahoma"/>
            <family val="2"/>
          </rPr>
          <t>Note: Commodities &amp; Commercial includes the Broadcasting Group for 2008 and prior.  Broadcasting has been reclassified as a discontinued operation and is not included in results for 2009, 2010, and 2011</t>
        </r>
        <r>
          <rPr>
            <b/>
            <sz val="8"/>
            <color indexed="81"/>
            <rFont val="Tahoma"/>
            <family val="2"/>
          </rPr>
          <t>.</t>
        </r>
        <r>
          <rPr>
            <sz val="8"/>
            <color indexed="81"/>
            <rFont val="Tahoma"/>
            <family val="2"/>
          </rPr>
          <t xml:space="preserve">
</t>
        </r>
      </text>
    </comment>
    <comment ref="AY359" authorId="2">
      <text>
        <r>
          <rPr>
            <b/>
            <sz val="9"/>
            <color indexed="81"/>
            <rFont val="Tahoma"/>
            <family val="2"/>
          </rPr>
          <t>Goldstein, Jeff (Research):</t>
        </r>
        <r>
          <rPr>
            <sz val="9"/>
            <color indexed="81"/>
            <rFont val="Tahoma"/>
            <family val="2"/>
          </rPr>
          <t xml:space="preserve">
$605M reported Platts revenue (2016 Investor Factbook)</t>
        </r>
      </text>
    </comment>
    <comment ref="BC359" authorId="2">
      <text>
        <r>
          <rPr>
            <b/>
            <sz val="9"/>
            <color indexed="81"/>
            <rFont val="Tahoma"/>
            <family val="2"/>
          </rPr>
          <t>Goldstein, Jeff (Research):</t>
        </r>
        <r>
          <rPr>
            <sz val="9"/>
            <color indexed="81"/>
            <rFont val="Tahoma"/>
            <family val="2"/>
          </rPr>
          <t xml:space="preserve">
4Q16 slides. Platts 4Q16 revenue grew 12% on a reported basis to $188M</t>
        </r>
      </text>
    </comment>
    <comment ref="BD359" authorId="2">
      <text>
        <r>
          <rPr>
            <b/>
            <sz val="9"/>
            <color indexed="81"/>
            <rFont val="Tahoma"/>
            <family val="2"/>
          </rPr>
          <t>Goldstein, Jeff (Research):</t>
        </r>
        <r>
          <rPr>
            <sz val="9"/>
            <color indexed="81"/>
            <rFont val="Tahoma"/>
            <family val="2"/>
          </rPr>
          <t xml:space="preserve">
$655M reported Platts revenue (2016 Investor Factbook)</t>
        </r>
      </text>
    </comment>
    <comment ref="BE359" authorId="2">
      <text>
        <r>
          <rPr>
            <b/>
            <sz val="9"/>
            <color indexed="81"/>
            <rFont val="Tahoma"/>
            <family val="2"/>
          </rPr>
          <t>Goldstein, Jeff (Research):</t>
        </r>
        <r>
          <rPr>
            <sz val="9"/>
            <color indexed="81"/>
            <rFont val="Tahoma"/>
            <family val="2"/>
          </rPr>
          <t xml:space="preserve">
Disclosed in 1Q17 earnings.</t>
        </r>
      </text>
    </comment>
    <comment ref="BG359" authorId="2">
      <text>
        <r>
          <rPr>
            <b/>
            <sz val="9"/>
            <color indexed="81"/>
            <rFont val="Tahoma"/>
            <family val="2"/>
          </rPr>
          <t>Goldstein, Jeff (Research):</t>
        </r>
        <r>
          <rPr>
            <sz val="9"/>
            <color indexed="81"/>
            <rFont val="Tahoma"/>
            <family val="2"/>
          </rPr>
          <t xml:space="preserve">
Reported in 3Q17. Just Platts</t>
        </r>
      </text>
    </comment>
    <comment ref="BH359" authorId="2">
      <text>
        <r>
          <rPr>
            <b/>
            <sz val="9"/>
            <color indexed="81"/>
            <rFont val="Tahoma"/>
            <family val="2"/>
          </rPr>
          <t>Goldstein, Jeff (Research):</t>
        </r>
        <r>
          <rPr>
            <sz val="9"/>
            <color indexed="81"/>
            <rFont val="Tahoma"/>
            <family val="2"/>
          </rPr>
          <t xml:space="preserve">
Reported just Platts</t>
        </r>
      </text>
    </comment>
    <comment ref="AM360" authorId="0">
      <text>
        <r>
          <rPr>
            <b/>
            <sz val="8"/>
            <color indexed="81"/>
            <rFont val="Tahoma"/>
            <family val="2"/>
          </rPr>
          <t>kapltoni:</t>
        </r>
        <r>
          <rPr>
            <sz val="8"/>
            <color indexed="81"/>
            <rFont val="Tahoma"/>
            <family val="2"/>
          </rPr>
          <t xml:space="preserve">
petroleum product subs, global trading, Bentek contrib to growth</t>
        </r>
      </text>
    </comment>
    <comment ref="AW360" authorId="2">
      <text>
        <r>
          <rPr>
            <b/>
            <sz val="9"/>
            <color indexed="81"/>
            <rFont val="Tahoma"/>
            <family val="2"/>
          </rPr>
          <t>Goldstein, Jeff (Research):</t>
        </r>
        <r>
          <rPr>
            <sz val="9"/>
            <color indexed="81"/>
            <rFont val="Tahoma"/>
            <family val="2"/>
          </rPr>
          <t xml:space="preserve">
MSe: HSD Revenue growth from Company</t>
        </r>
      </text>
    </comment>
    <comment ref="AX360" authorId="2">
      <text>
        <r>
          <rPr>
            <b/>
            <sz val="9"/>
            <color indexed="81"/>
            <rFont val="Tahoma"/>
            <family val="2"/>
          </rPr>
          <t>Goldstein, Jeff (Research):</t>
        </r>
        <r>
          <rPr>
            <sz val="9"/>
            <color indexed="81"/>
            <rFont val="Tahoma"/>
            <family val="2"/>
          </rPr>
          <t xml:space="preserve">
MS Estimate
HSD Revenue growth from Company</t>
        </r>
      </text>
    </comment>
    <comment ref="AZ360" authorId="2">
      <text>
        <r>
          <rPr>
            <b/>
            <sz val="9"/>
            <color indexed="81"/>
            <rFont val="Tahoma"/>
            <family val="2"/>
          </rPr>
          <t>Goldstein, Jeff (Research):</t>
        </r>
        <r>
          <rPr>
            <sz val="9"/>
            <color indexed="81"/>
            <rFont val="Tahoma"/>
            <family val="2"/>
          </rPr>
          <t xml:space="preserve">
1Q15 CC: High single revenue growth 
~2% from Eclipse
Metals and Ag had highest growth 
Added petrochemicals</t>
        </r>
      </text>
    </comment>
    <comment ref="BA360" authorId="2">
      <text>
        <r>
          <rPr>
            <b/>
            <sz val="9"/>
            <color indexed="81"/>
            <rFont val="Tahoma"/>
            <family val="2"/>
          </rPr>
          <t>Goldstein, Jeff (Research):</t>
        </r>
        <r>
          <rPr>
            <sz val="9"/>
            <color indexed="81"/>
            <rFont val="Tahoma"/>
            <family val="2"/>
          </rPr>
          <t xml:space="preserve">
~2% from Eclipse</t>
        </r>
      </text>
    </comment>
    <comment ref="BB360" authorId="2">
      <text>
        <r>
          <rPr>
            <b/>
            <sz val="9"/>
            <color indexed="81"/>
            <rFont val="Tahoma"/>
            <family val="2"/>
          </rPr>
          <t>Goldstein, Jeff (Research):</t>
        </r>
        <r>
          <rPr>
            <sz val="9"/>
            <color indexed="81"/>
            <rFont val="Tahoma"/>
            <family val="2"/>
          </rPr>
          <t xml:space="preserve">
~1% from Eclipse</t>
        </r>
      </text>
    </comment>
    <comment ref="BC360" authorId="2">
      <text>
        <r>
          <rPr>
            <b/>
            <sz val="9"/>
            <color indexed="81"/>
            <rFont val="Tahoma"/>
            <family val="2"/>
          </rPr>
          <t>Core growth rate</t>
        </r>
      </text>
    </comment>
    <comment ref="BE360" authorId="2">
      <text>
        <r>
          <rPr>
            <b/>
            <sz val="9"/>
            <color indexed="81"/>
            <rFont val="Tahoma"/>
            <family val="2"/>
          </rPr>
          <t>Goldstein, Jeff (Research):</t>
        </r>
        <r>
          <rPr>
            <sz val="9"/>
            <color indexed="81"/>
            <rFont val="Tahoma"/>
            <family val="2"/>
          </rPr>
          <t xml:space="preserve">
Platts up 10% </t>
        </r>
      </text>
    </comment>
    <comment ref="BF360" authorId="2">
      <text>
        <r>
          <rPr>
            <b/>
            <sz val="9"/>
            <color indexed="81"/>
            <rFont val="Tahoma"/>
            <family val="2"/>
          </rPr>
          <t>Goldstein, Jeff (Research):</t>
        </r>
        <r>
          <rPr>
            <sz val="9"/>
            <color indexed="81"/>
            <rFont val="Tahoma"/>
            <family val="2"/>
          </rPr>
          <t xml:space="preserve">
Driven by strength in subscriptions and Global Trading Services</t>
        </r>
      </text>
    </comment>
    <comment ref="BJ360" authorId="2">
      <text>
        <r>
          <rPr>
            <b/>
            <sz val="9"/>
            <color indexed="81"/>
            <rFont val="Tahoma"/>
            <family val="2"/>
          </rPr>
          <t>Goldstein, Jeff (Research):</t>
        </r>
        <r>
          <rPr>
            <sz val="9"/>
            <color indexed="81"/>
            <rFont val="Tahoma"/>
            <family val="2"/>
          </rPr>
          <t xml:space="preserve">
The core subscription business delivered mid-single-digit revenue growth with similar gains across all commodity groups. Global Trading Services
low single digit revenue increase was primarily due to the timing of revenue and strong trading volumes in petroleum, partially offset by weakness
in metals.</t>
        </r>
      </text>
    </comment>
    <comment ref="BK360" authorId="2">
      <text>
        <r>
          <rPr>
            <b/>
            <sz val="9"/>
            <color indexed="81"/>
            <rFont val="Tahoma"/>
            <family val="2"/>
          </rPr>
          <t>Goldstein, Jeff (Research):</t>
        </r>
        <r>
          <rPr>
            <sz val="9"/>
            <color indexed="81"/>
            <rFont val="Tahoma"/>
            <family val="2"/>
          </rPr>
          <t xml:space="preserve">
Organic revenue increased 4% due to modest growth in subscriptions bolstered
by strong growth in Global Trading Services
– The core subscription business delivered low single-digit revenue growth
with gains in Petroleum
– Global Trading Services’ mid-teens revenue increase was primarily due to
timing of revenue and strong petroleum trading volumes, partially offset by
weakness in metals</t>
        </r>
      </text>
    </comment>
    <comment ref="AY362" authorId="2">
      <text>
        <r>
          <rPr>
            <b/>
            <sz val="9"/>
            <color indexed="81"/>
            <rFont val="Tahoma"/>
            <family val="2"/>
          </rPr>
          <t>Goldstein, Jeff (Research):</t>
        </r>
        <r>
          <rPr>
            <sz val="9"/>
            <color indexed="81"/>
            <rFont val="Tahoma"/>
            <family val="2"/>
          </rPr>
          <t xml:space="preserve">
$288M reported JD Power revenue (2016 Investor Factbook)</t>
        </r>
      </text>
    </comment>
    <comment ref="BD362" authorId="2">
      <text>
        <r>
          <rPr>
            <b/>
            <sz val="9"/>
            <color indexed="81"/>
            <rFont val="Tahoma"/>
            <family val="2"/>
          </rPr>
          <t>Goldstein, Jeff (Research):</t>
        </r>
        <r>
          <rPr>
            <sz val="9"/>
            <color indexed="81"/>
            <rFont val="Tahoma"/>
            <family val="2"/>
          </rPr>
          <t xml:space="preserve">
$316M reported JD Power revenue (2016 Investor Factbook)</t>
        </r>
      </text>
    </comment>
    <comment ref="BE362" authorId="2">
      <text>
        <r>
          <rPr>
            <b/>
            <sz val="9"/>
            <color indexed="81"/>
            <rFont val="Tahoma"/>
            <family val="2"/>
          </rPr>
          <t>Goldstein, Jeff (Research):</t>
        </r>
        <r>
          <rPr>
            <sz val="9"/>
            <color indexed="81"/>
            <rFont val="Tahoma"/>
            <family val="2"/>
          </rPr>
          <t xml:space="preserve">
Estimate</t>
        </r>
      </text>
    </comment>
    <comment ref="BF362" authorId="2">
      <text>
        <r>
          <rPr>
            <b/>
            <sz val="9"/>
            <color indexed="81"/>
            <rFont val="Tahoma"/>
            <family val="2"/>
          </rPr>
          <t>Goldstein, Jeff (Research):</t>
        </r>
        <r>
          <rPr>
            <sz val="9"/>
            <color indexed="81"/>
            <rFont val="Tahoma"/>
            <family val="2"/>
          </rPr>
          <t xml:space="preserve">
Estimate</t>
        </r>
      </text>
    </comment>
    <comment ref="BG362" authorId="2">
      <text>
        <r>
          <rPr>
            <b/>
            <sz val="9"/>
            <color indexed="81"/>
            <rFont val="Tahoma"/>
            <family val="2"/>
          </rPr>
          <t>Goldstein, Jeff (Research):</t>
        </r>
        <r>
          <rPr>
            <sz val="9"/>
            <color indexed="81"/>
            <rFont val="Tahoma"/>
            <family val="2"/>
          </rPr>
          <t xml:space="preserve">
Estimate</t>
        </r>
      </text>
    </comment>
    <comment ref="AM363" authorId="0">
      <text>
        <r>
          <rPr>
            <b/>
            <sz val="8"/>
            <color indexed="81"/>
            <rFont val="Tahoma"/>
            <family val="2"/>
          </rPr>
          <t>kapltoni:</t>
        </r>
        <r>
          <rPr>
            <sz val="8"/>
            <color indexed="81"/>
            <rFont val="Tahoma"/>
            <family val="2"/>
          </rPr>
          <t xml:space="preserve">
gains in JDP offset by rest of segment</t>
        </r>
      </text>
    </comment>
    <comment ref="AR365" authorId="1">
      <text>
        <r>
          <rPr>
            <sz val="8"/>
            <color indexed="81"/>
            <rFont val="Tahoma"/>
            <family val="2"/>
          </rPr>
          <t>Assumed adjustment for McGraw Hill Construction segment revenue, which was reclassified as a discontinued operation due to its impending sale.</t>
        </r>
        <r>
          <rPr>
            <sz val="8"/>
            <color indexed="81"/>
            <rFont val="Tahoma"/>
            <family val="2"/>
          </rPr>
          <t xml:space="preserve">
</t>
        </r>
      </text>
    </comment>
    <comment ref="AS365" authorId="3">
      <text>
        <r>
          <rPr>
            <b/>
            <sz val="9"/>
            <color indexed="81"/>
            <rFont val="Tahoma"/>
            <family val="2"/>
          </rPr>
          <t>Galindo, Denny:</t>
        </r>
        <r>
          <rPr>
            <sz val="9"/>
            <color indexed="81"/>
            <rFont val="Tahoma"/>
            <family val="2"/>
          </rPr>
          <t xml:space="preserve">
MCH and Aviation Week</t>
        </r>
      </text>
    </comment>
    <comment ref="BG367" authorId="2">
      <text>
        <r>
          <rPr>
            <b/>
            <sz val="9"/>
            <color indexed="81"/>
            <rFont val="Tahoma"/>
            <family val="2"/>
          </rPr>
          <t>Goldstein, Jeff (Research):</t>
        </r>
        <r>
          <rPr>
            <sz val="9"/>
            <color indexed="81"/>
            <rFont val="Tahoma"/>
            <family val="2"/>
          </rPr>
          <t xml:space="preserve">
J.D. Power sale closed 9/7/16</t>
        </r>
      </text>
    </comment>
    <comment ref="BH367" authorId="2">
      <text>
        <r>
          <rPr>
            <b/>
            <sz val="9"/>
            <color indexed="81"/>
            <rFont val="Tahoma"/>
            <family val="2"/>
          </rPr>
          <t>Goldstein, Jeff (Research):</t>
        </r>
        <r>
          <rPr>
            <sz val="9"/>
            <color indexed="81"/>
            <rFont val="Tahoma"/>
            <family val="2"/>
          </rPr>
          <t xml:space="preserve">
Reported just Platts</t>
        </r>
      </text>
    </comment>
    <comment ref="BJ367" authorId="2">
      <text>
        <r>
          <rPr>
            <b/>
            <sz val="9"/>
            <color indexed="81"/>
            <rFont val="Tahoma"/>
            <family val="2"/>
          </rPr>
          <t>Goldstein, Jeff (Research):</t>
        </r>
        <r>
          <rPr>
            <sz val="9"/>
            <color indexed="81"/>
            <rFont val="Tahoma"/>
            <family val="2"/>
          </rPr>
          <t xml:space="preserve">
Reported just Platts</t>
        </r>
      </text>
    </comment>
    <comment ref="BK367" authorId="2">
      <text>
        <r>
          <rPr>
            <b/>
            <sz val="9"/>
            <color indexed="81"/>
            <rFont val="Tahoma"/>
            <family val="2"/>
          </rPr>
          <t>Goldstein, Jeff (Research):</t>
        </r>
        <r>
          <rPr>
            <sz val="9"/>
            <color indexed="81"/>
            <rFont val="Tahoma"/>
            <family val="2"/>
          </rPr>
          <t xml:space="preserve">
Reported just Platts</t>
        </r>
      </text>
    </comment>
    <comment ref="AM369" authorId="0">
      <text>
        <r>
          <rPr>
            <b/>
            <sz val="8"/>
            <color indexed="81"/>
            <rFont val="Tahoma"/>
            <family val="2"/>
          </rPr>
          <t>kapltoni:</t>
        </r>
        <r>
          <rPr>
            <sz val="8"/>
            <color indexed="81"/>
            <rFont val="Tahoma"/>
            <family val="2"/>
          </rPr>
          <t xml:space="preserve">
gains in JDP offset by rest of segment</t>
        </r>
      </text>
    </comment>
    <comment ref="AZ369" authorId="2">
      <text>
        <r>
          <rPr>
            <b/>
            <sz val="9"/>
            <color indexed="81"/>
            <rFont val="Tahoma"/>
            <family val="2"/>
          </rPr>
          <t>Goldstein, Jeff (Research):</t>
        </r>
        <r>
          <rPr>
            <sz val="9"/>
            <color indexed="81"/>
            <rFont val="Tahoma"/>
            <family val="2"/>
          </rPr>
          <t xml:space="preserve">
Weakened oil prices "perhaps costing a couple points of growth." (1Q15 CC)</t>
        </r>
      </text>
    </comment>
    <comment ref="BA369" authorId="2">
      <text>
        <r>
          <rPr>
            <b/>
            <sz val="9"/>
            <color indexed="81"/>
            <rFont val="Tahoma"/>
            <family val="2"/>
          </rPr>
          <t>Goldstein, Jeff (Research):</t>
        </r>
        <r>
          <rPr>
            <sz val="9"/>
            <color indexed="81"/>
            <rFont val="Tahoma"/>
            <family val="2"/>
          </rPr>
          <t xml:space="preserve">
HSD revenue growth in Platts despite low commodity prices
"Lost a point or two of growth" from banks pulling out of commodity space
J.D. Power was modestly positive led by Platts led the segment, delivering high single‐digit revenue growth</t>
        </r>
      </text>
    </comment>
    <comment ref="BB369" authorId="3">
      <text>
        <r>
          <rPr>
            <b/>
            <sz val="9"/>
            <color indexed="81"/>
            <rFont val="Tahoma"/>
            <family val="2"/>
          </rPr>
          <t>Galindo, Denny:</t>
        </r>
        <r>
          <rPr>
            <sz val="9"/>
            <color indexed="81"/>
            <rFont val="Tahoma"/>
            <family val="2"/>
          </rPr>
          <t xml:space="preserve">
5% growth less petor media</t>
        </r>
      </text>
    </comment>
    <comment ref="BO369" authorId="2">
      <text>
        <r>
          <rPr>
            <b/>
            <sz val="9"/>
            <color indexed="81"/>
            <rFont val="Tahoma"/>
            <family val="2"/>
          </rPr>
          <t>Goldstein, Jeff (Research):</t>
        </r>
        <r>
          <rPr>
            <sz val="9"/>
            <color indexed="81"/>
            <rFont val="Tahoma"/>
            <family val="2"/>
          </rPr>
          <t xml:space="preserve">
– Core subscription business delivered 5% revenue growth
– Global Trading Services’ revenue decreased mid-teens almost entirely due
to weaker trading volumes in certain oil and metals products</t>
        </r>
      </text>
    </comment>
    <comment ref="AW374" authorId="3">
      <text>
        <r>
          <rPr>
            <b/>
            <sz val="9"/>
            <color indexed="81"/>
            <rFont val="Tahoma"/>
            <family val="2"/>
          </rPr>
          <t>Galindo, Denny:</t>
        </r>
        <r>
          <rPr>
            <sz val="9"/>
            <color indexed="81"/>
            <rFont val="Tahoma"/>
            <family val="2"/>
          </rPr>
          <t xml:space="preserve">
Eclpise July 2014</t>
        </r>
      </text>
    </comment>
    <comment ref="AX374" authorId="3">
      <text>
        <r>
          <rPr>
            <b/>
            <sz val="9"/>
            <color indexed="81"/>
            <rFont val="Tahoma"/>
            <family val="2"/>
          </rPr>
          <t>Galindo, Denny:</t>
        </r>
        <r>
          <rPr>
            <sz val="9"/>
            <color indexed="81"/>
            <rFont val="Tahoma"/>
            <family val="2"/>
          </rPr>
          <t xml:space="preserve">
Eclipse</t>
        </r>
      </text>
    </comment>
    <comment ref="AZ374" authorId="3">
      <text>
        <r>
          <rPr>
            <b/>
            <sz val="9"/>
            <color indexed="81"/>
            <rFont val="Tahoma"/>
            <family val="2"/>
          </rPr>
          <t>Galindo, Denny:</t>
        </r>
        <r>
          <rPr>
            <sz val="9"/>
            <color indexed="81"/>
            <rFont val="Tahoma"/>
            <family val="2"/>
          </rPr>
          <t xml:space="preserve">
eclipse</t>
        </r>
      </text>
    </comment>
    <comment ref="BA374" authorId="3">
      <text>
        <r>
          <rPr>
            <b/>
            <sz val="9"/>
            <color indexed="81"/>
            <rFont val="Tahoma"/>
            <family val="2"/>
          </rPr>
          <t>Galindo, Denny:</t>
        </r>
        <r>
          <rPr>
            <sz val="9"/>
            <color indexed="81"/>
            <rFont val="Tahoma"/>
            <family val="2"/>
          </rPr>
          <t xml:space="preserve">
Eclipse</t>
        </r>
      </text>
    </comment>
    <comment ref="BB374" authorId="2">
      <text>
        <r>
          <rPr>
            <b/>
            <sz val="9"/>
            <color indexed="81"/>
            <rFont val="Tahoma"/>
            <family val="2"/>
          </rPr>
          <t>Goldstein, Jeff (Research):</t>
        </r>
        <r>
          <rPr>
            <sz val="9"/>
            <color indexed="81"/>
            <rFont val="Tahoma"/>
            <family val="2"/>
          </rPr>
          <t xml:space="preserve">
Acquisition and divestiture of JD Power</t>
        </r>
      </text>
    </comment>
    <comment ref="BC374" authorId="3">
      <text>
        <r>
          <rPr>
            <b/>
            <sz val="9"/>
            <color indexed="81"/>
            <rFont val="Tahoma"/>
            <family val="2"/>
          </rPr>
          <t>Galindo, Denny:</t>
        </r>
        <r>
          <rPr>
            <sz val="9"/>
            <color indexed="81"/>
            <rFont val="Tahoma"/>
            <family val="2"/>
          </rPr>
          <t xml:space="preserve">
PetroMedia
 NADA</t>
        </r>
      </text>
    </comment>
    <comment ref="BE374" authorId="3">
      <text>
        <r>
          <rPr>
            <b/>
            <sz val="9"/>
            <color indexed="81"/>
            <rFont val="Tahoma"/>
            <family val="2"/>
          </rPr>
          <t>Galindo, Denny:</t>
        </r>
        <r>
          <rPr>
            <sz val="9"/>
            <color indexed="81"/>
            <rFont val="Tahoma"/>
            <family val="2"/>
          </rPr>
          <t xml:space="preserve">
8-K
PetroMedia
 NADA</t>
        </r>
      </text>
    </comment>
    <comment ref="BF374" authorId="3">
      <text>
        <r>
          <rPr>
            <b/>
            <sz val="9"/>
            <color indexed="81"/>
            <rFont val="Tahoma"/>
            <family val="2"/>
          </rPr>
          <t>Galindo, Denny:</t>
        </r>
        <r>
          <rPr>
            <sz val="9"/>
            <color indexed="81"/>
            <rFont val="Tahoma"/>
            <family val="2"/>
          </rPr>
          <t xml:space="preserve">
PetroMedia
 NADA</t>
        </r>
      </text>
    </comment>
    <comment ref="BG374" authorId="2">
      <text>
        <r>
          <rPr>
            <b/>
            <sz val="9"/>
            <color indexed="81"/>
            <rFont val="Tahoma"/>
            <family val="2"/>
          </rPr>
          <t>Goldstein, Jeff (Research):</t>
        </r>
        <r>
          <rPr>
            <sz val="9"/>
            <color indexed="81"/>
            <rFont val="Tahoma"/>
            <family val="2"/>
          </rPr>
          <t xml:space="preserve">
Acquisition and divestiture of JD Power</t>
        </r>
      </text>
    </comment>
    <comment ref="BC375" authorId="2">
      <text>
        <r>
          <rPr>
            <b/>
            <sz val="9"/>
            <color indexed="81"/>
            <rFont val="Tahoma"/>
            <family val="2"/>
          </rPr>
          <t>Goldstein, Jeff (Research):</t>
        </r>
        <r>
          <rPr>
            <sz val="9"/>
            <color indexed="81"/>
            <rFont val="Tahoma"/>
            <family val="2"/>
          </rPr>
          <t xml:space="preserve">
8% organic growth</t>
        </r>
      </text>
    </comment>
    <comment ref="BH375" authorId="2">
      <text>
        <r>
          <rPr>
            <b/>
            <sz val="9"/>
            <color indexed="81"/>
            <rFont val="Tahoma"/>
            <family val="2"/>
          </rPr>
          <t>Goldstein, Jeff (Research):</t>
        </r>
        <r>
          <rPr>
            <sz val="9"/>
            <color indexed="81"/>
            <rFont val="Tahoma"/>
            <family val="2"/>
          </rPr>
          <t xml:space="preserve">
Disclosed (4Q slides)</t>
        </r>
      </text>
    </comment>
    <comment ref="BJ375" authorId="2">
      <text>
        <r>
          <rPr>
            <b/>
            <sz val="9"/>
            <color indexed="81"/>
            <rFont val="Tahoma"/>
            <family val="2"/>
          </rPr>
          <t>Goldstein, Jeff (Research):</t>
        </r>
        <r>
          <rPr>
            <sz val="9"/>
            <color indexed="81"/>
            <rFont val="Tahoma"/>
            <family val="2"/>
          </rPr>
          <t xml:space="preserve">
Disclosed. 1Q earnings.</t>
        </r>
      </text>
    </comment>
    <comment ref="BG376" authorId="2">
      <text>
        <r>
          <rPr>
            <b/>
            <sz val="9"/>
            <color indexed="81"/>
            <rFont val="Tahoma"/>
            <family val="2"/>
          </rPr>
          <t>Goldstein, Jeff (Research):</t>
        </r>
        <r>
          <rPr>
            <sz val="9"/>
            <color indexed="81"/>
            <rFont val="Tahoma"/>
            <family val="2"/>
          </rPr>
          <t xml:space="preserve">
Growth in subscriptions offsets by decline in global trading services</t>
        </r>
      </text>
    </comment>
    <comment ref="BH376" authorId="2">
      <text>
        <r>
          <rPr>
            <b/>
            <sz val="9"/>
            <color indexed="81"/>
            <rFont val="Tahoma"/>
            <family val="2"/>
          </rPr>
          <t>Goldstein, Jeff (Research):</t>
        </r>
        <r>
          <rPr>
            <sz val="9"/>
            <color indexed="81"/>
            <rFont val="Tahoma"/>
            <family val="2"/>
          </rPr>
          <t xml:space="preserve">
Disclosed (4Q slides)</t>
        </r>
      </text>
    </comment>
    <comment ref="A380" authorId="2">
      <text>
        <r>
          <rPr>
            <b/>
            <sz val="9"/>
            <color indexed="81"/>
            <rFont val="Tahoma"/>
            <family val="2"/>
          </rPr>
          <t>Goldstein, Jeff (Research):</t>
        </r>
        <r>
          <rPr>
            <sz val="9"/>
            <color indexed="81"/>
            <rFont val="Tahoma"/>
            <family val="2"/>
          </rPr>
          <t xml:space="preserve">
Subscription revenue at Platts is related to real-time news, market data, and price assessments, along with other information products</t>
        </r>
      </text>
    </comment>
    <comment ref="AV380" authorId="2">
      <text>
        <r>
          <rPr>
            <b/>
            <sz val="9"/>
            <color indexed="81"/>
            <rFont val="Tahoma"/>
            <family val="2"/>
          </rPr>
          <t>Goldstein, Jeff (Research):</t>
        </r>
        <r>
          <rPr>
            <sz val="9"/>
            <color indexed="81"/>
            <rFont val="Tahoma"/>
            <family val="2"/>
          </rPr>
          <t xml:space="preserve">
Reconciles 2Q with FY figure of $576M</t>
        </r>
      </text>
    </comment>
    <comment ref="A385" authorId="2">
      <text>
        <r>
          <rPr>
            <b/>
            <sz val="9"/>
            <color indexed="81"/>
            <rFont val="Tahoma"/>
            <family val="2"/>
          </rPr>
          <t>Goldstein, Jeff (Research):</t>
        </r>
        <r>
          <rPr>
            <sz val="9"/>
            <color indexed="81"/>
            <rFont val="Tahoma"/>
            <family val="2"/>
          </rPr>
          <t xml:space="preserve">
Non-subscription revenue is related to licensing of its proprietary market price data and price assessments to commodity exchanges, conference sponsorship, consulting engagements and events</t>
        </r>
      </text>
    </comment>
    <comment ref="AV385" authorId="2">
      <text>
        <r>
          <rPr>
            <b/>
            <sz val="9"/>
            <color indexed="81"/>
            <rFont val="Tahoma"/>
            <family val="2"/>
          </rPr>
          <t>Goldstein, Jeff (Research):</t>
        </r>
        <r>
          <rPr>
            <sz val="9"/>
            <color indexed="81"/>
            <rFont val="Tahoma"/>
            <family val="2"/>
          </rPr>
          <t xml:space="preserve">
Reconciles 2Q with FY figure of $317M</t>
        </r>
      </text>
    </comment>
    <comment ref="BG385" authorId="2">
      <text>
        <r>
          <rPr>
            <b/>
            <sz val="9"/>
            <color indexed="81"/>
            <rFont val="Tahoma"/>
            <family val="2"/>
          </rPr>
          <t>Goldstein, Jeff (Research):</t>
        </r>
        <r>
          <rPr>
            <sz val="9"/>
            <color indexed="81"/>
            <rFont val="Tahoma"/>
            <family val="2"/>
          </rPr>
          <t xml:space="preserve">
JD Power divestiture</t>
        </r>
      </text>
    </comment>
    <comment ref="BJ385" authorId="2">
      <text>
        <r>
          <rPr>
            <b/>
            <sz val="9"/>
            <color indexed="81"/>
            <rFont val="Tahoma"/>
            <family val="2"/>
          </rPr>
          <t>Goldstein, Jeff (Research):</t>
        </r>
        <r>
          <rPr>
            <sz val="9"/>
            <color indexed="81"/>
            <rFont val="Tahoma"/>
            <family val="2"/>
          </rPr>
          <t xml:space="preserve">
Transaction + Royalties revenue</t>
        </r>
      </text>
    </comment>
    <comment ref="BO385" authorId="2">
      <text>
        <r>
          <rPr>
            <b/>
            <sz val="9"/>
            <color indexed="81"/>
            <rFont val="Tahoma"/>
            <family val="2"/>
          </rPr>
          <t>Goldstein, Jeff (Research):</t>
        </r>
        <r>
          <rPr>
            <sz val="9"/>
            <color indexed="81"/>
            <rFont val="Tahoma"/>
            <family val="2"/>
          </rPr>
          <t xml:space="preserve">
Transaction + Royalties revenue</t>
        </r>
      </text>
    </comment>
    <comment ref="AV389" authorId="2">
      <text>
        <r>
          <rPr>
            <b/>
            <sz val="9"/>
            <color indexed="81"/>
            <rFont val="Tahoma"/>
            <family val="2"/>
          </rPr>
          <t>Goldstein, Jeff (Research):</t>
        </r>
        <r>
          <rPr>
            <sz val="9"/>
            <color indexed="81"/>
            <rFont val="Tahoma"/>
            <family val="2"/>
          </rPr>
          <t xml:space="preserve">
Reconciles 2Q with FY figure of $401M</t>
        </r>
      </text>
    </comment>
    <comment ref="AU393" authorId="2">
      <text>
        <r>
          <rPr>
            <b/>
            <sz val="9"/>
            <color indexed="81"/>
            <rFont val="Tahoma"/>
            <family val="2"/>
          </rPr>
          <t>Goldstein, Jeff (Research):</t>
        </r>
        <r>
          <rPr>
            <sz val="9"/>
            <color indexed="81"/>
            <rFont val="Tahoma"/>
            <family val="2"/>
          </rPr>
          <t xml:space="preserve">
Difference between reported is result of smoothing of difference of year end total ex-construction vs restated</t>
        </r>
      </text>
    </comment>
    <comment ref="AV393" authorId="2">
      <text>
        <r>
          <rPr>
            <b/>
            <sz val="9"/>
            <color indexed="81"/>
            <rFont val="Tahoma"/>
            <family val="2"/>
          </rPr>
          <t>Goldstein, Jeff (Research):</t>
        </r>
        <r>
          <rPr>
            <sz val="9"/>
            <color indexed="81"/>
            <rFont val="Tahoma"/>
            <family val="2"/>
          </rPr>
          <t xml:space="preserve">
Difference between reported is result of smoothing of difference of year end total ex-construction vs restated</t>
        </r>
      </text>
    </comment>
    <comment ref="AL399" authorId="6">
      <text>
        <r>
          <rPr>
            <sz val="8"/>
            <color indexed="81"/>
            <rFont val="Tahoma"/>
            <family val="2"/>
          </rPr>
          <t>The launch of S&amp;P Dow Jones Indices took place on June 29th.  With the transaction closing so late in the quarter, the earnings impact was not material.</t>
        </r>
        <r>
          <rPr>
            <b/>
            <sz val="8"/>
            <color indexed="81"/>
            <rFont val="Tahoma"/>
            <family val="2"/>
          </rPr>
          <t xml:space="preserve">
</t>
        </r>
      </text>
    </comment>
    <comment ref="A402" authorId="5">
      <text>
        <r>
          <rPr>
            <sz val="8"/>
            <color indexed="81"/>
            <rFont val="Tahoma"/>
            <family val="2"/>
          </rPr>
          <t>AUM Linked to S&amp;P indices</t>
        </r>
      </text>
    </comment>
    <comment ref="A427" authorId="3">
      <text>
        <r>
          <rPr>
            <b/>
            <sz val="9"/>
            <color indexed="81"/>
            <rFont val="Tahoma"/>
            <family val="2"/>
          </rPr>
          <t>Galindo, Denny:</t>
        </r>
        <r>
          <rPr>
            <sz val="9"/>
            <color indexed="81"/>
            <rFont val="Tahoma"/>
            <family val="2"/>
          </rPr>
          <t xml:space="preserve">
Spyders at 3 bps but we assume other products are higher</t>
        </r>
      </text>
    </comment>
    <comment ref="AU435" authorId="3">
      <text>
        <r>
          <rPr>
            <b/>
            <sz val="9"/>
            <color indexed="81"/>
            <rFont val="Tahoma"/>
            <family val="2"/>
          </rPr>
          <t>Galindo, Denny:</t>
        </r>
        <r>
          <rPr>
            <sz val="9"/>
            <color indexed="81"/>
            <rFont val="Tahoma"/>
            <family val="2"/>
          </rPr>
          <t xml:space="preserve">
One time increase of $12M</t>
        </r>
      </text>
    </comment>
    <comment ref="AZ435" authorId="2">
      <text>
        <r>
          <rPr>
            <b/>
            <sz val="9"/>
            <color indexed="81"/>
            <rFont val="Tahoma"/>
            <family val="2"/>
          </rPr>
          <t>Goldstein, Jeff (Research):</t>
        </r>
        <r>
          <rPr>
            <sz val="9"/>
            <color indexed="81"/>
            <rFont val="Tahoma"/>
            <family val="2"/>
          </rPr>
          <t xml:space="preserve">
New reporting presentation</t>
        </r>
      </text>
    </comment>
    <comment ref="BA435" authorId="2">
      <text>
        <r>
          <rPr>
            <b/>
            <sz val="9"/>
            <color indexed="81"/>
            <rFont val="Tahoma"/>
            <family val="2"/>
          </rPr>
          <t>Goldstein, Jeff (Research):</t>
        </r>
        <r>
          <rPr>
            <sz val="9"/>
            <color indexed="81"/>
            <rFont val="Tahoma"/>
            <family val="2"/>
          </rPr>
          <t xml:space="preserve">
New reporting presentation</t>
        </r>
      </text>
    </comment>
    <comment ref="BB435" authorId="2">
      <text>
        <r>
          <rPr>
            <b/>
            <sz val="9"/>
            <color indexed="81"/>
            <rFont val="Tahoma"/>
            <family val="2"/>
          </rPr>
          <t>Goldstein, Jeff (Research):</t>
        </r>
        <r>
          <rPr>
            <sz val="9"/>
            <color indexed="81"/>
            <rFont val="Tahoma"/>
            <family val="2"/>
          </rPr>
          <t xml:space="preserve">
New reporting presentation</t>
        </r>
      </text>
    </comment>
    <comment ref="BE435" authorId="2">
      <text>
        <r>
          <rPr>
            <b/>
            <sz val="9"/>
            <color indexed="81"/>
            <rFont val="Tahoma"/>
            <family val="2"/>
          </rPr>
          <t>Goldstein, Jeff (Research):</t>
        </r>
        <r>
          <rPr>
            <sz val="9"/>
            <color indexed="81"/>
            <rFont val="Tahoma"/>
            <family val="2"/>
          </rPr>
          <t xml:space="preserve">
New reporting presentation</t>
        </r>
      </text>
    </comment>
    <comment ref="BF435" authorId="2">
      <text>
        <r>
          <rPr>
            <b/>
            <sz val="9"/>
            <color indexed="81"/>
            <rFont val="Tahoma"/>
            <family val="2"/>
          </rPr>
          <t>Goldstein, Jeff (Research):</t>
        </r>
        <r>
          <rPr>
            <sz val="9"/>
            <color indexed="81"/>
            <rFont val="Tahoma"/>
            <family val="2"/>
          </rPr>
          <t xml:space="preserve">
New reporting presentation</t>
        </r>
      </text>
    </comment>
    <comment ref="AU447" authorId="2">
      <text>
        <r>
          <rPr>
            <b/>
            <sz val="9"/>
            <color indexed="81"/>
            <rFont val="Tahoma"/>
            <family val="2"/>
          </rPr>
          <t>Goldstein, Jeff (Research):</t>
        </r>
        <r>
          <rPr>
            <sz val="9"/>
            <color indexed="81"/>
            <rFont val="Tahoma"/>
            <family val="2"/>
          </rPr>
          <t xml:space="preserve">
Adds back $44M of Constructions revs. Cap IQ product closure/divestiture ($1M). </t>
        </r>
      </text>
    </comment>
    <comment ref="AV447" authorId="2">
      <text>
        <r>
          <rPr>
            <b/>
            <sz val="9"/>
            <color indexed="81"/>
            <rFont val="Tahoma"/>
            <family val="2"/>
          </rPr>
          <t>Goldstein, Jeff (Research):</t>
        </r>
        <r>
          <rPr>
            <sz val="9"/>
            <color indexed="81"/>
            <rFont val="Tahoma"/>
            <family val="2"/>
          </rPr>
          <t xml:space="preserve">
Adds back $44M of Constructions revs. Cap IQ product closure/divestiture ($1M). </t>
        </r>
      </text>
    </comment>
    <comment ref="AW447" authorId="2">
      <text>
        <r>
          <rPr>
            <b/>
            <sz val="9"/>
            <color indexed="81"/>
            <rFont val="Tahoma"/>
            <family val="2"/>
          </rPr>
          <t>Goldstein, Jeff (Research):</t>
        </r>
        <r>
          <rPr>
            <sz val="9"/>
            <color indexed="81"/>
            <rFont val="Tahoma"/>
            <family val="2"/>
          </rPr>
          <t xml:space="preserve">
Eclipse</t>
        </r>
      </text>
    </comment>
    <comment ref="BK447" authorId="2">
      <text>
        <r>
          <rPr>
            <b/>
            <sz val="9"/>
            <color indexed="81"/>
            <rFont val="Tahoma"/>
            <family val="2"/>
          </rPr>
          <t>Goldstein, Jeff (Research):</t>
        </r>
        <r>
          <rPr>
            <sz val="9"/>
            <color indexed="81"/>
            <rFont val="Tahoma"/>
            <family val="2"/>
          </rPr>
          <t xml:space="preserve">
11M divested revs in MCI
1M divested revs in Indices</t>
        </r>
      </text>
    </comment>
    <comment ref="AV448" authorId="2">
      <text>
        <r>
          <rPr>
            <b/>
            <sz val="9"/>
            <color indexed="81"/>
            <rFont val="Tahoma"/>
            <family val="2"/>
          </rPr>
          <t>Goldstein, Jeff (Research):</t>
        </r>
        <r>
          <rPr>
            <sz val="9"/>
            <color indexed="81"/>
            <rFont val="Tahoma"/>
            <family val="2"/>
          </rPr>
          <t xml:space="preserve">
No disclosure of currency impact in 2Q14 transcript</t>
        </r>
      </text>
    </comment>
    <comment ref="AW448" authorId="2">
      <text>
        <r>
          <rPr>
            <b/>
            <sz val="9"/>
            <color indexed="81"/>
            <rFont val="Tahoma"/>
            <family val="2"/>
          </rPr>
          <t>Goldstein, Jeff (Research):</t>
        </r>
        <r>
          <rPr>
            <sz val="9"/>
            <color indexed="81"/>
            <rFont val="Tahoma"/>
            <family val="2"/>
          </rPr>
          <t xml:space="preserve">
No disclosure of currency impact in 3Q14 transcript</t>
        </r>
      </text>
    </comment>
    <comment ref="AX448" authorId="2">
      <text>
        <r>
          <rPr>
            <b/>
            <sz val="9"/>
            <color indexed="81"/>
            <rFont val="Tahoma"/>
            <family val="2"/>
          </rPr>
          <t>Goldstein, Jeff (Research):</t>
        </r>
        <r>
          <rPr>
            <sz val="9"/>
            <color indexed="81"/>
            <rFont val="Tahoma"/>
            <family val="2"/>
          </rPr>
          <t xml:space="preserve">
From 4Q14 transcript. Revenue was negatively impacted by approximately one point of growth </t>
        </r>
      </text>
    </comment>
    <comment ref="AZ448" authorId="2">
      <text>
        <r>
          <rPr>
            <b/>
            <sz val="9"/>
            <color indexed="81"/>
            <rFont val="Tahoma"/>
            <family val="2"/>
          </rPr>
          <t>Goldstein, Jeff (Research):</t>
        </r>
        <r>
          <rPr>
            <sz val="9"/>
            <color indexed="81"/>
            <rFont val="Tahoma"/>
            <family val="2"/>
          </rPr>
          <t xml:space="preserve">
From 1Q15 transcript. FX reduced the growth rate by 2%</t>
        </r>
      </text>
    </comment>
    <comment ref="BA448" authorId="2">
      <text>
        <r>
          <rPr>
            <b/>
            <sz val="9"/>
            <color indexed="81"/>
            <rFont val="Tahoma"/>
            <family val="2"/>
          </rPr>
          <t>Goldstein, Jeff (Research):</t>
        </r>
        <r>
          <rPr>
            <sz val="9"/>
            <color indexed="81"/>
            <rFont val="Tahoma"/>
            <family val="2"/>
          </rPr>
          <t xml:space="preserve">
From 2Q transcript. Revenue increased 3% y/y, but excluding the impact of FX revenue increased 6%.</t>
        </r>
      </text>
    </comment>
    <comment ref="BB448" authorId="2">
      <text>
        <r>
          <rPr>
            <b/>
            <sz val="9"/>
            <color indexed="81"/>
            <rFont val="Tahoma"/>
            <family val="2"/>
          </rPr>
          <t>Goldstein, Jeff (Research):</t>
        </r>
        <r>
          <rPr>
            <sz val="9"/>
            <color indexed="81"/>
            <rFont val="Tahoma"/>
            <family val="2"/>
          </rPr>
          <t xml:space="preserve">
2% FX impact on total company (3Q15 investor presentation)</t>
        </r>
      </text>
    </comment>
    <comment ref="BC448" authorId="2">
      <text>
        <r>
          <rPr>
            <b/>
            <sz val="9"/>
            <color indexed="81"/>
            <rFont val="Tahoma"/>
            <family val="2"/>
          </rPr>
          <t>Goldstein, Jeff (Research):</t>
        </r>
        <r>
          <rPr>
            <sz val="9"/>
            <color indexed="81"/>
            <rFont val="Tahoma"/>
            <family val="2"/>
          </rPr>
          <t xml:space="preserve">
From 4Q15 earnings presentation: Organic revenue increased 1%. Organic revenue, on a constant-currency basis, increased 3%</t>
        </r>
      </text>
    </comment>
    <comment ref="BD448" authorId="2">
      <text>
        <r>
          <rPr>
            <b/>
            <sz val="9"/>
            <color indexed="81"/>
            <rFont val="Tahoma"/>
            <family val="2"/>
          </rPr>
          <t>Goldstein, Jeff (Research):</t>
        </r>
        <r>
          <rPr>
            <sz val="9"/>
            <color indexed="81"/>
            <rFont val="Tahoma"/>
            <family val="2"/>
          </rPr>
          <t xml:space="preserve">
2015 8K</t>
        </r>
      </text>
    </comment>
    <comment ref="BE448" authorId="2">
      <text>
        <r>
          <rPr>
            <b/>
            <sz val="9"/>
            <color indexed="81"/>
            <rFont val="Tahoma"/>
            <family val="2"/>
          </rPr>
          <t>Goldstein, Jeff (Research):</t>
        </r>
        <r>
          <rPr>
            <sz val="9"/>
            <color indexed="81"/>
            <rFont val="Tahoma"/>
            <family val="2"/>
          </rPr>
          <t xml:space="preserve">
From 1Q16 earnings presentation: Organic revenue decreased 1%. Organic revenue, on a constant-currency basis, was unchanged.</t>
        </r>
      </text>
    </comment>
    <comment ref="BG448" authorId="2">
      <text>
        <r>
          <rPr>
            <b/>
            <sz val="9"/>
            <color indexed="81"/>
            <rFont val="Tahoma"/>
            <family val="2"/>
          </rPr>
          <t>Goldstein, Jeff (Research):</t>
        </r>
        <r>
          <rPr>
            <sz val="9"/>
            <color indexed="81"/>
            <rFont val="Tahoma"/>
            <family val="2"/>
          </rPr>
          <t xml:space="preserve">
From 3Q transcript. "Forex reduced revene by $5M"</t>
        </r>
      </text>
    </comment>
    <comment ref="BH448" authorId="2">
      <text>
        <r>
          <rPr>
            <b/>
            <sz val="9"/>
            <color indexed="81"/>
            <rFont val="Tahoma"/>
            <family val="2"/>
          </rPr>
          <t>Goldstein, Jeff (Research):</t>
        </r>
        <r>
          <rPr>
            <sz val="9"/>
            <color indexed="81"/>
            <rFont val="Tahoma"/>
            <family val="2"/>
          </rPr>
          <t xml:space="preserve">
Disclosed in 4Q slides. 8M negative impact from Ratings and 2M negative impact from Market and Commodities Intelligence</t>
        </r>
      </text>
    </comment>
    <comment ref="BJ448" authorId="2">
      <text>
        <r>
          <rPr>
            <b/>
            <sz val="9"/>
            <color indexed="81"/>
            <rFont val="Tahoma"/>
            <family val="2"/>
          </rPr>
          <t>Goldstein, Jeff (Research):</t>
        </r>
        <r>
          <rPr>
            <sz val="9"/>
            <color indexed="81"/>
            <rFont val="Tahoma"/>
            <family val="2"/>
          </rPr>
          <t xml:space="preserve">
Slide 21 of 1Q earnings slides</t>
        </r>
      </text>
    </comment>
    <comment ref="BK448" authorId="2">
      <text>
        <r>
          <rPr>
            <b/>
            <sz val="9"/>
            <color indexed="81"/>
            <rFont val="Tahoma"/>
            <family val="2"/>
          </rPr>
          <t>Goldstein, Jeff (Research):</t>
        </r>
        <r>
          <rPr>
            <sz val="9"/>
            <color indexed="81"/>
            <rFont val="Tahoma"/>
            <family val="2"/>
          </rPr>
          <t xml:space="preserve">
Earnings presentation</t>
        </r>
      </text>
    </comment>
    <comment ref="BL448" authorId="2">
      <text>
        <r>
          <rPr>
            <b/>
            <sz val="9"/>
            <color indexed="81"/>
            <rFont val="Tahoma"/>
            <family val="2"/>
          </rPr>
          <t>Goldstein, Jeff (Research):</t>
        </r>
        <r>
          <rPr>
            <sz val="9"/>
            <color indexed="81"/>
            <rFont val="Tahoma"/>
            <family val="2"/>
          </rPr>
          <t xml:space="preserve">
Difference between total adjusted revenue and organic revenue constant currency</t>
        </r>
      </text>
    </comment>
    <comment ref="BM448" authorId="2">
      <text>
        <r>
          <rPr>
            <b/>
            <sz val="9"/>
            <color indexed="81"/>
            <rFont val="Tahoma"/>
            <family val="2"/>
          </rPr>
          <t>Goldstein, Jeff (Research):</t>
        </r>
        <r>
          <rPr>
            <sz val="9"/>
            <color indexed="81"/>
            <rFont val="Tahoma"/>
            <family val="2"/>
          </rPr>
          <t xml:space="preserve">
Benefit</t>
        </r>
      </text>
    </comment>
    <comment ref="BO448" authorId="2">
      <text>
        <r>
          <rPr>
            <b/>
            <sz val="9"/>
            <color indexed="81"/>
            <rFont val="Tahoma"/>
            <family val="2"/>
          </rPr>
          <t>Goldstein, Jeff (Research):</t>
        </r>
        <r>
          <rPr>
            <sz val="9"/>
            <color indexed="81"/>
            <rFont val="Tahoma"/>
            <family val="2"/>
          </rPr>
          <t xml:space="preserve">
Benefit</t>
        </r>
      </text>
    </comment>
    <comment ref="BC449" authorId="2">
      <text>
        <r>
          <rPr>
            <b/>
            <sz val="9"/>
            <color indexed="81"/>
            <rFont val="Tahoma"/>
            <family val="2"/>
          </rPr>
          <t>Goldstein, Jeff (Research):</t>
        </r>
        <r>
          <rPr>
            <sz val="9"/>
            <color indexed="81"/>
            <rFont val="Tahoma"/>
            <family val="2"/>
          </rPr>
          <t xml:space="preserve">
Increased 3% on a constant-currency basis (From 4Q15 earnings presentation)</t>
        </r>
      </text>
    </comment>
    <comment ref="BD449" authorId="2">
      <text>
        <r>
          <rPr>
            <b/>
            <sz val="9"/>
            <color indexed="81"/>
            <rFont val="Tahoma"/>
            <family val="2"/>
          </rPr>
          <t>Goldstein, Jeff (Research):</t>
        </r>
        <r>
          <rPr>
            <sz val="9"/>
            <color indexed="81"/>
            <rFont val="Tahoma"/>
            <family val="2"/>
          </rPr>
          <t xml:space="preserve">
Organic revenue increased 5% on a constant-currency basis (From 4Q15 earnings presentation)</t>
        </r>
      </text>
    </comment>
    <comment ref="BE449" authorId="2">
      <text>
        <r>
          <rPr>
            <b/>
            <sz val="9"/>
            <color indexed="81"/>
            <rFont val="Tahoma"/>
            <family val="2"/>
          </rPr>
          <t>Goldstein, Jeff (Research):</t>
        </r>
        <r>
          <rPr>
            <sz val="9"/>
            <color indexed="81"/>
            <rFont val="Tahoma"/>
            <family val="2"/>
          </rPr>
          <t xml:space="preserve">
8-K</t>
        </r>
      </text>
    </comment>
    <comment ref="AV450" authorId="2">
      <text>
        <r>
          <rPr>
            <b/>
            <sz val="9"/>
            <color indexed="81"/>
            <rFont val="Tahoma"/>
            <family val="2"/>
          </rPr>
          <t>Goldstein, Jeff (Research):</t>
        </r>
        <r>
          <rPr>
            <sz val="9"/>
            <color indexed="81"/>
            <rFont val="Tahoma"/>
            <family val="2"/>
          </rPr>
          <t xml:space="preserve">
2Q13 adjusted for 16M Aviation Week divestiture of Aviation Week and $4m Cap IQ divestiture</t>
        </r>
      </text>
    </comment>
    <comment ref="AW450" authorId="2">
      <text>
        <r>
          <rPr>
            <b/>
            <sz val="9"/>
            <color indexed="81"/>
            <rFont val="Tahoma"/>
            <family val="2"/>
          </rPr>
          <t>Goldstein, Jeff (Research):</t>
        </r>
        <r>
          <rPr>
            <sz val="9"/>
            <color indexed="81"/>
            <rFont val="Tahoma"/>
            <family val="2"/>
          </rPr>
          <t xml:space="preserve">
3Q13 adjusted for 2M C&amp;C divestiture of Aviation Week and $4m Cap IQ divestiture</t>
        </r>
      </text>
    </comment>
    <comment ref="AX450" authorId="2">
      <text>
        <r>
          <rPr>
            <b/>
            <sz val="9"/>
            <color indexed="81"/>
            <rFont val="Tahoma"/>
            <family val="2"/>
          </rPr>
          <t>Goldstein, Jeff (Research):</t>
        </r>
        <r>
          <rPr>
            <sz val="9"/>
            <color indexed="81"/>
            <rFont val="Tahoma"/>
            <family val="2"/>
          </rPr>
          <t xml:space="preserve">
4Q13 adjusted for Cap IQ products closures and divestitures ($2M)</t>
        </r>
      </text>
    </comment>
    <comment ref="AY450" authorId="2">
      <text>
        <r>
          <rPr>
            <b/>
            <sz val="9"/>
            <color indexed="81"/>
            <rFont val="Tahoma"/>
            <family val="2"/>
          </rPr>
          <t>Goldstein, Jeff (Research):</t>
        </r>
        <r>
          <rPr>
            <sz val="9"/>
            <color indexed="81"/>
            <rFont val="Tahoma"/>
            <family val="2"/>
          </rPr>
          <t xml:space="preserve">
Removes 26M of C&amp;C divestitures and 15M of Cap IQ divestitures in 2013</t>
        </r>
      </text>
    </comment>
    <comment ref="BF450" authorId="2">
      <text>
        <r>
          <rPr>
            <b/>
            <sz val="9"/>
            <color indexed="81"/>
            <rFont val="Tahoma"/>
            <family val="2"/>
          </rPr>
          <t>Goldstein, Jeff (Research):</t>
        </r>
        <r>
          <rPr>
            <sz val="9"/>
            <color indexed="81"/>
            <rFont val="Tahoma"/>
            <family val="2"/>
          </rPr>
          <t xml:space="preserve">
Adjusted for 1M of product closures in 2Q15</t>
        </r>
      </text>
    </comment>
    <comment ref="BG450" authorId="2">
      <text>
        <r>
          <rPr>
            <b/>
            <sz val="9"/>
            <color indexed="81"/>
            <rFont val="Tahoma"/>
            <family val="2"/>
          </rPr>
          <t>Goldstein, Jeff (Research):</t>
        </r>
        <r>
          <rPr>
            <sz val="9"/>
            <color indexed="81"/>
            <rFont val="Tahoma"/>
            <family val="2"/>
          </rPr>
          <t xml:space="preserve">
Per 3Q slides. Organic revenue grew 8% on constant currency basis</t>
        </r>
      </text>
    </comment>
    <comment ref="BH450" authorId="2">
      <text>
        <r>
          <rPr>
            <b/>
            <sz val="9"/>
            <color indexed="81"/>
            <rFont val="Tahoma"/>
            <family val="2"/>
          </rPr>
          <t>Goldstein, Jeff (Research):</t>
        </r>
        <r>
          <rPr>
            <sz val="9"/>
            <color indexed="81"/>
            <rFont val="Tahoma"/>
            <family val="2"/>
          </rPr>
          <t xml:space="preserve">
Adjusted for 130M of divested revenue in 4Q15. Per 4Q16 slides. 4Q16 organic revenue increased 11%</t>
        </r>
      </text>
    </comment>
    <comment ref="BJ450" authorId="2">
      <text>
        <r>
          <rPr>
            <b/>
            <sz val="9"/>
            <color indexed="81"/>
            <rFont val="Tahoma"/>
            <family val="2"/>
          </rPr>
          <t>Goldstein, Jeff (Research):</t>
        </r>
        <r>
          <rPr>
            <sz val="9"/>
            <color indexed="81"/>
            <rFont val="Tahoma"/>
            <family val="2"/>
          </rPr>
          <t xml:space="preserve">
Adjusted for divested revenue present in 1Q16</t>
        </r>
      </text>
    </comment>
    <comment ref="BK450" authorId="2">
      <text>
        <r>
          <rPr>
            <b/>
            <sz val="9"/>
            <color indexed="81"/>
            <rFont val="Tahoma"/>
            <family val="2"/>
          </rPr>
          <t>Goldstein, Jeff (Research):</t>
        </r>
        <r>
          <rPr>
            <sz val="9"/>
            <color indexed="81"/>
            <rFont val="Tahoma"/>
            <family val="2"/>
          </rPr>
          <t xml:space="preserve">
Adjusted for divested revenue present in 2Q16</t>
        </r>
      </text>
    </comment>
    <comment ref="BM450" authorId="2">
      <text>
        <r>
          <rPr>
            <b/>
            <sz val="9"/>
            <color indexed="81"/>
            <rFont val="Tahoma"/>
            <family val="2"/>
          </rPr>
          <t>Goldstein, Jeff (Research):</t>
        </r>
        <r>
          <rPr>
            <sz val="9"/>
            <color indexed="81"/>
            <rFont val="Tahoma"/>
            <family val="2"/>
          </rPr>
          <t xml:space="preserve">
Less 6M of divested revenue</t>
        </r>
      </text>
    </comment>
    <comment ref="BN450" authorId="2">
      <text>
        <r>
          <rPr>
            <b/>
            <sz val="9"/>
            <color indexed="81"/>
            <rFont val="Tahoma"/>
            <family val="2"/>
          </rPr>
          <t>Goldstein, Jeff (Research):</t>
        </r>
        <r>
          <rPr>
            <sz val="9"/>
            <color indexed="81"/>
            <rFont val="Tahoma"/>
            <family val="2"/>
          </rPr>
          <t xml:space="preserve">
Guidance of low double digit increase (as of 3Q17 earnings)
Guidance of high single digit increase (as of 2Q17 earnings)
Guidance of mid to high single digit growth (As of 1Q17)</t>
        </r>
      </text>
    </comment>
  </commentList>
</comments>
</file>

<file path=xl/comments3.xml><?xml version="1.0" encoding="utf-8"?>
<comments xmlns="http://schemas.openxmlformats.org/spreadsheetml/2006/main">
  <authors>
    <author>kapltoni</author>
  </authors>
  <commentList>
    <comment ref="F6" authorId="0">
      <text>
        <r>
          <rPr>
            <b/>
            <sz val="8"/>
            <color indexed="81"/>
            <rFont val="Tahoma"/>
            <family val="2"/>
          </rPr>
          <t>kapltoni:</t>
        </r>
        <r>
          <rPr>
            <sz val="8"/>
            <color indexed="81"/>
            <rFont val="Tahoma"/>
            <family val="2"/>
          </rPr>
          <t xml:space="preserve">
spin of edu</t>
        </r>
      </text>
    </comment>
  </commentList>
</comments>
</file>

<file path=xl/comments4.xml><?xml version="1.0" encoding="utf-8"?>
<comments xmlns="http://schemas.openxmlformats.org/spreadsheetml/2006/main">
  <authors>
    <author>Goldstein, Jeff (Research)</author>
  </authors>
  <commentList>
    <comment ref="P63" authorId="0">
      <text>
        <r>
          <rPr>
            <b/>
            <sz val="9"/>
            <color indexed="81"/>
            <rFont val="Tahoma"/>
            <family val="2"/>
          </rPr>
          <t>Goldstein, Jeff (Research):</t>
        </r>
        <r>
          <rPr>
            <sz val="9"/>
            <color indexed="81"/>
            <rFont val="Tahoma"/>
            <family val="2"/>
          </rPr>
          <t xml:space="preserve">
4/25</t>
        </r>
      </text>
    </comment>
  </commentList>
</comments>
</file>

<file path=xl/sharedStrings.xml><?xml version="1.0" encoding="utf-8"?>
<sst xmlns="http://schemas.openxmlformats.org/spreadsheetml/2006/main" count="6438" uniqueCount="953">
  <si>
    <t>1Q06</t>
  </si>
  <si>
    <t>2Q06</t>
  </si>
  <si>
    <t>3Q06</t>
  </si>
  <si>
    <t>4Q06</t>
  </si>
  <si>
    <t>1Q07</t>
  </si>
  <si>
    <t>2Q07</t>
  </si>
  <si>
    <t>3Q07</t>
  </si>
  <si>
    <t>4Q07</t>
  </si>
  <si>
    <t>1Q08</t>
  </si>
  <si>
    <t>2Q08</t>
  </si>
  <si>
    <t>3Q08</t>
  </si>
  <si>
    <t>4Q08</t>
  </si>
  <si>
    <t>1Q09</t>
  </si>
  <si>
    <t>2Q09</t>
  </si>
  <si>
    <t>3Q09</t>
  </si>
  <si>
    <t>4Q09</t>
  </si>
  <si>
    <t>1Q10</t>
  </si>
  <si>
    <t>2Q10</t>
  </si>
  <si>
    <t>3Q10</t>
  </si>
  <si>
    <t>4Q10</t>
  </si>
  <si>
    <t>1Q11</t>
  </si>
  <si>
    <t>2Q11</t>
  </si>
  <si>
    <t>3Q11</t>
  </si>
  <si>
    <t>4Q11</t>
  </si>
  <si>
    <t>1Q12</t>
  </si>
  <si>
    <t>2Q12</t>
  </si>
  <si>
    <t>3Q12</t>
  </si>
  <si>
    <t>4Q12</t>
  </si>
  <si>
    <t>1Q13</t>
  </si>
  <si>
    <t>2Q13</t>
  </si>
  <si>
    <t>3Q13</t>
  </si>
  <si>
    <t>4Q13</t>
  </si>
  <si>
    <t>1Q14</t>
  </si>
  <si>
    <t>2Q14</t>
  </si>
  <si>
    <t>3Q14</t>
  </si>
  <si>
    <t>4Q14</t>
  </si>
  <si>
    <t>1Q15</t>
  </si>
  <si>
    <t>2Q15</t>
  </si>
  <si>
    <t>3Q15</t>
  </si>
  <si>
    <t>4Q15</t>
  </si>
  <si>
    <t>1Q16</t>
  </si>
  <si>
    <t>2Q16</t>
  </si>
  <si>
    <t>1Q18E</t>
  </si>
  <si>
    <t>2Q18E</t>
  </si>
  <si>
    <t>3Q18E</t>
  </si>
  <si>
    <t>4Q18E</t>
  </si>
  <si>
    <t>2018E</t>
  </si>
  <si>
    <t>2019E</t>
  </si>
  <si>
    <t>2020E</t>
  </si>
  <si>
    <t>2021E</t>
  </si>
  <si>
    <t>Do not Delete</t>
  </si>
  <si>
    <t>S&amp;P Global, Inc</t>
  </si>
  <si>
    <t>The McGraw-Hill Companies, Inc.</t>
  </si>
  <si>
    <t>Quarterly Income Statement</t>
  </si>
  <si>
    <t>Annual Income Statement</t>
  </si>
  <si>
    <t>(Values in millions, except per-share amounts)</t>
  </si>
  <si>
    <t>CAGR</t>
  </si>
  <si>
    <t>Fiscal Year Ending December 31</t>
  </si>
  <si>
    <t>NTM</t>
  </si>
  <si>
    <t>Revenues</t>
  </si>
  <si>
    <t>Product</t>
  </si>
  <si>
    <t>Service</t>
  </si>
  <si>
    <t xml:space="preserve">______ </t>
  </si>
  <si>
    <t>Total Revenues</t>
  </si>
  <si>
    <t>Annual Growth</t>
  </si>
  <si>
    <t>Operating-Related Expenses</t>
  </si>
  <si>
    <t>Total Operating-Related Expenses</t>
  </si>
  <si>
    <t>% of Total Revenue</t>
  </si>
  <si>
    <t>Selling and general expenses</t>
  </si>
  <si>
    <t>Other Income/ (Expense)</t>
  </si>
  <si>
    <t xml:space="preserve"> Total Expenses</t>
  </si>
  <si>
    <t>EBITDA</t>
  </si>
  <si>
    <t>EBITDA Margin</t>
  </si>
  <si>
    <t>Year-over-Year Growth</t>
  </si>
  <si>
    <t>Depreciation and Amortization</t>
  </si>
  <si>
    <t>Depreciation</t>
  </si>
  <si>
    <t>Amortization</t>
  </si>
  <si>
    <t>Operating Profit</t>
  </si>
  <si>
    <t>Operating Margin</t>
  </si>
  <si>
    <t>Interest Expense, Net</t>
  </si>
  <si>
    <t>Pretax Income</t>
  </si>
  <si>
    <t>Income Tax Benefit (Expense)- Reported</t>
  </si>
  <si>
    <t>Income Tax Benefit (Expense)- Extraordinary income (expenses)</t>
  </si>
  <si>
    <t>Income Tax Benefit (Expense)</t>
  </si>
  <si>
    <t>Tax rate</t>
  </si>
  <si>
    <t>Income from Continuing Operations</t>
  </si>
  <si>
    <t>Income (loss) from Discontinued Operations, net</t>
  </si>
  <si>
    <t>Extraordinary (charges) / gains</t>
  </si>
  <si>
    <t>Net Income</t>
  </si>
  <si>
    <t>Less: Net Income Attributable to Noncontrolling Interests</t>
  </si>
  <si>
    <t>Net Income to The McGraw-Hill Companies, Inc.</t>
  </si>
  <si>
    <t xml:space="preserve">  Non-GAAP Adjustments</t>
  </si>
  <si>
    <t>Adjusted Net Income - Cont Ops plus adjustments</t>
  </si>
  <si>
    <t>Adjusted Net Income</t>
  </si>
  <si>
    <t>Basic Shares Outstanding</t>
  </si>
  <si>
    <t>315.5 </t>
  </si>
  <si>
    <t>Average Basic Shares Outstanding</t>
  </si>
  <si>
    <t>Diluted Shares Outstanding</t>
  </si>
  <si>
    <t>Common Dividend Per Share</t>
  </si>
  <si>
    <t>Avg. Diluted Shares Outstanding</t>
  </si>
  <si>
    <t>Diluted GAAP EPS Reported</t>
  </si>
  <si>
    <t>Adj. Diluted EPS (MW), Cont</t>
  </si>
  <si>
    <t>Adj. Diluted EPS</t>
  </si>
  <si>
    <t>Cash EPS (Ex-Amort)</t>
  </si>
  <si>
    <t>Tax Impact</t>
  </si>
  <si>
    <t>Adj. Net Income (Ex- Amort)</t>
  </si>
  <si>
    <t>Cash EPS (Ex- Amort) - Diluted</t>
  </si>
  <si>
    <t xml:space="preserve">Cash Flows from Operations </t>
  </si>
  <si>
    <t>Adjustments to Reconcile Net Income to Cash Provided by Operating Activities</t>
  </si>
  <si>
    <t>Depreciation (including amortization of technology projects)</t>
  </si>
  <si>
    <t>Amortization of Intangibles</t>
  </si>
  <si>
    <t>Amortization of Prepublication Costs</t>
  </si>
  <si>
    <t>Provision for Losses on Accounts Receivable</t>
  </si>
  <si>
    <t>Deferred Income Taxes</t>
  </si>
  <si>
    <t>Stock-Based Compensation</t>
  </si>
  <si>
    <t>Goodwill Impairment</t>
  </si>
  <si>
    <t>(Gain) Loss on Dispositions</t>
  </si>
  <si>
    <t>Other</t>
  </si>
  <si>
    <t>Changes in Operating Assets and Liabilities, Net of Effect of Acquisitions and Dispositions</t>
  </si>
  <si>
    <t>Accounts Receivable</t>
  </si>
  <si>
    <t>Inventories</t>
  </si>
  <si>
    <t>Prepaid and Other Current Assets</t>
  </si>
  <si>
    <t>Accounts Payable and Accrued Expenses</t>
  </si>
  <si>
    <t>Unearned Revenue</t>
  </si>
  <si>
    <t>Other Current Liabilities</t>
  </si>
  <si>
    <t xml:space="preserve">Net Change in Prepaid/Accrued Income Taxes </t>
  </si>
  <si>
    <t>Net change in Other Assets and Liabilities</t>
  </si>
  <si>
    <t>Cash provided by operating activities</t>
  </si>
  <si>
    <t>Cash Flows from Investing Activities</t>
  </si>
  <si>
    <t>Investment in Prepublication Costs</t>
  </si>
  <si>
    <t>Capital Expenditures</t>
  </si>
  <si>
    <t>Acquisitions, Including Contingent Payments, Net of Cash Acquired</t>
  </si>
  <si>
    <t>Proceeds from Dispositions</t>
  </si>
  <si>
    <t>Changes in Short-Term Investments</t>
  </si>
  <si>
    <t>Cash provided by Investing Activities</t>
  </si>
  <si>
    <t>Cash From Financing Activities</t>
  </si>
  <si>
    <t>Payment/Additions to Short-Term Debt and Long-Term debt – net</t>
  </si>
  <si>
    <t>Dividends Paid to Shareholders</t>
  </si>
  <si>
    <t>Dividends and other payments paid to Noncontrolling Interests</t>
  </si>
  <si>
    <t>Repurchase of Treasury Shares</t>
  </si>
  <si>
    <t>Exercise of Stock Options</t>
  </si>
  <si>
    <t>ExcessTax Benefits from Share-Based Payments</t>
  </si>
  <si>
    <t>Others</t>
  </si>
  <si>
    <t>Cash provided by Financing Activities</t>
  </si>
  <si>
    <t>Cash provided by discontinued operations</t>
  </si>
  <si>
    <t>Effects Of Exchange Rate On Cash</t>
  </si>
  <si>
    <t>Adjustment</t>
  </si>
  <si>
    <t>Net increase (decrease) in Cash and Cash Equivalents</t>
  </si>
  <si>
    <t>Cash &amp; Equivalents - Beginning</t>
  </si>
  <si>
    <t>Cash &amp; Equivalents - End</t>
  </si>
  <si>
    <t>Check</t>
  </si>
  <si>
    <t>ASSETS</t>
  </si>
  <si>
    <t>Current Assets</t>
  </si>
  <si>
    <t>Short-Term Investments</t>
  </si>
  <si>
    <t>Accounts Receivable, Net</t>
  </si>
  <si>
    <t>Total Current Assets</t>
  </si>
  <si>
    <t>Prepublication Costs, Net</t>
  </si>
  <si>
    <t>Property and Equipment, Net</t>
  </si>
  <si>
    <t>Goodwill</t>
  </si>
  <si>
    <t>Other Intangible Assets, net</t>
  </si>
  <si>
    <t>Other Non-Current Assets</t>
  </si>
  <si>
    <t>Total Assets</t>
  </si>
  <si>
    <t>LIABILITIES AND STOCKHOLDERS’ EQUITY</t>
  </si>
  <si>
    <t>Current Liabilities</t>
  </si>
  <si>
    <t>Accounts Payable</t>
  </si>
  <si>
    <t>Accrued Royalties</t>
  </si>
  <si>
    <t>Accrued Compensation and Contributions to Retirement Plans</t>
  </si>
  <si>
    <t>Short-Term Debt</t>
  </si>
  <si>
    <t>Income taxes currently payable</t>
  </si>
  <si>
    <t>Total Current Liabilities</t>
  </si>
  <si>
    <t>Long-Term Debt</t>
  </si>
  <si>
    <t>Pension and Other Postretirement Benefits</t>
  </si>
  <si>
    <t>Other Non-Current Liabilities</t>
  </si>
  <si>
    <t>Total Liabilities</t>
  </si>
  <si>
    <t>Redeemable noncontrolling interest</t>
  </si>
  <si>
    <t>Stockholders' Equity</t>
  </si>
  <si>
    <t>Common Stock</t>
  </si>
  <si>
    <t>Additional Paid-In Capital</t>
  </si>
  <si>
    <t>Retained income</t>
  </si>
  <si>
    <t>Accumulated Other Comprehensive Loss</t>
  </si>
  <si>
    <t>Less: Common Stock In Treasury</t>
  </si>
  <si>
    <t>Total Equity — Controlling Interests</t>
  </si>
  <si>
    <t>Total Equity — NonControlling Interests</t>
  </si>
  <si>
    <t xml:space="preserve">Total Equity </t>
  </si>
  <si>
    <t>Total Liabilities and Stockholders' Equity</t>
  </si>
  <si>
    <t>Out-of-Balance</t>
  </si>
  <si>
    <t>Revenue</t>
  </si>
  <si>
    <t>YoY Change</t>
  </si>
  <si>
    <t>Total Revenue</t>
  </si>
  <si>
    <t>% of Product Revenues</t>
  </si>
  <si>
    <t>% of Service Revenues</t>
  </si>
  <si>
    <t>% of Revenues</t>
  </si>
  <si>
    <t>% of Total</t>
  </si>
  <si>
    <t>Selling and General Expenses (includes SBC)</t>
  </si>
  <si>
    <t>% of Revenue</t>
  </si>
  <si>
    <t>Stock - Based Compensation Expense</t>
  </si>
  <si>
    <t>Total Expenses</t>
  </si>
  <si>
    <t>D&amp;A</t>
  </si>
  <si>
    <t>Expense Less D&amp;A</t>
  </si>
  <si>
    <t>Working Capital &amp; Other</t>
  </si>
  <si>
    <t>Days of Sales in Accounts Receivable</t>
  </si>
  <si>
    <t>Days of Expense in Accounts Payable</t>
  </si>
  <si>
    <t>Deferred Income Tax Asset as % of Revenue</t>
  </si>
  <si>
    <t>Prepaid and Other Current Assets  as % of Revenue</t>
  </si>
  <si>
    <t>Accrued Royalties  as % of Revenue</t>
  </si>
  <si>
    <t>Accrued Compensation and Contributions to Retirement Plans as % of Revenue</t>
  </si>
  <si>
    <t>Income taxes currently payable  as % of Revenue</t>
  </si>
  <si>
    <t>Unearned Revenue as % of Revenue</t>
  </si>
  <si>
    <t>Statutory Tax Rate</t>
  </si>
  <si>
    <t>Federal Tax Rate</t>
  </si>
  <si>
    <t xml:space="preserve">State and Local  Income Tax </t>
  </si>
  <si>
    <t>Effective Tax Rate</t>
  </si>
  <si>
    <t>% of Total Revenues</t>
  </si>
  <si>
    <t>BEAR</t>
  </si>
  <si>
    <t>BASE</t>
  </si>
  <si>
    <t>BULL</t>
  </si>
  <si>
    <t>Acquisitions:</t>
  </si>
  <si>
    <t>Acquisition allocated to Goodwill</t>
  </si>
  <si>
    <t>Acquisition allocated to PP&amp;E</t>
  </si>
  <si>
    <t>Acquisition allocated to Intangibles and others</t>
  </si>
  <si>
    <t>PP&amp;E Calculation</t>
  </si>
  <si>
    <t>PP&amp;E - BOP</t>
  </si>
  <si>
    <t>Capex</t>
  </si>
  <si>
    <t>Depreciation Expense</t>
  </si>
  <si>
    <t>Other Acquisition (Divestitures)</t>
  </si>
  <si>
    <t>PP&amp;E - EOP</t>
  </si>
  <si>
    <t>Intangibles Calculation</t>
  </si>
  <si>
    <t xml:space="preserve">Intangibles - BOP  </t>
  </si>
  <si>
    <t>Amortization Expense</t>
  </si>
  <si>
    <t>Other Additions</t>
  </si>
  <si>
    <t xml:space="preserve">Intangibles - EOP  </t>
  </si>
  <si>
    <t>Goodwill Calculation</t>
  </si>
  <si>
    <t xml:space="preserve">Goodwill - BOP  </t>
  </si>
  <si>
    <t xml:space="preserve">Goodwill - EOP  </t>
  </si>
  <si>
    <t>Interest Income</t>
  </si>
  <si>
    <t>Total Interest Earning Assets</t>
  </si>
  <si>
    <t>Average Interest Earning Assets</t>
  </si>
  <si>
    <t>Average Interest Yield</t>
  </si>
  <si>
    <t>Total Debt</t>
  </si>
  <si>
    <t>Average Debt</t>
  </si>
  <si>
    <t>Average Interest Rate</t>
  </si>
  <si>
    <t>Net Debt/EBITDA</t>
  </si>
  <si>
    <t>Return of Capital</t>
  </si>
  <si>
    <t>Dividend</t>
  </si>
  <si>
    <t>Dividend Per Share</t>
  </si>
  <si>
    <t>Dividend % of FCF (CFO- CFI)</t>
  </si>
  <si>
    <t>Repurchase</t>
  </si>
  <si>
    <t>Authorization Remaining (shares)</t>
  </si>
  <si>
    <t>Average Price</t>
  </si>
  <si>
    <t>--</t>
  </si>
  <si>
    <t>Shares retired</t>
  </si>
  <si>
    <t>Net Share Issuance</t>
  </si>
  <si>
    <t>Period End Basic Shares</t>
  </si>
  <si>
    <t>Total Shares Issued</t>
  </si>
  <si>
    <t>Estimated Stock Price</t>
  </si>
  <si>
    <t>Net Operating Losses</t>
  </si>
  <si>
    <t>Beginning Balance</t>
  </si>
  <si>
    <t>NA</t>
  </si>
  <si>
    <t>Additions</t>
  </si>
  <si>
    <t>Uses</t>
  </si>
  <si>
    <t xml:space="preserve">        _______</t>
  </si>
  <si>
    <t xml:space="preserve">   _______</t>
  </si>
  <si>
    <t>Ending Balance</t>
  </si>
  <si>
    <t>Pooling Goodwill</t>
  </si>
  <si>
    <t>Changes in Shareholders' Equity</t>
  </si>
  <si>
    <t>Opening Balance</t>
  </si>
  <si>
    <t>Add :</t>
  </si>
  <si>
    <t>Issue of Shares (including premium)</t>
  </si>
  <si>
    <t>AOCI</t>
  </si>
  <si>
    <t>Closing Balance</t>
  </si>
  <si>
    <t>Check for Shareholders Equity</t>
  </si>
  <si>
    <t>FCF Calculation</t>
  </si>
  <si>
    <t xml:space="preserve"> EBITDA</t>
  </si>
  <si>
    <t xml:space="preserve"> - Capex / Acquisitions</t>
  </si>
  <si>
    <t xml:space="preserve"> - Net Cash Interest Expense</t>
  </si>
  <si>
    <t xml:space="preserve"> - Changes in Working Capital </t>
  </si>
  <si>
    <t xml:space="preserve"> - Cash Taxes</t>
  </si>
  <si>
    <t>Total Free Cash Flow</t>
  </si>
  <si>
    <t>YoY Growth</t>
  </si>
  <si>
    <t>DuPont Formula</t>
  </si>
  <si>
    <t>NIM</t>
  </si>
  <si>
    <t>Asset Turnover</t>
  </si>
  <si>
    <t>ROA</t>
  </si>
  <si>
    <t>Assets/Equity</t>
  </si>
  <si>
    <t>ROE</t>
  </si>
  <si>
    <t>S&amp;P Global, Inc.</t>
  </si>
  <si>
    <t>Operating Metrics ($M)</t>
  </si>
  <si>
    <t>S&amp;P Ratings Services</t>
  </si>
  <si>
    <t>y/y change</t>
  </si>
  <si>
    <t>Market Intelligence</t>
  </si>
  <si>
    <t>S&amp;P Dow Jones Indices</t>
  </si>
  <si>
    <t>S&amp;P Global Platts</t>
  </si>
  <si>
    <t>Commodities</t>
  </si>
  <si>
    <t>Commercial</t>
  </si>
  <si>
    <t>y/y chg</t>
  </si>
  <si>
    <t>Intersegment Elimination</t>
  </si>
  <si>
    <t>y/y growth</t>
  </si>
  <si>
    <t>S&amp;P Global</t>
  </si>
  <si>
    <t>McGraw-Hill Education</t>
  </si>
  <si>
    <t>% of total revenue</t>
  </si>
  <si>
    <t>Expenses</t>
  </si>
  <si>
    <t>Operating Expenses</t>
  </si>
  <si>
    <t>S&amp;P Rating Services</t>
  </si>
  <si>
    <t>FX Impact</t>
  </si>
  <si>
    <t>Total (Segment-wise)</t>
  </si>
  <si>
    <t>Unallocated expense, ex one-time items</t>
  </si>
  <si>
    <t>One-time items (excluded from Above)</t>
  </si>
  <si>
    <t>Reported unallocated</t>
  </si>
  <si>
    <t>Total (IS)</t>
  </si>
  <si>
    <t>1Q13R</t>
  </si>
  <si>
    <t>2Q13R</t>
  </si>
  <si>
    <t>3Q13R</t>
  </si>
  <si>
    <t>4Q13R</t>
  </si>
  <si>
    <t>Operating income</t>
  </si>
  <si>
    <t>Standard &amp; Poor's Ratings</t>
  </si>
  <si>
    <t>Margin %</t>
  </si>
  <si>
    <t>Deal Related Amortization</t>
  </si>
  <si>
    <t>Adjusted Operating Income</t>
  </si>
  <si>
    <t>Segment Operating Income</t>
  </si>
  <si>
    <t>Operating Income, as Adjusted</t>
  </si>
  <si>
    <t>Non-GAAP adjustments</t>
  </si>
  <si>
    <t>Amortization adjustments</t>
  </si>
  <si>
    <t>Operating Income, as Reported</t>
  </si>
  <si>
    <t>S&amp;P Dow Jones Indices - NCI</t>
  </si>
  <si>
    <t>S&amp;P (CRISIL) - NCI</t>
  </si>
  <si>
    <t>Other Impact (Balancing)</t>
  </si>
  <si>
    <t>IS - NCI</t>
  </si>
  <si>
    <t>RATINGS</t>
  </si>
  <si>
    <t>Additional Revenue Metrics</t>
  </si>
  <si>
    <t>Transaction</t>
  </si>
  <si>
    <t>% of revenue</t>
  </si>
  <si>
    <t>Other Non Transactions</t>
  </si>
  <si>
    <t>Royalty - Capital IQ</t>
  </si>
  <si>
    <t>Change in Royalty y/y</t>
  </si>
  <si>
    <t>Non-Transaction</t>
  </si>
  <si>
    <t>Standard &amp; Poor's Ratings (Total)</t>
  </si>
  <si>
    <t>% of total MHFI revenue</t>
  </si>
  <si>
    <t>y/y chg x FX</t>
  </si>
  <si>
    <t>Domestic and International Mix</t>
  </si>
  <si>
    <t>Domestic</t>
  </si>
  <si>
    <t>International</t>
  </si>
  <si>
    <t>Organic Growth</t>
  </si>
  <si>
    <t>Organic Revenue</t>
  </si>
  <si>
    <t>inorganic revenue</t>
  </si>
  <si>
    <t>Growth by Product</t>
  </si>
  <si>
    <t>*Does Not Include SNL*</t>
  </si>
  <si>
    <t>Financial Data and Analytics</t>
  </si>
  <si>
    <t>Global Risk Services</t>
  </si>
  <si>
    <t>Research &amp; Advisory</t>
  </si>
  <si>
    <t>Product Mix</t>
  </si>
  <si>
    <t>Estimated</t>
  </si>
  <si>
    <t>Revenue By Product</t>
  </si>
  <si>
    <t>Customer Mix</t>
  </si>
  <si>
    <t>Inv Mgmt</t>
  </si>
  <si>
    <t>FIG</t>
  </si>
  <si>
    <t>Inv Banking</t>
  </si>
  <si>
    <t>Corporates</t>
  </si>
  <si>
    <t>WM</t>
  </si>
  <si>
    <t>Indices</t>
  </si>
  <si>
    <t>AUM Based Fees</t>
  </si>
  <si>
    <t>Trading Fees</t>
  </si>
  <si>
    <t>Subscription Fees</t>
  </si>
  <si>
    <t>S&amp;P Dow Jones Indices (Total)</t>
  </si>
  <si>
    <t>Asset Linked Fees</t>
  </si>
  <si>
    <t>S&amp;P Cap. IQ / Dow Jones Indices</t>
  </si>
  <si>
    <t>Platts</t>
  </si>
  <si>
    <t>Implied McGraw Hill Construction</t>
  </si>
  <si>
    <t>Inorganic</t>
  </si>
  <si>
    <t>Organic</t>
  </si>
  <si>
    <t>Organic chg y/y</t>
  </si>
  <si>
    <t>INDEX DRIVERS</t>
  </si>
  <si>
    <t xml:space="preserve"> AUM ( in billions)</t>
  </si>
  <si>
    <t xml:space="preserve">AUM Linked to Dow Jones indexes </t>
  </si>
  <si>
    <t>ND</t>
  </si>
  <si>
    <t>AUM Linked to S&amp;P indices</t>
  </si>
  <si>
    <t>Beginning AUM</t>
  </si>
  <si>
    <t>Implied Flows</t>
  </si>
  <si>
    <t>Ending AUM</t>
  </si>
  <si>
    <t>q/q change</t>
  </si>
  <si>
    <t>Average AUM</t>
  </si>
  <si>
    <t>Implied Flows % of Beginning AUM</t>
  </si>
  <si>
    <t>ETF AUM Based Fees</t>
  </si>
  <si>
    <t>Other AUM Based Fees</t>
  </si>
  <si>
    <t xml:space="preserve">Trading Fees: </t>
  </si>
  <si>
    <t>CME</t>
  </si>
  <si>
    <t>CBOE</t>
  </si>
  <si>
    <t>Other Trading Fees/Plug</t>
  </si>
  <si>
    <t>Total Trading Fees</t>
  </si>
  <si>
    <t>Other (Derivatives, Struct Prod, Custom Indices)</t>
  </si>
  <si>
    <t>-</t>
  </si>
  <si>
    <t>Total Index</t>
  </si>
  <si>
    <t>Index Mix</t>
  </si>
  <si>
    <t>AUM</t>
  </si>
  <si>
    <t>Subscription</t>
  </si>
  <si>
    <t>Total Company Organic Growth</t>
  </si>
  <si>
    <t>Acquisition Revenue</t>
  </si>
  <si>
    <t>TTM Organic Revenue Growth</t>
  </si>
  <si>
    <t>NTM Organic Revenue Growth</t>
  </si>
  <si>
    <t>Total</t>
  </si>
  <si>
    <t>S&amp;P Global Inc.</t>
  </si>
  <si>
    <t>WACC:</t>
  </si>
  <si>
    <t>Terminal Growth:</t>
  </si>
  <si>
    <t>(USD mm)</t>
  </si>
  <si>
    <t>EBIT (pre exceptionals)</t>
  </si>
  <si>
    <t>Sales Growth</t>
  </si>
  <si>
    <t>EBIT Growth</t>
  </si>
  <si>
    <t>EBIT Margins</t>
  </si>
  <si>
    <t>EBITDA Margins</t>
  </si>
  <si>
    <t>=NOPAT</t>
  </si>
  <si>
    <t>+Depreciation &amp; amortization</t>
  </si>
  <si>
    <t xml:space="preserve">Gross Cash Flow </t>
  </si>
  <si>
    <t xml:space="preserve">+Changes in working capital </t>
  </si>
  <si>
    <t>+Capital expenditures, asset purchases</t>
  </si>
  <si>
    <t xml:space="preserve">          Working Capital to Sales</t>
  </si>
  <si>
    <t xml:space="preserve">          Depreciation to Sales</t>
  </si>
  <si>
    <t xml:space="preserve">         Capex to Sales</t>
  </si>
  <si>
    <t xml:space="preserve">         Capex to Depreciation</t>
  </si>
  <si>
    <t>= Gross investment</t>
  </si>
  <si>
    <t>Free cash flow from operations</t>
  </si>
  <si>
    <t>FCF growth</t>
  </si>
  <si>
    <t>Present value of cash flows</t>
  </si>
  <si>
    <t>+ Preferred Equity</t>
  </si>
  <si>
    <t>Implied Market Cap</t>
  </si>
  <si>
    <t>Fully-diluted shares, EOY</t>
  </si>
  <si>
    <t>Weighted</t>
  </si>
  <si>
    <t>DCF</t>
  </si>
  <si>
    <t>SOTP</t>
  </si>
  <si>
    <t>Average</t>
  </si>
  <si>
    <t>Price Target</t>
  </si>
  <si>
    <t>WACC</t>
  </si>
  <si>
    <t>Terminal value</t>
  </si>
  <si>
    <t>NPV of TV</t>
  </si>
  <si>
    <t>Terminal growth rate</t>
  </si>
  <si>
    <t>Terminal EBITDA Multiple</t>
  </si>
  <si>
    <t>Debt/total capital</t>
  </si>
  <si>
    <t>Equity/total capital</t>
  </si>
  <si>
    <t>Credit rating</t>
  </si>
  <si>
    <t>A3/A-</t>
  </si>
  <si>
    <t>Beta</t>
  </si>
  <si>
    <t>MCO-US</t>
  </si>
  <si>
    <t>Current price</t>
  </si>
  <si>
    <t>SPGI-US</t>
  </si>
  <si>
    <t>Current shares</t>
  </si>
  <si>
    <t>Current market cap</t>
  </si>
  <si>
    <t xml:space="preserve">Risk free rate </t>
  </si>
  <si>
    <t>Market risk premium</t>
  </si>
  <si>
    <t>Equity beta</t>
  </si>
  <si>
    <t>Source: Thomson Reuters</t>
  </si>
  <si>
    <t>Cost of equity</t>
  </si>
  <si>
    <t>Discount Period</t>
  </si>
  <si>
    <t>Key Metrics</t>
  </si>
  <si>
    <t>Bear</t>
  </si>
  <si>
    <t>Base</t>
  </si>
  <si>
    <t>Bull</t>
  </si>
  <si>
    <t>EPS</t>
  </si>
  <si>
    <t>Diluted Shares</t>
  </si>
  <si>
    <t>Ratings</t>
  </si>
  <si>
    <t>Cash EPS</t>
  </si>
  <si>
    <t>Net Debt</t>
  </si>
  <si>
    <t>Free Cash Flow</t>
  </si>
  <si>
    <t xml:space="preserve">EPS </t>
  </si>
  <si>
    <t>Share</t>
  </si>
  <si>
    <t>Market</t>
  </si>
  <si>
    <t>EV</t>
  </si>
  <si>
    <t>EV / EBITDA</t>
  </si>
  <si>
    <t>Adj. P/E</t>
  </si>
  <si>
    <t>FCF Yield</t>
  </si>
  <si>
    <t>Price</t>
  </si>
  <si>
    <t>Cap</t>
  </si>
  <si>
    <t>% Diff</t>
  </si>
  <si>
    <t>Tax Rate</t>
  </si>
  <si>
    <t>Consensus</t>
  </si>
  <si>
    <t>EBIT</t>
  </si>
  <si>
    <t>EBIT%</t>
  </si>
  <si>
    <t>Fiscal Year ends December 31</t>
  </si>
  <si>
    <t>A - E</t>
  </si>
  <si>
    <t>QoQ</t>
  </si>
  <si>
    <t>YoY</t>
  </si>
  <si>
    <t>______</t>
  </si>
  <si>
    <t>Cash EPS (Ex- Amort)</t>
  </si>
  <si>
    <t>Segment Performance</t>
  </si>
  <si>
    <t>Variance</t>
  </si>
  <si>
    <t>S&amp;P Ratings</t>
  </si>
  <si>
    <t>MCO</t>
  </si>
  <si>
    <t>MSCI</t>
  </si>
  <si>
    <t>3Q16</t>
  </si>
  <si>
    <t>% Impact</t>
  </si>
  <si>
    <t>USD</t>
  </si>
  <si>
    <t>SOTP - Earnings</t>
  </si>
  <si>
    <t>P/E Multiple</t>
  </si>
  <si>
    <t>Base Equity Value</t>
  </si>
  <si>
    <t>Notes</t>
  </si>
  <si>
    <t>Business Unit</t>
  </si>
  <si>
    <t>Subtotal (NOPAT)</t>
  </si>
  <si>
    <t>General corporate expense, ex one-time items</t>
  </si>
  <si>
    <t>Fully-diluted shares</t>
  </si>
  <si>
    <t>Implied Value per Share</t>
  </si>
  <si>
    <t>FDS-US</t>
  </si>
  <si>
    <t>TRI-US</t>
  </si>
  <si>
    <t>MSCI-US</t>
  </si>
  <si>
    <t>CME-US</t>
  </si>
  <si>
    <t>ICE-US</t>
  </si>
  <si>
    <t>4Q16</t>
  </si>
  <si>
    <t>1Q17</t>
  </si>
  <si>
    <t>2Q17</t>
  </si>
  <si>
    <t>3Q17</t>
  </si>
  <si>
    <t>Desktop</t>
  </si>
  <si>
    <t>SNL</t>
  </si>
  <si>
    <t>SPGI.N</t>
  </si>
  <si>
    <t>S&amp;P Global Inc</t>
  </si>
  <si>
    <t>Currency</t>
  </si>
  <si>
    <t>Current Stock Price</t>
  </si>
  <si>
    <t>Count</t>
  </si>
  <si>
    <t>S&amp;P Global, Segment Adj. Op Income</t>
  </si>
  <si>
    <t>- Net Debt, EOY</t>
  </si>
  <si>
    <t>- Minority Interest</t>
  </si>
  <si>
    <t>In One Year</t>
  </si>
  <si>
    <t>S&amp;P Market Intelligence / S&amp;P Indices</t>
  </si>
  <si>
    <t>Op Inc</t>
  </si>
  <si>
    <t xml:space="preserve">Weighted Beta </t>
  </si>
  <si>
    <t xml:space="preserve">Street Account </t>
  </si>
  <si>
    <t>jeffdg</t>
  </si>
  <si>
    <t>SPGI.N,mscalc:sedolCodeCalc</t>
  </si>
  <si>
    <t>SPGI.N,mscalc:targetPrice,,,,USD</t>
  </si>
  <si>
    <t>SPGI.N,mscalc:closePriceCurrencyCalc</t>
  </si>
  <si>
    <t>$F$2</t>
  </si>
  <si>
    <t>BYV2325</t>
  </si>
  <si>
    <t>4Q17</t>
  </si>
  <si>
    <t>% of total SPGI revenue</t>
  </si>
  <si>
    <t>Op Income/Margin</t>
  </si>
  <si>
    <t>Adjusted Margin % (Operating)</t>
  </si>
  <si>
    <t>Margin % (Incl deal amort)</t>
  </si>
  <si>
    <t>S&amp;P 500 appreciation/depreciation%</t>
  </si>
  <si>
    <t xml:space="preserve"> Estimated FX Revenue Impact</t>
  </si>
  <si>
    <t>% impact</t>
  </si>
  <si>
    <t>Market and Commodities Intelligence</t>
  </si>
  <si>
    <t>Adj. Operating Income</t>
  </si>
  <si>
    <t>Market and Commodities Intelligence (Total)</t>
  </si>
  <si>
    <t>Revenue by Product</t>
  </si>
  <si>
    <t>CRISIL, Other</t>
  </si>
  <si>
    <t>Governments</t>
  </si>
  <si>
    <t>Structured</t>
  </si>
  <si>
    <t>Financials</t>
  </si>
  <si>
    <t>Revenue by Product (Y/Y Change)</t>
  </si>
  <si>
    <t>bm</t>
  </si>
  <si>
    <t>Desktop and Enterprise</t>
  </si>
  <si>
    <t>Legacy Commodities and Commercial</t>
  </si>
  <si>
    <t>S&amp;P Market and Commodities Intelligence</t>
  </si>
  <si>
    <t>Term Mult:</t>
  </si>
  <si>
    <t>Organic CC Revenue Growth</t>
  </si>
  <si>
    <t>Risk Services</t>
  </si>
  <si>
    <t xml:space="preserve"> Estimated FX Expense Impact</t>
  </si>
  <si>
    <t xml:space="preserve">Net Income </t>
  </si>
  <si>
    <t>NTM (1 Year Forward)</t>
  </si>
  <si>
    <t>MCI</t>
  </si>
  <si>
    <t>bo</t>
  </si>
  <si>
    <t>FDS, TRI</t>
  </si>
  <si>
    <t>Cash and Equivalents</t>
  </si>
  <si>
    <t>Assumed ETF Fee Rate</t>
  </si>
  <si>
    <t xml:space="preserve"> </t>
  </si>
  <si>
    <t>1FQ2018</t>
  </si>
  <si>
    <t>3 Yr Weekly</t>
  </si>
  <si>
    <t>ROIC, unadjusted</t>
  </si>
  <si>
    <t>NOPAT (T4Q)</t>
  </si>
  <si>
    <t>Total Capital (avg over T4Q)</t>
  </si>
  <si>
    <t>Implied '19 P/E</t>
  </si>
  <si>
    <t>19 P/E Multiple</t>
  </si>
  <si>
    <t xml:space="preserve">  </t>
  </si>
  <si>
    <t>2022E</t>
  </si>
  <si>
    <t>17-22E CAGR</t>
  </si>
  <si>
    <t>bj</t>
  </si>
  <si>
    <t>1Q19E</t>
  </si>
  <si>
    <t>2Q19E</t>
  </si>
  <si>
    <t>3Q19E</t>
  </si>
  <si>
    <t>4Q19E</t>
  </si>
  <si>
    <t>17-22E</t>
  </si>
  <si>
    <t>17-'22</t>
  </si>
  <si>
    <t>Data Management Solutions</t>
  </si>
  <si>
    <t>Other income/ (expense), net</t>
  </si>
  <si>
    <t>S&amp;P Platts</t>
  </si>
  <si>
    <t>203</t>
  </si>
  <si>
    <t>Research</t>
  </si>
  <si>
    <t>e = Morgan Stanley Research estimates unless otherwise noted</t>
  </si>
  <si>
    <t>Source: Morgan Stanley Research unless otherwise noted</t>
  </si>
  <si>
    <t>Stocks ratings are relative to the analyst's industry coverage universe.</t>
  </si>
  <si>
    <t>1585 Broadway</t>
  </si>
  <si>
    <t>New York, NY  10036-8293</t>
  </si>
  <si>
    <t>United States</t>
  </si>
  <si>
    <t>Tel: +1 (1)212 761 4000</t>
  </si>
  <si>
    <t>Authors: Toni Kaplan, Jeffrey Goldstein</t>
  </si>
  <si>
    <t>Date: 26 Apr 2018</t>
  </si>
  <si>
    <t>Ticker: SPGI.N</t>
  </si>
  <si>
    <t>Stock Rating: Equal-Weight</t>
  </si>
  <si>
    <t>Industry: Business &amp; Education Services</t>
  </si>
  <si>
    <t>Industry View: In-Line</t>
  </si>
  <si>
    <t>Price as of 26 Apr 2018: 190.25</t>
  </si>
  <si>
    <t>Analyst Certification</t>
  </si>
  <si>
    <t>Unless otherwise stated, the individuals listed on the cover page of this report are research analysts.</t>
  </si>
  <si>
    <t>Global Research Conflict Management Policy</t>
  </si>
  <si>
    <t>Important US Regulatory Disclosures on Subject Companies</t>
  </si>
  <si>
    <t>Morgan Stanley &amp; Co. LLC makes a market in the securities of S&amp;P Global Inc.</t>
  </si>
  <si>
    <t>STOCK RATINGS</t>
  </si>
  <si>
    <t>Global Stock Ratings Distribution</t>
  </si>
  <si>
    <t>(as of March 31, 2018)</t>
  </si>
  <si>
    <t>Coverage Universe</t>
  </si>
  <si>
    <t>Investment Banking Clients (IBC)</t>
  </si>
  <si>
    <t>Other Material Investment Services Clients (MISC)</t>
  </si>
  <si>
    <t>Stock Rating Category</t>
  </si>
  <si>
    <t>% of Total IBC</t>
  </si>
  <si>
    <t>% of Rating Category</t>
  </si>
  <si>
    <t>% of Total Other MISC</t>
  </si>
  <si>
    <t>Overweight/Buy</t>
  </si>
  <si>
    <t>Equal-weight/Hold</t>
  </si>
  <si>
    <t>Not-Rated/Hold</t>
  </si>
  <si>
    <t>Underweight/Sell</t>
  </si>
  <si>
    <t>Analyst Stock Ratings</t>
  </si>
  <si>
    <t>Analyst Industry Views</t>
  </si>
  <si>
    <t>.</t>
  </si>
  <si>
    <t>Stock Price, Price Target and Rating History (See Rating Definitions)</t>
  </si>
  <si>
    <t>Important Disclosures for Morgan Stanley Smith Barney LLC Customers</t>
  </si>
  <si>
    <t>Other Important Disclosures</t>
  </si>
  <si>
    <t>Morgan Stanley Research, or any portion thereof may not be reprinted, sold or redistributed without the</t>
  </si>
  <si>
    <t>written consent of Morgan Stanley.</t>
  </si>
  <si>
    <t>The trademarks and service marks contained in Morgan Stanley Research are the property of their</t>
  </si>
  <si>
    <t>respective owners. Third-party data providers make no warranties or representations relating to the</t>
  </si>
  <si>
    <t>accuracy, completeness, or timeliness of the data they provide and shall not have liability for any</t>
  </si>
  <si>
    <t>damages relating to such data. The Global Industry Classification Standard (GICS) was developed by and</t>
  </si>
  <si>
    <t>is the exclusive property of MSCI and S&amp;P.</t>
  </si>
  <si>
    <t>The following companies do business in countries which are generally subject to comprehensive sanctions</t>
  </si>
  <si>
    <t>programs administered or enforced by the U.S. Department of the Treasury's Office of Foreign Assets</t>
  </si>
  <si>
    <t>Control ("OFAC") and by other countries and multi-national bodies: S&amp;P Global Inc.</t>
  </si>
  <si>
    <t>As required by the Capital Markets Board of Turkey, investment information, comments and recommendations</t>
  </si>
  <si>
    <t>stated here, are not within the scope of investment advisory activity. Investment advisory service is</t>
  </si>
  <si>
    <t>provided exclusively to persons based on their risk and income preferences by the authorized firms.</t>
  </si>
  <si>
    <t>Comments and recommendations stated here are general in nature. These opinions may not fit to your</t>
  </si>
  <si>
    <t>financial status, risk and return preferences. For this reason, to make an investment decision by</t>
  </si>
  <si>
    <t>relying solely to this information stated here may not bring about outcomes that fit your expectations.</t>
  </si>
  <si>
    <t>The information in Morgan Stanley Research is being communicated by Morgan Stanley &amp; Co. International</t>
  </si>
  <si>
    <t>plc (QFC Branch), regulated by the Qatar Financial Centre Regulatory Authority (the QFCRA), and is</t>
  </si>
  <si>
    <t>directed at business customers and market counterparties only and is not intended for Retail Customers</t>
  </si>
  <si>
    <t>as defined by the QFCRA.</t>
  </si>
  <si>
    <t>plc (DIFC Branch), regulated by the Dubai Financial Services Authority (the DFSA), and is directed at</t>
  </si>
  <si>
    <t>Professional Clients only, as defined by the DFSA. The financial products or financial services to which</t>
  </si>
  <si>
    <t>this research relates will only be made available to a customer who we are satisfied meets the</t>
  </si>
  <si>
    <t>regulatory criteria to be a Professional Client.</t>
  </si>
  <si>
    <t>Morgan Stanley Research is disseminated in Brazil by Morgan Stanley C.T.V.M. S.A.; in Mexico by Morgan</t>
  </si>
  <si>
    <t>Stanley México, Casa de Bolsa, S.A. de C.V which is regulated by Comision Nacional Bancaria y de</t>
  </si>
  <si>
    <t>Valores. Paseo de los Tamarindos 90, Torre 1, Col. Bosques de las Lomas Floor 29, 05120 Mexico City; in</t>
  </si>
  <si>
    <t>Japan by Morgan Stanley MUFG Securities Co., Ltd. and, for Commodities related research reports only,</t>
  </si>
  <si>
    <t>Morgan Stanley Capital Group Japan Co., Ltd; in Hong Kong by Morgan Stanley Asia Limited (which accepts</t>
  </si>
  <si>
    <t>responsibility for its contents) and by Morgan Stanley Asia International Limited, Hong Kong Branch; in</t>
  </si>
  <si>
    <t>Singapore by Morgan Stanley Asia (Singapore) Pte. (Registration number 199206298Z) and/or Morgan Stanley</t>
  </si>
  <si>
    <t>Asia (Singapore) Securities Pte Ltd (Registration number 200008434H), regulated by the Monetary</t>
  </si>
  <si>
    <t>Authority of Singapore (which accepts legal responsibility for its contents and should be contacted with</t>
  </si>
  <si>
    <t>respect to any matters arising from, or in connection with, Morgan Stanley Research) and by Morgan</t>
  </si>
  <si>
    <t>Stanley Asia International Limited, Singapore Branch (Registration number T11FC0207F); in Australia to</t>
  </si>
  <si>
    <t>"wholesale clients" within the meaning of the Australian Corporations Act by Morgan Stanley Australia</t>
  </si>
  <si>
    <t>Limited A.B.N. 67 003 734 576, holder of Australian financial services license No. 233742, which accepts</t>
  </si>
  <si>
    <t>responsibility for its contents; in Australia to "wholesale clients" and "retail clients" within the</t>
  </si>
  <si>
    <t>meaning of the Australian Corporations Act by Morgan Stanley Wealth Management Australia Pty Ltd (A.B.N.</t>
  </si>
  <si>
    <t>19 009 145 555, holder of Australian financial services license No. 240813, which accepts responsibility</t>
  </si>
  <si>
    <t>for its contents; in Korea by Morgan Stanley &amp; Co International plc, Seoul Branch; in India by Morgan</t>
  </si>
  <si>
    <t>Stanley India Company Private Limited; in Indonesia by PT. Morgan Stanley Sekuritas Indonesia; in Canada</t>
  </si>
  <si>
    <t>by Morgan Stanley Canada Limited, which has approved of and takes responsibility for its contents in</t>
  </si>
  <si>
    <t>Canada; in Germany by Morgan Stanley Bank AG, Frankfurt am Main and Morgan Stanley Private Wealth</t>
  </si>
  <si>
    <t>Management Limited, Niederlassung Deutschland, regulated by Bundesanstalt fuer</t>
  </si>
  <si>
    <t>Finanzdienstleistungsaufsicht (BaFin); in Spain by Morgan Stanley, S.V., S.A., a Morgan Stanley group</t>
  </si>
  <si>
    <t>company, which is supervised by the Spanish Securities Markets Commission (CNMV) and states that Morgan</t>
  </si>
  <si>
    <t>Stanley Research has been written and distributed in accordance with the rules of conduct applicable to</t>
  </si>
  <si>
    <t>financial research as established under Spanish regulations; in the US by Morgan Stanley &amp; Co. LLC,</t>
  </si>
  <si>
    <t>which accepts responsibility for its contents. Morgan Stanley &amp; Co. International plc, authorized by the</t>
  </si>
  <si>
    <t>Prudential Regulatory Authority and regulated by the Financial Conduct Authority and the Prudential</t>
  </si>
  <si>
    <t>Regulatory Authority, disseminates in the UK research that it has prepared, and approves solely for the</t>
  </si>
  <si>
    <t>purposes of section 21 of the Financial Services and Markets Act 2000, research which has been prepared</t>
  </si>
  <si>
    <t>by any of its affiliates. RMB Morgan Stanley Proprietary Limited is a member of the JSE Limited and</t>
  </si>
  <si>
    <t>regulated by the Financial Services Board in South Africa. RMB Morgan Stanley Proprietary Limited is a</t>
  </si>
  <si>
    <t>joint venture owned equally by Morgan Stanley International Holdings Inc. and RMB Investment Advisory</t>
  </si>
  <si>
    <t>(Proprietary) Limited, which is wholly owned by FirstRand Limited. The information in Morgan Stanley</t>
  </si>
  <si>
    <t>Research is being disseminated by Morgan Stanley Saudi Arabia, regulated by the Capital Market Authority</t>
  </si>
  <si>
    <t>in the Kingdom of Saudi Arabia , and is directed at Sophisticated investors only.</t>
  </si>
  <si>
    <t>Morgan Stanley is not incorporated under PRC law and the research in relation to this report is</t>
  </si>
  <si>
    <t>conducted outside the PRC. Morgan Stanley Research does not constitute an offer to sell or the</t>
  </si>
  <si>
    <t>solicitation of an offer to buy any securities in the PRC. PRC investors shall have the relevant</t>
  </si>
  <si>
    <t>qualifications to invest in such securities and shall be responsible for obtaining all relevant</t>
  </si>
  <si>
    <t>approvals, licenses, verifications and/or registrations from the relevant governmental authorities</t>
  </si>
  <si>
    <t>themselves. Neither this report nor any part of it is intended as, or shall constitute, provision of any</t>
  </si>
  <si>
    <t>consultancy or advisory service of securities investment as defined under PRC law. Such information is</t>
  </si>
  <si>
    <t>provided for your reference only.</t>
  </si>
  <si>
    <t>To our readers based in Taiwan or trading in Taiwan securities/instruments: Information on</t>
  </si>
  <si>
    <t>securities/instruments that trade in Taiwan is distributed by Morgan Stanley Taiwan Limited ("MSTL").</t>
  </si>
  <si>
    <t>Such information is for your reference only. The reader should independently evaluate the investment</t>
  </si>
  <si>
    <t>risks and is solely responsible for their investment decisions. Morgan Stanley Research may not be</t>
  </si>
  <si>
    <t>distributed to the public media or quoted or used by the public media without the express written</t>
  </si>
  <si>
    <t>consent of Morgan Stanley. Any non-customer reader within the scope of Article 7-1 of the Taiwan Stock</t>
  </si>
  <si>
    <t>Exchange Recommendation Regulations accessing and/or receiving Morgan Stanley Research is not permitted</t>
  </si>
  <si>
    <t>to provide Morgan Stanley Research to any third party (including but not limited to related parties,</t>
  </si>
  <si>
    <t>affiliated companies and any other third parties) or engage in any activities regarding Morgan Stanley</t>
  </si>
  <si>
    <t>Research which may create or give the appearance of creating a conflict of interest. Information on</t>
  </si>
  <si>
    <t>securities/instruments that do not trade in Taiwan is for informational purposes only and is not to be</t>
  </si>
  <si>
    <t>construed as a recommendation or a solicitation to trade in such securities/instruments. MSTL may not</t>
  </si>
  <si>
    <t>execute transactions for clients in these securities/instruments.</t>
  </si>
  <si>
    <t>Morgan Stanley may make investment decisions that are inconsistent with the recommendations or views in</t>
  </si>
  <si>
    <t>this report.</t>
  </si>
  <si>
    <t>Morgan Stanley Research personnel may participate in company events such as site visits and are</t>
  </si>
  <si>
    <t>generally prohibited from accepting payment by the company of associated expenses unless pre-approved by</t>
  </si>
  <si>
    <t>authorized members of Research management.</t>
  </si>
  <si>
    <t>With the exception of information regarding Morgan Stanley, Morgan Stanley Research is based on public</t>
  </si>
  <si>
    <t>information. Morgan Stanley makes every effort to use reliable, comprehensive information, but we make</t>
  </si>
  <si>
    <t>no representation that it is accurate or complete. We have no obligation to tell you when opinions or</t>
  </si>
  <si>
    <t>information in Morgan Stanley Research change apart from when we intend to discontinue equity research</t>
  </si>
  <si>
    <t>coverage of a subject company. Facts and views presented in Morgan Stanley Research have not been</t>
  </si>
  <si>
    <t>reviewed by, and may not reflect information known to, professionals in other Morgan Stanley business</t>
  </si>
  <si>
    <t>areas, including investment banking personnel.</t>
  </si>
  <si>
    <t>The "Important US Regulatory Disclosures on Subject Companies" section in Morgan Stanley Research lists</t>
  </si>
  <si>
    <t>all companies mentioned where Morgan Stanley owns 1% or more of a class of common equity securities of</t>
  </si>
  <si>
    <t>the companies. For all other companies mentioned in Morgan Stanley Research, Morgan Stanley may have an</t>
  </si>
  <si>
    <t>investment of less than 1% in securities/instruments or derivatives of securities/instruments of</t>
  </si>
  <si>
    <t>companies and may trade them in ways different from those discussed in Morgan Stanley Research.</t>
  </si>
  <si>
    <t>Employees of Morgan Stanley not involved in the preparation of Morgan Stanley Research may have</t>
  </si>
  <si>
    <t>investments in securities/instruments or derivatives of securities/instruments of companies mentioned</t>
  </si>
  <si>
    <t>and may trade them in ways different from those discussed in Morgan Stanley Research. Derivatives may be</t>
  </si>
  <si>
    <t>issued by Morgan Stanley or associated persons.</t>
  </si>
  <si>
    <t>The fixed income research analysts, strategists or economists principally responsible for the</t>
  </si>
  <si>
    <t>preparation of Morgan Stanley Research have received compensation based upon various factors, including</t>
  </si>
  <si>
    <t>quality, accuracy and value of research, firm profitability or revenues (which include fixed income</t>
  </si>
  <si>
    <t>trading and capital markets profitability or revenues), client feedback and competitive factors. Fixed</t>
  </si>
  <si>
    <t>Income Research analysts', strategists' or economists' compensation is not linked to investment banking</t>
  </si>
  <si>
    <t>or capital markets transactions performed by Morgan Stanley or the profitability or revenues of</t>
  </si>
  <si>
    <t>particular trading desks.</t>
  </si>
  <si>
    <t>Morgan Stanley Research does not provide individually tailored investment advice. Morgan Stanley</t>
  </si>
  <si>
    <t>Research has been prepared without regard to the circumstances and objectives of those who receive it.</t>
  </si>
  <si>
    <t>Morgan Stanley recommends that investors independently evaluate particular investments and strategies,</t>
  </si>
  <si>
    <t>and encourages investors to seek the advice of a financial adviser. The appropriateness of an investment</t>
  </si>
  <si>
    <t>or strategy will depend on an investor's circumstances and objectives. The securities, instruments, or</t>
  </si>
  <si>
    <t>strategies discussed in Morgan Stanley Research may not be suitable for all investors, and certain</t>
  </si>
  <si>
    <t>investors may not be eligible to purchase or participate in some or all of them. Morgan Stanley Research</t>
  </si>
  <si>
    <t>is not an offer to buy or sell or the solicitation of an offer to buy or sell any security/instrument or</t>
  </si>
  <si>
    <t>to participate in any particular trading strategy. The value of and income from your investments may</t>
  </si>
  <si>
    <t>vary because of changes in interest rates, foreign exchange rates, default rates, prepayment rates,</t>
  </si>
  <si>
    <t>securities/instruments prices, market indexes, operational or financial conditions of companies or other</t>
  </si>
  <si>
    <t>factors. There may be time limitations on the exercise of options or other rights in</t>
  </si>
  <si>
    <t>securities/instruments transactions. Past performance is not necessarily a guide to future performance.</t>
  </si>
  <si>
    <t>Estimates of future performance are based on assumptions that may not be realized. If provided, and</t>
  </si>
  <si>
    <t>unless otherwise stated, the closing price on the cover page is that of the primary exchange for the</t>
  </si>
  <si>
    <t>subject company's securities/instruments.</t>
  </si>
  <si>
    <t>If you do not agree to our Terms of Use and/or if you do not wish to provide your consent to Morgan</t>
  </si>
  <si>
    <t>Stanley processing your personal data or using cookies please do not access our research.</t>
  </si>
  <si>
    <t>Any access and/or use of Morgan Stanley Research is subject to Morgan Stanley's Terms of Use</t>
  </si>
  <si>
    <t>(http://www.morganstanley.com/terms.html). By accessing and/or using Morgan Stanley Research, you are</t>
  </si>
  <si>
    <t>indicating that you have read and agree to be bound by our Terms of Use</t>
  </si>
  <si>
    <t>(http://www.morganstanley.com/terms.html). In addition you consent to Morgan Stanley processing your</t>
  </si>
  <si>
    <t>personal data and using cookies in accordance with our Privacy Policy and our Global Cookies Policy</t>
  </si>
  <si>
    <t>(http://www.morganstanley.com/privacy_pledge.html), including for the purposes of setting your</t>
  </si>
  <si>
    <t>preferences and to collect readership data so that we can deliver better and more personalized service</t>
  </si>
  <si>
    <t>and products to you. To find out more information about how Morgan Stanley processes personal data, how</t>
  </si>
  <si>
    <t>we use cookies and how to reject cookies see our Privacy Policy and our Global Cookies Policy</t>
  </si>
  <si>
    <t>(http://www.morganstanley.com/privacy_pledge.html).</t>
  </si>
  <si>
    <t>Morgan Stanley Research is provided to our clients through our proprietary research portal on Matrix and</t>
  </si>
  <si>
    <t>also distributed electronically by Morgan Stanley to clients. Certain, but not all, Morgan Stanley</t>
  </si>
  <si>
    <t>Research products are also made available to clients through third-party vendors or redistributed to</t>
  </si>
  <si>
    <t>clients through alternate electronic means as a convenience. For access to all available Morgan Stanley</t>
  </si>
  <si>
    <t>Research, please contact your sales representative or go to Matrix at</t>
  </si>
  <si>
    <t>http://www.morganstanley.com/matrix.</t>
  </si>
  <si>
    <t>Morgan Stanley produces an equity research product called a "Tactical Idea." Views contained in a</t>
  </si>
  <si>
    <t>"Tactical Idea" on a particular stock may be contrary to the recommendations or views expressed in</t>
  </si>
  <si>
    <t>research on the same stock. This may be the result of differing time horizons, methodologies, market</t>
  </si>
  <si>
    <t>events, or other factors. For all research available on a particular stock, please contact your sales</t>
  </si>
  <si>
    <t>representative or go to Matrix at http://www.morganstanley.com/matrix.</t>
  </si>
  <si>
    <t>Morgan Stanley is not acting as a municipal advisor and the opinions or views contained herein are not</t>
  </si>
  <si>
    <t>intended to be, and do not constitute, advice within the meaning of Section 975 of the Dodd-Frank Wall</t>
  </si>
  <si>
    <t>Street Reform and Consumer Protection Act.</t>
  </si>
  <si>
    <t>Morgan Stanley Research policy is to update research reports as and when the Research Analyst and</t>
  </si>
  <si>
    <t>Research Management deem appropriate, based on developments with the issuer, the sector, or the market</t>
  </si>
  <si>
    <t>that may have a material impact on the research views or opinions stated therein. In addition, certain</t>
  </si>
  <si>
    <t>Research publications are intended to be updated on a regular periodic basis</t>
  </si>
  <si>
    <t>(weekly/monthly/quarterly/annual) and will ordinarily be updated with that frequency, unless the</t>
  </si>
  <si>
    <t>Research Analyst and Research Management determine that a different publication schedule is appropriate</t>
  </si>
  <si>
    <t>based on current conditions.</t>
  </si>
  <si>
    <t>Morgan Stanley &amp; Co. International PLC and its affiliates have a significant financial interest in the</t>
  </si>
  <si>
    <t>debt securities of S&amp;P Global Inc.</t>
  </si>
  <si>
    <t>Each Morgan Stanley Equity Research report is reviewed and approved on behalf of Morgan Stanley Smith</t>
  </si>
  <si>
    <t>Barney LLC. This review and approval is conducted by the same person who reviews the Equity Research</t>
  </si>
  <si>
    <t>report on behalf of Morgan Stanley. This could create a conflict of interest.</t>
  </si>
  <si>
    <t>Important disclosures regarding the relationship between the companies that are the subject of Morgan</t>
  </si>
  <si>
    <t>Stanley Research and Morgan Stanley Smith Barney LLC or Morgan Stanley or any of their affiliates, are</t>
  </si>
  <si>
    <t>available on the Morgan Stanley Wealth Management disclosure website at</t>
  </si>
  <si>
    <t>www.morganstanley.com/online/researchdisclosures. For Morgan Stanley specific disclosures, you may refer</t>
  </si>
  <si>
    <t>to www.morganstanley.com/researchdisclosures.</t>
  </si>
  <si>
    <t>Benchmarks for each region are as follows: North America - S&amp;P 500; Latin America - relevant MSCI</t>
  </si>
  <si>
    <t>country index or MSCI Latin America Index; Europe - MSCI Europe; Japan - TOPIX; Asia - relevant MSCI</t>
  </si>
  <si>
    <t>country index or MSCI sub-regional index or MSCI AC Asia Pacific ex Japan Index.</t>
  </si>
  <si>
    <t>Cautious (C): The analyst views the performance of his or her industry coverage universe over the next</t>
  </si>
  <si>
    <t>12-18 months with caution vs. the relevant broad market benchmark, as indicated below.</t>
  </si>
  <si>
    <t>In-Line (I): The analyst expects the performance of his or her industry coverage universe over the next</t>
  </si>
  <si>
    <t>12-18 months to be in line with the relevant broad market benchmark, as indicated below.</t>
  </si>
  <si>
    <t>Attractive (A): The analyst expects the performance of his or her industry coverage universe over the</t>
  </si>
  <si>
    <t>next 12-18 months to be attractive vs. the relevant broad market benchmark, as indicated below.</t>
  </si>
  <si>
    <t>Unless otherwise specified, the time frame for price targets included in Morgan Stanley Research is 12</t>
  </si>
  <si>
    <t>to 18 months.</t>
  </si>
  <si>
    <t>Underweight (U). The stock's total return is expected to be below the average total return of the</t>
  </si>
  <si>
    <t>analyst's industry (or industry team's) coverage universe, on a risk-adjusted basis, over the next 12-18</t>
  </si>
  <si>
    <t>months.</t>
  </si>
  <si>
    <t>Not-Rated (NR). Currently the analyst does not have adequate conviction about the stock's total return</t>
  </si>
  <si>
    <t>relative to the average total return of the analyst's industry (or industry team's) coverage universe,</t>
  </si>
  <si>
    <t>on a risk-adjusted basis, over the next 12-18 months.</t>
  </si>
  <si>
    <t>Equal-weight (E). The stock's total return is expected to be in line with the average total return of</t>
  </si>
  <si>
    <t>the analyst's industry (or industry team's) coverage universe, on a risk-adjusted basis, over the next</t>
  </si>
  <si>
    <t>12-18 months.</t>
  </si>
  <si>
    <t>Overweight (O). The stock's total return is expected to exceed the average total return of the analyst's</t>
  </si>
  <si>
    <t>industry (or industry team's) coverage universe, on a risk-adjusted basis, over the next 12-18 months.</t>
  </si>
  <si>
    <t>Data include common stock and ADRs currently assigned ratings. Investment Banking Clients are companies</t>
  </si>
  <si>
    <t>from whom Morgan Stanley received investment banking compensation in the last 12 months. Due to rounding</t>
  </si>
  <si>
    <t>off of decimals, the percentages provided in the "% of total" column may not add up to exactly 100</t>
  </si>
  <si>
    <t>percent.</t>
  </si>
  <si>
    <t>For disclosure purposes only (in accordance with NASD and NYSE requirements), we include the category</t>
  </si>
  <si>
    <t>headings of Buy, Hold, and Sell alongside our ratings of Overweight, Equal-weight, Not-Rated and</t>
  </si>
  <si>
    <t>Underweight. Morgan Stanley does not assign ratings of Buy, Hold or Sell to the stocks we cover.</t>
  </si>
  <si>
    <t>Overweight, Equal-weight, Not-Rated and Underweight are not the equivalent of buy, hold, and sell but</t>
  </si>
  <si>
    <t>represent recommended relative weightings (see definitions below). To satisfy regulatory requirements,</t>
  </si>
  <si>
    <t>we correspond Overweight, our most positive stock rating, with a buy recommendation; we correspond</t>
  </si>
  <si>
    <t>Equal-weight and Not-Rated to hold and Underweight to sell recommendations, respectively.</t>
  </si>
  <si>
    <t>The Stock Ratings described below apply to Morgan Stanley's Fundamental Equity Research and do not apply</t>
  </si>
  <si>
    <t>to Debt Research produced by the Firm.</t>
  </si>
  <si>
    <t>Morgan Stanley uses a relative rating system using terms such as Overweight, Equal-weight, Not-Rated or</t>
  </si>
  <si>
    <t>Underweight (see definitions below). Morgan Stanley does not assign ratings of Buy, Hold or Sell to the</t>
  </si>
  <si>
    <t>stocks we cover. Overweight, Equal-weight, Not-Rated and Underweight are not the equivalent of buy, hold</t>
  </si>
  <si>
    <t>and sell. Investors should carefully read the definitions of all ratings used in Morgan Stanley</t>
  </si>
  <si>
    <t>Research. In addition, since Morgan Stanley Research contains more complete information concerning the</t>
  </si>
  <si>
    <t>analyst's views, investors should carefully read Morgan Stanley Research, in its entirety, and not infer</t>
  </si>
  <si>
    <t>the contents from the rating alone. In any case, ratings (or research) should not be used or relied upon</t>
  </si>
  <si>
    <t>as investment advice. An investor's decision to buy or sell a stock should depend on individual</t>
  </si>
  <si>
    <t>circumstances (such as the investor's existing holdings) and other considerations.</t>
  </si>
  <si>
    <t>Certain disclosures listed above are also for compliance with applicable regulations in non-US</t>
  </si>
  <si>
    <t>jurisdictions.</t>
  </si>
  <si>
    <t>Morgan Stanley and its affiliates do business that relates to companies/instruments covered in Morgan</t>
  </si>
  <si>
    <t>Stanley Research, including market making, providing liquidity, fund management, commercial banking,</t>
  </si>
  <si>
    <t>extension of credit, investment services and investment banking. Morgan Stanley sells to and buys from</t>
  </si>
  <si>
    <t>customers the securities/instruments of companies covered in Morgan Stanley Research on a principal</t>
  </si>
  <si>
    <t>basis. Morgan Stanley may have a position in the debt of the Company or instruments discussed in this</t>
  </si>
  <si>
    <t>report. Morgan Stanley trades or may trade as principal in the debt securities (or in related</t>
  </si>
  <si>
    <t>derivatives) that are the subject of the debt research report.</t>
  </si>
  <si>
    <t>The equity research analysts or strategists principally responsible for the preparation of Morgan</t>
  </si>
  <si>
    <t>Stanley Research have received compensation based upon various factors, including quality of research,</t>
  </si>
  <si>
    <t>investor client feedback, stock picking, competitive factors, firm revenues and overall investment</t>
  </si>
  <si>
    <t>banking revenues. Equity Research analysts' or strategists' compensation is not linked to investment</t>
  </si>
  <si>
    <t>banking or capital markets transactions performed by Morgan Stanley or the profitability or revenues of</t>
  </si>
  <si>
    <t>Within the last 12 months, Morgan Stanley has either provided or is providing non-investment banking,</t>
  </si>
  <si>
    <t>securities-related services to and/or in the past has entered into an agreement to provide services or</t>
  </si>
  <si>
    <t>has a client relationship with the following company: S&amp;P Global Inc.</t>
  </si>
  <si>
    <t>Within the last 12 months, Morgan Stanley has provided or is providing investment banking services to,</t>
  </si>
  <si>
    <t>or has an investment banking client relationship with, the following company: S&amp;P Global Inc.</t>
  </si>
  <si>
    <t>Within the last 12 months, Morgan Stanley has received compensation for products and services other than</t>
  </si>
  <si>
    <t>investment banking services from S&amp;P Global Inc.</t>
  </si>
  <si>
    <t>In the next 3 months, Morgan Stanley expects to receive or intends to seek compensation for investment</t>
  </si>
  <si>
    <t>banking services from S&amp;P Global Inc.</t>
  </si>
  <si>
    <t>Within the last 12 months, Morgan Stanley has received compensation for investment banking services from</t>
  </si>
  <si>
    <t>As of March 29, 2018, Morgan Stanley beneficially owned 1% or more of a class of common equity</t>
  </si>
  <si>
    <t>securities of the following companies covered in Morgan Stanley Research: S&amp;P Global Inc.</t>
  </si>
  <si>
    <t>Morgan Stanley Research has been published in accordance with our conflict management policy, which is</t>
  </si>
  <si>
    <t>available at www.morganstanley.com/institutional/research/conflictpolicies.</t>
  </si>
  <si>
    <t>The following analysts hereby certify that their views about the companies and their securities</t>
  </si>
  <si>
    <t>discussed in this report are accurately expressed and that they have not received and will not receive</t>
  </si>
  <si>
    <t>direct or indirect compensation in exchange for expressing specific recommendations or views in this</t>
  </si>
  <si>
    <t>report: Toni Kaplan.</t>
  </si>
  <si>
    <t>For valuation methodology and risks associated with any recommendation, rating or price target</t>
  </si>
  <si>
    <t>referenced in this research report, please contact the Client Support Team as follows: US/Canada +1 800</t>
  </si>
  <si>
    <t>303-2495; Hong Kong +852 2848-5999; Latin America +1 718 754-5444 (U.S.); London +44 (0)20-7425-8169;</t>
  </si>
  <si>
    <t>Singapore +65 6834-6860; Sydney +61 (0)2-9770-1505; Tokyo +81 (0)3-6836-9000. Alternatively you may</t>
  </si>
  <si>
    <t>contact your investment representative or Morgan Stanley Research at 1585 Broadway, (Attention: Research</t>
  </si>
  <si>
    <t>Management), New York, NY 10036 USA.</t>
  </si>
  <si>
    <t>For important disclosures, stock price charts and equity rating histories regarding companies that are</t>
  </si>
  <si>
    <t>the subject of this report, please see the Morgan Stanley Research Disclosure Website at</t>
  </si>
  <si>
    <t>www.morganstanley.com/researchdisclosures, or contact your investment representative or Morgan Stanley</t>
  </si>
  <si>
    <t>Research at 1585 Broadway, (Attention: Research Management), New York, NY, 10036 USA.</t>
  </si>
  <si>
    <t>The information and opinions in Morgan Stanley Research were prepared by Morgan Stanley &amp; Co. LLC,</t>
  </si>
  <si>
    <t>and/or Morgan Stanley C.T.V.M. S.A., and/or Morgan Stanley Mexico, Casa de Bolsa, S.A. de C.V., and/or</t>
  </si>
  <si>
    <t>Morgan Stanley Canada Limited. As used in this disclosure section, "Morgan Stanley" includes Morgan</t>
  </si>
  <si>
    <t>Stanley &amp; Co. LLC, Morgan Stanley C.T.V.M. S.A., Morgan Stanley Mexico, Casa de Bolsa, S.A. de C.V.,</t>
  </si>
  <si>
    <t>Morgan Stanley Canada Limited and their affiliates as necessary.</t>
  </si>
  <si>
    <t>Morgan Stanley does and seeks to do business with companies covered in Morgan Stanley Research. As a</t>
  </si>
  <si>
    <t>result, investors should be aware that the firm may have a conflict of interest that could affect the</t>
  </si>
  <si>
    <t>objectivity of Morgan Stanley Research. Investors should consider Morgan Stanley Research as only a</t>
  </si>
  <si>
    <t>single factor in making their investment decision.</t>
  </si>
  <si>
    <t>© Copyright 2018 Morgan Stanley</t>
  </si>
  <si>
    <t>MacroVersion</t>
  </si>
  <si>
    <t>PublishDate</t>
  </si>
  <si>
    <t>Discipline</t>
  </si>
  <si>
    <t>ResearchTopic</t>
  </si>
  <si>
    <t>Company</t>
  </si>
  <si>
    <t>DocType</t>
  </si>
  <si>
    <t>Model</t>
  </si>
  <si>
    <t>SubjectCode</t>
  </si>
  <si>
    <t>Description</t>
  </si>
  <si>
    <t>KeepVersions</t>
  </si>
  <si>
    <t>All</t>
  </si>
  <si>
    <t>Rating</t>
  </si>
  <si>
    <t>CurrYearTotalRevenue*</t>
  </si>
  <si>
    <t>CurrYearEPS*</t>
  </si>
  <si>
    <t>NextYearTotalRevenue*</t>
  </si>
  <si>
    <t>NextYearEPS*</t>
  </si>
  <si>
    <t>FollowingYearTotalRevenue*</t>
  </si>
  <si>
    <t>FollowingYearEPS*</t>
  </si>
  <si>
    <t>5YearGrowthRate</t>
  </si>
  <si>
    <t>UpdateReason</t>
  </si>
  <si>
    <t>Authors</t>
  </si>
  <si>
    <t>Tickers</t>
  </si>
  <si>
    <t>CUSIP</t>
  </si>
  <si>
    <t>RIC</t>
  </si>
  <si>
    <t>SEDOL</t>
  </si>
  <si>
    <t>PathName</t>
  </si>
  <si>
    <t>Distribution</t>
  </si>
  <si>
    <t>Deleted</t>
  </si>
  <si>
    <t>NO</t>
  </si>
  <si>
    <t>EmailAlert</t>
  </si>
  <si>
    <t>YES</t>
  </si>
  <si>
    <t>CurrQtrEPS</t>
  </si>
  <si>
    <t>CYEnd</t>
  </si>
  <si>
    <t>CQEnd</t>
  </si>
  <si>
    <t>CurrYearTotalRevenueActual*</t>
  </si>
  <si>
    <t>NextYearTotalRevenueActual*</t>
  </si>
  <si>
    <t>FollowingYearTotalRevenueActual*</t>
  </si>
  <si>
    <t>Multiplier</t>
  </si>
  <si>
    <t>TemplateRegion</t>
  </si>
  <si>
    <t>ObjectType</t>
  </si>
  <si>
    <t>excel</t>
  </si>
  <si>
    <t>LanguageCode</t>
  </si>
  <si>
    <t>en-US</t>
  </si>
  <si>
    <t>SubmitterUserId</t>
  </si>
  <si>
    <t>IndustryId</t>
  </si>
  <si>
    <t>TickerRegion</t>
  </si>
  <si>
    <t>AdditionalInstructions</t>
  </si>
  <si>
    <t>*Estimated</t>
  </si>
  <si>
    <t>Equal-Weight / In-Line</t>
  </si>
  <si>
    <t>Regular Update</t>
  </si>
  <si>
    <t>NorthAmerica</t>
  </si>
  <si>
    <t>MSA12849, MSA43LKC</t>
  </si>
  <si>
    <t>78409V104</t>
  </si>
  <si>
    <t>L:\BUSINESS SERVICES\Analytics\MHFI\Model Drafts\MHFI Model Draft.xlsx</t>
  </si>
  <si>
    <t>Please hold model until note titled "S&amp;P Global Inc: 1Q18 Earnings: Modest Beat " is published at midnight. Please note price target change to $205.</t>
  </si>
  <si>
    <t>[BRO MSA]</t>
  </si>
  <si>
    <t>[PRODUCT MODEL]</t>
  </si>
  <si>
    <t>[EMAIL_ALERT YES]</t>
  </si>
  <si>
    <t>[DISCIPLINE Company]</t>
  </si>
  <si>
    <t>[SUPPRESSED NO]</t>
  </si>
  <si>
    <t>[DOCDAT 2018-04-26]</t>
  </si>
  <si>
    <t>[DOCTIME 21:25]</t>
  </si>
  <si>
    <t>[PSYM SPGI.N(S&amp;P) (None)]</t>
  </si>
  <si>
    <t>[COU 1]</t>
  </si>
  <si>
    <t>[ANA MSA43LKC]</t>
  </si>
  <si>
    <t>[HL SPGI.N Model]</t>
  </si>
  <si>
    <t>[IND MISCEL INDCOM]</t>
  </si>
  <si>
    <t>[PANA MSA12849]</t>
  </si>
  <si>
    <t>Target Price: 205</t>
  </si>
</sst>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0_)"/>
    <numFmt numFmtId="165" formatCode="&quot;$&quot;#,##0.0_);\(&quot;$&quot;#,##0.0\)"/>
    <numFmt numFmtId="166" formatCode="#,##0.0_);\(#,##0.0\)"/>
    <numFmt numFmtId="167" formatCode="0_);\(0\)"/>
    <numFmt numFmtId="168" formatCode="0.0_);\(0.0\)"/>
    <numFmt numFmtId="169" formatCode="0.0%"/>
    <numFmt numFmtId="170" formatCode="0.0000_);\(0.0000\)"/>
    <numFmt numFmtId="171" formatCode="0.0"/>
    <numFmt numFmtId="172" formatCode="_(* #,##0.0_);_(* \(#,##0.0\);_(* &quot;-&quot;??_);_(@_)"/>
    <numFmt numFmtId="173" formatCode="_(* #,##0.000_);_(* \(#,##0.000\);_(* &quot;-&quot;??_);_(@_)"/>
    <numFmt numFmtId="174" formatCode="_(* #,##0_);_(* \(#,##0\);_(* &quot;-&quot;??_);_(@_)"/>
    <numFmt numFmtId="175" formatCode="0.000_);\(0.000\)"/>
    <numFmt numFmtId="176" formatCode="0&quot; bps&quot;"/>
    <numFmt numFmtId="177" formatCode="0.0&quot;x&quot;_);\(0.0\)&quot;x&quot;"/>
    <numFmt numFmtId="178" formatCode="_(* #,##0.0_);_(* \(#,##0.0\);_(* &quot;-&quot;?_);_(@_)"/>
    <numFmt numFmtId="179" formatCode="0.0&quot;x&quot;"/>
    <numFmt numFmtId="180" formatCode="0&quot;E&quot;"/>
    <numFmt numFmtId="181" formatCode="0&quot;m&quot;"/>
    <numFmt numFmtId="182" formatCode="&quot;$&quot;#,##0"/>
    <numFmt numFmtId="183" formatCode="_(* #,##0.0\x_);_(* \(#,##0.0\);_(* &quot;-&quot;??_);_(@_)"/>
    <numFmt numFmtId="184" formatCode="&quot;$&quot;#,##0.00"/>
    <numFmt numFmtId="185" formatCode="0.0%_);\(0.0%\);&quot;–&quot;_)"/>
    <numFmt numFmtId="186" formatCode="_(&quot;$&quot;* #,##0.0_);_(* \(#,##0.0\);_(* &quot;-&quot;??_);_(@_)"/>
    <numFmt numFmtId="187" formatCode="0\x"/>
    <numFmt numFmtId="188" formatCode="0\ &quot;bps&quot;"/>
    <numFmt numFmtId="189" formatCode="0&quot;x&quot;_);\(0\)&quot;x&quot;"/>
    <numFmt numFmtId="190" formatCode="0.0\x"/>
    <numFmt numFmtId="191" formatCode="_-* #,##0\ _P_t_a_-;\-* #,##0\ _P_t_a_-;_-* &quot;-&quot;\ _P_t_a_-;_-@_-"/>
    <numFmt numFmtId="192" formatCode="_-* #,##0.00\ _P_t_a_-;\-* #,##0.00\ _P_t_a_-;_-* &quot;-&quot;??\ _P_t_a_-;_-@_-"/>
    <numFmt numFmtId="193" formatCode="_-* #,##0\ &quot;pta&quot;_-;\-* #,##0\ &quot;pta&quot;_-;_-* &quot;-&quot;\ &quot;pta&quot;_-;_-@_-"/>
    <numFmt numFmtId="194" formatCode="_-* #,##0.00\ &quot;pta&quot;_-;\-* #,##0.00\ &quot;pta&quot;_-;_-* &quot;-&quot;??\ &quot;pta&quot;_-;_-@_-"/>
    <numFmt numFmtId="195" formatCode="_ * #,##0_ ;_ * \-#,##0_ ;_ * &quot;-&quot;_ ;_ @_ "/>
    <numFmt numFmtId="196" formatCode="_(* #,##0.00000_);_(* \(#,##0.00000\);_(* &quot;-&quot;??_);_(@_)"/>
    <numFmt numFmtId="197" formatCode="#,##0.0%_);\(#,##0.0%\)"/>
    <numFmt numFmtId="198" formatCode="&quot;$&quot;#,##0.000_);\(&quot;$&quot;#,##0.000\)"/>
    <numFmt numFmtId="199" formatCode="mm/dd/yy\ hh:mm"/>
  </numFmts>
  <fonts count="126">
    <font>
      <sz val="11"/>
      <color theme="1"/>
      <name val="Calibri"/>
      <family val="2"/>
      <scheme val="minor"/>
    </font>
    <font>
      <sz val="11"/>
      <color indexed="8"/>
      <name val="Calibri"/>
      <family val="2"/>
    </font>
    <font>
      <sz val="10"/>
      <name val="Arial"/>
      <family val="2"/>
    </font>
    <font>
      <b/>
      <sz val="8"/>
      <name val="Arial"/>
      <family val="2"/>
    </font>
    <font>
      <sz val="8"/>
      <name val="Helvetica"/>
      <family val="2"/>
    </font>
    <font>
      <sz val="8"/>
      <color indexed="8"/>
      <name val="Arial"/>
      <family val="2"/>
    </font>
    <font>
      <b/>
      <sz val="10"/>
      <color indexed="10"/>
      <name val="Arial"/>
      <family val="2"/>
    </font>
    <font>
      <b/>
      <sz val="8"/>
      <name val="Helvetica"/>
      <family val="2"/>
    </font>
    <font>
      <i/>
      <sz val="8"/>
      <color indexed="63"/>
      <name val="Helvetica"/>
      <family val="2"/>
    </font>
    <font>
      <sz val="8"/>
      <name val="Arial"/>
      <family val="2"/>
    </font>
    <font>
      <i/>
      <sz val="8"/>
      <name val="Helvetica"/>
      <family val="2"/>
    </font>
    <font>
      <sz val="10"/>
      <color indexed="15"/>
      <name val="Arial"/>
      <family val="2"/>
    </font>
    <font>
      <sz val="8"/>
      <name val="Helvitica"/>
    </font>
    <font>
      <b/>
      <sz val="8"/>
      <name val="Helvitica"/>
    </font>
    <font>
      <sz val="8"/>
      <color indexed="8"/>
      <name val="Helvitica"/>
    </font>
    <font>
      <sz val="8"/>
      <color indexed="17"/>
      <name val="Helvitica"/>
    </font>
    <font>
      <b/>
      <sz val="8"/>
      <color indexed="17"/>
      <name val="Helvitica"/>
    </font>
    <font>
      <b/>
      <sz val="10"/>
      <name val="Arial"/>
      <family val="2"/>
    </font>
    <font>
      <b/>
      <sz val="8"/>
      <color indexed="8"/>
      <name val="Helvitica"/>
    </font>
    <font>
      <sz val="8"/>
      <color indexed="12"/>
      <name val="Helvitica"/>
    </font>
    <font>
      <sz val="8"/>
      <color indexed="61"/>
      <name val="Helvitica"/>
    </font>
    <font>
      <sz val="8"/>
      <color indexed="8"/>
      <name val="Helvetica"/>
      <family val="2"/>
    </font>
    <font>
      <b/>
      <sz val="12"/>
      <color indexed="8"/>
      <name val="Helvitica"/>
    </font>
    <font>
      <sz val="8"/>
      <color indexed="10"/>
      <name val="Helvitica"/>
    </font>
    <font>
      <sz val="10"/>
      <color indexed="10"/>
      <name val="Arial"/>
      <family val="2"/>
    </font>
    <font>
      <sz val="8"/>
      <color indexed="17"/>
      <name val="Helvetica"/>
      <family val="2"/>
    </font>
    <font>
      <b/>
      <sz val="8"/>
      <color indexed="53"/>
      <name val="Helvitica"/>
    </font>
    <font>
      <sz val="8"/>
      <color indexed="53"/>
      <name val="Helvitica"/>
    </font>
    <font>
      <sz val="10"/>
      <color indexed="53"/>
      <name val="Arial"/>
      <family val="2"/>
    </font>
    <font>
      <sz val="8"/>
      <color indexed="18"/>
      <name val="Helvitica"/>
    </font>
    <font>
      <sz val="10"/>
      <color indexed="12"/>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sz val="8"/>
      <color indexed="9"/>
      <name val="Helvetica"/>
      <family val="2"/>
    </font>
    <font>
      <sz val="8"/>
      <name val="Helvetica"/>
      <family val="2"/>
    </font>
    <font>
      <b/>
      <sz val="8"/>
      <name val="Helvetica"/>
      <family val="2"/>
    </font>
    <font>
      <i/>
      <sz val="8"/>
      <color indexed="12"/>
      <name val="Helvetica"/>
      <family val="2"/>
    </font>
    <font>
      <sz val="8"/>
      <color indexed="12"/>
      <name val="Helvetica"/>
      <family val="2"/>
    </font>
    <font>
      <b/>
      <sz val="8"/>
      <color indexed="12"/>
      <name val="Helvetica"/>
      <family val="2"/>
    </font>
    <font>
      <b/>
      <sz val="18"/>
      <color indexed="9"/>
      <name val="Helvetica"/>
      <family val="2"/>
    </font>
    <font>
      <sz val="8"/>
      <color indexed="10"/>
      <name val="Helvetica"/>
      <family val="2"/>
    </font>
    <font>
      <sz val="8"/>
      <color indexed="18"/>
      <name val="Helvetica"/>
      <family val="2"/>
    </font>
    <font>
      <u/>
      <sz val="8"/>
      <name val="Helvetica"/>
      <family val="2"/>
    </font>
    <font>
      <b/>
      <sz val="16"/>
      <color indexed="9"/>
      <name val="Helvetica"/>
      <family val="2"/>
    </font>
    <font>
      <b/>
      <sz val="8"/>
      <color indexed="9"/>
      <name val="Arial"/>
      <family val="2"/>
    </font>
    <font>
      <b/>
      <sz val="8"/>
      <color indexed="8"/>
      <name val="Arial"/>
      <family val="2"/>
    </font>
    <font>
      <i/>
      <sz val="8"/>
      <name val="Arial"/>
      <family val="2"/>
    </font>
    <font>
      <i/>
      <sz val="8"/>
      <color indexed="17"/>
      <name val="Arial"/>
      <family val="2"/>
    </font>
    <font>
      <i/>
      <sz val="8"/>
      <color indexed="8"/>
      <name val="Arial"/>
      <family val="2"/>
    </font>
    <font>
      <sz val="8"/>
      <color indexed="17"/>
      <name val="Arial"/>
      <family val="2"/>
    </font>
    <font>
      <sz val="8"/>
      <color indexed="9"/>
      <name val="Arial"/>
      <family val="2"/>
    </font>
    <font>
      <sz val="8"/>
      <color indexed="57"/>
      <name val="Arial"/>
      <family val="2"/>
    </font>
    <font>
      <sz val="10"/>
      <color indexed="9"/>
      <name val="Arial"/>
      <family val="2"/>
    </font>
    <font>
      <b/>
      <i/>
      <sz val="8"/>
      <name val="Arial"/>
      <family val="2"/>
    </font>
    <font>
      <sz val="8"/>
      <color indexed="12"/>
      <name val="Arial"/>
      <family val="2"/>
    </font>
    <font>
      <b/>
      <u/>
      <sz val="8"/>
      <name val="Arial"/>
      <family val="2"/>
    </font>
    <font>
      <u/>
      <sz val="8"/>
      <name val="Arial"/>
      <family val="2"/>
    </font>
    <font>
      <b/>
      <u/>
      <sz val="8"/>
      <color indexed="9"/>
      <name val="Arial"/>
      <family val="2"/>
    </font>
    <font>
      <b/>
      <sz val="8"/>
      <color indexed="10"/>
      <name val="Arial"/>
      <family val="2"/>
    </font>
    <font>
      <sz val="8"/>
      <color indexed="22"/>
      <name val="Arial"/>
      <family val="2"/>
    </font>
    <font>
      <b/>
      <sz val="8"/>
      <color indexed="22"/>
      <name val="Arial"/>
      <family val="2"/>
    </font>
    <font>
      <sz val="8"/>
      <color indexed="9"/>
      <name val="Helvetica"/>
      <family val="2"/>
    </font>
    <font>
      <sz val="8"/>
      <color indexed="18"/>
      <name val="Arial"/>
      <family val="2"/>
    </font>
    <font>
      <sz val="8"/>
      <color indexed="20"/>
      <name val="Arial"/>
      <family val="2"/>
    </font>
    <font>
      <b/>
      <sz val="8"/>
      <color indexed="24"/>
      <name val="Arial"/>
      <family val="2"/>
    </font>
    <font>
      <i/>
      <sz val="10"/>
      <name val="Arial"/>
      <family val="2"/>
    </font>
    <font>
      <u/>
      <sz val="10"/>
      <color indexed="12"/>
      <name val="Arial"/>
      <family val="2"/>
    </font>
    <font>
      <sz val="8"/>
      <name val="Calibri"/>
      <family val="2"/>
    </font>
    <font>
      <sz val="8"/>
      <color indexed="8"/>
      <name val="Calibri"/>
      <family val="2"/>
    </font>
    <font>
      <sz val="10"/>
      <name val="Courier"/>
      <family val="3"/>
    </font>
    <font>
      <sz val="10"/>
      <name val="Helvetica"/>
      <family val="2"/>
    </font>
    <font>
      <sz val="10"/>
      <name val="MS Sans Serif"/>
      <family val="2"/>
    </font>
    <font>
      <sz val="12"/>
      <name val="ⓒoUAAA¨u"/>
      <family val="1"/>
      <charset val="129"/>
    </font>
    <font>
      <b/>
      <sz val="10"/>
      <color indexed="8"/>
      <name val="Times New Roman"/>
      <family val="1"/>
    </font>
    <font>
      <sz val="12"/>
      <name val="System"/>
      <family val="2"/>
      <charset val="129"/>
    </font>
    <font>
      <sz val="9"/>
      <name val="Times New Roman"/>
      <family val="1"/>
    </font>
    <font>
      <sz val="10"/>
      <color indexed="8"/>
      <name val="Times New Roman"/>
      <family val="1"/>
    </font>
    <font>
      <i/>
      <sz val="8"/>
      <name val="Times New Roman"/>
      <family val="1"/>
    </font>
    <font>
      <sz val="12"/>
      <name val="뼻뮝"/>
      <family val="1"/>
      <charset val="129"/>
    </font>
    <font>
      <sz val="12"/>
      <name val="바탕체"/>
      <family val="1"/>
      <charset val="129"/>
    </font>
    <font>
      <sz val="11"/>
      <color indexed="8"/>
      <name val="Calibri"/>
      <family val="2"/>
    </font>
    <font>
      <sz val="10"/>
      <name val="Arial"/>
      <family val="2"/>
    </font>
    <font>
      <sz val="11"/>
      <name val="Arial"/>
      <family val="2"/>
    </font>
    <font>
      <sz val="10"/>
      <name val="Arial"/>
      <family val="2"/>
    </font>
    <font>
      <sz val="8"/>
      <color indexed="8"/>
      <name val="Helvetica"/>
      <family val="2"/>
    </font>
    <font>
      <sz val="8"/>
      <color indexed="9"/>
      <name val="Helvetica"/>
      <family val="2"/>
    </font>
    <font>
      <b/>
      <sz val="8"/>
      <color indexed="17"/>
      <name val="Helvitica"/>
    </font>
    <font>
      <sz val="8"/>
      <color indexed="17"/>
      <name val="Helvitica"/>
    </font>
    <font>
      <sz val="8"/>
      <color indexed="12"/>
      <name val="Helvitica"/>
    </font>
    <font>
      <sz val="8"/>
      <color indexed="8"/>
      <name val="Helvitica"/>
    </font>
    <font>
      <sz val="8"/>
      <color indexed="12"/>
      <name val="Helvetica"/>
      <family val="2"/>
    </font>
    <font>
      <sz val="8"/>
      <color indexed="8"/>
      <name val="Helvetica"/>
      <family val="2"/>
    </font>
    <font>
      <sz val="8"/>
      <color indexed="17"/>
      <name val="Helvetica"/>
      <family val="2"/>
    </font>
    <font>
      <sz val="8"/>
      <color indexed="8"/>
      <name val="Helvetica"/>
      <family val="2"/>
    </font>
    <font>
      <sz val="8"/>
      <color indexed="12"/>
      <name val="Helvetica"/>
      <family val="2"/>
    </font>
    <font>
      <sz val="8"/>
      <color indexed="8"/>
      <name val="Arial"/>
      <family val="2"/>
    </font>
    <font>
      <i/>
      <sz val="8"/>
      <color indexed="12"/>
      <name val="Arial"/>
      <family val="2"/>
    </font>
    <font>
      <sz val="8"/>
      <color indexed="12"/>
      <name val="Arial"/>
      <family val="2"/>
    </font>
    <font>
      <b/>
      <sz val="8"/>
      <color indexed="12"/>
      <name val="Helvetica"/>
      <family val="2"/>
    </font>
    <font>
      <b/>
      <sz val="8"/>
      <color indexed="17"/>
      <name val="Helvetica"/>
      <family val="2"/>
    </font>
    <font>
      <sz val="8"/>
      <color indexed="12"/>
      <name val="Helvitica"/>
    </font>
    <font>
      <sz val="8"/>
      <color indexed="17"/>
      <name val="Helvetica"/>
      <family val="2"/>
    </font>
    <font>
      <u/>
      <sz val="8"/>
      <color indexed="12"/>
      <name val="Helvetica"/>
      <family val="2"/>
    </font>
    <font>
      <sz val="8"/>
      <color indexed="17"/>
      <name val="Helvitica"/>
    </font>
    <font>
      <i/>
      <sz val="8"/>
      <color indexed="12"/>
      <name val="Helvetica"/>
      <family val="2"/>
    </font>
    <font>
      <sz val="10"/>
      <name val="Arial"/>
      <family val="2"/>
    </font>
    <font>
      <sz val="8"/>
      <color theme="1"/>
      <name val="Calibri"/>
      <family val="2"/>
      <scheme val="minor"/>
    </font>
    <font>
      <sz val="8"/>
      <color theme="1"/>
      <name val="Helvetica"/>
      <family val="2"/>
    </font>
    <font>
      <sz val="8"/>
      <color rgb="FF0000FF"/>
      <name val="Helvetica"/>
      <family val="2"/>
    </font>
    <font>
      <b/>
      <sz val="8"/>
      <color rgb="FF0000FF"/>
      <name val="Helvetica"/>
      <family val="2"/>
    </font>
    <font>
      <sz val="8"/>
      <color rgb="FFFF0000"/>
      <name val="Helvetica"/>
      <family val="2"/>
    </font>
    <font>
      <i/>
      <sz val="8"/>
      <color rgb="FF008000"/>
      <name val="Helvetica"/>
      <family val="2"/>
    </font>
    <font>
      <sz val="8"/>
      <color rgb="FF000000"/>
      <name val="Tahoma"/>
      <family val="2"/>
    </font>
    <font>
      <b/>
      <sz val="8"/>
      <color rgb="FF0000FF"/>
      <name val="Helvitica"/>
    </font>
    <font>
      <b/>
      <sz val="8"/>
      <color rgb="FF008000"/>
      <name val="Helvitica"/>
    </font>
    <font>
      <sz val="8"/>
      <color rgb="FF0000FF"/>
      <name val="Helvitica"/>
    </font>
    <font>
      <sz val="8"/>
      <color rgb="FF008000"/>
      <name val="Helvitica"/>
    </font>
    <font>
      <sz val="8"/>
      <color rgb="FF000000"/>
      <name val="Helvitica"/>
    </font>
    <font>
      <sz val="8"/>
      <color rgb="FF008000"/>
      <name val="Helvetica"/>
      <family val="2"/>
    </font>
    <font>
      <sz val="8"/>
      <color rgb="FF0000FF"/>
      <name val="Arial"/>
      <family val="2"/>
    </font>
    <font>
      <sz val="10"/>
      <name val="Arial"/>
      <family val="2"/>
    </font>
    <font>
      <sz val="10"/>
      <name val="Arial"/>
      <family val="2"/>
    </font>
    <font>
      <sz val="10"/>
      <color rgb="FF000000"/>
      <name val="Arial"/>
      <family val="2"/>
    </font>
    <font>
      <b/>
      <sz val="12"/>
      <color rgb="FF000080"/>
      <name val="Arial"/>
      <family val="2"/>
    </font>
  </fonts>
  <fills count="1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13"/>
        <bgColor indexed="64"/>
      </patternFill>
    </fill>
    <fill>
      <patternFill patternType="solid">
        <fgColor indexed="42"/>
        <bgColor indexed="64"/>
      </patternFill>
    </fill>
    <fill>
      <patternFill patternType="solid">
        <fgColor indexed="18"/>
        <bgColor indexed="64"/>
      </patternFill>
    </fill>
    <fill>
      <patternFill patternType="solid">
        <fgColor indexed="23"/>
        <bgColor indexed="64"/>
      </patternFill>
    </fill>
    <fill>
      <patternFill patternType="solid">
        <fgColor indexed="44"/>
        <bgColor indexed="64"/>
      </patternFill>
    </fill>
    <fill>
      <patternFill patternType="solid">
        <fgColor indexed="56"/>
        <bgColor indexed="64"/>
      </patternFill>
    </fill>
    <fill>
      <patternFill patternType="solid">
        <fgColor indexed="51"/>
        <bgColor indexed="64"/>
      </patternFill>
    </fill>
    <fill>
      <patternFill patternType="solid">
        <fgColor indexed="60"/>
        <bgColor indexed="64"/>
      </patternFill>
    </fill>
    <fill>
      <patternFill patternType="solid">
        <fgColor theme="0"/>
        <bgColor indexed="64"/>
      </patternFill>
    </fill>
    <fill>
      <patternFill patternType="solid">
        <fgColor indexed="65"/>
        <bgColor indexed="64"/>
      </patternFill>
    </fill>
  </fills>
  <borders count="61">
    <border>
      <left/>
      <right/>
      <top/>
      <bottom/>
      <diagonal/>
    </border>
    <border>
      <left/>
      <right/>
      <top/>
      <bottom style="thin">
        <color indexed="8"/>
      </bottom>
      <diagonal/>
    </border>
    <border>
      <left/>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hair">
        <color indexed="64"/>
      </right>
      <top style="thin">
        <color indexed="64"/>
      </top>
      <bottom/>
      <diagonal/>
    </border>
    <border>
      <left/>
      <right style="hair">
        <color indexed="8"/>
      </right>
      <top style="thin">
        <color indexed="64"/>
      </top>
      <bottom/>
      <diagonal/>
    </border>
    <border>
      <left style="thin">
        <color indexed="64"/>
      </left>
      <right style="hair">
        <color indexed="64"/>
      </right>
      <top/>
      <bottom style="thin">
        <color indexed="64"/>
      </bottom>
      <diagonal/>
    </border>
    <border>
      <left/>
      <right style="hair">
        <color indexed="8"/>
      </right>
      <top/>
      <bottom style="thin">
        <color indexed="64"/>
      </bottom>
      <diagonal/>
    </border>
    <border>
      <left style="thin">
        <color indexed="64"/>
      </left>
      <right style="hair">
        <color indexed="64"/>
      </right>
      <top/>
      <bottom/>
      <diagonal/>
    </border>
    <border>
      <left style="hair">
        <color indexed="8"/>
      </left>
      <right/>
      <top style="thin">
        <color indexed="64"/>
      </top>
      <bottom/>
      <diagonal/>
    </border>
    <border>
      <left/>
      <right style="hair">
        <color indexed="8"/>
      </right>
      <top/>
      <bottom/>
      <diagonal/>
    </border>
    <border>
      <left style="hair">
        <color indexed="8"/>
      </left>
      <right/>
      <top/>
      <bottom/>
      <diagonal/>
    </border>
    <border>
      <left style="hair">
        <color indexed="8"/>
      </left>
      <right/>
      <top/>
      <bottom style="thin">
        <color indexed="64"/>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s>
  <cellStyleXfs count="91">
    <xf numFmtId="0" fontId="0" fillId="0" borderId="0"/>
    <xf numFmtId="0" fontId="2" fillId="0" borderId="0"/>
    <xf numFmtId="0" fontId="2" fillId="0" borderId="0" applyFont="0" applyFill="0" applyBorder="0" applyAlignment="0" applyProtection="0"/>
    <xf numFmtId="0" fontId="85" fillId="0" borderId="0"/>
    <xf numFmtId="0" fontId="2" fillId="0" borderId="0" applyNumberFormat="0" applyFont="0" applyFill="0" applyBorder="0" applyAlignment="0" applyProtection="0"/>
    <xf numFmtId="0" fontId="2" fillId="0" borderId="0" applyNumberFormat="0" applyFont="0" applyFill="0" applyBorder="0" applyAlignment="0" applyProtection="0"/>
    <xf numFmtId="0" fontId="2" fillId="0" borderId="0" applyNumberFormat="0" applyFill="0" applyBorder="0" applyAlignment="0" applyProtection="0"/>
    <xf numFmtId="0" fontId="72" fillId="0" borderId="0"/>
    <xf numFmtId="0" fontId="2" fillId="0" borderId="0"/>
    <xf numFmtId="0" fontId="85" fillId="0" borderId="0"/>
    <xf numFmtId="0" fontId="73" fillId="0" borderId="0"/>
    <xf numFmtId="0" fontId="73" fillId="0" borderId="0"/>
    <xf numFmtId="0" fontId="73" fillId="0" borderId="0"/>
    <xf numFmtId="0" fontId="73" fillId="0" borderId="0"/>
    <xf numFmtId="0" fontId="2" fillId="0" borderId="0" applyFont="0" applyFill="0" applyBorder="0" applyAlignment="0" applyProtection="0"/>
    <xf numFmtId="0" fontId="2"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6" fillId="0" borderId="0"/>
    <xf numFmtId="43" fontId="82" fillId="0" borderId="0" applyFont="0" applyFill="0" applyBorder="0" applyAlignment="0" applyProtection="0"/>
    <xf numFmtId="43" fontId="2" fillId="0" borderId="0" applyFont="0" applyFill="0" applyBorder="0" applyAlignment="0" applyProtection="0"/>
    <xf numFmtId="166" fontId="2" fillId="0" borderId="0" applyFont="0" applyFill="0" applyBorder="0" applyAlignment="0" applyProtection="0"/>
    <xf numFmtId="43" fontId="70" fillId="0" borderId="0" applyFont="0" applyFill="0" applyBorder="0" applyAlignment="0" applyProtection="0"/>
    <xf numFmtId="166"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107" fillId="0" borderId="0" applyFont="0" applyFill="0" applyBorder="0" applyAlignment="0" applyProtection="0"/>
    <xf numFmtId="0" fontId="68" fillId="0" borderId="0" applyNumberFormat="0" applyFill="0" applyBorder="0" applyAlignment="0" applyProtection="0">
      <alignment vertical="top"/>
      <protection locked="0"/>
    </xf>
    <xf numFmtId="191" fontId="2" fillId="0" borderId="0" applyFont="0" applyFill="0" applyBorder="0" applyAlignment="0" applyProtection="0"/>
    <xf numFmtId="192" fontId="2" fillId="0" borderId="0" applyFont="0" applyFill="0" applyBorder="0" applyAlignment="0" applyProtection="0"/>
    <xf numFmtId="193" fontId="2" fillId="0" borderId="0" applyFont="0" applyFill="0" applyBorder="0" applyAlignment="0" applyProtection="0"/>
    <xf numFmtId="194" fontId="2" fillId="0" borderId="0" applyFont="0" applyFill="0" applyBorder="0" applyAlignment="0" applyProtection="0"/>
    <xf numFmtId="0" fontId="85" fillId="0" borderId="0" applyNumberFormat="0" applyFill="0" applyBorder="0" applyAlignment="0" applyProtection="0"/>
    <xf numFmtId="0" fontId="107" fillId="0" borderId="0"/>
    <xf numFmtId="0" fontId="2" fillId="0" borderId="0" applyNumberFormat="0" applyFont="0" applyFill="0" applyBorder="0" applyAlignment="0" applyProtection="0"/>
    <xf numFmtId="0" fontId="2" fillId="0" borderId="0"/>
    <xf numFmtId="0" fontId="2" fillId="0" borderId="0"/>
    <xf numFmtId="0" fontId="108" fillId="0" borderId="0"/>
    <xf numFmtId="0" fontId="2" fillId="0" borderId="0"/>
    <xf numFmtId="0" fontId="2" fillId="0" borderId="0"/>
    <xf numFmtId="0" fontId="2" fillId="0" borderId="0"/>
    <xf numFmtId="0" fontId="2" fillId="0" borderId="0" applyNumberFormat="0" applyFill="0" applyBorder="0" applyAlignment="0" applyProtection="0"/>
    <xf numFmtId="0" fontId="83" fillId="0" borderId="0" applyNumberFormat="0" applyFon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71" fillId="0" borderId="0">
      <alignment vertical="center"/>
    </xf>
    <xf numFmtId="0" fontId="77" fillId="0" borderId="0">
      <alignment vertical="center"/>
    </xf>
    <xf numFmtId="9" fontId="82" fillId="0" borderId="0" applyFont="0" applyFill="0" applyBorder="0" applyAlignment="0" applyProtection="0"/>
    <xf numFmtId="9" fontId="2" fillId="0" borderId="0" applyFont="0" applyFill="0" applyBorder="0" applyAlignment="0" applyProtection="0"/>
    <xf numFmtId="9" fontId="70" fillId="0" borderId="0" applyFont="0" applyFill="0" applyBorder="0" applyAlignment="0" applyProtection="0"/>
    <xf numFmtId="0" fontId="2" fillId="2" borderId="0" applyNumberFormat="0" applyFont="0" applyBorder="0" applyAlignment="0" applyProtection="0"/>
    <xf numFmtId="0" fontId="2" fillId="2" borderId="0" applyNumberFormat="0" applyFont="0" applyBorder="0" applyAlignment="0" applyProtection="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1">
      <alignment horizontal="centerContinuous"/>
    </xf>
    <xf numFmtId="0" fontId="78" fillId="0" borderId="1">
      <alignment horizontal="centerContinuous"/>
    </xf>
    <xf numFmtId="0" fontId="78" fillId="0" borderId="1">
      <alignment horizontal="centerContinuous"/>
    </xf>
    <xf numFmtId="0" fontId="78" fillId="0" borderId="1">
      <alignment horizontal="centerContinuous"/>
    </xf>
    <xf numFmtId="0" fontId="78" fillId="0" borderId="1">
      <alignment horizontal="centerContinuous"/>
    </xf>
    <xf numFmtId="0" fontId="78" fillId="0" borderId="1">
      <alignment horizontal="centerContinuous"/>
    </xf>
    <xf numFmtId="0" fontId="78" fillId="0" borderId="1">
      <alignment horizontal="centerContinuous"/>
    </xf>
    <xf numFmtId="0" fontId="79" fillId="0" borderId="1"/>
    <xf numFmtId="0" fontId="2" fillId="0" borderId="0">
      <alignment vertical="top"/>
    </xf>
    <xf numFmtId="0" fontId="85" fillId="0" borderId="0">
      <alignment vertical="top"/>
    </xf>
    <xf numFmtId="0" fontId="85" fillId="0" borderId="0">
      <alignment vertical="top"/>
    </xf>
    <xf numFmtId="0" fontId="85" fillId="0" borderId="0">
      <alignment vertical="top"/>
    </xf>
    <xf numFmtId="0" fontId="80" fillId="0" borderId="0"/>
    <xf numFmtId="0" fontId="2" fillId="0" borderId="0"/>
    <xf numFmtId="195" fontId="81" fillId="0" borderId="0" applyFont="0" applyFill="0" applyBorder="0" applyAlignment="0" applyProtection="0"/>
    <xf numFmtId="0" fontId="81" fillId="0" borderId="0" applyFont="0" applyFill="0" applyBorder="0" applyAlignment="0" applyProtection="0"/>
    <xf numFmtId="0" fontId="122" fillId="0" borderId="0"/>
    <xf numFmtId="44" fontId="122" fillId="0" borderId="0" applyFont="0" applyFill="0" applyBorder="0" applyAlignment="0" applyProtection="0"/>
    <xf numFmtId="0" fontId="71" fillId="0" borderId="0"/>
    <xf numFmtId="0" fontId="123" fillId="0" borderId="0"/>
  </cellStyleXfs>
  <cellXfs count="2308">
    <xf numFmtId="0" fontId="0" fillId="0" borderId="0" xfId="0"/>
    <xf numFmtId="0" fontId="3" fillId="3" borderId="0" xfId="4" applyFont="1" applyFill="1"/>
    <xf numFmtId="164" fontId="4" fillId="0" borderId="0" xfId="79" applyNumberFormat="1" applyFont="1" applyFill="1" applyBorder="1" applyAlignment="1">
      <alignment horizontal="right"/>
    </xf>
    <xf numFmtId="164" fontId="4" fillId="0" borderId="2" xfId="79" applyNumberFormat="1" applyFont="1" applyFill="1" applyBorder="1" applyAlignment="1">
      <alignment horizontal="right"/>
    </xf>
    <xf numFmtId="0" fontId="2" fillId="0" borderId="0" xfId="4" applyFont="1" applyBorder="1"/>
    <xf numFmtId="0" fontId="2" fillId="0" borderId="0" xfId="44"/>
    <xf numFmtId="0" fontId="2" fillId="0" borderId="3" xfId="4" applyFont="1" applyFill="1" applyBorder="1"/>
    <xf numFmtId="0" fontId="2" fillId="0" borderId="0" xfId="4" applyFont="1" applyFill="1"/>
    <xf numFmtId="0" fontId="2" fillId="0" borderId="0" xfId="4" applyFont="1" applyFill="1" applyAlignment="1">
      <alignment horizontal="right"/>
    </xf>
    <xf numFmtId="0" fontId="2" fillId="0" borderId="0" xfId="4" applyFont="1"/>
    <xf numFmtId="0" fontId="2" fillId="0" borderId="0" xfId="4" applyFont="1" applyFill="1" applyBorder="1"/>
    <xf numFmtId="0" fontId="82" fillId="0" borderId="0" xfId="4" applyFont="1" applyFill="1" applyBorder="1"/>
    <xf numFmtId="0" fontId="82" fillId="0" borderId="0" xfId="4" applyFont="1" applyFill="1"/>
    <xf numFmtId="0" fontId="6" fillId="0" borderId="0" xfId="4" applyFont="1" applyFill="1" applyAlignment="1">
      <alignment horizontal="center"/>
    </xf>
    <xf numFmtId="165" fontId="82" fillId="0" borderId="0" xfId="4" applyNumberFormat="1" applyFont="1" applyFill="1"/>
    <xf numFmtId="2" fontId="82" fillId="0" borderId="0" xfId="4" applyNumberFormat="1" applyFont="1" applyFill="1"/>
    <xf numFmtId="7" fontId="82" fillId="0" borderId="0" xfId="4" applyNumberFormat="1" applyFont="1" applyFill="1"/>
    <xf numFmtId="0" fontId="6" fillId="5" borderId="0" xfId="4" applyNumberFormat="1" applyFont="1" applyFill="1"/>
    <xf numFmtId="0" fontId="6" fillId="5" borderId="0" xfId="4" applyFont="1" applyFill="1"/>
    <xf numFmtId="166" fontId="2" fillId="0" borderId="0" xfId="4" applyNumberFormat="1" applyFont="1" applyFill="1"/>
    <xf numFmtId="9" fontId="2" fillId="0" borderId="0" xfId="44" applyNumberFormat="1"/>
    <xf numFmtId="37" fontId="7" fillId="3" borderId="0" xfId="79" applyNumberFormat="1" applyFont="1" applyFill="1" applyBorder="1" applyAlignment="1" applyProtection="1">
      <alignment horizontal="center"/>
    </xf>
    <xf numFmtId="37" fontId="7" fillId="3" borderId="0" xfId="79" applyNumberFormat="1" applyFont="1" applyFill="1" applyBorder="1" applyAlignment="1" applyProtection="1">
      <alignment horizontal="centerContinuous"/>
    </xf>
    <xf numFmtId="0" fontId="82" fillId="0" borderId="0" xfId="4" applyFont="1" applyAlignment="1">
      <alignment horizontal="centerContinuous"/>
    </xf>
    <xf numFmtId="37" fontId="4" fillId="3" borderId="0" xfId="79" applyNumberFormat="1" applyFont="1" applyFill="1" applyBorder="1" applyAlignment="1" applyProtection="1">
      <alignment horizontal="center"/>
    </xf>
    <xf numFmtId="37" fontId="4" fillId="3" borderId="0" xfId="79" applyNumberFormat="1" applyFont="1" applyFill="1" applyBorder="1" applyAlignment="1" applyProtection="1">
      <alignment horizontal="centerContinuous"/>
    </xf>
    <xf numFmtId="37" fontId="8" fillId="3" borderId="0" xfId="79" applyNumberFormat="1" applyFont="1" applyFill="1" applyBorder="1" applyAlignment="1" applyProtection="1">
      <alignment horizontal="center"/>
    </xf>
    <xf numFmtId="0" fontId="9" fillId="0" borderId="0" xfId="4" applyFont="1" applyBorder="1" applyAlignment="1">
      <alignment horizontal="center"/>
    </xf>
    <xf numFmtId="37" fontId="10" fillId="3" borderId="0" xfId="79" applyNumberFormat="1" applyFont="1" applyFill="1" applyBorder="1" applyAlignment="1" applyProtection="1">
      <alignment horizontal="centerContinuous"/>
    </xf>
    <xf numFmtId="0" fontId="11" fillId="0" borderId="0" xfId="4" applyFont="1" applyFill="1" applyBorder="1" applyAlignment="1">
      <alignment horizontal="centerContinuous"/>
    </xf>
    <xf numFmtId="0" fontId="12" fillId="3" borderId="4" xfId="4" applyFont="1" applyFill="1" applyBorder="1"/>
    <xf numFmtId="167" fontId="12" fillId="3" borderId="5" xfId="4" applyNumberFormat="1" applyFont="1" applyFill="1" applyBorder="1" applyAlignment="1">
      <alignment horizontal="right"/>
    </xf>
    <xf numFmtId="167" fontId="12" fillId="3" borderId="6" xfId="4" applyNumberFormat="1" applyFont="1" applyFill="1" applyBorder="1" applyAlignment="1">
      <alignment horizontal="right"/>
    </xf>
    <xf numFmtId="168" fontId="12" fillId="3" borderId="6" xfId="4" applyNumberFormat="1" applyFont="1" applyFill="1" applyBorder="1" applyAlignment="1">
      <alignment horizontal="right"/>
    </xf>
    <xf numFmtId="168" fontId="12" fillId="3" borderId="7" xfId="4" applyNumberFormat="1" applyFont="1" applyFill="1" applyBorder="1" applyAlignment="1">
      <alignment horizontal="right"/>
    </xf>
    <xf numFmtId="168" fontId="12" fillId="0" borderId="6" xfId="4" applyNumberFormat="1" applyFont="1" applyFill="1" applyBorder="1" applyAlignment="1">
      <alignment horizontal="right"/>
    </xf>
    <xf numFmtId="167" fontId="12" fillId="0" borderId="5" xfId="4" applyNumberFormat="1" applyFont="1" applyFill="1" applyBorder="1" applyAlignment="1">
      <alignment horizontal="right"/>
    </xf>
    <xf numFmtId="168" fontId="12" fillId="0" borderId="5" xfId="4" applyNumberFormat="1" applyFont="1" applyBorder="1" applyAlignment="1">
      <alignment horizontal="right"/>
    </xf>
    <xf numFmtId="9" fontId="12" fillId="0" borderId="5" xfId="54" quotePrefix="1" applyNumberFormat="1" applyFont="1" applyFill="1" applyBorder="1" applyAlignment="1">
      <alignment horizontal="center" wrapText="1"/>
    </xf>
    <xf numFmtId="0" fontId="12" fillId="3" borderId="8" xfId="4" applyFont="1" applyFill="1" applyBorder="1"/>
    <xf numFmtId="167" fontId="12" fillId="3" borderId="2" xfId="4" applyNumberFormat="1" applyFont="1" applyFill="1" applyBorder="1" applyAlignment="1">
      <alignment horizontal="right"/>
    </xf>
    <xf numFmtId="167" fontId="12" fillId="3" borderId="9" xfId="4" applyNumberFormat="1" applyFont="1" applyFill="1" applyBorder="1" applyAlignment="1">
      <alignment horizontal="right"/>
    </xf>
    <xf numFmtId="0" fontId="12" fillId="0" borderId="0" xfId="4" applyFont="1"/>
    <xf numFmtId="167" fontId="13" fillId="0" borderId="10" xfId="4" applyNumberFormat="1" applyFont="1" applyBorder="1" applyAlignment="1">
      <alignment horizontal="center"/>
    </xf>
    <xf numFmtId="166" fontId="12" fillId="3" borderId="11" xfId="4" applyNumberFormat="1" applyFont="1" applyFill="1" applyBorder="1"/>
    <xf numFmtId="166" fontId="12" fillId="3" borderId="12" xfId="4" applyNumberFormat="1" applyFont="1" applyFill="1" applyBorder="1"/>
    <xf numFmtId="166" fontId="12" fillId="3" borderId="0" xfId="4" applyNumberFormat="1" applyFont="1" applyFill="1" applyBorder="1"/>
    <xf numFmtId="166" fontId="12" fillId="3" borderId="0" xfId="4" applyNumberFormat="1" applyFont="1" applyFill="1"/>
    <xf numFmtId="168" fontId="12" fillId="3" borderId="12" xfId="4" applyNumberFormat="1" applyFont="1" applyFill="1" applyBorder="1"/>
    <xf numFmtId="168" fontId="12" fillId="3" borderId="0" xfId="4" applyNumberFormat="1" applyFont="1" applyFill="1"/>
    <xf numFmtId="168" fontId="12" fillId="3" borderId="3" xfId="4" applyNumberFormat="1" applyFont="1" applyFill="1" applyBorder="1"/>
    <xf numFmtId="168" fontId="12" fillId="3" borderId="0" xfId="4" applyNumberFormat="1" applyFont="1" applyFill="1" applyBorder="1"/>
    <xf numFmtId="168" fontId="12" fillId="3" borderId="2" xfId="4" applyNumberFormat="1" applyFont="1" applyFill="1" applyBorder="1"/>
    <xf numFmtId="168" fontId="12" fillId="0" borderId="2" xfId="4" applyNumberFormat="1" applyFont="1" applyFill="1" applyBorder="1"/>
    <xf numFmtId="168" fontId="12" fillId="0" borderId="12" xfId="4" applyNumberFormat="1" applyFont="1" applyFill="1" applyBorder="1"/>
    <xf numFmtId="168" fontId="12" fillId="0" borderId="13" xfId="4" applyNumberFormat="1" applyFont="1" applyBorder="1"/>
    <xf numFmtId="169" fontId="12" fillId="0" borderId="12" xfId="60" applyNumberFormat="1" applyFont="1" applyBorder="1"/>
    <xf numFmtId="166" fontId="12" fillId="3" borderId="3" xfId="4" applyNumberFormat="1" applyFont="1" applyFill="1" applyBorder="1"/>
    <xf numFmtId="0" fontId="12" fillId="0" borderId="0" xfId="4" applyFont="1" applyFill="1"/>
    <xf numFmtId="166" fontId="12" fillId="0" borderId="14" xfId="4" applyNumberFormat="1" applyFont="1" applyBorder="1"/>
    <xf numFmtId="165" fontId="14" fillId="3" borderId="11" xfId="54" applyNumberFormat="1" applyFont="1" applyFill="1" applyBorder="1" applyAlignment="1">
      <alignment horizontal="left" indent="1"/>
    </xf>
    <xf numFmtId="165" fontId="12" fillId="3" borderId="12" xfId="4" applyNumberFormat="1" applyFont="1" applyFill="1" applyBorder="1"/>
    <xf numFmtId="165" fontId="12" fillId="3" borderId="0" xfId="4" applyNumberFormat="1" applyFont="1" applyFill="1" applyBorder="1"/>
    <xf numFmtId="165" fontId="12" fillId="3" borderId="0" xfId="4" applyNumberFormat="1" applyFont="1" applyFill="1"/>
    <xf numFmtId="165" fontId="12" fillId="3" borderId="3" xfId="4" applyNumberFormat="1" applyFont="1" applyFill="1" applyBorder="1"/>
    <xf numFmtId="165" fontId="15" fillId="3" borderId="0" xfId="4" applyNumberFormat="1" applyFont="1" applyFill="1" applyBorder="1"/>
    <xf numFmtId="165" fontId="15" fillId="0" borderId="0" xfId="4" applyNumberFormat="1" applyFont="1" applyFill="1" applyBorder="1"/>
    <xf numFmtId="165" fontId="12" fillId="0" borderId="12" xfId="4" applyNumberFormat="1" applyFont="1" applyFill="1" applyBorder="1"/>
    <xf numFmtId="165" fontId="15" fillId="0" borderId="12" xfId="4" applyNumberFormat="1" applyFont="1" applyBorder="1"/>
    <xf numFmtId="170" fontId="12" fillId="0" borderId="12" xfId="60" applyNumberFormat="1" applyFont="1" applyBorder="1"/>
    <xf numFmtId="165" fontId="82" fillId="0" borderId="0" xfId="4" applyNumberFormat="1" applyFont="1"/>
    <xf numFmtId="165" fontId="12" fillId="3" borderId="3" xfId="4" applyNumberFormat="1" applyFont="1" applyFill="1" applyBorder="1" applyAlignment="1">
      <alignment horizontal="left" indent="2"/>
    </xf>
    <xf numFmtId="165" fontId="12" fillId="3" borderId="0" xfId="54" applyNumberFormat="1" applyFont="1" applyFill="1" applyBorder="1"/>
    <xf numFmtId="165" fontId="12" fillId="3" borderId="11" xfId="54" applyNumberFormat="1" applyFont="1" applyFill="1" applyBorder="1"/>
    <xf numFmtId="165" fontId="12" fillId="0" borderId="0" xfId="4" applyNumberFormat="1" applyFont="1" applyFill="1"/>
    <xf numFmtId="165" fontId="12" fillId="0" borderId="14" xfId="54" applyNumberFormat="1" applyFont="1" applyBorder="1"/>
    <xf numFmtId="166" fontId="14" fillId="3" borderId="11" xfId="54" applyNumberFormat="1" applyFont="1" applyFill="1" applyBorder="1" applyAlignment="1">
      <alignment horizontal="left" indent="1"/>
    </xf>
    <xf numFmtId="166" fontId="15" fillId="3" borderId="0" xfId="4" applyNumberFormat="1" applyFont="1" applyFill="1" applyBorder="1"/>
    <xf numFmtId="166" fontId="15" fillId="0" borderId="0" xfId="4" applyNumberFormat="1" applyFont="1" applyFill="1" applyBorder="1"/>
    <xf numFmtId="166" fontId="12" fillId="0" borderId="12" xfId="4" applyNumberFormat="1" applyFont="1" applyFill="1" applyBorder="1"/>
    <xf numFmtId="166" fontId="15" fillId="0" borderId="12" xfId="4" applyNumberFormat="1" applyFont="1" applyBorder="1"/>
    <xf numFmtId="170" fontId="12" fillId="0" borderId="12" xfId="4" applyNumberFormat="1" applyFont="1" applyBorder="1"/>
    <xf numFmtId="166" fontId="82" fillId="0" borderId="0" xfId="4" applyNumberFormat="1" applyFont="1"/>
    <xf numFmtId="166" fontId="12" fillId="3" borderId="3" xfId="4" applyNumberFormat="1" applyFont="1" applyFill="1" applyBorder="1" applyAlignment="1">
      <alignment horizontal="left" indent="2"/>
    </xf>
    <xf numFmtId="166" fontId="12" fillId="3" borderId="0" xfId="54" applyNumberFormat="1" applyFont="1" applyFill="1" applyBorder="1"/>
    <xf numFmtId="166" fontId="12" fillId="3" borderId="11" xfId="54" applyNumberFormat="1" applyFont="1" applyFill="1" applyBorder="1"/>
    <xf numFmtId="166" fontId="12" fillId="0" borderId="0" xfId="4" applyNumberFormat="1" applyFont="1" applyFill="1"/>
    <xf numFmtId="166" fontId="12" fillId="0" borderId="14" xfId="54" applyNumberFormat="1" applyFont="1" applyBorder="1"/>
    <xf numFmtId="0" fontId="12" fillId="3" borderId="11" xfId="4" applyFont="1" applyFill="1" applyBorder="1"/>
    <xf numFmtId="171" fontId="12" fillId="3" borderId="12" xfId="79" applyNumberFormat="1" applyFont="1" applyFill="1" applyBorder="1" applyAlignment="1" applyProtection="1">
      <alignment horizontal="right"/>
    </xf>
    <xf numFmtId="171" fontId="12" fillId="3" borderId="0" xfId="79" applyNumberFormat="1" applyFont="1" applyFill="1" applyBorder="1" applyAlignment="1" applyProtection="1">
      <alignment horizontal="right"/>
    </xf>
    <xf numFmtId="168" fontId="12" fillId="3" borderId="12" xfId="79" applyNumberFormat="1" applyFont="1" applyFill="1" applyBorder="1" applyAlignment="1" applyProtection="1">
      <alignment horizontal="right"/>
    </xf>
    <xf numFmtId="168" fontId="12" fillId="3" borderId="0" xfId="79" applyNumberFormat="1" applyFont="1" applyFill="1" applyBorder="1" applyAlignment="1" applyProtection="1">
      <alignment horizontal="right"/>
    </xf>
    <xf numFmtId="5" fontId="12" fillId="3" borderId="12" xfId="79" applyNumberFormat="1" applyFont="1" applyFill="1" applyBorder="1" applyAlignment="1" applyProtection="1">
      <alignment horizontal="right"/>
    </xf>
    <xf numFmtId="168" fontId="12" fillId="3" borderId="3" xfId="79" applyNumberFormat="1" applyFont="1" applyFill="1" applyBorder="1" applyAlignment="1" applyProtection="1">
      <alignment horizontal="right"/>
    </xf>
    <xf numFmtId="168" fontId="12" fillId="0" borderId="0" xfId="79" applyNumberFormat="1" applyFont="1" applyFill="1" applyBorder="1" applyAlignment="1" applyProtection="1">
      <alignment horizontal="right"/>
    </xf>
    <xf numFmtId="168" fontId="12" fillId="0" borderId="12" xfId="79" applyNumberFormat="1" applyFont="1" applyFill="1" applyBorder="1" applyAlignment="1" applyProtection="1">
      <alignment horizontal="right"/>
    </xf>
    <xf numFmtId="170" fontId="12" fillId="3" borderId="3" xfId="79" applyNumberFormat="1" applyFont="1" applyFill="1" applyBorder="1" applyAlignment="1" applyProtection="1">
      <alignment horizontal="right"/>
    </xf>
    <xf numFmtId="170" fontId="12" fillId="3" borderId="0" xfId="79" applyNumberFormat="1" applyFont="1" applyFill="1" applyBorder="1" applyAlignment="1" applyProtection="1">
      <alignment horizontal="right"/>
    </xf>
    <xf numFmtId="171" fontId="12" fillId="3" borderId="11" xfId="79" applyNumberFormat="1" applyFont="1" applyFill="1" applyBorder="1" applyAlignment="1" applyProtection="1">
      <alignment horizontal="right"/>
    </xf>
    <xf numFmtId="171" fontId="12" fillId="3" borderId="14" xfId="79" applyNumberFormat="1" applyFont="1" applyFill="1" applyBorder="1" applyAlignment="1" applyProtection="1">
      <alignment horizontal="right"/>
    </xf>
    <xf numFmtId="165" fontId="13" fillId="3" borderId="11" xfId="4" applyNumberFormat="1" applyFont="1" applyFill="1" applyBorder="1"/>
    <xf numFmtId="165" fontId="13" fillId="3" borderId="12" xfId="54" applyNumberFormat="1" applyFont="1" applyFill="1" applyBorder="1"/>
    <xf numFmtId="165" fontId="13" fillId="3" borderId="0" xfId="54" applyNumberFormat="1" applyFont="1" applyFill="1" applyBorder="1"/>
    <xf numFmtId="165" fontId="13" fillId="0" borderId="12" xfId="54" applyNumberFormat="1" applyFont="1" applyFill="1" applyBorder="1"/>
    <xf numFmtId="165" fontId="16" fillId="0" borderId="0" xfId="54" applyNumberFormat="1" applyFont="1" applyFill="1" applyBorder="1"/>
    <xf numFmtId="165" fontId="16" fillId="0" borderId="12" xfId="54" applyNumberFormat="1" applyFont="1" applyBorder="1"/>
    <xf numFmtId="169" fontId="13" fillId="0" borderId="12" xfId="60" applyNumberFormat="1" applyFont="1" applyFill="1" applyBorder="1"/>
    <xf numFmtId="165" fontId="17" fillId="0" borderId="0" xfId="4" applyNumberFormat="1" applyFont="1"/>
    <xf numFmtId="165" fontId="13" fillId="3" borderId="3" xfId="4" applyNumberFormat="1" applyFont="1" applyFill="1" applyBorder="1"/>
    <xf numFmtId="165" fontId="13" fillId="3" borderId="11" xfId="54" applyNumberFormat="1" applyFont="1" applyFill="1" applyBorder="1"/>
    <xf numFmtId="165" fontId="13" fillId="0" borderId="0" xfId="4" applyNumberFormat="1" applyFont="1" applyFill="1"/>
    <xf numFmtId="169" fontId="12" fillId="3" borderId="12" xfId="60" applyNumberFormat="1" applyFont="1" applyFill="1" applyBorder="1"/>
    <xf numFmtId="169" fontId="12" fillId="3" borderId="0" xfId="60" applyNumberFormat="1" applyFont="1" applyFill="1" applyBorder="1"/>
    <xf numFmtId="169" fontId="12" fillId="3" borderId="0" xfId="60" applyNumberFormat="1" applyFont="1" applyFill="1"/>
    <xf numFmtId="169" fontId="12" fillId="3" borderId="3" xfId="60" applyNumberFormat="1" applyFont="1" applyFill="1" applyBorder="1"/>
    <xf numFmtId="169" fontId="12" fillId="0" borderId="3" xfId="60" applyNumberFormat="1" applyFont="1" applyFill="1" applyBorder="1"/>
    <xf numFmtId="169" fontId="12" fillId="0" borderId="0" xfId="60" applyNumberFormat="1" applyFont="1" applyFill="1" applyBorder="1"/>
    <xf numFmtId="169" fontId="12" fillId="0" borderId="12" xfId="60" applyNumberFormat="1" applyFont="1" applyFill="1" applyBorder="1"/>
    <xf numFmtId="166" fontId="12" fillId="0" borderId="12" xfId="4" applyNumberFormat="1" applyFont="1" applyBorder="1"/>
    <xf numFmtId="170" fontId="12" fillId="3" borderId="3" xfId="60" applyNumberFormat="1" applyFont="1" applyFill="1" applyBorder="1" applyAlignment="1">
      <alignment horizontal="left" indent="2"/>
    </xf>
    <xf numFmtId="169" fontId="12" fillId="3" borderId="11" xfId="60" applyNumberFormat="1" applyFont="1" applyFill="1" applyBorder="1"/>
    <xf numFmtId="169" fontId="12" fillId="0" borderId="0" xfId="60" applyNumberFormat="1" applyFont="1" applyFill="1"/>
    <xf numFmtId="169" fontId="12" fillId="0" borderId="14" xfId="60" applyNumberFormat="1" applyFont="1" applyBorder="1"/>
    <xf numFmtId="166" fontId="12" fillId="3" borderId="11" xfId="4" applyNumberFormat="1" applyFont="1" applyFill="1" applyBorder="1" applyAlignment="1">
      <alignment horizontal="left" indent="2"/>
    </xf>
    <xf numFmtId="168" fontId="19" fillId="3" borderId="12" xfId="4" applyNumberFormat="1" applyFont="1" applyFill="1" applyBorder="1"/>
    <xf numFmtId="168" fontId="12" fillId="0" borderId="3" xfId="4" applyNumberFormat="1" applyFont="1" applyFill="1" applyBorder="1"/>
    <xf numFmtId="168" fontId="12" fillId="0" borderId="0" xfId="4" applyNumberFormat="1" applyFont="1" applyFill="1" applyBorder="1"/>
    <xf numFmtId="168" fontId="19" fillId="0" borderId="12" xfId="4" applyNumberFormat="1" applyFont="1" applyFill="1" applyBorder="1"/>
    <xf numFmtId="168" fontId="12" fillId="0" borderId="12" xfId="4" applyNumberFormat="1" applyFont="1" applyBorder="1"/>
    <xf numFmtId="170" fontId="2" fillId="0" borderId="12" xfId="4" applyNumberFormat="1" applyFont="1" applyBorder="1"/>
    <xf numFmtId="170" fontId="12" fillId="3" borderId="3" xfId="4" applyNumberFormat="1" applyFont="1" applyFill="1" applyBorder="1" applyAlignment="1">
      <alignment horizontal="left" indent="2"/>
    </xf>
    <xf numFmtId="170" fontId="12" fillId="0" borderId="12" xfId="54" applyNumberFormat="1" applyFont="1" applyBorder="1"/>
    <xf numFmtId="170" fontId="12" fillId="3" borderId="0" xfId="4" applyNumberFormat="1" applyFont="1" applyFill="1" applyBorder="1"/>
    <xf numFmtId="165" fontId="15" fillId="0" borderId="3" xfId="4" applyNumberFormat="1" applyFont="1" applyFill="1" applyBorder="1"/>
    <xf numFmtId="165" fontId="15" fillId="0" borderId="12" xfId="4" applyNumberFormat="1" applyFont="1" applyFill="1" applyBorder="1"/>
    <xf numFmtId="166" fontId="15" fillId="0" borderId="3" xfId="4" applyNumberFormat="1" applyFont="1" applyFill="1" applyBorder="1"/>
    <xf numFmtId="166" fontId="15" fillId="0" borderId="12" xfId="4" applyNumberFormat="1" applyFont="1" applyFill="1" applyBorder="1"/>
    <xf numFmtId="37" fontId="12" fillId="3" borderId="0" xfId="79" applyNumberFormat="1" applyFont="1" applyFill="1" applyBorder="1" applyAlignment="1" applyProtection="1">
      <alignment horizontal="right"/>
    </xf>
    <xf numFmtId="168" fontId="12" fillId="0" borderId="3" xfId="79" applyNumberFormat="1" applyFont="1" applyFill="1" applyBorder="1" applyAlignment="1" applyProtection="1">
      <alignment horizontal="right"/>
    </xf>
    <xf numFmtId="5" fontId="12" fillId="0" borderId="12" xfId="79" applyNumberFormat="1" applyFont="1" applyFill="1" applyBorder="1" applyAlignment="1" applyProtection="1">
      <alignment horizontal="right"/>
    </xf>
    <xf numFmtId="170" fontId="12" fillId="3" borderId="3" xfId="4" applyNumberFormat="1" applyFont="1" applyFill="1" applyBorder="1"/>
    <xf numFmtId="165" fontId="12" fillId="3" borderId="11" xfId="4" applyNumberFormat="1" applyFont="1" applyFill="1" applyBorder="1"/>
    <xf numFmtId="165" fontId="12" fillId="3" borderId="12" xfId="54" applyNumberFormat="1" applyFont="1" applyFill="1" applyBorder="1"/>
    <xf numFmtId="165" fontId="12" fillId="3" borderId="3" xfId="54" applyNumberFormat="1" applyFont="1" applyFill="1" applyBorder="1"/>
    <xf numFmtId="165" fontId="12" fillId="0" borderId="3" xfId="54" applyNumberFormat="1" applyFont="1" applyFill="1" applyBorder="1"/>
    <xf numFmtId="165" fontId="15" fillId="0" borderId="0" xfId="54" applyNumberFormat="1" applyFont="1" applyFill="1" applyBorder="1"/>
    <xf numFmtId="165" fontId="12" fillId="0" borderId="12" xfId="54" applyNumberFormat="1" applyFont="1" applyFill="1" applyBorder="1"/>
    <xf numFmtId="0" fontId="4" fillId="3" borderId="11" xfId="79" applyFont="1" applyFill="1" applyBorder="1" applyAlignment="1">
      <alignment horizontal="left" indent="1"/>
    </xf>
    <xf numFmtId="169" fontId="12" fillId="0" borderId="11" xfId="60" applyNumberFormat="1" applyFont="1" applyFill="1" applyBorder="1"/>
    <xf numFmtId="170" fontId="12" fillId="0" borderId="12" xfId="4" applyNumberFormat="1" applyFont="1" applyFill="1" applyBorder="1"/>
    <xf numFmtId="165" fontId="12" fillId="3" borderId="3" xfId="4" applyNumberFormat="1" applyFont="1" applyFill="1" applyBorder="1" applyAlignment="1">
      <alignment horizontal="left" indent="1"/>
    </xf>
    <xf numFmtId="166" fontId="12" fillId="3" borderId="11" xfId="27" applyNumberFormat="1" applyFont="1" applyFill="1" applyBorder="1"/>
    <xf numFmtId="166" fontId="12" fillId="3" borderId="12" xfId="27" applyNumberFormat="1" applyFont="1" applyFill="1" applyBorder="1"/>
    <xf numFmtId="166" fontId="12" fillId="3" borderId="0" xfId="27" applyNumberFormat="1" applyFont="1" applyFill="1" applyBorder="1"/>
    <xf numFmtId="166" fontId="12" fillId="3" borderId="3" xfId="27" applyNumberFormat="1" applyFont="1" applyFill="1" applyBorder="1"/>
    <xf numFmtId="166" fontId="12" fillId="0" borderId="0" xfId="27" applyNumberFormat="1" applyFont="1" applyBorder="1"/>
    <xf numFmtId="166" fontId="12" fillId="0" borderId="12" xfId="27" applyNumberFormat="1" applyFont="1" applyFill="1" applyBorder="1"/>
    <xf numFmtId="166" fontId="12" fillId="0" borderId="12" xfId="27" applyNumberFormat="1" applyFont="1" applyBorder="1"/>
    <xf numFmtId="166" fontId="82" fillId="0" borderId="0" xfId="27" applyNumberFormat="1" applyFont="1"/>
    <xf numFmtId="166" fontId="12" fillId="0" borderId="0" xfId="27" applyNumberFormat="1" applyFont="1" applyFill="1"/>
    <xf numFmtId="9" fontId="12" fillId="3" borderId="11" xfId="60" applyFont="1" applyFill="1" applyBorder="1" applyAlignment="1">
      <alignment horizontal="left" indent="2"/>
    </xf>
    <xf numFmtId="168" fontId="12" fillId="3" borderId="12" xfId="60" applyNumberFormat="1" applyFont="1" applyFill="1" applyBorder="1"/>
    <xf numFmtId="168" fontId="12" fillId="3" borderId="0" xfId="60" applyNumberFormat="1" applyFont="1" applyFill="1"/>
    <xf numFmtId="168" fontId="12" fillId="3" borderId="3" xfId="60" applyNumberFormat="1" applyFont="1" applyFill="1" applyBorder="1"/>
    <xf numFmtId="168" fontId="12" fillId="3" borderId="0" xfId="60" applyNumberFormat="1" applyFont="1" applyFill="1" applyBorder="1"/>
    <xf numFmtId="168" fontId="12" fillId="0" borderId="3" xfId="60" applyNumberFormat="1" applyFont="1" applyFill="1" applyBorder="1"/>
    <xf numFmtId="168" fontId="12" fillId="0" borderId="0" xfId="60" applyNumberFormat="1" applyFont="1" applyBorder="1"/>
    <xf numFmtId="168" fontId="12" fillId="0" borderId="12" xfId="60" applyNumberFormat="1" applyFont="1" applyFill="1" applyBorder="1"/>
    <xf numFmtId="168" fontId="12" fillId="0" borderId="12" xfId="60" applyNumberFormat="1" applyFont="1" applyBorder="1"/>
    <xf numFmtId="170" fontId="12" fillId="3" borderId="0" xfId="60" applyNumberFormat="1" applyFont="1" applyFill="1" applyBorder="1"/>
    <xf numFmtId="166" fontId="12" fillId="0" borderId="3" xfId="4" applyNumberFormat="1" applyFont="1" applyFill="1" applyBorder="1"/>
    <xf numFmtId="166" fontId="82" fillId="0" borderId="0" xfId="4" applyNumberFormat="1" applyFont="1" applyFill="1"/>
    <xf numFmtId="170" fontId="12" fillId="0" borderId="12" xfId="60" applyNumberFormat="1" applyFont="1" applyFill="1" applyBorder="1" applyAlignment="1" applyProtection="1">
      <alignment horizontal="right"/>
    </xf>
    <xf numFmtId="165" fontId="12" fillId="0" borderId="0" xfId="54" applyNumberFormat="1" applyFont="1" applyFill="1" applyBorder="1"/>
    <xf numFmtId="165" fontId="14" fillId="0" borderId="12" xfId="54" applyNumberFormat="1" applyFont="1" applyFill="1" applyBorder="1"/>
    <xf numFmtId="0" fontId="12" fillId="3" borderId="11" xfId="4" applyFont="1" applyFill="1" applyBorder="1" applyAlignment="1">
      <alignment horizontal="left" indent="2"/>
    </xf>
    <xf numFmtId="170" fontId="12" fillId="0" borderId="15" xfId="54" applyNumberFormat="1" applyFont="1" applyFill="1" applyBorder="1"/>
    <xf numFmtId="168" fontId="12" fillId="3" borderId="11" xfId="4" applyNumberFormat="1" applyFont="1" applyFill="1" applyBorder="1"/>
    <xf numFmtId="168" fontId="12" fillId="0" borderId="14" xfId="4" applyNumberFormat="1" applyFont="1" applyBorder="1"/>
    <xf numFmtId="165" fontId="12" fillId="3" borderId="9" xfId="53" applyNumberFormat="1" applyFont="1" applyFill="1" applyBorder="1"/>
    <xf numFmtId="165" fontId="12" fillId="3" borderId="13" xfId="54" applyNumberFormat="1" applyFont="1" applyFill="1" applyBorder="1"/>
    <xf numFmtId="165" fontId="12" fillId="3" borderId="2" xfId="54" applyNumberFormat="1" applyFont="1" applyFill="1" applyBorder="1"/>
    <xf numFmtId="165" fontId="12" fillId="3" borderId="8" xfId="54" applyNumberFormat="1" applyFont="1" applyFill="1" applyBorder="1"/>
    <xf numFmtId="165" fontId="12" fillId="0" borderId="8" xfId="54" applyNumberFormat="1" applyFont="1" applyFill="1" applyBorder="1"/>
    <xf numFmtId="165" fontId="12" fillId="0" borderId="2" xfId="54" applyNumberFormat="1" applyFont="1" applyFill="1" applyBorder="1"/>
    <xf numFmtId="165" fontId="12" fillId="0" borderId="13" xfId="54" applyNumberFormat="1" applyFont="1" applyFill="1" applyBorder="1"/>
    <xf numFmtId="165" fontId="12" fillId="3" borderId="8" xfId="53" applyNumberFormat="1" applyFont="1" applyFill="1" applyBorder="1"/>
    <xf numFmtId="165" fontId="12" fillId="3" borderId="9" xfId="54" applyNumberFormat="1" applyFont="1" applyFill="1" applyBorder="1"/>
    <xf numFmtId="0" fontId="12" fillId="3" borderId="11" xfId="53" applyFont="1" applyFill="1" applyBorder="1" applyAlignment="1">
      <alignment horizontal="left" indent="1"/>
    </xf>
    <xf numFmtId="169" fontId="12" fillId="3" borderId="12" xfId="60" applyNumberFormat="1" applyFont="1" applyFill="1" applyBorder="1" applyAlignment="1" applyProtection="1">
      <alignment horizontal="right"/>
    </xf>
    <xf numFmtId="169" fontId="12" fillId="3" borderId="0" xfId="60" applyNumberFormat="1" applyFont="1" applyFill="1" applyBorder="1" applyAlignment="1" applyProtection="1">
      <alignment horizontal="right"/>
    </xf>
    <xf numFmtId="169" fontId="12" fillId="3" borderId="3" xfId="60" applyNumberFormat="1" applyFont="1" applyFill="1" applyBorder="1" applyAlignment="1" applyProtection="1">
      <alignment horizontal="right"/>
    </xf>
    <xf numFmtId="169" fontId="12" fillId="0" borderId="3" xfId="60" applyNumberFormat="1" applyFont="1" applyFill="1" applyBorder="1" applyAlignment="1" applyProtection="1">
      <alignment horizontal="right"/>
    </xf>
    <xf numFmtId="169" fontId="12" fillId="0" borderId="0" xfId="60" applyNumberFormat="1" applyFont="1" applyFill="1" applyBorder="1" applyAlignment="1" applyProtection="1">
      <alignment horizontal="right"/>
    </xf>
    <xf numFmtId="169" fontId="12" fillId="0" borderId="12" xfId="60" applyNumberFormat="1" applyFont="1" applyFill="1" applyBorder="1" applyAlignment="1" applyProtection="1">
      <alignment horizontal="right"/>
    </xf>
    <xf numFmtId="170" fontId="12" fillId="3" borderId="3" xfId="53" applyNumberFormat="1" applyFont="1" applyFill="1" applyBorder="1" applyAlignment="1">
      <alignment horizontal="left" indent="1"/>
    </xf>
    <xf numFmtId="169" fontId="12" fillId="3" borderId="11" xfId="60" applyNumberFormat="1" applyFont="1" applyFill="1" applyBorder="1" applyAlignment="1" applyProtection="1">
      <alignment horizontal="right"/>
    </xf>
    <xf numFmtId="169" fontId="12" fillId="0" borderId="14" xfId="60" applyNumberFormat="1" applyFont="1" applyFill="1" applyBorder="1" applyAlignment="1" applyProtection="1">
      <alignment horizontal="right"/>
    </xf>
    <xf numFmtId="166" fontId="12" fillId="0" borderId="15" xfId="4" applyNumberFormat="1" applyFont="1" applyBorder="1"/>
    <xf numFmtId="170" fontId="12" fillId="3" borderId="16" xfId="53" applyNumberFormat="1" applyFont="1" applyFill="1" applyBorder="1" applyAlignment="1">
      <alignment horizontal="left" indent="1"/>
    </xf>
    <xf numFmtId="169" fontId="12" fillId="3" borderId="17" xfId="60" applyNumberFormat="1" applyFont="1" applyFill="1" applyBorder="1" applyAlignment="1" applyProtection="1">
      <alignment horizontal="right"/>
    </xf>
    <xf numFmtId="169" fontId="12" fillId="3" borderId="18" xfId="60" applyNumberFormat="1" applyFont="1" applyFill="1" applyBorder="1" applyAlignment="1" applyProtection="1">
      <alignment horizontal="right"/>
    </xf>
    <xf numFmtId="169" fontId="12" fillId="0" borderId="19" xfId="60" applyNumberFormat="1" applyFont="1" applyFill="1" applyBorder="1" applyAlignment="1" applyProtection="1">
      <alignment horizontal="right"/>
    </xf>
    <xf numFmtId="0" fontId="12" fillId="3" borderId="9" xfId="53" applyFont="1" applyFill="1" applyBorder="1"/>
    <xf numFmtId="168" fontId="12" fillId="3" borderId="13" xfId="54" applyNumberFormat="1" applyFont="1" applyFill="1" applyBorder="1"/>
    <xf numFmtId="168" fontId="12" fillId="3" borderId="2" xfId="54" applyNumberFormat="1" applyFont="1" applyFill="1" applyBorder="1"/>
    <xf numFmtId="168" fontId="12" fillId="3" borderId="2" xfId="60" applyNumberFormat="1" applyFont="1" applyFill="1" applyBorder="1" applyAlignment="1" applyProtection="1">
      <alignment horizontal="right"/>
    </xf>
    <xf numFmtId="168" fontId="12" fillId="3" borderId="2" xfId="79" applyNumberFormat="1" applyFont="1" applyFill="1" applyBorder="1" applyAlignment="1"/>
    <xf numFmtId="168" fontId="12" fillId="3" borderId="8" xfId="54" applyNumberFormat="1" applyFont="1" applyFill="1" applyBorder="1"/>
    <xf numFmtId="168" fontId="12" fillId="0" borderId="8" xfId="79" applyNumberFormat="1" applyFont="1" applyFill="1" applyBorder="1" applyAlignment="1"/>
    <xf numFmtId="168" fontId="12" fillId="0" borderId="2" xfId="79" applyNumberFormat="1" applyFont="1" applyFill="1" applyBorder="1" applyAlignment="1"/>
    <xf numFmtId="10" fontId="12" fillId="3" borderId="13" xfId="54" applyNumberFormat="1" applyFont="1" applyFill="1" applyBorder="1"/>
    <xf numFmtId="10" fontId="12" fillId="0" borderId="13" xfId="54" applyNumberFormat="1" applyFont="1" applyFill="1" applyBorder="1"/>
    <xf numFmtId="10" fontId="12" fillId="0" borderId="2" xfId="60" applyNumberFormat="1" applyFont="1" applyFill="1" applyBorder="1" applyAlignment="1"/>
    <xf numFmtId="168" fontId="12" fillId="0" borderId="13" xfId="54" applyNumberFormat="1" applyFont="1" applyFill="1" applyBorder="1"/>
    <xf numFmtId="170" fontId="12" fillId="3" borderId="3" xfId="53" applyNumberFormat="1" applyFont="1" applyFill="1" applyBorder="1"/>
    <xf numFmtId="170" fontId="12" fillId="3" borderId="0" xfId="54" applyNumberFormat="1" applyFont="1" applyFill="1" applyBorder="1"/>
    <xf numFmtId="165" fontId="12" fillId="0" borderId="14" xfId="54" applyNumberFormat="1" applyFont="1" applyFill="1" applyBorder="1"/>
    <xf numFmtId="165" fontId="14" fillId="3" borderId="11" xfId="54" applyNumberFormat="1" applyFont="1" applyFill="1" applyBorder="1" applyAlignment="1">
      <alignment horizontal="left"/>
    </xf>
    <xf numFmtId="165" fontId="4" fillId="3" borderId="3" xfId="54" applyNumberFormat="1" applyFont="1" applyFill="1" applyBorder="1"/>
    <xf numFmtId="165" fontId="4" fillId="3" borderId="12" xfId="54" applyNumberFormat="1" applyFont="1" applyFill="1" applyBorder="1"/>
    <xf numFmtId="165" fontId="4" fillId="3" borderId="0" xfId="54" applyNumberFormat="1" applyFont="1" applyFill="1" applyBorder="1"/>
    <xf numFmtId="165" fontId="4" fillId="0" borderId="3" xfId="54" applyNumberFormat="1" applyFont="1" applyFill="1" applyBorder="1"/>
    <xf numFmtId="165" fontId="4" fillId="0" borderId="0" xfId="54" applyNumberFormat="1" applyFont="1" applyFill="1" applyBorder="1"/>
    <xf numFmtId="165" fontId="4" fillId="0" borderId="12" xfId="54" applyNumberFormat="1" applyFont="1" applyFill="1" applyBorder="1"/>
    <xf numFmtId="165" fontId="4" fillId="0" borderId="12" xfId="54" applyNumberFormat="1" applyFont="1" applyBorder="1"/>
    <xf numFmtId="165" fontId="14" fillId="3" borderId="3" xfId="54" applyNumberFormat="1" applyFont="1" applyFill="1" applyBorder="1" applyAlignment="1">
      <alignment horizontal="left"/>
    </xf>
    <xf numFmtId="165" fontId="4" fillId="3" borderId="11" xfId="54" applyNumberFormat="1" applyFont="1" applyFill="1" applyBorder="1"/>
    <xf numFmtId="0" fontId="12" fillId="3" borderId="11" xfId="79" applyFont="1" applyFill="1" applyBorder="1" applyAlignment="1">
      <alignment horizontal="left" indent="1"/>
    </xf>
    <xf numFmtId="169" fontId="19" fillId="0" borderId="0" xfId="60" applyNumberFormat="1" applyFont="1" applyFill="1" applyBorder="1"/>
    <xf numFmtId="169" fontId="19" fillId="0" borderId="12" xfId="60" applyNumberFormat="1" applyFont="1" applyBorder="1"/>
    <xf numFmtId="170" fontId="12" fillId="3" borderId="3" xfId="79" applyNumberFormat="1" applyFont="1" applyFill="1" applyBorder="1" applyAlignment="1">
      <alignment horizontal="left" indent="1"/>
    </xf>
    <xf numFmtId="166" fontId="13" fillId="3" borderId="11" xfId="4" applyNumberFormat="1" applyFont="1" applyFill="1" applyBorder="1"/>
    <xf numFmtId="166" fontId="13" fillId="3" borderId="12" xfId="4" applyNumberFormat="1" applyFont="1" applyFill="1" applyBorder="1"/>
    <xf numFmtId="166" fontId="13" fillId="3" borderId="0" xfId="4" applyNumberFormat="1" applyFont="1" applyFill="1" applyBorder="1"/>
    <xf numFmtId="166" fontId="13" fillId="3" borderId="0" xfId="4" applyNumberFormat="1" applyFont="1" applyFill="1"/>
    <xf numFmtId="166" fontId="13" fillId="3" borderId="3" xfId="4" applyNumberFormat="1" applyFont="1" applyFill="1" applyBorder="1"/>
    <xf numFmtId="166" fontId="13" fillId="0" borderId="3" xfId="4" applyNumberFormat="1" applyFont="1" applyFill="1" applyBorder="1"/>
    <xf numFmtId="166" fontId="13" fillId="0" borderId="0" xfId="4" applyNumberFormat="1" applyFont="1" applyFill="1"/>
    <xf numFmtId="166" fontId="16" fillId="0" borderId="0" xfId="4" applyNumberFormat="1" applyFont="1" applyBorder="1"/>
    <xf numFmtId="166" fontId="13" fillId="0" borderId="12" xfId="4" applyNumberFormat="1" applyFont="1" applyFill="1" applyBorder="1"/>
    <xf numFmtId="166" fontId="16" fillId="0" borderId="0" xfId="4" applyNumberFormat="1" applyFont="1" applyFill="1" applyBorder="1"/>
    <xf numFmtId="166" fontId="16" fillId="0" borderId="12" xfId="4" applyNumberFormat="1" applyFont="1" applyBorder="1"/>
    <xf numFmtId="166" fontId="17" fillId="0" borderId="0" xfId="4" applyNumberFormat="1" applyFont="1"/>
    <xf numFmtId="165" fontId="12" fillId="0" borderId="12" xfId="4" applyNumberFormat="1" applyFont="1" applyBorder="1"/>
    <xf numFmtId="169" fontId="12" fillId="0" borderId="0" xfId="4" applyNumberFormat="1" applyFont="1" applyFill="1"/>
    <xf numFmtId="165" fontId="12" fillId="0" borderId="3" xfId="4" applyNumberFormat="1" applyFont="1" applyFill="1" applyBorder="1"/>
    <xf numFmtId="165" fontId="12" fillId="0" borderId="0" xfId="4" applyNumberFormat="1" applyFont="1" applyFill="1" applyBorder="1"/>
    <xf numFmtId="165" fontId="12" fillId="0" borderId="14" xfId="4" applyNumberFormat="1" applyFont="1" applyFill="1" applyBorder="1"/>
    <xf numFmtId="170" fontId="12" fillId="3" borderId="12" xfId="79" applyNumberFormat="1" applyFont="1" applyFill="1" applyBorder="1" applyAlignment="1" applyProtection="1">
      <alignment horizontal="right"/>
    </xf>
    <xf numFmtId="166" fontId="12" fillId="0" borderId="0" xfId="4" applyNumberFormat="1" applyFont="1" applyFill="1" applyBorder="1"/>
    <xf numFmtId="9" fontId="12" fillId="3" borderId="12" xfId="4" applyNumberFormat="1" applyFont="1" applyFill="1" applyBorder="1"/>
    <xf numFmtId="9" fontId="12" fillId="3" borderId="0" xfId="4" applyNumberFormat="1" applyFont="1" applyFill="1"/>
    <xf numFmtId="9" fontId="12" fillId="3" borderId="3" xfId="4" applyNumberFormat="1" applyFont="1" applyFill="1" applyBorder="1"/>
    <xf numFmtId="9" fontId="12" fillId="3" borderId="0" xfId="4" applyNumberFormat="1" applyFont="1" applyFill="1" applyBorder="1"/>
    <xf numFmtId="169" fontId="12" fillId="0" borderId="3" xfId="4" applyNumberFormat="1" applyFont="1" applyFill="1" applyBorder="1"/>
    <xf numFmtId="169" fontId="12" fillId="3" borderId="0" xfId="4" applyNumberFormat="1" applyFont="1" applyFill="1" applyBorder="1"/>
    <xf numFmtId="169" fontId="12" fillId="3" borderId="12" xfId="4" applyNumberFormat="1" applyFont="1" applyFill="1" applyBorder="1"/>
    <xf numFmtId="169" fontId="12" fillId="0" borderId="0" xfId="4" applyNumberFormat="1" applyFont="1" applyFill="1" applyBorder="1"/>
    <xf numFmtId="169" fontId="12" fillId="0" borderId="12" xfId="4" applyNumberFormat="1" applyFont="1" applyFill="1" applyBorder="1"/>
    <xf numFmtId="169" fontId="12" fillId="0" borderId="12" xfId="4" applyNumberFormat="1" applyFont="1" applyBorder="1"/>
    <xf numFmtId="9" fontId="12" fillId="3" borderId="11" xfId="4" applyNumberFormat="1" applyFont="1" applyFill="1" applyBorder="1"/>
    <xf numFmtId="165" fontId="18" fillId="3" borderId="11" xfId="54" applyNumberFormat="1" applyFont="1" applyFill="1" applyBorder="1" applyAlignment="1">
      <alignment horizontal="left"/>
    </xf>
    <xf numFmtId="165" fontId="7" fillId="3" borderId="3" xfId="54" applyNumberFormat="1" applyFont="1" applyFill="1" applyBorder="1"/>
    <xf numFmtId="165" fontId="7" fillId="3" borderId="12" xfId="54" applyNumberFormat="1" applyFont="1" applyFill="1" applyBorder="1"/>
    <xf numFmtId="165" fontId="7" fillId="3" borderId="0" xfId="54" applyNumberFormat="1" applyFont="1" applyFill="1" applyBorder="1"/>
    <xf numFmtId="165" fontId="7" fillId="0" borderId="3" xfId="54" applyNumberFormat="1" applyFont="1" applyFill="1" applyBorder="1"/>
    <xf numFmtId="165" fontId="7" fillId="0" borderId="0" xfId="54" applyNumberFormat="1" applyFont="1" applyFill="1" applyBorder="1"/>
    <xf numFmtId="165" fontId="7" fillId="0" borderId="12" xfId="54" applyNumberFormat="1" applyFont="1" applyFill="1" applyBorder="1"/>
    <xf numFmtId="165" fontId="7" fillId="0" borderId="12" xfId="54" applyNumberFormat="1" applyFont="1" applyBorder="1"/>
    <xf numFmtId="170" fontId="13" fillId="3" borderId="12" xfId="79" applyNumberFormat="1" applyFont="1" applyFill="1" applyBorder="1" applyAlignment="1" applyProtection="1">
      <alignment horizontal="right"/>
    </xf>
    <xf numFmtId="165" fontId="18" fillId="3" borderId="3" xfId="54" applyNumberFormat="1" applyFont="1" applyFill="1" applyBorder="1" applyAlignment="1">
      <alignment horizontal="left"/>
    </xf>
    <xf numFmtId="165" fontId="7" fillId="3" borderId="11" xfId="54" applyNumberFormat="1" applyFont="1" applyFill="1" applyBorder="1"/>
    <xf numFmtId="166" fontId="14" fillId="3" borderId="11" xfId="54" applyNumberFormat="1" applyFont="1" applyFill="1" applyBorder="1" applyAlignment="1">
      <alignment horizontal="left"/>
    </xf>
    <xf numFmtId="168" fontId="4" fillId="3" borderId="12" xfId="54" applyNumberFormat="1" applyFont="1" applyFill="1" applyBorder="1"/>
    <xf numFmtId="168" fontId="4" fillId="3" borderId="0" xfId="54" applyNumberFormat="1" applyFont="1" applyFill="1" applyBorder="1"/>
    <xf numFmtId="168" fontId="4" fillId="0" borderId="3" xfId="54" applyNumberFormat="1" applyFont="1" applyFill="1" applyBorder="1"/>
    <xf numFmtId="168" fontId="4" fillId="0" borderId="0" xfId="54" applyNumberFormat="1" applyFont="1" applyFill="1" applyBorder="1"/>
    <xf numFmtId="168" fontId="4" fillId="0" borderId="12" xfId="54" applyNumberFormat="1" applyFont="1" applyFill="1" applyBorder="1"/>
    <xf numFmtId="168" fontId="4" fillId="0" borderId="12" xfId="54" applyNumberFormat="1" applyFont="1" applyBorder="1"/>
    <xf numFmtId="170" fontId="14" fillId="3" borderId="3" xfId="54" applyNumberFormat="1" applyFont="1" applyFill="1" applyBorder="1" applyAlignment="1">
      <alignment horizontal="left"/>
    </xf>
    <xf numFmtId="165" fontId="4" fillId="0" borderId="14" xfId="54" applyNumberFormat="1" applyFont="1" applyBorder="1"/>
    <xf numFmtId="170" fontId="2" fillId="0" borderId="0" xfId="4" applyNumberFormat="1" applyFont="1"/>
    <xf numFmtId="168" fontId="4" fillId="3" borderId="3" xfId="54" applyNumberFormat="1" applyFont="1" applyFill="1" applyBorder="1"/>
    <xf numFmtId="166" fontId="15" fillId="0" borderId="0" xfId="4" applyNumberFormat="1" applyFont="1" applyBorder="1"/>
    <xf numFmtId="171" fontId="12" fillId="0" borderId="14" xfId="79" applyNumberFormat="1" applyFont="1" applyFill="1" applyBorder="1" applyAlignment="1" applyProtection="1">
      <alignment horizontal="right"/>
    </xf>
    <xf numFmtId="166" fontId="12" fillId="0" borderId="12" xfId="54" applyNumberFormat="1" applyFont="1" applyBorder="1" applyAlignment="1">
      <alignment horizontal="right"/>
    </xf>
    <xf numFmtId="170" fontId="12" fillId="3" borderId="12" xfId="4" applyNumberFormat="1" applyFont="1" applyFill="1" applyBorder="1"/>
    <xf numFmtId="170" fontId="12" fillId="3" borderId="0" xfId="4" applyNumberFormat="1" applyFont="1" applyFill="1"/>
    <xf numFmtId="172" fontId="12" fillId="3" borderId="12" xfId="27" applyNumberFormat="1" applyFont="1" applyFill="1" applyBorder="1"/>
    <xf numFmtId="170" fontId="12" fillId="0" borderId="3" xfId="4" applyNumberFormat="1" applyFont="1" applyFill="1" applyBorder="1"/>
    <xf numFmtId="170" fontId="12" fillId="0" borderId="0" xfId="4" applyNumberFormat="1" applyFont="1" applyFill="1" applyBorder="1"/>
    <xf numFmtId="170" fontId="14" fillId="0" borderId="12" xfId="4" applyNumberFormat="1" applyFont="1" applyBorder="1"/>
    <xf numFmtId="7" fontId="12" fillId="0" borderId="12" xfId="4" applyNumberFormat="1" applyFont="1" applyFill="1" applyBorder="1"/>
    <xf numFmtId="7" fontId="12" fillId="3" borderId="11" xfId="4" applyNumberFormat="1" applyFont="1" applyFill="1" applyBorder="1"/>
    <xf numFmtId="7" fontId="4" fillId="3" borderId="12" xfId="79" applyNumberFormat="1" applyFont="1" applyFill="1" applyBorder="1" applyAlignment="1" applyProtection="1">
      <alignment horizontal="right"/>
    </xf>
    <xf numFmtId="7" fontId="4" fillId="3" borderId="0" xfId="31" applyNumberFormat="1" applyFont="1" applyFill="1" applyBorder="1" applyAlignment="1" applyProtection="1">
      <alignment horizontal="right"/>
    </xf>
    <xf numFmtId="7" fontId="4" fillId="3" borderId="12" xfId="31" applyNumberFormat="1" applyFont="1" applyFill="1" applyBorder="1" applyAlignment="1" applyProtection="1">
      <alignment horizontal="right"/>
    </xf>
    <xf numFmtId="7" fontId="4" fillId="3" borderId="3" xfId="31" applyNumberFormat="1" applyFont="1" applyFill="1" applyBorder="1" applyAlignment="1" applyProtection="1">
      <alignment horizontal="right"/>
    </xf>
    <xf numFmtId="7" fontId="4" fillId="3" borderId="0" xfId="79" applyNumberFormat="1" applyFont="1" applyFill="1" applyBorder="1" applyAlignment="1" applyProtection="1">
      <alignment horizontal="right"/>
    </xf>
    <xf numFmtId="7" fontId="21" fillId="3" borderId="0" xfId="79" applyNumberFormat="1" applyFont="1" applyFill="1" applyBorder="1" applyAlignment="1" applyProtection="1">
      <alignment horizontal="right"/>
    </xf>
    <xf numFmtId="7" fontId="21" fillId="3" borderId="12" xfId="31" applyNumberFormat="1" applyFont="1" applyFill="1" applyBorder="1" applyAlignment="1" applyProtection="1">
      <alignment horizontal="right"/>
    </xf>
    <xf numFmtId="7" fontId="21" fillId="0" borderId="3" xfId="79" applyNumberFormat="1" applyFont="1" applyFill="1" applyBorder="1" applyAlignment="1" applyProtection="1">
      <alignment horizontal="right"/>
    </xf>
    <xf numFmtId="7" fontId="21" fillId="0" borderId="0" xfId="79" applyNumberFormat="1" applyFont="1" applyFill="1" applyBorder="1" applyAlignment="1" applyProtection="1">
      <alignment horizontal="right"/>
    </xf>
    <xf numFmtId="7" fontId="21" fillId="0" borderId="12" xfId="31" applyNumberFormat="1" applyFont="1" applyFill="1" applyBorder="1" applyAlignment="1" applyProtection="1">
      <alignment horizontal="right"/>
    </xf>
    <xf numFmtId="7" fontId="21" fillId="0" borderId="12" xfId="79" applyNumberFormat="1" applyFont="1" applyFill="1" applyBorder="1" applyAlignment="1" applyProtection="1">
      <alignment horizontal="right"/>
    </xf>
    <xf numFmtId="7" fontId="12" fillId="3" borderId="3" xfId="4" applyNumberFormat="1" applyFont="1" applyFill="1" applyBorder="1"/>
    <xf numFmtId="7" fontId="4" fillId="3" borderId="11" xfId="79" applyNumberFormat="1" applyFont="1" applyFill="1" applyBorder="1" applyAlignment="1" applyProtection="1">
      <alignment horizontal="right"/>
    </xf>
    <xf numFmtId="7" fontId="12" fillId="0" borderId="0" xfId="4" applyNumberFormat="1" applyFont="1" applyFill="1"/>
    <xf numFmtId="7" fontId="4" fillId="0" borderId="14" xfId="79" applyNumberFormat="1" applyFont="1" applyFill="1" applyBorder="1" applyAlignment="1" applyProtection="1">
      <alignment horizontal="right"/>
    </xf>
    <xf numFmtId="7" fontId="82" fillId="0" borderId="0" xfId="4" applyNumberFormat="1" applyFont="1"/>
    <xf numFmtId="166" fontId="12" fillId="3" borderId="11" xfId="54" applyNumberFormat="1" applyFont="1" applyFill="1" applyBorder="1" applyAlignment="1">
      <alignment horizontal="left"/>
    </xf>
    <xf numFmtId="166" fontId="14" fillId="3" borderId="12" xfId="27" applyNumberFormat="1" applyFont="1" applyFill="1" applyBorder="1"/>
    <xf numFmtId="166" fontId="12" fillId="0" borderId="0" xfId="27" applyNumberFormat="1" applyFont="1" applyFill="1" applyBorder="1"/>
    <xf numFmtId="166" fontId="14" fillId="0" borderId="12" xfId="27" applyNumberFormat="1" applyFont="1" applyFill="1" applyBorder="1"/>
    <xf numFmtId="7" fontId="12" fillId="3" borderId="18" xfId="4" applyNumberFormat="1" applyFont="1" applyFill="1" applyBorder="1"/>
    <xf numFmtId="7" fontId="12" fillId="3" borderId="15" xfId="79" applyNumberFormat="1" applyFont="1" applyFill="1" applyBorder="1" applyAlignment="1" applyProtection="1">
      <alignment horizontal="right"/>
    </xf>
    <xf numFmtId="7" fontId="12" fillId="3" borderId="17" xfId="79" applyNumberFormat="1" applyFont="1" applyFill="1" applyBorder="1" applyAlignment="1" applyProtection="1">
      <alignment horizontal="right"/>
    </xf>
    <xf numFmtId="7" fontId="12" fillId="3" borderId="16" xfId="79" applyNumberFormat="1" applyFont="1" applyFill="1" applyBorder="1" applyAlignment="1" applyProtection="1">
      <alignment horizontal="right"/>
    </xf>
    <xf numFmtId="7" fontId="12" fillId="0" borderId="17" xfId="79" applyNumberFormat="1" applyFont="1" applyFill="1" applyBorder="1" applyAlignment="1" applyProtection="1">
      <alignment horizontal="right"/>
    </xf>
    <xf numFmtId="7" fontId="12" fillId="0" borderId="15" xfId="79" applyNumberFormat="1" applyFont="1" applyFill="1" applyBorder="1" applyAlignment="1" applyProtection="1">
      <alignment horizontal="right"/>
    </xf>
    <xf numFmtId="7" fontId="12" fillId="3" borderId="0" xfId="79" applyNumberFormat="1" applyFont="1" applyFill="1" applyBorder="1" applyAlignment="1" applyProtection="1">
      <alignment horizontal="right"/>
    </xf>
    <xf numFmtId="7" fontId="12" fillId="3" borderId="11" xfId="79" applyNumberFormat="1" applyFont="1" applyFill="1" applyBorder="1" applyAlignment="1" applyProtection="1">
      <alignment horizontal="right"/>
    </xf>
    <xf numFmtId="7" fontId="12" fillId="0" borderId="14" xfId="79" applyNumberFormat="1" applyFont="1" applyFill="1" applyBorder="1" applyAlignment="1" applyProtection="1">
      <alignment horizontal="right"/>
    </xf>
    <xf numFmtId="7" fontId="12" fillId="0" borderId="18" xfId="4" applyNumberFormat="1" applyFont="1" applyFill="1" applyBorder="1"/>
    <xf numFmtId="7" fontId="12" fillId="0" borderId="16" xfId="79" applyNumberFormat="1" applyFont="1" applyFill="1" applyBorder="1" applyAlignment="1" applyProtection="1">
      <alignment horizontal="right"/>
    </xf>
    <xf numFmtId="169" fontId="12" fillId="0" borderId="15" xfId="60" applyNumberFormat="1" applyFont="1" applyFill="1" applyBorder="1"/>
    <xf numFmtId="7" fontId="2" fillId="0" borderId="0" xfId="4" applyNumberFormat="1" applyFont="1" applyFill="1"/>
    <xf numFmtId="7" fontId="12" fillId="0" borderId="16" xfId="4" applyNumberFormat="1" applyFont="1" applyFill="1" applyBorder="1"/>
    <xf numFmtId="7" fontId="12" fillId="0" borderId="18" xfId="79" applyNumberFormat="1" applyFont="1" applyFill="1" applyBorder="1" applyAlignment="1" applyProtection="1">
      <alignment horizontal="right"/>
    </xf>
    <xf numFmtId="7" fontId="12" fillId="0" borderId="19" xfId="79" applyNumberFormat="1" applyFont="1" applyFill="1" applyBorder="1" applyAlignment="1" applyProtection="1">
      <alignment horizontal="right"/>
    </xf>
    <xf numFmtId="7" fontId="12" fillId="3" borderId="3" xfId="79" applyNumberFormat="1" applyFont="1" applyFill="1" applyBorder="1" applyAlignment="1" applyProtection="1">
      <alignment horizontal="right"/>
    </xf>
    <xf numFmtId="7" fontId="12" fillId="3" borderId="13" xfId="79" applyNumberFormat="1" applyFont="1" applyFill="1" applyBorder="1" applyAlignment="1" applyProtection="1">
      <alignment horizontal="right"/>
    </xf>
    <xf numFmtId="43" fontId="12" fillId="3" borderId="13" xfId="27" applyFont="1" applyFill="1" applyBorder="1" applyAlignment="1" applyProtection="1">
      <alignment horizontal="right"/>
    </xf>
    <xf numFmtId="9" fontId="12" fillId="3" borderId="13" xfId="60" applyFont="1" applyFill="1" applyBorder="1" applyAlignment="1" applyProtection="1">
      <alignment horizontal="right"/>
    </xf>
    <xf numFmtId="169" fontId="12" fillId="0" borderId="0" xfId="60" applyNumberFormat="1" applyFont="1" applyBorder="1"/>
    <xf numFmtId="7" fontId="12" fillId="3" borderId="0" xfId="4" applyNumberFormat="1" applyFont="1" applyFill="1" applyBorder="1"/>
    <xf numFmtId="7" fontId="12" fillId="0" borderId="5" xfId="79" applyNumberFormat="1" applyFont="1" applyFill="1" applyBorder="1" applyAlignment="1" applyProtection="1">
      <alignment horizontal="right"/>
    </xf>
    <xf numFmtId="7" fontId="12" fillId="0" borderId="6" xfId="79" applyNumberFormat="1" applyFont="1" applyFill="1" applyBorder="1" applyAlignment="1" applyProtection="1">
      <alignment horizontal="right"/>
    </xf>
    <xf numFmtId="7" fontId="12" fillId="0" borderId="7" xfId="79" applyNumberFormat="1" applyFont="1" applyFill="1" applyBorder="1" applyAlignment="1" applyProtection="1">
      <alignment horizontal="right"/>
    </xf>
    <xf numFmtId="169" fontId="12" fillId="0" borderId="5" xfId="60" applyNumberFormat="1" applyFont="1" applyFill="1" applyBorder="1"/>
    <xf numFmtId="7" fontId="22" fillId="0" borderId="7" xfId="4" applyNumberFormat="1" applyFont="1" applyFill="1" applyBorder="1"/>
    <xf numFmtId="7" fontId="12" fillId="0" borderId="4" xfId="79" applyNumberFormat="1" applyFont="1" applyFill="1" applyBorder="1" applyAlignment="1" applyProtection="1">
      <alignment horizontal="right"/>
    </xf>
    <xf numFmtId="7" fontId="12" fillId="0" borderId="20" xfId="79" applyNumberFormat="1" applyFont="1" applyFill="1" applyBorder="1" applyAlignment="1" applyProtection="1">
      <alignment horizontal="right"/>
    </xf>
    <xf numFmtId="7" fontId="2" fillId="0" borderId="2" xfId="4" applyNumberFormat="1" applyFont="1" applyFill="1" applyBorder="1"/>
    <xf numFmtId="7" fontId="12" fillId="3" borderId="11" xfId="4" applyNumberFormat="1" applyFont="1" applyFill="1" applyBorder="1" applyAlignment="1">
      <alignment horizontal="left"/>
    </xf>
    <xf numFmtId="165" fontId="12" fillId="3" borderId="3" xfId="79" applyNumberFormat="1" applyFont="1" applyFill="1" applyBorder="1" applyAlignment="1" applyProtection="1">
      <alignment horizontal="right"/>
    </xf>
    <xf numFmtId="165" fontId="12" fillId="3" borderId="0" xfId="79" applyNumberFormat="1" applyFont="1" applyFill="1" applyBorder="1" applyAlignment="1" applyProtection="1">
      <alignment horizontal="right"/>
    </xf>
    <xf numFmtId="165" fontId="12" fillId="3" borderId="12" xfId="79" applyNumberFormat="1" applyFont="1" applyFill="1" applyBorder="1" applyAlignment="1" applyProtection="1">
      <alignment horizontal="right"/>
    </xf>
    <xf numFmtId="7" fontId="12" fillId="3" borderId="3" xfId="4" applyNumberFormat="1" applyFont="1" applyFill="1" applyBorder="1" applyAlignment="1">
      <alignment horizontal="left"/>
    </xf>
    <xf numFmtId="7" fontId="12" fillId="3" borderId="11" xfId="4" applyNumberFormat="1" applyFont="1" applyFill="1" applyBorder="1" applyAlignment="1">
      <alignment horizontal="left" indent="1"/>
    </xf>
    <xf numFmtId="7" fontId="12" fillId="3" borderId="3" xfId="4" applyNumberFormat="1" applyFont="1" applyFill="1" applyBorder="1" applyAlignment="1">
      <alignment horizontal="left" indent="1"/>
    </xf>
    <xf numFmtId="165" fontId="12" fillId="3" borderId="15" xfId="79" applyNumberFormat="1" applyFont="1" applyFill="1" applyBorder="1" applyAlignment="1" applyProtection="1">
      <alignment horizontal="right"/>
    </xf>
    <xf numFmtId="7" fontId="12" fillId="4" borderId="4" xfId="4" applyNumberFormat="1" applyFont="1" applyFill="1" applyBorder="1"/>
    <xf numFmtId="7" fontId="12" fillId="4" borderId="5" xfId="79" applyNumberFormat="1" applyFont="1" applyFill="1" applyBorder="1" applyAlignment="1" applyProtection="1">
      <alignment horizontal="right"/>
    </xf>
    <xf numFmtId="7" fontId="12" fillId="4" borderId="6" xfId="79" applyNumberFormat="1" applyFont="1" applyFill="1" applyBorder="1" applyAlignment="1" applyProtection="1">
      <alignment horizontal="right"/>
    </xf>
    <xf numFmtId="7" fontId="12" fillId="4" borderId="7" xfId="79" applyNumberFormat="1" applyFont="1" applyFill="1" applyBorder="1" applyAlignment="1" applyProtection="1">
      <alignment horizontal="right"/>
    </xf>
    <xf numFmtId="169" fontId="13" fillId="4" borderId="5" xfId="60" applyNumberFormat="1" applyFont="1" applyFill="1" applyBorder="1"/>
    <xf numFmtId="7" fontId="2" fillId="4" borderId="0" xfId="4" applyNumberFormat="1" applyFont="1" applyFill="1"/>
    <xf numFmtId="7" fontId="12" fillId="4" borderId="16" xfId="4" applyNumberFormat="1" applyFont="1" applyFill="1" applyBorder="1"/>
    <xf numFmtId="7" fontId="12" fillId="4" borderId="17" xfId="79" applyNumberFormat="1" applyFont="1" applyFill="1" applyBorder="1" applyAlignment="1" applyProtection="1">
      <alignment horizontal="right"/>
    </xf>
    <xf numFmtId="7" fontId="12" fillId="4" borderId="18" xfId="79" applyNumberFormat="1" applyFont="1" applyFill="1" applyBorder="1" applyAlignment="1" applyProtection="1">
      <alignment horizontal="right"/>
    </xf>
    <xf numFmtId="7" fontId="12" fillId="4" borderId="0" xfId="4" applyNumberFormat="1" applyFont="1" applyFill="1"/>
    <xf numFmtId="7" fontId="12" fillId="4" borderId="20" xfId="79" applyNumberFormat="1" applyFont="1" applyFill="1" applyBorder="1" applyAlignment="1" applyProtection="1">
      <alignment horizontal="right"/>
    </xf>
    <xf numFmtId="7" fontId="2" fillId="4" borderId="2" xfId="4" applyNumberFormat="1" applyFont="1" applyFill="1" applyBorder="1"/>
    <xf numFmtId="7" fontId="12" fillId="3" borderId="0" xfId="4" applyNumberFormat="1" applyFont="1" applyFill="1" applyBorder="1" applyAlignment="1">
      <alignment horizontal="left" indent="1"/>
    </xf>
    <xf numFmtId="9" fontId="12" fillId="3" borderId="0" xfId="60" applyFont="1" applyFill="1" applyBorder="1" applyAlignment="1" applyProtection="1">
      <alignment horizontal="right"/>
    </xf>
    <xf numFmtId="9" fontId="12" fillId="3" borderId="0" xfId="79" applyNumberFormat="1" applyFont="1" applyFill="1" applyBorder="1" applyAlignment="1" applyProtection="1">
      <alignment horizontal="right"/>
    </xf>
    <xf numFmtId="0" fontId="12" fillId="0" borderId="0" xfId="4" applyFont="1" applyBorder="1"/>
    <xf numFmtId="0" fontId="12" fillId="0" borderId="0" xfId="4" applyFont="1" applyFill="1" applyBorder="1"/>
    <xf numFmtId="0" fontId="82" fillId="0" borderId="0" xfId="4" applyFont="1" applyBorder="1"/>
    <xf numFmtId="0" fontId="12" fillId="0" borderId="6" xfId="4" applyFont="1" applyBorder="1"/>
    <xf numFmtId="168" fontId="12" fillId="0" borderId="0" xfId="4" applyNumberFormat="1" applyFont="1" applyBorder="1" applyAlignment="1">
      <alignment horizontal="right"/>
    </xf>
    <xf numFmtId="0" fontId="12" fillId="3" borderId="7" xfId="4" applyFont="1" applyFill="1" applyBorder="1"/>
    <xf numFmtId="167" fontId="12" fillId="3" borderId="4" xfId="4" applyNumberFormat="1" applyFont="1" applyFill="1" applyBorder="1" applyAlignment="1">
      <alignment horizontal="right"/>
    </xf>
    <xf numFmtId="167" fontId="13" fillId="0" borderId="20" xfId="4" applyNumberFormat="1" applyFont="1" applyBorder="1" applyAlignment="1">
      <alignment horizontal="center"/>
    </xf>
    <xf numFmtId="168" fontId="12" fillId="0" borderId="0" xfId="4" applyNumberFormat="1" applyFont="1" applyFill="1"/>
    <xf numFmtId="0" fontId="12" fillId="0" borderId="12" xfId="4" applyFont="1" applyFill="1" applyBorder="1"/>
    <xf numFmtId="0" fontId="12" fillId="0" borderId="12" xfId="4" applyFont="1" applyBorder="1"/>
    <xf numFmtId="0" fontId="12" fillId="0" borderId="13" xfId="4" applyFont="1" applyBorder="1"/>
    <xf numFmtId="0" fontId="12" fillId="0" borderId="9" xfId="4" applyFont="1" applyBorder="1"/>
    <xf numFmtId="0" fontId="12" fillId="3" borderId="3" xfId="4" applyFont="1" applyFill="1" applyBorder="1"/>
    <xf numFmtId="165" fontId="12" fillId="0" borderId="0" xfId="4" applyNumberFormat="1" applyFont="1" applyBorder="1"/>
    <xf numFmtId="166" fontId="12" fillId="0" borderId="11" xfId="4" applyNumberFormat="1" applyFont="1" applyFill="1" applyBorder="1"/>
    <xf numFmtId="166" fontId="21" fillId="0" borderId="0" xfId="54" applyNumberFormat="1" applyFont="1" applyFill="1" applyBorder="1" applyAlignment="1">
      <alignment horizontal="left" indent="1"/>
    </xf>
    <xf numFmtId="166" fontId="12" fillId="0" borderId="0" xfId="4" applyNumberFormat="1" applyFont="1" applyFill="1" applyAlignment="1">
      <alignment horizontal="left" indent="2"/>
    </xf>
    <xf numFmtId="171" fontId="12" fillId="0" borderId="12" xfId="79" applyNumberFormat="1" applyFont="1" applyFill="1" applyBorder="1" applyAlignment="1" applyProtection="1">
      <alignment horizontal="right"/>
    </xf>
    <xf numFmtId="171" fontId="12" fillId="0" borderId="0" xfId="79" applyNumberFormat="1" applyFont="1" applyFill="1" applyBorder="1" applyAlignment="1" applyProtection="1">
      <alignment horizontal="right"/>
    </xf>
    <xf numFmtId="171" fontId="12" fillId="0" borderId="11" xfId="79" applyNumberFormat="1" applyFont="1" applyFill="1" applyBorder="1" applyAlignment="1" applyProtection="1">
      <alignment horizontal="right"/>
    </xf>
    <xf numFmtId="166" fontId="12" fillId="0" borderId="0" xfId="4" applyNumberFormat="1" applyFont="1"/>
    <xf numFmtId="165" fontId="21" fillId="3" borderId="0" xfId="54" applyNumberFormat="1" applyFont="1" applyFill="1" applyBorder="1"/>
    <xf numFmtId="166" fontId="19" fillId="0" borderId="0" xfId="4" applyNumberFormat="1" applyFont="1" applyFill="1" applyBorder="1"/>
    <xf numFmtId="166" fontId="19" fillId="0" borderId="12" xfId="4" applyNumberFormat="1" applyFont="1" applyFill="1" applyBorder="1"/>
    <xf numFmtId="166" fontId="12" fillId="0" borderId="11" xfId="4" applyNumberFormat="1" applyFont="1" applyBorder="1"/>
    <xf numFmtId="166" fontId="12" fillId="0" borderId="0" xfId="4" applyNumberFormat="1" applyFont="1" applyBorder="1"/>
    <xf numFmtId="166" fontId="14" fillId="3" borderId="3" xfId="54" applyNumberFormat="1" applyFont="1" applyFill="1" applyBorder="1" applyAlignment="1"/>
    <xf numFmtId="165" fontId="21" fillId="3" borderId="11" xfId="54" applyNumberFormat="1" applyFont="1" applyFill="1" applyBorder="1"/>
    <xf numFmtId="166" fontId="14" fillId="3" borderId="3" xfId="54" applyNumberFormat="1" applyFont="1" applyFill="1" applyBorder="1" applyAlignment="1">
      <alignment horizontal="left"/>
    </xf>
    <xf numFmtId="166" fontId="12" fillId="0" borderId="14" xfId="4" applyNumberFormat="1" applyFont="1" applyFill="1" applyBorder="1"/>
    <xf numFmtId="165" fontId="14" fillId="3" borderId="16" xfId="54" applyNumberFormat="1" applyFont="1" applyFill="1" applyBorder="1" applyAlignment="1">
      <alignment horizontal="left"/>
    </xf>
    <xf numFmtId="165" fontId="4" fillId="3" borderId="17" xfId="54" applyNumberFormat="1" applyFont="1" applyFill="1" applyBorder="1"/>
    <xf numFmtId="165" fontId="4" fillId="3" borderId="18" xfId="54" applyNumberFormat="1" applyFont="1" applyFill="1" applyBorder="1"/>
    <xf numFmtId="165" fontId="4" fillId="0" borderId="19" xfId="54" applyNumberFormat="1" applyFont="1" applyBorder="1"/>
    <xf numFmtId="166" fontId="13" fillId="0" borderId="0" xfId="4" applyNumberFormat="1" applyFont="1" applyBorder="1"/>
    <xf numFmtId="43" fontId="23" fillId="0" borderId="0" xfId="27" applyFont="1" applyBorder="1"/>
    <xf numFmtId="43" fontId="12" fillId="0" borderId="3" xfId="27" applyFont="1" applyFill="1" applyBorder="1"/>
    <xf numFmtId="43" fontId="12" fillId="0" borderId="0" xfId="27" applyFont="1" applyFill="1" applyBorder="1"/>
    <xf numFmtId="43" fontId="23" fillId="0" borderId="0" xfId="27" applyFont="1" applyFill="1" applyBorder="1"/>
    <xf numFmtId="43" fontId="12" fillId="0" borderId="0" xfId="27" applyFont="1" applyBorder="1"/>
    <xf numFmtId="0" fontId="24" fillId="0" borderId="0" xfId="4" applyFont="1"/>
    <xf numFmtId="0" fontId="23" fillId="0" borderId="0" xfId="4" applyFont="1" applyFill="1" applyBorder="1"/>
    <xf numFmtId="43" fontId="23" fillId="0" borderId="14" xfId="27" applyFont="1" applyBorder="1"/>
    <xf numFmtId="166" fontId="12" fillId="0" borderId="9" xfId="4" applyNumberFormat="1" applyFont="1" applyBorder="1"/>
    <xf numFmtId="166" fontId="15" fillId="0" borderId="11" xfId="4" applyNumberFormat="1" applyFont="1" applyBorder="1"/>
    <xf numFmtId="5" fontId="12" fillId="3" borderId="0" xfId="79" applyNumberFormat="1" applyFont="1" applyFill="1" applyBorder="1" applyAlignment="1" applyProtection="1">
      <alignment horizontal="right"/>
    </xf>
    <xf numFmtId="5" fontId="12" fillId="0" borderId="0" xfId="4" applyNumberFormat="1" applyFont="1"/>
    <xf numFmtId="165" fontId="14" fillId="3" borderId="3" xfId="54" applyNumberFormat="1" applyFont="1" applyFill="1" applyBorder="1" applyAlignment="1">
      <alignment horizontal="left" indent="1"/>
    </xf>
    <xf numFmtId="165" fontId="12" fillId="0" borderId="0" xfId="4" applyNumberFormat="1" applyFont="1"/>
    <xf numFmtId="165" fontId="12" fillId="0" borderId="11" xfId="4" applyNumberFormat="1" applyFont="1" applyBorder="1"/>
    <xf numFmtId="165" fontId="12" fillId="0" borderId="14" xfId="4" applyNumberFormat="1" applyFont="1" applyBorder="1"/>
    <xf numFmtId="166" fontId="4" fillId="3" borderId="0" xfId="27" applyNumberFormat="1" applyFont="1" applyFill="1" applyBorder="1"/>
    <xf numFmtId="166" fontId="4" fillId="3" borderId="11" xfId="27" applyNumberFormat="1" applyFont="1" applyFill="1" applyBorder="1"/>
    <xf numFmtId="166" fontId="4" fillId="0" borderId="14" xfId="27" applyNumberFormat="1" applyFont="1" applyBorder="1"/>
    <xf numFmtId="173" fontId="23" fillId="0" borderId="0" xfId="27" applyNumberFormat="1" applyFont="1" applyFill="1" applyBorder="1"/>
    <xf numFmtId="173" fontId="12" fillId="0" borderId="3" xfId="27" applyNumberFormat="1" applyFont="1" applyFill="1" applyBorder="1"/>
    <xf numFmtId="173" fontId="12" fillId="0" borderId="0" xfId="27" applyNumberFormat="1" applyFont="1" applyFill="1" applyBorder="1"/>
    <xf numFmtId="174" fontId="12" fillId="0" borderId="0" xfId="27" applyNumberFormat="1" applyFont="1" applyFill="1" applyBorder="1"/>
    <xf numFmtId="174" fontId="23" fillId="0" borderId="0" xfId="27" applyNumberFormat="1" applyFont="1" applyFill="1" applyBorder="1"/>
    <xf numFmtId="172" fontId="12" fillId="0" borderId="0" xfId="27" applyNumberFormat="1" applyFont="1" applyFill="1" applyBorder="1"/>
    <xf numFmtId="172" fontId="23" fillId="0" borderId="0" xfId="27" applyNumberFormat="1" applyFont="1" applyFill="1" applyBorder="1"/>
    <xf numFmtId="0" fontId="23" fillId="0" borderId="0" xfId="4" applyFont="1" applyFill="1"/>
    <xf numFmtId="173" fontId="23" fillId="0" borderId="14" xfId="27" applyNumberFormat="1" applyFont="1" applyFill="1" applyBorder="1"/>
    <xf numFmtId="43" fontId="23" fillId="0" borderId="17" xfId="27" applyFont="1" applyFill="1" applyBorder="1"/>
    <xf numFmtId="43" fontId="12" fillId="0" borderId="17" xfId="27" applyFont="1" applyFill="1" applyBorder="1"/>
    <xf numFmtId="43" fontId="12" fillId="0" borderId="17" xfId="27" applyFont="1" applyFill="1" applyBorder="1" applyAlignment="1">
      <alignment horizontal="right"/>
    </xf>
    <xf numFmtId="173" fontId="12" fillId="0" borderId="17" xfId="27" applyNumberFormat="1" applyFont="1" applyFill="1" applyBorder="1"/>
    <xf numFmtId="43" fontId="12" fillId="0" borderId="14" xfId="27" applyFont="1" applyFill="1" applyBorder="1"/>
    <xf numFmtId="168" fontId="12" fillId="0" borderId="14" xfId="4" applyNumberFormat="1" applyFont="1" applyFill="1" applyBorder="1"/>
    <xf numFmtId="167" fontId="12" fillId="0" borderId="0" xfId="4" applyNumberFormat="1" applyFont="1" applyFill="1" applyBorder="1" applyAlignment="1">
      <alignment horizontal="right"/>
    </xf>
    <xf numFmtId="167" fontId="12" fillId="0" borderId="14" xfId="4" applyNumberFormat="1" applyFont="1" applyFill="1" applyBorder="1" applyAlignment="1">
      <alignment horizontal="right"/>
    </xf>
    <xf numFmtId="0" fontId="13" fillId="0" borderId="0" xfId="4" applyFont="1"/>
    <xf numFmtId="9" fontId="12" fillId="0" borderId="12" xfId="60" applyFont="1" applyFill="1" applyBorder="1"/>
    <xf numFmtId="0" fontId="13" fillId="0" borderId="0" xfId="4" applyFont="1" applyFill="1" applyBorder="1"/>
    <xf numFmtId="0" fontId="12" fillId="0" borderId="11" xfId="4" applyFont="1" applyBorder="1"/>
    <xf numFmtId="165" fontId="12" fillId="0" borderId="0" xfId="4" applyNumberFormat="1" applyFont="1" applyAlignment="1">
      <alignment horizontal="left" indent="1"/>
    </xf>
    <xf numFmtId="165" fontId="12" fillId="0" borderId="11" xfId="4" applyNumberFormat="1" applyFont="1" applyFill="1" applyBorder="1"/>
    <xf numFmtId="165" fontId="2" fillId="0" borderId="0" xfId="4" applyNumberFormat="1" applyFont="1"/>
    <xf numFmtId="165" fontId="12" fillId="0" borderId="0" xfId="4" applyNumberFormat="1" applyFont="1" applyFill="1" applyBorder="1" applyAlignment="1">
      <alignment horizontal="left" indent="1"/>
    </xf>
    <xf numFmtId="169" fontId="14" fillId="0" borderId="0" xfId="60" applyNumberFormat="1" applyFont="1" applyFill="1" applyBorder="1" applyAlignment="1">
      <alignment horizontal="left" indent="2"/>
    </xf>
    <xf numFmtId="169" fontId="14" fillId="0" borderId="0" xfId="60" applyNumberFormat="1" applyFont="1" applyFill="1" applyBorder="1"/>
    <xf numFmtId="169" fontId="14" fillId="0" borderId="12" xfId="60" applyNumberFormat="1" applyFont="1" applyFill="1" applyBorder="1"/>
    <xf numFmtId="169" fontId="14" fillId="0" borderId="11" xfId="60" applyNumberFormat="1" applyFont="1" applyFill="1" applyBorder="1"/>
    <xf numFmtId="169" fontId="12" fillId="0" borderId="14" xfId="60" applyNumberFormat="1" applyFont="1" applyFill="1" applyBorder="1"/>
    <xf numFmtId="0" fontId="12" fillId="0" borderId="0" xfId="4" applyFont="1" applyAlignment="1">
      <alignment horizontal="left" indent="2"/>
    </xf>
    <xf numFmtId="175" fontId="12" fillId="0" borderId="12" xfId="4" applyNumberFormat="1" applyFont="1" applyFill="1" applyBorder="1"/>
    <xf numFmtId="175" fontId="12" fillId="0" borderId="0" xfId="4" applyNumberFormat="1" applyFont="1" applyFill="1" applyBorder="1"/>
    <xf numFmtId="0" fontId="19" fillId="0" borderId="0" xfId="4" applyFont="1" applyFill="1" applyBorder="1"/>
    <xf numFmtId="0" fontId="19" fillId="0" borderId="12" xfId="4" applyFont="1" applyFill="1" applyBorder="1"/>
    <xf numFmtId="0" fontId="19" fillId="0" borderId="11" xfId="4" applyFont="1" applyBorder="1"/>
    <xf numFmtId="0" fontId="12" fillId="0" borderId="0" xfId="4" applyFont="1" applyFill="1" applyBorder="1" applyAlignment="1">
      <alignment horizontal="left" indent="2"/>
    </xf>
    <xf numFmtId="165" fontId="13" fillId="0" borderId="0" xfId="27" applyNumberFormat="1" applyFont="1" applyAlignment="1">
      <alignment horizontal="left" indent="1"/>
    </xf>
    <xf numFmtId="165" fontId="13" fillId="0" borderId="12" xfId="27" applyNumberFormat="1" applyFont="1" applyFill="1" applyBorder="1"/>
    <xf numFmtId="165" fontId="13" fillId="0" borderId="0" xfId="27" applyNumberFormat="1" applyFont="1" applyFill="1" applyBorder="1"/>
    <xf numFmtId="165" fontId="13" fillId="0" borderId="0" xfId="27" applyNumberFormat="1" applyFont="1" applyFill="1"/>
    <xf numFmtId="165" fontId="13" fillId="0" borderId="11" xfId="27" applyNumberFormat="1" applyFont="1" applyFill="1" applyBorder="1"/>
    <xf numFmtId="165" fontId="17" fillId="0" borderId="0" xfId="27" applyNumberFormat="1" applyFont="1"/>
    <xf numFmtId="165" fontId="13" fillId="0" borderId="0" xfId="27" applyNumberFormat="1" applyFont="1" applyFill="1" applyBorder="1" applyAlignment="1">
      <alignment horizontal="left" indent="2"/>
    </xf>
    <xf numFmtId="165" fontId="13" fillId="0" borderId="14" xfId="27" applyNumberFormat="1" applyFont="1" applyFill="1" applyBorder="1"/>
    <xf numFmtId="166" fontId="12" fillId="0" borderId="3" xfId="4" applyNumberFormat="1" applyFont="1" applyBorder="1"/>
    <xf numFmtId="166" fontId="2" fillId="0" borderId="0" xfId="4" applyNumberFormat="1" applyFont="1"/>
    <xf numFmtId="166" fontId="12" fillId="0" borderId="0" xfId="54" applyNumberFormat="1" applyFont="1" applyBorder="1"/>
    <xf numFmtId="166" fontId="12" fillId="0" borderId="17" xfId="54" applyNumberFormat="1" applyFont="1" applyFill="1" applyBorder="1" applyAlignment="1">
      <alignment horizontal="left" indent="2"/>
    </xf>
    <xf numFmtId="166" fontId="12" fillId="0" borderId="15" xfId="4" applyNumberFormat="1" applyFont="1" applyFill="1" applyBorder="1"/>
    <xf numFmtId="166" fontId="12" fillId="0" borderId="17" xfId="4" applyNumberFormat="1" applyFont="1" applyFill="1" applyBorder="1"/>
    <xf numFmtId="165" fontId="13" fillId="0" borderId="0" xfId="27" applyNumberFormat="1" applyFont="1"/>
    <xf numFmtId="169" fontId="14" fillId="0" borderId="17" xfId="60" applyNumberFormat="1" applyFont="1" applyFill="1" applyBorder="1" applyAlignment="1">
      <alignment horizontal="left" indent="2"/>
    </xf>
    <xf numFmtId="169" fontId="12" fillId="0" borderId="17" xfId="60" applyNumberFormat="1" applyFont="1" applyFill="1" applyBorder="1"/>
    <xf numFmtId="169" fontId="14" fillId="0" borderId="17" xfId="60" applyNumberFormat="1" applyFont="1" applyFill="1" applyBorder="1"/>
    <xf numFmtId="169" fontId="14" fillId="0" borderId="15" xfId="60" applyNumberFormat="1" applyFont="1" applyFill="1" applyBorder="1"/>
    <xf numFmtId="169" fontId="14" fillId="0" borderId="18" xfId="60" applyNumberFormat="1" applyFont="1" applyFill="1" applyBorder="1"/>
    <xf numFmtId="176" fontId="9" fillId="0" borderId="0" xfId="27" applyNumberFormat="1" applyFont="1" applyFill="1" applyBorder="1" applyAlignment="1">
      <alignment horizontal="right"/>
    </xf>
    <xf numFmtId="169" fontId="13" fillId="0" borderId="0" xfId="60" applyNumberFormat="1" applyFont="1" applyFill="1" applyBorder="1" applyAlignment="1">
      <alignment horizontal="left" indent="2"/>
    </xf>
    <xf numFmtId="169" fontId="19" fillId="0" borderId="12" xfId="60" applyNumberFormat="1" applyFont="1" applyFill="1" applyBorder="1"/>
    <xf numFmtId="169" fontId="19" fillId="0" borderId="11" xfId="60" applyNumberFormat="1" applyFont="1" applyFill="1" applyBorder="1"/>
    <xf numFmtId="165" fontId="13" fillId="3" borderId="0" xfId="27" applyNumberFormat="1" applyFont="1" applyFill="1" applyBorder="1"/>
    <xf numFmtId="165" fontId="19" fillId="0" borderId="12" xfId="27" applyNumberFormat="1" applyFont="1" applyFill="1" applyBorder="1"/>
    <xf numFmtId="165" fontId="13" fillId="0" borderId="0" xfId="27" applyNumberFormat="1" applyFont="1" applyAlignment="1">
      <alignment horizontal="left"/>
    </xf>
    <xf numFmtId="165" fontId="13" fillId="3" borderId="12" xfId="27" applyNumberFormat="1" applyFont="1" applyFill="1" applyBorder="1"/>
    <xf numFmtId="169" fontId="14" fillId="0" borderId="0" xfId="60" applyNumberFormat="1" applyFont="1" applyFill="1" applyBorder="1" applyAlignment="1">
      <alignment horizontal="left" indent="3"/>
    </xf>
    <xf numFmtId="169" fontId="12" fillId="0" borderId="0" xfId="60" applyNumberFormat="1" applyFont="1"/>
    <xf numFmtId="169" fontId="19" fillId="0" borderId="11" xfId="60" applyNumberFormat="1" applyFont="1" applyBorder="1"/>
    <xf numFmtId="9" fontId="12" fillId="0" borderId="0" xfId="60" applyFont="1" applyFill="1" applyBorder="1"/>
    <xf numFmtId="165" fontId="12" fillId="0" borderId="12" xfId="27" applyNumberFormat="1" applyFont="1" applyFill="1" applyBorder="1"/>
    <xf numFmtId="165" fontId="12" fillId="0" borderId="0" xfId="27" applyNumberFormat="1" applyFont="1" applyFill="1" applyBorder="1"/>
    <xf numFmtId="43" fontId="12" fillId="0" borderId="12" xfId="27" applyFont="1" applyFill="1" applyBorder="1"/>
    <xf numFmtId="43" fontId="12" fillId="0" borderId="11" xfId="27" applyFont="1" applyBorder="1"/>
    <xf numFmtId="165" fontId="13" fillId="0" borderId="3" xfId="27" applyNumberFormat="1" applyFont="1" applyFill="1" applyBorder="1"/>
    <xf numFmtId="0" fontId="12" fillId="3" borderId="21" xfId="79" applyFont="1" applyFill="1" applyBorder="1" applyAlignment="1"/>
    <xf numFmtId="7" fontId="12" fillId="0" borderId="22" xfId="31" applyNumberFormat="1" applyFont="1" applyFill="1" applyBorder="1"/>
    <xf numFmtId="0" fontId="12" fillId="0" borderId="21" xfId="79" applyFont="1" applyFill="1" applyBorder="1" applyAlignment="1"/>
    <xf numFmtId="9" fontId="12" fillId="0" borderId="22" xfId="31" applyNumberFormat="1" applyFont="1" applyFill="1" applyBorder="1"/>
    <xf numFmtId="9" fontId="12" fillId="0" borderId="21" xfId="79" applyNumberFormat="1" applyFont="1" applyFill="1" applyBorder="1" applyAlignment="1"/>
    <xf numFmtId="9" fontId="12" fillId="0" borderId="21" xfId="31" applyNumberFormat="1" applyFont="1" applyFill="1" applyBorder="1"/>
    <xf numFmtId="9" fontId="12" fillId="0" borderId="23" xfId="79" applyNumberFormat="1" applyFont="1" applyFill="1" applyBorder="1" applyAlignment="1"/>
    <xf numFmtId="9" fontId="12" fillId="0" borderId="23" xfId="31" applyNumberFormat="1" applyFont="1" applyFill="1" applyBorder="1"/>
    <xf numFmtId="9" fontId="12" fillId="0" borderId="21" xfId="79" applyNumberFormat="1" applyFont="1" applyBorder="1" applyAlignment="1"/>
    <xf numFmtId="9" fontId="12" fillId="3" borderId="21" xfId="79" applyNumberFormat="1" applyFont="1" applyFill="1" applyBorder="1" applyAlignment="1"/>
    <xf numFmtId="9" fontId="12" fillId="3" borderId="22" xfId="31" applyNumberFormat="1" applyFont="1" applyFill="1" applyBorder="1"/>
    <xf numFmtId="9" fontId="12" fillId="3" borderId="23" xfId="31" applyNumberFormat="1" applyFont="1" applyFill="1" applyBorder="1"/>
    <xf numFmtId="0" fontId="12" fillId="0" borderId="0" xfId="79" applyFont="1" applyFill="1" applyBorder="1" applyAlignment="1"/>
    <xf numFmtId="0" fontId="12" fillId="3" borderId="21" xfId="79" applyFont="1" applyFill="1" applyBorder="1" applyAlignment="1">
      <alignment horizontal="left" indent="1"/>
    </xf>
    <xf numFmtId="165" fontId="12" fillId="0" borderId="21" xfId="79" applyNumberFormat="1" applyFont="1" applyFill="1" applyBorder="1" applyAlignment="1"/>
    <xf numFmtId="165" fontId="12" fillId="0" borderId="24" xfId="79" applyNumberFormat="1" applyFont="1" applyFill="1" applyBorder="1" applyAlignment="1"/>
    <xf numFmtId="0" fontId="13" fillId="3" borderId="21" xfId="79" applyFont="1" applyFill="1" applyBorder="1" applyAlignment="1"/>
    <xf numFmtId="7" fontId="13" fillId="0" borderId="22" xfId="31" applyNumberFormat="1" applyFont="1" applyFill="1" applyBorder="1"/>
    <xf numFmtId="0" fontId="13" fillId="0" borderId="21" xfId="79" applyFont="1" applyFill="1" applyBorder="1" applyAlignment="1"/>
    <xf numFmtId="9" fontId="13" fillId="0" borderId="22" xfId="31" applyNumberFormat="1" applyFont="1" applyFill="1" applyBorder="1"/>
    <xf numFmtId="9" fontId="13" fillId="0" borderId="21" xfId="79" applyNumberFormat="1" applyFont="1" applyFill="1" applyBorder="1" applyAlignment="1"/>
    <xf numFmtId="9" fontId="13" fillId="0" borderId="21" xfId="31" applyNumberFormat="1" applyFont="1" applyFill="1" applyBorder="1"/>
    <xf numFmtId="9" fontId="13" fillId="0" borderId="23" xfId="79" applyNumberFormat="1" applyFont="1" applyFill="1" applyBorder="1" applyAlignment="1"/>
    <xf numFmtId="9" fontId="13" fillId="0" borderId="23" xfId="31" applyNumberFormat="1" applyFont="1" applyFill="1" applyBorder="1"/>
    <xf numFmtId="9" fontId="13" fillId="0" borderId="21" xfId="79" applyNumberFormat="1" applyFont="1" applyBorder="1" applyAlignment="1"/>
    <xf numFmtId="9" fontId="13" fillId="3" borderId="21" xfId="79" applyNumberFormat="1" applyFont="1" applyFill="1" applyBorder="1" applyAlignment="1"/>
    <xf numFmtId="9" fontId="13" fillId="3" borderId="22" xfId="31" applyNumberFormat="1" applyFont="1" applyFill="1" applyBorder="1"/>
    <xf numFmtId="165" fontId="13" fillId="0" borderId="21" xfId="79" applyNumberFormat="1" applyFont="1" applyFill="1" applyBorder="1" applyAlignment="1"/>
    <xf numFmtId="165" fontId="13" fillId="0" borderId="24" xfId="79" applyNumberFormat="1" applyFont="1" applyFill="1" applyBorder="1" applyAlignment="1"/>
    <xf numFmtId="0" fontId="12" fillId="0" borderId="25" xfId="4" applyFont="1" applyBorder="1"/>
    <xf numFmtId="0" fontId="12" fillId="0" borderId="26" xfId="4" applyFont="1" applyBorder="1"/>
    <xf numFmtId="39" fontId="12" fillId="0" borderId="0" xfId="4" applyNumberFormat="1" applyFont="1"/>
    <xf numFmtId="168" fontId="12" fillId="0" borderId="0" xfId="4" applyNumberFormat="1" applyFont="1" applyFill="1" applyBorder="1" applyAlignment="1">
      <alignment horizontal="right"/>
    </xf>
    <xf numFmtId="168" fontId="12" fillId="0" borderId="14" xfId="4" applyNumberFormat="1" applyFont="1" applyFill="1" applyBorder="1" applyAlignment="1">
      <alignment horizontal="right"/>
    </xf>
    <xf numFmtId="171" fontId="12" fillId="0" borderId="12" xfId="4" applyNumberFormat="1" applyFont="1" applyFill="1" applyBorder="1"/>
    <xf numFmtId="168" fontId="12" fillId="0" borderId="0" xfId="4" applyNumberFormat="1" applyFont="1"/>
    <xf numFmtId="171" fontId="14" fillId="0" borderId="12" xfId="4" applyNumberFormat="1" applyFont="1" applyFill="1" applyBorder="1"/>
    <xf numFmtId="168" fontId="19" fillId="0" borderId="0" xfId="4" applyNumberFormat="1" applyFont="1" applyFill="1" applyBorder="1"/>
    <xf numFmtId="168" fontId="19" fillId="0" borderId="12" xfId="4" applyNumberFormat="1" applyFont="1" applyBorder="1"/>
    <xf numFmtId="165" fontId="12" fillId="0" borderId="0" xfId="4" applyNumberFormat="1" applyFont="1" applyFill="1" applyBorder="1" applyAlignment="1">
      <alignment horizontal="right"/>
    </xf>
    <xf numFmtId="165" fontId="12" fillId="0" borderId="14" xfId="4" applyNumberFormat="1" applyFont="1" applyFill="1" applyBorder="1" applyAlignment="1">
      <alignment horizontal="right"/>
    </xf>
    <xf numFmtId="171" fontId="19" fillId="0" borderId="0" xfId="4" applyNumberFormat="1" applyFont="1" applyFill="1" applyBorder="1"/>
    <xf numFmtId="171" fontId="19" fillId="0" borderId="11" xfId="4" applyNumberFormat="1" applyFont="1" applyFill="1" applyBorder="1"/>
    <xf numFmtId="169" fontId="12" fillId="0" borderId="0" xfId="60" applyNumberFormat="1" applyFont="1" applyFill="1" applyAlignment="1"/>
    <xf numFmtId="169" fontId="12" fillId="0" borderId="0" xfId="60" applyNumberFormat="1" applyFont="1" applyFill="1" applyBorder="1" applyAlignment="1"/>
    <xf numFmtId="169" fontId="12" fillId="0" borderId="21" xfId="60" applyNumberFormat="1" applyFont="1" applyFill="1" applyBorder="1" applyAlignment="1"/>
    <xf numFmtId="169" fontId="12" fillId="0" borderId="22" xfId="60" applyNumberFormat="1" applyFont="1" applyFill="1" applyBorder="1"/>
    <xf numFmtId="169" fontId="12" fillId="0" borderId="21" xfId="60" applyNumberFormat="1" applyFont="1" applyFill="1" applyBorder="1"/>
    <xf numFmtId="169" fontId="14" fillId="0" borderId="22" xfId="60" applyNumberFormat="1" applyFont="1" applyFill="1" applyBorder="1"/>
    <xf numFmtId="169" fontId="19" fillId="0" borderId="21" xfId="60" applyNumberFormat="1" applyFont="1" applyFill="1" applyBorder="1"/>
    <xf numFmtId="169" fontId="19" fillId="0" borderId="23" xfId="60" applyNumberFormat="1" applyFont="1" applyFill="1" applyBorder="1"/>
    <xf numFmtId="165" fontId="13" fillId="0" borderId="0" xfId="4" applyNumberFormat="1" applyFont="1" applyFill="1" applyBorder="1" applyAlignment="1">
      <alignment horizontal="right"/>
    </xf>
    <xf numFmtId="165" fontId="13" fillId="0" borderId="14" xfId="4" applyNumberFormat="1" applyFont="1" applyFill="1" applyBorder="1" applyAlignment="1">
      <alignment horizontal="right"/>
    </xf>
    <xf numFmtId="169" fontId="12" fillId="0" borderId="0" xfId="60" applyNumberFormat="1" applyFont="1" applyAlignment="1">
      <alignment horizontal="left" indent="1"/>
    </xf>
    <xf numFmtId="169" fontId="12" fillId="0" borderId="0" xfId="60" applyNumberFormat="1" applyFont="1" applyFill="1" applyBorder="1" applyAlignment="1">
      <alignment horizontal="right"/>
    </xf>
    <xf numFmtId="169" fontId="12" fillId="0" borderId="14" xfId="60" applyNumberFormat="1" applyFont="1" applyFill="1" applyBorder="1" applyAlignment="1">
      <alignment horizontal="right"/>
    </xf>
    <xf numFmtId="169" fontId="12" fillId="0" borderId="11" xfId="60" applyNumberFormat="1" applyFont="1" applyBorder="1"/>
    <xf numFmtId="169" fontId="12" fillId="0" borderId="21" xfId="60" applyNumberFormat="1" applyFont="1" applyBorder="1"/>
    <xf numFmtId="169" fontId="12" fillId="0" borderId="22" xfId="60" applyNumberFormat="1" applyFont="1" applyBorder="1"/>
    <xf numFmtId="169" fontId="12" fillId="0" borderId="23" xfId="60" applyNumberFormat="1" applyFont="1" applyBorder="1"/>
    <xf numFmtId="165" fontId="13" fillId="0" borderId="0" xfId="60" applyNumberFormat="1" applyFont="1"/>
    <xf numFmtId="165" fontId="13" fillId="0" borderId="0" xfId="60" applyNumberFormat="1" applyFont="1" applyFill="1" applyBorder="1"/>
    <xf numFmtId="165" fontId="12" fillId="0" borderId="0" xfId="60" applyNumberFormat="1" applyFont="1" applyFill="1" applyBorder="1"/>
    <xf numFmtId="165" fontId="12" fillId="0" borderId="14" xfId="60" applyNumberFormat="1" applyFont="1" applyFill="1" applyBorder="1"/>
    <xf numFmtId="9" fontId="12" fillId="0" borderId="0" xfId="60" applyFont="1"/>
    <xf numFmtId="169" fontId="13" fillId="6" borderId="0" xfId="60" applyNumberFormat="1" applyFont="1" applyFill="1" applyBorder="1" applyAlignment="1">
      <alignment horizontal="left" indent="2"/>
    </xf>
    <xf numFmtId="168" fontId="12" fillId="6" borderId="12" xfId="4" applyNumberFormat="1" applyFont="1" applyFill="1" applyBorder="1"/>
    <xf numFmtId="168" fontId="12" fillId="6" borderId="0" xfId="4" applyNumberFormat="1" applyFont="1" applyFill="1" applyBorder="1"/>
    <xf numFmtId="168" fontId="12" fillId="6" borderId="0" xfId="4" applyNumberFormat="1" applyFont="1" applyFill="1"/>
    <xf numFmtId="169" fontId="12" fillId="6" borderId="0" xfId="60" applyNumberFormat="1" applyFont="1" applyFill="1"/>
    <xf numFmtId="169" fontId="12" fillId="6" borderId="12" xfId="60" applyNumberFormat="1" applyFont="1" applyFill="1" applyBorder="1"/>
    <xf numFmtId="169" fontId="12" fillId="6" borderId="0" xfId="60" applyNumberFormat="1" applyFont="1" applyFill="1" applyBorder="1"/>
    <xf numFmtId="169" fontId="19" fillId="6" borderId="0" xfId="60" applyNumberFormat="1" applyFont="1" applyFill="1" applyBorder="1"/>
    <xf numFmtId="169" fontId="19" fillId="6" borderId="11" xfId="60" applyNumberFormat="1" applyFont="1" applyFill="1" applyBorder="1"/>
    <xf numFmtId="169" fontId="13" fillId="0" borderId="21" xfId="60" applyNumberFormat="1" applyFont="1" applyFill="1" applyBorder="1" applyAlignment="1">
      <alignment horizontal="left" indent="2"/>
    </xf>
    <xf numFmtId="168" fontId="12" fillId="0" borderId="22" xfId="4" applyNumberFormat="1" applyFont="1" applyFill="1" applyBorder="1"/>
    <xf numFmtId="168" fontId="12" fillId="0" borderId="21" xfId="4" applyNumberFormat="1" applyFont="1" applyFill="1" applyBorder="1"/>
    <xf numFmtId="166" fontId="12" fillId="0" borderId="0" xfId="4" applyNumberFormat="1" applyFont="1" applyFill="1" applyBorder="1" applyAlignment="1">
      <alignment horizontal="right"/>
    </xf>
    <xf numFmtId="166" fontId="12" fillId="0" borderId="14" xfId="4" applyNumberFormat="1" applyFont="1" applyFill="1" applyBorder="1" applyAlignment="1">
      <alignment horizontal="right"/>
    </xf>
    <xf numFmtId="9" fontId="12" fillId="0" borderId="0" xfId="60" applyFont="1" applyFill="1"/>
    <xf numFmtId="9" fontId="12" fillId="0" borderId="12" xfId="60" applyFont="1" applyBorder="1"/>
    <xf numFmtId="9" fontId="19" fillId="0" borderId="12" xfId="60" applyFont="1" applyFill="1" applyBorder="1"/>
    <xf numFmtId="9" fontId="19" fillId="0" borderId="0" xfId="60" applyFont="1" applyFill="1" applyBorder="1"/>
    <xf numFmtId="9" fontId="19" fillId="0" borderId="11" xfId="60" applyFont="1" applyBorder="1"/>
    <xf numFmtId="9" fontId="12" fillId="0" borderId="11" xfId="60" applyFont="1" applyFill="1" applyBorder="1"/>
    <xf numFmtId="166" fontId="13" fillId="0" borderId="0" xfId="4" applyNumberFormat="1" applyFont="1"/>
    <xf numFmtId="166" fontId="13" fillId="0" borderId="0" xfId="4" applyNumberFormat="1" applyFont="1" applyFill="1" applyBorder="1"/>
    <xf numFmtId="165" fontId="13" fillId="0" borderId="0" xfId="4" applyNumberFormat="1" applyFont="1"/>
    <xf numFmtId="165" fontId="13" fillId="0" borderId="0" xfId="4" applyNumberFormat="1" applyFont="1" applyFill="1" applyBorder="1"/>
    <xf numFmtId="166" fontId="12" fillId="0" borderId="0" xfId="79" applyNumberFormat="1" applyFont="1" applyFill="1" applyBorder="1" applyAlignment="1"/>
    <xf numFmtId="166" fontId="12" fillId="0" borderId="12" xfId="79" applyNumberFormat="1" applyFont="1" applyFill="1" applyBorder="1" applyAlignment="1"/>
    <xf numFmtId="166" fontId="12" fillId="0" borderId="11" xfId="79" applyNumberFormat="1" applyFont="1" applyFill="1" applyBorder="1" applyAlignment="1"/>
    <xf numFmtId="43" fontId="23" fillId="0" borderId="0" xfId="27" applyFont="1" applyFill="1"/>
    <xf numFmtId="43" fontId="12" fillId="0" borderId="0" xfId="27" applyFont="1" applyFill="1"/>
    <xf numFmtId="43" fontId="23" fillId="0" borderId="12" xfId="27" applyFont="1" applyFill="1" applyBorder="1"/>
    <xf numFmtId="43" fontId="23" fillId="0" borderId="11" xfId="27" applyFont="1" applyFill="1" applyBorder="1"/>
    <xf numFmtId="43" fontId="2" fillId="0" borderId="0" xfId="27" applyFont="1" applyFill="1"/>
    <xf numFmtId="43" fontId="24" fillId="0" borderId="0" xfId="27" applyFont="1" applyFill="1"/>
    <xf numFmtId="43" fontId="23" fillId="0" borderId="14" xfId="27" applyFont="1" applyFill="1" applyBorder="1"/>
    <xf numFmtId="166" fontId="12" fillId="3" borderId="12" xfId="79" applyNumberFormat="1" applyFont="1" applyFill="1" applyBorder="1" applyAlignment="1"/>
    <xf numFmtId="166" fontId="12" fillId="0" borderId="0" xfId="79" applyNumberFormat="1" applyFont="1" applyFill="1" applyBorder="1" applyAlignment="1" applyProtection="1">
      <alignment horizontal="right"/>
    </xf>
    <xf numFmtId="166" fontId="12" fillId="0" borderId="14" xfId="79" applyNumberFormat="1" applyFont="1" applyFill="1" applyBorder="1" applyAlignment="1" applyProtection="1">
      <alignment horizontal="right"/>
    </xf>
    <xf numFmtId="166" fontId="12" fillId="3" borderId="11" xfId="79" applyNumberFormat="1" applyFont="1" applyFill="1" applyBorder="1" applyAlignment="1"/>
    <xf numFmtId="166" fontId="13" fillId="0" borderId="0" xfId="4" applyNumberFormat="1" applyFont="1" applyFill="1" applyBorder="1" applyAlignment="1">
      <alignment horizontal="right"/>
    </xf>
    <xf numFmtId="166" fontId="13" fillId="0" borderId="14" xfId="4" applyNumberFormat="1" applyFont="1" applyFill="1" applyBorder="1" applyAlignment="1">
      <alignment horizontal="right"/>
    </xf>
    <xf numFmtId="166" fontId="23" fillId="0" borderId="0" xfId="4" applyNumberFormat="1" applyFont="1" applyFill="1"/>
    <xf numFmtId="0" fontId="24" fillId="0" borderId="0" xfId="4" applyFont="1" applyFill="1"/>
    <xf numFmtId="166" fontId="23" fillId="0" borderId="0" xfId="4" applyNumberFormat="1" applyFont="1" applyFill="1" applyBorder="1"/>
    <xf numFmtId="168" fontId="23" fillId="0" borderId="0" xfId="4" applyNumberFormat="1" applyFont="1" applyFill="1" applyBorder="1"/>
    <xf numFmtId="168" fontId="23" fillId="0" borderId="14" xfId="4" applyNumberFormat="1" applyFont="1" applyFill="1" applyBorder="1"/>
    <xf numFmtId="43" fontId="26" fillId="0" borderId="0" xfId="27" applyFont="1" applyFill="1"/>
    <xf numFmtId="43" fontId="27" fillId="0" borderId="0" xfId="27" applyFont="1" applyFill="1" applyBorder="1"/>
    <xf numFmtId="43" fontId="27" fillId="0" borderId="12" xfId="27" applyFont="1" applyFill="1" applyBorder="1"/>
    <xf numFmtId="43" fontId="27" fillId="0" borderId="11" xfId="27" applyFont="1" applyFill="1" applyBorder="1"/>
    <xf numFmtId="43" fontId="28" fillId="0" borderId="0" xfId="27" applyFont="1" applyFill="1"/>
    <xf numFmtId="43" fontId="26" fillId="0" borderId="0" xfId="27" applyFont="1" applyFill="1" applyBorder="1"/>
    <xf numFmtId="43" fontId="27" fillId="0" borderId="0" xfId="27" applyFont="1" applyFill="1" applyBorder="1" applyAlignment="1">
      <alignment horizontal="right"/>
    </xf>
    <xf numFmtId="43" fontId="27" fillId="0" borderId="0" xfId="27" applyFont="1" applyFill="1"/>
    <xf numFmtId="43" fontId="27" fillId="0" borderId="14" xfId="27" applyFont="1" applyFill="1" applyBorder="1" applyAlignment="1">
      <alignment horizontal="right"/>
    </xf>
    <xf numFmtId="0" fontId="12" fillId="0" borderId="21" xfId="4" applyFont="1" applyBorder="1"/>
    <xf numFmtId="0" fontId="12" fillId="0" borderId="21" xfId="4" applyFont="1" applyFill="1" applyBorder="1"/>
    <xf numFmtId="0" fontId="12" fillId="0" borderId="22" xfId="4" applyFont="1" applyFill="1" applyBorder="1"/>
    <xf numFmtId="0" fontId="12" fillId="0" borderId="22" xfId="4" applyFont="1" applyBorder="1"/>
    <xf numFmtId="0" fontId="12" fillId="0" borderId="23" xfId="4" applyFont="1" applyBorder="1"/>
    <xf numFmtId="165" fontId="4" fillId="0" borderId="0" xfId="79" applyNumberFormat="1" applyFont="1" applyFill="1" applyBorder="1" applyAlignment="1"/>
    <xf numFmtId="165" fontId="4" fillId="0" borderId="11" xfId="79" applyNumberFormat="1" applyFont="1" applyFill="1" applyBorder="1" applyAlignment="1"/>
    <xf numFmtId="165" fontId="12" fillId="0" borderId="0" xfId="79" applyNumberFormat="1" applyFont="1" applyFill="1" applyBorder="1" applyAlignment="1"/>
    <xf numFmtId="169" fontId="19" fillId="0" borderId="0" xfId="4" applyNumberFormat="1" applyFont="1" applyFill="1" applyBorder="1"/>
    <xf numFmtId="43" fontId="19" fillId="0" borderId="0" xfId="27" applyFont="1" applyFill="1" applyBorder="1"/>
    <xf numFmtId="177" fontId="12" fillId="0" borderId="12" xfId="27" applyNumberFormat="1" applyFont="1" applyFill="1" applyBorder="1"/>
    <xf numFmtId="168" fontId="12" fillId="0" borderId="21" xfId="4" applyNumberFormat="1" applyFont="1" applyBorder="1"/>
    <xf numFmtId="0" fontId="12" fillId="0" borderId="0" xfId="4" applyFont="1" applyAlignment="1">
      <alignment horizontal="left"/>
    </xf>
    <xf numFmtId="174" fontId="12" fillId="0" borderId="12" xfId="27" applyNumberFormat="1" applyFont="1" applyFill="1" applyBorder="1"/>
    <xf numFmtId="174" fontId="12" fillId="0" borderId="3" xfId="27" applyNumberFormat="1" applyFont="1" applyFill="1" applyBorder="1"/>
    <xf numFmtId="174" fontId="12" fillId="0" borderId="11" xfId="27" applyNumberFormat="1" applyFont="1" applyFill="1" applyBorder="1"/>
    <xf numFmtId="0" fontId="12" fillId="0" borderId="0" xfId="4" applyFont="1" applyAlignment="1">
      <alignment horizontal="left" indent="1"/>
    </xf>
    <xf numFmtId="8" fontId="12" fillId="0" borderId="12" xfId="60" applyNumberFormat="1" applyFont="1" applyFill="1" applyBorder="1"/>
    <xf numFmtId="8" fontId="12" fillId="0" borderId="3" xfId="60" applyNumberFormat="1" applyFont="1" applyFill="1" applyBorder="1"/>
    <xf numFmtId="8" fontId="12" fillId="0" borderId="0" xfId="60" applyNumberFormat="1" applyFont="1" applyFill="1" applyBorder="1"/>
    <xf numFmtId="8" fontId="12" fillId="0" borderId="11" xfId="60" applyNumberFormat="1" applyFont="1" applyFill="1" applyBorder="1"/>
    <xf numFmtId="8" fontId="29" fillId="0" borderId="0" xfId="60" applyNumberFormat="1" applyFont="1" applyFill="1" applyBorder="1"/>
    <xf numFmtId="169" fontId="29" fillId="0" borderId="12" xfId="60" applyNumberFormat="1" applyFont="1" applyFill="1" applyBorder="1"/>
    <xf numFmtId="172" fontId="12" fillId="0" borderId="12" xfId="60" applyNumberFormat="1" applyFont="1" applyFill="1" applyBorder="1"/>
    <xf numFmtId="166" fontId="4" fillId="0" borderId="12" xfId="79" applyNumberFormat="1" applyFont="1" applyFill="1" applyBorder="1" applyAlignment="1">
      <alignment horizontal="right"/>
    </xf>
    <xf numFmtId="166" fontId="12" fillId="0" borderId="0" xfId="4" applyNumberFormat="1" applyFont="1" applyFill="1" applyAlignment="1">
      <alignment horizontal="right"/>
    </xf>
    <xf numFmtId="172" fontId="12" fillId="0" borderId="12" xfId="4" applyNumberFormat="1" applyFont="1" applyFill="1" applyBorder="1"/>
    <xf numFmtId="172" fontId="19" fillId="0" borderId="0" xfId="27" applyNumberFormat="1" applyFont="1" applyFill="1" applyBorder="1"/>
    <xf numFmtId="172" fontId="19" fillId="0" borderId="12" xfId="27" applyNumberFormat="1" applyFont="1" applyFill="1" applyBorder="1"/>
    <xf numFmtId="7" fontId="12" fillId="0" borderId="0" xfId="31" applyNumberFormat="1" applyFont="1" applyFill="1" applyBorder="1"/>
    <xf numFmtId="7" fontId="12" fillId="0" borderId="12" xfId="31" applyNumberFormat="1" applyFont="1" applyFill="1" applyBorder="1"/>
    <xf numFmtId="7" fontId="12" fillId="3" borderId="0" xfId="31" applyNumberFormat="1" applyFont="1" applyFill="1" applyBorder="1"/>
    <xf numFmtId="7" fontId="14" fillId="3" borderId="11" xfId="31" applyNumberFormat="1" applyFont="1" applyFill="1" applyBorder="1"/>
    <xf numFmtId="168" fontId="12" fillId="0" borderId="11" xfId="4" applyNumberFormat="1" applyFont="1" applyFill="1" applyBorder="1"/>
    <xf numFmtId="0" fontId="12" fillId="0" borderId="11" xfId="4" applyFont="1" applyFill="1" applyBorder="1"/>
    <xf numFmtId="165" fontId="4" fillId="0" borderId="12" xfId="79" applyNumberFormat="1" applyFont="1" applyFill="1" applyBorder="1" applyAlignment="1">
      <alignment horizontal="right"/>
    </xf>
    <xf numFmtId="165" fontId="4" fillId="0" borderId="0" xfId="79" applyNumberFormat="1" applyFont="1" applyFill="1" applyBorder="1" applyAlignment="1">
      <alignment horizontal="right"/>
    </xf>
    <xf numFmtId="165" fontId="4" fillId="0" borderId="11" xfId="79" applyNumberFormat="1" applyFont="1" applyFill="1" applyBorder="1" applyAlignment="1">
      <alignment horizontal="right"/>
    </xf>
    <xf numFmtId="165" fontId="25" fillId="0" borderId="11" xfId="79" applyNumberFormat="1" applyFont="1" applyFill="1" applyBorder="1" applyAlignment="1">
      <alignment horizontal="right"/>
    </xf>
    <xf numFmtId="165" fontId="25" fillId="0" borderId="0" xfId="79" applyNumberFormat="1" applyFont="1" applyFill="1" applyBorder="1" applyAlignment="1">
      <alignment horizontal="right"/>
    </xf>
    <xf numFmtId="166" fontId="4" fillId="0" borderId="12" xfId="27" applyNumberFormat="1" applyFont="1" applyFill="1" applyBorder="1" applyAlignment="1">
      <alignment horizontal="right"/>
    </xf>
    <xf numFmtId="166" fontId="4" fillId="0" borderId="0" xfId="27" applyNumberFormat="1" applyFont="1" applyFill="1" applyBorder="1" applyAlignment="1">
      <alignment horizontal="right"/>
    </xf>
    <xf numFmtId="166" fontId="4" fillId="0" borderId="11" xfId="27" applyNumberFormat="1" applyFont="1" applyFill="1" applyBorder="1" applyAlignment="1">
      <alignment horizontal="right"/>
    </xf>
    <xf numFmtId="166" fontId="19" fillId="0" borderId="11" xfId="4" applyNumberFormat="1" applyFont="1" applyBorder="1"/>
    <xf numFmtId="166" fontId="30" fillId="0" borderId="0" xfId="4" applyNumberFormat="1" applyFont="1"/>
    <xf numFmtId="166" fontId="19" fillId="0" borderId="0" xfId="4" applyNumberFormat="1" applyFont="1" applyFill="1"/>
    <xf numFmtId="165" fontId="14" fillId="0" borderId="0" xfId="4" applyNumberFormat="1" applyFont="1" applyFill="1" applyBorder="1"/>
    <xf numFmtId="165" fontId="14" fillId="0" borderId="12" xfId="4" applyNumberFormat="1" applyFont="1" applyFill="1" applyBorder="1"/>
    <xf numFmtId="165" fontId="14" fillId="0" borderId="11" xfId="4" applyNumberFormat="1" applyFont="1" applyBorder="1"/>
    <xf numFmtId="166" fontId="12" fillId="3" borderId="0" xfId="79" applyNumberFormat="1" applyFont="1" applyFill="1" applyBorder="1" applyAlignment="1" applyProtection="1">
      <alignment horizontal="left" indent="1"/>
    </xf>
    <xf numFmtId="166" fontId="14" fillId="0" borderId="12" xfId="4" applyNumberFormat="1" applyFont="1" applyFill="1" applyBorder="1"/>
    <xf numFmtId="166" fontId="12" fillId="0" borderId="0" xfId="60" applyNumberFormat="1" applyFont="1" applyFill="1" applyBorder="1"/>
    <xf numFmtId="166" fontId="12" fillId="0" borderId="14" xfId="60" applyNumberFormat="1" applyFont="1" applyFill="1" applyBorder="1"/>
    <xf numFmtId="166" fontId="13" fillId="0" borderId="14" xfId="4" applyNumberFormat="1" applyFont="1" applyFill="1" applyBorder="1"/>
    <xf numFmtId="5" fontId="12" fillId="0" borderId="12" xfId="4" applyNumberFormat="1" applyFont="1" applyFill="1" applyBorder="1"/>
    <xf numFmtId="5" fontId="12" fillId="0" borderId="0" xfId="4" applyNumberFormat="1" applyFont="1" applyFill="1" applyBorder="1"/>
    <xf numFmtId="5" fontId="12" fillId="0" borderId="0" xfId="4" applyNumberFormat="1" applyFont="1" applyFill="1"/>
    <xf numFmtId="5" fontId="12" fillId="0" borderId="11" xfId="4" applyNumberFormat="1" applyFont="1" applyBorder="1"/>
    <xf numFmtId="165" fontId="13" fillId="0" borderId="14" xfId="60" applyNumberFormat="1" applyFont="1" applyFill="1" applyBorder="1"/>
    <xf numFmtId="43" fontId="23" fillId="0" borderId="0" xfId="27" applyFont="1"/>
    <xf numFmtId="43" fontId="12" fillId="0" borderId="0" xfId="27" applyFont="1"/>
    <xf numFmtId="43" fontId="23" fillId="0" borderId="11" xfId="27" applyFont="1" applyBorder="1"/>
    <xf numFmtId="43" fontId="2" fillId="0" borderId="0" xfId="27" applyFont="1"/>
    <xf numFmtId="43" fontId="24" fillId="0" borderId="0" xfId="27" applyFont="1"/>
    <xf numFmtId="43" fontId="82" fillId="0" borderId="0" xfId="27" applyFont="1"/>
    <xf numFmtId="0" fontId="12" fillId="0" borderId="25" xfId="4" applyFont="1" applyFill="1" applyBorder="1"/>
    <xf numFmtId="165" fontId="14" fillId="0" borderId="0" xfId="4" applyNumberFormat="1" applyFont="1"/>
    <xf numFmtId="166" fontId="4" fillId="0" borderId="12" xfId="27" applyNumberFormat="1" applyFont="1" applyFill="1" applyBorder="1"/>
    <xf numFmtId="166" fontId="4" fillId="3" borderId="12" xfId="27" applyNumberFormat="1" applyFont="1" applyFill="1" applyBorder="1"/>
    <xf numFmtId="166" fontId="12" fillId="0" borderId="12" xfId="79" applyNumberFormat="1" applyFont="1" applyFill="1" applyBorder="1" applyAlignment="1" applyProtection="1">
      <alignment horizontal="right"/>
    </xf>
    <xf numFmtId="166" fontId="12" fillId="3" borderId="0" xfId="79" applyNumberFormat="1" applyFont="1" applyFill="1" applyBorder="1" applyAlignment="1" applyProtection="1">
      <alignment horizontal="right"/>
    </xf>
    <xf numFmtId="166" fontId="12" fillId="3" borderId="12" xfId="79" applyNumberFormat="1" applyFont="1" applyFill="1" applyBorder="1" applyAlignment="1" applyProtection="1">
      <alignment horizontal="right"/>
    </xf>
    <xf numFmtId="166" fontId="12" fillId="3" borderId="11" xfId="79" applyNumberFormat="1" applyFont="1" applyFill="1" applyBorder="1" applyAlignment="1" applyProtection="1">
      <alignment horizontal="right"/>
    </xf>
    <xf numFmtId="169" fontId="12" fillId="0" borderId="18" xfId="4" applyNumberFormat="1" applyFont="1" applyBorder="1"/>
    <xf numFmtId="169" fontId="12" fillId="0" borderId="15" xfId="4" applyNumberFormat="1" applyFont="1" applyFill="1" applyBorder="1"/>
    <xf numFmtId="169" fontId="4" fillId="0" borderId="0" xfId="60" applyNumberFormat="1" applyFont="1" applyFill="1" applyBorder="1"/>
    <xf numFmtId="169" fontId="4" fillId="0" borderId="12" xfId="60" applyNumberFormat="1" applyFont="1" applyFill="1" applyBorder="1"/>
    <xf numFmtId="169" fontId="4" fillId="3" borderId="0" xfId="60" applyNumberFormat="1" applyFont="1" applyFill="1" applyBorder="1"/>
    <xf numFmtId="169" fontId="4" fillId="3" borderId="12" xfId="60" applyNumberFormat="1" applyFont="1" applyFill="1" applyBorder="1"/>
    <xf numFmtId="169" fontId="4" fillId="3" borderId="15" xfId="60" applyNumberFormat="1" applyFont="1" applyFill="1" applyBorder="1"/>
    <xf numFmtId="169" fontId="4" fillId="3" borderId="18" xfId="60" applyNumberFormat="1" applyFont="1" applyFill="1" applyBorder="1"/>
    <xf numFmtId="169" fontId="82" fillId="0" borderId="0" xfId="4" applyNumberFormat="1" applyFont="1"/>
    <xf numFmtId="169" fontId="12" fillId="0" borderId="27" xfId="4" applyNumberFormat="1" applyFont="1" applyFill="1" applyBorder="1"/>
    <xf numFmtId="0" fontId="12" fillId="0" borderId="2" xfId="4" applyFont="1" applyFill="1" applyBorder="1"/>
    <xf numFmtId="0" fontId="12" fillId="0" borderId="13" xfId="4" applyFont="1" applyFill="1" applyBorder="1"/>
    <xf numFmtId="0" fontId="12" fillId="0" borderId="2" xfId="4" applyFont="1" applyBorder="1"/>
    <xf numFmtId="169" fontId="4" fillId="3" borderId="11" xfId="60" applyNumberFormat="1" applyFont="1" applyFill="1" applyBorder="1" applyAlignment="1" applyProtection="1">
      <alignment horizontal="left"/>
    </xf>
    <xf numFmtId="9" fontId="14" fillId="0" borderId="0" xfId="60" applyFont="1" applyFill="1" applyBorder="1"/>
    <xf numFmtId="9" fontId="14" fillId="0" borderId="12" xfId="60" applyFont="1" applyFill="1" applyBorder="1"/>
    <xf numFmtId="9" fontId="14" fillId="0" borderId="11" xfId="60" applyFont="1" applyBorder="1"/>
    <xf numFmtId="169" fontId="7" fillId="3" borderId="11" xfId="60" applyNumberFormat="1" applyFont="1" applyFill="1" applyBorder="1" applyAlignment="1" applyProtection="1">
      <alignment horizontal="left"/>
    </xf>
    <xf numFmtId="9" fontId="12" fillId="0" borderId="11" xfId="60" applyFont="1" applyBorder="1"/>
    <xf numFmtId="166" fontId="4" fillId="3" borderId="11" xfId="60" applyNumberFormat="1" applyFont="1" applyFill="1" applyBorder="1" applyAlignment="1" applyProtection="1">
      <alignment horizontal="left"/>
    </xf>
    <xf numFmtId="169" fontId="4" fillId="0" borderId="17" xfId="60" applyNumberFormat="1" applyFont="1" applyFill="1" applyBorder="1"/>
    <xf numFmtId="169" fontId="4" fillId="0" borderId="15" xfId="60" applyNumberFormat="1" applyFont="1" applyFill="1" applyBorder="1"/>
    <xf numFmtId="169" fontId="4" fillId="3" borderId="17" xfId="60" applyNumberFormat="1" applyFont="1" applyFill="1" applyBorder="1"/>
    <xf numFmtId="0" fontId="12" fillId="0" borderId="3" xfId="4" applyFont="1" applyFill="1" applyBorder="1"/>
    <xf numFmtId="0" fontId="35" fillId="7" borderId="0" xfId="4" applyFont="1" applyFill="1"/>
    <xf numFmtId="9" fontId="38" fillId="0" borderId="11" xfId="60" applyFont="1" applyBorder="1"/>
    <xf numFmtId="174" fontId="39" fillId="0" borderId="0" xfId="27" applyNumberFormat="1" applyFont="1" applyFill="1" applyBorder="1"/>
    <xf numFmtId="174" fontId="39" fillId="0" borderId="0" xfId="27" applyNumberFormat="1" applyFont="1" applyBorder="1"/>
    <xf numFmtId="174" fontId="39" fillId="0" borderId="11" xfId="4" applyNumberFormat="1" applyFont="1" applyFill="1" applyBorder="1"/>
    <xf numFmtId="174" fontId="39" fillId="3" borderId="0" xfId="27" applyNumberFormat="1" applyFont="1" applyFill="1" applyBorder="1"/>
    <xf numFmtId="174" fontId="39" fillId="0" borderId="0" xfId="4" applyNumberFormat="1" applyFont="1" applyBorder="1"/>
    <xf numFmtId="174" fontId="39" fillId="0" borderId="12" xfId="4" applyNumberFormat="1" applyFont="1" applyBorder="1"/>
    <xf numFmtId="174" fontId="39" fillId="0" borderId="11" xfId="4" applyNumberFormat="1" applyFont="1" applyBorder="1"/>
    <xf numFmtId="174" fontId="39" fillId="0" borderId="0" xfId="4" applyNumberFormat="1" applyFont="1" applyFill="1" applyBorder="1"/>
    <xf numFmtId="174" fontId="10" fillId="0" borderId="0" xfId="4" applyNumberFormat="1" applyFont="1" applyBorder="1"/>
    <xf numFmtId="174" fontId="10" fillId="0" borderId="12" xfId="4" applyNumberFormat="1" applyFont="1" applyBorder="1"/>
    <xf numFmtId="0" fontId="10" fillId="0" borderId="0" xfId="4" applyFont="1" applyBorder="1" applyAlignment="1">
      <alignment horizontal="right"/>
    </xf>
    <xf numFmtId="174" fontId="10" fillId="0" borderId="0" xfId="27" applyNumberFormat="1" applyFont="1" applyBorder="1"/>
    <xf numFmtId="174" fontId="10" fillId="0" borderId="12" xfId="27" applyNumberFormat="1" applyFont="1" applyBorder="1"/>
    <xf numFmtId="174" fontId="10" fillId="3" borderId="12" xfId="27" applyNumberFormat="1" applyFont="1" applyFill="1" applyBorder="1"/>
    <xf numFmtId="0" fontId="10" fillId="0" borderId="18" xfId="4" applyFont="1" applyBorder="1" applyAlignment="1">
      <alignment horizontal="left" indent="1"/>
    </xf>
    <xf numFmtId="174" fontId="10" fillId="0" borderId="15" xfId="4" applyNumberFormat="1" applyFont="1" applyBorder="1"/>
    <xf numFmtId="0" fontId="10" fillId="0" borderId="16" xfId="4" applyFont="1" applyBorder="1" applyAlignment="1">
      <alignment horizontal="right"/>
    </xf>
    <xf numFmtId="0" fontId="10" fillId="0" borderId="17" xfId="4" applyFont="1" applyBorder="1" applyAlignment="1">
      <alignment horizontal="right"/>
    </xf>
    <xf numFmtId="0" fontId="10" fillId="0" borderId="18" xfId="4" applyFont="1" applyBorder="1" applyAlignment="1">
      <alignment horizontal="right"/>
    </xf>
    <xf numFmtId="174" fontId="10" fillId="0" borderId="17" xfId="27" applyNumberFormat="1" applyFont="1" applyBorder="1"/>
    <xf numFmtId="174" fontId="10" fillId="0" borderId="15" xfId="27" applyNumberFormat="1" applyFont="1" applyBorder="1"/>
    <xf numFmtId="174" fontId="10" fillId="0" borderId="16" xfId="27" applyNumberFormat="1" applyFont="1" applyBorder="1"/>
    <xf numFmtId="174" fontId="10" fillId="3" borderId="15" xfId="27" applyNumberFormat="1" applyFont="1" applyFill="1" applyBorder="1"/>
    <xf numFmtId="169" fontId="10" fillId="0" borderId="17" xfId="27" applyNumberFormat="1" applyFont="1" applyBorder="1"/>
    <xf numFmtId="174" fontId="39" fillId="0" borderId="17" xfId="4" applyNumberFormat="1" applyFont="1" applyBorder="1"/>
    <xf numFmtId="174" fontId="40" fillId="0" borderId="12" xfId="4" applyNumberFormat="1" applyFont="1" applyBorder="1"/>
    <xf numFmtId="174" fontId="40" fillId="4" borderId="0" xfId="4" applyNumberFormat="1" applyFont="1" applyFill="1"/>
    <xf numFmtId="174" fontId="40" fillId="4" borderId="3" xfId="27" applyNumberFormat="1" applyFont="1" applyFill="1" applyBorder="1"/>
    <xf numFmtId="174" fontId="40" fillId="0" borderId="11" xfId="4" applyNumberFormat="1" applyFont="1" applyBorder="1"/>
    <xf numFmtId="9" fontId="39" fillId="0" borderId="12" xfId="60" applyFont="1" applyBorder="1"/>
    <xf numFmtId="169" fontId="39" fillId="4" borderId="0" xfId="60" applyNumberFormat="1" applyFont="1" applyFill="1"/>
    <xf numFmtId="9" fontId="39" fillId="0" borderId="11" xfId="60" applyFont="1" applyBorder="1"/>
    <xf numFmtId="9" fontId="39" fillId="0" borderId="15" xfId="60" applyFont="1" applyBorder="1"/>
    <xf numFmtId="9" fontId="39" fillId="0" borderId="18" xfId="60" applyFont="1" applyBorder="1"/>
    <xf numFmtId="174" fontId="40" fillId="0" borderId="13" xfId="4" applyNumberFormat="1" applyFont="1" applyBorder="1"/>
    <xf numFmtId="169" fontId="39" fillId="0" borderId="12" xfId="60" applyNumberFormat="1" applyFont="1" applyFill="1" applyBorder="1"/>
    <xf numFmtId="169" fontId="39" fillId="0" borderId="11" xfId="60" applyNumberFormat="1" applyFont="1" applyFill="1" applyBorder="1"/>
    <xf numFmtId="169" fontId="39" fillId="0" borderId="0" xfId="60" applyNumberFormat="1" applyFont="1" applyFill="1" applyBorder="1"/>
    <xf numFmtId="168" fontId="39" fillId="6" borderId="12" xfId="4" applyNumberFormat="1" applyFont="1" applyFill="1" applyBorder="1"/>
    <xf numFmtId="168" fontId="39" fillId="6" borderId="11" xfId="4" applyNumberFormat="1" applyFont="1" applyFill="1" applyBorder="1"/>
    <xf numFmtId="169" fontId="37" fillId="6" borderId="3" xfId="60" applyNumberFormat="1" applyFont="1" applyFill="1" applyBorder="1" applyAlignment="1">
      <alignment horizontal="left" indent="2"/>
    </xf>
    <xf numFmtId="168" fontId="39" fillId="6" borderId="12" xfId="5" applyNumberFormat="1" applyFont="1" applyFill="1" applyBorder="1"/>
    <xf numFmtId="169" fontId="39" fillId="6" borderId="0" xfId="60" applyNumberFormat="1" applyFont="1" applyFill="1" applyBorder="1"/>
    <xf numFmtId="169" fontId="39" fillId="6" borderId="12" xfId="60" applyNumberFormat="1" applyFont="1" applyFill="1" applyBorder="1"/>
    <xf numFmtId="43" fontId="39" fillId="6" borderId="0" xfId="27" applyFont="1" applyFill="1" applyBorder="1"/>
    <xf numFmtId="43" fontId="39" fillId="6" borderId="12" xfId="27" applyFont="1" applyFill="1" applyBorder="1"/>
    <xf numFmtId="174" fontId="4" fillId="0" borderId="0" xfId="4" applyNumberFormat="1" applyFont="1"/>
    <xf numFmtId="174" fontId="12" fillId="0" borderId="0" xfId="27" applyNumberFormat="1" applyFont="1"/>
    <xf numFmtId="174" fontId="12" fillId="0" borderId="12" xfId="27" applyNumberFormat="1" applyFont="1" applyBorder="1"/>
    <xf numFmtId="174" fontId="12" fillId="3" borderId="0" xfId="27" applyNumberFormat="1" applyFont="1" applyFill="1"/>
    <xf numFmtId="174" fontId="39" fillId="0" borderId="0" xfId="5" applyNumberFormat="1" applyFont="1" applyBorder="1" applyAlignment="1"/>
    <xf numFmtId="174" fontId="19" fillId="0" borderId="12" xfId="27" applyNumberFormat="1" applyFont="1" applyBorder="1"/>
    <xf numFmtId="174" fontId="7" fillId="0" borderId="0" xfId="4" applyNumberFormat="1" applyFont="1"/>
    <xf numFmtId="0" fontId="10" fillId="0" borderId="0" xfId="4" applyFont="1" applyAlignment="1">
      <alignment horizontal="left" indent="1"/>
    </xf>
    <xf numFmtId="0" fontId="10" fillId="0" borderId="12" xfId="4" applyFont="1" applyBorder="1" applyAlignment="1">
      <alignment horizontal="left" indent="1"/>
    </xf>
    <xf numFmtId="174" fontId="39" fillId="4" borderId="0" xfId="4" applyNumberFormat="1" applyFont="1" applyFill="1"/>
    <xf numFmtId="0" fontId="42" fillId="3" borderId="0" xfId="4" applyFont="1" applyFill="1"/>
    <xf numFmtId="0" fontId="42" fillId="0" borderId="12" xfId="4" applyFont="1" applyFill="1" applyBorder="1"/>
    <xf numFmtId="174" fontId="39" fillId="0" borderId="0" xfId="4" applyNumberFormat="1" applyFont="1"/>
    <xf numFmtId="174" fontId="39" fillId="0" borderId="3" xfId="4" applyNumberFormat="1" applyFont="1" applyBorder="1"/>
    <xf numFmtId="174" fontId="39" fillId="0" borderId="15" xfId="4" applyNumberFormat="1" applyFont="1" applyBorder="1"/>
    <xf numFmtId="174" fontId="39" fillId="0" borderId="18" xfId="4" applyNumberFormat="1" applyFont="1" applyBorder="1"/>
    <xf numFmtId="9" fontId="39" fillId="0" borderId="2" xfId="60" applyFont="1" applyBorder="1"/>
    <xf numFmtId="9" fontId="39" fillId="0" borderId="0" xfId="60" applyFont="1" applyBorder="1"/>
    <xf numFmtId="0" fontId="7" fillId="0" borderId="0" xfId="4" applyFont="1" applyAlignment="1">
      <alignment horizontal="left" indent="1"/>
    </xf>
    <xf numFmtId="169" fontId="4" fillId="3" borderId="0" xfId="60" applyNumberFormat="1" applyFont="1" applyFill="1"/>
    <xf numFmtId="169" fontId="4" fillId="3" borderId="11" xfId="60" applyNumberFormat="1" applyFont="1" applyFill="1" applyBorder="1"/>
    <xf numFmtId="169" fontId="4" fillId="0" borderId="11" xfId="60" applyNumberFormat="1" applyFont="1" applyFill="1" applyBorder="1"/>
    <xf numFmtId="0" fontId="7" fillId="0" borderId="0" xfId="4" applyFont="1" applyAlignment="1">
      <alignment horizontal="left"/>
    </xf>
    <xf numFmtId="174" fontId="7" fillId="0" borderId="0" xfId="27" applyNumberFormat="1" applyFont="1"/>
    <xf numFmtId="43" fontId="7" fillId="3" borderId="0" xfId="27" applyNumberFormat="1" applyFont="1" applyFill="1"/>
    <xf numFmtId="174" fontId="7" fillId="3" borderId="0" xfId="27" applyNumberFormat="1" applyFont="1" applyFill="1"/>
    <xf numFmtId="0" fontId="7" fillId="0" borderId="0" xfId="4" applyFont="1"/>
    <xf numFmtId="0" fontId="7" fillId="0" borderId="0" xfId="4" applyFont="1" applyBorder="1" applyAlignment="1"/>
    <xf numFmtId="0" fontId="7" fillId="0" borderId="12" xfId="4" applyFont="1" applyBorder="1" applyAlignment="1"/>
    <xf numFmtId="169" fontId="4" fillId="3" borderId="3" xfId="60" applyNumberFormat="1" applyFont="1" applyFill="1" applyBorder="1"/>
    <xf numFmtId="169" fontId="39" fillId="3" borderId="0" xfId="60" applyNumberFormat="1" applyFont="1" applyFill="1" applyBorder="1"/>
    <xf numFmtId="169" fontId="39" fillId="3" borderId="12" xfId="60" applyNumberFormat="1" applyFont="1" applyFill="1" applyBorder="1"/>
    <xf numFmtId="0" fontId="44" fillId="0" borderId="0" xfId="4" applyFont="1" applyBorder="1"/>
    <xf numFmtId="1" fontId="44" fillId="0" borderId="0" xfId="4" applyNumberFormat="1" applyFont="1"/>
    <xf numFmtId="174" fontId="4" fillId="0" borderId="12" xfId="27" applyNumberFormat="1" applyFont="1" applyBorder="1"/>
    <xf numFmtId="174" fontId="7" fillId="0" borderId="3" xfId="4" applyNumberFormat="1" applyFont="1" applyBorder="1" applyAlignment="1"/>
    <xf numFmtId="174" fontId="7" fillId="0" borderId="12" xfId="4" applyNumberFormat="1" applyFont="1" applyBorder="1" applyAlignment="1"/>
    <xf numFmtId="169" fontId="39" fillId="0" borderId="0" xfId="60" applyNumberFormat="1" applyFont="1" applyAlignment="1"/>
    <xf numFmtId="169" fontId="39" fillId="0" borderId="12" xfId="60" applyNumberFormat="1" applyFont="1" applyBorder="1" applyAlignment="1"/>
    <xf numFmtId="169" fontId="39" fillId="3" borderId="3" xfId="60" applyNumberFormat="1" applyFont="1" applyFill="1" applyBorder="1"/>
    <xf numFmtId="174" fontId="7" fillId="0" borderId="0" xfId="4" applyNumberFormat="1" applyFont="1" applyBorder="1" applyAlignment="1"/>
    <xf numFmtId="174" fontId="7" fillId="0" borderId="0" xfId="27" applyNumberFormat="1" applyFont="1" applyBorder="1" applyAlignment="1"/>
    <xf numFmtId="174" fontId="7" fillId="0" borderId="12" xfId="27" applyNumberFormat="1" applyFont="1" applyBorder="1" applyAlignment="1"/>
    <xf numFmtId="174" fontId="7" fillId="0" borderId="11" xfId="4" applyNumberFormat="1" applyFont="1" applyBorder="1" applyAlignment="1"/>
    <xf numFmtId="174" fontId="39" fillId="3" borderId="3" xfId="4" applyNumberFormat="1" applyFont="1" applyFill="1" applyBorder="1" applyAlignment="1">
      <alignment horizontal="left"/>
    </xf>
    <xf numFmtId="174" fontId="39" fillId="3" borderId="0" xfId="4" applyNumberFormat="1" applyFont="1" applyFill="1" applyBorder="1" applyAlignment="1">
      <alignment horizontal="left"/>
    </xf>
    <xf numFmtId="174" fontId="39" fillId="3" borderId="12" xfId="4" applyNumberFormat="1" applyFont="1" applyFill="1" applyBorder="1" applyAlignment="1">
      <alignment horizontal="left"/>
    </xf>
    <xf numFmtId="9" fontId="4" fillId="0" borderId="12" xfId="4" applyNumberFormat="1" applyFont="1" applyBorder="1"/>
    <xf numFmtId="174" fontId="4" fillId="0" borderId="0" xfId="4" applyNumberFormat="1" applyFont="1" applyBorder="1" applyAlignment="1">
      <alignment horizontal="left"/>
    </xf>
    <xf numFmtId="9" fontId="4" fillId="0" borderId="0" xfId="4" applyNumberFormat="1" applyFont="1" applyBorder="1"/>
    <xf numFmtId="174" fontId="4" fillId="0" borderId="12" xfId="4" applyNumberFormat="1" applyFont="1" applyBorder="1" applyAlignment="1">
      <alignment horizontal="left"/>
    </xf>
    <xf numFmtId="174" fontId="4" fillId="0" borderId="0" xfId="4" applyNumberFormat="1" applyFont="1" applyAlignment="1">
      <alignment horizontal="left" indent="2"/>
    </xf>
    <xf numFmtId="169" fontId="4" fillId="3" borderId="0" xfId="4" applyNumberFormat="1" applyFont="1" applyFill="1" applyBorder="1"/>
    <xf numFmtId="0" fontId="2" fillId="0" borderId="0" xfId="79" applyFont="1" applyAlignment="1"/>
    <xf numFmtId="0" fontId="46" fillId="0" borderId="0" xfId="79" applyFont="1" applyFill="1" applyBorder="1" applyAlignment="1">
      <alignment horizontal="center"/>
    </xf>
    <xf numFmtId="0" fontId="46" fillId="0" borderId="21" xfId="79" applyFont="1" applyFill="1" applyBorder="1" applyAlignment="1">
      <alignment horizontal="center"/>
    </xf>
    <xf numFmtId="0" fontId="3" fillId="0" borderId="28" xfId="79" applyFont="1" applyFill="1" applyBorder="1" applyAlignment="1"/>
    <xf numFmtId="0" fontId="3" fillId="0" borderId="29" xfId="79" applyFont="1" applyFill="1" applyBorder="1" applyAlignment="1">
      <alignment horizontal="left"/>
    </xf>
    <xf numFmtId="0" fontId="3" fillId="0" borderId="29" xfId="79" applyFont="1" applyFill="1" applyBorder="1" applyAlignment="1">
      <alignment horizontal="center"/>
    </xf>
    <xf numFmtId="179" fontId="3" fillId="0" borderId="29" xfId="79" applyNumberFormat="1" applyFont="1" applyFill="1" applyBorder="1" applyAlignment="1">
      <alignment horizontal="center"/>
    </xf>
    <xf numFmtId="169" fontId="3" fillId="0" borderId="29" xfId="79" applyNumberFormat="1" applyFont="1" applyFill="1" applyBorder="1" applyAlignment="1">
      <alignment horizontal="center"/>
    </xf>
    <xf numFmtId="0" fontId="2" fillId="0" borderId="10" xfId="44" applyBorder="1"/>
    <xf numFmtId="0" fontId="3" fillId="0" borderId="30" xfId="79" applyFont="1" applyFill="1" applyBorder="1" applyAlignment="1"/>
    <xf numFmtId="0" fontId="3" fillId="0" borderId="0" xfId="79" applyFont="1" applyFill="1" applyBorder="1" applyAlignment="1">
      <alignment horizontal="center"/>
    </xf>
    <xf numFmtId="0" fontId="2" fillId="0" borderId="14" xfId="44" applyBorder="1"/>
    <xf numFmtId="0" fontId="3" fillId="0" borderId="31" xfId="79" applyFont="1" applyFill="1" applyBorder="1" applyAlignment="1"/>
    <xf numFmtId="1" fontId="3" fillId="0" borderId="21" xfId="79" applyNumberFormat="1" applyFont="1" applyFill="1" applyBorder="1" applyAlignment="1">
      <alignment horizontal="center"/>
    </xf>
    <xf numFmtId="180" fontId="3" fillId="0" borderId="21" xfId="79" applyNumberFormat="1" applyFont="1" applyFill="1" applyBorder="1" applyAlignment="1">
      <alignment horizontal="center"/>
    </xf>
    <xf numFmtId="180" fontId="3" fillId="0" borderId="32" xfId="79" applyNumberFormat="1" applyFont="1" applyFill="1" applyBorder="1" applyAlignment="1">
      <alignment horizontal="center"/>
    </xf>
    <xf numFmtId="180" fontId="3" fillId="0" borderId="27" xfId="79" applyNumberFormat="1" applyFont="1" applyFill="1" applyBorder="1" applyAlignment="1">
      <alignment horizontal="center"/>
    </xf>
    <xf numFmtId="0" fontId="3" fillId="0" borderId="30" xfId="53" applyFont="1" applyFill="1" applyBorder="1"/>
    <xf numFmtId="3" fontId="47" fillId="0" borderId="0" xfId="79" applyNumberFormat="1" applyFont="1" applyFill="1" applyBorder="1" applyAlignment="1">
      <alignment horizontal="center"/>
    </xf>
    <xf numFmtId="3" fontId="3" fillId="0" borderId="0" xfId="79" applyNumberFormat="1" applyFont="1" applyFill="1" applyBorder="1" applyAlignment="1">
      <alignment horizontal="center"/>
    </xf>
    <xf numFmtId="3" fontId="3" fillId="0" borderId="33" xfId="79" applyNumberFormat="1" applyFont="1" applyFill="1" applyBorder="1" applyAlignment="1">
      <alignment horizontal="center"/>
    </xf>
    <xf numFmtId="3" fontId="3" fillId="0" borderId="10" xfId="79" applyNumberFormat="1" applyFont="1" applyFill="1" applyBorder="1" applyAlignment="1">
      <alignment horizontal="center"/>
    </xf>
    <xf numFmtId="0" fontId="48" fillId="0" borderId="30" xfId="79" applyFont="1" applyBorder="1" applyAlignment="1"/>
    <xf numFmtId="9" fontId="49" fillId="0" borderId="0" xfId="79" applyNumberFormat="1" applyFont="1" applyFill="1" applyBorder="1" applyAlignment="1">
      <alignment horizontal="center"/>
    </xf>
    <xf numFmtId="9" fontId="49" fillId="0" borderId="0" xfId="60" applyFont="1" applyFill="1" applyBorder="1" applyAlignment="1">
      <alignment horizontal="center"/>
    </xf>
    <xf numFmtId="9" fontId="49" fillId="0" borderId="33" xfId="79" applyNumberFormat="1" applyFont="1" applyFill="1" applyBorder="1" applyAlignment="1">
      <alignment horizontal="center"/>
    </xf>
    <xf numFmtId="9" fontId="49" fillId="0" borderId="14" xfId="79" applyNumberFormat="1" applyFont="1" applyFill="1" applyBorder="1" applyAlignment="1">
      <alignment horizontal="center"/>
    </xf>
    <xf numFmtId="9" fontId="48" fillId="0" borderId="0" xfId="60" applyFont="1" applyFill="1" applyBorder="1" applyAlignment="1">
      <alignment horizontal="center"/>
    </xf>
    <xf numFmtId="9" fontId="48" fillId="0" borderId="0" xfId="79" applyNumberFormat="1" applyFont="1" applyFill="1" applyBorder="1" applyAlignment="1">
      <alignment horizontal="center"/>
    </xf>
    <xf numFmtId="9" fontId="48" fillId="0" borderId="0" xfId="60" applyNumberFormat="1" applyFont="1" applyFill="1" applyBorder="1" applyAlignment="1">
      <alignment horizontal="center"/>
    </xf>
    <xf numFmtId="9" fontId="48" fillId="0" borderId="33" xfId="79" applyNumberFormat="1" applyFont="1" applyFill="1" applyBorder="1" applyAlignment="1">
      <alignment horizontal="center"/>
    </xf>
    <xf numFmtId="9" fontId="48" fillId="0" borderId="14" xfId="79" applyNumberFormat="1" applyFont="1" applyFill="1" applyBorder="1" applyAlignment="1">
      <alignment horizontal="center"/>
    </xf>
    <xf numFmtId="9" fontId="50" fillId="0" borderId="0" xfId="60" applyNumberFormat="1" applyFont="1" applyFill="1" applyBorder="1" applyAlignment="1">
      <alignment horizontal="center"/>
    </xf>
    <xf numFmtId="9" fontId="50" fillId="0" borderId="0" xfId="79" applyNumberFormat="1" applyFont="1" applyFill="1" applyBorder="1" applyAlignment="1">
      <alignment horizontal="center"/>
    </xf>
    <xf numFmtId="0" fontId="48" fillId="0" borderId="30" xfId="79" applyFont="1" applyBorder="1" applyAlignment="1">
      <alignment horizontal="left"/>
    </xf>
    <xf numFmtId="9" fontId="49" fillId="0" borderId="17" xfId="60" applyFont="1" applyFill="1" applyBorder="1" applyAlignment="1">
      <alignment horizontal="center"/>
    </xf>
    <xf numFmtId="9" fontId="49" fillId="0" borderId="17" xfId="60" applyNumberFormat="1" applyFont="1" applyFill="1" applyBorder="1" applyAlignment="1">
      <alignment horizontal="center"/>
    </xf>
    <xf numFmtId="9" fontId="49" fillId="0" borderId="34" xfId="60" applyFont="1" applyFill="1" applyBorder="1" applyAlignment="1">
      <alignment horizontal="center"/>
    </xf>
    <xf numFmtId="9" fontId="49" fillId="0" borderId="19" xfId="60" applyFont="1" applyFill="1" applyBorder="1" applyAlignment="1">
      <alignment horizontal="center"/>
    </xf>
    <xf numFmtId="0" fontId="3" fillId="0" borderId="30" xfId="79" quotePrefix="1" applyFont="1" applyBorder="1" applyAlignment="1"/>
    <xf numFmtId="3" fontId="3" fillId="0" borderId="14" xfId="79" applyNumberFormat="1" applyFont="1" applyFill="1" applyBorder="1" applyAlignment="1">
      <alignment horizontal="center"/>
    </xf>
    <xf numFmtId="0" fontId="9" fillId="0" borderId="30" xfId="79" quotePrefix="1" applyFont="1" applyBorder="1" applyAlignment="1"/>
    <xf numFmtId="37" fontId="51" fillId="0" borderId="17" xfId="79" applyNumberFormat="1" applyFont="1" applyFill="1" applyBorder="1" applyAlignment="1">
      <alignment horizontal="center"/>
    </xf>
    <xf numFmtId="37" fontId="51" fillId="0" borderId="34" xfId="79" applyNumberFormat="1" applyFont="1" applyFill="1" applyBorder="1" applyAlignment="1">
      <alignment horizontal="center"/>
    </xf>
    <xf numFmtId="37" fontId="51" fillId="0" borderId="19" xfId="79" applyNumberFormat="1" applyFont="1" applyFill="1" applyBorder="1" applyAlignment="1">
      <alignment horizontal="center"/>
    </xf>
    <xf numFmtId="0" fontId="3" fillId="0" borderId="30" xfId="79" applyFont="1" applyBorder="1" applyAlignment="1"/>
    <xf numFmtId="0" fontId="9" fillId="0" borderId="30" xfId="79" applyFont="1" applyBorder="1" applyAlignment="1"/>
    <xf numFmtId="3" fontId="9" fillId="0" borderId="0" xfId="79" applyNumberFormat="1" applyFont="1" applyFill="1" applyBorder="1" applyAlignment="1">
      <alignment horizontal="center"/>
    </xf>
    <xf numFmtId="9" fontId="9" fillId="0" borderId="0" xfId="60" applyFont="1" applyFill="1" applyBorder="1" applyAlignment="1">
      <alignment horizontal="center"/>
    </xf>
    <xf numFmtId="9" fontId="9" fillId="0" borderId="33" xfId="60" applyFont="1" applyFill="1" applyBorder="1" applyAlignment="1">
      <alignment horizontal="center"/>
    </xf>
    <xf numFmtId="9" fontId="9" fillId="0" borderId="14" xfId="60" applyFont="1" applyFill="1" applyBorder="1" applyAlignment="1">
      <alignment horizontal="center"/>
    </xf>
    <xf numFmtId="37" fontId="9" fillId="0" borderId="0" xfId="79" applyNumberFormat="1" applyFont="1" applyFill="1" applyBorder="1" applyAlignment="1">
      <alignment horizontal="center"/>
    </xf>
    <xf numFmtId="37" fontId="9" fillId="0" borderId="33" xfId="79" applyNumberFormat="1" applyFont="1" applyFill="1" applyBorder="1" applyAlignment="1">
      <alignment horizontal="center"/>
    </xf>
    <xf numFmtId="37" fontId="9" fillId="0" borderId="14" xfId="79" applyNumberFormat="1" applyFont="1" applyFill="1" applyBorder="1" applyAlignment="1">
      <alignment horizontal="center"/>
    </xf>
    <xf numFmtId="179" fontId="48" fillId="0" borderId="0" xfId="79" applyNumberFormat="1" applyFont="1" applyFill="1" applyBorder="1" applyAlignment="1">
      <alignment horizontal="center"/>
    </xf>
    <xf numFmtId="179" fontId="48" fillId="0" borderId="33" xfId="79" applyNumberFormat="1" applyFont="1" applyFill="1" applyBorder="1" applyAlignment="1">
      <alignment horizontal="center"/>
    </xf>
    <xf numFmtId="179" fontId="48" fillId="0" borderId="14" xfId="79" applyNumberFormat="1" applyFont="1" applyFill="1" applyBorder="1" applyAlignment="1">
      <alignment horizontal="center"/>
    </xf>
    <xf numFmtId="37" fontId="3" fillId="0" borderId="17" xfId="79" applyNumberFormat="1" applyFont="1" applyFill="1" applyBorder="1" applyAlignment="1">
      <alignment horizontal="center"/>
    </xf>
    <xf numFmtId="37" fontId="3" fillId="0" borderId="34" xfId="79" applyNumberFormat="1" applyFont="1" applyFill="1" applyBorder="1" applyAlignment="1">
      <alignment horizontal="center"/>
    </xf>
    <xf numFmtId="37" fontId="3" fillId="0" borderId="19" xfId="79" applyNumberFormat="1" applyFont="1" applyFill="1" applyBorder="1" applyAlignment="1">
      <alignment horizontal="center"/>
    </xf>
    <xf numFmtId="3" fontId="3" fillId="0" borderId="0" xfId="79" applyNumberFormat="1" applyFont="1" applyBorder="1" applyAlignment="1">
      <alignment horizontal="center"/>
    </xf>
    <xf numFmtId="3" fontId="3" fillId="0" borderId="33" xfId="79" applyNumberFormat="1" applyFont="1" applyBorder="1" applyAlignment="1">
      <alignment horizontal="center"/>
    </xf>
    <xf numFmtId="3" fontId="3" fillId="0" borderId="14" xfId="79" applyNumberFormat="1" applyFont="1" applyBorder="1" applyAlignment="1">
      <alignment horizontal="center"/>
    </xf>
    <xf numFmtId="0" fontId="3" fillId="0" borderId="35" xfId="79" applyFont="1" applyFill="1" applyBorder="1" applyAlignment="1"/>
    <xf numFmtId="3" fontId="3" fillId="0" borderId="17" xfId="79" applyNumberFormat="1" applyFont="1" applyFill="1" applyBorder="1" applyAlignment="1">
      <alignment horizontal="center"/>
    </xf>
    <xf numFmtId="3" fontId="3" fillId="0" borderId="34" xfId="79" applyNumberFormat="1" applyFont="1" applyFill="1" applyBorder="1" applyAlignment="1">
      <alignment horizontal="center"/>
    </xf>
    <xf numFmtId="3" fontId="3" fillId="0" borderId="19" xfId="79" applyNumberFormat="1" applyFont="1" applyFill="1" applyBorder="1" applyAlignment="1">
      <alignment horizontal="center"/>
    </xf>
    <xf numFmtId="0" fontId="9" fillId="0" borderId="36" xfId="79" applyFont="1" applyBorder="1" applyAlignment="1">
      <alignment horizontal="left" indent="1"/>
    </xf>
    <xf numFmtId="0" fontId="9" fillId="0" borderId="6" xfId="79" applyFont="1" applyBorder="1" applyAlignment="1">
      <alignment horizontal="center"/>
    </xf>
    <xf numFmtId="9" fontId="9" fillId="0" borderId="6" xfId="79" applyNumberFormat="1" applyFont="1" applyBorder="1" applyAlignment="1">
      <alignment horizontal="center"/>
    </xf>
    <xf numFmtId="9" fontId="9" fillId="0" borderId="37" xfId="79" applyNumberFormat="1" applyFont="1" applyBorder="1" applyAlignment="1">
      <alignment horizontal="center"/>
    </xf>
    <xf numFmtId="9" fontId="9" fillId="0" borderId="38" xfId="79" applyNumberFormat="1" applyFont="1" applyBorder="1" applyAlignment="1">
      <alignment horizontal="center"/>
    </xf>
    <xf numFmtId="0" fontId="9" fillId="0" borderId="0" xfId="79" applyFont="1" applyBorder="1" applyAlignment="1"/>
    <xf numFmtId="0" fontId="9" fillId="0" borderId="0" xfId="79" applyFont="1" applyBorder="1" applyAlignment="1">
      <alignment horizontal="center"/>
    </xf>
    <xf numFmtId="3" fontId="52" fillId="0" borderId="0" xfId="79" applyNumberFormat="1" applyFont="1" applyBorder="1" applyAlignment="1">
      <alignment horizontal="center"/>
    </xf>
    <xf numFmtId="0" fontId="2" fillId="0" borderId="0" xfId="79" applyFont="1" applyBorder="1" applyAlignment="1"/>
    <xf numFmtId="0" fontId="2" fillId="0" borderId="2" xfId="79" applyFont="1" applyBorder="1" applyAlignment="1"/>
    <xf numFmtId="0" fontId="2" fillId="0" borderId="39" xfId="79" applyFont="1" applyBorder="1" applyAlignment="1"/>
    <xf numFmtId="0" fontId="2" fillId="0" borderId="29" xfId="79" applyFont="1" applyBorder="1" applyAlignment="1"/>
    <xf numFmtId="6" fontId="5" fillId="0" borderId="0" xfId="79" applyNumberFormat="1" applyFont="1" applyBorder="1" applyAlignment="1">
      <alignment horizontal="right"/>
    </xf>
    <xf numFmtId="6" fontId="9" fillId="0" borderId="0" xfId="79" applyNumberFormat="1" applyFont="1" applyBorder="1" applyAlignment="1">
      <alignment horizontal="right"/>
    </xf>
    <xf numFmtId="6" fontId="9" fillId="0" borderId="33" xfId="79" applyNumberFormat="1" applyFont="1" applyBorder="1" applyAlignment="1">
      <alignment horizontal="right"/>
    </xf>
    <xf numFmtId="41" fontId="51" fillId="0" borderId="0" xfId="79" applyNumberFormat="1" applyFont="1" applyBorder="1" applyAlignment="1">
      <alignment horizontal="center"/>
    </xf>
    <xf numFmtId="41" fontId="51" fillId="0" borderId="33" xfId="79" applyNumberFormat="1" applyFont="1" applyBorder="1" applyAlignment="1">
      <alignment horizontal="center"/>
    </xf>
    <xf numFmtId="5" fontId="53" fillId="0" borderId="0" xfId="79" applyNumberFormat="1" applyFont="1" applyBorder="1" applyAlignment="1"/>
    <xf numFmtId="0" fontId="9" fillId="0" borderId="30" xfId="79" quotePrefix="1" applyFont="1" applyFill="1" applyBorder="1" applyAlignment="1"/>
    <xf numFmtId="41" fontId="53" fillId="0" borderId="0" xfId="79" applyNumberFormat="1" applyFont="1" applyBorder="1" applyAlignment="1"/>
    <xf numFmtId="41" fontId="53" fillId="0" borderId="33" xfId="79" applyNumberFormat="1" applyFont="1" applyBorder="1" applyAlignment="1"/>
    <xf numFmtId="41" fontId="9" fillId="0" borderId="0" xfId="79" applyNumberFormat="1" applyFont="1" applyBorder="1" applyAlignment="1">
      <alignment horizontal="center"/>
    </xf>
    <xf numFmtId="41" fontId="9" fillId="0" borderId="33" xfId="79" applyNumberFormat="1" applyFont="1" applyBorder="1" applyAlignment="1">
      <alignment horizontal="center"/>
    </xf>
    <xf numFmtId="181" fontId="51" fillId="0" borderId="21" xfId="79" applyNumberFormat="1" applyFont="1" applyBorder="1" applyAlignment="1">
      <alignment horizontal="center"/>
    </xf>
    <xf numFmtId="181" fontId="51" fillId="0" borderId="0" xfId="79" applyNumberFormat="1" applyFont="1" applyBorder="1" applyAlignment="1">
      <alignment horizontal="center"/>
    </xf>
    <xf numFmtId="181" fontId="51" fillId="0" borderId="33" xfId="79" applyNumberFormat="1" applyFont="1" applyBorder="1" applyAlignment="1">
      <alignment horizontal="center"/>
    </xf>
    <xf numFmtId="0" fontId="3" fillId="0" borderId="40" xfId="79" applyFont="1" applyFill="1" applyBorder="1" applyAlignment="1"/>
    <xf numFmtId="0" fontId="2" fillId="0" borderId="41" xfId="79" applyFont="1" applyFill="1" applyBorder="1" applyAlignment="1"/>
    <xf numFmtId="0" fontId="9" fillId="0" borderId="41" xfId="79" applyFont="1" applyFill="1" applyBorder="1" applyAlignment="1"/>
    <xf numFmtId="182" fontId="3" fillId="0" borderId="41" xfId="79" applyNumberFormat="1" applyFont="1" applyFill="1" applyBorder="1" applyAlignment="1">
      <alignment horizontal="center"/>
    </xf>
    <xf numFmtId="182" fontId="3" fillId="0" borderId="42" xfId="79" applyNumberFormat="1" applyFont="1" applyFill="1" applyBorder="1" applyAlignment="1">
      <alignment horizontal="center"/>
    </xf>
    <xf numFmtId="182" fontId="3" fillId="0" borderId="0" xfId="79" applyNumberFormat="1" applyFont="1" applyFill="1" applyBorder="1" applyAlignment="1">
      <alignment horizontal="center"/>
    </xf>
    <xf numFmtId="0" fontId="3" fillId="0" borderId="0" xfId="79" applyFont="1" applyFill="1" applyBorder="1" applyAlignment="1"/>
    <xf numFmtId="0" fontId="2" fillId="0" borderId="0" xfId="79" applyFont="1" applyFill="1" applyBorder="1" applyAlignment="1"/>
    <xf numFmtId="0" fontId="9" fillId="0" borderId="0" xfId="79" applyFont="1" applyFill="1" applyBorder="1" applyAlignment="1"/>
    <xf numFmtId="9" fontId="9" fillId="0" borderId="0" xfId="60" applyFont="1" applyBorder="1" applyAlignment="1">
      <alignment horizontal="center"/>
    </xf>
    <xf numFmtId="0" fontId="3" fillId="0" borderId="0" xfId="79" applyFont="1" applyAlignment="1">
      <alignment horizontal="center"/>
    </xf>
    <xf numFmtId="0" fontId="2" fillId="0" borderId="0" xfId="44" applyBorder="1"/>
    <xf numFmtId="0" fontId="3" fillId="0" borderId="0" xfId="4" applyFont="1" applyBorder="1"/>
    <xf numFmtId="6" fontId="9" fillId="0" borderId="0" xfId="4" applyNumberFormat="1" applyFont="1" applyBorder="1" applyAlignment="1">
      <alignment horizontal="right"/>
    </xf>
    <xf numFmtId="6" fontId="9" fillId="0" borderId="0" xfId="4" applyNumberFormat="1" applyFont="1" applyBorder="1" applyAlignment="1">
      <alignment horizontal="center"/>
    </xf>
    <xf numFmtId="6" fontId="3" fillId="0" borderId="0" xfId="4" applyNumberFormat="1" applyFont="1" applyBorder="1" applyAlignment="1">
      <alignment horizontal="center"/>
    </xf>
    <xf numFmtId="169" fontId="3" fillId="0" borderId="42" xfId="79" applyNumberFormat="1" applyFont="1" applyFill="1" applyBorder="1" applyAlignment="1">
      <alignment horizontal="center"/>
    </xf>
    <xf numFmtId="0" fontId="9" fillId="0" borderId="0" xfId="79" applyFont="1" applyBorder="1" applyAlignment="1">
      <alignment horizontal="left"/>
    </xf>
    <xf numFmtId="3" fontId="9" fillId="0" borderId="0" xfId="79" applyNumberFormat="1" applyFont="1" applyBorder="1" applyAlignment="1">
      <alignment horizontal="center"/>
    </xf>
    <xf numFmtId="0" fontId="54" fillId="0" borderId="0" xfId="79" applyFont="1" applyBorder="1" applyAlignment="1"/>
    <xf numFmtId="3" fontId="55" fillId="0" borderId="0" xfId="79" applyNumberFormat="1" applyFont="1" applyBorder="1" applyAlignment="1">
      <alignment horizontal="left"/>
    </xf>
    <xf numFmtId="169" fontId="13" fillId="0" borderId="0" xfId="60" applyNumberFormat="1" applyFont="1" applyFill="1" applyBorder="1" applyAlignment="1">
      <alignment horizontal="center"/>
    </xf>
    <xf numFmtId="169" fontId="37" fillId="6" borderId="8" xfId="60" applyNumberFormat="1" applyFont="1" applyFill="1" applyBorder="1" applyAlignment="1">
      <alignment horizontal="left" indent="2"/>
    </xf>
    <xf numFmtId="169" fontId="56" fillId="6" borderId="9" xfId="60" applyNumberFormat="1" applyFont="1" applyFill="1" applyBorder="1" applyAlignment="1">
      <alignment horizontal="center"/>
    </xf>
    <xf numFmtId="169" fontId="56" fillId="6" borderId="11" xfId="60" applyNumberFormat="1" applyFont="1" applyFill="1" applyBorder="1" applyAlignment="1">
      <alignment horizontal="center"/>
    </xf>
    <xf numFmtId="169" fontId="37" fillId="6" borderId="16" xfId="60" applyNumberFormat="1" applyFont="1" applyFill="1" applyBorder="1" applyAlignment="1">
      <alignment horizontal="left" indent="2"/>
    </xf>
    <xf numFmtId="169" fontId="56" fillId="6" borderId="18" xfId="60" applyNumberFormat="1" applyFont="1" applyFill="1" applyBorder="1" applyAlignment="1">
      <alignment horizontal="center"/>
    </xf>
    <xf numFmtId="9" fontId="9" fillId="0" borderId="0" xfId="4" applyNumberFormat="1" applyFont="1" applyBorder="1" applyAlignment="1">
      <alignment horizontal="center"/>
    </xf>
    <xf numFmtId="177" fontId="47" fillId="0" borderId="0" xfId="27" applyNumberFormat="1" applyFont="1" applyFill="1" applyBorder="1" applyAlignment="1">
      <alignment horizontal="center"/>
    </xf>
    <xf numFmtId="0" fontId="57" fillId="0" borderId="0" xfId="79" applyFont="1" applyBorder="1" applyAlignment="1"/>
    <xf numFmtId="180" fontId="57" fillId="0" borderId="0" xfId="79" applyNumberFormat="1" applyFont="1" applyBorder="1" applyAlignment="1">
      <alignment horizontal="center"/>
    </xf>
    <xf numFmtId="0" fontId="9" fillId="0" borderId="0" xfId="56" applyNumberFormat="1" applyFont="1" applyFill="1" applyBorder="1" applyAlignment="1">
      <alignment vertical="center"/>
    </xf>
    <xf numFmtId="9" fontId="9" fillId="9" borderId="0" xfId="60" applyFont="1" applyFill="1" applyBorder="1" applyAlignment="1">
      <alignment horizontal="center"/>
    </xf>
    <xf numFmtId="0" fontId="3" fillId="0" borderId="0" xfId="79" applyFont="1" applyFill="1" applyBorder="1" applyAlignment="1">
      <alignment horizontal="left"/>
    </xf>
    <xf numFmtId="8" fontId="9" fillId="0" borderId="0" xfId="4" applyNumberFormat="1" applyFont="1" applyBorder="1" applyAlignment="1">
      <alignment horizontal="right"/>
    </xf>
    <xf numFmtId="0" fontId="58" fillId="0" borderId="0" xfId="79" applyFont="1" applyFill="1" applyBorder="1" applyAlignment="1">
      <alignment horizontal="center"/>
    </xf>
    <xf numFmtId="0" fontId="9" fillId="0" borderId="0" xfId="79" applyFont="1" applyFill="1" applyBorder="1" applyAlignment="1">
      <alignment horizontal="center"/>
    </xf>
    <xf numFmtId="41" fontId="9" fillId="0" borderId="0" xfId="79" applyNumberFormat="1" applyFont="1" applyBorder="1" applyAlignment="1"/>
    <xf numFmtId="0" fontId="3" fillId="0" borderId="0" xfId="79" applyFont="1" applyBorder="1" applyAlignment="1">
      <alignment horizontal="center"/>
    </xf>
    <xf numFmtId="169" fontId="51" fillId="9" borderId="0" xfId="79" applyNumberFormat="1" applyFont="1" applyFill="1" applyBorder="1" applyAlignment="1">
      <alignment horizontal="center"/>
    </xf>
    <xf numFmtId="169" fontId="9" fillId="0" borderId="0" xfId="60" applyNumberFormat="1" applyFont="1" applyBorder="1"/>
    <xf numFmtId="0" fontId="3" fillId="0" borderId="0" xfId="79" applyFont="1" applyBorder="1" applyAlignment="1"/>
    <xf numFmtId="169" fontId="3" fillId="9" borderId="0" xfId="79" applyNumberFormat="1" applyFont="1" applyFill="1" applyBorder="1" applyAlignment="1">
      <alignment horizontal="center"/>
    </xf>
    <xf numFmtId="0" fontId="9" fillId="0" borderId="0" xfId="44" applyFont="1" applyBorder="1"/>
    <xf numFmtId="0" fontId="57" fillId="0" borderId="0" xfId="44" applyFont="1" applyAlignment="1">
      <alignment horizontal="center"/>
    </xf>
    <xf numFmtId="0" fontId="2" fillId="0" borderId="0" xfId="79" applyFont="1" applyFill="1" applyAlignment="1"/>
    <xf numFmtId="39" fontId="9" fillId="0" borderId="0" xfId="28" applyNumberFormat="1" applyFont="1"/>
    <xf numFmtId="37" fontId="3" fillId="0" borderId="0" xfId="79" applyNumberFormat="1" applyFont="1" applyFill="1" applyBorder="1" applyAlignment="1"/>
    <xf numFmtId="0" fontId="9" fillId="0" borderId="0" xfId="79" applyNumberFormat="1" applyFont="1" applyFill="1" applyBorder="1" applyAlignment="1"/>
    <xf numFmtId="185" fontId="9" fillId="0" borderId="0" xfId="56" applyNumberFormat="1" applyFont="1" applyFill="1" applyBorder="1" applyAlignment="1">
      <alignment horizontal="right"/>
    </xf>
    <xf numFmtId="37" fontId="9" fillId="0" borderId="0" xfId="27" applyNumberFormat="1" applyFont="1" applyBorder="1" applyAlignment="1">
      <alignment horizontal="center"/>
    </xf>
    <xf numFmtId="0" fontId="9" fillId="0" borderId="0" xfId="79" applyFont="1" applyFill="1" applyAlignment="1"/>
    <xf numFmtId="169" fontId="56" fillId="0" borderId="0" xfId="79" applyNumberFormat="1" applyFont="1" applyBorder="1" applyAlignment="1">
      <alignment horizontal="center"/>
    </xf>
    <xf numFmtId="39" fontId="3" fillId="0" borderId="2" xfId="27" applyNumberFormat="1" applyFont="1" applyBorder="1"/>
    <xf numFmtId="0" fontId="9" fillId="0" borderId="0" xfId="44" quotePrefix="1" applyFont="1" applyFill="1" applyBorder="1"/>
    <xf numFmtId="39" fontId="9" fillId="0" borderId="0" xfId="27" applyNumberFormat="1" applyFont="1"/>
    <xf numFmtId="39" fontId="56" fillId="9" borderId="0" xfId="27" applyNumberFormat="1" applyFont="1" applyFill="1" applyBorder="1" applyAlignment="1">
      <alignment horizontal="center"/>
    </xf>
    <xf numFmtId="0" fontId="48" fillId="0" borderId="0" xfId="44" applyFont="1"/>
    <xf numFmtId="169" fontId="3" fillId="0" borderId="0" xfId="60" applyNumberFormat="1" applyFont="1" applyBorder="1" applyAlignment="1">
      <alignment horizontal="center"/>
    </xf>
    <xf numFmtId="0" fontId="3" fillId="0" borderId="0" xfId="79" applyFont="1" applyFill="1" applyAlignment="1"/>
    <xf numFmtId="0" fontId="52" fillId="0" borderId="0" xfId="79" applyFont="1" applyBorder="1" applyAlignment="1"/>
    <xf numFmtId="3" fontId="9" fillId="3" borderId="0" xfId="79" applyNumberFormat="1" applyFont="1" applyFill="1" applyBorder="1" applyAlignment="1">
      <alignment horizontal="center"/>
    </xf>
    <xf numFmtId="0" fontId="9" fillId="3" borderId="0" xfId="79" applyFont="1" applyFill="1" applyBorder="1" applyAlignment="1"/>
    <xf numFmtId="0" fontId="54" fillId="0" borderId="0" xfId="79" applyFont="1" applyAlignment="1"/>
    <xf numFmtId="0" fontId="52" fillId="0" borderId="0" xfId="79" applyFont="1" applyBorder="1" applyAlignment="1">
      <alignment horizontal="center"/>
    </xf>
    <xf numFmtId="0" fontId="9" fillId="0" borderId="0" xfId="4" applyFont="1" applyFill="1" applyBorder="1"/>
    <xf numFmtId="4" fontId="9" fillId="0" borderId="0" xfId="4" applyNumberFormat="1" applyFont="1" applyFill="1" applyBorder="1" applyAlignment="1">
      <alignment horizontal="center"/>
    </xf>
    <xf numFmtId="0" fontId="54" fillId="0" borderId="0" xfId="79" applyFont="1" applyBorder="1" applyAlignment="1">
      <alignment horizontal="center"/>
    </xf>
    <xf numFmtId="1" fontId="4" fillId="0" borderId="0" xfId="44" applyNumberFormat="1" applyFont="1"/>
    <xf numFmtId="0" fontId="46" fillId="7" borderId="7" xfId="79" applyFont="1" applyFill="1" applyBorder="1" applyAlignment="1"/>
    <xf numFmtId="0" fontId="46" fillId="7" borderId="6" xfId="4" applyFont="1" applyFill="1" applyBorder="1"/>
    <xf numFmtId="0" fontId="46" fillId="7" borderId="4" xfId="4" applyFont="1" applyFill="1" applyBorder="1"/>
    <xf numFmtId="0" fontId="46" fillId="7" borderId="4" xfId="79" applyFont="1" applyFill="1" applyBorder="1" applyAlignment="1">
      <alignment horizontal="center"/>
    </xf>
    <xf numFmtId="0" fontId="54" fillId="7" borderId="2" xfId="79" applyFont="1" applyFill="1" applyBorder="1" applyAlignment="1"/>
    <xf numFmtId="0" fontId="54" fillId="7" borderId="9" xfId="79" applyFont="1" applyFill="1" applyBorder="1" applyAlignment="1"/>
    <xf numFmtId="0" fontId="46" fillId="7" borderId="7" xfId="44" applyFont="1" applyFill="1" applyBorder="1"/>
    <xf numFmtId="0" fontId="54" fillId="7" borderId="6" xfId="44" applyFont="1" applyFill="1" applyBorder="1"/>
    <xf numFmtId="0" fontId="46" fillId="7" borderId="6" xfId="44" applyFont="1" applyFill="1" applyBorder="1" applyAlignment="1">
      <alignment horizontal="center"/>
    </xf>
    <xf numFmtId="0" fontId="46" fillId="7" borderId="4" xfId="44" applyFont="1" applyFill="1" applyBorder="1" applyAlignment="1">
      <alignment horizontal="center"/>
    </xf>
    <xf numFmtId="0" fontId="21" fillId="0" borderId="8" xfId="54" applyFont="1" applyFill="1" applyBorder="1" applyAlignment="1">
      <alignment horizontal="left"/>
    </xf>
    <xf numFmtId="0" fontId="2" fillId="0" borderId="11" xfId="79" applyFont="1" applyBorder="1" applyAlignment="1"/>
    <xf numFmtId="166" fontId="9" fillId="0" borderId="0" xfId="44" applyNumberFormat="1" applyFont="1" applyFill="1" applyBorder="1" applyAlignment="1">
      <alignment horizontal="left"/>
    </xf>
    <xf numFmtId="169" fontId="9" fillId="0" borderId="0" xfId="44" applyNumberFormat="1" applyFont="1"/>
    <xf numFmtId="169" fontId="9" fillId="0" borderId="0" xfId="27" applyNumberFormat="1" applyFont="1"/>
    <xf numFmtId="0" fontId="9" fillId="0" borderId="3" xfId="79" applyFont="1" applyBorder="1" applyAlignment="1"/>
    <xf numFmtId="0" fontId="9" fillId="0" borderId="0" xfId="79" applyFont="1" applyFill="1" applyBorder="1" applyAlignment="1">
      <alignment horizontal="left"/>
    </xf>
    <xf numFmtId="166" fontId="51" fillId="0" borderId="0" xfId="79" applyNumberFormat="1" applyFont="1" applyBorder="1" applyAlignment="1"/>
    <xf numFmtId="166" fontId="2" fillId="0" borderId="11" xfId="79" applyNumberFormat="1" applyFont="1" applyBorder="1" applyAlignment="1"/>
    <xf numFmtId="166" fontId="9" fillId="9" borderId="0" xfId="79" applyNumberFormat="1" applyFont="1" applyFill="1" applyBorder="1" applyAlignment="1"/>
    <xf numFmtId="0" fontId="9" fillId="0" borderId="16" xfId="79" applyFont="1" applyBorder="1" applyAlignment="1"/>
    <xf numFmtId="0" fontId="82" fillId="0" borderId="17" xfId="4" applyFont="1" applyBorder="1"/>
    <xf numFmtId="0" fontId="2" fillId="0" borderId="17" xfId="79" applyFont="1" applyBorder="1" applyAlignment="1"/>
    <xf numFmtId="0" fontId="2" fillId="0" borderId="18" xfId="79" applyFont="1" applyBorder="1" applyAlignment="1"/>
    <xf numFmtId="172" fontId="9" fillId="0" borderId="0" xfId="27" applyNumberFormat="1" applyFont="1" applyBorder="1"/>
    <xf numFmtId="174" fontId="9" fillId="0" borderId="0" xfId="27" applyNumberFormat="1" applyFont="1" applyBorder="1"/>
    <xf numFmtId="0" fontId="9" fillId="0" borderId="0" xfId="44" applyFont="1" applyFill="1" applyBorder="1" applyAlignment="1">
      <alignment horizontal="left"/>
    </xf>
    <xf numFmtId="0" fontId="9" fillId="0" borderId="0" xfId="44" quotePrefix="1" applyFont="1" applyFill="1" applyBorder="1" applyAlignment="1">
      <alignment horizontal="left"/>
    </xf>
    <xf numFmtId="187" fontId="9" fillId="0" borderId="0" xfId="27" applyNumberFormat="1" applyFont="1"/>
    <xf numFmtId="7" fontId="46" fillId="7" borderId="43" xfId="31" applyNumberFormat="1" applyFont="1" applyFill="1" applyBorder="1" applyAlignment="1">
      <alignment horizontal="center"/>
    </xf>
    <xf numFmtId="5" fontId="46" fillId="7" borderId="2" xfId="31" applyNumberFormat="1" applyFont="1" applyFill="1" applyBorder="1" applyAlignment="1">
      <alignment horizontal="center"/>
    </xf>
    <xf numFmtId="5" fontId="46" fillId="7" borderId="44" xfId="31" applyNumberFormat="1" applyFont="1" applyFill="1" applyBorder="1" applyAlignment="1">
      <alignment horizontal="center"/>
    </xf>
    <xf numFmtId="7" fontId="46" fillId="7" borderId="45" xfId="31" applyNumberFormat="1" applyFont="1" applyFill="1" applyBorder="1" applyAlignment="1">
      <alignment horizontal="center"/>
    </xf>
    <xf numFmtId="5" fontId="52" fillId="7" borderId="17" xfId="31" applyNumberFormat="1" applyFont="1" applyFill="1" applyBorder="1" applyAlignment="1">
      <alignment horizontal="center"/>
    </xf>
    <xf numFmtId="5" fontId="46" fillId="7" borderId="46" xfId="31" applyNumberFormat="1" applyFont="1" applyFill="1" applyBorder="1" applyAlignment="1">
      <alignment horizontal="center"/>
    </xf>
    <xf numFmtId="0" fontId="46" fillId="7" borderId="17" xfId="79" applyFont="1" applyFill="1" applyBorder="1" applyAlignment="1">
      <alignment horizontal="center"/>
    </xf>
    <xf numFmtId="5" fontId="9" fillId="0" borderId="47" xfId="31" applyNumberFormat="1" applyFont="1" applyFill="1" applyBorder="1" applyAlignment="1">
      <alignment horizontal="center"/>
    </xf>
    <xf numFmtId="172" fontId="9" fillId="0" borderId="44" xfId="27" applyNumberFormat="1" applyFont="1" applyFill="1" applyBorder="1"/>
    <xf numFmtId="183" fontId="9" fillId="0" borderId="48" xfId="79" applyNumberFormat="1" applyFont="1" applyFill="1" applyBorder="1" applyAlignment="1"/>
    <xf numFmtId="183" fontId="9" fillId="0" borderId="44" xfId="79" applyNumberFormat="1" applyFont="1" applyFill="1" applyBorder="1" applyAlignment="1"/>
    <xf numFmtId="169" fontId="9" fillId="0" borderId="48" xfId="60" applyNumberFormat="1" applyFont="1" applyFill="1" applyBorder="1"/>
    <xf numFmtId="169" fontId="9" fillId="0" borderId="9" xfId="60" applyNumberFormat="1" applyFont="1" applyFill="1" applyBorder="1"/>
    <xf numFmtId="172" fontId="9" fillId="0" borderId="49" xfId="27" applyNumberFormat="1" applyFont="1" applyFill="1" applyBorder="1"/>
    <xf numFmtId="183" fontId="9" fillId="0" borderId="50" xfId="79" applyNumberFormat="1" applyFont="1" applyFill="1" applyBorder="1" applyAlignment="1"/>
    <xf numFmtId="183" fontId="9" fillId="0" borderId="49" xfId="79" applyNumberFormat="1" applyFont="1" applyFill="1" applyBorder="1" applyAlignment="1"/>
    <xf numFmtId="169" fontId="9" fillId="0" borderId="50" xfId="60" applyNumberFormat="1" applyFont="1" applyFill="1" applyBorder="1"/>
    <xf numFmtId="169" fontId="9" fillId="0" borderId="11" xfId="60" applyNumberFormat="1" applyFont="1" applyFill="1" applyBorder="1"/>
    <xf numFmtId="5" fontId="9" fillId="0" borderId="45" xfId="31" applyNumberFormat="1" applyFont="1" applyFill="1" applyBorder="1" applyAlignment="1">
      <alignment horizontal="center"/>
    </xf>
    <xf numFmtId="172" fontId="9" fillId="0" borderId="46" xfId="27" applyNumberFormat="1" applyFont="1" applyFill="1" applyBorder="1"/>
    <xf numFmtId="183" fontId="9" fillId="0" borderId="51" xfId="79" applyNumberFormat="1" applyFont="1" applyFill="1" applyBorder="1" applyAlignment="1"/>
    <xf numFmtId="183" fontId="9" fillId="0" borderId="46" xfId="79" applyNumberFormat="1" applyFont="1" applyFill="1" applyBorder="1" applyAlignment="1"/>
    <xf numFmtId="169" fontId="9" fillId="0" borderId="51" xfId="60" applyNumberFormat="1" applyFont="1" applyFill="1" applyBorder="1"/>
    <xf numFmtId="169" fontId="9" fillId="0" borderId="18" xfId="60" applyNumberFormat="1" applyFont="1" applyFill="1" applyBorder="1"/>
    <xf numFmtId="0" fontId="9" fillId="0" borderId="0" xfId="4" applyFont="1" applyFill="1"/>
    <xf numFmtId="0" fontId="9" fillId="3" borderId="0" xfId="4" applyFont="1" applyFill="1"/>
    <xf numFmtId="43" fontId="9" fillId="0" borderId="0" xfId="27" applyFont="1" applyFill="1" applyBorder="1" applyAlignment="1">
      <alignment horizontal="right"/>
    </xf>
    <xf numFmtId="43" fontId="3" fillId="0" borderId="0" xfId="27" applyFont="1" applyFill="1" applyBorder="1" applyAlignment="1">
      <alignment horizontal="right"/>
    </xf>
    <xf numFmtId="169" fontId="3" fillId="0" borderId="0" xfId="27" applyNumberFormat="1" applyFont="1" applyFill="1" applyBorder="1" applyAlignment="1">
      <alignment horizontal="right"/>
    </xf>
    <xf numFmtId="0" fontId="4" fillId="0" borderId="0" xfId="4" applyFont="1" applyFill="1" applyBorder="1"/>
    <xf numFmtId="169" fontId="9" fillId="0" borderId="0" xfId="27" applyNumberFormat="1" applyFont="1" applyFill="1" applyBorder="1" applyAlignment="1">
      <alignment horizontal="right"/>
    </xf>
    <xf numFmtId="165" fontId="36" fillId="0" borderId="0" xfId="54" applyNumberFormat="1" applyFont="1" applyFill="1" applyBorder="1" applyAlignment="1">
      <alignment horizontal="right"/>
    </xf>
    <xf numFmtId="169" fontId="9" fillId="0" borderId="0" xfId="60" applyNumberFormat="1" applyFont="1" applyFill="1" applyBorder="1" applyAlignment="1">
      <alignment horizontal="right"/>
    </xf>
    <xf numFmtId="43" fontId="9" fillId="0" borderId="17" xfId="27" applyFont="1" applyFill="1" applyBorder="1" applyAlignment="1">
      <alignment horizontal="right"/>
    </xf>
    <xf numFmtId="169" fontId="9" fillId="0" borderId="17" xfId="27" applyNumberFormat="1" applyFont="1" applyFill="1" applyBorder="1" applyAlignment="1">
      <alignment horizontal="right"/>
    </xf>
    <xf numFmtId="43" fontId="9" fillId="0" borderId="2" xfId="27" applyFont="1" applyFill="1" applyBorder="1" applyAlignment="1">
      <alignment horizontal="right"/>
    </xf>
    <xf numFmtId="169" fontId="9" fillId="0" borderId="2" xfId="27" applyNumberFormat="1" applyFont="1" applyFill="1" applyBorder="1" applyAlignment="1">
      <alignment horizontal="right"/>
    </xf>
    <xf numFmtId="174" fontId="9" fillId="0" borderId="0" xfId="27" applyNumberFormat="1" applyFont="1" applyBorder="1" applyAlignment="1">
      <alignment horizontal="right"/>
    </xf>
    <xf numFmtId="8" fontId="9" fillId="0" borderId="0" xfId="44" applyNumberFormat="1" applyFont="1" applyBorder="1" applyAlignment="1">
      <alignment horizontal="right"/>
    </xf>
    <xf numFmtId="169" fontId="9" fillId="0" borderId="0" xfId="44" applyNumberFormat="1" applyFont="1" applyBorder="1" applyAlignment="1">
      <alignment horizontal="right"/>
    </xf>
    <xf numFmtId="37" fontId="12" fillId="0" borderId="0" xfId="4" applyNumberFormat="1" applyFont="1" applyFill="1" applyAlignment="1">
      <alignment horizontal="right"/>
    </xf>
    <xf numFmtId="37" fontId="9" fillId="0" borderId="0" xfId="55" applyNumberFormat="1" applyFont="1" applyFill="1" applyAlignment="1">
      <alignment horizontal="right"/>
    </xf>
    <xf numFmtId="0" fontId="9" fillId="0" borderId="0" xfId="55" applyFont="1" applyFill="1"/>
    <xf numFmtId="0" fontId="9" fillId="0" borderId="0" xfId="55" applyFont="1" applyFill="1" applyAlignment="1">
      <alignment horizontal="center"/>
    </xf>
    <xf numFmtId="0" fontId="61" fillId="0" borderId="0" xfId="79" applyFont="1" applyFill="1" applyBorder="1" applyAlignment="1">
      <alignment horizontal="center"/>
    </xf>
    <xf numFmtId="0" fontId="2" fillId="0" borderId="0" xfId="55" applyFont="1" applyFill="1"/>
    <xf numFmtId="0" fontId="3" fillId="0" borderId="0" xfId="55" applyNumberFormat="1" applyFont="1" applyFill="1" applyBorder="1"/>
    <xf numFmtId="0" fontId="3" fillId="0" borderId="0" xfId="55" applyFont="1" applyFill="1" applyBorder="1"/>
    <xf numFmtId="0" fontId="62" fillId="0" borderId="0" xfId="79" applyFont="1" applyFill="1" applyBorder="1" applyAlignment="1"/>
    <xf numFmtId="0" fontId="3" fillId="0" borderId="0" xfId="79" applyFont="1" applyFill="1" applyBorder="1" applyAlignment="1">
      <alignment wrapText="1"/>
    </xf>
    <xf numFmtId="37" fontId="5" fillId="0" borderId="0" xfId="55" applyNumberFormat="1" applyFont="1" applyFill="1" applyAlignment="1">
      <alignment horizontal="right"/>
    </xf>
    <xf numFmtId="0" fontId="9" fillId="0" borderId="52" xfId="55" applyFont="1" applyFill="1" applyBorder="1"/>
    <xf numFmtId="166" fontId="3" fillId="0" borderId="6" xfId="30" applyNumberFormat="1" applyFont="1" applyFill="1" applyBorder="1" applyAlignment="1">
      <alignment horizontal="right"/>
    </xf>
    <xf numFmtId="0" fontId="3" fillId="0" borderId="6" xfId="55" quotePrefix="1" applyFont="1" applyFill="1" applyBorder="1" applyAlignment="1">
      <alignment horizontal="center"/>
    </xf>
    <xf numFmtId="0" fontId="62" fillId="4" borderId="2" xfId="79" quotePrefix="1" applyFont="1" applyFill="1" applyBorder="1" applyAlignment="1">
      <alignment horizontal="center"/>
    </xf>
    <xf numFmtId="166" fontId="3" fillId="0" borderId="6" xfId="30" applyFont="1" applyFill="1" applyBorder="1" applyAlignment="1">
      <alignment horizontal="right"/>
    </xf>
    <xf numFmtId="0" fontId="3" fillId="0" borderId="6" xfId="55" applyFont="1" applyFill="1" applyBorder="1" applyAlignment="1">
      <alignment horizontal="center"/>
    </xf>
    <xf numFmtId="43" fontId="61" fillId="4" borderId="0" xfId="27" applyFont="1" applyFill="1" applyBorder="1" applyAlignment="1">
      <alignment horizontal="right"/>
    </xf>
    <xf numFmtId="165" fontId="36" fillId="0" borderId="0" xfId="54" applyNumberFormat="1" applyFont="1" applyFill="1" applyBorder="1"/>
    <xf numFmtId="172" fontId="9" fillId="0" borderId="0" xfId="27" applyNumberFormat="1" applyFont="1" applyFill="1" applyBorder="1" applyAlignment="1">
      <alignment horizontal="right"/>
    </xf>
    <xf numFmtId="178" fontId="82" fillId="0" borderId="0" xfId="4" applyNumberFormat="1" applyFont="1"/>
    <xf numFmtId="37" fontId="12" fillId="0" borderId="0" xfId="60" applyNumberFormat="1" applyFont="1" applyFill="1" applyAlignment="1">
      <alignment horizontal="right"/>
    </xf>
    <xf numFmtId="188" fontId="9" fillId="0" borderId="0" xfId="60" applyNumberFormat="1" applyFont="1" applyFill="1" applyBorder="1" applyAlignment="1">
      <alignment horizontal="right"/>
    </xf>
    <xf numFmtId="9" fontId="9" fillId="0" borderId="0" xfId="27" applyNumberFormat="1" applyFont="1" applyFill="1" applyBorder="1" applyAlignment="1">
      <alignment horizontal="right"/>
    </xf>
    <xf numFmtId="37" fontId="12" fillId="0" borderId="2" xfId="4" applyNumberFormat="1" applyFont="1" applyFill="1" applyBorder="1" applyAlignment="1">
      <alignment horizontal="right"/>
    </xf>
    <xf numFmtId="166" fontId="12" fillId="0" borderId="8" xfId="53" applyNumberFormat="1" applyFont="1" applyFill="1" applyBorder="1"/>
    <xf numFmtId="172" fontId="9" fillId="0" borderId="2" xfId="27" applyNumberFormat="1" applyFont="1" applyFill="1" applyBorder="1" applyAlignment="1">
      <alignment horizontal="right"/>
    </xf>
    <xf numFmtId="43" fontId="61" fillId="4" borderId="2" xfId="27" applyFont="1" applyFill="1" applyBorder="1" applyAlignment="1">
      <alignment horizontal="right"/>
    </xf>
    <xf numFmtId="169" fontId="9" fillId="0" borderId="9" xfId="27" applyNumberFormat="1" applyFont="1" applyFill="1" applyBorder="1" applyAlignment="1">
      <alignment horizontal="right"/>
    </xf>
    <xf numFmtId="166" fontId="2" fillId="0" borderId="0" xfId="79" applyNumberFormat="1" applyFont="1" applyFill="1" applyBorder="1" applyAlignment="1"/>
    <xf numFmtId="0" fontId="12" fillId="0" borderId="3" xfId="53" applyFont="1" applyFill="1" applyBorder="1" applyAlignment="1">
      <alignment horizontal="left" indent="1"/>
    </xf>
    <xf numFmtId="188" fontId="9" fillId="0" borderId="11" xfId="60" applyNumberFormat="1" applyFont="1" applyFill="1" applyBorder="1" applyAlignment="1">
      <alignment horizontal="right"/>
    </xf>
    <xf numFmtId="37" fontId="12" fillId="0" borderId="17" xfId="4" applyNumberFormat="1" applyFont="1" applyFill="1" applyBorder="1" applyAlignment="1">
      <alignment horizontal="right"/>
    </xf>
    <xf numFmtId="0" fontId="12" fillId="0" borderId="16" xfId="53" applyFont="1" applyFill="1" applyBorder="1" applyAlignment="1">
      <alignment horizontal="left" indent="1"/>
    </xf>
    <xf numFmtId="169" fontId="9" fillId="0" borderId="17" xfId="60" applyNumberFormat="1" applyFont="1" applyFill="1" applyBorder="1" applyAlignment="1">
      <alignment horizontal="right"/>
    </xf>
    <xf numFmtId="176" fontId="9" fillId="0" borderId="17" xfId="27" applyNumberFormat="1" applyFont="1" applyFill="1" applyBorder="1" applyAlignment="1">
      <alignment horizontal="right"/>
    </xf>
    <xf numFmtId="43" fontId="61" fillId="4" borderId="17" xfId="27" applyFont="1" applyFill="1" applyBorder="1" applyAlignment="1">
      <alignment horizontal="right"/>
    </xf>
    <xf numFmtId="188" fontId="9" fillId="0" borderId="17" xfId="60" applyNumberFormat="1" applyFont="1" applyFill="1" applyBorder="1" applyAlignment="1">
      <alignment horizontal="right"/>
    </xf>
    <xf numFmtId="188" fontId="9" fillId="0" borderId="18" xfId="60" applyNumberFormat="1" applyFont="1" applyFill="1" applyBorder="1" applyAlignment="1">
      <alignment horizontal="right"/>
    </xf>
    <xf numFmtId="166" fontId="9" fillId="0" borderId="0" xfId="27" applyNumberFormat="1" applyFont="1" applyFill="1" applyBorder="1" applyAlignment="1">
      <alignment horizontal="right"/>
    </xf>
    <xf numFmtId="166" fontId="61" fillId="4" borderId="0" xfId="27" applyNumberFormat="1" applyFont="1" applyFill="1" applyBorder="1" applyAlignment="1">
      <alignment horizontal="right"/>
    </xf>
    <xf numFmtId="166" fontId="36" fillId="0" borderId="0" xfId="54" applyNumberFormat="1" applyFont="1" applyFill="1" applyBorder="1"/>
    <xf numFmtId="166" fontId="36" fillId="0" borderId="0" xfId="79" applyNumberFormat="1" applyFont="1" applyFill="1" applyBorder="1" applyAlignment="1" applyProtection="1">
      <alignment horizontal="right"/>
    </xf>
    <xf numFmtId="172" fontId="3" fillId="0" borderId="0" xfId="27" applyNumberFormat="1" applyFont="1" applyFill="1" applyBorder="1" applyAlignment="1">
      <alignment horizontal="right"/>
    </xf>
    <xf numFmtId="43" fontId="62" fillId="4" borderId="0" xfId="27" applyFont="1" applyFill="1" applyBorder="1" applyAlignment="1">
      <alignment horizontal="right"/>
    </xf>
    <xf numFmtId="7" fontId="9" fillId="0" borderId="0" xfId="27" applyNumberFormat="1" applyFont="1" applyFill="1" applyBorder="1" applyAlignment="1">
      <alignment horizontal="right"/>
    </xf>
    <xf numFmtId="43" fontId="9" fillId="0" borderId="0" xfId="27" applyNumberFormat="1" applyFont="1" applyFill="1" applyBorder="1" applyAlignment="1">
      <alignment horizontal="right"/>
    </xf>
    <xf numFmtId="166" fontId="3" fillId="0" borderId="53" xfId="79" applyNumberFormat="1" applyFont="1" applyFill="1" applyBorder="1" applyAlignment="1">
      <alignment horizontal="center"/>
    </xf>
    <xf numFmtId="0" fontId="60" fillId="0" borderId="53" xfId="79" applyFont="1" applyFill="1" applyBorder="1" applyAlignment="1">
      <alignment horizontal="center"/>
    </xf>
    <xf numFmtId="0" fontId="3" fillId="0" borderId="53" xfId="79" quotePrefix="1" applyFont="1" applyFill="1" applyBorder="1" applyAlignment="1">
      <alignment horizontal="center"/>
    </xf>
    <xf numFmtId="0" fontId="3" fillId="4" borderId="53" xfId="79" quotePrefix="1" applyFont="1" applyFill="1" applyBorder="1" applyAlignment="1">
      <alignment horizontal="center"/>
    </xf>
    <xf numFmtId="0" fontId="3" fillId="0" borderId="53" xfId="79" applyFont="1" applyFill="1" applyBorder="1" applyAlignment="1">
      <alignment horizontal="center"/>
    </xf>
    <xf numFmtId="0" fontId="3" fillId="0" borderId="54" xfId="79" applyFont="1" applyFill="1" applyBorder="1" applyAlignment="1">
      <alignment horizontal="center"/>
    </xf>
    <xf numFmtId="9" fontId="9" fillId="3" borderId="0" xfId="4" applyNumberFormat="1" applyFont="1" applyFill="1"/>
    <xf numFmtId="172" fontId="9" fillId="0" borderId="17" xfId="27" applyNumberFormat="1" applyFont="1" applyFill="1" applyBorder="1" applyAlignment="1">
      <alignment horizontal="right"/>
    </xf>
    <xf numFmtId="0" fontId="9" fillId="3" borderId="0" xfId="44" applyFont="1" applyFill="1"/>
    <xf numFmtId="173" fontId="9" fillId="0" borderId="0" xfId="27" applyNumberFormat="1" applyFont="1" applyFill="1" applyBorder="1" applyAlignment="1">
      <alignment horizontal="right"/>
    </xf>
    <xf numFmtId="188" fontId="9" fillId="3" borderId="0" xfId="60" applyNumberFormat="1" applyFont="1" applyFill="1" applyBorder="1" applyAlignment="1">
      <alignment horizontal="right"/>
    </xf>
    <xf numFmtId="165" fontId="9" fillId="0" borderId="0" xfId="27" applyNumberFormat="1" applyFont="1" applyFill="1" applyBorder="1" applyAlignment="1">
      <alignment horizontal="right"/>
    </xf>
    <xf numFmtId="0" fontId="17" fillId="0" borderId="0" xfId="4" applyFont="1" applyFill="1" applyBorder="1"/>
    <xf numFmtId="0" fontId="17" fillId="0" borderId="0" xfId="4" applyFont="1" applyBorder="1"/>
    <xf numFmtId="37" fontId="12" fillId="0" borderId="0" xfId="4" applyNumberFormat="1" applyFont="1" applyFill="1" applyBorder="1" applyAlignment="1">
      <alignment horizontal="right"/>
    </xf>
    <xf numFmtId="172" fontId="82" fillId="0" borderId="0" xfId="4" applyNumberFormat="1" applyFont="1"/>
    <xf numFmtId="0" fontId="4" fillId="0" borderId="0" xfId="4" applyFont="1" applyFill="1" applyBorder="1" applyAlignment="1">
      <alignment horizontal="left"/>
    </xf>
    <xf numFmtId="9" fontId="9" fillId="0" borderId="0" xfId="60" applyFont="1"/>
    <xf numFmtId="169" fontId="2" fillId="0" borderId="0" xfId="44" applyNumberFormat="1"/>
    <xf numFmtId="174" fontId="3" fillId="3" borderId="0" xfId="4" applyNumberFormat="1" applyFont="1" applyFill="1"/>
    <xf numFmtId="0" fontId="9" fillId="3" borderId="0" xfId="4" applyFont="1" applyFill="1" applyAlignment="1">
      <alignment horizontal="center"/>
    </xf>
    <xf numFmtId="0" fontId="9" fillId="3" borderId="0" xfId="4" applyFont="1" applyFill="1" applyBorder="1"/>
    <xf numFmtId="0" fontId="2" fillId="3" borderId="0" xfId="44" applyFill="1" applyBorder="1"/>
    <xf numFmtId="0" fontId="9" fillId="3" borderId="0" xfId="4" applyFont="1" applyFill="1" applyBorder="1" applyAlignment="1">
      <alignment horizontal="center"/>
    </xf>
    <xf numFmtId="0" fontId="46" fillId="3" borderId="0" xfId="79" applyFont="1" applyFill="1" applyBorder="1" applyAlignment="1">
      <alignment horizontal="centerContinuous" wrapText="1"/>
    </xf>
    <xf numFmtId="0" fontId="46" fillId="3" borderId="0" xfId="79" applyFont="1" applyFill="1" applyBorder="1" applyAlignment="1">
      <alignment horizontal="center" wrapText="1"/>
    </xf>
    <xf numFmtId="0" fontId="46" fillId="3" borderId="0" xfId="79" applyFont="1" applyFill="1" applyBorder="1" applyAlignment="1">
      <alignment horizontal="left"/>
    </xf>
    <xf numFmtId="0" fontId="9" fillId="3" borderId="0" xfId="5" applyFont="1" applyFill="1"/>
    <xf numFmtId="0" fontId="57" fillId="3" borderId="0" xfId="79" applyFont="1" applyFill="1" applyBorder="1" applyAlignment="1">
      <alignment horizontal="center"/>
    </xf>
    <xf numFmtId="0" fontId="12" fillId="3" borderId="0" xfId="5" applyFont="1" applyFill="1" applyAlignment="1">
      <alignment horizontal="left" indent="1"/>
    </xf>
    <xf numFmtId="0" fontId="12" fillId="3" borderId="0" xfId="5" applyFont="1" applyFill="1"/>
    <xf numFmtId="174" fontId="51" fillId="3" borderId="0" xfId="27" applyNumberFormat="1" applyFont="1" applyFill="1"/>
    <xf numFmtId="179" fontId="3" fillId="3" borderId="0" xfId="27" applyNumberFormat="1" applyFont="1" applyFill="1" applyBorder="1"/>
    <xf numFmtId="174" fontId="9" fillId="3" borderId="0" xfId="27" applyNumberFormat="1" applyFont="1" applyFill="1"/>
    <xf numFmtId="9" fontId="51" fillId="3" borderId="0" xfId="60" applyNumberFormat="1" applyFont="1" applyFill="1" applyBorder="1"/>
    <xf numFmtId="179" fontId="64" fillId="3" borderId="0" xfId="27" applyNumberFormat="1" applyFont="1" applyFill="1" applyBorder="1" applyAlignment="1"/>
    <xf numFmtId="174" fontId="9" fillId="3" borderId="0" xfId="27" applyNumberFormat="1" applyFont="1" applyFill="1" applyBorder="1"/>
    <xf numFmtId="174" fontId="51" fillId="3" borderId="0" xfId="27" quotePrefix="1" applyNumberFormat="1" applyFont="1" applyFill="1"/>
    <xf numFmtId="0" fontId="9" fillId="3" borderId="0" xfId="5" applyFont="1" applyFill="1" applyBorder="1"/>
    <xf numFmtId="0" fontId="12" fillId="3" borderId="17" xfId="5" applyFont="1" applyFill="1" applyBorder="1"/>
    <xf numFmtId="0" fontId="12" fillId="3" borderId="0" xfId="5" applyFont="1" applyFill="1" applyBorder="1" applyAlignment="1">
      <alignment horizontal="left" indent="1"/>
    </xf>
    <xf numFmtId="0" fontId="12" fillId="3" borderId="0" xfId="5" applyFont="1" applyFill="1" applyBorder="1"/>
    <xf numFmtId="169" fontId="51" fillId="3" borderId="0" xfId="60" applyNumberFormat="1" applyFont="1" applyFill="1" applyBorder="1"/>
    <xf numFmtId="179" fontId="65" fillId="3" borderId="0" xfId="27" applyNumberFormat="1" applyFont="1" applyFill="1" applyBorder="1" applyAlignment="1"/>
    <xf numFmtId="174" fontId="51" fillId="3" borderId="17" xfId="27" applyNumberFormat="1" applyFont="1" applyFill="1" applyBorder="1"/>
    <xf numFmtId="179" fontId="3" fillId="3" borderId="17" xfId="27" applyNumberFormat="1" applyFont="1" applyFill="1" applyBorder="1"/>
    <xf numFmtId="174" fontId="9" fillId="3" borderId="17" xfId="27" applyNumberFormat="1" applyFont="1" applyFill="1" applyBorder="1"/>
    <xf numFmtId="172" fontId="9" fillId="3" borderId="0" xfId="27" applyNumberFormat="1" applyFont="1" applyFill="1" applyBorder="1" applyAlignment="1">
      <alignment horizontal="center"/>
    </xf>
    <xf numFmtId="0" fontId="13" fillId="3" borderId="0" xfId="5" applyFont="1" applyFill="1" applyAlignment="1"/>
    <xf numFmtId="0" fontId="13" fillId="3" borderId="0" xfId="5" applyFont="1" applyFill="1" applyAlignment="1">
      <alignment horizontal="left" indent="1"/>
    </xf>
    <xf numFmtId="174" fontId="9" fillId="3" borderId="0" xfId="5" applyNumberFormat="1" applyFont="1" applyFill="1"/>
    <xf numFmtId="9" fontId="9" fillId="3" borderId="0" xfId="4" applyNumberFormat="1" applyFont="1" applyFill="1" applyBorder="1"/>
    <xf numFmtId="172" fontId="9" fillId="3" borderId="0" xfId="27" applyNumberFormat="1" applyFont="1" applyFill="1" applyBorder="1"/>
    <xf numFmtId="174" fontId="9" fillId="3" borderId="0" xfId="4" applyNumberFormat="1" applyFont="1" applyFill="1" applyBorder="1"/>
    <xf numFmtId="0" fontId="9" fillId="3" borderId="0" xfId="5" applyFont="1" applyFill="1" applyAlignment="1"/>
    <xf numFmtId="0" fontId="51" fillId="3" borderId="0" xfId="5" applyFont="1" applyFill="1"/>
    <xf numFmtId="0" fontId="51" fillId="3" borderId="0" xfId="4" applyFont="1" applyFill="1" applyBorder="1"/>
    <xf numFmtId="172" fontId="9" fillId="3" borderId="0" xfId="5" applyNumberFormat="1" applyFont="1" applyFill="1"/>
    <xf numFmtId="172" fontId="9" fillId="3" borderId="0" xfId="27" applyNumberFormat="1" applyFont="1" applyFill="1"/>
    <xf numFmtId="172" fontId="9" fillId="3" borderId="0" xfId="4" applyNumberFormat="1" applyFont="1" applyFill="1" applyBorder="1"/>
    <xf numFmtId="0" fontId="3" fillId="3" borderId="0" xfId="79" applyFont="1" applyFill="1" applyBorder="1" applyAlignment="1">
      <alignment horizontal="centerContinuous"/>
    </xf>
    <xf numFmtId="0" fontId="3" fillId="3" borderId="0" xfId="79" applyFont="1" applyFill="1" applyBorder="1" applyAlignment="1">
      <alignment horizontal="centerContinuous" wrapText="1"/>
    </xf>
    <xf numFmtId="172" fontId="65" fillId="3" borderId="0" xfId="27" applyNumberFormat="1" applyFont="1" applyFill="1" applyBorder="1"/>
    <xf numFmtId="0" fontId="3" fillId="3" borderId="0" xfId="79" applyFont="1" applyFill="1" applyBorder="1" applyAlignment="1">
      <alignment horizontal="center" wrapText="1"/>
    </xf>
    <xf numFmtId="9" fontId="9" fillId="3" borderId="0" xfId="27" applyNumberFormat="1" applyFont="1" applyFill="1"/>
    <xf numFmtId="9" fontId="9" fillId="3" borderId="0" xfId="27" applyNumberFormat="1" applyFont="1" applyFill="1" applyBorder="1"/>
    <xf numFmtId="9" fontId="66" fillId="3" borderId="0" xfId="60" applyFont="1" applyFill="1"/>
    <xf numFmtId="9" fontId="66" fillId="3" borderId="0" xfId="60" applyFont="1" applyFill="1" applyBorder="1"/>
    <xf numFmtId="9" fontId="9" fillId="3" borderId="0" xfId="60" applyFont="1" applyFill="1" applyBorder="1"/>
    <xf numFmtId="5" fontId="9" fillId="3" borderId="0" xfId="4" applyNumberFormat="1" applyFont="1" applyFill="1" applyBorder="1"/>
    <xf numFmtId="5" fontId="3" fillId="3" borderId="0" xfId="27" applyNumberFormat="1" applyFont="1" applyFill="1" applyBorder="1"/>
    <xf numFmtId="43" fontId="3" fillId="3" borderId="0" xfId="27" applyFont="1" applyFill="1" applyBorder="1"/>
    <xf numFmtId="0" fontId="3" fillId="3" borderId="40" xfId="79" applyFont="1" applyFill="1" applyBorder="1" applyAlignment="1"/>
    <xf numFmtId="0" fontId="9" fillId="3" borderId="41" xfId="5" applyFont="1" applyFill="1" applyBorder="1"/>
    <xf numFmtId="189" fontId="9" fillId="3" borderId="41" xfId="5" applyNumberFormat="1" applyFont="1" applyFill="1" applyBorder="1"/>
    <xf numFmtId="0" fontId="9" fillId="3" borderId="42" xfId="5" applyFont="1" applyFill="1" applyBorder="1"/>
    <xf numFmtId="189" fontId="9" fillId="3" borderId="0" xfId="4" applyNumberFormat="1" applyFont="1" applyFill="1" applyBorder="1"/>
    <xf numFmtId="9" fontId="9" fillId="0" borderId="0" xfId="4" applyNumberFormat="1" applyFont="1" applyFill="1" applyBorder="1" applyAlignment="1">
      <alignment horizontal="center"/>
    </xf>
    <xf numFmtId="10" fontId="2" fillId="0" borderId="0" xfId="44" applyNumberFormat="1"/>
    <xf numFmtId="166" fontId="12" fillId="0" borderId="12" xfId="4" applyNumberFormat="1" applyFont="1" applyFill="1" applyBorder="1" applyAlignment="1">
      <alignment horizontal="right"/>
    </xf>
    <xf numFmtId="169" fontId="4" fillId="0" borderId="0" xfId="60" applyNumberFormat="1" applyFont="1" applyFill="1" applyAlignment="1">
      <alignment horizontal="right"/>
    </xf>
    <xf numFmtId="169" fontId="4" fillId="0" borderId="12" xfId="60" applyNumberFormat="1" applyFont="1" applyFill="1" applyBorder="1" applyAlignment="1">
      <alignment horizontal="right"/>
    </xf>
    <xf numFmtId="169" fontId="4" fillId="0" borderId="0" xfId="60" applyNumberFormat="1" applyFont="1" applyFill="1"/>
    <xf numFmtId="0" fontId="3" fillId="4" borderId="40" xfId="79" applyFont="1" applyFill="1" applyBorder="1" applyAlignment="1"/>
    <xf numFmtId="0" fontId="3" fillId="4" borderId="41" xfId="5" applyFont="1" applyFill="1" applyBorder="1"/>
    <xf numFmtId="0" fontId="9" fillId="4" borderId="41" xfId="5" applyFont="1" applyFill="1" applyBorder="1"/>
    <xf numFmtId="43" fontId="3" fillId="4" borderId="41" xfId="27" applyFont="1" applyFill="1" applyBorder="1"/>
    <xf numFmtId="5" fontId="9" fillId="4" borderId="41" xfId="5" applyNumberFormat="1" applyFont="1" applyFill="1" applyBorder="1"/>
    <xf numFmtId="5" fontId="3" fillId="4" borderId="41" xfId="27" applyNumberFormat="1" applyFont="1" applyFill="1" applyBorder="1"/>
    <xf numFmtId="43" fontId="3" fillId="4" borderId="42" xfId="27" applyFont="1" applyFill="1" applyBorder="1"/>
    <xf numFmtId="0" fontId="7" fillId="3" borderId="0" xfId="79" applyFont="1" applyFill="1" applyBorder="1" applyAlignment="1">
      <alignment horizontal="left"/>
    </xf>
    <xf numFmtId="0" fontId="46" fillId="10" borderId="7" xfId="4" applyFont="1" applyFill="1" applyBorder="1"/>
    <xf numFmtId="37" fontId="63" fillId="10" borderId="6" xfId="79" applyNumberFormat="1" applyFont="1" applyFill="1" applyBorder="1" applyAlignment="1"/>
    <xf numFmtId="0" fontId="46" fillId="10" borderId="6" xfId="79" applyFont="1" applyFill="1" applyBorder="1" applyAlignment="1">
      <alignment horizontal="center" wrapText="1"/>
    </xf>
    <xf numFmtId="0" fontId="46" fillId="10" borderId="6" xfId="79" applyFont="1" applyFill="1" applyBorder="1" applyAlignment="1">
      <alignment horizontal="centerContinuous" wrapText="1"/>
    </xf>
    <xf numFmtId="0" fontId="46" fillId="10" borderId="4" xfId="79" applyFont="1" applyFill="1" applyBorder="1" applyAlignment="1">
      <alignment horizontal="left"/>
    </xf>
    <xf numFmtId="190" fontId="12" fillId="0" borderId="0" xfId="4" applyNumberFormat="1" applyFont="1" applyFill="1" applyBorder="1"/>
    <xf numFmtId="190" fontId="12" fillId="0" borderId="12" xfId="27" applyNumberFormat="1" applyFont="1" applyFill="1" applyBorder="1"/>
    <xf numFmtId="165" fontId="13" fillId="0" borderId="25" xfId="4" applyNumberFormat="1" applyFont="1" applyFill="1" applyBorder="1" applyAlignment="1">
      <alignment horizontal="right"/>
    </xf>
    <xf numFmtId="165" fontId="13" fillId="0" borderId="12" xfId="4" applyNumberFormat="1" applyFont="1" applyBorder="1"/>
    <xf numFmtId="165" fontId="12" fillId="0" borderId="12" xfId="4" applyNumberFormat="1" applyFont="1" applyFill="1" applyBorder="1" applyAlignment="1">
      <alignment horizontal="right"/>
    </xf>
    <xf numFmtId="168" fontId="12" fillId="0" borderId="12" xfId="4" applyNumberFormat="1" applyFont="1" applyFill="1" applyBorder="1" applyAlignment="1">
      <alignment horizontal="right"/>
    </xf>
    <xf numFmtId="43" fontId="3" fillId="0" borderId="0" xfId="26" applyFont="1" applyBorder="1" applyAlignment="1">
      <alignment horizontal="center"/>
    </xf>
    <xf numFmtId="0" fontId="9" fillId="0" borderId="0" xfId="44" applyFont="1" applyBorder="1" applyAlignment="1">
      <alignment horizontal="right"/>
    </xf>
    <xf numFmtId="183" fontId="9" fillId="0" borderId="0" xfId="56" applyNumberFormat="1" applyFont="1" applyBorder="1" applyAlignment="1">
      <alignment horizontal="right"/>
    </xf>
    <xf numFmtId="0" fontId="3" fillId="0" borderId="0" xfId="44" applyFont="1" applyBorder="1" applyAlignment="1">
      <alignment horizontal="right"/>
    </xf>
    <xf numFmtId="6" fontId="9" fillId="0" borderId="2" xfId="4" applyNumberFormat="1" applyFont="1" applyBorder="1" applyAlignment="1">
      <alignment horizontal="right"/>
    </xf>
    <xf numFmtId="6" fontId="3" fillId="0" borderId="0" xfId="4" applyNumberFormat="1" applyFont="1" applyBorder="1" applyAlignment="1">
      <alignment horizontal="right"/>
    </xf>
    <xf numFmtId="39" fontId="3" fillId="0" borderId="0" xfId="28" applyNumberFormat="1" applyFont="1"/>
    <xf numFmtId="39" fontId="9" fillId="0" borderId="17" xfId="28" applyNumberFormat="1" applyFont="1" applyBorder="1"/>
    <xf numFmtId="49" fontId="0" fillId="0" borderId="0" xfId="0" applyNumberFormat="1"/>
    <xf numFmtId="5" fontId="9" fillId="4" borderId="47" xfId="31" applyNumberFormat="1" applyFont="1" applyFill="1" applyBorder="1" applyAlignment="1">
      <alignment horizontal="center"/>
    </xf>
    <xf numFmtId="0" fontId="2" fillId="4" borderId="0" xfId="44" applyFill="1"/>
    <xf numFmtId="172" fontId="9" fillId="4" borderId="49" xfId="27" applyNumberFormat="1" applyFont="1" applyFill="1" applyBorder="1"/>
    <xf numFmtId="183" fontId="9" fillId="4" borderId="50" xfId="79" applyNumberFormat="1" applyFont="1" applyFill="1" applyBorder="1" applyAlignment="1"/>
    <xf numFmtId="183" fontId="9" fillId="4" borderId="49" xfId="79" applyNumberFormat="1" applyFont="1" applyFill="1" applyBorder="1" applyAlignment="1"/>
    <xf numFmtId="169" fontId="9" fillId="4" borderId="50" xfId="60" applyNumberFormat="1" applyFont="1" applyFill="1" applyBorder="1"/>
    <xf numFmtId="169" fontId="9" fillId="4" borderId="11" xfId="60" applyNumberFormat="1" applyFont="1" applyFill="1" applyBorder="1"/>
    <xf numFmtId="9" fontId="3" fillId="0" borderId="0" xfId="4" applyNumberFormat="1" applyFont="1" applyBorder="1" applyAlignment="1">
      <alignment horizontal="center"/>
    </xf>
    <xf numFmtId="169" fontId="10" fillId="3" borderId="17" xfId="27" applyNumberFormat="1" applyFont="1" applyFill="1" applyBorder="1"/>
    <xf numFmtId="171" fontId="9" fillId="0" borderId="0" xfId="27" applyNumberFormat="1" applyFont="1" applyFill="1" applyBorder="1" applyAlignment="1">
      <alignment horizontal="right"/>
    </xf>
    <xf numFmtId="171" fontId="9" fillId="0" borderId="17" xfId="27" applyNumberFormat="1" applyFont="1" applyFill="1" applyBorder="1" applyAlignment="1">
      <alignment horizontal="right"/>
    </xf>
    <xf numFmtId="165" fontId="12" fillId="0" borderId="0" xfId="27" applyNumberFormat="1" applyFont="1" applyAlignment="1">
      <alignment horizontal="left" indent="2"/>
    </xf>
    <xf numFmtId="0" fontId="9" fillId="0" borderId="7" xfId="55" applyFont="1" applyFill="1" applyBorder="1"/>
    <xf numFmtId="0" fontId="3" fillId="0" borderId="4" xfId="55" applyFont="1" applyFill="1" applyBorder="1" applyAlignment="1">
      <alignment horizontal="center"/>
    </xf>
    <xf numFmtId="169" fontId="9" fillId="0" borderId="11" xfId="27" applyNumberFormat="1" applyFont="1" applyFill="1" applyBorder="1" applyAlignment="1">
      <alignment horizontal="right"/>
    </xf>
    <xf numFmtId="169" fontId="12" fillId="0" borderId="3" xfId="60" applyNumberFormat="1" applyFont="1" applyFill="1" applyBorder="1" applyAlignment="1">
      <alignment horizontal="left" indent="2"/>
    </xf>
    <xf numFmtId="166" fontId="12" fillId="0" borderId="3" xfId="4" applyNumberFormat="1" applyFont="1" applyFill="1" applyBorder="1" applyAlignment="1">
      <alignment horizontal="left" indent="2"/>
    </xf>
    <xf numFmtId="9" fontId="12" fillId="0" borderId="3" xfId="60" applyFont="1" applyFill="1" applyBorder="1" applyAlignment="1">
      <alignment horizontal="left" indent="2"/>
    </xf>
    <xf numFmtId="176" fontId="9" fillId="0" borderId="11" xfId="27" applyNumberFormat="1" applyFont="1" applyFill="1" applyBorder="1" applyAlignment="1">
      <alignment horizontal="right"/>
    </xf>
    <xf numFmtId="0" fontId="12" fillId="0" borderId="3" xfId="4" applyFont="1" applyFill="1" applyBorder="1" applyAlignment="1">
      <alignment horizontal="left" indent="2"/>
    </xf>
    <xf numFmtId="166" fontId="14" fillId="0" borderId="3" xfId="54" applyNumberFormat="1" applyFont="1" applyFill="1" applyBorder="1" applyAlignment="1">
      <alignment horizontal="left"/>
    </xf>
    <xf numFmtId="166" fontId="14" fillId="0" borderId="3" xfId="54" applyNumberFormat="1" applyFont="1" applyFill="1" applyBorder="1" applyAlignment="1">
      <alignment horizontal="left" indent="1"/>
    </xf>
    <xf numFmtId="0" fontId="12" fillId="0" borderId="3" xfId="79" applyFont="1" applyFill="1" applyBorder="1" applyAlignment="1">
      <alignment horizontal="left" indent="1"/>
    </xf>
    <xf numFmtId="166" fontId="12" fillId="0" borderId="3" xfId="4" applyNumberFormat="1" applyFont="1" applyFill="1" applyBorder="1" applyAlignment="1">
      <alignment horizontal="left" indent="1"/>
    </xf>
    <xf numFmtId="165" fontId="36" fillId="0" borderId="11" xfId="54" applyNumberFormat="1" applyFont="1" applyFill="1" applyBorder="1" applyAlignment="1">
      <alignment horizontal="right"/>
    </xf>
    <xf numFmtId="166" fontId="18" fillId="0" borderId="3" xfId="54" applyNumberFormat="1" applyFont="1" applyFill="1" applyBorder="1" applyAlignment="1">
      <alignment horizontal="left"/>
    </xf>
    <xf numFmtId="169" fontId="3" fillId="0" borderId="11" xfId="27" applyNumberFormat="1" applyFont="1" applyFill="1" applyBorder="1" applyAlignment="1">
      <alignment horizontal="right"/>
    </xf>
    <xf numFmtId="166" fontId="12" fillId="0" borderId="3" xfId="54" applyNumberFormat="1" applyFont="1" applyFill="1" applyBorder="1" applyAlignment="1">
      <alignment horizontal="left"/>
    </xf>
    <xf numFmtId="37" fontId="14" fillId="0" borderId="3" xfId="53" applyNumberFormat="1" applyFont="1" applyFill="1" applyBorder="1" applyAlignment="1" applyProtection="1">
      <alignment horizontal="left"/>
    </xf>
    <xf numFmtId="0" fontId="13" fillId="0" borderId="3" xfId="79" applyFont="1" applyFill="1" applyBorder="1" applyAlignment="1"/>
    <xf numFmtId="0" fontId="13" fillId="0" borderId="3" xfId="4" applyFont="1" applyFill="1" applyBorder="1"/>
    <xf numFmtId="0" fontId="12" fillId="0" borderId="3" xfId="4" applyFont="1" applyBorder="1"/>
    <xf numFmtId="171" fontId="9" fillId="0" borderId="0" xfId="44" applyNumberFormat="1" applyFont="1" applyBorder="1"/>
    <xf numFmtId="0" fontId="12" fillId="0" borderId="3" xfId="4" applyFont="1" applyBorder="1" applyAlignment="1">
      <alignment horizontal="left"/>
    </xf>
    <xf numFmtId="169" fontId="9" fillId="0" borderId="18" xfId="27" applyNumberFormat="1" applyFont="1" applyFill="1" applyBorder="1" applyAlignment="1">
      <alignment horizontal="right"/>
    </xf>
    <xf numFmtId="0" fontId="13" fillId="0" borderId="3" xfId="4" applyFont="1" applyBorder="1"/>
    <xf numFmtId="0" fontId="12" fillId="0" borderId="3" xfId="4" applyFont="1" applyBorder="1" applyAlignment="1">
      <alignment horizontal="left" indent="1"/>
    </xf>
    <xf numFmtId="0" fontId="12" fillId="0" borderId="3" xfId="4" applyFont="1" applyBorder="1" applyAlignment="1">
      <alignment horizontal="left" indent="2"/>
    </xf>
    <xf numFmtId="0" fontId="13" fillId="0" borderId="3" xfId="4" applyFont="1" applyBorder="1" applyAlignment="1">
      <alignment horizontal="left"/>
    </xf>
    <xf numFmtId="37" fontId="18" fillId="4" borderId="7" xfId="53" applyNumberFormat="1" applyFont="1" applyFill="1" applyBorder="1" applyAlignment="1" applyProtection="1">
      <alignment horizontal="left"/>
    </xf>
    <xf numFmtId="7" fontId="3" fillId="4" borderId="6" xfId="27" applyNumberFormat="1" applyFont="1" applyFill="1" applyBorder="1" applyAlignment="1">
      <alignment horizontal="right"/>
    </xf>
    <xf numFmtId="43" fontId="3" fillId="4" borderId="6" xfId="27" applyFont="1" applyFill="1" applyBorder="1" applyAlignment="1">
      <alignment horizontal="right"/>
    </xf>
    <xf numFmtId="169" fontId="3" fillId="4" borderId="6" xfId="27" applyNumberFormat="1" applyFont="1" applyFill="1" applyBorder="1" applyAlignment="1">
      <alignment horizontal="right"/>
    </xf>
    <xf numFmtId="43" fontId="62" fillId="4" borderId="6" xfId="27" applyFont="1" applyFill="1" applyBorder="1" applyAlignment="1">
      <alignment horizontal="right"/>
    </xf>
    <xf numFmtId="169" fontId="3" fillId="4" borderId="4" xfId="27" applyNumberFormat="1" applyFont="1" applyFill="1" applyBorder="1" applyAlignment="1">
      <alignment horizontal="right"/>
    </xf>
    <xf numFmtId="43" fontId="12" fillId="0" borderId="13" xfId="26" applyFont="1" applyFill="1" applyBorder="1"/>
    <xf numFmtId="174" fontId="7" fillId="3" borderId="0" xfId="26" applyNumberFormat="1" applyFont="1" applyFill="1"/>
    <xf numFmtId="174" fontId="7" fillId="3" borderId="12" xfId="26" applyNumberFormat="1" applyFont="1" applyFill="1" applyBorder="1"/>
    <xf numFmtId="174" fontId="7" fillId="3" borderId="11" xfId="26" applyNumberFormat="1" applyFont="1" applyFill="1" applyBorder="1"/>
    <xf numFmtId="174" fontId="4" fillId="3" borderId="0" xfId="4" applyNumberFormat="1" applyFont="1" applyFill="1"/>
    <xf numFmtId="174" fontId="7" fillId="3" borderId="0" xfId="4" applyNumberFormat="1" applyFont="1" applyFill="1"/>
    <xf numFmtId="169" fontId="4" fillId="3" borderId="12" xfId="4" applyNumberFormat="1" applyFont="1" applyFill="1" applyBorder="1"/>
    <xf numFmtId="169" fontId="4" fillId="3" borderId="0" xfId="4" applyNumberFormat="1" applyFont="1" applyFill="1"/>
    <xf numFmtId="169" fontId="4" fillId="3" borderId="11" xfId="4" applyNumberFormat="1" applyFont="1" applyFill="1" applyBorder="1"/>
    <xf numFmtId="9" fontId="4" fillId="3" borderId="11" xfId="60" applyNumberFormat="1" applyFont="1" applyFill="1" applyBorder="1"/>
    <xf numFmtId="169" fontId="39" fillId="0" borderId="17" xfId="60" applyNumberFormat="1" applyFont="1" applyFill="1" applyBorder="1" applyAlignment="1">
      <alignment horizontal="left"/>
    </xf>
    <xf numFmtId="169" fontId="39" fillId="0" borderId="15" xfId="60" applyNumberFormat="1" applyFont="1" applyFill="1" applyBorder="1" applyAlignment="1">
      <alignment horizontal="left"/>
    </xf>
    <xf numFmtId="0" fontId="0" fillId="0" borderId="13" xfId="0" applyBorder="1"/>
    <xf numFmtId="169" fontId="19" fillId="3" borderId="0" xfId="4" applyNumberFormat="1" applyFont="1" applyFill="1" applyBorder="1"/>
    <xf numFmtId="169" fontId="19" fillId="3" borderId="12" xfId="60" applyNumberFormat="1" applyFont="1" applyFill="1" applyBorder="1"/>
    <xf numFmtId="168" fontId="4" fillId="0" borderId="12" xfId="4" applyNumberFormat="1" applyFont="1" applyBorder="1"/>
    <xf numFmtId="168" fontId="4" fillId="0" borderId="0" xfId="4" applyNumberFormat="1" applyFont="1" applyBorder="1"/>
    <xf numFmtId="168" fontId="4" fillId="0" borderId="0" xfId="4" applyNumberFormat="1" applyFont="1"/>
    <xf numFmtId="168" fontId="4" fillId="0" borderId="0" xfId="4" applyNumberFormat="1" applyFont="1" applyFill="1"/>
    <xf numFmtId="9" fontId="4" fillId="0" borderId="0" xfId="60" applyFont="1"/>
    <xf numFmtId="168" fontId="4" fillId="0" borderId="12" xfId="4" applyNumberFormat="1" applyFont="1" applyFill="1" applyBorder="1"/>
    <xf numFmtId="174" fontId="4" fillId="0" borderId="12" xfId="4" applyNumberFormat="1" applyFont="1" applyBorder="1"/>
    <xf numFmtId="0" fontId="4" fillId="0" borderId="0" xfId="4" applyFont="1"/>
    <xf numFmtId="168" fontId="4" fillId="0" borderId="11" xfId="4" applyNumberFormat="1" applyFont="1" applyBorder="1"/>
    <xf numFmtId="174" fontId="4" fillId="0" borderId="3" xfId="4" applyNumberFormat="1" applyFont="1" applyBorder="1"/>
    <xf numFmtId="174" fontId="4" fillId="0" borderId="0" xfId="4" applyNumberFormat="1" applyFont="1" applyAlignment="1">
      <alignment horizontal="left" indent="1"/>
    </xf>
    <xf numFmtId="0" fontId="4" fillId="0" borderId="3" xfId="4" applyFont="1" applyBorder="1" applyAlignment="1">
      <alignment horizontal="right"/>
    </xf>
    <xf numFmtId="0" fontId="4" fillId="0" borderId="0" xfId="4" applyFont="1" applyBorder="1" applyAlignment="1">
      <alignment horizontal="right"/>
    </xf>
    <xf numFmtId="0" fontId="4" fillId="0" borderId="12" xfId="4" applyFont="1" applyBorder="1" applyAlignment="1">
      <alignment horizontal="right"/>
    </xf>
    <xf numFmtId="0" fontId="4" fillId="0" borderId="11" xfId="4" applyFont="1" applyBorder="1" applyAlignment="1">
      <alignment horizontal="right"/>
    </xf>
    <xf numFmtId="174" fontId="4" fillId="0" borderId="3" xfId="27" applyNumberFormat="1" applyFont="1" applyBorder="1"/>
    <xf numFmtId="174" fontId="4" fillId="0" borderId="0" xfId="27" applyNumberFormat="1" applyFont="1" applyBorder="1"/>
    <xf numFmtId="174" fontId="25" fillId="0" borderId="0" xfId="27" applyNumberFormat="1" applyFont="1" applyBorder="1"/>
    <xf numFmtId="169" fontId="4" fillId="0" borderId="0" xfId="27" applyNumberFormat="1" applyFont="1" applyBorder="1"/>
    <xf numFmtId="9" fontId="4" fillId="0" borderId="0" xfId="27" applyNumberFormat="1" applyFont="1" applyBorder="1"/>
    <xf numFmtId="9" fontId="4" fillId="0" borderId="12" xfId="27" applyNumberFormat="1" applyFont="1" applyBorder="1"/>
    <xf numFmtId="174" fontId="25" fillId="0" borderId="0" xfId="4" applyNumberFormat="1" applyFont="1" applyBorder="1"/>
    <xf numFmtId="0" fontId="4" fillId="0" borderId="0" xfId="4" applyFont="1" applyBorder="1"/>
    <xf numFmtId="174" fontId="4" fillId="0" borderId="0" xfId="4" applyNumberFormat="1" applyFont="1" applyBorder="1"/>
    <xf numFmtId="7" fontId="12" fillId="0" borderId="0" xfId="27" applyNumberFormat="1" applyFont="1" applyFill="1" applyBorder="1"/>
    <xf numFmtId="174" fontId="7" fillId="0" borderId="3" xfId="4" applyNumberFormat="1" applyFont="1" applyBorder="1"/>
    <xf numFmtId="174" fontId="4" fillId="0" borderId="11" xfId="4" applyNumberFormat="1" applyFont="1" applyBorder="1"/>
    <xf numFmtId="174" fontId="7" fillId="0" borderId="12" xfId="4" applyNumberFormat="1" applyFont="1" applyBorder="1"/>
    <xf numFmtId="174" fontId="4" fillId="0" borderId="12" xfId="4" applyNumberFormat="1" applyFont="1" applyFill="1" applyBorder="1"/>
    <xf numFmtId="169" fontId="4" fillId="0" borderId="12" xfId="27" applyNumberFormat="1" applyFont="1" applyBorder="1" applyAlignment="1"/>
    <xf numFmtId="169" fontId="4" fillId="0" borderId="3" xfId="27" applyNumberFormat="1" applyFont="1" applyBorder="1" applyAlignment="1"/>
    <xf numFmtId="169" fontId="4" fillId="0" borderId="12" xfId="4" applyNumberFormat="1" applyFont="1" applyBorder="1" applyAlignment="1"/>
    <xf numFmtId="169" fontId="4" fillId="0" borderId="11" xfId="4" applyNumberFormat="1" applyFont="1" applyBorder="1" applyAlignment="1"/>
    <xf numFmtId="0" fontId="7" fillId="4" borderId="0" xfId="4" applyFont="1" applyFill="1" applyBorder="1" applyAlignment="1">
      <alignment horizontal="left"/>
    </xf>
    <xf numFmtId="169" fontId="10" fillId="4" borderId="0" xfId="60" applyNumberFormat="1" applyFont="1" applyFill="1" applyBorder="1" applyAlignment="1">
      <alignment horizontal="centerContinuous"/>
    </xf>
    <xf numFmtId="0" fontId="42" fillId="4" borderId="0" xfId="4" applyFont="1" applyFill="1" applyBorder="1" applyAlignment="1">
      <alignment horizontal="left"/>
    </xf>
    <xf numFmtId="43" fontId="43" fillId="4" borderId="0" xfId="27" applyFont="1" applyFill="1" applyBorder="1" applyAlignment="1">
      <alignment horizontal="right"/>
    </xf>
    <xf numFmtId="169" fontId="43" fillId="4" borderId="0" xfId="4" applyNumberFormat="1" applyFont="1" applyFill="1" applyBorder="1" applyAlignment="1">
      <alignment horizontal="right"/>
    </xf>
    <xf numFmtId="0" fontId="7" fillId="4" borderId="12" xfId="4" applyFont="1" applyFill="1" applyBorder="1" applyAlignment="1">
      <alignment horizontal="left"/>
    </xf>
    <xf numFmtId="169" fontId="43" fillId="4" borderId="12" xfId="4" applyNumberFormat="1" applyFont="1" applyFill="1" applyBorder="1" applyAlignment="1">
      <alignment horizontal="right"/>
    </xf>
    <xf numFmtId="169" fontId="43" fillId="4" borderId="12" xfId="60" applyNumberFormat="1" applyFont="1" applyFill="1" applyBorder="1"/>
    <xf numFmtId="0" fontId="7" fillId="3" borderId="0" xfId="4" applyFont="1" applyFill="1" applyBorder="1" applyAlignment="1">
      <alignment horizontal="left"/>
    </xf>
    <xf numFmtId="0" fontId="4" fillId="3" borderId="0" xfId="4" applyFont="1" applyFill="1" applyBorder="1" applyAlignment="1">
      <alignment horizontal="left"/>
    </xf>
    <xf numFmtId="9" fontId="4" fillId="3" borderId="3" xfId="60" applyNumberFormat="1" applyFont="1" applyFill="1" applyBorder="1"/>
    <xf numFmtId="43" fontId="39" fillId="6" borderId="0" xfId="26" applyFont="1" applyFill="1" applyBorder="1"/>
    <xf numFmtId="0" fontId="46" fillId="3" borderId="0" xfId="4" applyFont="1" applyFill="1"/>
    <xf numFmtId="37" fontId="63" fillId="3" borderId="0" xfId="79" applyNumberFormat="1" applyFont="1" applyFill="1" applyBorder="1" applyAlignment="1"/>
    <xf numFmtId="0" fontId="9" fillId="0" borderId="0" xfId="44" applyFont="1"/>
    <xf numFmtId="0" fontId="57" fillId="3" borderId="0" xfId="79" applyFont="1" applyFill="1" applyBorder="1" applyAlignment="1">
      <alignment horizontal="center" wrapText="1"/>
    </xf>
    <xf numFmtId="169" fontId="4" fillId="4" borderId="0" xfId="60" applyNumberFormat="1" applyFont="1" applyFill="1" applyBorder="1"/>
    <xf numFmtId="169" fontId="4" fillId="4" borderId="12" xfId="60" applyNumberFormat="1" applyFont="1" applyFill="1" applyBorder="1"/>
    <xf numFmtId="169" fontId="4" fillId="4" borderId="15" xfId="60" applyNumberFormat="1" applyFont="1" applyFill="1" applyBorder="1"/>
    <xf numFmtId="169" fontId="4" fillId="4" borderId="17" xfId="60" applyNumberFormat="1" applyFont="1" applyFill="1" applyBorder="1"/>
    <xf numFmtId="6" fontId="3" fillId="0" borderId="5" xfId="4" applyNumberFormat="1" applyFont="1" applyBorder="1" applyAlignment="1">
      <alignment horizontal="center"/>
    </xf>
    <xf numFmtId="174" fontId="7" fillId="0" borderId="12" xfId="4" applyNumberFormat="1" applyFont="1" applyFill="1" applyBorder="1"/>
    <xf numFmtId="0" fontId="4" fillId="0" borderId="0" xfId="4" applyFont="1" applyAlignment="1">
      <alignment horizontal="right"/>
    </xf>
    <xf numFmtId="174" fontId="7" fillId="0" borderId="0" xfId="4" applyNumberFormat="1" applyFont="1" applyFill="1"/>
    <xf numFmtId="174" fontId="4" fillId="0" borderId="13" xfId="4" applyNumberFormat="1" applyFont="1" applyFill="1" applyBorder="1" applyAlignment="1">
      <alignment horizontal="right"/>
    </xf>
    <xf numFmtId="174" fontId="4" fillId="3" borderId="12" xfId="4" applyNumberFormat="1" applyFont="1" applyFill="1" applyBorder="1"/>
    <xf numFmtId="174" fontId="4" fillId="0" borderId="11" xfId="26" applyNumberFormat="1" applyFont="1" applyBorder="1" applyAlignment="1">
      <alignment horizontal="right"/>
    </xf>
    <xf numFmtId="174" fontId="4" fillId="0" borderId="12" xfId="26" applyNumberFormat="1" applyFont="1" applyBorder="1" applyAlignment="1">
      <alignment horizontal="right"/>
    </xf>
    <xf numFmtId="174" fontId="4" fillId="0" borderId="12" xfId="27" applyNumberFormat="1" applyFont="1" applyBorder="1" applyAlignment="1"/>
    <xf numFmtId="174" fontId="4" fillId="3" borderId="12" xfId="4" applyNumberFormat="1" applyFont="1" applyFill="1" applyBorder="1" applyAlignment="1"/>
    <xf numFmtId="0" fontId="4" fillId="3" borderId="0" xfId="4" applyFont="1" applyFill="1" applyAlignment="1">
      <alignment horizontal="right"/>
    </xf>
    <xf numFmtId="174" fontId="4" fillId="3" borderId="12" xfId="27" applyNumberFormat="1" applyFont="1" applyFill="1" applyBorder="1" applyAlignment="1"/>
    <xf numFmtId="174" fontId="4" fillId="3" borderId="11" xfId="4" applyNumberFormat="1" applyFont="1" applyFill="1" applyBorder="1" applyAlignment="1"/>
    <xf numFmtId="174" fontId="4" fillId="0" borderId="0" xfId="4" applyNumberFormat="1" applyFont="1" applyAlignment="1"/>
    <xf numFmtId="169" fontId="10" fillId="0" borderId="0" xfId="60" applyNumberFormat="1" applyFont="1"/>
    <xf numFmtId="169" fontId="10" fillId="0" borderId="12" xfId="60" applyNumberFormat="1" applyFont="1" applyBorder="1"/>
    <xf numFmtId="169" fontId="10" fillId="0" borderId="11" xfId="60" applyNumberFormat="1" applyFont="1" applyBorder="1"/>
    <xf numFmtId="0" fontId="4" fillId="3" borderId="11" xfId="4" applyFont="1" applyFill="1" applyBorder="1" applyAlignment="1">
      <alignment horizontal="right"/>
    </xf>
    <xf numFmtId="174" fontId="4" fillId="0" borderId="0" xfId="4" applyNumberFormat="1" applyFont="1" applyFill="1"/>
    <xf numFmtId="174" fontId="4" fillId="3" borderId="0" xfId="4" applyNumberFormat="1" applyFont="1" applyFill="1" applyAlignment="1">
      <alignment horizontal="left"/>
    </xf>
    <xf numFmtId="174" fontId="4" fillId="3" borderId="0" xfId="4" applyNumberFormat="1" applyFont="1" applyFill="1" applyAlignment="1">
      <alignment horizontal="right"/>
    </xf>
    <xf numFmtId="0" fontId="4" fillId="0" borderId="0" xfId="4" applyFont="1" applyFill="1" applyAlignment="1">
      <alignment horizontal="right"/>
    </xf>
    <xf numFmtId="0" fontId="4" fillId="0" borderId="11" xfId="4" applyFont="1" applyFill="1" applyBorder="1" applyAlignment="1">
      <alignment horizontal="right"/>
    </xf>
    <xf numFmtId="169" fontId="4" fillId="0" borderId="0" xfId="60" applyNumberFormat="1" applyFont="1" applyFill="1" applyBorder="1" applyAlignment="1"/>
    <xf numFmtId="174" fontId="4" fillId="0" borderId="11" xfId="4" applyNumberFormat="1" applyFont="1" applyFill="1" applyBorder="1"/>
    <xf numFmtId="169" fontId="4" fillId="0" borderId="12" xfId="60" applyNumberFormat="1" applyFont="1" applyBorder="1"/>
    <xf numFmtId="0" fontId="4" fillId="3" borderId="0" xfId="4" applyFont="1" applyFill="1" applyAlignment="1">
      <alignment horizontal="left" indent="1"/>
    </xf>
    <xf numFmtId="174" fontId="4" fillId="0" borderId="0" xfId="4" applyNumberFormat="1" applyFont="1" applyFill="1" applyBorder="1"/>
    <xf numFmtId="0" fontId="4" fillId="0" borderId="0" xfId="4" applyFont="1" applyFill="1" applyAlignment="1">
      <alignment horizontal="left" indent="1"/>
    </xf>
    <xf numFmtId="174" fontId="4" fillId="0" borderId="12" xfId="27" applyNumberFormat="1" applyFont="1" applyFill="1" applyBorder="1"/>
    <xf numFmtId="174" fontId="4" fillId="0" borderId="0" xfId="27" applyNumberFormat="1" applyFont="1" applyFill="1" applyBorder="1"/>
    <xf numFmtId="174" fontId="4" fillId="0" borderId="3" xfId="27" applyNumberFormat="1" applyFont="1" applyFill="1" applyBorder="1"/>
    <xf numFmtId="1" fontId="4" fillId="0" borderId="0" xfId="4" applyNumberFormat="1" applyFont="1" applyAlignment="1">
      <alignment horizontal="right"/>
    </xf>
    <xf numFmtId="174" fontId="4" fillId="0" borderId="11" xfId="4" applyNumberFormat="1" applyFont="1" applyBorder="1" applyAlignment="1"/>
    <xf numFmtId="174" fontId="4" fillId="0" borderId="12" xfId="4" applyNumberFormat="1" applyFont="1" applyBorder="1" applyAlignment="1"/>
    <xf numFmtId="174" fontId="4" fillId="0" borderId="3" xfId="4" applyNumberFormat="1" applyFont="1" applyBorder="1" applyAlignment="1">
      <alignment horizontal="left" indent="2"/>
    </xf>
    <xf numFmtId="174" fontId="4" fillId="0" borderId="0" xfId="27" applyNumberFormat="1" applyFont="1" applyBorder="1" applyAlignment="1"/>
    <xf numFmtId="174" fontId="4" fillId="0" borderId="3" xfId="4" applyNumberFormat="1" applyFont="1" applyBorder="1" applyAlignment="1">
      <alignment horizontal="left" indent="1"/>
    </xf>
    <xf numFmtId="172" fontId="4" fillId="0" borderId="0" xfId="4" applyNumberFormat="1" applyFont="1" applyFill="1" applyBorder="1"/>
    <xf numFmtId="0" fontId="0" fillId="0" borderId="0" xfId="0"/>
    <xf numFmtId="9" fontId="69" fillId="0" borderId="0" xfId="4" applyNumberFormat="1" applyFont="1" applyBorder="1"/>
    <xf numFmtId="0" fontId="86" fillId="0" borderId="0" xfId="0" applyFont="1"/>
    <xf numFmtId="165" fontId="1" fillId="0" borderId="0" xfId="4" applyNumberFormat="1" applyFont="1"/>
    <xf numFmtId="166" fontId="1" fillId="0" borderId="0" xfId="4" applyNumberFormat="1" applyFont="1"/>
    <xf numFmtId="170" fontId="1" fillId="0" borderId="0" xfId="4" applyNumberFormat="1" applyFont="1"/>
    <xf numFmtId="170" fontId="1" fillId="0" borderId="0" xfId="60" applyNumberFormat="1" applyFont="1"/>
    <xf numFmtId="166" fontId="12" fillId="3" borderId="0" xfId="27" applyNumberFormat="1" applyFont="1" applyFill="1"/>
    <xf numFmtId="166" fontId="1" fillId="0" borderId="0" xfId="27" applyNumberFormat="1" applyFont="1"/>
    <xf numFmtId="166" fontId="20" fillId="3" borderId="0" xfId="4" applyNumberFormat="1" applyFont="1" applyFill="1" applyBorder="1"/>
    <xf numFmtId="166" fontId="1" fillId="0" borderId="0" xfId="4" applyNumberFormat="1" applyFont="1" applyFill="1"/>
    <xf numFmtId="170" fontId="1" fillId="0" borderId="0" xfId="4" applyNumberFormat="1" applyFont="1" applyBorder="1"/>
    <xf numFmtId="166" fontId="14" fillId="0" borderId="0" xfId="4" applyNumberFormat="1" applyFont="1" applyFill="1" applyBorder="1"/>
    <xf numFmtId="166" fontId="14" fillId="0" borderId="12" xfId="4" applyNumberFormat="1" applyFont="1" applyBorder="1"/>
    <xf numFmtId="166" fontId="14" fillId="3" borderId="3" xfId="54" applyNumberFormat="1" applyFont="1" applyFill="1" applyBorder="1" applyAlignment="1">
      <alignment horizontal="left" indent="1"/>
    </xf>
    <xf numFmtId="165" fontId="1" fillId="0" borderId="0" xfId="4" applyNumberFormat="1" applyFont="1" applyFill="1"/>
    <xf numFmtId="170" fontId="1" fillId="0" borderId="0" xfId="4" applyNumberFormat="1" applyFont="1" applyFill="1"/>
    <xf numFmtId="166" fontId="12" fillId="3" borderId="0" xfId="4" applyNumberFormat="1" applyFont="1" applyFill="1" applyAlignment="1">
      <alignment horizontal="right"/>
    </xf>
    <xf numFmtId="166" fontId="12" fillId="3" borderId="0" xfId="54" applyNumberFormat="1" applyFont="1" applyFill="1" applyBorder="1" applyAlignment="1">
      <alignment horizontal="right"/>
    </xf>
    <xf numFmtId="166" fontId="12" fillId="3" borderId="12" xfId="54" applyNumberFormat="1" applyFont="1" applyFill="1" applyBorder="1" applyAlignment="1">
      <alignment horizontal="right"/>
    </xf>
    <xf numFmtId="166" fontId="12" fillId="3" borderId="3" xfId="54" applyNumberFormat="1" applyFont="1" applyFill="1" applyBorder="1" applyAlignment="1">
      <alignment horizontal="right"/>
    </xf>
    <xf numFmtId="166" fontId="12" fillId="0" borderId="0" xfId="54" applyNumberFormat="1" applyFont="1" applyFill="1" applyBorder="1" applyAlignment="1">
      <alignment horizontal="right"/>
    </xf>
    <xf numFmtId="166" fontId="12" fillId="0" borderId="12" xfId="54" applyNumberFormat="1" applyFont="1" applyFill="1" applyBorder="1" applyAlignment="1">
      <alignment horizontal="right"/>
    </xf>
    <xf numFmtId="168" fontId="12" fillId="0" borderId="12" xfId="27" applyNumberFormat="1" applyFont="1" applyBorder="1"/>
    <xf numFmtId="166" fontId="12" fillId="3" borderId="0" xfId="27" applyNumberFormat="1" applyFont="1" applyFill="1" applyBorder="1" applyAlignment="1" applyProtection="1">
      <alignment horizontal="right"/>
    </xf>
    <xf numFmtId="166" fontId="12" fillId="3" borderId="12" xfId="27" applyNumberFormat="1" applyFont="1" applyFill="1" applyBorder="1" applyAlignment="1" applyProtection="1">
      <alignment horizontal="right"/>
    </xf>
    <xf numFmtId="166" fontId="12" fillId="3" borderId="3" xfId="27" applyNumberFormat="1" applyFont="1" applyFill="1" applyBorder="1" applyAlignment="1" applyProtection="1">
      <alignment horizontal="right"/>
    </xf>
    <xf numFmtId="166" fontId="14" fillId="3" borderId="12" xfId="27" applyNumberFormat="1" applyFont="1" applyFill="1" applyBorder="1" applyAlignment="1" applyProtection="1">
      <alignment horizontal="right"/>
    </xf>
    <xf numFmtId="166" fontId="12" fillId="0" borderId="0" xfId="27" applyNumberFormat="1" applyFont="1" applyFill="1" applyBorder="1" applyAlignment="1" applyProtection="1">
      <alignment horizontal="right"/>
    </xf>
    <xf numFmtId="166" fontId="14" fillId="0" borderId="12" xfId="27" applyNumberFormat="1" applyFont="1" applyFill="1" applyBorder="1" applyAlignment="1" applyProtection="1">
      <alignment horizontal="right"/>
    </xf>
    <xf numFmtId="166" fontId="12" fillId="0" borderId="12" xfId="27" applyNumberFormat="1" applyFont="1" applyFill="1" applyBorder="1" applyAlignment="1" applyProtection="1">
      <alignment horizontal="right"/>
    </xf>
    <xf numFmtId="7" fontId="1" fillId="0" borderId="0" xfId="4" applyNumberFormat="1" applyFont="1" applyFill="1"/>
    <xf numFmtId="7" fontId="1" fillId="0" borderId="0" xfId="4" applyNumberFormat="1" applyFont="1"/>
    <xf numFmtId="43" fontId="12" fillId="3" borderId="0" xfId="27" applyFont="1" applyFill="1" applyBorder="1" applyAlignment="1" applyProtection="1">
      <alignment horizontal="right"/>
    </xf>
    <xf numFmtId="0" fontId="1" fillId="0" borderId="0" xfId="4" applyFont="1" applyBorder="1"/>
    <xf numFmtId="172" fontId="12" fillId="3" borderId="0" xfId="27" applyNumberFormat="1" applyFont="1" applyFill="1" applyBorder="1"/>
    <xf numFmtId="8" fontId="12" fillId="0" borderId="0" xfId="4" applyNumberFormat="1" applyFont="1" applyFill="1" applyBorder="1"/>
    <xf numFmtId="8" fontId="12" fillId="0" borderId="0" xfId="4" quotePrefix="1" applyNumberFormat="1" applyFont="1" applyFill="1" applyBorder="1" applyAlignment="1">
      <alignment horizontal="right"/>
    </xf>
    <xf numFmtId="8" fontId="12" fillId="3" borderId="0" xfId="4" applyNumberFormat="1" applyFont="1" applyFill="1" applyBorder="1"/>
    <xf numFmtId="172" fontId="12" fillId="3" borderId="12" xfId="60" applyNumberFormat="1" applyFont="1" applyFill="1" applyBorder="1"/>
    <xf numFmtId="5" fontId="1" fillId="0" borderId="0" xfId="4" applyNumberFormat="1" applyFont="1"/>
    <xf numFmtId="169" fontId="1" fillId="0" borderId="0" xfId="4" applyNumberFormat="1" applyFont="1"/>
    <xf numFmtId="0" fontId="4" fillId="0" borderId="0" xfId="4" applyFont="1" applyFill="1"/>
    <xf numFmtId="9" fontId="4" fillId="0" borderId="0" xfId="4" applyNumberFormat="1" applyFont="1"/>
    <xf numFmtId="43" fontId="4" fillId="0" borderId="0" xfId="27" applyFont="1"/>
    <xf numFmtId="196" fontId="4" fillId="0" borderId="0" xfId="4" applyNumberFormat="1" applyFont="1"/>
    <xf numFmtId="169" fontId="4" fillId="0" borderId="0" xfId="4" applyNumberFormat="1" applyFont="1"/>
    <xf numFmtId="169" fontId="4" fillId="0" borderId="0" xfId="27" applyNumberFormat="1" applyFont="1"/>
    <xf numFmtId="169" fontId="4" fillId="0" borderId="0" xfId="26" applyNumberFormat="1" applyFont="1"/>
    <xf numFmtId="37" fontId="7" fillId="3" borderId="0" xfId="79" applyNumberFormat="1" applyFont="1" applyFill="1" applyBorder="1" applyAlignment="1" applyProtection="1">
      <alignment horizontal="left"/>
    </xf>
    <xf numFmtId="174" fontId="4" fillId="0" borderId="0" xfId="27" applyNumberFormat="1" applyFont="1"/>
    <xf numFmtId="43" fontId="4" fillId="0" borderId="0" xfId="27" applyNumberFormat="1" applyFont="1"/>
    <xf numFmtId="169" fontId="4" fillId="0" borderId="0" xfId="60" applyNumberFormat="1" applyFont="1"/>
    <xf numFmtId="174" fontId="4" fillId="0" borderId="0" xfId="26" applyNumberFormat="1" applyFont="1"/>
    <xf numFmtId="10" fontId="4" fillId="0" borderId="0" xfId="60" applyNumberFormat="1" applyFont="1"/>
    <xf numFmtId="0" fontId="4" fillId="0" borderId="0" xfId="4" applyFont="1" applyAlignment="1">
      <alignment horizontal="center"/>
    </xf>
    <xf numFmtId="0" fontId="4" fillId="0" borderId="6" xfId="4" applyFont="1" applyBorder="1"/>
    <xf numFmtId="167" fontId="4" fillId="0" borderId="6" xfId="4" applyNumberFormat="1" applyFont="1" applyBorder="1" applyAlignment="1">
      <alignment horizontal="right"/>
    </xf>
    <xf numFmtId="168" fontId="4" fillId="0" borderId="6" xfId="4" applyNumberFormat="1" applyFont="1" applyBorder="1" applyAlignment="1">
      <alignment horizontal="right"/>
    </xf>
    <xf numFmtId="167" fontId="4" fillId="0" borderId="5" xfId="4" applyNumberFormat="1" applyFont="1" applyBorder="1" applyAlignment="1">
      <alignment horizontal="right"/>
    </xf>
    <xf numFmtId="168" fontId="4" fillId="0" borderId="5" xfId="4" applyNumberFormat="1" applyFont="1" applyBorder="1" applyAlignment="1">
      <alignment horizontal="right"/>
    </xf>
    <xf numFmtId="168" fontId="4" fillId="0" borderId="4" xfId="4" applyNumberFormat="1" applyFont="1" applyBorder="1" applyAlignment="1">
      <alignment horizontal="right"/>
    </xf>
    <xf numFmtId="167" fontId="4" fillId="0" borderId="0" xfId="4" applyNumberFormat="1" applyFont="1" applyFill="1" applyBorder="1"/>
    <xf numFmtId="168" fontId="4" fillId="0" borderId="13" xfId="4" applyNumberFormat="1" applyFont="1" applyBorder="1"/>
    <xf numFmtId="168" fontId="4" fillId="0" borderId="9" xfId="4" applyNumberFormat="1" applyFont="1" applyBorder="1"/>
    <xf numFmtId="0" fontId="7" fillId="0" borderId="12" xfId="4" applyFont="1" applyBorder="1"/>
    <xf numFmtId="0" fontId="4" fillId="0" borderId="11" xfId="4" applyFont="1" applyBorder="1"/>
    <xf numFmtId="0" fontId="4" fillId="0" borderId="12" xfId="4" applyFont="1" applyBorder="1"/>
    <xf numFmtId="0" fontId="4" fillId="0" borderId="12" xfId="4" applyFont="1" applyFill="1" applyBorder="1"/>
    <xf numFmtId="0" fontId="4" fillId="0" borderId="3" xfId="4" applyFont="1" applyBorder="1"/>
    <xf numFmtId="0" fontId="4" fillId="0" borderId="13" xfId="4" applyFont="1" applyBorder="1"/>
    <xf numFmtId="0" fontId="4" fillId="0" borderId="9" xfId="4" applyFont="1" applyBorder="1"/>
    <xf numFmtId="174" fontId="7" fillId="0" borderId="0" xfId="4" applyNumberFormat="1" applyFont="1" applyAlignment="1"/>
    <xf numFmtId="174" fontId="7" fillId="0" borderId="0" xfId="27" applyNumberFormat="1" applyFont="1" applyAlignment="1"/>
    <xf numFmtId="174" fontId="7" fillId="0" borderId="0" xfId="4" applyNumberFormat="1" applyFont="1" applyFill="1" applyAlignment="1"/>
    <xf numFmtId="174" fontId="7" fillId="3" borderId="0" xfId="4" applyNumberFormat="1" applyFont="1" applyFill="1" applyAlignment="1"/>
    <xf numFmtId="169" fontId="7" fillId="0" borderId="0" xfId="60" applyNumberFormat="1" applyFont="1" applyFill="1" applyBorder="1" applyAlignment="1"/>
    <xf numFmtId="169" fontId="7" fillId="0" borderId="0" xfId="4" applyNumberFormat="1" applyFont="1" applyAlignment="1"/>
    <xf numFmtId="174" fontId="7" fillId="0" borderId="3" xfId="27" applyNumberFormat="1" applyFont="1" applyBorder="1" applyAlignment="1"/>
    <xf numFmtId="169" fontId="10" fillId="0" borderId="0" xfId="60" applyNumberFormat="1" applyFont="1" applyAlignment="1">
      <alignment horizontal="left" indent="2"/>
    </xf>
    <xf numFmtId="0" fontId="10" fillId="0" borderId="12" xfId="4" applyFont="1" applyBorder="1"/>
    <xf numFmtId="0" fontId="10" fillId="0" borderId="0" xfId="4" applyFont="1"/>
    <xf numFmtId="169" fontId="10" fillId="0" borderId="12" xfId="60" applyNumberFormat="1" applyFont="1" applyBorder="1" applyAlignment="1">
      <alignment horizontal="left" indent="2"/>
    </xf>
    <xf numFmtId="169" fontId="10" fillId="0" borderId="3" xfId="60" applyNumberFormat="1" applyFont="1" applyBorder="1"/>
    <xf numFmtId="174" fontId="7" fillId="3" borderId="12" xfId="4" applyNumberFormat="1" applyFont="1" applyFill="1" applyBorder="1" applyAlignment="1"/>
    <xf numFmtId="174" fontId="7" fillId="3" borderId="12" xfId="27" applyNumberFormat="1" applyFont="1" applyFill="1" applyBorder="1" applyAlignment="1"/>
    <xf numFmtId="174" fontId="7" fillId="3" borderId="11" xfId="4" applyNumberFormat="1" applyFont="1" applyFill="1" applyBorder="1" applyAlignment="1"/>
    <xf numFmtId="169" fontId="10" fillId="3" borderId="0" xfId="60" applyNumberFormat="1" applyFont="1" applyFill="1" applyAlignment="1">
      <alignment horizontal="left" indent="2"/>
    </xf>
    <xf numFmtId="0" fontId="10" fillId="3" borderId="12" xfId="4" applyFont="1" applyFill="1" applyBorder="1"/>
    <xf numFmtId="169" fontId="10" fillId="3" borderId="12" xfId="60" applyNumberFormat="1" applyFont="1" applyFill="1" applyBorder="1"/>
    <xf numFmtId="0" fontId="4" fillId="3" borderId="0" xfId="4" applyFont="1" applyFill="1" applyBorder="1" applyAlignment="1">
      <alignment horizontal="right"/>
    </xf>
    <xf numFmtId="169" fontId="10" fillId="3" borderId="0" xfId="60" applyNumberFormat="1" applyFont="1" applyFill="1"/>
    <xf numFmtId="0" fontId="10" fillId="3" borderId="0" xfId="4" applyFont="1" applyFill="1"/>
    <xf numFmtId="9" fontId="7" fillId="0" borderId="0" xfId="4" applyNumberFormat="1" applyFont="1" applyAlignment="1"/>
    <xf numFmtId="174" fontId="7" fillId="0" borderId="0" xfId="4" applyNumberFormat="1" applyFont="1" applyFill="1" applyAlignment="1">
      <alignment horizontal="left"/>
    </xf>
    <xf numFmtId="174" fontId="7" fillId="0" borderId="11" xfId="4" applyNumberFormat="1" applyFont="1" applyFill="1" applyBorder="1"/>
    <xf numFmtId="174" fontId="7" fillId="0" borderId="0" xfId="27" applyNumberFormat="1" applyFont="1" applyFill="1" applyBorder="1"/>
    <xf numFmtId="174" fontId="7" fillId="0" borderId="12" xfId="27" applyNumberFormat="1" applyFont="1" applyFill="1" applyBorder="1"/>
    <xf numFmtId="174" fontId="7" fillId="0" borderId="11" xfId="27" applyNumberFormat="1" applyFont="1" applyFill="1" applyBorder="1"/>
    <xf numFmtId="174" fontId="7" fillId="0" borderId="12" xfId="4" applyNumberFormat="1" applyFont="1" applyFill="1" applyBorder="1" applyAlignment="1">
      <alignment horizontal="left"/>
    </xf>
    <xf numFmtId="174" fontId="7" fillId="0" borderId="3" xfId="27" applyNumberFormat="1" applyFont="1" applyFill="1" applyBorder="1"/>
    <xf numFmtId="174" fontId="7" fillId="3" borderId="0" xfId="27" applyNumberFormat="1" applyFont="1" applyFill="1" applyBorder="1"/>
    <xf numFmtId="174" fontId="4" fillId="0" borderId="0" xfId="4" applyNumberFormat="1" applyFont="1" applyFill="1" applyAlignment="1">
      <alignment horizontal="left" indent="1"/>
    </xf>
    <xf numFmtId="174" fontId="4" fillId="0" borderId="12" xfId="4" applyNumberFormat="1" applyFont="1" applyFill="1" applyBorder="1" applyAlignment="1"/>
    <xf numFmtId="174" fontId="4" fillId="0" borderId="0" xfId="27" applyNumberFormat="1" applyFont="1" applyFill="1" applyAlignment="1"/>
    <xf numFmtId="174" fontId="4" fillId="0" borderId="12" xfId="27" applyNumberFormat="1" applyFont="1" applyFill="1" applyBorder="1" applyAlignment="1"/>
    <xf numFmtId="174" fontId="4" fillId="0" borderId="0" xfId="27" applyNumberFormat="1" applyFont="1" applyFill="1" applyBorder="1" applyAlignment="1"/>
    <xf numFmtId="174" fontId="4" fillId="4" borderId="0" xfId="4" applyNumberFormat="1" applyFont="1" applyFill="1" applyAlignment="1"/>
    <xf numFmtId="174" fontId="4" fillId="4" borderId="12" xfId="4" applyNumberFormat="1" applyFont="1" applyFill="1" applyBorder="1" applyAlignment="1"/>
    <xf numFmtId="174" fontId="4" fillId="0" borderId="12" xfId="4" applyNumberFormat="1" applyFont="1" applyFill="1" applyBorder="1" applyAlignment="1">
      <alignment horizontal="left" indent="1"/>
    </xf>
    <xf numFmtId="174" fontId="4" fillId="0" borderId="11" xfId="4" applyNumberFormat="1" applyFont="1" applyFill="1" applyBorder="1" applyAlignment="1"/>
    <xf numFmtId="174" fontId="4" fillId="4" borderId="11" xfId="4" applyNumberFormat="1" applyFont="1" applyFill="1" applyBorder="1" applyAlignment="1"/>
    <xf numFmtId="168" fontId="10" fillId="0" borderId="0" xfId="4" applyNumberFormat="1" applyFont="1"/>
    <xf numFmtId="168" fontId="10" fillId="0" borderId="0" xfId="4" applyNumberFormat="1" applyFont="1" applyFill="1"/>
    <xf numFmtId="169" fontId="10" fillId="0" borderId="0" xfId="60" applyNumberFormat="1" applyFont="1" applyBorder="1"/>
    <xf numFmtId="174" fontId="4" fillId="3" borderId="12" xfId="27" applyNumberFormat="1" applyFont="1" applyFill="1" applyBorder="1"/>
    <xf numFmtId="174" fontId="38" fillId="0" borderId="0" xfId="27" applyNumberFormat="1" applyFont="1" applyFill="1" applyBorder="1"/>
    <xf numFmtId="174" fontId="4" fillId="0" borderId="15" xfId="27" applyNumberFormat="1" applyFont="1" applyBorder="1"/>
    <xf numFmtId="174" fontId="4" fillId="0" borderId="15" xfId="4" applyNumberFormat="1" applyFont="1" applyBorder="1"/>
    <xf numFmtId="174" fontId="4" fillId="3" borderId="15" xfId="27" applyNumberFormat="1" applyFont="1" applyFill="1" applyBorder="1"/>
    <xf numFmtId="174" fontId="4" fillId="0" borderId="16" xfId="27" applyNumberFormat="1" applyFont="1" applyBorder="1"/>
    <xf numFmtId="172" fontId="4" fillId="0" borderId="0" xfId="27" applyNumberFormat="1" applyFont="1" applyBorder="1"/>
    <xf numFmtId="172" fontId="4" fillId="0" borderId="12" xfId="27" applyNumberFormat="1" applyFont="1" applyBorder="1"/>
    <xf numFmtId="174" fontId="7" fillId="0" borderId="0" xfId="4" applyNumberFormat="1" applyFont="1" applyAlignment="1">
      <alignment horizontal="left" indent="1"/>
    </xf>
    <xf numFmtId="174" fontId="7" fillId="0" borderId="12" xfId="27" applyNumberFormat="1" applyFont="1" applyBorder="1"/>
    <xf numFmtId="174" fontId="7" fillId="0" borderId="0" xfId="27" applyNumberFormat="1" applyFont="1" applyBorder="1"/>
    <xf numFmtId="174" fontId="7" fillId="0" borderId="11" xfId="27" applyNumberFormat="1" applyFont="1" applyBorder="1"/>
    <xf numFmtId="174" fontId="7" fillId="0" borderId="12" xfId="4" applyNumberFormat="1" applyFont="1" applyBorder="1" applyAlignment="1">
      <alignment horizontal="left" indent="1"/>
    </xf>
    <xf numFmtId="174" fontId="7" fillId="0" borderId="3" xfId="27" applyNumberFormat="1" applyFont="1" applyBorder="1"/>
    <xf numFmtId="0" fontId="4" fillId="0" borderId="0" xfId="4" applyFont="1" applyAlignment="1">
      <alignment horizontal="left" indent="1"/>
    </xf>
    <xf numFmtId="169" fontId="4" fillId="0" borderId="11" xfId="60" applyNumberFormat="1" applyFont="1" applyBorder="1"/>
    <xf numFmtId="0" fontId="4" fillId="0" borderId="12" xfId="4" applyFont="1" applyBorder="1" applyAlignment="1">
      <alignment horizontal="left" indent="1"/>
    </xf>
    <xf numFmtId="169" fontId="4" fillId="0" borderId="3" xfId="60" applyNumberFormat="1" applyFont="1" applyBorder="1"/>
    <xf numFmtId="168" fontId="4" fillId="0" borderId="11" xfId="4" applyNumberFormat="1" applyFont="1" applyFill="1" applyBorder="1"/>
    <xf numFmtId="174" fontId="7" fillId="4" borderId="0" xfId="4" applyNumberFormat="1" applyFont="1" applyFill="1" applyAlignment="1">
      <alignment horizontal="left" indent="1"/>
    </xf>
    <xf numFmtId="174" fontId="7" fillId="4" borderId="3" xfId="27" applyNumberFormat="1" applyFont="1" applyFill="1" applyBorder="1"/>
    <xf numFmtId="174" fontId="7" fillId="4" borderId="0" xfId="4" applyNumberFormat="1" applyFont="1" applyFill="1"/>
    <xf numFmtId="174" fontId="7" fillId="4" borderId="0" xfId="27" applyNumberFormat="1" applyFont="1" applyFill="1" applyBorder="1"/>
    <xf numFmtId="174" fontId="7" fillId="4" borderId="12" xfId="27" applyNumberFormat="1" applyFont="1" applyFill="1" applyBorder="1"/>
    <xf numFmtId="174" fontId="4" fillId="4" borderId="12" xfId="4" applyNumberFormat="1" applyFont="1" applyFill="1" applyBorder="1"/>
    <xf numFmtId="174" fontId="4" fillId="4" borderId="11" xfId="4" applyNumberFormat="1" applyFont="1" applyFill="1" applyBorder="1"/>
    <xf numFmtId="174" fontId="7" fillId="4" borderId="12" xfId="4" applyNumberFormat="1" applyFont="1" applyFill="1" applyBorder="1" applyAlignment="1">
      <alignment horizontal="left" indent="1"/>
    </xf>
    <xf numFmtId="0" fontId="4" fillId="4" borderId="0" xfId="4" applyFont="1" applyFill="1" applyAlignment="1">
      <alignment horizontal="left" indent="1"/>
    </xf>
    <xf numFmtId="169" fontId="4" fillId="4" borderId="0" xfId="60" applyNumberFormat="1" applyFont="1" applyFill="1"/>
    <xf numFmtId="168" fontId="4" fillId="4" borderId="12" xfId="4" applyNumberFormat="1" applyFont="1" applyFill="1" applyBorder="1"/>
    <xf numFmtId="168" fontId="4" fillId="4" borderId="11" xfId="4" applyNumberFormat="1" applyFont="1" applyFill="1" applyBorder="1"/>
    <xf numFmtId="0" fontId="4" fillId="4" borderId="12" xfId="4" applyFont="1" applyFill="1" applyBorder="1" applyAlignment="1">
      <alignment horizontal="left" indent="1"/>
    </xf>
    <xf numFmtId="169" fontId="4" fillId="4" borderId="3" xfId="60" applyNumberFormat="1" applyFont="1" applyFill="1" applyBorder="1"/>
    <xf numFmtId="174" fontId="7" fillId="0" borderId="0" xfId="60" applyNumberFormat="1" applyFont="1" applyFill="1" applyBorder="1"/>
    <xf numFmtId="0" fontId="4" fillId="0" borderId="17" xfId="4" applyFont="1" applyBorder="1" applyAlignment="1">
      <alignment horizontal="left" indent="1"/>
    </xf>
    <xf numFmtId="169" fontId="4" fillId="0" borderId="15" xfId="60" applyNumberFormat="1" applyFont="1" applyBorder="1"/>
    <xf numFmtId="0" fontId="4" fillId="0" borderId="17" xfId="4" applyFont="1" applyBorder="1" applyAlignment="1">
      <alignment horizontal="right"/>
    </xf>
    <xf numFmtId="168" fontId="4" fillId="0" borderId="17" xfId="4" applyNumberFormat="1" applyFont="1" applyBorder="1"/>
    <xf numFmtId="168" fontId="4" fillId="0" borderId="17" xfId="4" applyNumberFormat="1" applyFont="1" applyFill="1" applyBorder="1"/>
    <xf numFmtId="168" fontId="4" fillId="0" borderId="15" xfId="4" applyNumberFormat="1" applyFont="1" applyFill="1" applyBorder="1"/>
    <xf numFmtId="169" fontId="4" fillId="0" borderId="17" xfId="60" applyNumberFormat="1" applyFont="1" applyBorder="1"/>
    <xf numFmtId="169" fontId="4" fillId="0" borderId="18" xfId="60" applyNumberFormat="1" applyFont="1" applyBorder="1"/>
    <xf numFmtId="0" fontId="4" fillId="0" borderId="15" xfId="4" applyFont="1" applyBorder="1" applyAlignment="1">
      <alignment horizontal="left" indent="1"/>
    </xf>
    <xf numFmtId="169" fontId="4" fillId="0" borderId="16" xfId="60" applyNumberFormat="1" applyFont="1" applyBorder="1"/>
    <xf numFmtId="0" fontId="4" fillId="8" borderId="0" xfId="4" applyFont="1" applyFill="1" applyBorder="1"/>
    <xf numFmtId="0" fontId="4" fillId="8" borderId="0" xfId="4" applyFont="1" applyFill="1" applyBorder="1" applyAlignment="1">
      <alignment horizontal="right"/>
    </xf>
    <xf numFmtId="0" fontId="4" fillId="8" borderId="9" xfId="4" applyFont="1" applyFill="1" applyBorder="1"/>
    <xf numFmtId="0" fontId="4" fillId="8" borderId="17" xfId="4" applyFont="1" applyFill="1" applyBorder="1"/>
    <xf numFmtId="0" fontId="4" fillId="8" borderId="17" xfId="4" applyFont="1" applyFill="1" applyBorder="1" applyAlignment="1">
      <alignment horizontal="right"/>
    </xf>
    <xf numFmtId="0" fontId="4" fillId="8" borderId="18" xfId="4" applyFont="1" applyFill="1" applyBorder="1"/>
    <xf numFmtId="0" fontId="7" fillId="0" borderId="7" xfId="4" applyFont="1" applyBorder="1"/>
    <xf numFmtId="0" fontId="7" fillId="0" borderId="5" xfId="4" applyFont="1" applyBorder="1"/>
    <xf numFmtId="174" fontId="7" fillId="0" borderId="0" xfId="4" applyNumberFormat="1" applyFont="1" applyBorder="1"/>
    <xf numFmtId="174" fontId="7" fillId="5" borderId="0" xfId="27" applyNumberFormat="1" applyFont="1" applyFill="1"/>
    <xf numFmtId="174" fontId="7" fillId="3" borderId="12" xfId="27" applyNumberFormat="1" applyFont="1" applyFill="1" applyBorder="1"/>
    <xf numFmtId="174" fontId="7" fillId="0" borderId="13" xfId="4" applyNumberFormat="1" applyFont="1" applyBorder="1"/>
    <xf numFmtId="174" fontId="7" fillId="0" borderId="9" xfId="4" applyNumberFormat="1" applyFont="1" applyBorder="1"/>
    <xf numFmtId="168" fontId="10" fillId="0" borderId="12" xfId="4" applyNumberFormat="1" applyFont="1" applyBorder="1"/>
    <xf numFmtId="168" fontId="10" fillId="0" borderId="11" xfId="4" applyNumberFormat="1" applyFont="1" applyBorder="1"/>
    <xf numFmtId="169" fontId="21" fillId="0" borderId="3" xfId="60" applyNumberFormat="1" applyFont="1" applyFill="1" applyBorder="1" applyAlignment="1">
      <alignment horizontal="left" indent="2"/>
    </xf>
    <xf numFmtId="169" fontId="21" fillId="0" borderId="12" xfId="60" applyNumberFormat="1" applyFont="1" applyFill="1" applyBorder="1"/>
    <xf numFmtId="169" fontId="21" fillId="0" borderId="12" xfId="60" applyNumberFormat="1" applyFont="1" applyFill="1" applyBorder="1" applyAlignment="1">
      <alignment horizontal="left" indent="2"/>
    </xf>
    <xf numFmtId="169" fontId="21" fillId="0" borderId="11" xfId="60" applyNumberFormat="1" applyFont="1" applyFill="1" applyBorder="1"/>
    <xf numFmtId="169" fontId="21" fillId="0" borderId="3" xfId="60" applyNumberFormat="1" applyFont="1" applyFill="1" applyBorder="1"/>
    <xf numFmtId="0" fontId="4" fillId="3" borderId="12" xfId="4" applyFont="1" applyFill="1" applyBorder="1"/>
    <xf numFmtId="0" fontId="4" fillId="3" borderId="0" xfId="4" applyFont="1" applyFill="1" applyBorder="1"/>
    <xf numFmtId="43" fontId="4" fillId="0" borderId="0" xfId="4" applyNumberFormat="1" applyFont="1" applyBorder="1"/>
    <xf numFmtId="172" fontId="4" fillId="0" borderId="0" xfId="4" applyNumberFormat="1" applyFont="1" applyBorder="1"/>
    <xf numFmtId="9" fontId="4" fillId="0" borderId="0" xfId="60" applyFont="1" applyBorder="1"/>
    <xf numFmtId="10" fontId="4" fillId="0" borderId="12" xfId="60" applyNumberFormat="1" applyFont="1" applyBorder="1"/>
    <xf numFmtId="43" fontId="4" fillId="0" borderId="0" xfId="27" applyFont="1" applyBorder="1"/>
    <xf numFmtId="173" fontId="4" fillId="0" borderId="12" xfId="4" applyNumberFormat="1" applyFont="1" applyBorder="1"/>
    <xf numFmtId="0" fontId="7" fillId="0" borderId="0" xfId="4" applyFont="1" applyAlignment="1">
      <alignment horizontal="right"/>
    </xf>
    <xf numFmtId="0" fontId="7" fillId="0" borderId="11" xfId="4" applyFont="1" applyBorder="1" applyAlignment="1">
      <alignment horizontal="right"/>
    </xf>
    <xf numFmtId="0" fontId="7" fillId="5" borderId="0" xfId="4" applyFont="1" applyFill="1" applyAlignment="1">
      <alignment horizontal="right"/>
    </xf>
    <xf numFmtId="0" fontId="7" fillId="3" borderId="11" xfId="4" applyFont="1" applyFill="1" applyBorder="1" applyAlignment="1">
      <alignment horizontal="right"/>
    </xf>
    <xf numFmtId="174" fontId="7" fillId="3" borderId="12" xfId="4" applyNumberFormat="1" applyFont="1" applyFill="1" applyBorder="1"/>
    <xf numFmtId="174" fontId="7" fillId="3" borderId="0" xfId="4" applyNumberFormat="1" applyFont="1" applyFill="1" applyBorder="1"/>
    <xf numFmtId="174" fontId="7" fillId="0" borderId="0" xfId="4" applyNumberFormat="1" applyFont="1" applyFill="1" applyBorder="1"/>
    <xf numFmtId="174" fontId="7" fillId="0" borderId="11" xfId="4" applyNumberFormat="1" applyFont="1" applyBorder="1"/>
    <xf numFmtId="43" fontId="4" fillId="0" borderId="12" xfId="4" applyNumberFormat="1" applyFont="1" applyBorder="1"/>
    <xf numFmtId="174" fontId="7" fillId="5" borderId="0" xfId="4" applyNumberFormat="1" applyFont="1" applyFill="1" applyBorder="1"/>
    <xf numFmtId="174" fontId="4" fillId="11" borderId="0" xfId="4" applyNumberFormat="1" applyFont="1" applyFill="1" applyAlignment="1"/>
    <xf numFmtId="174" fontId="4" fillId="11" borderId="12" xfId="4" applyNumberFormat="1" applyFont="1" applyFill="1" applyBorder="1" applyAlignment="1"/>
    <xf numFmtId="0" fontId="4" fillId="11" borderId="0" xfId="4" applyFont="1" applyFill="1" applyAlignment="1">
      <alignment horizontal="left" indent="1"/>
    </xf>
    <xf numFmtId="0" fontId="4" fillId="11" borderId="12" xfId="4" applyFont="1" applyFill="1" applyBorder="1" applyAlignment="1">
      <alignment horizontal="left" indent="1"/>
    </xf>
    <xf numFmtId="169" fontId="21" fillId="11" borderId="3" xfId="60" applyNumberFormat="1" applyFont="1" applyFill="1" applyBorder="1" applyAlignment="1">
      <alignment horizontal="left" indent="2"/>
    </xf>
    <xf numFmtId="169" fontId="21" fillId="11" borderId="12" xfId="60" applyNumberFormat="1" applyFont="1" applyFill="1" applyBorder="1" applyAlignment="1">
      <alignment horizontal="left" indent="2"/>
    </xf>
    <xf numFmtId="169" fontId="7" fillId="11" borderId="3" xfId="60" applyNumberFormat="1" applyFont="1" applyFill="1" applyBorder="1" applyAlignment="1">
      <alignment horizontal="left" indent="2"/>
    </xf>
    <xf numFmtId="168" fontId="4" fillId="0" borderId="0" xfId="4" applyNumberFormat="1" applyFont="1" applyFill="1" applyBorder="1"/>
    <xf numFmtId="169" fontId="7" fillId="11" borderId="12" xfId="60" applyNumberFormat="1" applyFont="1" applyFill="1" applyBorder="1" applyAlignment="1">
      <alignment horizontal="left" indent="2"/>
    </xf>
    <xf numFmtId="174" fontId="7" fillId="0" borderId="17" xfId="4" applyNumberFormat="1" applyFont="1" applyBorder="1" applyAlignment="1">
      <alignment horizontal="left" indent="1"/>
    </xf>
    <xf numFmtId="174" fontId="7" fillId="0" borderId="15" xfId="27" applyNumberFormat="1" applyFont="1" applyBorder="1"/>
    <xf numFmtId="0" fontId="4" fillId="0" borderId="18" xfId="4" applyFont="1" applyBorder="1" applyAlignment="1">
      <alignment horizontal="right"/>
    </xf>
    <xf numFmtId="0" fontId="4" fillId="0" borderId="15" xfId="4" applyFont="1" applyBorder="1" applyAlignment="1">
      <alignment horizontal="right"/>
    </xf>
    <xf numFmtId="0" fontId="4" fillId="0" borderId="16" xfId="4" applyFont="1" applyBorder="1" applyAlignment="1">
      <alignment horizontal="right"/>
    </xf>
    <xf numFmtId="174" fontId="7" fillId="0" borderId="17" xfId="27" applyNumberFormat="1" applyFont="1" applyBorder="1"/>
    <xf numFmtId="174" fontId="7" fillId="0" borderId="16" xfId="27" applyNumberFormat="1" applyFont="1" applyBorder="1"/>
    <xf numFmtId="169" fontId="7" fillId="0" borderId="0" xfId="60" applyNumberFormat="1" applyFont="1" applyFill="1" applyBorder="1"/>
    <xf numFmtId="174" fontId="7" fillId="0" borderId="15" xfId="4" applyNumberFormat="1" applyFont="1" applyBorder="1" applyAlignment="1">
      <alignment horizontal="left" indent="1"/>
    </xf>
    <xf numFmtId="174" fontId="7" fillId="0" borderId="18" xfId="27" applyNumberFormat="1" applyFont="1" applyBorder="1"/>
    <xf numFmtId="174" fontId="4" fillId="5" borderId="0" xfId="4" applyNumberFormat="1" applyFont="1" applyFill="1"/>
    <xf numFmtId="174" fontId="25" fillId="0" borderId="0" xfId="4" applyNumberFormat="1" applyFont="1" applyFill="1"/>
    <xf numFmtId="174" fontId="25" fillId="3" borderId="0" xfId="4" applyNumberFormat="1" applyFont="1" applyFill="1"/>
    <xf numFmtId="174" fontId="25" fillId="0" borderId="0" xfId="4" applyNumberFormat="1" applyFont="1"/>
    <xf numFmtId="174" fontId="25" fillId="0" borderId="0" xfId="4" applyNumberFormat="1" applyFont="1" applyAlignment="1"/>
    <xf numFmtId="174" fontId="25" fillId="0" borderId="11" xfId="4" applyNumberFormat="1" applyFont="1" applyFill="1" applyBorder="1" applyAlignment="1"/>
    <xf numFmtId="174" fontId="25" fillId="0" borderId="0" xfId="4" applyNumberFormat="1" applyFont="1" applyAlignment="1">
      <alignment horizontal="right"/>
    </xf>
    <xf numFmtId="174" fontId="25" fillId="3" borderId="0" xfId="4" applyNumberFormat="1" applyFont="1" applyFill="1" applyAlignment="1">
      <alignment horizontal="right"/>
    </xf>
    <xf numFmtId="174" fontId="25" fillId="0" borderId="0" xfId="4" applyNumberFormat="1" applyFont="1" applyFill="1" applyAlignment="1">
      <alignment horizontal="right"/>
    </xf>
    <xf numFmtId="174" fontId="4" fillId="8" borderId="17" xfId="4" applyNumberFormat="1" applyFont="1" applyFill="1" applyBorder="1"/>
    <xf numFmtId="0" fontId="4" fillId="0" borderId="5" xfId="4" applyFont="1" applyBorder="1"/>
    <xf numFmtId="168" fontId="4" fillId="3" borderId="0" xfId="4" applyNumberFormat="1" applyFont="1" applyFill="1"/>
    <xf numFmtId="168" fontId="4" fillId="0" borderId="3" xfId="4" applyNumberFormat="1" applyFont="1" applyBorder="1"/>
    <xf numFmtId="174" fontId="10" fillId="0" borderId="0" xfId="4" applyNumberFormat="1" applyFont="1" applyAlignment="1">
      <alignment horizontal="left" indent="1"/>
    </xf>
    <xf numFmtId="174" fontId="10" fillId="0" borderId="12" xfId="4" applyNumberFormat="1" applyFont="1" applyBorder="1" applyAlignment="1">
      <alignment horizontal="left" indent="1"/>
    </xf>
    <xf numFmtId="169" fontId="7" fillId="6" borderId="3" xfId="60" applyNumberFormat="1" applyFont="1" applyFill="1" applyBorder="1" applyAlignment="1">
      <alignment horizontal="left" indent="2"/>
    </xf>
    <xf numFmtId="0" fontId="4" fillId="6" borderId="0" xfId="5" applyFont="1" applyFill="1" applyAlignment="1">
      <alignment horizontal="right"/>
    </xf>
    <xf numFmtId="0" fontId="4" fillId="6" borderId="11" xfId="5" applyFont="1" applyFill="1" applyBorder="1" applyAlignment="1">
      <alignment horizontal="right"/>
    </xf>
    <xf numFmtId="169" fontId="7" fillId="6" borderId="12" xfId="60" applyNumberFormat="1" applyFont="1" applyFill="1" applyBorder="1" applyAlignment="1">
      <alignment horizontal="left" indent="2"/>
    </xf>
    <xf numFmtId="168" fontId="4" fillId="6" borderId="11" xfId="4" applyNumberFormat="1" applyFont="1" applyFill="1" applyBorder="1"/>
    <xf numFmtId="168" fontId="4" fillId="6" borderId="12" xfId="4" applyNumberFormat="1" applyFont="1" applyFill="1" applyBorder="1"/>
    <xf numFmtId="0" fontId="4" fillId="6" borderId="11" xfId="4" applyFont="1" applyFill="1" applyBorder="1" applyAlignment="1">
      <alignment horizontal="right"/>
    </xf>
    <xf numFmtId="169" fontId="4" fillId="6" borderId="12" xfId="60" applyNumberFormat="1" applyFont="1" applyFill="1" applyBorder="1"/>
    <xf numFmtId="169" fontId="4" fillId="6" borderId="3" xfId="60" applyNumberFormat="1" applyFont="1" applyFill="1" applyBorder="1"/>
    <xf numFmtId="169" fontId="4" fillId="6" borderId="11" xfId="60" applyNumberFormat="1" applyFont="1" applyFill="1" applyBorder="1"/>
    <xf numFmtId="174" fontId="10" fillId="0" borderId="3" xfId="4" applyNumberFormat="1" applyFont="1" applyBorder="1" applyAlignment="1">
      <alignment horizontal="left" indent="1"/>
    </xf>
    <xf numFmtId="168" fontId="4" fillId="3" borderId="12" xfId="4" applyNumberFormat="1" applyFont="1" applyFill="1" applyBorder="1"/>
    <xf numFmtId="168" fontId="4" fillId="3" borderId="0" xfId="4" applyNumberFormat="1" applyFont="1" applyFill="1" applyBorder="1"/>
    <xf numFmtId="0" fontId="4" fillId="3" borderId="0" xfId="4" applyFont="1" applyFill="1"/>
    <xf numFmtId="168" fontId="4" fillId="3" borderId="11" xfId="4" applyNumberFormat="1" applyFont="1" applyFill="1" applyBorder="1"/>
    <xf numFmtId="174" fontId="10" fillId="3" borderId="0" xfId="4" applyNumberFormat="1" applyFont="1" applyFill="1" applyAlignment="1">
      <alignment horizontal="left" indent="1"/>
    </xf>
    <xf numFmtId="174" fontId="4" fillId="3" borderId="0" xfId="26" applyNumberFormat="1" applyFont="1" applyFill="1"/>
    <xf numFmtId="174" fontId="4" fillId="3" borderId="12" xfId="26" applyNumberFormat="1" applyFont="1" applyFill="1" applyBorder="1"/>
    <xf numFmtId="10" fontId="4" fillId="0" borderId="0" xfId="4" applyNumberFormat="1" applyFont="1"/>
    <xf numFmtId="174" fontId="4" fillId="0" borderId="0" xfId="5" applyNumberFormat="1" applyFont="1" applyBorder="1" applyAlignment="1"/>
    <xf numFmtId="174" fontId="4" fillId="0" borderId="12" xfId="4" applyNumberFormat="1" applyFont="1" applyBorder="1" applyAlignment="1">
      <alignment horizontal="left" indent="1"/>
    </xf>
    <xf numFmtId="174" fontId="7" fillId="0" borderId="0" xfId="27" applyNumberFormat="1" applyFont="1" applyAlignment="1">
      <alignment horizontal="left" indent="1"/>
    </xf>
    <xf numFmtId="0" fontId="10" fillId="0" borderId="0" xfId="4" applyFont="1" applyAlignment="1">
      <alignment horizontal="left" indent="2"/>
    </xf>
    <xf numFmtId="169" fontId="4" fillId="0" borderId="0" xfId="60" applyNumberFormat="1" applyFont="1" applyBorder="1"/>
    <xf numFmtId="174" fontId="4" fillId="4" borderId="0" xfId="4" applyNumberFormat="1" applyFont="1" applyFill="1"/>
    <xf numFmtId="174" fontId="25" fillId="4" borderId="0" xfId="4" applyNumberFormat="1" applyFont="1" applyFill="1"/>
    <xf numFmtId="174" fontId="4" fillId="4" borderId="3" xfId="4" applyNumberFormat="1" applyFont="1" applyFill="1" applyBorder="1"/>
    <xf numFmtId="0" fontId="4" fillId="0" borderId="0" xfId="4" applyFont="1" applyAlignment="1">
      <alignment horizontal="left" indent="2"/>
    </xf>
    <xf numFmtId="169" fontId="4" fillId="4" borderId="0" xfId="60" applyNumberFormat="1" applyFont="1" applyFill="1" applyAlignment="1">
      <alignment horizontal="right"/>
    </xf>
    <xf numFmtId="169" fontId="4" fillId="4" borderId="12" xfId="60" applyNumberFormat="1" applyFont="1" applyFill="1" applyBorder="1" applyAlignment="1">
      <alignment horizontal="right"/>
    </xf>
    <xf numFmtId="0" fontId="4" fillId="0" borderId="12" xfId="4" applyFont="1" applyBorder="1" applyAlignment="1">
      <alignment horizontal="left" indent="2"/>
    </xf>
    <xf numFmtId="169" fontId="4" fillId="0" borderId="0" xfId="60" applyNumberFormat="1" applyFont="1" applyAlignment="1">
      <alignment horizontal="left" indent="2"/>
    </xf>
    <xf numFmtId="169" fontId="4" fillId="0" borderId="12" xfId="60" applyNumberFormat="1" applyFont="1" applyBorder="1" applyAlignment="1">
      <alignment horizontal="left" indent="2"/>
    </xf>
    <xf numFmtId="174" fontId="39" fillId="3" borderId="0" xfId="4" applyNumberFormat="1" applyFont="1" applyFill="1"/>
    <xf numFmtId="0" fontId="4" fillId="3" borderId="12" xfId="4" applyFont="1" applyFill="1" applyBorder="1" applyAlignment="1">
      <alignment horizontal="right"/>
    </xf>
    <xf numFmtId="169" fontId="7" fillId="0" borderId="0" xfId="4" applyNumberFormat="1" applyFont="1"/>
    <xf numFmtId="174" fontId="4" fillId="3" borderId="11" xfId="4" applyNumberFormat="1" applyFont="1" applyFill="1" applyBorder="1"/>
    <xf numFmtId="0" fontId="10" fillId="0" borderId="17" xfId="4" applyFont="1" applyBorder="1" applyAlignment="1">
      <alignment horizontal="left" indent="2"/>
    </xf>
    <xf numFmtId="169" fontId="10" fillId="0" borderId="15" xfId="60" applyNumberFormat="1" applyFont="1" applyBorder="1"/>
    <xf numFmtId="169" fontId="10" fillId="0" borderId="17" xfId="60" applyNumberFormat="1" applyFont="1" applyBorder="1"/>
    <xf numFmtId="169" fontId="10" fillId="0" borderId="18" xfId="60" applyNumberFormat="1" applyFont="1" applyBorder="1"/>
    <xf numFmtId="0" fontId="10" fillId="0" borderId="15" xfId="4" applyFont="1" applyBorder="1" applyAlignment="1">
      <alignment horizontal="left" indent="2"/>
    </xf>
    <xf numFmtId="169" fontId="10" fillId="0" borderId="16" xfId="60" applyNumberFormat="1" applyFont="1" applyBorder="1"/>
    <xf numFmtId="174" fontId="4" fillId="0" borderId="0" xfId="60" applyNumberFormat="1" applyFont="1" applyFill="1"/>
    <xf numFmtId="174" fontId="4" fillId="0" borderId="12" xfId="60" applyNumberFormat="1" applyFont="1" applyFill="1" applyBorder="1"/>
    <xf numFmtId="0" fontId="4" fillId="0" borderId="17" xfId="4" applyFont="1" applyBorder="1" applyAlignment="1">
      <alignment horizontal="left" indent="2"/>
    </xf>
    <xf numFmtId="168" fontId="4" fillId="0" borderId="15" xfId="4" applyNumberFormat="1" applyFont="1" applyBorder="1"/>
    <xf numFmtId="174" fontId="4" fillId="0" borderId="17" xfId="4" applyNumberFormat="1" applyFont="1" applyBorder="1"/>
    <xf numFmtId="0" fontId="4" fillId="0" borderId="15" xfId="4" applyFont="1" applyBorder="1" applyAlignment="1">
      <alignment horizontal="left" indent="2"/>
    </xf>
    <xf numFmtId="168" fontId="4" fillId="0" borderId="18" xfId="4" applyNumberFormat="1" applyFont="1" applyBorder="1"/>
    <xf numFmtId="0" fontId="7" fillId="0" borderId="6" xfId="4" applyFont="1" applyBorder="1" applyAlignment="1">
      <alignment horizontal="left" indent="1"/>
    </xf>
    <xf numFmtId="168" fontId="7" fillId="0" borderId="5" xfId="4" applyNumberFormat="1" applyFont="1" applyBorder="1"/>
    <xf numFmtId="0" fontId="7" fillId="0" borderId="6" xfId="4" applyFont="1" applyBorder="1" applyAlignment="1">
      <alignment horizontal="right"/>
    </xf>
    <xf numFmtId="0" fontId="7" fillId="0" borderId="4" xfId="4" applyFont="1" applyBorder="1" applyAlignment="1">
      <alignment horizontal="right"/>
    </xf>
    <xf numFmtId="174" fontId="7" fillId="0" borderId="6" xfId="4" applyNumberFormat="1" applyFont="1" applyBorder="1"/>
    <xf numFmtId="174" fontId="7" fillId="0" borderId="5" xfId="4" applyNumberFormat="1" applyFont="1" applyBorder="1"/>
    <xf numFmtId="174" fontId="7" fillId="0" borderId="4" xfId="4" applyNumberFormat="1" applyFont="1" applyBorder="1"/>
    <xf numFmtId="0" fontId="7" fillId="0" borderId="5" xfId="4" applyFont="1" applyBorder="1" applyAlignment="1">
      <alignment horizontal="left" indent="1"/>
    </xf>
    <xf numFmtId="168" fontId="7" fillId="0" borderId="4" xfId="4" applyNumberFormat="1" applyFont="1" applyBorder="1"/>
    <xf numFmtId="0" fontId="4" fillId="0" borderId="0" xfId="4" applyFont="1" applyBorder="1" applyAlignment="1">
      <alignment horizontal="left" indent="1"/>
    </xf>
    <xf numFmtId="169" fontId="4" fillId="0" borderId="2" xfId="60" applyNumberFormat="1" applyFont="1" applyBorder="1"/>
    <xf numFmtId="168" fontId="4" fillId="8" borderId="0" xfId="4" applyNumberFormat="1" applyFont="1" applyFill="1" applyBorder="1"/>
    <xf numFmtId="168" fontId="4" fillId="8" borderId="0" xfId="4" applyNumberFormat="1" applyFont="1" applyFill="1"/>
    <xf numFmtId="167" fontId="4" fillId="8" borderId="0" xfId="4" applyNumberFormat="1" applyFont="1" applyFill="1" applyBorder="1"/>
    <xf numFmtId="167" fontId="7" fillId="8" borderId="0" xfId="4" applyNumberFormat="1" applyFont="1" applyFill="1" applyBorder="1"/>
    <xf numFmtId="169" fontId="4" fillId="8" borderId="0" xfId="60" applyNumberFormat="1" applyFont="1" applyFill="1" applyBorder="1"/>
    <xf numFmtId="168" fontId="4" fillId="8" borderId="11" xfId="4" applyNumberFormat="1" applyFont="1" applyFill="1" applyBorder="1"/>
    <xf numFmtId="168" fontId="4" fillId="8" borderId="12" xfId="4" applyNumberFormat="1" applyFont="1" applyFill="1" applyBorder="1"/>
    <xf numFmtId="168" fontId="4" fillId="8" borderId="9" xfId="4" applyNumberFormat="1" applyFont="1" applyFill="1" applyBorder="1"/>
    <xf numFmtId="168" fontId="4" fillId="8" borderId="17" xfId="4" applyNumberFormat="1" applyFont="1" applyFill="1" applyBorder="1"/>
    <xf numFmtId="168" fontId="4" fillId="8" borderId="18" xfId="4" applyNumberFormat="1" applyFont="1" applyFill="1" applyBorder="1"/>
    <xf numFmtId="167" fontId="4" fillId="0" borderId="17" xfId="4" applyNumberFormat="1" applyFont="1" applyBorder="1" applyAlignment="1">
      <alignment horizontal="right"/>
    </xf>
    <xf numFmtId="167" fontId="4" fillId="0" borderId="4" xfId="4" applyNumberFormat="1" applyFont="1" applyBorder="1" applyAlignment="1">
      <alignment horizontal="right"/>
    </xf>
    <xf numFmtId="167" fontId="4" fillId="0" borderId="7" xfId="4" applyNumberFormat="1" applyFont="1" applyBorder="1" applyAlignment="1">
      <alignment horizontal="right"/>
    </xf>
    <xf numFmtId="0" fontId="4" fillId="0" borderId="9" xfId="4" applyFont="1" applyBorder="1" applyAlignment="1">
      <alignment horizontal="right"/>
    </xf>
    <xf numFmtId="0" fontId="4" fillId="0" borderId="8" xfId="4" applyFont="1" applyBorder="1"/>
    <xf numFmtId="43" fontId="4" fillId="0" borderId="0" xfId="4" applyNumberFormat="1" applyFont="1"/>
    <xf numFmtId="169" fontId="7" fillId="6" borderId="0" xfId="60" applyNumberFormat="1" applyFont="1" applyFill="1" applyBorder="1" applyAlignment="1">
      <alignment horizontal="left" indent="2"/>
    </xf>
    <xf numFmtId="168" fontId="4" fillId="6" borderId="0" xfId="4" applyNumberFormat="1" applyFont="1" applyFill="1" applyBorder="1"/>
    <xf numFmtId="0" fontId="4" fillId="6" borderId="0" xfId="4" applyFont="1" applyFill="1" applyAlignment="1">
      <alignment horizontal="right"/>
    </xf>
    <xf numFmtId="169" fontId="4" fillId="6" borderId="0" xfId="60" applyNumberFormat="1" applyFont="1" applyFill="1"/>
    <xf numFmtId="0" fontId="4" fillId="3" borderId="12" xfId="4" applyFont="1" applyFill="1" applyBorder="1" applyAlignment="1">
      <alignment horizontal="left" indent="1"/>
    </xf>
    <xf numFmtId="174" fontId="4" fillId="0" borderId="12" xfId="4" applyNumberFormat="1" applyFont="1" applyBorder="1" applyAlignment="1">
      <alignment horizontal="right"/>
    </xf>
    <xf numFmtId="174" fontId="4" fillId="0" borderId="11" xfId="4" applyNumberFormat="1" applyFont="1" applyBorder="1" applyAlignment="1">
      <alignment horizontal="right"/>
    </xf>
    <xf numFmtId="169" fontId="4" fillId="0" borderId="11" xfId="4" applyNumberFormat="1" applyFont="1" applyBorder="1" applyAlignment="1">
      <alignment horizontal="right"/>
    </xf>
    <xf numFmtId="0" fontId="4" fillId="3" borderId="11" xfId="4" applyFont="1" applyFill="1" applyBorder="1"/>
    <xf numFmtId="169" fontId="4" fillId="0" borderId="11" xfId="60" applyNumberFormat="1" applyFont="1" applyBorder="1" applyAlignment="1">
      <alignment horizontal="right"/>
    </xf>
    <xf numFmtId="169" fontId="4" fillId="0" borderId="13" xfId="4" applyNumberFormat="1" applyFont="1" applyBorder="1" applyAlignment="1">
      <alignment horizontal="right"/>
    </xf>
    <xf numFmtId="169" fontId="4" fillId="0" borderId="13" xfId="60" applyNumberFormat="1" applyFont="1" applyBorder="1"/>
    <xf numFmtId="0" fontId="4" fillId="0" borderId="13" xfId="4" applyFont="1" applyBorder="1" applyAlignment="1">
      <alignment horizontal="right"/>
    </xf>
    <xf numFmtId="174" fontId="4" fillId="0" borderId="13" xfId="4" applyNumberFormat="1" applyFont="1" applyBorder="1" applyAlignment="1">
      <alignment horizontal="right"/>
    </xf>
    <xf numFmtId="169" fontId="4" fillId="0" borderId="12" xfId="4" applyNumberFormat="1" applyFont="1" applyBorder="1" applyAlignment="1">
      <alignment horizontal="right"/>
    </xf>
    <xf numFmtId="174" fontId="4" fillId="0" borderId="0" xfId="26" applyNumberFormat="1" applyFont="1" applyBorder="1" applyAlignment="1">
      <alignment horizontal="right"/>
    </xf>
    <xf numFmtId="174" fontId="4" fillId="0" borderId="0" xfId="4" applyNumberFormat="1" applyFont="1" applyBorder="1" applyAlignment="1">
      <alignment horizontal="right"/>
    </xf>
    <xf numFmtId="9" fontId="4" fillId="0" borderId="0" xfId="4" applyNumberFormat="1" applyFont="1" applyBorder="1" applyAlignment="1">
      <alignment horizontal="right"/>
    </xf>
    <xf numFmtId="9" fontId="4" fillId="0" borderId="12" xfId="4" applyNumberFormat="1" applyFont="1" applyBorder="1" applyAlignment="1">
      <alignment horizontal="right"/>
    </xf>
    <xf numFmtId="9" fontId="4" fillId="3" borderId="0" xfId="4" applyNumberFormat="1" applyFont="1" applyFill="1" applyBorder="1" applyAlignment="1">
      <alignment horizontal="right"/>
    </xf>
    <xf numFmtId="0" fontId="4" fillId="6" borderId="0" xfId="4" applyFont="1" applyFill="1" applyBorder="1" applyAlignment="1">
      <alignment horizontal="right"/>
    </xf>
    <xf numFmtId="0" fontId="4" fillId="6" borderId="12" xfId="4" applyFont="1" applyFill="1" applyBorder="1" applyAlignment="1">
      <alignment horizontal="right"/>
    </xf>
    <xf numFmtId="169" fontId="21" fillId="6" borderId="0" xfId="60" applyNumberFormat="1" applyFont="1" applyFill="1"/>
    <xf numFmtId="174" fontId="4" fillId="6" borderId="12" xfId="27" applyNumberFormat="1" applyFont="1" applyFill="1" applyBorder="1"/>
    <xf numFmtId="169" fontId="4" fillId="6" borderId="0" xfId="59" applyNumberFormat="1" applyFont="1" applyFill="1"/>
    <xf numFmtId="174" fontId="4" fillId="6" borderId="3" xfId="27" applyNumberFormat="1" applyFont="1" applyFill="1" applyBorder="1"/>
    <xf numFmtId="169" fontId="4" fillId="0" borderId="0" xfId="4" applyNumberFormat="1" applyFont="1" applyBorder="1" applyAlignment="1">
      <alignment horizontal="right"/>
    </xf>
    <xf numFmtId="9" fontId="4" fillId="0" borderId="11" xfId="4" applyNumberFormat="1" applyFont="1" applyBorder="1" applyAlignment="1">
      <alignment horizontal="right"/>
    </xf>
    <xf numFmtId="174" fontId="4" fillId="0" borderId="3" xfId="4" applyNumberFormat="1" applyFont="1" applyBorder="1" applyAlignment="1">
      <alignment horizontal="right"/>
    </xf>
    <xf numFmtId="169" fontId="21" fillId="0" borderId="0" xfId="60" applyNumberFormat="1" applyFont="1" applyFill="1" applyBorder="1"/>
    <xf numFmtId="169" fontId="4" fillId="0" borderId="12" xfId="60" applyNumberFormat="1" applyFont="1" applyBorder="1" applyAlignment="1">
      <alignment horizontal="right"/>
    </xf>
    <xf numFmtId="169" fontId="21" fillId="0" borderId="0" xfId="60" applyNumberFormat="1" applyFont="1"/>
    <xf numFmtId="169" fontId="4" fillId="0" borderId="3" xfId="60" applyNumberFormat="1" applyFont="1" applyBorder="1" applyAlignment="1">
      <alignment horizontal="right"/>
    </xf>
    <xf numFmtId="174" fontId="4" fillId="0" borderId="12" xfId="4" applyNumberFormat="1" applyFont="1" applyFill="1" applyBorder="1" applyAlignment="1">
      <alignment horizontal="right"/>
    </xf>
    <xf numFmtId="43" fontId="4" fillId="0" borderId="11" xfId="27" applyFont="1" applyBorder="1"/>
    <xf numFmtId="174" fontId="4" fillId="0" borderId="11" xfId="27" applyNumberFormat="1" applyFont="1" applyBorder="1"/>
    <xf numFmtId="174" fontId="39" fillId="3" borderId="0" xfId="27" quotePrefix="1" applyNumberFormat="1" applyFont="1" applyFill="1" applyAlignment="1">
      <alignment horizontal="center"/>
    </xf>
    <xf numFmtId="174" fontId="39" fillId="0" borderId="0" xfId="27" quotePrefix="1" applyNumberFormat="1" applyFont="1" applyAlignment="1">
      <alignment horizontal="center"/>
    </xf>
    <xf numFmtId="174" fontId="4" fillId="3" borderId="11" xfId="4" applyNumberFormat="1" applyFont="1" applyFill="1" applyBorder="1" applyAlignment="1">
      <alignment horizontal="center"/>
    </xf>
    <xf numFmtId="9" fontId="4" fillId="0" borderId="12" xfId="60" applyNumberFormat="1" applyFont="1" applyBorder="1"/>
    <xf numFmtId="9" fontId="4" fillId="0" borderId="11" xfId="60" applyFont="1" applyBorder="1" applyAlignment="1">
      <alignment horizontal="right"/>
    </xf>
    <xf numFmtId="0" fontId="4" fillId="0" borderId="17" xfId="4" applyFont="1" applyBorder="1"/>
    <xf numFmtId="9" fontId="4" fillId="0" borderId="18" xfId="60" applyFont="1" applyBorder="1" applyAlignment="1">
      <alignment horizontal="right"/>
    </xf>
    <xf numFmtId="174" fontId="4" fillId="0" borderId="15" xfId="4" applyNumberFormat="1" applyFont="1" applyFill="1" applyBorder="1" applyAlignment="1">
      <alignment horizontal="right"/>
    </xf>
    <xf numFmtId="9" fontId="4" fillId="0" borderId="15" xfId="60" applyNumberFormat="1" applyFont="1" applyBorder="1"/>
    <xf numFmtId="9" fontId="4" fillId="0" borderId="18" xfId="4" applyNumberFormat="1" applyFont="1" applyBorder="1" applyAlignment="1">
      <alignment horizontal="right"/>
    </xf>
    <xf numFmtId="0" fontId="4" fillId="4" borderId="0" xfId="4" applyFont="1" applyFill="1" applyBorder="1"/>
    <xf numFmtId="0" fontId="4" fillId="4" borderId="0" xfId="4" applyFont="1" applyFill="1" applyBorder="1" applyAlignment="1">
      <alignment horizontal="right"/>
    </xf>
    <xf numFmtId="43" fontId="4" fillId="4" borderId="13" xfId="27" applyFont="1" applyFill="1" applyBorder="1"/>
    <xf numFmtId="0" fontId="4" fillId="4" borderId="0" xfId="4" applyFont="1" applyFill="1"/>
    <xf numFmtId="0" fontId="4" fillId="4" borderId="0" xfId="4" applyFont="1" applyFill="1" applyBorder="1" applyAlignment="1">
      <alignment horizontal="left" indent="1"/>
    </xf>
    <xf numFmtId="169" fontId="4" fillId="4" borderId="0" xfId="60" applyNumberFormat="1" applyFont="1" applyFill="1" applyBorder="1" applyAlignment="1">
      <alignment horizontal="right"/>
    </xf>
    <xf numFmtId="174" fontId="4" fillId="4" borderId="12" xfId="27" applyNumberFormat="1" applyFont="1" applyFill="1" applyBorder="1" applyAlignment="1">
      <alignment horizontal="right"/>
    </xf>
    <xf numFmtId="169" fontId="4" fillId="4" borderId="0" xfId="4" applyNumberFormat="1" applyFont="1" applyFill="1" applyBorder="1" applyAlignment="1">
      <alignment horizontal="right"/>
    </xf>
    <xf numFmtId="174" fontId="4" fillId="4" borderId="12" xfId="27" applyNumberFormat="1" applyFont="1" applyFill="1" applyBorder="1"/>
    <xf numFmtId="0" fontId="4" fillId="4" borderId="0" xfId="4" applyFont="1" applyFill="1" applyBorder="1" applyAlignment="1">
      <alignment horizontal="left" indent="2"/>
    </xf>
    <xf numFmtId="174" fontId="4" fillId="4" borderId="0" xfId="27" applyNumberFormat="1" applyFont="1" applyFill="1" applyBorder="1"/>
    <xf numFmtId="169" fontId="4" fillId="4" borderId="0" xfId="4" quotePrefix="1" applyNumberFormat="1" applyFont="1" applyFill="1" applyBorder="1" applyAlignment="1">
      <alignment horizontal="right"/>
    </xf>
    <xf numFmtId="9" fontId="4" fillId="4" borderId="12" xfId="60" applyNumberFormat="1" applyFont="1" applyFill="1" applyBorder="1"/>
    <xf numFmtId="9" fontId="4" fillId="4" borderId="0" xfId="60" applyNumberFormat="1" applyFont="1" applyFill="1" applyBorder="1"/>
    <xf numFmtId="174" fontId="4" fillId="4" borderId="12" xfId="4" applyNumberFormat="1" applyFont="1" applyFill="1" applyBorder="1" applyAlignment="1">
      <alignment horizontal="right"/>
    </xf>
    <xf numFmtId="174" fontId="4" fillId="4" borderId="11" xfId="4" applyNumberFormat="1" applyFont="1" applyFill="1" applyBorder="1" applyAlignment="1">
      <alignment horizontal="right"/>
    </xf>
    <xf numFmtId="43" fontId="4" fillId="4" borderId="0" xfId="27" applyFont="1" applyFill="1" applyBorder="1"/>
    <xf numFmtId="0" fontId="4" fillId="3" borderId="0" xfId="4" applyFont="1" applyFill="1" applyBorder="1" applyAlignment="1">
      <alignment horizontal="left" indent="1"/>
    </xf>
    <xf numFmtId="169" fontId="4" fillId="3" borderId="0" xfId="60" applyNumberFormat="1" applyFont="1" applyFill="1" applyBorder="1" applyAlignment="1">
      <alignment horizontal="right"/>
    </xf>
    <xf numFmtId="174" fontId="4" fillId="3" borderId="12" xfId="27" applyNumberFormat="1" applyFont="1" applyFill="1" applyBorder="1" applyAlignment="1">
      <alignment horizontal="right"/>
    </xf>
    <xf numFmtId="169" fontId="4" fillId="3" borderId="0" xfId="4" quotePrefix="1" applyNumberFormat="1" applyFont="1" applyFill="1" applyBorder="1" applyAlignment="1">
      <alignment horizontal="right"/>
    </xf>
    <xf numFmtId="9" fontId="4" fillId="3" borderId="0" xfId="4" applyNumberFormat="1" applyFont="1" applyFill="1"/>
    <xf numFmtId="169" fontId="4" fillId="0" borderId="0" xfId="60" applyNumberFormat="1" applyFont="1" applyBorder="1" applyAlignment="1">
      <alignment horizontal="right"/>
    </xf>
    <xf numFmtId="174" fontId="4" fillId="0" borderId="12" xfId="27" applyNumberFormat="1" applyFont="1" applyBorder="1" applyAlignment="1">
      <alignment horizontal="right"/>
    </xf>
    <xf numFmtId="174" fontId="4" fillId="12" borderId="0" xfId="4" applyNumberFormat="1" applyFont="1" applyFill="1"/>
    <xf numFmtId="9" fontId="4" fillId="0" borderId="12" xfId="60" applyNumberFormat="1" applyFont="1" applyBorder="1" applyAlignment="1">
      <alignment horizontal="right"/>
    </xf>
    <xf numFmtId="0" fontId="4" fillId="0" borderId="12" xfId="4" applyFont="1" applyFill="1" applyBorder="1" applyAlignment="1">
      <alignment horizontal="left" indent="1"/>
    </xf>
    <xf numFmtId="172" fontId="7" fillId="0" borderId="0" xfId="4" applyNumberFormat="1" applyFont="1"/>
    <xf numFmtId="0" fontId="7" fillId="3" borderId="0" xfId="4" applyFont="1" applyFill="1"/>
    <xf numFmtId="0" fontId="7" fillId="5" borderId="0" xfId="4" applyFont="1" applyFill="1"/>
    <xf numFmtId="10" fontId="4" fillId="0" borderId="0" xfId="26" applyNumberFormat="1" applyFont="1"/>
    <xf numFmtId="169" fontId="4" fillId="3" borderId="11" xfId="60" applyNumberFormat="1" applyFont="1" applyFill="1" applyBorder="1" applyAlignment="1">
      <alignment horizontal="right"/>
    </xf>
    <xf numFmtId="169" fontId="4" fillId="0" borderId="18" xfId="60" applyNumberFormat="1" applyFont="1" applyBorder="1" applyAlignment="1">
      <alignment horizontal="right"/>
    </xf>
    <xf numFmtId="174" fontId="4" fillId="0" borderId="15" xfId="4" applyNumberFormat="1" applyFont="1" applyBorder="1" applyAlignment="1">
      <alignment horizontal="right"/>
    </xf>
    <xf numFmtId="174" fontId="4" fillId="0" borderId="18" xfId="4" applyNumberFormat="1" applyFont="1" applyBorder="1" applyAlignment="1">
      <alignment horizontal="right"/>
    </xf>
    <xf numFmtId="0" fontId="7" fillId="4" borderId="0" xfId="4" applyFont="1" applyFill="1"/>
    <xf numFmtId="0" fontId="4" fillId="4" borderId="12" xfId="4" applyFont="1" applyFill="1" applyBorder="1"/>
    <xf numFmtId="0" fontId="4" fillId="4" borderId="13" xfId="4" applyFont="1" applyFill="1" applyBorder="1"/>
    <xf numFmtId="0" fontId="4" fillId="4" borderId="11" xfId="4" applyFont="1" applyFill="1" applyBorder="1"/>
    <xf numFmtId="0" fontId="7" fillId="4" borderId="12" xfId="4" applyFont="1" applyFill="1" applyBorder="1"/>
    <xf numFmtId="0" fontId="4" fillId="4" borderId="3" xfId="4" applyFont="1" applyFill="1" applyBorder="1"/>
    <xf numFmtId="0" fontId="4" fillId="4" borderId="0" xfId="4" applyFont="1" applyFill="1" applyAlignment="1">
      <alignment horizontal="right"/>
    </xf>
    <xf numFmtId="0" fontId="4" fillId="4" borderId="11" xfId="4" applyFont="1" applyFill="1" applyBorder="1" applyAlignment="1">
      <alignment horizontal="right"/>
    </xf>
    <xf numFmtId="174" fontId="4" fillId="4" borderId="0" xfId="4" applyNumberFormat="1" applyFont="1" applyFill="1" applyBorder="1"/>
    <xf numFmtId="169" fontId="4" fillId="4" borderId="0" xfId="60" applyNumberFormat="1" applyFont="1" applyFill="1" applyAlignment="1">
      <alignment horizontal="left" indent="2"/>
    </xf>
    <xf numFmtId="169" fontId="4" fillId="4" borderId="12" xfId="60" applyNumberFormat="1" applyFont="1" applyFill="1" applyBorder="1" applyAlignment="1">
      <alignment horizontal="left" indent="2"/>
    </xf>
    <xf numFmtId="169" fontId="4" fillId="4" borderId="11" xfId="60" applyNumberFormat="1" applyFont="1" applyFill="1" applyBorder="1"/>
    <xf numFmtId="0" fontId="4" fillId="4" borderId="12" xfId="4" applyFont="1" applyFill="1" applyBorder="1" applyAlignment="1">
      <alignment horizontal="right"/>
    </xf>
    <xf numFmtId="0" fontId="4" fillId="4" borderId="3" xfId="4" applyFont="1" applyFill="1" applyBorder="1" applyAlignment="1">
      <alignment horizontal="right"/>
    </xf>
    <xf numFmtId="0" fontId="4" fillId="4" borderId="18" xfId="4" applyFont="1" applyFill="1" applyBorder="1" applyAlignment="1">
      <alignment horizontal="left" indent="1"/>
    </xf>
    <xf numFmtId="168" fontId="4" fillId="4" borderId="15" xfId="4" applyNumberFormat="1" applyFont="1" applyFill="1" applyBorder="1"/>
    <xf numFmtId="0" fontId="4" fillId="4" borderId="17" xfId="4" applyFont="1" applyFill="1" applyBorder="1" applyAlignment="1">
      <alignment horizontal="right"/>
    </xf>
    <xf numFmtId="0" fontId="4" fillId="4" borderId="18" xfId="4" applyFont="1" applyFill="1" applyBorder="1" applyAlignment="1">
      <alignment horizontal="right"/>
    </xf>
    <xf numFmtId="174" fontId="4" fillId="4" borderId="15" xfId="4" applyNumberFormat="1" applyFont="1" applyFill="1" applyBorder="1" applyAlignment="1">
      <alignment horizontal="right"/>
    </xf>
    <xf numFmtId="0" fontId="4" fillId="4" borderId="15" xfId="4" applyFont="1" applyFill="1" applyBorder="1" applyAlignment="1">
      <alignment horizontal="left" indent="1"/>
    </xf>
    <xf numFmtId="168" fontId="4" fillId="4" borderId="18" xfId="4" applyNumberFormat="1" applyFont="1" applyFill="1" applyBorder="1"/>
    <xf numFmtId="43" fontId="4" fillId="0" borderId="0" xfId="26" applyFont="1"/>
    <xf numFmtId="174" fontId="21" fillId="3" borderId="0" xfId="4" applyNumberFormat="1" applyFont="1" applyFill="1"/>
    <xf numFmtId="174" fontId="4" fillId="3" borderId="0" xfId="5" applyNumberFormat="1" applyFont="1" applyFill="1"/>
    <xf numFmtId="169" fontId="7" fillId="0" borderId="0" xfId="60" applyNumberFormat="1" applyFont="1" applyFill="1" applyBorder="1" applyAlignment="1">
      <alignment horizontal="left" indent="2"/>
    </xf>
    <xf numFmtId="174" fontId="4" fillId="0" borderId="0" xfId="27" applyNumberFormat="1" applyFont="1" applyFill="1"/>
    <xf numFmtId="168" fontId="4" fillId="3" borderId="0" xfId="5" applyNumberFormat="1" applyFont="1" applyFill="1"/>
    <xf numFmtId="169" fontId="7" fillId="0" borderId="12" xfId="60" applyNumberFormat="1" applyFont="1" applyFill="1" applyBorder="1" applyAlignment="1">
      <alignment horizontal="left" indent="2"/>
    </xf>
    <xf numFmtId="174" fontId="4" fillId="3" borderId="12" xfId="4" applyNumberFormat="1" applyFont="1" applyFill="1" applyBorder="1" applyAlignment="1">
      <alignment horizontal="right"/>
    </xf>
    <xf numFmtId="169" fontId="4" fillId="3" borderId="12" xfId="60" applyNumberFormat="1" applyFont="1" applyFill="1" applyBorder="1" applyAlignment="1">
      <alignment horizontal="right"/>
    </xf>
    <xf numFmtId="1" fontId="44" fillId="0" borderId="0" xfId="4" applyNumberFormat="1" applyFont="1" applyBorder="1"/>
    <xf numFmtId="1" fontId="4" fillId="0" borderId="0" xfId="4" applyNumberFormat="1" applyFont="1" applyBorder="1"/>
    <xf numFmtId="169" fontId="4" fillId="0" borderId="0" xfId="4" applyNumberFormat="1" applyFont="1" applyBorder="1"/>
    <xf numFmtId="169" fontId="4" fillId="0" borderId="12" xfId="4" applyNumberFormat="1" applyFont="1" applyBorder="1"/>
    <xf numFmtId="0" fontId="7" fillId="0" borderId="6" xfId="4" applyFont="1" applyBorder="1"/>
    <xf numFmtId="168" fontId="4" fillId="0" borderId="17" xfId="4" applyNumberFormat="1" applyFont="1" applyBorder="1" applyAlignment="1">
      <alignment horizontal="right"/>
    </xf>
    <xf numFmtId="168" fontId="4" fillId="0" borderId="2" xfId="4" applyNumberFormat="1" applyFont="1" applyBorder="1" applyAlignment="1">
      <alignment horizontal="right"/>
    </xf>
    <xf numFmtId="168" fontId="4" fillId="0" borderId="9" xfId="4" applyNumberFormat="1" applyFont="1" applyBorder="1" applyAlignment="1">
      <alignment horizontal="right"/>
    </xf>
    <xf numFmtId="169" fontId="4" fillId="0" borderId="0" xfId="60" applyNumberFormat="1" applyFont="1" applyFill="1" applyBorder="1" applyAlignment="1">
      <alignment horizontal="right"/>
    </xf>
    <xf numFmtId="174" fontId="4" fillId="0" borderId="0" xfId="4" applyNumberFormat="1" applyFont="1" applyFill="1" applyBorder="1" applyAlignment="1">
      <alignment horizontal="right"/>
    </xf>
    <xf numFmtId="9" fontId="4" fillId="0" borderId="0" xfId="60" applyFont="1" applyFill="1" applyAlignment="1">
      <alignment horizontal="right"/>
    </xf>
    <xf numFmtId="9" fontId="4" fillId="0" borderId="12" xfId="60" applyFont="1" applyFill="1" applyBorder="1" applyAlignment="1">
      <alignment horizontal="right"/>
    </xf>
    <xf numFmtId="172" fontId="4" fillId="0" borderId="0" xfId="27" applyNumberFormat="1" applyFont="1" applyAlignment="1">
      <alignment horizontal="right"/>
    </xf>
    <xf numFmtId="172" fontId="4" fillId="0" borderId="0" xfId="4" applyNumberFormat="1" applyFont="1" applyAlignment="1">
      <alignment horizontal="right"/>
    </xf>
    <xf numFmtId="172" fontId="4" fillId="0" borderId="11" xfId="4" applyNumberFormat="1" applyFont="1" applyBorder="1" applyAlignment="1">
      <alignment horizontal="right"/>
    </xf>
    <xf numFmtId="169" fontId="4" fillId="0" borderId="11" xfId="60" applyNumberFormat="1" applyFont="1" applyFill="1" applyBorder="1" applyAlignment="1">
      <alignment horizontal="right"/>
    </xf>
    <xf numFmtId="169" fontId="4" fillId="0" borderId="17" xfId="60" applyNumberFormat="1" applyFont="1" applyBorder="1" applyAlignment="1">
      <alignment horizontal="left" indent="2"/>
    </xf>
    <xf numFmtId="9" fontId="4" fillId="0" borderId="17" xfId="4" applyNumberFormat="1" applyFont="1" applyBorder="1" applyAlignment="1">
      <alignment horizontal="right"/>
    </xf>
    <xf numFmtId="169" fontId="4" fillId="0" borderId="17" xfId="60" applyNumberFormat="1" applyFont="1" applyFill="1" applyBorder="1" applyAlignment="1">
      <alignment horizontal="right"/>
    </xf>
    <xf numFmtId="169" fontId="4" fillId="0" borderId="15" xfId="60" applyNumberFormat="1" applyFont="1" applyFill="1" applyBorder="1" applyAlignment="1">
      <alignment horizontal="right"/>
    </xf>
    <xf numFmtId="169" fontId="4" fillId="0" borderId="15" xfId="60" applyNumberFormat="1" applyFont="1" applyBorder="1" applyAlignment="1">
      <alignment horizontal="left" indent="2"/>
    </xf>
    <xf numFmtId="9" fontId="4" fillId="0" borderId="15" xfId="60" applyNumberFormat="1" applyFont="1" applyFill="1" applyBorder="1" applyAlignment="1">
      <alignment horizontal="right"/>
    </xf>
    <xf numFmtId="0" fontId="4" fillId="8" borderId="12" xfId="4" applyFont="1" applyFill="1" applyBorder="1"/>
    <xf numFmtId="0" fontId="4" fillId="8" borderId="15" xfId="4" applyFont="1" applyFill="1" applyBorder="1"/>
    <xf numFmtId="174" fontId="4" fillId="0" borderId="0" xfId="4" applyNumberFormat="1" applyFont="1" applyBorder="1" applyAlignment="1"/>
    <xf numFmtId="0" fontId="4" fillId="0" borderId="0" xfId="4" quotePrefix="1" applyFont="1" applyAlignment="1">
      <alignment horizontal="right"/>
    </xf>
    <xf numFmtId="174" fontId="4" fillId="0" borderId="2" xfId="27" applyNumberFormat="1" applyFont="1" applyBorder="1" applyAlignment="1"/>
    <xf numFmtId="174" fontId="4" fillId="0" borderId="13" xfId="27" applyNumberFormat="1" applyFont="1" applyBorder="1" applyAlignment="1"/>
    <xf numFmtId="174" fontId="4" fillId="0" borderId="2" xfId="4" applyNumberFormat="1" applyFont="1" applyBorder="1" applyAlignment="1"/>
    <xf numFmtId="174" fontId="4" fillId="0" borderId="13" xfId="4" applyNumberFormat="1" applyFont="1" applyBorder="1" applyAlignment="1"/>
    <xf numFmtId="174" fontId="4" fillId="0" borderId="8" xfId="4" applyNumberFormat="1" applyFont="1" applyBorder="1" applyAlignment="1"/>
    <xf numFmtId="169" fontId="10" fillId="0" borderId="0" xfId="60" applyNumberFormat="1" applyFont="1" applyBorder="1" applyAlignment="1"/>
    <xf numFmtId="169" fontId="10" fillId="0" borderId="12" xfId="60" applyNumberFormat="1" applyFont="1" applyBorder="1" applyAlignment="1"/>
    <xf numFmtId="169" fontId="4" fillId="0" borderId="0" xfId="60" applyNumberFormat="1" applyFont="1" applyAlignment="1"/>
    <xf numFmtId="174" fontId="4" fillId="0" borderId="12" xfId="4" applyNumberFormat="1" applyFont="1" applyBorder="1" applyAlignment="1">
      <alignment horizontal="left" indent="2"/>
    </xf>
    <xf numFmtId="174" fontId="4" fillId="0" borderId="3" xfId="4" applyNumberFormat="1" applyFont="1" applyBorder="1" applyAlignment="1"/>
    <xf numFmtId="0" fontId="10" fillId="0" borderId="3" xfId="4" applyFont="1" applyBorder="1" applyAlignment="1">
      <alignment horizontal="left" indent="2"/>
    </xf>
    <xf numFmtId="0" fontId="10" fillId="0" borderId="0" xfId="4" applyFont="1" applyBorder="1"/>
    <xf numFmtId="9" fontId="10" fillId="0" borderId="0" xfId="60" applyFont="1" applyBorder="1"/>
    <xf numFmtId="9" fontId="10" fillId="0" borderId="12" xfId="60" applyFont="1" applyBorder="1"/>
    <xf numFmtId="0" fontId="10" fillId="0" borderId="12" xfId="4" applyFont="1" applyBorder="1" applyAlignment="1">
      <alignment horizontal="left" indent="2"/>
    </xf>
    <xf numFmtId="9" fontId="10" fillId="0" borderId="3" xfId="60" applyFont="1" applyBorder="1"/>
    <xf numFmtId="0" fontId="4" fillId="0" borderId="3" xfId="4" applyFont="1" applyBorder="1" applyAlignment="1">
      <alignment horizontal="left" indent="2"/>
    </xf>
    <xf numFmtId="9" fontId="4" fillId="0" borderId="12" xfId="60" applyFont="1" applyBorder="1"/>
    <xf numFmtId="9" fontId="4" fillId="0" borderId="0" xfId="60" applyNumberFormat="1" applyFont="1" applyBorder="1"/>
    <xf numFmtId="169" fontId="4" fillId="6" borderId="0" xfId="60" applyNumberFormat="1" applyFont="1" applyFill="1" applyBorder="1"/>
    <xf numFmtId="174" fontId="4" fillId="3" borderId="0" xfId="4" applyNumberFormat="1" applyFont="1" applyFill="1" applyBorder="1"/>
    <xf numFmtId="174" fontId="4" fillId="0" borderId="0" xfId="4" applyNumberFormat="1" applyFont="1" applyFill="1" applyBorder="1" applyAlignment="1"/>
    <xf numFmtId="9" fontId="4" fillId="0" borderId="0" xfId="27" applyNumberFormat="1" applyFont="1" applyBorder="1" applyAlignment="1"/>
    <xf numFmtId="9" fontId="4" fillId="0" borderId="12" xfId="27" applyNumberFormat="1" applyFont="1" applyBorder="1" applyAlignment="1"/>
    <xf numFmtId="9" fontId="4" fillId="0" borderId="0" xfId="4" applyNumberFormat="1" applyFont="1" applyBorder="1" applyAlignment="1"/>
    <xf numFmtId="9" fontId="4" fillId="0" borderId="0" xfId="60" applyFont="1" applyBorder="1" applyAlignment="1"/>
    <xf numFmtId="9" fontId="4" fillId="0" borderId="12" xfId="4" applyNumberFormat="1" applyFont="1" applyBorder="1" applyAlignment="1"/>
    <xf numFmtId="174" fontId="4" fillId="3" borderId="0" xfId="4" applyNumberFormat="1" applyFont="1" applyFill="1" applyBorder="1" applyAlignment="1"/>
    <xf numFmtId="174" fontId="4" fillId="3" borderId="3" xfId="4" applyNumberFormat="1" applyFont="1" applyFill="1" applyBorder="1" applyAlignment="1"/>
    <xf numFmtId="174" fontId="4" fillId="0" borderId="11" xfId="27" applyNumberFormat="1" applyFont="1" applyBorder="1" applyAlignment="1"/>
    <xf numFmtId="174" fontId="4" fillId="3" borderId="12" xfId="27" applyNumberFormat="1" applyFont="1" applyFill="1" applyBorder="1" applyAlignment="1">
      <alignment horizontal="left"/>
    </xf>
    <xf numFmtId="174" fontId="4" fillId="3" borderId="11" xfId="27" applyNumberFormat="1" applyFont="1" applyFill="1" applyBorder="1" applyAlignment="1">
      <alignment horizontal="left"/>
    </xf>
    <xf numFmtId="174" fontId="4" fillId="3" borderId="11" xfId="27" applyNumberFormat="1" applyFont="1" applyFill="1" applyBorder="1" applyAlignment="1"/>
    <xf numFmtId="174" fontId="7" fillId="0" borderId="0" xfId="4" applyNumberFormat="1" applyFont="1" applyBorder="1" applyAlignment="1">
      <alignment horizontal="left"/>
    </xf>
    <xf numFmtId="174" fontId="7" fillId="0" borderId="11" xfId="27" applyNumberFormat="1" applyFont="1" applyBorder="1" applyAlignment="1"/>
    <xf numFmtId="174" fontId="7" fillId="3" borderId="11" xfId="27" applyNumberFormat="1" applyFont="1" applyFill="1" applyBorder="1" applyAlignment="1"/>
    <xf numFmtId="174" fontId="7" fillId="3" borderId="0" xfId="4" applyNumberFormat="1" applyFont="1" applyFill="1" applyBorder="1" applyAlignment="1"/>
    <xf numFmtId="174" fontId="7" fillId="3" borderId="3" xfId="4" applyNumberFormat="1" applyFont="1" applyFill="1" applyBorder="1" applyAlignment="1"/>
    <xf numFmtId="174" fontId="7" fillId="0" borderId="12" xfId="4" applyNumberFormat="1" applyFont="1" applyBorder="1" applyAlignment="1">
      <alignment horizontal="left"/>
    </xf>
    <xf numFmtId="174" fontId="7" fillId="0" borderId="0" xfId="4" applyNumberFormat="1" applyFont="1" applyFill="1" applyBorder="1" applyAlignment="1"/>
    <xf numFmtId="43" fontId="7" fillId="0" borderId="11" xfId="27" applyNumberFormat="1" applyFont="1" applyBorder="1" applyAlignment="1"/>
    <xf numFmtId="9" fontId="7" fillId="0" borderId="0" xfId="4" applyNumberFormat="1" applyFont="1" applyBorder="1" applyAlignment="1"/>
    <xf numFmtId="9" fontId="7" fillId="0" borderId="0" xfId="60" applyNumberFormat="1" applyFont="1" applyBorder="1" applyAlignment="1"/>
    <xf numFmtId="43" fontId="7" fillId="0" borderId="11" xfId="4" applyNumberFormat="1" applyFont="1" applyBorder="1" applyAlignment="1"/>
    <xf numFmtId="169" fontId="4" fillId="0" borderId="17" xfId="60" quotePrefix="1" applyNumberFormat="1" applyFont="1" applyBorder="1" applyAlignment="1">
      <alignment horizontal="left"/>
    </xf>
    <xf numFmtId="169" fontId="4" fillId="0" borderId="17" xfId="60" applyNumberFormat="1" applyFont="1" applyBorder="1" applyAlignment="1">
      <alignment horizontal="left"/>
    </xf>
    <xf numFmtId="169" fontId="4" fillId="0" borderId="15" xfId="60" applyNumberFormat="1" applyFont="1" applyBorder="1" applyAlignment="1">
      <alignment horizontal="left"/>
    </xf>
    <xf numFmtId="0" fontId="4" fillId="0" borderId="0" xfId="4" applyFont="1" applyAlignment="1">
      <alignment horizontal="left"/>
    </xf>
    <xf numFmtId="168" fontId="4" fillId="0" borderId="17" xfId="4" applyNumberFormat="1" applyFont="1" applyBorder="1" applyAlignment="1">
      <alignment horizontal="left"/>
    </xf>
    <xf numFmtId="0" fontId="4" fillId="0" borderId="15" xfId="4" applyFont="1" applyBorder="1" applyAlignment="1">
      <alignment horizontal="left"/>
    </xf>
    <xf numFmtId="0" fontId="7" fillId="0" borderId="17" xfId="4" applyFont="1" applyBorder="1"/>
    <xf numFmtId="167" fontId="4" fillId="0" borderId="15" xfId="4" applyNumberFormat="1" applyFont="1" applyBorder="1" applyAlignment="1">
      <alignment horizontal="right"/>
    </xf>
    <xf numFmtId="168" fontId="4" fillId="0" borderId="15" xfId="4" applyNumberFormat="1" applyFont="1" applyBorder="1" applyAlignment="1">
      <alignment horizontal="right"/>
    </xf>
    <xf numFmtId="0" fontId="7" fillId="0" borderId="15" xfId="4" applyFont="1" applyBorder="1"/>
    <xf numFmtId="0" fontId="4" fillId="0" borderId="0" xfId="4" applyFont="1" applyFill="1" applyBorder="1" applyAlignment="1">
      <alignment horizontal="right"/>
    </xf>
    <xf numFmtId="172" fontId="4" fillId="0" borderId="0" xfId="27" applyNumberFormat="1" applyFont="1" applyFill="1" applyBorder="1"/>
    <xf numFmtId="178" fontId="4" fillId="0" borderId="0" xfId="4" applyNumberFormat="1" applyFont="1" applyFill="1" applyBorder="1"/>
    <xf numFmtId="43" fontId="4" fillId="0" borderId="0" xfId="4" applyNumberFormat="1" applyFont="1" applyFill="1" applyBorder="1"/>
    <xf numFmtId="178" fontId="4" fillId="3" borderId="0" xfId="4" applyNumberFormat="1" applyFont="1" applyFill="1" applyBorder="1"/>
    <xf numFmtId="169" fontId="4" fillId="0" borderId="0" xfId="4" applyNumberFormat="1" applyFont="1" applyFill="1" applyBorder="1"/>
    <xf numFmtId="0" fontId="87" fillId="0" borderId="0" xfId="0" applyFont="1"/>
    <xf numFmtId="37" fontId="87" fillId="0" borderId="0" xfId="0" applyNumberFormat="1" applyFont="1"/>
    <xf numFmtId="165" fontId="88" fillId="0" borderId="0" xfId="54" applyNumberFormat="1" applyFont="1" applyFill="1" applyBorder="1"/>
    <xf numFmtId="165" fontId="88" fillId="0" borderId="3" xfId="54" applyNumberFormat="1" applyFont="1" applyFill="1" applyBorder="1"/>
    <xf numFmtId="165" fontId="88" fillId="3" borderId="3" xfId="54" applyNumberFormat="1" applyFont="1" applyFill="1" applyBorder="1"/>
    <xf numFmtId="165" fontId="88" fillId="3" borderId="0" xfId="54" applyNumberFormat="1" applyFont="1" applyFill="1" applyBorder="1"/>
    <xf numFmtId="165" fontId="89" fillId="3" borderId="0" xfId="54" applyNumberFormat="1" applyFont="1" applyFill="1" applyBorder="1"/>
    <xf numFmtId="165" fontId="89" fillId="3" borderId="3" xfId="54" applyNumberFormat="1" applyFont="1" applyFill="1" applyBorder="1"/>
    <xf numFmtId="165" fontId="89" fillId="0" borderId="3" xfId="54" applyNumberFormat="1" applyFont="1" applyFill="1" applyBorder="1"/>
    <xf numFmtId="165" fontId="89" fillId="0" borderId="0" xfId="54" applyNumberFormat="1" applyFont="1" applyFill="1" applyBorder="1"/>
    <xf numFmtId="165" fontId="15" fillId="0" borderId="12" xfId="54" applyNumberFormat="1" applyFont="1" applyBorder="1"/>
    <xf numFmtId="166" fontId="90" fillId="3" borderId="0" xfId="4" applyNumberFormat="1" applyFont="1" applyFill="1" applyBorder="1"/>
    <xf numFmtId="166" fontId="90" fillId="0" borderId="0" xfId="4" applyNumberFormat="1" applyFont="1" applyFill="1" applyBorder="1"/>
    <xf numFmtId="166" fontId="90" fillId="3" borderId="3" xfId="4" applyNumberFormat="1" applyFont="1" applyFill="1" applyBorder="1"/>
    <xf numFmtId="166" fontId="90" fillId="0" borderId="3" xfId="4" applyNumberFormat="1" applyFont="1" applyFill="1" applyBorder="1"/>
    <xf numFmtId="166" fontId="90" fillId="3" borderId="12" xfId="4" applyNumberFormat="1" applyFont="1" applyFill="1" applyBorder="1"/>
    <xf numFmtId="166" fontId="90" fillId="3" borderId="0" xfId="4" applyNumberFormat="1" applyFont="1" applyFill="1"/>
    <xf numFmtId="165" fontId="90" fillId="3" borderId="0" xfId="4" applyNumberFormat="1" applyFont="1" applyFill="1" applyBorder="1"/>
    <xf numFmtId="166" fontId="90" fillId="0" borderId="12" xfId="4" applyNumberFormat="1" applyFont="1" applyBorder="1"/>
    <xf numFmtId="165" fontId="90" fillId="3" borderId="3" xfId="4" applyNumberFormat="1" applyFont="1" applyFill="1" applyBorder="1"/>
    <xf numFmtId="165" fontId="90" fillId="3" borderId="0" xfId="4" applyNumberFormat="1" applyFont="1" applyFill="1"/>
    <xf numFmtId="165" fontId="90" fillId="0" borderId="3" xfId="4" applyNumberFormat="1" applyFont="1" applyFill="1" applyBorder="1"/>
    <xf numFmtId="165" fontId="90" fillId="0" borderId="0" xfId="4" applyNumberFormat="1" applyFont="1" applyFill="1" applyBorder="1"/>
    <xf numFmtId="165" fontId="90" fillId="0" borderId="0" xfId="4" applyNumberFormat="1" applyFont="1" applyFill="1"/>
    <xf numFmtId="165" fontId="90" fillId="3" borderId="12" xfId="4" applyNumberFormat="1" applyFont="1" applyFill="1" applyBorder="1"/>
    <xf numFmtId="37" fontId="90" fillId="3" borderId="0" xfId="4" applyNumberFormat="1" applyFont="1" applyFill="1"/>
    <xf numFmtId="166" fontId="89" fillId="0" borderId="0" xfId="4" applyNumberFormat="1" applyFont="1" applyFill="1" applyBorder="1"/>
    <xf numFmtId="166" fontId="90" fillId="0" borderId="0" xfId="4" applyNumberFormat="1" applyFont="1" applyFill="1"/>
    <xf numFmtId="166" fontId="2" fillId="0" borderId="0" xfId="44" applyNumberFormat="1"/>
    <xf numFmtId="10" fontId="2" fillId="3" borderId="0" xfId="44" applyNumberFormat="1" applyFill="1"/>
    <xf numFmtId="167" fontId="90" fillId="3" borderId="5" xfId="4" applyNumberFormat="1" applyFont="1" applyFill="1" applyBorder="1" applyAlignment="1">
      <alignment horizontal="right"/>
    </xf>
    <xf numFmtId="168" fontId="91" fillId="3" borderId="6" xfId="4" applyNumberFormat="1" applyFont="1" applyFill="1" applyBorder="1" applyAlignment="1">
      <alignment horizontal="right"/>
    </xf>
    <xf numFmtId="167" fontId="91" fillId="3" borderId="5" xfId="4" applyNumberFormat="1" applyFont="1" applyFill="1" applyBorder="1" applyAlignment="1">
      <alignment horizontal="right"/>
    </xf>
    <xf numFmtId="168" fontId="91" fillId="3" borderId="7" xfId="4" applyNumberFormat="1" applyFont="1" applyFill="1" applyBorder="1" applyAlignment="1">
      <alignment horizontal="right"/>
    </xf>
    <xf numFmtId="168" fontId="91" fillId="0" borderId="6" xfId="4" applyNumberFormat="1" applyFont="1" applyFill="1" applyBorder="1" applyAlignment="1">
      <alignment horizontal="right"/>
    </xf>
    <xf numFmtId="167" fontId="91" fillId="0" borderId="5" xfId="4" applyNumberFormat="1" applyFont="1" applyFill="1" applyBorder="1" applyAlignment="1">
      <alignment horizontal="right"/>
    </xf>
    <xf numFmtId="168" fontId="91" fillId="0" borderId="5" xfId="4" applyNumberFormat="1" applyFont="1" applyBorder="1" applyAlignment="1">
      <alignment horizontal="right"/>
    </xf>
    <xf numFmtId="165" fontId="12" fillId="0" borderId="0" xfId="54" applyNumberFormat="1" applyFont="1" applyFill="1" applyBorder="1" applyAlignment="1">
      <alignment horizontal="left"/>
    </xf>
    <xf numFmtId="165" fontId="92" fillId="0" borderId="3" xfId="54" applyNumberFormat="1" applyFont="1" applyFill="1" applyBorder="1"/>
    <xf numFmtId="165" fontId="92" fillId="0" borderId="12" xfId="54" applyNumberFormat="1" applyFont="1" applyFill="1" applyBorder="1"/>
    <xf numFmtId="165" fontId="92" fillId="0" borderId="0" xfId="54" applyNumberFormat="1" applyFont="1" applyFill="1" applyBorder="1"/>
    <xf numFmtId="165" fontId="93" fillId="0" borderId="0" xfId="54" applyNumberFormat="1" applyFont="1" applyFill="1" applyBorder="1"/>
    <xf numFmtId="165" fontId="93" fillId="0" borderId="12" xfId="54" applyNumberFormat="1" applyFont="1" applyFill="1" applyBorder="1"/>
    <xf numFmtId="165" fontId="93" fillId="0" borderId="0" xfId="54" applyNumberFormat="1" applyFont="1" applyBorder="1"/>
    <xf numFmtId="165" fontId="93" fillId="0" borderId="11" xfId="54" applyNumberFormat="1" applyFont="1" applyBorder="1"/>
    <xf numFmtId="166" fontId="4" fillId="0" borderId="0" xfId="54" applyNumberFormat="1" applyFont="1" applyFill="1" applyBorder="1" applyAlignment="1">
      <alignment horizontal="left" indent="1"/>
    </xf>
    <xf numFmtId="166" fontId="90" fillId="0" borderId="12" xfId="4" applyNumberFormat="1" applyFont="1" applyFill="1" applyBorder="1"/>
    <xf numFmtId="166" fontId="91" fillId="0" borderId="0" xfId="4" applyNumberFormat="1" applyFont="1" applyFill="1"/>
    <xf numFmtId="166" fontId="91" fillId="0" borderId="12" xfId="4" applyNumberFormat="1" applyFont="1" applyFill="1" applyBorder="1"/>
    <xf numFmtId="166" fontId="91" fillId="0" borderId="0" xfId="4" applyNumberFormat="1" applyFont="1" applyFill="1" applyBorder="1"/>
    <xf numFmtId="166" fontId="91" fillId="3" borderId="0" xfId="4" applyNumberFormat="1" applyFont="1" applyFill="1" applyBorder="1"/>
    <xf numFmtId="166" fontId="91" fillId="0" borderId="11" xfId="4" applyNumberFormat="1" applyFont="1" applyFill="1" applyBorder="1"/>
    <xf numFmtId="166" fontId="90" fillId="0" borderId="11" xfId="4" applyNumberFormat="1" applyFont="1" applyFill="1" applyBorder="1"/>
    <xf numFmtId="165" fontId="93" fillId="0" borderId="3" xfId="54" applyNumberFormat="1" applyFont="1" applyFill="1" applyBorder="1"/>
    <xf numFmtId="165" fontId="93" fillId="3" borderId="0" xfId="54" applyNumberFormat="1" applyFont="1" applyFill="1" applyBorder="1"/>
    <xf numFmtId="165" fontId="93" fillId="0" borderId="11" xfId="54" applyNumberFormat="1" applyFont="1" applyFill="1" applyBorder="1"/>
    <xf numFmtId="165" fontId="4" fillId="0" borderId="0" xfId="54" applyNumberFormat="1" applyFont="1" applyFill="1" applyBorder="1" applyAlignment="1">
      <alignment horizontal="left" indent="1"/>
    </xf>
    <xf numFmtId="165" fontId="92" fillId="3" borderId="0" xfId="54" applyNumberFormat="1" applyFont="1" applyFill="1" applyBorder="1"/>
    <xf numFmtId="165" fontId="92" fillId="0" borderId="11" xfId="54" applyNumberFormat="1" applyFont="1" applyFill="1" applyBorder="1"/>
    <xf numFmtId="165" fontId="91" fillId="0" borderId="0" xfId="4" applyNumberFormat="1" applyFont="1" applyFill="1"/>
    <xf numFmtId="166" fontId="12" fillId="0" borderId="0" xfId="54" applyNumberFormat="1" applyFont="1" applyFill="1" applyBorder="1" applyAlignment="1">
      <alignment horizontal="left"/>
    </xf>
    <xf numFmtId="166" fontId="90" fillId="0" borderId="0" xfId="4" applyNumberFormat="1" applyFont="1"/>
    <xf numFmtId="166" fontId="91" fillId="3" borderId="0" xfId="4" applyNumberFormat="1" applyFont="1" applyFill="1"/>
    <xf numFmtId="166" fontId="90" fillId="0" borderId="11" xfId="4" applyNumberFormat="1" applyFont="1" applyBorder="1"/>
    <xf numFmtId="166" fontId="12" fillId="0" borderId="0" xfId="54" applyNumberFormat="1" applyFont="1" applyFill="1" applyBorder="1" applyAlignment="1"/>
    <xf numFmtId="166" fontId="91" fillId="0" borderId="0" xfId="4" applyNumberFormat="1" applyFont="1"/>
    <xf numFmtId="166" fontId="91" fillId="0" borderId="12" xfId="4" applyNumberFormat="1" applyFont="1" applyBorder="1"/>
    <xf numFmtId="166" fontId="91" fillId="0" borderId="11" xfId="4" applyNumberFormat="1" applyFont="1" applyBorder="1"/>
    <xf numFmtId="165" fontId="12" fillId="0" borderId="17" xfId="54" applyNumberFormat="1" applyFont="1" applyFill="1" applyBorder="1" applyAlignment="1">
      <alignment horizontal="left"/>
    </xf>
    <xf numFmtId="165" fontId="93" fillId="0" borderId="15" xfId="54" applyNumberFormat="1" applyFont="1" applyFill="1" applyBorder="1"/>
    <xf numFmtId="165" fontId="93" fillId="0" borderId="17" xfId="54" applyNumberFormat="1" applyFont="1" applyFill="1" applyBorder="1"/>
    <xf numFmtId="165" fontId="93" fillId="0" borderId="17" xfId="54" applyNumberFormat="1" applyFont="1" applyBorder="1"/>
    <xf numFmtId="165" fontId="93" fillId="0" borderId="15" xfId="54" applyNumberFormat="1" applyFont="1" applyBorder="1"/>
    <xf numFmtId="165" fontId="93" fillId="0" borderId="18" xfId="54" applyNumberFormat="1" applyFont="1" applyBorder="1"/>
    <xf numFmtId="165" fontId="94" fillId="0" borderId="0" xfId="54" applyNumberFormat="1" applyFont="1" applyFill="1" applyBorder="1"/>
    <xf numFmtId="166" fontId="89" fillId="0" borderId="11" xfId="4" applyNumberFormat="1" applyFont="1" applyFill="1" applyBorder="1"/>
    <xf numFmtId="167" fontId="91" fillId="0" borderId="6" xfId="4" applyNumberFormat="1" applyFont="1" applyFill="1" applyBorder="1" applyAlignment="1">
      <alignment horizontal="right"/>
    </xf>
    <xf numFmtId="168" fontId="91" fillId="0" borderId="6" xfId="4" applyNumberFormat="1" applyFont="1" applyBorder="1" applyAlignment="1">
      <alignment horizontal="right"/>
    </xf>
    <xf numFmtId="168" fontId="91" fillId="0" borderId="5" xfId="4" applyNumberFormat="1" applyFont="1" applyFill="1" applyBorder="1" applyAlignment="1">
      <alignment horizontal="right"/>
    </xf>
    <xf numFmtId="168" fontId="91" fillId="0" borderId="4" xfId="4" applyNumberFormat="1" applyFont="1" applyBorder="1" applyAlignment="1">
      <alignment horizontal="right"/>
    </xf>
    <xf numFmtId="165" fontId="12" fillId="0" borderId="0" xfId="54" applyNumberFormat="1" applyFont="1" applyFill="1" applyBorder="1" applyAlignment="1">
      <alignment horizontal="left" indent="1"/>
    </xf>
    <xf numFmtId="165" fontId="92" fillId="0" borderId="0" xfId="54" applyNumberFormat="1" applyFont="1" applyBorder="1"/>
    <xf numFmtId="166" fontId="90" fillId="0" borderId="0" xfId="27" applyNumberFormat="1" applyFont="1" applyFill="1"/>
    <xf numFmtId="165" fontId="90" fillId="0" borderId="0" xfId="31" applyNumberFormat="1" applyFont="1" applyFill="1"/>
    <xf numFmtId="165" fontId="91" fillId="0" borderId="12" xfId="31" applyNumberFormat="1" applyFont="1" applyFill="1" applyBorder="1"/>
    <xf numFmtId="165" fontId="90" fillId="0" borderId="0" xfId="31" applyNumberFormat="1" applyFont="1" applyFill="1" applyBorder="1"/>
    <xf numFmtId="165" fontId="90" fillId="3" borderId="0" xfId="31" applyNumberFormat="1" applyFont="1" applyFill="1" applyBorder="1"/>
    <xf numFmtId="165" fontId="91" fillId="0" borderId="0" xfId="31" applyNumberFormat="1" applyFont="1" applyFill="1" applyBorder="1"/>
    <xf numFmtId="165" fontId="91" fillId="0" borderId="11" xfId="31" applyNumberFormat="1" applyFont="1" applyFill="1" applyBorder="1"/>
    <xf numFmtId="165" fontId="91" fillId="0" borderId="12" xfId="4" applyNumberFormat="1" applyFont="1" applyFill="1" applyBorder="1"/>
    <xf numFmtId="165" fontId="91" fillId="0" borderId="0" xfId="4" applyNumberFormat="1" applyFont="1" applyFill="1" applyBorder="1"/>
    <xf numFmtId="165" fontId="91" fillId="0" borderId="0" xfId="4" applyNumberFormat="1" applyFont="1"/>
    <xf numFmtId="165" fontId="91" fillId="3" borderId="0" xfId="4" applyNumberFormat="1" applyFont="1" applyFill="1" applyBorder="1"/>
    <xf numFmtId="165" fontId="91" fillId="0" borderId="11" xfId="4" applyNumberFormat="1" applyFont="1" applyBorder="1"/>
    <xf numFmtId="166" fontId="90" fillId="0" borderId="12" xfId="27" applyNumberFormat="1" applyFont="1" applyFill="1" applyBorder="1"/>
    <xf numFmtId="166" fontId="91" fillId="0" borderId="12" xfId="27" applyNumberFormat="1" applyFont="1" applyFill="1" applyBorder="1"/>
    <xf numFmtId="166" fontId="90" fillId="0" borderId="0" xfId="27" applyNumberFormat="1" applyFont="1"/>
    <xf numFmtId="166" fontId="90" fillId="0" borderId="0" xfId="4" applyNumberFormat="1" applyFont="1" applyBorder="1"/>
    <xf numFmtId="166" fontId="91" fillId="0" borderId="0" xfId="4" applyNumberFormat="1" applyFont="1" applyBorder="1"/>
    <xf numFmtId="165" fontId="93" fillId="0" borderId="16" xfId="54" applyNumberFormat="1" applyFont="1" applyFill="1" applyBorder="1"/>
    <xf numFmtId="165" fontId="93" fillId="3" borderId="17" xfId="54" applyNumberFormat="1" applyFont="1" applyFill="1" applyBorder="1"/>
    <xf numFmtId="9" fontId="4" fillId="0" borderId="0" xfId="4" applyNumberFormat="1" applyFont="1" applyAlignment="1">
      <alignment horizontal="right"/>
    </xf>
    <xf numFmtId="165" fontId="94" fillId="3" borderId="0" xfId="54" applyNumberFormat="1" applyFont="1" applyFill="1" applyBorder="1"/>
    <xf numFmtId="174" fontId="7" fillId="4" borderId="12" xfId="4" applyNumberFormat="1" applyFont="1" applyFill="1" applyBorder="1"/>
    <xf numFmtId="174" fontId="7" fillId="4" borderId="11" xfId="4" applyNumberFormat="1" applyFont="1" applyFill="1" applyBorder="1"/>
    <xf numFmtId="169" fontId="90" fillId="0" borderId="0" xfId="60" applyNumberFormat="1" applyFont="1" applyFill="1" applyBorder="1"/>
    <xf numFmtId="169" fontId="90" fillId="0" borderId="0" xfId="60" applyNumberFormat="1" applyFont="1" applyBorder="1"/>
    <xf numFmtId="169" fontId="90" fillId="0" borderId="12" xfId="60" applyNumberFormat="1" applyFont="1" applyFill="1" applyBorder="1"/>
    <xf numFmtId="169" fontId="90" fillId="0" borderId="11" xfId="60" applyNumberFormat="1" applyFont="1" applyBorder="1"/>
    <xf numFmtId="166" fontId="90" fillId="3" borderId="3" xfId="54" applyNumberFormat="1" applyFont="1" applyFill="1" applyBorder="1" applyAlignment="1">
      <alignment horizontal="right"/>
    </xf>
    <xf numFmtId="166" fontId="90" fillId="0" borderId="0" xfId="54" applyNumberFormat="1" applyFont="1" applyFill="1" applyBorder="1" applyAlignment="1">
      <alignment horizontal="right"/>
    </xf>
    <xf numFmtId="166" fontId="90" fillId="3" borderId="3" xfId="27" applyNumberFormat="1" applyFont="1" applyFill="1" applyBorder="1" applyAlignment="1" applyProtection="1">
      <alignment horizontal="right"/>
    </xf>
    <xf numFmtId="166" fontId="90" fillId="0" borderId="0" xfId="27" applyNumberFormat="1" applyFont="1" applyFill="1" applyBorder="1" applyAlignment="1" applyProtection="1">
      <alignment horizontal="right"/>
    </xf>
    <xf numFmtId="166" fontId="90" fillId="3" borderId="0" xfId="54" applyNumberFormat="1" applyFont="1" applyFill="1" applyBorder="1" applyAlignment="1">
      <alignment horizontal="right"/>
    </xf>
    <xf numFmtId="166" fontId="90" fillId="3" borderId="0" xfId="27" applyNumberFormat="1" applyFont="1" applyFill="1" applyBorder="1" applyAlignment="1" applyProtection="1">
      <alignment horizontal="right"/>
    </xf>
    <xf numFmtId="166" fontId="90" fillId="0" borderId="3" xfId="54" applyNumberFormat="1" applyFont="1" applyFill="1" applyBorder="1" applyAlignment="1">
      <alignment horizontal="right"/>
    </xf>
    <xf numFmtId="166" fontId="90" fillId="0" borderId="3" xfId="27" applyNumberFormat="1" applyFont="1" applyFill="1" applyBorder="1" applyAlignment="1" applyProtection="1">
      <alignment horizontal="right"/>
    </xf>
    <xf numFmtId="165" fontId="90" fillId="3" borderId="3" xfId="79" applyNumberFormat="1" applyFont="1" applyFill="1" applyBorder="1" applyAlignment="1" applyProtection="1">
      <alignment horizontal="right"/>
    </xf>
    <xf numFmtId="165" fontId="90" fillId="3" borderId="0" xfId="79" applyNumberFormat="1" applyFont="1" applyFill="1" applyBorder="1" applyAlignment="1" applyProtection="1">
      <alignment horizontal="right"/>
    </xf>
    <xf numFmtId="165" fontId="89" fillId="3" borderId="3" xfId="79" applyNumberFormat="1" applyFont="1" applyFill="1" applyBorder="1" applyAlignment="1" applyProtection="1">
      <alignment horizontal="right"/>
    </xf>
    <xf numFmtId="165" fontId="89" fillId="3" borderId="0" xfId="79" applyNumberFormat="1" applyFont="1" applyFill="1" applyBorder="1" applyAlignment="1" applyProtection="1">
      <alignment horizontal="right"/>
    </xf>
    <xf numFmtId="165" fontId="89" fillId="3" borderId="12" xfId="79" applyNumberFormat="1" applyFont="1" applyFill="1" applyBorder="1" applyAlignment="1" applyProtection="1">
      <alignment horizontal="right"/>
    </xf>
    <xf numFmtId="165" fontId="94" fillId="0" borderId="3" xfId="54" applyNumberFormat="1" applyFont="1" applyFill="1" applyBorder="1"/>
    <xf numFmtId="165" fontId="94" fillId="0" borderId="12" xfId="54" applyNumberFormat="1" applyFont="1" applyFill="1" applyBorder="1"/>
    <xf numFmtId="165" fontId="94" fillId="0" borderId="0" xfId="54" applyNumberFormat="1" applyFont="1" applyBorder="1"/>
    <xf numFmtId="165" fontId="94" fillId="0" borderId="11" xfId="54" applyNumberFormat="1" applyFont="1" applyBorder="1"/>
    <xf numFmtId="166" fontId="89" fillId="0" borderId="11" xfId="4" applyNumberFormat="1" applyFont="1" applyBorder="1"/>
    <xf numFmtId="186" fontId="9" fillId="0" borderId="13" xfId="27" applyNumberFormat="1" applyFont="1" applyBorder="1"/>
    <xf numFmtId="7" fontId="9" fillId="0" borderId="12" xfId="27" applyNumberFormat="1" applyFont="1" applyBorder="1"/>
    <xf numFmtId="172" fontId="9" fillId="0" borderId="15" xfId="27" applyNumberFormat="1" applyFont="1" applyBorder="1"/>
    <xf numFmtId="9" fontId="4" fillId="3" borderId="0" xfId="60" applyNumberFormat="1" applyFont="1" applyFill="1"/>
    <xf numFmtId="37" fontId="4" fillId="3" borderId="0" xfId="60" applyNumberFormat="1" applyFont="1" applyFill="1"/>
    <xf numFmtId="1" fontId="95" fillId="0" borderId="0" xfId="0" applyNumberFormat="1" applyFont="1"/>
    <xf numFmtId="169" fontId="96" fillId="6" borderId="0" xfId="60" applyNumberFormat="1" applyFont="1" applyFill="1" applyBorder="1"/>
    <xf numFmtId="169" fontId="96" fillId="6" borderId="12" xfId="60" applyNumberFormat="1" applyFont="1" applyFill="1" applyBorder="1"/>
    <xf numFmtId="169" fontId="4" fillId="0" borderId="12" xfId="60" applyNumberFormat="1" applyFont="1" applyBorder="1" applyAlignment="1"/>
    <xf numFmtId="10" fontId="96" fillId="6" borderId="0" xfId="60" applyNumberFormat="1" applyFont="1" applyFill="1" applyBorder="1"/>
    <xf numFmtId="10" fontId="96" fillId="6" borderId="12" xfId="60" applyNumberFormat="1" applyFont="1" applyFill="1" applyBorder="1"/>
    <xf numFmtId="10" fontId="4" fillId="3" borderId="0" xfId="60" applyNumberFormat="1" applyFont="1" applyFill="1" applyBorder="1"/>
    <xf numFmtId="10" fontId="4" fillId="0" borderId="12" xfId="4" applyNumberFormat="1" applyFont="1" applyBorder="1"/>
    <xf numFmtId="10" fontId="4" fillId="3" borderId="12" xfId="60" applyNumberFormat="1" applyFont="1" applyFill="1" applyBorder="1"/>
    <xf numFmtId="0" fontId="95" fillId="0" borderId="0" xfId="0" applyFont="1" applyAlignment="1">
      <alignment horizontal="centerContinuous"/>
    </xf>
    <xf numFmtId="167" fontId="4" fillId="0" borderId="7" xfId="4" applyNumberFormat="1" applyFont="1" applyFill="1" applyBorder="1" applyAlignment="1">
      <alignment horizontal="right"/>
    </xf>
    <xf numFmtId="167" fontId="4" fillId="0" borderId="6" xfId="4" applyNumberFormat="1" applyFont="1" applyFill="1" applyBorder="1" applyAlignment="1">
      <alignment horizontal="right"/>
    </xf>
    <xf numFmtId="167" fontId="4" fillId="0" borderId="4" xfId="4" applyNumberFormat="1" applyFont="1" applyFill="1" applyBorder="1" applyAlignment="1">
      <alignment horizontal="right"/>
    </xf>
    <xf numFmtId="169" fontId="4" fillId="0" borderId="0" xfId="4" applyNumberFormat="1" applyFont="1" applyAlignment="1"/>
    <xf numFmtId="169" fontId="96" fillId="6" borderId="0" xfId="60" applyNumberFormat="1" applyFont="1" applyFill="1"/>
    <xf numFmtId="169" fontId="96" fillId="6" borderId="11" xfId="60" applyNumberFormat="1" applyFont="1" applyFill="1" applyBorder="1"/>
    <xf numFmtId="166" fontId="3" fillId="0" borderId="5" xfId="79" applyNumberFormat="1" applyFont="1" applyFill="1" applyBorder="1" applyAlignment="1">
      <alignment horizontal="centerContinuous"/>
    </xf>
    <xf numFmtId="169" fontId="9" fillId="0" borderId="13" xfId="27" applyNumberFormat="1" applyFont="1" applyFill="1" applyBorder="1" applyAlignment="1">
      <alignment horizontal="centerContinuous"/>
    </xf>
    <xf numFmtId="7" fontId="99" fillId="0" borderId="0" xfId="27" applyNumberFormat="1" applyFont="1" applyBorder="1" applyAlignment="1">
      <alignment horizontal="center"/>
    </xf>
    <xf numFmtId="174" fontId="100" fillId="0" borderId="12" xfId="4" applyNumberFormat="1" applyFont="1" applyBorder="1" applyAlignment="1"/>
    <xf numFmtId="174" fontId="100" fillId="0" borderId="0" xfId="4" applyNumberFormat="1" applyFont="1" applyAlignment="1"/>
    <xf numFmtId="174" fontId="100" fillId="0" borderId="0" xfId="27" applyNumberFormat="1" applyFont="1" applyAlignment="1"/>
    <xf numFmtId="174" fontId="100" fillId="0" borderId="0" xfId="27" applyNumberFormat="1" applyFont="1" applyBorder="1" applyAlignment="1"/>
    <xf numFmtId="174" fontId="100" fillId="0" borderId="0" xfId="4" applyNumberFormat="1" applyFont="1" applyFill="1" applyAlignment="1"/>
    <xf numFmtId="174" fontId="100" fillId="3" borderId="0" xfId="4" applyNumberFormat="1" applyFont="1" applyFill="1" applyAlignment="1"/>
    <xf numFmtId="174" fontId="100" fillId="3" borderId="0" xfId="4" applyNumberFormat="1" applyFont="1" applyFill="1"/>
    <xf numFmtId="174" fontId="100" fillId="0" borderId="0" xfId="4" applyNumberFormat="1" applyFont="1"/>
    <xf numFmtId="174" fontId="102" fillId="0" borderId="0" xfId="27" applyNumberFormat="1" applyFont="1"/>
    <xf numFmtId="174" fontId="102" fillId="3" borderId="0" xfId="27" applyNumberFormat="1" applyFont="1" applyFill="1"/>
    <xf numFmtId="174" fontId="96" fillId="0" borderId="0" xfId="5" applyNumberFormat="1" applyFont="1" applyBorder="1" applyAlignment="1"/>
    <xf numFmtId="174" fontId="100" fillId="3" borderId="0" xfId="26" applyNumberFormat="1" applyFont="1" applyFill="1"/>
    <xf numFmtId="174" fontId="96" fillId="3" borderId="0" xfId="26" applyNumberFormat="1" applyFont="1" applyFill="1"/>
    <xf numFmtId="9" fontId="103" fillId="0" borderId="0" xfId="27" applyNumberFormat="1" applyFont="1" applyBorder="1"/>
    <xf numFmtId="174" fontId="96" fillId="3" borderId="0" xfId="4" applyNumberFormat="1" applyFont="1" applyFill="1"/>
    <xf numFmtId="174" fontId="96" fillId="0" borderId="0" xfId="4" applyNumberFormat="1" applyFont="1"/>
    <xf numFmtId="174" fontId="96" fillId="0" borderId="0" xfId="4" applyNumberFormat="1" applyFont="1" applyFill="1"/>
    <xf numFmtId="37" fontId="4" fillId="0" borderId="0" xfId="60" applyNumberFormat="1" applyFont="1"/>
    <xf numFmtId="0" fontId="96" fillId="3" borderId="0" xfId="4" applyFont="1" applyFill="1" applyAlignment="1">
      <alignment horizontal="right"/>
    </xf>
    <xf numFmtId="0" fontId="96" fillId="0" borderId="0" xfId="4" applyFont="1" applyAlignment="1">
      <alignment horizontal="right"/>
    </xf>
    <xf numFmtId="0" fontId="96" fillId="3" borderId="11" xfId="4" applyFont="1" applyFill="1" applyBorder="1" applyAlignment="1">
      <alignment horizontal="right"/>
    </xf>
    <xf numFmtId="0" fontId="96" fillId="0" borderId="11" xfId="4" applyFont="1" applyFill="1" applyBorder="1" applyAlignment="1">
      <alignment horizontal="right"/>
    </xf>
    <xf numFmtId="0" fontId="96" fillId="0" borderId="11" xfId="4" applyFont="1" applyBorder="1" applyAlignment="1">
      <alignment horizontal="right"/>
    </xf>
    <xf numFmtId="174" fontId="96" fillId="0" borderId="0" xfId="4" applyNumberFormat="1" applyFont="1" applyBorder="1"/>
    <xf numFmtId="174" fontId="96" fillId="0" borderId="0" xfId="4" applyNumberFormat="1" applyFont="1" applyFill="1" applyBorder="1"/>
    <xf numFmtId="174" fontId="96" fillId="3" borderId="3" xfId="27" applyNumberFormat="1" applyFont="1" applyFill="1" applyBorder="1"/>
    <xf numFmtId="174" fontId="96" fillId="0" borderId="0" xfId="27" applyNumberFormat="1" applyFont="1"/>
    <xf numFmtId="174" fontId="96" fillId="3" borderId="0" xfId="27" applyNumberFormat="1" applyFont="1" applyFill="1" applyAlignment="1">
      <alignment horizontal="right"/>
    </xf>
    <xf numFmtId="174" fontId="96" fillId="3" borderId="11" xfId="27" applyNumberFormat="1" applyFont="1" applyFill="1" applyBorder="1"/>
    <xf numFmtId="174" fontId="96" fillId="0" borderId="0" xfId="27" quotePrefix="1" applyNumberFormat="1" applyFont="1" applyAlignment="1">
      <alignment horizontal="right"/>
    </xf>
    <xf numFmtId="174" fontId="96" fillId="0" borderId="0" xfId="27" applyNumberFormat="1" applyFont="1" applyAlignment="1">
      <alignment horizontal="right"/>
    </xf>
    <xf numFmtId="174" fontId="96" fillId="0" borderId="11" xfId="27" applyNumberFormat="1" applyFont="1" applyBorder="1"/>
    <xf numFmtId="0" fontId="96" fillId="3" borderId="0" xfId="4" applyFont="1" applyFill="1" applyBorder="1" applyAlignment="1">
      <alignment horizontal="right"/>
    </xf>
    <xf numFmtId="174" fontId="96" fillId="0" borderId="12" xfId="4" applyNumberFormat="1" applyFont="1" applyBorder="1"/>
    <xf numFmtId="174" fontId="103" fillId="0" borderId="0" xfId="4" applyNumberFormat="1" applyFont="1"/>
    <xf numFmtId="174" fontId="103" fillId="0" borderId="0" xfId="4" applyNumberFormat="1" applyFont="1" applyFill="1" applyBorder="1"/>
    <xf numFmtId="174" fontId="103" fillId="0" borderId="12" xfId="4" applyNumberFormat="1" applyFont="1" applyBorder="1"/>
    <xf numFmtId="174" fontId="103" fillId="0" borderId="11" xfId="4" applyNumberFormat="1" applyFont="1" applyBorder="1"/>
    <xf numFmtId="174" fontId="96" fillId="3" borderId="0" xfId="27" applyNumberFormat="1" applyFont="1" applyFill="1"/>
    <xf numFmtId="1" fontId="96" fillId="0" borderId="0" xfId="4" applyNumberFormat="1" applyFont="1" applyBorder="1"/>
    <xf numFmtId="0" fontId="104" fillId="0" borderId="0" xfId="4" applyFont="1"/>
    <xf numFmtId="0" fontId="104" fillId="3" borderId="0" xfId="4" applyFont="1" applyFill="1"/>
    <xf numFmtId="174" fontId="4" fillId="3" borderId="0" xfId="4" applyNumberFormat="1" applyFont="1" applyFill="1" applyBorder="1" applyAlignment="1">
      <alignment horizontal="left"/>
    </xf>
    <xf numFmtId="0" fontId="95" fillId="0" borderId="0" xfId="0" applyFont="1"/>
    <xf numFmtId="0" fontId="95" fillId="0" borderId="12" xfId="0" applyFont="1" applyBorder="1"/>
    <xf numFmtId="37" fontId="96" fillId="0" borderId="12" xfId="0" applyNumberFormat="1" applyFont="1" applyBorder="1"/>
    <xf numFmtId="37" fontId="96" fillId="3" borderId="0" xfId="60" applyNumberFormat="1" applyFont="1" applyFill="1"/>
    <xf numFmtId="37" fontId="96" fillId="0" borderId="0" xfId="0" applyNumberFormat="1" applyFont="1"/>
    <xf numFmtId="174" fontId="101" fillId="0" borderId="0" xfId="4" applyNumberFormat="1" applyFont="1" applyAlignment="1"/>
    <xf numFmtId="174" fontId="101" fillId="0" borderId="11" xfId="4" applyNumberFormat="1" applyFont="1" applyBorder="1" applyAlignment="1"/>
    <xf numFmtId="165" fontId="105" fillId="3" borderId="3" xfId="79" applyNumberFormat="1" applyFont="1" applyFill="1" applyBorder="1" applyAlignment="1" applyProtection="1">
      <alignment horizontal="right"/>
    </xf>
    <xf numFmtId="165" fontId="105" fillId="3" borderId="0" xfId="79" applyNumberFormat="1" applyFont="1" applyFill="1" applyBorder="1" applyAlignment="1" applyProtection="1">
      <alignment horizontal="right"/>
    </xf>
    <xf numFmtId="7" fontId="105" fillId="3" borderId="0" xfId="79" applyNumberFormat="1" applyFont="1" applyFill="1" applyBorder="1" applyAlignment="1" applyProtection="1">
      <alignment horizontal="right"/>
    </xf>
    <xf numFmtId="39" fontId="4" fillId="0" borderId="0" xfId="44" applyNumberFormat="1" applyFont="1"/>
    <xf numFmtId="172" fontId="96" fillId="0" borderId="0" xfId="27" applyNumberFormat="1" applyFont="1" applyFill="1" applyBorder="1"/>
    <xf numFmtId="172" fontId="103" fillId="0" borderId="0" xfId="27" applyNumberFormat="1" applyFont="1" applyFill="1" applyBorder="1"/>
    <xf numFmtId="172" fontId="96" fillId="3" borderId="0" xfId="27" applyNumberFormat="1" applyFont="1" applyFill="1" applyBorder="1"/>
    <xf numFmtId="0" fontId="96" fillId="0" borderId="12" xfId="4" applyFont="1" applyBorder="1"/>
    <xf numFmtId="174" fontId="100" fillId="0" borderId="0" xfId="27" applyNumberFormat="1" applyFont="1" applyFill="1" applyBorder="1"/>
    <xf numFmtId="174" fontId="100" fillId="3" borderId="0" xfId="27" applyNumberFormat="1" applyFont="1" applyFill="1" applyBorder="1"/>
    <xf numFmtId="174" fontId="100" fillId="0" borderId="12" xfId="4" applyNumberFormat="1" applyFont="1" applyFill="1" applyBorder="1"/>
    <xf numFmtId="174" fontId="101" fillId="0" borderId="0" xfId="27" applyNumberFormat="1" applyFont="1" applyFill="1" applyBorder="1"/>
    <xf numFmtId="174" fontId="101" fillId="0" borderId="12" xfId="27" applyNumberFormat="1" applyFont="1" applyFill="1" applyBorder="1"/>
    <xf numFmtId="174" fontId="100" fillId="0" borderId="0" xfId="4" applyNumberFormat="1" applyFont="1" applyFill="1"/>
    <xf numFmtId="174" fontId="100" fillId="0" borderId="11" xfId="4" applyNumberFormat="1" applyFont="1" applyFill="1" applyBorder="1"/>
    <xf numFmtId="197" fontId="4" fillId="0" borderId="0" xfId="4" applyNumberFormat="1" applyFont="1" applyAlignment="1">
      <alignment horizontal="right"/>
    </xf>
    <xf numFmtId="197" fontId="4" fillId="0" borderId="11" xfId="4" applyNumberFormat="1" applyFont="1" applyBorder="1" applyAlignment="1">
      <alignment horizontal="right"/>
    </xf>
    <xf numFmtId="197" fontId="100" fillId="0" borderId="12" xfId="4" applyNumberFormat="1" applyFont="1" applyBorder="1" applyAlignment="1">
      <alignment horizontal="right"/>
    </xf>
    <xf numFmtId="197" fontId="100" fillId="0" borderId="0" xfId="4" applyNumberFormat="1" applyFont="1" applyAlignment="1">
      <alignment horizontal="right"/>
    </xf>
    <xf numFmtId="197" fontId="100" fillId="0" borderId="0" xfId="27" applyNumberFormat="1" applyFont="1" applyAlignment="1">
      <alignment horizontal="right"/>
    </xf>
    <xf numFmtId="197" fontId="7" fillId="0" borderId="12" xfId="4" applyNumberFormat="1" applyFont="1" applyBorder="1" applyAlignment="1">
      <alignment horizontal="right"/>
    </xf>
    <xf numFmtId="197" fontId="7" fillId="0" borderId="0" xfId="4" applyNumberFormat="1" applyFont="1" applyAlignment="1">
      <alignment horizontal="right"/>
    </xf>
    <xf numFmtId="197" fontId="7" fillId="0" borderId="0" xfId="27" applyNumberFormat="1" applyFont="1" applyAlignment="1">
      <alignment horizontal="right"/>
    </xf>
    <xf numFmtId="174" fontId="96" fillId="0" borderId="0" xfId="27" applyNumberFormat="1" applyFont="1" applyBorder="1"/>
    <xf numFmtId="174" fontId="96" fillId="0" borderId="3" xfId="27" applyNumberFormat="1" applyFont="1" applyBorder="1"/>
    <xf numFmtId="9" fontId="106" fillId="0" borderId="12" xfId="60" applyFont="1" applyBorder="1"/>
    <xf numFmtId="0" fontId="96" fillId="0" borderId="3" xfId="4" applyFont="1" applyBorder="1" applyAlignment="1">
      <alignment horizontal="right"/>
    </xf>
    <xf numFmtId="0" fontId="96" fillId="0" borderId="0" xfId="4" applyFont="1" applyBorder="1" applyAlignment="1">
      <alignment horizontal="right"/>
    </xf>
    <xf numFmtId="174" fontId="25" fillId="0" borderId="11" xfId="4" applyNumberFormat="1" applyFont="1" applyBorder="1"/>
    <xf numFmtId="174" fontId="40" fillId="0" borderId="0" xfId="4" applyNumberFormat="1" applyFont="1"/>
    <xf numFmtId="174" fontId="40" fillId="3" borderId="0" xfId="4" applyNumberFormat="1" applyFont="1" applyFill="1"/>
    <xf numFmtId="169" fontId="109" fillId="0" borderId="0" xfId="0" applyNumberFormat="1" applyFont="1"/>
    <xf numFmtId="0" fontId="112" fillId="0" borderId="0" xfId="0" applyFont="1"/>
    <xf numFmtId="174" fontId="110" fillId="3" borderId="0" xfId="4" applyNumberFormat="1" applyFont="1" applyFill="1"/>
    <xf numFmtId="169" fontId="110" fillId="3" borderId="0" xfId="60" applyNumberFormat="1" applyFont="1" applyFill="1"/>
    <xf numFmtId="174" fontId="110" fillId="0" borderId="0" xfId="4" applyNumberFormat="1" applyFont="1" applyBorder="1" applyAlignment="1">
      <alignment horizontal="right"/>
    </xf>
    <xf numFmtId="174" fontId="110" fillId="3" borderId="0" xfId="4" applyNumberFormat="1" applyFont="1" applyFill="1" applyBorder="1" applyAlignment="1">
      <alignment horizontal="right"/>
    </xf>
    <xf numFmtId="174" fontId="110" fillId="3" borderId="0" xfId="26" applyNumberFormat="1" applyFont="1" applyFill="1" applyBorder="1" applyAlignment="1">
      <alignment horizontal="right"/>
    </xf>
    <xf numFmtId="174" fontId="110" fillId="0" borderId="0" xfId="26" applyNumberFormat="1" applyFont="1" applyBorder="1" applyAlignment="1">
      <alignment horizontal="right"/>
    </xf>
    <xf numFmtId="169" fontId="113" fillId="0" borderId="17" xfId="27" applyNumberFormat="1" applyFont="1" applyBorder="1"/>
    <xf numFmtId="9" fontId="4" fillId="0" borderId="11" xfId="60" applyFont="1" applyBorder="1"/>
    <xf numFmtId="9" fontId="110" fillId="0" borderId="0" xfId="4" applyNumberFormat="1" applyFont="1" applyBorder="1" applyAlignment="1">
      <alignment horizontal="right"/>
    </xf>
    <xf numFmtId="9" fontId="110" fillId="3" borderId="0" xfId="4" applyNumberFormat="1" applyFont="1" applyFill="1" applyBorder="1" applyAlignment="1">
      <alignment horizontal="right"/>
    </xf>
    <xf numFmtId="0" fontId="110" fillId="3" borderId="0" xfId="4" applyFont="1" applyFill="1" applyBorder="1" applyAlignment="1">
      <alignment horizontal="right"/>
    </xf>
    <xf numFmtId="0" fontId="110" fillId="0" borderId="0" xfId="4" applyFont="1" applyBorder="1" applyAlignment="1">
      <alignment horizontal="right"/>
    </xf>
    <xf numFmtId="174" fontId="111" fillId="0" borderId="0" xfId="4" applyNumberFormat="1" applyFont="1"/>
    <xf numFmtId="174" fontId="111" fillId="3" borderId="0" xfId="4" applyNumberFormat="1" applyFont="1" applyFill="1"/>
    <xf numFmtId="169" fontId="110" fillId="3" borderId="3" xfId="60" applyNumberFormat="1" applyFont="1" applyFill="1" applyBorder="1"/>
    <xf numFmtId="169" fontId="110" fillId="3" borderId="11" xfId="60" applyNumberFormat="1" applyFont="1" applyFill="1" applyBorder="1"/>
    <xf numFmtId="0" fontId="110" fillId="0" borderId="0" xfId="4" applyFont="1" applyAlignment="1">
      <alignment horizontal="right"/>
    </xf>
    <xf numFmtId="0" fontId="110" fillId="3" borderId="0" xfId="4" applyFont="1" applyFill="1" applyAlignment="1">
      <alignment horizontal="right"/>
    </xf>
    <xf numFmtId="0" fontId="110" fillId="3" borderId="11" xfId="4" applyFont="1" applyFill="1" applyBorder="1" applyAlignment="1">
      <alignment horizontal="right"/>
    </xf>
    <xf numFmtId="174" fontId="110" fillId="3" borderId="0" xfId="4" applyNumberFormat="1" applyFont="1" applyFill="1" applyAlignment="1">
      <alignment horizontal="right"/>
    </xf>
    <xf numFmtId="174" fontId="110" fillId="0" borderId="0" xfId="4" applyNumberFormat="1" applyFont="1"/>
    <xf numFmtId="0" fontId="110" fillId="0" borderId="11" xfId="4" applyFont="1" applyFill="1" applyBorder="1" applyAlignment="1">
      <alignment horizontal="right"/>
    </xf>
    <xf numFmtId="174" fontId="110" fillId="0" borderId="0" xfId="4" applyNumberFormat="1" applyFont="1" applyFill="1" applyBorder="1" applyAlignment="1">
      <alignment horizontal="right"/>
    </xf>
    <xf numFmtId="165" fontId="115" fillId="0" borderId="0" xfId="27" applyNumberFormat="1" applyFont="1" applyFill="1" applyBorder="1"/>
    <xf numFmtId="165" fontId="116" fillId="0" borderId="0" xfId="27" applyNumberFormat="1" applyFont="1" applyFill="1" applyBorder="1"/>
    <xf numFmtId="165" fontId="115" fillId="0" borderId="12" xfId="27" applyNumberFormat="1" applyFont="1" applyFill="1" applyBorder="1"/>
    <xf numFmtId="165" fontId="116" fillId="0" borderId="12" xfId="27" applyNumberFormat="1" applyFont="1" applyFill="1" applyBorder="1"/>
    <xf numFmtId="165" fontId="116" fillId="0" borderId="11" xfId="27" applyNumberFormat="1" applyFont="1" applyFill="1" applyBorder="1"/>
    <xf numFmtId="166" fontId="118" fillId="0" borderId="0" xfId="4" applyNumberFormat="1" applyFont="1" applyFill="1" applyBorder="1"/>
    <xf numFmtId="166" fontId="118" fillId="0" borderId="12" xfId="4" applyNumberFormat="1" applyFont="1" applyFill="1" applyBorder="1"/>
    <xf numFmtId="166" fontId="118" fillId="0" borderId="17" xfId="4" applyNumberFormat="1" applyFont="1" applyFill="1" applyBorder="1"/>
    <xf numFmtId="166" fontId="118" fillId="0" borderId="15" xfId="4" applyNumberFormat="1" applyFont="1" applyFill="1" applyBorder="1"/>
    <xf numFmtId="166" fontId="118" fillId="0" borderId="18" xfId="4" applyNumberFormat="1" applyFont="1" applyFill="1" applyBorder="1"/>
    <xf numFmtId="166" fontId="118" fillId="0" borderId="0" xfId="4" applyNumberFormat="1" applyFont="1" applyFill="1"/>
    <xf numFmtId="166" fontId="117" fillId="3" borderId="0" xfId="4" applyNumberFormat="1" applyFont="1" applyFill="1" applyBorder="1"/>
    <xf numFmtId="166" fontId="117" fillId="3" borderId="0" xfId="4" applyNumberFormat="1" applyFont="1" applyFill="1"/>
    <xf numFmtId="166" fontId="117" fillId="3" borderId="12" xfId="4" applyNumberFormat="1" applyFont="1" applyFill="1" applyBorder="1"/>
    <xf numFmtId="165" fontId="115" fillId="0" borderId="0" xfId="27" applyNumberFormat="1" applyFont="1" applyFill="1"/>
    <xf numFmtId="165" fontId="115" fillId="3" borderId="0" xfId="27" applyNumberFormat="1" applyFont="1" applyFill="1" applyBorder="1"/>
    <xf numFmtId="165" fontId="118" fillId="0" borderId="0" xfId="4" applyNumberFormat="1" applyFont="1" applyFill="1" applyBorder="1"/>
    <xf numFmtId="165" fontId="117" fillId="0" borderId="12" xfId="4" applyNumberFormat="1" applyFont="1" applyFill="1" applyBorder="1"/>
    <xf numFmtId="165" fontId="118" fillId="0" borderId="12" xfId="4" applyNumberFormat="1" applyFont="1" applyFill="1" applyBorder="1"/>
    <xf numFmtId="165" fontId="118" fillId="0" borderId="0" xfId="4" applyNumberFormat="1" applyFont="1" applyFill="1"/>
    <xf numFmtId="165" fontId="118" fillId="0" borderId="0" xfId="4" applyNumberFormat="1" applyFont="1"/>
    <xf numFmtId="165" fontId="118" fillId="0" borderId="12" xfId="4" applyNumberFormat="1" applyFont="1" applyBorder="1"/>
    <xf numFmtId="165" fontId="118" fillId="0" borderId="11" xfId="4" applyNumberFormat="1" applyFont="1" applyBorder="1"/>
    <xf numFmtId="166" fontId="118" fillId="0" borderId="0" xfId="4" applyNumberFormat="1" applyFont="1"/>
    <xf numFmtId="166" fontId="118" fillId="0" borderId="12" xfId="79" applyNumberFormat="1" applyFont="1" applyFill="1" applyBorder="1" applyAlignment="1"/>
    <xf numFmtId="166" fontId="118" fillId="3" borderId="12" xfId="79" applyNumberFormat="1" applyFont="1" applyFill="1" applyBorder="1" applyAlignment="1"/>
    <xf numFmtId="174" fontId="118" fillId="0" borderId="12" xfId="27" applyNumberFormat="1" applyFont="1" applyFill="1" applyBorder="1"/>
    <xf numFmtId="174" fontId="118" fillId="0" borderId="3" xfId="27" applyNumberFormat="1" applyFont="1" applyFill="1" applyBorder="1"/>
    <xf numFmtId="174" fontId="118" fillId="0" borderId="0" xfId="27" applyNumberFormat="1" applyFont="1" applyFill="1" applyBorder="1"/>
    <xf numFmtId="174" fontId="118" fillId="0" borderId="11" xfId="27" applyNumberFormat="1" applyFont="1" applyFill="1" applyBorder="1"/>
    <xf numFmtId="43" fontId="118" fillId="0" borderId="0" xfId="27" applyFont="1" applyFill="1" applyBorder="1"/>
    <xf numFmtId="172" fontId="117" fillId="3" borderId="0" xfId="27" applyNumberFormat="1" applyFont="1" applyFill="1" applyBorder="1"/>
    <xf numFmtId="166" fontId="118" fillId="0" borderId="0" xfId="4" applyNumberFormat="1" applyFont="1" applyFill="1" applyAlignment="1">
      <alignment horizontal="right"/>
    </xf>
    <xf numFmtId="0" fontId="109" fillId="0" borderId="16" xfId="0" applyFont="1" applyBorder="1"/>
    <xf numFmtId="0" fontId="97" fillId="13" borderId="12" xfId="0" applyFont="1" applyFill="1" applyBorder="1" applyAlignment="1">
      <alignment horizontal="centerContinuous"/>
    </xf>
    <xf numFmtId="172" fontId="9" fillId="13" borderId="12" xfId="27" applyNumberFormat="1" applyFont="1" applyFill="1" applyBorder="1" applyAlignment="1">
      <alignment horizontal="centerContinuous"/>
    </xf>
    <xf numFmtId="172" fontId="9" fillId="13" borderId="15" xfId="27" applyNumberFormat="1" applyFont="1" applyFill="1" applyBorder="1" applyAlignment="1">
      <alignment horizontal="centerContinuous"/>
    </xf>
    <xf numFmtId="172" fontId="3" fillId="13" borderId="12" xfId="27" applyNumberFormat="1" applyFont="1" applyFill="1" applyBorder="1" applyAlignment="1">
      <alignment horizontal="centerContinuous"/>
    </xf>
    <xf numFmtId="0" fontId="7" fillId="13" borderId="0" xfId="4" applyFont="1" applyFill="1" applyBorder="1" applyAlignment="1">
      <alignment horizontal="left"/>
    </xf>
    <xf numFmtId="172" fontId="3" fillId="13" borderId="0" xfId="4" applyNumberFormat="1" applyFont="1" applyFill="1"/>
    <xf numFmtId="174" fontId="111" fillId="0" borderId="0" xfId="4" applyNumberFormat="1" applyFont="1" applyFill="1" applyAlignment="1"/>
    <xf numFmtId="174" fontId="38" fillId="13" borderId="0" xfId="27" applyNumberFormat="1" applyFont="1" applyFill="1" applyBorder="1"/>
    <xf numFmtId="169" fontId="10" fillId="13" borderId="17" xfId="27" applyNumberFormat="1" applyFont="1" applyFill="1" applyBorder="1"/>
    <xf numFmtId="174" fontId="102" fillId="0" borderId="0" xfId="27" applyNumberFormat="1" applyFont="1" applyFill="1"/>
    <xf numFmtId="174" fontId="100" fillId="0" borderId="0" xfId="26" applyNumberFormat="1" applyFont="1" applyFill="1"/>
    <xf numFmtId="174" fontId="110" fillId="0" borderId="0" xfId="26" applyNumberFormat="1" applyFont="1" applyFill="1"/>
    <xf numFmtId="174" fontId="110" fillId="0" borderId="0" xfId="4" applyNumberFormat="1" applyFont="1" applyFill="1"/>
    <xf numFmtId="174" fontId="110" fillId="0" borderId="0" xfId="4" applyNumberFormat="1" applyFont="1" applyFill="1" applyAlignment="1">
      <alignment horizontal="right"/>
    </xf>
    <xf numFmtId="165" fontId="117" fillId="0" borderId="0" xfId="4" applyNumberFormat="1" applyFont="1" applyFill="1" applyBorder="1"/>
    <xf numFmtId="166" fontId="117" fillId="0" borderId="0" xfId="4" applyNumberFormat="1" applyFont="1" applyFill="1" applyBorder="1"/>
    <xf numFmtId="166" fontId="90" fillId="13" borderId="0" xfId="4" applyNumberFormat="1" applyFont="1" applyFill="1" applyBorder="1"/>
    <xf numFmtId="166" fontId="12" fillId="13" borderId="0" xfId="4" applyNumberFormat="1" applyFont="1" applyFill="1" applyBorder="1"/>
    <xf numFmtId="166" fontId="117" fillId="0" borderId="0" xfId="54" applyNumberFormat="1" applyFont="1" applyFill="1" applyBorder="1" applyAlignment="1">
      <alignment horizontal="right"/>
    </xf>
    <xf numFmtId="166" fontId="117" fillId="0" borderId="0" xfId="27" applyNumberFormat="1" applyFont="1" applyFill="1" applyBorder="1" applyAlignment="1" applyProtection="1">
      <alignment horizontal="right"/>
    </xf>
    <xf numFmtId="165" fontId="117" fillId="0" borderId="0" xfId="79" applyNumberFormat="1" applyFont="1" applyFill="1" applyBorder="1" applyAlignment="1" applyProtection="1">
      <alignment horizontal="right"/>
    </xf>
    <xf numFmtId="174" fontId="110" fillId="13" borderId="0" xfId="26" applyNumberFormat="1" applyFont="1" applyFill="1" applyBorder="1" applyAlignment="1">
      <alignment horizontal="right"/>
    </xf>
    <xf numFmtId="9" fontId="110" fillId="0" borderId="0" xfId="4" applyNumberFormat="1" applyFont="1" applyFill="1" applyBorder="1" applyAlignment="1">
      <alignment horizontal="right"/>
    </xf>
    <xf numFmtId="174" fontId="111" fillId="0" borderId="0" xfId="4" applyNumberFormat="1" applyFont="1" applyFill="1"/>
    <xf numFmtId="169" fontId="110" fillId="0" borderId="0" xfId="60" applyNumberFormat="1" applyFont="1" applyFill="1"/>
    <xf numFmtId="174" fontId="96" fillId="0" borderId="0" xfId="27" applyNumberFormat="1" applyFont="1" applyFill="1" applyAlignment="1">
      <alignment horizontal="right"/>
    </xf>
    <xf numFmtId="174" fontId="96" fillId="0" borderId="0" xfId="27" applyNumberFormat="1" applyFont="1" applyFill="1"/>
    <xf numFmtId="174" fontId="110" fillId="3" borderId="0" xfId="5" applyNumberFormat="1" applyFont="1" applyFill="1"/>
    <xf numFmtId="0" fontId="110" fillId="0" borderId="0" xfId="4" applyFont="1" applyFill="1" applyAlignment="1">
      <alignment horizontal="right"/>
    </xf>
    <xf numFmtId="174" fontId="110" fillId="0" borderId="0" xfId="26" applyNumberFormat="1" applyFont="1" applyFill="1" applyBorder="1" applyAlignment="1">
      <alignment horizontal="right"/>
    </xf>
    <xf numFmtId="174" fontId="110" fillId="0" borderId="0" xfId="26" applyNumberFormat="1" applyFont="1"/>
    <xf numFmtId="174" fontId="110" fillId="0" borderId="0" xfId="27" applyNumberFormat="1" applyFont="1"/>
    <xf numFmtId="37" fontId="96" fillId="0" borderId="0" xfId="60" applyNumberFormat="1" applyFont="1" applyFill="1"/>
    <xf numFmtId="165" fontId="110" fillId="0" borderId="0" xfId="54" applyNumberFormat="1" applyFont="1" applyFill="1" applyBorder="1"/>
    <xf numFmtId="165" fontId="117" fillId="0" borderId="0" xfId="31" applyNumberFormat="1" applyFont="1" applyFill="1" applyBorder="1"/>
    <xf numFmtId="166" fontId="117" fillId="0" borderId="0" xfId="4" applyNumberFormat="1" applyFont="1" applyBorder="1"/>
    <xf numFmtId="8" fontId="117" fillId="0" borderId="0" xfId="4" applyNumberFormat="1" applyFont="1" applyFill="1" applyBorder="1"/>
    <xf numFmtId="37" fontId="109" fillId="0" borderId="0" xfId="0" applyNumberFormat="1" applyFont="1"/>
    <xf numFmtId="37" fontId="4" fillId="0" borderId="12" xfId="27" applyNumberFormat="1" applyFont="1" applyBorder="1"/>
    <xf numFmtId="10" fontId="4" fillId="0" borderId="0" xfId="27" applyNumberFormat="1" applyFont="1"/>
    <xf numFmtId="169" fontId="110" fillId="6" borderId="0" xfId="60" applyNumberFormat="1" applyFont="1" applyFill="1"/>
    <xf numFmtId="0" fontId="9" fillId="0" borderId="0" xfId="0" applyFont="1" applyBorder="1" applyAlignment="1"/>
    <xf numFmtId="172" fontId="117" fillId="0" borderId="0" xfId="27" applyNumberFormat="1" applyFont="1" applyFill="1" applyBorder="1"/>
    <xf numFmtId="0" fontId="7" fillId="3" borderId="0" xfId="0" applyFont="1" applyFill="1" applyBorder="1"/>
    <xf numFmtId="0" fontId="4" fillId="3" borderId="0" xfId="0" applyFont="1" applyFill="1" applyBorder="1"/>
    <xf numFmtId="9" fontId="12" fillId="0" borderId="0" xfId="59" applyFont="1" applyFill="1"/>
    <xf numFmtId="9" fontId="12" fillId="0" borderId="0" xfId="59" applyFont="1"/>
    <xf numFmtId="166" fontId="119" fillId="0" borderId="0" xfId="4" applyNumberFormat="1" applyFont="1" applyFill="1"/>
    <xf numFmtId="166" fontId="119" fillId="0" borderId="0" xfId="4" applyNumberFormat="1" applyFont="1"/>
    <xf numFmtId="165" fontId="119" fillId="0" borderId="0" xfId="4" applyNumberFormat="1" applyFont="1" applyFill="1"/>
    <xf numFmtId="9" fontId="119" fillId="0" borderId="0" xfId="59" applyFont="1" applyFill="1"/>
    <xf numFmtId="9" fontId="119" fillId="0" borderId="0" xfId="59" applyFont="1"/>
    <xf numFmtId="9" fontId="4" fillId="0" borderId="12" xfId="4" applyNumberFormat="1" applyFont="1" applyFill="1" applyBorder="1" applyAlignment="1">
      <alignment horizontal="right"/>
    </xf>
    <xf numFmtId="174" fontId="39" fillId="0" borderId="0" xfId="4" applyNumberFormat="1" applyFont="1" applyFill="1"/>
    <xf numFmtId="169" fontId="117" fillId="0" borderId="0" xfId="60" applyNumberFormat="1" applyFont="1" applyFill="1" applyBorder="1"/>
    <xf numFmtId="184" fontId="3" fillId="0" borderId="0" xfId="79" applyNumberFormat="1" applyFont="1" applyFill="1" applyBorder="1" applyAlignment="1">
      <alignment horizontal="center"/>
    </xf>
    <xf numFmtId="9" fontId="98" fillId="0" borderId="0" xfId="0" applyNumberFormat="1" applyFont="1" applyFill="1" applyBorder="1" applyAlignment="1">
      <alignment horizontal="center"/>
    </xf>
    <xf numFmtId="37" fontId="7" fillId="3" borderId="0" xfId="79" applyNumberFormat="1" applyFont="1" applyFill="1" applyBorder="1" applyAlignment="1" applyProtection="1">
      <alignment horizontal="center"/>
    </xf>
    <xf numFmtId="37" fontId="4" fillId="3" borderId="0" xfId="79" applyNumberFormat="1" applyFont="1" applyFill="1" applyBorder="1" applyAlignment="1" applyProtection="1">
      <alignment horizontal="center"/>
    </xf>
    <xf numFmtId="174" fontId="120" fillId="3" borderId="0" xfId="4" applyNumberFormat="1" applyFont="1" applyFill="1"/>
    <xf numFmtId="174" fontId="120" fillId="3" borderId="0" xfId="5" applyNumberFormat="1" applyFont="1" applyFill="1"/>
    <xf numFmtId="172" fontId="110" fillId="0" borderId="0" xfId="27" applyNumberFormat="1" applyFont="1" applyFill="1" applyBorder="1"/>
    <xf numFmtId="7" fontId="12" fillId="0" borderId="14" xfId="4" applyNumberFormat="1" applyFont="1" applyBorder="1"/>
    <xf numFmtId="1" fontId="97" fillId="13" borderId="12" xfId="0" applyNumberFormat="1" applyFont="1" applyFill="1" applyBorder="1" applyAlignment="1">
      <alignment horizontal="centerContinuous"/>
    </xf>
    <xf numFmtId="169" fontId="97" fillId="13" borderId="12" xfId="0" applyNumberFormat="1" applyFont="1" applyFill="1" applyBorder="1" applyAlignment="1">
      <alignment horizontal="centerContinuous"/>
    </xf>
    <xf numFmtId="169" fontId="97" fillId="13" borderId="15" xfId="0" applyNumberFormat="1" applyFont="1" applyFill="1" applyBorder="1" applyAlignment="1">
      <alignment horizontal="centerContinuous"/>
    </xf>
    <xf numFmtId="174" fontId="111" fillId="0" borderId="0" xfId="27" applyNumberFormat="1" applyFont="1" applyFill="1" applyBorder="1"/>
    <xf numFmtId="37" fontId="110" fillId="0" borderId="0" xfId="0" applyNumberFormat="1" applyFont="1" applyFill="1"/>
    <xf numFmtId="174" fontId="39" fillId="0" borderId="0" xfId="5" applyNumberFormat="1" applyFont="1" applyFill="1" applyBorder="1" applyAlignment="1"/>
    <xf numFmtId="174" fontId="111" fillId="0" borderId="0" xfId="26" applyNumberFormat="1" applyFont="1" applyFill="1"/>
    <xf numFmtId="174" fontId="110" fillId="0" borderId="0" xfId="27" applyNumberFormat="1" applyFont="1" applyFill="1"/>
    <xf numFmtId="174" fontId="117" fillId="3" borderId="0" xfId="27" applyNumberFormat="1" applyFont="1" applyFill="1"/>
    <xf numFmtId="174" fontId="110" fillId="0" borderId="0" xfId="5" applyNumberFormat="1" applyFont="1" applyBorder="1" applyAlignment="1"/>
    <xf numFmtId="37" fontId="10" fillId="0" borderId="0" xfId="60" applyNumberFormat="1" applyFont="1"/>
    <xf numFmtId="37" fontId="10" fillId="0" borderId="12" xfId="60" applyNumberFormat="1" applyFont="1" applyBorder="1"/>
    <xf numFmtId="37" fontId="10" fillId="0" borderId="11" xfId="60" applyNumberFormat="1" applyFont="1" applyBorder="1"/>
    <xf numFmtId="0" fontId="111" fillId="0" borderId="0" xfId="0" applyFont="1"/>
    <xf numFmtId="169" fontId="110" fillId="0" borderId="11" xfId="60" applyNumberFormat="1" applyFont="1" applyFill="1" applyBorder="1"/>
    <xf numFmtId="37" fontId="110" fillId="0" borderId="11" xfId="60" applyNumberFormat="1" applyFont="1" applyFill="1" applyBorder="1"/>
    <xf numFmtId="37" fontId="4" fillId="0" borderId="12" xfId="60" applyNumberFormat="1" applyFont="1" applyFill="1" applyBorder="1"/>
    <xf numFmtId="0" fontId="110" fillId="0" borderId="0" xfId="4" applyFont="1" applyFill="1" applyBorder="1" applyAlignment="1">
      <alignment horizontal="right"/>
    </xf>
    <xf numFmtId="166" fontId="117" fillId="0" borderId="11" xfId="4" applyNumberFormat="1" applyFont="1" applyFill="1" applyBorder="1"/>
    <xf numFmtId="39" fontId="2" fillId="0" borderId="0" xfId="44" applyNumberFormat="1"/>
    <xf numFmtId="39" fontId="4" fillId="0" borderId="0" xfId="60" applyNumberFormat="1" applyFont="1"/>
    <xf numFmtId="166" fontId="2" fillId="3" borderId="0" xfId="44" applyNumberFormat="1" applyFill="1"/>
    <xf numFmtId="7" fontId="4" fillId="0" borderId="0" xfId="44" applyNumberFormat="1" applyFont="1"/>
    <xf numFmtId="37" fontId="121" fillId="0" borderId="0" xfId="79" applyNumberFormat="1" applyFont="1" applyFill="1" applyBorder="1" applyAlignment="1">
      <alignment horizontal="center"/>
    </xf>
    <xf numFmtId="39" fontId="2" fillId="3" borderId="0" xfId="44" applyNumberFormat="1" applyFill="1"/>
    <xf numFmtId="198" fontId="12" fillId="0" borderId="12" xfId="4" applyNumberFormat="1" applyFont="1" applyBorder="1"/>
    <xf numFmtId="169" fontId="0" fillId="0" borderId="0" xfId="0" applyNumberFormat="1"/>
    <xf numFmtId="169" fontId="110" fillId="6" borderId="3" xfId="60" applyNumberFormat="1" applyFont="1" applyFill="1" applyBorder="1"/>
    <xf numFmtId="169" fontId="39" fillId="6" borderId="3" xfId="60" applyNumberFormat="1" applyFont="1" applyFill="1" applyBorder="1"/>
    <xf numFmtId="7" fontId="19" fillId="0" borderId="0" xfId="4" applyNumberFormat="1" applyFont="1" applyFill="1" applyBorder="1"/>
    <xf numFmtId="174" fontId="117" fillId="0" borderId="0" xfId="27" applyNumberFormat="1" applyFont="1"/>
    <xf numFmtId="0" fontId="12" fillId="0" borderId="3" xfId="4" applyFont="1" applyBorder="1" applyAlignment="1">
      <alignment horizontal="left" indent="3"/>
    </xf>
    <xf numFmtId="174" fontId="111" fillId="0" borderId="0" xfId="4" applyNumberFormat="1" applyFont="1" applyAlignment="1"/>
    <xf numFmtId="174" fontId="110" fillId="0" borderId="0" xfId="5" applyNumberFormat="1" applyFont="1" applyFill="1" applyBorder="1" applyAlignment="1"/>
    <xf numFmtId="174" fontId="4" fillId="0" borderId="0" xfId="5" applyNumberFormat="1" applyFont="1" applyFill="1" applyBorder="1" applyAlignment="1"/>
    <xf numFmtId="174" fontId="7" fillId="0" borderId="0" xfId="26" applyNumberFormat="1" applyFont="1" applyFill="1"/>
    <xf numFmtId="174" fontId="39" fillId="0" borderId="0" xfId="27" quotePrefix="1" applyNumberFormat="1" applyFont="1" applyFill="1" applyAlignment="1">
      <alignment horizontal="center"/>
    </xf>
    <xf numFmtId="166" fontId="4" fillId="0" borderId="0" xfId="60" applyNumberFormat="1" applyFont="1" applyFill="1" applyAlignment="1">
      <alignment horizontal="right"/>
    </xf>
    <xf numFmtId="0" fontId="44" fillId="0" borderId="0" xfId="4" applyFont="1" applyFill="1" applyBorder="1"/>
    <xf numFmtId="169" fontId="4" fillId="0" borderId="0" xfId="4" applyNumberFormat="1" applyFont="1" applyFill="1"/>
    <xf numFmtId="1" fontId="110" fillId="0" borderId="0" xfId="4" applyNumberFormat="1" applyFont="1" applyFill="1" applyBorder="1"/>
    <xf numFmtId="1" fontId="4" fillId="0" borderId="0" xfId="0" applyNumberFormat="1" applyFont="1" applyFill="1"/>
    <xf numFmtId="174" fontId="4" fillId="0" borderId="0" xfId="26" applyNumberFormat="1" applyFont="1" applyFill="1" applyBorder="1" applyAlignment="1">
      <alignment horizontal="right"/>
    </xf>
    <xf numFmtId="9" fontId="4" fillId="0" borderId="0" xfId="4" applyNumberFormat="1" applyFont="1" applyFill="1" applyBorder="1" applyAlignment="1">
      <alignment horizontal="right"/>
    </xf>
    <xf numFmtId="37" fontId="110" fillId="0" borderId="0" xfId="0" applyNumberFormat="1" applyFont="1"/>
    <xf numFmtId="9" fontId="112" fillId="3" borderId="3" xfId="60" applyNumberFormat="1" applyFont="1" applyFill="1" applyBorder="1"/>
    <xf numFmtId="9" fontId="4" fillId="3" borderId="12" xfId="27" applyNumberFormat="1" applyFont="1" applyFill="1" applyBorder="1"/>
    <xf numFmtId="37" fontId="110" fillId="0" borderId="0" xfId="4" applyNumberFormat="1" applyFont="1" applyFill="1" applyBorder="1" applyAlignment="1">
      <alignment horizontal="right"/>
    </xf>
    <xf numFmtId="10" fontId="10" fillId="0" borderId="0" xfId="60" applyNumberFormat="1" applyFont="1"/>
    <xf numFmtId="0" fontId="2" fillId="0" borderId="0" xfId="45"/>
    <xf numFmtId="165" fontId="19" fillId="0" borderId="0" xfId="4" applyNumberFormat="1" applyFont="1" applyFill="1" applyBorder="1"/>
    <xf numFmtId="0" fontId="2" fillId="14" borderId="0" xfId="89" applyFont="1" applyFill="1" applyAlignment="1">
      <alignment vertical="top"/>
    </xf>
    <xf numFmtId="0" fontId="123" fillId="14" borderId="0" xfId="90" applyFill="1" applyAlignment="1">
      <alignment vertical="top"/>
    </xf>
    <xf numFmtId="0" fontId="123" fillId="14" borderId="0" xfId="90" applyFill="1"/>
    <xf numFmtId="0" fontId="84" fillId="14" borderId="0" xfId="89" applyFont="1" applyFill="1" applyAlignment="1">
      <alignment horizontal="left" vertical="top"/>
    </xf>
    <xf numFmtId="0" fontId="2" fillId="14" borderId="0" xfId="90" applyFont="1" applyFill="1" applyAlignment="1">
      <alignment vertical="top"/>
    </xf>
    <xf numFmtId="0" fontId="67" fillId="14" borderId="0" xfId="89" applyFont="1" applyFill="1" applyAlignment="1">
      <alignment vertical="top"/>
    </xf>
    <xf numFmtId="0" fontId="0" fillId="14" borderId="0" xfId="0" applyFill="1" applyAlignment="1">
      <alignment vertical="top"/>
    </xf>
    <xf numFmtId="0" fontId="124" fillId="14" borderId="0" xfId="0" applyFont="1" applyFill="1" applyAlignment="1">
      <alignment vertical="top"/>
    </xf>
    <xf numFmtId="0" fontId="125" fillId="14" borderId="0" xfId="0" applyFont="1" applyFill="1" applyAlignment="1">
      <alignment vertical="top"/>
    </xf>
    <xf numFmtId="0" fontId="124" fillId="14" borderId="55" xfId="0" applyFont="1" applyFill="1" applyBorder="1" applyAlignment="1">
      <alignment vertical="top"/>
    </xf>
    <xf numFmtId="9" fontId="124" fillId="14" borderId="55" xfId="0" applyNumberFormat="1" applyFont="1" applyFill="1" applyBorder="1" applyAlignment="1">
      <alignment vertical="top"/>
    </xf>
    <xf numFmtId="3" fontId="124" fillId="14" borderId="55" xfId="0" applyNumberFormat="1" applyFont="1" applyFill="1" applyBorder="1" applyAlignment="1">
      <alignment vertical="top"/>
    </xf>
    <xf numFmtId="2" fontId="2" fillId="0" borderId="0" xfId="45" applyNumberFormat="1" applyAlignment="1">
      <alignment horizontal="left"/>
    </xf>
    <xf numFmtId="0" fontId="2" fillId="0" borderId="0" xfId="45" applyNumberFormat="1" applyAlignment="1">
      <alignment horizontal="left"/>
    </xf>
    <xf numFmtId="1" fontId="2" fillId="0" borderId="0" xfId="45" applyNumberFormat="1" applyAlignment="1">
      <alignment horizontal="left"/>
    </xf>
    <xf numFmtId="0" fontId="2" fillId="0" borderId="0" xfId="45" applyFont="1"/>
    <xf numFmtId="199" fontId="2" fillId="0" borderId="0" xfId="45" applyNumberFormat="1" applyAlignment="1">
      <alignment horizontal="left"/>
    </xf>
    <xf numFmtId="49" fontId="2" fillId="0" borderId="0" xfId="45" applyNumberFormat="1"/>
    <xf numFmtId="0" fontId="0" fillId="14" borderId="60" xfId="0" applyFill="1" applyBorder="1" applyAlignment="1">
      <alignment vertical="top"/>
    </xf>
    <xf numFmtId="0" fontId="124" fillId="14" borderId="0" xfId="0" applyFont="1" applyFill="1" applyAlignment="1">
      <alignment vertical="top"/>
    </xf>
    <xf numFmtId="0" fontId="124" fillId="14" borderId="56" xfId="0" applyFont="1" applyFill="1" applyBorder="1" applyAlignment="1">
      <alignment vertical="top"/>
    </xf>
    <xf numFmtId="0" fontId="124" fillId="14" borderId="57" xfId="0" applyFont="1" applyFill="1" applyBorder="1" applyAlignment="1">
      <alignment vertical="top"/>
    </xf>
    <xf numFmtId="0" fontId="124" fillId="14" borderId="58" xfId="0" applyFont="1" applyFill="1" applyBorder="1" applyAlignment="1">
      <alignment vertical="top"/>
    </xf>
    <xf numFmtId="0" fontId="125" fillId="14" borderId="0" xfId="0" applyFont="1" applyFill="1" applyAlignment="1">
      <alignment vertical="top"/>
    </xf>
    <xf numFmtId="0" fontId="0" fillId="14" borderId="0" xfId="0" applyFill="1" applyAlignment="1">
      <alignment vertical="top"/>
    </xf>
    <xf numFmtId="0" fontId="0" fillId="14" borderId="59" xfId="0" applyFill="1" applyBorder="1" applyAlignment="1">
      <alignment vertical="top"/>
    </xf>
    <xf numFmtId="37" fontId="7" fillId="3" borderId="0" xfId="79" applyNumberFormat="1" applyFont="1" applyFill="1" applyBorder="1" applyAlignment="1" applyProtection="1">
      <alignment horizontal="center"/>
    </xf>
    <xf numFmtId="37" fontId="4" fillId="3" borderId="0" xfId="79" applyNumberFormat="1" applyFont="1" applyFill="1" applyBorder="1" applyAlignment="1" applyProtection="1">
      <alignment horizontal="center"/>
    </xf>
    <xf numFmtId="37" fontId="8" fillId="3" borderId="17" xfId="79" applyNumberFormat="1" applyFont="1" applyFill="1" applyBorder="1" applyAlignment="1" applyProtection="1">
      <alignment horizontal="center"/>
    </xf>
    <xf numFmtId="0" fontId="41" fillId="8" borderId="9" xfId="4" applyFont="1" applyFill="1" applyBorder="1" applyAlignment="1">
      <alignment horizontal="left"/>
    </xf>
    <xf numFmtId="0" fontId="41" fillId="8" borderId="18" xfId="4" applyFont="1" applyFill="1" applyBorder="1" applyAlignment="1">
      <alignment horizontal="left"/>
    </xf>
    <xf numFmtId="0" fontId="41" fillId="8" borderId="13" xfId="4" applyFont="1" applyFill="1" applyBorder="1" applyAlignment="1">
      <alignment horizontal="left"/>
    </xf>
    <xf numFmtId="0" fontId="41" fillId="8" borderId="15" xfId="4" applyFont="1" applyFill="1" applyBorder="1" applyAlignment="1">
      <alignment horizontal="left"/>
    </xf>
    <xf numFmtId="0" fontId="41" fillId="8" borderId="2" xfId="4" applyFont="1" applyFill="1" applyBorder="1" applyAlignment="1">
      <alignment horizontal="left"/>
    </xf>
    <xf numFmtId="0" fontId="41" fillId="8" borderId="17" xfId="4" applyFont="1" applyFill="1" applyBorder="1" applyAlignment="1">
      <alignment horizontal="left"/>
    </xf>
    <xf numFmtId="0" fontId="45" fillId="8" borderId="2" xfId="4" applyFont="1" applyFill="1" applyBorder="1" applyAlignment="1">
      <alignment horizontal="center"/>
    </xf>
    <xf numFmtId="0" fontId="45" fillId="8" borderId="17" xfId="4" applyFont="1" applyFill="1" applyBorder="1" applyAlignment="1">
      <alignment horizontal="center"/>
    </xf>
    <xf numFmtId="0" fontId="45" fillId="8" borderId="13" xfId="4" applyFont="1" applyFill="1" applyBorder="1" applyAlignment="1">
      <alignment horizontal="center"/>
    </xf>
    <xf numFmtId="0" fontId="45" fillId="8" borderId="15" xfId="4" applyFont="1" applyFill="1" applyBorder="1" applyAlignment="1">
      <alignment horizontal="center"/>
    </xf>
    <xf numFmtId="0" fontId="59" fillId="7" borderId="48" xfId="79" applyFont="1" applyFill="1" applyBorder="1" applyAlignment="1">
      <alignment horizontal="center"/>
    </xf>
    <xf numFmtId="0" fontId="59" fillId="7" borderId="44" xfId="79" applyFont="1" applyFill="1" applyBorder="1" applyAlignment="1">
      <alignment horizontal="center"/>
    </xf>
    <xf numFmtId="0" fontId="59" fillId="7" borderId="9" xfId="79" applyFont="1" applyFill="1" applyBorder="1" applyAlignment="1">
      <alignment horizontal="center"/>
    </xf>
  </cellXfs>
  <cellStyles count="91">
    <cellStyle name=" &amp;A_x0002_" xfId="1"/>
    <cellStyle name=" 1" xfId="2"/>
    <cellStyle name="%" xfId="3"/>
    <cellStyle name="******************************************" xfId="4"/>
    <cellStyle name="****************************************** 2" xfId="5"/>
    <cellStyle name="_CONSENSUS " xfId="6"/>
    <cellStyle name="—_GS_Cash " xfId="7"/>
    <cellStyle name="_SUMMARY " xfId="8"/>
    <cellStyle name="=C:\WINNT35\SYSTEM32\COMMAND.COM" xfId="9"/>
    <cellStyle name="0_Capex &amp; Depreciation " xfId="10"/>
    <cellStyle name="0_Capex &amp; Depreciation _RRST1" xfId="11"/>
    <cellStyle name="0_Valuing BP " xfId="12"/>
    <cellStyle name="0_Valuing BP _RRST1" xfId="13"/>
    <cellStyle name="A¨­￠￢￠O [0]_INQUIRY ￠?￥i¨u¡AAⓒ￢Aⓒª " xfId="14"/>
    <cellStyle name="A¨­￠￢￠O_INQUIRY ￠?￥i¨u¡AAⓒ￢Aⓒª " xfId="15"/>
    <cellStyle name="AeE¡ⓒ [0]_INQUIRY ￠?￥i¨u¡AAⓒ￢Aⓒª " xfId="16"/>
    <cellStyle name="AeE¡ⓒ_INQUIRY ￠?￥i¨u¡AAⓒ￢Aⓒª " xfId="17"/>
    <cellStyle name="c_HardInc " xfId="18"/>
    <cellStyle name="c_HardInc _RRST1" xfId="19"/>
    <cellStyle name="c_HardInc _RRST1_1" xfId="20"/>
    <cellStyle name="c_HardInc _RRST11" xfId="21"/>
    <cellStyle name="c_HardInc _RRST3" xfId="22"/>
    <cellStyle name="c_HardInc _RRST6" xfId="23"/>
    <cellStyle name="c_HardInc _RRST7" xfId="24"/>
    <cellStyle name="C¡IA¨ª_¡ic¨u¡A¨￢I¨￢¡Æ AN¡Æe " xfId="25"/>
    <cellStyle name="Comma" xfId="26" builtinId="3"/>
    <cellStyle name="Comma 2" xfId="27"/>
    <cellStyle name="Comma 2 2" xfId="28"/>
    <cellStyle name="Comma 3" xfId="29"/>
    <cellStyle name="Comma_VRSK.O" xfId="30"/>
    <cellStyle name="Currency 2" xfId="31"/>
    <cellStyle name="Currency 3" xfId="32"/>
    <cellStyle name="Currency 4" xfId="33"/>
    <cellStyle name="Currency 5" xfId="34"/>
    <cellStyle name="Currency 6" xfId="35"/>
    <cellStyle name="Currency 7" xfId="36"/>
    <cellStyle name="Currency 8" xfId="88"/>
    <cellStyle name="Hyperlink 2" xfId="37"/>
    <cellStyle name="Millares [0]_ " xfId="38"/>
    <cellStyle name="Millares_ " xfId="39"/>
    <cellStyle name="Moneda [0]_ " xfId="40"/>
    <cellStyle name="Moneda_ " xfId="41"/>
    <cellStyle name="Normal" xfId="0" builtinId="0"/>
    <cellStyle name="Normal 10" xfId="42"/>
    <cellStyle name="Normal 11" xfId="43"/>
    <cellStyle name="Normal 12" xfId="87"/>
    <cellStyle name="Normal 13" xfId="90"/>
    <cellStyle name="Normal 2" xfId="44"/>
    <cellStyle name="Normal 3" xfId="45"/>
    <cellStyle name="Normal 4" xfId="46"/>
    <cellStyle name="Normal 4 2" xfId="47"/>
    <cellStyle name="Normal 5" xfId="48"/>
    <cellStyle name="Normal 6" xfId="49"/>
    <cellStyle name="Normal 7" xfId="50"/>
    <cellStyle name="Normal 8" xfId="51"/>
    <cellStyle name="Normal 9" xfId="52"/>
    <cellStyle name="Normal_DisclaimerSheet Samples" xfId="89"/>
    <cellStyle name="Normal_IS" xfId="53"/>
    <cellStyle name="Normal_SVVS" xfId="54"/>
    <cellStyle name="Normal_VRSK.O" xfId="55"/>
    <cellStyle name="Normal_WSTC" xfId="56"/>
    <cellStyle name="Normalny_Exchanges Weekly Factset" xfId="57"/>
    <cellStyle name="p " xfId="58"/>
    <cellStyle name="Percent" xfId="59" builtinId="5"/>
    <cellStyle name="Percent 2" xfId="60"/>
    <cellStyle name="Percent 3" xfId="61"/>
    <cellStyle name="RRSInstruction" xfId="62"/>
    <cellStyle name="RRSInstruction 2" xfId="63"/>
    <cellStyle name="s_HardInc " xfId="64"/>
    <cellStyle name="s_HardInc _RRST1" xfId="65"/>
    <cellStyle name="s_HardInc _RRST1_1" xfId="66"/>
    <cellStyle name="s_HardInc _RRST11" xfId="67"/>
    <cellStyle name="s_HardInc _RRST3" xfId="68"/>
    <cellStyle name="s_HardInc _RRST6" xfId="69"/>
    <cellStyle name="s_HardInc _RRST7" xfId="70"/>
    <cellStyle name="s_Valuation " xfId="71"/>
    <cellStyle name="s_Valuation _RRST1" xfId="72"/>
    <cellStyle name="s_Valuation _RRST1_1" xfId="73"/>
    <cellStyle name="s_Valuation _RRST11" xfId="74"/>
    <cellStyle name="s_Valuation _RRST3" xfId="75"/>
    <cellStyle name="s_Valuation _RRST6" xfId="76"/>
    <cellStyle name="s_Valuation _RRST7" xfId="77"/>
    <cellStyle name="ssp " xfId="78"/>
    <cellStyle name="Style 1" xfId="79"/>
    <cellStyle name="Style 2" xfId="80"/>
    <cellStyle name="Style 3" xfId="81"/>
    <cellStyle name="Style 4" xfId="82"/>
    <cellStyle name="뷭?_BOOKSHIP_상세일정 (2) (2) " xfId="83"/>
    <cellStyle name="쬞\?1@" xfId="84"/>
    <cellStyle name="콤마 [0]_#3이설 견적_준공내역총괄표 " xfId="85"/>
    <cellStyle name="콤마_#3이설 견적_준공내역총괄표 " xfId="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volatileDependencies.xml><?xml version="1.0" encoding="utf-8"?>
<volTypes xmlns="http://schemas.openxmlformats.org/spreadsheetml/2006/main">
  <volType type="realTimeData">
    <main first="thomsononeaddinshim.rtdformula">
      <tp t="b">
        <v>0</v>
        <stp/>
        <stp>a1823e35-e545-4dea-be99-510c7760ef54</stp>
        <tr r="C110" s="8"/>
      </tp>
      <tp t="b">
        <v>0</v>
        <stp/>
        <stp>e5a74084-f45c-4c71-b482-ccba9d419f1c</stp>
        <tr r="O51" s="6"/>
      </tp>
      <tp t="b">
        <v>0</v>
        <stp/>
        <stp>f0e83064-d62a-4fd8-8275-57e6baab205a</stp>
        <tr r="O52" s="6"/>
      </tp>
      <tp t="b">
        <v>0</v>
        <stp/>
        <stp>3848b447-037a-4acf-90e6-c1b1e39b909b</stp>
        <tr r="O48" s="6"/>
      </tp>
      <tp t="b">
        <v>0</v>
        <stp/>
        <stp>ac2d76f3-c731-42c7-a5d4-8cf61c1cbbfe</stp>
        <tr r="C108" s="8"/>
      </tp>
      <tp t="b">
        <v>0</v>
        <stp/>
        <stp>1669a330-9abe-4ef5-a703-cb22f4f1c720</stp>
        <tr r="O47" s="6"/>
      </tp>
      <tp t="b">
        <v>0</v>
        <stp/>
        <stp>dad2101c-6bf1-49c9-8409-7becdcc0d465</stp>
        <tr r="O53" s="6"/>
      </tp>
      <tp t="b">
        <v>0</v>
        <stp/>
        <stp>b00d2bde-a073-4ae9-85b5-8bf6b640cc5c</stp>
        <tr r="O49" s="6"/>
      </tp>
      <tp t="b">
        <v>0</v>
        <stp/>
        <stp>707ab38a-4cff-4ccb-b7d8-56ccc4930b03</stp>
        <tr r="C107" s="8"/>
      </tp>
      <tp t="b">
        <v>0</v>
        <stp/>
        <stp>6424c96a-74a9-4e6b-a987-0b453fd6863c</stp>
        <tr r="O50" s="6"/>
      </tp>
      <tp t="b">
        <v>0</v>
        <stp/>
        <stp>4ed02514-1e16-4f5c-b388-f79009a17c80</stp>
        <tr r="C109" s="8"/>
      </tp>
    </main>
  </volType>
</volTypes>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externalLinks/externalLink1.xml" Type="http://schemas.openxmlformats.org/officeDocument/2006/relationships/externalLink"/>
<Relationship Id="rId11" Target="externalLinks/externalLink2.xml" Type="http://schemas.openxmlformats.org/officeDocument/2006/relationships/externalLink"/>
<Relationship Id="rId12" Target="externalLinks/externalLink3.xml" Type="http://schemas.openxmlformats.org/officeDocument/2006/relationships/externalLink"/>
<Relationship Id="rId13" Target="externalLinks/externalLink4.xml" Type="http://schemas.openxmlformats.org/officeDocument/2006/relationships/externalLink"/>
<Relationship Id="rId14" Target="externalLinks/externalLink5.xml" Type="http://schemas.openxmlformats.org/officeDocument/2006/relationships/externalLink"/>
<Relationship Id="rId15" Target="externalLinks/externalLink6.xml" Type="http://schemas.openxmlformats.org/officeDocument/2006/relationships/externalLink"/>
<Relationship Id="rId16" Target="externalLinks/externalLink7.xml" Type="http://schemas.openxmlformats.org/officeDocument/2006/relationships/externalLink"/>
<Relationship Id="rId17" Target="externalLinks/externalLink8.xml" Type="http://schemas.openxmlformats.org/officeDocument/2006/relationships/externalLink"/>
<Relationship Id="rId18" Target="externalLinks/externalLink9.xml" Type="http://schemas.openxmlformats.org/officeDocument/2006/relationships/externalLink"/>
<Relationship Id="rId19" Target="externalLinks/externalLink10.xml" Type="http://schemas.openxmlformats.org/officeDocument/2006/relationships/externalLink"/>
<Relationship Id="rId2" Target="worksheets/sheet2.xml" Type="http://schemas.openxmlformats.org/officeDocument/2006/relationships/worksheet"/>
<Relationship Id="rId20" Target="externalLinks/externalLink11.xml" Type="http://schemas.openxmlformats.org/officeDocument/2006/relationships/externalLink"/>
<Relationship Id="rId21" Target="theme/theme1.xml" Type="http://schemas.openxmlformats.org/officeDocument/2006/relationships/theme"/>
<Relationship Id="rId22" Target="styles.xml" Type="http://schemas.openxmlformats.org/officeDocument/2006/relationships/styles"/>
<Relationship Id="rId23" Target="sharedStrings.xml" Type="http://schemas.openxmlformats.org/officeDocument/2006/relationships/sharedStrings"/>
<Relationship Id="rId24" Target="calcChain.xml" Type="http://schemas.openxmlformats.org/officeDocument/2006/relationships/calcChain"/>
<Relationship Id="rId25" Target="volatileDependencies.xml" Type="http://schemas.openxmlformats.org/officeDocument/2006/relationships/volatileDependencie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fmlaLink="$A$3"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
<Relationship Id="rId1" Target="../media/image1.png" Type="http://schemas.openxmlformats.org/officeDocument/2006/relationships/image"/>
<Relationship Id="rId2" Target="../media/image2.jpeg" Type="http://schemas.openxmlformats.org/officeDocument/2006/relationships/image"/>
<Relationship Id="rId3" Target="../media/image3.gif"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1581150</xdr:colOff>
      <xdr:row>0</xdr:row>
      <xdr:rowOff>323850</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28575"/>
          <a:ext cx="15621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xdr:colOff>
      <xdr:row>0</xdr:row>
      <xdr:rowOff>95250</xdr:rowOff>
    </xdr:from>
    <xdr:to>
      <xdr:col>1</xdr:col>
      <xdr:colOff>523875</xdr:colOff>
      <xdr:row>0</xdr:row>
      <xdr:rowOff>314325</xdr:rowOff>
    </xdr:to>
    <xdr:pic>
      <xdr:nvPicPr>
        <xdr:cNvPr id="3" name="Picture 6" descr="MSMS_logo_3" hidden="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95250"/>
          <a:ext cx="22193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180</xdr:row>
      <xdr:rowOff>0</xdr:rowOff>
    </xdr:from>
    <xdr:to>
      <xdr:col>7</xdr:col>
      <xdr:colOff>390525</xdr:colOff>
      <xdr:row>200</xdr:row>
      <xdr:rowOff>19050</xdr:rowOff>
    </xdr:to>
    <xdr:pic>
      <xdr:nvPicPr>
        <xdr:cNvPr id="16851969" name="Picture 1" descr="C:\Users\jeffdg\AppData\Local\Temp\MercuryPriceRatingHistoryChart\SPGI.N_2018_04_26_18_40_48.gif"/>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9146500"/>
          <a:ext cx="640080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1</xdr:row>
      <xdr:rowOff>123825</xdr:rowOff>
    </xdr:from>
    <xdr:to>
      <xdr:col>0</xdr:col>
      <xdr:colOff>2371725</xdr:colOff>
      <xdr:row>5</xdr:row>
      <xdr:rowOff>114300</xdr:rowOff>
    </xdr:to>
    <xdr:grpSp>
      <xdr:nvGrpSpPr>
        <xdr:cNvPr id="14825217" name="Group 266"/>
        <xdr:cNvGrpSpPr>
          <a:grpSpLocks/>
        </xdr:cNvGrpSpPr>
      </xdr:nvGrpSpPr>
      <xdr:grpSpPr bwMode="auto">
        <a:xfrm>
          <a:off x="95250" y="276225"/>
          <a:ext cx="2276475" cy="600075"/>
          <a:chOff x="9" y="59"/>
          <a:chExt cx="239" cy="66"/>
        </a:xfrm>
      </xdr:grpSpPr>
      <xdr:sp macro="" textlink="">
        <xdr:nvSpPr>
          <xdr:cNvPr id="14825218" name="Rectangle 248"/>
          <xdr:cNvSpPr>
            <a:spLocks noChangeArrowheads="1"/>
          </xdr:cNvSpPr>
        </xdr:nvSpPr>
        <xdr:spPr bwMode="auto">
          <a:xfrm>
            <a:off x="9" y="59"/>
            <a:ext cx="239" cy="66"/>
          </a:xfrm>
          <a:prstGeom prst="rect">
            <a:avLst/>
          </a:prstGeom>
          <a:solidFill>
            <a:srgbClr xmlns:mc="http://schemas.openxmlformats.org/markup-compatibility/2006" xmlns:a14="http://schemas.microsoft.com/office/drawing/2010/main" val="99CCFF" mc:Ignorable="a14" a14:legacySpreadsheetColorIndex="44"/>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mc:AlternateContent xmlns:mc="http://schemas.openxmlformats.org/markup-compatibility/2006">
        <mc:Choice xmlns:a14="http://schemas.microsoft.com/office/drawing/2010/main" Requires="a14">
          <xdr:grpSp>
            <xdr:nvGrpSpPr>
              <xdr:cNvPr id="14825219" name="Group 265"/>
              <xdr:cNvGrpSpPr>
                <a:grpSpLocks/>
              </xdr:cNvGrpSpPr>
            </xdr:nvGrpSpPr>
            <xdr:grpSpPr bwMode="auto">
              <a:xfrm>
                <a:off x="13" y="66"/>
                <a:ext cx="230" cy="54"/>
                <a:chOff x="13" y="66"/>
                <a:chExt cx="230" cy="54"/>
              </a:xfrm>
            </xdr:grpSpPr>
            <xdr:sp macro="" textlink="">
              <xdr:nvSpPr>
                <xdr:cNvPr id="1025" name="Group Box 1" hidden="1">
                  <a:extLst>
                    <a:ext uri="{63B3BB69-23CF-44E3-9099-C40C66FF867C}">
                      <a14:compatExt spid="_x0000_s1025"/>
                    </a:ext>
                  </a:extLst>
                </xdr:cNvPr>
                <xdr:cNvSpPr/>
              </xdr:nvSpPr>
              <xdr:spPr>
                <a:xfrm>
                  <a:off x="13" y="66"/>
                  <a:ext cx="230" cy="54"/>
                </a:xfrm>
                <a:prstGeom prst="rect">
                  <a:avLst/>
                </a:prstGeom>
              </xdr:spPr>
              <xdr:txBody>
                <a:bodyPr vertOverflow="clip" wrap="none" lIns="27432" tIns="18288" rIns="0" bIns="0" anchor="t" upright="1"/>
                <a:lstStyle/>
                <a:p>
                  <a:pPr algn="l" rtl="0">
                    <a:defRPr sz="1000"/>
                  </a:pPr>
                  <a:r>
                    <a:rPr lang="en-GB" sz="800" b="0" i="0" u="none" strike="noStrike" baseline="0">
                      <a:solidFill>
                        <a:srgbClr val="000000"/>
                      </a:solidFill>
                      <a:latin typeface="Tahoma"/>
                      <a:ea typeface="Tahoma"/>
                      <a:cs typeface="Tahoma"/>
                    </a:rPr>
                    <a:t>SPGI Scenario Analysis</a:t>
                  </a:r>
                </a:p>
              </xdr:txBody>
            </xdr:sp>
            <xdr:sp macro="" textlink="">
              <xdr:nvSpPr>
                <xdr:cNvPr id="1026" name="Option Button 2" hidden="1">
                  <a:extLst>
                    <a:ext uri="{63B3BB69-23CF-44E3-9099-C40C66FF867C}">
                      <a14:compatExt spid="_x0000_s1026"/>
                    </a:ext>
                  </a:extLst>
                </xdr:cNvPr>
                <xdr:cNvSpPr/>
              </xdr:nvSpPr>
              <xdr:spPr>
                <a:xfrm>
                  <a:off x="18" y="85"/>
                  <a:ext cx="74" cy="23"/>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Bear Case</a:t>
                  </a:r>
                </a:p>
              </xdr:txBody>
            </xdr:sp>
            <xdr:sp macro="" textlink="">
              <xdr:nvSpPr>
                <xdr:cNvPr id="1027" name="Option Button 3" hidden="1">
                  <a:extLst>
                    <a:ext uri="{63B3BB69-23CF-44E3-9099-C40C66FF867C}">
                      <a14:compatExt spid="_x0000_s1027"/>
                    </a:ext>
                  </a:extLst>
                </xdr:cNvPr>
                <xdr:cNvSpPr/>
              </xdr:nvSpPr>
              <xdr:spPr>
                <a:xfrm>
                  <a:off x="92" y="85"/>
                  <a:ext cx="72" cy="23"/>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Base Case</a:t>
                  </a:r>
                </a:p>
              </xdr:txBody>
            </xdr:sp>
            <xdr:sp macro="" textlink="">
              <xdr:nvSpPr>
                <xdr:cNvPr id="1028" name="Option Button 4" hidden="1">
                  <a:extLst>
                    <a:ext uri="{63B3BB69-23CF-44E3-9099-C40C66FF867C}">
                      <a14:compatExt spid="_x0000_s1028"/>
                    </a:ext>
                  </a:extLst>
                </xdr:cNvPr>
                <xdr:cNvSpPr/>
              </xdr:nvSpPr>
              <xdr:spPr>
                <a:xfrm>
                  <a:off x="170" y="85"/>
                  <a:ext cx="64" cy="23"/>
                </a:xfrm>
                <a:prstGeom prst="rect">
                  <a:avLst/>
                </a:prstGeom>
              </xdr:spPr>
              <xdr:txBody>
                <a:bodyPr vertOverflow="clip" wrap="square" lIns="27432" tIns="18288" rIns="0" bIns="18288" anchor="ctr" upright="1"/>
                <a:lstStyle/>
                <a:p>
                  <a:pPr algn="l" rtl="0">
                    <a:defRPr sz="1000"/>
                  </a:pPr>
                  <a:r>
                    <a:rPr lang="en-GB" sz="800" b="0" i="0" u="none" strike="noStrike" baseline="0">
                      <a:solidFill>
                        <a:srgbClr val="000000"/>
                      </a:solidFill>
                      <a:latin typeface="Tahoma"/>
                      <a:ea typeface="Tahoma"/>
                      <a:cs typeface="Tahoma"/>
                    </a:rPr>
                    <a:t>Bull Case</a:t>
                  </a:r>
                </a:p>
              </xdr:txBody>
            </xdr:sp>
          </xdr:grpSp>
        </mc:Choice>
        <mc:Fallback/>
      </mc:AlternateContent>
    </xdr:grpSp>
    <xdr:clientData/>
  </xdr:twoCellAnchor>
</xdr:wsDr>
</file>

<file path=xl/externalLinks/_rels/externalLink1.xml.rels><?xml version="1.0" encoding="UTF-8" standalone="yes"?>
<Relationships xmlns="http://schemas.openxmlformats.org/package/2006/relationships">
<Relationship Id="rId1" Target="ER13/wireless/Sprint%20Nextel/Models/S%20Morgan%20Stanley%20pending2.xls" TargetMode="External" Type="http://schemas.microsoft.com/office/2006/relationships/xlExternalLinkPath/xlStartup"/>
</Relationships>

</file>

<file path=xl/externalLinks/_rels/externalLink2.xml.rels><?xml version="1.0" encoding="UTF-8" standalone="yes"?>
<Relationships xmlns="http://schemas.openxmlformats.org/package/2006/relationships">
<Relationship Id="rId1" Target="Amit/Daniel/HK%20banking%20updates/Regional%20exchange%20updates.xls" TargetMode="External" Type="http://schemas.microsoft.com/office/2006/relationships/xlExternalLinkPath/xlStartup"/>
</Relationships>

</file>

<file path=xl/externalLinks/_rels/externalLink3.xml.rels><?xml version="1.0" encoding="UTF-8" standalone="yes"?>
<Relationships xmlns="http://schemas.openxmlformats.org/package/2006/relationships">
<Relationship Id="rId1" Target="FIN_ANALYTICS/MSCI/Models%20from%20AST/MSCI072016.xls" TargetMode="External" Type="http://schemas.microsoft.com/office/2006/relationships/xlExternalLinkPath/xlAlternateStartup"/>
</Relationships>

</file>

<file path=xl/externalLinks/_rels/externalLink4.xml.rels><?xml version="1.0" encoding="UTF-8" standalone="yes"?>
<Relationships xmlns="http://schemas.openxmlformats.org/package/2006/relationships">
<Relationship Id="rId1" Target="Amit/HK-Banks/Regional%20banks%20updates.xls" TargetMode="External" Type="http://schemas.microsoft.com/office/2006/relationships/xlExternalLinkPath/xlStartup"/>
</Relationships>

</file>

<file path=xl/externalLinks/_rels/externalLink5.xml.rels><?xml version="1.0" encoding="UTF-8" standalone="yes"?>
<Relationships xmlns="http://schemas.openxmlformats.org/package/2006/relationships">
<Relationship Id="rId1" Target="Documents%20and%20Settings/vinayv/Desktop/VRSK.O.xls" TargetMode="External" Type="http://schemas.microsoft.com/office/2006/relationships/xlExternalLinkPath/xlStartup"/>
</Relationships>

</file>

<file path=xl/externalLinks/_rels/externalLink6.xml.rels><?xml version="1.0" encoding="UTF-8" standalone="yes"?>
<Relationships xmlns="http://schemas.openxmlformats.org/package/2006/relationships">
<Relationship Id="rId1" Target="Amit/Daniel/Individual%20-%20SGX/SGX%20Exhibits.xls" TargetMode="External" Type="http://schemas.microsoft.com/office/2006/relationships/xlExternalLinkPath/xlStartup"/>
</Relationships>

</file>

<file path=xl/externalLinks/_rels/externalLink7.xml.rels><?xml version="1.0" encoding="UTF-8" standalone="yes"?>
<Relationships xmlns="http://schemas.openxmlformats.org/package/2006/relationships">
<Relationship Id="rId1" Target="Amit/HK-Banks/HK%20Banks%20Data.xls" TargetMode="External" Type="http://schemas.microsoft.com/office/2006/relationships/xlExternalLinkPath/xlStartup"/>
</Relationships>

</file>

<file path=xl/externalLinks/_rels/externalLink8.xml.rels><?xml version="1.0" encoding="UTF-8" standalone="yes"?>
<Relationships xmlns="http://schemas.openxmlformats.org/package/2006/relationships">
<Relationship Id="rId1" Target="Documents%20and%20Settings/selttel/Desktop/Level3.xls" TargetMode="External" Type="http://schemas.microsoft.com/office/2006/relationships/xlExternalLinkPath/xlStartup"/>
</Relationships>

</file>

<file path=xl/externalLinks/_rels/externalLink9.xml.rels><?xml version="1.0" encoding="UTF-8" standalone="yes"?>
<Relationships xmlns="http://schemas.openxmlformats.org/package/2006/relationships">
<Relationship Id="rId1" Target="Documents%20and%20Settings/sinrahul/Local%20Settings/Temporary%20Internet%20Files/OLK162/MCO/MCO_Draft_09232014.xls" TargetMode="External" Type="http://schemas.microsoft.com/office/2006/relationships/xlExternalLinkPath/xlStartup"/>
</Relationships>

</file>

<file path=xl/externalLinks/_rels/externalLink10.xml.rels><?xml version="1.0" encoding="UTF-8" standalone="yes"?>
<Relationships xmlns="http://schemas.openxmlformats.org/package/2006/relationships">
<Relationship Id="rId1" Target="Print%20" TargetMode="External" Type="http://schemas.microsoft.com/office/2006/relationships/xlExternalLinkPath/xlPathMissing"/>
</Relationships>

</file>

<file path=xl/externalLinks/_rels/externalLink11.xml.rels><?xml version="1.0" encoding="UTF-8" standalone="yes"?>
<Relationships xmlns="http://schemas.openxmlformats.org/package/2006/relationships">
<Relationship Id="rId1" Target="Documents%20and%20Settings/sinrahul/Local%20Settings/Temporary%20Internet%20Files/OLK162/MCO/MCO_Draft_09232014.xls" TargetMode="External" Type="http://schemas.microsoft.com/office/2006/relationships/xlExternalLinkPath/xlAlternateStartup"/>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
      <sheetName val="Wireless"/>
      <sheetName val="Local"/>
      <sheetName val="GMG"/>
      <sheetName val="Valuation"/>
      <sheetName val="Exhibits"/>
      <sheetName val="Hist IS"/>
      <sheetName val="Hist CFS"/>
      <sheetName val="Hist BS"/>
      <sheetName val="__FDSCACHE__"/>
      <sheetName val="Hist PCS"/>
      <sheetName val="Hist Inputs"/>
      <sheetName val="FON Pensions"/>
      <sheetName val="FON OPEBs"/>
      <sheetName val="Summary"/>
      <sheetName val="Model_Template"/>
      <sheetName val="Link"/>
      <sheetName val="mwarePreview"/>
      <sheetName val="mwareSettings"/>
      <sheetName val="mwareValPrintout"/>
      <sheetName val="mwareTaxoPres"/>
      <sheetName val="mwareDates"/>
      <sheetName val="DCF"/>
      <sheetName val="WiMAX"/>
      <sheetName val="SOTP"/>
      <sheetName val="Hist Local"/>
    </sheetNames>
    <sheetDataSet>
      <sheetData sheetId="0" refreshError="1">
        <row r="16">
          <cell r="E16" t="str">
            <v>US Large Cap Telecom Services</v>
          </cell>
        </row>
        <row r="18">
          <cell r="E18" t="str">
            <v>Simon Flannery</v>
          </cell>
          <cell r="G18" t="str">
            <v>(212) 761 - 6432</v>
          </cell>
          <cell r="J18" t="str">
            <v>simon.flannery@morganstanley.com</v>
          </cell>
        </row>
        <row r="19">
          <cell r="E19" t="str">
            <v>Vance Edelson</v>
          </cell>
          <cell r="G19" t="str">
            <v>(212) 761 - 0078</v>
          </cell>
          <cell r="J19" t="str">
            <v>vance.edelson@morganstanley.com</v>
          </cell>
        </row>
        <row r="20">
          <cell r="E20" t="str">
            <v>US Large Cap Telecom Services</v>
          </cell>
        </row>
        <row r="22">
          <cell r="E22" t="str">
            <v>Simon Flannery</v>
          </cell>
          <cell r="G22" t="str">
            <v>(212) 761 - 6432</v>
          </cell>
          <cell r="J22" t="str">
            <v>simon.flannery@morganstanley.com</v>
          </cell>
        </row>
        <row r="23">
          <cell r="E23" t="str">
            <v>Vance Edelson</v>
          </cell>
          <cell r="G23" t="str">
            <v>(212) 761 - 0078</v>
          </cell>
          <cell r="J23" t="str">
            <v>vance.edelson@morganstanley.com</v>
          </cell>
        </row>
      </sheetData>
      <sheetData sheetId="1" refreshError="1">
        <row r="1">
          <cell r="B1" t="str">
            <v>1Q04</v>
          </cell>
          <cell r="C1" t="str">
            <v>2Q04</v>
          </cell>
          <cell r="D1" t="str">
            <v>3Q04</v>
          </cell>
          <cell r="E1" t="str">
            <v>4Q04</v>
          </cell>
          <cell r="F1">
            <v>2004</v>
          </cell>
          <cell r="G1" t="str">
            <v>1Q05</v>
          </cell>
          <cell r="H1" t="str">
            <v>2Q05</v>
          </cell>
          <cell r="I1" t="str">
            <v>3Q05</v>
          </cell>
          <cell r="J1" t="str">
            <v>4Q05</v>
          </cell>
          <cell r="K1">
            <v>2005</v>
          </cell>
          <cell r="L1" t="str">
            <v>1Q06</v>
          </cell>
          <cell r="M1" t="str">
            <v>2Q06E</v>
          </cell>
          <cell r="N1" t="str">
            <v>3Q06E</v>
          </cell>
          <cell r="O1" t="str">
            <v>4Q06E</v>
          </cell>
          <cell r="P1" t="str">
            <v>2006E</v>
          </cell>
          <cell r="Q1" t="str">
            <v>2007E</v>
          </cell>
          <cell r="R1" t="str">
            <v>2008E</v>
          </cell>
          <cell r="S1" t="str">
            <v>2009E</v>
          </cell>
          <cell r="T1" t="str">
            <v>2010E</v>
          </cell>
          <cell r="U1" t="str">
            <v>2011E</v>
          </cell>
          <cell r="V1" t="str">
            <v>2012E</v>
          </cell>
          <cell r="W1" t="str">
            <v>2009E</v>
          </cell>
          <cell r="X1" t="str">
            <v>2010E</v>
          </cell>
          <cell r="Y1" t="str">
            <v>2011E</v>
          </cell>
          <cell r="Z1" t="str">
            <v>2012E</v>
          </cell>
          <cell r="AA1" t="str">
            <v>2013E</v>
          </cell>
          <cell r="AX1" t="str">
            <v>ElementName</v>
          </cell>
          <cell r="AY1" t="str">
            <v>ScaleOverride</v>
          </cell>
          <cell r="AZ1" t="str">
            <v>UnitOverride</v>
          </cell>
          <cell r="BA1" t="str">
            <v>ReverseSign</v>
          </cell>
          <cell r="BB1" t="str">
            <v>IsDrivingAssumption</v>
          </cell>
          <cell r="BC1" t="str">
            <v>SegmentID</v>
          </cell>
          <cell r="BD1" t="str">
            <v>ScaleOverride</v>
          </cell>
          <cell r="BE1" t="str">
            <v>UnitOverride</v>
          </cell>
          <cell r="BF1" t="str">
            <v>ReverseSign</v>
          </cell>
          <cell r="BG1" t="str">
            <v>IsDrivingAssumption</v>
          </cell>
          <cell r="BH1" t="str">
            <v>SegmentID</v>
          </cell>
        </row>
        <row r="3">
          <cell r="A3" t="str">
            <v>Sprint Nextel Corp.</v>
          </cell>
          <cell r="Y3" t="str">
            <v>Sprint Nextel Corp.</v>
          </cell>
          <cell r="AD3" t="str">
            <v>Sprint Nextel Corp.</v>
          </cell>
        </row>
        <row r="4">
          <cell r="A4" t="str">
            <v>Quarterly Income Statement</v>
          </cell>
          <cell r="Y4" t="str">
            <v>Annual Income Statement</v>
          </cell>
          <cell r="AD4" t="str">
            <v>Annual Income Statement</v>
          </cell>
        </row>
        <row r="5">
          <cell r="A5" t="str">
            <v>(Values in millions, except per-share amounts)</v>
          </cell>
          <cell r="Y5" t="str">
            <v>(Values in millions, except per-share amounts)</v>
          </cell>
          <cell r="AD5" t="str">
            <v>(Values in millions, except per-share amounts)</v>
          </cell>
        </row>
        <row r="6">
          <cell r="A6" t="str">
            <v>Calendar Year Ending Dec. 31</v>
          </cell>
          <cell r="B6" t="str">
            <v>1Q04</v>
          </cell>
          <cell r="C6" t="str">
            <v>2Q04</v>
          </cell>
          <cell r="D6" t="str">
            <v>3Q04</v>
          </cell>
          <cell r="E6" t="str">
            <v>4Q04</v>
          </cell>
          <cell r="F6">
            <v>2004</v>
          </cell>
          <cell r="G6" t="str">
            <v>1Q05</v>
          </cell>
          <cell r="H6" t="str">
            <v>2Q05</v>
          </cell>
          <cell r="I6" t="str">
            <v>3Q05</v>
          </cell>
          <cell r="J6" t="str">
            <v>4Q05</v>
          </cell>
          <cell r="K6">
            <v>2005</v>
          </cell>
          <cell r="L6" t="str">
            <v>1Q06</v>
          </cell>
          <cell r="M6" t="str">
            <v>2Q06E</v>
          </cell>
          <cell r="N6" t="str">
            <v>3Q06E</v>
          </cell>
          <cell r="O6" t="str">
            <v>4Q06E</v>
          </cell>
          <cell r="P6" t="str">
            <v>2006E</v>
          </cell>
          <cell r="Q6" t="str">
            <v>2007E</v>
          </cell>
          <cell r="R6" t="str">
            <v>2008E</v>
          </cell>
          <cell r="S6" t="str">
            <v>2009E</v>
          </cell>
          <cell r="T6" t="str">
            <v>2010E</v>
          </cell>
          <cell r="U6" t="str">
            <v>2011E</v>
          </cell>
          <cell r="V6" t="str">
            <v>2012E</v>
          </cell>
          <cell r="W6" t="str">
            <v>2009E</v>
          </cell>
          <cell r="X6" t="str">
            <v>2010E</v>
          </cell>
          <cell r="Y6" t="str">
            <v>Calendar Year Ending Dec. 31</v>
          </cell>
          <cell r="Z6">
            <v>2004</v>
          </cell>
          <cell r="AA6">
            <v>2005</v>
          </cell>
          <cell r="AB6" t="str">
            <v>2006E</v>
          </cell>
          <cell r="AC6" t="str">
            <v>2007E</v>
          </cell>
          <cell r="AD6" t="str">
            <v>2008E</v>
          </cell>
          <cell r="AE6" t="str">
            <v>2009E</v>
          </cell>
          <cell r="AF6" t="str">
            <v>2010E</v>
          </cell>
          <cell r="AG6" t="str">
            <v>2011E</v>
          </cell>
          <cell r="AH6" t="str">
            <v>2012E</v>
          </cell>
          <cell r="AI6" t="str">
            <v>2010E</v>
          </cell>
          <cell r="AJ6" t="str">
            <v>2011E</v>
          </cell>
          <cell r="AK6" t="str">
            <v>2012E</v>
          </cell>
          <cell r="AL6" t="str">
            <v>2013E</v>
          </cell>
        </row>
        <row r="7">
          <cell r="A7" t="str">
            <v>Wireless Revenues</v>
          </cell>
          <cell r="B7">
            <v>6563</v>
          </cell>
          <cell r="C7">
            <v>6932</v>
          </cell>
          <cell r="D7">
            <v>7191</v>
          </cell>
          <cell r="E7">
            <v>7450</v>
          </cell>
          <cell r="F7">
            <v>28136</v>
          </cell>
          <cell r="G7">
            <v>7520</v>
          </cell>
          <cell r="H7">
            <v>7910</v>
          </cell>
          <cell r="I7">
            <v>8066</v>
          </cell>
          <cell r="J7">
            <v>8230</v>
          </cell>
          <cell r="K7">
            <v>31726</v>
          </cell>
          <cell r="L7">
            <v>8515</v>
          </cell>
          <cell r="M7">
            <v>8852.6217872371999</v>
          </cell>
          <cell r="N7">
            <v>8913.0414990041918</v>
          </cell>
          <cell r="O7">
            <v>9006.3150508643739</v>
          </cell>
          <cell r="P7">
            <v>35286.978337105764</v>
          </cell>
          <cell r="Q7">
            <v>37130.474698190206</v>
          </cell>
          <cell r="R7">
            <v>38230.086212681294</v>
          </cell>
          <cell r="S7">
            <v>38625.420398721806</v>
          </cell>
          <cell r="T7">
            <v>38673.348038114753</v>
          </cell>
          <cell r="U7">
            <v>38634.628264488645</v>
          </cell>
          <cell r="V7">
            <v>38542.910279295007</v>
          </cell>
          <cell r="W7">
            <v>36344.841528871104</v>
          </cell>
          <cell r="X7">
            <v>37384.062554702046</v>
          </cell>
          <cell r="Y7" t="str">
            <v>Wireless Revenues</v>
          </cell>
          <cell r="Z7">
            <v>28136</v>
          </cell>
          <cell r="AA7">
            <v>31726</v>
          </cell>
          <cell r="AB7">
            <v>35286.978337105764</v>
          </cell>
          <cell r="AC7">
            <v>37130.474698190206</v>
          </cell>
          <cell r="AD7">
            <v>38230.086212681294</v>
          </cell>
          <cell r="AE7">
            <v>38625.420398721806</v>
          </cell>
          <cell r="AF7">
            <v>38673.348038114753</v>
          </cell>
          <cell r="AG7">
            <v>38634.628264488645</v>
          </cell>
          <cell r="AH7">
            <v>38542.910279295007</v>
          </cell>
          <cell r="AI7">
            <v>37384.062554702046</v>
          </cell>
          <cell r="AJ7">
            <v>38255.094346857892</v>
          </cell>
          <cell r="AK7">
            <v>38977.056755923972</v>
          </cell>
          <cell r="AL7">
            <v>39636.391226099877</v>
          </cell>
        </row>
        <row r="8">
          <cell r="A8" t="str">
            <v>Global Markets Division</v>
          </cell>
          <cell r="F8">
            <v>7327</v>
          </cell>
          <cell r="G8">
            <v>1715</v>
          </cell>
          <cell r="H8">
            <v>1722</v>
          </cell>
          <cell r="I8">
            <v>1735</v>
          </cell>
          <cell r="J8">
            <v>1662</v>
          </cell>
          <cell r="K8">
            <v>6834</v>
          </cell>
          <cell r="L8">
            <v>1669</v>
          </cell>
          <cell r="M8">
            <v>1633.7199999999998</v>
          </cell>
          <cell r="N8">
            <v>1615.875</v>
          </cell>
          <cell r="O8">
            <v>1595.76</v>
          </cell>
          <cell r="P8">
            <v>6514.3549999999996</v>
          </cell>
          <cell r="Q8">
            <v>6075.2757822045642</v>
          </cell>
          <cell r="R8">
            <v>5815.129980000982</v>
          </cell>
          <cell r="S8">
            <v>5615.5743622886457</v>
          </cell>
          <cell r="T8">
            <v>5446.4154733000596</v>
          </cell>
          <cell r="U8">
            <v>5290.6619033268107</v>
          </cell>
          <cell r="V8">
            <v>5138.5586661482566</v>
          </cell>
          <cell r="W8">
            <v>6310.2278234000005</v>
          </cell>
          <cell r="X8">
            <v>6225.7904821352004</v>
          </cell>
          <cell r="Y8" t="str">
            <v>Global Markets Division</v>
          </cell>
          <cell r="Z8">
            <v>7327</v>
          </cell>
          <cell r="AA8">
            <v>6834</v>
          </cell>
          <cell r="AB8">
            <v>6514.3549999999996</v>
          </cell>
          <cell r="AC8">
            <v>6075.2757822045642</v>
          </cell>
          <cell r="AD8">
            <v>5815.129980000982</v>
          </cell>
          <cell r="AE8">
            <v>5615.5743622886457</v>
          </cell>
          <cell r="AF8">
            <v>5446.4154733000596</v>
          </cell>
          <cell r="AG8">
            <v>5290.6619033268107</v>
          </cell>
          <cell r="AH8">
            <v>5138.5586661482566</v>
          </cell>
          <cell r="AI8">
            <v>6225.7904821352004</v>
          </cell>
          <cell r="AJ8">
            <v>6165.4178843042255</v>
          </cell>
          <cell r="AK8">
            <v>6125.283781110973</v>
          </cell>
          <cell r="AL8">
            <v>6091.3399787516164</v>
          </cell>
        </row>
        <row r="9">
          <cell r="A9" t="str">
            <v>Local Division</v>
          </cell>
          <cell r="F9">
            <v>6021</v>
          </cell>
          <cell r="G9">
            <v>1597</v>
          </cell>
          <cell r="H9">
            <v>1591</v>
          </cell>
          <cell r="I9">
            <v>1672</v>
          </cell>
          <cell r="J9">
            <v>1667</v>
          </cell>
          <cell r="K9">
            <v>6527</v>
          </cell>
          <cell r="L9">
            <v>0</v>
          </cell>
          <cell r="M9">
            <v>0</v>
          </cell>
          <cell r="N9">
            <v>0</v>
          </cell>
          <cell r="O9">
            <v>0</v>
          </cell>
          <cell r="P9">
            <v>0</v>
          </cell>
          <cell r="Q9">
            <v>0</v>
          </cell>
          <cell r="R9">
            <v>0</v>
          </cell>
          <cell r="S9">
            <v>0</v>
          </cell>
          <cell r="T9">
            <v>0</v>
          </cell>
          <cell r="U9">
            <v>0</v>
          </cell>
          <cell r="V9">
            <v>0</v>
          </cell>
          <cell r="W9">
            <v>0</v>
          </cell>
          <cell r="X9">
            <v>0</v>
          </cell>
          <cell r="Y9" t="str">
            <v>Local Division</v>
          </cell>
          <cell r="Z9">
            <v>6021</v>
          </cell>
          <cell r="AA9">
            <v>6527</v>
          </cell>
          <cell r="AB9">
            <v>0</v>
          </cell>
          <cell r="AC9">
            <v>0</v>
          </cell>
          <cell r="AD9">
            <v>0</v>
          </cell>
          <cell r="AE9">
            <v>0</v>
          </cell>
          <cell r="AF9">
            <v>0</v>
          </cell>
          <cell r="AG9">
            <v>0</v>
          </cell>
          <cell r="AH9">
            <v>0</v>
          </cell>
          <cell r="AI9">
            <v>0</v>
          </cell>
          <cell r="AJ9">
            <v>0</v>
          </cell>
          <cell r="AK9">
            <v>0</v>
          </cell>
          <cell r="AL9">
            <v>0</v>
          </cell>
        </row>
        <row r="10">
          <cell r="A10" t="str">
            <v>Other / Eliminations</v>
          </cell>
          <cell r="F10">
            <v>-582</v>
          </cell>
          <cell r="G10">
            <v>-246</v>
          </cell>
          <cell r="H10">
            <v>-245</v>
          </cell>
          <cell r="I10">
            <v>-264</v>
          </cell>
          <cell r="J10">
            <v>-263</v>
          </cell>
          <cell r="K10">
            <v>-1018</v>
          </cell>
          <cell r="L10">
            <v>-142</v>
          </cell>
          <cell r="M10">
            <v>-250</v>
          </cell>
          <cell r="N10">
            <v>-250</v>
          </cell>
          <cell r="O10">
            <v>-250</v>
          </cell>
          <cell r="P10">
            <v>-892</v>
          </cell>
          <cell r="Q10">
            <v>-936.6</v>
          </cell>
          <cell r="R10">
            <v>-983.43000000000006</v>
          </cell>
          <cell r="S10">
            <v>-1032.6015000000002</v>
          </cell>
          <cell r="T10">
            <v>-1084.2315750000002</v>
          </cell>
          <cell r="U10">
            <v>-1138.4431537500004</v>
          </cell>
          <cell r="V10">
            <v>-1195.3653114375004</v>
          </cell>
          <cell r="W10">
            <v>-946.53417351000007</v>
          </cell>
          <cell r="X10">
            <v>-933.86857232028001</v>
          </cell>
          <cell r="Y10" t="str">
            <v>Other / Eliminations</v>
          </cell>
          <cell r="Z10">
            <v>-582</v>
          </cell>
          <cell r="AA10">
            <v>-1018</v>
          </cell>
          <cell r="AB10">
            <v>-892</v>
          </cell>
          <cell r="AC10">
            <v>-936.6</v>
          </cell>
          <cell r="AD10">
            <v>-983.43000000000006</v>
          </cell>
          <cell r="AE10">
            <v>-1032.6015000000002</v>
          </cell>
          <cell r="AF10">
            <v>-1084.2315750000002</v>
          </cell>
          <cell r="AG10">
            <v>-1138.4431537500004</v>
          </cell>
          <cell r="AH10">
            <v>-1195.3653114375004</v>
          </cell>
          <cell r="AI10">
            <v>-933.86857232028001</v>
          </cell>
          <cell r="AJ10">
            <v>-924.8126826456338</v>
          </cell>
          <cell r="AK10">
            <v>-918.79256716664588</v>
          </cell>
          <cell r="AL10">
            <v>-913.70099681274246</v>
          </cell>
        </row>
        <row r="11">
          <cell r="B11" t="str">
            <v xml:space="preserve">______ </v>
          </cell>
          <cell r="C11" t="str">
            <v xml:space="preserve">______ </v>
          </cell>
          <cell r="D11" t="str">
            <v xml:space="preserve">______ </v>
          </cell>
          <cell r="E11" t="str">
            <v xml:space="preserve">______ </v>
          </cell>
          <cell r="F11" t="str">
            <v xml:space="preserve">______ </v>
          </cell>
          <cell r="G11" t="str">
            <v xml:space="preserve">______ </v>
          </cell>
          <cell r="H11" t="str">
            <v xml:space="preserve">______ </v>
          </cell>
          <cell r="I11" t="str">
            <v xml:space="preserve">______ </v>
          </cell>
          <cell r="J11" t="str">
            <v xml:space="preserve">______ </v>
          </cell>
          <cell r="K11" t="str">
            <v xml:space="preserve">______ </v>
          </cell>
          <cell r="L11" t="str">
            <v xml:space="preserve">______ </v>
          </cell>
          <cell r="M11" t="str">
            <v xml:space="preserve">______ </v>
          </cell>
          <cell r="N11" t="str">
            <v xml:space="preserve">______ </v>
          </cell>
          <cell r="O11" t="str">
            <v xml:space="preserve">______ </v>
          </cell>
          <cell r="P11" t="str">
            <v xml:space="preserve">______ </v>
          </cell>
          <cell r="Q11" t="str">
            <v xml:space="preserve">______ </v>
          </cell>
          <cell r="R11" t="str">
            <v xml:space="preserve">______ </v>
          </cell>
          <cell r="S11" t="str">
            <v xml:space="preserve">______ </v>
          </cell>
          <cell r="T11" t="str">
            <v xml:space="preserve">______ </v>
          </cell>
          <cell r="U11" t="str">
            <v xml:space="preserve">______ </v>
          </cell>
          <cell r="V11" t="str">
            <v xml:space="preserve">______ </v>
          </cell>
          <cell r="W11" t="str">
            <v xml:space="preserve">______ </v>
          </cell>
          <cell r="X11" t="str">
            <v xml:space="preserve">______ </v>
          </cell>
          <cell r="Y11" t="str">
            <v xml:space="preserve">______ </v>
          </cell>
          <cell r="Z11" t="str">
            <v xml:space="preserve">______ </v>
          </cell>
          <cell r="AA11" t="str">
            <v xml:space="preserve">______ </v>
          </cell>
          <cell r="AB11" t="str">
            <v xml:space="preserve">______ </v>
          </cell>
          <cell r="AC11" t="str">
            <v xml:space="preserve">______ </v>
          </cell>
          <cell r="AD11" t="str">
            <v xml:space="preserve">______ </v>
          </cell>
          <cell r="AE11" t="str">
            <v xml:space="preserve">______ </v>
          </cell>
          <cell r="AF11" t="str">
            <v xml:space="preserve">______ </v>
          </cell>
          <cell r="AG11" t="str">
            <v xml:space="preserve">______ </v>
          </cell>
          <cell r="AH11" t="str">
            <v xml:space="preserve">______ </v>
          </cell>
          <cell r="AI11" t="str">
            <v xml:space="preserve">______ </v>
          </cell>
          <cell r="AJ11" t="str">
            <v xml:space="preserve">______ </v>
          </cell>
          <cell r="AK11" t="str">
            <v xml:space="preserve">______ </v>
          </cell>
          <cell r="AL11" t="str">
            <v xml:space="preserve">______ </v>
          </cell>
        </row>
        <row r="12">
          <cell r="A12" t="str">
            <v>Total Revenues</v>
          </cell>
          <cell r="B12">
            <v>9831</v>
          </cell>
          <cell r="C12">
            <v>10183</v>
          </cell>
          <cell r="D12">
            <v>10349</v>
          </cell>
          <cell r="E12">
            <v>10539</v>
          </cell>
          <cell r="F12">
            <v>40902</v>
          </cell>
          <cell r="G12">
            <v>10586</v>
          </cell>
          <cell r="H12">
            <v>10978</v>
          </cell>
          <cell r="I12">
            <v>11209</v>
          </cell>
          <cell r="J12">
            <v>11296</v>
          </cell>
          <cell r="K12">
            <v>44069</v>
          </cell>
          <cell r="L12">
            <v>10042</v>
          </cell>
          <cell r="M12">
            <v>10236.341787237199</v>
          </cell>
          <cell r="N12">
            <v>10278.916499004192</v>
          </cell>
          <cell r="O12">
            <v>10352.075050864374</v>
          </cell>
          <cell r="P12">
            <v>40909.333337105767</v>
          </cell>
          <cell r="Q12">
            <v>42269.150480394768</v>
          </cell>
          <cell r="R12">
            <v>43061.786192682273</v>
          </cell>
          <cell r="S12">
            <v>43208.393261010453</v>
          </cell>
          <cell r="T12">
            <v>43035.531936414816</v>
          </cell>
          <cell r="U12">
            <v>42786.847014065461</v>
          </cell>
          <cell r="V12">
            <v>42486.103634005769</v>
          </cell>
          <cell r="W12">
            <v>41708.535178761107</v>
          </cell>
          <cell r="X12">
            <v>42675.984464516965</v>
          </cell>
          <cell r="Y12" t="str">
            <v>Total Revenues</v>
          </cell>
          <cell r="Z12">
            <v>40902</v>
          </cell>
          <cell r="AA12">
            <v>44069</v>
          </cell>
          <cell r="AB12">
            <v>40909.333337105767</v>
          </cell>
          <cell r="AC12">
            <v>42269.150480394768</v>
          </cell>
          <cell r="AD12">
            <v>43061.786192682273</v>
          </cell>
          <cell r="AE12">
            <v>43208.393261010453</v>
          </cell>
          <cell r="AF12">
            <v>43035.531936414816</v>
          </cell>
          <cell r="AG12">
            <v>42786.847014065461</v>
          </cell>
          <cell r="AH12">
            <v>42486.103634005769</v>
          </cell>
          <cell r="AI12">
            <v>42675.984464516965</v>
          </cell>
          <cell r="AJ12">
            <v>43495.699548516481</v>
          </cell>
          <cell r="AK12">
            <v>44183.547969868298</v>
          </cell>
          <cell r="AL12">
            <v>44814.030208038748</v>
          </cell>
          <cell r="AX12" t="str">
            <v>mstag:revenueNet</v>
          </cell>
          <cell r="AY12">
            <v>6</v>
          </cell>
          <cell r="AZ12" t="str">
            <v>ISO4217:USD</v>
          </cell>
          <cell r="BA12" t="b">
            <v>0</v>
          </cell>
          <cell r="BB12" t="b">
            <v>0</v>
          </cell>
          <cell r="BC12" t="str">
            <v>mstag:revenueNet</v>
          </cell>
          <cell r="BD12">
            <v>6</v>
          </cell>
          <cell r="BE12" t="str">
            <v>ISO4217:USD</v>
          </cell>
          <cell r="BF12" t="b">
            <v>0</v>
          </cell>
          <cell r="BG12" t="b">
            <v>0</v>
          </cell>
        </row>
        <row r="13">
          <cell r="A13" t="str">
            <v xml:space="preserve">     Year-over-Year Growth</v>
          </cell>
          <cell r="G13">
            <v>7.6797884243718917E-2</v>
          </cell>
          <cell r="H13">
            <v>7.8071295296081811E-2</v>
          </cell>
          <cell r="I13">
            <v>8.3099816407382399E-2</v>
          </cell>
          <cell r="J13">
            <v>7.1828446721700301E-2</v>
          </cell>
          <cell r="K13">
            <v>7.742897657816239E-2</v>
          </cell>
          <cell r="L13">
            <v>-5.138862648781406E-2</v>
          </cell>
          <cell r="M13">
            <v>-6.7558591069666662E-2</v>
          </cell>
          <cell r="N13">
            <v>-8.2976492193398865E-2</v>
          </cell>
          <cell r="O13">
            <v>-8.3562761077870529E-2</v>
          </cell>
          <cell r="P13">
            <v>-7.1698170207951883E-2</v>
          </cell>
          <cell r="Q13">
            <v>3.3239777634205936E-2</v>
          </cell>
          <cell r="R13">
            <v>1.8752108885063734E-2</v>
          </cell>
          <cell r="S13">
            <v>3.4045747120701186E-3</v>
          </cell>
          <cell r="T13">
            <v>-4.0006422722416168E-3</v>
          </cell>
          <cell r="U13">
            <v>-5.7785952946227681E-3</v>
          </cell>
          <cell r="V13">
            <v>-7.0288745501818628E-3</v>
          </cell>
          <cell r="W13">
            <v>1.9775976175211207E-2</v>
          </cell>
          <cell r="X13">
            <v>2.3195475017509182E-2</v>
          </cell>
          <cell r="Y13" t="str">
            <v xml:space="preserve">     Year-over-Year Growth</v>
          </cell>
          <cell r="Z13">
            <v>0</v>
          </cell>
          <cell r="AA13">
            <v>7.742897657816239E-2</v>
          </cell>
          <cell r="AB13">
            <v>-7.1698170207951883E-2</v>
          </cell>
          <cell r="AC13">
            <v>3.3239777634205936E-2</v>
          </cell>
          <cell r="AD13">
            <v>1.8752108885063734E-2</v>
          </cell>
          <cell r="AE13">
            <v>3.4045747120701186E-3</v>
          </cell>
          <cell r="AF13">
            <v>-4.0006422722416168E-3</v>
          </cell>
          <cell r="AG13">
            <v>-5.7785952946227681E-3</v>
          </cell>
          <cell r="AH13">
            <v>-7.0288745501818628E-3</v>
          </cell>
          <cell r="AI13">
            <v>2.3195475017509182E-2</v>
          </cell>
          <cell r="AJ13">
            <v>1.920787755185982E-2</v>
          </cell>
          <cell r="AK13">
            <v>1.5814170791403681E-2</v>
          </cell>
          <cell r="AL13">
            <v>1.4269615436959038E-2</v>
          </cell>
        </row>
        <row r="15">
          <cell r="A15" t="str">
            <v>Cost of Services &amp; Products</v>
          </cell>
          <cell r="B15">
            <v>3776</v>
          </cell>
          <cell r="C15">
            <v>3858</v>
          </cell>
          <cell r="D15">
            <v>3987</v>
          </cell>
          <cell r="E15">
            <v>4152</v>
          </cell>
          <cell r="F15">
            <v>15773</v>
          </cell>
          <cell r="G15">
            <v>4089</v>
          </cell>
          <cell r="H15">
            <v>4199</v>
          </cell>
          <cell r="I15">
            <v>4268.5</v>
          </cell>
          <cell r="J15">
            <v>4651</v>
          </cell>
          <cell r="K15">
            <v>17207.5</v>
          </cell>
          <cell r="L15">
            <v>4069</v>
          </cell>
          <cell r="M15">
            <v>4255.2674674072441</v>
          </cell>
          <cell r="N15">
            <v>4133.8064134687011</v>
          </cell>
          <cell r="O15">
            <v>4290.3344823509151</v>
          </cell>
          <cell r="P15">
            <v>16748.408363226859</v>
          </cell>
          <cell r="Q15">
            <v>16874.741418293052</v>
          </cell>
          <cell r="R15">
            <v>16871.351668121737</v>
          </cell>
          <cell r="S15">
            <v>16641.062582901526</v>
          </cell>
          <cell r="T15">
            <v>16343.454798848117</v>
          </cell>
          <cell r="U15">
            <v>16077.38782212307</v>
          </cell>
          <cell r="V15">
            <v>15833.032546030232</v>
          </cell>
          <cell r="W15">
            <v>18011.06138017893</v>
          </cell>
          <cell r="X15">
            <v>18061.363189303629</v>
          </cell>
          <cell r="Y15" t="str">
            <v>Cost of Services &amp; Products</v>
          </cell>
          <cell r="Z15">
            <v>15773</v>
          </cell>
          <cell r="AA15">
            <v>17207.5</v>
          </cell>
          <cell r="AB15">
            <v>16748.408363226859</v>
          </cell>
          <cell r="AC15">
            <v>16874.741418293052</v>
          </cell>
          <cell r="AD15">
            <v>16871.351668121737</v>
          </cell>
          <cell r="AE15">
            <v>16641.062582901526</v>
          </cell>
          <cell r="AF15">
            <v>16343.454798848117</v>
          </cell>
          <cell r="AG15">
            <v>16077.38782212307</v>
          </cell>
          <cell r="AH15">
            <v>15833.032546030232</v>
          </cell>
          <cell r="AI15">
            <v>18061.363189303629</v>
          </cell>
          <cell r="AJ15">
            <v>18053.526897703803</v>
          </cell>
          <cell r="AK15">
            <v>17999.383111268893</v>
          </cell>
          <cell r="AL15">
            <v>17911.035042931155</v>
          </cell>
          <cell r="AX15" t="str">
            <v>mstag:costOfServicesSold</v>
          </cell>
          <cell r="AY15">
            <v>6</v>
          </cell>
          <cell r="AZ15" t="str">
            <v>ISO4217:USD</v>
          </cell>
          <cell r="BA15" t="b">
            <v>0</v>
          </cell>
          <cell r="BB15" t="b">
            <v>0</v>
          </cell>
          <cell r="BC15" t="str">
            <v>mstag:costOfServicesSold</v>
          </cell>
          <cell r="BD15">
            <v>6</v>
          </cell>
          <cell r="BE15" t="str">
            <v>ISO4217:USD</v>
          </cell>
          <cell r="BF15" t="b">
            <v>0</v>
          </cell>
          <cell r="BG15" t="b">
            <v>0</v>
          </cell>
        </row>
        <row r="16">
          <cell r="A16" t="str">
            <v xml:space="preserve">    Gross Margin</v>
          </cell>
          <cell r="B16">
            <v>0.61590885972942733</v>
          </cell>
          <cell r="C16">
            <v>0.62113326131788282</v>
          </cell>
          <cell r="D16">
            <v>0.61474538602763551</v>
          </cell>
          <cell r="E16">
            <v>0.6060347281525762</v>
          </cell>
          <cell r="F16">
            <v>0.61437093540658161</v>
          </cell>
          <cell r="G16">
            <v>0.61373512185905921</v>
          </cell>
          <cell r="H16">
            <v>0.61750774275824383</v>
          </cell>
          <cell r="I16">
            <v>0.61918993665804267</v>
          </cell>
          <cell r="J16">
            <v>0.58826133144475923</v>
          </cell>
          <cell r="K16">
            <v>0.60953277814336615</v>
          </cell>
          <cell r="L16">
            <v>0.59480183230432182</v>
          </cell>
          <cell r="M16">
            <v>0.5842980279622193</v>
          </cell>
          <cell r="N16">
            <v>0.59783636593709277</v>
          </cell>
          <cell r="O16">
            <v>0.58555801988774392</v>
          </cell>
          <cell r="P16">
            <v>0.5905968883624988</v>
          </cell>
          <cell r="Q16">
            <v>0.60077878957799546</v>
          </cell>
          <cell r="R16">
            <v>0.60820594871216049</v>
          </cell>
          <cell r="S16">
            <v>0.61486504526152408</v>
          </cell>
          <cell r="T16">
            <v>0.62023346608110619</v>
          </cell>
          <cell r="U16">
            <v>0.62424462319371421</v>
          </cell>
          <cell r="V16">
            <v>0.62733620662362855</v>
          </cell>
          <cell r="W16">
            <v>0.56816845034273578</v>
          </cell>
          <cell r="X16">
            <v>0.57677922569493889</v>
          </cell>
          <cell r="Y16" t="str">
            <v xml:space="preserve">    Gross Margin</v>
          </cell>
          <cell r="Z16">
            <v>0.61437093540658161</v>
          </cell>
          <cell r="AA16">
            <v>0.60953277814336615</v>
          </cell>
          <cell r="AB16">
            <v>0.5905968883624988</v>
          </cell>
          <cell r="AC16">
            <v>0.60077878957799546</v>
          </cell>
          <cell r="AD16">
            <v>0.60820594871216049</v>
          </cell>
          <cell r="AE16">
            <v>0.61486504526152408</v>
          </cell>
          <cell r="AF16">
            <v>0.62023346608110619</v>
          </cell>
          <cell r="AG16">
            <v>0.62424462319371421</v>
          </cell>
          <cell r="AH16">
            <v>0.62733620662362855</v>
          </cell>
          <cell r="AI16">
            <v>0.57677922569493889</v>
          </cell>
          <cell r="AJ16">
            <v>0.58493535947004771</v>
          </cell>
          <cell r="AK16">
            <v>0.59262250456790233</v>
          </cell>
          <cell r="AL16">
            <v>0.60032527849462936</v>
          </cell>
        </row>
        <row r="17">
          <cell r="A17" t="str">
            <v>Selling, General and Admin.</v>
          </cell>
          <cell r="B17">
            <v>2953</v>
          </cell>
          <cell r="C17">
            <v>3124</v>
          </cell>
          <cell r="D17">
            <v>3030</v>
          </cell>
          <cell r="E17">
            <v>3095</v>
          </cell>
          <cell r="F17">
            <v>12202</v>
          </cell>
          <cell r="G17">
            <v>3186</v>
          </cell>
          <cell r="H17">
            <v>3129</v>
          </cell>
          <cell r="I17">
            <v>3269.5</v>
          </cell>
          <cell r="J17">
            <v>3536</v>
          </cell>
          <cell r="K17">
            <v>13120.5</v>
          </cell>
          <cell r="L17">
            <v>3141</v>
          </cell>
          <cell r="M17">
            <v>3065.4138755649651</v>
          </cell>
          <cell r="N17">
            <v>3029.7647976935782</v>
          </cell>
          <cell r="O17">
            <v>3046.6005512929787</v>
          </cell>
          <cell r="P17">
            <v>12282.779224551523</v>
          </cell>
          <cell r="Q17">
            <v>11837.432828424537</v>
          </cell>
          <cell r="R17">
            <v>11513.833226564779</v>
          </cell>
          <cell r="S17">
            <v>11412.996921261103</v>
          </cell>
          <cell r="T17">
            <v>11218.992396605481</v>
          </cell>
          <cell r="U17">
            <v>11004.808712277714</v>
          </cell>
          <cell r="V17">
            <v>10777.266004880124</v>
          </cell>
          <cell r="W17">
            <v>12397.961513076069</v>
          </cell>
          <cell r="X17">
            <v>12593.536299419335</v>
          </cell>
          <cell r="Y17" t="str">
            <v>Selling, General and Admin.</v>
          </cell>
          <cell r="Z17">
            <v>12202</v>
          </cell>
          <cell r="AA17">
            <v>13120.5</v>
          </cell>
          <cell r="AB17">
            <v>12282.779224551523</v>
          </cell>
          <cell r="AC17">
            <v>11837.432828424537</v>
          </cell>
          <cell r="AD17">
            <v>11513.833226564779</v>
          </cell>
          <cell r="AE17">
            <v>11412.996921261103</v>
          </cell>
          <cell r="AF17">
            <v>11218.992396605481</v>
          </cell>
          <cell r="AG17">
            <v>11004.808712277714</v>
          </cell>
          <cell r="AH17">
            <v>10777.266004880124</v>
          </cell>
          <cell r="AI17">
            <v>12593.536299419335</v>
          </cell>
          <cell r="AJ17">
            <v>12752.120883023063</v>
          </cell>
          <cell r="AK17">
            <v>12862.690034134024</v>
          </cell>
          <cell r="AL17">
            <v>12951.950938520344</v>
          </cell>
          <cell r="AX17" t="str">
            <v>mstag:sellingGeneralAndAdministrativeExpenses</v>
          </cell>
          <cell r="AY17">
            <v>6</v>
          </cell>
          <cell r="AZ17" t="str">
            <v>ISO4217:USD</v>
          </cell>
          <cell r="BA17" t="b">
            <v>0</v>
          </cell>
          <cell r="BB17" t="b">
            <v>0</v>
          </cell>
          <cell r="BC17" t="str">
            <v>mstag:sellingGeneralAndAdministrativeExpenses</v>
          </cell>
          <cell r="BD17">
            <v>6</v>
          </cell>
          <cell r="BE17" t="str">
            <v>ISO4217:USD</v>
          </cell>
          <cell r="BF17" t="b">
            <v>0</v>
          </cell>
          <cell r="BG17" t="b">
            <v>0</v>
          </cell>
        </row>
        <row r="18">
          <cell r="A18" t="str">
            <v xml:space="preserve">    % of Revenue</v>
          </cell>
          <cell r="B18">
            <v>0.30037636049232019</v>
          </cell>
          <cell r="C18">
            <v>0.30678581950309342</v>
          </cell>
          <cell r="D18">
            <v>0.29278191129577735</v>
          </cell>
          <cell r="E18">
            <v>0.29367112629281716</v>
          </cell>
          <cell r="F18">
            <v>0.29832282039998043</v>
          </cell>
          <cell r="G18">
            <v>0.3009635367466465</v>
          </cell>
          <cell r="H18">
            <v>0.28502459464383312</v>
          </cell>
          <cell r="I18">
            <v>0.29168525292175929</v>
          </cell>
          <cell r="J18">
            <v>0.31303116147308779</v>
          </cell>
          <cell r="K18">
            <v>0.29772629285892577</v>
          </cell>
          <cell r="L18">
            <v>0.31278629755028881</v>
          </cell>
          <cell r="M18">
            <v>0.29946380643395104</v>
          </cell>
          <cell r="N18">
            <v>0.29475526900010307</v>
          </cell>
          <cell r="O18">
            <v>0.29429853786063837</v>
          </cell>
          <cell r="P18">
            <v>0.30024393512691983</v>
          </cell>
          <cell r="Q18">
            <v>0.28004898830211794</v>
          </cell>
          <cell r="R18">
            <v>0.26737936914752014</v>
          </cell>
          <cell r="S18">
            <v>0.26413842450280928</v>
          </cell>
          <cell r="T18">
            <v>0.26069138434681349</v>
          </cell>
          <cell r="U18">
            <v>0.25720073995309978</v>
          </cell>
          <cell r="V18">
            <v>0.25366567143271823</v>
          </cell>
          <cell r="W18">
            <v>0.29725238395304232</v>
          </cell>
          <cell r="X18">
            <v>0.29509656209314294</v>
          </cell>
          <cell r="Y18" t="str">
            <v xml:space="preserve">    % of Revenue</v>
          </cell>
          <cell r="Z18">
            <v>0.29832282039998043</v>
          </cell>
          <cell r="AA18">
            <v>0.29772629285892577</v>
          </cell>
          <cell r="AB18">
            <v>0.30024393512691983</v>
          </cell>
          <cell r="AC18">
            <v>0.28004898830211794</v>
          </cell>
          <cell r="AD18">
            <v>0.26737936914752014</v>
          </cell>
          <cell r="AE18">
            <v>0.26413842450280928</v>
          </cell>
          <cell r="AF18">
            <v>0.26069138434681349</v>
          </cell>
          <cell r="AG18">
            <v>0.25720073995309978</v>
          </cell>
          <cell r="AH18">
            <v>0.25366567143271823</v>
          </cell>
          <cell r="AI18">
            <v>0.29509656209314294</v>
          </cell>
          <cell r="AJ18">
            <v>0.29318118837930041</v>
          </cell>
          <cell r="AK18">
            <v>0.29111944660727446</v>
          </cell>
          <cell r="AL18">
            <v>0.28901553550068837</v>
          </cell>
        </row>
        <row r="19">
          <cell r="A19" t="str">
            <v>Other / Eliminations</v>
          </cell>
          <cell r="B19" t="str">
            <v xml:space="preserve">______ </v>
          </cell>
          <cell r="C19" t="str">
            <v xml:space="preserve">______ </v>
          </cell>
          <cell r="D19" t="str">
            <v xml:space="preserve">______ </v>
          </cell>
          <cell r="E19" t="str">
            <v xml:space="preserve">______ </v>
          </cell>
          <cell r="F19" t="str">
            <v xml:space="preserve">______ </v>
          </cell>
          <cell r="G19" t="str">
            <v xml:space="preserve">______ </v>
          </cell>
          <cell r="H19" t="str">
            <v xml:space="preserve">______ </v>
          </cell>
          <cell r="I19" t="str">
            <v xml:space="preserve">______ </v>
          </cell>
          <cell r="J19" t="str">
            <v xml:space="preserve">______ </v>
          </cell>
          <cell r="K19" t="str">
            <v xml:space="preserve">______ </v>
          </cell>
          <cell r="L19" t="str">
            <v xml:space="preserve">______ </v>
          </cell>
          <cell r="M19" t="str">
            <v xml:space="preserve">______ </v>
          </cell>
          <cell r="N19" t="str">
            <v xml:space="preserve">______ </v>
          </cell>
          <cell r="O19" t="str">
            <v xml:space="preserve">______ </v>
          </cell>
          <cell r="P19" t="str">
            <v xml:space="preserve">______ </v>
          </cell>
          <cell r="Q19" t="str">
            <v xml:space="preserve">______ </v>
          </cell>
          <cell r="R19" t="str">
            <v xml:space="preserve">______ </v>
          </cell>
          <cell r="S19" t="str">
            <v xml:space="preserve">______ </v>
          </cell>
          <cell r="T19" t="str">
            <v xml:space="preserve">______ </v>
          </cell>
          <cell r="U19" t="str">
            <v xml:space="preserve">______ </v>
          </cell>
          <cell r="V19" t="str">
            <v xml:space="preserve">______ </v>
          </cell>
          <cell r="W19">
            <v>-946.53417351000007</v>
          </cell>
          <cell r="X19">
            <v>-933.86857232028001</v>
          </cell>
          <cell r="Y19">
            <v>-924.8126826456338</v>
          </cell>
          <cell r="Z19" t="str">
            <v xml:space="preserve">______ </v>
          </cell>
          <cell r="AA19" t="str">
            <v xml:space="preserve">______ </v>
          </cell>
          <cell r="AB19" t="str">
            <v xml:space="preserve">______ </v>
          </cell>
          <cell r="AC19" t="str">
            <v xml:space="preserve">______ </v>
          </cell>
          <cell r="AD19" t="str">
            <v xml:space="preserve">______ </v>
          </cell>
          <cell r="AE19" t="str">
            <v xml:space="preserve">______ </v>
          </cell>
          <cell r="AF19" t="str">
            <v xml:space="preserve">______ </v>
          </cell>
          <cell r="AG19" t="str">
            <v xml:space="preserve">______ </v>
          </cell>
          <cell r="AH19" t="str">
            <v xml:space="preserve">______ </v>
          </cell>
          <cell r="AI19">
            <v>-933.86857232028001</v>
          </cell>
          <cell r="AJ19">
            <v>-924.8126826456338</v>
          </cell>
          <cell r="AK19">
            <v>-918.79256716664588</v>
          </cell>
          <cell r="AL19">
            <v>-913.70099681274246</v>
          </cell>
          <cell r="BC19" t="str">
            <v>mstag:otherOperatingExpense</v>
          </cell>
          <cell r="BD19">
            <v>6</v>
          </cell>
          <cell r="BE19" t="str">
            <v>ISO4217:USD</v>
          </cell>
          <cell r="BF19" t="b">
            <v>0</v>
          </cell>
        </row>
        <row r="20">
          <cell r="A20" t="str">
            <v>Total Expenses</v>
          </cell>
          <cell r="B20">
            <v>6729</v>
          </cell>
          <cell r="C20">
            <v>6982</v>
          </cell>
          <cell r="D20">
            <v>7017</v>
          </cell>
          <cell r="E20">
            <v>7247</v>
          </cell>
          <cell r="F20">
            <v>27975</v>
          </cell>
          <cell r="G20">
            <v>7275</v>
          </cell>
          <cell r="H20">
            <v>7328</v>
          </cell>
          <cell r="I20">
            <v>7538</v>
          </cell>
          <cell r="J20">
            <v>8187</v>
          </cell>
          <cell r="K20">
            <v>30328</v>
          </cell>
          <cell r="L20">
            <v>7210</v>
          </cell>
          <cell r="M20">
            <v>7320.6813429722097</v>
          </cell>
          <cell r="N20">
            <v>7163.5712111622797</v>
          </cell>
          <cell r="O20">
            <v>7336.9350336438938</v>
          </cell>
          <cell r="P20">
            <v>29031.187587778382</v>
          </cell>
          <cell r="Q20">
            <v>28712.174246717586</v>
          </cell>
          <cell r="R20">
            <v>28385.184894686514</v>
          </cell>
          <cell r="S20">
            <v>28054.059504162629</v>
          </cell>
          <cell r="T20">
            <v>27562.447195453598</v>
          </cell>
          <cell r="U20">
            <v>27082.196534400784</v>
          </cell>
          <cell r="V20">
            <v>26610.298550910356</v>
          </cell>
          <cell r="W20" t="str">
            <v xml:space="preserve">______ </v>
          </cell>
          <cell r="X20" t="str">
            <v xml:space="preserve">______ </v>
          </cell>
          <cell r="Y20" t="str">
            <v>Total Expenses</v>
          </cell>
          <cell r="Z20">
            <v>27975</v>
          </cell>
          <cell r="AA20">
            <v>30328</v>
          </cell>
          <cell r="AB20">
            <v>29031.187587778382</v>
          </cell>
          <cell r="AC20">
            <v>28712.174246717586</v>
          </cell>
          <cell r="AD20">
            <v>28385.184894686514</v>
          </cell>
          <cell r="AE20">
            <v>28054.059504162629</v>
          </cell>
          <cell r="AF20">
            <v>27562.447195453598</v>
          </cell>
          <cell r="AG20">
            <v>27082.196534400784</v>
          </cell>
          <cell r="AH20">
            <v>26610.298550910356</v>
          </cell>
          <cell r="AI20" t="str">
            <v xml:space="preserve">______ </v>
          </cell>
          <cell r="AJ20" t="str">
            <v xml:space="preserve">______ </v>
          </cell>
          <cell r="AK20" t="str">
            <v xml:space="preserve">______ </v>
          </cell>
          <cell r="AL20" t="str">
            <v xml:space="preserve">______ </v>
          </cell>
        </row>
        <row r="21">
          <cell r="A21" t="str">
            <v>Total Expenses</v>
          </cell>
          <cell r="B21">
            <v>6729</v>
          </cell>
          <cell r="C21">
            <v>6982</v>
          </cell>
          <cell r="D21">
            <v>7017</v>
          </cell>
          <cell r="E21">
            <v>7247</v>
          </cell>
          <cell r="F21">
            <v>27975</v>
          </cell>
          <cell r="G21">
            <v>7275</v>
          </cell>
          <cell r="H21">
            <v>7328</v>
          </cell>
          <cell r="I21">
            <v>7538</v>
          </cell>
          <cell r="J21">
            <v>8187</v>
          </cell>
          <cell r="K21">
            <v>30328</v>
          </cell>
          <cell r="L21">
            <v>7907</v>
          </cell>
          <cell r="M21">
            <v>6795</v>
          </cell>
          <cell r="N21">
            <v>7132</v>
          </cell>
          <cell r="O21">
            <v>7275</v>
          </cell>
          <cell r="P21">
            <v>29109</v>
          </cell>
          <cell r="Q21">
            <v>7519</v>
          </cell>
          <cell r="R21">
            <v>7232</v>
          </cell>
          <cell r="S21">
            <v>7396.6196489960294</v>
          </cell>
          <cell r="T21">
            <v>7461.005384026329</v>
          </cell>
          <cell r="U21">
            <v>29608.625033022363</v>
          </cell>
          <cell r="V21">
            <v>29220.131945970144</v>
          </cell>
          <cell r="W21">
            <v>29462.488719744997</v>
          </cell>
          <cell r="X21">
            <v>29721.030916402684</v>
          </cell>
          <cell r="Y21">
            <v>29880.835098081232</v>
          </cell>
          <cell r="Z21">
            <v>29943.28057823627</v>
          </cell>
          <cell r="AA21">
            <v>29949.284984638758</v>
          </cell>
          <cell r="AD21" t="str">
            <v>Total Expenses</v>
          </cell>
          <cell r="AE21">
            <v>29109</v>
          </cell>
          <cell r="AF21">
            <v>29608.625033022363</v>
          </cell>
          <cell r="AG21">
            <v>29220.131945970144</v>
          </cell>
          <cell r="AH21">
            <v>29462.488719744997</v>
          </cell>
          <cell r="AI21">
            <v>29721.030916402684</v>
          </cell>
          <cell r="AJ21">
            <v>29880.835098081232</v>
          </cell>
          <cell r="AK21">
            <v>29943.28057823627</v>
          </cell>
          <cell r="AL21">
            <v>29949.284984638758</v>
          </cell>
        </row>
        <row r="22">
          <cell r="A22" t="str">
            <v>EBITDA</v>
          </cell>
          <cell r="B22">
            <v>3102</v>
          </cell>
          <cell r="C22">
            <v>3201</v>
          </cell>
          <cell r="D22">
            <v>3332</v>
          </cell>
          <cell r="E22">
            <v>3292</v>
          </cell>
          <cell r="F22">
            <v>12927</v>
          </cell>
          <cell r="G22">
            <v>3311</v>
          </cell>
          <cell r="H22">
            <v>3650</v>
          </cell>
          <cell r="I22">
            <v>3671</v>
          </cell>
          <cell r="J22">
            <v>3109</v>
          </cell>
          <cell r="K22">
            <v>13741</v>
          </cell>
          <cell r="L22">
            <v>2832</v>
          </cell>
          <cell r="M22">
            <v>2915.6604442649896</v>
          </cell>
          <cell r="N22">
            <v>3115.3452878419121</v>
          </cell>
          <cell r="O22">
            <v>3015.1400172204803</v>
          </cell>
          <cell r="P22">
            <v>11878.145749327385</v>
          </cell>
          <cell r="Q22">
            <v>13556.976233677182</v>
          </cell>
          <cell r="R22">
            <v>14676.60129799576</v>
          </cell>
          <cell r="S22">
            <v>15154.333756847824</v>
          </cell>
          <cell r="T22">
            <v>15473.084740961218</v>
          </cell>
          <cell r="U22">
            <v>15704.650479664677</v>
          </cell>
          <cell r="V22">
            <v>15875.805083095413</v>
          </cell>
          <cell r="Y22" t="str">
            <v>EBITDA</v>
          </cell>
          <cell r="Z22">
            <v>12927</v>
          </cell>
          <cell r="AA22">
            <v>13741</v>
          </cell>
          <cell r="AB22">
            <v>11878.145749327385</v>
          </cell>
          <cell r="AC22">
            <v>13556.976233677182</v>
          </cell>
          <cell r="AD22">
            <v>14676.60129799576</v>
          </cell>
          <cell r="AE22">
            <v>15154.333756847824</v>
          </cell>
          <cell r="AF22">
            <v>15473.084740961218</v>
          </cell>
          <cell r="AG22">
            <v>15704.650479664677</v>
          </cell>
          <cell r="AH22">
            <v>15875.805083095413</v>
          </cell>
        </row>
        <row r="23">
          <cell r="A23" t="str">
            <v xml:space="preserve">  EBITDA Margin on Service</v>
          </cell>
          <cell r="B23">
            <v>0.31553249923710713</v>
          </cell>
          <cell r="C23">
            <v>0.31434744181478935</v>
          </cell>
          <cell r="D23">
            <v>0.32196347473185816</v>
          </cell>
          <cell r="E23">
            <v>0.31236360185975898</v>
          </cell>
          <cell r="F23">
            <v>0.31604811500660113</v>
          </cell>
          <cell r="G23">
            <v>0.3127715851124126</v>
          </cell>
          <cell r="H23">
            <v>0.33248314811441065</v>
          </cell>
          <cell r="I23">
            <v>0.32750468373628333</v>
          </cell>
          <cell r="J23">
            <v>0.27523016997167138</v>
          </cell>
          <cell r="K23">
            <v>0.31180648528444033</v>
          </cell>
          <cell r="L23">
            <v>0.28201553475403307</v>
          </cell>
          <cell r="M23">
            <v>0.28483422152826821</v>
          </cell>
          <cell r="N23">
            <v>0.3030810969369897</v>
          </cell>
          <cell r="O23">
            <v>0.29125948202710561</v>
          </cell>
          <cell r="P23">
            <v>0.29035295323557903</v>
          </cell>
          <cell r="Q23">
            <v>0.32072980127587764</v>
          </cell>
          <cell r="R23">
            <v>0.34082657956464041</v>
          </cell>
          <cell r="S23">
            <v>0.35072662075871486</v>
          </cell>
          <cell r="T23">
            <v>0.35954208173429264</v>
          </cell>
          <cell r="U23">
            <v>0.36704388324061449</v>
          </cell>
          <cell r="V23">
            <v>0.37367053519091026</v>
          </cell>
          <cell r="W23">
            <v>-324.86858894299587</v>
          </cell>
          <cell r="X23">
            <v>27.249061809571231</v>
          </cell>
          <cell r="Y23" t="str">
            <v xml:space="preserve">  EBITDA Margin on Service</v>
          </cell>
          <cell r="Z23">
            <v>0.31604811500660113</v>
          </cell>
          <cell r="AA23">
            <v>0.31180648528444033</v>
          </cell>
          <cell r="AB23">
            <v>0.29035295323557903</v>
          </cell>
          <cell r="AC23">
            <v>0.32072980127587764</v>
          </cell>
          <cell r="AD23">
            <v>0.34082657956464041</v>
          </cell>
          <cell r="AE23">
            <v>0.35072662075871486</v>
          </cell>
          <cell r="AF23">
            <v>0.35954208173429264</v>
          </cell>
          <cell r="AG23">
            <v>0.36704388324061449</v>
          </cell>
          <cell r="AH23">
            <v>0.37367053519091026</v>
          </cell>
        </row>
        <row r="24">
          <cell r="A24" t="str">
            <v xml:space="preserve">  Year-over-Year Growth</v>
          </cell>
          <cell r="G24">
            <v>6.7375886524822626E-2</v>
          </cell>
          <cell r="H24">
            <v>0.14026866604186194</v>
          </cell>
          <cell r="I24">
            <v>0.10174069627851146</v>
          </cell>
          <cell r="J24">
            <v>-5.5589307411907707E-2</v>
          </cell>
          <cell r="K24">
            <v>6.2968979654985713E-2</v>
          </cell>
          <cell r="L24">
            <v>-0.14466928420416791</v>
          </cell>
          <cell r="M24">
            <v>-0.20118891937945493</v>
          </cell>
          <cell r="N24">
            <v>-0.1513633103127453</v>
          </cell>
          <cell r="O24">
            <v>-3.0189766091836545E-2</v>
          </cell>
          <cell r="P24">
            <v>-0.13556904524216684</v>
          </cell>
          <cell r="Q24">
            <v>0.14133775757422939</v>
          </cell>
          <cell r="R24">
            <v>8.2586636210019604E-2</v>
          </cell>
          <cell r="S24">
            <v>3.25506191216971E-2</v>
          </cell>
          <cell r="T24">
            <v>2.1033652104260891E-2</v>
          </cell>
          <cell r="U24">
            <v>1.4965712563471234E-2</v>
          </cell>
          <cell r="V24">
            <v>1.0898338912563421E-2</v>
          </cell>
          <cell r="Y24" t="str">
            <v xml:space="preserve">  Year-over-Year Growth</v>
          </cell>
          <cell r="Z24">
            <v>0</v>
          </cell>
          <cell r="AA24">
            <v>6.2968979654985713E-2</v>
          </cell>
          <cell r="AB24">
            <v>-0.13556904524216684</v>
          </cell>
          <cell r="AC24">
            <v>0.14133775757422939</v>
          </cell>
          <cell r="AD24">
            <v>8.2586636210019604E-2</v>
          </cell>
          <cell r="AE24">
            <v>3.25506191216971E-2</v>
          </cell>
          <cell r="AF24">
            <v>2.1033652104260891E-2</v>
          </cell>
          <cell r="AG24">
            <v>1.4965712563471234E-2</v>
          </cell>
          <cell r="AH24">
            <v>1.0898338912563421E-2</v>
          </cell>
        </row>
        <row r="25">
          <cell r="A25" t="str">
            <v>EBITDA</v>
          </cell>
          <cell r="B25">
            <v>3102</v>
          </cell>
          <cell r="C25">
            <v>3201</v>
          </cell>
          <cell r="D25">
            <v>3332</v>
          </cell>
          <cell r="E25">
            <v>3292</v>
          </cell>
          <cell r="F25">
            <v>12927</v>
          </cell>
          <cell r="G25">
            <v>3311</v>
          </cell>
          <cell r="H25">
            <v>3650</v>
          </cell>
          <cell r="I25">
            <v>3671</v>
          </cell>
          <cell r="J25">
            <v>3109</v>
          </cell>
          <cell r="K25">
            <v>13741</v>
          </cell>
          <cell r="L25">
            <v>3641</v>
          </cell>
          <cell r="M25">
            <v>3219</v>
          </cell>
          <cell r="N25">
            <v>3364</v>
          </cell>
          <cell r="O25">
            <v>3169</v>
          </cell>
          <cell r="P25">
            <v>13393</v>
          </cell>
          <cell r="Q25">
            <v>2542</v>
          </cell>
          <cell r="R25">
            <v>2882</v>
          </cell>
          <cell r="S25">
            <v>2815.602635128158</v>
          </cell>
          <cell r="T25">
            <v>2695.0534811833413</v>
          </cell>
          <cell r="U25">
            <v>10934.656116311497</v>
          </cell>
          <cell r="V25">
            <v>11214.027066462029</v>
          </cell>
          <cell r="W25">
            <v>11921.177870073114</v>
          </cell>
          <cell r="X25">
            <v>12982.202609923852</v>
          </cell>
          <cell r="Y25">
            <v>13809.461621482547</v>
          </cell>
          <cell r="Z25">
            <v>15032.482952207352</v>
          </cell>
          <cell r="AA25">
            <v>16303.445633443373</v>
          </cell>
          <cell r="AD25" t="str">
            <v>EBITDA</v>
          </cell>
          <cell r="AE25">
            <v>13393</v>
          </cell>
          <cell r="AF25">
            <v>10934.656116311497</v>
          </cell>
          <cell r="AG25">
            <v>11214.027066462029</v>
          </cell>
          <cell r="AH25">
            <v>11921.177870073114</v>
          </cell>
          <cell r="AI25">
            <v>12982.202609923852</v>
          </cell>
          <cell r="AJ25">
            <v>13809.461621482547</v>
          </cell>
          <cell r="AK25">
            <v>15032.482952207352</v>
          </cell>
          <cell r="AL25">
            <v>16303.445633443373</v>
          </cell>
        </row>
        <row r="26">
          <cell r="A26" t="str">
            <v>Depreciation</v>
          </cell>
          <cell r="B26">
            <v>1601</v>
          </cell>
          <cell r="C26">
            <v>1622</v>
          </cell>
          <cell r="D26">
            <v>1603</v>
          </cell>
          <cell r="E26">
            <v>1424</v>
          </cell>
          <cell r="F26">
            <v>6250</v>
          </cell>
          <cell r="G26">
            <v>1470</v>
          </cell>
          <cell r="H26">
            <v>1500</v>
          </cell>
          <cell r="I26">
            <v>1512</v>
          </cell>
          <cell r="J26">
            <v>1569</v>
          </cell>
          <cell r="K26">
            <v>6051</v>
          </cell>
          <cell r="L26">
            <v>2346</v>
          </cell>
          <cell r="M26">
            <v>1532.1190050875912</v>
          </cell>
          <cell r="N26">
            <v>1542.1575407490386</v>
          </cell>
          <cell r="O26">
            <v>1558.6612174691195</v>
          </cell>
          <cell r="P26">
            <v>6164.5210966390823</v>
          </cell>
          <cell r="Q26">
            <v>5890.355298516617</v>
          </cell>
          <cell r="R26">
            <v>6048.1996658274848</v>
          </cell>
          <cell r="S26">
            <v>6181.1745869425267</v>
          </cell>
          <cell r="T26">
            <v>6257.0989917231082</v>
          </cell>
          <cell r="U26">
            <v>6281.8185785931273</v>
          </cell>
          <cell r="V26">
            <v>6051.3279070071985</v>
          </cell>
          <cell r="W26">
            <v>0.28582106321834189</v>
          </cell>
          <cell r="X26">
            <v>0.30420393982282778</v>
          </cell>
          <cell r="Y26">
            <v>0.3174902752415566</v>
          </cell>
          <cell r="Z26">
            <v>0.34022806322523041</v>
          </cell>
          <cell r="AA26">
            <v>0.36380226366069746</v>
          </cell>
          <cell r="AD26" t="str">
            <v xml:space="preserve">  EBITDA Margin</v>
          </cell>
          <cell r="AE26">
            <v>0.3151145828431603</v>
          </cell>
          <cell r="AF26">
            <v>0.26776816616392279</v>
          </cell>
          <cell r="AG26">
            <v>0.27418357776275759</v>
          </cell>
          <cell r="AH26">
            <v>0.28582106321834189</v>
          </cell>
          <cell r="AI26">
            <v>0.30420393982282778</v>
          </cell>
          <cell r="AJ26">
            <v>0.3174902752415566</v>
          </cell>
          <cell r="AK26">
            <v>0.34022806322523041</v>
          </cell>
          <cell r="AL26">
            <v>0.36380226366069746</v>
          </cell>
        </row>
        <row r="27">
          <cell r="A27" t="str">
            <v>Amortization</v>
          </cell>
          <cell r="B27">
            <v>826</v>
          </cell>
          <cell r="C27">
            <v>826</v>
          </cell>
          <cell r="D27">
            <v>826</v>
          </cell>
          <cell r="E27">
            <v>823</v>
          </cell>
          <cell r="F27">
            <v>3301</v>
          </cell>
          <cell r="G27">
            <v>822</v>
          </cell>
          <cell r="H27">
            <v>821</v>
          </cell>
          <cell r="I27">
            <v>839</v>
          </cell>
          <cell r="J27">
            <v>869</v>
          </cell>
          <cell r="K27">
            <v>3351</v>
          </cell>
          <cell r="L27">
            <v>0</v>
          </cell>
          <cell r="M27">
            <v>0</v>
          </cell>
          <cell r="N27">
            <v>0</v>
          </cell>
          <cell r="O27">
            <v>0</v>
          </cell>
          <cell r="P27">
            <v>0</v>
          </cell>
          <cell r="Q27">
            <v>0</v>
          </cell>
          <cell r="R27">
            <v>0</v>
          </cell>
          <cell r="S27">
            <v>0</v>
          </cell>
          <cell r="T27">
            <v>0</v>
          </cell>
          <cell r="U27">
            <v>0</v>
          </cell>
          <cell r="V27">
            <v>0</v>
          </cell>
          <cell r="W27">
            <v>6.3059487855702701E-2</v>
          </cell>
          <cell r="X27">
            <v>8.9003347774411656E-2</v>
          </cell>
          <cell r="Y27">
            <v>6.3722546659865209E-2</v>
          </cell>
          <cell r="Z27">
            <v>8.856401243204326E-2</v>
          </cell>
          <cell r="AA27">
            <v>8.4547754704048739E-2</v>
          </cell>
          <cell r="AD27" t="str">
            <v xml:space="preserve">  Year-over-Year Growth</v>
          </cell>
          <cell r="AE27">
            <v>-2.5325667709773625E-2</v>
          </cell>
          <cell r="AF27">
            <v>-0.183554385401964</v>
          </cell>
          <cell r="AG27">
            <v>2.5549129956980332E-2</v>
          </cell>
          <cell r="AH27">
            <v>6.3059487855702701E-2</v>
          </cell>
          <cell r="AI27">
            <v>8.9003347774411656E-2</v>
          </cell>
          <cell r="AJ27">
            <v>6.3722546659865209E-2</v>
          </cell>
          <cell r="AK27">
            <v>8.856401243204326E-2</v>
          </cell>
          <cell r="AL27">
            <v>8.4547754704048739E-2</v>
          </cell>
        </row>
        <row r="28">
          <cell r="A28" t="str">
            <v>Depreciation &amp; Amortization</v>
          </cell>
          <cell r="B28">
            <v>2427</v>
          </cell>
          <cell r="C28">
            <v>2448</v>
          </cell>
          <cell r="D28">
            <v>2429</v>
          </cell>
          <cell r="E28">
            <v>2247</v>
          </cell>
          <cell r="F28">
            <v>9551</v>
          </cell>
          <cell r="G28">
            <v>2292</v>
          </cell>
          <cell r="H28">
            <v>2321</v>
          </cell>
          <cell r="I28">
            <v>2351</v>
          </cell>
          <cell r="J28">
            <v>2438</v>
          </cell>
          <cell r="K28">
            <v>9402</v>
          </cell>
          <cell r="L28">
            <v>2346</v>
          </cell>
          <cell r="M28">
            <v>1532.1190050875912</v>
          </cell>
          <cell r="N28">
            <v>1542.1575407490386</v>
          </cell>
          <cell r="O28">
            <v>1558.6612174691195</v>
          </cell>
          <cell r="P28">
            <v>6978.9377633057502</v>
          </cell>
          <cell r="Q28">
            <v>5890.355298516617</v>
          </cell>
          <cell r="R28">
            <v>6048.1996658274848</v>
          </cell>
          <cell r="S28">
            <v>6181.1745869425267</v>
          </cell>
          <cell r="T28">
            <v>6257.0989917231082</v>
          </cell>
          <cell r="U28">
            <v>6281.8185785931273</v>
          </cell>
          <cell r="V28">
            <v>6051.3279070071985</v>
          </cell>
          <cell r="Y28" t="str">
            <v>Depreciation &amp; Amortization</v>
          </cell>
          <cell r="Z28">
            <v>9551</v>
          </cell>
          <cell r="AA28">
            <v>9402</v>
          </cell>
          <cell r="AB28">
            <v>6978.9377633057502</v>
          </cell>
          <cell r="AC28">
            <v>5890.355298516617</v>
          </cell>
          <cell r="AD28">
            <v>6048.1996658274848</v>
          </cell>
          <cell r="AE28">
            <v>6181.1745869425267</v>
          </cell>
          <cell r="AF28">
            <v>6257.0989917231082</v>
          </cell>
          <cell r="AG28">
            <v>6281.8185785931273</v>
          </cell>
          <cell r="AH28">
            <v>6051.3279070071985</v>
          </cell>
          <cell r="AX28" t="str">
            <v>mstag:depreciationInIncomeStatement</v>
          </cell>
          <cell r="AY28">
            <v>6</v>
          </cell>
          <cell r="AZ28" t="str">
            <v>ISO4217:USD</v>
          </cell>
          <cell r="BA28" t="b">
            <v>0</v>
          </cell>
          <cell r="BB28" t="b">
            <v>0</v>
          </cell>
        </row>
        <row r="29">
          <cell r="A29" t="str">
            <v xml:space="preserve">   Percent of Service Revenue</v>
          </cell>
          <cell r="B29">
            <v>0.36980039616029253</v>
          </cell>
          <cell r="C29">
            <v>0.35314483554529719</v>
          </cell>
          <cell r="D29">
            <v>0.33778334028646922</v>
          </cell>
          <cell r="E29">
            <v>0.30161073825503354</v>
          </cell>
          <cell r="F29">
            <v>0.23350936384528873</v>
          </cell>
          <cell r="G29">
            <v>0.3047872340425532</v>
          </cell>
          <cell r="H29">
            <v>0.29342604298356512</v>
          </cell>
          <cell r="I29">
            <v>0.29147036945202082</v>
          </cell>
          <cell r="J29">
            <v>0.29623329283110572</v>
          </cell>
          <cell r="K29">
            <v>0.29634999684801111</v>
          </cell>
          <cell r="L29">
            <v>0.27551379917792129</v>
          </cell>
          <cell r="M29">
            <v>0.17306952018400276</v>
          </cell>
          <cell r="N29">
            <v>0.17302259177423732</v>
          </cell>
          <cell r="O29">
            <v>0.17306314609986115</v>
          </cell>
          <cell r="P29">
            <v>0.19777657629491896</v>
          </cell>
          <cell r="Q29">
            <v>0.15863937497151689</v>
          </cell>
          <cell r="R29">
            <v>0.15820523218755489</v>
          </cell>
          <cell r="S29">
            <v>0.16002866824841275</v>
          </cell>
          <cell r="T29">
            <v>0.16179356867567779</v>
          </cell>
          <cell r="U29">
            <v>0.16259554862514661</v>
          </cell>
          <cell r="V29">
            <v>0.15700236082737976</v>
          </cell>
          <cell r="W29">
            <v>6416.9232433066582</v>
          </cell>
          <cell r="X29">
            <v>6702.1574648072037</v>
          </cell>
          <cell r="Y29" t="str">
            <v xml:space="preserve">   Percent of Service Revenue</v>
          </cell>
          <cell r="Z29">
            <v>0</v>
          </cell>
          <cell r="AA29">
            <v>0.29634999684801111</v>
          </cell>
          <cell r="AB29">
            <v>0.19777657629491896</v>
          </cell>
          <cell r="AC29">
            <v>0.15863937497151689</v>
          </cell>
          <cell r="AD29">
            <v>0.15820523218755489</v>
          </cell>
          <cell r="AE29">
            <v>0.16002866824841275</v>
          </cell>
          <cell r="AF29">
            <v>0.16179356867567779</v>
          </cell>
          <cell r="AG29">
            <v>0.16259554862514661</v>
          </cell>
          <cell r="AH29">
            <v>0.15700236082737976</v>
          </cell>
        </row>
        <row r="30">
          <cell r="A30" t="str">
            <v>Amortization</v>
          </cell>
          <cell r="B30">
            <v>826</v>
          </cell>
          <cell r="C30">
            <v>826</v>
          </cell>
          <cell r="D30">
            <v>826</v>
          </cell>
          <cell r="E30">
            <v>823</v>
          </cell>
          <cell r="F30">
            <v>3301</v>
          </cell>
          <cell r="G30">
            <v>0</v>
          </cell>
          <cell r="H30">
            <v>0</v>
          </cell>
          <cell r="I30">
            <v>0</v>
          </cell>
          <cell r="J30">
            <v>0</v>
          </cell>
          <cell r="K30">
            <v>0</v>
          </cell>
          <cell r="L30">
            <v>0</v>
          </cell>
          <cell r="M30">
            <v>0</v>
          </cell>
          <cell r="N30">
            <v>0</v>
          </cell>
          <cell r="O30">
            <v>0</v>
          </cell>
          <cell r="P30">
            <v>3906</v>
          </cell>
          <cell r="Q30">
            <v>0</v>
          </cell>
          <cell r="R30">
            <v>0</v>
          </cell>
          <cell r="S30">
            <v>0</v>
          </cell>
          <cell r="T30">
            <v>0</v>
          </cell>
          <cell r="U30">
            <v>3319</v>
          </cell>
          <cell r="V30">
            <v>0</v>
          </cell>
          <cell r="W30">
            <v>0</v>
          </cell>
          <cell r="X30">
            <v>0</v>
          </cell>
          <cell r="Y30">
            <v>0</v>
          </cell>
          <cell r="Z30">
            <v>0</v>
          </cell>
          <cell r="AA30">
            <v>0</v>
          </cell>
        </row>
        <row r="31">
          <cell r="A31" t="str">
            <v>Operating Income</v>
          </cell>
          <cell r="B31">
            <v>675</v>
          </cell>
          <cell r="C31">
            <v>753</v>
          </cell>
          <cell r="D31">
            <v>903</v>
          </cell>
          <cell r="E31">
            <v>1045</v>
          </cell>
          <cell r="F31">
            <v>3376</v>
          </cell>
          <cell r="G31">
            <v>1019</v>
          </cell>
          <cell r="H31">
            <v>1329</v>
          </cell>
          <cell r="I31">
            <v>1320</v>
          </cell>
          <cell r="J31">
            <v>671</v>
          </cell>
          <cell r="K31">
            <v>4339</v>
          </cell>
          <cell r="L31">
            <v>486</v>
          </cell>
          <cell r="M31">
            <v>1383.5414391773984</v>
          </cell>
          <cell r="N31">
            <v>1573.1877470928735</v>
          </cell>
          <cell r="O31">
            <v>1456.4787997513608</v>
          </cell>
          <cell r="P31">
            <v>4899.2079860216345</v>
          </cell>
          <cell r="Q31">
            <v>7666.6209351605648</v>
          </cell>
          <cell r="R31">
            <v>8628.4016321682757</v>
          </cell>
          <cell r="S31">
            <v>8973.1591699052969</v>
          </cell>
          <cell r="T31">
            <v>9215.9857492381088</v>
          </cell>
          <cell r="U31">
            <v>9422.8319010715495</v>
          </cell>
          <cell r="V31">
            <v>9824.477176088214</v>
          </cell>
          <cell r="W31">
            <v>6416.9232433066582</v>
          </cell>
          <cell r="X31">
            <v>6702.1574648072037</v>
          </cell>
          <cell r="Y31" t="str">
            <v>Operating Income</v>
          </cell>
          <cell r="Z31">
            <v>3376</v>
          </cell>
          <cell r="AA31">
            <v>4339</v>
          </cell>
          <cell r="AB31">
            <v>4899.2079860216345</v>
          </cell>
          <cell r="AC31">
            <v>7666.6209351605648</v>
          </cell>
          <cell r="AD31">
            <v>8628.4016321682757</v>
          </cell>
          <cell r="AE31">
            <v>8973.1591699052969</v>
          </cell>
          <cell r="AF31">
            <v>9215.9857492381088</v>
          </cell>
          <cell r="AG31">
            <v>9422.8319010715495</v>
          </cell>
          <cell r="AH31">
            <v>9824.477176088214</v>
          </cell>
          <cell r="AI31">
            <v>6702.1574648072037</v>
          </cell>
          <cell r="AJ31">
            <v>7124.7655473827172</v>
          </cell>
          <cell r="AK31">
            <v>7542.0295227153183</v>
          </cell>
          <cell r="AL31">
            <v>8481.9040694903069</v>
          </cell>
          <cell r="BC31" t="str">
            <v>mstag:depreciationInIncomeStatement</v>
          </cell>
          <cell r="BD31">
            <v>6</v>
          </cell>
          <cell r="BE31" t="str">
            <v>ISO4217:USD</v>
          </cell>
          <cell r="BF31" t="b">
            <v>0</v>
          </cell>
          <cell r="BG31" t="b">
            <v>0</v>
          </cell>
        </row>
        <row r="32">
          <cell r="A32" t="str">
            <v xml:space="preserve">  Operating Margin</v>
          </cell>
          <cell r="B32">
            <v>6.8660360085444003E-2</v>
          </cell>
          <cell r="C32">
            <v>7.3946774035156634E-2</v>
          </cell>
          <cell r="D32">
            <v>8.7254807227751474E-2</v>
          </cell>
          <cell r="E32">
            <v>9.9155517601290447E-2</v>
          </cell>
          <cell r="F32">
            <v>8.2538751161312401E-2</v>
          </cell>
          <cell r="G32">
            <v>9.6259210277725299E-2</v>
          </cell>
          <cell r="H32">
            <v>0.12106030242302787</v>
          </cell>
          <cell r="I32">
            <v>0.11776251226692837</v>
          </cell>
          <cell r="J32">
            <v>5.9401558073654388E-2</v>
          </cell>
          <cell r="K32">
            <v>9.8459234382445707E-2</v>
          </cell>
          <cell r="L32">
            <v>4.8396733718382795E-2</v>
          </cell>
          <cell r="M32">
            <v>0.13515975413232248</v>
          </cell>
          <cell r="N32">
            <v>0.15304995884004718</v>
          </cell>
          <cell r="O32">
            <v>0.14069438181186178</v>
          </cell>
          <cell r="P32">
            <v>0.11975770774973575</v>
          </cell>
          <cell r="Q32">
            <v>0.18137627200992573</v>
          </cell>
          <cell r="R32">
            <v>0.20037259006303243</v>
          </cell>
          <cell r="S32">
            <v>0.20767166961522546</v>
          </cell>
          <cell r="T32">
            <v>0.2141482940853332</v>
          </cell>
          <cell r="U32">
            <v>0.22022730251597999</v>
          </cell>
          <cell r="V32">
            <v>0.23123977808651597</v>
          </cell>
          <cell r="W32">
            <v>0.1538515609767637</v>
          </cell>
          <cell r="X32">
            <v>0.15704751861974564</v>
          </cell>
          <cell r="Y32" t="str">
            <v xml:space="preserve">  Operating Margin</v>
          </cell>
          <cell r="Z32">
            <v>8.2538751161312401E-2</v>
          </cell>
          <cell r="AA32">
            <v>9.8459234382445707E-2</v>
          </cell>
          <cell r="AB32">
            <v>0.11975770774973575</v>
          </cell>
          <cell r="AC32">
            <v>0.18137627200992573</v>
          </cell>
          <cell r="AD32">
            <v>0.20037259006303243</v>
          </cell>
          <cell r="AE32">
            <v>0.20767166961522546</v>
          </cell>
          <cell r="AF32">
            <v>0.2141482940853332</v>
          </cell>
          <cell r="AG32">
            <v>0.22022730251597999</v>
          </cell>
          <cell r="AH32">
            <v>0.23123977808651597</v>
          </cell>
          <cell r="AI32">
            <v>0.15704751861974564</v>
          </cell>
          <cell r="AJ32">
            <v>0.1638039075434464</v>
          </cell>
          <cell r="AK32">
            <v>0.17069768882885392</v>
          </cell>
          <cell r="AL32">
            <v>0.18926894167105776</v>
          </cell>
        </row>
        <row r="34">
          <cell r="A34" t="str">
            <v>Interest Expense</v>
          </cell>
          <cell r="B34">
            <v>-475</v>
          </cell>
          <cell r="C34">
            <v>-466</v>
          </cell>
          <cell r="D34">
            <v>-446</v>
          </cell>
          <cell r="E34">
            <v>-435</v>
          </cell>
          <cell r="F34">
            <v>-1822</v>
          </cell>
          <cell r="G34">
            <v>-422</v>
          </cell>
          <cell r="H34">
            <v>-405</v>
          </cell>
          <cell r="I34">
            <v>-406</v>
          </cell>
          <cell r="J34">
            <v>-411</v>
          </cell>
          <cell r="K34">
            <v>-1644</v>
          </cell>
          <cell r="L34">
            <v>-395</v>
          </cell>
          <cell r="M34">
            <v>-331.27499999999998</v>
          </cell>
          <cell r="N34">
            <v>-331.27499999999998</v>
          </cell>
          <cell r="O34">
            <v>-331.27499999999998</v>
          </cell>
          <cell r="P34">
            <v>-1388.8249999999998</v>
          </cell>
          <cell r="Q34">
            <v>-1325.1</v>
          </cell>
          <cell r="R34">
            <v>-1325.1</v>
          </cell>
          <cell r="S34">
            <v>-1325.1</v>
          </cell>
          <cell r="T34">
            <v>-1325.1</v>
          </cell>
          <cell r="U34">
            <v>-1325.1</v>
          </cell>
          <cell r="V34">
            <v>-1325.1</v>
          </cell>
          <cell r="W34">
            <v>5504.2546267664557</v>
          </cell>
          <cell r="X34">
            <v>6280.0451451166482</v>
          </cell>
          <cell r="Y34" t="str">
            <v>Interest Expense</v>
          </cell>
          <cell r="Z34">
            <v>-1822</v>
          </cell>
          <cell r="AA34">
            <v>-1644</v>
          </cell>
          <cell r="AB34">
            <v>-1388.8249999999998</v>
          </cell>
          <cell r="AC34">
            <v>-1325.1</v>
          </cell>
          <cell r="AD34">
            <v>-1325.1</v>
          </cell>
          <cell r="AE34">
            <v>-1325.1</v>
          </cell>
          <cell r="AF34">
            <v>-1325.1</v>
          </cell>
          <cell r="AG34">
            <v>-1325.1</v>
          </cell>
          <cell r="AH34">
            <v>-1325.1</v>
          </cell>
          <cell r="AI34">
            <v>6280.0451451166482</v>
          </cell>
          <cell r="AJ34">
            <v>6684.6960740998302</v>
          </cell>
          <cell r="AK34">
            <v>7490.453429492034</v>
          </cell>
          <cell r="AL34">
            <v>7821.5415639530656</v>
          </cell>
          <cell r="AX34" t="str">
            <v>mstag:interestExpense</v>
          </cell>
          <cell r="AY34">
            <v>6</v>
          </cell>
          <cell r="AZ34" t="str">
            <v>ISO4217:USD</v>
          </cell>
          <cell r="BA34" t="b">
            <v>1</v>
          </cell>
          <cell r="BB34" t="b">
            <v>0</v>
          </cell>
        </row>
        <row r="35">
          <cell r="A35" t="str">
            <v>Interest Income</v>
          </cell>
          <cell r="B35">
            <v>0</v>
          </cell>
          <cell r="C35">
            <v>0</v>
          </cell>
          <cell r="D35">
            <v>0</v>
          </cell>
          <cell r="E35">
            <v>0</v>
          </cell>
          <cell r="F35">
            <v>0</v>
          </cell>
          <cell r="G35">
            <v>0</v>
          </cell>
          <cell r="H35">
            <v>0</v>
          </cell>
          <cell r="I35">
            <v>0</v>
          </cell>
          <cell r="J35">
            <v>95</v>
          </cell>
          <cell r="K35">
            <v>95</v>
          </cell>
          <cell r="L35">
            <v>0</v>
          </cell>
          <cell r="M35">
            <v>96.184632690181331</v>
          </cell>
          <cell r="N35">
            <v>74.572652005635092</v>
          </cell>
          <cell r="O35">
            <v>81.444751352481887</v>
          </cell>
          <cell r="P35">
            <v>252.20203604829831</v>
          </cell>
          <cell r="Q35">
            <v>100.89870692521446</v>
          </cell>
          <cell r="R35">
            <v>141.51863494892132</v>
          </cell>
          <cell r="S35">
            <v>195.0963030764203</v>
          </cell>
          <cell r="T35">
            <v>258.61965169663762</v>
          </cell>
          <cell r="U35">
            <v>328.02319839030656</v>
          </cell>
          <cell r="V35">
            <v>399.62242059035589</v>
          </cell>
          <cell r="W35">
            <v>0.13196950224157816</v>
          </cell>
          <cell r="X35">
            <v>0.14715642120308214</v>
          </cell>
          <cell r="Y35" t="str">
            <v>Interest Income</v>
          </cell>
          <cell r="Z35">
            <v>0</v>
          </cell>
          <cell r="AA35">
            <v>95</v>
          </cell>
          <cell r="AB35">
            <v>252.20203604829831</v>
          </cell>
          <cell r="AC35">
            <v>100.89870692521446</v>
          </cell>
          <cell r="AD35">
            <v>141.51863494892132</v>
          </cell>
          <cell r="AE35">
            <v>195.0963030764203</v>
          </cell>
          <cell r="AF35">
            <v>258.61965169663762</v>
          </cell>
          <cell r="AG35">
            <v>328.02319839030656</v>
          </cell>
          <cell r="AH35">
            <v>399.62242059035589</v>
          </cell>
          <cell r="AI35">
            <v>0.14715642120308214</v>
          </cell>
          <cell r="AJ35">
            <v>0.1536863676981102</v>
          </cell>
          <cell r="AK35">
            <v>0.16953037439637653</v>
          </cell>
          <cell r="AL35">
            <v>0.17453332198963967</v>
          </cell>
          <cell r="AX35" t="str">
            <v>mstag:interestIncome</v>
          </cell>
          <cell r="AY35">
            <v>6</v>
          </cell>
          <cell r="AZ35" t="str">
            <v>ISO4217:USD</v>
          </cell>
          <cell r="BA35" t="b">
            <v>0</v>
          </cell>
          <cell r="BB35" t="b">
            <v>0</v>
          </cell>
        </row>
        <row r="36">
          <cell r="A36" t="str">
            <v>Other Income/(Expense)</v>
          </cell>
          <cell r="B36">
            <v>19</v>
          </cell>
          <cell r="C36">
            <v>31</v>
          </cell>
          <cell r="D36">
            <v>2249</v>
          </cell>
          <cell r="E36">
            <v>55</v>
          </cell>
          <cell r="F36">
            <v>2354</v>
          </cell>
          <cell r="G36">
            <v>42</v>
          </cell>
          <cell r="H36">
            <v>150</v>
          </cell>
          <cell r="I36">
            <v>449</v>
          </cell>
          <cell r="J36">
            <v>-7</v>
          </cell>
          <cell r="K36">
            <v>634</v>
          </cell>
          <cell r="L36">
            <v>162</v>
          </cell>
          <cell r="M36">
            <v>270</v>
          </cell>
          <cell r="N36">
            <v>200</v>
          </cell>
          <cell r="O36">
            <v>170</v>
          </cell>
          <cell r="P36">
            <v>802</v>
          </cell>
          <cell r="Q36">
            <v>761.9</v>
          </cell>
          <cell r="R36">
            <v>723.80499999999995</v>
          </cell>
          <cell r="S36">
            <v>651.42449999999997</v>
          </cell>
          <cell r="T36">
            <v>586.28205000000003</v>
          </cell>
          <cell r="U36">
            <v>527.65384500000005</v>
          </cell>
          <cell r="V36">
            <v>474.88846050000006</v>
          </cell>
          <cell r="Y36" t="str">
            <v>Other Income/(Expense)</v>
          </cell>
          <cell r="Z36">
            <v>2354</v>
          </cell>
          <cell r="AA36">
            <v>634</v>
          </cell>
          <cell r="AB36">
            <v>802</v>
          </cell>
          <cell r="AC36">
            <v>761.9</v>
          </cell>
          <cell r="AD36">
            <v>723.80499999999995</v>
          </cell>
          <cell r="AE36">
            <v>651.42449999999997</v>
          </cell>
          <cell r="AF36">
            <v>586.28205000000003</v>
          </cell>
          <cell r="AG36">
            <v>527.65384500000005</v>
          </cell>
          <cell r="AH36">
            <v>474.88846050000006</v>
          </cell>
          <cell r="AX36" t="str">
            <v>mstag:otherNonOperatingIncomeExpense</v>
          </cell>
          <cell r="AY36">
            <v>6</v>
          </cell>
          <cell r="AZ36" t="str">
            <v>ISO4217:USD</v>
          </cell>
          <cell r="BA36" t="b">
            <v>0</v>
          </cell>
          <cell r="BB36" t="b">
            <v>0</v>
          </cell>
        </row>
        <row r="37">
          <cell r="A37" t="str">
            <v>Interest Expense</v>
          </cell>
          <cell r="B37" t="str">
            <v xml:space="preserve">______ </v>
          </cell>
          <cell r="C37" t="str">
            <v xml:space="preserve">______ </v>
          </cell>
          <cell r="D37" t="str">
            <v xml:space="preserve">______ </v>
          </cell>
          <cell r="E37" t="str">
            <v xml:space="preserve">______ </v>
          </cell>
          <cell r="F37" t="str">
            <v xml:space="preserve">______ </v>
          </cell>
          <cell r="G37" t="str">
            <v xml:space="preserve">______ </v>
          </cell>
          <cell r="H37" t="str">
            <v xml:space="preserve">______ </v>
          </cell>
          <cell r="I37" t="str">
            <v xml:space="preserve">______ </v>
          </cell>
          <cell r="J37" t="str">
            <v xml:space="preserve">______ </v>
          </cell>
          <cell r="K37" t="str">
            <v xml:space="preserve">______ </v>
          </cell>
          <cell r="L37" t="str">
            <v xml:space="preserve">______ </v>
          </cell>
          <cell r="M37" t="str">
            <v xml:space="preserve">______ </v>
          </cell>
          <cell r="N37" t="str">
            <v xml:space="preserve">______ </v>
          </cell>
          <cell r="O37" t="str">
            <v xml:space="preserve">______ </v>
          </cell>
          <cell r="P37" t="str">
            <v xml:space="preserve">______ </v>
          </cell>
          <cell r="Q37" t="str">
            <v xml:space="preserve">______ </v>
          </cell>
          <cell r="R37" t="str">
            <v xml:space="preserve">______ </v>
          </cell>
          <cell r="S37" t="str">
            <v xml:space="preserve">______ </v>
          </cell>
          <cell r="T37" t="str">
            <v xml:space="preserve">______ </v>
          </cell>
          <cell r="U37" t="str">
            <v xml:space="preserve">______ </v>
          </cell>
          <cell r="V37" t="str">
            <v xml:space="preserve">______ </v>
          </cell>
          <cell r="W37">
            <v>-1511.268</v>
          </cell>
          <cell r="X37">
            <v>-1511.268</v>
          </cell>
          <cell r="Y37">
            <v>-1511.268</v>
          </cell>
          <cell r="Z37" t="str">
            <v xml:space="preserve">______ </v>
          </cell>
          <cell r="AA37" t="str">
            <v xml:space="preserve">______ </v>
          </cell>
          <cell r="AB37" t="str">
            <v xml:space="preserve">______ </v>
          </cell>
          <cell r="AC37" t="str">
            <v xml:space="preserve">______ </v>
          </cell>
          <cell r="AD37" t="str">
            <v xml:space="preserve">______ </v>
          </cell>
          <cell r="AE37" t="str">
            <v xml:space="preserve">______ </v>
          </cell>
          <cell r="AF37" t="str">
            <v xml:space="preserve">______ </v>
          </cell>
          <cell r="AG37" t="str">
            <v xml:space="preserve">______ </v>
          </cell>
          <cell r="AH37" t="str">
            <v xml:space="preserve">______ </v>
          </cell>
          <cell r="AI37">
            <v>-1511.268</v>
          </cell>
          <cell r="AJ37">
            <v>-1511.268</v>
          </cell>
          <cell r="AK37">
            <v>-1511.268</v>
          </cell>
          <cell r="AL37">
            <v>-1511.268</v>
          </cell>
          <cell r="BC37" t="str">
            <v>mstag:interestExpense</v>
          </cell>
          <cell r="BD37">
            <v>6</v>
          </cell>
          <cell r="BE37" t="str">
            <v>ISO4217:USD</v>
          </cell>
          <cell r="BF37" t="b">
            <v>1</v>
          </cell>
          <cell r="BG37" t="b">
            <v>0</v>
          </cell>
        </row>
        <row r="38">
          <cell r="A38" t="str">
            <v>PreTax Income</v>
          </cell>
          <cell r="B38">
            <v>219</v>
          </cell>
          <cell r="C38">
            <v>318</v>
          </cell>
          <cell r="D38">
            <v>2706</v>
          </cell>
          <cell r="E38">
            <v>665</v>
          </cell>
          <cell r="F38">
            <v>3908</v>
          </cell>
          <cell r="G38">
            <v>639</v>
          </cell>
          <cell r="H38">
            <v>1074</v>
          </cell>
          <cell r="I38">
            <v>1363</v>
          </cell>
          <cell r="J38">
            <v>348</v>
          </cell>
          <cell r="K38">
            <v>3424</v>
          </cell>
          <cell r="L38">
            <v>253</v>
          </cell>
          <cell r="M38">
            <v>1418.4510718675797</v>
          </cell>
          <cell r="N38">
            <v>1516.4853990985084</v>
          </cell>
          <cell r="O38">
            <v>1376.6485511038427</v>
          </cell>
          <cell r="P38">
            <v>4564.5850220699331</v>
          </cell>
          <cell r="Q38">
            <v>7204.3196420857794</v>
          </cell>
          <cell r="R38">
            <v>8168.6252671171969</v>
          </cell>
          <cell r="S38">
            <v>8494.5799729817172</v>
          </cell>
          <cell r="T38">
            <v>8735.7874509347457</v>
          </cell>
          <cell r="U38">
            <v>8953.4089444618567</v>
          </cell>
          <cell r="V38">
            <v>9373.8880571785703</v>
          </cell>
          <cell r="W38">
            <v>27.946856562427847</v>
          </cell>
          <cell r="X38">
            <v>47.964475734756142</v>
          </cell>
          <cell r="Y38" t="str">
            <v>PreTax Income</v>
          </cell>
          <cell r="Z38">
            <v>3908</v>
          </cell>
          <cell r="AA38">
            <v>3424</v>
          </cell>
          <cell r="AB38">
            <v>4564.5850220699331</v>
          </cell>
          <cell r="AC38">
            <v>7204.3196420857794</v>
          </cell>
          <cell r="AD38">
            <v>8168.6252671171969</v>
          </cell>
          <cell r="AE38">
            <v>8494.5799729817172</v>
          </cell>
          <cell r="AF38">
            <v>8735.7874509347457</v>
          </cell>
          <cell r="AG38">
            <v>8953.4089444618567</v>
          </cell>
          <cell r="AH38">
            <v>9373.8880571785703</v>
          </cell>
          <cell r="AI38">
            <v>47.964475734756142</v>
          </cell>
          <cell r="AJ38">
            <v>80.842635484666076</v>
          </cell>
          <cell r="AK38">
            <v>129.14096924182428</v>
          </cell>
          <cell r="AL38">
            <v>188.88623572275418</v>
          </cell>
          <cell r="BC38" t="str">
            <v>mstag:interestIncome</v>
          </cell>
          <cell r="BD38">
            <v>6</v>
          </cell>
          <cell r="BE38" t="str">
            <v>ISO4217:USD</v>
          </cell>
          <cell r="BF38" t="b">
            <v>0</v>
          </cell>
          <cell r="BG38" t="b">
            <v>0</v>
          </cell>
        </row>
        <row r="39">
          <cell r="A39" t="str">
            <v>Tax Benefit (Expense)</v>
          </cell>
          <cell r="B39">
            <v>-56</v>
          </cell>
          <cell r="C39">
            <v>-64</v>
          </cell>
          <cell r="D39">
            <v>1345</v>
          </cell>
          <cell r="E39">
            <v>-166</v>
          </cell>
          <cell r="F39">
            <v>1059</v>
          </cell>
          <cell r="G39">
            <v>-43</v>
          </cell>
          <cell r="H39">
            <v>-303</v>
          </cell>
          <cell r="I39">
            <v>-181</v>
          </cell>
          <cell r="J39">
            <v>-151</v>
          </cell>
          <cell r="K39">
            <v>-678</v>
          </cell>
          <cell r="L39">
            <v>-73</v>
          </cell>
          <cell r="M39">
            <v>-567.38042874703194</v>
          </cell>
          <cell r="N39">
            <v>-606.59415963940341</v>
          </cell>
          <cell r="O39">
            <v>-550.65942044153712</v>
          </cell>
          <cell r="P39">
            <v>-1797.6340088279724</v>
          </cell>
          <cell r="Q39">
            <v>-2881.7278568343118</v>
          </cell>
          <cell r="R39">
            <v>-3267.450106846879</v>
          </cell>
          <cell r="S39">
            <v>-3397.8319891926872</v>
          </cell>
          <cell r="T39">
            <v>-3494.3149803738984</v>
          </cell>
          <cell r="U39">
            <v>-3581.363577784743</v>
          </cell>
          <cell r="V39">
            <v>-3749.5552228714282</v>
          </cell>
          <cell r="W39">
            <v>0</v>
          </cell>
          <cell r="X39">
            <v>0</v>
          </cell>
          <cell r="Y39" t="str">
            <v>Tax Benefit (Expense)</v>
          </cell>
          <cell r="Z39">
            <v>1059</v>
          </cell>
          <cell r="AA39">
            <v>-678</v>
          </cell>
          <cell r="AB39">
            <v>-1797.6340088279724</v>
          </cell>
          <cell r="AC39">
            <v>-2881.7278568343118</v>
          </cell>
          <cell r="AD39">
            <v>-3267.450106846879</v>
          </cell>
          <cell r="AE39">
            <v>-3397.8319891926872</v>
          </cell>
          <cell r="AF39">
            <v>-3494.3149803738984</v>
          </cell>
          <cell r="AG39">
            <v>-3581.363577784743</v>
          </cell>
          <cell r="AH39">
            <v>-3749.5552228714282</v>
          </cell>
          <cell r="AI39">
            <v>0</v>
          </cell>
          <cell r="AJ39">
            <v>0</v>
          </cell>
          <cell r="AK39">
            <v>0</v>
          </cell>
          <cell r="AL39">
            <v>0</v>
          </cell>
          <cell r="AX39" t="str">
            <v>mstag:taxExpenseIncome</v>
          </cell>
          <cell r="AY39">
            <v>6</v>
          </cell>
          <cell r="AZ39" t="str">
            <v>ISO4217:USD</v>
          </cell>
          <cell r="BA39" t="b">
            <v>1</v>
          </cell>
          <cell r="BB39" t="b">
            <v>0</v>
          </cell>
          <cell r="BC39" t="str">
            <v>mstag:otherNonOperatingIncomeExpense</v>
          </cell>
          <cell r="BD39">
            <v>6</v>
          </cell>
          <cell r="BE39" t="str">
            <v>ISO4217:USD</v>
          </cell>
          <cell r="BF39" t="b">
            <v>0</v>
          </cell>
          <cell r="BG39" t="b">
            <v>0</v>
          </cell>
        </row>
        <row r="40">
          <cell r="B40" t="str">
            <v xml:space="preserve">______ </v>
          </cell>
          <cell r="C40" t="str">
            <v xml:space="preserve">______ </v>
          </cell>
          <cell r="D40" t="str">
            <v xml:space="preserve">______ </v>
          </cell>
          <cell r="E40" t="str">
            <v xml:space="preserve">______ </v>
          </cell>
          <cell r="F40" t="str">
            <v xml:space="preserve">______ </v>
          </cell>
          <cell r="G40" t="str">
            <v xml:space="preserve">______ </v>
          </cell>
          <cell r="H40" t="str">
            <v xml:space="preserve">______ </v>
          </cell>
          <cell r="I40" t="str">
            <v xml:space="preserve">______ </v>
          </cell>
          <cell r="J40" t="str">
            <v xml:space="preserve">______ </v>
          </cell>
          <cell r="K40" t="str">
            <v xml:space="preserve">______ </v>
          </cell>
          <cell r="L40" t="str">
            <v xml:space="preserve">______ </v>
          </cell>
          <cell r="M40" t="str">
            <v xml:space="preserve">______ </v>
          </cell>
          <cell r="N40" t="str">
            <v xml:space="preserve">______ </v>
          </cell>
          <cell r="O40" t="str">
            <v xml:space="preserve">______ </v>
          </cell>
          <cell r="P40" t="str">
            <v xml:space="preserve">______ </v>
          </cell>
          <cell r="Q40" t="str">
            <v xml:space="preserve">______ </v>
          </cell>
          <cell r="R40" t="str">
            <v xml:space="preserve">______ </v>
          </cell>
          <cell r="S40" t="str">
            <v xml:space="preserve">______ </v>
          </cell>
          <cell r="T40" t="str">
            <v xml:space="preserve">______ </v>
          </cell>
          <cell r="U40" t="str">
            <v xml:space="preserve">______ </v>
          </cell>
          <cell r="V40" t="str">
            <v xml:space="preserve">______ </v>
          </cell>
          <cell r="W40" t="str">
            <v xml:space="preserve">______ </v>
          </cell>
          <cell r="X40" t="str">
            <v xml:space="preserve">______ </v>
          </cell>
          <cell r="Y40" t="str">
            <v xml:space="preserve">______ </v>
          </cell>
          <cell r="Z40" t="str">
            <v xml:space="preserve">______ </v>
          </cell>
          <cell r="AA40" t="str">
            <v xml:space="preserve">______ </v>
          </cell>
          <cell r="AB40" t="str">
            <v xml:space="preserve">______ </v>
          </cell>
          <cell r="AC40" t="str">
            <v xml:space="preserve">______ </v>
          </cell>
          <cell r="AD40" t="str">
            <v xml:space="preserve">______ </v>
          </cell>
          <cell r="AE40" t="str">
            <v xml:space="preserve">______ </v>
          </cell>
          <cell r="AF40" t="str">
            <v xml:space="preserve">______ </v>
          </cell>
          <cell r="AG40" t="str">
            <v xml:space="preserve">______ </v>
          </cell>
          <cell r="AH40" t="str">
            <v xml:space="preserve">______ </v>
          </cell>
          <cell r="AI40" t="str">
            <v xml:space="preserve">______ </v>
          </cell>
          <cell r="AJ40" t="str">
            <v xml:space="preserve">______ </v>
          </cell>
          <cell r="AK40" t="str">
            <v xml:space="preserve">______ </v>
          </cell>
          <cell r="AL40" t="str">
            <v xml:space="preserve">______ </v>
          </cell>
        </row>
        <row r="41">
          <cell r="A41" t="str">
            <v>Net Income from Continuing Ops.</v>
          </cell>
          <cell r="B41">
            <v>163</v>
          </cell>
          <cell r="C41">
            <v>254</v>
          </cell>
          <cell r="D41">
            <v>4051</v>
          </cell>
          <cell r="E41">
            <v>499</v>
          </cell>
          <cell r="F41">
            <v>4967</v>
          </cell>
          <cell r="G41">
            <v>596</v>
          </cell>
          <cell r="H41">
            <v>771</v>
          </cell>
          <cell r="I41">
            <v>1182</v>
          </cell>
          <cell r="J41">
            <v>197</v>
          </cell>
          <cell r="K41">
            <v>2746</v>
          </cell>
          <cell r="L41">
            <v>180</v>
          </cell>
          <cell r="M41">
            <v>851.07064312054774</v>
          </cell>
          <cell r="N41">
            <v>909.89123945910501</v>
          </cell>
          <cell r="O41">
            <v>825.98913066230557</v>
          </cell>
          <cell r="P41">
            <v>2766.9510132419609</v>
          </cell>
          <cell r="Q41">
            <v>4322.5917852514676</v>
          </cell>
          <cell r="R41">
            <v>4901.175160270318</v>
          </cell>
          <cell r="S41">
            <v>5096.7479837890296</v>
          </cell>
          <cell r="T41">
            <v>5241.4724705608478</v>
          </cell>
          <cell r="U41">
            <v>5372.0453666771136</v>
          </cell>
          <cell r="V41">
            <v>5624.3328343071425</v>
          </cell>
          <cell r="W41">
            <v>4020.9334833288835</v>
          </cell>
          <cell r="X41">
            <v>4816.7416208514042</v>
          </cell>
          <cell r="Y41" t="str">
            <v>Net Income from Continuing Ops.</v>
          </cell>
          <cell r="Z41">
            <v>4967</v>
          </cell>
          <cell r="AA41">
            <v>2746</v>
          </cell>
          <cell r="AB41">
            <v>2766.9510132419609</v>
          </cell>
          <cell r="AC41">
            <v>4322.5917852514676</v>
          </cell>
          <cell r="AD41">
            <v>4901.175160270318</v>
          </cell>
          <cell r="AE41">
            <v>5096.7479837890296</v>
          </cell>
          <cell r="AF41">
            <v>5241.4724705608478</v>
          </cell>
          <cell r="AG41">
            <v>5372.0453666771136</v>
          </cell>
          <cell r="AH41">
            <v>5624.3328343071425</v>
          </cell>
          <cell r="AI41">
            <v>4816.7416208514042</v>
          </cell>
          <cell r="AJ41">
            <v>5254.2707095844962</v>
          </cell>
          <cell r="AK41">
            <v>6108.3263987338578</v>
          </cell>
          <cell r="AL41">
            <v>6499.1597996758201</v>
          </cell>
        </row>
        <row r="42">
          <cell r="A42" t="str">
            <v>Discontinued Ops.</v>
          </cell>
          <cell r="B42">
            <v>0</v>
          </cell>
          <cell r="C42">
            <v>-6</v>
          </cell>
          <cell r="D42">
            <v>-3</v>
          </cell>
          <cell r="E42">
            <v>0</v>
          </cell>
          <cell r="F42">
            <v>-9</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-1507.8500562483314</v>
          </cell>
          <cell r="X42">
            <v>-1806.2781078192766</v>
          </cell>
          <cell r="Y42" t="str">
            <v>Discontinued Ops.</v>
          </cell>
          <cell r="Z42">
            <v>-9</v>
          </cell>
          <cell r="AA42">
            <v>0</v>
          </cell>
          <cell r="AB42">
            <v>0</v>
          </cell>
          <cell r="AC42">
            <v>0</v>
          </cell>
          <cell r="AD42">
            <v>0</v>
          </cell>
          <cell r="AE42">
            <v>0</v>
          </cell>
          <cell r="AF42">
            <v>0</v>
          </cell>
          <cell r="AG42">
            <v>0</v>
          </cell>
          <cell r="AH42">
            <v>0</v>
          </cell>
          <cell r="AI42">
            <v>-1806.2781078192766</v>
          </cell>
          <cell r="AJ42">
            <v>-1970.3515160941861</v>
          </cell>
          <cell r="AK42">
            <v>-2290.6223995251967</v>
          </cell>
          <cell r="AL42">
            <v>-2437.1849248784324</v>
          </cell>
          <cell r="BC42" t="str">
            <v>mstag:taxExpenseIncome</v>
          </cell>
          <cell r="BD42">
            <v>6</v>
          </cell>
          <cell r="BE42" t="str">
            <v>ISO4217:USD</v>
          </cell>
          <cell r="BF42" t="b">
            <v>1</v>
          </cell>
          <cell r="BG42" t="b">
            <v>0</v>
          </cell>
        </row>
        <row r="43">
          <cell r="A43" t="str">
            <v>Change in Acctg. Principle</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t="str">
            <v xml:space="preserve">______ </v>
          </cell>
          <cell r="X43" t="str">
            <v xml:space="preserve">______ </v>
          </cell>
          <cell r="Y43" t="str">
            <v>Change in Acctg. Principle</v>
          </cell>
          <cell r="Z43">
            <v>0</v>
          </cell>
          <cell r="AA43">
            <v>0</v>
          </cell>
          <cell r="AB43">
            <v>0</v>
          </cell>
          <cell r="AC43">
            <v>0</v>
          </cell>
          <cell r="AD43">
            <v>0</v>
          </cell>
          <cell r="AE43">
            <v>0</v>
          </cell>
          <cell r="AF43">
            <v>0</v>
          </cell>
          <cell r="AG43">
            <v>0</v>
          </cell>
          <cell r="AH43">
            <v>0</v>
          </cell>
          <cell r="AI43" t="str">
            <v xml:space="preserve">______ </v>
          </cell>
          <cell r="AJ43" t="str">
            <v xml:space="preserve">______ </v>
          </cell>
          <cell r="AK43" t="str">
            <v xml:space="preserve">______ </v>
          </cell>
          <cell r="AL43" t="str">
            <v xml:space="preserve">______ </v>
          </cell>
        </row>
        <row r="44">
          <cell r="A44" t="str">
            <v>Extraordinary Items</v>
          </cell>
          <cell r="B44">
            <v>-59</v>
          </cell>
          <cell r="C44">
            <v>-170</v>
          </cell>
          <cell r="D44">
            <v>-5888</v>
          </cell>
          <cell r="E44">
            <v>-96</v>
          </cell>
          <cell r="F44">
            <v>-6213</v>
          </cell>
          <cell r="G44">
            <v>-38</v>
          </cell>
          <cell r="H44">
            <v>-153</v>
          </cell>
          <cell r="I44">
            <v>-689</v>
          </cell>
          <cell r="J44">
            <v>254</v>
          </cell>
          <cell r="K44">
            <v>-626</v>
          </cell>
          <cell r="L44">
            <v>-37</v>
          </cell>
          <cell r="M44">
            <v>-640</v>
          </cell>
          <cell r="N44">
            <v>-650</v>
          </cell>
          <cell r="O44">
            <v>-660</v>
          </cell>
          <cell r="P44">
            <v>-1987</v>
          </cell>
          <cell r="Q44">
            <v>-2400</v>
          </cell>
          <cell r="R44">
            <v>-1700</v>
          </cell>
          <cell r="S44">
            <v>-1100</v>
          </cell>
          <cell r="T44">
            <v>-500</v>
          </cell>
          <cell r="U44">
            <v>0</v>
          </cell>
          <cell r="V44">
            <v>0</v>
          </cell>
          <cell r="W44">
            <v>2513.0834270805522</v>
          </cell>
          <cell r="X44">
            <v>3010.4635130321276</v>
          </cell>
          <cell r="Y44" t="str">
            <v>Extraordinary Items</v>
          </cell>
          <cell r="Z44">
            <v>-6213</v>
          </cell>
          <cell r="AA44">
            <v>-626</v>
          </cell>
          <cell r="AB44">
            <v>-1987</v>
          </cell>
          <cell r="AC44">
            <v>-2400</v>
          </cell>
          <cell r="AD44">
            <v>-1700</v>
          </cell>
          <cell r="AE44">
            <v>-1100</v>
          </cell>
          <cell r="AF44">
            <v>-500</v>
          </cell>
          <cell r="AG44">
            <v>0</v>
          </cell>
          <cell r="AH44">
            <v>0</v>
          </cell>
          <cell r="AI44">
            <v>3010.4635130321276</v>
          </cell>
          <cell r="AJ44">
            <v>3283.9191934903101</v>
          </cell>
          <cell r="AK44">
            <v>3817.7039992086611</v>
          </cell>
          <cell r="AL44">
            <v>4061.9748747973877</v>
          </cell>
        </row>
        <row r="45">
          <cell r="A45" t="str">
            <v>Discontinued Ops.</v>
          </cell>
          <cell r="B45" t="str">
            <v xml:space="preserve">______ </v>
          </cell>
          <cell r="C45" t="str">
            <v xml:space="preserve">______ </v>
          </cell>
          <cell r="D45" t="str">
            <v xml:space="preserve">______ </v>
          </cell>
          <cell r="E45" t="str">
            <v xml:space="preserve">______ </v>
          </cell>
          <cell r="F45" t="str">
            <v xml:space="preserve">______ </v>
          </cell>
          <cell r="G45" t="str">
            <v xml:space="preserve">______ </v>
          </cell>
          <cell r="H45" t="str">
            <v xml:space="preserve">______ </v>
          </cell>
          <cell r="I45" t="str">
            <v xml:space="preserve">______ </v>
          </cell>
          <cell r="J45" t="str">
            <v xml:space="preserve">______ </v>
          </cell>
          <cell r="K45" t="str">
            <v xml:space="preserve">______ </v>
          </cell>
          <cell r="L45" t="str">
            <v xml:space="preserve">______ </v>
          </cell>
          <cell r="M45" t="str">
            <v xml:space="preserve">______ </v>
          </cell>
          <cell r="N45" t="str">
            <v xml:space="preserve">______ </v>
          </cell>
          <cell r="O45" t="str">
            <v xml:space="preserve">______ </v>
          </cell>
          <cell r="P45" t="str">
            <v xml:space="preserve">______ </v>
          </cell>
          <cell r="Q45" t="str">
            <v xml:space="preserve">______ </v>
          </cell>
          <cell r="R45" t="str">
            <v xml:space="preserve">______ </v>
          </cell>
          <cell r="S45" t="str">
            <v xml:space="preserve">______ </v>
          </cell>
          <cell r="T45" t="str">
            <v xml:space="preserve">______ </v>
          </cell>
          <cell r="U45" t="str">
            <v xml:space="preserve">______ </v>
          </cell>
          <cell r="V45" t="str">
            <v xml:space="preserve">______ </v>
          </cell>
          <cell r="W45">
            <v>0</v>
          </cell>
          <cell r="X45">
            <v>0</v>
          </cell>
          <cell r="Y45">
            <v>0</v>
          </cell>
          <cell r="Z45" t="str">
            <v xml:space="preserve">______ </v>
          </cell>
          <cell r="AA45" t="str">
            <v xml:space="preserve">______ </v>
          </cell>
          <cell r="AB45" t="str">
            <v xml:space="preserve">______ </v>
          </cell>
          <cell r="AC45" t="str">
            <v xml:space="preserve">______ </v>
          </cell>
          <cell r="AD45" t="str">
            <v xml:space="preserve">______ </v>
          </cell>
          <cell r="AE45" t="str">
            <v xml:space="preserve">______ </v>
          </cell>
          <cell r="AF45" t="str">
            <v xml:space="preserve">______ </v>
          </cell>
          <cell r="AG45" t="str">
            <v xml:space="preserve">______ </v>
          </cell>
          <cell r="AH45" t="str">
            <v xml:space="preserve">______ </v>
          </cell>
          <cell r="AI45">
            <v>0</v>
          </cell>
          <cell r="AJ45">
            <v>0</v>
          </cell>
          <cell r="AK45">
            <v>0</v>
          </cell>
          <cell r="AL45">
            <v>0</v>
          </cell>
        </row>
        <row r="46">
          <cell r="A46" t="str">
            <v>Net Income</v>
          </cell>
          <cell r="B46">
            <v>104</v>
          </cell>
          <cell r="C46">
            <v>78</v>
          </cell>
          <cell r="D46">
            <v>-1840</v>
          </cell>
          <cell r="E46">
            <v>403</v>
          </cell>
          <cell r="F46">
            <v>-1255</v>
          </cell>
          <cell r="G46">
            <v>558</v>
          </cell>
          <cell r="H46">
            <v>618</v>
          </cell>
          <cell r="I46">
            <v>493</v>
          </cell>
          <cell r="J46">
            <v>451</v>
          </cell>
          <cell r="K46">
            <v>2120</v>
          </cell>
          <cell r="L46">
            <v>143</v>
          </cell>
          <cell r="M46">
            <v>211.07064312054774</v>
          </cell>
          <cell r="N46">
            <v>259.89123945910501</v>
          </cell>
          <cell r="O46">
            <v>165.98913066230557</v>
          </cell>
          <cell r="P46">
            <v>779.95101324196094</v>
          </cell>
          <cell r="Q46">
            <v>1922.5917852514676</v>
          </cell>
          <cell r="R46">
            <v>3201.175160270318</v>
          </cell>
          <cell r="S46">
            <v>3996.7479837890296</v>
          </cell>
          <cell r="T46">
            <v>4741.4724705608478</v>
          </cell>
          <cell r="U46">
            <v>5372.0453666771136</v>
          </cell>
          <cell r="V46">
            <v>5624.3328343071425</v>
          </cell>
          <cell r="W46">
            <v>0</v>
          </cell>
          <cell r="X46">
            <v>0</v>
          </cell>
          <cell r="Y46" t="str">
            <v>Net Income</v>
          </cell>
          <cell r="Z46">
            <v>-1255</v>
          </cell>
          <cell r="AA46">
            <v>2120</v>
          </cell>
          <cell r="AB46">
            <v>779.95101324196094</v>
          </cell>
          <cell r="AC46">
            <v>1922.5917852514676</v>
          </cell>
          <cell r="AD46">
            <v>3201.175160270318</v>
          </cell>
          <cell r="AE46">
            <v>3996.7479837890296</v>
          </cell>
          <cell r="AF46">
            <v>4741.4724705608478</v>
          </cell>
          <cell r="AG46">
            <v>5372.0453666771136</v>
          </cell>
          <cell r="AH46">
            <v>5624.3328343071425</v>
          </cell>
          <cell r="AI46">
            <v>0</v>
          </cell>
          <cell r="AJ46">
            <v>0</v>
          </cell>
          <cell r="AK46">
            <v>0</v>
          </cell>
          <cell r="AL46">
            <v>0</v>
          </cell>
        </row>
        <row r="47">
          <cell r="A47" t="str">
            <v>Preferred Stock Dividends</v>
          </cell>
          <cell r="B47">
            <v>-2</v>
          </cell>
          <cell r="C47">
            <v>-1</v>
          </cell>
          <cell r="D47">
            <v>-2</v>
          </cell>
          <cell r="E47">
            <v>-2</v>
          </cell>
          <cell r="F47">
            <v>-7</v>
          </cell>
          <cell r="G47">
            <v>-2</v>
          </cell>
          <cell r="H47">
            <v>-1</v>
          </cell>
          <cell r="I47">
            <v>-2</v>
          </cell>
          <cell r="J47">
            <v>-2</v>
          </cell>
          <cell r="K47">
            <v>-7</v>
          </cell>
          <cell r="L47">
            <v>-2</v>
          </cell>
          <cell r="M47">
            <v>0</v>
          </cell>
          <cell r="N47">
            <v>0</v>
          </cell>
          <cell r="O47">
            <v>0</v>
          </cell>
          <cell r="P47">
            <v>-2</v>
          </cell>
          <cell r="Q47">
            <v>0</v>
          </cell>
          <cell r="R47">
            <v>0</v>
          </cell>
          <cell r="S47">
            <v>0</v>
          </cell>
          <cell r="T47">
            <v>0</v>
          </cell>
          <cell r="U47">
            <v>0</v>
          </cell>
          <cell r="V47">
            <v>0</v>
          </cell>
          <cell r="W47">
            <v>-1500</v>
          </cell>
          <cell r="X47">
            <v>-700</v>
          </cell>
          <cell r="Y47" t="str">
            <v>Preferred Stock Dividends</v>
          </cell>
          <cell r="Z47">
            <v>-7</v>
          </cell>
          <cell r="AA47">
            <v>-7</v>
          </cell>
          <cell r="AB47">
            <v>-2</v>
          </cell>
          <cell r="AC47">
            <v>0</v>
          </cell>
          <cell r="AD47">
            <v>0</v>
          </cell>
          <cell r="AE47">
            <v>0</v>
          </cell>
          <cell r="AF47">
            <v>0</v>
          </cell>
          <cell r="AG47">
            <v>0</v>
          </cell>
          <cell r="AH47">
            <v>0</v>
          </cell>
          <cell r="AI47">
            <v>-700</v>
          </cell>
          <cell r="AJ47">
            <v>-232</v>
          </cell>
          <cell r="AK47">
            <v>0</v>
          </cell>
          <cell r="AL47">
            <v>0</v>
          </cell>
          <cell r="AX47" t="str">
            <v>mstag:preferredDividendsPaid</v>
          </cell>
          <cell r="AY47">
            <v>6</v>
          </cell>
          <cell r="AZ47" t="str">
            <v>ISO4217:USD</v>
          </cell>
          <cell r="BA47" t="b">
            <v>1</v>
          </cell>
          <cell r="BB47" t="b">
            <v>0</v>
          </cell>
        </row>
        <row r="48">
          <cell r="B48" t="str">
            <v xml:space="preserve">______ </v>
          </cell>
          <cell r="C48" t="str">
            <v xml:space="preserve">______ </v>
          </cell>
          <cell r="D48" t="str">
            <v xml:space="preserve">______ </v>
          </cell>
          <cell r="E48" t="str">
            <v xml:space="preserve">______ </v>
          </cell>
          <cell r="F48" t="str">
            <v xml:space="preserve">______ </v>
          </cell>
          <cell r="G48" t="str">
            <v xml:space="preserve">______ </v>
          </cell>
          <cell r="H48" t="str">
            <v xml:space="preserve">______ </v>
          </cell>
          <cell r="I48" t="str">
            <v xml:space="preserve">______ </v>
          </cell>
          <cell r="J48" t="str">
            <v xml:space="preserve">______ </v>
          </cell>
          <cell r="K48" t="str">
            <v xml:space="preserve">______ </v>
          </cell>
          <cell r="L48" t="str">
            <v xml:space="preserve">______ </v>
          </cell>
          <cell r="M48" t="str">
            <v xml:space="preserve">______ </v>
          </cell>
          <cell r="N48" t="str">
            <v xml:space="preserve">______ </v>
          </cell>
          <cell r="O48" t="str">
            <v xml:space="preserve">______ </v>
          </cell>
          <cell r="P48" t="str">
            <v xml:space="preserve">______ </v>
          </cell>
          <cell r="Q48" t="str">
            <v xml:space="preserve">______ </v>
          </cell>
          <cell r="R48" t="str">
            <v xml:space="preserve">______ </v>
          </cell>
          <cell r="S48" t="str">
            <v xml:space="preserve">______ </v>
          </cell>
          <cell r="T48" t="str">
            <v xml:space="preserve">______ </v>
          </cell>
          <cell r="U48" t="str">
            <v xml:space="preserve">______ </v>
          </cell>
          <cell r="V48" t="str">
            <v xml:space="preserve">______ </v>
          </cell>
          <cell r="W48" t="str">
            <v xml:space="preserve">______ </v>
          </cell>
          <cell r="X48" t="str">
            <v xml:space="preserve">______ </v>
          </cell>
          <cell r="Y48" t="str">
            <v xml:space="preserve">______ </v>
          </cell>
          <cell r="Z48" t="str">
            <v xml:space="preserve">______ </v>
          </cell>
          <cell r="AA48" t="str">
            <v xml:space="preserve">______ </v>
          </cell>
          <cell r="AB48" t="str">
            <v xml:space="preserve">______ </v>
          </cell>
          <cell r="AC48" t="str">
            <v xml:space="preserve">______ </v>
          </cell>
          <cell r="AD48" t="str">
            <v xml:space="preserve">______ </v>
          </cell>
          <cell r="AE48" t="str">
            <v xml:space="preserve">______ </v>
          </cell>
          <cell r="AF48" t="str">
            <v xml:space="preserve">______ </v>
          </cell>
          <cell r="AG48" t="str">
            <v xml:space="preserve">______ </v>
          </cell>
          <cell r="AH48" t="str">
            <v xml:space="preserve">______ </v>
          </cell>
          <cell r="AI48" t="str">
            <v xml:space="preserve">______ </v>
          </cell>
          <cell r="AJ48" t="str">
            <v xml:space="preserve">______ </v>
          </cell>
          <cell r="AK48" t="str">
            <v xml:space="preserve">______ </v>
          </cell>
          <cell r="AL48" t="str">
            <v xml:space="preserve">______ </v>
          </cell>
        </row>
        <row r="49">
          <cell r="A49" t="str">
            <v>Net Income Avail. to Common</v>
          </cell>
          <cell r="B49">
            <v>102</v>
          </cell>
          <cell r="C49">
            <v>77</v>
          </cell>
          <cell r="D49">
            <v>-1842</v>
          </cell>
          <cell r="E49">
            <v>401</v>
          </cell>
          <cell r="F49">
            <v>-1262</v>
          </cell>
          <cell r="G49">
            <v>556</v>
          </cell>
          <cell r="H49">
            <v>617</v>
          </cell>
          <cell r="I49">
            <v>491</v>
          </cell>
          <cell r="J49">
            <v>449</v>
          </cell>
          <cell r="K49">
            <v>2113</v>
          </cell>
          <cell r="L49">
            <v>141</v>
          </cell>
          <cell r="M49">
            <v>211.07064312054774</v>
          </cell>
          <cell r="N49">
            <v>259.89123945910501</v>
          </cell>
          <cell r="O49">
            <v>165.98913066230557</v>
          </cell>
          <cell r="P49">
            <v>777.95101324196094</v>
          </cell>
          <cell r="Q49">
            <v>1922.5917852514676</v>
          </cell>
          <cell r="R49">
            <v>3201.175160270318</v>
          </cell>
          <cell r="S49">
            <v>3996.7479837890296</v>
          </cell>
          <cell r="T49">
            <v>4741.4724705608478</v>
          </cell>
          <cell r="U49">
            <v>5372.0453666771136</v>
          </cell>
          <cell r="V49">
            <v>5624.3328343071425</v>
          </cell>
          <cell r="W49">
            <v>1013.0834270805522</v>
          </cell>
          <cell r="X49">
            <v>2310.4635130321276</v>
          </cell>
          <cell r="Y49" t="str">
            <v>Net Income Avail. to Common</v>
          </cell>
          <cell r="Z49">
            <v>-1262</v>
          </cell>
          <cell r="AA49">
            <v>2113</v>
          </cell>
          <cell r="AB49">
            <v>777.95101324196094</v>
          </cell>
          <cell r="AC49">
            <v>1922.5917852514676</v>
          </cell>
          <cell r="AD49">
            <v>3201.175160270318</v>
          </cell>
          <cell r="AE49">
            <v>3996.7479837890296</v>
          </cell>
          <cell r="AF49">
            <v>4741.4724705608478</v>
          </cell>
          <cell r="AG49">
            <v>5372.0453666771136</v>
          </cell>
          <cell r="AH49">
            <v>5624.3328343071425</v>
          </cell>
          <cell r="AI49">
            <v>2310.4635130321276</v>
          </cell>
          <cell r="AJ49">
            <v>3051.9191934903101</v>
          </cell>
          <cell r="AK49">
            <v>3817.7039992086611</v>
          </cell>
          <cell r="AL49">
            <v>4061.9748747973877</v>
          </cell>
        </row>
        <row r="50">
          <cell r="A50" t="str">
            <v>Preferred Stock Dividends</v>
          </cell>
          <cell r="B50">
            <v>-2</v>
          </cell>
          <cell r="C50">
            <v>-1</v>
          </cell>
          <cell r="D50">
            <v>-2</v>
          </cell>
          <cell r="E50">
            <v>-2</v>
          </cell>
          <cell r="F50">
            <v>-7</v>
          </cell>
          <cell r="G50">
            <v>-2</v>
          </cell>
          <cell r="H50">
            <v>-1</v>
          </cell>
          <cell r="I50">
            <v>-2</v>
          </cell>
          <cell r="J50">
            <v>-2</v>
          </cell>
          <cell r="K50">
            <v>-7</v>
          </cell>
          <cell r="L50">
            <v>-2</v>
          </cell>
          <cell r="M50">
            <v>0</v>
          </cell>
          <cell r="N50">
            <v>0</v>
          </cell>
          <cell r="O50">
            <v>0</v>
          </cell>
          <cell r="P50">
            <v>-2</v>
          </cell>
          <cell r="Q50">
            <v>0</v>
          </cell>
          <cell r="R50">
            <v>0</v>
          </cell>
          <cell r="S50">
            <v>0</v>
          </cell>
          <cell r="T50">
            <v>0</v>
          </cell>
          <cell r="U50">
            <v>0</v>
          </cell>
          <cell r="V50">
            <v>0</v>
          </cell>
          <cell r="W50">
            <v>0</v>
          </cell>
          <cell r="X50">
            <v>0</v>
          </cell>
          <cell r="Y50">
            <v>0</v>
          </cell>
          <cell r="Z50">
            <v>0</v>
          </cell>
          <cell r="AA50">
            <v>0</v>
          </cell>
          <cell r="AD50" t="str">
            <v>Preferred Stock Dividends</v>
          </cell>
          <cell r="AE50">
            <v>-2</v>
          </cell>
          <cell r="AF50">
            <v>0</v>
          </cell>
          <cell r="AG50">
            <v>0</v>
          </cell>
          <cell r="AH50">
            <v>0</v>
          </cell>
          <cell r="AI50">
            <v>0</v>
          </cell>
          <cell r="AJ50">
            <v>0</v>
          </cell>
          <cell r="AK50">
            <v>0</v>
          </cell>
          <cell r="AL50">
            <v>0</v>
          </cell>
          <cell r="BC50" t="str">
            <v>mstag:preferredDividendsPaid</v>
          </cell>
          <cell r="BD50">
            <v>6</v>
          </cell>
          <cell r="BE50" t="str">
            <v>ISO4217:USD</v>
          </cell>
          <cell r="BF50" t="b">
            <v>1</v>
          </cell>
          <cell r="BG50" t="b">
            <v>0</v>
          </cell>
        </row>
        <row r="51">
          <cell r="A51" t="str">
            <v>Basic Shares Outstanding</v>
          </cell>
          <cell r="B51" t="str">
            <v xml:space="preserve">______ </v>
          </cell>
          <cell r="C51" t="str">
            <v xml:space="preserve">______ </v>
          </cell>
          <cell r="D51" t="str">
            <v xml:space="preserve">______ </v>
          </cell>
          <cell r="E51" t="str">
            <v xml:space="preserve">______ </v>
          </cell>
          <cell r="F51" t="str">
            <v xml:space="preserve">______ </v>
          </cell>
          <cell r="G51" t="str">
            <v xml:space="preserve">______ </v>
          </cell>
          <cell r="H51" t="str">
            <v xml:space="preserve">______ </v>
          </cell>
          <cell r="I51">
            <v>2976.1</v>
          </cell>
          <cell r="J51">
            <v>2979.4</v>
          </cell>
          <cell r="K51">
            <v>2979.4</v>
          </cell>
          <cell r="L51">
            <v>2966</v>
          </cell>
          <cell r="M51">
            <v>2971</v>
          </cell>
          <cell r="N51">
            <v>2976</v>
          </cell>
          <cell r="O51">
            <v>2981</v>
          </cell>
          <cell r="P51">
            <v>2981</v>
          </cell>
          <cell r="Q51">
            <v>2993.5</v>
          </cell>
          <cell r="R51">
            <v>3013.5</v>
          </cell>
          <cell r="S51">
            <v>3033.5</v>
          </cell>
          <cell r="T51">
            <v>3053.5</v>
          </cell>
          <cell r="U51">
            <v>3073.5</v>
          </cell>
          <cell r="V51">
            <v>3093.5</v>
          </cell>
          <cell r="W51" t="str">
            <v xml:space="preserve">______ </v>
          </cell>
          <cell r="X51" t="str">
            <v xml:space="preserve">______ </v>
          </cell>
          <cell r="Y51" t="str">
            <v>Basic Shares Outstanding</v>
          </cell>
          <cell r="Z51">
            <v>0</v>
          </cell>
          <cell r="AA51">
            <v>2979.4</v>
          </cell>
          <cell r="AB51">
            <v>2981</v>
          </cell>
          <cell r="AC51">
            <v>2993.5</v>
          </cell>
          <cell r="AD51">
            <v>3013.5</v>
          </cell>
          <cell r="AE51">
            <v>3033.5</v>
          </cell>
          <cell r="AF51">
            <v>3053.5</v>
          </cell>
          <cell r="AG51">
            <v>3073.5</v>
          </cell>
          <cell r="AH51">
            <v>3093.5</v>
          </cell>
          <cell r="AI51" t="str">
            <v xml:space="preserve">______ </v>
          </cell>
          <cell r="AJ51" t="str">
            <v xml:space="preserve">______ </v>
          </cell>
          <cell r="AK51" t="str">
            <v xml:space="preserve">______ </v>
          </cell>
          <cell r="AL51" t="str">
            <v xml:space="preserve">______ </v>
          </cell>
          <cell r="AX51" t="str">
            <v>mstag:periodEndBasicSharesOutstanding</v>
          </cell>
          <cell r="AY51">
            <v>6</v>
          </cell>
          <cell r="AZ51" t="str">
            <v>ms_eqr_gcim_Decimal:ms_eqr_gcim_decimal</v>
          </cell>
          <cell r="BA51" t="b">
            <v>0</v>
          </cell>
          <cell r="BB51" t="b">
            <v>0</v>
          </cell>
        </row>
        <row r="52">
          <cell r="A52" t="str">
            <v>Average Basic Shares Outstanding</v>
          </cell>
          <cell r="B52">
            <v>102</v>
          </cell>
          <cell r="C52">
            <v>77</v>
          </cell>
          <cell r="D52">
            <v>-1842</v>
          </cell>
          <cell r="E52">
            <v>401</v>
          </cell>
          <cell r="F52">
            <v>-1262</v>
          </cell>
          <cell r="G52">
            <v>556</v>
          </cell>
          <cell r="H52">
            <v>617</v>
          </cell>
          <cell r="I52">
            <v>2976.1</v>
          </cell>
          <cell r="J52">
            <v>2979.4</v>
          </cell>
          <cell r="K52">
            <v>2962.6</v>
          </cell>
          <cell r="L52">
            <v>2966</v>
          </cell>
          <cell r="M52">
            <v>2971</v>
          </cell>
          <cell r="N52">
            <v>2976</v>
          </cell>
          <cell r="O52">
            <v>2981</v>
          </cell>
          <cell r="P52">
            <v>2973.5</v>
          </cell>
          <cell r="Q52">
            <v>2993.5</v>
          </cell>
          <cell r="R52">
            <v>3013.5</v>
          </cell>
          <cell r="S52">
            <v>3033.5</v>
          </cell>
          <cell r="T52">
            <v>3053.5</v>
          </cell>
          <cell r="U52">
            <v>3073.5</v>
          </cell>
          <cell r="V52">
            <v>3093.5</v>
          </cell>
          <cell r="W52">
            <v>1013.0834270805522</v>
          </cell>
          <cell r="X52">
            <v>2310.4635130321276</v>
          </cell>
          <cell r="Y52" t="str">
            <v>Average Basic Shares Outstanding</v>
          </cell>
          <cell r="Z52">
            <v>0</v>
          </cell>
          <cell r="AA52">
            <v>2962.6</v>
          </cell>
          <cell r="AB52">
            <v>2973.5</v>
          </cell>
          <cell r="AC52">
            <v>2993.5</v>
          </cell>
          <cell r="AD52">
            <v>3013.5</v>
          </cell>
          <cell r="AE52">
            <v>3033.5</v>
          </cell>
          <cell r="AF52">
            <v>3053.5</v>
          </cell>
          <cell r="AG52">
            <v>3073.5</v>
          </cell>
          <cell r="AH52">
            <v>3093.5</v>
          </cell>
          <cell r="AI52">
            <v>2310.4635130321276</v>
          </cell>
          <cell r="AJ52">
            <v>3051.9191934903101</v>
          </cell>
          <cell r="AK52">
            <v>3817.7039992086611</v>
          </cell>
          <cell r="AL52">
            <v>4061.9748747973877</v>
          </cell>
          <cell r="AX52" t="str">
            <v>mstag:averageBasicSharesOutstanding</v>
          </cell>
          <cell r="AY52">
            <v>6</v>
          </cell>
          <cell r="AZ52" t="str">
            <v>ms_eqr_gcim_Decimal:ms_eqr_gcim_decimal</v>
          </cell>
          <cell r="BA52" t="b">
            <v>0</v>
          </cell>
          <cell r="BB52" t="b">
            <v>0</v>
          </cell>
        </row>
        <row r="53">
          <cell r="A53" t="str">
            <v>Diluted Shares Outstanding</v>
          </cell>
          <cell r="I53">
            <v>2976.1</v>
          </cell>
          <cell r="J53">
            <v>2979.4</v>
          </cell>
          <cell r="K53">
            <v>2979.4</v>
          </cell>
          <cell r="L53">
            <v>2966</v>
          </cell>
          <cell r="M53">
            <v>2971</v>
          </cell>
          <cell r="N53">
            <v>2976</v>
          </cell>
          <cell r="O53">
            <v>2981</v>
          </cell>
          <cell r="P53">
            <v>2981</v>
          </cell>
          <cell r="Q53">
            <v>2993.5</v>
          </cell>
          <cell r="R53">
            <v>3013.5</v>
          </cell>
          <cell r="S53">
            <v>3033.5</v>
          </cell>
          <cell r="T53">
            <v>3053.5</v>
          </cell>
          <cell r="U53">
            <v>3073.5</v>
          </cell>
          <cell r="V53">
            <v>3093.5</v>
          </cell>
          <cell r="Y53" t="str">
            <v>Diluted Shares Outstanding</v>
          </cell>
          <cell r="Z53">
            <v>0</v>
          </cell>
          <cell r="AA53">
            <v>2979.4</v>
          </cell>
          <cell r="AB53">
            <v>2981</v>
          </cell>
          <cell r="AC53">
            <v>2993.5</v>
          </cell>
          <cell r="AD53">
            <v>3013.5</v>
          </cell>
          <cell r="AE53">
            <v>3033.5</v>
          </cell>
          <cell r="AF53">
            <v>3053.5</v>
          </cell>
          <cell r="AG53">
            <v>3073.5</v>
          </cell>
          <cell r="AH53">
            <v>3093.5</v>
          </cell>
        </row>
        <row r="54">
          <cell r="A54" t="str">
            <v>Average Diluted Shares Outstanding</v>
          </cell>
          <cell r="B54">
            <v>2927.2</v>
          </cell>
          <cell r="C54">
            <v>2931.1</v>
          </cell>
          <cell r="D54">
            <v>2868.6</v>
          </cell>
          <cell r="E54">
            <v>2928.8</v>
          </cell>
          <cell r="F54">
            <v>2913.9250000000002</v>
          </cell>
          <cell r="G54">
            <v>2944.8</v>
          </cell>
          <cell r="H54">
            <v>2950.1</v>
          </cell>
          <cell r="I54">
            <v>2976.1</v>
          </cell>
          <cell r="J54">
            <v>2979.4</v>
          </cell>
          <cell r="K54">
            <v>2962.6</v>
          </cell>
          <cell r="L54">
            <v>2966</v>
          </cell>
          <cell r="M54">
            <v>2971</v>
          </cell>
          <cell r="N54">
            <v>2976</v>
          </cell>
          <cell r="O54">
            <v>2981</v>
          </cell>
          <cell r="P54">
            <v>2973.5</v>
          </cell>
          <cell r="Q54">
            <v>2993.5</v>
          </cell>
          <cell r="R54">
            <v>3013.5</v>
          </cell>
          <cell r="S54">
            <v>3033.5</v>
          </cell>
          <cell r="T54">
            <v>3053.5</v>
          </cell>
          <cell r="U54">
            <v>3073.5</v>
          </cell>
          <cell r="V54">
            <v>3093.5</v>
          </cell>
          <cell r="W54">
            <v>2884</v>
          </cell>
          <cell r="X54">
            <v>2884</v>
          </cell>
          <cell r="Y54" t="str">
            <v>Average Diluted Shares Outstanding</v>
          </cell>
          <cell r="Z54">
            <v>2913.9250000000002</v>
          </cell>
          <cell r="AA54">
            <v>2962.6</v>
          </cell>
          <cell r="AB54">
            <v>2973.5</v>
          </cell>
          <cell r="AC54">
            <v>2993.5</v>
          </cell>
          <cell r="AD54">
            <v>3013.5</v>
          </cell>
          <cell r="AE54">
            <v>3033.5</v>
          </cell>
          <cell r="AF54">
            <v>3053.5</v>
          </cell>
          <cell r="AG54">
            <v>3073.5</v>
          </cell>
          <cell r="AH54">
            <v>3093.5</v>
          </cell>
          <cell r="AI54">
            <v>2884</v>
          </cell>
          <cell r="AJ54">
            <v>2884</v>
          </cell>
          <cell r="AK54">
            <v>2884</v>
          </cell>
          <cell r="AL54">
            <v>2884</v>
          </cell>
          <cell r="AX54" t="str">
            <v>mstag:averageDilutedSharesOutstanding</v>
          </cell>
          <cell r="AY54">
            <v>6</v>
          </cell>
          <cell r="AZ54" t="str">
            <v>ms_eqr_gcim_Decimal:ms_eqr_gcim_decimal</v>
          </cell>
          <cell r="BA54" t="b">
            <v>0</v>
          </cell>
          <cell r="BB54" t="b">
            <v>0</v>
          </cell>
          <cell r="BC54" t="str">
            <v>mstag:periodEndBasicSharesOutstanding</v>
          </cell>
          <cell r="BD54">
            <v>6</v>
          </cell>
          <cell r="BE54" t="str">
            <v>ms_eqr_gcim_Decimal:ms_eqr_gcim_decimal</v>
          </cell>
          <cell r="BF54" t="b">
            <v>0</v>
          </cell>
          <cell r="BG54" t="b">
            <v>0</v>
          </cell>
        </row>
        <row r="55">
          <cell r="A55" t="str">
            <v>Average Basic Shares Outstanding</v>
          </cell>
          <cell r="I55">
            <v>2976.1</v>
          </cell>
          <cell r="J55">
            <v>2979.4</v>
          </cell>
          <cell r="K55">
            <v>2962.6</v>
          </cell>
          <cell r="L55">
            <v>2992.8</v>
          </cell>
          <cell r="M55">
            <v>3002.9</v>
          </cell>
          <cell r="N55">
            <v>2968.7</v>
          </cell>
          <cell r="O55">
            <v>2916.2</v>
          </cell>
          <cell r="P55">
            <v>2970.1500000000005</v>
          </cell>
          <cell r="Q55">
            <v>2898.7</v>
          </cell>
          <cell r="R55">
            <v>2884</v>
          </cell>
          <cell r="S55">
            <v>2884</v>
          </cell>
          <cell r="T55">
            <v>2884</v>
          </cell>
          <cell r="U55">
            <v>2887.6750000000002</v>
          </cell>
          <cell r="V55">
            <v>2884</v>
          </cell>
          <cell r="W55">
            <v>2884</v>
          </cell>
          <cell r="X55">
            <v>2884</v>
          </cell>
          <cell r="Y55">
            <v>2884</v>
          </cell>
          <cell r="Z55">
            <v>2884</v>
          </cell>
          <cell r="AA55">
            <v>2884</v>
          </cell>
          <cell r="AD55" t="str">
            <v>Average Basic Shares Outstanding</v>
          </cell>
          <cell r="AE55">
            <v>2970.1500000000005</v>
          </cell>
          <cell r="AF55">
            <v>2887.6750000000002</v>
          </cell>
          <cell r="AG55">
            <v>2884</v>
          </cell>
          <cell r="AH55">
            <v>2884</v>
          </cell>
          <cell r="AI55">
            <v>2884</v>
          </cell>
          <cell r="AJ55">
            <v>2884</v>
          </cell>
          <cell r="AK55">
            <v>2884</v>
          </cell>
          <cell r="AL55">
            <v>2884</v>
          </cell>
          <cell r="BC55" t="str">
            <v>mstag:averageBasicSharesOutstanding</v>
          </cell>
          <cell r="BD55">
            <v>6</v>
          </cell>
          <cell r="BE55" t="str">
            <v>ms_eqr_gcim_Decimal:ms_eqr_gcim_decimal</v>
          </cell>
          <cell r="BF55" t="b">
            <v>0</v>
          </cell>
          <cell r="BG55" t="b">
            <v>0</v>
          </cell>
        </row>
        <row r="56">
          <cell r="A56" t="str">
            <v>Common Dividends</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2884</v>
          </cell>
          <cell r="X56">
            <v>2884</v>
          </cell>
          <cell r="Y56" t="str">
            <v>Common Dividends</v>
          </cell>
          <cell r="Z56">
            <v>0</v>
          </cell>
          <cell r="AA56">
            <v>0</v>
          </cell>
          <cell r="AB56">
            <v>0</v>
          </cell>
          <cell r="AC56">
            <v>0</v>
          </cell>
          <cell r="AD56">
            <v>0</v>
          </cell>
          <cell r="AE56">
            <v>0</v>
          </cell>
          <cell r="AF56">
            <v>0</v>
          </cell>
          <cell r="AG56">
            <v>0</v>
          </cell>
          <cell r="AH56">
            <v>0</v>
          </cell>
          <cell r="AI56">
            <v>2884</v>
          </cell>
          <cell r="AJ56">
            <v>2884</v>
          </cell>
          <cell r="AK56">
            <v>2884</v>
          </cell>
          <cell r="AL56">
            <v>2884</v>
          </cell>
          <cell r="AX56" t="str">
            <v>mstag:commonDividends</v>
          </cell>
          <cell r="AY56">
            <v>6</v>
          </cell>
          <cell r="AZ56" t="str">
            <v>ISO4217:USD</v>
          </cell>
          <cell r="BA56" t="b">
            <v>0</v>
          </cell>
          <cell r="BB56" t="b">
            <v>0</v>
          </cell>
        </row>
        <row r="57">
          <cell r="A57" t="str">
            <v>Recur. Net Inc. / Share Avail. to Com.</v>
          </cell>
          <cell r="B57">
            <v>5.500136649357748E-2</v>
          </cell>
          <cell r="C57">
            <v>8.6315717648664331E-2</v>
          </cell>
          <cell r="D57">
            <v>1.4114899253991495</v>
          </cell>
          <cell r="E57">
            <v>0.16969407265774378</v>
          </cell>
          <cell r="F57">
            <v>1.7021714697529964</v>
          </cell>
          <cell r="G57">
            <v>0.20171149144254277</v>
          </cell>
          <cell r="H57">
            <v>0.26100810142029085</v>
          </cell>
          <cell r="I57">
            <v>0.39649205335842208</v>
          </cell>
          <cell r="J57">
            <v>6.5449419346177082E-2</v>
          </cell>
          <cell r="K57">
            <v>0.92452575440491458</v>
          </cell>
          <cell r="L57">
            <v>6.0013486176668913E-2</v>
          </cell>
          <cell r="M57">
            <v>0.28645932114458017</v>
          </cell>
          <cell r="N57">
            <v>0.30574302401179604</v>
          </cell>
          <cell r="O57">
            <v>0.27708457922251112</v>
          </cell>
          <cell r="P57">
            <v>0.92986413762971609</v>
          </cell>
          <cell r="Q57">
            <v>1.4439925790050001</v>
          </cell>
          <cell r="R57">
            <v>1.6264062254090983</v>
          </cell>
          <cell r="S57">
            <v>1.6801542718935321</v>
          </cell>
          <cell r="T57">
            <v>1.7165457575113305</v>
          </cell>
          <cell r="U57">
            <v>1.7478592375718607</v>
          </cell>
          <cell r="V57">
            <v>1.8181130868941788</v>
          </cell>
          <cell r="W57">
            <v>2884</v>
          </cell>
          <cell r="X57">
            <v>2884</v>
          </cell>
          <cell r="Y57" t="str">
            <v>Recur. Net Inc. / Share Avail. to Com.</v>
          </cell>
          <cell r="Z57">
            <v>1.7021714697529964</v>
          </cell>
          <cell r="AA57">
            <v>0.92452575440491458</v>
          </cell>
          <cell r="AB57">
            <v>0.92986413762971609</v>
          </cell>
          <cell r="AC57">
            <v>1.4439925790050001</v>
          </cell>
          <cell r="AD57">
            <v>1.6264062254090983</v>
          </cell>
          <cell r="AE57">
            <v>1.6801542718935321</v>
          </cell>
          <cell r="AF57">
            <v>1.7165457575113305</v>
          </cell>
          <cell r="AG57">
            <v>1.7478592375718607</v>
          </cell>
          <cell r="AH57">
            <v>1.8181130868941788</v>
          </cell>
          <cell r="AI57">
            <v>2884</v>
          </cell>
          <cell r="AJ57">
            <v>2884</v>
          </cell>
          <cell r="AK57">
            <v>2884</v>
          </cell>
          <cell r="AL57">
            <v>2884</v>
          </cell>
          <cell r="AX57" t="str">
            <v>mstag:commonDividends</v>
          </cell>
          <cell r="AY57">
            <v>6</v>
          </cell>
          <cell r="AZ57" t="str">
            <v>ISO4217:USD</v>
          </cell>
          <cell r="BA57" t="b">
            <v>0</v>
          </cell>
          <cell r="BB57" t="b">
            <v>0</v>
          </cell>
          <cell r="BC57" t="str">
            <v>mstag:averageDilutedSharesOutstanding</v>
          </cell>
          <cell r="BD57">
            <v>6</v>
          </cell>
          <cell r="BE57" t="str">
            <v>ms_eqr_gcim_Decimal:ms_eqr_gcim_decimal</v>
          </cell>
          <cell r="BF57" t="b">
            <v>0</v>
          </cell>
          <cell r="BG57" t="b">
            <v>0</v>
          </cell>
        </row>
        <row r="58">
          <cell r="A58" t="str">
            <v>Net Income (Loss) per Share</v>
          </cell>
          <cell r="G58">
            <v>0.18880738929638685</v>
          </cell>
          <cell r="H58">
            <v>0.20914545269651877</v>
          </cell>
          <cell r="I58">
            <v>0.16498101542286886</v>
          </cell>
          <cell r="J58">
            <v>0.15070148352017185</v>
          </cell>
          <cell r="K58">
            <v>0.71322487004658075</v>
          </cell>
          <cell r="L58">
            <v>4.7538772757923127E-2</v>
          </cell>
          <cell r="M58">
            <v>7.1043636190019438E-2</v>
          </cell>
          <cell r="N58">
            <v>8.7329045517172382E-2</v>
          </cell>
          <cell r="O58">
            <v>5.568236520037087E-2</v>
          </cell>
          <cell r="P58">
            <v>0.26162805220849533</v>
          </cell>
          <cell r="Q58">
            <v>0.64225548196140558</v>
          </cell>
          <cell r="R58">
            <v>1.0622781351486039</v>
          </cell>
          <cell r="S58">
            <v>1.3175368332912576</v>
          </cell>
          <cell r="T58">
            <v>1.5527992371248887</v>
          </cell>
          <cell r="U58">
            <v>1.7478592375718607</v>
          </cell>
          <cell r="V58">
            <v>1.8181130868941788</v>
          </cell>
        </row>
        <row r="59">
          <cell r="A59" t="str">
            <v>Recur. Net Inc. / Share Avail. to Com.</v>
          </cell>
          <cell r="B59">
            <v>5.500136649357748E-2</v>
          </cell>
          <cell r="C59">
            <v>8.6315717648664331E-2</v>
          </cell>
          <cell r="D59">
            <v>1.4114899253991495</v>
          </cell>
          <cell r="E59">
            <v>0.16969407265774378</v>
          </cell>
          <cell r="F59">
            <v>1.7021714697529964</v>
          </cell>
          <cell r="G59">
            <v>0.36912523770714478</v>
          </cell>
          <cell r="H59">
            <v>0.4281210806413342</v>
          </cell>
          <cell r="I59">
            <v>0.56550519135781729</v>
          </cell>
          <cell r="J59">
            <v>0.24031684231724507</v>
          </cell>
          <cell r="K59">
            <v>1.6029838655235267</v>
          </cell>
          <cell r="L59">
            <v>0.34516172146484897</v>
          </cell>
          <cell r="M59">
            <v>0.32268806820073925</v>
          </cell>
          <cell r="N59">
            <v>0.31716422297453528</v>
          </cell>
          <cell r="O59">
            <v>0.27029613315403034</v>
          </cell>
          <cell r="P59">
            <v>1.2550654469653819</v>
          </cell>
          <cell r="Q59">
            <v>1.2037286225664137</v>
          </cell>
          <cell r="R59">
            <v>1.3435379843710902</v>
          </cell>
          <cell r="S59">
            <v>1.4285113155511759</v>
          </cell>
          <cell r="T59">
            <v>1.5017087763615793</v>
          </cell>
          <cell r="U59">
            <v>1.5641217470400468</v>
          </cell>
          <cell r="V59">
            <v>1.5982331058897499</v>
          </cell>
          <cell r="W59">
            <v>0.1</v>
          </cell>
          <cell r="X59">
            <v>0.1</v>
          </cell>
          <cell r="Y59" t="str">
            <v>Recur. Net Inc. / Share Avail. to Com.</v>
          </cell>
          <cell r="Z59">
            <v>1.7021714697529964</v>
          </cell>
          <cell r="AA59">
            <v>1.6029838655235267</v>
          </cell>
          <cell r="AB59">
            <v>1.2550654469653819</v>
          </cell>
          <cell r="AC59">
            <v>1.2037286225664137</v>
          </cell>
          <cell r="AD59">
            <v>1.3435379843710902</v>
          </cell>
          <cell r="AE59">
            <v>1.4285113155511759</v>
          </cell>
          <cell r="AF59">
            <v>1.5017087763615793</v>
          </cell>
          <cell r="AG59">
            <v>1.5641217470400468</v>
          </cell>
          <cell r="AH59">
            <v>1.5982331058897499</v>
          </cell>
          <cell r="AI59">
            <v>0.1</v>
          </cell>
          <cell r="AJ59">
            <v>0.1</v>
          </cell>
          <cell r="AK59">
            <v>0.1</v>
          </cell>
          <cell r="AL59">
            <v>0.1</v>
          </cell>
          <cell r="BC59" t="str">
            <v>mstag:dividendsPerShare</v>
          </cell>
          <cell r="BD59">
            <v>0</v>
          </cell>
          <cell r="BE59" t="str">
            <v>ISO4217:USD</v>
          </cell>
          <cell r="BF59" t="b">
            <v>0</v>
          </cell>
          <cell r="BG59" t="b">
            <v>0</v>
          </cell>
        </row>
        <row r="60">
          <cell r="A60" t="str">
            <v>Net Income (Loss) per Share</v>
          </cell>
          <cell r="B60">
            <v>0</v>
          </cell>
          <cell r="C60">
            <v>0</v>
          </cell>
          <cell r="D60">
            <v>0</v>
          </cell>
          <cell r="E60">
            <v>0</v>
          </cell>
          <cell r="F60">
            <v>-0.43309282153795992</v>
          </cell>
          <cell r="G60">
            <v>0.18880738929638685</v>
          </cell>
          <cell r="H60">
            <v>0.20914545269651877</v>
          </cell>
          <cell r="I60">
            <v>0.16498101542286886</v>
          </cell>
          <cell r="J60">
            <v>0.15070148352017185</v>
          </cell>
          <cell r="K60">
            <v>0.71322487004658075</v>
          </cell>
          <cell r="L60">
            <v>0.13933440256615878</v>
          </cell>
          <cell r="M60">
            <v>0.1232142262479603</v>
          </cell>
          <cell r="N60">
            <v>6.7820827249943386E-2</v>
          </cell>
          <cell r="O60">
            <v>3.4642775923455174E-2</v>
          </cell>
          <cell r="P60">
            <v>0.36462313847289252</v>
          </cell>
          <cell r="Q60">
            <v>0.28051981251662633</v>
          </cell>
          <cell r="R60">
            <v>0.68842317550083565</v>
          </cell>
          <cell r="S60">
            <v>1.0380007229513517</v>
          </cell>
          <cell r="T60">
            <v>1.3203256084609034</v>
          </cell>
          <cell r="U60">
            <v>1.5641217470400468</v>
          </cell>
          <cell r="V60">
            <v>1.5982331058897499</v>
          </cell>
          <cell r="W60">
            <v>288.40000000000003</v>
          </cell>
          <cell r="X60">
            <v>288.40000000000003</v>
          </cell>
          <cell r="Y60" t="str">
            <v>Net Income (Loss) per Share</v>
          </cell>
          <cell r="Z60">
            <v>-0.43309282153795992</v>
          </cell>
          <cell r="AA60">
            <v>0.71322487004658075</v>
          </cell>
          <cell r="AB60">
            <v>0.36462313847289252</v>
          </cell>
          <cell r="AC60">
            <v>0.28051981251662633</v>
          </cell>
          <cell r="AD60">
            <v>0.68842317550083565</v>
          </cell>
          <cell r="AE60">
            <v>1.0380007229513517</v>
          </cell>
          <cell r="AF60">
            <v>1.3203256084609034</v>
          </cell>
          <cell r="AG60">
            <v>1.5641217470400468</v>
          </cell>
          <cell r="AH60">
            <v>1.5982331058897499</v>
          </cell>
          <cell r="AI60">
            <v>288.40000000000003</v>
          </cell>
          <cell r="AJ60">
            <v>288.40000000000003</v>
          </cell>
          <cell r="AK60">
            <v>288.40000000000003</v>
          </cell>
          <cell r="AL60">
            <v>288.40000000000003</v>
          </cell>
          <cell r="BC60" t="str">
            <v>mstag:commonDividends</v>
          </cell>
          <cell r="BD60">
            <v>6</v>
          </cell>
          <cell r="BE60" t="str">
            <v>ISO4217:USD</v>
          </cell>
          <cell r="BF60" t="b">
            <v>0</v>
          </cell>
          <cell r="BG60" t="b">
            <v>0</v>
          </cell>
        </row>
        <row r="61">
          <cell r="A61" t="str">
            <v>Quarterly Statement of Cash Flows</v>
          </cell>
        </row>
        <row r="62">
          <cell r="A62" t="str">
            <v>(Values in millions, except per-share amounts)</v>
          </cell>
          <cell r="B62">
            <v>5.500136649357748E-2</v>
          </cell>
          <cell r="C62">
            <v>8.6315717648664331E-2</v>
          </cell>
          <cell r="D62">
            <v>1.4114899253991495</v>
          </cell>
          <cell r="E62">
            <v>0.16969407265774378</v>
          </cell>
          <cell r="F62">
            <v>1.7021714697529964</v>
          </cell>
          <cell r="G62">
            <v>0.36912523770714478</v>
          </cell>
          <cell r="H62">
            <v>0.4281210806413342</v>
          </cell>
          <cell r="I62">
            <v>0.56550519135781729</v>
          </cell>
          <cell r="J62">
            <v>0.24031684231724507</v>
          </cell>
          <cell r="K62">
            <v>1.6029838655235267</v>
          </cell>
          <cell r="L62">
            <v>0.34516172146484897</v>
          </cell>
          <cell r="M62">
            <v>0.32268806820073925</v>
          </cell>
          <cell r="N62">
            <v>0.31933169400747802</v>
          </cell>
          <cell r="O62">
            <v>0.28667443933886566</v>
          </cell>
          <cell r="P62">
            <v>1.2746830968132921</v>
          </cell>
          <cell r="Q62">
            <v>0.18353054817676892</v>
          </cell>
          <cell r="R62">
            <v>0.24930651872399445</v>
          </cell>
          <cell r="S62">
            <v>0.22468467350301435</v>
          </cell>
          <cell r="T62">
            <v>0.18818394423836152</v>
          </cell>
          <cell r="U62">
            <v>0.84556367789523579</v>
          </cell>
          <cell r="V62">
            <v>0.83716788011322363</v>
          </cell>
          <cell r="W62">
            <v>0.87138815086010823</v>
          </cell>
          <cell r="X62">
            <v>1.043850039192832</v>
          </cell>
          <cell r="Y62">
            <v>1.1386682363003848</v>
          </cell>
          <cell r="Z62">
            <v>1.3237531203913526</v>
          </cell>
          <cell r="AA62">
            <v>1.408451759638484</v>
          </cell>
          <cell r="AD62" t="str">
            <v>Recur. Net Inc. / Share Avail. to Com.</v>
          </cell>
          <cell r="AE62">
            <v>1.2746830968132921</v>
          </cell>
          <cell r="AF62">
            <v>0.84556367789523579</v>
          </cell>
          <cell r="AG62">
            <v>0.83716788011322363</v>
          </cell>
          <cell r="AH62">
            <v>0.87138815086010823</v>
          </cell>
          <cell r="AI62">
            <v>1.043850039192832</v>
          </cell>
          <cell r="AJ62">
            <v>1.1386682363003848</v>
          </cell>
          <cell r="AK62">
            <v>1.3237531203913526</v>
          </cell>
          <cell r="AL62">
            <v>1.408451759638484</v>
          </cell>
        </row>
        <row r="63">
          <cell r="A63" t="str">
            <v>Fiscal Year Ending December 31</v>
          </cell>
          <cell r="B63" t="str">
            <v>1Q04</v>
          </cell>
          <cell r="C63" t="str">
            <v>2Q04</v>
          </cell>
          <cell r="D63" t="str">
            <v>3Q04</v>
          </cell>
          <cell r="E63" t="str">
            <v>4Q04</v>
          </cell>
          <cell r="F63">
            <v>2004</v>
          </cell>
          <cell r="G63" t="str">
            <v>1Q05</v>
          </cell>
          <cell r="H63" t="str">
            <v>2Q05</v>
          </cell>
          <cell r="I63" t="str">
            <v>3Q05</v>
          </cell>
          <cell r="J63" t="str">
            <v>4Q05</v>
          </cell>
          <cell r="K63">
            <v>2005</v>
          </cell>
          <cell r="L63" t="str">
            <v>1Q06</v>
          </cell>
          <cell r="M63" t="str">
            <v>2Q06E</v>
          </cell>
          <cell r="N63" t="str">
            <v>3Q06E</v>
          </cell>
          <cell r="O63" t="str">
            <v>4Q06E</v>
          </cell>
          <cell r="P63" t="str">
            <v>2006E</v>
          </cell>
          <cell r="Q63" t="str">
            <v>2007E</v>
          </cell>
          <cell r="R63" t="str">
            <v>2008E</v>
          </cell>
          <cell r="S63" t="str">
            <v>2009E</v>
          </cell>
          <cell r="T63" t="str">
            <v>2010E</v>
          </cell>
          <cell r="U63" t="str">
            <v>2011E</v>
          </cell>
          <cell r="V63" t="str">
            <v>2012E</v>
          </cell>
          <cell r="W63">
            <v>0.35127719385594736</v>
          </cell>
          <cell r="X63">
            <v>0.80113159259089028</v>
          </cell>
          <cell r="Y63">
            <v>1.0582244082837413</v>
          </cell>
          <cell r="Z63">
            <v>1.3237531203913526</v>
          </cell>
          <cell r="AA63">
            <v>1.408451759638484</v>
          </cell>
          <cell r="AD63" t="str">
            <v>Net Income (Loss) per Share</v>
          </cell>
          <cell r="AE63">
            <v>0.43600491557665427</v>
          </cell>
          <cell r="AF63">
            <v>-0.2082252699607382</v>
          </cell>
          <cell r="AG63">
            <v>4.9903489065661645E-3</v>
          </cell>
          <cell r="AH63">
            <v>0.35127719385594736</v>
          </cell>
          <cell r="AI63">
            <v>0.80113159259089028</v>
          </cell>
          <cell r="AJ63">
            <v>1.0582244082837413</v>
          </cell>
          <cell r="AK63">
            <v>1.3237531203913526</v>
          </cell>
          <cell r="AL63">
            <v>1.408451759638484</v>
          </cell>
        </row>
        <row r="64">
          <cell r="A64" t="str">
            <v>Cash Flows From Operations</v>
          </cell>
          <cell r="S64">
            <v>0.22</v>
          </cell>
          <cell r="T64">
            <v>0.21</v>
          </cell>
          <cell r="U64">
            <v>0.89</v>
          </cell>
          <cell r="V64">
            <v>1.04</v>
          </cell>
        </row>
        <row r="65">
          <cell r="A65" t="str">
            <v xml:space="preserve">    Net income (loss)</v>
          </cell>
          <cell r="B65" t="str">
            <v>1Q04</v>
          </cell>
          <cell r="C65" t="str">
            <v>2Q04</v>
          </cell>
          <cell r="D65" t="str">
            <v>3Q04</v>
          </cell>
          <cell r="E65" t="str">
            <v>4Q04</v>
          </cell>
          <cell r="F65">
            <v>2004</v>
          </cell>
          <cell r="G65" t="str">
            <v>1Q05</v>
          </cell>
          <cell r="H65" t="str">
            <v>2Q05</v>
          </cell>
          <cell r="I65">
            <v>1588</v>
          </cell>
          <cell r="J65">
            <v>197</v>
          </cell>
          <cell r="K65">
            <v>1785</v>
          </cell>
          <cell r="L65">
            <v>143</v>
          </cell>
          <cell r="M65">
            <v>851.07064312054774</v>
          </cell>
          <cell r="N65">
            <v>909.89123945910501</v>
          </cell>
          <cell r="O65">
            <v>825.98913066230557</v>
          </cell>
          <cell r="P65">
            <v>2729.9510132419582</v>
          </cell>
          <cell r="Q65">
            <v>4322.5917852514676</v>
          </cell>
          <cell r="R65">
            <v>4901.175160270318</v>
          </cell>
          <cell r="S65">
            <v>5096.7479837890296</v>
          </cell>
          <cell r="T65">
            <v>5241.4724705608478</v>
          </cell>
          <cell r="U65">
            <v>5372.0453666771136</v>
          </cell>
          <cell r="V65">
            <v>5624.3328343071425</v>
          </cell>
          <cell r="AX65" t="str">
            <v>mstag:netIncomeReported</v>
          </cell>
          <cell r="AY65">
            <v>6</v>
          </cell>
          <cell r="AZ65" t="str">
            <v>ISO4217:USD</v>
          </cell>
          <cell r="BA65" t="b">
            <v>0</v>
          </cell>
          <cell r="BB65" t="b">
            <v>0</v>
          </cell>
        </row>
        <row r="66">
          <cell r="A66" t="str">
            <v xml:space="preserve">    Depreciation and amortization</v>
          </cell>
          <cell r="I66">
            <v>3831</v>
          </cell>
          <cell r="J66">
            <v>2438</v>
          </cell>
          <cell r="K66">
            <v>6269</v>
          </cell>
          <cell r="L66">
            <v>3284</v>
          </cell>
          <cell r="M66">
            <v>1532.1190050875912</v>
          </cell>
          <cell r="N66">
            <v>1542.1575407490386</v>
          </cell>
          <cell r="O66">
            <v>1558.6612174691195</v>
          </cell>
          <cell r="P66">
            <v>7916.9377633057502</v>
          </cell>
          <cell r="Q66">
            <v>5890.355298516617</v>
          </cell>
          <cell r="R66">
            <v>6048.1996658274848</v>
          </cell>
          <cell r="S66">
            <v>6181.1745869425267</v>
          </cell>
          <cell r="T66">
            <v>6257.0989917231082</v>
          </cell>
          <cell r="U66">
            <v>6281.8185785931273</v>
          </cell>
          <cell r="V66">
            <v>6051.3279070071985</v>
          </cell>
          <cell r="AX66" t="str">
            <v>mstag:depreciation</v>
          </cell>
          <cell r="AY66">
            <v>6</v>
          </cell>
          <cell r="AZ66" t="str">
            <v>ISO4217:USD</v>
          </cell>
          <cell r="BA66" t="b">
            <v>0</v>
          </cell>
          <cell r="BB66" t="b">
            <v>0</v>
          </cell>
        </row>
        <row r="67">
          <cell r="A67" t="str">
            <v xml:space="preserve">    Deferred income taxes</v>
          </cell>
          <cell r="I67">
            <v>742</v>
          </cell>
          <cell r="J67">
            <v>88</v>
          </cell>
          <cell r="K67">
            <v>830</v>
          </cell>
          <cell r="L67">
            <v>151</v>
          </cell>
          <cell r="M67">
            <v>0</v>
          </cell>
          <cell r="N67">
            <v>0</v>
          </cell>
          <cell r="O67">
            <v>0</v>
          </cell>
          <cell r="P67">
            <v>151</v>
          </cell>
          <cell r="Q67">
            <v>0</v>
          </cell>
          <cell r="R67">
            <v>0</v>
          </cell>
          <cell r="S67">
            <v>0</v>
          </cell>
          <cell r="T67">
            <v>0</v>
          </cell>
          <cell r="U67">
            <v>0</v>
          </cell>
          <cell r="V67">
            <v>0</v>
          </cell>
          <cell r="AX67" t="str">
            <v>mstag:deferredTax</v>
          </cell>
          <cell r="AY67">
            <v>6</v>
          </cell>
          <cell r="AZ67" t="str">
            <v>ISO4217:USD</v>
          </cell>
          <cell r="BA67" t="b">
            <v>0</v>
          </cell>
          <cell r="BB67" t="b">
            <v>0</v>
          </cell>
        </row>
        <row r="68">
          <cell r="A68" t="str">
            <v>Gains - Losses on write-down of assets</v>
          </cell>
          <cell r="B68" t="str">
            <v>1Q04</v>
          </cell>
          <cell r="C68" t="str">
            <v>2Q04</v>
          </cell>
          <cell r="D68" t="str">
            <v>3Q04</v>
          </cell>
          <cell r="E68" t="str">
            <v>4Q04</v>
          </cell>
          <cell r="F68">
            <v>2004</v>
          </cell>
          <cell r="G68" t="str">
            <v>1Q05</v>
          </cell>
          <cell r="H68" t="str">
            <v>2Q05</v>
          </cell>
          <cell r="I68">
            <v>57</v>
          </cell>
          <cell r="J68">
            <v>70</v>
          </cell>
          <cell r="K68">
            <v>127</v>
          </cell>
          <cell r="L68">
            <v>0</v>
          </cell>
          <cell r="M68">
            <v>0</v>
          </cell>
          <cell r="N68">
            <v>0</v>
          </cell>
          <cell r="O68">
            <v>0</v>
          </cell>
          <cell r="P68">
            <v>0</v>
          </cell>
          <cell r="Q68">
            <v>0</v>
          </cell>
          <cell r="R68">
            <v>0</v>
          </cell>
          <cell r="S68">
            <v>0</v>
          </cell>
          <cell r="T68">
            <v>0</v>
          </cell>
          <cell r="U68">
            <v>0</v>
          </cell>
          <cell r="V68">
            <v>0</v>
          </cell>
          <cell r="W68" t="str">
            <v>2009E</v>
          </cell>
          <cell r="X68" t="str">
            <v>2010E</v>
          </cell>
          <cell r="Y68" t="str">
            <v>2011E</v>
          </cell>
          <cell r="Z68" t="str">
            <v>2012E</v>
          </cell>
          <cell r="AA68" t="str">
            <v>2013E</v>
          </cell>
          <cell r="AX68" t="str">
            <v>mstag:gainsLossesFromSaleOfOperatingAssetsOneTime</v>
          </cell>
          <cell r="AY68">
            <v>6</v>
          </cell>
          <cell r="AZ68" t="str">
            <v>ISO4217:USD</v>
          </cell>
          <cell r="BA68" t="b">
            <v>1</v>
          </cell>
          <cell r="BB68" t="b">
            <v>0</v>
          </cell>
        </row>
        <row r="69">
          <cell r="A69" t="str">
            <v xml:space="preserve">    Deferred income taxes</v>
          </cell>
          <cell r="I69">
            <v>742</v>
          </cell>
          <cell r="J69">
            <v>88</v>
          </cell>
          <cell r="K69">
            <v>0</v>
          </cell>
          <cell r="L69">
            <v>151</v>
          </cell>
          <cell r="M69">
            <v>42</v>
          </cell>
          <cell r="N69">
            <v>0</v>
          </cell>
          <cell r="O69">
            <v>0</v>
          </cell>
          <cell r="P69">
            <v>0</v>
          </cell>
          <cell r="Q69">
            <v>0</v>
          </cell>
          <cell r="R69">
            <v>0</v>
          </cell>
          <cell r="S69">
            <v>0</v>
          </cell>
          <cell r="T69">
            <v>0</v>
          </cell>
          <cell r="U69">
            <v>0</v>
          </cell>
          <cell r="V69">
            <v>0</v>
          </cell>
          <cell r="AX69" t="str">
            <v>mstag:deferredTax</v>
          </cell>
          <cell r="AY69">
            <v>6</v>
          </cell>
          <cell r="AZ69" t="str">
            <v>ISO4217:USD</v>
          </cell>
          <cell r="BA69" t="b">
            <v>0</v>
          </cell>
          <cell r="BB69" t="b">
            <v>0</v>
          </cell>
        </row>
        <row r="70">
          <cell r="A70" t="str">
            <v xml:space="preserve">    Changes in Working Capital</v>
          </cell>
          <cell r="I70">
            <v>57</v>
          </cell>
          <cell r="J70">
            <v>70</v>
          </cell>
          <cell r="K70">
            <v>0</v>
          </cell>
          <cell r="L70">
            <v>0</v>
          </cell>
          <cell r="M70">
            <v>0</v>
          </cell>
          <cell r="N70">
            <v>0</v>
          </cell>
          <cell r="O70">
            <v>0</v>
          </cell>
          <cell r="P70">
            <v>0</v>
          </cell>
          <cell r="Q70">
            <v>0</v>
          </cell>
          <cell r="R70">
            <v>0</v>
          </cell>
          <cell r="S70">
            <v>0</v>
          </cell>
          <cell r="T70">
            <v>0</v>
          </cell>
          <cell r="U70">
            <v>0</v>
          </cell>
          <cell r="V70">
            <v>0</v>
          </cell>
          <cell r="W70">
            <v>1013.0834270805522</v>
          </cell>
          <cell r="X70">
            <v>2310.4635130321276</v>
          </cell>
          <cell r="Y70">
            <v>3051.9191934903101</v>
          </cell>
          <cell r="Z70">
            <v>3817.7039992086611</v>
          </cell>
          <cell r="AA70">
            <v>4061.9748747973877</v>
          </cell>
          <cell r="AX70" t="str">
            <v>mstag:gainsLossesFromSaleOfOperatingAssetsOneTime</v>
          </cell>
          <cell r="AY70">
            <v>6</v>
          </cell>
          <cell r="AZ70" t="str">
            <v>ISO4217:USD</v>
          </cell>
          <cell r="BA70" t="b">
            <v>1</v>
          </cell>
          <cell r="BB70" t="b">
            <v>0</v>
          </cell>
          <cell r="BC70" t="str">
            <v>mstag:netIncomeReported</v>
          </cell>
          <cell r="BD70">
            <v>6</v>
          </cell>
          <cell r="BE70" t="str">
            <v>ISO4217:USD</v>
          </cell>
          <cell r="BF70" t="b">
            <v>0</v>
          </cell>
          <cell r="BG70" t="b">
            <v>0</v>
          </cell>
        </row>
        <row r="71">
          <cell r="A71" t="str">
            <v xml:space="preserve">    Changes in A/R</v>
          </cell>
          <cell r="I71">
            <v>-26</v>
          </cell>
          <cell r="J71">
            <v>26</v>
          </cell>
          <cell r="K71">
            <v>0</v>
          </cell>
          <cell r="L71">
            <v>326</v>
          </cell>
          <cell r="M71">
            <v>-4435.7481078027868</v>
          </cell>
          <cell r="N71">
            <v>-18.449041765696165</v>
          </cell>
          <cell r="O71">
            <v>-31.702039139412591</v>
          </cell>
          <cell r="P71">
            <v>-4159.8991887078955</v>
          </cell>
          <cell r="Q71">
            <v>-93.258780001538071</v>
          </cell>
          <cell r="R71">
            <v>-85.868868831145846</v>
          </cell>
          <cell r="S71">
            <v>-15.88243240221982</v>
          </cell>
          <cell r="T71">
            <v>18.726643497861005</v>
          </cell>
          <cell r="U71">
            <v>26.940866587848177</v>
          </cell>
          <cell r="V71">
            <v>32.580532839799162</v>
          </cell>
          <cell r="W71">
            <v>7916.9232433066582</v>
          </cell>
          <cell r="X71">
            <v>7402.1574648072037</v>
          </cell>
          <cell r="Y71">
            <v>7356.7655473827172</v>
          </cell>
          <cell r="Z71">
            <v>7542.0295227153183</v>
          </cell>
          <cell r="AA71">
            <v>8481.9040694903069</v>
          </cell>
          <cell r="AX71" t="str">
            <v>mstag:netDecreaseInTradeReceivables</v>
          </cell>
          <cell r="AY71">
            <v>6</v>
          </cell>
          <cell r="AZ71" t="str">
            <v>ISO4217:USD</v>
          </cell>
          <cell r="BA71" t="b">
            <v>0</v>
          </cell>
          <cell r="BB71" t="b">
            <v>0</v>
          </cell>
          <cell r="BC71" t="str">
            <v>mstag:depreciation</v>
          </cell>
          <cell r="BD71">
            <v>6</v>
          </cell>
          <cell r="BE71" t="str">
            <v>ISO4217:USD</v>
          </cell>
          <cell r="BF71" t="b">
            <v>0</v>
          </cell>
          <cell r="BG71" t="b">
            <v>0</v>
          </cell>
        </row>
        <row r="72">
          <cell r="A72" t="str">
            <v xml:space="preserve">    Changes in inventory &amp; other</v>
          </cell>
          <cell r="I72">
            <v>-51</v>
          </cell>
          <cell r="J72">
            <v>51</v>
          </cell>
          <cell r="K72">
            <v>0</v>
          </cell>
          <cell r="L72">
            <v>-129</v>
          </cell>
          <cell r="M72">
            <v>0</v>
          </cell>
          <cell r="N72">
            <v>0</v>
          </cell>
          <cell r="O72">
            <v>0</v>
          </cell>
          <cell r="P72">
            <v>-129</v>
          </cell>
          <cell r="Q72">
            <v>0</v>
          </cell>
          <cell r="R72">
            <v>0</v>
          </cell>
          <cell r="S72">
            <v>0</v>
          </cell>
          <cell r="T72">
            <v>0</v>
          </cell>
          <cell r="U72">
            <v>0</v>
          </cell>
          <cell r="V72">
            <v>0</v>
          </cell>
          <cell r="W72">
            <v>0</v>
          </cell>
          <cell r="X72">
            <v>0</v>
          </cell>
          <cell r="Y72">
            <v>0</v>
          </cell>
          <cell r="Z72">
            <v>0</v>
          </cell>
          <cell r="AA72">
            <v>0</v>
          </cell>
          <cell r="AX72" t="str">
            <v>mstag:netDecreaseInOtherAssets</v>
          </cell>
          <cell r="AY72">
            <v>6</v>
          </cell>
          <cell r="AZ72" t="str">
            <v>ISO4217:USD</v>
          </cell>
          <cell r="BA72" t="b">
            <v>0</v>
          </cell>
          <cell r="BB72" t="b">
            <v>0</v>
          </cell>
          <cell r="BC72" t="str">
            <v>mstag:deferredTax</v>
          </cell>
          <cell r="BD72">
            <v>6</v>
          </cell>
          <cell r="BE72" t="str">
            <v>ISO4217:USD</v>
          </cell>
          <cell r="BF72" t="b">
            <v>0</v>
          </cell>
          <cell r="BG72" t="b">
            <v>0</v>
          </cell>
        </row>
        <row r="73">
          <cell r="A73" t="str">
            <v xml:space="preserve">    Changes in A/P &amp; other current</v>
          </cell>
          <cell r="I73">
            <v>-436</v>
          </cell>
          <cell r="J73">
            <v>436</v>
          </cell>
          <cell r="K73">
            <v>0</v>
          </cell>
          <cell r="L73">
            <v>-503</v>
          </cell>
          <cell r="M73">
            <v>2684.2498257564771</v>
          </cell>
          <cell r="N73">
            <v>-57.607048330307862</v>
          </cell>
          <cell r="O73">
            <v>63.566734909925344</v>
          </cell>
          <cell r="P73">
            <v>2187.2095123360946</v>
          </cell>
          <cell r="Q73">
            <v>-58.26020638698219</v>
          </cell>
          <cell r="R73">
            <v>-29.974023936181766</v>
          </cell>
          <cell r="S73">
            <v>-30.3531607980226</v>
          </cell>
          <cell r="T73">
            <v>-45.064461631661288</v>
          </cell>
          <cell r="U73">
            <v>-44.022977263174653</v>
          </cell>
          <cell r="V73">
            <v>-43.257315153289255</v>
          </cell>
          <cell r="W73">
            <v>0</v>
          </cell>
          <cell r="X73">
            <v>0</v>
          </cell>
          <cell r="Y73">
            <v>0</v>
          </cell>
          <cell r="Z73">
            <v>0</v>
          </cell>
          <cell r="AA73">
            <v>0</v>
          </cell>
          <cell r="AX73" t="str">
            <v>mstag:netIncreaseInTradeAndOtherPayables</v>
          </cell>
          <cell r="AY73">
            <v>6</v>
          </cell>
          <cell r="AZ73" t="str">
            <v>ISO4217:USD</v>
          </cell>
          <cell r="BA73" t="b">
            <v>0</v>
          </cell>
          <cell r="BB73" t="b">
            <v>0</v>
          </cell>
          <cell r="BC73" t="str">
            <v>mstag:gainsLossesFromSaleOfOperatingAssetsOneTime</v>
          </cell>
          <cell r="BD73">
            <v>6</v>
          </cell>
          <cell r="BE73" t="str">
            <v>ISO4217:USD</v>
          </cell>
          <cell r="BF73" t="b">
            <v>1</v>
          </cell>
          <cell r="BG73" t="b">
            <v>0</v>
          </cell>
        </row>
        <row r="74">
          <cell r="A74" t="str">
            <v xml:space="preserve">    Changes in non-current </v>
          </cell>
          <cell r="I74">
            <v>-215</v>
          </cell>
          <cell r="J74">
            <v>215</v>
          </cell>
          <cell r="K74">
            <v>0</v>
          </cell>
          <cell r="L74">
            <v>-13</v>
          </cell>
          <cell r="M74">
            <v>0</v>
          </cell>
          <cell r="N74">
            <v>0</v>
          </cell>
          <cell r="O74">
            <v>0</v>
          </cell>
          <cell r="P74">
            <v>-13</v>
          </cell>
          <cell r="Q74">
            <v>0</v>
          </cell>
          <cell r="R74">
            <v>0</v>
          </cell>
          <cell r="S74">
            <v>0</v>
          </cell>
          <cell r="T74">
            <v>0</v>
          </cell>
          <cell r="U74">
            <v>0</v>
          </cell>
          <cell r="V74">
            <v>0</v>
          </cell>
          <cell r="AX74" t="str">
            <v>mstag:netDecreaseInOtherReceivables</v>
          </cell>
          <cell r="AY74">
            <v>6</v>
          </cell>
          <cell r="AZ74" t="str">
            <v>ISO4217:USD</v>
          </cell>
          <cell r="BA74" t="b">
            <v>0</v>
          </cell>
          <cell r="BB74" t="b">
            <v>0</v>
          </cell>
        </row>
        <row r="75">
          <cell r="A75" t="str">
            <v xml:space="preserve">    Other</v>
          </cell>
          <cell r="I75">
            <v>1298</v>
          </cell>
          <cell r="J75">
            <v>369</v>
          </cell>
          <cell r="K75">
            <v>1667</v>
          </cell>
          <cell r="L75">
            <v>110</v>
          </cell>
          <cell r="M75">
            <v>-305.18789152844784</v>
          </cell>
          <cell r="N75">
            <v>-54.615445856786209</v>
          </cell>
          <cell r="O75">
            <v>-84.313156625698866</v>
          </cell>
          <cell r="P75">
            <v>-334.11649401093291</v>
          </cell>
          <cell r="Q75">
            <v>-425.31606102673959</v>
          </cell>
          <cell r="R75">
            <v>-253.69317123462133</v>
          </cell>
          <cell r="S75">
            <v>-91.208196742549262</v>
          </cell>
          <cell r="T75">
            <v>-11.057464083589366</v>
          </cell>
          <cell r="U75">
            <v>8.9331023104477936</v>
          </cell>
          <cell r="V75">
            <v>21.160406394790698</v>
          </cell>
          <cell r="AX75" t="str">
            <v>mstag:otherCashFlow</v>
          </cell>
          <cell r="AY75">
            <v>6</v>
          </cell>
          <cell r="AZ75" t="str">
            <v>ISO4217:USD</v>
          </cell>
          <cell r="BA75" t="b">
            <v>0</v>
          </cell>
          <cell r="BB75" t="b">
            <v>0</v>
          </cell>
        </row>
        <row r="76">
          <cell r="A76" t="str">
            <v xml:space="preserve">    Changes in non-current </v>
          </cell>
          <cell r="I76" t="str">
            <v>______</v>
          </cell>
          <cell r="J76" t="str">
            <v>______</v>
          </cell>
          <cell r="K76" t="str">
            <v>______</v>
          </cell>
          <cell r="L76" t="str">
            <v>______</v>
          </cell>
          <cell r="M76" t="str">
            <v>______</v>
          </cell>
          <cell r="N76" t="str">
            <v>______</v>
          </cell>
          <cell r="O76" t="str">
            <v>______</v>
          </cell>
          <cell r="P76" t="str">
            <v>______</v>
          </cell>
          <cell r="Q76" t="str">
            <v>______</v>
          </cell>
          <cell r="R76" t="str">
            <v>______</v>
          </cell>
          <cell r="S76" t="str">
            <v>______</v>
          </cell>
          <cell r="T76" t="str">
            <v>______</v>
          </cell>
          <cell r="U76" t="str">
            <v>______</v>
          </cell>
          <cell r="V76" t="str">
            <v>______</v>
          </cell>
          <cell r="W76">
            <v>-87.623419460817786</v>
          </cell>
          <cell r="X76">
            <v>-104.8070059568845</v>
          </cell>
          <cell r="Y76">
            <v>-88.802467433280981</v>
          </cell>
          <cell r="Z76">
            <v>-74.516912313113608</v>
          </cell>
          <cell r="AA76">
            <v>-68.30224246846501</v>
          </cell>
          <cell r="AX76" t="str">
            <v>mstag:netDecreaseInOtherReceivables</v>
          </cell>
          <cell r="AY76">
            <v>6</v>
          </cell>
          <cell r="AZ76" t="str">
            <v>ISO4217:USD</v>
          </cell>
          <cell r="BA76" t="b">
            <v>0</v>
          </cell>
          <cell r="BB76" t="b">
            <v>0</v>
          </cell>
          <cell r="BC76" t="str">
            <v>mstag:netDecreaseInTradeReceivables</v>
          </cell>
          <cell r="BD76">
            <v>6</v>
          </cell>
          <cell r="BE76" t="str">
            <v>ISO4217:USD</v>
          </cell>
          <cell r="BF76" t="b">
            <v>0</v>
          </cell>
          <cell r="BG76" t="b">
            <v>0</v>
          </cell>
        </row>
        <row r="77">
          <cell r="A77" t="str">
            <v>Cash From Operating Activity</v>
          </cell>
          <cell r="I77">
            <v>6788</v>
          </cell>
          <cell r="J77">
            <v>3890</v>
          </cell>
          <cell r="K77">
            <v>10678</v>
          </cell>
          <cell r="L77">
            <v>3369</v>
          </cell>
          <cell r="M77">
            <v>326.5034746333813</v>
          </cell>
          <cell r="N77">
            <v>2321.3772442553532</v>
          </cell>
          <cell r="O77">
            <v>2332.2018872762387</v>
          </cell>
          <cell r="P77">
            <v>8349.082606164975</v>
          </cell>
          <cell r="Q77">
            <v>9636.1120363528244</v>
          </cell>
          <cell r="R77">
            <v>10579.838762095855</v>
          </cell>
          <cell r="S77">
            <v>11140.478780788764</v>
          </cell>
          <cell r="T77">
            <v>11461.176180066564</v>
          </cell>
          <cell r="U77">
            <v>11645.71493690536</v>
          </cell>
          <cell r="V77">
            <v>11686.144365395643</v>
          </cell>
          <cell r="W77">
            <v>-19.912164704626093</v>
          </cell>
          <cell r="X77">
            <v>-8.6647989399732523</v>
          </cell>
          <cell r="Y77">
            <v>-2.537690686398264</v>
          </cell>
          <cell r="Z77">
            <v>1.6165359240530961</v>
          </cell>
          <cell r="AA77">
            <v>5.6138746919616551</v>
          </cell>
          <cell r="AX77" t="str">
            <v>mstag:otherCashFlow</v>
          </cell>
          <cell r="AY77">
            <v>6</v>
          </cell>
          <cell r="AZ77" t="str">
            <v>ISO4217:USD</v>
          </cell>
          <cell r="BA77" t="b">
            <v>0</v>
          </cell>
          <cell r="BB77" t="b">
            <v>0</v>
          </cell>
          <cell r="BC77" t="str">
            <v>mstag:netDecreaseInInventories</v>
          </cell>
          <cell r="BD77">
            <v>6</v>
          </cell>
          <cell r="BE77" t="str">
            <v>ISO4217:USD</v>
          </cell>
          <cell r="BF77" t="b">
            <v>0</v>
          </cell>
          <cell r="BG77" t="b">
            <v>0</v>
          </cell>
        </row>
        <row r="78">
          <cell r="A78" t="str">
            <v xml:space="preserve">    Changes in A/P &amp; other current</v>
          </cell>
          <cell r="I78" t="str">
            <v>______</v>
          </cell>
          <cell r="J78" t="str">
            <v>______</v>
          </cell>
          <cell r="K78" t="str">
            <v>______</v>
          </cell>
          <cell r="L78" t="str">
            <v>______</v>
          </cell>
          <cell r="M78" t="str">
            <v>______</v>
          </cell>
          <cell r="N78" t="str">
            <v>______</v>
          </cell>
          <cell r="O78" t="str">
            <v>______</v>
          </cell>
          <cell r="P78" t="str">
            <v>______</v>
          </cell>
          <cell r="Q78" t="str">
            <v>______</v>
          </cell>
          <cell r="R78" t="str">
            <v>______</v>
          </cell>
          <cell r="S78" t="str">
            <v>______</v>
          </cell>
          <cell r="T78" t="str">
            <v>______</v>
          </cell>
          <cell r="U78" t="str">
            <v>______</v>
          </cell>
          <cell r="V78" t="str">
            <v>______</v>
          </cell>
          <cell r="W78">
            <v>27.722572055482033</v>
          </cell>
          <cell r="X78">
            <v>29.573981220280984</v>
          </cell>
          <cell r="Y78">
            <v>18.279591993028134</v>
          </cell>
          <cell r="Z78">
            <v>7.1429789073913525</v>
          </cell>
          <cell r="AA78">
            <v>0.68682870526299666</v>
          </cell>
          <cell r="BC78" t="str">
            <v>mstag:netIncreaseInTradeAndOtherPayables</v>
          </cell>
          <cell r="BD78">
            <v>6</v>
          </cell>
          <cell r="BE78" t="str">
            <v>ISO4217:USD</v>
          </cell>
          <cell r="BF78" t="b">
            <v>0</v>
          </cell>
          <cell r="BG78" t="b">
            <v>0</v>
          </cell>
        </row>
        <row r="79">
          <cell r="A79" t="str">
            <v>Investing Activities</v>
          </cell>
          <cell r="I79">
            <v>6788</v>
          </cell>
          <cell r="J79">
            <v>3890</v>
          </cell>
          <cell r="K79">
            <v>10678</v>
          </cell>
          <cell r="L79">
            <v>2967</v>
          </cell>
          <cell r="M79">
            <v>1670</v>
          </cell>
          <cell r="N79">
            <v>1851.3989028203148</v>
          </cell>
          <cell r="O79">
            <v>2190.5415872506474</v>
          </cell>
          <cell r="P79">
            <v>8678.9404900709596</v>
          </cell>
          <cell r="Q79">
            <v>9718.0011681167471</v>
          </cell>
          <cell r="R79">
            <v>10163.82302263475</v>
          </cell>
          <cell r="S79">
            <v>10551.179441853586</v>
          </cell>
          <cell r="T79">
            <v>10845.9830356124</v>
          </cell>
          <cell r="U79">
            <v>11066.02713583267</v>
          </cell>
          <cell r="V79">
            <v>11259.174424694003</v>
          </cell>
          <cell r="W79">
            <v>0</v>
          </cell>
          <cell r="X79">
            <v>0</v>
          </cell>
          <cell r="Y79">
            <v>0</v>
          </cell>
          <cell r="Z79">
            <v>0</v>
          </cell>
          <cell r="AA79">
            <v>0</v>
          </cell>
          <cell r="BC79" t="str">
            <v>mstag:netDecreaseInOtherReceivables</v>
          </cell>
          <cell r="BD79">
            <v>6</v>
          </cell>
          <cell r="BE79" t="str">
            <v>ISO4217:USD</v>
          </cell>
          <cell r="BF79" t="b">
            <v>0</v>
          </cell>
          <cell r="BG79" t="b">
            <v>0</v>
          </cell>
        </row>
        <row r="80">
          <cell r="A80" t="str">
            <v xml:space="preserve">    Capital expenditures</v>
          </cell>
          <cell r="I80">
            <v>-2908</v>
          </cell>
          <cell r="J80">
            <v>-2149</v>
          </cell>
          <cell r="K80">
            <v>-5057</v>
          </cell>
          <cell r="L80">
            <v>-1728</v>
          </cell>
          <cell r="M80">
            <v>-1690.9622442043708</v>
          </cell>
          <cell r="N80">
            <v>-1672.8353842117594</v>
          </cell>
          <cell r="O80">
            <v>-1881.2078518243479</v>
          </cell>
          <cell r="P80">
            <v>-6973.0054802404784</v>
          </cell>
          <cell r="Q80">
            <v>-6974.4731801675016</v>
          </cell>
          <cell r="R80">
            <v>-6742.2891344880773</v>
          </cell>
          <cell r="S80">
            <v>-6405.6015079967119</v>
          </cell>
          <cell r="T80">
            <v>-6032.3176736238438</v>
          </cell>
          <cell r="U80">
            <v>-5970.0059723610475</v>
          </cell>
          <cell r="V80">
            <v>-5905.9777779320393</v>
          </cell>
          <cell r="W80">
            <v>86.030227557352646</v>
          </cell>
          <cell r="X80">
            <v>100.47813753422008</v>
          </cell>
          <cell r="Y80">
            <v>84.216591113458549</v>
          </cell>
          <cell r="Z80">
            <v>69.803666813491759</v>
          </cell>
          <cell r="AA80">
            <v>63.748421104562794</v>
          </cell>
          <cell r="AX80" t="str">
            <v>mstag:capitalExpenditures</v>
          </cell>
          <cell r="AY80">
            <v>6</v>
          </cell>
          <cell r="AZ80" t="str">
            <v>ISO4217:USD</v>
          </cell>
          <cell r="BA80" t="b">
            <v>1</v>
          </cell>
          <cell r="BB80" t="b">
            <v>0</v>
          </cell>
          <cell r="BC80" t="str">
            <v>mstag:otherCashFlow</v>
          </cell>
          <cell r="BD80">
            <v>6</v>
          </cell>
          <cell r="BE80" t="str">
            <v>ISO4217:USD</v>
          </cell>
          <cell r="BF80" t="b">
            <v>0</v>
          </cell>
          <cell r="BG80" t="b">
            <v>0</v>
          </cell>
        </row>
        <row r="81">
          <cell r="A81" t="str">
            <v xml:space="preserve">    Investments in debt securities, net</v>
          </cell>
          <cell r="I81">
            <v>-569</v>
          </cell>
          <cell r="J81">
            <v>556</v>
          </cell>
          <cell r="K81">
            <v>-13</v>
          </cell>
          <cell r="L81">
            <v>-3399</v>
          </cell>
          <cell r="M81">
            <v>0</v>
          </cell>
          <cell r="N81">
            <v>0</v>
          </cell>
          <cell r="O81">
            <v>0</v>
          </cell>
          <cell r="P81">
            <v>-3399</v>
          </cell>
          <cell r="Q81">
            <v>0</v>
          </cell>
          <cell r="R81">
            <v>0</v>
          </cell>
          <cell r="S81">
            <v>0</v>
          </cell>
          <cell r="T81">
            <v>0</v>
          </cell>
          <cell r="U81">
            <v>0</v>
          </cell>
          <cell r="V81">
            <v>0</v>
          </cell>
          <cell r="W81" t="str">
            <v>______</v>
          </cell>
          <cell r="X81" t="str">
            <v>______</v>
          </cell>
          <cell r="Y81" t="str">
            <v>______</v>
          </cell>
          <cell r="Z81" t="str">
            <v>______</v>
          </cell>
          <cell r="AA81" t="str">
            <v>______</v>
          </cell>
          <cell r="AX81" t="str">
            <v>mstag:incomeLossFromInvestmentsAccountedForUnderTheEquityMethodOperating</v>
          </cell>
          <cell r="AY81">
            <v>6</v>
          </cell>
          <cell r="AZ81" t="str">
            <v>ISO4217:USD</v>
          </cell>
          <cell r="BA81" t="b">
            <v>1</v>
          </cell>
          <cell r="BB81" t="b">
            <v>0</v>
          </cell>
        </row>
        <row r="82">
          <cell r="A82" t="str">
            <v xml:space="preserve">    Proceeds from sales of assets</v>
          </cell>
          <cell r="I82">
            <v>1215</v>
          </cell>
          <cell r="J82">
            <v>-567</v>
          </cell>
          <cell r="K82">
            <v>648</v>
          </cell>
          <cell r="L82">
            <v>1417</v>
          </cell>
          <cell r="M82">
            <v>0</v>
          </cell>
          <cell r="N82">
            <v>0</v>
          </cell>
          <cell r="O82">
            <v>0</v>
          </cell>
          <cell r="P82">
            <v>1417</v>
          </cell>
          <cell r="Q82">
            <v>0</v>
          </cell>
          <cell r="R82">
            <v>0</v>
          </cell>
          <cell r="S82">
            <v>0</v>
          </cell>
          <cell r="T82">
            <v>0</v>
          </cell>
          <cell r="U82">
            <v>0</v>
          </cell>
          <cell r="V82">
            <v>0</v>
          </cell>
          <cell r="W82">
            <v>8936.2238858345991</v>
          </cell>
          <cell r="X82">
            <v>9729.2012916969743</v>
          </cell>
          <cell r="Y82">
            <v>10419.840765859835</v>
          </cell>
          <cell r="Z82">
            <v>11363.779791255804</v>
          </cell>
          <cell r="AA82">
            <v>12545.625826321018</v>
          </cell>
          <cell r="AX82" t="str">
            <v>mstag:incomeLossFromInvestmentsAccountedForUnderTheEquityMethodNonOperating</v>
          </cell>
          <cell r="AY82">
            <v>6</v>
          </cell>
          <cell r="AZ82" t="str">
            <v>ISO4217:USD</v>
          </cell>
          <cell r="BA82" t="b">
            <v>1</v>
          </cell>
          <cell r="BB82" t="b">
            <v>0</v>
          </cell>
        </row>
        <row r="83">
          <cell r="A83" t="str">
            <v xml:space="preserve">    Other, net</v>
          </cell>
          <cell r="I83">
            <v>390</v>
          </cell>
          <cell r="J83">
            <v>-692</v>
          </cell>
          <cell r="K83">
            <v>-302</v>
          </cell>
          <cell r="L83">
            <v>-549</v>
          </cell>
          <cell r="M83">
            <v>0</v>
          </cell>
          <cell r="N83">
            <v>0</v>
          </cell>
          <cell r="O83">
            <v>0</v>
          </cell>
          <cell r="P83">
            <v>-549</v>
          </cell>
          <cell r="Q83">
            <v>0</v>
          </cell>
          <cell r="R83">
            <v>0</v>
          </cell>
          <cell r="S83">
            <v>0</v>
          </cell>
          <cell r="T83">
            <v>0</v>
          </cell>
          <cell r="U83">
            <v>0</v>
          </cell>
          <cell r="V83">
            <v>0</v>
          </cell>
          <cell r="AX83" t="str">
            <v>mstag:otherCashFlow</v>
          </cell>
          <cell r="AY83">
            <v>6</v>
          </cell>
          <cell r="AZ83" t="str">
            <v>ISO4217:USD</v>
          </cell>
          <cell r="BA83" t="b">
            <v>0</v>
          </cell>
          <cell r="BB83" t="b">
            <v>0</v>
          </cell>
          <cell r="BD83" t="str">
            <v>proceeds from investments</v>
          </cell>
        </row>
        <row r="84">
          <cell r="A84" t="str">
            <v xml:space="preserve">    Proceeds from sales of assets</v>
          </cell>
          <cell r="I84" t="str">
            <v>______</v>
          </cell>
          <cell r="J84" t="str">
            <v>______</v>
          </cell>
          <cell r="K84" t="str">
            <v>______</v>
          </cell>
          <cell r="L84" t="str">
            <v>______</v>
          </cell>
          <cell r="M84" t="str">
            <v>______</v>
          </cell>
          <cell r="N84" t="str">
            <v>______</v>
          </cell>
          <cell r="O84" t="str">
            <v>______</v>
          </cell>
          <cell r="P84" t="str">
            <v>______</v>
          </cell>
          <cell r="Q84" t="str">
            <v>______</v>
          </cell>
          <cell r="R84" t="str">
            <v>______</v>
          </cell>
          <cell r="S84" t="str">
            <v>______</v>
          </cell>
          <cell r="T84" t="str">
            <v>______</v>
          </cell>
          <cell r="U84" t="str">
            <v>______</v>
          </cell>
          <cell r="V84" t="str">
            <v>______</v>
          </cell>
          <cell r="AX84" t="str">
            <v>mstag:proceedsFromSaleOfPpeAndIntangibleAssets</v>
          </cell>
          <cell r="AY84">
            <v>6</v>
          </cell>
          <cell r="AZ84" t="str">
            <v>ISO4217:USD</v>
          </cell>
          <cell r="BA84" t="b">
            <v>0</v>
          </cell>
          <cell r="BB84" t="b">
            <v>0</v>
          </cell>
          <cell r="BD84" t="str">
            <v>net disposals (acquisitions)</v>
          </cell>
        </row>
        <row r="85">
          <cell r="A85" t="str">
            <v>Cash Used in Investing Activity</v>
          </cell>
          <cell r="I85">
            <v>-1872</v>
          </cell>
          <cell r="J85">
            <v>-2852</v>
          </cell>
          <cell r="K85">
            <v>-4724</v>
          </cell>
          <cell r="L85">
            <v>-4259</v>
          </cell>
          <cell r="M85">
            <v>-1690.9622442043708</v>
          </cell>
          <cell r="N85">
            <v>-1672.8353842117594</v>
          </cell>
          <cell r="O85">
            <v>-1881.2078518243479</v>
          </cell>
          <cell r="P85">
            <v>-9504.0054802404775</v>
          </cell>
          <cell r="Q85">
            <v>-6974.4731801675016</v>
          </cell>
          <cell r="R85">
            <v>-6742.2891344880773</v>
          </cell>
          <cell r="S85">
            <v>-6405.6015079967119</v>
          </cell>
          <cell r="T85">
            <v>-6032.3176736238438</v>
          </cell>
          <cell r="U85">
            <v>-5970.0059723610475</v>
          </cell>
          <cell r="V85">
            <v>-5905.9777779320393</v>
          </cell>
          <cell r="W85">
            <v>-7111.0614721153452</v>
          </cell>
          <cell r="X85">
            <v>-7418.875852557866</v>
          </cell>
          <cell r="Y85">
            <v>-6308.3600272371787</v>
          </cell>
          <cell r="Z85">
            <v>-6312.0900841614475</v>
          </cell>
          <cell r="AA85">
            <v>-6399.1348256944993</v>
          </cell>
          <cell r="AX85" t="str">
            <v>mstag:capitalExpendituresReflectedInCostOfAcquisitions</v>
          </cell>
          <cell r="AY85">
            <v>6</v>
          </cell>
          <cell r="AZ85" t="str">
            <v>ISO4217:USD</v>
          </cell>
          <cell r="BA85" t="b">
            <v>1</v>
          </cell>
          <cell r="BB85" t="b">
            <v>0</v>
          </cell>
          <cell r="BC85" t="str">
            <v>mstag:capitalExpenditures</v>
          </cell>
          <cell r="BD85">
            <v>6</v>
          </cell>
          <cell r="BE85" t="str">
            <v>ISO4217:USD</v>
          </cell>
          <cell r="BF85" t="b">
            <v>1</v>
          </cell>
          <cell r="BG85" t="b">
            <v>0</v>
          </cell>
        </row>
        <row r="86">
          <cell r="A86" t="str">
            <v>Other Assets Acquired</v>
          </cell>
          <cell r="I86">
            <v>0</v>
          </cell>
          <cell r="J86">
            <v>0</v>
          </cell>
          <cell r="K86">
            <v>0</v>
          </cell>
          <cell r="L86">
            <v>0</v>
          </cell>
          <cell r="M86">
            <v>-9755</v>
          </cell>
          <cell r="N86">
            <v>-1000</v>
          </cell>
          <cell r="O86">
            <v>0</v>
          </cell>
          <cell r="P86">
            <v>-10755</v>
          </cell>
          <cell r="Q86">
            <v>0</v>
          </cell>
          <cell r="R86">
            <v>0</v>
          </cell>
          <cell r="S86">
            <v>0</v>
          </cell>
          <cell r="T86">
            <v>0</v>
          </cell>
          <cell r="U86">
            <v>0</v>
          </cell>
          <cell r="V86">
            <v>0</v>
          </cell>
          <cell r="W86">
            <v>0</v>
          </cell>
          <cell r="X86">
            <v>0</v>
          </cell>
          <cell r="Y86">
            <v>0</v>
          </cell>
          <cell r="Z86">
            <v>0</v>
          </cell>
          <cell r="AA86">
            <v>0</v>
          </cell>
          <cell r="AX86" t="str">
            <v>mstag:otherAssetsLiabilitiesIncludedInEndingBalanceSheetTotals</v>
          </cell>
          <cell r="AY86">
            <v>6</v>
          </cell>
          <cell r="AZ86" t="str">
            <v>ISO4217:USD</v>
          </cell>
          <cell r="BA86" t="b">
            <v>1</v>
          </cell>
          <cell r="BB86" t="b">
            <v>0</v>
          </cell>
          <cell r="BC86" t="str">
            <v>mstag:incomeLossFromInvestmentsAccountedForUnderTheEquityMethodOperating</v>
          </cell>
          <cell r="BD86">
            <v>6</v>
          </cell>
          <cell r="BE86" t="str">
            <v>ISO4217:USD</v>
          </cell>
          <cell r="BF86" t="b">
            <v>1</v>
          </cell>
          <cell r="BG86" t="b">
            <v>0</v>
          </cell>
          <cell r="BI86" t="str">
            <v>proceeds from investments</v>
          </cell>
        </row>
        <row r="87">
          <cell r="A87" t="str">
            <v>Financing Activities</v>
          </cell>
          <cell r="I87">
            <v>1215</v>
          </cell>
          <cell r="J87">
            <v>-567</v>
          </cell>
          <cell r="K87">
            <v>648</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X87" t="str">
            <v>mstag:premiumGoodwillOnAcquisions</v>
          </cell>
          <cell r="AY87">
            <v>6</v>
          </cell>
          <cell r="AZ87" t="str">
            <v>ISO4217:USD</v>
          </cell>
          <cell r="BA87" t="b">
            <v>1</v>
          </cell>
          <cell r="BB87" t="b">
            <v>0</v>
          </cell>
          <cell r="BC87" t="str">
            <v>mstag:proceedsFromSaleOfPpeAndIntangibleAssets</v>
          </cell>
          <cell r="BD87">
            <v>6</v>
          </cell>
          <cell r="BE87" t="str">
            <v>ISO4217:USD</v>
          </cell>
          <cell r="BF87" t="b">
            <v>0</v>
          </cell>
          <cell r="BG87" t="b">
            <v>0</v>
          </cell>
          <cell r="BI87" t="str">
            <v>net disposals (acquisitions)</v>
          </cell>
        </row>
        <row r="88">
          <cell r="A88" t="str">
            <v>Proceeds from debt</v>
          </cell>
          <cell r="I88">
            <v>-1139</v>
          </cell>
          <cell r="J88">
            <v>-31</v>
          </cell>
          <cell r="K88">
            <v>-1170</v>
          </cell>
          <cell r="L88">
            <v>-868</v>
          </cell>
          <cell r="M88">
            <v>0</v>
          </cell>
          <cell r="N88">
            <v>0</v>
          </cell>
          <cell r="O88">
            <v>0</v>
          </cell>
          <cell r="P88">
            <v>-868</v>
          </cell>
          <cell r="Q88">
            <v>0</v>
          </cell>
          <cell r="R88">
            <v>0</v>
          </cell>
          <cell r="S88">
            <v>0</v>
          </cell>
          <cell r="T88">
            <v>0</v>
          </cell>
          <cell r="U88">
            <v>0</v>
          </cell>
          <cell r="V88">
            <v>0</v>
          </cell>
          <cell r="W88">
            <v>0</v>
          </cell>
          <cell r="X88">
            <v>0</v>
          </cell>
          <cell r="Y88">
            <v>0</v>
          </cell>
          <cell r="Z88">
            <v>0</v>
          </cell>
          <cell r="AA88">
            <v>0</v>
          </cell>
          <cell r="AX88" t="str">
            <v>mstag:proceedsFromIssuanceAndCashUsedToRepayLongTermDebt</v>
          </cell>
          <cell r="AY88">
            <v>6</v>
          </cell>
          <cell r="AZ88" t="str">
            <v>ISO4217:USD</v>
          </cell>
          <cell r="BA88" t="b">
            <v>0</v>
          </cell>
          <cell r="BB88" t="b">
            <v>0</v>
          </cell>
          <cell r="BC88" t="str">
            <v>mstag:capitalExpendituresReflectedInCostOfAcquisitions</v>
          </cell>
          <cell r="BD88">
            <v>6</v>
          </cell>
          <cell r="BE88" t="str">
            <v>ISO4217:USD</v>
          </cell>
          <cell r="BF88" t="b">
            <v>1</v>
          </cell>
          <cell r="BG88" t="b">
            <v>0</v>
          </cell>
        </row>
        <row r="89">
          <cell r="A89" t="str">
            <v>Payments on debt</v>
          </cell>
          <cell r="I89">
            <v>390</v>
          </cell>
          <cell r="J89">
            <v>-692</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X89" t="str">
            <v>mstag:proceedsFromIssuanceAndCashUsedToRepayShortTermBorrowings</v>
          </cell>
          <cell r="AY89">
            <v>6</v>
          </cell>
          <cell r="AZ89" t="str">
            <v>ISO4217:USD</v>
          </cell>
          <cell r="BA89" t="b">
            <v>0</v>
          </cell>
          <cell r="BB89" t="b">
            <v>0</v>
          </cell>
          <cell r="BC89" t="str">
            <v>mstag:otherAssetsLiabilitiesIncludedInEndingBalanceSheetTotals</v>
          </cell>
          <cell r="BD89" t="str">
            <v>other cash flow, non operating, non financing</v>
          </cell>
          <cell r="BE89" t="str">
            <v>ISO4217:USD</v>
          </cell>
          <cell r="BF89" t="b">
            <v>1</v>
          </cell>
          <cell r="BG89" t="b">
            <v>0</v>
          </cell>
        </row>
        <row r="90">
          <cell r="A90" t="str">
            <v xml:space="preserve">    Proceeds from equity unit notes</v>
          </cell>
          <cell r="I90" t="str">
            <v>______</v>
          </cell>
          <cell r="J90" t="str">
            <v>______</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X90" t="str">
            <v>mstag:proceedsFromIssuanceOfCommonStock</v>
          </cell>
          <cell r="AY90">
            <v>6</v>
          </cell>
          <cell r="AZ90" t="str">
            <v>ISO4217:USD</v>
          </cell>
          <cell r="BA90" t="b">
            <v>0</v>
          </cell>
          <cell r="BB90" t="b">
            <v>0</v>
          </cell>
          <cell r="BC90" t="str">
            <v>mstag:premiumGoodwillOnAcquisions</v>
          </cell>
          <cell r="BD90">
            <v>6</v>
          </cell>
          <cell r="BE90" t="str">
            <v>ISO4217:USD</v>
          </cell>
          <cell r="BF90" t="b">
            <v>1</v>
          </cell>
          <cell r="BG90" t="b">
            <v>0</v>
          </cell>
        </row>
        <row r="91">
          <cell r="A91" t="str">
            <v xml:space="preserve">    Proceeds from common stock issued</v>
          </cell>
          <cell r="I91">
            <v>293</v>
          </cell>
          <cell r="J91">
            <v>139</v>
          </cell>
          <cell r="K91">
            <v>432</v>
          </cell>
          <cell r="L91">
            <v>185</v>
          </cell>
          <cell r="M91">
            <v>0</v>
          </cell>
          <cell r="N91">
            <v>0</v>
          </cell>
          <cell r="O91">
            <v>0</v>
          </cell>
          <cell r="P91">
            <v>185</v>
          </cell>
          <cell r="Q91">
            <v>0</v>
          </cell>
          <cell r="R91">
            <v>0</v>
          </cell>
          <cell r="S91">
            <v>0</v>
          </cell>
          <cell r="T91">
            <v>0</v>
          </cell>
          <cell r="U91">
            <v>0</v>
          </cell>
          <cell r="V91">
            <v>0</v>
          </cell>
          <cell r="W91">
            <v>0</v>
          </cell>
          <cell r="X91">
            <v>0</v>
          </cell>
          <cell r="Y91">
            <v>0</v>
          </cell>
          <cell r="Z91">
            <v>0</v>
          </cell>
          <cell r="AA91">
            <v>0</v>
          </cell>
          <cell r="AX91" t="str">
            <v>mstag:proceedsFromIssuanceOfCommonStock</v>
          </cell>
          <cell r="AY91">
            <v>6</v>
          </cell>
          <cell r="AZ91" t="str">
            <v>ISO4217:USD</v>
          </cell>
          <cell r="BA91" t="b">
            <v>0</v>
          </cell>
          <cell r="BB91" t="b">
            <v>0</v>
          </cell>
          <cell r="BC91" t="str">
            <v>mstag:investmentInIntangibleAssets</v>
          </cell>
          <cell r="BD91">
            <v>6</v>
          </cell>
          <cell r="BE91" t="str">
            <v>ISO4217:USD</v>
          </cell>
          <cell r="BF91" t="b">
            <v>1</v>
          </cell>
          <cell r="BG91" t="b">
            <v>0</v>
          </cell>
        </row>
        <row r="92">
          <cell r="A92" t="str">
            <v xml:space="preserve">    Dividends paid</v>
          </cell>
          <cell r="I92">
            <v>-448</v>
          </cell>
          <cell r="J92">
            <v>-75</v>
          </cell>
          <cell r="K92">
            <v>-523</v>
          </cell>
          <cell r="L92">
            <v>-76</v>
          </cell>
          <cell r="M92">
            <v>0</v>
          </cell>
          <cell r="N92">
            <v>0</v>
          </cell>
          <cell r="O92">
            <v>0</v>
          </cell>
          <cell r="P92">
            <v>-76</v>
          </cell>
          <cell r="Q92">
            <v>0</v>
          </cell>
          <cell r="R92">
            <v>0</v>
          </cell>
          <cell r="S92">
            <v>0</v>
          </cell>
          <cell r="T92">
            <v>0</v>
          </cell>
          <cell r="U92">
            <v>0</v>
          </cell>
          <cell r="V92">
            <v>0</v>
          </cell>
          <cell r="W92">
            <v>0</v>
          </cell>
          <cell r="X92">
            <v>0</v>
          </cell>
          <cell r="Y92">
            <v>0</v>
          </cell>
          <cell r="Z92">
            <v>0</v>
          </cell>
          <cell r="AA92">
            <v>0</v>
          </cell>
          <cell r="AX92" t="str">
            <v>mstag:cashDividendsPaid</v>
          </cell>
          <cell r="AY92">
            <v>6</v>
          </cell>
          <cell r="AZ92" t="str">
            <v>ISO4217:USD</v>
          </cell>
          <cell r="BA92" t="b">
            <v>1</v>
          </cell>
          <cell r="BB92" t="b">
            <v>0</v>
          </cell>
          <cell r="BC92" t="str">
            <v>mstag:otherCashFlowsFromUsedInNonoperatingActivities</v>
          </cell>
          <cell r="BD92">
            <v>6</v>
          </cell>
          <cell r="BE92" t="str">
            <v>ISO4217:USD</v>
          </cell>
          <cell r="BF92" t="b">
            <v>0</v>
          </cell>
          <cell r="BG92" t="b">
            <v>0</v>
          </cell>
          <cell r="BI92" t="str">
            <v>other cash flow, non operating, non financing</v>
          </cell>
        </row>
        <row r="93">
          <cell r="A93" t="str">
            <v xml:space="preserve">    Other, net</v>
          </cell>
          <cell r="I93">
            <v>27</v>
          </cell>
          <cell r="J93">
            <v>6</v>
          </cell>
          <cell r="K93">
            <v>33</v>
          </cell>
          <cell r="L93">
            <v>-247</v>
          </cell>
          <cell r="M93">
            <v>0</v>
          </cell>
          <cell r="N93">
            <v>0</v>
          </cell>
          <cell r="O93">
            <v>0</v>
          </cell>
          <cell r="P93">
            <v>-247</v>
          </cell>
          <cell r="Q93">
            <v>0</v>
          </cell>
          <cell r="R93">
            <v>0</v>
          </cell>
          <cell r="S93">
            <v>0</v>
          </cell>
          <cell r="T93">
            <v>0</v>
          </cell>
          <cell r="U93">
            <v>0</v>
          </cell>
          <cell r="V93">
            <v>0</v>
          </cell>
          <cell r="W93" t="str">
            <v>______</v>
          </cell>
          <cell r="X93" t="str">
            <v>______</v>
          </cell>
          <cell r="Y93" t="str">
            <v>______</v>
          </cell>
          <cell r="Z93" t="str">
            <v>______</v>
          </cell>
          <cell r="AA93" t="str">
            <v>______</v>
          </cell>
          <cell r="AX93" t="str">
            <v>mstag:otherCashFlow</v>
          </cell>
          <cell r="AY93">
            <v>6</v>
          </cell>
          <cell r="AZ93" t="str">
            <v>ISO4217:USD</v>
          </cell>
          <cell r="BA93" t="b">
            <v>0</v>
          </cell>
          <cell r="BB93" t="b">
            <v>0</v>
          </cell>
        </row>
        <row r="94">
          <cell r="A94" t="str">
            <v>Proceeds from debt</v>
          </cell>
          <cell r="I94">
            <v>-1139</v>
          </cell>
          <cell r="J94" t="str">
            <v>______</v>
          </cell>
          <cell r="K94" t="str">
            <v>______</v>
          </cell>
          <cell r="L94" t="str">
            <v>______</v>
          </cell>
          <cell r="M94" t="str">
            <v>______</v>
          </cell>
          <cell r="N94" t="str">
            <v>______</v>
          </cell>
          <cell r="O94" t="str">
            <v>______</v>
          </cell>
          <cell r="P94" t="str">
            <v>______</v>
          </cell>
          <cell r="Q94" t="str">
            <v>______</v>
          </cell>
          <cell r="R94" t="str">
            <v>______</v>
          </cell>
          <cell r="S94" t="str">
            <v>______</v>
          </cell>
          <cell r="T94" t="str">
            <v>______</v>
          </cell>
          <cell r="U94" t="str">
            <v>______</v>
          </cell>
          <cell r="V94" t="str">
            <v>______</v>
          </cell>
          <cell r="W94">
            <v>-7111.0614721153452</v>
          </cell>
          <cell r="X94">
            <v>-7418.875852557866</v>
          </cell>
          <cell r="Y94">
            <v>-6308.3600272371787</v>
          </cell>
          <cell r="Z94">
            <v>-6312.0900841614475</v>
          </cell>
          <cell r="AA94">
            <v>-6399.1348256944993</v>
          </cell>
          <cell r="AX94" t="str">
            <v>mstag:proceedsFromIssuanceAndCashUsedToRepayLongTermDebt</v>
          </cell>
          <cell r="AY94">
            <v>6</v>
          </cell>
          <cell r="AZ94" t="str">
            <v>ISO4217:USD</v>
          </cell>
          <cell r="BA94" t="b">
            <v>0</v>
          </cell>
          <cell r="BB94" t="b">
            <v>0</v>
          </cell>
        </row>
        <row r="95">
          <cell r="A95" t="str">
            <v>Cash From Financing Activity</v>
          </cell>
          <cell r="I95">
            <v>-1267</v>
          </cell>
          <cell r="J95">
            <v>39</v>
          </cell>
          <cell r="K95">
            <v>-1228</v>
          </cell>
          <cell r="L95">
            <v>-1006</v>
          </cell>
          <cell r="M95">
            <v>0</v>
          </cell>
          <cell r="N95">
            <v>0</v>
          </cell>
          <cell r="O95">
            <v>0</v>
          </cell>
          <cell r="P95">
            <v>-1006</v>
          </cell>
          <cell r="Q95">
            <v>0</v>
          </cell>
          <cell r="R95">
            <v>0</v>
          </cell>
          <cell r="S95">
            <v>0</v>
          </cell>
          <cell r="T95">
            <v>0</v>
          </cell>
          <cell r="U95">
            <v>0</v>
          </cell>
          <cell r="V95">
            <v>0</v>
          </cell>
          <cell r="AX95" t="str">
            <v>mstag:proceedsFromIssuanceAndCashUsedToRepayShortTermBorrowings</v>
          </cell>
          <cell r="AY95">
            <v>6</v>
          </cell>
          <cell r="AZ95" t="str">
            <v>ISO4217:USD</v>
          </cell>
          <cell r="BA95" t="b">
            <v>0</v>
          </cell>
          <cell r="BB95" t="b">
            <v>0</v>
          </cell>
        </row>
        <row r="96">
          <cell r="A96" t="str">
            <v xml:space="preserve">    Proceeds from equity unit notes</v>
          </cell>
          <cell r="K96">
            <v>0</v>
          </cell>
          <cell r="L96">
            <v>0</v>
          </cell>
          <cell r="M96">
            <v>0</v>
          </cell>
          <cell r="N96">
            <v>0</v>
          </cell>
          <cell r="O96">
            <v>0</v>
          </cell>
          <cell r="P96">
            <v>0</v>
          </cell>
          <cell r="Q96">
            <v>0</v>
          </cell>
          <cell r="R96">
            <v>0</v>
          </cell>
          <cell r="S96">
            <v>0</v>
          </cell>
          <cell r="T96">
            <v>0</v>
          </cell>
          <cell r="U96">
            <v>0</v>
          </cell>
          <cell r="V96">
            <v>0</v>
          </cell>
          <cell r="AX96" t="str">
            <v>mstag:proceedsFromIssuanceOfCommonStock</v>
          </cell>
          <cell r="AY96">
            <v>6</v>
          </cell>
          <cell r="AZ96" t="str">
            <v>ISO4217:USD</v>
          </cell>
          <cell r="BA96" t="b">
            <v>0</v>
          </cell>
          <cell r="BB96" t="b">
            <v>0</v>
          </cell>
        </row>
        <row r="97">
          <cell r="A97" t="str">
            <v>Cash from discontinued operations</v>
          </cell>
          <cell r="I97">
            <v>293</v>
          </cell>
          <cell r="J97">
            <v>139</v>
          </cell>
          <cell r="K97">
            <v>432</v>
          </cell>
          <cell r="L97">
            <v>185</v>
          </cell>
          <cell r="M97">
            <v>141</v>
          </cell>
          <cell r="N97">
            <v>0</v>
          </cell>
          <cell r="O97">
            <v>0</v>
          </cell>
          <cell r="P97">
            <v>326</v>
          </cell>
          <cell r="Q97">
            <v>0</v>
          </cell>
          <cell r="R97">
            <v>0</v>
          </cell>
          <cell r="S97">
            <v>0</v>
          </cell>
          <cell r="T97">
            <v>0</v>
          </cell>
          <cell r="U97">
            <v>0</v>
          </cell>
          <cell r="V97">
            <v>0</v>
          </cell>
          <cell r="W97">
            <v>0</v>
          </cell>
          <cell r="X97">
            <v>0</v>
          </cell>
          <cell r="Y97">
            <v>0</v>
          </cell>
          <cell r="Z97">
            <v>0</v>
          </cell>
          <cell r="AA97">
            <v>0</v>
          </cell>
          <cell r="AX97" t="str">
            <v>mstag:otherCashFlow</v>
          </cell>
          <cell r="AY97">
            <v>6</v>
          </cell>
          <cell r="AZ97" t="str">
            <v>ISO4217:USD</v>
          </cell>
          <cell r="BA97" t="b">
            <v>0</v>
          </cell>
          <cell r="BB97" t="b">
            <v>0</v>
          </cell>
          <cell r="BC97" t="str">
            <v>mstag:proceedsFromIssuanceAndCashUsedToRepayLongTermDebt</v>
          </cell>
          <cell r="BD97">
            <v>6</v>
          </cell>
          <cell r="BE97" t="str">
            <v>ISO4217:USD</v>
          </cell>
          <cell r="BF97" t="b">
            <v>0</v>
          </cell>
          <cell r="BG97" t="b">
            <v>0</v>
          </cell>
        </row>
        <row r="98">
          <cell r="A98" t="str">
            <v xml:space="preserve">    Dividends paid</v>
          </cell>
          <cell r="I98">
            <v>-448</v>
          </cell>
          <cell r="J98">
            <v>-75</v>
          </cell>
          <cell r="K98">
            <v>-523</v>
          </cell>
          <cell r="L98">
            <v>-76</v>
          </cell>
          <cell r="M98">
            <v>-74</v>
          </cell>
          <cell r="N98">
            <v>-75.197500000000005</v>
          </cell>
          <cell r="O98">
            <v>-75.322500000000005</v>
          </cell>
          <cell r="P98">
            <v>-300.52</v>
          </cell>
          <cell r="Q98">
            <v>-303.29000000000002</v>
          </cell>
          <cell r="R98">
            <v>-305.29000000000002</v>
          </cell>
          <cell r="S98">
            <v>-307.29000000000002</v>
          </cell>
          <cell r="T98">
            <v>-309.29000000000002</v>
          </cell>
          <cell r="U98">
            <v>-311.29000000000002</v>
          </cell>
          <cell r="V98">
            <v>-313.29000000000002</v>
          </cell>
          <cell r="AX98" t="str">
            <v>mstag:cashDividendsPaid</v>
          </cell>
          <cell r="AY98">
            <v>6</v>
          </cell>
          <cell r="AZ98" t="str">
            <v>ISO4217:USD</v>
          </cell>
          <cell r="BA98" t="b">
            <v>1</v>
          </cell>
          <cell r="BB98" t="b">
            <v>0</v>
          </cell>
        </row>
        <row r="99">
          <cell r="A99" t="str">
            <v>Net Cash from Cont. Operations</v>
          </cell>
          <cell r="H99">
            <v>-380</v>
          </cell>
          <cell r="I99">
            <v>3649</v>
          </cell>
          <cell r="J99">
            <v>1077</v>
          </cell>
          <cell r="K99">
            <v>4346</v>
          </cell>
          <cell r="L99">
            <v>-1896</v>
          </cell>
          <cell r="M99">
            <v>-1364.4587695709895</v>
          </cell>
          <cell r="N99">
            <v>648.54186004359372</v>
          </cell>
          <cell r="O99">
            <v>450.9940354518908</v>
          </cell>
          <cell r="P99">
            <v>-2160.9228740755052</v>
          </cell>
          <cell r="Q99">
            <v>2661.6388561853228</v>
          </cell>
          <cell r="R99">
            <v>3837.5496276077774</v>
          </cell>
          <cell r="S99">
            <v>4734.8772727920523</v>
          </cell>
          <cell r="T99">
            <v>5428.8585064427207</v>
          </cell>
          <cell r="U99">
            <v>5675.7089645443129</v>
          </cell>
          <cell r="V99">
            <v>5780.1665874636037</v>
          </cell>
          <cell r="W99">
            <v>0</v>
          </cell>
          <cell r="X99">
            <v>0</v>
          </cell>
          <cell r="Y99">
            <v>0</v>
          </cell>
          <cell r="Z99">
            <v>0</v>
          </cell>
          <cell r="AA99">
            <v>0</v>
          </cell>
          <cell r="AX99" t="str">
            <v>mstag:otherCashFlowsFromUsedInFinancingActivities</v>
          </cell>
          <cell r="AY99">
            <v>6</v>
          </cell>
          <cell r="AZ99" t="str">
            <v>ISO4217:USD</v>
          </cell>
          <cell r="BA99" t="b">
            <v>0</v>
          </cell>
          <cell r="BB99" t="b">
            <v>0</v>
          </cell>
        </row>
        <row r="100">
          <cell r="A100" t="str">
            <v>Cash &amp; Equivalents - Beginning</v>
          </cell>
          <cell r="I100">
            <v>4176</v>
          </cell>
          <cell r="J100">
            <v>7825</v>
          </cell>
          <cell r="K100">
            <v>4556</v>
          </cell>
          <cell r="L100">
            <v>8902</v>
          </cell>
          <cell r="M100">
            <v>7006</v>
          </cell>
          <cell r="N100">
            <v>5641.5412304290103</v>
          </cell>
          <cell r="O100">
            <v>6290.0830904726045</v>
          </cell>
          <cell r="P100">
            <v>8902</v>
          </cell>
          <cell r="Q100">
            <v>6741.0771259244948</v>
          </cell>
          <cell r="R100">
            <v>9402.7159821098176</v>
          </cell>
          <cell r="S100">
            <v>13240.265609717595</v>
          </cell>
          <cell r="T100">
            <v>17975.142882509648</v>
          </cell>
          <cell r="U100">
            <v>23404.001388952369</v>
          </cell>
          <cell r="V100">
            <v>29079.710353496674</v>
          </cell>
          <cell r="W100">
            <v>0</v>
          </cell>
          <cell r="X100">
            <v>0</v>
          </cell>
          <cell r="Y100">
            <v>0</v>
          </cell>
          <cell r="Z100">
            <v>0</v>
          </cell>
          <cell r="AA100">
            <v>0</v>
          </cell>
        </row>
        <row r="101">
          <cell r="A101" t="str">
            <v>Cash From Financing Activity</v>
          </cell>
          <cell r="I101">
            <v>-1267</v>
          </cell>
          <cell r="J101">
            <v>39</v>
          </cell>
          <cell r="K101">
            <v>-1228</v>
          </cell>
          <cell r="L101">
            <v>-1006</v>
          </cell>
          <cell r="M101">
            <v>-3028</v>
          </cell>
          <cell r="N101">
            <v>348.20250000000146</v>
          </cell>
          <cell r="O101">
            <v>1.2774999999985397</v>
          </cell>
          <cell r="P101">
            <v>-3684.52</v>
          </cell>
          <cell r="Q101">
            <v>-303.29000000000002</v>
          </cell>
          <cell r="R101">
            <v>-305.29000000000002</v>
          </cell>
          <cell r="S101">
            <v>-307.29000000000002</v>
          </cell>
          <cell r="T101">
            <v>-309.29000000000002</v>
          </cell>
          <cell r="U101">
            <v>-311.29000000000002</v>
          </cell>
          <cell r="V101">
            <v>-313.29000000000002</v>
          </cell>
          <cell r="W101">
            <v>0</v>
          </cell>
          <cell r="X101">
            <v>0</v>
          </cell>
          <cell r="Y101">
            <v>0</v>
          </cell>
          <cell r="Z101">
            <v>0</v>
          </cell>
          <cell r="AA101">
            <v>0</v>
          </cell>
        </row>
        <row r="102">
          <cell r="A102" t="str">
            <v>Cash &amp; Equivalents - Ending</v>
          </cell>
          <cell r="I102">
            <v>7825</v>
          </cell>
          <cell r="J102">
            <v>8902</v>
          </cell>
          <cell r="K102">
            <v>8902</v>
          </cell>
          <cell r="L102">
            <v>7006</v>
          </cell>
          <cell r="M102">
            <v>5641.5412304290103</v>
          </cell>
          <cell r="N102">
            <v>6290.0830904726045</v>
          </cell>
          <cell r="O102">
            <v>6741.0771259244957</v>
          </cell>
          <cell r="P102">
            <v>6741.0771259244948</v>
          </cell>
          <cell r="Q102">
            <v>9402.7159821098176</v>
          </cell>
          <cell r="R102">
            <v>13240.265609717595</v>
          </cell>
          <cell r="S102">
            <v>17975.142882509648</v>
          </cell>
          <cell r="T102">
            <v>23404.001388952369</v>
          </cell>
          <cell r="U102">
            <v>29079.710353496681</v>
          </cell>
          <cell r="V102">
            <v>34859.876940960276</v>
          </cell>
        </row>
        <row r="103">
          <cell r="A103" t="str">
            <v>Cash from discontinued operations</v>
          </cell>
          <cell r="K103">
            <v>0</v>
          </cell>
          <cell r="L103">
            <v>0</v>
          </cell>
          <cell r="M103">
            <v>347</v>
          </cell>
          <cell r="N103">
            <v>0</v>
          </cell>
          <cell r="O103">
            <v>0</v>
          </cell>
          <cell r="P103">
            <v>347</v>
          </cell>
          <cell r="Q103">
            <v>0</v>
          </cell>
          <cell r="R103">
            <v>0</v>
          </cell>
          <cell r="S103">
            <v>0</v>
          </cell>
          <cell r="T103">
            <v>0</v>
          </cell>
          <cell r="U103">
            <v>0</v>
          </cell>
          <cell r="V103">
            <v>0</v>
          </cell>
          <cell r="W103">
            <v>0</v>
          </cell>
          <cell r="X103">
            <v>0</v>
          </cell>
          <cell r="Y103">
            <v>0</v>
          </cell>
          <cell r="Z103">
            <v>0</v>
          </cell>
          <cell r="AA103">
            <v>0</v>
          </cell>
          <cell r="AX103" t="str">
            <v>mstag:netCashFlowFromDiscontinuedOperations</v>
          </cell>
          <cell r="AY103">
            <v>6</v>
          </cell>
          <cell r="AZ103" t="str">
            <v>ISO4217:USD</v>
          </cell>
          <cell r="BA103" t="b">
            <v>0</v>
          </cell>
          <cell r="BB103" t="b">
            <v>0</v>
          </cell>
          <cell r="BC103" t="str">
            <v>mstag:proceedsFromIssuanceAndCashUsedToRepayShortTermBorrowings</v>
          </cell>
          <cell r="BD103">
            <v>6</v>
          </cell>
          <cell r="BE103" t="str">
            <v>ISO4217:USD</v>
          </cell>
          <cell r="BF103" t="b">
            <v>0</v>
          </cell>
          <cell r="BG103" t="b">
            <v>0</v>
          </cell>
        </row>
        <row r="104">
          <cell r="A104" t="str">
            <v>Change in Cashflow Due to Restatement</v>
          </cell>
          <cell r="I104">
            <v>-2059</v>
          </cell>
          <cell r="K104">
            <v>-380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X104" t="str">
            <v>mstag:changeIncashFlowDueToRestatements</v>
          </cell>
          <cell r="AY104">
            <v>6</v>
          </cell>
          <cell r="AZ104" t="str">
            <v>ISO4217:USD</v>
          </cell>
          <cell r="BA104" t="b">
            <v>0</v>
          </cell>
          <cell r="BB104" t="b">
            <v>0</v>
          </cell>
          <cell r="BC104" t="str">
            <v>mstag:proceedsFromIssuanceOfCommonStock</v>
          </cell>
          <cell r="BD104">
            <v>6</v>
          </cell>
          <cell r="BE104" t="str">
            <v>ISO4217:USD</v>
          </cell>
          <cell r="BF104" t="b">
            <v>0</v>
          </cell>
          <cell r="BG104" t="b">
            <v>0</v>
          </cell>
        </row>
        <row r="105">
          <cell r="A105" t="str">
            <v>Net Cash from Cont. Operations</v>
          </cell>
          <cell r="H105">
            <v>-380</v>
          </cell>
          <cell r="I105">
            <v>3649</v>
          </cell>
          <cell r="J105">
            <v>1077</v>
          </cell>
          <cell r="K105">
            <v>4346</v>
          </cell>
          <cell r="L105">
            <v>-2298</v>
          </cell>
          <cell r="M105">
            <v>-2991</v>
          </cell>
          <cell r="N105">
            <v>-604.31594693528427</v>
          </cell>
          <cell r="O105">
            <v>0.85559622824121107</v>
          </cell>
          <cell r="P105">
            <v>-5892.460350707046</v>
          </cell>
          <cell r="Q105">
            <v>3454.0926201818429</v>
          </cell>
          <cell r="R105">
            <v>4123.6780667938883</v>
          </cell>
          <cell r="S105">
            <v>4772.5713570226399</v>
          </cell>
          <cell r="T105">
            <v>5361.6765029883327</v>
          </cell>
          <cell r="U105">
            <v>5577.3370230305381</v>
          </cell>
          <cell r="V105">
            <v>5783.8522762753182</v>
          </cell>
          <cell r="W105">
            <v>0</v>
          </cell>
          <cell r="X105">
            <v>0</v>
          </cell>
          <cell r="Y105">
            <v>0</v>
          </cell>
          <cell r="Z105">
            <v>0</v>
          </cell>
          <cell r="AA105">
            <v>0</v>
          </cell>
          <cell r="BC105" t="str">
            <v>mstag:proceedsFromIssuanceFundsUsedToRepurchaseCommonStock</v>
          </cell>
          <cell r="BD105">
            <v>6</v>
          </cell>
          <cell r="BE105" t="str">
            <v>ISO4217:USD</v>
          </cell>
          <cell r="BF105" t="b">
            <v>0</v>
          </cell>
          <cell r="BG105" t="b">
            <v>0</v>
          </cell>
        </row>
        <row r="106">
          <cell r="A106" t="str">
            <v>Quarterly Balance Sheet</v>
          </cell>
          <cell r="I106">
            <v>4176</v>
          </cell>
          <cell r="J106">
            <v>7825</v>
          </cell>
          <cell r="K106">
            <v>4556</v>
          </cell>
          <cell r="L106">
            <v>8902</v>
          </cell>
          <cell r="M106">
            <v>6604</v>
          </cell>
          <cell r="N106">
            <v>3613</v>
          </cell>
          <cell r="O106">
            <v>3008.684053064716</v>
          </cell>
          <cell r="P106">
            <v>8902</v>
          </cell>
          <cell r="Q106">
            <v>3009.539649292954</v>
          </cell>
          <cell r="R106">
            <v>6463.6322694747969</v>
          </cell>
          <cell r="S106">
            <v>10587.310336268685</v>
          </cell>
          <cell r="T106">
            <v>15359.881693291329</v>
          </cell>
          <cell r="U106">
            <v>20721.558196279664</v>
          </cell>
          <cell r="V106">
            <v>26298.895219310198</v>
          </cell>
          <cell r="W106">
            <v>-288.40000000000003</v>
          </cell>
          <cell r="X106">
            <v>-288.40000000000003</v>
          </cell>
          <cell r="Y106">
            <v>-288.40000000000003</v>
          </cell>
          <cell r="Z106">
            <v>-288.40000000000003</v>
          </cell>
          <cell r="AA106">
            <v>-288.40000000000003</v>
          </cell>
          <cell r="BC106" t="str">
            <v>mstag:cashDividendsPaid</v>
          </cell>
          <cell r="BD106">
            <v>6</v>
          </cell>
          <cell r="BE106" t="str">
            <v>ISO4217:USD</v>
          </cell>
          <cell r="BF106" t="b">
            <v>1</v>
          </cell>
          <cell r="BG106" t="b">
            <v>0</v>
          </cell>
        </row>
        <row r="107">
          <cell r="A107" t="str">
            <v>(Values in 000s, except per-share amounts)</v>
          </cell>
          <cell r="I107">
            <v>27</v>
          </cell>
          <cell r="J107">
            <v>6</v>
          </cell>
          <cell r="K107">
            <v>33</v>
          </cell>
          <cell r="L107">
            <v>-247</v>
          </cell>
          <cell r="M107">
            <v>0</v>
          </cell>
          <cell r="N107">
            <v>259</v>
          </cell>
          <cell r="O107">
            <v>-231</v>
          </cell>
          <cell r="P107">
            <v>-219</v>
          </cell>
          <cell r="Q107">
            <v>0</v>
          </cell>
          <cell r="R107">
            <v>0</v>
          </cell>
          <cell r="S107">
            <v>0</v>
          </cell>
          <cell r="T107">
            <v>0</v>
          </cell>
          <cell r="U107">
            <v>0</v>
          </cell>
          <cell r="V107">
            <v>0</v>
          </cell>
          <cell r="W107">
            <v>0</v>
          </cell>
          <cell r="X107">
            <v>0</v>
          </cell>
          <cell r="Y107">
            <v>0</v>
          </cell>
          <cell r="Z107">
            <v>0</v>
          </cell>
          <cell r="AA107">
            <v>0</v>
          </cell>
          <cell r="BC107" t="str">
            <v>mstag:otherCashFlowsFromUsedInFinancingActivities</v>
          </cell>
          <cell r="BD107">
            <v>6</v>
          </cell>
          <cell r="BE107" t="str">
            <v>ISO4217:USD</v>
          </cell>
          <cell r="BF107" t="b">
            <v>0</v>
          </cell>
          <cell r="BG107" t="b">
            <v>0</v>
          </cell>
        </row>
        <row r="108">
          <cell r="A108" t="str">
            <v>Fiscal Year Ending December 31</v>
          </cell>
          <cell r="B108" t="str">
            <v>1Q04</v>
          </cell>
          <cell r="C108" t="str">
            <v>2Q04</v>
          </cell>
          <cell r="D108" t="str">
            <v>3Q04</v>
          </cell>
          <cell r="E108" t="str">
            <v>4Q04</v>
          </cell>
          <cell r="F108">
            <v>2004</v>
          </cell>
          <cell r="G108" t="str">
            <v>1Q05</v>
          </cell>
          <cell r="H108" t="str">
            <v>2Q05</v>
          </cell>
          <cell r="I108" t="str">
            <v>3Q05</v>
          </cell>
          <cell r="J108" t="str">
            <v>4Q05</v>
          </cell>
          <cell r="K108">
            <v>2005</v>
          </cell>
          <cell r="L108" t="str">
            <v>1Q06</v>
          </cell>
          <cell r="M108" t="str">
            <v>2Q06E</v>
          </cell>
          <cell r="N108" t="str">
            <v>3Q06E</v>
          </cell>
          <cell r="O108" t="str">
            <v>4Q06E</v>
          </cell>
          <cell r="P108" t="str">
            <v>2006E</v>
          </cell>
          <cell r="Q108" t="str">
            <v>2007E</v>
          </cell>
          <cell r="R108" t="str">
            <v>2008E</v>
          </cell>
          <cell r="S108" t="str">
            <v>2009E</v>
          </cell>
          <cell r="T108" t="str">
            <v>2010E</v>
          </cell>
          <cell r="U108" t="str">
            <v>2011E</v>
          </cell>
          <cell r="V108" t="str">
            <v>2012E</v>
          </cell>
          <cell r="W108" t="str">
            <v>______</v>
          </cell>
          <cell r="X108" t="str">
            <v>______</v>
          </cell>
          <cell r="Y108" t="str">
            <v>______</v>
          </cell>
          <cell r="Z108" t="str">
            <v>______</v>
          </cell>
          <cell r="AA108" t="str">
            <v>______</v>
          </cell>
        </row>
        <row r="109">
          <cell r="A109" t="str">
            <v>ASSETS</v>
          </cell>
          <cell r="I109">
            <v>-1267</v>
          </cell>
          <cell r="J109">
            <v>39</v>
          </cell>
          <cell r="K109">
            <v>-1228</v>
          </cell>
          <cell r="L109">
            <v>-1006</v>
          </cell>
          <cell r="M109">
            <v>-3028</v>
          </cell>
          <cell r="N109">
            <v>-3322</v>
          </cell>
          <cell r="O109">
            <v>933</v>
          </cell>
          <cell r="P109">
            <v>-6423</v>
          </cell>
          <cell r="Q109">
            <v>-276</v>
          </cell>
          <cell r="R109">
            <v>-1048</v>
          </cell>
          <cell r="S109">
            <v>-72.100000000000009</v>
          </cell>
          <cell r="T109">
            <v>-72.100000000000009</v>
          </cell>
          <cell r="U109">
            <v>-1468.2</v>
          </cell>
          <cell r="V109">
            <v>-288.40000000000003</v>
          </cell>
          <cell r="W109">
            <v>-288.40000000000003</v>
          </cell>
          <cell r="X109">
            <v>-288.40000000000003</v>
          </cell>
          <cell r="Y109">
            <v>-288.40000000000003</v>
          </cell>
          <cell r="Z109">
            <v>-288.40000000000003</v>
          </cell>
          <cell r="AA109">
            <v>-288.40000000000003</v>
          </cell>
        </row>
        <row r="110">
          <cell r="A110" t="str">
            <v xml:space="preserve"> Cash and Equivalents</v>
          </cell>
          <cell r="I110">
            <v>7825</v>
          </cell>
          <cell r="J110">
            <v>8902</v>
          </cell>
          <cell r="K110">
            <v>8902</v>
          </cell>
          <cell r="L110">
            <v>9748</v>
          </cell>
          <cell r="M110">
            <v>5641.5412304290103</v>
          </cell>
          <cell r="N110">
            <v>6290.0830904726045</v>
          </cell>
          <cell r="O110">
            <v>6741.0771259244957</v>
          </cell>
          <cell r="P110">
            <v>6741.0771259244948</v>
          </cell>
          <cell r="Q110">
            <v>9402.7159821098176</v>
          </cell>
          <cell r="R110">
            <v>13240.265609717595</v>
          </cell>
          <cell r="S110">
            <v>17975.142882509648</v>
          </cell>
          <cell r="T110">
            <v>23404.001388952369</v>
          </cell>
          <cell r="U110">
            <v>29079.710353496681</v>
          </cell>
          <cell r="V110">
            <v>34859.876940960276</v>
          </cell>
          <cell r="AX110" t="str">
            <v>mstag:cashAndCashEquivalents</v>
          </cell>
          <cell r="AY110">
            <v>6</v>
          </cell>
          <cell r="AZ110" t="str">
            <v>ISO4217:USD</v>
          </cell>
          <cell r="BA110" t="b">
            <v>0</v>
          </cell>
          <cell r="BB110" t="b">
            <v>0</v>
          </cell>
        </row>
        <row r="111">
          <cell r="A111" t="str">
            <v xml:space="preserve"> Marketable debt securities</v>
          </cell>
          <cell r="I111">
            <v>1110</v>
          </cell>
          <cell r="J111">
            <v>1763</v>
          </cell>
          <cell r="K111">
            <v>1763</v>
          </cell>
          <cell r="L111">
            <v>0</v>
          </cell>
          <cell r="M111">
            <v>0</v>
          </cell>
          <cell r="N111">
            <v>0</v>
          </cell>
          <cell r="O111">
            <v>0</v>
          </cell>
          <cell r="P111">
            <v>0</v>
          </cell>
          <cell r="Q111">
            <v>0</v>
          </cell>
          <cell r="R111">
            <v>0</v>
          </cell>
          <cell r="S111">
            <v>0</v>
          </cell>
          <cell r="T111">
            <v>0</v>
          </cell>
          <cell r="U111">
            <v>0</v>
          </cell>
          <cell r="V111">
            <v>0</v>
          </cell>
          <cell r="AX111" t="str">
            <v>mstag:otherAssetsOperatingCurrent</v>
          </cell>
          <cell r="AY111">
            <v>6</v>
          </cell>
          <cell r="AZ111" t="str">
            <v>ISO4217:USD</v>
          </cell>
          <cell r="BA111" t="b">
            <v>0</v>
          </cell>
          <cell r="BB111" t="b">
            <v>0</v>
          </cell>
          <cell r="BC111" t="str">
            <v>mstag:netCashFlowFromDiscontinuedOperations</v>
          </cell>
          <cell r="BD111">
            <v>6</v>
          </cell>
          <cell r="BE111" t="str">
            <v>ISO4217:USD</v>
          </cell>
          <cell r="BF111" t="b">
            <v>0</v>
          </cell>
          <cell r="BG111" t="b">
            <v>0</v>
          </cell>
        </row>
        <row r="112">
          <cell r="A112" t="str">
            <v xml:space="preserve">  Accounts receivable</v>
          </cell>
          <cell r="I112">
            <v>4849</v>
          </cell>
          <cell r="J112">
            <v>4827</v>
          </cell>
          <cell r="K112">
            <v>4827</v>
          </cell>
          <cell r="L112">
            <v>0</v>
          </cell>
          <cell r="M112">
            <v>4435.7481078027868</v>
          </cell>
          <cell r="N112">
            <v>4454.1971495684829</v>
          </cell>
          <cell r="O112">
            <v>4485.8991887078955</v>
          </cell>
          <cell r="P112">
            <v>4485.8991887078955</v>
          </cell>
          <cell r="Q112">
            <v>4579.1579687094336</v>
          </cell>
          <cell r="R112">
            <v>4665.0268375405794</v>
          </cell>
          <cell r="S112">
            <v>4680.9092699427993</v>
          </cell>
          <cell r="T112">
            <v>4662.1826264449383</v>
          </cell>
          <cell r="U112">
            <v>4635.2417598570919</v>
          </cell>
          <cell r="V112">
            <v>4602.6612270172918</v>
          </cell>
          <cell r="AX112" t="str">
            <v>mstag:tradeReceivables</v>
          </cell>
          <cell r="AY112">
            <v>6</v>
          </cell>
          <cell r="AZ112" t="str">
            <v>ISO4217:USD</v>
          </cell>
          <cell r="BA112" t="b">
            <v>0</v>
          </cell>
          <cell r="BB112" t="b">
            <v>0</v>
          </cell>
        </row>
        <row r="113">
          <cell r="A113" t="str">
            <v xml:space="preserve">  Inventories</v>
          </cell>
          <cell r="H113">
            <v>-380</v>
          </cell>
          <cell r="I113">
            <v>1004</v>
          </cell>
          <cell r="J113">
            <v>950</v>
          </cell>
          <cell r="K113">
            <v>950</v>
          </cell>
          <cell r="L113">
            <v>0</v>
          </cell>
          <cell r="M113">
            <v>0</v>
          </cell>
          <cell r="N113">
            <v>0</v>
          </cell>
          <cell r="O113">
            <v>0</v>
          </cell>
          <cell r="P113">
            <v>0</v>
          </cell>
          <cell r="Q113">
            <v>0</v>
          </cell>
          <cell r="R113">
            <v>0</v>
          </cell>
          <cell r="S113">
            <v>0</v>
          </cell>
          <cell r="T113">
            <v>0</v>
          </cell>
          <cell r="U113">
            <v>0</v>
          </cell>
          <cell r="V113">
            <v>0</v>
          </cell>
          <cell r="W113">
            <v>1536.7624137192543</v>
          </cell>
          <cell r="X113">
            <v>2021.9254391391087</v>
          </cell>
          <cell r="Y113">
            <v>3823.080738622657</v>
          </cell>
          <cell r="Z113">
            <v>4763.2897070943563</v>
          </cell>
          <cell r="AA113">
            <v>5858.0910006265194</v>
          </cell>
          <cell r="AX113" t="str">
            <v>mstag:inventories</v>
          </cell>
          <cell r="AY113">
            <v>6</v>
          </cell>
          <cell r="AZ113" t="str">
            <v>ISO4217:USD</v>
          </cell>
          <cell r="BA113" t="b">
            <v>0</v>
          </cell>
          <cell r="BB113" t="b">
            <v>0</v>
          </cell>
        </row>
        <row r="114">
          <cell r="A114" t="str">
            <v xml:space="preserve">  Deferred Income Taxes</v>
          </cell>
          <cell r="B114" t="str">
            <v>1Q04</v>
          </cell>
          <cell r="C114" t="str">
            <v>2Q04</v>
          </cell>
          <cell r="D114" t="str">
            <v>3Q04</v>
          </cell>
          <cell r="E114" t="str">
            <v>4Q04</v>
          </cell>
          <cell r="F114">
            <v>2004</v>
          </cell>
          <cell r="G114" t="str">
            <v>1Q05</v>
          </cell>
          <cell r="H114" t="str">
            <v>2Q05</v>
          </cell>
          <cell r="I114">
            <v>2164</v>
          </cell>
          <cell r="J114">
            <v>1811</v>
          </cell>
          <cell r="K114">
            <v>1811</v>
          </cell>
          <cell r="L114">
            <v>0</v>
          </cell>
          <cell r="M114">
            <v>0</v>
          </cell>
          <cell r="N114">
            <v>0</v>
          </cell>
          <cell r="O114">
            <v>0</v>
          </cell>
          <cell r="P114">
            <v>0</v>
          </cell>
          <cell r="Q114">
            <v>0</v>
          </cell>
          <cell r="R114">
            <v>0</v>
          </cell>
          <cell r="S114">
            <v>0</v>
          </cell>
          <cell r="T114">
            <v>0</v>
          </cell>
          <cell r="U114">
            <v>0</v>
          </cell>
          <cell r="V114">
            <v>0</v>
          </cell>
          <cell r="W114">
            <v>1715.7838209117372</v>
          </cell>
          <cell r="X114">
            <v>3252.5462346309914</v>
          </cell>
          <cell r="Y114">
            <v>5274.4716737701001</v>
          </cell>
          <cell r="Z114">
            <v>9097.5524123927571</v>
          </cell>
          <cell r="AA114">
            <v>13860.842119487113</v>
          </cell>
          <cell r="AX114" t="str">
            <v>mstag:deferredTaxAssetsCurrent</v>
          </cell>
          <cell r="AY114">
            <v>6</v>
          </cell>
          <cell r="AZ114" t="str">
            <v>ISO4217:USD</v>
          </cell>
          <cell r="BA114" t="b">
            <v>0</v>
          </cell>
          <cell r="BB114" t="b">
            <v>0</v>
          </cell>
        </row>
        <row r="115">
          <cell r="A115" t="str">
            <v xml:space="preserve">  Other current assets</v>
          </cell>
          <cell r="I115">
            <v>813</v>
          </cell>
          <cell r="J115">
            <v>839</v>
          </cell>
          <cell r="K115">
            <v>839</v>
          </cell>
          <cell r="L115">
            <v>7697</v>
          </cell>
          <cell r="M115">
            <v>8002.1878915284478</v>
          </cell>
          <cell r="N115">
            <v>8056.803337385234</v>
          </cell>
          <cell r="O115">
            <v>8141.1164940109329</v>
          </cell>
          <cell r="P115">
            <v>8141.1164940109329</v>
          </cell>
          <cell r="Q115">
            <v>8566.4325550376725</v>
          </cell>
          <cell r="R115">
            <v>8820.1257262722938</v>
          </cell>
          <cell r="S115">
            <v>8911.3339230148431</v>
          </cell>
          <cell r="T115">
            <v>8922.3913870984325</v>
          </cell>
          <cell r="U115">
            <v>8913.4582847879865</v>
          </cell>
          <cell r="V115">
            <v>8892.2978783931958</v>
          </cell>
          <cell r="AX115" t="str">
            <v>mstag:otherAssetsOperatingCurrent</v>
          </cell>
          <cell r="AY115">
            <v>6</v>
          </cell>
          <cell r="AZ115" t="str">
            <v>ISO4217:USD</v>
          </cell>
          <cell r="BA115" t="b">
            <v>0</v>
          </cell>
          <cell r="BB115" t="b">
            <v>0</v>
          </cell>
        </row>
        <row r="116">
          <cell r="A116" t="str">
            <v xml:space="preserve"> Cash and Equivalents</v>
          </cell>
          <cell r="I116" t="str">
            <v>______</v>
          </cell>
          <cell r="J116" t="str">
            <v>______</v>
          </cell>
          <cell r="K116" t="str">
            <v>______</v>
          </cell>
          <cell r="L116" t="str">
            <v>______</v>
          </cell>
          <cell r="M116" t="str">
            <v>______</v>
          </cell>
          <cell r="N116" t="str">
            <v>______</v>
          </cell>
          <cell r="O116" t="str">
            <v>______</v>
          </cell>
          <cell r="P116" t="str">
            <v>______</v>
          </cell>
          <cell r="Q116" t="str">
            <v>______</v>
          </cell>
          <cell r="R116" t="str">
            <v>______</v>
          </cell>
          <cell r="S116" t="str">
            <v>______</v>
          </cell>
          <cell r="T116" t="str">
            <v>______</v>
          </cell>
          <cell r="U116" t="str">
            <v>______</v>
          </cell>
          <cell r="V116" t="str">
            <v>______</v>
          </cell>
          <cell r="W116">
            <v>3252.5462346309914</v>
          </cell>
          <cell r="X116">
            <v>5274.4716737701001</v>
          </cell>
          <cell r="Y116">
            <v>9097.5524123927571</v>
          </cell>
          <cell r="Z116">
            <v>13860.842119487113</v>
          </cell>
          <cell r="AA116">
            <v>19718.933120113634</v>
          </cell>
          <cell r="AX116" t="str">
            <v>mstag:cashAndCashEquivalents</v>
          </cell>
          <cell r="AY116">
            <v>6</v>
          </cell>
          <cell r="AZ116" t="str">
            <v>ISO4217:USD</v>
          </cell>
          <cell r="BA116" t="b">
            <v>0</v>
          </cell>
          <cell r="BB116" t="b">
            <v>0</v>
          </cell>
        </row>
        <row r="117">
          <cell r="A117" t="str">
            <v xml:space="preserve">  Total current assets</v>
          </cell>
          <cell r="I117">
            <v>17765</v>
          </cell>
          <cell r="J117">
            <v>19092</v>
          </cell>
          <cell r="K117">
            <v>19092</v>
          </cell>
          <cell r="L117">
            <v>17445</v>
          </cell>
          <cell r="M117">
            <v>18079.477229760243</v>
          </cell>
          <cell r="N117">
            <v>18801.083577426321</v>
          </cell>
          <cell r="O117">
            <v>19368.092808643323</v>
          </cell>
          <cell r="P117">
            <v>19368.092808643323</v>
          </cell>
          <cell r="Q117">
            <v>22548.306505856926</v>
          </cell>
          <cell r="R117">
            <v>26725.418173530466</v>
          </cell>
          <cell r="S117">
            <v>31567.386075467293</v>
          </cell>
          <cell r="T117">
            <v>36988.575402495742</v>
          </cell>
          <cell r="U117">
            <v>42628.410398141757</v>
          </cell>
          <cell r="V117">
            <v>48354.836046370765</v>
          </cell>
          <cell r="AX117" t="str">
            <v>mstag:otherAssetsOperatingCurrent</v>
          </cell>
          <cell r="AY117">
            <v>6</v>
          </cell>
          <cell r="AZ117" t="str">
            <v>ISO4217:USD</v>
          </cell>
          <cell r="BA117" t="b">
            <v>0</v>
          </cell>
          <cell r="BB117" t="b">
            <v>0</v>
          </cell>
        </row>
        <row r="118">
          <cell r="A118" t="str">
            <v xml:space="preserve">  Accounts receivable</v>
          </cell>
          <cell r="I118">
            <v>0.59371179039301314</v>
          </cell>
          <cell r="J118">
            <v>0.55734975563472311</v>
          </cell>
          <cell r="K118">
            <v>4827</v>
          </cell>
          <cell r="L118">
            <v>4538</v>
          </cell>
          <cell r="M118">
            <v>4197</v>
          </cell>
          <cell r="N118">
            <v>4570.5765558489347</v>
          </cell>
          <cell r="O118">
            <v>4634.6032258184077</v>
          </cell>
          <cell r="P118">
            <v>4634.6032258184077</v>
          </cell>
          <cell r="Q118">
            <v>4692.8751957374443</v>
          </cell>
          <cell r="R118">
            <v>4793.1756147579727</v>
          </cell>
          <cell r="S118">
            <v>4853.5527367058767</v>
          </cell>
          <cell r="T118">
            <v>4886.7452590165904</v>
          </cell>
          <cell r="U118">
            <v>4897.7521777416468</v>
          </cell>
          <cell r="V118">
            <v>4891.8464016459229</v>
          </cell>
          <cell r="AX118" t="str">
            <v>mstag:assetsOfDiscontinuedOperations</v>
          </cell>
          <cell r="AY118">
            <v>6</v>
          </cell>
          <cell r="AZ118" t="str">
            <v>ISO4217:USD</v>
          </cell>
          <cell r="BA118" t="b">
            <v>0</v>
          </cell>
          <cell r="BB118" t="b">
            <v>0</v>
          </cell>
          <cell r="BC118" t="str">
            <v>mstag:changeIncashFlowDueToRestatements</v>
          </cell>
          <cell r="BD118">
            <v>6</v>
          </cell>
          <cell r="BE118" t="str">
            <v>ISO4217:USD</v>
          </cell>
          <cell r="BF118" t="b">
            <v>0</v>
          </cell>
          <cell r="BG118" t="b">
            <v>0</v>
          </cell>
        </row>
        <row r="119">
          <cell r="A119" t="str">
            <v xml:space="preserve"> Gross PP&amp;E</v>
          </cell>
          <cell r="I119">
            <v>51525</v>
          </cell>
          <cell r="J119">
            <v>55859</v>
          </cell>
          <cell r="K119">
            <v>55859</v>
          </cell>
          <cell r="L119">
            <v>42590.909090909088</v>
          </cell>
          <cell r="M119">
            <v>44281.871335113457</v>
          </cell>
          <cell r="N119">
            <v>45954.706719325215</v>
          </cell>
          <cell r="O119">
            <v>47835.914571149566</v>
          </cell>
          <cell r="P119">
            <v>47835.914571149566</v>
          </cell>
          <cell r="Q119">
            <v>54810.387751317066</v>
          </cell>
          <cell r="R119">
            <v>61552.676885805144</v>
          </cell>
          <cell r="S119">
            <v>67958.278393801855</v>
          </cell>
          <cell r="T119">
            <v>73990.596067425693</v>
          </cell>
          <cell r="U119">
            <v>79960.60203978674</v>
          </cell>
          <cell r="V119">
            <v>85866.579817718783</v>
          </cell>
          <cell r="AX119" t="str">
            <v>mstag:propertyPlantAndEquipmentGross</v>
          </cell>
          <cell r="AY119">
            <v>6</v>
          </cell>
          <cell r="AZ119" t="str">
            <v>ISO4217:USD</v>
          </cell>
          <cell r="BA119" t="b">
            <v>0</v>
          </cell>
          <cell r="BB119" t="b">
            <v>0</v>
          </cell>
        </row>
        <row r="120">
          <cell r="A120" t="str">
            <v xml:space="preserve"> Accumulated depreciation</v>
          </cell>
          <cell r="I120">
            <v>-20934</v>
          </cell>
          <cell r="J120">
            <v>-24726</v>
          </cell>
          <cell r="K120">
            <v>-24726</v>
          </cell>
          <cell r="L120">
            <v>-19165.909090909088</v>
          </cell>
          <cell r="M120">
            <v>-20698.02809599668</v>
          </cell>
          <cell r="N120">
            <v>-22240.185636745719</v>
          </cell>
          <cell r="O120">
            <v>-23798.846854214837</v>
          </cell>
          <cell r="P120">
            <v>-23798.846854214837</v>
          </cell>
          <cell r="Q120">
            <v>-29689.202152731454</v>
          </cell>
          <cell r="R120">
            <v>-35737.401818558938</v>
          </cell>
          <cell r="S120">
            <v>-41918.576405501466</v>
          </cell>
          <cell r="T120">
            <v>-48175.675397224571</v>
          </cell>
          <cell r="U120">
            <v>-54457.493975817699</v>
          </cell>
          <cell r="V120">
            <v>-60508.821882824894</v>
          </cell>
          <cell r="AX120" t="str">
            <v>mstag:accumulatedDepreciation</v>
          </cell>
          <cell r="AY120">
            <v>6</v>
          </cell>
          <cell r="AZ120" t="str">
            <v>ISO4217:USD</v>
          </cell>
          <cell r="BA120" t="b">
            <v>1</v>
          </cell>
          <cell r="BB120" t="b">
            <v>0</v>
          </cell>
        </row>
        <row r="121">
          <cell r="A121" t="str">
            <v xml:space="preserve">  Other current assets</v>
          </cell>
          <cell r="I121" t="str">
            <v>______</v>
          </cell>
          <cell r="J121" t="str">
            <v>______</v>
          </cell>
          <cell r="K121" t="str">
            <v>______</v>
          </cell>
          <cell r="L121" t="str">
            <v>______</v>
          </cell>
          <cell r="M121" t="str">
            <v>______</v>
          </cell>
          <cell r="N121" t="str">
            <v>______</v>
          </cell>
          <cell r="O121" t="str">
            <v>______</v>
          </cell>
          <cell r="P121" t="str">
            <v>______</v>
          </cell>
          <cell r="Q121" t="str">
            <v>______</v>
          </cell>
          <cell r="R121" t="str">
            <v>______</v>
          </cell>
          <cell r="S121" t="str">
            <v>______</v>
          </cell>
          <cell r="T121" t="str">
            <v>______</v>
          </cell>
          <cell r="U121" t="str">
            <v>______</v>
          </cell>
          <cell r="V121" t="str">
            <v>______</v>
          </cell>
          <cell r="AX121" t="str">
            <v>mstag:otherAssetsOperatingCurrent</v>
          </cell>
          <cell r="AY121">
            <v>6</v>
          </cell>
          <cell r="AZ121" t="str">
            <v>ISO4217:USD</v>
          </cell>
          <cell r="BA121" t="b">
            <v>0</v>
          </cell>
          <cell r="BB121" t="b">
            <v>0</v>
          </cell>
        </row>
        <row r="122">
          <cell r="A122" t="str">
            <v xml:space="preserve">  Net PP&amp;E</v>
          </cell>
          <cell r="B122" t="str">
            <v>1Q04</v>
          </cell>
          <cell r="C122" t="str">
            <v>2Q04</v>
          </cell>
          <cell r="D122" t="str">
            <v>3Q04</v>
          </cell>
          <cell r="E122" t="str">
            <v>4Q04</v>
          </cell>
          <cell r="F122">
            <v>2004</v>
          </cell>
          <cell r="G122" t="str">
            <v>1Q05</v>
          </cell>
          <cell r="H122" t="str">
            <v>2Q05</v>
          </cell>
          <cell r="I122">
            <v>30591</v>
          </cell>
          <cell r="J122">
            <v>31133</v>
          </cell>
          <cell r="K122">
            <v>31133</v>
          </cell>
          <cell r="L122">
            <v>23425</v>
          </cell>
          <cell r="M122">
            <v>23583.843239116777</v>
          </cell>
          <cell r="N122">
            <v>23714.521082579497</v>
          </cell>
          <cell r="O122">
            <v>24037.067716934729</v>
          </cell>
          <cell r="P122">
            <v>24037.067716934729</v>
          </cell>
          <cell r="Q122">
            <v>25121.185598585613</v>
          </cell>
          <cell r="R122">
            <v>25815.275067246206</v>
          </cell>
          <cell r="S122">
            <v>26039.701988300389</v>
          </cell>
          <cell r="T122">
            <v>25814.920670201122</v>
          </cell>
          <cell r="U122">
            <v>25503.108063969041</v>
          </cell>
          <cell r="V122">
            <v>25357.757934893889</v>
          </cell>
          <cell r="W122" t="str">
            <v>2009E</v>
          </cell>
          <cell r="X122" t="str">
            <v>2010E</v>
          </cell>
          <cell r="Y122" t="str">
            <v>2011E</v>
          </cell>
          <cell r="Z122" t="str">
            <v>2012E</v>
          </cell>
          <cell r="AA122" t="str">
            <v>2013E</v>
          </cell>
        </row>
        <row r="123">
          <cell r="A123" t="str">
            <v xml:space="preserve">  Total current assets</v>
          </cell>
          <cell r="I123">
            <v>17765</v>
          </cell>
          <cell r="J123">
            <v>19092</v>
          </cell>
          <cell r="K123">
            <v>19092</v>
          </cell>
          <cell r="L123">
            <v>15213</v>
          </cell>
          <cell r="M123">
            <v>12615</v>
          </cell>
          <cell r="N123">
            <v>12535.422891857381</v>
          </cell>
          <cell r="O123">
            <v>12830.995463744175</v>
          </cell>
          <cell r="P123">
            <v>12830.995463744172</v>
          </cell>
          <cell r="Q123">
            <v>16487.197070516137</v>
          </cell>
          <cell r="R123">
            <v>20777.017695788858</v>
          </cell>
          <cell r="S123">
            <v>25646.281900693015</v>
          </cell>
          <cell r="T123">
            <v>31055.473335612449</v>
          </cell>
          <cell r="U123">
            <v>36643.352351241927</v>
          </cell>
          <cell r="V123">
            <v>42410.768591652683</v>
          </cell>
        </row>
        <row r="124">
          <cell r="A124" t="str">
            <v>Goodwill</v>
          </cell>
          <cell r="I124">
            <v>21012</v>
          </cell>
          <cell r="J124">
            <v>21315</v>
          </cell>
          <cell r="K124">
            <v>21315</v>
          </cell>
          <cell r="L124">
            <v>23976</v>
          </cell>
          <cell r="M124">
            <v>23976</v>
          </cell>
          <cell r="N124">
            <v>23976</v>
          </cell>
          <cell r="O124">
            <v>23976</v>
          </cell>
          <cell r="P124">
            <v>23976</v>
          </cell>
          <cell r="Q124">
            <v>23976</v>
          </cell>
          <cell r="R124">
            <v>23976</v>
          </cell>
          <cell r="S124">
            <v>23976</v>
          </cell>
          <cell r="T124">
            <v>23976</v>
          </cell>
          <cell r="U124">
            <v>23976</v>
          </cell>
          <cell r="V124">
            <v>23976</v>
          </cell>
          <cell r="W124">
            <v>3252.5462346309914</v>
          </cell>
          <cell r="X124">
            <v>5274.4716737701001</v>
          </cell>
          <cell r="Y124">
            <v>9097.5524123927571</v>
          </cell>
          <cell r="Z124">
            <v>13860.842119487113</v>
          </cell>
          <cell r="AA124">
            <v>19718.933120113634</v>
          </cell>
          <cell r="BC124" t="str">
            <v>mstag:cashAndCashEquivalents</v>
          </cell>
          <cell r="BD124">
            <v>6</v>
          </cell>
          <cell r="BE124" t="str">
            <v>ISO4217:USD</v>
          </cell>
          <cell r="BF124" t="b">
            <v>0</v>
          </cell>
          <cell r="BG124" t="b">
            <v>0</v>
          </cell>
        </row>
        <row r="125">
          <cell r="A125" t="str">
            <v xml:space="preserve"> Other</v>
          </cell>
          <cell r="I125">
            <v>17754</v>
          </cell>
          <cell r="J125">
            <v>30388</v>
          </cell>
          <cell r="K125">
            <v>30388</v>
          </cell>
          <cell r="L125">
            <v>31393</v>
          </cell>
          <cell r="M125">
            <v>31393</v>
          </cell>
          <cell r="N125">
            <v>31393</v>
          </cell>
          <cell r="O125">
            <v>31393</v>
          </cell>
          <cell r="P125">
            <v>31393</v>
          </cell>
          <cell r="Q125">
            <v>31393</v>
          </cell>
          <cell r="R125">
            <v>31393</v>
          </cell>
          <cell r="S125">
            <v>31393</v>
          </cell>
          <cell r="T125">
            <v>31393</v>
          </cell>
          <cell r="U125">
            <v>31393</v>
          </cell>
          <cell r="V125">
            <v>31393</v>
          </cell>
          <cell r="W125">
            <v>0</v>
          </cell>
          <cell r="X125">
            <v>0</v>
          </cell>
          <cell r="Y125">
            <v>0</v>
          </cell>
          <cell r="Z125">
            <v>0</v>
          </cell>
          <cell r="AA125">
            <v>0</v>
          </cell>
          <cell r="AX125" t="str">
            <v>mstag:investmentsUnderTheEquityMethodOperating</v>
          </cell>
          <cell r="AY125">
            <v>6</v>
          </cell>
          <cell r="AZ125" t="str">
            <v>ISO4217:USD</v>
          </cell>
          <cell r="BA125" t="b">
            <v>0</v>
          </cell>
          <cell r="BB125" t="b">
            <v>0</v>
          </cell>
          <cell r="BC125" t="str">
            <v>mstag:otherAssetsOperatingCurrent</v>
          </cell>
          <cell r="BD125">
            <v>6</v>
          </cell>
          <cell r="BE125" t="str">
            <v>ISO4217:USD</v>
          </cell>
          <cell r="BF125" t="b">
            <v>0</v>
          </cell>
          <cell r="BG125" t="b">
            <v>0</v>
          </cell>
        </row>
        <row r="126">
          <cell r="A126" t="str">
            <v xml:space="preserve"> Accumulated amortization</v>
          </cell>
          <cell r="I126">
            <v>10721</v>
          </cell>
          <cell r="J126">
            <v>0</v>
          </cell>
          <cell r="K126">
            <v>0</v>
          </cell>
          <cell r="L126">
            <v>0</v>
          </cell>
          <cell r="M126">
            <v>0</v>
          </cell>
          <cell r="N126">
            <v>0</v>
          </cell>
          <cell r="O126">
            <v>0</v>
          </cell>
          <cell r="P126">
            <v>0</v>
          </cell>
          <cell r="Q126">
            <v>0</v>
          </cell>
          <cell r="R126">
            <v>0</v>
          </cell>
          <cell r="S126">
            <v>0</v>
          </cell>
          <cell r="T126">
            <v>0</v>
          </cell>
          <cell r="U126">
            <v>0</v>
          </cell>
          <cell r="V126">
            <v>0</v>
          </cell>
          <cell r="W126">
            <v>4518.4246443657867</v>
          </cell>
          <cell r="X126">
            <v>4623.2316503226712</v>
          </cell>
          <cell r="Y126">
            <v>4712.0341177559521</v>
          </cell>
          <cell r="Z126">
            <v>4786.5510300690657</v>
          </cell>
          <cell r="AA126">
            <v>4854.8532725375308</v>
          </cell>
          <cell r="BC126" t="str">
            <v>mstag:tradeReceivables</v>
          </cell>
          <cell r="BD126">
            <v>6</v>
          </cell>
          <cell r="BE126" t="str">
            <v>ISO4217:USD</v>
          </cell>
          <cell r="BF126" t="b">
            <v>0</v>
          </cell>
          <cell r="BG126" t="b">
            <v>0</v>
          </cell>
        </row>
        <row r="127">
          <cell r="A127" t="str">
            <v xml:space="preserve"> Gross PP&amp;E</v>
          </cell>
          <cell r="I127" t="str">
            <v>______</v>
          </cell>
          <cell r="J127" t="str">
            <v>______</v>
          </cell>
          <cell r="K127" t="str">
            <v>______</v>
          </cell>
          <cell r="L127" t="str">
            <v>______</v>
          </cell>
          <cell r="M127" t="str">
            <v>______</v>
          </cell>
          <cell r="N127" t="str">
            <v>______</v>
          </cell>
          <cell r="O127" t="str">
            <v>______</v>
          </cell>
          <cell r="P127" t="str">
            <v>______</v>
          </cell>
          <cell r="Q127" t="str">
            <v>______</v>
          </cell>
          <cell r="R127" t="str">
            <v>______</v>
          </cell>
          <cell r="S127" t="str">
            <v>______</v>
          </cell>
          <cell r="T127" t="str">
            <v>______</v>
          </cell>
          <cell r="U127" t="str">
            <v>______</v>
          </cell>
          <cell r="V127" t="str">
            <v>______</v>
          </cell>
          <cell r="W127">
            <v>1207.6922225345959</v>
          </cell>
          <cell r="X127">
            <v>1216.3570214745691</v>
          </cell>
          <cell r="Y127">
            <v>1218.8947121609674</v>
          </cell>
          <cell r="Z127">
            <v>1217.2781762369143</v>
          </cell>
          <cell r="AA127">
            <v>1211.6643015449527</v>
          </cell>
          <cell r="AX127" t="str">
            <v>mstag:propertyPlantAndEquipmentGross</v>
          </cell>
          <cell r="AY127">
            <v>6</v>
          </cell>
          <cell r="AZ127" t="str">
            <v>ISO4217:USD</v>
          </cell>
          <cell r="BA127" t="b">
            <v>0</v>
          </cell>
          <cell r="BB127" t="b">
            <v>0</v>
          </cell>
          <cell r="BC127" t="str">
            <v>mstag:inventories</v>
          </cell>
          <cell r="BD127">
            <v>6</v>
          </cell>
          <cell r="BE127" t="str">
            <v>ISO4217:USD</v>
          </cell>
          <cell r="BF127" t="b">
            <v>0</v>
          </cell>
          <cell r="BG127" t="b">
            <v>0</v>
          </cell>
        </row>
        <row r="128">
          <cell r="A128" t="str">
            <v xml:space="preserve"> Net intangible assets</v>
          </cell>
          <cell r="I128">
            <v>49487</v>
          </cell>
          <cell r="J128">
            <v>51703</v>
          </cell>
          <cell r="K128">
            <v>51703</v>
          </cell>
          <cell r="L128">
            <v>55369</v>
          </cell>
          <cell r="M128">
            <v>55369</v>
          </cell>
          <cell r="N128">
            <v>55369</v>
          </cell>
          <cell r="O128">
            <v>55369</v>
          </cell>
          <cell r="P128">
            <v>55369</v>
          </cell>
          <cell r="Q128">
            <v>55369</v>
          </cell>
          <cell r="R128">
            <v>55369</v>
          </cell>
          <cell r="S128">
            <v>55369</v>
          </cell>
          <cell r="T128">
            <v>55369</v>
          </cell>
          <cell r="U128">
            <v>55369</v>
          </cell>
          <cell r="V128">
            <v>55369</v>
          </cell>
          <cell r="W128">
            <v>517</v>
          </cell>
          <cell r="X128">
            <v>517</v>
          </cell>
          <cell r="Y128">
            <v>517</v>
          </cell>
          <cell r="Z128">
            <v>517</v>
          </cell>
          <cell r="AA128">
            <v>517</v>
          </cell>
          <cell r="AX128" t="str">
            <v>mstag:otherIntangibleAssets</v>
          </cell>
          <cell r="AY128">
            <v>6</v>
          </cell>
          <cell r="AZ128" t="str">
            <v>ISO4217:USD</v>
          </cell>
          <cell r="BA128" t="b">
            <v>0</v>
          </cell>
          <cell r="BB128" t="b">
            <v>0</v>
          </cell>
          <cell r="BC128" t="str">
            <v>mstag:deferredTaxAssetsCurrent</v>
          </cell>
          <cell r="BD128">
            <v>6</v>
          </cell>
          <cell r="BE128" t="str">
            <v>ISO4217:USD</v>
          </cell>
          <cell r="BF128" t="b">
            <v>0</v>
          </cell>
          <cell r="BG128" t="b">
            <v>0</v>
          </cell>
        </row>
        <row r="129">
          <cell r="A129" t="str">
            <v xml:space="preserve">  Other current assets</v>
          </cell>
          <cell r="I129" t="str">
            <v>______</v>
          </cell>
          <cell r="J129" t="str">
            <v>______</v>
          </cell>
          <cell r="K129" t="str">
            <v>______</v>
          </cell>
          <cell r="L129" t="str">
            <v>______</v>
          </cell>
          <cell r="M129" t="str">
            <v>______</v>
          </cell>
          <cell r="N129" t="str">
            <v>______</v>
          </cell>
          <cell r="O129" t="str">
            <v>______</v>
          </cell>
          <cell r="P129" t="str">
            <v>______</v>
          </cell>
          <cell r="Q129" t="str">
            <v>______</v>
          </cell>
          <cell r="R129" t="str">
            <v>______</v>
          </cell>
          <cell r="S129" t="str">
            <v>______</v>
          </cell>
          <cell r="T129" t="str">
            <v>______</v>
          </cell>
          <cell r="U129" t="str">
            <v>______</v>
          </cell>
          <cell r="V129" t="str">
            <v>______</v>
          </cell>
          <cell r="W129">
            <v>940.61053684909803</v>
          </cell>
          <cell r="X129">
            <v>967.50574964663417</v>
          </cell>
          <cell r="Y129">
            <v>990.04819713485665</v>
          </cell>
          <cell r="Z129">
            <v>1008.7327042233543</v>
          </cell>
          <cell r="AA129">
            <v>1025.7963898487994</v>
          </cell>
          <cell r="BC129" t="str">
            <v>mstag:otherAssetsOperatingCurrent</v>
          </cell>
          <cell r="BD129">
            <v>6</v>
          </cell>
          <cell r="BE129" t="str">
            <v>ISO4217:USD</v>
          </cell>
          <cell r="BF129" t="b">
            <v>0</v>
          </cell>
          <cell r="BG129" t="b">
            <v>0</v>
          </cell>
        </row>
        <row r="130">
          <cell r="A130" t="str">
            <v xml:space="preserve"> Other</v>
          </cell>
          <cell r="I130">
            <v>3472</v>
          </cell>
          <cell r="J130">
            <v>652</v>
          </cell>
          <cell r="K130">
            <v>652</v>
          </cell>
          <cell r="L130">
            <v>608</v>
          </cell>
          <cell r="M130">
            <v>608</v>
          </cell>
          <cell r="N130">
            <v>608</v>
          </cell>
          <cell r="O130">
            <v>608</v>
          </cell>
          <cell r="P130">
            <v>608</v>
          </cell>
          <cell r="Q130">
            <v>608</v>
          </cell>
          <cell r="R130">
            <v>608</v>
          </cell>
          <cell r="S130">
            <v>608</v>
          </cell>
          <cell r="T130">
            <v>608</v>
          </cell>
          <cell r="U130">
            <v>608</v>
          </cell>
          <cell r="V130">
            <v>608</v>
          </cell>
          <cell r="W130" t="str">
            <v>______</v>
          </cell>
          <cell r="X130" t="str">
            <v>______</v>
          </cell>
          <cell r="Y130" t="str">
            <v>______</v>
          </cell>
          <cell r="Z130" t="str">
            <v>______</v>
          </cell>
          <cell r="AA130" t="str">
            <v>______</v>
          </cell>
          <cell r="AX130" t="str">
            <v>mstag:otherAssetsOperatingNonCurrent</v>
          </cell>
          <cell r="AY130">
            <v>6</v>
          </cell>
          <cell r="AZ130" t="str">
            <v>ISO4217:USD</v>
          </cell>
          <cell r="BA130" t="b">
            <v>0</v>
          </cell>
          <cell r="BB130" t="b">
            <v>0</v>
          </cell>
        </row>
        <row r="131">
          <cell r="A131" t="str">
            <v xml:space="preserve"> Prepaid Pension Credit</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10436.273638380473</v>
          </cell>
          <cell r="X131">
            <v>12598.566095213973</v>
          </cell>
          <cell r="Y131">
            <v>16535.529439444534</v>
          </cell>
          <cell r="Z131">
            <v>21390.404030016449</v>
          </cell>
          <cell r="AA131">
            <v>27328.247084044913</v>
          </cell>
          <cell r="AX131" t="str">
            <v>mstag:pensionAndOtherPostRetirementAssets</v>
          </cell>
          <cell r="AY131">
            <v>6</v>
          </cell>
          <cell r="AZ131" t="str">
            <v>ISO4217:USD</v>
          </cell>
          <cell r="BA131" t="b">
            <v>0</v>
          </cell>
          <cell r="BB131" t="b">
            <v>0</v>
          </cell>
        </row>
        <row r="132">
          <cell r="A132" t="str">
            <v>Goodwill</v>
          </cell>
          <cell r="I132" t="str">
            <v>______</v>
          </cell>
          <cell r="J132" t="str">
            <v>______</v>
          </cell>
          <cell r="K132" t="str">
            <v>______</v>
          </cell>
          <cell r="L132" t="str">
            <v>______</v>
          </cell>
          <cell r="M132" t="str">
            <v>______</v>
          </cell>
          <cell r="N132" t="str">
            <v>______</v>
          </cell>
          <cell r="O132" t="str">
            <v>______</v>
          </cell>
          <cell r="P132" t="str">
            <v>______</v>
          </cell>
          <cell r="Q132" t="str">
            <v>______</v>
          </cell>
          <cell r="R132" t="str">
            <v>______</v>
          </cell>
          <cell r="S132" t="str">
            <v>______</v>
          </cell>
          <cell r="T132" t="str">
            <v>______</v>
          </cell>
          <cell r="U132" t="str">
            <v>______</v>
          </cell>
          <cell r="V132" t="str">
            <v>______</v>
          </cell>
          <cell r="AX132" t="str">
            <v>mstag:grossGoodwill</v>
          </cell>
          <cell r="AY132">
            <v>6</v>
          </cell>
          <cell r="AZ132" t="str">
            <v>ISO4217:USD</v>
          </cell>
          <cell r="BA132" t="b">
            <v>0</v>
          </cell>
          <cell r="BB132" t="b">
            <v>0</v>
          </cell>
        </row>
        <row r="133">
          <cell r="A133" t="str">
            <v>Total Assets</v>
          </cell>
          <cell r="I133">
            <v>101315</v>
          </cell>
          <cell r="J133">
            <v>102580</v>
          </cell>
          <cell r="K133">
            <v>102580</v>
          </cell>
          <cell r="L133">
            <v>96847</v>
          </cell>
          <cell r="M133">
            <v>97640.32046887702</v>
          </cell>
          <cell r="N133">
            <v>98492.604660005818</v>
          </cell>
          <cell r="O133">
            <v>99382.16052557806</v>
          </cell>
          <cell r="P133">
            <v>99382.16052557806</v>
          </cell>
          <cell r="Q133">
            <v>103646.49210444253</v>
          </cell>
          <cell r="R133">
            <v>108517.69324077666</v>
          </cell>
          <cell r="S133">
            <v>113584.08806376767</v>
          </cell>
          <cell r="T133">
            <v>118780.49607269687</v>
          </cell>
          <cell r="U133">
            <v>124108.51846211081</v>
          </cell>
          <cell r="V133">
            <v>129689.59398126465</v>
          </cell>
          <cell r="W133">
            <v>183</v>
          </cell>
          <cell r="X133">
            <v>183</v>
          </cell>
          <cell r="Y133">
            <v>183</v>
          </cell>
          <cell r="Z133">
            <v>183</v>
          </cell>
          <cell r="AA133">
            <v>183</v>
          </cell>
          <cell r="AX133" t="str">
            <v>mstag:otherIndefiniteLifeIntangibleAssets</v>
          </cell>
          <cell r="AY133">
            <v>6</v>
          </cell>
          <cell r="AZ133" t="str">
            <v>ISO4217:USD</v>
          </cell>
          <cell r="BA133" t="b">
            <v>0</v>
          </cell>
          <cell r="BB133" t="b">
            <v>0</v>
          </cell>
          <cell r="BC133" t="str">
            <v>mstag:investmentsUnderTheEquityMethodOperating</v>
          </cell>
          <cell r="BD133">
            <v>6</v>
          </cell>
          <cell r="BE133" t="str">
            <v>ISO4217:USD</v>
          </cell>
          <cell r="BF133" t="b">
            <v>0</v>
          </cell>
          <cell r="BG133" t="b">
            <v>0</v>
          </cell>
        </row>
        <row r="134">
          <cell r="A134" t="str">
            <v xml:space="preserve"> Other Intangibles</v>
          </cell>
          <cell r="I134">
            <v>10721</v>
          </cell>
          <cell r="J134">
            <v>9996</v>
          </cell>
          <cell r="K134">
            <v>9996</v>
          </cell>
          <cell r="L134">
            <v>10652</v>
          </cell>
          <cell r="M134">
            <v>11208</v>
          </cell>
          <cell r="N134">
            <v>11208</v>
          </cell>
          <cell r="O134">
            <v>11208</v>
          </cell>
          <cell r="P134">
            <v>11208</v>
          </cell>
          <cell r="Q134">
            <v>11208</v>
          </cell>
          <cell r="R134">
            <v>11208</v>
          </cell>
          <cell r="S134">
            <v>11208</v>
          </cell>
          <cell r="T134">
            <v>11208</v>
          </cell>
          <cell r="U134">
            <v>11208</v>
          </cell>
          <cell r="V134">
            <v>11208</v>
          </cell>
          <cell r="AX134" t="str">
            <v>mstag:otherIndefiniteLifeIntangibleAssets</v>
          </cell>
          <cell r="AY134">
            <v>6</v>
          </cell>
          <cell r="AZ134" t="str">
            <v>ISO4217:USD</v>
          </cell>
          <cell r="BA134" t="b">
            <v>0</v>
          </cell>
          <cell r="BB134" t="b">
            <v>0</v>
          </cell>
        </row>
        <row r="135">
          <cell r="A135" t="str">
            <v>LIABILITIES &amp; SHRLDRS. EQUITY</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v>65131.690195897616</v>
          </cell>
          <cell r="X135">
            <v>72550.566048455483</v>
          </cell>
          <cell r="Y135">
            <v>78858.926075692667</v>
          </cell>
          <cell r="Z135">
            <v>85171.016159854116</v>
          </cell>
          <cell r="AA135">
            <v>91570.150985548622</v>
          </cell>
          <cell r="BC135" t="str">
            <v>mstag:propertyPlantAndEquipmentGross</v>
          </cell>
          <cell r="BD135">
            <v>6</v>
          </cell>
          <cell r="BE135" t="str">
            <v>ISO4217:USD</v>
          </cell>
          <cell r="BF135" t="b">
            <v>0</v>
          </cell>
          <cell r="BG135" t="b">
            <v>0</v>
          </cell>
        </row>
        <row r="136">
          <cell r="A136" t="str">
            <v>Current debt</v>
          </cell>
          <cell r="I136">
            <v>1760</v>
          </cell>
          <cell r="J136">
            <v>5047</v>
          </cell>
          <cell r="K136">
            <v>5047</v>
          </cell>
          <cell r="L136">
            <v>2570</v>
          </cell>
          <cell r="M136">
            <v>2570</v>
          </cell>
          <cell r="N136">
            <v>2570</v>
          </cell>
          <cell r="O136">
            <v>2570</v>
          </cell>
          <cell r="P136">
            <v>2570</v>
          </cell>
          <cell r="Q136">
            <v>2570</v>
          </cell>
          <cell r="R136">
            <v>2570</v>
          </cell>
          <cell r="S136">
            <v>2570</v>
          </cell>
          <cell r="T136">
            <v>2570</v>
          </cell>
          <cell r="U136">
            <v>2570</v>
          </cell>
          <cell r="V136">
            <v>2570</v>
          </cell>
          <cell r="W136">
            <v>-39864.987993892908</v>
          </cell>
          <cell r="X136">
            <v>-47267.145458700114</v>
          </cell>
          <cell r="Y136">
            <v>-54623.911006082832</v>
          </cell>
          <cell r="Z136">
            <v>-62165.94052879815</v>
          </cell>
          <cell r="AA136">
            <v>-70647.844598288459</v>
          </cell>
          <cell r="AX136" t="str">
            <v>mstag:shortTermBorrowings</v>
          </cell>
          <cell r="AY136">
            <v>6</v>
          </cell>
          <cell r="AZ136" t="str">
            <v>ISO4217:USD</v>
          </cell>
          <cell r="BA136" t="b">
            <v>0</v>
          </cell>
          <cell r="BB136" t="b">
            <v>0</v>
          </cell>
          <cell r="BC136" t="str">
            <v>mstag:accumulatedDepreciation</v>
          </cell>
          <cell r="BD136">
            <v>6</v>
          </cell>
          <cell r="BE136" t="str">
            <v>ISO4217:USD</v>
          </cell>
          <cell r="BF136" t="b">
            <v>1</v>
          </cell>
          <cell r="BG136" t="b">
            <v>0</v>
          </cell>
        </row>
        <row r="137">
          <cell r="A137" t="str">
            <v>Accounts payable</v>
          </cell>
          <cell r="I137">
            <v>2765</v>
          </cell>
          <cell r="J137">
            <v>3827</v>
          </cell>
          <cell r="K137">
            <v>3827</v>
          </cell>
          <cell r="L137">
            <v>0</v>
          </cell>
          <cell r="M137">
            <v>2684.2498257564771</v>
          </cell>
          <cell r="N137">
            <v>2626.6427774261692</v>
          </cell>
          <cell r="O137">
            <v>2690.2095123360946</v>
          </cell>
          <cell r="P137">
            <v>2690.2095123360946</v>
          </cell>
          <cell r="Q137">
            <v>2631.9493059491124</v>
          </cell>
          <cell r="R137">
            <v>2601.9752820129306</v>
          </cell>
          <cell r="S137">
            <v>2571.622121214908</v>
          </cell>
          <cell r="T137">
            <v>2526.5576595832467</v>
          </cell>
          <cell r="U137">
            <v>2482.5346823200721</v>
          </cell>
          <cell r="V137">
            <v>2439.2773671667828</v>
          </cell>
          <cell r="W137" t="str">
            <v>______</v>
          </cell>
          <cell r="X137" t="str">
            <v>______</v>
          </cell>
          <cell r="Y137" t="str">
            <v>______</v>
          </cell>
          <cell r="Z137" t="str">
            <v>______</v>
          </cell>
          <cell r="AA137" t="str">
            <v>______</v>
          </cell>
          <cell r="AX137" t="str">
            <v>mstag:tradeAndOtherPayables</v>
          </cell>
          <cell r="AY137">
            <v>6</v>
          </cell>
          <cell r="AZ137" t="str">
            <v>ISO4217:USD</v>
          </cell>
          <cell r="BA137" t="b">
            <v>0</v>
          </cell>
          <cell r="BB137" t="b">
            <v>0</v>
          </cell>
        </row>
        <row r="138">
          <cell r="A138" t="str">
            <v>Accrued expenses</v>
          </cell>
          <cell r="I138">
            <v>3736</v>
          </cell>
          <cell r="J138">
            <v>5176</v>
          </cell>
          <cell r="K138">
            <v>5176</v>
          </cell>
          <cell r="L138">
            <v>0</v>
          </cell>
          <cell r="M138">
            <v>0</v>
          </cell>
          <cell r="N138">
            <v>0</v>
          </cell>
          <cell r="O138">
            <v>0</v>
          </cell>
          <cell r="P138">
            <v>0</v>
          </cell>
          <cell r="Q138">
            <v>0</v>
          </cell>
          <cell r="R138">
            <v>0</v>
          </cell>
          <cell r="S138">
            <v>0</v>
          </cell>
          <cell r="T138">
            <v>0</v>
          </cell>
          <cell r="U138">
            <v>0</v>
          </cell>
          <cell r="V138">
            <v>0</v>
          </cell>
          <cell r="W138">
            <v>25266.702202004708</v>
          </cell>
          <cell r="X138">
            <v>25283.420589755369</v>
          </cell>
          <cell r="Y138">
            <v>24235.015069609835</v>
          </cell>
          <cell r="Z138">
            <v>23005.075631055966</v>
          </cell>
          <cell r="AA138">
            <v>20922.306387260163</v>
          </cell>
          <cell r="AX138" t="str">
            <v>mstag:accruedExpenses</v>
          </cell>
          <cell r="AY138">
            <v>6</v>
          </cell>
          <cell r="AZ138" t="str">
            <v>ISO4217:USD</v>
          </cell>
          <cell r="BA138" t="b">
            <v>0</v>
          </cell>
          <cell r="BB138" t="b">
            <v>0</v>
          </cell>
        </row>
        <row r="139">
          <cell r="A139" t="str">
            <v>Other</v>
          </cell>
          <cell r="I139">
            <v>1725</v>
          </cell>
          <cell r="J139">
            <v>0</v>
          </cell>
          <cell r="K139">
            <v>0</v>
          </cell>
          <cell r="L139">
            <v>7577</v>
          </cell>
          <cell r="M139">
            <v>7577</v>
          </cell>
          <cell r="N139">
            <v>7577</v>
          </cell>
          <cell r="O139">
            <v>7577</v>
          </cell>
          <cell r="P139">
            <v>7577</v>
          </cell>
          <cell r="Q139">
            <v>7577</v>
          </cell>
          <cell r="R139">
            <v>7577</v>
          </cell>
          <cell r="S139">
            <v>7577</v>
          </cell>
          <cell r="T139">
            <v>7577</v>
          </cell>
          <cell r="U139">
            <v>7577</v>
          </cell>
          <cell r="V139">
            <v>7577</v>
          </cell>
          <cell r="AX139" t="str">
            <v>mstag:otherLiabilitiesOperatingCurrent</v>
          </cell>
          <cell r="AY139">
            <v>6</v>
          </cell>
          <cell r="AZ139" t="str">
            <v>ISO4217:USD</v>
          </cell>
          <cell r="BA139" t="b">
            <v>0</v>
          </cell>
          <cell r="BB139" t="b">
            <v>0</v>
          </cell>
        </row>
        <row r="140">
          <cell r="A140" t="str">
            <v>Goodwill</v>
          </cell>
          <cell r="I140" t="str">
            <v>______</v>
          </cell>
          <cell r="J140" t="str">
            <v>______</v>
          </cell>
          <cell r="K140" t="str">
            <v>______</v>
          </cell>
          <cell r="L140" t="str">
            <v>______</v>
          </cell>
          <cell r="M140" t="str">
            <v>______</v>
          </cell>
          <cell r="N140" t="str">
            <v>______</v>
          </cell>
          <cell r="O140" t="str">
            <v>______</v>
          </cell>
          <cell r="P140" t="str">
            <v>______</v>
          </cell>
          <cell r="Q140" t="str">
            <v>______</v>
          </cell>
          <cell r="R140" t="str">
            <v>______</v>
          </cell>
          <cell r="S140" t="str">
            <v>______</v>
          </cell>
          <cell r="T140" t="str">
            <v>______</v>
          </cell>
          <cell r="U140" t="str">
            <v>______</v>
          </cell>
          <cell r="V140" t="str">
            <v>______</v>
          </cell>
          <cell r="W140">
            <v>30607</v>
          </cell>
          <cell r="X140">
            <v>30607</v>
          </cell>
          <cell r="Y140">
            <v>30607</v>
          </cell>
          <cell r="Z140">
            <v>30607</v>
          </cell>
          <cell r="AA140">
            <v>30607</v>
          </cell>
          <cell r="BC140" t="str">
            <v>mstag:grossGoodwill</v>
          </cell>
          <cell r="BD140">
            <v>6</v>
          </cell>
          <cell r="BE140" t="str">
            <v>ISO4217:USD</v>
          </cell>
          <cell r="BF140" t="b">
            <v>0</v>
          </cell>
          <cell r="BG140" t="b">
            <v>0</v>
          </cell>
        </row>
        <row r="141">
          <cell r="A141" t="str">
            <v xml:space="preserve">  Total current liabilities</v>
          </cell>
          <cell r="I141">
            <v>9986</v>
          </cell>
          <cell r="J141">
            <v>14050</v>
          </cell>
          <cell r="K141">
            <v>14050</v>
          </cell>
          <cell r="L141">
            <v>10147</v>
          </cell>
          <cell r="M141">
            <v>12831.249825756477</v>
          </cell>
          <cell r="N141">
            <v>12773.642777426168</v>
          </cell>
          <cell r="O141">
            <v>12837.209512336094</v>
          </cell>
          <cell r="P141">
            <v>12837.209512336094</v>
          </cell>
          <cell r="Q141">
            <v>12778.949305949112</v>
          </cell>
          <cell r="R141">
            <v>12748.975282012931</v>
          </cell>
          <cell r="S141">
            <v>12718.622121214908</v>
          </cell>
          <cell r="T141">
            <v>12673.557659583246</v>
          </cell>
          <cell r="U141">
            <v>12629.534682320073</v>
          </cell>
          <cell r="V141">
            <v>12586.277367166782</v>
          </cell>
          <cell r="W141">
            <v>20512</v>
          </cell>
          <cell r="X141">
            <v>20512</v>
          </cell>
          <cell r="Y141">
            <v>20512</v>
          </cell>
          <cell r="Z141">
            <v>20512</v>
          </cell>
          <cell r="AA141">
            <v>20512</v>
          </cell>
          <cell r="BC141" t="str">
            <v>mstag:otherIndefiniteLifeIntangibleAssets</v>
          </cell>
          <cell r="BD141">
            <v>6</v>
          </cell>
          <cell r="BE141" t="str">
            <v>ISO4217:USD</v>
          </cell>
          <cell r="BF141" t="b">
            <v>0</v>
          </cell>
          <cell r="BG141" t="b">
            <v>0</v>
          </cell>
        </row>
        <row r="142">
          <cell r="A142" t="str">
            <v xml:space="preserve"> Other Intangibles</v>
          </cell>
          <cell r="I142">
            <v>10721</v>
          </cell>
          <cell r="J142">
            <v>9996</v>
          </cell>
          <cell r="K142">
            <v>9996</v>
          </cell>
          <cell r="L142">
            <v>10652</v>
          </cell>
          <cell r="M142">
            <v>11208</v>
          </cell>
          <cell r="N142">
            <v>10507</v>
          </cell>
          <cell r="O142">
            <v>9634</v>
          </cell>
          <cell r="P142">
            <v>9634</v>
          </cell>
          <cell r="Q142">
            <v>8264</v>
          </cell>
          <cell r="R142">
            <v>7362</v>
          </cell>
          <cell r="S142">
            <v>7362</v>
          </cell>
          <cell r="T142">
            <v>7362</v>
          </cell>
          <cell r="U142">
            <v>7362</v>
          </cell>
          <cell r="V142">
            <v>7362</v>
          </cell>
          <cell r="W142">
            <v>7362</v>
          </cell>
          <cell r="X142">
            <v>7362</v>
          </cell>
          <cell r="Y142">
            <v>7362</v>
          </cell>
          <cell r="Z142">
            <v>7362</v>
          </cell>
          <cell r="AA142">
            <v>7362</v>
          </cell>
          <cell r="AX142" t="str">
            <v>mstag:liabilitiesOfDiscontinuedOperations</v>
          </cell>
          <cell r="AY142">
            <v>6</v>
          </cell>
          <cell r="AZ142" t="str">
            <v>ISO4217:USD</v>
          </cell>
          <cell r="BA142" t="b">
            <v>0</v>
          </cell>
          <cell r="BB142" t="b">
            <v>0</v>
          </cell>
          <cell r="BC142" t="str">
            <v>mstag:otherIndefiniteLifeIntangibleAssets</v>
          </cell>
          <cell r="BD142">
            <v>6</v>
          </cell>
          <cell r="BE142" t="str">
            <v>ISO4217:USD</v>
          </cell>
          <cell r="BF142" t="b">
            <v>0</v>
          </cell>
          <cell r="BG142" t="b">
            <v>0</v>
          </cell>
        </row>
        <row r="143">
          <cell r="A143" t="str">
            <v>Long-Term Debt</v>
          </cell>
          <cell r="I143">
            <v>23538</v>
          </cell>
          <cell r="J143">
            <v>20632</v>
          </cell>
          <cell r="K143">
            <v>20632</v>
          </cell>
          <cell r="L143">
            <v>19515</v>
          </cell>
          <cell r="M143">
            <v>19515</v>
          </cell>
          <cell r="N143">
            <v>19515</v>
          </cell>
          <cell r="O143">
            <v>19515</v>
          </cell>
          <cell r="P143">
            <v>19515</v>
          </cell>
          <cell r="Q143">
            <v>19515</v>
          </cell>
          <cell r="R143">
            <v>19515</v>
          </cell>
          <cell r="S143">
            <v>19515</v>
          </cell>
          <cell r="T143">
            <v>19515</v>
          </cell>
          <cell r="U143">
            <v>19515</v>
          </cell>
          <cell r="V143">
            <v>19515</v>
          </cell>
          <cell r="W143" t="str">
            <v>______</v>
          </cell>
          <cell r="X143" t="str">
            <v>______</v>
          </cell>
          <cell r="Y143" t="str">
            <v>______</v>
          </cell>
          <cell r="Z143" t="str">
            <v>______</v>
          </cell>
          <cell r="AA143" t="str">
            <v>______</v>
          </cell>
          <cell r="AX143" t="str">
            <v>mstag:longTermDebt</v>
          </cell>
          <cell r="AY143">
            <v>6</v>
          </cell>
          <cell r="AZ143" t="str">
            <v>ISO4217:USD</v>
          </cell>
          <cell r="BA143" t="b">
            <v>0</v>
          </cell>
          <cell r="BB143" t="b">
            <v>0</v>
          </cell>
        </row>
        <row r="144">
          <cell r="A144" t="str">
            <v>Current debt</v>
          </cell>
          <cell r="I144">
            <v>1760</v>
          </cell>
          <cell r="J144">
            <v>5047</v>
          </cell>
          <cell r="K144">
            <v>5047</v>
          </cell>
          <cell r="L144">
            <v>5772</v>
          </cell>
          <cell r="M144">
            <v>3186</v>
          </cell>
          <cell r="N144">
            <v>3186</v>
          </cell>
          <cell r="O144">
            <v>3186</v>
          </cell>
          <cell r="P144">
            <v>3186</v>
          </cell>
          <cell r="Q144">
            <v>3186</v>
          </cell>
          <cell r="R144">
            <v>3186</v>
          </cell>
          <cell r="S144">
            <v>3186</v>
          </cell>
          <cell r="T144">
            <v>3186</v>
          </cell>
          <cell r="U144">
            <v>3186</v>
          </cell>
          <cell r="V144">
            <v>3186</v>
          </cell>
          <cell r="W144">
            <v>58481</v>
          </cell>
          <cell r="X144">
            <v>58481</v>
          </cell>
          <cell r="Y144">
            <v>58481</v>
          </cell>
          <cell r="Z144">
            <v>58481</v>
          </cell>
          <cell r="AA144">
            <v>58481</v>
          </cell>
          <cell r="AX144" t="str">
            <v>mstag:shortTermBorrowings</v>
          </cell>
          <cell r="AY144">
            <v>6</v>
          </cell>
          <cell r="AZ144" t="str">
            <v>ISO4217:USD</v>
          </cell>
          <cell r="BA144" t="b">
            <v>0</v>
          </cell>
          <cell r="BB144" t="b">
            <v>0</v>
          </cell>
        </row>
        <row r="145">
          <cell r="A145" t="str">
            <v>Equity unit notes</v>
          </cell>
          <cell r="I145">
            <v>2765</v>
          </cell>
          <cell r="J145">
            <v>3827</v>
          </cell>
          <cell r="K145">
            <v>3827</v>
          </cell>
          <cell r="L145">
            <v>3275</v>
          </cell>
          <cell r="M145">
            <v>2985</v>
          </cell>
          <cell r="N145">
            <v>2673.8590726121975</v>
          </cell>
          <cell r="O145">
            <v>2796.6006088683307</v>
          </cell>
          <cell r="P145">
            <v>2796.6006088683307</v>
          </cell>
          <cell r="Q145">
            <v>2764.9422317167978</v>
          </cell>
          <cell r="R145">
            <v>2782.3967150637195</v>
          </cell>
          <cell r="S145">
            <v>2787.8932046628056</v>
          </cell>
          <cell r="T145">
            <v>2780.2054951134292</v>
          </cell>
          <cell r="U145">
            <v>2762.4739383790293</v>
          </cell>
          <cell r="V145">
            <v>2737.7580717771375</v>
          </cell>
          <cell r="AX145" t="str">
            <v>mstag:otherLiabilitiesNonOperatingNonCurrent</v>
          </cell>
          <cell r="AY145">
            <v>6</v>
          </cell>
          <cell r="AZ145" t="str">
            <v>ISO4217:USD</v>
          </cell>
          <cell r="BA145" t="b">
            <v>0</v>
          </cell>
          <cell r="BB145" t="b">
            <v>0</v>
          </cell>
        </row>
        <row r="146">
          <cell r="A146" t="str">
            <v>Deferred income taxes</v>
          </cell>
          <cell r="I146">
            <v>12050</v>
          </cell>
          <cell r="J146">
            <v>11687</v>
          </cell>
          <cell r="K146">
            <v>11687</v>
          </cell>
          <cell r="L146">
            <v>10658</v>
          </cell>
          <cell r="M146">
            <v>10658</v>
          </cell>
          <cell r="N146">
            <v>10658</v>
          </cell>
          <cell r="O146">
            <v>10658</v>
          </cell>
          <cell r="P146">
            <v>10658</v>
          </cell>
          <cell r="Q146">
            <v>10658</v>
          </cell>
          <cell r="R146">
            <v>10658</v>
          </cell>
          <cell r="S146">
            <v>10658</v>
          </cell>
          <cell r="T146">
            <v>10658</v>
          </cell>
          <cell r="U146">
            <v>10658</v>
          </cell>
          <cell r="V146">
            <v>10658</v>
          </cell>
          <cell r="W146">
            <v>655</v>
          </cell>
          <cell r="X146">
            <v>655</v>
          </cell>
          <cell r="Y146">
            <v>655</v>
          </cell>
          <cell r="Z146">
            <v>655</v>
          </cell>
          <cell r="AA146">
            <v>655</v>
          </cell>
          <cell r="AX146" t="str">
            <v>mstag:deferredTaxLiabilitiesNonCurrent</v>
          </cell>
          <cell r="AY146">
            <v>6</v>
          </cell>
          <cell r="AZ146" t="str">
            <v>ISO4217:USD</v>
          </cell>
          <cell r="BA146" t="b">
            <v>0</v>
          </cell>
          <cell r="BB146" t="b">
            <v>0</v>
          </cell>
          <cell r="BC146" t="str">
            <v>mstag:otherAssetsOperatingNonCurrent</v>
          </cell>
          <cell r="BD146">
            <v>6</v>
          </cell>
          <cell r="BE146" t="str">
            <v>ISO4217:USD</v>
          </cell>
          <cell r="BF146" t="b">
            <v>0</v>
          </cell>
          <cell r="BG146" t="b">
            <v>0</v>
          </cell>
        </row>
        <row r="147">
          <cell r="A147" t="str">
            <v>Retirement &amp; benefit oblig</v>
          </cell>
          <cell r="I147">
            <v>1265</v>
          </cell>
          <cell r="J147">
            <v>1385</v>
          </cell>
          <cell r="K147">
            <v>1385</v>
          </cell>
          <cell r="L147">
            <v>484</v>
          </cell>
          <cell r="M147">
            <v>484</v>
          </cell>
          <cell r="N147">
            <v>484</v>
          </cell>
          <cell r="O147">
            <v>484</v>
          </cell>
          <cell r="P147">
            <v>484</v>
          </cell>
          <cell r="Q147">
            <v>484</v>
          </cell>
          <cell r="R147">
            <v>484</v>
          </cell>
          <cell r="S147">
            <v>484</v>
          </cell>
          <cell r="T147">
            <v>484</v>
          </cell>
          <cell r="U147">
            <v>484</v>
          </cell>
          <cell r="V147">
            <v>484</v>
          </cell>
          <cell r="W147">
            <v>0</v>
          </cell>
          <cell r="X147">
            <v>0</v>
          </cell>
          <cell r="Y147">
            <v>0</v>
          </cell>
          <cell r="Z147">
            <v>0</v>
          </cell>
          <cell r="AA147">
            <v>0</v>
          </cell>
          <cell r="AX147" t="str">
            <v>mstag:pensionAndOtherPostRetirementObligations</v>
          </cell>
          <cell r="AY147">
            <v>6</v>
          </cell>
          <cell r="AZ147" t="str">
            <v>ISO4217:USD</v>
          </cell>
          <cell r="BA147" t="b">
            <v>0</v>
          </cell>
          <cell r="BB147" t="b">
            <v>0</v>
          </cell>
          <cell r="BC147" t="str">
            <v>mstag:pensionAndOtherPostRetirementAssets</v>
          </cell>
          <cell r="BD147">
            <v>6</v>
          </cell>
          <cell r="BE147" t="str">
            <v>ISO4217:USD</v>
          </cell>
          <cell r="BF147" t="b">
            <v>0</v>
          </cell>
          <cell r="BG147" t="b">
            <v>0</v>
          </cell>
        </row>
        <row r="148">
          <cell r="A148" t="str">
            <v>Other</v>
          </cell>
          <cell r="I148">
            <v>2697</v>
          </cell>
          <cell r="J148">
            <v>2642</v>
          </cell>
          <cell r="K148">
            <v>2642</v>
          </cell>
          <cell r="L148">
            <v>2517</v>
          </cell>
          <cell r="M148">
            <v>2517</v>
          </cell>
          <cell r="N148">
            <v>2517</v>
          </cell>
          <cell r="O148">
            <v>2517</v>
          </cell>
          <cell r="P148">
            <v>2517</v>
          </cell>
          <cell r="Q148">
            <v>2517</v>
          </cell>
          <cell r="R148">
            <v>2517</v>
          </cell>
          <cell r="S148">
            <v>2517</v>
          </cell>
          <cell r="T148">
            <v>2517</v>
          </cell>
          <cell r="U148">
            <v>2517</v>
          </cell>
          <cell r="V148">
            <v>2517</v>
          </cell>
          <cell r="W148" t="str">
            <v>______</v>
          </cell>
          <cell r="X148" t="str">
            <v>______</v>
          </cell>
          <cell r="Y148" t="str">
            <v>______</v>
          </cell>
          <cell r="Z148" t="str">
            <v>______</v>
          </cell>
          <cell r="AA148" t="str">
            <v>______</v>
          </cell>
          <cell r="AX148" t="str">
            <v>mstag:otherLiabilitiesOperatingNonCurrent</v>
          </cell>
          <cell r="AY148">
            <v>6</v>
          </cell>
          <cell r="AZ148" t="str">
            <v>ISO4217:USD</v>
          </cell>
          <cell r="BA148" t="b">
            <v>0</v>
          </cell>
          <cell r="BB148" t="b">
            <v>0</v>
          </cell>
        </row>
        <row r="149">
          <cell r="A149" t="str">
            <v xml:space="preserve">  Total current liabilities</v>
          </cell>
          <cell r="I149" t="str">
            <v>______</v>
          </cell>
          <cell r="J149" t="str">
            <v>______</v>
          </cell>
          <cell r="K149" t="str">
            <v>______</v>
          </cell>
          <cell r="L149" t="str">
            <v>______</v>
          </cell>
          <cell r="M149" t="str">
            <v>______</v>
          </cell>
          <cell r="N149" t="str">
            <v>______</v>
          </cell>
          <cell r="O149" t="str">
            <v>______</v>
          </cell>
          <cell r="P149" t="str">
            <v>______</v>
          </cell>
          <cell r="Q149" t="str">
            <v>______</v>
          </cell>
          <cell r="R149" t="str">
            <v>______</v>
          </cell>
          <cell r="S149" t="str">
            <v>______</v>
          </cell>
          <cell r="T149" t="str">
            <v>______</v>
          </cell>
          <cell r="U149" t="str">
            <v>______</v>
          </cell>
          <cell r="V149" t="str">
            <v>______</v>
          </cell>
          <cell r="W149">
            <v>95021.975840385188</v>
          </cell>
          <cell r="X149">
            <v>97200.986684969335</v>
          </cell>
          <cell r="Y149">
            <v>100089.54450905437</v>
          </cell>
          <cell r="Z149">
            <v>103714.47966107242</v>
          </cell>
          <cell r="AA149">
            <v>107569.55347130507</v>
          </cell>
        </row>
        <row r="150">
          <cell r="A150" t="str">
            <v>Total Liabilities</v>
          </cell>
          <cell r="I150">
            <v>49536</v>
          </cell>
          <cell r="J150">
            <v>50396</v>
          </cell>
          <cell r="K150">
            <v>50396</v>
          </cell>
          <cell r="L150">
            <v>43321</v>
          </cell>
          <cell r="M150">
            <v>46005.249825756473</v>
          </cell>
          <cell r="N150">
            <v>45947.642777426168</v>
          </cell>
          <cell r="O150">
            <v>46011.209512336092</v>
          </cell>
          <cell r="P150">
            <v>46011.209512336092</v>
          </cell>
          <cell r="Q150">
            <v>45952.949305949114</v>
          </cell>
          <cell r="R150">
            <v>45922.975282012929</v>
          </cell>
          <cell r="S150">
            <v>45892.62212121491</v>
          </cell>
          <cell r="T150">
            <v>45847.557659583246</v>
          </cell>
          <cell r="U150">
            <v>45803.534682320074</v>
          </cell>
          <cell r="V150">
            <v>45760.277367166782</v>
          </cell>
        </row>
        <row r="151">
          <cell r="A151" t="str">
            <v>Long-Term Debt</v>
          </cell>
          <cell r="I151">
            <v>23538</v>
          </cell>
          <cell r="J151">
            <v>20632</v>
          </cell>
          <cell r="K151">
            <v>20632</v>
          </cell>
          <cell r="L151">
            <v>20178</v>
          </cell>
          <cell r="M151">
            <v>20115</v>
          </cell>
          <cell r="N151">
            <v>20538.400000000001</v>
          </cell>
          <cell r="O151">
            <v>20615</v>
          </cell>
          <cell r="P151">
            <v>20615</v>
          </cell>
          <cell r="Q151">
            <v>20615</v>
          </cell>
          <cell r="R151">
            <v>20615</v>
          </cell>
          <cell r="S151">
            <v>20615</v>
          </cell>
          <cell r="T151">
            <v>20615</v>
          </cell>
          <cell r="U151">
            <v>20615</v>
          </cell>
          <cell r="V151">
            <v>20615</v>
          </cell>
          <cell r="AX151" t="str">
            <v>mstag:longTermDebt</v>
          </cell>
          <cell r="AY151">
            <v>6</v>
          </cell>
          <cell r="AZ151" t="str">
            <v>ISO4217:USD</v>
          </cell>
          <cell r="BA151" t="b">
            <v>0</v>
          </cell>
          <cell r="BB151" t="b">
            <v>0</v>
          </cell>
        </row>
        <row r="152">
          <cell r="A152" t="str">
            <v>SHAREHOLDERS' EQUITY</v>
          </cell>
          <cell r="I152">
            <v>1760</v>
          </cell>
          <cell r="J152">
            <v>5047</v>
          </cell>
          <cell r="K152">
            <v>5047</v>
          </cell>
          <cell r="L152">
            <v>5772</v>
          </cell>
          <cell r="M152">
            <v>3186</v>
          </cell>
          <cell r="N152">
            <v>2318</v>
          </cell>
          <cell r="O152">
            <v>1143</v>
          </cell>
          <cell r="P152">
            <v>1143</v>
          </cell>
          <cell r="Q152">
            <v>419</v>
          </cell>
          <cell r="R152">
            <v>1185</v>
          </cell>
          <cell r="S152">
            <v>1185</v>
          </cell>
          <cell r="T152">
            <v>1185</v>
          </cell>
          <cell r="U152">
            <v>1185</v>
          </cell>
          <cell r="V152">
            <v>1185</v>
          </cell>
          <cell r="W152">
            <v>1185</v>
          </cell>
          <cell r="X152">
            <v>1185</v>
          </cell>
          <cell r="Y152">
            <v>1185</v>
          </cell>
          <cell r="Z152">
            <v>1185</v>
          </cell>
          <cell r="AA152">
            <v>1185</v>
          </cell>
          <cell r="BC152" t="str">
            <v>mstag:shortTermBorrowings</v>
          </cell>
          <cell r="BD152">
            <v>6</v>
          </cell>
          <cell r="BE152" t="str">
            <v>ISO4217:USD</v>
          </cell>
          <cell r="BF152" t="b">
            <v>0</v>
          </cell>
          <cell r="BG152" t="b">
            <v>0</v>
          </cell>
        </row>
        <row r="153">
          <cell r="A153" t="str">
            <v>Redeemable preferred stock</v>
          </cell>
          <cell r="H153">
            <v>247</v>
          </cell>
          <cell r="I153">
            <v>247</v>
          </cell>
          <cell r="J153">
            <v>247</v>
          </cell>
          <cell r="K153">
            <v>247</v>
          </cell>
          <cell r="L153">
            <v>0</v>
          </cell>
          <cell r="M153">
            <v>0</v>
          </cell>
          <cell r="N153">
            <v>0</v>
          </cell>
          <cell r="O153">
            <v>0</v>
          </cell>
          <cell r="P153">
            <v>0</v>
          </cell>
          <cell r="Q153">
            <v>0</v>
          </cell>
          <cell r="R153">
            <v>0</v>
          </cell>
          <cell r="S153">
            <v>0</v>
          </cell>
          <cell r="T153">
            <v>0</v>
          </cell>
          <cell r="U153">
            <v>0</v>
          </cell>
          <cell r="V153">
            <v>0</v>
          </cell>
          <cell r="W153">
            <v>3370.1387988674014</v>
          </cell>
          <cell r="X153">
            <v>3399.7127800876824</v>
          </cell>
          <cell r="Y153">
            <v>3417.9923720807105</v>
          </cell>
          <cell r="Z153">
            <v>3425.1353509881019</v>
          </cell>
          <cell r="AA153">
            <v>3425.822179693364</v>
          </cell>
          <cell r="AX153" t="str">
            <v>mstag:preferredEquity</v>
          </cell>
          <cell r="AY153">
            <v>6</v>
          </cell>
          <cell r="AZ153" t="str">
            <v>ISO4217:USD</v>
          </cell>
          <cell r="BA153" t="b">
            <v>0</v>
          </cell>
          <cell r="BB153" t="b">
            <v>0</v>
          </cell>
          <cell r="BC153" t="str">
            <v>mstag:tradeAndOtherPayables</v>
          </cell>
          <cell r="BD153">
            <v>6</v>
          </cell>
          <cell r="BE153" t="str">
            <v>ISO4217:USD</v>
          </cell>
          <cell r="BF153" t="b">
            <v>0</v>
          </cell>
          <cell r="BG153" t="b">
            <v>0</v>
          </cell>
        </row>
        <row r="154">
          <cell r="A154" t="str">
            <v>Common Stock</v>
          </cell>
          <cell r="F154">
            <v>2950</v>
          </cell>
          <cell r="H154">
            <v>2972</v>
          </cell>
          <cell r="I154">
            <v>5826</v>
          </cell>
          <cell r="J154">
            <v>5846</v>
          </cell>
          <cell r="K154">
            <v>5846</v>
          </cell>
          <cell r="L154">
            <v>5874</v>
          </cell>
          <cell r="M154">
            <v>5874</v>
          </cell>
          <cell r="N154">
            <v>5874</v>
          </cell>
          <cell r="O154">
            <v>5874</v>
          </cell>
          <cell r="P154">
            <v>5874</v>
          </cell>
          <cell r="Q154">
            <v>5874</v>
          </cell>
          <cell r="R154">
            <v>5874</v>
          </cell>
          <cell r="S154">
            <v>5874</v>
          </cell>
          <cell r="T154">
            <v>5874</v>
          </cell>
          <cell r="U154">
            <v>5874</v>
          </cell>
          <cell r="V154">
            <v>5874</v>
          </cell>
          <cell r="W154">
            <v>4454.6483546245672</v>
          </cell>
          <cell r="X154">
            <v>4582.0217049563234</v>
          </cell>
          <cell r="Y154">
            <v>4688.7807435580044</v>
          </cell>
          <cell r="Z154">
            <v>4777.2689174599936</v>
          </cell>
          <cell r="AA154">
            <v>4858.0810241900017</v>
          </cell>
          <cell r="AX154" t="str">
            <v>mstag:commonStock</v>
          </cell>
          <cell r="AY154">
            <v>6</v>
          </cell>
          <cell r="AZ154" t="str">
            <v>ISO4217:USD</v>
          </cell>
          <cell r="BA154" t="b">
            <v>0</v>
          </cell>
          <cell r="BB154" t="b">
            <v>0</v>
          </cell>
          <cell r="BC154" t="str">
            <v>mstag:accruedExpenses</v>
          </cell>
          <cell r="BD154">
            <v>6</v>
          </cell>
          <cell r="BE154" t="str">
            <v>ISO4217:USD</v>
          </cell>
          <cell r="BF154" t="b">
            <v>0</v>
          </cell>
          <cell r="BG154" t="b">
            <v>0</v>
          </cell>
        </row>
        <row r="155">
          <cell r="A155" t="str">
            <v>Paid in capital</v>
          </cell>
          <cell r="F155">
            <v>11873</v>
          </cell>
          <cell r="H155">
            <v>12123</v>
          </cell>
          <cell r="I155">
            <v>45840</v>
          </cell>
          <cell r="J155">
            <v>46136</v>
          </cell>
          <cell r="K155">
            <v>46136</v>
          </cell>
          <cell r="L155">
            <v>46994</v>
          </cell>
          <cell r="M155">
            <v>46994</v>
          </cell>
          <cell r="N155">
            <v>46994</v>
          </cell>
          <cell r="O155">
            <v>46994</v>
          </cell>
          <cell r="P155">
            <v>46994</v>
          </cell>
          <cell r="Q155">
            <v>46994</v>
          </cell>
          <cell r="R155">
            <v>46994</v>
          </cell>
          <cell r="S155">
            <v>46994</v>
          </cell>
          <cell r="T155">
            <v>46994</v>
          </cell>
          <cell r="U155">
            <v>46994</v>
          </cell>
          <cell r="V155">
            <v>46994</v>
          </cell>
          <cell r="W155">
            <v>0</v>
          </cell>
          <cell r="X155">
            <v>0</v>
          </cell>
          <cell r="Y155">
            <v>0</v>
          </cell>
          <cell r="Z155">
            <v>0</v>
          </cell>
          <cell r="AA155">
            <v>0</v>
          </cell>
          <cell r="AX155" t="str">
            <v>mstag:additionalPaidInCapital</v>
          </cell>
          <cell r="AY155">
            <v>6</v>
          </cell>
          <cell r="AZ155" t="str">
            <v>ISO4217:USD</v>
          </cell>
          <cell r="BA155" t="b">
            <v>0</v>
          </cell>
          <cell r="BB155" t="b">
            <v>0</v>
          </cell>
          <cell r="BC155" t="str">
            <v>mstag:otherLiabilitiesOperatingCurrent</v>
          </cell>
          <cell r="BD155">
            <v>6</v>
          </cell>
          <cell r="BE155" t="str">
            <v>ISO4217:USD</v>
          </cell>
          <cell r="BF155" t="b">
            <v>0</v>
          </cell>
          <cell r="BG155" t="b">
            <v>0</v>
          </cell>
        </row>
        <row r="156">
          <cell r="A156" t="str">
            <v>Retained earnings (deficit)</v>
          </cell>
          <cell r="F156">
            <v>-586</v>
          </cell>
          <cell r="H156">
            <v>113</v>
          </cell>
          <cell r="I156">
            <v>557</v>
          </cell>
          <cell r="J156">
            <v>681</v>
          </cell>
          <cell r="K156">
            <v>681</v>
          </cell>
          <cell r="L156">
            <v>937</v>
          </cell>
          <cell r="M156">
            <v>1788.0706431205476</v>
          </cell>
          <cell r="N156">
            <v>2697.9618825796524</v>
          </cell>
          <cell r="O156">
            <v>3523.9510132419582</v>
          </cell>
          <cell r="P156">
            <v>3523.9510132419582</v>
          </cell>
          <cell r="Q156">
            <v>7846.5427984934258</v>
          </cell>
          <cell r="R156">
            <v>12747.717958763744</v>
          </cell>
          <cell r="S156">
            <v>17844.465942552772</v>
          </cell>
          <cell r="T156">
            <v>23085.938413113618</v>
          </cell>
          <cell r="U156">
            <v>28457.983779790731</v>
          </cell>
          <cell r="V156">
            <v>34082.316614097872</v>
          </cell>
          <cell r="W156" t="str">
            <v>______</v>
          </cell>
          <cell r="X156" t="str">
            <v>______</v>
          </cell>
          <cell r="Y156" t="str">
            <v>______</v>
          </cell>
          <cell r="Z156" t="str">
            <v>______</v>
          </cell>
          <cell r="AA156" t="str">
            <v>______</v>
          </cell>
          <cell r="AX156" t="str">
            <v>mstag:retainedEarnings</v>
          </cell>
          <cell r="AY156">
            <v>6</v>
          </cell>
          <cell r="AZ156" t="str">
            <v>ISO4217:USD</v>
          </cell>
          <cell r="BA156" t="b">
            <v>0</v>
          </cell>
          <cell r="BB156" t="b">
            <v>0</v>
          </cell>
        </row>
        <row r="157">
          <cell r="A157" t="str">
            <v>AOCI</v>
          </cell>
          <cell r="F157">
            <v>-716</v>
          </cell>
          <cell r="H157">
            <v>-730</v>
          </cell>
          <cell r="I157">
            <v>-691</v>
          </cell>
          <cell r="J157">
            <v>-726</v>
          </cell>
          <cell r="K157">
            <v>-726</v>
          </cell>
          <cell r="L157">
            <v>-279</v>
          </cell>
          <cell r="M157">
            <v>-279</v>
          </cell>
          <cell r="N157">
            <v>-279</v>
          </cell>
          <cell r="O157">
            <v>-279</v>
          </cell>
          <cell r="P157">
            <v>-279</v>
          </cell>
          <cell r="Q157">
            <v>-279</v>
          </cell>
          <cell r="R157">
            <v>-279</v>
          </cell>
          <cell r="S157">
            <v>-279</v>
          </cell>
          <cell r="T157">
            <v>-279</v>
          </cell>
          <cell r="U157">
            <v>-279</v>
          </cell>
          <cell r="V157">
            <v>-279</v>
          </cell>
          <cell r="W157">
            <v>9009.7871534919686</v>
          </cell>
          <cell r="X157">
            <v>9166.7344850440059</v>
          </cell>
          <cell r="Y157">
            <v>9291.7731156387163</v>
          </cell>
          <cell r="Z157">
            <v>9387.4042684480955</v>
          </cell>
          <cell r="AA157">
            <v>9468.9032038833648</v>
          </cell>
          <cell r="AX157" t="str">
            <v>mstag:accumulatedOtherComprehensiveIncomeLossAndReserves</v>
          </cell>
          <cell r="AY157">
            <v>6</v>
          </cell>
          <cell r="AZ157" t="str">
            <v>ISO4217:USD</v>
          </cell>
          <cell r="BA157" t="b">
            <v>0</v>
          </cell>
          <cell r="BB157" t="b">
            <v>0</v>
          </cell>
        </row>
        <row r="158">
          <cell r="A158" t="str">
            <v>Total Liabilities</v>
          </cell>
          <cell r="I158" t="str">
            <v>______</v>
          </cell>
          <cell r="J158" t="str">
            <v>______</v>
          </cell>
          <cell r="K158" t="str">
            <v>______</v>
          </cell>
          <cell r="L158" t="str">
            <v>______</v>
          </cell>
          <cell r="M158" t="str">
            <v>______</v>
          </cell>
          <cell r="N158" t="str">
            <v>______</v>
          </cell>
          <cell r="O158" t="str">
            <v>______</v>
          </cell>
          <cell r="P158" t="str">
            <v>______</v>
          </cell>
          <cell r="Q158" t="str">
            <v>______</v>
          </cell>
          <cell r="R158" t="str">
            <v>______</v>
          </cell>
          <cell r="S158" t="str">
            <v>______</v>
          </cell>
          <cell r="T158" t="str">
            <v>______</v>
          </cell>
          <cell r="U158" t="str">
            <v>______</v>
          </cell>
          <cell r="V158" t="str">
            <v>______</v>
          </cell>
        </row>
        <row r="159">
          <cell r="A159" t="str">
            <v>Total shareholders equity</v>
          </cell>
          <cell r="F159">
            <v>13521</v>
          </cell>
          <cell r="H159">
            <v>14478</v>
          </cell>
          <cell r="I159">
            <v>51532</v>
          </cell>
          <cell r="J159">
            <v>51937</v>
          </cell>
          <cell r="K159">
            <v>51937</v>
          </cell>
          <cell r="L159">
            <v>53526</v>
          </cell>
          <cell r="M159">
            <v>54377.070643120547</v>
          </cell>
          <cell r="N159">
            <v>55286.96188257965</v>
          </cell>
          <cell r="O159">
            <v>56112.95101324196</v>
          </cell>
          <cell r="P159">
            <v>56112.95101324196</v>
          </cell>
          <cell r="Q159">
            <v>60435.542798493429</v>
          </cell>
          <cell r="R159">
            <v>65336.717958763737</v>
          </cell>
          <cell r="S159">
            <v>70433.465942552779</v>
          </cell>
          <cell r="T159">
            <v>75674.938413113618</v>
          </cell>
          <cell r="U159">
            <v>81046.983779790724</v>
          </cell>
          <cell r="V159">
            <v>86671.316614097872</v>
          </cell>
          <cell r="W159">
            <v>21713</v>
          </cell>
          <cell r="X159">
            <v>21713</v>
          </cell>
          <cell r="Y159">
            <v>21713</v>
          </cell>
          <cell r="Z159">
            <v>21713</v>
          </cell>
          <cell r="AA159">
            <v>21713</v>
          </cell>
          <cell r="BC159" t="str">
            <v>mstag:longTermDebt</v>
          </cell>
          <cell r="BD159">
            <v>6</v>
          </cell>
          <cell r="BE159" t="str">
            <v>ISO4217:USD</v>
          </cell>
          <cell r="BF159" t="b">
            <v>0</v>
          </cell>
          <cell r="BG159" t="b">
            <v>0</v>
          </cell>
        </row>
        <row r="160">
          <cell r="A160" t="str">
            <v>SHAREHOLDERS' EQUITY</v>
          </cell>
        </row>
        <row r="161">
          <cell r="A161" t="str">
            <v>Total Liabilities and Equity</v>
          </cell>
          <cell r="H161">
            <v>247</v>
          </cell>
          <cell r="I161">
            <v>101315</v>
          </cell>
          <cell r="J161">
            <v>102580</v>
          </cell>
          <cell r="K161">
            <v>102580</v>
          </cell>
          <cell r="L161">
            <v>96847</v>
          </cell>
          <cell r="M161">
            <v>100382.32046887702</v>
          </cell>
          <cell r="N161">
            <v>101234.60466000582</v>
          </cell>
          <cell r="O161">
            <v>102124.16052557805</v>
          </cell>
          <cell r="P161">
            <v>102124.16052557805</v>
          </cell>
          <cell r="Q161">
            <v>106388.49210444254</v>
          </cell>
          <cell r="R161">
            <v>111259.69324077666</v>
          </cell>
          <cell r="S161">
            <v>116326.08806376769</v>
          </cell>
          <cell r="T161">
            <v>121522.49607269687</v>
          </cell>
          <cell r="U161">
            <v>126850.51846211081</v>
          </cell>
          <cell r="V161">
            <v>132431.59398126465</v>
          </cell>
          <cell r="AX161" t="str">
            <v>mstag:preferredEquity</v>
          </cell>
          <cell r="AY161">
            <v>6</v>
          </cell>
          <cell r="AZ161" t="str">
            <v>ISO4217:USD</v>
          </cell>
          <cell r="BA161" t="b">
            <v>0</v>
          </cell>
          <cell r="BB161" t="b">
            <v>0</v>
          </cell>
          <cell r="BC161" t="str">
            <v>mstag:otherLiabilitiesNonOperatingNonCurrent</v>
          </cell>
          <cell r="BD161">
            <v>6</v>
          </cell>
          <cell r="BE161" t="str">
            <v>ISO4217:USD</v>
          </cell>
          <cell r="BF161" t="b">
            <v>0</v>
          </cell>
          <cell r="BG161" t="b">
            <v>0</v>
          </cell>
        </row>
        <row r="162">
          <cell r="A162" t="str">
            <v>Common Stock</v>
          </cell>
          <cell r="F162">
            <v>2950</v>
          </cell>
          <cell r="H162">
            <v>2972</v>
          </cell>
          <cell r="I162">
            <v>5826</v>
          </cell>
          <cell r="J162">
            <v>5846</v>
          </cell>
          <cell r="K162">
            <v>5846</v>
          </cell>
          <cell r="L162">
            <v>5874</v>
          </cell>
          <cell r="M162">
            <v>5895</v>
          </cell>
          <cell r="N162">
            <v>5895</v>
          </cell>
          <cell r="O162">
            <v>5895</v>
          </cell>
          <cell r="P162">
            <v>5895</v>
          </cell>
          <cell r="Q162">
            <v>5895</v>
          </cell>
          <cell r="R162">
            <v>5895</v>
          </cell>
          <cell r="S162">
            <v>5895</v>
          </cell>
          <cell r="T162">
            <v>5895</v>
          </cell>
          <cell r="U162">
            <v>5895</v>
          </cell>
          <cell r="V162">
            <v>5895</v>
          </cell>
          <cell r="W162">
            <v>9110</v>
          </cell>
          <cell r="X162">
            <v>9110</v>
          </cell>
          <cell r="Y162">
            <v>9110</v>
          </cell>
          <cell r="Z162">
            <v>9110</v>
          </cell>
          <cell r="AA162">
            <v>9110</v>
          </cell>
          <cell r="AX162" t="str">
            <v>mstag:commonStock</v>
          </cell>
          <cell r="AY162">
            <v>6</v>
          </cell>
          <cell r="AZ162" t="str">
            <v>ISO4217:USD</v>
          </cell>
          <cell r="BA162" t="b">
            <v>0</v>
          </cell>
          <cell r="BB162" t="b">
            <v>0</v>
          </cell>
          <cell r="BC162" t="str">
            <v>mstag:deferredTaxLiabilitiesNonCurrent</v>
          </cell>
          <cell r="BD162">
            <v>6</v>
          </cell>
          <cell r="BE162" t="str">
            <v>ISO4217:USD</v>
          </cell>
          <cell r="BF162" t="b">
            <v>0</v>
          </cell>
          <cell r="BG162" t="b">
            <v>0</v>
          </cell>
        </row>
        <row r="163">
          <cell r="A163" t="str">
            <v>Out-of-Balance</v>
          </cell>
          <cell r="F163">
            <v>11873</v>
          </cell>
          <cell r="H163">
            <v>12123</v>
          </cell>
          <cell r="I163">
            <v>0</v>
          </cell>
          <cell r="J163">
            <v>0</v>
          </cell>
          <cell r="K163">
            <v>0</v>
          </cell>
          <cell r="L163">
            <v>0</v>
          </cell>
          <cell r="M163">
            <v>-2742</v>
          </cell>
          <cell r="N163">
            <v>-2742</v>
          </cell>
          <cell r="O163">
            <v>-2741.9999999999854</v>
          </cell>
          <cell r="P163">
            <v>-2741.9999999999854</v>
          </cell>
          <cell r="Q163">
            <v>-2742.0000000000146</v>
          </cell>
          <cell r="R163">
            <v>-2742</v>
          </cell>
          <cell r="S163">
            <v>-2742.0000000000146</v>
          </cell>
          <cell r="T163">
            <v>-2742</v>
          </cell>
          <cell r="U163">
            <v>-2742</v>
          </cell>
          <cell r="V163">
            <v>-2742</v>
          </cell>
          <cell r="W163">
            <v>251</v>
          </cell>
          <cell r="X163">
            <v>251</v>
          </cell>
          <cell r="Y163">
            <v>251</v>
          </cell>
          <cell r="Z163">
            <v>251</v>
          </cell>
          <cell r="AA163">
            <v>251</v>
          </cell>
          <cell r="AX163" t="str">
            <v>mstag:additionalPaidInCapital</v>
          </cell>
          <cell r="AY163">
            <v>6</v>
          </cell>
          <cell r="AZ163" t="str">
            <v>ISO4217:USD</v>
          </cell>
          <cell r="BA163" t="b">
            <v>0</v>
          </cell>
          <cell r="BB163" t="b">
            <v>0</v>
          </cell>
          <cell r="BC163" t="str">
            <v>mstag:pensionAndOtherPostRetirementObligations</v>
          </cell>
          <cell r="BD163">
            <v>6</v>
          </cell>
          <cell r="BE163" t="str">
            <v>ISO4217:USD</v>
          </cell>
          <cell r="BF163" t="b">
            <v>0</v>
          </cell>
          <cell r="BG163" t="b">
            <v>0</v>
          </cell>
        </row>
        <row r="164">
          <cell r="A164" t="str">
            <v>Retained earnings (deficit)</v>
          </cell>
          <cell r="F164">
            <v>-586</v>
          </cell>
          <cell r="H164">
            <v>113</v>
          </cell>
          <cell r="I164">
            <v>557</v>
          </cell>
          <cell r="J164">
            <v>681</v>
          </cell>
          <cell r="K164">
            <v>681</v>
          </cell>
          <cell r="L164">
            <v>1024</v>
          </cell>
          <cell r="M164">
            <v>1320</v>
          </cell>
          <cell r="N164">
            <v>1198.8007662851046</v>
          </cell>
          <cell r="O164">
            <v>1937.8534858648827</v>
          </cell>
          <cell r="P164">
            <v>1937.8534858648827</v>
          </cell>
          <cell r="Q164">
            <v>5285.3520252465587</v>
          </cell>
          <cell r="R164">
            <v>9081.7491377330589</v>
          </cell>
          <cell r="S164">
            <v>13164.131559290267</v>
          </cell>
          <cell r="T164">
            <v>17499.476633698992</v>
          </cell>
          <cell r="U164">
            <v>22057.141220059952</v>
          </cell>
          <cell r="V164">
            <v>26750.955717501947</v>
          </cell>
          <cell r="W164">
            <v>3409</v>
          </cell>
          <cell r="X164">
            <v>3409</v>
          </cell>
          <cell r="Y164">
            <v>3409</v>
          </cell>
          <cell r="Z164">
            <v>3409</v>
          </cell>
          <cell r="AA164">
            <v>3409</v>
          </cell>
          <cell r="AX164" t="str">
            <v>mstag:retainedEarnings</v>
          </cell>
          <cell r="AY164">
            <v>6</v>
          </cell>
          <cell r="AZ164" t="str">
            <v>ISO4217:USD</v>
          </cell>
          <cell r="BA164" t="b">
            <v>0</v>
          </cell>
          <cell r="BB164" t="b">
            <v>0</v>
          </cell>
          <cell r="BC164" t="str">
            <v>mstag:otherLiabilitiesOperatingNonCurrent</v>
          </cell>
          <cell r="BD164">
            <v>6</v>
          </cell>
          <cell r="BE164" t="str">
            <v>ISO4217:USD</v>
          </cell>
          <cell r="BF164" t="b">
            <v>0</v>
          </cell>
          <cell r="BG164" t="b">
            <v>0</v>
          </cell>
        </row>
        <row r="165">
          <cell r="A165" t="str">
            <v>AOCI</v>
          </cell>
          <cell r="F165">
            <v>-716</v>
          </cell>
          <cell r="H165">
            <v>-730</v>
          </cell>
          <cell r="I165">
            <v>-691</v>
          </cell>
          <cell r="J165">
            <v>-726</v>
          </cell>
          <cell r="K165">
            <v>-726</v>
          </cell>
          <cell r="L165">
            <v>-729</v>
          </cell>
          <cell r="M165">
            <v>-277</v>
          </cell>
          <cell r="N165">
            <v>-277</v>
          </cell>
          <cell r="O165">
            <v>-277</v>
          </cell>
          <cell r="P165">
            <v>-277</v>
          </cell>
          <cell r="Q165">
            <v>-277</v>
          </cell>
          <cell r="R165">
            <v>-277</v>
          </cell>
          <cell r="S165">
            <v>-277</v>
          </cell>
          <cell r="T165">
            <v>-277</v>
          </cell>
          <cell r="U165">
            <v>-277</v>
          </cell>
          <cell r="V165">
            <v>-277</v>
          </cell>
          <cell r="W165" t="str">
            <v>______</v>
          </cell>
          <cell r="X165" t="str">
            <v>______</v>
          </cell>
          <cell r="Y165" t="str">
            <v>______</v>
          </cell>
          <cell r="Z165" t="str">
            <v>______</v>
          </cell>
          <cell r="AA165" t="str">
            <v>______</v>
          </cell>
          <cell r="AX165" t="str">
            <v>mstag:accumulatedOtherComprehensiveIncomeLossAndReserves</v>
          </cell>
          <cell r="AY165">
            <v>6</v>
          </cell>
          <cell r="AZ165" t="str">
            <v>ISO4217:USD</v>
          </cell>
          <cell r="BA165" t="b">
            <v>0</v>
          </cell>
          <cell r="BB165" t="b">
            <v>0</v>
          </cell>
        </row>
        <row r="166">
          <cell r="A166" t="str">
            <v>Total Liabilities</v>
          </cell>
          <cell r="I166" t="str">
            <v>______</v>
          </cell>
          <cell r="J166" t="str">
            <v>______</v>
          </cell>
          <cell r="K166" t="str">
            <v>______</v>
          </cell>
          <cell r="L166" t="str">
            <v>______</v>
          </cell>
          <cell r="M166" t="str">
            <v>______</v>
          </cell>
          <cell r="N166" t="str">
            <v>______</v>
          </cell>
          <cell r="O166" t="str">
            <v>______</v>
          </cell>
          <cell r="P166" t="str">
            <v>______</v>
          </cell>
          <cell r="Q166" t="str">
            <v>______</v>
          </cell>
          <cell r="R166" t="str">
            <v>______</v>
          </cell>
          <cell r="S166" t="str">
            <v>______</v>
          </cell>
          <cell r="T166" t="str">
            <v>______</v>
          </cell>
          <cell r="U166" t="str">
            <v>______</v>
          </cell>
          <cell r="V166" t="str">
            <v>______</v>
          </cell>
          <cell r="W166">
            <v>43492.787153491969</v>
          </cell>
          <cell r="X166">
            <v>43649.734485044006</v>
          </cell>
          <cell r="Y166">
            <v>43774.773115638716</v>
          </cell>
          <cell r="Z166">
            <v>43870.404268448096</v>
          </cell>
          <cell r="AA166">
            <v>43951.903203883368</v>
          </cell>
        </row>
        <row r="167">
          <cell r="A167" t="str">
            <v>Capital Expenditures</v>
          </cell>
          <cell r="B167">
            <v>1355</v>
          </cell>
          <cell r="C167">
            <v>1476</v>
          </cell>
          <cell r="D167">
            <v>1590</v>
          </cell>
          <cell r="E167">
            <v>1975</v>
          </cell>
          <cell r="F167">
            <v>6396</v>
          </cell>
          <cell r="G167">
            <v>1254</v>
          </cell>
          <cell r="H167">
            <v>1853</v>
          </cell>
          <cell r="I167">
            <v>1588</v>
          </cell>
          <cell r="J167">
            <v>2004</v>
          </cell>
          <cell r="K167">
            <v>6699</v>
          </cell>
          <cell r="L167">
            <v>1342</v>
          </cell>
          <cell r="M167">
            <v>1690.9622442043708</v>
          </cell>
          <cell r="N167">
            <v>1672.8353842117594</v>
          </cell>
          <cell r="O167">
            <v>1881.2078518243479</v>
          </cell>
          <cell r="P167">
            <v>6587.0054802404775</v>
          </cell>
          <cell r="Q167">
            <v>6974.4731801675016</v>
          </cell>
          <cell r="R167">
            <v>6742.2891344880773</v>
          </cell>
          <cell r="S167">
            <v>6405.6015079967119</v>
          </cell>
          <cell r="T167">
            <v>6032.3176736238438</v>
          </cell>
          <cell r="U167">
            <v>5970.0059723610484</v>
          </cell>
          <cell r="V167">
            <v>5905.9777779320411</v>
          </cell>
        </row>
        <row r="168">
          <cell r="A168" t="str">
            <v xml:space="preserve">   Percent of Revenues</v>
          </cell>
          <cell r="I168">
            <v>0.1416718708180926</v>
          </cell>
          <cell r="J168">
            <v>0.17740793201133145</v>
          </cell>
          <cell r="K168">
            <v>0.15201161814427375</v>
          </cell>
          <cell r="L168">
            <v>0.13363871738697469</v>
          </cell>
          <cell r="M168">
            <v>0.16519204607965357</v>
          </cell>
          <cell r="N168">
            <v>0.16274433053073459</v>
          </cell>
          <cell r="O168">
            <v>0.18172277949890553</v>
          </cell>
          <cell r="P168">
            <v>0.16101473534074687</v>
          </cell>
          <cell r="Q168">
            <v>0.16500149875030951</v>
          </cell>
          <cell r="R168">
            <v>0.15657244463384176</v>
          </cell>
          <cell r="S168">
            <v>0.14824900961491835</v>
          </cell>
          <cell r="T168">
            <v>0.14017063115512593</v>
          </cell>
          <cell r="U168">
            <v>0.13952899989098305</v>
          </cell>
          <cell r="V168">
            <v>0.13900963545183539</v>
          </cell>
        </row>
        <row r="169">
          <cell r="A169" t="str">
            <v>Total Liabilities and Equity</v>
          </cell>
          <cell r="H169">
            <v>247</v>
          </cell>
          <cell r="I169">
            <v>101315</v>
          </cell>
          <cell r="J169">
            <v>102580</v>
          </cell>
          <cell r="K169">
            <v>102580</v>
          </cell>
          <cell r="L169">
            <v>102768</v>
          </cell>
          <cell r="M169">
            <v>98251</v>
          </cell>
          <cell r="N169">
            <v>98549.925296826405</v>
          </cell>
          <cell r="O169">
            <v>99583.562786321709</v>
          </cell>
          <cell r="P169">
            <v>99583.562786321709</v>
          </cell>
          <cell r="Q169">
            <v>103214.21699597841</v>
          </cell>
          <cell r="R169">
            <v>107190.37621660372</v>
          </cell>
          <cell r="S169">
            <v>111392.15470624724</v>
          </cell>
          <cell r="T169">
            <v>115794.99791706624</v>
          </cell>
          <cell r="U169">
            <v>120378.40556400589</v>
          </cell>
          <cell r="V169">
            <v>125066.2485752905</v>
          </cell>
          <cell r="W169">
            <v>0</v>
          </cell>
          <cell r="X169">
            <v>0</v>
          </cell>
          <cell r="Y169">
            <v>0</v>
          </cell>
          <cell r="Z169">
            <v>0</v>
          </cell>
          <cell r="AA169">
            <v>0</v>
          </cell>
          <cell r="BC169" t="str">
            <v>mstag:preferredEquity</v>
          </cell>
          <cell r="BD169">
            <v>6</v>
          </cell>
          <cell r="BE169" t="str">
            <v>ISO4217:USD</v>
          </cell>
          <cell r="BF169" t="b">
            <v>0</v>
          </cell>
          <cell r="BG169" t="b">
            <v>0</v>
          </cell>
        </row>
        <row r="170">
          <cell r="A170" t="str">
            <v>Average Gross PP&amp;E</v>
          </cell>
          <cell r="F170">
            <v>2950</v>
          </cell>
          <cell r="H170">
            <v>2972</v>
          </cell>
          <cell r="I170">
            <v>5826</v>
          </cell>
          <cell r="J170">
            <v>5846</v>
          </cell>
          <cell r="K170">
            <v>5846</v>
          </cell>
          <cell r="L170">
            <v>5874</v>
          </cell>
          <cell r="M170">
            <v>5895</v>
          </cell>
          <cell r="N170">
            <v>4397</v>
          </cell>
          <cell r="O170">
            <v>4977</v>
          </cell>
          <cell r="P170">
            <v>4977</v>
          </cell>
          <cell r="Q170">
            <v>4829</v>
          </cell>
          <cell r="R170">
            <v>4007</v>
          </cell>
          <cell r="S170">
            <v>4007</v>
          </cell>
          <cell r="T170">
            <v>4007</v>
          </cell>
          <cell r="U170">
            <v>4007</v>
          </cell>
          <cell r="V170">
            <v>4007</v>
          </cell>
          <cell r="W170">
            <v>4007</v>
          </cell>
          <cell r="X170">
            <v>4007</v>
          </cell>
          <cell r="Y170">
            <v>4007</v>
          </cell>
          <cell r="Z170">
            <v>4007</v>
          </cell>
          <cell r="AA170">
            <v>4007</v>
          </cell>
          <cell r="BC170" t="str">
            <v>mstag:commonStock</v>
          </cell>
          <cell r="BD170">
            <v>6</v>
          </cell>
          <cell r="BE170" t="str">
            <v>ISO4217:USD</v>
          </cell>
          <cell r="BF170" t="b">
            <v>0</v>
          </cell>
          <cell r="BG170" t="b">
            <v>0</v>
          </cell>
        </row>
        <row r="171">
          <cell r="A171" t="str">
            <v>Capex to Revenues</v>
          </cell>
          <cell r="F171">
            <v>11873</v>
          </cell>
          <cell r="H171">
            <v>12123</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46549</v>
          </cell>
          <cell r="X171">
            <v>46549</v>
          </cell>
          <cell r="Y171">
            <v>46549</v>
          </cell>
          <cell r="Z171">
            <v>46549</v>
          </cell>
          <cell r="AA171">
            <v>46549</v>
          </cell>
          <cell r="BC171" t="str">
            <v>mstag:additionalPaidInCapital</v>
          </cell>
          <cell r="BD171">
            <v>6</v>
          </cell>
          <cell r="BE171" t="str">
            <v>ISO4217:USD</v>
          </cell>
          <cell r="BF171" t="b">
            <v>0</v>
          </cell>
          <cell r="BG171" t="b">
            <v>0</v>
          </cell>
        </row>
        <row r="172">
          <cell r="A172" t="str">
            <v>Retained earnings (deficit)</v>
          </cell>
          <cell r="F172">
            <v>-586</v>
          </cell>
          <cell r="H172">
            <v>113</v>
          </cell>
          <cell r="I172">
            <v>557</v>
          </cell>
          <cell r="J172">
            <v>681</v>
          </cell>
          <cell r="K172">
            <v>681</v>
          </cell>
          <cell r="L172">
            <v>1024</v>
          </cell>
          <cell r="M172">
            <v>1320</v>
          </cell>
          <cell r="N172">
            <v>1422</v>
          </cell>
          <cell r="O172">
            <v>1638</v>
          </cell>
          <cell r="P172">
            <v>1638</v>
          </cell>
          <cell r="Q172">
            <v>1288</v>
          </cell>
          <cell r="R172">
            <v>1213</v>
          </cell>
          <cell r="S172">
            <v>938.89059838269338</v>
          </cell>
          <cell r="T172">
            <v>659.51309356612796</v>
          </cell>
          <cell r="U172">
            <v>659.51309356612796</v>
          </cell>
          <cell r="V172">
            <v>385.50525981266475</v>
          </cell>
          <cell r="W172">
            <v>1110.1886868932168</v>
          </cell>
          <cell r="X172">
            <v>3132.2521999253445</v>
          </cell>
          <cell r="Y172">
            <v>5895.7713934156545</v>
          </cell>
          <cell r="Z172">
            <v>9425.075392624316</v>
          </cell>
          <cell r="AA172">
            <v>13198.650267421704</v>
          </cell>
          <cell r="BC172" t="str">
            <v>mstag:retainedEarnings</v>
          </cell>
          <cell r="BD172">
            <v>6</v>
          </cell>
          <cell r="BE172" t="str">
            <v>ISO4217:USD</v>
          </cell>
          <cell r="BF172" t="b">
            <v>0</v>
          </cell>
          <cell r="BG172" t="b">
            <v>0</v>
          </cell>
        </row>
        <row r="173">
          <cell r="A173" t="str">
            <v>Amortization</v>
          </cell>
          <cell r="B173">
            <v>826</v>
          </cell>
          <cell r="C173">
            <v>826</v>
          </cell>
          <cell r="D173">
            <v>826</v>
          </cell>
          <cell r="E173">
            <v>823</v>
          </cell>
          <cell r="F173">
            <v>3301</v>
          </cell>
          <cell r="G173">
            <v>822</v>
          </cell>
          <cell r="H173">
            <v>821</v>
          </cell>
          <cell r="I173">
            <v>839</v>
          </cell>
          <cell r="J173">
            <v>869</v>
          </cell>
          <cell r="K173">
            <v>3351</v>
          </cell>
          <cell r="L173">
            <v>0</v>
          </cell>
          <cell r="M173">
            <v>0</v>
          </cell>
          <cell r="N173">
            <v>0</v>
          </cell>
          <cell r="O173">
            <v>0</v>
          </cell>
          <cell r="P173">
            <v>0</v>
          </cell>
          <cell r="Q173">
            <v>0</v>
          </cell>
          <cell r="R173">
            <v>0</v>
          </cell>
          <cell r="S173">
            <v>0</v>
          </cell>
          <cell r="T173">
            <v>0</v>
          </cell>
          <cell r="U173">
            <v>0</v>
          </cell>
          <cell r="V173">
            <v>0</v>
          </cell>
          <cell r="W173">
            <v>-137</v>
          </cell>
          <cell r="X173">
            <v>-137</v>
          </cell>
          <cell r="Y173">
            <v>-137</v>
          </cell>
          <cell r="Z173">
            <v>-137</v>
          </cell>
          <cell r="AA173">
            <v>-137</v>
          </cell>
          <cell r="BC173" t="str">
            <v>mstag:accumulatedOtherComprehensiveIncomeLossAndReserves</v>
          </cell>
          <cell r="BD173">
            <v>6</v>
          </cell>
          <cell r="BE173" t="str">
            <v>ISO4217:USD</v>
          </cell>
          <cell r="BF173" t="b">
            <v>0</v>
          </cell>
          <cell r="BG173" t="b">
            <v>0</v>
          </cell>
        </row>
        <row r="174">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row>
        <row r="175">
          <cell r="A175" t="str">
            <v>Unrecorded goodwill/previously amortized goodwill</v>
          </cell>
          <cell r="B175">
            <v>1355</v>
          </cell>
          <cell r="C175">
            <v>1476</v>
          </cell>
          <cell r="D175">
            <v>1590</v>
          </cell>
          <cell r="E175">
            <v>1975</v>
          </cell>
          <cell r="F175">
            <v>6396</v>
          </cell>
          <cell r="G175">
            <v>1254</v>
          </cell>
          <cell r="H175">
            <v>1853</v>
          </cell>
          <cell r="I175">
            <v>1588</v>
          </cell>
          <cell r="J175">
            <v>2004</v>
          </cell>
          <cell r="K175">
            <v>0</v>
          </cell>
          <cell r="L175">
            <v>1342</v>
          </cell>
          <cell r="M175">
            <v>1264</v>
          </cell>
          <cell r="N175">
            <v>1803.9173497556001</v>
          </cell>
          <cell r="O175">
            <v>2190.9634910224045</v>
          </cell>
          <cell r="P175">
            <v>0</v>
          </cell>
          <cell r="Q175">
            <v>0</v>
          </cell>
          <cell r="R175">
            <v>0</v>
          </cell>
          <cell r="S175">
            <v>0</v>
          </cell>
          <cell r="T175">
            <v>0</v>
          </cell>
          <cell r="U175">
            <v>0</v>
          </cell>
          <cell r="V175">
            <v>0</v>
          </cell>
          <cell r="W175">
            <v>51529.18868689322</v>
          </cell>
          <cell r="X175">
            <v>53551.252199925344</v>
          </cell>
          <cell r="Y175">
            <v>56314.771393415656</v>
          </cell>
          <cell r="Z175">
            <v>59844.07539262432</v>
          </cell>
          <cell r="AA175">
            <v>63617.650267421704</v>
          </cell>
          <cell r="AX175" t="str">
            <v>mstag:unrecordedGoodwillFromPoolingAndAmortizedOrWrittenOffGoodwill</v>
          </cell>
          <cell r="AY175">
            <v>6</v>
          </cell>
          <cell r="AZ175" t="str">
            <v>ISO4217:USD</v>
          </cell>
          <cell r="BA175" t="b">
            <v>0</v>
          </cell>
          <cell r="BB175" t="b">
            <v>0</v>
          </cell>
        </row>
        <row r="176">
          <cell r="A176" t="str">
            <v xml:space="preserve">   Percent of Revenues</v>
          </cell>
          <cell r="I176">
            <v>0.1416718708180926</v>
          </cell>
          <cell r="J176">
            <v>0.17740793201133145</v>
          </cell>
          <cell r="K176">
            <v>0.15201161814427375</v>
          </cell>
          <cell r="L176">
            <v>0.11621059923796329</v>
          </cell>
          <cell r="M176">
            <v>0.1262232873976433</v>
          </cell>
          <cell r="N176">
            <v>0.17102820807740193</v>
          </cell>
          <cell r="O176">
            <v>0.20485410865106388</v>
          </cell>
          <cell r="P176">
            <v>0.15420917235262147</v>
          </cell>
          <cell r="Q176">
            <v>0.13759873192724231</v>
          </cell>
          <cell r="R176">
            <v>0.12961677257068274</v>
          </cell>
          <cell r="S176">
            <v>0.12212211507955535</v>
          </cell>
          <cell r="T176">
            <v>0.11472396479023642</v>
          </cell>
          <cell r="U176">
            <v>0.11451886332044979</v>
          </cell>
          <cell r="V176">
            <v>0.1143167841949959</v>
          </cell>
        </row>
        <row r="177">
          <cell r="A177" t="str">
            <v>Total Liabilities and Equity</v>
          </cell>
          <cell r="I177">
            <v>101315</v>
          </cell>
          <cell r="J177">
            <v>102580</v>
          </cell>
          <cell r="K177">
            <v>102580</v>
          </cell>
          <cell r="L177">
            <v>102768</v>
          </cell>
          <cell r="M177">
            <v>98251</v>
          </cell>
          <cell r="N177">
            <v>96158</v>
          </cell>
          <cell r="O177">
            <v>97161</v>
          </cell>
          <cell r="P177">
            <v>97161</v>
          </cell>
          <cell r="Q177">
            <v>95089</v>
          </cell>
          <cell r="R177">
            <v>94895</v>
          </cell>
          <cell r="S177">
            <v>94765.977377381176</v>
          </cell>
          <cell r="T177">
            <v>94487.565862883654</v>
          </cell>
          <cell r="U177">
            <v>94487.565862883654</v>
          </cell>
          <cell r="V177">
            <v>94160.511705990109</v>
          </cell>
          <cell r="W177">
            <v>95021.975840385188</v>
          </cell>
          <cell r="X177">
            <v>97200.98668496935</v>
          </cell>
          <cell r="Y177">
            <v>100089.54450905437</v>
          </cell>
          <cell r="Z177">
            <v>103714.47966107242</v>
          </cell>
          <cell r="AA177">
            <v>107569.55347130507</v>
          </cell>
        </row>
        <row r="178">
          <cell r="A178" t="str">
            <v>Average Gross PP&amp;E</v>
          </cell>
        </row>
        <row r="179">
          <cell r="A179" t="str">
            <v>Capex to Revenues</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row>
        <row r="180">
          <cell r="A180" t="str">
            <v>Total Cash</v>
          </cell>
          <cell r="H180">
            <v>7825</v>
          </cell>
          <cell r="I180">
            <v>7825</v>
          </cell>
          <cell r="J180">
            <v>8902</v>
          </cell>
          <cell r="K180">
            <v>8902</v>
          </cell>
          <cell r="L180">
            <v>9748</v>
          </cell>
          <cell r="M180">
            <v>5641.5412304290103</v>
          </cell>
          <cell r="N180">
            <v>6290.0830904726045</v>
          </cell>
          <cell r="O180">
            <v>6741.0771259244957</v>
          </cell>
          <cell r="P180">
            <v>6741.0771259244948</v>
          </cell>
          <cell r="Q180">
            <v>9402.7159821098176</v>
          </cell>
          <cell r="R180">
            <v>13240.265609717595</v>
          </cell>
          <cell r="S180">
            <v>17975.142882509648</v>
          </cell>
          <cell r="T180">
            <v>23404.001388952369</v>
          </cell>
          <cell r="U180">
            <v>29079.710353496681</v>
          </cell>
          <cell r="V180">
            <v>34859.876940960276</v>
          </cell>
        </row>
        <row r="181">
          <cell r="A181" t="str">
            <v>Average Cash</v>
          </cell>
          <cell r="B181">
            <v>826</v>
          </cell>
          <cell r="C181">
            <v>826</v>
          </cell>
          <cell r="D181">
            <v>826</v>
          </cell>
          <cell r="E181">
            <v>823</v>
          </cell>
          <cell r="F181">
            <v>3301</v>
          </cell>
          <cell r="G181">
            <v>0</v>
          </cell>
          <cell r="H181">
            <v>0</v>
          </cell>
          <cell r="I181">
            <v>7825</v>
          </cell>
          <cell r="J181">
            <v>8363.5</v>
          </cell>
          <cell r="K181">
            <v>8902</v>
          </cell>
          <cell r="L181">
            <v>9325</v>
          </cell>
          <cell r="M181">
            <v>7694.7706152145056</v>
          </cell>
          <cell r="N181">
            <v>5965.8121604508069</v>
          </cell>
          <cell r="O181">
            <v>6515.5801081985501</v>
          </cell>
          <cell r="P181">
            <v>6741.0771259244957</v>
          </cell>
          <cell r="Q181">
            <v>8071.8965540171557</v>
          </cell>
          <cell r="R181">
            <v>11321.490795913705</v>
          </cell>
          <cell r="S181">
            <v>15607.704246113623</v>
          </cell>
          <cell r="T181">
            <v>20689.57213573101</v>
          </cell>
          <cell r="U181">
            <v>26241.855871224525</v>
          </cell>
          <cell r="V181">
            <v>31969.793647228478</v>
          </cell>
        </row>
        <row r="183">
          <cell r="A183" t="str">
            <v>Total Debt</v>
          </cell>
          <cell r="B183">
            <v>1355</v>
          </cell>
          <cell r="C183">
            <v>1476</v>
          </cell>
          <cell r="D183">
            <v>1590</v>
          </cell>
          <cell r="E183">
            <v>1975</v>
          </cell>
          <cell r="F183">
            <v>6396</v>
          </cell>
          <cell r="G183">
            <v>1254</v>
          </cell>
          <cell r="H183">
            <v>25298</v>
          </cell>
          <cell r="I183">
            <v>25298</v>
          </cell>
          <cell r="J183">
            <v>25679</v>
          </cell>
          <cell r="K183">
            <v>25679</v>
          </cell>
          <cell r="L183">
            <v>22085</v>
          </cell>
          <cell r="M183">
            <v>22085</v>
          </cell>
          <cell r="N183">
            <v>22085</v>
          </cell>
          <cell r="O183">
            <v>22085</v>
          </cell>
          <cell r="P183">
            <v>22085</v>
          </cell>
          <cell r="Q183">
            <v>22085</v>
          </cell>
          <cell r="R183">
            <v>22085</v>
          </cell>
          <cell r="S183">
            <v>22085</v>
          </cell>
          <cell r="T183">
            <v>22085</v>
          </cell>
          <cell r="U183">
            <v>22085</v>
          </cell>
          <cell r="V183">
            <v>22085</v>
          </cell>
          <cell r="W183">
            <v>7111.0614721153452</v>
          </cell>
          <cell r="X183">
            <v>7418.875852557866</v>
          </cell>
          <cell r="Y183">
            <v>6308.3600272371787</v>
          </cell>
          <cell r="Z183">
            <v>6312.0900841614475</v>
          </cell>
          <cell r="AA183">
            <v>6399.1348256944993</v>
          </cell>
          <cell r="AX183" t="str">
            <v>mstag:unrecordedGoodwillFromPoolingAndAmortizedOrWrittenOffGoodwill</v>
          </cell>
          <cell r="AY183">
            <v>6</v>
          </cell>
          <cell r="AZ183" t="str">
            <v>ISO4217:USD</v>
          </cell>
          <cell r="BA183" t="b">
            <v>0</v>
          </cell>
          <cell r="BB183" t="b">
            <v>0</v>
          </cell>
        </row>
        <row r="184">
          <cell r="A184" t="str">
            <v>Average Debt</v>
          </cell>
          <cell r="I184">
            <v>25298</v>
          </cell>
          <cell r="J184">
            <v>25488.5</v>
          </cell>
          <cell r="K184">
            <v>25679</v>
          </cell>
          <cell r="L184">
            <v>23882</v>
          </cell>
          <cell r="M184">
            <v>22085</v>
          </cell>
          <cell r="N184">
            <v>22085</v>
          </cell>
          <cell r="O184">
            <v>22085</v>
          </cell>
          <cell r="P184">
            <v>22085</v>
          </cell>
          <cell r="Q184">
            <v>22085</v>
          </cell>
          <cell r="R184">
            <v>22085</v>
          </cell>
          <cell r="S184">
            <v>22085</v>
          </cell>
          <cell r="T184">
            <v>22085</v>
          </cell>
          <cell r="U184">
            <v>22085</v>
          </cell>
          <cell r="V184">
            <v>22085</v>
          </cell>
          <cell r="W184">
            <v>0.17049415525233916</v>
          </cell>
          <cell r="X184">
            <v>0.17384193816844004</v>
          </cell>
          <cell r="Y184">
            <v>0.14503410895140642</v>
          </cell>
          <cell r="Z184">
            <v>0.14286064325268949</v>
          </cell>
          <cell r="AA184">
            <v>0.14279311179976448</v>
          </cell>
        </row>
        <row r="186">
          <cell r="A186" t="str">
            <v>Interest Expense</v>
          </cell>
          <cell r="I186">
            <v>406</v>
          </cell>
          <cell r="J186">
            <v>411</v>
          </cell>
          <cell r="K186">
            <v>817</v>
          </cell>
          <cell r="L186">
            <v>364.20049999999998</v>
          </cell>
          <cell r="M186">
            <v>331.27499999999998</v>
          </cell>
          <cell r="N186">
            <v>331.27499999999998</v>
          </cell>
          <cell r="O186">
            <v>331.27499999999998</v>
          </cell>
          <cell r="P186">
            <v>1358.0255000000002</v>
          </cell>
          <cell r="Q186">
            <v>1325.1</v>
          </cell>
          <cell r="R186">
            <v>1325.1</v>
          </cell>
          <cell r="S186">
            <v>1325.1</v>
          </cell>
          <cell r="T186">
            <v>1325.1</v>
          </cell>
          <cell r="U186">
            <v>1325.1</v>
          </cell>
          <cell r="V186">
            <v>1325.1</v>
          </cell>
          <cell r="W186">
            <v>450</v>
          </cell>
          <cell r="X186">
            <v>450</v>
          </cell>
          <cell r="Y186">
            <v>450</v>
          </cell>
          <cell r="Z186">
            <v>450</v>
          </cell>
          <cell r="AA186">
            <v>450</v>
          </cell>
        </row>
        <row r="187">
          <cell r="A187" t="str">
            <v>Average Interest Rate</v>
          </cell>
          <cell r="I187">
            <v>6.4194798007747647E-2</v>
          </cell>
          <cell r="J187">
            <v>6.4499676324616978E-2</v>
          </cell>
          <cell r="K187">
            <v>3.1815880680711867E-2</v>
          </cell>
          <cell r="L187">
            <v>6.0999999999999999E-2</v>
          </cell>
          <cell r="M187">
            <v>0.06</v>
          </cell>
          <cell r="N187">
            <v>0.06</v>
          </cell>
          <cell r="O187">
            <v>0.06</v>
          </cell>
          <cell r="P187">
            <v>6.1490853520489025E-2</v>
          </cell>
          <cell r="Q187">
            <v>0.06</v>
          </cell>
          <cell r="R187">
            <v>0.06</v>
          </cell>
          <cell r="S187">
            <v>0.06</v>
          </cell>
          <cell r="T187">
            <v>0.06</v>
          </cell>
          <cell r="U187">
            <v>0.06</v>
          </cell>
          <cell r="V187">
            <v>0.06</v>
          </cell>
        </row>
        <row r="188">
          <cell r="A188" t="str">
            <v>Total Cash</v>
          </cell>
          <cell r="B188">
            <v>826</v>
          </cell>
          <cell r="C188">
            <v>826</v>
          </cell>
          <cell r="D188">
            <v>826</v>
          </cell>
          <cell r="E188">
            <v>823</v>
          </cell>
          <cell r="F188">
            <v>3301</v>
          </cell>
          <cell r="G188">
            <v>0</v>
          </cell>
          <cell r="H188">
            <v>7825</v>
          </cell>
          <cell r="I188">
            <v>7825</v>
          </cell>
          <cell r="J188">
            <v>8902</v>
          </cell>
          <cell r="K188">
            <v>8902</v>
          </cell>
          <cell r="L188">
            <v>6604</v>
          </cell>
          <cell r="M188">
            <v>3613</v>
          </cell>
          <cell r="N188">
            <v>3008.684053064716</v>
          </cell>
          <cell r="O188">
            <v>3009.5396492929572</v>
          </cell>
          <cell r="P188">
            <v>3009.539649292954</v>
          </cell>
          <cell r="Q188">
            <v>6463.6322694747969</v>
          </cell>
          <cell r="R188">
            <v>10587.310336268685</v>
          </cell>
          <cell r="S188">
            <v>15359.881693291325</v>
          </cell>
          <cell r="T188">
            <v>20721.55819627966</v>
          </cell>
          <cell r="U188">
            <v>26298.895219310201</v>
          </cell>
          <cell r="V188">
            <v>32082.747495585514</v>
          </cell>
          <cell r="W188">
            <v>1500</v>
          </cell>
          <cell r="X188">
            <v>700</v>
          </cell>
          <cell r="Y188">
            <v>232</v>
          </cell>
          <cell r="Z188">
            <v>0</v>
          </cell>
          <cell r="AA188">
            <v>0</v>
          </cell>
        </row>
        <row r="189">
          <cell r="A189" t="str">
            <v>Interest Income</v>
          </cell>
          <cell r="I189">
            <v>0</v>
          </cell>
          <cell r="J189">
            <v>95</v>
          </cell>
          <cell r="K189">
            <v>95</v>
          </cell>
          <cell r="L189">
            <v>116.5625</v>
          </cell>
          <cell r="M189">
            <v>96.184632690181331</v>
          </cell>
          <cell r="N189">
            <v>74.572652005635092</v>
          </cell>
          <cell r="O189">
            <v>81.444751352481887</v>
          </cell>
          <cell r="P189">
            <v>252.20203604829831</v>
          </cell>
          <cell r="Q189">
            <v>100.89870692521446</v>
          </cell>
          <cell r="R189">
            <v>141.51863494892132</v>
          </cell>
          <cell r="S189">
            <v>195.0963030764203</v>
          </cell>
          <cell r="T189">
            <v>258.61965169663762</v>
          </cell>
          <cell r="U189">
            <v>328.02319839030656</v>
          </cell>
          <cell r="V189">
            <v>399.622420590356</v>
          </cell>
        </row>
        <row r="190">
          <cell r="A190" t="str">
            <v>Average Interest Yield</v>
          </cell>
          <cell r="I190">
            <v>0</v>
          </cell>
          <cell r="J190">
            <v>4.5435523405272911E-2</v>
          </cell>
          <cell r="K190">
            <v>1.0671759155246012E-2</v>
          </cell>
          <cell r="L190">
            <v>0.05</v>
          </cell>
          <cell r="M190">
            <v>0.05</v>
          </cell>
          <cell r="N190">
            <v>0.05</v>
          </cell>
          <cell r="O190">
            <v>0.05</v>
          </cell>
          <cell r="P190">
            <v>3.7412720747310897E-2</v>
          </cell>
          <cell r="Q190">
            <v>0.05</v>
          </cell>
          <cell r="R190">
            <v>0.05</v>
          </cell>
          <cell r="S190">
            <v>0.05</v>
          </cell>
          <cell r="T190">
            <v>0.05</v>
          </cell>
          <cell r="U190">
            <v>0.05</v>
          </cell>
          <cell r="V190">
            <v>0.05</v>
          </cell>
          <cell r="W190">
            <v>0</v>
          </cell>
          <cell r="X190">
            <v>0</v>
          </cell>
          <cell r="Y190">
            <v>0</v>
          </cell>
          <cell r="Z190">
            <v>0</v>
          </cell>
          <cell r="AA190">
            <v>0</v>
          </cell>
          <cell r="BC190" t="str">
            <v>mstag:unrecordedGoodwillFromPoolingAndAmortizedOrWrittenOffGoodwill</v>
          </cell>
          <cell r="BD190">
            <v>6</v>
          </cell>
          <cell r="BE190" t="str">
            <v>ISO4217:USD</v>
          </cell>
          <cell r="BF190" t="b">
            <v>0</v>
          </cell>
          <cell r="BG190" t="b">
            <v>0</v>
          </cell>
        </row>
        <row r="191">
          <cell r="A191" t="str">
            <v>Total Debt</v>
          </cell>
          <cell r="H191">
            <v>25298</v>
          </cell>
          <cell r="I191">
            <v>25298</v>
          </cell>
          <cell r="J191">
            <v>25679</v>
          </cell>
          <cell r="K191">
            <v>25679</v>
          </cell>
          <cell r="L191">
            <v>25950</v>
          </cell>
          <cell r="M191">
            <v>23301</v>
          </cell>
          <cell r="N191">
            <v>23724.400000000001</v>
          </cell>
          <cell r="O191">
            <v>23801</v>
          </cell>
          <cell r="P191">
            <v>23801</v>
          </cell>
          <cell r="Q191">
            <v>23801</v>
          </cell>
          <cell r="R191">
            <v>23801</v>
          </cell>
          <cell r="S191">
            <v>23801</v>
          </cell>
          <cell r="T191">
            <v>23801</v>
          </cell>
          <cell r="U191">
            <v>23801</v>
          </cell>
          <cell r="V191">
            <v>23801</v>
          </cell>
        </row>
        <row r="192">
          <cell r="A192" t="str">
            <v>Average Debt</v>
          </cell>
          <cell r="I192">
            <v>25298</v>
          </cell>
          <cell r="J192">
            <v>25488.5</v>
          </cell>
          <cell r="K192">
            <v>25679</v>
          </cell>
          <cell r="L192">
            <v>25814.5</v>
          </cell>
          <cell r="M192">
            <v>24625.5</v>
          </cell>
          <cell r="N192">
            <v>23512.7</v>
          </cell>
          <cell r="O192">
            <v>23762.7</v>
          </cell>
          <cell r="P192">
            <v>23801</v>
          </cell>
          <cell r="Q192">
            <v>23801</v>
          </cell>
          <cell r="R192">
            <v>23801</v>
          </cell>
          <cell r="S192">
            <v>23801</v>
          </cell>
          <cell r="T192">
            <v>23801</v>
          </cell>
          <cell r="U192">
            <v>23801</v>
          </cell>
          <cell r="V192">
            <v>23801</v>
          </cell>
        </row>
        <row r="193">
          <cell r="A193" t="str">
            <v>Working Capital &amp; Other</v>
          </cell>
          <cell r="H193">
            <v>7825</v>
          </cell>
          <cell r="I193">
            <v>7825</v>
          </cell>
          <cell r="J193">
            <v>8902</v>
          </cell>
          <cell r="K193">
            <v>8902</v>
          </cell>
          <cell r="L193">
            <v>6604</v>
          </cell>
          <cell r="M193">
            <v>3613</v>
          </cell>
          <cell r="N193">
            <v>1482</v>
          </cell>
          <cell r="O193">
            <v>2046</v>
          </cell>
          <cell r="P193">
            <v>2046</v>
          </cell>
          <cell r="Q193">
            <v>2346</v>
          </cell>
          <cell r="R193">
            <v>2424</v>
          </cell>
          <cell r="S193">
            <v>2487.3295702628684</v>
          </cell>
          <cell r="T193">
            <v>2342.8214982135087</v>
          </cell>
          <cell r="U193">
            <v>2342.8214982135059</v>
          </cell>
          <cell r="V193">
            <v>1715.7838209117372</v>
          </cell>
          <cell r="W193">
            <v>3252.5462346309914</v>
          </cell>
          <cell r="X193">
            <v>5274.4716737701001</v>
          </cell>
          <cell r="Y193">
            <v>9097.5524123927571</v>
          </cell>
          <cell r="Z193">
            <v>13860.842119487113</v>
          </cell>
          <cell r="AA193">
            <v>19718.933120113634</v>
          </cell>
        </row>
        <row r="194">
          <cell r="A194" t="str">
            <v>Days of Sales in Accounts Receivable</v>
          </cell>
          <cell r="I194">
            <v>38.933892407886518</v>
          </cell>
          <cell r="J194">
            <v>38.458746458923514</v>
          </cell>
          <cell r="K194">
            <v>39.431800131611787</v>
          </cell>
          <cell r="L194">
            <v>39</v>
          </cell>
          <cell r="M194">
            <v>39</v>
          </cell>
          <cell r="N194">
            <v>39</v>
          </cell>
          <cell r="O194">
            <v>39</v>
          </cell>
          <cell r="P194">
            <v>39.475678927040029</v>
          </cell>
          <cell r="Q194">
            <v>39</v>
          </cell>
          <cell r="R194">
            <v>39</v>
          </cell>
          <cell r="S194">
            <v>39</v>
          </cell>
          <cell r="T194">
            <v>39</v>
          </cell>
          <cell r="U194">
            <v>39</v>
          </cell>
          <cell r="V194">
            <v>39</v>
          </cell>
          <cell r="W194">
            <v>2484.1650277713643</v>
          </cell>
          <cell r="X194">
            <v>4263.5089542005462</v>
          </cell>
          <cell r="Y194">
            <v>7186.0120430814286</v>
          </cell>
          <cell r="Z194">
            <v>11479.197265939936</v>
          </cell>
          <cell r="AA194">
            <v>16789.887619800375</v>
          </cell>
        </row>
        <row r="195">
          <cell r="A195" t="str">
            <v>Days of Expense in Accounts Payable</v>
          </cell>
          <cell r="I195">
            <v>33.012735473600422</v>
          </cell>
          <cell r="J195">
            <v>42.07035544155368</v>
          </cell>
          <cell r="K195">
            <v>45.427327881825377</v>
          </cell>
          <cell r="L195">
            <v>33</v>
          </cell>
          <cell r="M195">
            <v>33</v>
          </cell>
          <cell r="N195">
            <v>33</v>
          </cell>
          <cell r="O195">
            <v>33</v>
          </cell>
          <cell r="P195">
            <v>33.359827995762224</v>
          </cell>
          <cell r="Q195">
            <v>33</v>
          </cell>
          <cell r="R195">
            <v>33</v>
          </cell>
          <cell r="S195">
            <v>33</v>
          </cell>
          <cell r="T195">
            <v>33</v>
          </cell>
          <cell r="U195">
            <v>33</v>
          </cell>
          <cell r="V195">
            <v>33</v>
          </cell>
        </row>
        <row r="196">
          <cell r="A196" t="str">
            <v>Total Debt</v>
          </cell>
          <cell r="H196">
            <v>25298</v>
          </cell>
          <cell r="I196">
            <v>25298</v>
          </cell>
          <cell r="J196">
            <v>25679</v>
          </cell>
          <cell r="K196">
            <v>25679</v>
          </cell>
          <cell r="L196">
            <v>25950</v>
          </cell>
          <cell r="M196">
            <v>23301</v>
          </cell>
          <cell r="N196">
            <v>21961</v>
          </cell>
          <cell r="O196">
            <v>22154</v>
          </cell>
          <cell r="P196">
            <v>22154</v>
          </cell>
          <cell r="Q196">
            <v>22171</v>
          </cell>
          <cell r="R196">
            <v>22898</v>
          </cell>
          <cell r="S196">
            <v>22898</v>
          </cell>
          <cell r="T196">
            <v>22898</v>
          </cell>
          <cell r="U196">
            <v>22898</v>
          </cell>
          <cell r="V196">
            <v>22898</v>
          </cell>
          <cell r="W196">
            <v>22898</v>
          </cell>
          <cell r="X196">
            <v>22898</v>
          </cell>
          <cell r="Y196">
            <v>22898</v>
          </cell>
          <cell r="Z196">
            <v>22898</v>
          </cell>
          <cell r="AA196">
            <v>22898</v>
          </cell>
        </row>
        <row r="197">
          <cell r="A197" t="str">
            <v>Interest Income</v>
          </cell>
          <cell r="I197">
            <v>0</v>
          </cell>
          <cell r="J197">
            <v>95</v>
          </cell>
          <cell r="K197">
            <v>95</v>
          </cell>
          <cell r="L197">
            <v>88.065403240270214</v>
          </cell>
          <cell r="M197">
            <v>58.026842828959168</v>
          </cell>
          <cell r="N197">
            <v>37.246972798489026</v>
          </cell>
          <cell r="O197">
            <v>33.85250832576191</v>
          </cell>
          <cell r="P197">
            <v>272.09948112425093</v>
          </cell>
          <cell r="Q197">
            <v>53.286592043068602</v>
          </cell>
          <cell r="R197">
            <v>95.911552157307085</v>
          </cell>
          <cell r="S197">
            <v>145.95295516627505</v>
          </cell>
          <cell r="T197">
            <v>202.95809937883681</v>
          </cell>
          <cell r="U197">
            <v>264.49005046269292</v>
          </cell>
          <cell r="V197">
            <v>328.39674027128837</v>
          </cell>
          <cell r="W197">
            <v>22898</v>
          </cell>
          <cell r="X197">
            <v>22898</v>
          </cell>
          <cell r="Y197">
            <v>22898</v>
          </cell>
          <cell r="Z197">
            <v>22898</v>
          </cell>
          <cell r="AA197">
            <v>22898</v>
          </cell>
        </row>
        <row r="198">
          <cell r="A198" t="str">
            <v>Net Operating Losses</v>
          </cell>
          <cell r="I198">
            <v>0</v>
          </cell>
          <cell r="J198">
            <v>4.5435523405272911E-2</v>
          </cell>
          <cell r="K198">
            <v>1.0671759155246012E-2</v>
          </cell>
          <cell r="L198">
            <v>4.5435523405272911E-2</v>
          </cell>
          <cell r="M198">
            <v>4.5435523405272911E-2</v>
          </cell>
          <cell r="N198">
            <v>4.4999999999999998E-2</v>
          </cell>
          <cell r="O198">
            <v>4.4999999999999998E-2</v>
          </cell>
          <cell r="P198">
            <v>9.0412326412837404E-2</v>
          </cell>
          <cell r="Q198">
            <v>4.4999999999999998E-2</v>
          </cell>
          <cell r="R198">
            <v>4.4999999999999998E-2</v>
          </cell>
          <cell r="S198">
            <v>4.4999999999999998E-2</v>
          </cell>
          <cell r="T198">
            <v>4.4999999999999998E-2</v>
          </cell>
          <cell r="U198">
            <v>4.4999999999999998E-2</v>
          </cell>
          <cell r="V198">
            <v>4.4999999999999998E-2</v>
          </cell>
        </row>
        <row r="199">
          <cell r="A199" t="str">
            <v>Beginning Balance</v>
          </cell>
          <cell r="G199">
            <v>19377</v>
          </cell>
          <cell r="H199">
            <v>18738</v>
          </cell>
          <cell r="I199">
            <v>17664</v>
          </cell>
          <cell r="J199">
            <v>16301</v>
          </cell>
          <cell r="K199">
            <v>19377</v>
          </cell>
          <cell r="L199">
            <v>7000</v>
          </cell>
          <cell r="M199">
            <v>6747</v>
          </cell>
          <cell r="N199">
            <v>5328.5489281324208</v>
          </cell>
          <cell r="O199">
            <v>3812.0635290339123</v>
          </cell>
          <cell r="P199">
            <v>7000</v>
          </cell>
          <cell r="Q199">
            <v>2435.4149779300669</v>
          </cell>
          <cell r="R199">
            <v>0</v>
          </cell>
          <cell r="S199">
            <v>0</v>
          </cell>
          <cell r="T199">
            <v>0</v>
          </cell>
          <cell r="U199">
            <v>0</v>
          </cell>
          <cell r="V199">
            <v>0</v>
          </cell>
          <cell r="W199">
            <v>1511.268</v>
          </cell>
          <cell r="X199">
            <v>1511.268</v>
          </cell>
          <cell r="Y199">
            <v>1511.268</v>
          </cell>
          <cell r="Z199">
            <v>1511.268</v>
          </cell>
          <cell r="AA199">
            <v>1511.268</v>
          </cell>
        </row>
        <row r="200">
          <cell r="A200" t="str">
            <v xml:space="preserve">  Additions</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6.6000000000000003E-2</v>
          </cell>
          <cell r="X200">
            <v>6.6000000000000003E-2</v>
          </cell>
          <cell r="Y200">
            <v>6.6000000000000003E-2</v>
          </cell>
          <cell r="Z200">
            <v>6.6000000000000003E-2</v>
          </cell>
          <cell r="AA200">
            <v>6.6000000000000003E-2</v>
          </cell>
        </row>
        <row r="201">
          <cell r="A201" t="str">
            <v xml:space="preserve">  Uses</v>
          </cell>
          <cell r="G201">
            <v>-639</v>
          </cell>
          <cell r="H201">
            <v>-1074</v>
          </cell>
          <cell r="I201">
            <v>-1363</v>
          </cell>
          <cell r="J201">
            <v>-348</v>
          </cell>
          <cell r="K201">
            <v>-3424</v>
          </cell>
          <cell r="L201">
            <v>-253</v>
          </cell>
          <cell r="M201">
            <v>-1418.4510718675797</v>
          </cell>
          <cell r="N201">
            <v>-1516.4853990985084</v>
          </cell>
          <cell r="O201">
            <v>-1376.6485511038427</v>
          </cell>
          <cell r="P201">
            <v>-4564.5850220699331</v>
          </cell>
          <cell r="Q201">
            <v>-2435.4149779300669</v>
          </cell>
          <cell r="R201">
            <v>0</v>
          </cell>
          <cell r="S201">
            <v>0</v>
          </cell>
          <cell r="T201">
            <v>0</v>
          </cell>
          <cell r="U201">
            <v>0</v>
          </cell>
          <cell r="V201">
            <v>0</v>
          </cell>
        </row>
        <row r="202">
          <cell r="A202" t="str">
            <v>Days of Sales in Accounts Receivable</v>
          </cell>
          <cell r="G202" t="str">
            <v xml:space="preserve">______ </v>
          </cell>
          <cell r="H202" t="str">
            <v xml:space="preserve">______ </v>
          </cell>
          <cell r="I202" t="str">
            <v xml:space="preserve">______ </v>
          </cell>
          <cell r="J202" t="str">
            <v xml:space="preserve">______ </v>
          </cell>
          <cell r="K202" t="str">
            <v xml:space="preserve">______ </v>
          </cell>
          <cell r="L202" t="str">
            <v xml:space="preserve">______ </v>
          </cell>
          <cell r="M202" t="str">
            <v xml:space="preserve">______ </v>
          </cell>
          <cell r="N202" t="str">
            <v xml:space="preserve">______ </v>
          </cell>
          <cell r="O202" t="str">
            <v xml:space="preserve">______ </v>
          </cell>
          <cell r="P202" t="str">
            <v xml:space="preserve">______ </v>
          </cell>
          <cell r="Q202" t="str">
            <v xml:space="preserve">______ </v>
          </cell>
          <cell r="R202" t="str">
            <v xml:space="preserve">______ </v>
          </cell>
          <cell r="S202" t="str">
            <v xml:space="preserve">______ </v>
          </cell>
          <cell r="T202" t="str">
            <v xml:space="preserve">______ </v>
          </cell>
          <cell r="U202" t="str">
            <v xml:space="preserve">______ </v>
          </cell>
          <cell r="V202" t="str">
            <v xml:space="preserve">______ </v>
          </cell>
          <cell r="W202">
            <v>27.946856562427847</v>
          </cell>
          <cell r="X202">
            <v>47.964475734756142</v>
          </cell>
          <cell r="Y202">
            <v>80.842635484666076</v>
          </cell>
          <cell r="Z202">
            <v>129.14096924182428</v>
          </cell>
          <cell r="AA202">
            <v>188.88623572275421</v>
          </cell>
        </row>
        <row r="203">
          <cell r="A203" t="str">
            <v>Ending Balance</v>
          </cell>
          <cell r="F203">
            <v>19377</v>
          </cell>
          <cell r="G203">
            <v>18738</v>
          </cell>
          <cell r="H203">
            <v>17664</v>
          </cell>
          <cell r="I203">
            <v>16301</v>
          </cell>
          <cell r="J203">
            <v>15953</v>
          </cell>
          <cell r="K203">
            <v>7000</v>
          </cell>
          <cell r="L203">
            <v>6747</v>
          </cell>
          <cell r="M203">
            <v>5328.5489281324208</v>
          </cell>
          <cell r="N203">
            <v>3812.0635290339123</v>
          </cell>
          <cell r="O203">
            <v>2435.4149779300697</v>
          </cell>
          <cell r="P203">
            <v>2435.4149779300669</v>
          </cell>
          <cell r="Q203">
            <v>0</v>
          </cell>
          <cell r="R203">
            <v>0</v>
          </cell>
          <cell r="S203">
            <v>0</v>
          </cell>
          <cell r="T203">
            <v>0</v>
          </cell>
          <cell r="U203">
            <v>0</v>
          </cell>
          <cell r="V203">
            <v>0</v>
          </cell>
          <cell r="W203">
            <v>4.4999999999999998E-2</v>
          </cell>
          <cell r="X203">
            <v>4.4999999999999998E-2</v>
          </cell>
          <cell r="Y203">
            <v>4.4999999999999998E-2</v>
          </cell>
          <cell r="Z203">
            <v>4.4999999999999998E-2</v>
          </cell>
          <cell r="AA203">
            <v>4.4999999999999998E-2</v>
          </cell>
        </row>
        <row r="206">
          <cell r="A206" t="str">
            <v>Statutory Tax Rate</v>
          </cell>
          <cell r="B206">
            <v>0.38</v>
          </cell>
          <cell r="C206">
            <v>0.38</v>
          </cell>
          <cell r="D206">
            <v>0.38</v>
          </cell>
          <cell r="E206">
            <v>0.38</v>
          </cell>
          <cell r="F206">
            <v>0.38</v>
          </cell>
          <cell r="G206">
            <v>0.38</v>
          </cell>
          <cell r="H206">
            <v>0.38</v>
          </cell>
          <cell r="I206">
            <v>0.38</v>
          </cell>
          <cell r="J206">
            <v>0.38</v>
          </cell>
          <cell r="K206">
            <v>0.38</v>
          </cell>
          <cell r="L206">
            <v>0.4</v>
          </cell>
          <cell r="M206">
            <v>0.4</v>
          </cell>
          <cell r="N206">
            <v>0.4</v>
          </cell>
          <cell r="O206">
            <v>0.4</v>
          </cell>
          <cell r="P206">
            <v>0.4</v>
          </cell>
          <cell r="Q206">
            <v>0.4</v>
          </cell>
          <cell r="R206">
            <v>0.4</v>
          </cell>
          <cell r="S206">
            <v>0.4</v>
          </cell>
          <cell r="T206">
            <v>0.4</v>
          </cell>
          <cell r="U206">
            <v>0.4</v>
          </cell>
          <cell r="V206">
            <v>0.4</v>
          </cell>
          <cell r="AX206" t="str">
            <v>mstag:statutoryTaxRate</v>
          </cell>
          <cell r="AY206">
            <v>0</v>
          </cell>
          <cell r="AZ206" t="str">
            <v>ms_eqr_gcim_Decimal:ms_eqr_gcim_decimal</v>
          </cell>
          <cell r="BA206" t="b">
            <v>0</v>
          </cell>
          <cell r="BB206" t="b">
            <v>0</v>
          </cell>
        </row>
        <row r="207">
          <cell r="A207" t="str">
            <v>Effective Tax Rate</v>
          </cell>
          <cell r="B207">
            <v>0.25570776255707761</v>
          </cell>
          <cell r="C207">
            <v>0.20125786163522014</v>
          </cell>
          <cell r="D207">
            <v>-0.49704360679970438</v>
          </cell>
          <cell r="E207">
            <v>0.24962406015037594</v>
          </cell>
          <cell r="F207">
            <v>-0.27098259979529171</v>
          </cell>
          <cell r="G207">
            <v>6.729264475743349E-2</v>
          </cell>
          <cell r="H207">
            <v>0.28212290502793297</v>
          </cell>
          <cell r="I207">
            <v>0.13279530447542187</v>
          </cell>
          <cell r="J207">
            <v>0.43390804597701149</v>
          </cell>
          <cell r="K207">
            <v>0.19801401869158877</v>
          </cell>
          <cell r="L207">
            <v>0.12</v>
          </cell>
          <cell r="M207">
            <v>0.13</v>
          </cell>
          <cell r="N207">
            <v>0.14000000000000001</v>
          </cell>
          <cell r="O207">
            <v>0.15</v>
          </cell>
          <cell r="P207">
            <v>0.39382200137281859</v>
          </cell>
          <cell r="Q207">
            <v>0.25</v>
          </cell>
          <cell r="R207">
            <v>0.3</v>
          </cell>
          <cell r="S207">
            <v>0.4</v>
          </cell>
          <cell r="T207">
            <v>0.4</v>
          </cell>
          <cell r="U207">
            <v>0.4</v>
          </cell>
          <cell r="V207">
            <v>0.4</v>
          </cell>
          <cell r="W207">
            <v>39</v>
          </cell>
          <cell r="X207">
            <v>39</v>
          </cell>
          <cell r="Y207">
            <v>39</v>
          </cell>
          <cell r="Z207">
            <v>39</v>
          </cell>
          <cell r="AA207">
            <v>39</v>
          </cell>
        </row>
        <row r="208">
          <cell r="A208" t="str">
            <v xml:space="preserve">  Additions</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41.179480088495573</v>
          </cell>
          <cell r="X208">
            <v>41.179480088495573</v>
          </cell>
          <cell r="Y208">
            <v>41.179480088495573</v>
          </cell>
          <cell r="Z208">
            <v>41.179480088495573</v>
          </cell>
          <cell r="AA208">
            <v>41.179480088495573</v>
          </cell>
        </row>
        <row r="209">
          <cell r="A209" t="str">
            <v xml:space="preserve">  Uses</v>
          </cell>
          <cell r="G209">
            <v>-1132</v>
          </cell>
          <cell r="H209">
            <v>-1567</v>
          </cell>
          <cell r="I209">
            <v>-1866</v>
          </cell>
          <cell r="J209">
            <v>-869</v>
          </cell>
          <cell r="K209">
            <v>-5434</v>
          </cell>
          <cell r="L209">
            <v>-1283</v>
          </cell>
          <cell r="M209">
            <v>-1124</v>
          </cell>
          <cell r="N209">
            <v>-1514.2829623573091</v>
          </cell>
          <cell r="O209">
            <v>-1292.6590786980605</v>
          </cell>
          <cell r="P209">
            <v>-5213.9420410553648</v>
          </cell>
          <cell r="Q209">
            <v>-1786.0579589446315</v>
          </cell>
          <cell r="R209">
            <v>0</v>
          </cell>
          <cell r="S209">
            <v>0</v>
          </cell>
          <cell r="T209">
            <v>0</v>
          </cell>
          <cell r="U209">
            <v>0</v>
          </cell>
          <cell r="V209">
            <v>0</v>
          </cell>
        </row>
        <row r="210">
          <cell r="A210" t="str">
            <v>Period End Basic Shares</v>
          </cell>
          <cell r="B210">
            <v>2927.2</v>
          </cell>
          <cell r="C210">
            <v>2931.1</v>
          </cell>
          <cell r="D210">
            <v>2868.6</v>
          </cell>
          <cell r="E210">
            <v>2928.8</v>
          </cell>
          <cell r="F210">
            <v>2913.9250000000002</v>
          </cell>
          <cell r="G210">
            <v>2944.8</v>
          </cell>
          <cell r="H210">
            <v>2950.1</v>
          </cell>
          <cell r="I210">
            <v>2976.1</v>
          </cell>
          <cell r="J210">
            <v>2979.4</v>
          </cell>
          <cell r="K210">
            <v>2962.6</v>
          </cell>
          <cell r="L210">
            <v>2966</v>
          </cell>
          <cell r="M210">
            <v>2971</v>
          </cell>
          <cell r="N210">
            <v>2976</v>
          </cell>
          <cell r="O210">
            <v>2981</v>
          </cell>
          <cell r="P210">
            <v>2973.5</v>
          </cell>
          <cell r="Q210">
            <v>2993.5</v>
          </cell>
          <cell r="R210">
            <v>3013.5</v>
          </cell>
          <cell r="S210">
            <v>3033.5</v>
          </cell>
          <cell r="T210">
            <v>3053.5</v>
          </cell>
          <cell r="U210">
            <v>3073.5</v>
          </cell>
          <cell r="V210">
            <v>3093.5</v>
          </cell>
        </row>
        <row r="211">
          <cell r="A211" t="str">
            <v>Net Share Issuance</v>
          </cell>
          <cell r="C211">
            <v>3.9000000000000909</v>
          </cell>
          <cell r="D211">
            <v>-62.5</v>
          </cell>
          <cell r="E211">
            <v>60.200000000000273</v>
          </cell>
          <cell r="F211">
            <v>19377</v>
          </cell>
          <cell r="G211">
            <v>30.875</v>
          </cell>
          <cell r="H211">
            <v>5.2999999999997272</v>
          </cell>
          <cell r="I211">
            <v>26</v>
          </cell>
          <cell r="J211">
            <v>3.3000000000001819</v>
          </cell>
          <cell r="K211">
            <v>7000</v>
          </cell>
          <cell r="L211">
            <v>5</v>
          </cell>
          <cell r="M211">
            <v>5</v>
          </cell>
          <cell r="N211">
            <v>5</v>
          </cell>
          <cell r="O211">
            <v>5</v>
          </cell>
          <cell r="P211">
            <v>1786.0579589446352</v>
          </cell>
          <cell r="Q211">
            <v>20</v>
          </cell>
          <cell r="R211">
            <v>20</v>
          </cell>
          <cell r="S211">
            <v>20</v>
          </cell>
          <cell r="T211">
            <v>20</v>
          </cell>
          <cell r="U211">
            <v>20</v>
          </cell>
          <cell r="V211">
            <v>20</v>
          </cell>
        </row>
        <row r="212">
          <cell r="A212" t="str">
            <v xml:space="preserve">   Net Share Issuance - $</v>
          </cell>
          <cell r="G212">
            <v>19377</v>
          </cell>
          <cell r="H212">
            <v>17916</v>
          </cell>
          <cell r="I212">
            <v>16021</v>
          </cell>
          <cell r="J212">
            <v>13819</v>
          </cell>
          <cell r="K212">
            <v>19377</v>
          </cell>
          <cell r="L212">
            <v>7000</v>
          </cell>
          <cell r="M212">
            <v>5343</v>
          </cell>
          <cell r="N212">
            <v>3838</v>
          </cell>
          <cell r="O212">
            <v>2250</v>
          </cell>
          <cell r="P212">
            <v>7000</v>
          </cell>
          <cell r="Q212">
            <v>4000</v>
          </cell>
          <cell r="R212">
            <v>3130</v>
          </cell>
          <cell r="S212">
            <v>1976</v>
          </cell>
          <cell r="T212">
            <v>939.2150425876905</v>
          </cell>
          <cell r="U212">
            <v>4000</v>
          </cell>
          <cell r="V212">
            <v>70.859050294197914</v>
          </cell>
          <cell r="W212">
            <v>0</v>
          </cell>
          <cell r="X212">
            <v>0</v>
          </cell>
          <cell r="Y212">
            <v>0</v>
          </cell>
          <cell r="Z212">
            <v>0</v>
          </cell>
          <cell r="AA212">
            <v>0</v>
          </cell>
        </row>
        <row r="213">
          <cell r="A213" t="str">
            <v xml:space="preserve">  Additions</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row>
        <row r="214">
          <cell r="A214" t="str">
            <v>Net Issuance/Repurchases</v>
          </cell>
          <cell r="B214">
            <v>0.38</v>
          </cell>
          <cell r="C214">
            <v>0.38</v>
          </cell>
          <cell r="D214">
            <v>0.38</v>
          </cell>
          <cell r="E214">
            <v>0.38</v>
          </cell>
          <cell r="F214">
            <v>0.38</v>
          </cell>
          <cell r="G214">
            <v>0.37</v>
          </cell>
          <cell r="H214">
            <v>0.37</v>
          </cell>
          <cell r="I214">
            <v>36078</v>
          </cell>
          <cell r="J214">
            <v>-11</v>
          </cell>
          <cell r="K214">
            <v>35687</v>
          </cell>
          <cell r="L214">
            <v>715</v>
          </cell>
          <cell r="M214">
            <v>0</v>
          </cell>
          <cell r="N214">
            <v>0</v>
          </cell>
          <cell r="O214">
            <v>0</v>
          </cell>
          <cell r="P214">
            <v>963.99999999999909</v>
          </cell>
          <cell r="Q214">
            <v>0</v>
          </cell>
          <cell r="R214">
            <v>0</v>
          </cell>
          <cell r="S214">
            <v>0</v>
          </cell>
          <cell r="T214">
            <v>0</v>
          </cell>
          <cell r="U214">
            <v>0</v>
          </cell>
          <cell r="V214">
            <v>0</v>
          </cell>
          <cell r="W214">
            <v>0</v>
          </cell>
          <cell r="X214">
            <v>0</v>
          </cell>
          <cell r="Y214">
            <v>0</v>
          </cell>
          <cell r="Z214">
            <v>0</v>
          </cell>
          <cell r="AA214">
            <v>0</v>
          </cell>
          <cell r="AX214" t="str">
            <v>mstag:netIssuanceRepurchaseOfCommonStock</v>
          </cell>
          <cell r="AY214">
            <v>6</v>
          </cell>
          <cell r="AZ214" t="str">
            <v>ISO4217:USD</v>
          </cell>
          <cell r="BA214" t="b">
            <v>0</v>
          </cell>
          <cell r="BB214" t="b">
            <v>0</v>
          </cell>
        </row>
        <row r="215">
          <cell r="A215" t="str">
            <v>Effective Tax Rate</v>
          </cell>
          <cell r="B215">
            <v>0.25570776255707761</v>
          </cell>
          <cell r="C215">
            <v>0.20125786163522014</v>
          </cell>
          <cell r="D215">
            <v>-0.49704360679970438</v>
          </cell>
          <cell r="E215">
            <v>0.24962406015037594</v>
          </cell>
          <cell r="F215">
            <v>-0.27098259979529171</v>
          </cell>
          <cell r="G215">
            <v>3.7985865724381625E-2</v>
          </cell>
          <cell r="H215">
            <v>0.19336311423101468</v>
          </cell>
          <cell r="I215">
            <v>9.6998928188638797E-2</v>
          </cell>
          <cell r="J215">
            <v>0.17376294591484465</v>
          </cell>
          <cell r="K215">
            <v>0.12476996687523004</v>
          </cell>
          <cell r="L215">
            <v>0.19329696024941542</v>
          </cell>
          <cell r="M215">
            <v>0.13790035587188612</v>
          </cell>
          <cell r="N215" t="str">
            <v xml:space="preserve">______ </v>
          </cell>
          <cell r="O215" t="str">
            <v xml:space="preserve">______ </v>
          </cell>
          <cell r="P215" t="str">
            <v xml:space="preserve">______ </v>
          </cell>
          <cell r="Q215" t="str">
            <v xml:space="preserve">______ </v>
          </cell>
          <cell r="R215" t="str">
            <v xml:space="preserve">______ </v>
          </cell>
          <cell r="S215" t="str">
            <v xml:space="preserve">______ </v>
          </cell>
          <cell r="T215" t="str">
            <v xml:space="preserve">______ </v>
          </cell>
          <cell r="U215" t="str">
            <v xml:space="preserve">______ </v>
          </cell>
          <cell r="V215" t="str">
            <v xml:space="preserve">______ </v>
          </cell>
          <cell r="W215" t="str">
            <v xml:space="preserve">______ </v>
          </cell>
          <cell r="X215" t="str">
            <v xml:space="preserve">______ </v>
          </cell>
          <cell r="Y215" t="str">
            <v xml:space="preserve">______ </v>
          </cell>
          <cell r="Z215" t="str">
            <v xml:space="preserve">______ </v>
          </cell>
          <cell r="AA215" t="str">
            <v xml:space="preserve">______ </v>
          </cell>
        </row>
        <row r="216">
          <cell r="A216" t="str">
            <v>Ending Balance</v>
          </cell>
          <cell r="F216">
            <v>19377</v>
          </cell>
          <cell r="G216">
            <v>17916</v>
          </cell>
          <cell r="H216">
            <v>16021</v>
          </cell>
          <cell r="I216">
            <v>13819</v>
          </cell>
          <cell r="J216">
            <v>12602</v>
          </cell>
          <cell r="K216">
            <v>7000</v>
          </cell>
          <cell r="L216">
            <v>5343</v>
          </cell>
          <cell r="M216">
            <v>3838</v>
          </cell>
          <cell r="N216">
            <v>2250</v>
          </cell>
          <cell r="O216">
            <v>4000</v>
          </cell>
          <cell r="P216">
            <v>4000</v>
          </cell>
          <cell r="Q216">
            <v>3130</v>
          </cell>
          <cell r="R216">
            <v>1976</v>
          </cell>
          <cell r="S216">
            <v>939.2150425876905</v>
          </cell>
          <cell r="T216">
            <v>70.859050294195185</v>
          </cell>
          <cell r="U216">
            <v>70.859050294197914</v>
          </cell>
          <cell r="V216">
            <v>0</v>
          </cell>
          <cell r="W216">
            <v>0</v>
          </cell>
          <cell r="X216">
            <v>0</v>
          </cell>
          <cell r="Y216">
            <v>0</v>
          </cell>
          <cell r="Z216">
            <v>0</v>
          </cell>
          <cell r="AA216">
            <v>0</v>
          </cell>
        </row>
        <row r="217">
          <cell r="A217" t="str">
            <v>ROIC Calculation</v>
          </cell>
          <cell r="I217">
            <v>1.6204272035354777E-2</v>
          </cell>
        </row>
        <row r="218">
          <cell r="A218" t="str">
            <v>Tax-Affected EBIT</v>
          </cell>
          <cell r="B218">
            <v>2927.2</v>
          </cell>
          <cell r="C218">
            <v>2931.1</v>
          </cell>
          <cell r="D218">
            <v>2868.6</v>
          </cell>
          <cell r="E218">
            <v>2928.8</v>
          </cell>
          <cell r="F218">
            <v>2913.9250000000002</v>
          </cell>
          <cell r="G218">
            <v>2944.8</v>
          </cell>
          <cell r="H218">
            <v>2950.1</v>
          </cell>
          <cell r="I218">
            <v>792</v>
          </cell>
          <cell r="J218">
            <v>2979.4</v>
          </cell>
          <cell r="K218">
            <v>2962.6</v>
          </cell>
          <cell r="L218">
            <v>2992.8</v>
          </cell>
          <cell r="M218">
            <v>3002.9</v>
          </cell>
          <cell r="N218">
            <v>3007.9</v>
          </cell>
          <cell r="O218">
            <v>3012.9</v>
          </cell>
          <cell r="P218">
            <v>3004.125</v>
          </cell>
          <cell r="Q218">
            <v>3032.9</v>
          </cell>
          <cell r="R218">
            <v>3052.9</v>
          </cell>
          <cell r="S218">
            <v>3072.9</v>
          </cell>
          <cell r="T218">
            <v>3092.9</v>
          </cell>
          <cell r="U218">
            <v>3112.9</v>
          </cell>
          <cell r="V218">
            <v>3132.9</v>
          </cell>
        </row>
        <row r="219">
          <cell r="A219" t="str">
            <v>Net Share Issuance</v>
          </cell>
          <cell r="B219">
            <v>0.38</v>
          </cell>
          <cell r="C219">
            <v>3.9000000000000909</v>
          </cell>
          <cell r="D219">
            <v>-62.5</v>
          </cell>
          <cell r="E219">
            <v>60.200000000000273</v>
          </cell>
          <cell r="F219">
            <v>0.38</v>
          </cell>
          <cell r="G219">
            <v>30.875</v>
          </cell>
          <cell r="H219">
            <v>5.2999999999997272</v>
          </cell>
          <cell r="I219">
            <v>26</v>
          </cell>
          <cell r="J219">
            <v>3.3000000000001819</v>
          </cell>
          <cell r="K219">
            <v>0.375</v>
          </cell>
          <cell r="L219">
            <v>13.400000000000091</v>
          </cell>
          <cell r="M219">
            <v>40.300000000000182</v>
          </cell>
          <cell r="N219">
            <v>5</v>
          </cell>
          <cell r="O219">
            <v>5</v>
          </cell>
          <cell r="P219">
            <v>0.375</v>
          </cell>
          <cell r="Q219">
            <v>20</v>
          </cell>
          <cell r="R219">
            <v>20</v>
          </cell>
          <cell r="S219">
            <v>20</v>
          </cell>
          <cell r="T219">
            <v>20</v>
          </cell>
          <cell r="U219">
            <v>20</v>
          </cell>
          <cell r="V219">
            <v>20</v>
          </cell>
          <cell r="W219">
            <v>0.375</v>
          </cell>
          <cell r="X219">
            <v>0.375</v>
          </cell>
          <cell r="Y219">
            <v>0.375</v>
          </cell>
          <cell r="Z219">
            <v>0.375</v>
          </cell>
          <cell r="AA219">
            <v>0.375</v>
          </cell>
          <cell r="BC219" t="str">
            <v>mstag:statutoryTaxRate</v>
          </cell>
          <cell r="BD219">
            <v>0</v>
          </cell>
          <cell r="BE219" t="str">
            <v>ms_eqr_gcim_Decimal:ms_eqr_gcim_decimal</v>
          </cell>
          <cell r="BF219" t="b">
            <v>0</v>
          </cell>
          <cell r="BG219" t="b">
            <v>0</v>
          </cell>
        </row>
        <row r="220">
          <cell r="A220" t="str">
            <v>Net Assets Employed</v>
          </cell>
          <cell r="B220">
            <v>0.25570776255707761</v>
          </cell>
          <cell r="C220">
            <v>0.20125786163522014</v>
          </cell>
          <cell r="D220">
            <v>-0.49704360679970438</v>
          </cell>
          <cell r="E220">
            <v>0.24962406015037594</v>
          </cell>
          <cell r="F220">
            <v>-0.27098259979529171</v>
          </cell>
          <cell r="G220">
            <v>0.25462012320328542</v>
          </cell>
          <cell r="H220">
            <v>38370</v>
          </cell>
          <cell r="I220">
            <v>59382</v>
          </cell>
          <cell r="J220">
            <v>0.41002465078060807</v>
          </cell>
          <cell r="K220">
            <v>0.29800738007380073</v>
          </cell>
          <cell r="L220">
            <v>0.37537718768859385</v>
          </cell>
          <cell r="M220">
            <v>0.35614617940199333</v>
          </cell>
          <cell r="N220">
            <v>0.40302267002518893</v>
          </cell>
          <cell r="O220">
            <v>0.38438880706921946</v>
          </cell>
          <cell r="P220">
            <v>0.37982973149967258</v>
          </cell>
          <cell r="Q220">
            <v>0.38850574712643676</v>
          </cell>
          <cell r="R220">
            <v>0.37694974003466203</v>
          </cell>
        </row>
        <row r="222">
          <cell r="A222" t="str">
            <v>FCF Calculation</v>
          </cell>
          <cell r="I222">
            <v>36078</v>
          </cell>
          <cell r="J222">
            <v>-11</v>
          </cell>
          <cell r="K222">
            <v>33677</v>
          </cell>
          <cell r="L222">
            <v>-277.18</v>
          </cell>
          <cell r="M222">
            <v>299.82</v>
          </cell>
          <cell r="N222">
            <v>-1075.1975000000034</v>
          </cell>
          <cell r="O222">
            <v>-75.322499999994079</v>
          </cell>
          <cell r="P222">
            <v>-1127.8799999999976</v>
          </cell>
          <cell r="Q222">
            <v>0</v>
          </cell>
          <cell r="R222">
            <v>0</v>
          </cell>
          <cell r="S222">
            <v>0</v>
          </cell>
          <cell r="T222">
            <v>0</v>
          </cell>
          <cell r="U222">
            <v>0</v>
          </cell>
          <cell r="V222">
            <v>0</v>
          </cell>
          <cell r="AX222" t="str">
            <v>mstag:netIssuanceRepurchaseOfCommonStock</v>
          </cell>
          <cell r="AY222">
            <v>6</v>
          </cell>
          <cell r="AZ222" t="str">
            <v>ISO4217:USD</v>
          </cell>
          <cell r="BA222" t="b">
            <v>0</v>
          </cell>
          <cell r="BB222" t="b">
            <v>0</v>
          </cell>
        </row>
        <row r="223">
          <cell r="A223" t="str">
            <v xml:space="preserve"> EBITDA</v>
          </cell>
          <cell r="B223">
            <v>2927.2</v>
          </cell>
          <cell r="C223">
            <v>2931.1</v>
          </cell>
          <cell r="D223">
            <v>2868.6</v>
          </cell>
          <cell r="E223">
            <v>2928.8</v>
          </cell>
          <cell r="F223">
            <v>2913.9250000000002</v>
          </cell>
          <cell r="G223">
            <v>2944.8</v>
          </cell>
          <cell r="H223">
            <v>2950.1</v>
          </cell>
          <cell r="I223">
            <v>3671</v>
          </cell>
          <cell r="J223">
            <v>3109</v>
          </cell>
          <cell r="K223">
            <v>13741</v>
          </cell>
          <cell r="L223">
            <v>2832</v>
          </cell>
          <cell r="M223">
            <v>2915.6604442649896</v>
          </cell>
          <cell r="N223">
            <v>3115.3452878419121</v>
          </cell>
          <cell r="O223">
            <v>3015.1400172204803</v>
          </cell>
          <cell r="P223">
            <v>11878.145749327385</v>
          </cell>
          <cell r="Q223">
            <v>13556.976233677182</v>
          </cell>
          <cell r="R223">
            <v>14676.60129799576</v>
          </cell>
          <cell r="S223">
            <v>15154.333756847824</v>
          </cell>
          <cell r="T223">
            <v>15473.084740961218</v>
          </cell>
          <cell r="U223">
            <v>15704.650479664677</v>
          </cell>
          <cell r="V223">
            <v>15875.805083095413</v>
          </cell>
          <cell r="W223">
            <v>2884</v>
          </cell>
          <cell r="X223">
            <v>2884</v>
          </cell>
          <cell r="Y223">
            <v>2884</v>
          </cell>
          <cell r="Z223">
            <v>2884</v>
          </cell>
          <cell r="AA223">
            <v>2884</v>
          </cell>
        </row>
        <row r="224">
          <cell r="A224" t="str">
            <v xml:space="preserve"> - Capex</v>
          </cell>
          <cell r="C224">
            <v>3.9000000000000909</v>
          </cell>
          <cell r="D224">
            <v>-62.5</v>
          </cell>
          <cell r="E224">
            <v>60.200000000000273</v>
          </cell>
          <cell r="G224">
            <v>30.875</v>
          </cell>
          <cell r="H224">
            <v>5.2999999999997272</v>
          </cell>
          <cell r="I224">
            <v>1588</v>
          </cell>
          <cell r="J224">
            <v>2004</v>
          </cell>
          <cell r="K224">
            <v>8016</v>
          </cell>
          <cell r="L224">
            <v>1342</v>
          </cell>
          <cell r="M224">
            <v>1690.9622442043708</v>
          </cell>
          <cell r="N224">
            <v>1672.8353842117594</v>
          </cell>
          <cell r="O224">
            <v>1881.2078518243479</v>
          </cell>
          <cell r="P224">
            <v>6587.0054802404775</v>
          </cell>
          <cell r="Q224">
            <v>6974.4731801675016</v>
          </cell>
          <cell r="R224">
            <v>6742.2891344880773</v>
          </cell>
          <cell r="S224">
            <v>6405.6015079967119</v>
          </cell>
          <cell r="T224">
            <v>6032.3176736238438</v>
          </cell>
          <cell r="U224">
            <v>5970.0059723610484</v>
          </cell>
          <cell r="V224">
            <v>5905.9777779320411</v>
          </cell>
          <cell r="W224">
            <v>0</v>
          </cell>
          <cell r="X224">
            <v>0</v>
          </cell>
          <cell r="Y224">
            <v>0</v>
          </cell>
          <cell r="Z224">
            <v>0</v>
          </cell>
          <cell r="AA224">
            <v>0</v>
          </cell>
        </row>
        <row r="225">
          <cell r="A225" t="str">
            <v xml:space="preserve"> - Net Cash Interest Expense</v>
          </cell>
          <cell r="I225">
            <v>322.75</v>
          </cell>
          <cell r="J225">
            <v>322.75</v>
          </cell>
          <cell r="K225">
            <v>1291</v>
          </cell>
          <cell r="L225">
            <v>0</v>
          </cell>
          <cell r="M225">
            <v>0</v>
          </cell>
          <cell r="N225">
            <v>0</v>
          </cell>
          <cell r="O225">
            <v>0</v>
          </cell>
          <cell r="P225">
            <v>0</v>
          </cell>
          <cell r="Q225">
            <v>0</v>
          </cell>
          <cell r="R225">
            <v>0</v>
          </cell>
          <cell r="S225">
            <v>0</v>
          </cell>
          <cell r="T225">
            <v>0</v>
          </cell>
          <cell r="U225">
            <v>0</v>
          </cell>
          <cell r="V225">
            <v>1</v>
          </cell>
          <cell r="W225">
            <v>0</v>
          </cell>
          <cell r="X225">
            <v>0</v>
          </cell>
          <cell r="Y225">
            <v>0</v>
          </cell>
          <cell r="Z225">
            <v>0</v>
          </cell>
          <cell r="AA225">
            <v>0</v>
          </cell>
          <cell r="BC225" t="str">
            <v>mstag:netIssuanceRepurchaseOfCommonStock</v>
          </cell>
          <cell r="BD225">
            <v>6</v>
          </cell>
          <cell r="BE225" t="str">
            <v>ISO4217:USD</v>
          </cell>
          <cell r="BF225" t="b">
            <v>0</v>
          </cell>
          <cell r="BG225" t="b">
            <v>0</v>
          </cell>
        </row>
        <row r="226">
          <cell r="A226" t="str">
            <v xml:space="preserve"> - Working Capital (1% of revenues)</v>
          </cell>
          <cell r="I226">
            <v>112.09</v>
          </cell>
          <cell r="J226">
            <v>112.96000000000001</v>
          </cell>
          <cell r="K226">
            <v>440.69</v>
          </cell>
          <cell r="L226">
            <v>100.42</v>
          </cell>
          <cell r="M226">
            <v>102.363417872372</v>
          </cell>
          <cell r="N226">
            <v>102.78916499004193</v>
          </cell>
          <cell r="O226">
            <v>103.52075050864374</v>
          </cell>
          <cell r="P226">
            <v>409.09333337105767</v>
          </cell>
          <cell r="Q226">
            <v>422.69150480394768</v>
          </cell>
          <cell r="R226">
            <v>430.61786192682274</v>
          </cell>
          <cell r="S226">
            <v>432.08393261010451</v>
          </cell>
          <cell r="T226">
            <v>430.35531936414816</v>
          </cell>
          <cell r="U226">
            <v>427.86847014065461</v>
          </cell>
          <cell r="V226">
            <v>424.86103634005769</v>
          </cell>
        </row>
        <row r="227">
          <cell r="A227" t="str">
            <v xml:space="preserve"> -  Cash Taxes</v>
          </cell>
          <cell r="I227">
            <v>34.5</v>
          </cell>
          <cell r="J227">
            <v>34.5</v>
          </cell>
          <cell r="K227">
            <v>138</v>
          </cell>
          <cell r="L227">
            <v>0</v>
          </cell>
          <cell r="M227">
            <v>0</v>
          </cell>
          <cell r="N227">
            <v>0</v>
          </cell>
          <cell r="O227">
            <v>0</v>
          </cell>
          <cell r="P227">
            <v>0</v>
          </cell>
          <cell r="Q227">
            <v>0</v>
          </cell>
          <cell r="R227">
            <v>0</v>
          </cell>
          <cell r="S227">
            <v>0</v>
          </cell>
          <cell r="T227">
            <v>0</v>
          </cell>
          <cell r="U227">
            <v>0</v>
          </cell>
          <cell r="V227">
            <v>1</v>
          </cell>
        </row>
        <row r="228">
          <cell r="A228" t="str">
            <v>Net Assets Employed</v>
          </cell>
          <cell r="H228">
            <v>38370</v>
          </cell>
          <cell r="I228">
            <v>59382</v>
          </cell>
        </row>
        <row r="229">
          <cell r="A229" t="str">
            <v>Total Free Cash Flow</v>
          </cell>
          <cell r="I229">
            <v>1613.66</v>
          </cell>
          <cell r="J229">
            <v>634.79</v>
          </cell>
          <cell r="K229">
            <v>3855.31</v>
          </cell>
          <cell r="L229">
            <v>1389.58</v>
          </cell>
          <cell r="M229">
            <v>1122.3347821882467</v>
          </cell>
          <cell r="N229">
            <v>1339.7207386401108</v>
          </cell>
          <cell r="O229">
            <v>1030.4114148874887</v>
          </cell>
          <cell r="P229">
            <v>4882.0469357158499</v>
          </cell>
          <cell r="Q229">
            <v>6159.811548705733</v>
          </cell>
          <cell r="R229">
            <v>7503.6943015808592</v>
          </cell>
          <cell r="S229">
            <v>8316.6483162410077</v>
          </cell>
          <cell r="T229">
            <v>9010.4117479732267</v>
          </cell>
          <cell r="U229">
            <v>9306.7760371629738</v>
          </cell>
          <cell r="V229">
            <v>9542.9662688233129</v>
          </cell>
          <cell r="W229">
            <v>11921.177870073114</v>
          </cell>
          <cell r="X229">
            <v>12982.202609923852</v>
          </cell>
          <cell r="Y229">
            <v>13809.461621482547</v>
          </cell>
          <cell r="Z229">
            <v>15032.482952207352</v>
          </cell>
          <cell r="AA229">
            <v>16303.445633443373</v>
          </cell>
        </row>
        <row r="230">
          <cell r="A230" t="str">
            <v xml:space="preserve"> % Change</v>
          </cell>
          <cell r="I230">
            <v>1588</v>
          </cell>
          <cell r="J230">
            <v>2004</v>
          </cell>
          <cell r="K230">
            <v>8016</v>
          </cell>
          <cell r="L230">
            <v>1342</v>
          </cell>
          <cell r="M230">
            <v>1264</v>
          </cell>
          <cell r="N230">
            <v>1843</v>
          </cell>
          <cell r="O230">
            <v>2612</v>
          </cell>
          <cell r="P230">
            <v>0.26631760758949352</v>
          </cell>
          <cell r="Q230">
            <v>0.26172722831525297</v>
          </cell>
          <cell r="R230">
            <v>0.21816945895974627</v>
          </cell>
          <cell r="S230">
            <v>0.10834050295584108</v>
          </cell>
          <cell r="T230">
            <v>8.3418632765487555E-2</v>
          </cell>
          <cell r="U230">
            <v>3.2891314789960768E-2</v>
          </cell>
          <cell r="V230">
            <v>2.5378308311837072E-2</v>
          </cell>
          <cell r="W230">
            <v>7111.0614721153452</v>
          </cell>
          <cell r="X230">
            <v>7418.875852557866</v>
          </cell>
          <cell r="Y230">
            <v>6308.3600272371787</v>
          </cell>
          <cell r="Z230">
            <v>6312.0900841614475</v>
          </cell>
          <cell r="AA230">
            <v>6399.1348256944993</v>
          </cell>
        </row>
        <row r="231">
          <cell r="A231" t="str">
            <v xml:space="preserve"> EBITDA</v>
          </cell>
          <cell r="I231">
            <v>3671</v>
          </cell>
          <cell r="J231">
            <v>3109</v>
          </cell>
          <cell r="K231">
            <v>13741</v>
          </cell>
          <cell r="L231">
            <v>3641</v>
          </cell>
          <cell r="M231">
            <v>3219</v>
          </cell>
          <cell r="N231">
            <v>3255.1414343453953</v>
          </cell>
          <cell r="O231">
            <v>3068.1456437861934</v>
          </cell>
          <cell r="P231">
            <v>13183.287078131583</v>
          </cell>
          <cell r="Q231">
            <v>13155.841796470078</v>
          </cell>
          <cell r="R231">
            <v>13891.279272595253</v>
          </cell>
          <cell r="S231">
            <v>14388.644847397067</v>
          </cell>
          <cell r="T231">
            <v>14778.903283391257</v>
          </cell>
          <cell r="U231">
            <v>15073.940774459355</v>
          </cell>
          <cell r="V231">
            <v>15289.053553848142</v>
          </cell>
          <cell r="W231">
            <v>1313</v>
          </cell>
          <cell r="X231">
            <v>1313</v>
          </cell>
          <cell r="Y231">
            <v>1313</v>
          </cell>
          <cell r="Z231">
            <v>1313</v>
          </cell>
          <cell r="AA231">
            <v>1313</v>
          </cell>
        </row>
        <row r="232">
          <cell r="A232" t="str">
            <v>Free Cash Flow Yield</v>
          </cell>
          <cell r="I232">
            <v>9.2932837414327493E-2</v>
          </cell>
          <cell r="J232">
            <v>3.6558405030948864E-2</v>
          </cell>
          <cell r="K232">
            <v>5.5508114691420578E-2</v>
          </cell>
          <cell r="L232">
            <v>8.0027770542866014E-2</v>
          </cell>
          <cell r="M232">
            <v>6.4636761050992766E-2</v>
          </cell>
          <cell r="N232">
            <v>7.7156309002295489E-2</v>
          </cell>
          <cell r="O232">
            <v>5.9342771395217167E-2</v>
          </cell>
          <cell r="P232">
            <v>0.28116361199137169</v>
          </cell>
          <cell r="Q232">
            <v>0.35475178486097858</v>
          </cell>
          <cell r="R232">
            <v>0.43214778982910257</v>
          </cell>
          <cell r="S232">
            <v>0.47896689873044263</v>
          </cell>
          <cell r="T232">
            <v>0.51892166256246186</v>
          </cell>
          <cell r="U232">
            <v>0.53598967831713351</v>
          </cell>
          <cell r="V232">
            <v>0.54959218962542811</v>
          </cell>
          <cell r="W232">
            <v>417.0853517876111</v>
          </cell>
          <cell r="X232">
            <v>426.75984464516966</v>
          </cell>
          <cell r="Y232">
            <v>434.95699548516484</v>
          </cell>
          <cell r="Z232">
            <v>441.835479698683</v>
          </cell>
          <cell r="AA232">
            <v>448.14030208038747</v>
          </cell>
        </row>
        <row r="233">
          <cell r="A233" t="str">
            <v xml:space="preserve">Market Cap </v>
          </cell>
          <cell r="I233">
            <v>69454.89</v>
          </cell>
          <cell r="J233">
            <v>322.75</v>
          </cell>
          <cell r="K233">
            <v>1291</v>
          </cell>
          <cell r="L233">
            <v>369</v>
          </cell>
          <cell r="M233">
            <v>0</v>
          </cell>
          <cell r="N233">
            <v>0</v>
          </cell>
          <cell r="O233">
            <v>0</v>
          </cell>
          <cell r="P233">
            <v>0</v>
          </cell>
          <cell r="Q233">
            <v>0</v>
          </cell>
          <cell r="R233">
            <v>0</v>
          </cell>
          <cell r="S233">
            <v>0</v>
          </cell>
          <cell r="T233">
            <v>0</v>
          </cell>
          <cell r="U233">
            <v>0</v>
          </cell>
          <cell r="V233">
            <v>1</v>
          </cell>
          <cell r="W233">
            <v>1507.8500562483314</v>
          </cell>
          <cell r="X233">
            <v>1806.2781078192766</v>
          </cell>
          <cell r="Y233">
            <v>1970.3515160941861</v>
          </cell>
          <cell r="Z233">
            <v>2290.6223995251967</v>
          </cell>
          <cell r="AA233">
            <v>2437.1849248784324</v>
          </cell>
        </row>
        <row r="234">
          <cell r="A234" t="str">
            <v xml:space="preserve"> - Working Capital (1% of revenues)</v>
          </cell>
          <cell r="I234">
            <v>112.09</v>
          </cell>
          <cell r="J234">
            <v>112.96000000000001</v>
          </cell>
          <cell r="K234">
            <v>440.69</v>
          </cell>
          <cell r="L234">
            <v>115.48</v>
          </cell>
          <cell r="M234">
            <v>100.14</v>
          </cell>
          <cell r="N234">
            <v>105.47484359651388</v>
          </cell>
          <cell r="O234">
            <v>106.95238213427096</v>
          </cell>
          <cell r="P234">
            <v>428.04722573078476</v>
          </cell>
          <cell r="Q234">
            <v>433.18847960653329</v>
          </cell>
          <cell r="R234">
            <v>442.44697982381285</v>
          </cell>
          <cell r="S234">
            <v>448.02025261900405</v>
          </cell>
          <cell r="T234">
            <v>451.08417775537754</v>
          </cell>
          <cell r="U234">
            <v>452.10020102230584</v>
          </cell>
          <cell r="V234">
            <v>451.55505245962371</v>
          </cell>
        </row>
        <row r="235">
          <cell r="A235" t="str">
            <v xml:space="preserve"> -  Cash Taxes</v>
          </cell>
          <cell r="I235">
            <v>34.5</v>
          </cell>
          <cell r="J235">
            <v>34.5</v>
          </cell>
          <cell r="K235">
            <v>138</v>
          </cell>
          <cell r="L235">
            <v>81</v>
          </cell>
          <cell r="M235">
            <v>0</v>
          </cell>
          <cell r="N235">
            <v>0</v>
          </cell>
          <cell r="O235">
            <v>0</v>
          </cell>
          <cell r="P235">
            <v>0</v>
          </cell>
          <cell r="Q235">
            <v>0</v>
          </cell>
          <cell r="R235">
            <v>0</v>
          </cell>
          <cell r="S235">
            <v>0</v>
          </cell>
          <cell r="T235">
            <v>0</v>
          </cell>
          <cell r="U235">
            <v>0</v>
          </cell>
          <cell r="V235">
            <v>1</v>
          </cell>
          <cell r="W235">
            <v>1572.180989921826</v>
          </cell>
          <cell r="X235">
            <v>2017.2888049015396</v>
          </cell>
          <cell r="Y235">
            <v>3782.7930826660177</v>
          </cell>
          <cell r="Z235">
            <v>4674.9349888220249</v>
          </cell>
          <cell r="AA235">
            <v>5705.9855807900531</v>
          </cell>
        </row>
        <row r="236">
          <cell r="A236" t="str">
            <v>Average PP&amp;E Life</v>
          </cell>
          <cell r="B236">
            <v>6</v>
          </cell>
          <cell r="P236">
            <v>0.134533928529742</v>
          </cell>
          <cell r="U236">
            <v>-0.58859003380247921</v>
          </cell>
          <cell r="V236">
            <v>-1.2814337004298315</v>
          </cell>
          <cell r="W236">
            <v>-4.1043797274681317</v>
          </cell>
          <cell r="X236">
            <v>0.2831148689832752</v>
          </cell>
          <cell r="Y236">
            <v>0.8751866730607516</v>
          </cell>
          <cell r="Z236">
            <v>0.23584211101688068</v>
          </cell>
          <cell r="AA236">
            <v>0.22054864814875841</v>
          </cell>
        </row>
        <row r="237">
          <cell r="A237" t="str">
            <v>PP&amp;E Retirements</v>
          </cell>
          <cell r="I237">
            <v>1613.66</v>
          </cell>
          <cell r="J237">
            <v>634.79</v>
          </cell>
          <cell r="K237">
            <v>3855.31</v>
          </cell>
          <cell r="L237">
            <v>1733.52</v>
          </cell>
          <cell r="M237">
            <v>1854.86</v>
          </cell>
          <cell r="N237">
            <v>1345.7492409932813</v>
          </cell>
          <cell r="O237">
            <v>770.22977062951804</v>
          </cell>
          <cell r="P237">
            <v>6154.3590116227933</v>
          </cell>
          <cell r="Q237">
            <v>6762.0347689286409</v>
          </cell>
          <cell r="R237">
            <v>7713.9773369305785</v>
          </cell>
          <cell r="S237">
            <v>8469.3065099471169</v>
          </cell>
          <cell r="T237">
            <v>9152.8025730118115</v>
          </cell>
          <cell r="U237">
            <v>9444.4404606349181</v>
          </cell>
          <cell r="V237">
            <v>9673.4663529698319</v>
          </cell>
        </row>
        <row r="238">
          <cell r="A238" t="str">
            <v>Capital Expenditures</v>
          </cell>
          <cell r="I238">
            <v>1588</v>
          </cell>
          <cell r="J238">
            <v>2004</v>
          </cell>
          <cell r="K238">
            <v>5.8310269480681041E-2</v>
          </cell>
          <cell r="L238">
            <v>1342</v>
          </cell>
          <cell r="M238">
            <v>1690.9622442043708</v>
          </cell>
          <cell r="N238">
            <v>1672.8353842117594</v>
          </cell>
          <cell r="O238">
            <v>1881.2078518243479</v>
          </cell>
          <cell r="P238">
            <v>0.59633311241451237</v>
          </cell>
          <cell r="Q238">
            <v>6974.4731801675016</v>
          </cell>
          <cell r="R238">
            <v>6742.2891344880773</v>
          </cell>
          <cell r="S238">
            <v>6405.6015079967119</v>
          </cell>
          <cell r="T238">
            <v>6032.3176736238438</v>
          </cell>
          <cell r="U238">
            <v>5970.0059723610484</v>
          </cell>
          <cell r="V238">
            <v>5905.9777779320411</v>
          </cell>
          <cell r="W238">
            <v>9.5114838697532039E-2</v>
          </cell>
          <cell r="X238">
            <v>0.12204326379374916</v>
          </cell>
          <cell r="Y238">
            <v>0.22885390180287618</v>
          </cell>
          <cell r="Z238">
            <v>0.2828272891185164</v>
          </cell>
          <cell r="AA238">
            <v>0.34520446539318322</v>
          </cell>
        </row>
        <row r="239">
          <cell r="A239" t="str">
            <v xml:space="preserve">  Existing Depreciation</v>
          </cell>
          <cell r="I239">
            <v>1512</v>
          </cell>
          <cell r="J239">
            <v>1569</v>
          </cell>
          <cell r="L239">
            <v>1503.625</v>
          </cell>
          <cell r="M239">
            <v>1440.9739583333335</v>
          </cell>
          <cell r="N239">
            <v>1380.9333767361113</v>
          </cell>
          <cell r="O239">
            <v>1323.3944860387735</v>
          </cell>
          <cell r="Q239">
            <v>4411.3149534625782</v>
          </cell>
          <cell r="R239">
            <v>3676.0957945521486</v>
          </cell>
          <cell r="S239">
            <v>3063.4131621267907</v>
          </cell>
          <cell r="T239">
            <v>2552.8443017723257</v>
          </cell>
          <cell r="U239">
            <v>2127.3702514769384</v>
          </cell>
          <cell r="V239">
            <v>1772.8085428974487</v>
          </cell>
        </row>
        <row r="240">
          <cell r="A240" t="str">
            <v xml:space="preserve">  New Depreciation</v>
          </cell>
          <cell r="I240">
            <v>0</v>
          </cell>
          <cell r="J240">
            <v>0</v>
          </cell>
          <cell r="K240">
            <v>5.5508114691420578E-2</v>
          </cell>
          <cell r="L240">
            <v>0</v>
          </cell>
          <cell r="M240">
            <v>0</v>
          </cell>
          <cell r="N240">
            <v>0</v>
          </cell>
          <cell r="O240">
            <v>0</v>
          </cell>
          <cell r="P240">
            <v>0.35443776595846849</v>
          </cell>
          <cell r="Q240">
            <v>0</v>
          </cell>
          <cell r="R240">
            <v>0</v>
          </cell>
          <cell r="S240">
            <v>0</v>
          </cell>
          <cell r="T240">
            <v>0</v>
          </cell>
          <cell r="U240">
            <v>0</v>
          </cell>
          <cell r="V240">
            <v>0</v>
          </cell>
        </row>
        <row r="241">
          <cell r="A241" t="str">
            <v xml:space="preserve">Market Cap </v>
          </cell>
          <cell r="I241">
            <v>0</v>
          </cell>
          <cell r="J241">
            <v>0</v>
          </cell>
          <cell r="L241">
            <v>0</v>
          </cell>
          <cell r="M241">
            <v>0</v>
          </cell>
          <cell r="N241">
            <v>0</v>
          </cell>
          <cell r="O241">
            <v>0</v>
          </cell>
          <cell r="Q241">
            <v>0</v>
          </cell>
          <cell r="R241">
            <v>0</v>
          </cell>
          <cell r="S241">
            <v>0</v>
          </cell>
          <cell r="T241">
            <v>0</v>
          </cell>
          <cell r="U241">
            <v>0</v>
          </cell>
          <cell r="V241">
            <v>0</v>
          </cell>
        </row>
        <row r="242">
          <cell r="A242" t="str">
            <v>Average PP&amp;E Life</v>
          </cell>
          <cell r="B242">
            <v>6</v>
          </cell>
          <cell r="J242">
            <v>0</v>
          </cell>
          <cell r="L242">
            <v>0</v>
          </cell>
          <cell r="M242">
            <v>0</v>
          </cell>
          <cell r="N242">
            <v>0</v>
          </cell>
          <cell r="O242">
            <v>0</v>
          </cell>
          <cell r="Q242">
            <v>0</v>
          </cell>
          <cell r="R242">
            <v>0</v>
          </cell>
          <cell r="S242">
            <v>0</v>
          </cell>
          <cell r="T242">
            <v>0</v>
          </cell>
          <cell r="U242">
            <v>0</v>
          </cell>
          <cell r="V242">
            <v>0</v>
          </cell>
        </row>
        <row r="243">
          <cell r="A243" t="str">
            <v>PP&amp;E Retirements</v>
          </cell>
          <cell r="L243">
            <v>27.958333333333332</v>
          </cell>
          <cell r="M243">
            <v>55.916666666666664</v>
          </cell>
          <cell r="N243">
            <v>55.916666666666664</v>
          </cell>
          <cell r="O243">
            <v>55.916666666666664</v>
          </cell>
          <cell r="Q243">
            <v>223.66666666666666</v>
          </cell>
          <cell r="R243">
            <v>223.66666666666666</v>
          </cell>
          <cell r="S243">
            <v>223.66666666666666</v>
          </cell>
          <cell r="T243">
            <v>223.66666666666666</v>
          </cell>
          <cell r="U243">
            <v>223.66666666666666</v>
          </cell>
          <cell r="V243">
            <v>27.958333333333258</v>
          </cell>
        </row>
        <row r="244">
          <cell r="A244" t="str">
            <v>Average PP&amp;E Life</v>
          </cell>
          <cell r="B244">
            <v>6</v>
          </cell>
          <cell r="I244">
            <v>0</v>
          </cell>
          <cell r="J244">
            <v>0</v>
          </cell>
          <cell r="L244">
            <v>0</v>
          </cell>
          <cell r="M244">
            <v>35.228380087591056</v>
          </cell>
          <cell r="N244">
            <v>70.456760175182112</v>
          </cell>
          <cell r="O244">
            <v>70.456760175182112</v>
          </cell>
          <cell r="Q244">
            <v>281.82704070072845</v>
          </cell>
          <cell r="R244">
            <v>281.82704070072845</v>
          </cell>
          <cell r="S244">
            <v>281.82704070072845</v>
          </cell>
          <cell r="T244">
            <v>281.82704070072845</v>
          </cell>
          <cell r="U244">
            <v>281.82704070072845</v>
          </cell>
          <cell r="V244">
            <v>105.68514026277307</v>
          </cell>
          <cell r="W244">
            <v>7111.0614721153452</v>
          </cell>
          <cell r="X244">
            <v>7418.875852557866</v>
          </cell>
          <cell r="Y244">
            <v>6308.3600272371787</v>
          </cell>
          <cell r="Z244">
            <v>6312.0900841614475</v>
          </cell>
          <cell r="AA244">
            <v>6399.1348256944993</v>
          </cell>
        </row>
        <row r="245">
          <cell r="A245" t="str">
            <v>PP&amp;E Retirements</v>
          </cell>
          <cell r="I245">
            <v>1512</v>
          </cell>
          <cell r="J245">
            <v>1569</v>
          </cell>
          <cell r="L245">
            <v>1668</v>
          </cell>
          <cell r="M245">
            <v>1396</v>
          </cell>
          <cell r="N245">
            <v>34.850737171078322</v>
          </cell>
          <cell r="O245">
            <v>69.701474342156644</v>
          </cell>
          <cell r="Q245">
            <v>278.80589736862657</v>
          </cell>
          <cell r="R245">
            <v>278.80589736862657</v>
          </cell>
          <cell r="S245">
            <v>278.80589736862657</v>
          </cell>
          <cell r="T245">
            <v>278.80589736862657</v>
          </cell>
          <cell r="U245">
            <v>278.80589736862657</v>
          </cell>
          <cell r="V245">
            <v>174.25368585539172</v>
          </cell>
          <cell r="W245">
            <v>3753.5633333333335</v>
          </cell>
          <cell r="X245">
            <v>3127.9694444444449</v>
          </cell>
          <cell r="Y245">
            <v>2606.6412037037044</v>
          </cell>
          <cell r="Z245">
            <v>2172.2010030864203</v>
          </cell>
          <cell r="AA245">
            <v>1810.1675025720169</v>
          </cell>
        </row>
        <row r="246">
          <cell r="A246" t="str">
            <v>Capital Expenditures</v>
          </cell>
          <cell r="I246">
            <v>0</v>
          </cell>
          <cell r="J246">
            <v>0</v>
          </cell>
          <cell r="L246">
            <v>0</v>
          </cell>
          <cell r="M246">
            <v>0</v>
          </cell>
          <cell r="N246">
            <v>1803.9173497556001</v>
          </cell>
          <cell r="O246">
            <v>39.191830246340579</v>
          </cell>
          <cell r="Q246">
            <v>313.53464197072464</v>
          </cell>
          <cell r="R246">
            <v>313.53464197072464</v>
          </cell>
          <cell r="S246">
            <v>313.53464197072464</v>
          </cell>
          <cell r="T246">
            <v>313.53464197072464</v>
          </cell>
          <cell r="U246">
            <v>313.53464197072464</v>
          </cell>
          <cell r="V246">
            <v>274.34281172438432</v>
          </cell>
          <cell r="W246">
            <v>0</v>
          </cell>
          <cell r="X246">
            <v>0</v>
          </cell>
          <cell r="Y246">
            <v>0</v>
          </cell>
          <cell r="Z246">
            <v>0</v>
          </cell>
          <cell r="AA246">
            <v>0</v>
          </cell>
        </row>
        <row r="247">
          <cell r="A247" t="str">
            <v xml:space="preserve">  Existing Depreciation</v>
          </cell>
          <cell r="I247">
            <v>1512</v>
          </cell>
          <cell r="J247">
            <v>1569</v>
          </cell>
          <cell r="L247">
            <v>1668</v>
          </cell>
          <cell r="M247">
            <v>1396</v>
          </cell>
          <cell r="N247">
            <v>1337.8333333333335</v>
          </cell>
          <cell r="O247">
            <v>1282.0902777777781</v>
          </cell>
          <cell r="Q247">
            <v>581.2060983472918</v>
          </cell>
          <cell r="R247">
            <v>1162.4121966945836</v>
          </cell>
          <cell r="S247">
            <v>1162.4121966945836</v>
          </cell>
          <cell r="T247">
            <v>1162.4121966945836</v>
          </cell>
          <cell r="U247">
            <v>1162.4121966945836</v>
          </cell>
          <cell r="V247">
            <v>1162.4121966945836</v>
          </cell>
          <cell r="W247">
            <v>0</v>
          </cell>
          <cell r="X247">
            <v>0</v>
          </cell>
          <cell r="Y247">
            <v>0</v>
          </cell>
          <cell r="Z247">
            <v>0</v>
          </cell>
          <cell r="AA247">
            <v>0</v>
          </cell>
        </row>
        <row r="248">
          <cell r="A248" t="str">
            <v xml:space="preserve">  New Depreciation</v>
          </cell>
          <cell r="I248">
            <v>0</v>
          </cell>
          <cell r="J248">
            <v>0</v>
          </cell>
          <cell r="L248">
            <v>0</v>
          </cell>
          <cell r="M248">
            <v>0</v>
          </cell>
          <cell r="N248">
            <v>0</v>
          </cell>
          <cell r="O248">
            <v>0</v>
          </cell>
          <cell r="Q248">
            <v>0</v>
          </cell>
          <cell r="R248">
            <v>561.85742787400648</v>
          </cell>
          <cell r="S248">
            <v>1123.714855748013</v>
          </cell>
          <cell r="T248">
            <v>1123.714855748013</v>
          </cell>
          <cell r="U248">
            <v>1123.714855748013</v>
          </cell>
          <cell r="V248">
            <v>1123.714855748013</v>
          </cell>
          <cell r="W248">
            <v>0</v>
          </cell>
          <cell r="X248">
            <v>0</v>
          </cell>
          <cell r="Y248">
            <v>0</v>
          </cell>
          <cell r="Z248">
            <v>0</v>
          </cell>
          <cell r="AA248">
            <v>0</v>
          </cell>
        </row>
        <row r="249">
          <cell r="I249">
            <v>0</v>
          </cell>
          <cell r="J249">
            <v>0</v>
          </cell>
          <cell r="L249">
            <v>0</v>
          </cell>
          <cell r="M249">
            <v>0</v>
          </cell>
          <cell r="N249">
            <v>0</v>
          </cell>
          <cell r="O249">
            <v>0</v>
          </cell>
          <cell r="Q249">
            <v>0</v>
          </cell>
          <cell r="R249">
            <v>0</v>
          </cell>
          <cell r="S249">
            <v>533.80012566639266</v>
          </cell>
          <cell r="T249">
            <v>1067.6002513327853</v>
          </cell>
          <cell r="U249">
            <v>1067.6002513327853</v>
          </cell>
          <cell r="V249">
            <v>1067.6002513327853</v>
          </cell>
          <cell r="W249">
            <v>0</v>
          </cell>
          <cell r="X249">
            <v>0</v>
          </cell>
          <cell r="Y249">
            <v>0</v>
          </cell>
          <cell r="Z249">
            <v>0</v>
          </cell>
          <cell r="AA249">
            <v>0</v>
          </cell>
        </row>
        <row r="250">
          <cell r="J250">
            <v>0</v>
          </cell>
          <cell r="L250">
            <v>0</v>
          </cell>
          <cell r="M250">
            <v>0</v>
          </cell>
          <cell r="N250">
            <v>0</v>
          </cell>
          <cell r="O250">
            <v>0</v>
          </cell>
          <cell r="Q250">
            <v>0</v>
          </cell>
          <cell r="R250">
            <v>0</v>
          </cell>
          <cell r="S250">
            <v>0</v>
          </cell>
          <cell r="T250">
            <v>502.69313946865367</v>
          </cell>
          <cell r="U250">
            <v>1005.3862789373073</v>
          </cell>
          <cell r="V250">
            <v>1005.3862789373073</v>
          </cell>
          <cell r="W250">
            <v>0</v>
          </cell>
          <cell r="X250">
            <v>0</v>
          </cell>
          <cell r="Y250">
            <v>0</v>
          </cell>
          <cell r="Z250">
            <v>0</v>
          </cell>
          <cell r="AA250">
            <v>0</v>
          </cell>
        </row>
        <row r="251">
          <cell r="L251">
            <v>0</v>
          </cell>
          <cell r="M251">
            <v>0</v>
          </cell>
          <cell r="N251">
            <v>0</v>
          </cell>
          <cell r="O251">
            <v>0</v>
          </cell>
          <cell r="Q251">
            <v>0</v>
          </cell>
          <cell r="R251">
            <v>0</v>
          </cell>
          <cell r="S251">
            <v>0</v>
          </cell>
          <cell r="T251">
            <v>0</v>
          </cell>
          <cell r="U251">
            <v>497.50049769675405</v>
          </cell>
          <cell r="V251">
            <v>995.00099539350811</v>
          </cell>
          <cell r="W251">
            <v>0</v>
          </cell>
          <cell r="X251">
            <v>0</v>
          </cell>
          <cell r="Y251">
            <v>0</v>
          </cell>
          <cell r="Z251">
            <v>0</v>
          </cell>
          <cell r="AA251">
            <v>0</v>
          </cell>
        </row>
        <row r="252">
          <cell r="M252">
            <v>0</v>
          </cell>
          <cell r="N252">
            <v>0</v>
          </cell>
          <cell r="O252">
            <v>0</v>
          </cell>
          <cell r="Q252">
            <v>0</v>
          </cell>
          <cell r="R252">
            <v>0</v>
          </cell>
          <cell r="S252">
            <v>0</v>
          </cell>
          <cell r="T252">
            <v>0</v>
          </cell>
          <cell r="U252">
            <v>0</v>
          </cell>
          <cell r="V252">
            <v>492.16481482767011</v>
          </cell>
          <cell r="W252">
            <v>0</v>
          </cell>
          <cell r="X252">
            <v>0</v>
          </cell>
          <cell r="Y252">
            <v>0</v>
          </cell>
          <cell r="Z252">
            <v>0</v>
          </cell>
          <cell r="AA252">
            <v>0</v>
          </cell>
        </row>
        <row r="253">
          <cell r="N253">
            <v>37.581611453241671</v>
          </cell>
          <cell r="O253">
            <v>75.163222906483341</v>
          </cell>
          <cell r="Q253">
            <v>300.65289162593336</v>
          </cell>
          <cell r="R253">
            <v>300.65289162593336</v>
          </cell>
          <cell r="S253">
            <v>300.65289162593336</v>
          </cell>
          <cell r="T253">
            <v>300.65289162593336</v>
          </cell>
          <cell r="U253">
            <v>300.65289162593336</v>
          </cell>
          <cell r="V253">
            <v>187.90805726620829</v>
          </cell>
          <cell r="W253">
            <v>0</v>
          </cell>
          <cell r="X253">
            <v>0</v>
          </cell>
          <cell r="Y253">
            <v>0</v>
          </cell>
          <cell r="Z253">
            <v>0</v>
          </cell>
          <cell r="AA253">
            <v>0</v>
          </cell>
        </row>
        <row r="254">
          <cell r="O254">
            <v>45.645072729633426</v>
          </cell>
          <cell r="Q254">
            <v>365.16058183706741</v>
          </cell>
          <cell r="R254">
            <v>365.16058183706741</v>
          </cell>
          <cell r="S254">
            <v>365.16058183706741</v>
          </cell>
          <cell r="T254">
            <v>365.16058183706741</v>
          </cell>
          <cell r="U254">
            <v>365.16058183706741</v>
          </cell>
          <cell r="V254">
            <v>319.5155091074339</v>
          </cell>
          <cell r="W254">
            <v>0</v>
          </cell>
          <cell r="X254">
            <v>0</v>
          </cell>
          <cell r="Y254">
            <v>0</v>
          </cell>
          <cell r="Z254">
            <v>0</v>
          </cell>
          <cell r="AA254">
            <v>0</v>
          </cell>
        </row>
        <row r="255">
          <cell r="Q255">
            <v>496.7182123279087</v>
          </cell>
          <cell r="R255">
            <v>993.4364246558174</v>
          </cell>
          <cell r="S255">
            <v>993.4364246558174</v>
          </cell>
          <cell r="T255">
            <v>993.4364246558174</v>
          </cell>
          <cell r="U255">
            <v>993.4364246558174</v>
          </cell>
          <cell r="V255">
            <v>993.4364246558174</v>
          </cell>
          <cell r="W255">
            <v>306.54325238861742</v>
          </cell>
          <cell r="X255">
            <v>306.54325238861742</v>
          </cell>
          <cell r="Y255">
            <v>306.54325238861742</v>
          </cell>
          <cell r="Z255">
            <v>306.54325238861742</v>
          </cell>
          <cell r="AA255">
            <v>191.58953274288592</v>
          </cell>
        </row>
        <row r="256">
          <cell r="R256">
            <v>477.90457965340511</v>
          </cell>
          <cell r="S256">
            <v>955.80915930681022</v>
          </cell>
          <cell r="T256">
            <v>955.80915930681022</v>
          </cell>
          <cell r="U256">
            <v>955.80915930681022</v>
          </cell>
          <cell r="V256">
            <v>955.80915930681022</v>
          </cell>
          <cell r="W256">
            <v>339.25580442297081</v>
          </cell>
          <cell r="X256">
            <v>339.25580442297081</v>
          </cell>
          <cell r="Y256">
            <v>339.25580442297081</v>
          </cell>
          <cell r="Z256">
            <v>339.25580442297081</v>
          </cell>
          <cell r="AA256">
            <v>296.84882887009917</v>
          </cell>
        </row>
        <row r="257">
          <cell r="S257">
            <v>455.94317373591224</v>
          </cell>
          <cell r="T257">
            <v>911.88634747182448</v>
          </cell>
          <cell r="U257">
            <v>911.88634747182448</v>
          </cell>
          <cell r="V257">
            <v>911.88634747182448</v>
          </cell>
          <cell r="W257">
            <v>1424.9723971521241</v>
          </cell>
          <cell r="X257">
            <v>1424.9723971521241</v>
          </cell>
          <cell r="Y257">
            <v>1424.9723971521241</v>
          </cell>
          <cell r="Z257">
            <v>1424.9723971521241</v>
          </cell>
          <cell r="AA257">
            <v>1424.9723971521241</v>
          </cell>
        </row>
        <row r="258">
          <cell r="Q258">
            <v>-200</v>
          </cell>
          <cell r="R258">
            <v>-450</v>
          </cell>
          <cell r="S258">
            <v>-800</v>
          </cell>
          <cell r="T258">
            <v>-1250</v>
          </cell>
          <cell r="U258">
            <v>-1800</v>
          </cell>
          <cell r="V258">
            <v>-2150</v>
          </cell>
          <cell r="W258">
            <v>592.58845600961206</v>
          </cell>
          <cell r="X258">
            <v>1185.1769120192241</v>
          </cell>
          <cell r="Y258">
            <v>1185.1769120192241</v>
          </cell>
          <cell r="Z258">
            <v>1185.1769120192241</v>
          </cell>
          <cell r="AA258">
            <v>1185.1769120192241</v>
          </cell>
        </row>
        <row r="259">
          <cell r="B259" t="str">
            <v xml:space="preserve">______ </v>
          </cell>
          <cell r="C259" t="str">
            <v xml:space="preserve">______ </v>
          </cell>
          <cell r="D259" t="str">
            <v xml:space="preserve">______ </v>
          </cell>
          <cell r="E259" t="str">
            <v xml:space="preserve">______ </v>
          </cell>
          <cell r="G259" t="str">
            <v xml:space="preserve">______ </v>
          </cell>
          <cell r="H259" t="str">
            <v xml:space="preserve">______ </v>
          </cell>
          <cell r="I259" t="str">
            <v xml:space="preserve">______ </v>
          </cell>
          <cell r="J259" t="str">
            <v xml:space="preserve">______ </v>
          </cell>
          <cell r="L259" t="str">
            <v xml:space="preserve">______ </v>
          </cell>
          <cell r="M259" t="str">
            <v xml:space="preserve">______ </v>
          </cell>
          <cell r="N259" t="str">
            <v xml:space="preserve">______ </v>
          </cell>
          <cell r="O259" t="str">
            <v xml:space="preserve">______ </v>
          </cell>
          <cell r="Q259" t="str">
            <v xml:space="preserve">______ </v>
          </cell>
          <cell r="R259" t="str">
            <v xml:space="preserve">______ </v>
          </cell>
          <cell r="S259" t="str">
            <v xml:space="preserve">______ </v>
          </cell>
          <cell r="T259" t="str">
            <v xml:space="preserve">______ </v>
          </cell>
          <cell r="U259" t="str">
            <v xml:space="preserve">______ </v>
          </cell>
          <cell r="V259" t="str">
            <v xml:space="preserve">______ </v>
          </cell>
          <cell r="X259">
            <v>618.23965437982213</v>
          </cell>
          <cell r="Y259">
            <v>1236.4793087596443</v>
          </cell>
          <cell r="Z259">
            <v>1236.4793087596443</v>
          </cell>
          <cell r="AA259">
            <v>1236.4793087596443</v>
          </cell>
        </row>
        <row r="260">
          <cell r="A260" t="str">
            <v>Depreciation</v>
          </cell>
          <cell r="I260">
            <v>1512</v>
          </cell>
          <cell r="J260">
            <v>1569</v>
          </cell>
          <cell r="K260">
            <v>3081</v>
          </cell>
          <cell r="L260">
            <v>1531.5833333333333</v>
          </cell>
          <cell r="M260">
            <v>1532.1190050875912</v>
          </cell>
          <cell r="N260">
            <v>1542.1575407490386</v>
          </cell>
          <cell r="O260">
            <v>1558.6612174691195</v>
          </cell>
          <cell r="P260">
            <v>6164.5210966390823</v>
          </cell>
          <cell r="Q260">
            <v>5890.355298516617</v>
          </cell>
          <cell r="R260">
            <v>6048.1996658274848</v>
          </cell>
          <cell r="S260">
            <v>6181.1745869425267</v>
          </cell>
          <cell r="T260">
            <v>6257.0989917231082</v>
          </cell>
          <cell r="U260">
            <v>6281.8185785931273</v>
          </cell>
          <cell r="V260">
            <v>6051.3279070071985</v>
          </cell>
          <cell r="Y260">
            <v>525.69666893643159</v>
          </cell>
          <cell r="Z260">
            <v>1051.3933378728632</v>
          </cell>
          <cell r="AA260">
            <v>1051.3933378728632</v>
          </cell>
        </row>
        <row r="261">
          <cell r="Q261">
            <v>0.15863937497151689</v>
          </cell>
          <cell r="R261">
            <v>0.15820523218755489</v>
          </cell>
          <cell r="S261">
            <v>0.16002866824841275</v>
          </cell>
          <cell r="T261">
            <v>0.16179356867567779</v>
          </cell>
          <cell r="U261">
            <v>0.16259554862514661</v>
          </cell>
          <cell r="V261">
            <v>0.15700236082737976</v>
          </cell>
          <cell r="Z261">
            <v>526.00750701345396</v>
          </cell>
          <cell r="AA261">
            <v>1052.0150140269079</v>
          </cell>
        </row>
        <row r="262">
          <cell r="AA262">
            <v>533.26123547454165</v>
          </cell>
        </row>
        <row r="264">
          <cell r="X264">
            <v>-300</v>
          </cell>
          <cell r="Y264">
            <v>-500</v>
          </cell>
          <cell r="Z264">
            <v>-700</v>
          </cell>
          <cell r="AA264">
            <v>-300</v>
          </cell>
        </row>
        <row r="265">
          <cell r="B265" t="str">
            <v xml:space="preserve">______ </v>
          </cell>
          <cell r="C265" t="str">
            <v xml:space="preserve">______ </v>
          </cell>
          <cell r="D265" t="str">
            <v xml:space="preserve">______ </v>
          </cell>
          <cell r="E265" t="str">
            <v xml:space="preserve">______ </v>
          </cell>
          <cell r="G265" t="str">
            <v xml:space="preserve">______ </v>
          </cell>
          <cell r="H265" t="str">
            <v xml:space="preserve">______ </v>
          </cell>
          <cell r="I265" t="str">
            <v xml:space="preserve">______ </v>
          </cell>
          <cell r="J265" t="str">
            <v xml:space="preserve">______ </v>
          </cell>
          <cell r="L265" t="str">
            <v xml:space="preserve">______ </v>
          </cell>
          <cell r="M265" t="str">
            <v xml:space="preserve">______ </v>
          </cell>
          <cell r="N265" t="str">
            <v xml:space="preserve">______ </v>
          </cell>
          <cell r="O265" t="str">
            <v xml:space="preserve">______ </v>
          </cell>
          <cell r="Q265" t="str">
            <v xml:space="preserve">______ </v>
          </cell>
          <cell r="R265" t="str">
            <v xml:space="preserve">______ </v>
          </cell>
          <cell r="S265" t="str">
            <v xml:space="preserve">______ </v>
          </cell>
          <cell r="T265" t="str">
            <v xml:space="preserve">______ </v>
          </cell>
          <cell r="V265" t="str">
            <v xml:space="preserve">______ </v>
          </cell>
          <cell r="W265" t="str">
            <v xml:space="preserve">______ </v>
          </cell>
          <cell r="X265" t="str">
            <v xml:space="preserve">______ </v>
          </cell>
          <cell r="Y265" t="str">
            <v xml:space="preserve">______ </v>
          </cell>
          <cell r="Z265" t="str">
            <v xml:space="preserve">______ </v>
          </cell>
          <cell r="AA265" t="str">
            <v xml:space="preserve">______ </v>
          </cell>
        </row>
        <row r="266">
          <cell r="A266" t="str">
            <v>Depreciation</v>
          </cell>
          <cell r="I266">
            <v>1512</v>
          </cell>
          <cell r="J266">
            <v>1569</v>
          </cell>
          <cell r="K266">
            <v>3081</v>
          </cell>
          <cell r="L266">
            <v>1668</v>
          </cell>
          <cell r="M266">
            <v>1396</v>
          </cell>
          <cell r="N266">
            <v>50</v>
          </cell>
          <cell r="O266">
            <v>50</v>
          </cell>
          <cell r="P266">
            <v>5998</v>
          </cell>
          <cell r="Q266">
            <v>550</v>
          </cell>
          <cell r="R266">
            <v>350</v>
          </cell>
          <cell r="S266">
            <v>100</v>
          </cell>
          <cell r="T266">
            <v>-250</v>
          </cell>
          <cell r="U266">
            <v>-700</v>
          </cell>
          <cell r="V266">
            <v>-1000</v>
          </cell>
          <cell r="W266">
            <v>6416.9232433066582</v>
          </cell>
          <cell r="X266">
            <v>6702.1574648072037</v>
          </cell>
          <cell r="Y266">
            <v>7124.7655473827172</v>
          </cell>
          <cell r="Z266">
            <v>7542.0295227153183</v>
          </cell>
          <cell r="AA266">
            <v>8481.9040694903069</v>
          </cell>
        </row>
        <row r="267">
          <cell r="B267" t="str">
            <v xml:space="preserve">______ </v>
          </cell>
          <cell r="C267" t="str">
            <v xml:space="preserve">______ </v>
          </cell>
          <cell r="D267" t="str">
            <v xml:space="preserve">______ </v>
          </cell>
          <cell r="E267" t="str">
            <v xml:space="preserve">______ </v>
          </cell>
          <cell r="G267" t="str">
            <v xml:space="preserve">______ </v>
          </cell>
          <cell r="H267" t="str">
            <v xml:space="preserve">______ </v>
          </cell>
          <cell r="I267" t="str">
            <v xml:space="preserve">______ </v>
          </cell>
          <cell r="J267" t="str">
            <v xml:space="preserve">______ </v>
          </cell>
          <cell r="L267" t="str">
            <v xml:space="preserve">______ </v>
          </cell>
          <cell r="M267" t="str">
            <v xml:space="preserve">______ </v>
          </cell>
          <cell r="N267" t="str">
            <v xml:space="preserve">______ </v>
          </cell>
          <cell r="O267" t="str">
            <v xml:space="preserve">______ </v>
          </cell>
          <cell r="Q267" t="str">
            <v xml:space="preserve">______ </v>
          </cell>
          <cell r="R267" t="str">
            <v xml:space="preserve">______ </v>
          </cell>
          <cell r="S267" t="str">
            <v xml:space="preserve">______ </v>
          </cell>
          <cell r="T267" t="str">
            <v xml:space="preserve">______ </v>
          </cell>
          <cell r="U267" t="str">
            <v xml:space="preserve">______ </v>
          </cell>
          <cell r="V267" t="str">
            <v xml:space="preserve">______ </v>
          </cell>
          <cell r="W267">
            <v>0.1538515609767637</v>
          </cell>
          <cell r="X267">
            <v>0.15704751861974564</v>
          </cell>
          <cell r="Y267">
            <v>0.1638039075434464</v>
          </cell>
          <cell r="Z267">
            <v>0.17069768882885392</v>
          </cell>
          <cell r="AA267">
            <v>0.18926894167105776</v>
          </cell>
        </row>
        <row r="268">
          <cell r="A268" t="str">
            <v>Depreciation</v>
          </cell>
          <cell r="I268">
            <v>1512</v>
          </cell>
          <cell r="J268">
            <v>1569</v>
          </cell>
          <cell r="K268">
            <v>3081</v>
          </cell>
          <cell r="L268">
            <v>1668</v>
          </cell>
          <cell r="M268">
            <v>1396</v>
          </cell>
          <cell r="N268">
            <v>1425.4149447865752</v>
          </cell>
          <cell r="O268">
            <v>1452.8985734138948</v>
          </cell>
          <cell r="P268">
            <v>5942.3135182004698</v>
          </cell>
          <cell r="Q268">
            <v>5986.1659450501693</v>
          </cell>
          <cell r="R268">
            <v>6048.5163604882728</v>
          </cell>
          <cell r="S268">
            <v>6138.8038000915822</v>
          </cell>
          <cell r="T268">
            <v>6181.3647567244934</v>
          </cell>
          <cell r="U268">
            <v>6181.8714814919504</v>
          </cell>
          <cell r="V268">
            <v>6241.6053775448299</v>
          </cell>
        </row>
        <row r="269">
          <cell r="M269">
            <v>0.13940483323347314</v>
          </cell>
          <cell r="N269">
            <v>0.13514264597911077</v>
          </cell>
          <cell r="O269">
            <v>0.13584536823031076</v>
          </cell>
          <cell r="Q269">
            <v>0.13818848438645981</v>
          </cell>
          <cell r="R269">
            <v>0.13670601532633034</v>
          </cell>
          <cell r="S269">
            <v>0.13702067627982914</v>
          </cell>
          <cell r="T269">
            <v>0.13703350863431615</v>
          </cell>
          <cell r="U269">
            <v>0.13673675586768755</v>
          </cell>
          <cell r="V269">
            <v>0.1382246825397426</v>
          </cell>
        </row>
        <row r="326">
          <cell r="I326" t="str">
            <v>2005-Q3</v>
          </cell>
          <cell r="J326" t="str">
            <v>2005-Q4</v>
          </cell>
          <cell r="K326" t="str">
            <v>2005-FY</v>
          </cell>
          <cell r="L326" t="str">
            <v>2006-Q1</v>
          </cell>
          <cell r="M326" t="str">
            <v>2006-Q2</v>
          </cell>
          <cell r="N326" t="str">
            <v>2006-Q3</v>
          </cell>
          <cell r="O326" t="str">
            <v>2006-Q4</v>
          </cell>
          <cell r="P326" t="str">
            <v>2006-FY</v>
          </cell>
          <cell r="Q326" t="str">
            <v>2007-FY</v>
          </cell>
          <cell r="R326" t="str">
            <v>2008-FY</v>
          </cell>
          <cell r="S326" t="str">
            <v>2009-FY</v>
          </cell>
          <cell r="T326" t="str">
            <v>2010-FY</v>
          </cell>
          <cell r="U326" t="str">
            <v>2011-FY</v>
          </cell>
        </row>
        <row r="332">
          <cell r="I332" t="str">
            <v>2005-Q3</v>
          </cell>
          <cell r="J332" t="str">
            <v>2005-Q4</v>
          </cell>
          <cell r="K332" t="str">
            <v>2005-FY</v>
          </cell>
          <cell r="L332" t="str">
            <v>2006-Q1</v>
          </cell>
          <cell r="M332" t="str">
            <v>2006-Q2</v>
          </cell>
          <cell r="N332" t="str">
            <v>2006-Q3</v>
          </cell>
          <cell r="O332" t="str">
            <v>2006-Q4</v>
          </cell>
          <cell r="P332" t="str">
            <v>2006-FY</v>
          </cell>
          <cell r="Q332" t="str">
            <v>2007-Q1</v>
          </cell>
          <cell r="R332" t="str">
            <v>2007-Q2</v>
          </cell>
          <cell r="S332" t="str">
            <v>2007-Q3</v>
          </cell>
          <cell r="T332" t="str">
            <v>2007-Q4</v>
          </cell>
          <cell r="U332" t="str">
            <v>2007-FY</v>
          </cell>
          <cell r="V332" t="str">
            <v>2008-FY</v>
          </cell>
          <cell r="W332" t="str">
            <v>2009-FY</v>
          </cell>
          <cell r="X332" t="str">
            <v>2010-FY</v>
          </cell>
          <cell r="Y332" t="str">
            <v>2011-FY</v>
          </cell>
          <cell r="Z332" t="str">
            <v>2012-FY</v>
          </cell>
          <cell r="AA332" t="str">
            <v>2013-FY</v>
          </cell>
        </row>
        <row r="334">
          <cell r="I334" t="str">
            <v>2005-Q3</v>
          </cell>
          <cell r="J334" t="str">
            <v>2005-Q4</v>
          </cell>
          <cell r="K334" t="str">
            <v>2005-FY</v>
          </cell>
          <cell r="L334" t="str">
            <v>2006-Q1</v>
          </cell>
          <cell r="M334" t="str">
            <v>2006-Q2</v>
          </cell>
          <cell r="N334" t="str">
            <v>2006-Q3</v>
          </cell>
          <cell r="O334" t="str">
            <v>2006-Q4</v>
          </cell>
          <cell r="P334" t="str">
            <v>2006-FY</v>
          </cell>
          <cell r="Q334" t="str">
            <v>2007-FY</v>
          </cell>
          <cell r="R334" t="str">
            <v>2008-FY</v>
          </cell>
          <cell r="S334" t="str">
            <v>2009-FY</v>
          </cell>
          <cell r="T334" t="str">
            <v>2010-FY</v>
          </cell>
          <cell r="U334" t="str">
            <v>2011-FY</v>
          </cell>
        </row>
      </sheetData>
      <sheetData sheetId="2" refreshError="1">
        <row r="1">
          <cell r="C1" t="str">
            <v>1Q01</v>
          </cell>
          <cell r="D1" t="str">
            <v>2Q01</v>
          </cell>
          <cell r="E1" t="str">
            <v>3Q01</v>
          </cell>
          <cell r="F1" t="str">
            <v>4Q01</v>
          </cell>
          <cell r="G1">
            <v>2001</v>
          </cell>
          <cell r="H1" t="str">
            <v>1Q02</v>
          </cell>
          <cell r="I1" t="str">
            <v>2Q02</v>
          </cell>
          <cell r="J1" t="str">
            <v>3Q02</v>
          </cell>
          <cell r="K1" t="str">
            <v>4Q02</v>
          </cell>
          <cell r="L1">
            <v>2002</v>
          </cell>
          <cell r="M1" t="str">
            <v>1Q03</v>
          </cell>
          <cell r="N1" t="str">
            <v>2Q03</v>
          </cell>
          <cell r="O1" t="str">
            <v>3Q03</v>
          </cell>
          <cell r="P1" t="str">
            <v>4Q03</v>
          </cell>
          <cell r="Q1">
            <v>2003</v>
          </cell>
          <cell r="R1" t="str">
            <v>1Q04</v>
          </cell>
          <cell r="S1" t="str">
            <v>2Q04</v>
          </cell>
          <cell r="T1" t="str">
            <v>3Q04</v>
          </cell>
          <cell r="U1" t="str">
            <v>4Q04</v>
          </cell>
          <cell r="V1">
            <v>2004</v>
          </cell>
          <cell r="W1" t="str">
            <v>1Q05</v>
          </cell>
          <cell r="X1" t="str">
            <v>2Q05</v>
          </cell>
          <cell r="Y1" t="str">
            <v>3Q05</v>
          </cell>
          <cell r="Z1" t="str">
            <v>4Q05</v>
          </cell>
          <cell r="AA1">
            <v>2005</v>
          </cell>
          <cell r="AB1" t="str">
            <v>1Q06</v>
          </cell>
          <cell r="AC1" t="str">
            <v>2Q06E</v>
          </cell>
          <cell r="AD1" t="str">
            <v>3Q06E</v>
          </cell>
          <cell r="AE1" t="str">
            <v>4Q06E</v>
          </cell>
          <cell r="AF1" t="str">
            <v>2006E</v>
          </cell>
          <cell r="AG1" t="str">
            <v>2007E</v>
          </cell>
          <cell r="AH1" t="str">
            <v>2008E</v>
          </cell>
          <cell r="AI1" t="str">
            <v>2009E</v>
          </cell>
          <cell r="AJ1" t="str">
            <v>2010E</v>
          </cell>
          <cell r="AK1" t="str">
            <v>2011E</v>
          </cell>
          <cell r="AL1" t="str">
            <v>2012E</v>
          </cell>
          <cell r="AM1" t="str">
            <v>2009E</v>
          </cell>
          <cell r="AN1" t="str">
            <v>2010E</v>
          </cell>
          <cell r="AO1" t="str">
            <v>2011E</v>
          </cell>
          <cell r="AP1" t="str">
            <v>2012E</v>
          </cell>
          <cell r="AQ1" t="str">
            <v>2013E</v>
          </cell>
          <cell r="BM1" t="str">
            <v>ElementName</v>
          </cell>
          <cell r="BN1" t="str">
            <v>ScaleOverride</v>
          </cell>
          <cell r="BO1" t="str">
            <v>UnitOverride</v>
          </cell>
          <cell r="BP1" t="str">
            <v>ReverseSign</v>
          </cell>
          <cell r="BQ1" t="str">
            <v>IsDrivingAssumption</v>
          </cell>
          <cell r="BR1" t="str">
            <v>SegmentID</v>
          </cell>
          <cell r="IU1" t="str">
            <v>.</v>
          </cell>
        </row>
        <row r="3">
          <cell r="A3" t="str">
            <v>Sprint Wireless</v>
          </cell>
          <cell r="AH3" t="str">
            <v>Mode:</v>
          </cell>
          <cell r="AI3">
            <v>2</v>
          </cell>
          <cell r="AO3" t="str">
            <v>Sprint Wireless</v>
          </cell>
        </row>
        <row r="4">
          <cell r="A4" t="str">
            <v>Quarterly Income Statement</v>
          </cell>
          <cell r="AH4" t="str">
            <v>1 = Bull</v>
          </cell>
          <cell r="AO4" t="str">
            <v>Annual Income Statement</v>
          </cell>
        </row>
        <row r="5">
          <cell r="A5" t="str">
            <v>(Values in millions, except per-share amounts)</v>
          </cell>
          <cell r="AH5" t="str">
            <v>2 = Base</v>
          </cell>
          <cell r="AO5" t="str">
            <v>(Values in millions, except per-share amounts)</v>
          </cell>
        </row>
        <row r="6">
          <cell r="A6" t="str">
            <v>Calendar Year Ending Dec. 31</v>
          </cell>
          <cell r="C6" t="str">
            <v>1Q01</v>
          </cell>
          <cell r="D6" t="str">
            <v>2Q01</v>
          </cell>
          <cell r="E6" t="str">
            <v>3Q01</v>
          </cell>
          <cell r="F6" t="str">
            <v>4Q01</v>
          </cell>
          <cell r="G6">
            <v>2001</v>
          </cell>
          <cell r="H6" t="str">
            <v>1Q02</v>
          </cell>
          <cell r="I6" t="str">
            <v>2Q02</v>
          </cell>
          <cell r="J6" t="str">
            <v>3Q02</v>
          </cell>
          <cell r="K6" t="str">
            <v>4Q02</v>
          </cell>
          <cell r="L6">
            <v>2002</v>
          </cell>
          <cell r="M6" t="str">
            <v>1Q03</v>
          </cell>
          <cell r="N6" t="str">
            <v>2Q03</v>
          </cell>
          <cell r="O6" t="str">
            <v>3Q03</v>
          </cell>
          <cell r="P6" t="str">
            <v>4Q03</v>
          </cell>
          <cell r="Q6">
            <v>2003</v>
          </cell>
          <cell r="R6" t="str">
            <v>1Q04</v>
          </cell>
          <cell r="S6" t="str">
            <v>2Q04</v>
          </cell>
          <cell r="T6" t="str">
            <v>3Q04</v>
          </cell>
          <cell r="U6" t="str">
            <v>4Q04</v>
          </cell>
          <cell r="V6">
            <v>2004</v>
          </cell>
          <cell r="W6" t="str">
            <v>1Q05</v>
          </cell>
          <cell r="X6" t="str">
            <v>2Q05</v>
          </cell>
          <cell r="Y6" t="str">
            <v>3Q05</v>
          </cell>
          <cell r="Z6" t="str">
            <v>4Q05</v>
          </cell>
          <cell r="AA6">
            <v>2005</v>
          </cell>
          <cell r="AB6" t="str">
            <v>1Q06</v>
          </cell>
          <cell r="AC6" t="str">
            <v>2Q06E</v>
          </cell>
          <cell r="AD6" t="str">
            <v>3Q06E</v>
          </cell>
          <cell r="AE6" t="str">
            <v>4Q06E</v>
          </cell>
          <cell r="AF6" t="str">
            <v>2006E</v>
          </cell>
          <cell r="AG6" t="str">
            <v>2007E</v>
          </cell>
          <cell r="AH6" t="str">
            <v>2008E</v>
          </cell>
          <cell r="AI6" t="str">
            <v>2009E</v>
          </cell>
          <cell r="AJ6" t="str">
            <v>2010E</v>
          </cell>
          <cell r="AK6" t="str">
            <v>2011E</v>
          </cell>
          <cell r="AL6" t="str">
            <v>2012E</v>
          </cell>
          <cell r="AO6" t="str">
            <v>Calendar Year Ending Dec. 31</v>
          </cell>
          <cell r="AP6">
            <v>2004</v>
          </cell>
          <cell r="AQ6">
            <v>2005</v>
          </cell>
          <cell r="AR6" t="str">
            <v>2006E</v>
          </cell>
          <cell r="AS6" t="str">
            <v>2007E</v>
          </cell>
          <cell r="AT6" t="str">
            <v>2008E</v>
          </cell>
          <cell r="AU6" t="str">
            <v>2009E</v>
          </cell>
          <cell r="AV6" t="str">
            <v>2010E</v>
          </cell>
          <cell r="AW6" t="str">
            <v>2011E</v>
          </cell>
          <cell r="AX6" t="str">
            <v>2012E</v>
          </cell>
        </row>
        <row r="7">
          <cell r="A7" t="str">
            <v>Postpaid Service Revenue</v>
          </cell>
          <cell r="C7">
            <v>3336</v>
          </cell>
          <cell r="D7">
            <v>3649.3</v>
          </cell>
          <cell r="E7">
            <v>3952.3</v>
          </cell>
          <cell r="F7">
            <v>4189.3</v>
          </cell>
          <cell r="G7">
            <v>15126.900000000001</v>
          </cell>
          <cell r="H7">
            <v>4383</v>
          </cell>
          <cell r="I7">
            <v>4754</v>
          </cell>
          <cell r="J7">
            <v>4952</v>
          </cell>
          <cell r="K7">
            <v>4957</v>
          </cell>
          <cell r="L7">
            <v>19046</v>
          </cell>
          <cell r="M7">
            <v>4816</v>
          </cell>
          <cell r="N7">
            <v>5188</v>
          </cell>
          <cell r="O7">
            <v>5499</v>
          </cell>
          <cell r="P7">
            <v>5606</v>
          </cell>
          <cell r="Q7">
            <v>21109</v>
          </cell>
          <cell r="R7">
            <v>5689</v>
          </cell>
          <cell r="S7">
            <v>6012</v>
          </cell>
          <cell r="T7">
            <v>6253</v>
          </cell>
          <cell r="U7">
            <v>6321</v>
          </cell>
          <cell r="V7">
            <v>24275</v>
          </cell>
          <cell r="W7">
            <v>6455</v>
          </cell>
          <cell r="X7">
            <v>6746</v>
          </cell>
          <cell r="Y7">
            <v>6822</v>
          </cell>
          <cell r="Z7">
            <v>6917</v>
          </cell>
          <cell r="AA7">
            <v>26940</v>
          </cell>
          <cell r="AB7">
            <v>7175</v>
          </cell>
          <cell r="AC7">
            <v>7503.228653707215</v>
          </cell>
          <cell r="AD7">
            <v>7524.5493741176188</v>
          </cell>
          <cell r="AE7">
            <v>7534.1690332895032</v>
          </cell>
          <cell r="AF7">
            <v>29736.947061114333</v>
          </cell>
          <cell r="AG7">
            <v>30813.112111812174</v>
          </cell>
          <cell r="AH7">
            <v>31319.681687332351</v>
          </cell>
          <cell r="AI7">
            <v>31298.971782873559</v>
          </cell>
          <cell r="AJ7">
            <v>31043.472364856592</v>
          </cell>
          <cell r="AK7">
            <v>30776.149303820832</v>
          </cell>
          <cell r="AL7">
            <v>30500.717011696961</v>
          </cell>
          <cell r="AO7" t="str">
            <v>Postpaid Service Revenue</v>
          </cell>
          <cell r="AP7">
            <v>24275</v>
          </cell>
          <cell r="AQ7">
            <v>26940</v>
          </cell>
          <cell r="AR7">
            <v>29736.947061114333</v>
          </cell>
          <cell r="AS7">
            <v>30813.112111812174</v>
          </cell>
          <cell r="AT7">
            <v>31319.681687332351</v>
          </cell>
          <cell r="AU7">
            <v>31298.971782873559</v>
          </cell>
          <cell r="AV7">
            <v>31043.472364856592</v>
          </cell>
          <cell r="AW7">
            <v>30776.149303820832</v>
          </cell>
          <cell r="AX7">
            <v>30500.717011696961</v>
          </cell>
        </row>
        <row r="8">
          <cell r="A8" t="str">
            <v>Prepaid Service Revenue</v>
          </cell>
          <cell r="R8">
            <v>49</v>
          </cell>
          <cell r="S8">
            <v>58</v>
          </cell>
          <cell r="T8">
            <v>77</v>
          </cell>
          <cell r="U8">
            <v>116</v>
          </cell>
          <cell r="V8">
            <v>300</v>
          </cell>
          <cell r="W8">
            <v>161</v>
          </cell>
          <cell r="X8">
            <v>182</v>
          </cell>
          <cell r="Y8">
            <v>200</v>
          </cell>
          <cell r="Z8">
            <v>256</v>
          </cell>
          <cell r="AA8">
            <v>799</v>
          </cell>
          <cell r="AB8">
            <v>312</v>
          </cell>
          <cell r="AC8">
            <v>364.70919730317138</v>
          </cell>
          <cell r="AD8">
            <v>403.22416283271536</v>
          </cell>
          <cell r="AE8">
            <v>449.39753900229709</v>
          </cell>
          <cell r="AF8">
            <v>1529.3308991381837</v>
          </cell>
          <cell r="AG8">
            <v>2205.6424430858519</v>
          </cell>
          <cell r="AH8">
            <v>2741.1592714953881</v>
          </cell>
          <cell r="AI8">
            <v>3126.9311763738106</v>
          </cell>
          <cell r="AJ8">
            <v>3417.9914413266147</v>
          </cell>
          <cell r="AK8">
            <v>3651.1192056398259</v>
          </cell>
          <cell r="AL8">
            <v>3850.4531590137503</v>
          </cell>
          <cell r="AT8" t="str">
            <v>Sprint Wireless</v>
          </cell>
        </row>
        <row r="9">
          <cell r="A9" t="str">
            <v>Wholesale/Affiliate Revenues</v>
          </cell>
          <cell r="H9">
            <v>0</v>
          </cell>
          <cell r="I9">
            <v>0</v>
          </cell>
          <cell r="J9">
            <v>0</v>
          </cell>
          <cell r="K9">
            <v>0</v>
          </cell>
          <cell r="L9">
            <v>0</v>
          </cell>
          <cell r="M9">
            <v>73</v>
          </cell>
          <cell r="N9">
            <v>56</v>
          </cell>
          <cell r="O9">
            <v>100</v>
          </cell>
          <cell r="P9">
            <v>101</v>
          </cell>
          <cell r="Q9">
            <v>330</v>
          </cell>
          <cell r="R9">
            <v>121</v>
          </cell>
          <cell r="S9">
            <v>124</v>
          </cell>
          <cell r="T9">
            <v>166</v>
          </cell>
          <cell r="U9">
            <v>197</v>
          </cell>
          <cell r="V9">
            <v>608</v>
          </cell>
          <cell r="W9">
            <v>225</v>
          </cell>
          <cell r="X9">
            <v>225</v>
          </cell>
          <cell r="Y9">
            <v>227</v>
          </cell>
          <cell r="Z9">
            <v>215</v>
          </cell>
          <cell r="AA9">
            <v>892</v>
          </cell>
          <cell r="AB9">
            <v>198</v>
          </cell>
          <cell r="AC9">
            <v>183.71108399691752</v>
          </cell>
          <cell r="AD9">
            <v>195.66827424232676</v>
          </cell>
          <cell r="AE9">
            <v>194.38758314146841</v>
          </cell>
          <cell r="AF9">
            <v>771.76694138071275</v>
          </cell>
          <cell r="AG9">
            <v>855.02659458433618</v>
          </cell>
          <cell r="AH9">
            <v>929.77173518794132</v>
          </cell>
          <cell r="AI9">
            <v>989.31439557112685</v>
          </cell>
          <cell r="AJ9">
            <v>1035.2674808881056</v>
          </cell>
          <cell r="AK9">
            <v>1069.1066359790361</v>
          </cell>
          <cell r="AL9">
            <v>1092.1806379385018</v>
          </cell>
          <cell r="AO9" t="str">
            <v>Wholesale/Affiliate Revenues</v>
          </cell>
          <cell r="AP9">
            <v>608</v>
          </cell>
          <cell r="AQ9">
            <v>892</v>
          </cell>
          <cell r="AR9">
            <v>771.76694138071275</v>
          </cell>
          <cell r="AS9">
            <v>855.02659458433618</v>
          </cell>
          <cell r="AT9">
            <v>929.77173518794132</v>
          </cell>
          <cell r="AU9">
            <v>989.31439557112685</v>
          </cell>
          <cell r="AV9">
            <v>1035.2674808881056</v>
          </cell>
          <cell r="AW9">
            <v>1069.1066359790361</v>
          </cell>
          <cell r="AX9">
            <v>1092.1806379385018</v>
          </cell>
        </row>
        <row r="10">
          <cell r="A10" t="str">
            <v>Equipment Revenues</v>
          </cell>
          <cell r="C10">
            <v>319</v>
          </cell>
          <cell r="D10">
            <v>337</v>
          </cell>
          <cell r="E10">
            <v>505</v>
          </cell>
          <cell r="F10">
            <v>452</v>
          </cell>
          <cell r="G10">
            <v>1613</v>
          </cell>
          <cell r="H10">
            <v>422</v>
          </cell>
          <cell r="I10">
            <v>418</v>
          </cell>
          <cell r="J10">
            <v>484</v>
          </cell>
          <cell r="K10">
            <v>425</v>
          </cell>
          <cell r="L10">
            <v>1749</v>
          </cell>
          <cell r="M10">
            <v>429</v>
          </cell>
          <cell r="N10">
            <v>408</v>
          </cell>
          <cell r="O10">
            <v>628</v>
          </cell>
          <cell r="P10">
            <v>606</v>
          </cell>
          <cell r="Q10">
            <v>2071</v>
          </cell>
          <cell r="R10">
            <v>704</v>
          </cell>
          <cell r="S10">
            <v>738</v>
          </cell>
          <cell r="T10">
            <v>695</v>
          </cell>
          <cell r="U10">
            <v>816</v>
          </cell>
          <cell r="V10">
            <v>2953</v>
          </cell>
          <cell r="W10">
            <v>679</v>
          </cell>
          <cell r="X10">
            <v>757</v>
          </cell>
          <cell r="Y10">
            <v>817</v>
          </cell>
          <cell r="Z10">
            <v>842</v>
          </cell>
          <cell r="AA10">
            <v>3095</v>
          </cell>
          <cell r="AB10">
            <v>830</v>
          </cell>
          <cell r="AC10">
            <v>800.97285222989581</v>
          </cell>
          <cell r="AD10">
            <v>789.59968781153145</v>
          </cell>
          <cell r="AE10">
            <v>828.36089543110484</v>
          </cell>
          <cell r="AF10">
            <v>3248.933435472532</v>
          </cell>
          <cell r="AG10">
            <v>3256.6935487078435</v>
          </cell>
          <cell r="AH10">
            <v>3239.4735186656139</v>
          </cell>
          <cell r="AI10">
            <v>3210.2030439033151</v>
          </cell>
          <cell r="AJ10">
            <v>3176.6167510434352</v>
          </cell>
          <cell r="AK10">
            <v>3138.2531190489512</v>
          </cell>
          <cell r="AL10">
            <v>3099.55947064579</v>
          </cell>
          <cell r="AO10" t="str">
            <v>Equipment Revenues</v>
          </cell>
          <cell r="AP10">
            <v>2953</v>
          </cell>
          <cell r="AQ10">
            <v>3095</v>
          </cell>
          <cell r="AR10">
            <v>3248.933435472532</v>
          </cell>
          <cell r="AS10">
            <v>3256.6935487078435</v>
          </cell>
          <cell r="AT10">
            <v>3239.4735186656139</v>
          </cell>
          <cell r="AU10">
            <v>3210.2030439033151</v>
          </cell>
          <cell r="AV10">
            <v>3176.6167510434352</v>
          </cell>
          <cell r="AW10">
            <v>3138.2531190489512</v>
          </cell>
          <cell r="AX10">
            <v>3099.55947064579</v>
          </cell>
        </row>
        <row r="11">
          <cell r="A11" t="str">
            <v>Calendar Year Ending Dec. 31</v>
          </cell>
          <cell r="C11" t="str">
            <v xml:space="preserve">______ </v>
          </cell>
          <cell r="D11" t="str">
            <v xml:space="preserve">______ </v>
          </cell>
          <cell r="E11" t="str">
            <v xml:space="preserve">______ </v>
          </cell>
          <cell r="F11" t="str">
            <v xml:space="preserve">______ </v>
          </cell>
          <cell r="G11" t="str">
            <v xml:space="preserve">______ </v>
          </cell>
          <cell r="H11" t="str">
            <v xml:space="preserve">______ </v>
          </cell>
          <cell r="I11" t="str">
            <v xml:space="preserve">______ </v>
          </cell>
          <cell r="J11" t="str">
            <v xml:space="preserve">______ </v>
          </cell>
          <cell r="K11" t="str">
            <v xml:space="preserve">______ </v>
          </cell>
          <cell r="L11" t="str">
            <v xml:space="preserve">______ </v>
          </cell>
          <cell r="M11" t="str">
            <v xml:space="preserve">______ </v>
          </cell>
          <cell r="N11" t="str">
            <v xml:space="preserve">______ </v>
          </cell>
          <cell r="O11" t="str">
            <v xml:space="preserve">______ </v>
          </cell>
          <cell r="P11" t="str">
            <v xml:space="preserve">______ </v>
          </cell>
          <cell r="Q11" t="str">
            <v xml:space="preserve">______ </v>
          </cell>
          <cell r="R11" t="str">
            <v xml:space="preserve">______ </v>
          </cell>
          <cell r="S11" t="str">
            <v xml:space="preserve">______ </v>
          </cell>
          <cell r="T11" t="str">
            <v xml:space="preserve">______ </v>
          </cell>
          <cell r="U11" t="str">
            <v xml:space="preserve">______ </v>
          </cell>
          <cell r="V11" t="str">
            <v xml:space="preserve">______ </v>
          </cell>
          <cell r="W11" t="str">
            <v xml:space="preserve">______ </v>
          </cell>
          <cell r="X11" t="str">
            <v xml:space="preserve">______ </v>
          </cell>
          <cell r="Y11" t="str">
            <v xml:space="preserve">______ </v>
          </cell>
          <cell r="Z11" t="str">
            <v xml:space="preserve">______ </v>
          </cell>
          <cell r="AA11" t="str">
            <v xml:space="preserve">______ </v>
          </cell>
          <cell r="AB11" t="str">
            <v xml:space="preserve">______ </v>
          </cell>
          <cell r="AC11" t="str">
            <v xml:space="preserve">______ </v>
          </cell>
          <cell r="AD11" t="str">
            <v xml:space="preserve">______ </v>
          </cell>
          <cell r="AE11" t="str">
            <v xml:space="preserve">______ </v>
          </cell>
          <cell r="AF11" t="str">
            <v xml:space="preserve">______ </v>
          </cell>
          <cell r="AG11" t="str">
            <v xml:space="preserve">______ </v>
          </cell>
          <cell r="AH11" t="str">
            <v xml:space="preserve">______ </v>
          </cell>
          <cell r="AI11" t="str">
            <v xml:space="preserve">______ </v>
          </cell>
          <cell r="AJ11" t="str">
            <v xml:space="preserve">______ </v>
          </cell>
          <cell r="AK11" t="str">
            <v xml:space="preserve">______ </v>
          </cell>
          <cell r="AL11" t="str">
            <v xml:space="preserve">______ </v>
          </cell>
          <cell r="AM11" t="str">
            <v>2009E</v>
          </cell>
          <cell r="AN11" t="str">
            <v>2010E</v>
          </cell>
          <cell r="AO11" t="str">
            <v>2011E</v>
          </cell>
          <cell r="AP11" t="str">
            <v xml:space="preserve">______ </v>
          </cell>
          <cell r="AQ11" t="str">
            <v xml:space="preserve">______ </v>
          </cell>
          <cell r="AR11" t="str">
            <v xml:space="preserve">______ </v>
          </cell>
          <cell r="AS11" t="str">
            <v xml:space="preserve">______ </v>
          </cell>
          <cell r="AT11" t="str">
            <v xml:space="preserve">______ </v>
          </cell>
          <cell r="AU11" t="str">
            <v xml:space="preserve">______ </v>
          </cell>
          <cell r="AV11" t="str">
            <v xml:space="preserve">______ </v>
          </cell>
          <cell r="AW11" t="str">
            <v xml:space="preserve">______ </v>
          </cell>
          <cell r="AX11" t="str">
            <v xml:space="preserve">______ </v>
          </cell>
          <cell r="AY11" t="str">
            <v>2010E</v>
          </cell>
          <cell r="AZ11" t="str">
            <v>2011E</v>
          </cell>
          <cell r="BA11" t="str">
            <v>2012E</v>
          </cell>
          <cell r="BB11" t="str">
            <v>2013E</v>
          </cell>
        </row>
        <row r="12">
          <cell r="A12" t="str">
            <v>Total Revenues</v>
          </cell>
          <cell r="C12">
            <v>3655</v>
          </cell>
          <cell r="D12">
            <v>3986.3</v>
          </cell>
          <cell r="E12">
            <v>4457.3</v>
          </cell>
          <cell r="F12">
            <v>4641.3</v>
          </cell>
          <cell r="G12">
            <v>16739.900000000001</v>
          </cell>
          <cell r="H12">
            <v>4805</v>
          </cell>
          <cell r="I12">
            <v>5172</v>
          </cell>
          <cell r="J12">
            <v>5436</v>
          </cell>
          <cell r="K12">
            <v>5382</v>
          </cell>
          <cell r="L12">
            <v>20795</v>
          </cell>
          <cell r="M12">
            <v>5318</v>
          </cell>
          <cell r="N12">
            <v>5652</v>
          </cell>
          <cell r="O12">
            <v>6227</v>
          </cell>
          <cell r="P12">
            <v>6313</v>
          </cell>
          <cell r="Q12">
            <v>23510</v>
          </cell>
          <cell r="R12">
            <v>6563</v>
          </cell>
          <cell r="S12">
            <v>6932</v>
          </cell>
          <cell r="T12">
            <v>7191</v>
          </cell>
          <cell r="U12">
            <v>7450</v>
          </cell>
          <cell r="V12">
            <v>28136</v>
          </cell>
          <cell r="W12">
            <v>7520</v>
          </cell>
          <cell r="X12">
            <v>7910</v>
          </cell>
          <cell r="Y12">
            <v>8066</v>
          </cell>
          <cell r="Z12">
            <v>8230</v>
          </cell>
          <cell r="AA12">
            <v>31726</v>
          </cell>
          <cell r="AB12">
            <v>8515</v>
          </cell>
          <cell r="AC12">
            <v>8852.6217872371999</v>
          </cell>
          <cell r="AD12">
            <v>8913.0414990041918</v>
          </cell>
          <cell r="AE12">
            <v>9006.3150508643739</v>
          </cell>
          <cell r="AF12">
            <v>35286.978337105764</v>
          </cell>
          <cell r="AG12">
            <v>37130.474698190206</v>
          </cell>
          <cell r="AH12">
            <v>38230.086212681294</v>
          </cell>
          <cell r="AI12">
            <v>38625.420398721806</v>
          </cell>
          <cell r="AJ12">
            <v>38673.348038114753</v>
          </cell>
          <cell r="AK12">
            <v>38634.628264488645</v>
          </cell>
          <cell r="AL12">
            <v>38542.910279295007</v>
          </cell>
          <cell r="AM12">
            <v>29890.996313209089</v>
          </cell>
          <cell r="AN12">
            <v>30431.221498407012</v>
          </cell>
          <cell r="AO12" t="str">
            <v>Total Revenues</v>
          </cell>
          <cell r="AP12">
            <v>28136</v>
          </cell>
          <cell r="AQ12">
            <v>31726</v>
          </cell>
          <cell r="AR12">
            <v>35286.978337105764</v>
          </cell>
          <cell r="AS12">
            <v>37130.474698190206</v>
          </cell>
          <cell r="AT12">
            <v>38230.086212681294</v>
          </cell>
          <cell r="AU12">
            <v>38625.420398721806</v>
          </cell>
          <cell r="AV12">
            <v>38673.348038114753</v>
          </cell>
          <cell r="AW12">
            <v>38634.628264488645</v>
          </cell>
          <cell r="AX12">
            <v>38542.910279295007</v>
          </cell>
          <cell r="AY12">
            <v>30431.221498407012</v>
          </cell>
          <cell r="AZ12">
            <v>30891.119998556886</v>
          </cell>
          <cell r="BA12">
            <v>31253.531946398009</v>
          </cell>
          <cell r="BB12">
            <v>31586.693296878824</v>
          </cell>
        </row>
        <row r="13">
          <cell r="A13" t="str">
            <v xml:space="preserve">     Year-over-Year Growth</v>
          </cell>
          <cell r="L13">
            <v>0.2422415904515558</v>
          </cell>
          <cell r="M13">
            <v>0.10676378772112383</v>
          </cell>
          <cell r="N13">
            <v>9.2807424593967625E-2</v>
          </cell>
          <cell r="O13">
            <v>0.14551140544518026</v>
          </cell>
          <cell r="P13">
            <v>0.17298402081010766</v>
          </cell>
          <cell r="Q13">
            <v>0.13056023082471757</v>
          </cell>
          <cell r="R13">
            <v>0.23411056788266271</v>
          </cell>
          <cell r="S13">
            <v>0.22646850672328389</v>
          </cell>
          <cell r="T13">
            <v>0.15480969969487712</v>
          </cell>
          <cell r="U13">
            <v>0.18010454617456051</v>
          </cell>
          <cell r="V13">
            <v>0.19676733304976612</v>
          </cell>
          <cell r="W13">
            <v>0.14581746152674091</v>
          </cell>
          <cell r="X13">
            <v>0.1410848240046163</v>
          </cell>
          <cell r="Y13">
            <v>0.1216798776248087</v>
          </cell>
          <cell r="Z13">
            <v>0.1046979865771811</v>
          </cell>
          <cell r="AA13">
            <v>0.12759454080181976</v>
          </cell>
          <cell r="AB13">
            <v>0.13231382978723394</v>
          </cell>
          <cell r="AC13">
            <v>0.11916836753946902</v>
          </cell>
          <cell r="AD13">
            <v>0.10501382333302645</v>
          </cell>
          <cell r="AE13">
            <v>9.4327466690689477E-2</v>
          </cell>
          <cell r="AF13">
            <v>0.11224164209499343</v>
          </cell>
          <cell r="AG13">
            <v>5.2242964627717381E-2</v>
          </cell>
          <cell r="AH13">
            <v>2.9614798179369517E-2</v>
          </cell>
          <cell r="AI13">
            <v>1.034091798384118E-2</v>
          </cell>
          <cell r="AJ13">
            <v>1.2408315274812232E-3</v>
          </cell>
          <cell r="AK13">
            <v>-1.0012004543270558E-3</v>
          </cell>
          <cell r="AL13">
            <v>-2.373983892526299E-3</v>
          </cell>
          <cell r="AM13">
            <v>2244.4815673868216</v>
          </cell>
          <cell r="AN13">
            <v>2551.8746217944408</v>
          </cell>
          <cell r="AO13" t="str">
            <v xml:space="preserve">     Year-over-Year Growth</v>
          </cell>
          <cell r="AP13">
            <v>0.19676733304976612</v>
          </cell>
          <cell r="AQ13">
            <v>0.12759454080181976</v>
          </cell>
          <cell r="AR13">
            <v>0.11224164209499343</v>
          </cell>
          <cell r="AS13">
            <v>5.2242964627717381E-2</v>
          </cell>
          <cell r="AT13">
            <v>2.9614798179369517E-2</v>
          </cell>
          <cell r="AU13">
            <v>1.034091798384118E-2</v>
          </cell>
          <cell r="AV13">
            <v>1.2408315274812232E-3</v>
          </cell>
          <cell r="AW13">
            <v>-1.0012004543270558E-3</v>
          </cell>
          <cell r="AX13">
            <v>-2.373983892526299E-3</v>
          </cell>
          <cell r="AY13">
            <v>2551.8746217944408</v>
          </cell>
          <cell r="AZ13">
            <v>2798.9647251302417</v>
          </cell>
          <cell r="BA13">
            <v>3020.3723306723873</v>
          </cell>
          <cell r="BB13">
            <v>3236.3882416481765</v>
          </cell>
        </row>
        <row r="14">
          <cell r="A14" t="str">
            <v>Wholesale/Affiliate Revenues</v>
          </cell>
          <cell r="H14">
            <v>0</v>
          </cell>
          <cell r="I14">
            <v>0</v>
          </cell>
          <cell r="J14">
            <v>0</v>
          </cell>
          <cell r="K14">
            <v>0</v>
          </cell>
          <cell r="L14">
            <v>0</v>
          </cell>
          <cell r="M14">
            <v>73</v>
          </cell>
          <cell r="N14">
            <v>56</v>
          </cell>
          <cell r="O14">
            <v>100</v>
          </cell>
          <cell r="P14">
            <v>101</v>
          </cell>
          <cell r="Q14">
            <v>330</v>
          </cell>
          <cell r="R14">
            <v>121</v>
          </cell>
          <cell r="S14">
            <v>124</v>
          </cell>
          <cell r="T14">
            <v>166</v>
          </cell>
          <cell r="U14">
            <v>197</v>
          </cell>
          <cell r="V14">
            <v>608</v>
          </cell>
          <cell r="W14">
            <v>225</v>
          </cell>
          <cell r="X14">
            <v>225</v>
          </cell>
          <cell r="Y14">
            <v>227</v>
          </cell>
          <cell r="Z14">
            <v>215</v>
          </cell>
          <cell r="AA14">
            <v>892</v>
          </cell>
          <cell r="AB14">
            <v>198</v>
          </cell>
          <cell r="AC14">
            <v>204</v>
          </cell>
          <cell r="AD14">
            <v>212</v>
          </cell>
          <cell r="AE14">
            <v>245</v>
          </cell>
          <cell r="AF14">
            <v>859</v>
          </cell>
          <cell r="AG14">
            <v>260</v>
          </cell>
          <cell r="AH14">
            <v>276</v>
          </cell>
          <cell r="AI14">
            <v>280.01624587014987</v>
          </cell>
          <cell r="AJ14">
            <v>298.58023170552866</v>
          </cell>
          <cell r="AK14">
            <v>1114.5964775756786</v>
          </cell>
          <cell r="AL14">
            <v>1296.2617188818749</v>
          </cell>
          <cell r="AM14">
            <v>1498.1645234739424</v>
          </cell>
          <cell r="AN14">
            <v>1670.3153376949754</v>
          </cell>
          <cell r="AO14">
            <v>1828.6615576842232</v>
          </cell>
          <cell r="AP14">
            <v>1970.4334429332821</v>
          </cell>
          <cell r="AQ14">
            <v>2093.1934753419278</v>
          </cell>
          <cell r="AT14" t="str">
            <v>Wholesale/Affiliate Revenues</v>
          </cell>
          <cell r="AU14">
            <v>859</v>
          </cell>
          <cell r="AV14">
            <v>1114.5964775756786</v>
          </cell>
          <cell r="AW14">
            <v>1296.2617188818749</v>
          </cell>
          <cell r="AX14">
            <v>1498.1645234739424</v>
          </cell>
          <cell r="AY14">
            <v>1670.3153376949754</v>
          </cell>
          <cell r="AZ14">
            <v>1828.6615576842232</v>
          </cell>
          <cell r="BA14">
            <v>1970.4334429332821</v>
          </cell>
          <cell r="BB14">
            <v>2093.1934753419278</v>
          </cell>
        </row>
        <row r="15">
          <cell r="A15" t="str">
            <v>Cost of Services &amp; Products</v>
          </cell>
          <cell r="C15">
            <v>2091</v>
          </cell>
          <cell r="D15">
            <v>2111</v>
          </cell>
          <cell r="E15">
            <v>1862.7</v>
          </cell>
          <cell r="F15">
            <v>1829</v>
          </cell>
          <cell r="G15">
            <v>7893.7</v>
          </cell>
          <cell r="H15">
            <v>2059</v>
          </cell>
          <cell r="I15">
            <v>2020</v>
          </cell>
          <cell r="J15">
            <v>2096</v>
          </cell>
          <cell r="K15">
            <v>2124</v>
          </cell>
          <cell r="L15">
            <v>8299</v>
          </cell>
          <cell r="M15">
            <v>2127</v>
          </cell>
          <cell r="N15">
            <v>2244</v>
          </cell>
          <cell r="O15">
            <v>2484</v>
          </cell>
          <cell r="P15">
            <v>2451</v>
          </cell>
          <cell r="Q15">
            <v>9306</v>
          </cell>
          <cell r="R15">
            <v>1379.1838</v>
          </cell>
          <cell r="S15">
            <v>1382.5504000000001</v>
          </cell>
          <cell r="T15">
            <v>1459.9821999999999</v>
          </cell>
          <cell r="U15">
            <v>1445</v>
          </cell>
          <cell r="V15">
            <v>5666.7163999999993</v>
          </cell>
          <cell r="W15">
            <v>1510</v>
          </cell>
          <cell r="X15">
            <v>1572</v>
          </cell>
          <cell r="Y15">
            <v>1654.5</v>
          </cell>
          <cell r="Z15">
            <v>1745</v>
          </cell>
          <cell r="AA15">
            <v>6481.5</v>
          </cell>
          <cell r="AB15">
            <v>1759</v>
          </cell>
          <cell r="AC15">
            <v>1786.6015087472447</v>
          </cell>
          <cell r="AD15">
            <v>1635.1675133227013</v>
          </cell>
          <cell r="AE15">
            <v>1821.4221022188515</v>
          </cell>
          <cell r="AF15">
            <v>7002.1911242887973</v>
          </cell>
          <cell r="AG15">
            <v>6827.9159411556702</v>
          </cell>
          <cell r="AH15">
            <v>6686.9237016303268</v>
          </cell>
          <cell r="AI15">
            <v>6469.2485012853349</v>
          </cell>
          <cell r="AJ15">
            <v>6251.903242759533</v>
          </cell>
          <cell r="AK15">
            <v>6760.7624669147617</v>
          </cell>
          <cell r="AL15">
            <v>6617.5197347027961</v>
          </cell>
          <cell r="AM15">
            <v>2711.1991248012496</v>
          </cell>
          <cell r="AN15">
            <v>2730.6510968056159</v>
          </cell>
          <cell r="AO15" t="str">
            <v>Cost of Services &amp; Products</v>
          </cell>
          <cell r="AP15">
            <v>5666.7163999999993</v>
          </cell>
          <cell r="AQ15">
            <v>6481.5</v>
          </cell>
          <cell r="AR15">
            <v>7002.1911242887973</v>
          </cell>
          <cell r="AS15">
            <v>6827.9159411556702</v>
          </cell>
          <cell r="AT15">
            <v>6686.9237016303268</v>
          </cell>
          <cell r="AU15">
            <v>6469.2485012853349</v>
          </cell>
          <cell r="AV15">
            <v>6251.903242759533</v>
          </cell>
          <cell r="AW15">
            <v>6760.7624669147617</v>
          </cell>
          <cell r="AX15">
            <v>6617.5197347027961</v>
          </cell>
          <cell r="AY15">
            <v>2730.6510968056159</v>
          </cell>
          <cell r="AZ15">
            <v>2736.3480654865434</v>
          </cell>
          <cell r="BA15">
            <v>2732.7190359202978</v>
          </cell>
          <cell r="BB15">
            <v>2720.1162122309579</v>
          </cell>
        </row>
        <row r="16">
          <cell r="A16" t="str">
            <v xml:space="preserve">    Gross Margin</v>
          </cell>
          <cell r="C16">
            <v>0.4279069767441861</v>
          </cell>
          <cell r="D16">
            <v>0.47043624413616636</v>
          </cell>
          <cell r="E16">
            <v>0.58210127207053597</v>
          </cell>
          <cell r="F16">
            <v>0.60592937323594687</v>
          </cell>
          <cell r="G16">
            <v>0.52844999074068544</v>
          </cell>
          <cell r="H16">
            <v>0.57148803329864717</v>
          </cell>
          <cell r="I16">
            <v>0.60943542150038676</v>
          </cell>
          <cell r="J16">
            <v>0.61442236938925676</v>
          </cell>
          <cell r="K16">
            <v>0.60535117056856191</v>
          </cell>
          <cell r="L16">
            <v>0.60091368117335897</v>
          </cell>
          <cell r="M16">
            <v>0.60003760812335472</v>
          </cell>
          <cell r="N16">
            <v>0.60297239915074308</v>
          </cell>
          <cell r="O16">
            <v>0.6010920186285531</v>
          </cell>
          <cell r="P16">
            <v>0.611753524473309</v>
          </cell>
          <cell r="Q16">
            <v>0.60416843896214378</v>
          </cell>
          <cell r="R16">
            <v>0.7898546701203718</v>
          </cell>
          <cell r="S16">
            <v>0.80055533756491637</v>
          </cell>
          <cell r="T16">
            <v>0.79697090807954385</v>
          </cell>
          <cell r="U16">
            <v>0.80604026845637589</v>
          </cell>
          <cell r="V16">
            <v>0.79859552175149273</v>
          </cell>
          <cell r="W16">
            <v>0.79920212765957444</v>
          </cell>
          <cell r="X16">
            <v>0.80126422250316054</v>
          </cell>
          <cell r="Y16">
            <v>0.7948797421274485</v>
          </cell>
          <cell r="Z16">
            <v>0.78797083839611182</v>
          </cell>
          <cell r="AA16">
            <v>0.79570383912248632</v>
          </cell>
          <cell r="AB16">
            <v>0.79342337052260714</v>
          </cell>
          <cell r="AC16">
            <v>0.7981839107457428</v>
          </cell>
          <cell r="AD16">
            <v>0.81654214069289477</v>
          </cell>
          <cell r="AE16">
            <v>0.7977616714569582</v>
          </cell>
          <cell r="AF16">
            <v>0.80156444517875602</v>
          </cell>
          <cell r="AG16">
            <v>0.81611018990046813</v>
          </cell>
          <cell r="AH16">
            <v>0.82508740198937325</v>
          </cell>
          <cell r="AI16">
            <v>0.83251318860727752</v>
          </cell>
          <cell r="AJ16">
            <v>0.8383407809275284</v>
          </cell>
          <cell r="AK16">
            <v>0.82500769981190747</v>
          </cell>
          <cell r="AL16">
            <v>0.82830773061115515</v>
          </cell>
          <cell r="AM16" t="str">
            <v xml:space="preserve">______ </v>
          </cell>
          <cell r="AN16" t="str">
            <v xml:space="preserve">______ </v>
          </cell>
          <cell r="AO16" t="str">
            <v xml:space="preserve">    Gross Margin</v>
          </cell>
          <cell r="AP16">
            <v>0.79859552175149273</v>
          </cell>
          <cell r="AQ16">
            <v>0.79570383912248632</v>
          </cell>
          <cell r="AR16">
            <v>0.80156444517875602</v>
          </cell>
          <cell r="AS16">
            <v>0.81611018990046813</v>
          </cell>
          <cell r="AT16">
            <v>0.82508740198937325</v>
          </cell>
          <cell r="AU16">
            <v>0.83251318860727752</v>
          </cell>
          <cell r="AV16">
            <v>0.8383407809275284</v>
          </cell>
          <cell r="AW16">
            <v>0.82500769981190747</v>
          </cell>
          <cell r="AX16">
            <v>0.82830773061115515</v>
          </cell>
          <cell r="AY16" t="str">
            <v xml:space="preserve">______ </v>
          </cell>
          <cell r="AZ16" t="str">
            <v xml:space="preserve">______ </v>
          </cell>
          <cell r="BA16" t="str">
            <v xml:space="preserve">______ </v>
          </cell>
          <cell r="BB16" t="str">
            <v xml:space="preserve">______ </v>
          </cell>
        </row>
        <row r="17">
          <cell r="A17" t="str">
            <v>Cost of Equipment Sold</v>
          </cell>
          <cell r="C17">
            <v>3655</v>
          </cell>
          <cell r="D17">
            <v>3986.3</v>
          </cell>
          <cell r="E17">
            <v>4457.3</v>
          </cell>
          <cell r="F17">
            <v>4641.3</v>
          </cell>
          <cell r="G17">
            <v>16739.900000000001</v>
          </cell>
          <cell r="H17">
            <v>4805</v>
          </cell>
          <cell r="I17">
            <v>5172</v>
          </cell>
          <cell r="J17">
            <v>5436</v>
          </cell>
          <cell r="K17">
            <v>5382</v>
          </cell>
          <cell r="L17">
            <v>20795</v>
          </cell>
          <cell r="M17">
            <v>5318</v>
          </cell>
          <cell r="N17">
            <v>5652</v>
          </cell>
          <cell r="O17">
            <v>6227</v>
          </cell>
          <cell r="P17">
            <v>6313</v>
          </cell>
          <cell r="Q17">
            <v>23510</v>
          </cell>
          <cell r="R17">
            <v>1078.8162</v>
          </cell>
          <cell r="S17">
            <v>1081.4495999999999</v>
          </cell>
          <cell r="T17">
            <v>1142.0178000000001</v>
          </cell>
          <cell r="U17">
            <v>1337</v>
          </cell>
          <cell r="V17">
            <v>4639.2836000000007</v>
          </cell>
          <cell r="W17">
            <v>1196</v>
          </cell>
          <cell r="X17">
            <v>1236</v>
          </cell>
          <cell r="Y17">
            <v>1300</v>
          </cell>
          <cell r="Z17">
            <v>1406</v>
          </cell>
          <cell r="AA17">
            <v>5138</v>
          </cell>
          <cell r="AB17">
            <v>1340</v>
          </cell>
          <cell r="AC17">
            <v>1400.2130786600001</v>
          </cell>
          <cell r="AD17">
            <v>1438.6249001460001</v>
          </cell>
          <cell r="AE17">
            <v>1418.9023001320638</v>
          </cell>
          <cell r="AF17">
            <v>5597.740278938064</v>
          </cell>
          <cell r="AG17">
            <v>5976.3907030603241</v>
          </cell>
          <cell r="AH17">
            <v>6230.139580090743</v>
          </cell>
          <cell r="AI17">
            <v>6353.2235152599105</v>
          </cell>
          <cell r="AJ17">
            <v>6387.9890342445442</v>
          </cell>
          <cell r="AK17">
            <v>5718.9752609460784</v>
          </cell>
          <cell r="AL17">
            <v>5721.2929183466231</v>
          </cell>
          <cell r="AM17">
            <v>36344.841528871104</v>
          </cell>
          <cell r="AN17">
            <v>37384.062554702046</v>
          </cell>
          <cell r="AO17" t="str">
            <v>Cost of Equipment Sold</v>
          </cell>
          <cell r="AP17">
            <v>4639.2836000000007</v>
          </cell>
          <cell r="AQ17">
            <v>5138</v>
          </cell>
          <cell r="AR17">
            <v>5360.8837429874993</v>
          </cell>
          <cell r="AS17">
            <v>5348.5013150429049</v>
          </cell>
          <cell r="AT17">
            <v>5317.4271002984651</v>
          </cell>
          <cell r="AU17">
            <v>5245.3332427781461</v>
          </cell>
          <cell r="AV17">
            <v>5147.3185422774068</v>
          </cell>
          <cell r="AW17">
            <v>5041.374095865207</v>
          </cell>
          <cell r="AX17">
            <v>4935.0551585915719</v>
          </cell>
          <cell r="AY17">
            <v>37384.062554702046</v>
          </cell>
          <cell r="AZ17">
            <v>38255.094346857892</v>
          </cell>
          <cell r="BA17">
            <v>38977.056755923972</v>
          </cell>
          <cell r="BB17">
            <v>39636.391226099891</v>
          </cell>
        </row>
        <row r="18">
          <cell r="A18" t="str">
            <v xml:space="preserve">    Equipment Gross Margin</v>
          </cell>
          <cell r="L18">
            <v>0.2422415904515558</v>
          </cell>
          <cell r="M18">
            <v>0.10676378772112383</v>
          </cell>
          <cell r="N18">
            <v>9.2807424593967625E-2</v>
          </cell>
          <cell r="O18">
            <v>0.14551140544518026</v>
          </cell>
          <cell r="P18">
            <v>0.17298402081010766</v>
          </cell>
          <cell r="Q18">
            <v>0.13056023082471757</v>
          </cell>
          <cell r="R18">
            <v>-0.53240937500000007</v>
          </cell>
          <cell r="S18">
            <v>-0.46537886178861787</v>
          </cell>
          <cell r="T18">
            <v>-0.64319107913669082</v>
          </cell>
          <cell r="U18">
            <v>-0.6384803921568627</v>
          </cell>
          <cell r="V18">
            <v>-0.57104083982390819</v>
          </cell>
          <cell r="W18">
            <v>-0.76141384388807065</v>
          </cell>
          <cell r="X18">
            <v>-0.63276089828269488</v>
          </cell>
          <cell r="Y18">
            <v>-0.59118727050183595</v>
          </cell>
          <cell r="Z18">
            <v>-0.66983372921615203</v>
          </cell>
          <cell r="AA18">
            <v>-0.66009693053311791</v>
          </cell>
          <cell r="AB18">
            <v>-0.6144578313253013</v>
          </cell>
          <cell r="AC18">
            <v>-0.74814049535115812</v>
          </cell>
          <cell r="AD18">
            <v>-0.82196741254206729</v>
          </cell>
          <cell r="AE18">
            <v>-0.71290352786827627</v>
          </cell>
          <cell r="AF18">
            <v>-0.72294705019831107</v>
          </cell>
          <cell r="AG18">
            <v>-0.83510994008987227</v>
          </cell>
          <cell r="AH18">
            <v>-0.92319509457111648</v>
          </cell>
          <cell r="AI18">
            <v>-0.97907217343329411</v>
          </cell>
          <cell r="AJ18">
            <v>-1.0109410529760186</v>
          </cell>
          <cell r="AK18">
            <v>-0.82234352807055155</v>
          </cell>
          <cell r="AL18">
            <v>-0.84584066623977305</v>
          </cell>
          <cell r="AM18">
            <v>2.5096276858558086E-2</v>
          </cell>
          <cell r="AN18">
            <v>2.8593356914362156E-2</v>
          </cell>
          <cell r="AO18" t="str">
            <v xml:space="preserve">    Equipment Gross Margin</v>
          </cell>
          <cell r="AP18">
            <v>-0.57104083982390819</v>
          </cell>
          <cell r="AQ18">
            <v>-0.66009693053311791</v>
          </cell>
          <cell r="AR18">
            <v>-0.69254927871766281</v>
          </cell>
          <cell r="AS18">
            <v>-0.66981801731453161</v>
          </cell>
          <cell r="AT18">
            <v>-0.66133459030813047</v>
          </cell>
          <cell r="AU18">
            <v>-0.65240373490951353</v>
          </cell>
          <cell r="AV18">
            <v>-0.64298909534504167</v>
          </cell>
          <cell r="AW18">
            <v>-0.63305026740699399</v>
          </cell>
          <cell r="AX18">
            <v>-0.6225422187945755</v>
          </cell>
          <cell r="AY18">
            <v>2.8593356914362156E-2</v>
          </cell>
          <cell r="AZ18">
            <v>2.3299548862066866E-2</v>
          </cell>
          <cell r="BA18">
            <v>1.8872320703749113E-2</v>
          </cell>
          <cell r="BB18">
            <v>1.691596351937763E-2</v>
          </cell>
        </row>
        <row r="19">
          <cell r="A19" t="str">
            <v>Selling, General and Admin.</v>
          </cell>
          <cell r="C19">
            <v>1288</v>
          </cell>
          <cell r="D19">
            <v>1249</v>
          </cell>
          <cell r="E19">
            <v>1031</v>
          </cell>
          <cell r="F19">
            <v>1230</v>
          </cell>
          <cell r="G19">
            <v>4798</v>
          </cell>
          <cell r="H19">
            <v>1520</v>
          </cell>
          <cell r="I19">
            <v>1572</v>
          </cell>
          <cell r="J19">
            <v>1732</v>
          </cell>
          <cell r="K19">
            <v>1643</v>
          </cell>
          <cell r="L19">
            <v>6467</v>
          </cell>
          <cell r="M19">
            <v>1517</v>
          </cell>
          <cell r="N19">
            <v>1526</v>
          </cell>
          <cell r="O19">
            <v>1691</v>
          </cell>
          <cell r="P19">
            <v>1804</v>
          </cell>
          <cell r="Q19">
            <v>6538</v>
          </cell>
          <cell r="R19">
            <v>2065</v>
          </cell>
          <cell r="S19">
            <v>2224</v>
          </cell>
          <cell r="T19">
            <v>2269</v>
          </cell>
          <cell r="U19">
            <v>2359</v>
          </cell>
          <cell r="V19">
            <v>8917</v>
          </cell>
          <cell r="W19">
            <v>2474</v>
          </cell>
          <cell r="X19">
            <v>2455</v>
          </cell>
          <cell r="Y19">
            <v>2460.5</v>
          </cell>
          <cell r="Z19">
            <v>2544</v>
          </cell>
          <cell r="AA19">
            <v>9933.5</v>
          </cell>
          <cell r="AB19">
            <v>2725</v>
          </cell>
          <cell r="AC19">
            <v>2717.4315155649651</v>
          </cell>
          <cell r="AD19">
            <v>2680.7357976935782</v>
          </cell>
          <cell r="AE19">
            <v>2698.7248712929786</v>
          </cell>
          <cell r="AF19">
            <v>10821.892184551521</v>
          </cell>
          <cell r="AG19">
            <v>10500.872156339532</v>
          </cell>
          <cell r="AH19">
            <v>10147.277681264548</v>
          </cell>
          <cell r="AI19">
            <v>10093.336946123271</v>
          </cell>
          <cell r="AJ19">
            <v>9939.0847603799666</v>
          </cell>
          <cell r="AK19">
            <v>9761.5031649959146</v>
          </cell>
          <cell r="AL19">
            <v>9569.7047183352861</v>
          </cell>
          <cell r="AO19" t="str">
            <v>Selling, General and Admin.</v>
          </cell>
          <cell r="AP19">
            <v>8917</v>
          </cell>
          <cell r="AQ19">
            <v>9933.5</v>
          </cell>
          <cell r="AR19">
            <v>10821.892184551521</v>
          </cell>
          <cell r="AS19">
            <v>10500.872156339532</v>
          </cell>
          <cell r="AT19">
            <v>10147.277681264548</v>
          </cell>
          <cell r="AU19">
            <v>10093.336946123271</v>
          </cell>
          <cell r="AV19">
            <v>9939.0847603799666</v>
          </cell>
          <cell r="AW19">
            <v>9761.5031649959146</v>
          </cell>
          <cell r="AX19">
            <v>9569.7047183352861</v>
          </cell>
        </row>
        <row r="20">
          <cell r="A20" t="str">
            <v xml:space="preserve">    % of Service Revenue</v>
          </cell>
          <cell r="C20">
            <v>0.38609112709832133</v>
          </cell>
          <cell r="D20">
            <v>0.34225741923108538</v>
          </cell>
          <cell r="E20">
            <v>0.26086076461807045</v>
          </cell>
          <cell r="F20">
            <v>0.29360513689637885</v>
          </cell>
          <cell r="G20">
            <v>0.31718329598265338</v>
          </cell>
          <cell r="H20">
            <v>0.34679443303673285</v>
          </cell>
          <cell r="I20">
            <v>0.33066891039124946</v>
          </cell>
          <cell r="J20">
            <v>0.34975767366720517</v>
          </cell>
          <cell r="K20">
            <v>0.33145047407706274</v>
          </cell>
          <cell r="L20">
            <v>0.33954636144072248</v>
          </cell>
          <cell r="M20">
            <v>0.31499169435215946</v>
          </cell>
          <cell r="N20">
            <v>0.29414032382420974</v>
          </cell>
          <cell r="O20">
            <v>0.30751045644662667</v>
          </cell>
          <cell r="P20">
            <v>0.32179807349268641</v>
          </cell>
          <cell r="Q20">
            <v>0.30972570941304656</v>
          </cell>
          <cell r="R20">
            <v>0.36298119177359817</v>
          </cell>
          <cell r="S20">
            <v>0.3699268130405855</v>
          </cell>
          <cell r="T20">
            <v>0.36286582440428594</v>
          </cell>
          <cell r="U20">
            <v>0.37320044296788485</v>
          </cell>
          <cell r="V20">
            <v>0.36733264675592175</v>
          </cell>
          <cell r="W20">
            <v>0.37035928143712576</v>
          </cell>
          <cell r="X20">
            <v>0.35217328934155789</v>
          </cell>
          <cell r="Y20">
            <v>0.34905660377358488</v>
          </cell>
          <cell r="Z20">
            <v>0.35670218732473358</v>
          </cell>
          <cell r="AA20">
            <v>0.35690931302098305</v>
          </cell>
          <cell r="AB20">
            <v>0.36959175369591751</v>
          </cell>
          <cell r="AC20">
            <v>0.35351279030276145</v>
          </cell>
          <cell r="AD20">
            <v>0.34723578010304723</v>
          </cell>
          <cell r="AE20">
            <v>0.34918873021586833</v>
          </cell>
          <cell r="AF20">
            <v>0.35471479340841738</v>
          </cell>
          <cell r="AG20">
            <v>0.33159107498220308</v>
          </cell>
          <cell r="AH20">
            <v>0.31464960191165742</v>
          </cell>
          <cell r="AI20">
            <v>0.31260057874677394</v>
          </cell>
          <cell r="AJ20">
            <v>0.30983401493242896</v>
          </cell>
          <cell r="AK20">
            <v>0.30652927341670666</v>
          </cell>
          <cell r="AL20">
            <v>0.30290683762100901</v>
          </cell>
          <cell r="AM20">
            <v>8468.3480762269664</v>
          </cell>
          <cell r="AN20">
            <v>8654.4104814135244</v>
          </cell>
          <cell r="AO20" t="str">
            <v xml:space="preserve">    % of Service Revenue</v>
          </cell>
          <cell r="AP20">
            <v>0.36733264675592175</v>
          </cell>
          <cell r="AQ20">
            <v>0.35690931302098305</v>
          </cell>
          <cell r="AR20">
            <v>0.35471479340841738</v>
          </cell>
          <cell r="AS20">
            <v>0.33159107498220308</v>
          </cell>
          <cell r="AT20">
            <v>0.31464960191165742</v>
          </cell>
          <cell r="AU20">
            <v>0.31260057874677394</v>
          </cell>
          <cell r="AV20">
            <v>0.30983401493242896</v>
          </cell>
          <cell r="AW20">
            <v>0.30652927341670666</v>
          </cell>
          <cell r="AX20">
            <v>0.30290683762100901</v>
          </cell>
          <cell r="AY20">
            <v>8654.4104814135244</v>
          </cell>
          <cell r="AZ20">
            <v>8798.6716997773183</v>
          </cell>
          <cell r="BA20">
            <v>8906.2574687286324</v>
          </cell>
          <cell r="BB20">
            <v>8997.4608083246803</v>
          </cell>
        </row>
        <row r="21">
          <cell r="A21" t="str">
            <v xml:space="preserve">    Gross Margin</v>
          </cell>
          <cell r="C21" t="str">
            <v xml:space="preserve">______ </v>
          </cell>
          <cell r="D21" t="str">
            <v xml:space="preserve">______ </v>
          </cell>
          <cell r="E21" t="str">
            <v xml:space="preserve">______ </v>
          </cell>
          <cell r="F21" t="str">
            <v xml:space="preserve">______ </v>
          </cell>
          <cell r="G21" t="str">
            <v xml:space="preserve">______ </v>
          </cell>
          <cell r="H21" t="str">
            <v xml:space="preserve">______ </v>
          </cell>
          <cell r="I21" t="str">
            <v xml:space="preserve">______ </v>
          </cell>
          <cell r="J21" t="str">
            <v xml:space="preserve">______ </v>
          </cell>
          <cell r="K21" t="str">
            <v xml:space="preserve">______ </v>
          </cell>
          <cell r="L21" t="str">
            <v xml:space="preserve">______ </v>
          </cell>
          <cell r="M21" t="str">
            <v xml:space="preserve">______ </v>
          </cell>
          <cell r="N21" t="str">
            <v xml:space="preserve">______ </v>
          </cell>
          <cell r="O21" t="str">
            <v xml:space="preserve">______ </v>
          </cell>
          <cell r="P21" t="str">
            <v xml:space="preserve">______ </v>
          </cell>
          <cell r="Q21" t="str">
            <v xml:space="preserve">______ </v>
          </cell>
          <cell r="R21" t="str">
            <v xml:space="preserve">______ </v>
          </cell>
          <cell r="S21" t="str">
            <v xml:space="preserve">______ </v>
          </cell>
          <cell r="T21" t="str">
            <v xml:space="preserve">______ </v>
          </cell>
          <cell r="U21" t="str">
            <v xml:space="preserve">______ </v>
          </cell>
          <cell r="V21" t="str">
            <v xml:space="preserve">______ </v>
          </cell>
          <cell r="W21" t="str">
            <v xml:space="preserve">______ </v>
          </cell>
          <cell r="X21" t="str">
            <v xml:space="preserve">______ </v>
          </cell>
          <cell r="Y21" t="str">
            <v xml:space="preserve">______ </v>
          </cell>
          <cell r="Z21" t="str">
            <v xml:space="preserve">______ </v>
          </cell>
          <cell r="AA21" t="str">
            <v xml:space="preserve">______ </v>
          </cell>
          <cell r="AB21" t="str">
            <v xml:space="preserve">______ </v>
          </cell>
          <cell r="AC21" t="str">
            <v xml:space="preserve">______ </v>
          </cell>
          <cell r="AD21" t="str">
            <v xml:space="preserve">______ </v>
          </cell>
          <cell r="AE21" t="str">
            <v xml:space="preserve">______ </v>
          </cell>
          <cell r="AF21" t="str">
            <v xml:space="preserve">______ </v>
          </cell>
          <cell r="AG21" t="str">
            <v xml:space="preserve">______ </v>
          </cell>
          <cell r="AH21" t="str">
            <v xml:space="preserve">______ </v>
          </cell>
          <cell r="AI21" t="str">
            <v xml:space="preserve">______ </v>
          </cell>
          <cell r="AJ21" t="str">
            <v xml:space="preserve">______ </v>
          </cell>
          <cell r="AK21" t="str">
            <v xml:space="preserve">______ </v>
          </cell>
          <cell r="AL21" t="str">
            <v xml:space="preserve">______ </v>
          </cell>
          <cell r="AM21">
            <v>0.76700000000000002</v>
          </cell>
          <cell r="AN21">
            <v>0.76849999999999996</v>
          </cell>
          <cell r="AO21">
            <v>0.76999999999999991</v>
          </cell>
          <cell r="AP21" t="str">
            <v xml:space="preserve">______ </v>
          </cell>
          <cell r="AQ21" t="str">
            <v xml:space="preserve">______ </v>
          </cell>
          <cell r="AR21" t="str">
            <v xml:space="preserve">______ </v>
          </cell>
          <cell r="AS21" t="str">
            <v xml:space="preserve">______ </v>
          </cell>
          <cell r="AT21" t="str">
            <v xml:space="preserve">______ </v>
          </cell>
          <cell r="AU21" t="str">
            <v xml:space="preserve">______ </v>
          </cell>
          <cell r="AV21" t="str">
            <v xml:space="preserve">______ </v>
          </cell>
          <cell r="AW21" t="str">
            <v xml:space="preserve">______ </v>
          </cell>
          <cell r="AX21" t="str">
            <v xml:space="preserve">______ </v>
          </cell>
          <cell r="AY21">
            <v>0.76849999999999996</v>
          </cell>
          <cell r="AZ21">
            <v>0.76999999999999991</v>
          </cell>
          <cell r="BA21">
            <v>0.77149999999999985</v>
          </cell>
          <cell r="BB21">
            <v>0.77299999999999991</v>
          </cell>
        </row>
        <row r="22">
          <cell r="A22" t="str">
            <v>Total Expenses</v>
          </cell>
          <cell r="C22">
            <v>3379</v>
          </cell>
          <cell r="D22">
            <v>3360</v>
          </cell>
          <cell r="E22">
            <v>2893.7</v>
          </cell>
          <cell r="F22">
            <v>3059</v>
          </cell>
          <cell r="G22">
            <v>12691.7</v>
          </cell>
          <cell r="H22">
            <v>3579</v>
          </cell>
          <cell r="I22">
            <v>3592</v>
          </cell>
          <cell r="J22">
            <v>3828</v>
          </cell>
          <cell r="K22">
            <v>3767</v>
          </cell>
          <cell r="L22">
            <v>14766</v>
          </cell>
          <cell r="M22">
            <v>3644</v>
          </cell>
          <cell r="N22">
            <v>3770</v>
          </cell>
          <cell r="O22">
            <v>4175</v>
          </cell>
          <cell r="P22">
            <v>4255</v>
          </cell>
          <cell r="Q22">
            <v>15844</v>
          </cell>
          <cell r="R22">
            <v>4523</v>
          </cell>
          <cell r="S22">
            <v>4688</v>
          </cell>
          <cell r="T22">
            <v>4871</v>
          </cell>
          <cell r="U22">
            <v>5141</v>
          </cell>
          <cell r="V22">
            <v>19223</v>
          </cell>
          <cell r="W22">
            <v>5180</v>
          </cell>
          <cell r="X22">
            <v>5263</v>
          </cell>
          <cell r="Y22">
            <v>5415</v>
          </cell>
          <cell r="Z22">
            <v>5695</v>
          </cell>
          <cell r="AA22">
            <v>21553</v>
          </cell>
          <cell r="AB22">
            <v>5824</v>
          </cell>
          <cell r="AC22">
            <v>5904.2461029722099</v>
          </cell>
          <cell r="AD22">
            <v>5754.5282111622801</v>
          </cell>
          <cell r="AE22">
            <v>5939.0492736438937</v>
          </cell>
          <cell r="AF22">
            <v>23421.823587778381</v>
          </cell>
          <cell r="AG22">
            <v>23305.178800555528</v>
          </cell>
          <cell r="AH22">
            <v>23064.340962985618</v>
          </cell>
          <cell r="AI22">
            <v>22915.808962668518</v>
          </cell>
          <cell r="AJ22">
            <v>22578.977037384044</v>
          </cell>
          <cell r="AK22">
            <v>22241.240892856753</v>
          </cell>
          <cell r="AL22">
            <v>21908.517371384703</v>
          </cell>
          <cell r="AM22">
            <v>5188.6561058059606</v>
          </cell>
          <cell r="AN22">
            <v>5104.9314847346841</v>
          </cell>
          <cell r="AO22" t="str">
            <v>Total Expenses</v>
          </cell>
          <cell r="AP22">
            <v>19223</v>
          </cell>
          <cell r="AQ22">
            <v>21553</v>
          </cell>
          <cell r="AR22">
            <v>23421.823587778381</v>
          </cell>
          <cell r="AS22">
            <v>23305.178800555528</v>
          </cell>
          <cell r="AT22">
            <v>23064.340962985618</v>
          </cell>
          <cell r="AU22">
            <v>22915.808962668518</v>
          </cell>
          <cell r="AV22">
            <v>22578.977037384044</v>
          </cell>
          <cell r="AW22">
            <v>22241.240892856753</v>
          </cell>
          <cell r="AX22">
            <v>21908.517371384703</v>
          </cell>
          <cell r="AY22">
            <v>5104.9314847346841</v>
          </cell>
          <cell r="AZ22">
            <v>4988.3860219879616</v>
          </cell>
          <cell r="BA22">
            <v>4848.303982230359</v>
          </cell>
          <cell r="BB22">
            <v>4686.1842893528528</v>
          </cell>
        </row>
        <row r="23">
          <cell r="A23" t="str">
            <v xml:space="preserve">    Equipment Gross Margin</v>
          </cell>
          <cell r="R23">
            <v>-0.53240937500000007</v>
          </cell>
          <cell r="S23">
            <v>-0.46537886178861787</v>
          </cell>
          <cell r="T23">
            <v>-0.64319107913669082</v>
          </cell>
          <cell r="U23">
            <v>-0.6384803921568627</v>
          </cell>
          <cell r="V23">
            <v>-0.57104083982390819</v>
          </cell>
          <cell r="W23">
            <v>-0.76141384388807065</v>
          </cell>
          <cell r="X23">
            <v>-0.63276089828269488</v>
          </cell>
          <cell r="Y23">
            <v>-0.59118727050183595</v>
          </cell>
          <cell r="Z23">
            <v>-0.66983372921615203</v>
          </cell>
          <cell r="AA23">
            <v>-0.66009693053311791</v>
          </cell>
          <cell r="AB23">
            <v>-0.6144578313253013</v>
          </cell>
          <cell r="AC23">
            <v>-0.77071823204419898</v>
          </cell>
          <cell r="AD23">
            <v>-0.60142348754448394</v>
          </cell>
          <cell r="AE23">
            <v>-0.59125000000000005</v>
          </cell>
          <cell r="AF23">
            <v>-0.64060056302783863</v>
          </cell>
          <cell r="AG23">
            <v>-1.1280864197530862</v>
          </cell>
          <cell r="AH23">
            <v>-1.0556464811783961</v>
          </cell>
          <cell r="AI23">
            <v>-0.97222222222222232</v>
          </cell>
          <cell r="AJ23">
            <v>-0.89473684210526305</v>
          </cell>
          <cell r="AK23">
            <v>-1.0098082485006614</v>
          </cell>
          <cell r="AL23">
            <v>-0.95604185298030209</v>
          </cell>
          <cell r="AM23">
            <v>-0.9137864343277724</v>
          </cell>
          <cell r="AN23">
            <v>-0.86949240446960108</v>
          </cell>
          <cell r="AO23">
            <v>-0.82300858757929563</v>
          </cell>
          <cell r="AP23">
            <v>-0.77416848146541928</v>
          </cell>
          <cell r="AQ23">
            <v>-0.72278826481071001</v>
          </cell>
          <cell r="AT23" t="str">
            <v xml:space="preserve">    Equipment Gross Margin</v>
          </cell>
          <cell r="AU23">
            <v>-0.64060056302783863</v>
          </cell>
          <cell r="AV23">
            <v>-1.0098082485006614</v>
          </cell>
          <cell r="AW23">
            <v>-0.95604185298030209</v>
          </cell>
          <cell r="AX23">
            <v>-0.9137864343277724</v>
          </cell>
          <cell r="AY23">
            <v>-0.86949240446960108</v>
          </cell>
          <cell r="AZ23">
            <v>-0.82300858757929563</v>
          </cell>
          <cell r="BA23">
            <v>-0.77416848146541928</v>
          </cell>
          <cell r="BB23">
            <v>-0.72278826481071001</v>
          </cell>
        </row>
        <row r="24">
          <cell r="A24" t="str">
            <v>EBITDA</v>
          </cell>
          <cell r="C24">
            <v>276</v>
          </cell>
          <cell r="D24">
            <v>626.30000000000018</v>
          </cell>
          <cell r="E24">
            <v>1563.6000000000004</v>
          </cell>
          <cell r="F24">
            <v>1582.3000000000002</v>
          </cell>
          <cell r="G24">
            <v>4048.2000000000007</v>
          </cell>
          <cell r="H24">
            <v>1226</v>
          </cell>
          <cell r="I24">
            <v>1580</v>
          </cell>
          <cell r="J24">
            <v>1608</v>
          </cell>
          <cell r="K24">
            <v>1615</v>
          </cell>
          <cell r="L24">
            <v>6029</v>
          </cell>
          <cell r="M24">
            <v>1674</v>
          </cell>
          <cell r="N24">
            <v>1882</v>
          </cell>
          <cell r="O24">
            <v>2052</v>
          </cell>
          <cell r="P24">
            <v>2058</v>
          </cell>
          <cell r="Q24">
            <v>7666</v>
          </cell>
          <cell r="R24">
            <v>2040</v>
          </cell>
          <cell r="S24">
            <v>2244</v>
          </cell>
          <cell r="T24">
            <v>2320</v>
          </cell>
          <cell r="U24">
            <v>2309</v>
          </cell>
          <cell r="V24">
            <v>8913</v>
          </cell>
          <cell r="W24">
            <v>2340</v>
          </cell>
          <cell r="X24">
            <v>2647</v>
          </cell>
          <cell r="Y24">
            <v>2651</v>
          </cell>
          <cell r="Z24">
            <v>2535</v>
          </cell>
          <cell r="AA24">
            <v>10173</v>
          </cell>
          <cell r="AB24">
            <v>2691</v>
          </cell>
          <cell r="AC24">
            <v>2948.37568426499</v>
          </cell>
          <cell r="AD24">
            <v>3158.5132878419117</v>
          </cell>
          <cell r="AE24">
            <v>3067.2657772204802</v>
          </cell>
          <cell r="AF24">
            <v>11865.154749327383</v>
          </cell>
          <cell r="AG24">
            <v>13825.295897634678</v>
          </cell>
          <cell r="AH24">
            <v>15165.745249695676</v>
          </cell>
          <cell r="AI24">
            <v>15709.611436053288</v>
          </cell>
          <cell r="AJ24">
            <v>16094.371000730709</v>
          </cell>
          <cell r="AK24">
            <v>16393.387371631892</v>
          </cell>
          <cell r="AL24">
            <v>16634.392907910304</v>
          </cell>
          <cell r="AM24">
            <v>11300.903847767471</v>
          </cell>
          <cell r="AN24">
            <v>11504.932604021615</v>
          </cell>
          <cell r="AO24" t="str">
            <v>EBITDA</v>
          </cell>
          <cell r="AP24">
            <v>8913</v>
          </cell>
          <cell r="AQ24">
            <v>10173</v>
          </cell>
          <cell r="AR24">
            <v>11865.154749327383</v>
          </cell>
          <cell r="AS24">
            <v>13825.295897634678</v>
          </cell>
          <cell r="AT24">
            <v>15165.745249695676</v>
          </cell>
          <cell r="AU24">
            <v>15709.611436053288</v>
          </cell>
          <cell r="AV24">
            <v>16094.371000730709</v>
          </cell>
          <cell r="AW24">
            <v>16393.387371631892</v>
          </cell>
          <cell r="AX24">
            <v>16634.392907910304</v>
          </cell>
          <cell r="AY24">
            <v>11504.932604021615</v>
          </cell>
          <cell r="AZ24">
            <v>11667.90815343049</v>
          </cell>
          <cell r="BA24">
            <v>11779.409759001195</v>
          </cell>
          <cell r="BB24">
            <v>11868.58241695886</v>
          </cell>
        </row>
        <row r="25">
          <cell r="A25" t="str">
            <v xml:space="preserve">  EBITDA Margin on Service</v>
          </cell>
          <cell r="C25">
            <v>8.2733812949640287E-2</v>
          </cell>
          <cell r="D25">
            <v>0.17162195489545945</v>
          </cell>
          <cell r="E25">
            <v>0.39561774156820084</v>
          </cell>
          <cell r="F25">
            <v>0.37770033179767504</v>
          </cell>
          <cell r="G25">
            <v>0.26761596890307998</v>
          </cell>
          <cell r="H25">
            <v>0.27971708875199636</v>
          </cell>
          <cell r="I25">
            <v>0.33235170382835505</v>
          </cell>
          <cell r="J25">
            <v>0.32471728594507271</v>
          </cell>
          <cell r="K25">
            <v>0.32580189630825096</v>
          </cell>
          <cell r="L25">
            <v>0.31654940669956949</v>
          </cell>
          <cell r="M25">
            <v>0.34240130906115768</v>
          </cell>
          <cell r="N25">
            <v>0.35888634630053395</v>
          </cell>
          <cell r="O25">
            <v>0.3664940167887123</v>
          </cell>
          <cell r="P25">
            <v>0.36060977746626949</v>
          </cell>
          <cell r="Q25">
            <v>0.35757264797798405</v>
          </cell>
          <cell r="R25">
            <v>0.34818228366615461</v>
          </cell>
          <cell r="S25">
            <v>0.36228608330642559</v>
          </cell>
          <cell r="T25">
            <v>0.35714285714285715</v>
          </cell>
          <cell r="U25">
            <v>0.34805547181187818</v>
          </cell>
          <cell r="V25">
            <v>0.35392923797800102</v>
          </cell>
          <cell r="W25">
            <v>0.34205525507966672</v>
          </cell>
          <cell r="X25">
            <v>0.3700545225779393</v>
          </cell>
          <cell r="Y25">
            <v>0.36570561456752654</v>
          </cell>
          <cell r="Z25">
            <v>0.34312398484028156</v>
          </cell>
          <cell r="AA25">
            <v>0.35531416995564247</v>
          </cell>
          <cell r="AB25">
            <v>0.35016265452179568</v>
          </cell>
          <cell r="AC25">
            <v>0.36618284131166179</v>
          </cell>
          <cell r="AD25">
            <v>0.38881466270738113</v>
          </cell>
          <cell r="AE25">
            <v>0.37506517142586948</v>
          </cell>
          <cell r="AF25">
            <v>0.37034578064164342</v>
          </cell>
          <cell r="AG25">
            <v>0.40814150143512834</v>
          </cell>
          <cell r="AH25">
            <v>0.43342325504032736</v>
          </cell>
          <cell r="AI25">
            <v>0.4435836515885701</v>
          </cell>
          <cell r="AJ25">
            <v>0.4534043112468959</v>
          </cell>
          <cell r="AK25">
            <v>0.46183271684680716</v>
          </cell>
          <cell r="AL25">
            <v>0.4693233717578143</v>
          </cell>
          <cell r="AM25">
            <v>0.33600000000000002</v>
          </cell>
          <cell r="AN25">
            <v>0.33200000000000002</v>
          </cell>
          <cell r="AO25" t="str">
            <v xml:space="preserve">  EBITDA Margin on Service</v>
          </cell>
          <cell r="AP25">
            <v>0.35392923797800102</v>
          </cell>
          <cell r="AQ25">
            <v>0.35531416995564247</v>
          </cell>
          <cell r="AR25">
            <v>0.37034578064164342</v>
          </cell>
          <cell r="AS25">
            <v>0.40814150143512834</v>
          </cell>
          <cell r="AT25">
            <v>0.43342325504032736</v>
          </cell>
          <cell r="AU25">
            <v>0.4435836515885701</v>
          </cell>
          <cell r="AV25">
            <v>0.4534043112468959</v>
          </cell>
          <cell r="AW25">
            <v>0.46183271684680716</v>
          </cell>
          <cell r="AX25">
            <v>0.4693233717578143</v>
          </cell>
          <cell r="AY25">
            <v>0.33200000000000002</v>
          </cell>
          <cell r="AZ25">
            <v>0.32850000000000001</v>
          </cell>
          <cell r="BA25">
            <v>0.32500000000000001</v>
          </cell>
          <cell r="BB25">
            <v>0.32149999999999995</v>
          </cell>
        </row>
        <row r="26">
          <cell r="A26" t="str">
            <v xml:space="preserve">  Year-over-Year Growth</v>
          </cell>
          <cell r="C26" t="str">
            <v xml:space="preserve">______ </v>
          </cell>
          <cell r="D26" t="str">
            <v xml:space="preserve">______ </v>
          </cell>
          <cell r="E26" t="str">
            <v xml:space="preserve">______ </v>
          </cell>
          <cell r="F26" t="str">
            <v xml:space="preserve">______ </v>
          </cell>
          <cell r="G26" t="str">
            <v xml:space="preserve">______ </v>
          </cell>
          <cell r="H26" t="str">
            <v xml:space="preserve">______ </v>
          </cell>
          <cell r="I26" t="str">
            <v xml:space="preserve">______ </v>
          </cell>
          <cell r="J26" t="str">
            <v xml:space="preserve">______ </v>
          </cell>
          <cell r="K26" t="str">
            <v xml:space="preserve">______ </v>
          </cell>
          <cell r="L26">
            <v>0.18284946895008081</v>
          </cell>
          <cell r="M26">
            <v>0.36541598694942912</v>
          </cell>
          <cell r="N26">
            <v>0.19113924050632902</v>
          </cell>
          <cell r="O26">
            <v>0.27611940298507465</v>
          </cell>
          <cell r="P26">
            <v>0.27430340557275534</v>
          </cell>
          <cell r="Q26">
            <v>0.2715209819207165</v>
          </cell>
          <cell r="R26">
            <v>0.21863799283154117</v>
          </cell>
          <cell r="S26">
            <v>0.1923485653560042</v>
          </cell>
          <cell r="T26">
            <v>0.13060428849902528</v>
          </cell>
          <cell r="U26">
            <v>0.12196307094266268</v>
          </cell>
          <cell r="V26">
            <v>0.16266631881033122</v>
          </cell>
          <cell r="W26">
            <v>0.14705882352941169</v>
          </cell>
          <cell r="X26">
            <v>0.17959001782531203</v>
          </cell>
          <cell r="Y26">
            <v>0.14267241379310347</v>
          </cell>
          <cell r="Z26">
            <v>9.787786920744912E-2</v>
          </cell>
          <cell r="AA26">
            <v>0.14136654325143039</v>
          </cell>
          <cell r="AB26">
            <v>0.14999999999999991</v>
          </cell>
          <cell r="AC26">
            <v>0.11385556640158301</v>
          </cell>
          <cell r="AD26">
            <v>0.19144220590038175</v>
          </cell>
          <cell r="AE26">
            <v>0.20996677602385816</v>
          </cell>
          <cell r="AF26">
            <v>0.16633783046568196</v>
          </cell>
          <cell r="AG26">
            <v>0.16520148196283846</v>
          </cell>
          <cell r="AH26">
            <v>9.6956286649194201E-2</v>
          </cell>
          <cell r="AI26">
            <v>3.5861487675228343E-2</v>
          </cell>
          <cell r="AJ26">
            <v>2.4491984810929512E-2</v>
          </cell>
          <cell r="AK26">
            <v>1.8578941102302515E-2</v>
          </cell>
          <cell r="AL26">
            <v>1.4701387261516263E-2</v>
          </cell>
          <cell r="AM26" t="str">
            <v xml:space="preserve">______ </v>
          </cell>
          <cell r="AN26" t="str">
            <v xml:space="preserve">______ </v>
          </cell>
          <cell r="AO26" t="str">
            <v xml:space="preserve">  Year-over-Year Growth</v>
          </cell>
          <cell r="AP26">
            <v>0.16266631881033122</v>
          </cell>
          <cell r="AQ26">
            <v>0.14136654325143039</v>
          </cell>
          <cell r="AR26">
            <v>0.16633783046568196</v>
          </cell>
          <cell r="AS26">
            <v>0.16520148196283846</v>
          </cell>
          <cell r="AT26">
            <v>9.6956286649194201E-2</v>
          </cell>
          <cell r="AU26">
            <v>3.5861487675228343E-2</v>
          </cell>
          <cell r="AV26">
            <v>2.4491984810929512E-2</v>
          </cell>
          <cell r="AW26">
            <v>1.8578941102302515E-2</v>
          </cell>
          <cell r="AX26">
            <v>1.4701387261516263E-2</v>
          </cell>
          <cell r="AY26" t="str">
            <v xml:space="preserve">______ </v>
          </cell>
          <cell r="AZ26" t="str">
            <v xml:space="preserve">______ </v>
          </cell>
          <cell r="BA26" t="str">
            <v xml:space="preserve">______ </v>
          </cell>
          <cell r="BB26" t="str">
            <v xml:space="preserve">______ </v>
          </cell>
        </row>
        <row r="27">
          <cell r="A27" t="str">
            <v>Total Expenses</v>
          </cell>
          <cell r="C27">
            <v>3379</v>
          </cell>
          <cell r="D27">
            <v>3360</v>
          </cell>
          <cell r="E27">
            <v>2893.7</v>
          </cell>
          <cell r="F27">
            <v>3059</v>
          </cell>
          <cell r="G27">
            <v>12691.7</v>
          </cell>
          <cell r="H27">
            <v>3579</v>
          </cell>
          <cell r="I27">
            <v>3592</v>
          </cell>
          <cell r="J27">
            <v>3828</v>
          </cell>
          <cell r="K27">
            <v>3767</v>
          </cell>
          <cell r="L27">
            <v>14766</v>
          </cell>
          <cell r="M27">
            <v>3644</v>
          </cell>
          <cell r="N27">
            <v>3770</v>
          </cell>
          <cell r="O27">
            <v>4175</v>
          </cell>
          <cell r="P27">
            <v>4255</v>
          </cell>
          <cell r="Q27">
            <v>15844</v>
          </cell>
          <cell r="R27">
            <v>4523</v>
          </cell>
          <cell r="S27">
            <v>4688</v>
          </cell>
          <cell r="T27">
            <v>4871</v>
          </cell>
          <cell r="U27">
            <v>5141</v>
          </cell>
          <cell r="V27">
            <v>19223</v>
          </cell>
          <cell r="W27">
            <v>5180</v>
          </cell>
          <cell r="X27">
            <v>5263</v>
          </cell>
          <cell r="Y27">
            <v>5415</v>
          </cell>
          <cell r="Z27">
            <v>5695</v>
          </cell>
          <cell r="AA27">
            <v>21553</v>
          </cell>
          <cell r="AB27">
            <v>5824</v>
          </cell>
          <cell r="AC27">
            <v>5589</v>
          </cell>
          <cell r="AD27">
            <v>5913</v>
          </cell>
          <cell r="AE27">
            <v>6096</v>
          </cell>
          <cell r="AF27">
            <v>23422</v>
          </cell>
          <cell r="AG27">
            <v>6328</v>
          </cell>
          <cell r="AH27">
            <v>6114</v>
          </cell>
          <cell r="AI27">
            <v>6240.3846489960288</v>
          </cell>
          <cell r="AJ27">
            <v>6310.9753840263293</v>
          </cell>
          <cell r="AK27">
            <v>24993.36003302236</v>
          </cell>
          <cell r="AL27">
            <v>24660.37120440424</v>
          </cell>
          <cell r="AM27">
            <v>24957.908029800397</v>
          </cell>
          <cell r="AN27">
            <v>25264.274570169822</v>
          </cell>
          <cell r="AO27">
            <v>25454.965875195769</v>
          </cell>
          <cell r="AP27">
            <v>25533.971209960186</v>
          </cell>
          <cell r="AQ27">
            <v>25552.227514636394</v>
          </cell>
          <cell r="AT27" t="str">
            <v>Total Expenses</v>
          </cell>
          <cell r="AU27">
            <v>23422</v>
          </cell>
          <cell r="AV27">
            <v>24993.36003302236</v>
          </cell>
          <cell r="AW27">
            <v>24660.37120440424</v>
          </cell>
          <cell r="AX27">
            <v>24957.908029800397</v>
          </cell>
          <cell r="AY27">
            <v>25264.274570169822</v>
          </cell>
          <cell r="AZ27">
            <v>25454.965875195769</v>
          </cell>
          <cell r="BA27">
            <v>25533.971209960186</v>
          </cell>
          <cell r="BB27">
            <v>25552.227514636394</v>
          </cell>
        </row>
        <row r="28">
          <cell r="A28" t="str">
            <v>Depreciation</v>
          </cell>
          <cell r="R28">
            <v>1012</v>
          </cell>
          <cell r="S28">
            <v>1030</v>
          </cell>
          <cell r="T28">
            <v>1012</v>
          </cell>
          <cell r="U28">
            <v>1040</v>
          </cell>
          <cell r="V28">
            <v>4094</v>
          </cell>
          <cell r="W28">
            <v>1078</v>
          </cell>
          <cell r="X28">
            <v>1109</v>
          </cell>
          <cell r="Y28">
            <v>1115</v>
          </cell>
          <cell r="Z28">
            <v>1174</v>
          </cell>
          <cell r="AA28">
            <v>4476</v>
          </cell>
          <cell r="AB28">
            <v>1284</v>
          </cell>
          <cell r="AC28">
            <v>1249.5002800875909</v>
          </cell>
          <cell r="AD28">
            <v>1247.2114275545937</v>
          </cell>
          <cell r="AE28">
            <v>1250.4489751803458</v>
          </cell>
          <cell r="AF28">
            <v>5031.1606828225304</v>
          </cell>
          <cell r="AG28">
            <v>4784.4658968104386</v>
          </cell>
          <cell r="AH28">
            <v>4980.5412305574509</v>
          </cell>
          <cell r="AI28">
            <v>5009.0767505692556</v>
          </cell>
          <cell r="AJ28">
            <v>4816.6736443950904</v>
          </cell>
          <cell r="AK28">
            <v>4662.0034572305412</v>
          </cell>
          <cell r="AL28">
            <v>4916.4039841035974</v>
          </cell>
          <cell r="AO28" t="str">
            <v>Depreciation</v>
          </cell>
          <cell r="AP28">
            <v>4094</v>
          </cell>
          <cell r="AQ28">
            <v>4476</v>
          </cell>
          <cell r="AR28">
            <v>5031.1606828225304</v>
          </cell>
          <cell r="AS28">
            <v>4784.4658968104386</v>
          </cell>
          <cell r="AT28">
            <v>4980.5412305574509</v>
          </cell>
          <cell r="AU28">
            <v>5009.0767505692556</v>
          </cell>
          <cell r="AV28">
            <v>4816.6736443950904</v>
          </cell>
          <cell r="AW28">
            <v>4662.0034572305412</v>
          </cell>
          <cell r="AX28">
            <v>4916.4039841035974</v>
          </cell>
        </row>
        <row r="29">
          <cell r="A29" t="str">
            <v>Amortization</v>
          </cell>
          <cell r="C29" t="str">
            <v>1Q01</v>
          </cell>
          <cell r="D29" t="str">
            <v>2Q01</v>
          </cell>
          <cell r="E29" t="str">
            <v>3Q01</v>
          </cell>
          <cell r="F29" t="str">
            <v>4Q01</v>
          </cell>
          <cell r="G29">
            <v>2001</v>
          </cell>
          <cell r="H29" t="str">
            <v>1Q02</v>
          </cell>
          <cell r="I29" t="str">
            <v>2Q02</v>
          </cell>
          <cell r="J29" t="str">
            <v>3Q02</v>
          </cell>
          <cell r="K29" t="str">
            <v>4Q02</v>
          </cell>
          <cell r="L29">
            <v>2002</v>
          </cell>
          <cell r="M29" t="str">
            <v>1Q03</v>
          </cell>
          <cell r="N29" t="str">
            <v>2Q03</v>
          </cell>
          <cell r="O29" t="str">
            <v>3Q03</v>
          </cell>
          <cell r="P29" t="str">
            <v>4Q03</v>
          </cell>
          <cell r="Q29">
            <v>2003</v>
          </cell>
          <cell r="R29">
            <v>826</v>
          </cell>
          <cell r="S29">
            <v>826</v>
          </cell>
          <cell r="T29">
            <v>825</v>
          </cell>
          <cell r="U29">
            <v>823</v>
          </cell>
          <cell r="V29">
            <v>3300</v>
          </cell>
          <cell r="W29">
            <v>822</v>
          </cell>
          <cell r="X29">
            <v>821</v>
          </cell>
          <cell r="Y29">
            <v>838</v>
          </cell>
          <cell r="Z29">
            <v>869</v>
          </cell>
          <cell r="AA29">
            <v>3350</v>
          </cell>
          <cell r="AB29">
            <v>938</v>
          </cell>
          <cell r="AC29">
            <v>938</v>
          </cell>
          <cell r="AD29">
            <v>938</v>
          </cell>
          <cell r="AE29">
            <v>938</v>
          </cell>
          <cell r="AF29">
            <v>3752</v>
          </cell>
          <cell r="AG29">
            <v>3752</v>
          </cell>
          <cell r="AH29">
            <v>3752</v>
          </cell>
          <cell r="AI29">
            <v>3752</v>
          </cell>
          <cell r="AJ29">
            <v>3752</v>
          </cell>
          <cell r="AK29">
            <v>3752</v>
          </cell>
          <cell r="AL29">
            <v>3752</v>
          </cell>
          <cell r="AM29">
            <v>11386.933499070707</v>
          </cell>
          <cell r="AN29">
            <v>12119.787984532224</v>
          </cell>
          <cell r="AO29" t="str">
            <v>Amortization</v>
          </cell>
          <cell r="AP29">
            <v>3300</v>
          </cell>
          <cell r="AQ29">
            <v>3350</v>
          </cell>
          <cell r="AR29">
            <v>3752</v>
          </cell>
          <cell r="AS29">
            <v>3752</v>
          </cell>
          <cell r="AT29">
            <v>3752</v>
          </cell>
          <cell r="AU29">
            <v>3752</v>
          </cell>
          <cell r="AV29">
            <v>3752</v>
          </cell>
          <cell r="AW29">
            <v>3752</v>
          </cell>
          <cell r="AX29">
            <v>3752</v>
          </cell>
          <cell r="AY29">
            <v>12119.787984532224</v>
          </cell>
          <cell r="AZ29">
            <v>12800.128471662123</v>
          </cell>
          <cell r="BA29">
            <v>13443.085545963786</v>
          </cell>
          <cell r="BB29">
            <v>14084.163711463498</v>
          </cell>
        </row>
        <row r="30">
          <cell r="A30" t="str">
            <v>Depreciation &amp; Amortization</v>
          </cell>
          <cell r="C30">
            <v>17553.5</v>
          </cell>
          <cell r="D30">
            <v>18882.400000000001</v>
          </cell>
          <cell r="E30">
            <v>20606.599999999999</v>
          </cell>
          <cell r="F30">
            <v>22222</v>
          </cell>
          <cell r="G30">
            <v>22222</v>
          </cell>
          <cell r="H30">
            <v>23445</v>
          </cell>
          <cell r="I30">
            <v>24224</v>
          </cell>
          <cell r="J30">
            <v>24626</v>
          </cell>
          <cell r="K30">
            <v>25372</v>
          </cell>
          <cell r="L30">
            <v>25372</v>
          </cell>
          <cell r="M30">
            <v>26111</v>
          </cell>
          <cell r="N30">
            <v>27145</v>
          </cell>
          <cell r="O30">
            <v>28077</v>
          </cell>
          <cell r="P30">
            <v>29180</v>
          </cell>
          <cell r="Q30">
            <v>29180</v>
          </cell>
          <cell r="R30">
            <v>1838</v>
          </cell>
          <cell r="S30">
            <v>1856</v>
          </cell>
          <cell r="T30">
            <v>1837</v>
          </cell>
          <cell r="U30">
            <v>1863</v>
          </cell>
          <cell r="V30">
            <v>7394</v>
          </cell>
          <cell r="W30">
            <v>1900</v>
          </cell>
          <cell r="X30">
            <v>1930</v>
          </cell>
          <cell r="Y30">
            <v>1953</v>
          </cell>
          <cell r="Z30">
            <v>2043</v>
          </cell>
          <cell r="AA30">
            <v>7826</v>
          </cell>
          <cell r="AB30">
            <v>2222</v>
          </cell>
          <cell r="AC30">
            <v>2187.5002800875909</v>
          </cell>
          <cell r="AD30">
            <v>2185.2114275545937</v>
          </cell>
          <cell r="AE30">
            <v>2188.4489751803458</v>
          </cell>
          <cell r="AF30">
            <v>8783.1606828225304</v>
          </cell>
          <cell r="AG30">
            <v>8536.4658968104377</v>
          </cell>
          <cell r="AH30">
            <v>8732.54123055745</v>
          </cell>
          <cell r="AI30">
            <v>8761.0767505692565</v>
          </cell>
          <cell r="AJ30">
            <v>8568.6736443950904</v>
          </cell>
          <cell r="AK30">
            <v>8414.0034572305412</v>
          </cell>
          <cell r="AL30">
            <v>8668.4039841035974</v>
          </cell>
          <cell r="AM30">
            <v>0.33855784521550436</v>
          </cell>
          <cell r="AN30">
            <v>0.34974299714351798</v>
          </cell>
          <cell r="AO30" t="str">
            <v>Depreciation &amp; Amortization</v>
          </cell>
          <cell r="AP30">
            <v>7394</v>
          </cell>
          <cell r="AQ30">
            <v>7826</v>
          </cell>
          <cell r="AR30">
            <v>8783.1606828225304</v>
          </cell>
          <cell r="AS30">
            <v>8536.4658968104377</v>
          </cell>
          <cell r="AT30">
            <v>8732.54123055745</v>
          </cell>
          <cell r="AU30">
            <v>8761.0767505692565</v>
          </cell>
          <cell r="AV30">
            <v>8568.6736443950904</v>
          </cell>
          <cell r="AW30">
            <v>8414.0034572305412</v>
          </cell>
          <cell r="AX30">
            <v>8668.4039841035974</v>
          </cell>
          <cell r="AY30">
            <v>0.34974299714351798</v>
          </cell>
          <cell r="AZ30">
            <v>0.36037669714641518</v>
          </cell>
          <cell r="BA30">
            <v>0.37090167434744953</v>
          </cell>
          <cell r="BB30">
            <v>0.38151638284665162</v>
          </cell>
        </row>
        <row r="31">
          <cell r="A31" t="str">
            <v xml:space="preserve">   Percent of Service Revenue</v>
          </cell>
          <cell r="C31">
            <v>1331.2999999999993</v>
          </cell>
          <cell r="D31">
            <v>1328.9000000000015</v>
          </cell>
          <cell r="E31">
            <v>1724.1999999999971</v>
          </cell>
          <cell r="F31">
            <v>1615.4000000000015</v>
          </cell>
          <cell r="G31">
            <v>5999.7999999999993</v>
          </cell>
          <cell r="H31">
            <v>1223</v>
          </cell>
          <cell r="I31">
            <v>779</v>
          </cell>
          <cell r="J31">
            <v>402</v>
          </cell>
          <cell r="K31">
            <v>746</v>
          </cell>
          <cell r="L31">
            <v>3150</v>
          </cell>
          <cell r="M31">
            <v>739</v>
          </cell>
          <cell r="N31">
            <v>1034</v>
          </cell>
          <cell r="O31">
            <v>932</v>
          </cell>
          <cell r="P31">
            <v>1103</v>
          </cell>
          <cell r="Q31">
            <v>3808</v>
          </cell>
          <cell r="R31">
            <v>0.3230796273510283</v>
          </cell>
          <cell r="S31">
            <v>0.30871590153027278</v>
          </cell>
          <cell r="T31">
            <v>0.29377898608667841</v>
          </cell>
          <cell r="U31">
            <v>0.29473184622686283</v>
          </cell>
          <cell r="V31">
            <v>0.30459320288362512</v>
          </cell>
          <cell r="W31">
            <v>0.29434546862896976</v>
          </cell>
          <cell r="X31">
            <v>0.28609546397865404</v>
          </cell>
          <cell r="Y31">
            <v>0.28627968337730869</v>
          </cell>
          <cell r="Z31">
            <v>0.29535925979470867</v>
          </cell>
          <cell r="AA31">
            <v>0.2904974016332591</v>
          </cell>
          <cell r="AB31">
            <v>0.30968641114982576</v>
          </cell>
          <cell r="AC31">
            <v>0.29154119926850225</v>
          </cell>
          <cell r="AD31">
            <v>0.290410936111486</v>
          </cell>
          <cell r="AE31">
            <v>0.29046985347829984</v>
          </cell>
          <cell r="AF31">
            <v>0.2953618831405822</v>
          </cell>
          <cell r="AG31">
            <v>0.27704004275303279</v>
          </cell>
          <cell r="AH31">
            <v>0.2788196035239221</v>
          </cell>
          <cell r="AI31">
            <v>0.27991580079199974</v>
          </cell>
          <cell r="AJ31">
            <v>0.2760217524536796</v>
          </cell>
          <cell r="AK31">
            <v>0.27339363915114456</v>
          </cell>
          <cell r="AL31">
            <v>0.28420328547618351</v>
          </cell>
          <cell r="AM31">
            <v>5.4865261395733222E-2</v>
          </cell>
          <cell r="AN31">
            <v>6.4359248740789354E-2</v>
          </cell>
          <cell r="AO31" t="str">
            <v xml:space="preserve">   Percent of Service Revenue</v>
          </cell>
          <cell r="AP31">
            <v>0.30459320288362512</v>
          </cell>
          <cell r="AQ31">
            <v>0.2904974016332591</v>
          </cell>
          <cell r="AR31">
            <v>0.2953618831405822</v>
          </cell>
          <cell r="AS31">
            <v>0.27704004275303279</v>
          </cell>
          <cell r="AT31">
            <v>0.2788196035239221</v>
          </cell>
          <cell r="AU31">
            <v>0.27991580079199974</v>
          </cell>
          <cell r="AV31">
            <v>0.2760217524536796</v>
          </cell>
          <cell r="AW31">
            <v>0.27339363915114456</v>
          </cell>
          <cell r="AX31">
            <v>0.28420328547618351</v>
          </cell>
          <cell r="AY31">
            <v>6.4359248740789354E-2</v>
          </cell>
          <cell r="AZ31">
            <v>5.6134685524051875E-2</v>
          </cell>
          <cell r="BA31">
            <v>5.0230517273720299E-2</v>
          </cell>
          <cell r="BB31">
            <v>4.7688320014610985E-2</v>
          </cell>
        </row>
        <row r="32">
          <cell r="A32" t="str">
            <v xml:space="preserve">   Gross Adds</v>
          </cell>
          <cell r="C32">
            <v>2597.8887500000001</v>
          </cell>
          <cell r="D32">
            <v>2553.6090499999996</v>
          </cell>
          <cell r="E32">
            <v>3145.3960000000002</v>
          </cell>
          <cell r="F32">
            <v>3340.6958000000004</v>
          </cell>
          <cell r="G32">
            <v>11637.589599999999</v>
          </cell>
          <cell r="H32">
            <v>3037.2830000000004</v>
          </cell>
          <cell r="I32">
            <v>2626.9894999999997</v>
          </cell>
          <cell r="J32">
            <v>2653.1459999999997</v>
          </cell>
          <cell r="K32">
            <v>2935.607</v>
          </cell>
          <cell r="L32">
            <v>11253.0255</v>
          </cell>
          <cell r="M32">
            <v>2741.2075</v>
          </cell>
          <cell r="N32">
            <v>2675.48</v>
          </cell>
          <cell r="O32">
            <v>2692.6909999999998</v>
          </cell>
          <cell r="P32">
            <v>2957.4105</v>
          </cell>
          <cell r="Q32">
            <v>11066.789000000001</v>
          </cell>
          <cell r="R32">
            <v>3006.4480000000003</v>
          </cell>
          <cell r="S32">
            <v>2862.51</v>
          </cell>
          <cell r="T32">
            <v>3042.721</v>
          </cell>
          <cell r="U32">
            <v>3184.81</v>
          </cell>
          <cell r="V32">
            <v>12096.489</v>
          </cell>
          <cell r="W32">
            <v>3113.0970000000002</v>
          </cell>
          <cell r="X32">
            <v>2905.1570000000002</v>
          </cell>
          <cell r="Y32">
            <v>2897.4045000000001</v>
          </cell>
          <cell r="Z32">
            <v>3043.7359999999999</v>
          </cell>
          <cell r="AA32">
            <v>11959.394500000002</v>
          </cell>
          <cell r="AB32">
            <v>2959.52</v>
          </cell>
          <cell r="AC32">
            <v>2680.1039999999998</v>
          </cell>
          <cell r="AD32">
            <v>2709.0732075000001</v>
          </cell>
          <cell r="AE32">
            <v>3013.29864</v>
          </cell>
          <cell r="AF32">
            <v>11361.995847499998</v>
          </cell>
          <cell r="AG32">
            <v>11475.615805974998</v>
          </cell>
          <cell r="AH32">
            <v>11532.993885004871</v>
          </cell>
          <cell r="AI32">
            <v>11532.993885004871</v>
          </cell>
          <cell r="AJ32">
            <v>11475.328915579847</v>
          </cell>
          <cell r="AK32">
            <v>11417.952271001946</v>
          </cell>
          <cell r="AL32">
            <v>11360.862509646937</v>
          </cell>
          <cell r="AO32" t="str">
            <v xml:space="preserve">   Gross Adds</v>
          </cell>
          <cell r="AP32">
            <v>12096.489</v>
          </cell>
          <cell r="AQ32">
            <v>11959.394500000002</v>
          </cell>
          <cell r="AR32">
            <v>11361.995847499998</v>
          </cell>
          <cell r="AS32">
            <v>11475.615805974998</v>
          </cell>
          <cell r="AT32">
            <v>11532.993885004871</v>
          </cell>
          <cell r="AU32">
            <v>11532.993885004871</v>
          </cell>
          <cell r="AV32">
            <v>11475.328915579847</v>
          </cell>
          <cell r="AW32">
            <v>11417.952271001946</v>
          </cell>
          <cell r="AX32">
            <v>11360.862509646937</v>
          </cell>
        </row>
        <row r="33">
          <cell r="A33" t="str">
            <v>Operating Income</v>
          </cell>
          <cell r="C33">
            <v>0</v>
          </cell>
          <cell r="D33">
            <v>0</v>
          </cell>
          <cell r="E33">
            <v>0</v>
          </cell>
          <cell r="F33">
            <v>0</v>
          </cell>
          <cell r="G33">
            <v>0</v>
          </cell>
          <cell r="H33">
            <v>0.1691351294392418</v>
          </cell>
          <cell r="I33">
            <v>2.8735976636674376E-2</v>
          </cell>
          <cell r="J33">
            <v>-0.15649857760358332</v>
          </cell>
          <cell r="K33">
            <v>-0.12125881081420231</v>
          </cell>
          <cell r="L33">
            <v>-3.3044995846906233E-2</v>
          </cell>
          <cell r="M33">
            <v>-9.7480379668276051E-2</v>
          </cell>
          <cell r="N33">
            <v>1.845858158169289E-2</v>
          </cell>
          <cell r="O33">
            <v>1.490494680654586E-2</v>
          </cell>
          <cell r="P33">
            <v>7.4272543974720495E-3</v>
          </cell>
          <cell r="Q33">
            <v>-1.6549904734508902E-2</v>
          </cell>
          <cell r="R33">
            <v>202</v>
          </cell>
          <cell r="S33">
            <v>388</v>
          </cell>
          <cell r="T33">
            <v>483</v>
          </cell>
          <cell r="U33">
            <v>446</v>
          </cell>
          <cell r="V33">
            <v>1519</v>
          </cell>
          <cell r="W33">
            <v>440</v>
          </cell>
          <cell r="X33">
            <v>717</v>
          </cell>
          <cell r="Y33">
            <v>698</v>
          </cell>
          <cell r="Z33">
            <v>492</v>
          </cell>
          <cell r="AA33">
            <v>2347</v>
          </cell>
          <cell r="AB33">
            <v>469</v>
          </cell>
          <cell r="AC33">
            <v>760.8754041773991</v>
          </cell>
          <cell r="AD33">
            <v>973.30186028731805</v>
          </cell>
          <cell r="AE33">
            <v>878.81680204013446</v>
          </cell>
          <cell r="AF33">
            <v>3081.9940665048525</v>
          </cell>
          <cell r="AG33">
            <v>5288.8300008242404</v>
          </cell>
          <cell r="AH33">
            <v>6433.2040191382257</v>
          </cell>
          <cell r="AI33">
            <v>6948.5346854840318</v>
          </cell>
          <cell r="AJ33">
            <v>7525.6973563356187</v>
          </cell>
          <cell r="AK33">
            <v>7979.3839144013509</v>
          </cell>
          <cell r="AL33">
            <v>7965.9889238067062</v>
          </cell>
          <cell r="AO33" t="str">
            <v>Operating Income</v>
          </cell>
          <cell r="AP33">
            <v>1519</v>
          </cell>
          <cell r="AQ33">
            <v>2347</v>
          </cell>
          <cell r="AR33">
            <v>3081.9940665048525</v>
          </cell>
          <cell r="AS33">
            <v>5288.8300008242404</v>
          </cell>
          <cell r="AT33">
            <v>6433.2040191382257</v>
          </cell>
          <cell r="AU33">
            <v>6948.5346854840318</v>
          </cell>
          <cell r="AV33">
            <v>7525.6973563356187</v>
          </cell>
          <cell r="AW33">
            <v>7979.3839144013509</v>
          </cell>
          <cell r="AX33">
            <v>7965.9889238067062</v>
          </cell>
        </row>
        <row r="34">
          <cell r="A34" t="str">
            <v xml:space="preserve">  Operating Margin</v>
          </cell>
          <cell r="C34">
            <v>2.5000000000000019E-2</v>
          </cell>
          <cell r="D34">
            <v>2.2408468021923398E-2</v>
          </cell>
          <cell r="E34">
            <v>2.3993112005875106E-2</v>
          </cell>
          <cell r="F34">
            <v>2.6855820643215036E-2</v>
          </cell>
          <cell r="G34">
            <v>2.3708762434633417E-2</v>
          </cell>
          <cell r="H34">
            <v>2.6485689885475294E-2</v>
          </cell>
          <cell r="I34">
            <v>2.5844741865782787E-2</v>
          </cell>
          <cell r="J34">
            <v>3.0721883316274304E-2</v>
          </cell>
          <cell r="K34">
            <v>2.9195927837113486E-2</v>
          </cell>
          <cell r="L34">
            <v>2.8161554646381235E-2</v>
          </cell>
          <cell r="M34">
            <v>2.5927102150224344E-2</v>
          </cell>
          <cell r="N34">
            <v>2.0548295027790296E-2</v>
          </cell>
          <cell r="O34">
            <v>2.1255912498641841E-2</v>
          </cell>
          <cell r="P34">
            <v>2.1591659826163904E-2</v>
          </cell>
          <cell r="Q34">
            <v>2.2257757785382248E-2</v>
          </cell>
          <cell r="R34">
            <v>3.0778607344202347E-2</v>
          </cell>
          <cell r="S34">
            <v>5.5972302365839582E-2</v>
          </cell>
          <cell r="T34">
            <v>6.7167292448894453E-2</v>
          </cell>
          <cell r="U34">
            <v>5.986577181208054E-2</v>
          </cell>
          <cell r="V34">
            <v>5.398777367074211E-2</v>
          </cell>
          <cell r="W34">
            <v>5.8510638297872342E-2</v>
          </cell>
          <cell r="X34">
            <v>9.0644753476611883E-2</v>
          </cell>
          <cell r="Y34">
            <v>8.653607736176544E-2</v>
          </cell>
          <cell r="Z34">
            <v>5.9781287970838398E-2</v>
          </cell>
          <cell r="AA34">
            <v>7.3977179600327805E-2</v>
          </cell>
          <cell r="AB34">
            <v>5.5079271873165005E-2</v>
          </cell>
          <cell r="AC34">
            <v>8.5949159747720286E-2</v>
          </cell>
          <cell r="AD34">
            <v>0.1091997451595014</v>
          </cell>
          <cell r="AE34">
            <v>9.7577843666016406E-2</v>
          </cell>
          <cell r="AF34">
            <v>8.7340832560435025E-2</v>
          </cell>
          <cell r="AG34">
            <v>0.14243906235548412</v>
          </cell>
          <cell r="AH34">
            <v>0.16827594851209801</v>
          </cell>
          <cell r="AI34">
            <v>0.17989538013452852</v>
          </cell>
          <cell r="AJ34">
            <v>0.19459647892183066</v>
          </cell>
          <cell r="AK34">
            <v>0.20653450732786449</v>
          </cell>
          <cell r="AL34">
            <v>0.20667844919032963</v>
          </cell>
          <cell r="AM34" t="str">
            <v>2009E</v>
          </cell>
          <cell r="AN34" t="str">
            <v>2010E</v>
          </cell>
          <cell r="AO34" t="str">
            <v xml:space="preserve">  Operating Margin</v>
          </cell>
          <cell r="AP34">
            <v>5.398777367074211E-2</v>
          </cell>
          <cell r="AQ34">
            <v>7.3977179600327805E-2</v>
          </cell>
          <cell r="AR34">
            <v>8.7340832560435025E-2</v>
          </cell>
          <cell r="AS34">
            <v>0.14243906235548412</v>
          </cell>
          <cell r="AT34">
            <v>0.16827594851209801</v>
          </cell>
          <cell r="AU34">
            <v>0.17989538013452852</v>
          </cell>
          <cell r="AV34">
            <v>0.19459647892183066</v>
          </cell>
          <cell r="AW34">
            <v>0.20653450732786449</v>
          </cell>
          <cell r="AX34">
            <v>0.20667844919032963</v>
          </cell>
          <cell r="AY34" t="str">
            <v>2010E</v>
          </cell>
          <cell r="AZ34" t="str">
            <v>2011E</v>
          </cell>
          <cell r="BA34" t="str">
            <v>2012E</v>
          </cell>
          <cell r="BB34" t="str">
            <v>2013E</v>
          </cell>
        </row>
        <row r="35">
          <cell r="A35" t="str">
            <v>Direct Post-Paid Subs</v>
          </cell>
          <cell r="C35">
            <v>17553.5</v>
          </cell>
          <cell r="D35">
            <v>18882.400000000001</v>
          </cell>
          <cell r="E35">
            <v>20606.599999999999</v>
          </cell>
          <cell r="F35">
            <v>22222</v>
          </cell>
          <cell r="G35">
            <v>22222</v>
          </cell>
          <cell r="H35">
            <v>23445</v>
          </cell>
          <cell r="I35">
            <v>24224</v>
          </cell>
          <cell r="J35">
            <v>24626</v>
          </cell>
          <cell r="K35">
            <v>25372</v>
          </cell>
          <cell r="L35">
            <v>25372</v>
          </cell>
          <cell r="M35">
            <v>26111</v>
          </cell>
          <cell r="N35">
            <v>27145</v>
          </cell>
          <cell r="O35">
            <v>28077</v>
          </cell>
          <cell r="P35">
            <v>29180</v>
          </cell>
          <cell r="Q35">
            <v>29180</v>
          </cell>
          <cell r="R35">
            <v>29638</v>
          </cell>
          <cell r="S35">
            <v>30779</v>
          </cell>
          <cell r="T35">
            <v>31758</v>
          </cell>
          <cell r="U35">
            <v>32812</v>
          </cell>
          <cell r="V35">
            <v>32812</v>
          </cell>
          <cell r="W35">
            <v>33826</v>
          </cell>
          <cell r="X35">
            <v>34776</v>
          </cell>
          <cell r="Y35">
            <v>35967</v>
          </cell>
          <cell r="Z35">
            <v>36977</v>
          </cell>
          <cell r="AA35">
            <v>36977</v>
          </cell>
          <cell r="AB35">
            <v>39103</v>
          </cell>
          <cell r="AC35">
            <v>41405</v>
          </cell>
          <cell r="AD35">
            <v>41675</v>
          </cell>
          <cell r="AE35">
            <v>41805</v>
          </cell>
          <cell r="AF35">
            <v>41805</v>
          </cell>
          <cell r="AG35">
            <v>41585</v>
          </cell>
          <cell r="AH35">
            <v>41601</v>
          </cell>
          <cell r="AI35">
            <v>41385.052274927395</v>
          </cell>
          <cell r="AJ35">
            <v>41290.481462207645</v>
          </cell>
          <cell r="AK35">
            <v>41290.481462207645</v>
          </cell>
          <cell r="AL35">
            <v>41578.905359399912</v>
          </cell>
          <cell r="AM35">
            <v>42238.058712712096</v>
          </cell>
          <cell r="AN35">
            <v>42923.420997666668</v>
          </cell>
          <cell r="AO35">
            <v>43352.528328834545</v>
          </cell>
          <cell r="AP35">
            <v>43761.375165585821</v>
          </cell>
          <cell r="AQ35">
            <v>44105.425315405308</v>
          </cell>
          <cell r="AT35" t="str">
            <v>Direct Post-Paid Subs</v>
          </cell>
          <cell r="AU35">
            <v>41805</v>
          </cell>
          <cell r="AV35">
            <v>41290.481462207645</v>
          </cell>
          <cell r="AW35">
            <v>41578.905359399912</v>
          </cell>
          <cell r="AX35">
            <v>42238.058712712096</v>
          </cell>
          <cell r="AY35">
            <v>42923.420997666668</v>
          </cell>
          <cell r="AZ35">
            <v>43352.528328834545</v>
          </cell>
          <cell r="BA35">
            <v>43761.375165585821</v>
          </cell>
          <cell r="BB35">
            <v>44105.425315405308</v>
          </cell>
          <cell r="BM35" t="str">
            <v>mstag:wirelessSubscribers</v>
          </cell>
          <cell r="BN35">
            <v>6</v>
          </cell>
          <cell r="BO35" t="str">
            <v>ms_eqr_gcim_Decimal:ms_eqr_gcim_decimal</v>
          </cell>
          <cell r="BP35" t="b">
            <v>0</v>
          </cell>
        </row>
        <row r="36">
          <cell r="A36" t="str">
            <v>Performance Statistics</v>
          </cell>
          <cell r="C36">
            <v>1331.2999999999993</v>
          </cell>
          <cell r="D36">
            <v>1328.9000000000015</v>
          </cell>
          <cell r="E36">
            <v>1724.1999999999971</v>
          </cell>
          <cell r="F36">
            <v>1615.4000000000015</v>
          </cell>
          <cell r="G36">
            <v>5999.7999999999993</v>
          </cell>
          <cell r="H36">
            <v>1223</v>
          </cell>
          <cell r="I36">
            <v>779</v>
          </cell>
          <cell r="J36">
            <v>402</v>
          </cell>
          <cell r="K36">
            <v>746</v>
          </cell>
          <cell r="L36">
            <v>3150</v>
          </cell>
          <cell r="M36">
            <v>739</v>
          </cell>
          <cell r="N36">
            <v>1034</v>
          </cell>
          <cell r="O36">
            <v>932</v>
          </cell>
          <cell r="P36">
            <v>1103</v>
          </cell>
          <cell r="Q36">
            <v>3808</v>
          </cell>
          <cell r="R36">
            <v>537</v>
          </cell>
          <cell r="S36">
            <v>605</v>
          </cell>
          <cell r="T36">
            <v>800</v>
          </cell>
          <cell r="U36">
            <v>1160</v>
          </cell>
          <cell r="V36">
            <v>1160</v>
          </cell>
          <cell r="W36">
            <v>1474</v>
          </cell>
          <cell r="X36">
            <v>1687</v>
          </cell>
          <cell r="Y36">
            <v>1987</v>
          </cell>
          <cell r="Z36">
            <v>2684</v>
          </cell>
          <cell r="AA36">
            <v>2684</v>
          </cell>
          <cell r="AB36">
            <v>3127</v>
          </cell>
          <cell r="AC36">
            <v>3625</v>
          </cell>
          <cell r="AD36">
            <v>3991.7316397228633</v>
          </cell>
          <cell r="AE36">
            <v>4406.715689994091</v>
          </cell>
          <cell r="AF36">
            <v>4406.715689994091</v>
          </cell>
          <cell r="AG36">
            <v>6082.9399103101259</v>
          </cell>
          <cell r="AH36">
            <v>7365.9590456507012</v>
          </cell>
          <cell r="AI36">
            <v>8410.1432138100572</v>
          </cell>
          <cell r="AJ36">
            <v>9329.0147562481652</v>
          </cell>
          <cell r="AK36">
            <v>10089.413324948269</v>
          </cell>
          <cell r="AL36">
            <v>10767.261805598439</v>
          </cell>
          <cell r="AM36">
            <v>659.15335331218557</v>
          </cell>
          <cell r="AN36">
            <v>685.36228495457362</v>
          </cell>
          <cell r="AO36" t="str">
            <v>Performance Statistics</v>
          </cell>
          <cell r="AP36">
            <v>1160</v>
          </cell>
          <cell r="AQ36">
            <v>2684</v>
          </cell>
          <cell r="AR36">
            <v>4406.715689994091</v>
          </cell>
          <cell r="AS36">
            <v>6082.9399103101259</v>
          </cell>
          <cell r="AT36">
            <v>7365.9590456507012</v>
          </cell>
          <cell r="AU36">
            <v>8410.1432138100572</v>
          </cell>
          <cell r="AV36">
            <v>9329.0147562481652</v>
          </cell>
          <cell r="AW36">
            <v>10089.413324948269</v>
          </cell>
          <cell r="AX36">
            <v>10767.261805598439</v>
          </cell>
          <cell r="AY36">
            <v>685.36228495457362</v>
          </cell>
          <cell r="AZ36">
            <v>429.1073311678756</v>
          </cell>
          <cell r="BA36">
            <v>408.84683675127781</v>
          </cell>
          <cell r="BB36">
            <v>344.05014981948625</v>
          </cell>
        </row>
        <row r="37">
          <cell r="A37" t="str">
            <v>Fiscal Year Ending December 31</v>
          </cell>
          <cell r="C37" t="str">
            <v>1Q01</v>
          </cell>
          <cell r="D37" t="str">
            <v>2Q01</v>
          </cell>
          <cell r="E37" t="str">
            <v>3Q01</v>
          </cell>
          <cell r="F37" t="str">
            <v>4Q01</v>
          </cell>
          <cell r="G37">
            <v>2001</v>
          </cell>
          <cell r="H37" t="str">
            <v>1Q02</v>
          </cell>
          <cell r="I37" t="str">
            <v>2Q02</v>
          </cell>
          <cell r="J37" t="str">
            <v>3Q02</v>
          </cell>
          <cell r="K37" t="str">
            <v>4Q02</v>
          </cell>
          <cell r="L37">
            <v>2002</v>
          </cell>
          <cell r="M37" t="str">
            <v>1Q03</v>
          </cell>
          <cell r="N37" t="str">
            <v>2Q03</v>
          </cell>
          <cell r="O37" t="str">
            <v>3Q03</v>
          </cell>
          <cell r="P37" t="str">
            <v>4Q03</v>
          </cell>
          <cell r="Q37">
            <v>2003</v>
          </cell>
          <cell r="R37" t="str">
            <v>1Q04</v>
          </cell>
          <cell r="S37" t="str">
            <v>2Q04</v>
          </cell>
          <cell r="T37" t="str">
            <v>3Q04</v>
          </cell>
          <cell r="U37" t="str">
            <v>4Q04</v>
          </cell>
          <cell r="V37">
            <v>2004</v>
          </cell>
          <cell r="W37" t="str">
            <v>1Q05</v>
          </cell>
          <cell r="X37" t="str">
            <v>2Q05</v>
          </cell>
          <cell r="Y37" t="str">
            <v>3Q05</v>
          </cell>
          <cell r="Z37" t="str">
            <v>4Q05</v>
          </cell>
          <cell r="AA37">
            <v>2005</v>
          </cell>
          <cell r="AB37" t="str">
            <v>1Q06</v>
          </cell>
          <cell r="AC37" t="str">
            <v>2Q06E</v>
          </cell>
          <cell r="AD37" t="str">
            <v>3Q06E</v>
          </cell>
          <cell r="AE37" t="str">
            <v>4Q06E</v>
          </cell>
          <cell r="AF37" t="str">
            <v>2006E</v>
          </cell>
          <cell r="AG37" t="str">
            <v>2007E</v>
          </cell>
          <cell r="AH37" t="str">
            <v>2008E</v>
          </cell>
          <cell r="AI37" t="str">
            <v>2009E</v>
          </cell>
          <cell r="AJ37" t="str">
            <v>2010E</v>
          </cell>
          <cell r="AK37" t="str">
            <v>2011E</v>
          </cell>
          <cell r="AL37" t="str">
            <v>2012E</v>
          </cell>
          <cell r="AM37">
            <v>10717.189041965627</v>
          </cell>
          <cell r="AN37">
            <v>10904.739850200025</v>
          </cell>
          <cell r="AO37" t="str">
            <v>Fiscal Year Ending December 31</v>
          </cell>
          <cell r="AP37">
            <v>2004</v>
          </cell>
          <cell r="AQ37">
            <v>2005</v>
          </cell>
          <cell r="AR37" t="str">
            <v>2006E</v>
          </cell>
          <cell r="AS37" t="str">
            <v>2007E</v>
          </cell>
          <cell r="AT37" t="str">
            <v>2008E</v>
          </cell>
          <cell r="AU37" t="str">
            <v>2009E</v>
          </cell>
          <cell r="AV37" t="str">
            <v>2010E</v>
          </cell>
          <cell r="AW37" t="str">
            <v>2011E</v>
          </cell>
          <cell r="AX37" t="str">
            <v>2012E</v>
          </cell>
          <cell r="AY37">
            <v>10904.739850200025</v>
          </cell>
          <cell r="AZ37">
            <v>11041.049098327525</v>
          </cell>
          <cell r="BA37">
            <v>11123.856966564983</v>
          </cell>
          <cell r="BB37">
            <v>11151.666608981395</v>
          </cell>
        </row>
        <row r="38">
          <cell r="A38" t="str">
            <v>Direct Post-Paid Subs</v>
          </cell>
          <cell r="C38">
            <v>17553.5</v>
          </cell>
          <cell r="D38">
            <v>18882.400000000001</v>
          </cell>
          <cell r="E38">
            <v>20606.599999999999</v>
          </cell>
          <cell r="F38">
            <v>22222</v>
          </cell>
          <cell r="G38">
            <v>22222</v>
          </cell>
          <cell r="H38">
            <v>23445</v>
          </cell>
          <cell r="I38">
            <v>24224</v>
          </cell>
          <cell r="J38">
            <v>24626</v>
          </cell>
          <cell r="K38">
            <v>25372</v>
          </cell>
          <cell r="L38">
            <v>25372</v>
          </cell>
          <cell r="M38">
            <v>26111</v>
          </cell>
          <cell r="N38">
            <v>27145</v>
          </cell>
          <cell r="O38">
            <v>28077</v>
          </cell>
          <cell r="P38">
            <v>29180</v>
          </cell>
          <cell r="Q38">
            <v>29180</v>
          </cell>
          <cell r="R38">
            <v>29638</v>
          </cell>
          <cell r="S38">
            <v>30779</v>
          </cell>
          <cell r="T38">
            <v>31758</v>
          </cell>
          <cell r="U38">
            <v>32812</v>
          </cell>
          <cell r="V38">
            <v>32812</v>
          </cell>
          <cell r="W38">
            <v>33826</v>
          </cell>
          <cell r="X38">
            <v>34776</v>
          </cell>
          <cell r="Y38">
            <v>35967</v>
          </cell>
          <cell r="Z38">
            <v>36977</v>
          </cell>
          <cell r="AA38">
            <v>36977</v>
          </cell>
          <cell r="AB38">
            <v>39103</v>
          </cell>
          <cell r="AC38">
            <v>39559.344711585072</v>
          </cell>
          <cell r="AD38">
            <v>39980.226755375807</v>
          </cell>
          <cell r="AE38">
            <v>40518.684413554503</v>
          </cell>
          <cell r="AF38">
            <v>40518.684413554503</v>
          </cell>
          <cell r="AG38">
            <v>42013.863812119569</v>
          </cell>
          <cell r="AH38">
            <v>42722.8924592931</v>
          </cell>
          <cell r="AI38">
            <v>42813.193123823068</v>
          </cell>
          <cell r="AJ38">
            <v>42881.593099943304</v>
          </cell>
          <cell r="AK38">
            <v>42933.403978164439</v>
          </cell>
          <cell r="AL38">
            <v>42972.649124936506</v>
          </cell>
          <cell r="AM38">
            <v>2.2499999999999999E-2</v>
          </cell>
          <cell r="AN38">
            <v>1.7499999999999998E-2</v>
          </cell>
          <cell r="AO38" t="str">
            <v>Direct Post-Paid Subs</v>
          </cell>
          <cell r="AP38">
            <v>32812</v>
          </cell>
          <cell r="AQ38">
            <v>36977</v>
          </cell>
          <cell r="AR38">
            <v>40518.684413554503</v>
          </cell>
          <cell r="AS38">
            <v>42013.863812119569</v>
          </cell>
          <cell r="AT38">
            <v>42722.8924592931</v>
          </cell>
          <cell r="AU38">
            <v>42813.193123823068</v>
          </cell>
          <cell r="AV38">
            <v>42881.593099943304</v>
          </cell>
          <cell r="AW38">
            <v>42933.403978164439</v>
          </cell>
          <cell r="AX38">
            <v>42972.649124936506</v>
          </cell>
          <cell r="AY38">
            <v>1.7499999999999998E-2</v>
          </cell>
          <cell r="AZ38">
            <v>1.2499999999999997E-2</v>
          </cell>
          <cell r="BA38">
            <v>7.4999999999999971E-3</v>
          </cell>
          <cell r="BB38">
            <v>2.499999999999997E-3</v>
          </cell>
        </row>
        <row r="39">
          <cell r="A39" t="str">
            <v xml:space="preserve">   Net Adds</v>
          </cell>
          <cell r="C39">
            <v>1331.2999999999993</v>
          </cell>
          <cell r="D39">
            <v>1328.9000000000015</v>
          </cell>
          <cell r="E39">
            <v>1724.1999999999971</v>
          </cell>
          <cell r="F39">
            <v>1615.4000000000015</v>
          </cell>
          <cell r="G39">
            <v>5999.7999999999993</v>
          </cell>
          <cell r="H39">
            <v>1223</v>
          </cell>
          <cell r="I39">
            <v>779</v>
          </cell>
          <cell r="J39">
            <v>402</v>
          </cell>
          <cell r="K39">
            <v>746</v>
          </cell>
          <cell r="L39">
            <v>3150</v>
          </cell>
          <cell r="M39">
            <v>739</v>
          </cell>
          <cell r="N39">
            <v>1034</v>
          </cell>
          <cell r="O39">
            <v>932</v>
          </cell>
          <cell r="P39">
            <v>1103</v>
          </cell>
          <cell r="Q39">
            <v>3808</v>
          </cell>
          <cell r="R39">
            <v>889</v>
          </cell>
          <cell r="S39">
            <v>1050</v>
          </cell>
          <cell r="T39">
            <v>979</v>
          </cell>
          <cell r="U39">
            <v>1054</v>
          </cell>
          <cell r="V39">
            <v>3972</v>
          </cell>
          <cell r="W39">
            <v>1014</v>
          </cell>
          <cell r="X39">
            <v>950</v>
          </cell>
          <cell r="Y39">
            <v>669</v>
          </cell>
          <cell r="Z39">
            <v>746</v>
          </cell>
          <cell r="AA39">
            <v>3379</v>
          </cell>
          <cell r="AB39">
            <v>563</v>
          </cell>
          <cell r="AC39">
            <v>456.3447115850704</v>
          </cell>
          <cell r="AD39">
            <v>420.88204379073204</v>
          </cell>
          <cell r="AE39">
            <v>538.45765817869506</v>
          </cell>
          <cell r="AF39">
            <v>1978.6844135544975</v>
          </cell>
          <cell r="AG39">
            <v>1495.1793985650656</v>
          </cell>
          <cell r="AH39">
            <v>709.02864717352713</v>
          </cell>
          <cell r="AI39">
            <v>90.300664529968344</v>
          </cell>
          <cell r="AJ39">
            <v>68.399976120239444</v>
          </cell>
          <cell r="AK39">
            <v>51.810878221129315</v>
          </cell>
          <cell r="AL39">
            <v>39.245146772067528</v>
          </cell>
          <cell r="AM39">
            <v>0.02</v>
          </cell>
          <cell r="AN39">
            <v>0.02</v>
          </cell>
          <cell r="AO39" t="str">
            <v xml:space="preserve">   Net Adds</v>
          </cell>
          <cell r="AP39">
            <v>3972</v>
          </cell>
          <cell r="AQ39">
            <v>3379</v>
          </cell>
          <cell r="AR39">
            <v>1978.6844135544975</v>
          </cell>
          <cell r="AS39">
            <v>1495.1793985650656</v>
          </cell>
          <cell r="AT39">
            <v>709.02864717352713</v>
          </cell>
          <cell r="AU39">
            <v>90.300664529968344</v>
          </cell>
          <cell r="AV39">
            <v>68.399976120239444</v>
          </cell>
          <cell r="AW39">
            <v>51.810878221129315</v>
          </cell>
          <cell r="AX39">
            <v>39.245146772067528</v>
          </cell>
          <cell r="AY39">
            <v>0.02</v>
          </cell>
          <cell r="AZ39">
            <v>2.0500000000000001E-2</v>
          </cell>
          <cell r="BA39">
            <v>2.0500000000000001E-2</v>
          </cell>
          <cell r="BB39">
            <v>2.0500000000000001E-2</v>
          </cell>
        </row>
        <row r="40">
          <cell r="A40" t="str">
            <v xml:space="preserve">   Gross Adds</v>
          </cell>
          <cell r="C40">
            <v>2597.8887500000001</v>
          </cell>
          <cell r="D40">
            <v>2553.6090499999996</v>
          </cell>
          <cell r="E40">
            <v>3145.3960000000002</v>
          </cell>
          <cell r="F40">
            <v>3340.6958000000004</v>
          </cell>
          <cell r="G40">
            <v>11637.589599999999</v>
          </cell>
          <cell r="H40">
            <v>3037.2830000000004</v>
          </cell>
          <cell r="I40">
            <v>2626.9894999999997</v>
          </cell>
          <cell r="J40">
            <v>2653.1459999999997</v>
          </cell>
          <cell r="K40">
            <v>2935.607</v>
          </cell>
          <cell r="L40">
            <v>11253.0255</v>
          </cell>
          <cell r="M40">
            <v>2741.2075</v>
          </cell>
          <cell r="N40">
            <v>2675.48</v>
          </cell>
          <cell r="O40">
            <v>2692.6909999999998</v>
          </cell>
          <cell r="P40">
            <v>2957.4105</v>
          </cell>
          <cell r="Q40">
            <v>11066.789000000001</v>
          </cell>
          <cell r="R40">
            <v>3006.4480000000003</v>
          </cell>
          <cell r="S40">
            <v>2862.51</v>
          </cell>
          <cell r="T40">
            <v>3042.721</v>
          </cell>
          <cell r="U40">
            <v>3184.81</v>
          </cell>
          <cell r="V40">
            <v>12096.489</v>
          </cell>
          <cell r="W40">
            <v>3113.0970000000002</v>
          </cell>
          <cell r="X40">
            <v>2905.1570000000002</v>
          </cell>
          <cell r="Y40">
            <v>2897.4045000000001</v>
          </cell>
          <cell r="Z40">
            <v>3043.7359999999999</v>
          </cell>
          <cell r="AA40">
            <v>11959.394500000002</v>
          </cell>
          <cell r="AB40">
            <v>2959.52</v>
          </cell>
          <cell r="AC40">
            <v>2934.2085700000002</v>
          </cell>
          <cell r="AD40">
            <v>2926.378545</v>
          </cell>
          <cell r="AE40">
            <v>3074.1733599999998</v>
          </cell>
          <cell r="AF40">
            <v>11894.280475</v>
          </cell>
          <cell r="AG40">
            <v>11894.280475</v>
          </cell>
          <cell r="AH40">
            <v>11894.280475</v>
          </cell>
          <cell r="AI40">
            <v>11894.280475</v>
          </cell>
          <cell r="AJ40">
            <v>11894.280475</v>
          </cell>
          <cell r="AK40">
            <v>11894.280475</v>
          </cell>
          <cell r="AL40">
            <v>11894.280475</v>
          </cell>
          <cell r="AO40" t="str">
            <v xml:space="preserve">   Gross Adds</v>
          </cell>
          <cell r="AP40">
            <v>12096.489</v>
          </cell>
          <cell r="AQ40">
            <v>11959.394500000002</v>
          </cell>
          <cell r="AR40">
            <v>11894.280475</v>
          </cell>
          <cell r="AS40">
            <v>11894.280475</v>
          </cell>
          <cell r="AT40">
            <v>11894.280475</v>
          </cell>
          <cell r="AU40">
            <v>11894.280475</v>
          </cell>
          <cell r="AV40">
            <v>11894.280475</v>
          </cell>
          <cell r="AW40">
            <v>11894.280475</v>
          </cell>
          <cell r="AX40">
            <v>11894.280475</v>
          </cell>
        </row>
        <row r="41">
          <cell r="A41" t="str">
            <v xml:space="preserve">       Year-over-Year Growth</v>
          </cell>
          <cell r="C41">
            <v>0</v>
          </cell>
          <cell r="D41">
            <v>0</v>
          </cell>
          <cell r="E41">
            <v>0</v>
          </cell>
          <cell r="F41">
            <v>0</v>
          </cell>
          <cell r="G41">
            <v>0</v>
          </cell>
          <cell r="H41">
            <v>0.1691351294392418</v>
          </cell>
          <cell r="I41">
            <v>2.8735976636674376E-2</v>
          </cell>
          <cell r="J41">
            <v>-0.15649857760358332</v>
          </cell>
          <cell r="K41">
            <v>-0.12125881081420231</v>
          </cell>
          <cell r="L41">
            <v>-3.3044995846906233E-2</v>
          </cell>
          <cell r="M41">
            <v>-9.7480379668276051E-2</v>
          </cell>
          <cell r="N41">
            <v>1.845858158169289E-2</v>
          </cell>
          <cell r="O41">
            <v>1.490494680654586E-2</v>
          </cell>
          <cell r="P41">
            <v>7.4272543974720495E-3</v>
          </cell>
          <cell r="Q41">
            <v>-1.6549904734508902E-2</v>
          </cell>
          <cell r="R41">
            <v>9.6760460490495692E-2</v>
          </cell>
          <cell r="S41">
            <v>6.9905213270142319E-2</v>
          </cell>
          <cell r="T41">
            <v>0.12999263561990593</v>
          </cell>
          <cell r="U41">
            <v>7.6891422411599519E-2</v>
          </cell>
          <cell r="V41">
            <v>0</v>
          </cell>
          <cell r="W41">
            <v>3.5473422457331649E-2</v>
          </cell>
          <cell r="X41">
            <v>1.4898463236809656E-2</v>
          </cell>
          <cell r="Y41">
            <v>-4.7758733055051628E-2</v>
          </cell>
          <cell r="Z41">
            <v>-4.4295892062634845E-2</v>
          </cell>
          <cell r="AA41">
            <v>-1.1333412529866971E-2</v>
          </cell>
          <cell r="AB41">
            <v>-4.9332545693243857E-2</v>
          </cell>
          <cell r="AC41">
            <v>0.01</v>
          </cell>
          <cell r="AD41">
            <v>0.01</v>
          </cell>
          <cell r="AE41">
            <v>0.01</v>
          </cell>
          <cell r="AF41">
            <v>-5.4445921154288035E-3</v>
          </cell>
          <cell r="AG41">
            <v>0</v>
          </cell>
          <cell r="AH41">
            <v>0</v>
          </cell>
          <cell r="AI41">
            <v>0</v>
          </cell>
          <cell r="AJ41">
            <v>0</v>
          </cell>
          <cell r="AK41">
            <v>0</v>
          </cell>
          <cell r="AL41">
            <v>0</v>
          </cell>
          <cell r="AM41">
            <v>6506.8003819429759</v>
          </cell>
          <cell r="AN41">
            <v>7152.3039064282793</v>
          </cell>
          <cell r="AO41" t="str">
            <v xml:space="preserve">       Year-over-Year Growth</v>
          </cell>
          <cell r="AP41">
            <v>8167.1891432783104</v>
          </cell>
          <cell r="AQ41">
            <v>-1.1333412529866971E-2</v>
          </cell>
          <cell r="AR41">
            <v>-5.4445921154288035E-3</v>
          </cell>
          <cell r="AS41">
            <v>0</v>
          </cell>
          <cell r="AT41">
            <v>0</v>
          </cell>
          <cell r="AU41">
            <v>0</v>
          </cell>
          <cell r="AV41">
            <v>0</v>
          </cell>
          <cell r="AW41">
            <v>0</v>
          </cell>
          <cell r="AX41">
            <v>0</v>
          </cell>
          <cell r="AY41">
            <v>7152.3039064282793</v>
          </cell>
          <cell r="AZ41">
            <v>7681.0356817422771</v>
          </cell>
          <cell r="BA41">
            <v>8167.1891432783104</v>
          </cell>
          <cell r="BB41">
            <v>8646.3593692363629</v>
          </cell>
          <cell r="BM41" t="str">
            <v>mstag:wirelessSubscribers</v>
          </cell>
          <cell r="BN41">
            <v>6</v>
          </cell>
          <cell r="BO41" t="str">
            <v>ms_eqr_gcim_Decimal:ms_eqr_gcim_decimal</v>
          </cell>
          <cell r="BP41" t="b">
            <v>0</v>
          </cell>
        </row>
        <row r="42">
          <cell r="A42" t="str">
            <v xml:space="preserve">   Monthly Churn Rate</v>
          </cell>
          <cell r="C42">
            <v>2.5000000000000019E-2</v>
          </cell>
          <cell r="D42">
            <v>2.2408468021923398E-2</v>
          </cell>
          <cell r="E42">
            <v>2.3993112005875106E-2</v>
          </cell>
          <cell r="F42">
            <v>2.6855820643215036E-2</v>
          </cell>
          <cell r="G42">
            <v>2.3708762434633417E-2</v>
          </cell>
          <cell r="H42">
            <v>2.6485689885475294E-2</v>
          </cell>
          <cell r="I42">
            <v>2.5844741865782787E-2</v>
          </cell>
          <cell r="J42">
            <v>3.0721883316274304E-2</v>
          </cell>
          <cell r="K42">
            <v>2.9195927837113486E-2</v>
          </cell>
          <cell r="L42">
            <v>2.8161554646381235E-2</v>
          </cell>
          <cell r="M42">
            <v>2.5927102150224344E-2</v>
          </cell>
          <cell r="N42">
            <v>2.0548295027790296E-2</v>
          </cell>
          <cell r="O42">
            <v>2.1255912498641841E-2</v>
          </cell>
          <cell r="P42">
            <v>2.1591659826163904E-2</v>
          </cell>
          <cell r="Q42">
            <v>2.2257757785382248E-2</v>
          </cell>
          <cell r="R42">
            <v>2.4E-2</v>
          </cell>
          <cell r="S42">
            <v>0.02</v>
          </cell>
          <cell r="T42">
            <v>2.1999999999999999E-2</v>
          </cell>
          <cell r="U42">
            <v>2.1999999999999999E-2</v>
          </cell>
          <cell r="V42">
            <v>2.1958030901554806E-2</v>
          </cell>
          <cell r="W42">
            <v>2.1000000000000001E-2</v>
          </cell>
          <cell r="X42">
            <v>1.9E-2</v>
          </cell>
          <cell r="Y42">
            <v>2.1000000000000001E-2</v>
          </cell>
          <cell r="Z42">
            <v>2.1000000000000001E-2</v>
          </cell>
          <cell r="AA42">
            <v>2.050473379483591E-2</v>
          </cell>
          <cell r="AB42">
            <v>2.1000000000000001E-2</v>
          </cell>
          <cell r="AC42">
            <v>2.1000000000000001E-2</v>
          </cell>
          <cell r="AD42">
            <v>2.1000000000000001E-2</v>
          </cell>
          <cell r="AE42">
            <v>2.1000000000000001E-2</v>
          </cell>
          <cell r="AF42">
            <v>2.106421483350232E-2</v>
          </cell>
          <cell r="AG42">
            <v>2.1000000000000001E-2</v>
          </cell>
          <cell r="AH42">
            <v>2.1999999999999999E-2</v>
          </cell>
          <cell r="AI42">
            <v>2.3E-2</v>
          </cell>
          <cell r="AJ42">
            <v>2.3E-2</v>
          </cell>
          <cell r="AK42">
            <v>2.3E-2</v>
          </cell>
          <cell r="AL42">
            <v>2.3E-2</v>
          </cell>
          <cell r="AM42">
            <v>879.70373938690318</v>
          </cell>
          <cell r="AN42">
            <v>645.50352448530339</v>
          </cell>
          <cell r="AO42" t="str">
            <v xml:space="preserve">   Monthly Churn Rate</v>
          </cell>
          <cell r="AP42">
            <v>2.1958030901554806E-2</v>
          </cell>
          <cell r="AQ42">
            <v>2.050473379483591E-2</v>
          </cell>
          <cell r="AR42">
            <v>2.106421483350232E-2</v>
          </cell>
          <cell r="AS42">
            <v>2.1000000000000001E-2</v>
          </cell>
          <cell r="AT42">
            <v>2.1999999999999999E-2</v>
          </cell>
          <cell r="AU42">
            <v>2.3E-2</v>
          </cell>
          <cell r="AV42">
            <v>2.3E-2</v>
          </cell>
          <cell r="AW42">
            <v>2.3E-2</v>
          </cell>
          <cell r="AX42">
            <v>2.3E-2</v>
          </cell>
          <cell r="AY42">
            <v>645.50352448530339</v>
          </cell>
          <cell r="AZ42">
            <v>528.73177531399779</v>
          </cell>
          <cell r="BA42">
            <v>486.15346153603332</v>
          </cell>
          <cell r="BB42">
            <v>479.17022595805247</v>
          </cell>
        </row>
        <row r="43">
          <cell r="A43" t="str">
            <v>Blended ARPU</v>
          </cell>
          <cell r="C43">
            <v>65.846155668128276</v>
          </cell>
          <cell r="D43">
            <v>66.771142380637414</v>
          </cell>
          <cell r="E43">
            <v>66.724066617707891</v>
          </cell>
          <cell r="F43">
            <v>65.210318961317128</v>
          </cell>
          <cell r="G43">
            <v>63.613597512127122</v>
          </cell>
          <cell r="H43">
            <v>62.316058861164429</v>
          </cell>
          <cell r="I43">
            <v>66.486255917542493</v>
          </cell>
          <cell r="J43">
            <v>67.581030365063114</v>
          </cell>
          <cell r="K43">
            <v>66.095977172420234</v>
          </cell>
          <cell r="L43">
            <v>66.193173129589312</v>
          </cell>
          <cell r="M43">
            <v>62.363628123199248</v>
          </cell>
          <cell r="N43">
            <v>64.944169045115416</v>
          </cell>
          <cell r="O43">
            <v>66.386585056680318</v>
          </cell>
          <cell r="P43">
            <v>65.272950614480905</v>
          </cell>
          <cell r="Q43">
            <v>64.726913689271569</v>
          </cell>
          <cell r="R43">
            <v>64.011601963409191</v>
          </cell>
          <cell r="S43">
            <v>65.736393811898608</v>
          </cell>
          <cell r="T43">
            <v>65.997310062243912</v>
          </cell>
          <cell r="U43">
            <v>64.502229570619775</v>
          </cell>
          <cell r="V43">
            <v>66.418775310756089</v>
          </cell>
          <cell r="W43">
            <v>63.671709589252032</v>
          </cell>
          <cell r="X43">
            <v>64.359999814203235</v>
          </cell>
          <cell r="Y43">
            <v>62.906773093961505</v>
          </cell>
          <cell r="Z43">
            <v>61.611801842427361</v>
          </cell>
          <cell r="AA43">
            <v>63.037451140805381</v>
          </cell>
          <cell r="AB43">
            <v>60.950938849609031</v>
          </cell>
          <cell r="AC43">
            <v>59.458951718955483</v>
          </cell>
          <cell r="AD43">
            <v>59.565490622462157</v>
          </cell>
          <cell r="AE43">
            <v>59.144961165379243</v>
          </cell>
          <cell r="AF43">
            <v>59.724761133658518</v>
          </cell>
          <cell r="AG43">
            <v>58.255307164473599</v>
          </cell>
          <cell r="AH43">
            <v>57.059648376278943</v>
          </cell>
          <cell r="AI43">
            <v>56.05539947472684</v>
          </cell>
          <cell r="AJ43">
            <v>55.1520550175062</v>
          </cell>
          <cell r="AK43">
            <v>54.318498539584994</v>
          </cell>
          <cell r="AL43">
            <v>53.539632014840954</v>
          </cell>
          <cell r="AM43">
            <v>5247.9066682065604</v>
          </cell>
          <cell r="AN43">
            <v>5562.7810682989548</v>
          </cell>
          <cell r="AO43" t="str">
            <v>Blended ARPU</v>
          </cell>
          <cell r="AP43">
            <v>66.418775310756089</v>
          </cell>
          <cell r="AQ43">
            <v>63.037451140805381</v>
          </cell>
          <cell r="AR43">
            <v>59.724761133658518</v>
          </cell>
          <cell r="AS43">
            <v>58.255307164473599</v>
          </cell>
          <cell r="AT43">
            <v>57.059648376278943</v>
          </cell>
          <cell r="AU43">
            <v>56.05539947472684</v>
          </cell>
          <cell r="AV43">
            <v>55.1520550175062</v>
          </cell>
          <cell r="AW43">
            <v>54.318498539584994</v>
          </cell>
          <cell r="AX43">
            <v>53.539632014840954</v>
          </cell>
          <cell r="AY43">
            <v>5562.7810682989548</v>
          </cell>
          <cell r="AZ43">
            <v>5868.7340270553968</v>
          </cell>
          <cell r="BA43">
            <v>6191.5143985434433</v>
          </cell>
          <cell r="BB43">
            <v>6532.0476904633324</v>
          </cell>
        </row>
        <row r="44">
          <cell r="A44" t="str">
            <v>Direct Pre-Paid Subs</v>
          </cell>
          <cell r="C44">
            <v>0</v>
          </cell>
          <cell r="D44">
            <v>0</v>
          </cell>
          <cell r="E44">
            <v>0</v>
          </cell>
          <cell r="F44">
            <v>0</v>
          </cell>
          <cell r="G44">
            <v>0</v>
          </cell>
          <cell r="H44">
            <v>-5.3611281799896049E-2</v>
          </cell>
          <cell r="I44">
            <v>-4.2666105886115524E-3</v>
          </cell>
          <cell r="J44">
            <v>1.2843398054035893E-2</v>
          </cell>
          <cell r="K44">
            <v>1.3581565390417438E-2</v>
          </cell>
          <cell r="L44">
            <v>4.055069542278944E-2</v>
          </cell>
          <cell r="M44">
            <v>7.6335479014799645E-4</v>
          </cell>
          <cell r="N44">
            <v>-2.319406997950979E-2</v>
          </cell>
          <cell r="O44">
            <v>-1.7674268976524465E-2</v>
          </cell>
          <cell r="P44">
            <v>-1.2451991681617036E-2</v>
          </cell>
          <cell r="Q44">
            <v>-2.2151218486643365E-2</v>
          </cell>
          <cell r="R44">
            <v>537</v>
          </cell>
          <cell r="S44">
            <v>605</v>
          </cell>
          <cell r="T44">
            <v>800</v>
          </cell>
          <cell r="U44">
            <v>1160</v>
          </cell>
          <cell r="V44">
            <v>1160</v>
          </cell>
          <cell r="W44">
            <v>1474</v>
          </cell>
          <cell r="X44">
            <v>1687</v>
          </cell>
          <cell r="Y44">
            <v>1987</v>
          </cell>
          <cell r="Z44">
            <v>2684</v>
          </cell>
          <cell r="AA44">
            <v>2684</v>
          </cell>
          <cell r="AB44">
            <v>3127</v>
          </cell>
          <cell r="AC44">
            <v>3540.7025602968461</v>
          </cell>
          <cell r="AD44">
            <v>3941.3457944879838</v>
          </cell>
          <cell r="AE44">
            <v>4425.7456623030303</v>
          </cell>
          <cell r="AF44">
            <v>4425.7456623030303</v>
          </cell>
          <cell r="AG44">
            <v>5951.7262673172681</v>
          </cell>
          <cell r="AH44">
            <v>7075.607280130369</v>
          </cell>
          <cell r="AI44">
            <v>7935.2117923491805</v>
          </cell>
          <cell r="AJ44">
            <v>8638.5786799186899</v>
          </cell>
          <cell r="AK44">
            <v>9244.4754506836562</v>
          </cell>
          <cell r="AL44">
            <v>9805.4082465883548</v>
          </cell>
          <cell r="AM44">
            <v>0.08</v>
          </cell>
          <cell r="AN44">
            <v>0.06</v>
          </cell>
          <cell r="AO44" t="str">
            <v>Direct Pre-Paid Subs</v>
          </cell>
          <cell r="AP44">
            <v>1160</v>
          </cell>
          <cell r="AQ44">
            <v>2684</v>
          </cell>
          <cell r="AR44">
            <v>4425.7456623030303</v>
          </cell>
          <cell r="AS44">
            <v>5951.7262673172681</v>
          </cell>
          <cell r="AT44">
            <v>7075.607280130369</v>
          </cell>
          <cell r="AU44">
            <v>7935.2117923491805</v>
          </cell>
          <cell r="AV44">
            <v>8638.5786799186899</v>
          </cell>
          <cell r="AW44">
            <v>9244.4754506836562</v>
          </cell>
          <cell r="AX44">
            <v>9805.4082465883548</v>
          </cell>
          <cell r="AY44">
            <v>0.06</v>
          </cell>
          <cell r="AZ44">
            <v>5.5E-2</v>
          </cell>
          <cell r="BA44">
            <v>5.5E-2</v>
          </cell>
          <cell r="BB44">
            <v>5.5E-2</v>
          </cell>
        </row>
        <row r="45">
          <cell r="A45" t="str">
            <v xml:space="preserve">   Net Adds</v>
          </cell>
          <cell r="R45">
            <v>132</v>
          </cell>
          <cell r="S45">
            <v>68</v>
          </cell>
          <cell r="T45">
            <v>195</v>
          </cell>
          <cell r="U45">
            <v>360</v>
          </cell>
          <cell r="V45">
            <v>755</v>
          </cell>
          <cell r="W45">
            <v>314</v>
          </cell>
          <cell r="X45">
            <v>213</v>
          </cell>
          <cell r="Y45">
            <v>300</v>
          </cell>
          <cell r="Z45">
            <v>624</v>
          </cell>
          <cell r="AA45">
            <v>1451</v>
          </cell>
          <cell r="AB45">
            <v>502</v>
          </cell>
          <cell r="AC45">
            <v>413.70256029684606</v>
          </cell>
          <cell r="AD45">
            <v>400.64323419113771</v>
          </cell>
          <cell r="AE45">
            <v>484.39986781504683</v>
          </cell>
          <cell r="AF45">
            <v>1800.7456623030307</v>
          </cell>
          <cell r="AG45">
            <v>1525.9806050142383</v>
          </cell>
          <cell r="AH45">
            <v>1123.8810128131004</v>
          </cell>
          <cell r="AI45">
            <v>859.60451221881158</v>
          </cell>
          <cell r="AJ45">
            <v>703.36688756950844</v>
          </cell>
          <cell r="AK45">
            <v>605.89677076496628</v>
          </cell>
          <cell r="AL45">
            <v>560.93279590469956</v>
          </cell>
          <cell r="AM45">
            <v>0.1334869051381965</v>
          </cell>
          <cell r="AN45">
            <v>0.14282976272687764</v>
          </cell>
          <cell r="AO45" t="str">
            <v xml:space="preserve">   Net Adds</v>
          </cell>
          <cell r="AP45">
            <v>755</v>
          </cell>
          <cell r="AQ45">
            <v>1451</v>
          </cell>
          <cell r="AR45">
            <v>1800.7456623030307</v>
          </cell>
          <cell r="AS45">
            <v>1525.9806050142383</v>
          </cell>
          <cell r="AT45">
            <v>1123.8810128131004</v>
          </cell>
          <cell r="AU45">
            <v>859.60451221881158</v>
          </cell>
          <cell r="AV45">
            <v>703.36688756950844</v>
          </cell>
          <cell r="AW45">
            <v>605.89677076496628</v>
          </cell>
          <cell r="AX45">
            <v>560.93279590469956</v>
          </cell>
          <cell r="AY45">
            <v>0.14282976272687764</v>
          </cell>
          <cell r="AZ45">
            <v>0.15050948979676129</v>
          </cell>
          <cell r="BA45">
            <v>0.15727739158550516</v>
          </cell>
          <cell r="BB45">
            <v>0.16390648052811174</v>
          </cell>
        </row>
        <row r="46">
          <cell r="A46" t="str">
            <v xml:space="preserve">   Gross Adds</v>
          </cell>
          <cell r="C46">
            <v>465</v>
          </cell>
          <cell r="D46">
            <v>530</v>
          </cell>
          <cell r="E46">
            <v>550</v>
          </cell>
          <cell r="F46">
            <v>565</v>
          </cell>
          <cell r="G46">
            <v>527.5</v>
          </cell>
          <cell r="H46">
            <v>580</v>
          </cell>
          <cell r="I46">
            <v>647.5</v>
          </cell>
          <cell r="J46">
            <v>650</v>
          </cell>
          <cell r="K46">
            <v>647.5</v>
          </cell>
          <cell r="L46">
            <v>631.25</v>
          </cell>
          <cell r="M46">
            <v>673</v>
          </cell>
          <cell r="N46">
            <v>760</v>
          </cell>
          <cell r="O46">
            <v>765</v>
          </cell>
          <cell r="P46">
            <v>763</v>
          </cell>
          <cell r="Q46">
            <v>740.25</v>
          </cell>
          <cell r="R46">
            <v>825</v>
          </cell>
          <cell r="S46">
            <v>870</v>
          </cell>
          <cell r="T46">
            <v>875</v>
          </cell>
          <cell r="U46">
            <v>877.5</v>
          </cell>
          <cell r="V46">
            <v>861.875</v>
          </cell>
          <cell r="W46">
            <v>511.55000000000007</v>
          </cell>
          <cell r="X46">
            <v>506.97300000000001</v>
          </cell>
          <cell r="Y46">
            <v>570.03899999999999</v>
          </cell>
          <cell r="Z46">
            <v>960.31200000000001</v>
          </cell>
          <cell r="AA46">
            <v>2548.8740000000003</v>
          </cell>
          <cell r="AB46">
            <v>972.69100000000003</v>
          </cell>
          <cell r="AC46">
            <v>933.78336000000002</v>
          </cell>
          <cell r="AD46">
            <v>961.79686079999999</v>
          </cell>
          <cell r="AE46">
            <v>1086.830452704</v>
          </cell>
          <cell r="AF46">
            <v>3955.1016735040002</v>
          </cell>
          <cell r="AG46">
            <v>4390.162857589441</v>
          </cell>
          <cell r="AH46">
            <v>4719.4250719086485</v>
          </cell>
          <cell r="AI46">
            <v>5002.5905762231678</v>
          </cell>
          <cell r="AJ46">
            <v>5277.7330579154413</v>
          </cell>
          <cell r="AK46">
            <v>5541.6197108112137</v>
          </cell>
          <cell r="AL46">
            <v>5818.7006963517742</v>
          </cell>
          <cell r="AM46">
            <v>0.06</v>
          </cell>
          <cell r="AN46">
            <v>0.06</v>
          </cell>
          <cell r="AO46" t="str">
            <v xml:space="preserve">   Gross Adds</v>
          </cell>
          <cell r="AP46">
            <v>960.31200000000001</v>
          </cell>
          <cell r="AQ46">
            <v>2548.8740000000003</v>
          </cell>
          <cell r="AR46">
            <v>3955.1016735040002</v>
          </cell>
          <cell r="AS46">
            <v>4390.162857589441</v>
          </cell>
          <cell r="AT46">
            <v>4719.4250719086485</v>
          </cell>
          <cell r="AU46">
            <v>5002.5905762231678</v>
          </cell>
          <cell r="AV46">
            <v>5277.7330579154413</v>
          </cell>
          <cell r="AW46">
            <v>5541.6197108112137</v>
          </cell>
          <cell r="AX46">
            <v>5818.7006963517742</v>
          </cell>
          <cell r="AY46">
            <v>0.06</v>
          </cell>
          <cell r="AZ46">
            <v>0.06</v>
          </cell>
          <cell r="BA46">
            <v>0.06</v>
          </cell>
          <cell r="BB46">
            <v>0.06</v>
          </cell>
        </row>
        <row r="47">
          <cell r="A47" t="str">
            <v xml:space="preserve">       Sequential Growth</v>
          </cell>
          <cell r="C47">
            <v>0</v>
          </cell>
          <cell r="D47">
            <v>0</v>
          </cell>
          <cell r="E47">
            <v>0</v>
          </cell>
          <cell r="F47">
            <v>0</v>
          </cell>
          <cell r="G47">
            <v>0</v>
          </cell>
          <cell r="H47">
            <v>0</v>
          </cell>
          <cell r="I47">
            <v>0</v>
          </cell>
          <cell r="J47">
            <v>0</v>
          </cell>
          <cell r="K47">
            <v>0</v>
          </cell>
          <cell r="L47">
            <v>0.19668246445497628</v>
          </cell>
          <cell r="M47">
            <v>0.16034482758620694</v>
          </cell>
          <cell r="N47">
            <v>0.17374517374517384</v>
          </cell>
          <cell r="O47">
            <v>0.17692307692307696</v>
          </cell>
          <cell r="P47">
            <v>0.17837837837837833</v>
          </cell>
          <cell r="Q47">
            <v>0.1726732673267326</v>
          </cell>
          <cell r="R47">
            <v>0.22585438335809815</v>
          </cell>
          <cell r="S47">
            <v>0.14473684210526305</v>
          </cell>
          <cell r="T47">
            <v>0.14379084967320255</v>
          </cell>
          <cell r="U47">
            <v>0.15006553079947582</v>
          </cell>
          <cell r="V47">
            <v>0.1643026004728132</v>
          </cell>
          <cell r="W47">
            <v>7.8787878787878851E-2</v>
          </cell>
          <cell r="X47">
            <v>-8.9473169778125916E-3</v>
          </cell>
          <cell r="Y47">
            <v>0.1243971572450604</v>
          </cell>
          <cell r="Z47">
            <v>0.68464262971480894</v>
          </cell>
          <cell r="AA47">
            <v>0.12458303118201597</v>
          </cell>
          <cell r="AB47">
            <v>-0.61838403938366515</v>
          </cell>
          <cell r="AC47">
            <v>-0.04</v>
          </cell>
          <cell r="AD47">
            <v>0.03</v>
          </cell>
          <cell r="AE47">
            <v>0.13</v>
          </cell>
          <cell r="AF47">
            <v>0.55170544856434645</v>
          </cell>
          <cell r="AG47">
            <v>0.11</v>
          </cell>
          <cell r="AH47">
            <v>7.4999999999999997E-2</v>
          </cell>
          <cell r="AI47">
            <v>0.06</v>
          </cell>
          <cell r="AJ47">
            <v>5.5E-2</v>
          </cell>
          <cell r="AK47">
            <v>0.05</v>
          </cell>
          <cell r="AL47">
            <v>0.05</v>
          </cell>
          <cell r="AO47" t="str">
            <v xml:space="preserve">       Sequential Growth</v>
          </cell>
          <cell r="AP47">
            <v>0.1643026004728132</v>
          </cell>
          <cell r="AQ47">
            <v>0.12458303118201597</v>
          </cell>
          <cell r="AR47">
            <v>0.55170544856434645</v>
          </cell>
          <cell r="AS47">
            <v>0.11</v>
          </cell>
          <cell r="AT47">
            <v>7.4999999999999997E-2</v>
          </cell>
          <cell r="AU47">
            <v>0.06</v>
          </cell>
          <cell r="AV47">
            <v>5.5E-2</v>
          </cell>
          <cell r="AW47">
            <v>0.05</v>
          </cell>
          <cell r="AX47">
            <v>0.05</v>
          </cell>
        </row>
        <row r="48">
          <cell r="A48" t="str">
            <v xml:space="preserve">   Percent of Total Direct Subs</v>
          </cell>
          <cell r="C48">
            <v>65.846155668128276</v>
          </cell>
          <cell r="D48">
            <v>66.771142380637414</v>
          </cell>
          <cell r="E48">
            <v>66.724066617707891</v>
          </cell>
          <cell r="F48">
            <v>65.210318961317128</v>
          </cell>
          <cell r="G48">
            <v>63.613597512127122</v>
          </cell>
          <cell r="H48">
            <v>62.316058861164429</v>
          </cell>
          <cell r="I48">
            <v>66.486255917542493</v>
          </cell>
          <cell r="J48">
            <v>67.581030365063114</v>
          </cell>
          <cell r="K48">
            <v>66.095977172420234</v>
          </cell>
          <cell r="L48">
            <v>66.193173129589312</v>
          </cell>
          <cell r="M48">
            <v>62.363628123199248</v>
          </cell>
          <cell r="N48">
            <v>64.944169045115416</v>
          </cell>
          <cell r="O48">
            <v>66.386585056680318</v>
          </cell>
          <cell r="P48">
            <v>65.272950614480905</v>
          </cell>
          <cell r="Q48">
            <v>64.726913689271569</v>
          </cell>
          <cell r="R48">
            <v>64.011601963409191</v>
          </cell>
          <cell r="S48">
            <v>65.736393811898608</v>
          </cell>
          <cell r="T48">
            <v>65.997310062243912</v>
          </cell>
          <cell r="U48">
            <v>64.502229570619775</v>
          </cell>
          <cell r="V48">
            <v>66.418775310756089</v>
          </cell>
          <cell r="W48">
            <v>4.1756373937677053E-2</v>
          </cell>
          <cell r="X48">
            <v>4.626607794202342E-2</v>
          </cell>
          <cell r="Y48">
            <v>5.2352848184644571E-2</v>
          </cell>
          <cell r="Z48">
            <v>6.7673533193817609E-2</v>
          </cell>
          <cell r="AA48">
            <v>6.7673533193817609E-2</v>
          </cell>
          <cell r="AB48">
            <v>7.404688609992896E-2</v>
          </cell>
          <cell r="AC48">
            <v>8.2150781366004857E-2</v>
          </cell>
          <cell r="AD48">
            <v>8.9735989985636491E-2</v>
          </cell>
          <cell r="AE48">
            <v>9.8471504807897764E-2</v>
          </cell>
          <cell r="AF48">
            <v>9.8471504807897764E-2</v>
          </cell>
          <cell r="AG48">
            <v>0.12408324920970402</v>
          </cell>
          <cell r="AH48">
            <v>0.14208474787703082</v>
          </cell>
          <cell r="AI48">
            <v>0.15636376759933249</v>
          </cell>
          <cell r="AJ48">
            <v>0.16767371655572205</v>
          </cell>
          <cell r="AK48">
            <v>0.17717231040962106</v>
          </cell>
          <cell r="AL48">
            <v>0.18578569835498773</v>
          </cell>
          <cell r="AM48">
            <v>55.819332092356667</v>
          </cell>
          <cell r="AN48">
            <v>55.62791135468067</v>
          </cell>
          <cell r="AO48" t="str">
            <v xml:space="preserve">   Percent of Total Direct Subs</v>
          </cell>
          <cell r="AP48">
            <v>8.9735989985636491E-2</v>
          </cell>
          <cell r="AQ48">
            <v>9.8471504807897764E-2</v>
          </cell>
          <cell r="AR48">
            <v>9.8471504807897764E-2</v>
          </cell>
          <cell r="AS48">
            <v>0.12408324920970402</v>
          </cell>
          <cell r="AT48">
            <v>0.14208474787703082</v>
          </cell>
          <cell r="AU48">
            <v>0.15636376759933249</v>
          </cell>
          <cell r="AV48">
            <v>0.16767371655572205</v>
          </cell>
          <cell r="AW48">
            <v>0.17717231040962106</v>
          </cell>
          <cell r="AX48">
            <v>0.18578569835498773</v>
          </cell>
          <cell r="AY48">
            <v>55.62791135468067</v>
          </cell>
          <cell r="AZ48">
            <v>55.534107507700391</v>
          </cell>
          <cell r="BA48">
            <v>55.479791188748692</v>
          </cell>
          <cell r="BB48">
            <v>55.443519045278435</v>
          </cell>
          <cell r="BM48" t="str">
            <v>mstag:arpu</v>
          </cell>
          <cell r="BN48">
            <v>6</v>
          </cell>
          <cell r="BO48" t="str">
            <v>ISO4217:USD</v>
          </cell>
          <cell r="BP48" t="b">
            <v>0</v>
          </cell>
        </row>
        <row r="49">
          <cell r="A49" t="str">
            <v xml:space="preserve">   Monthly Churn Rate</v>
          </cell>
          <cell r="C49">
            <v>0</v>
          </cell>
          <cell r="D49">
            <v>0</v>
          </cell>
          <cell r="E49">
            <v>0</v>
          </cell>
          <cell r="F49">
            <v>0</v>
          </cell>
          <cell r="G49">
            <v>0.12059449765332156</v>
          </cell>
          <cell r="H49">
            <v>0.10744148079511108</v>
          </cell>
          <cell r="I49">
            <v>0.10268147632052894</v>
          </cell>
          <cell r="J49">
            <v>0.10397081594625095</v>
          </cell>
          <cell r="K49">
            <v>0.10207872922381503</v>
          </cell>
          <cell r="L49">
            <v>0.10486047228449792</v>
          </cell>
          <cell r="M49">
            <v>9.2665123511440184E-2</v>
          </cell>
          <cell r="N49">
            <v>8.5452854006730805E-2</v>
          </cell>
          <cell r="O49">
            <v>8.6779849747294538E-2</v>
          </cell>
          <cell r="P49">
            <v>8.5547772758166329E-2</v>
          </cell>
          <cell r="Q49">
            <v>8.743926199158604E-2</v>
          </cell>
          <cell r="R49">
            <v>7.7589820561708114E-2</v>
          </cell>
          <cell r="S49">
            <v>7.5559073347009897E-2</v>
          </cell>
          <cell r="T49">
            <v>7.542549721399304E-2</v>
          </cell>
          <cell r="U49">
            <v>7.3506814325492623E-2</v>
          </cell>
          <cell r="V49">
            <v>7.7063118562153546E-2</v>
          </cell>
          <cell r="W49">
            <v>0.05</v>
          </cell>
          <cell r="X49">
            <v>6.2E-2</v>
          </cell>
          <cell r="Y49">
            <v>4.9000000000000002E-2</v>
          </cell>
          <cell r="Z49">
            <v>4.8000000000000001E-2</v>
          </cell>
          <cell r="AA49">
            <v>5.0872720195729547E-2</v>
          </cell>
          <cell r="AB49">
            <v>5.3999999999999999E-2</v>
          </cell>
          <cell r="AC49">
            <v>5.1999999999999998E-2</v>
          </cell>
          <cell r="AD49">
            <v>0.05</v>
          </cell>
          <cell r="AE49">
            <v>4.8000000000000001E-2</v>
          </cell>
          <cell r="AF49">
            <v>5.0660803276719575E-2</v>
          </cell>
          <cell r="AG49">
            <v>4.5999999999999999E-2</v>
          </cell>
          <cell r="AH49">
            <v>4.5999999999999999E-2</v>
          </cell>
          <cell r="AI49">
            <v>4.5999999999999999E-2</v>
          </cell>
          <cell r="AJ49">
            <v>4.5999999999999999E-2</v>
          </cell>
          <cell r="AK49">
            <v>4.5999999999999999E-2</v>
          </cell>
          <cell r="AL49">
            <v>4.5999999999999999E-2</v>
          </cell>
          <cell r="AM49">
            <v>-7.2040130883779252E-3</v>
          </cell>
          <cell r="AN49">
            <v>-3.429291080718766E-3</v>
          </cell>
          <cell r="AO49" t="str">
            <v xml:space="preserve">   Monthly Churn Rate</v>
          </cell>
          <cell r="AP49">
            <v>7.7063118562153546E-2</v>
          </cell>
          <cell r="AQ49">
            <v>5.0872720195729547E-2</v>
          </cell>
          <cell r="AR49">
            <v>5.0660803276719575E-2</v>
          </cell>
          <cell r="AS49">
            <v>4.5999999999999999E-2</v>
          </cell>
          <cell r="AT49">
            <v>4.5999999999999999E-2</v>
          </cell>
          <cell r="AU49">
            <v>4.5999999999999999E-2</v>
          </cell>
          <cell r="AV49">
            <v>4.5999999999999999E-2</v>
          </cell>
          <cell r="AW49">
            <v>4.5999999999999999E-2</v>
          </cell>
          <cell r="AX49">
            <v>4.5999999999999999E-2</v>
          </cell>
          <cell r="AY49">
            <v>-3.429291080718766E-3</v>
          </cell>
          <cell r="AZ49">
            <v>-1.6862730362495748E-3</v>
          </cell>
          <cell r="BA49">
            <v>-9.7807134010696739E-4</v>
          </cell>
          <cell r="BB49">
            <v>-6.5379019446654141E-4</v>
          </cell>
        </row>
        <row r="50">
          <cell r="A50" t="str">
            <v xml:space="preserve">    Year-over-Year Change</v>
          </cell>
          <cell r="C50">
            <v>0</v>
          </cell>
          <cell r="D50">
            <v>0</v>
          </cell>
          <cell r="E50">
            <v>0</v>
          </cell>
          <cell r="F50">
            <v>0</v>
          </cell>
          <cell r="G50">
            <v>0</v>
          </cell>
          <cell r="H50">
            <v>0</v>
          </cell>
          <cell r="I50">
            <v>0</v>
          </cell>
          <cell r="J50">
            <v>0</v>
          </cell>
          <cell r="K50">
            <v>0</v>
          </cell>
          <cell r="L50">
            <v>-0.13047050798333226</v>
          </cell>
          <cell r="M50">
            <v>-0.13752935248397347</v>
          </cell>
          <cell r="N50">
            <v>-0.16778705304175345</v>
          </cell>
          <cell r="O50">
            <v>-0.16534415011077241</v>
          </cell>
          <cell r="P50">
            <v>-0.16194320394999606</v>
          </cell>
          <cell r="Q50">
            <v>-0.16613705730455075</v>
          </cell>
          <cell r="R50">
            <v>-0.16268583452404195</v>
          </cell>
          <cell r="S50">
            <v>-0.11578057602314384</v>
          </cell>
          <cell r="T50">
            <v>-0.13084088721478204</v>
          </cell>
          <cell r="U50">
            <v>-0.14075127901590267</v>
          </cell>
          <cell r="V50">
            <v>-0.11866686878522548</v>
          </cell>
          <cell r="W50">
            <v>-7.7955765181863645E-2</v>
          </cell>
          <cell r="X50">
            <v>-0.12637551923725576</v>
          </cell>
          <cell r="Y50">
            <v>-0.16763941914102465</v>
          </cell>
          <cell r="Z50">
            <v>-0.17012069476601532</v>
          </cell>
          <cell r="AA50">
            <v>-0.15605089885050694</v>
          </cell>
          <cell r="AB50">
            <v>-0.16473607697222326</v>
          </cell>
          <cell r="AC50">
            <v>-0.11690859483209293</v>
          </cell>
          <cell r="AD50">
            <v>-0.10671210246534502</v>
          </cell>
          <cell r="AE50">
            <v>-9.0083833163678517E-2</v>
          </cell>
          <cell r="AF50">
            <v>-0.11863001992263567</v>
          </cell>
          <cell r="AG50">
            <v>-7.1051204468036921E-2</v>
          </cell>
          <cell r="AH50">
            <v>-5.8196597251628401E-2</v>
          </cell>
          <cell r="AI50">
            <v>-4.621357675150306E-2</v>
          </cell>
          <cell r="AJ50">
            <v>-3.5407067281645332E-2</v>
          </cell>
          <cell r="AK50">
            <v>-3.442528254176469E-2</v>
          </cell>
          <cell r="AL50">
            <v>-3.3665570295260294E-2</v>
          </cell>
          <cell r="AO50" t="str">
            <v xml:space="preserve">    Year-over-Year Change</v>
          </cell>
          <cell r="AP50">
            <v>-0.11866686878522548</v>
          </cell>
          <cell r="AQ50">
            <v>-0.15605089885050694</v>
          </cell>
          <cell r="AR50">
            <v>-0.11863001992263567</v>
          </cell>
          <cell r="AS50">
            <v>-7.1051204468036921E-2</v>
          </cell>
          <cell r="AT50">
            <v>-5.8196597251628401E-2</v>
          </cell>
          <cell r="AU50">
            <v>-4.621357675150306E-2</v>
          </cell>
          <cell r="AV50">
            <v>-3.5407067281645332E-2</v>
          </cell>
          <cell r="AW50">
            <v>-3.442528254176469E-2</v>
          </cell>
          <cell r="AX50">
            <v>-3.3665570295260294E-2</v>
          </cell>
        </row>
        <row r="51">
          <cell r="A51" t="str">
            <v>Wholesale Subscribers</v>
          </cell>
          <cell r="C51">
            <v>465</v>
          </cell>
          <cell r="D51">
            <v>530</v>
          </cell>
          <cell r="E51">
            <v>550</v>
          </cell>
          <cell r="F51">
            <v>565</v>
          </cell>
          <cell r="G51">
            <v>527.5</v>
          </cell>
          <cell r="H51">
            <v>580</v>
          </cell>
          <cell r="I51">
            <v>647.5</v>
          </cell>
          <cell r="J51">
            <v>650</v>
          </cell>
          <cell r="K51">
            <v>647.5</v>
          </cell>
          <cell r="L51">
            <v>631.25</v>
          </cell>
          <cell r="M51">
            <v>673</v>
          </cell>
          <cell r="N51">
            <v>760</v>
          </cell>
          <cell r="O51">
            <v>765</v>
          </cell>
          <cell r="P51">
            <v>763</v>
          </cell>
          <cell r="Q51">
            <v>740.25</v>
          </cell>
          <cell r="R51">
            <v>2031</v>
          </cell>
          <cell r="S51">
            <v>2330</v>
          </cell>
          <cell r="T51">
            <v>2752</v>
          </cell>
          <cell r="U51">
            <v>3675</v>
          </cell>
          <cell r="V51">
            <v>3675</v>
          </cell>
          <cell r="W51">
            <v>4296</v>
          </cell>
          <cell r="X51">
            <v>4383</v>
          </cell>
          <cell r="Y51">
            <v>4596</v>
          </cell>
          <cell r="Z51">
            <v>5154</v>
          </cell>
          <cell r="AA51">
            <v>5154</v>
          </cell>
          <cell r="AB51">
            <v>5382</v>
          </cell>
          <cell r="AC51">
            <v>5582</v>
          </cell>
          <cell r="AD51">
            <v>5857</v>
          </cell>
          <cell r="AE51">
            <v>6232</v>
          </cell>
          <cell r="AF51">
            <v>6232</v>
          </cell>
          <cell r="AG51">
            <v>7260</v>
          </cell>
          <cell r="AH51">
            <v>8238</v>
          </cell>
          <cell r="AI51">
            <v>9166</v>
          </cell>
          <cell r="AJ51">
            <v>10044</v>
          </cell>
          <cell r="AK51">
            <v>10872</v>
          </cell>
          <cell r="AL51">
            <v>11650</v>
          </cell>
          <cell r="AM51">
            <v>1029.0395249999999</v>
          </cell>
          <cell r="AN51">
            <v>1049.6203154999998</v>
          </cell>
          <cell r="AO51" t="str">
            <v>Wholesale Subscribers</v>
          </cell>
          <cell r="AP51">
            <v>3675</v>
          </cell>
          <cell r="AQ51">
            <v>5154</v>
          </cell>
          <cell r="AR51">
            <v>6232</v>
          </cell>
          <cell r="AS51">
            <v>7260</v>
          </cell>
          <cell r="AT51">
            <v>8238</v>
          </cell>
          <cell r="AU51">
            <v>9166</v>
          </cell>
          <cell r="AV51">
            <v>10044</v>
          </cell>
          <cell r="AW51">
            <v>10872</v>
          </cell>
          <cell r="AX51">
            <v>11650</v>
          </cell>
          <cell r="AY51">
            <v>1049.6203154999998</v>
          </cell>
          <cell r="AZ51">
            <v>1070.6127218099998</v>
          </cell>
          <cell r="BA51">
            <v>1092.0249762461999</v>
          </cell>
          <cell r="BB51">
            <v>1113.865475771124</v>
          </cell>
        </row>
        <row r="52">
          <cell r="A52" t="str">
            <v xml:space="preserve">   Net Adds</v>
          </cell>
          <cell r="C52">
            <v>122.792017171636</v>
          </cell>
          <cell r="D52">
            <v>131.97008367431971</v>
          </cell>
          <cell r="E52">
            <v>160.55212125913556</v>
          </cell>
          <cell r="F52">
            <v>135.30115492706636</v>
          </cell>
          <cell r="G52">
            <v>138.60258485141975</v>
          </cell>
          <cell r="H52">
            <v>138.93996706925233</v>
          </cell>
          <cell r="I52">
            <v>159.11749932765244</v>
          </cell>
          <cell r="J52">
            <v>182.4249400523002</v>
          </cell>
          <cell r="K52">
            <v>144.77414722065998</v>
          </cell>
          <cell r="L52">
            <v>155.42486773890275</v>
          </cell>
          <cell r="M52">
            <v>156.50037437880934</v>
          </cell>
          <cell r="N52">
            <v>152.49600071762825</v>
          </cell>
          <cell r="O52">
            <v>233.22393843185128</v>
          </cell>
          <cell r="P52">
            <v>204.90899048339756</v>
          </cell>
          <cell r="Q52">
            <v>187.13648556957216</v>
          </cell>
          <cell r="R52">
            <v>234.16337152679839</v>
          </cell>
          <cell r="S52">
            <v>299</v>
          </cell>
          <cell r="T52">
            <v>422</v>
          </cell>
          <cell r="U52">
            <v>923</v>
          </cell>
          <cell r="V52">
            <v>1644</v>
          </cell>
          <cell r="W52">
            <v>621</v>
          </cell>
          <cell r="X52">
            <v>87</v>
          </cell>
          <cell r="Y52">
            <v>213</v>
          </cell>
          <cell r="Z52">
            <v>558</v>
          </cell>
          <cell r="AA52">
            <v>1479</v>
          </cell>
          <cell r="AB52">
            <v>228</v>
          </cell>
          <cell r="AC52">
            <v>200</v>
          </cell>
          <cell r="AD52">
            <v>275</v>
          </cell>
          <cell r="AE52">
            <v>375</v>
          </cell>
          <cell r="AF52">
            <v>1078</v>
          </cell>
          <cell r="AG52">
            <v>1028</v>
          </cell>
          <cell r="AH52">
            <v>978</v>
          </cell>
          <cell r="AI52">
            <v>928</v>
          </cell>
          <cell r="AJ52">
            <v>878</v>
          </cell>
          <cell r="AK52">
            <v>828</v>
          </cell>
          <cell r="AL52">
            <v>778</v>
          </cell>
          <cell r="AM52">
            <v>2.5000000000000001E-2</v>
          </cell>
          <cell r="AN52">
            <v>0.02</v>
          </cell>
          <cell r="AO52" t="str">
            <v xml:space="preserve">   Net Adds</v>
          </cell>
          <cell r="AP52">
            <v>1644</v>
          </cell>
          <cell r="AQ52">
            <v>1479</v>
          </cell>
          <cell r="AR52">
            <v>1078</v>
          </cell>
          <cell r="AS52">
            <v>1028</v>
          </cell>
          <cell r="AT52">
            <v>978</v>
          </cell>
          <cell r="AU52">
            <v>928</v>
          </cell>
          <cell r="AV52">
            <v>878</v>
          </cell>
          <cell r="AW52">
            <v>828</v>
          </cell>
          <cell r="AX52">
            <v>778</v>
          </cell>
          <cell r="AY52">
            <v>0.02</v>
          </cell>
          <cell r="AZ52">
            <v>0.02</v>
          </cell>
          <cell r="BA52">
            <v>0.02</v>
          </cell>
          <cell r="BB52">
            <v>0.02</v>
          </cell>
        </row>
        <row r="53">
          <cell r="A53" t="str">
            <v>Affiliate Subscribers</v>
          </cell>
          <cell r="R53">
            <v>3017</v>
          </cell>
          <cell r="S53">
            <v>3019</v>
          </cell>
          <cell r="T53">
            <v>3120</v>
          </cell>
          <cell r="U53">
            <v>3230</v>
          </cell>
          <cell r="V53">
            <v>3230</v>
          </cell>
          <cell r="W53">
            <v>3396</v>
          </cell>
          <cell r="X53">
            <v>3497</v>
          </cell>
          <cell r="Y53">
            <v>3065</v>
          </cell>
          <cell r="Z53">
            <v>2821</v>
          </cell>
          <cell r="AA53">
            <v>2821</v>
          </cell>
          <cell r="AB53">
            <v>1256</v>
          </cell>
          <cell r="AC53">
            <v>1306</v>
          </cell>
          <cell r="AD53">
            <v>1356</v>
          </cell>
          <cell r="AE53">
            <v>1436</v>
          </cell>
          <cell r="AF53">
            <v>1436</v>
          </cell>
          <cell r="AG53">
            <v>1636</v>
          </cell>
          <cell r="AH53">
            <v>1826</v>
          </cell>
          <cell r="AI53">
            <v>2006</v>
          </cell>
          <cell r="AJ53">
            <v>2176</v>
          </cell>
          <cell r="AK53">
            <v>2336</v>
          </cell>
          <cell r="AL53">
            <v>2486</v>
          </cell>
          <cell r="AO53" t="str">
            <v>Affiliate Subscribers</v>
          </cell>
          <cell r="AP53">
            <v>3230</v>
          </cell>
          <cell r="AQ53">
            <v>2821</v>
          </cell>
          <cell r="AR53">
            <v>1436</v>
          </cell>
          <cell r="AS53">
            <v>1636</v>
          </cell>
          <cell r="AT53">
            <v>1826</v>
          </cell>
          <cell r="AU53">
            <v>2006</v>
          </cell>
          <cell r="AV53">
            <v>2176</v>
          </cell>
          <cell r="AW53">
            <v>2336</v>
          </cell>
          <cell r="AX53">
            <v>2486</v>
          </cell>
        </row>
        <row r="54">
          <cell r="A54" t="str">
            <v xml:space="preserve">   Net Adds</v>
          </cell>
          <cell r="C54">
            <v>325</v>
          </cell>
          <cell r="D54">
            <v>300</v>
          </cell>
          <cell r="E54">
            <v>285</v>
          </cell>
          <cell r="F54">
            <v>315</v>
          </cell>
          <cell r="G54">
            <v>306.25</v>
          </cell>
          <cell r="H54">
            <v>305</v>
          </cell>
          <cell r="I54">
            <v>350</v>
          </cell>
          <cell r="J54">
            <v>395</v>
          </cell>
          <cell r="K54">
            <v>375</v>
          </cell>
          <cell r="L54">
            <v>356.25</v>
          </cell>
          <cell r="M54">
            <v>365</v>
          </cell>
          <cell r="N54">
            <v>415</v>
          </cell>
          <cell r="O54">
            <v>465</v>
          </cell>
          <cell r="P54">
            <v>425</v>
          </cell>
          <cell r="Q54">
            <v>417.5</v>
          </cell>
          <cell r="R54">
            <v>425</v>
          </cell>
          <cell r="S54">
            <v>2</v>
          </cell>
          <cell r="T54">
            <v>101</v>
          </cell>
          <cell r="U54">
            <v>110</v>
          </cell>
          <cell r="V54">
            <v>213</v>
          </cell>
          <cell r="W54">
            <v>166</v>
          </cell>
          <cell r="X54">
            <v>101</v>
          </cell>
          <cell r="Y54">
            <v>90</v>
          </cell>
          <cell r="Z54">
            <v>93</v>
          </cell>
          <cell r="AA54">
            <v>450</v>
          </cell>
          <cell r="AB54">
            <v>45</v>
          </cell>
          <cell r="AC54">
            <v>50</v>
          </cell>
          <cell r="AD54">
            <v>50</v>
          </cell>
          <cell r="AE54">
            <v>80</v>
          </cell>
          <cell r="AF54">
            <v>225</v>
          </cell>
          <cell r="AG54">
            <v>200</v>
          </cell>
          <cell r="AH54">
            <v>190</v>
          </cell>
          <cell r="AI54">
            <v>180</v>
          </cell>
          <cell r="AJ54">
            <v>170</v>
          </cell>
          <cell r="AK54">
            <v>160</v>
          </cell>
          <cell r="AL54">
            <v>150</v>
          </cell>
          <cell r="AM54">
            <v>5.4244108934840642E-2</v>
          </cell>
          <cell r="AN54">
            <v>5.2998127544989081E-2</v>
          </cell>
          <cell r="AO54" t="str">
            <v xml:space="preserve">   Net Adds</v>
          </cell>
          <cell r="AP54">
            <v>213</v>
          </cell>
          <cell r="AQ54">
            <v>450</v>
          </cell>
          <cell r="AR54">
            <v>225</v>
          </cell>
          <cell r="AS54">
            <v>200</v>
          </cell>
          <cell r="AT54">
            <v>190</v>
          </cell>
          <cell r="AU54">
            <v>180</v>
          </cell>
          <cell r="AV54">
            <v>170</v>
          </cell>
          <cell r="AW54">
            <v>160</v>
          </cell>
          <cell r="AX54">
            <v>150</v>
          </cell>
          <cell r="AY54">
            <v>5.2998127544989081E-2</v>
          </cell>
          <cell r="AZ54">
            <v>5.1871331599547307E-2</v>
          </cell>
          <cell r="BA54">
            <v>5.080450758503588E-2</v>
          </cell>
          <cell r="BB54">
            <v>4.9775776564845171E-2</v>
          </cell>
        </row>
        <row r="55">
          <cell r="A55" t="str">
            <v xml:space="preserve">    Year-over-Year Change</v>
          </cell>
          <cell r="C55">
            <v>0</v>
          </cell>
          <cell r="D55">
            <v>0</v>
          </cell>
          <cell r="E55">
            <v>0</v>
          </cell>
          <cell r="F55">
            <v>0</v>
          </cell>
          <cell r="G55">
            <v>0</v>
          </cell>
          <cell r="H55">
            <v>0</v>
          </cell>
          <cell r="I55">
            <v>0</v>
          </cell>
          <cell r="J55">
            <v>0</v>
          </cell>
          <cell r="K55">
            <v>0</v>
          </cell>
          <cell r="L55">
            <v>-0.13047050798333226</v>
          </cell>
          <cell r="M55">
            <v>-0.13752935248397347</v>
          </cell>
          <cell r="N55">
            <v>-0.16778705304175345</v>
          </cell>
          <cell r="O55">
            <v>-0.16534415011077241</v>
          </cell>
          <cell r="P55">
            <v>-0.16194320394999606</v>
          </cell>
          <cell r="Q55">
            <v>-0.16613705730455075</v>
          </cell>
          <cell r="R55">
            <v>-0.16268583452404195</v>
          </cell>
          <cell r="S55">
            <v>-0.11578057602314384</v>
          </cell>
          <cell r="T55">
            <v>-0.13084088721478204</v>
          </cell>
          <cell r="U55">
            <v>-0.14075127901590267</v>
          </cell>
          <cell r="V55">
            <v>-0.11866686878522548</v>
          </cell>
          <cell r="W55">
            <v>-7.7955765181863645E-2</v>
          </cell>
          <cell r="X55">
            <v>-0.12637551923725576</v>
          </cell>
          <cell r="Y55">
            <v>-0.16763941914102465</v>
          </cell>
          <cell r="Z55">
            <v>-0.17012069476601532</v>
          </cell>
          <cell r="AA55">
            <v>-0.15605089885050694</v>
          </cell>
          <cell r="AB55">
            <v>-0.16473607697222326</v>
          </cell>
          <cell r="AC55">
            <v>-0.11690859483209293</v>
          </cell>
          <cell r="AD55">
            <v>-7.8232276377961707E-2</v>
          </cell>
          <cell r="AE55">
            <v>-7.9678357135261058E-3</v>
          </cell>
          <cell r="AF55">
            <v>-9.2837438765461799E-2</v>
          </cell>
          <cell r="AG55">
            <v>-9.4668233322624529E-3</v>
          </cell>
          <cell r="AH55">
            <v>2.3493349387575746E-2</v>
          </cell>
          <cell r="AI55">
            <v>1.1031164441583918E-3</v>
          </cell>
          <cell r="AJ55">
            <v>-3.8711857050959808E-2</v>
          </cell>
          <cell r="AK55">
            <v>-4.590656782537228E-3</v>
          </cell>
          <cell r="AL55">
            <v>-4.6398851092422255E-2</v>
          </cell>
          <cell r="AM55">
            <v>-3.1418549354515046E-2</v>
          </cell>
          <cell r="AN55">
            <v>-2.2969893216390869E-2</v>
          </cell>
          <cell r="AO55">
            <v>-2.1261051996322999E-2</v>
          </cell>
          <cell r="AP55">
            <v>-2.0566736607948166E-2</v>
          </cell>
          <cell r="AQ55">
            <v>-2.024881391614386E-2</v>
          </cell>
          <cell r="AT55" t="str">
            <v xml:space="preserve">    Year-over-Year Change</v>
          </cell>
          <cell r="AU55">
            <v>-9.2837438765461799E-2</v>
          </cell>
          <cell r="AV55">
            <v>-4.590656782537228E-3</v>
          </cell>
          <cell r="AW55">
            <v>-4.6398851092422255E-2</v>
          </cell>
          <cell r="AX55">
            <v>-3.1418549354515046E-2</v>
          </cell>
          <cell r="AY55">
            <v>-2.2969893216390869E-2</v>
          </cell>
          <cell r="AZ55">
            <v>-2.1261051996322999E-2</v>
          </cell>
          <cell r="BA55">
            <v>-2.0566736607948166E-2</v>
          </cell>
          <cell r="BB55">
            <v>-2.024881391614386E-2</v>
          </cell>
        </row>
        <row r="56">
          <cell r="A56" t="str">
            <v>ARPU</v>
          </cell>
          <cell r="C56">
            <v>65.846155668128276</v>
          </cell>
          <cell r="D56">
            <v>66.771142380637414</v>
          </cell>
          <cell r="E56">
            <v>66.724066617707891</v>
          </cell>
          <cell r="F56">
            <v>65.210318961317128</v>
          </cell>
          <cell r="G56">
            <v>63.613597512127122</v>
          </cell>
          <cell r="H56">
            <v>62.316058861164429</v>
          </cell>
          <cell r="I56">
            <v>66.486255917542493</v>
          </cell>
          <cell r="J56">
            <v>67.581030365063114</v>
          </cell>
          <cell r="K56">
            <v>66.095977172420234</v>
          </cell>
          <cell r="L56">
            <v>66.193173129589312</v>
          </cell>
          <cell r="M56">
            <v>62.363628123199248</v>
          </cell>
          <cell r="N56">
            <v>64.944169045115416</v>
          </cell>
          <cell r="O56">
            <v>66.386585056680318</v>
          </cell>
          <cell r="P56">
            <v>65.272950614480905</v>
          </cell>
          <cell r="Q56">
            <v>64.726913689271569</v>
          </cell>
          <cell r="R56">
            <v>64.011601963409191</v>
          </cell>
          <cell r="S56">
            <v>65.736393811898608</v>
          </cell>
          <cell r="T56">
            <v>65.997310062243912</v>
          </cell>
          <cell r="U56">
            <v>64.502229570619775</v>
          </cell>
          <cell r="V56">
            <v>66.418775310756089</v>
          </cell>
          <cell r="W56">
            <v>63.671709589252032</v>
          </cell>
          <cell r="X56">
            <v>64.359999814203235</v>
          </cell>
          <cell r="Y56">
            <v>62.906773093961505</v>
          </cell>
          <cell r="Z56">
            <v>61.611801842427361</v>
          </cell>
          <cell r="AA56">
            <v>63.037451140805381</v>
          </cell>
          <cell r="AB56">
            <v>60.950938849609031</v>
          </cell>
          <cell r="AC56">
            <v>61.470631604841806</v>
          </cell>
          <cell r="AD56">
            <v>60.734129849490365</v>
          </cell>
          <cell r="AE56">
            <v>59.892169756724194</v>
          </cell>
          <cell r="AF56">
            <v>60.917401708335667</v>
          </cell>
          <cell r="AG56">
            <v>59.230702457619493</v>
          </cell>
          <cell r="AH56">
            <v>58.066380375344529</v>
          </cell>
          <cell r="AI56">
            <v>57.064416978932606</v>
          </cell>
          <cell r="AJ56">
            <v>56.16170173270104</v>
          </cell>
          <cell r="AK56">
            <v>55.332554643304213</v>
          </cell>
          <cell r="AL56">
            <v>54.548558213921261</v>
          </cell>
          <cell r="AO56" t="str">
            <v>ARPU</v>
          </cell>
          <cell r="AP56">
            <v>66.418775310756089</v>
          </cell>
          <cell r="AQ56">
            <v>63.037451140805381</v>
          </cell>
          <cell r="AR56">
            <v>60.917401708335667</v>
          </cell>
          <cell r="AS56">
            <v>59.230702457619493</v>
          </cell>
          <cell r="AT56">
            <v>58.066380375344529</v>
          </cell>
          <cell r="AU56">
            <v>57.064416978932606</v>
          </cell>
          <cell r="AV56">
            <v>56.16170173270104</v>
          </cell>
          <cell r="AW56">
            <v>55.332554643304213</v>
          </cell>
          <cell r="AX56">
            <v>54.548558213921261</v>
          </cell>
        </row>
        <row r="57">
          <cell r="A57" t="str">
            <v xml:space="preserve">    Year-over-Year Change</v>
          </cell>
          <cell r="C57">
            <v>0</v>
          </cell>
          <cell r="D57">
            <v>0</v>
          </cell>
          <cell r="E57">
            <v>0</v>
          </cell>
          <cell r="F57">
            <v>0</v>
          </cell>
          <cell r="G57">
            <v>0</v>
          </cell>
          <cell r="H57">
            <v>-5.3611281799896049E-2</v>
          </cell>
          <cell r="I57">
            <v>-4.2666105886115524E-3</v>
          </cell>
          <cell r="J57">
            <v>1.2843398054035893E-2</v>
          </cell>
          <cell r="K57">
            <v>1.3581565390417438E-2</v>
          </cell>
          <cell r="L57">
            <v>4.055069542278944E-2</v>
          </cell>
          <cell r="M57">
            <v>7.6335479014799645E-4</v>
          </cell>
          <cell r="N57">
            <v>-2.319406997950979E-2</v>
          </cell>
          <cell r="O57">
            <v>-1.7674268976524465E-2</v>
          </cell>
          <cell r="P57">
            <v>-1.2451991681617036E-2</v>
          </cell>
          <cell r="Q57">
            <v>-2.2151218486643365E-2</v>
          </cell>
          <cell r="R57">
            <v>2.6425239996530792E-2</v>
          </cell>
          <cell r="S57">
            <v>1.2198551131401114E-2</v>
          </cell>
          <cell r="T57">
            <v>-5.8637598861885909E-3</v>
          </cell>
          <cell r="U57">
            <v>-1.1807663612653396E-2</v>
          </cell>
          <cell r="V57">
            <v>2.6138456556209055E-2</v>
          </cell>
          <cell r="W57">
            <v>-5.3098557719497563E-3</v>
          </cell>
          <cell r="X57">
            <v>-2.0938081903821182E-2</v>
          </cell>
          <cell r="Y57">
            <v>-4.6828226262064843E-2</v>
          </cell>
          <cell r="Z57">
            <v>-4.4811284004188545E-2</v>
          </cell>
          <cell r="AA57">
            <v>-5.0909161665965375E-2</v>
          </cell>
          <cell r="AB57">
            <v>-4.2731234282772812E-2</v>
          </cell>
          <cell r="AC57">
            <v>-4.4893850492581766E-2</v>
          </cell>
          <cell r="AD57">
            <v>-3.453750904097308E-2</v>
          </cell>
          <cell r="AE57">
            <v>-2.7910757911303041E-2</v>
          </cell>
          <cell r="AF57">
            <v>-3.3631585574965706E-2</v>
          </cell>
          <cell r="AG57">
            <v>-2.7688299294048369E-2</v>
          </cell>
          <cell r="AH57">
            <v>-1.9657407965202767E-2</v>
          </cell>
          <cell r="AI57">
            <v>-1.7255482259014077E-2</v>
          </cell>
          <cell r="AJ57">
            <v>-1.5819231914081189E-2</v>
          </cell>
          <cell r="AK57">
            <v>-1.4763567766217456E-2</v>
          </cell>
          <cell r="AL57">
            <v>-1.4168809563138818E-2</v>
          </cell>
          <cell r="AM57">
            <v>169.82041160416</v>
          </cell>
          <cell r="AN57">
            <v>165.82041160416</v>
          </cell>
          <cell r="AO57" t="str">
            <v xml:space="preserve">    Year-over-Year Change</v>
          </cell>
          <cell r="AP57">
            <v>2.6138456556209055E-2</v>
          </cell>
          <cell r="AQ57">
            <v>-5.0909161665965375E-2</v>
          </cell>
          <cell r="AR57">
            <v>-3.3631585574965706E-2</v>
          </cell>
          <cell r="AS57">
            <v>-2.7688299294048369E-2</v>
          </cell>
          <cell r="AT57">
            <v>-1.9657407965202767E-2</v>
          </cell>
          <cell r="AU57">
            <v>-1.7255482259014077E-2</v>
          </cell>
          <cell r="AV57">
            <v>-1.5819231914081189E-2</v>
          </cell>
          <cell r="AW57">
            <v>-1.4763567766217456E-2</v>
          </cell>
          <cell r="AX57">
            <v>-1.4168809563138818E-2</v>
          </cell>
          <cell r="AY57">
            <v>165.82041160416</v>
          </cell>
          <cell r="AZ57">
            <v>161.82041160416</v>
          </cell>
          <cell r="BA57">
            <v>157.82041160416</v>
          </cell>
          <cell r="BB57">
            <v>153.82041160416</v>
          </cell>
        </row>
        <row r="58">
          <cell r="A58" t="str">
            <v>Affiliate Subscribers</v>
          </cell>
          <cell r="R58">
            <v>3017</v>
          </cell>
          <cell r="S58">
            <v>3019</v>
          </cell>
          <cell r="T58">
            <v>3120</v>
          </cell>
          <cell r="U58">
            <v>3230</v>
          </cell>
          <cell r="V58">
            <v>3230</v>
          </cell>
          <cell r="W58">
            <v>3396</v>
          </cell>
          <cell r="X58">
            <v>3497</v>
          </cell>
          <cell r="Y58">
            <v>3065</v>
          </cell>
          <cell r="Z58">
            <v>2821</v>
          </cell>
          <cell r="AA58">
            <v>2821</v>
          </cell>
          <cell r="AB58">
            <v>1256</v>
          </cell>
          <cell r="AC58">
            <v>1283</v>
          </cell>
          <cell r="AD58">
            <v>876.3</v>
          </cell>
          <cell r="AE58">
            <v>931.3</v>
          </cell>
          <cell r="AF58">
            <v>931.3</v>
          </cell>
          <cell r="AG58">
            <v>1041.3</v>
          </cell>
          <cell r="AH58">
            <v>1146.3</v>
          </cell>
          <cell r="AI58">
            <v>1246.3</v>
          </cell>
          <cell r="AJ58">
            <v>1341.3</v>
          </cell>
          <cell r="AK58">
            <v>1431.3</v>
          </cell>
          <cell r="AL58">
            <v>1516.3</v>
          </cell>
          <cell r="AO58" t="str">
            <v>Affiliate Subscribers</v>
          </cell>
          <cell r="AP58">
            <v>3230</v>
          </cell>
          <cell r="AQ58">
            <v>2821</v>
          </cell>
          <cell r="AR58">
            <v>931.3</v>
          </cell>
          <cell r="AS58">
            <v>1041.3</v>
          </cell>
          <cell r="AT58">
            <v>1146.3</v>
          </cell>
          <cell r="AU58">
            <v>1246.3</v>
          </cell>
          <cell r="AV58">
            <v>1341.3</v>
          </cell>
          <cell r="AW58">
            <v>1431.3</v>
          </cell>
          <cell r="AX58">
            <v>1516.3</v>
          </cell>
        </row>
        <row r="59">
          <cell r="A59" t="str">
            <v>MOU per Sub per Month</v>
          </cell>
          <cell r="C59">
            <v>465</v>
          </cell>
          <cell r="D59">
            <v>530</v>
          </cell>
          <cell r="E59">
            <v>550</v>
          </cell>
          <cell r="F59">
            <v>565</v>
          </cell>
          <cell r="G59">
            <v>527.5</v>
          </cell>
          <cell r="H59">
            <v>580</v>
          </cell>
          <cell r="I59">
            <v>647.5</v>
          </cell>
          <cell r="J59">
            <v>650</v>
          </cell>
          <cell r="K59">
            <v>647.5</v>
          </cell>
          <cell r="L59">
            <v>631.25</v>
          </cell>
          <cell r="M59">
            <v>673</v>
          </cell>
          <cell r="N59">
            <v>760</v>
          </cell>
          <cell r="O59">
            <v>765</v>
          </cell>
          <cell r="P59">
            <v>763</v>
          </cell>
          <cell r="Q59">
            <v>740.25</v>
          </cell>
          <cell r="R59">
            <v>825</v>
          </cell>
          <cell r="S59">
            <v>870</v>
          </cell>
          <cell r="T59">
            <v>875</v>
          </cell>
          <cell r="U59">
            <v>877.5</v>
          </cell>
          <cell r="V59">
            <v>861.875</v>
          </cell>
          <cell r="W59">
            <v>890</v>
          </cell>
          <cell r="X59">
            <v>975</v>
          </cell>
          <cell r="Y59">
            <v>1002</v>
          </cell>
          <cell r="Z59">
            <v>1010</v>
          </cell>
          <cell r="AA59">
            <v>969.25</v>
          </cell>
          <cell r="AB59">
            <v>1020</v>
          </cell>
          <cell r="AC59">
            <v>1097.9157303370785</v>
          </cell>
          <cell r="AD59">
            <v>1082.1600000000001</v>
          </cell>
          <cell r="AE59">
            <v>1070.6000000000001</v>
          </cell>
          <cell r="AF59">
            <v>1067.6689325842697</v>
          </cell>
          <cell r="AG59">
            <v>1121.0523792134832</v>
          </cell>
          <cell r="AH59">
            <v>1165.8944743820225</v>
          </cell>
          <cell r="AI59">
            <v>1200.8713086134833</v>
          </cell>
          <cell r="AJ59">
            <v>1224.8887347857531</v>
          </cell>
          <cell r="AK59">
            <v>1249.3865094814682</v>
          </cell>
          <cell r="AL59">
            <v>1274.3742396710977</v>
          </cell>
          <cell r="AM59">
            <v>410</v>
          </cell>
          <cell r="AN59">
            <v>400</v>
          </cell>
          <cell r="AO59" t="str">
            <v>MOU per Sub per Month</v>
          </cell>
          <cell r="AP59">
            <v>861.875</v>
          </cell>
          <cell r="AQ59">
            <v>969.25</v>
          </cell>
          <cell r="AR59">
            <v>1067.6689325842697</v>
          </cell>
          <cell r="AS59">
            <v>1121.0523792134832</v>
          </cell>
          <cell r="AT59">
            <v>1165.8944743820225</v>
          </cell>
          <cell r="AU59">
            <v>1200.8713086134833</v>
          </cell>
          <cell r="AV59">
            <v>1224.8887347857531</v>
          </cell>
          <cell r="AW59">
            <v>1249.3865094814682</v>
          </cell>
          <cell r="AX59">
            <v>1274.3742396710977</v>
          </cell>
          <cell r="AY59">
            <v>400</v>
          </cell>
          <cell r="AZ59">
            <v>390</v>
          </cell>
          <cell r="BA59">
            <v>380</v>
          </cell>
          <cell r="BB59">
            <v>370</v>
          </cell>
        </row>
        <row r="60">
          <cell r="A60" t="str">
            <v xml:space="preserve">    Year-over-Year Growth</v>
          </cell>
          <cell r="C60">
            <v>0</v>
          </cell>
          <cell r="D60">
            <v>0</v>
          </cell>
          <cell r="E60">
            <v>0</v>
          </cell>
          <cell r="F60">
            <v>0</v>
          </cell>
          <cell r="G60">
            <v>0</v>
          </cell>
          <cell r="H60">
            <v>0</v>
          </cell>
          <cell r="I60">
            <v>0</v>
          </cell>
          <cell r="J60">
            <v>0</v>
          </cell>
          <cell r="K60">
            <v>0</v>
          </cell>
          <cell r="L60">
            <v>0.19668246445497628</v>
          </cell>
          <cell r="M60">
            <v>0.16034482758620694</v>
          </cell>
          <cell r="N60">
            <v>0.17374517374517384</v>
          </cell>
          <cell r="O60">
            <v>0.17692307692307696</v>
          </cell>
          <cell r="P60">
            <v>0.17837837837837833</v>
          </cell>
          <cell r="Q60">
            <v>0.1726732673267326</v>
          </cell>
          <cell r="R60">
            <v>0.22585438335809815</v>
          </cell>
          <cell r="S60">
            <v>0.14473684210526305</v>
          </cell>
          <cell r="T60">
            <v>0.14379084967320255</v>
          </cell>
          <cell r="U60">
            <v>0.15006553079947582</v>
          </cell>
          <cell r="V60">
            <v>0.1643026004728132</v>
          </cell>
          <cell r="W60">
            <v>7.8787878787878851E-2</v>
          </cell>
          <cell r="X60">
            <v>0.1206896551724137</v>
          </cell>
          <cell r="Y60">
            <v>0.14514285714285724</v>
          </cell>
          <cell r="Z60">
            <v>0.15099715099715105</v>
          </cell>
          <cell r="AA60">
            <v>0.12458303118201597</v>
          </cell>
          <cell r="AB60">
            <v>0.14606741573033699</v>
          </cell>
          <cell r="AC60">
            <v>0.126067415730337</v>
          </cell>
          <cell r="AD60">
            <v>0.08</v>
          </cell>
          <cell r="AE60">
            <v>0.06</v>
          </cell>
          <cell r="AF60">
            <v>0.10154132843360286</v>
          </cell>
          <cell r="AG60">
            <v>0.05</v>
          </cell>
          <cell r="AH60">
            <v>0.04</v>
          </cell>
          <cell r="AI60">
            <v>0.03</v>
          </cell>
          <cell r="AJ60">
            <v>0.02</v>
          </cell>
          <cell r="AK60">
            <v>0.02</v>
          </cell>
          <cell r="AL60">
            <v>0.02</v>
          </cell>
          <cell r="AO60" t="str">
            <v xml:space="preserve">    Year-over-Year Growth</v>
          </cell>
          <cell r="AP60">
            <v>0.1643026004728132</v>
          </cell>
          <cell r="AQ60">
            <v>0.12458303118201597</v>
          </cell>
          <cell r="AR60">
            <v>0.10154132843360286</v>
          </cell>
          <cell r="AS60">
            <v>0.05</v>
          </cell>
          <cell r="AT60">
            <v>0.04</v>
          </cell>
          <cell r="AU60">
            <v>0.03</v>
          </cell>
          <cell r="AV60">
            <v>0.02</v>
          </cell>
          <cell r="AW60">
            <v>0.02</v>
          </cell>
          <cell r="AX60">
            <v>0.02</v>
          </cell>
        </row>
        <row r="61">
          <cell r="A61" t="str">
            <v>Capital Expenditures</v>
          </cell>
          <cell r="C61">
            <v>1400</v>
          </cell>
          <cell r="D61">
            <v>1678</v>
          </cell>
          <cell r="E61">
            <v>1669</v>
          </cell>
          <cell r="F61">
            <v>1384</v>
          </cell>
          <cell r="G61">
            <v>6131</v>
          </cell>
          <cell r="H61">
            <v>0</v>
          </cell>
          <cell r="I61">
            <v>0</v>
          </cell>
          <cell r="J61">
            <v>0</v>
          </cell>
          <cell r="K61">
            <v>0</v>
          </cell>
          <cell r="L61">
            <v>2668</v>
          </cell>
          <cell r="M61">
            <v>567</v>
          </cell>
          <cell r="N61">
            <v>874</v>
          </cell>
          <cell r="O61">
            <v>922</v>
          </cell>
          <cell r="P61">
            <v>1497</v>
          </cell>
          <cell r="Q61">
            <v>3860</v>
          </cell>
          <cell r="R61">
            <v>1090</v>
          </cell>
          <cell r="S61">
            <v>1165</v>
          </cell>
          <cell r="T61">
            <v>1262</v>
          </cell>
          <cell r="U61">
            <v>1555</v>
          </cell>
          <cell r="V61">
            <v>5072</v>
          </cell>
          <cell r="W61">
            <v>1037</v>
          </cell>
          <cell r="X61">
            <v>1586</v>
          </cell>
          <cell r="Y61">
            <v>1300</v>
          </cell>
          <cell r="Z61">
            <v>1535</v>
          </cell>
          <cell r="AA61">
            <v>5458</v>
          </cell>
          <cell r="AB61">
            <v>1071</v>
          </cell>
          <cell r="AC61">
            <v>1064</v>
          </cell>
          <cell r="AD61">
            <v>1703.9173497556001</v>
          </cell>
          <cell r="AE61">
            <v>2090.9634910224045</v>
          </cell>
          <cell r="AF61">
            <v>5929.8808407780052</v>
          </cell>
          <cell r="AG61">
            <v>5960.6185479349042</v>
          </cell>
          <cell r="AH61">
            <v>5734.8549558408613</v>
          </cell>
          <cell r="AI61">
            <v>5471.3180848309466</v>
          </cell>
          <cell r="AJ61">
            <v>5175.0165326240676</v>
          </cell>
          <cell r="AK61">
            <v>5177.4001128021318</v>
          </cell>
          <cell r="AL61">
            <v>5162.0321484186852</v>
          </cell>
          <cell r="AM61">
            <v>9004</v>
          </cell>
          <cell r="AN61">
            <v>9756</v>
          </cell>
          <cell r="AO61" t="str">
            <v>Capital Expenditures</v>
          </cell>
          <cell r="AP61">
            <v>5072</v>
          </cell>
          <cell r="AQ61">
            <v>5458</v>
          </cell>
          <cell r="AR61">
            <v>5929.8808407780052</v>
          </cell>
          <cell r="AS61">
            <v>5960.6185479349042</v>
          </cell>
          <cell r="AT61">
            <v>5734.8549558408613</v>
          </cell>
          <cell r="AU61">
            <v>5471.3180848309466</v>
          </cell>
          <cell r="AV61">
            <v>5175.0165326240676</v>
          </cell>
          <cell r="AW61">
            <v>5177.4001128021318</v>
          </cell>
          <cell r="AX61">
            <v>5162.0321484186852</v>
          </cell>
          <cell r="AY61">
            <v>9756</v>
          </cell>
          <cell r="AZ61">
            <v>10443</v>
          </cell>
          <cell r="BA61">
            <v>11065</v>
          </cell>
          <cell r="BB61">
            <v>11622</v>
          </cell>
        </row>
        <row r="62">
          <cell r="A62" t="str">
            <v>Avg. Price per Minute</v>
          </cell>
          <cell r="C62">
            <v>0</v>
          </cell>
          <cell r="D62">
            <v>0</v>
          </cell>
          <cell r="E62">
            <v>0</v>
          </cell>
          <cell r="F62">
            <v>0</v>
          </cell>
          <cell r="G62">
            <v>0.12059449765332156</v>
          </cell>
          <cell r="H62">
            <v>0.10744148079511108</v>
          </cell>
          <cell r="I62">
            <v>0.10268147632052894</v>
          </cell>
          <cell r="J62">
            <v>0.10397081594625095</v>
          </cell>
          <cell r="K62">
            <v>0.10207872922381503</v>
          </cell>
          <cell r="L62">
            <v>0.10486047228449792</v>
          </cell>
          <cell r="M62">
            <v>9.2665123511440184E-2</v>
          </cell>
          <cell r="N62">
            <v>8.5452854006730805E-2</v>
          </cell>
          <cell r="O62">
            <v>8.6779849747294538E-2</v>
          </cell>
          <cell r="P62">
            <v>8.5547772758166329E-2</v>
          </cell>
          <cell r="Q62">
            <v>8.743926199158604E-2</v>
          </cell>
          <cell r="R62">
            <v>7.7589820561708114E-2</v>
          </cell>
          <cell r="S62">
            <v>7.5559073347009897E-2</v>
          </cell>
          <cell r="T62">
            <v>7.542549721399304E-2</v>
          </cell>
          <cell r="U62">
            <v>7.3506814325492623E-2</v>
          </cell>
          <cell r="V62">
            <v>7.7063118562153546E-2</v>
          </cell>
          <cell r="W62">
            <v>7.154124672949666E-2</v>
          </cell>
          <cell r="X62">
            <v>6.6010256219695626E-2</v>
          </cell>
          <cell r="Y62">
            <v>6.2781210672616272E-2</v>
          </cell>
          <cell r="Z62">
            <v>6.1001784002403331E-2</v>
          </cell>
          <cell r="AA62">
            <v>6.50373496423063E-2</v>
          </cell>
          <cell r="AB62">
            <v>5.975582240157748E-2</v>
          </cell>
          <cell r="AC62">
            <v>5.5988478811547129E-2</v>
          </cell>
          <cell r="AD62">
            <v>5.612305929759958E-2</v>
          </cell>
          <cell r="AE62">
            <v>5.5942620732976074E-2</v>
          </cell>
          <cell r="AF62">
            <v>5.7056452472477967E-2</v>
          </cell>
          <cell r="AG62">
            <v>5.283491079977462E-2</v>
          </cell>
          <cell r="AH62">
            <v>4.9804147503248415E-2</v>
          </cell>
          <cell r="AI62">
            <v>4.7519177591826008E-2</v>
          </cell>
          <cell r="AJ62">
            <v>4.5850451667778916E-2</v>
          </cell>
          <cell r="AK62">
            <v>4.4287779821048999E-2</v>
          </cell>
          <cell r="AL62">
            <v>4.2804190885088557E-2</v>
          </cell>
          <cell r="AM62">
            <v>817</v>
          </cell>
          <cell r="AN62">
            <v>752</v>
          </cell>
          <cell r="AO62" t="str">
            <v>Avg. Price per Minute</v>
          </cell>
          <cell r="AP62">
            <v>7.7063118562153546E-2</v>
          </cell>
          <cell r="AQ62">
            <v>6.50373496423063E-2</v>
          </cell>
          <cell r="AR62">
            <v>5.7056452472477967E-2</v>
          </cell>
          <cell r="AS62">
            <v>5.283491079977462E-2</v>
          </cell>
          <cell r="AT62">
            <v>4.9804147503248415E-2</v>
          </cell>
          <cell r="AU62">
            <v>4.7519177591826008E-2</v>
          </cell>
          <cell r="AV62">
            <v>4.5850451667778916E-2</v>
          </cell>
          <cell r="AW62">
            <v>4.4287779821048999E-2</v>
          </cell>
          <cell r="AX62">
            <v>4.2804190885088557E-2</v>
          </cell>
          <cell r="AY62">
            <v>752</v>
          </cell>
          <cell r="AZ62">
            <v>687</v>
          </cell>
          <cell r="BA62">
            <v>622</v>
          </cell>
          <cell r="BB62">
            <v>557</v>
          </cell>
        </row>
        <row r="63">
          <cell r="A63" t="str">
            <v xml:space="preserve">    Year-over-Year Change</v>
          </cell>
          <cell r="C63">
            <v>0</v>
          </cell>
          <cell r="D63">
            <v>0</v>
          </cell>
          <cell r="E63">
            <v>0</v>
          </cell>
          <cell r="F63">
            <v>0</v>
          </cell>
          <cell r="G63">
            <v>0</v>
          </cell>
          <cell r="H63">
            <v>0</v>
          </cell>
          <cell r="I63">
            <v>0</v>
          </cell>
          <cell r="J63">
            <v>0</v>
          </cell>
          <cell r="K63">
            <v>0</v>
          </cell>
          <cell r="L63">
            <v>-0.13047050798333226</v>
          </cell>
          <cell r="M63">
            <v>-0.13752935248397347</v>
          </cell>
          <cell r="N63">
            <v>-0.16778705304175345</v>
          </cell>
          <cell r="O63">
            <v>-0.16534415011077241</v>
          </cell>
          <cell r="P63">
            <v>-0.16194320394999606</v>
          </cell>
          <cell r="Q63">
            <v>-0.16613705730455075</v>
          </cell>
          <cell r="R63">
            <v>-0.16268583452404195</v>
          </cell>
          <cell r="S63">
            <v>-0.11578057602314384</v>
          </cell>
          <cell r="T63">
            <v>-0.13084088721478204</v>
          </cell>
          <cell r="U63">
            <v>-0.14075127901590267</v>
          </cell>
          <cell r="V63">
            <v>-0.11866686878522548</v>
          </cell>
          <cell r="W63">
            <v>-7.7955765181863645E-2</v>
          </cell>
          <cell r="X63">
            <v>-0.12637551923725576</v>
          </cell>
          <cell r="Y63">
            <v>-0.16763941914102465</v>
          </cell>
          <cell r="Z63">
            <v>-0.17012069476601532</v>
          </cell>
          <cell r="AA63">
            <v>-0.15605089885050694</v>
          </cell>
          <cell r="AB63">
            <v>-0.16473607697222326</v>
          </cell>
          <cell r="AC63">
            <v>-0.15182151959528789</v>
          </cell>
          <cell r="AD63">
            <v>-0.10605324911201219</v>
          </cell>
          <cell r="AE63">
            <v>-8.2934677274814406E-2</v>
          </cell>
          <cell r="AF63">
            <v>-0.12271252155448875</v>
          </cell>
          <cell r="AG63">
            <v>-7.3988856470522224E-2</v>
          </cell>
          <cell r="AH63">
            <v>-5.7362892274233412E-2</v>
          </cell>
          <cell r="AI63">
            <v>-4.5879108989334116E-2</v>
          </cell>
          <cell r="AJ63">
            <v>-3.5116894033413115E-2</v>
          </cell>
          <cell r="AK63">
            <v>-3.4081929182566251E-2</v>
          </cell>
          <cell r="AL63">
            <v>-3.3498832905038189E-2</v>
          </cell>
          <cell r="AM63">
            <v>1316</v>
          </cell>
          <cell r="AN63">
            <v>1445</v>
          </cell>
          <cell r="AO63" t="str">
            <v xml:space="preserve">    Year-over-Year Change</v>
          </cell>
          <cell r="AP63">
            <v>-0.11866686878522548</v>
          </cell>
          <cell r="AQ63">
            <v>-0.15605089885050694</v>
          </cell>
          <cell r="AR63">
            <v>-0.12271252155448875</v>
          </cell>
          <cell r="AS63">
            <v>-7.3988856470522224E-2</v>
          </cell>
          <cell r="AT63">
            <v>-5.7362892274233412E-2</v>
          </cell>
          <cell r="AU63">
            <v>-4.5879108989334116E-2</v>
          </cell>
          <cell r="AV63">
            <v>-3.5116894033413115E-2</v>
          </cell>
          <cell r="AW63">
            <v>-3.4081929182566251E-2</v>
          </cell>
          <cell r="AX63">
            <v>-3.3498832905038189E-2</v>
          </cell>
          <cell r="AY63">
            <v>1445</v>
          </cell>
          <cell r="AZ63">
            <v>1569</v>
          </cell>
          <cell r="BA63">
            <v>1688</v>
          </cell>
          <cell r="BB63">
            <v>1802</v>
          </cell>
        </row>
        <row r="64">
          <cell r="A64" t="str">
            <v xml:space="preserve">   Net Adds</v>
          </cell>
          <cell r="S64">
            <v>2</v>
          </cell>
          <cell r="T64">
            <v>101</v>
          </cell>
          <cell r="U64">
            <v>110</v>
          </cell>
          <cell r="V64">
            <v>213</v>
          </cell>
          <cell r="W64">
            <v>166</v>
          </cell>
          <cell r="X64">
            <v>101</v>
          </cell>
          <cell r="Y64">
            <v>90</v>
          </cell>
          <cell r="Z64">
            <v>93</v>
          </cell>
          <cell r="AA64">
            <v>450</v>
          </cell>
          <cell r="AB64">
            <v>45</v>
          </cell>
          <cell r="AC64">
            <v>27</v>
          </cell>
          <cell r="AD64">
            <v>28</v>
          </cell>
          <cell r="AE64">
            <v>46</v>
          </cell>
          <cell r="AF64">
            <v>146</v>
          </cell>
          <cell r="AG64">
            <v>46</v>
          </cell>
          <cell r="AH64">
            <v>33</v>
          </cell>
          <cell r="AI64">
            <v>25</v>
          </cell>
          <cell r="AJ64">
            <v>40</v>
          </cell>
          <cell r="AK64">
            <v>144</v>
          </cell>
          <cell r="AL64">
            <v>139</v>
          </cell>
          <cell r="AM64">
            <v>134</v>
          </cell>
          <cell r="AN64">
            <v>129</v>
          </cell>
          <cell r="AO64">
            <v>124</v>
          </cell>
          <cell r="AP64">
            <v>119</v>
          </cell>
          <cell r="AQ64">
            <v>114</v>
          </cell>
          <cell r="AT64" t="str">
            <v xml:space="preserve">   Net Adds</v>
          </cell>
          <cell r="AU64">
            <v>146</v>
          </cell>
          <cell r="AV64">
            <v>144</v>
          </cell>
          <cell r="AW64">
            <v>139</v>
          </cell>
          <cell r="AX64">
            <v>134</v>
          </cell>
          <cell r="AY64">
            <v>129</v>
          </cell>
          <cell r="AZ64">
            <v>124</v>
          </cell>
          <cell r="BA64">
            <v>119</v>
          </cell>
          <cell r="BB64">
            <v>114</v>
          </cell>
        </row>
        <row r="65">
          <cell r="A65" t="str">
            <v>Equipment Rev. per Gross Add</v>
          </cell>
          <cell r="C65">
            <v>122.792017171636</v>
          </cell>
          <cell r="D65">
            <v>131.97008367431971</v>
          </cell>
          <cell r="E65">
            <v>160.55212125913556</v>
          </cell>
          <cell r="F65">
            <v>135.30115492706636</v>
          </cell>
          <cell r="G65">
            <v>138.60258485141975</v>
          </cell>
          <cell r="H65">
            <v>138.93996706925233</v>
          </cell>
          <cell r="I65">
            <v>159.11749932765244</v>
          </cell>
          <cell r="J65">
            <v>182.4249400523002</v>
          </cell>
          <cell r="K65">
            <v>144.77414722065998</v>
          </cell>
          <cell r="L65">
            <v>155.42486773890275</v>
          </cell>
          <cell r="M65">
            <v>156.50037437880934</v>
          </cell>
          <cell r="N65">
            <v>152.49600071762825</v>
          </cell>
          <cell r="O65">
            <v>233.22393843185128</v>
          </cell>
          <cell r="P65">
            <v>204.90899048339756</v>
          </cell>
          <cell r="Q65">
            <v>187.13648556957216</v>
          </cell>
          <cell r="R65">
            <v>234.16337152679839</v>
          </cell>
          <cell r="S65">
            <v>257.81569322028565</v>
          </cell>
          <cell r="T65">
            <v>228.41397551730836</v>
          </cell>
          <cell r="U65">
            <v>256.21622639969104</v>
          </cell>
          <cell r="V65">
            <v>244.12042204973693</v>
          </cell>
          <cell r="W65">
            <v>187.32858675617237</v>
          </cell>
          <cell r="X65">
            <v>221.85555649989888</v>
          </cell>
          <cell r="Y65">
            <v>235.62027759068025</v>
          </cell>
          <cell r="Z65">
            <v>210.28718936436329</v>
          </cell>
          <cell r="AA65">
            <v>213.32662819136547</v>
          </cell>
          <cell r="AB65">
            <v>211.07717769977245</v>
          </cell>
          <cell r="AC65">
            <v>207.07717769977245</v>
          </cell>
          <cell r="AD65">
            <v>203.07717769977245</v>
          </cell>
          <cell r="AE65">
            <v>199.07717769977245</v>
          </cell>
          <cell r="AF65">
            <v>204.98801814676381</v>
          </cell>
          <cell r="AG65">
            <v>199.98801814676381</v>
          </cell>
          <cell r="AH65">
            <v>194.98801814676381</v>
          </cell>
          <cell r="AI65">
            <v>189.98801814676381</v>
          </cell>
          <cell r="AJ65">
            <v>184.98801814676381</v>
          </cell>
          <cell r="AK65">
            <v>179.98801814676381</v>
          </cell>
          <cell r="AL65">
            <v>174.98801814676381</v>
          </cell>
          <cell r="AO65" t="str">
            <v>Equipment Rev. per Gross Add</v>
          </cell>
          <cell r="AP65">
            <v>244.12042204973693</v>
          </cell>
          <cell r="AQ65">
            <v>213.32662819136547</v>
          </cell>
          <cell r="AR65">
            <v>204.98801814676381</v>
          </cell>
          <cell r="AS65">
            <v>199.98801814676381</v>
          </cell>
          <cell r="AT65">
            <v>194.98801814676381</v>
          </cell>
          <cell r="AU65">
            <v>189.98801814676381</v>
          </cell>
          <cell r="AV65">
            <v>184.98801814676381</v>
          </cell>
          <cell r="AW65">
            <v>179.98801814676381</v>
          </cell>
          <cell r="AX65">
            <v>174.98801814676381</v>
          </cell>
        </row>
        <row r="66">
          <cell r="A66" t="str">
            <v>Capital Expenditures</v>
          </cell>
          <cell r="C66">
            <v>1400</v>
          </cell>
          <cell r="D66">
            <v>1678</v>
          </cell>
          <cell r="E66">
            <v>1669</v>
          </cell>
          <cell r="F66">
            <v>1384</v>
          </cell>
          <cell r="G66">
            <v>6131</v>
          </cell>
          <cell r="H66">
            <v>0</v>
          </cell>
          <cell r="I66">
            <v>0</v>
          </cell>
          <cell r="J66">
            <v>0</v>
          </cell>
          <cell r="K66">
            <v>0</v>
          </cell>
          <cell r="L66">
            <v>2668</v>
          </cell>
          <cell r="M66">
            <v>567</v>
          </cell>
          <cell r="N66">
            <v>874</v>
          </cell>
          <cell r="O66">
            <v>922</v>
          </cell>
          <cell r="P66">
            <v>1497</v>
          </cell>
          <cell r="Q66">
            <v>3860</v>
          </cell>
          <cell r="R66">
            <v>1090</v>
          </cell>
          <cell r="S66">
            <v>1165</v>
          </cell>
          <cell r="T66">
            <v>1262</v>
          </cell>
          <cell r="U66">
            <v>1555</v>
          </cell>
          <cell r="V66">
            <v>5072</v>
          </cell>
          <cell r="W66">
            <v>1037</v>
          </cell>
          <cell r="X66">
            <v>1586</v>
          </cell>
          <cell r="Y66">
            <v>1300</v>
          </cell>
          <cell r="Z66">
            <v>1535</v>
          </cell>
          <cell r="AA66">
            <v>5458</v>
          </cell>
          <cell r="AB66">
            <v>1071</v>
          </cell>
          <cell r="AC66">
            <v>1064</v>
          </cell>
          <cell r="AD66">
            <v>1473</v>
          </cell>
          <cell r="AE66">
            <v>2238</v>
          </cell>
          <cell r="AF66">
            <v>5846</v>
          </cell>
          <cell r="AG66">
            <v>1403</v>
          </cell>
          <cell r="AH66">
            <v>1371</v>
          </cell>
          <cell r="AI66">
            <v>1589.2595143317046</v>
          </cell>
          <cell r="AJ66">
            <v>1785.5348265378248</v>
          </cell>
          <cell r="AK66">
            <v>6148.7943408695301</v>
          </cell>
          <cell r="AL66">
            <v>5171.7871029127436</v>
          </cell>
          <cell r="AM66">
            <v>5081.4693732455453</v>
          </cell>
          <cell r="AN66">
            <v>5021.1515472371575</v>
          </cell>
          <cell r="AO66">
            <v>5019.8069997654939</v>
          </cell>
          <cell r="AP66">
            <v>5000.5651114236816</v>
          </cell>
          <cell r="AQ66">
            <v>5053.8709275006122</v>
          </cell>
          <cell r="AT66" t="str">
            <v>Capital Expenditures</v>
          </cell>
          <cell r="AU66">
            <v>5846</v>
          </cell>
          <cell r="AV66">
            <v>6148.7943408695301</v>
          </cell>
          <cell r="AW66">
            <v>5171.7871029127436</v>
          </cell>
          <cell r="AX66">
            <v>5081.4693732455453</v>
          </cell>
          <cell r="AY66">
            <v>5021.1515472371575</v>
          </cell>
          <cell r="AZ66">
            <v>5019.8069997654939</v>
          </cell>
          <cell r="BA66">
            <v>5000.5651114236816</v>
          </cell>
          <cell r="BB66">
            <v>5053.8709275006122</v>
          </cell>
        </row>
        <row r="67">
          <cell r="A67" t="str">
            <v>Cost per Gross Add (CPGA)</v>
          </cell>
          <cell r="C67">
            <v>325</v>
          </cell>
          <cell r="D67">
            <v>300</v>
          </cell>
          <cell r="E67">
            <v>285</v>
          </cell>
          <cell r="F67">
            <v>315</v>
          </cell>
          <cell r="G67">
            <v>306.25</v>
          </cell>
          <cell r="H67">
            <v>305</v>
          </cell>
          <cell r="I67">
            <v>350</v>
          </cell>
          <cell r="J67">
            <v>395</v>
          </cell>
          <cell r="K67">
            <v>375</v>
          </cell>
          <cell r="L67">
            <v>356.25</v>
          </cell>
          <cell r="M67">
            <v>365</v>
          </cell>
          <cell r="N67">
            <v>415</v>
          </cell>
          <cell r="O67">
            <v>465</v>
          </cell>
          <cell r="P67">
            <v>425</v>
          </cell>
          <cell r="Q67">
            <v>417.5</v>
          </cell>
          <cell r="R67">
            <v>425</v>
          </cell>
          <cell r="S67">
            <v>425</v>
          </cell>
          <cell r="T67">
            <v>425</v>
          </cell>
          <cell r="U67">
            <v>425</v>
          </cell>
          <cell r="V67">
            <v>425</v>
          </cell>
          <cell r="W67">
            <v>420</v>
          </cell>
          <cell r="X67">
            <v>415</v>
          </cell>
          <cell r="Y67">
            <v>420</v>
          </cell>
          <cell r="Z67">
            <v>415</v>
          </cell>
          <cell r="AA67">
            <v>417.5</v>
          </cell>
          <cell r="AB67">
            <v>430</v>
          </cell>
          <cell r="AC67">
            <v>428</v>
          </cell>
          <cell r="AD67">
            <v>426</v>
          </cell>
          <cell r="AE67">
            <v>424</v>
          </cell>
          <cell r="AF67">
            <v>427</v>
          </cell>
          <cell r="AG67">
            <v>417</v>
          </cell>
          <cell r="AH67">
            <v>407</v>
          </cell>
          <cell r="AI67">
            <v>397</v>
          </cell>
          <cell r="AJ67">
            <v>387</v>
          </cell>
          <cell r="AK67">
            <v>377</v>
          </cell>
          <cell r="AL67">
            <v>367</v>
          </cell>
          <cell r="AM67">
            <v>0.17</v>
          </cell>
          <cell r="AN67">
            <v>0.16500000000000001</v>
          </cell>
          <cell r="AO67" t="str">
            <v>Cost per Gross Add (CPGA)</v>
          </cell>
          <cell r="AP67">
            <v>425</v>
          </cell>
          <cell r="AQ67">
            <v>417.5</v>
          </cell>
          <cell r="AR67">
            <v>427</v>
          </cell>
          <cell r="AS67">
            <v>417</v>
          </cell>
          <cell r="AT67">
            <v>407</v>
          </cell>
          <cell r="AU67">
            <v>397</v>
          </cell>
          <cell r="AV67">
            <v>387</v>
          </cell>
          <cell r="AW67">
            <v>377</v>
          </cell>
          <cell r="AX67">
            <v>367</v>
          </cell>
          <cell r="AY67">
            <v>0.16500000000000001</v>
          </cell>
          <cell r="AZ67">
            <v>0.16250000000000001</v>
          </cell>
          <cell r="BA67">
            <v>0.16</v>
          </cell>
          <cell r="BB67">
            <v>0.16</v>
          </cell>
        </row>
        <row r="68">
          <cell r="A68" t="str">
            <v>Source:  Company reports and Morgan Stanley estimates.</v>
          </cell>
          <cell r="C68" t="str">
            <v>1Q01</v>
          </cell>
          <cell r="D68" t="str">
            <v>2Q01</v>
          </cell>
          <cell r="E68" t="str">
            <v>3Q01</v>
          </cell>
          <cell r="F68" t="str">
            <v>4Q01</v>
          </cell>
          <cell r="G68">
            <v>2001</v>
          </cell>
          <cell r="H68" t="str">
            <v>1Q02</v>
          </cell>
          <cell r="I68" t="str">
            <v>2Q02</v>
          </cell>
          <cell r="J68" t="str">
            <v>3Q02</v>
          </cell>
          <cell r="K68" t="str">
            <v>4Q02</v>
          </cell>
          <cell r="L68">
            <v>2002</v>
          </cell>
          <cell r="M68" t="str">
            <v>1Q03</v>
          </cell>
          <cell r="N68" t="str">
            <v>2Q03</v>
          </cell>
          <cell r="O68" t="str">
            <v>3Q03</v>
          </cell>
          <cell r="P68" t="str">
            <v>4Q03</v>
          </cell>
          <cell r="Q68">
            <v>2003</v>
          </cell>
          <cell r="R68" t="str">
            <v>1Q04</v>
          </cell>
          <cell r="S68" t="str">
            <v>2Q04</v>
          </cell>
          <cell r="T68" t="str">
            <v>3Q04</v>
          </cell>
          <cell r="U68" t="str">
            <v>4Q04</v>
          </cell>
          <cell r="V68">
            <v>2004</v>
          </cell>
          <cell r="AA68">
            <v>2005</v>
          </cell>
          <cell r="AF68" t="str">
            <v>2006E</v>
          </cell>
          <cell r="AG68" t="str">
            <v>2007E</v>
          </cell>
          <cell r="AH68" t="str">
            <v>2008E</v>
          </cell>
          <cell r="AI68" t="str">
            <v>2009E</v>
          </cell>
          <cell r="AJ68" t="str">
            <v>2010E</v>
          </cell>
          <cell r="AT68" t="str">
            <v>Source:  Company reports and Morgan Stanley estimates.</v>
          </cell>
        </row>
        <row r="69">
          <cell r="A69" t="str">
            <v>Capital Expenditures</v>
          </cell>
          <cell r="C69">
            <v>1400</v>
          </cell>
          <cell r="D69">
            <v>1678</v>
          </cell>
          <cell r="E69">
            <v>1669</v>
          </cell>
          <cell r="F69">
            <v>1384</v>
          </cell>
          <cell r="G69">
            <v>6131</v>
          </cell>
          <cell r="H69">
            <v>0</v>
          </cell>
          <cell r="I69">
            <v>0</v>
          </cell>
          <cell r="J69">
            <v>0</v>
          </cell>
          <cell r="K69">
            <v>0</v>
          </cell>
          <cell r="L69">
            <v>2668</v>
          </cell>
          <cell r="M69">
            <v>567</v>
          </cell>
          <cell r="N69">
            <v>874</v>
          </cell>
          <cell r="O69">
            <v>922</v>
          </cell>
          <cell r="P69">
            <v>1497</v>
          </cell>
          <cell r="Q69">
            <v>3860</v>
          </cell>
          <cell r="R69">
            <v>1090</v>
          </cell>
          <cell r="S69">
            <v>1165</v>
          </cell>
          <cell r="T69">
            <v>1262</v>
          </cell>
          <cell r="U69">
            <v>1555</v>
          </cell>
          <cell r="V69">
            <v>5072</v>
          </cell>
          <cell r="W69">
            <v>1037</v>
          </cell>
          <cell r="X69">
            <v>1586</v>
          </cell>
          <cell r="Y69">
            <v>1300</v>
          </cell>
          <cell r="Z69">
            <v>1535</v>
          </cell>
          <cell r="AA69">
            <v>5458</v>
          </cell>
          <cell r="AB69">
            <v>1071</v>
          </cell>
          <cell r="AC69">
            <v>1425.6134442043708</v>
          </cell>
          <cell r="AD69">
            <v>1392.0416342117594</v>
          </cell>
          <cell r="AE69">
            <v>1544.504651824348</v>
          </cell>
          <cell r="AF69">
            <v>5433.159730240478</v>
          </cell>
          <cell r="AG69">
            <v>5854.491301244313</v>
          </cell>
          <cell r="AH69">
            <v>5637.5427037198233</v>
          </cell>
          <cell r="AI69">
            <v>5320.8252030885051</v>
          </cell>
          <cell r="AJ69">
            <v>4966.9555783770547</v>
          </cell>
          <cell r="AK69">
            <v>4924.1838886113328</v>
          </cell>
          <cell r="AL69">
            <v>4880.1147218715141</v>
          </cell>
          <cell r="AO69" t="str">
            <v>Capital Expenditures</v>
          </cell>
          <cell r="AP69">
            <v>5072</v>
          </cell>
          <cell r="AQ69">
            <v>5458</v>
          </cell>
          <cell r="AR69">
            <v>5433.159730240478</v>
          </cell>
          <cell r="AS69">
            <v>5854.491301244313</v>
          </cell>
          <cell r="AT69">
            <v>5637.5427037198233</v>
          </cell>
          <cell r="AU69">
            <v>5320.8252030885051</v>
          </cell>
          <cell r="AV69">
            <v>4966.9555783770547</v>
          </cell>
          <cell r="AW69">
            <v>4924.1838886113328</v>
          </cell>
          <cell r="AX69">
            <v>4880.1147218715141</v>
          </cell>
        </row>
        <row r="70">
          <cell r="A70" t="str">
            <v xml:space="preserve">   Percent of Service Revenues</v>
          </cell>
          <cell r="C70">
            <v>0</v>
          </cell>
          <cell r="D70">
            <v>0</v>
          </cell>
          <cell r="E70">
            <v>0</v>
          </cell>
          <cell r="F70">
            <v>0</v>
          </cell>
          <cell r="G70">
            <v>0</v>
          </cell>
          <cell r="H70">
            <v>0</v>
          </cell>
          <cell r="I70">
            <v>0</v>
          </cell>
          <cell r="J70">
            <v>0</v>
          </cell>
          <cell r="K70">
            <v>0</v>
          </cell>
          <cell r="L70">
            <v>0.14008190696209177</v>
          </cell>
          <cell r="M70">
            <v>0.11773255813953488</v>
          </cell>
          <cell r="N70">
            <v>0.16846569005397069</v>
          </cell>
          <cell r="O70">
            <v>0.16766684851791236</v>
          </cell>
          <cell r="P70">
            <v>0.2670353193007492</v>
          </cell>
          <cell r="Q70">
            <v>0.18286039130228812</v>
          </cell>
          <cell r="R70">
            <v>0.1915978203550712</v>
          </cell>
          <cell r="S70">
            <v>0.19377910844976715</v>
          </cell>
          <cell r="T70">
            <v>0.20182312490004797</v>
          </cell>
          <cell r="U70">
            <v>0.24600537889574434</v>
          </cell>
          <cell r="V70">
            <v>0.20893923789907312</v>
          </cell>
          <cell r="W70">
            <v>0.16065065840433773</v>
          </cell>
          <cell r="X70">
            <v>0.23510228283427217</v>
          </cell>
          <cell r="Y70">
            <v>0.19055995309293464</v>
          </cell>
          <cell r="Z70">
            <v>0.2219170160474194</v>
          </cell>
          <cell r="AA70">
            <v>0.20259836674090573</v>
          </cell>
          <cell r="AB70">
            <v>0.14926829268292682</v>
          </cell>
          <cell r="AC70">
            <v>0.19</v>
          </cell>
          <cell r="AD70">
            <v>0.185</v>
          </cell>
          <cell r="AE70">
            <v>0.20499999999999999</v>
          </cell>
          <cell r="AF70">
            <v>0.1827073814630143</v>
          </cell>
          <cell r="AG70">
            <v>0.19</v>
          </cell>
          <cell r="AH70">
            <v>0.18</v>
          </cell>
          <cell r="AI70">
            <v>0.17</v>
          </cell>
          <cell r="AJ70">
            <v>0.16</v>
          </cell>
          <cell r="AK70">
            <v>0.16</v>
          </cell>
          <cell r="AL70">
            <v>0.16</v>
          </cell>
          <cell r="AO70" t="str">
            <v xml:space="preserve">   Percent of Service Revenues</v>
          </cell>
          <cell r="AP70">
            <v>0.20893923789907312</v>
          </cell>
          <cell r="AQ70">
            <v>0.20259836674090573</v>
          </cell>
          <cell r="AR70">
            <v>0.1827073814630143</v>
          </cell>
          <cell r="AS70">
            <v>0.19</v>
          </cell>
          <cell r="AT70">
            <v>0.18</v>
          </cell>
          <cell r="AU70">
            <v>0.17</v>
          </cell>
          <cell r="AV70">
            <v>0.16</v>
          </cell>
          <cell r="AW70">
            <v>0.16</v>
          </cell>
          <cell r="AX70">
            <v>0.16</v>
          </cell>
        </row>
        <row r="71">
          <cell r="A71" t="str">
            <v>Source:  Company reports and Morgan Stanley estimates.</v>
          </cell>
          <cell r="G71">
            <v>0</v>
          </cell>
          <cell r="L71">
            <v>0</v>
          </cell>
          <cell r="AO71" t="str">
            <v>Source:  Company reports and Morgan Stanley estimates.</v>
          </cell>
        </row>
        <row r="73">
          <cell r="A73" t="str">
            <v>Penetration of Licensed POPs</v>
          </cell>
          <cell r="C73" t="str">
            <v>1Q01</v>
          </cell>
          <cell r="D73" t="str">
            <v>2Q01</v>
          </cell>
          <cell r="E73" t="str">
            <v>3Q01</v>
          </cell>
          <cell r="F73" t="str">
            <v>4Q01</v>
          </cell>
          <cell r="G73">
            <v>2001</v>
          </cell>
          <cell r="H73" t="str">
            <v>1Q02</v>
          </cell>
          <cell r="I73" t="str">
            <v>2Q02</v>
          </cell>
          <cell r="J73" t="str">
            <v>3Q02</v>
          </cell>
          <cell r="K73" t="str">
            <v>4Q02</v>
          </cell>
          <cell r="L73">
            <v>2002</v>
          </cell>
          <cell r="M73" t="str">
            <v>1Q03</v>
          </cell>
          <cell r="N73" t="str">
            <v>2Q03</v>
          </cell>
          <cell r="O73" t="str">
            <v>3Q03</v>
          </cell>
          <cell r="P73" t="str">
            <v>4Q03</v>
          </cell>
          <cell r="Q73">
            <v>2003</v>
          </cell>
          <cell r="R73" t="str">
            <v>1Q04</v>
          </cell>
          <cell r="S73" t="str">
            <v>2Q04</v>
          </cell>
          <cell r="T73" t="str">
            <v>3Q04</v>
          </cell>
          <cell r="U73" t="str">
            <v>4Q04</v>
          </cell>
          <cell r="V73">
            <v>2004</v>
          </cell>
          <cell r="AA73">
            <v>2005</v>
          </cell>
          <cell r="AF73">
            <v>2006</v>
          </cell>
          <cell r="AK73" t="str">
            <v>2007E</v>
          </cell>
          <cell r="AL73" t="str">
            <v>2008E</v>
          </cell>
          <cell r="AM73" t="str">
            <v>2009E</v>
          </cell>
          <cell r="AN73" t="str">
            <v>2010E</v>
          </cell>
        </row>
        <row r="74">
          <cell r="A74" t="str">
            <v>Penetration of Covered POPs</v>
          </cell>
          <cell r="G74">
            <v>284235.21000000002</v>
          </cell>
          <cell r="L74">
            <v>289132.61802480201</v>
          </cell>
        </row>
        <row r="75">
          <cell r="A75" t="str">
            <v>Covered Pops (mil.)</v>
          </cell>
          <cell r="G75">
            <v>0</v>
          </cell>
          <cell r="L75">
            <v>0</v>
          </cell>
        </row>
        <row r="76">
          <cell r="A76" t="str">
            <v xml:space="preserve">   Percent Covered</v>
          </cell>
          <cell r="C76" t="str">
            <v>1Q01</v>
          </cell>
          <cell r="D76" t="str">
            <v>2Q01</v>
          </cell>
          <cell r="E76" t="str">
            <v>3Q01</v>
          </cell>
          <cell r="F76" t="str">
            <v>4Q01</v>
          </cell>
          <cell r="G76">
            <v>2001</v>
          </cell>
          <cell r="H76" t="str">
            <v>1Q02</v>
          </cell>
          <cell r="I76" t="str">
            <v>2Q02</v>
          </cell>
          <cell r="J76" t="str">
            <v>3Q02</v>
          </cell>
          <cell r="K76" t="str">
            <v>4Q02</v>
          </cell>
          <cell r="L76">
            <v>2002</v>
          </cell>
          <cell r="M76" t="str">
            <v>1Q03</v>
          </cell>
          <cell r="N76" t="str">
            <v>2Q03</v>
          </cell>
          <cell r="O76" t="str">
            <v>3Q03</v>
          </cell>
          <cell r="P76" t="str">
            <v>4Q03</v>
          </cell>
          <cell r="Q76">
            <v>2003</v>
          </cell>
          <cell r="R76" t="str">
            <v>1Q04</v>
          </cell>
          <cell r="S76" t="str">
            <v>2Q04</v>
          </cell>
          <cell r="T76" t="str">
            <v>3Q04</v>
          </cell>
          <cell r="U76" t="str">
            <v>4Q04</v>
          </cell>
          <cell r="V76">
            <v>2004</v>
          </cell>
          <cell r="AA76">
            <v>2005</v>
          </cell>
          <cell r="AF76" t="str">
            <v>2006E</v>
          </cell>
          <cell r="AG76" t="str">
            <v>2007E</v>
          </cell>
          <cell r="AH76" t="str">
            <v>2008E</v>
          </cell>
          <cell r="AI76" t="str">
            <v>2009E</v>
          </cell>
          <cell r="AJ76" t="str">
            <v>2010E</v>
          </cell>
        </row>
        <row r="77">
          <cell r="A77" t="str">
            <v>Licensed Pops (mil.)</v>
          </cell>
          <cell r="G77">
            <v>284235.21000000002</v>
          </cell>
          <cell r="L77">
            <v>289132.61802480201</v>
          </cell>
        </row>
        <row r="78">
          <cell r="A78" t="str">
            <v>Covered Pops (mil.)</v>
          </cell>
          <cell r="G78">
            <v>0</v>
          </cell>
          <cell r="L78">
            <v>0</v>
          </cell>
        </row>
        <row r="79">
          <cell r="A79" t="str">
            <v xml:space="preserve">   Percent Covered</v>
          </cell>
          <cell r="B79">
            <v>16222.2</v>
          </cell>
          <cell r="C79">
            <v>17553.5</v>
          </cell>
          <cell r="D79">
            <v>18882.400000000001</v>
          </cell>
          <cell r="E79">
            <v>20606.599999999999</v>
          </cell>
          <cell r="F79">
            <v>22222</v>
          </cell>
          <cell r="G79">
            <v>0</v>
          </cell>
          <cell r="H79">
            <v>23445</v>
          </cell>
          <cell r="I79">
            <v>24224</v>
          </cell>
          <cell r="J79">
            <v>24626</v>
          </cell>
          <cell r="K79">
            <v>25372</v>
          </cell>
          <cell r="L79">
            <v>0</v>
          </cell>
          <cell r="M79">
            <v>26111</v>
          </cell>
          <cell r="N79">
            <v>27145</v>
          </cell>
          <cell r="O79">
            <v>28077</v>
          </cell>
          <cell r="P79">
            <v>29180</v>
          </cell>
          <cell r="Q79">
            <v>29180</v>
          </cell>
          <cell r="R79">
            <v>29638</v>
          </cell>
          <cell r="S79">
            <v>30779</v>
          </cell>
          <cell r="T79">
            <v>31758</v>
          </cell>
          <cell r="U79">
            <v>32812</v>
          </cell>
          <cell r="V79">
            <v>32812</v>
          </cell>
          <cell r="W79">
            <v>33826</v>
          </cell>
          <cell r="X79">
            <v>34776</v>
          </cell>
          <cell r="Y79">
            <v>35967</v>
          </cell>
          <cell r="Z79">
            <v>36977</v>
          </cell>
          <cell r="AA79">
            <v>36977</v>
          </cell>
          <cell r="AB79">
            <v>39103</v>
          </cell>
          <cell r="AC79">
            <v>41405</v>
          </cell>
          <cell r="AD79">
            <v>41804.93911665053</v>
          </cell>
          <cell r="AE79">
            <v>42172.934730466346</v>
          </cell>
          <cell r="AF79">
            <v>42172.934730466346</v>
          </cell>
          <cell r="AG79">
            <v>43381.962829272663</v>
          </cell>
          <cell r="AH79">
            <v>44383.143906040015</v>
          </cell>
          <cell r="AI79">
            <v>45169.786180642928</v>
          </cell>
          <cell r="AJ79">
            <v>45736.375673701448</v>
          </cell>
          <cell r="AK79">
            <v>46130.323985588591</v>
          </cell>
          <cell r="AL79">
            <v>46388.881800861513</v>
          </cell>
        </row>
        <row r="80">
          <cell r="A80" t="str">
            <v xml:space="preserve">   Net Adds - Internal</v>
          </cell>
          <cell r="C80">
            <v>1331.2999999999993</v>
          </cell>
          <cell r="D80">
            <v>1328.9000000000015</v>
          </cell>
          <cell r="E80">
            <v>1724.1999999999971</v>
          </cell>
          <cell r="F80">
            <v>1615.4000000000015</v>
          </cell>
          <cell r="G80">
            <v>5999.7999999999993</v>
          </cell>
          <cell r="H80">
            <v>1223</v>
          </cell>
          <cell r="I80">
            <v>779</v>
          </cell>
          <cell r="J80">
            <v>402</v>
          </cell>
          <cell r="K80">
            <v>746</v>
          </cell>
          <cell r="L80">
            <v>3150</v>
          </cell>
          <cell r="M80">
            <v>739</v>
          </cell>
          <cell r="N80">
            <v>1034</v>
          </cell>
          <cell r="O80">
            <v>932</v>
          </cell>
          <cell r="P80">
            <v>1103</v>
          </cell>
          <cell r="Q80">
            <v>3808</v>
          </cell>
          <cell r="R80">
            <v>889</v>
          </cell>
          <cell r="S80">
            <v>1050</v>
          </cell>
          <cell r="T80">
            <v>979</v>
          </cell>
          <cell r="U80">
            <v>1054</v>
          </cell>
          <cell r="V80">
            <v>3972</v>
          </cell>
          <cell r="W80">
            <v>1014</v>
          </cell>
          <cell r="X80">
            <v>950</v>
          </cell>
          <cell r="Y80">
            <v>669</v>
          </cell>
          <cell r="Z80">
            <v>746</v>
          </cell>
          <cell r="AA80">
            <v>3379</v>
          </cell>
          <cell r="AB80">
            <v>563</v>
          </cell>
          <cell r="AC80">
            <v>210</v>
          </cell>
          <cell r="AD80">
            <v>-51.760883349467349</v>
          </cell>
          <cell r="AE80">
            <v>367.99561381581816</v>
          </cell>
          <cell r="AF80">
            <v>1089.2347304663508</v>
          </cell>
          <cell r="AG80">
            <v>1209.0280988063168</v>
          </cell>
          <cell r="AH80">
            <v>1001.1810767673505</v>
          </cell>
          <cell r="AI80">
            <v>786.64227460291841</v>
          </cell>
          <cell r="AJ80">
            <v>566.58949305852184</v>
          </cell>
          <cell r="AK80">
            <v>393.94831188714124</v>
          </cell>
          <cell r="AL80">
            <v>258.55781527292493</v>
          </cell>
        </row>
        <row r="81">
          <cell r="A81" t="str">
            <v>Penetration of Licensed POPs</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91</v>
          </cell>
          <cell r="T81">
            <v>0</v>
          </cell>
          <cell r="U81">
            <v>0</v>
          </cell>
          <cell r="V81">
            <v>91</v>
          </cell>
          <cell r="W81">
            <v>0</v>
          </cell>
          <cell r="X81">
            <v>0</v>
          </cell>
          <cell r="Y81">
            <v>522</v>
          </cell>
          <cell r="Z81">
            <v>264</v>
          </cell>
          <cell r="AA81">
            <v>786</v>
          </cell>
          <cell r="AB81">
            <v>1563</v>
          </cell>
          <cell r="AC81">
            <v>2092</v>
          </cell>
          <cell r="AD81">
            <v>451.7</v>
          </cell>
          <cell r="AE81">
            <v>0</v>
          </cell>
          <cell r="AF81">
            <v>4106.7</v>
          </cell>
          <cell r="AG81">
            <v>0</v>
          </cell>
          <cell r="AH81">
            <v>0</v>
          </cell>
          <cell r="AI81">
            <v>0</v>
          </cell>
          <cell r="AJ81">
            <v>0</v>
          </cell>
          <cell r="AK81">
            <v>0</v>
          </cell>
          <cell r="AL81">
            <v>0</v>
          </cell>
        </row>
        <row r="82">
          <cell r="A82" t="str">
            <v>Penetration of Covered POPs</v>
          </cell>
          <cell r="C82">
            <v>16887.849999999999</v>
          </cell>
          <cell r="D82">
            <v>18217.95</v>
          </cell>
          <cell r="E82">
            <v>19744.5</v>
          </cell>
          <cell r="F82">
            <v>21414.3</v>
          </cell>
          <cell r="G82">
            <v>19816.125</v>
          </cell>
          <cell r="H82">
            <v>23445</v>
          </cell>
          <cell r="I82">
            <v>23834.5</v>
          </cell>
          <cell r="J82">
            <v>24425</v>
          </cell>
          <cell r="K82">
            <v>24999</v>
          </cell>
          <cell r="L82">
            <v>23977.8</v>
          </cell>
          <cell r="M82">
            <v>25741.5</v>
          </cell>
          <cell r="N82">
            <v>26628</v>
          </cell>
          <cell r="O82">
            <v>27611</v>
          </cell>
          <cell r="P82">
            <v>28628.5</v>
          </cell>
          <cell r="Q82">
            <v>27177</v>
          </cell>
          <cell r="R82">
            <v>29409</v>
          </cell>
          <cell r="S82">
            <v>30208.5</v>
          </cell>
          <cell r="T82">
            <v>31268.5</v>
          </cell>
          <cell r="U82">
            <v>32285</v>
          </cell>
          <cell r="V82">
            <v>30833.4</v>
          </cell>
          <cell r="W82">
            <v>33319</v>
          </cell>
          <cell r="X82">
            <v>34301</v>
          </cell>
          <cell r="Y82">
            <v>35371.5</v>
          </cell>
          <cell r="Z82">
            <v>36472</v>
          </cell>
          <cell r="AA82">
            <v>34871.599999999999</v>
          </cell>
          <cell r="AB82">
            <v>38040</v>
          </cell>
          <cell r="AC82">
            <v>39208</v>
          </cell>
          <cell r="AD82">
            <v>41830.81955832526</v>
          </cell>
          <cell r="AE82">
            <v>41988.936923558438</v>
          </cell>
          <cell r="AF82">
            <v>40292.574769423372</v>
          </cell>
          <cell r="AG82">
            <v>42777.448779869505</v>
          </cell>
          <cell r="AH82">
            <v>43882.553367656335</v>
          </cell>
          <cell r="AI82">
            <v>44776.465043341472</v>
          </cell>
          <cell r="AJ82">
            <v>45453.080927172188</v>
          </cell>
          <cell r="AK82">
            <v>45933.34982964502</v>
          </cell>
          <cell r="AL82">
            <v>46259.602893225048</v>
          </cell>
        </row>
        <row r="84">
          <cell r="A84" t="str">
            <v>Gross Adds</v>
          </cell>
          <cell r="B84">
            <v>16222.2</v>
          </cell>
          <cell r="C84">
            <v>2597.8887500000001</v>
          </cell>
          <cell r="D84">
            <v>2553.6090499999996</v>
          </cell>
          <cell r="E84">
            <v>3145.3960000000002</v>
          </cell>
          <cell r="F84">
            <v>3340.6958000000004</v>
          </cell>
          <cell r="G84">
            <v>11637.589599999999</v>
          </cell>
          <cell r="H84">
            <v>3037.2830000000004</v>
          </cell>
          <cell r="I84">
            <v>2626.9894999999997</v>
          </cell>
          <cell r="J84">
            <v>2653.1459999999997</v>
          </cell>
          <cell r="K84">
            <v>2935.607</v>
          </cell>
          <cell r="L84">
            <v>11253.0255</v>
          </cell>
          <cell r="M84">
            <v>2741.2075</v>
          </cell>
          <cell r="N84">
            <v>2675.48</v>
          </cell>
          <cell r="O84">
            <v>2692.6909999999998</v>
          </cell>
          <cell r="P84">
            <v>2957.4105</v>
          </cell>
          <cell r="Q84">
            <v>11066.789000000001</v>
          </cell>
          <cell r="R84">
            <v>3006.4480000000003</v>
          </cell>
          <cell r="S84">
            <v>2862.51</v>
          </cell>
          <cell r="T84">
            <v>3042.721</v>
          </cell>
          <cell r="U84">
            <v>3184.81</v>
          </cell>
          <cell r="V84">
            <v>12096.489</v>
          </cell>
          <cell r="W84">
            <v>3113.0970000000002</v>
          </cell>
          <cell r="X84">
            <v>2905.1570000000002</v>
          </cell>
          <cell r="Y84">
            <v>2897.4045000000001</v>
          </cell>
          <cell r="Z84">
            <v>3043.7359999999999</v>
          </cell>
          <cell r="AA84">
            <v>11959.394500000002</v>
          </cell>
          <cell r="AB84">
            <v>2959.52</v>
          </cell>
          <cell r="AC84">
            <v>2680.1039999999998</v>
          </cell>
          <cell r="AD84">
            <v>2709.0732075000001</v>
          </cell>
          <cell r="AE84">
            <v>3013.29864</v>
          </cell>
          <cell r="AF84">
            <v>11361.995847499998</v>
          </cell>
          <cell r="AG84">
            <v>11475.615805974998</v>
          </cell>
          <cell r="AH84">
            <v>11532.993885004871</v>
          </cell>
          <cell r="AI84">
            <v>11532.993885004871</v>
          </cell>
          <cell r="AJ84">
            <v>11475.328915579847</v>
          </cell>
          <cell r="AK84">
            <v>11417.952271001946</v>
          </cell>
          <cell r="AL84">
            <v>11360.862509646937</v>
          </cell>
          <cell r="AM84">
            <v>42238.058712712096</v>
          </cell>
          <cell r="AN84">
            <v>42923.420997666668</v>
          </cell>
          <cell r="AO84">
            <v>43352.528328834545</v>
          </cell>
          <cell r="AP84">
            <v>43761.375165585821</v>
          </cell>
          <cell r="AQ84">
            <v>44105.425315405308</v>
          </cell>
        </row>
        <row r="85">
          <cell r="A85" t="str">
            <v xml:space="preserve">    Year-over-Year Growth</v>
          </cell>
          <cell r="C85">
            <v>1331.2999999999993</v>
          </cell>
          <cell r="D85">
            <v>1328.9000000000015</v>
          </cell>
          <cell r="E85">
            <v>1724.1999999999971</v>
          </cell>
          <cell r="F85">
            <v>1615.4000000000015</v>
          </cell>
          <cell r="G85">
            <v>5999.7999999999993</v>
          </cell>
          <cell r="H85">
            <v>0.1691351294392418</v>
          </cell>
          <cell r="I85">
            <v>2.8735976636674376E-2</v>
          </cell>
          <cell r="J85">
            <v>-0.15649857760358332</v>
          </cell>
          <cell r="K85">
            <v>-0.12125881081420231</v>
          </cell>
          <cell r="L85">
            <v>-3.3044995846906233E-2</v>
          </cell>
          <cell r="M85">
            <v>-9.7480379668276051E-2</v>
          </cell>
          <cell r="N85">
            <v>1.845858158169289E-2</v>
          </cell>
          <cell r="O85">
            <v>1.490494680654586E-2</v>
          </cell>
          <cell r="P85">
            <v>7.4272543974720495E-3</v>
          </cell>
          <cell r="Q85">
            <v>-1.6549904734508902E-2</v>
          </cell>
          <cell r="R85">
            <v>9.6760460490495692E-2</v>
          </cell>
          <cell r="S85">
            <v>6.9905213270142319E-2</v>
          </cell>
          <cell r="T85">
            <v>0.12999263561990593</v>
          </cell>
          <cell r="U85">
            <v>7.6891422411599519E-2</v>
          </cell>
          <cell r="V85">
            <v>3972</v>
          </cell>
          <cell r="W85">
            <v>3.5473422457331649E-2</v>
          </cell>
          <cell r="X85">
            <v>1.4898463236809656E-2</v>
          </cell>
          <cell r="Y85">
            <v>-4.7758733055051628E-2</v>
          </cell>
          <cell r="Z85">
            <v>-4.4295892062634845E-2</v>
          </cell>
          <cell r="AA85">
            <v>-1.1333412529866971E-2</v>
          </cell>
          <cell r="AB85">
            <v>-4.9332545693243857E-2</v>
          </cell>
          <cell r="AC85">
            <v>-7.7466725550460858E-2</v>
          </cell>
          <cell r="AD85">
            <v>-6.5000000000000002E-2</v>
          </cell>
          <cell r="AE85">
            <v>-0.01</v>
          </cell>
          <cell r="AF85">
            <v>-4.9952249045719155E-2</v>
          </cell>
          <cell r="AG85">
            <v>0.01</v>
          </cell>
          <cell r="AH85">
            <v>5.0000000000000001E-3</v>
          </cell>
          <cell r="AI85">
            <v>0</v>
          </cell>
          <cell r="AJ85">
            <v>-5.0000000000000001E-3</v>
          </cell>
          <cell r="AK85">
            <v>-5.0000000000000001E-3</v>
          </cell>
          <cell r="AL85">
            <v>-5.0000000000000001E-3</v>
          </cell>
          <cell r="AM85">
            <v>659.15335331218557</v>
          </cell>
          <cell r="AN85">
            <v>685.36228495457362</v>
          </cell>
          <cell r="AO85">
            <v>429.1073311678756</v>
          </cell>
          <cell r="AP85">
            <v>408.84683675127781</v>
          </cell>
          <cell r="AQ85">
            <v>344.05014981948625</v>
          </cell>
        </row>
        <row r="86">
          <cell r="A86" t="str">
            <v xml:space="preserve">   Disconnects</v>
          </cell>
          <cell r="C86">
            <v>1266.5887500000008</v>
          </cell>
          <cell r="D86">
            <v>1224.7090499999981</v>
          </cell>
          <cell r="E86">
            <v>1421.1960000000031</v>
          </cell>
          <cell r="F86">
            <v>1725.295799999999</v>
          </cell>
          <cell r="G86">
            <v>5637.789600000001</v>
          </cell>
          <cell r="H86">
            <v>1814.2830000000004</v>
          </cell>
          <cell r="I86">
            <v>1847.9894999999997</v>
          </cell>
          <cell r="J86">
            <v>2251.1459999999997</v>
          </cell>
          <cell r="K86">
            <v>2189.607</v>
          </cell>
          <cell r="L86">
            <v>8103.0254999999997</v>
          </cell>
          <cell r="M86">
            <v>2002.2075</v>
          </cell>
          <cell r="N86">
            <v>1641.48</v>
          </cell>
          <cell r="O86">
            <v>1760.6909999999998</v>
          </cell>
          <cell r="P86">
            <v>1854.4105</v>
          </cell>
          <cell r="Q86">
            <v>7258.7889999999998</v>
          </cell>
          <cell r="R86">
            <v>2117.4480000000003</v>
          </cell>
          <cell r="S86">
            <v>1812.51</v>
          </cell>
          <cell r="T86">
            <v>2063.721</v>
          </cell>
          <cell r="U86">
            <v>2130.81</v>
          </cell>
          <cell r="V86">
            <v>8124.4889999999996</v>
          </cell>
          <cell r="W86">
            <v>2099.0970000000002</v>
          </cell>
          <cell r="X86">
            <v>1955.1569999999999</v>
          </cell>
          <cell r="Y86">
            <v>2228.4045000000001</v>
          </cell>
          <cell r="Z86">
            <v>2297.7359999999999</v>
          </cell>
          <cell r="AA86">
            <v>8580.3944999999985</v>
          </cell>
          <cell r="AB86">
            <v>2396.52</v>
          </cell>
          <cell r="AC86">
            <v>2470.1039999999998</v>
          </cell>
          <cell r="AD86">
            <v>2760.8340908494674</v>
          </cell>
          <cell r="AE86">
            <v>2645.3030261841818</v>
          </cell>
          <cell r="AF86">
            <v>10272.761117033649</v>
          </cell>
          <cell r="AG86">
            <v>10266.587707168681</v>
          </cell>
          <cell r="AH86">
            <v>10531.812808237521</v>
          </cell>
          <cell r="AI86">
            <v>10746.351610401953</v>
          </cell>
          <cell r="AJ86">
            <v>10908.739422521325</v>
          </cell>
          <cell r="AK86">
            <v>11024.003959114805</v>
          </cell>
          <cell r="AL86">
            <v>11102.304694374012</v>
          </cell>
          <cell r="AM86">
            <v>0</v>
          </cell>
          <cell r="AN86">
            <v>0</v>
          </cell>
          <cell r="AO86">
            <v>0</v>
          </cell>
          <cell r="AP86">
            <v>0</v>
          </cell>
          <cell r="AQ86">
            <v>0</v>
          </cell>
        </row>
        <row r="87">
          <cell r="A87" t="str">
            <v>Direct Post-Paid Subscribers</v>
          </cell>
          <cell r="B87">
            <v>16222.2</v>
          </cell>
          <cell r="C87">
            <v>17553.5</v>
          </cell>
          <cell r="D87">
            <v>18882.400000000001</v>
          </cell>
          <cell r="E87">
            <v>20606.599999999999</v>
          </cell>
          <cell r="F87">
            <v>22222</v>
          </cell>
          <cell r="G87">
            <v>22222</v>
          </cell>
          <cell r="H87">
            <v>23445</v>
          </cell>
          <cell r="I87">
            <v>24224</v>
          </cell>
          <cell r="J87">
            <v>24626</v>
          </cell>
          <cell r="K87">
            <v>25372</v>
          </cell>
          <cell r="L87">
            <v>25372</v>
          </cell>
          <cell r="M87">
            <v>26111</v>
          </cell>
          <cell r="N87">
            <v>27145</v>
          </cell>
          <cell r="O87">
            <v>28077</v>
          </cell>
          <cell r="P87">
            <v>29180</v>
          </cell>
          <cell r="Q87">
            <v>29180</v>
          </cell>
          <cell r="R87">
            <v>29638</v>
          </cell>
          <cell r="S87">
            <v>30779</v>
          </cell>
          <cell r="T87">
            <v>31758</v>
          </cell>
          <cell r="U87">
            <v>32812</v>
          </cell>
          <cell r="V87">
            <v>32812</v>
          </cell>
          <cell r="W87">
            <v>33826</v>
          </cell>
          <cell r="X87">
            <v>34776</v>
          </cell>
          <cell r="Y87">
            <v>35967</v>
          </cell>
          <cell r="Z87">
            <v>36977</v>
          </cell>
          <cell r="AA87">
            <v>36977</v>
          </cell>
          <cell r="AB87">
            <v>39103</v>
          </cell>
          <cell r="AC87">
            <v>39559.344711585072</v>
          </cell>
          <cell r="AD87">
            <v>39980.226755375807</v>
          </cell>
          <cell r="AE87">
            <v>40518.684413554503</v>
          </cell>
          <cell r="AF87">
            <v>40518.684413554503</v>
          </cell>
          <cell r="AG87">
            <v>42013.863812119569</v>
          </cell>
          <cell r="AH87">
            <v>42722.8924592931</v>
          </cell>
          <cell r="AI87">
            <v>42813.193123823068</v>
          </cell>
          <cell r="AJ87">
            <v>42881.593099943304</v>
          </cell>
          <cell r="AK87">
            <v>42933.403978164431</v>
          </cell>
          <cell r="AL87">
            <v>42972.649124936499</v>
          </cell>
          <cell r="AM87">
            <v>41908.482036056004</v>
          </cell>
          <cell r="AN87">
            <v>42580.739855189386</v>
          </cell>
          <cell r="AO87">
            <v>43137.974663250607</v>
          </cell>
          <cell r="AP87">
            <v>43556.951747210187</v>
          </cell>
          <cell r="AQ87">
            <v>43933.400240495568</v>
          </cell>
        </row>
        <row r="88">
          <cell r="A88" t="str">
            <v xml:space="preserve">   Net Adds - Internal</v>
          </cell>
          <cell r="C88">
            <v>1331.2999999999993</v>
          </cell>
          <cell r="D88">
            <v>1328.9000000000015</v>
          </cell>
          <cell r="E88">
            <v>1724.1999999999971</v>
          </cell>
          <cell r="F88">
            <v>1615.4000000000015</v>
          </cell>
          <cell r="G88">
            <v>5999.7999999999993</v>
          </cell>
          <cell r="H88">
            <v>1223</v>
          </cell>
          <cell r="I88">
            <v>779</v>
          </cell>
          <cell r="J88">
            <v>402</v>
          </cell>
          <cell r="K88">
            <v>746</v>
          </cell>
          <cell r="L88">
            <v>3150</v>
          </cell>
          <cell r="M88">
            <v>739</v>
          </cell>
          <cell r="N88">
            <v>1034</v>
          </cell>
          <cell r="O88">
            <v>932</v>
          </cell>
          <cell r="P88">
            <v>1103</v>
          </cell>
          <cell r="Q88">
            <v>3808</v>
          </cell>
          <cell r="R88">
            <v>889</v>
          </cell>
          <cell r="S88">
            <v>1050</v>
          </cell>
          <cell r="T88">
            <v>979</v>
          </cell>
          <cell r="U88">
            <v>1054</v>
          </cell>
          <cell r="V88">
            <v>3972</v>
          </cell>
          <cell r="W88">
            <v>1014</v>
          </cell>
          <cell r="X88">
            <v>950</v>
          </cell>
          <cell r="Y88">
            <v>669</v>
          </cell>
          <cell r="Z88">
            <v>746</v>
          </cell>
          <cell r="AA88">
            <v>3379</v>
          </cell>
          <cell r="AB88">
            <v>563</v>
          </cell>
          <cell r="AC88">
            <v>456.3447115850704</v>
          </cell>
          <cell r="AD88">
            <v>420.88204379073204</v>
          </cell>
          <cell r="AE88">
            <v>538.45765817869506</v>
          </cell>
          <cell r="AF88">
            <v>1978.6844135544975</v>
          </cell>
          <cell r="AG88">
            <v>1495.1793985650656</v>
          </cell>
          <cell r="AH88">
            <v>709.02864717352713</v>
          </cell>
          <cell r="AI88">
            <v>90.300664529968344</v>
          </cell>
          <cell r="AJ88">
            <v>68.399976120239444</v>
          </cell>
          <cell r="AK88">
            <v>51.810878221129315</v>
          </cell>
          <cell r="AL88">
            <v>39.245146772067528</v>
          </cell>
        </row>
        <row r="89">
          <cell r="A89" t="str">
            <v xml:space="preserve">   Net Adds - Acquired</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91</v>
          </cell>
          <cell r="T89">
            <v>0</v>
          </cell>
          <cell r="U89">
            <v>0</v>
          </cell>
          <cell r="V89">
            <v>91</v>
          </cell>
          <cell r="W89">
            <v>0</v>
          </cell>
          <cell r="X89">
            <v>0</v>
          </cell>
          <cell r="Y89">
            <v>522</v>
          </cell>
          <cell r="Z89">
            <v>264</v>
          </cell>
          <cell r="AA89">
            <v>786</v>
          </cell>
          <cell r="AB89">
            <v>1563</v>
          </cell>
          <cell r="AC89">
            <v>0</v>
          </cell>
          <cell r="AD89">
            <v>0</v>
          </cell>
          <cell r="AE89">
            <v>0</v>
          </cell>
          <cell r="AF89">
            <v>1563</v>
          </cell>
          <cell r="AG89">
            <v>0</v>
          </cell>
          <cell r="AH89">
            <v>0</v>
          </cell>
          <cell r="AI89">
            <v>0</v>
          </cell>
          <cell r="AJ89">
            <v>0</v>
          </cell>
          <cell r="AK89">
            <v>0</v>
          </cell>
          <cell r="AL89">
            <v>0</v>
          </cell>
          <cell r="AM89">
            <v>10717.189041965627</v>
          </cell>
          <cell r="AN89">
            <v>10904.739850200025</v>
          </cell>
          <cell r="AO89">
            <v>11041.049098327525</v>
          </cell>
          <cell r="AP89">
            <v>11123.856966564983</v>
          </cell>
          <cell r="AQ89">
            <v>11151.666608981395</v>
          </cell>
        </row>
        <row r="90">
          <cell r="A90" t="str">
            <v xml:space="preserve">  Average</v>
          </cell>
          <cell r="C90">
            <v>16887.849999999999</v>
          </cell>
          <cell r="D90">
            <v>18217.95</v>
          </cell>
          <cell r="E90">
            <v>19744.5</v>
          </cell>
          <cell r="F90">
            <v>21414.3</v>
          </cell>
          <cell r="G90">
            <v>19816.125</v>
          </cell>
          <cell r="H90">
            <v>23445</v>
          </cell>
          <cell r="I90">
            <v>23834.5</v>
          </cell>
          <cell r="J90">
            <v>24425</v>
          </cell>
          <cell r="K90">
            <v>24999</v>
          </cell>
          <cell r="L90">
            <v>23977.8</v>
          </cell>
          <cell r="M90">
            <v>25741.5</v>
          </cell>
          <cell r="N90">
            <v>26628</v>
          </cell>
          <cell r="O90">
            <v>27611</v>
          </cell>
          <cell r="P90">
            <v>28628.5</v>
          </cell>
          <cell r="Q90">
            <v>27177</v>
          </cell>
          <cell r="R90">
            <v>29409</v>
          </cell>
          <cell r="S90">
            <v>30208.5</v>
          </cell>
          <cell r="T90">
            <v>31268.5</v>
          </cell>
          <cell r="U90">
            <v>32285</v>
          </cell>
          <cell r="V90">
            <v>30833.4</v>
          </cell>
          <cell r="W90">
            <v>33319</v>
          </cell>
          <cell r="X90">
            <v>34301</v>
          </cell>
          <cell r="Y90">
            <v>35371.5</v>
          </cell>
          <cell r="Z90">
            <v>36472</v>
          </cell>
          <cell r="AA90">
            <v>34871.599999999999</v>
          </cell>
          <cell r="AB90">
            <v>38040</v>
          </cell>
          <cell r="AC90">
            <v>39331.172355792536</v>
          </cell>
          <cell r="AD90">
            <v>39769.785733480443</v>
          </cell>
          <cell r="AE90">
            <v>40249.455584465155</v>
          </cell>
          <cell r="AF90">
            <v>39227.651176103078</v>
          </cell>
          <cell r="AG90">
            <v>41266.27411283704</v>
          </cell>
          <cell r="AH90">
            <v>42368.378135706334</v>
          </cell>
          <cell r="AI90">
            <v>42768.04279155808</v>
          </cell>
          <cell r="AJ90">
            <v>42847.393111883182</v>
          </cell>
          <cell r="AK90">
            <v>42907.498539053864</v>
          </cell>
          <cell r="AL90">
            <v>42953.026551550465</v>
          </cell>
          <cell r="AM90">
            <v>2.2499999999999999E-2</v>
          </cell>
          <cell r="AN90">
            <v>1.7499999999999998E-2</v>
          </cell>
          <cell r="AO90">
            <v>1.2499999999999997E-2</v>
          </cell>
          <cell r="AP90">
            <v>7.4999999999999971E-3</v>
          </cell>
          <cell r="AQ90">
            <v>2.499999999999997E-3</v>
          </cell>
        </row>
        <row r="91">
          <cell r="A91" t="str">
            <v>Post-Paid ARPU</v>
          </cell>
          <cell r="R91">
            <v>64.481394584424265</v>
          </cell>
          <cell r="S91">
            <v>66.33894433685883</v>
          </cell>
          <cell r="T91">
            <v>66.659204417651424</v>
          </cell>
          <cell r="U91">
            <v>65.262505807650612</v>
          </cell>
          <cell r="V91">
            <v>65.607966253045944</v>
          </cell>
          <cell r="W91">
            <v>64.577768440429381</v>
          </cell>
          <cell r="X91">
            <v>65.556883667142841</v>
          </cell>
          <cell r="Y91">
            <v>64.289046266061661</v>
          </cell>
          <cell r="Z91">
            <v>63.21744534620165</v>
          </cell>
          <cell r="AA91">
            <v>64.379036235790736</v>
          </cell>
          <cell r="AB91">
            <v>62.872415001752536</v>
          </cell>
          <cell r="AC91">
            <v>61.713595864789504</v>
          </cell>
          <cell r="AD91">
            <v>61.717484415419193</v>
          </cell>
          <cell r="AE91">
            <v>61.478965599181109</v>
          </cell>
          <cell r="AF91">
            <v>61.887722199794673</v>
          </cell>
          <cell r="AG91">
            <v>61.114125672297241</v>
          </cell>
          <cell r="AH91">
            <v>60.502984415574268</v>
          </cell>
          <cell r="AI91">
            <v>59.897954571418524</v>
          </cell>
          <cell r="AJ91">
            <v>59.298975025704337</v>
          </cell>
          <cell r="AK91">
            <v>58.70598527544729</v>
          </cell>
          <cell r="AL91">
            <v>58.118925422692818</v>
          </cell>
        </row>
        <row r="92">
          <cell r="A92" t="str">
            <v>Gross Adds</v>
          </cell>
          <cell r="C92">
            <v>2597.8887500000001</v>
          </cell>
          <cell r="D92">
            <v>2553.6090499999996</v>
          </cell>
          <cell r="E92">
            <v>3145.3960000000002</v>
          </cell>
          <cell r="F92">
            <v>3340.6958000000004</v>
          </cell>
          <cell r="G92">
            <v>11637.589599999999</v>
          </cell>
          <cell r="H92">
            <v>3037.2830000000004</v>
          </cell>
          <cell r="I92">
            <v>2626.9894999999997</v>
          </cell>
          <cell r="J92">
            <v>2653.1459999999997</v>
          </cell>
          <cell r="K92">
            <v>2935.607</v>
          </cell>
          <cell r="L92">
            <v>11253.0255</v>
          </cell>
          <cell r="M92">
            <v>2741.2075</v>
          </cell>
          <cell r="N92">
            <v>2675.48</v>
          </cell>
          <cell r="O92">
            <v>2692.6909999999998</v>
          </cell>
          <cell r="P92">
            <v>2957.4105</v>
          </cell>
          <cell r="Q92">
            <v>11066.789000000001</v>
          </cell>
          <cell r="R92">
            <v>3006.4480000000003</v>
          </cell>
          <cell r="S92">
            <v>2862.51</v>
          </cell>
          <cell r="T92">
            <v>3042.721</v>
          </cell>
          <cell r="U92">
            <v>3184.81</v>
          </cell>
          <cell r="V92">
            <v>12096.489</v>
          </cell>
          <cell r="W92">
            <v>3113.0970000000002</v>
          </cell>
          <cell r="X92">
            <v>2905.1570000000002</v>
          </cell>
          <cell r="Y92">
            <v>2897.4045000000001</v>
          </cell>
          <cell r="Z92">
            <v>3043.7359999999999</v>
          </cell>
          <cell r="AA92">
            <v>11959.394500000002</v>
          </cell>
          <cell r="AB92">
            <v>2959.52</v>
          </cell>
          <cell r="AC92">
            <v>2934.2085700000002</v>
          </cell>
          <cell r="AD92">
            <v>2926.378545</v>
          </cell>
          <cell r="AE92">
            <v>3074.1733599999998</v>
          </cell>
          <cell r="AF92">
            <v>11894.280475</v>
          </cell>
          <cell r="AG92">
            <v>11894.280475</v>
          </cell>
          <cell r="AH92">
            <v>11894.280475</v>
          </cell>
          <cell r="AI92">
            <v>11894.280475</v>
          </cell>
          <cell r="AJ92">
            <v>11894.280475</v>
          </cell>
          <cell r="AK92">
            <v>11894.280475</v>
          </cell>
          <cell r="AL92">
            <v>11894.280475</v>
          </cell>
          <cell r="AM92">
            <v>4.2499999999999996E-2</v>
          </cell>
          <cell r="AN92">
            <v>3.7499999999999999E-2</v>
          </cell>
          <cell r="AO92">
            <v>3.2500000000000001E-2</v>
          </cell>
          <cell r="AP92">
            <v>2.7499999999999997E-2</v>
          </cell>
          <cell r="AQ92">
            <v>2.2499999999999999E-2</v>
          </cell>
        </row>
        <row r="93">
          <cell r="A93" t="str">
            <v xml:space="preserve">    Year-over-Year Growth</v>
          </cell>
          <cell r="H93">
            <v>0.1691351294392418</v>
          </cell>
          <cell r="I93">
            <v>2.8735976636674376E-2</v>
          </cell>
          <cell r="J93">
            <v>-0.15649857760358332</v>
          </cell>
          <cell r="K93">
            <v>-0.12125881081420231</v>
          </cell>
          <cell r="L93">
            <v>-3.3044995846906233E-2</v>
          </cell>
          <cell r="M93">
            <v>-9.7480379668276051E-2</v>
          </cell>
          <cell r="N93">
            <v>1.845858158169289E-2</v>
          </cell>
          <cell r="O93">
            <v>1.490494680654586E-2</v>
          </cell>
          <cell r="P93">
            <v>7.4272543974720495E-3</v>
          </cell>
          <cell r="Q93">
            <v>-1.6549904734508902E-2</v>
          </cell>
          <cell r="R93">
            <v>9.6760460490495692E-2</v>
          </cell>
          <cell r="S93">
            <v>6.9905213270142319E-2</v>
          </cell>
          <cell r="T93">
            <v>0.12999263561990593</v>
          </cell>
          <cell r="U93">
            <v>7.6891422411599519E-2</v>
          </cell>
          <cell r="W93">
            <v>3.5473422457331649E-2</v>
          </cell>
          <cell r="X93">
            <v>1.4898463236809656E-2</v>
          </cell>
          <cell r="Y93">
            <v>-4.7758733055051628E-2</v>
          </cell>
          <cell r="Z93">
            <v>-4.4295892062634845E-2</v>
          </cell>
          <cell r="AA93">
            <v>-1.1333412529866971E-2</v>
          </cell>
          <cell r="AB93">
            <v>-4.9332545693243857E-2</v>
          </cell>
          <cell r="AC93">
            <v>0.01</v>
          </cell>
          <cell r="AD93">
            <v>0.01</v>
          </cell>
          <cell r="AE93">
            <v>0.01</v>
          </cell>
          <cell r="AF93">
            <v>-5.4445921154288035E-3</v>
          </cell>
          <cell r="AG93">
            <v>0</v>
          </cell>
          <cell r="AH93">
            <v>0</v>
          </cell>
          <cell r="AI93">
            <v>0</v>
          </cell>
          <cell r="AJ93">
            <v>0</v>
          </cell>
          <cell r="AK93">
            <v>0</v>
          </cell>
          <cell r="AL93">
            <v>0</v>
          </cell>
          <cell r="AM93">
            <v>2.2499999999999999E-2</v>
          </cell>
          <cell r="AN93">
            <v>1.7499999999999998E-2</v>
          </cell>
          <cell r="AO93">
            <v>1.2499999999999997E-2</v>
          </cell>
          <cell r="AP93">
            <v>7.4999999999999971E-3</v>
          </cell>
          <cell r="AQ93">
            <v>2.499999999999997E-3</v>
          </cell>
        </row>
        <row r="94">
          <cell r="A94" t="str">
            <v xml:space="preserve">   Disconnects</v>
          </cell>
          <cell r="C94">
            <v>1266.5887500000008</v>
          </cell>
          <cell r="D94">
            <v>1224.7090499999981</v>
          </cell>
          <cell r="E94">
            <v>1421.1960000000031</v>
          </cell>
          <cell r="F94">
            <v>1725.295799999999</v>
          </cell>
          <cell r="G94">
            <v>5637.789600000001</v>
          </cell>
          <cell r="H94">
            <v>1814.2830000000004</v>
          </cell>
          <cell r="I94">
            <v>1847.9894999999997</v>
          </cell>
          <cell r="J94">
            <v>2251.1459999999997</v>
          </cell>
          <cell r="K94">
            <v>2189.607</v>
          </cell>
          <cell r="L94">
            <v>8103.0254999999997</v>
          </cell>
          <cell r="M94">
            <v>2002.2075</v>
          </cell>
          <cell r="N94">
            <v>1641.48</v>
          </cell>
          <cell r="O94">
            <v>1760.6909999999998</v>
          </cell>
          <cell r="P94">
            <v>1854.4105</v>
          </cell>
          <cell r="Q94">
            <v>7258.7889999999998</v>
          </cell>
          <cell r="R94">
            <v>2117.4480000000003</v>
          </cell>
          <cell r="S94">
            <v>1812.51</v>
          </cell>
          <cell r="T94">
            <v>2063.721</v>
          </cell>
          <cell r="U94">
            <v>2130.81</v>
          </cell>
          <cell r="V94">
            <v>8124.4889999999996</v>
          </cell>
          <cell r="W94">
            <v>2099.0970000000002</v>
          </cell>
          <cell r="X94">
            <v>1955.1569999999999</v>
          </cell>
          <cell r="Y94">
            <v>2228.4045000000001</v>
          </cell>
          <cell r="Z94">
            <v>2297.7359999999999</v>
          </cell>
          <cell r="AA94">
            <v>8580.3944999999985</v>
          </cell>
          <cell r="AB94">
            <v>2396.52</v>
          </cell>
          <cell r="AC94">
            <v>2477.8638584149298</v>
          </cell>
          <cell r="AD94">
            <v>2505.496501209268</v>
          </cell>
          <cell r="AE94">
            <v>2535.7157018213047</v>
          </cell>
          <cell r="AF94">
            <v>9915.5960614455034</v>
          </cell>
          <cell r="AG94">
            <v>10399.101076434934</v>
          </cell>
          <cell r="AH94">
            <v>11185.251827826472</v>
          </cell>
          <cell r="AI94">
            <v>11803.979810470031</v>
          </cell>
          <cell r="AJ94">
            <v>11825.88049887976</v>
          </cell>
          <cell r="AK94">
            <v>11842.469596778867</v>
          </cell>
          <cell r="AL94">
            <v>11855.03532822793</v>
          </cell>
          <cell r="AM94">
            <v>1.2499999999999999E-2</v>
          </cell>
          <cell r="AN94">
            <v>7.499999999999998E-3</v>
          </cell>
          <cell r="AO94">
            <v>2.499999999999997E-3</v>
          </cell>
          <cell r="AP94">
            <v>-2.5000000000000031E-3</v>
          </cell>
          <cell r="AQ94">
            <v>-7.5000000000000032E-3</v>
          </cell>
        </row>
        <row r="95">
          <cell r="A95" t="str">
            <v xml:space="preserve">   Monthly Churn Rate</v>
          </cell>
          <cell r="C95">
            <v>2.5000000000000019E-2</v>
          </cell>
          <cell r="D95">
            <v>2.2408468021923398E-2</v>
          </cell>
          <cell r="E95">
            <v>2.3993112005875106E-2</v>
          </cell>
          <cell r="F95">
            <v>2.6855820643215036E-2</v>
          </cell>
          <cell r="G95">
            <v>2.3708762434633417E-2</v>
          </cell>
          <cell r="H95">
            <v>2.6485689885475294E-2</v>
          </cell>
          <cell r="I95">
            <v>2.5844741865782787E-2</v>
          </cell>
          <cell r="J95">
            <v>3.0721883316274304E-2</v>
          </cell>
          <cell r="K95">
            <v>2.9195927837113486E-2</v>
          </cell>
          <cell r="L95">
            <v>2.8161554646381235E-2</v>
          </cell>
          <cell r="M95">
            <v>2.5927102150224344E-2</v>
          </cell>
          <cell r="N95">
            <v>2.0548295027790296E-2</v>
          </cell>
          <cell r="O95">
            <v>2.1255912498641841E-2</v>
          </cell>
          <cell r="P95">
            <v>2.1591659826163904E-2</v>
          </cell>
          <cell r="Q95">
            <v>2.2257757785382248E-2</v>
          </cell>
          <cell r="R95">
            <v>2.4E-2</v>
          </cell>
          <cell r="S95">
            <v>0.02</v>
          </cell>
          <cell r="T95">
            <v>2.1999999999999999E-2</v>
          </cell>
          <cell r="U95">
            <v>2.1999999999999999E-2</v>
          </cell>
          <cell r="V95">
            <v>2.1958030901554806E-2</v>
          </cell>
          <cell r="W95">
            <v>2.1000000000000001E-2</v>
          </cell>
          <cell r="X95">
            <v>1.9E-2</v>
          </cell>
          <cell r="Y95">
            <v>2.1000000000000001E-2</v>
          </cell>
          <cell r="Z95">
            <v>2.1000000000000001E-2</v>
          </cell>
          <cell r="AA95">
            <v>2.050473379483591E-2</v>
          </cell>
          <cell r="AB95">
            <v>2.1000000000000001E-2</v>
          </cell>
          <cell r="AC95">
            <v>2.1000000000000001E-2</v>
          </cell>
          <cell r="AD95">
            <v>2.1000000000000001E-2</v>
          </cell>
          <cell r="AE95">
            <v>2.1000000000000001E-2</v>
          </cell>
          <cell r="AF95">
            <v>2.106421483350232E-2</v>
          </cell>
          <cell r="AG95">
            <v>2.1000000000000001E-2</v>
          </cell>
          <cell r="AH95">
            <v>2.1999999999999999E-2</v>
          </cell>
          <cell r="AI95">
            <v>2.3E-2</v>
          </cell>
          <cell r="AJ95">
            <v>2.3E-2</v>
          </cell>
          <cell r="AK95">
            <v>2.3E-2</v>
          </cell>
          <cell r="AL95">
            <v>2.3E-2</v>
          </cell>
        </row>
        <row r="96">
          <cell r="A96" t="str">
            <v xml:space="preserve">   Net Adds - Internal</v>
          </cell>
          <cell r="C96">
            <v>1266.5887500000008</v>
          </cell>
          <cell r="D96">
            <v>1224.7090499999981</v>
          </cell>
          <cell r="E96">
            <v>1421.1960000000031</v>
          </cell>
          <cell r="F96">
            <v>1725.295799999999</v>
          </cell>
          <cell r="G96">
            <v>5637.789600000001</v>
          </cell>
          <cell r="H96">
            <v>1814.2830000000004</v>
          </cell>
          <cell r="I96">
            <v>1847.9894999999997</v>
          </cell>
          <cell r="J96">
            <v>2251.1459999999997</v>
          </cell>
          <cell r="K96">
            <v>2189.607</v>
          </cell>
          <cell r="L96">
            <v>8103.0254999999997</v>
          </cell>
          <cell r="M96">
            <v>60</v>
          </cell>
          <cell r="N96">
            <v>83</v>
          </cell>
          <cell r="O96">
            <v>102</v>
          </cell>
          <cell r="P96">
            <v>160</v>
          </cell>
          <cell r="Q96">
            <v>405</v>
          </cell>
          <cell r="R96">
            <v>132</v>
          </cell>
          <cell r="S96">
            <v>68</v>
          </cell>
          <cell r="T96">
            <v>195</v>
          </cell>
          <cell r="U96">
            <v>360</v>
          </cell>
          <cell r="V96">
            <v>755</v>
          </cell>
          <cell r="W96">
            <v>314</v>
          </cell>
          <cell r="X96">
            <v>213</v>
          </cell>
          <cell r="Y96">
            <v>300</v>
          </cell>
          <cell r="Z96">
            <v>624</v>
          </cell>
          <cell r="AA96">
            <v>1451</v>
          </cell>
          <cell r="AB96">
            <v>502</v>
          </cell>
          <cell r="AC96">
            <v>498</v>
          </cell>
          <cell r="AD96">
            <v>366.73163972286363</v>
          </cell>
          <cell r="AE96">
            <v>414.98405027122817</v>
          </cell>
          <cell r="AF96">
            <v>1781.7156899940919</v>
          </cell>
          <cell r="AG96">
            <v>1676.2242203160363</v>
          </cell>
          <cell r="AH96">
            <v>1283.0191353405762</v>
          </cell>
          <cell r="AI96">
            <v>1044.1841681593596</v>
          </cell>
          <cell r="AJ96">
            <v>918.87154243811256</v>
          </cell>
          <cell r="AK96">
            <v>760.39856870011135</v>
          </cell>
          <cell r="AL96">
            <v>677.84848065018105</v>
          </cell>
          <cell r="AM96">
            <v>10058.035688653441</v>
          </cell>
          <cell r="AN96">
            <v>10219.377565245451</v>
          </cell>
          <cell r="AO96">
            <v>10611.941767159649</v>
          </cell>
          <cell r="AP96">
            <v>10715.010129813705</v>
          </cell>
          <cell r="AQ96">
            <v>10807.616459161909</v>
          </cell>
        </row>
        <row r="97">
          <cell r="A97" t="str">
            <v>Post-Paid Service Revenue</v>
          </cell>
          <cell r="C97">
            <v>2.5000000000000019E-2</v>
          </cell>
          <cell r="D97">
            <v>2.2408468021923398E-2</v>
          </cell>
          <cell r="E97">
            <v>2.3993112005875106E-2</v>
          </cell>
          <cell r="F97">
            <v>2.6855820643215036E-2</v>
          </cell>
          <cell r="G97">
            <v>2.3708762434633417E-2</v>
          </cell>
          <cell r="H97">
            <v>2.6485689885475294E-2</v>
          </cell>
          <cell r="I97">
            <v>2.5844741865782787E-2</v>
          </cell>
          <cell r="J97">
            <v>3.0721883316274304E-2</v>
          </cell>
          <cell r="K97">
            <v>2.9195927837113486E-2</v>
          </cell>
          <cell r="L97">
            <v>2.8161554646381235E-2</v>
          </cell>
          <cell r="M97">
            <v>2.5927102150224344E-2</v>
          </cell>
          <cell r="N97">
            <v>2.0548295027790296E-2</v>
          </cell>
          <cell r="O97">
            <v>2.1255912498641841E-2</v>
          </cell>
          <cell r="P97">
            <v>2.1591659826163904E-2</v>
          </cell>
          <cell r="Q97">
            <v>2.2257757785382248E-2</v>
          </cell>
          <cell r="R97">
            <v>5689</v>
          </cell>
          <cell r="S97">
            <v>6012</v>
          </cell>
          <cell r="T97">
            <v>6253</v>
          </cell>
          <cell r="U97">
            <v>6321</v>
          </cell>
          <cell r="V97">
            <v>24275</v>
          </cell>
          <cell r="W97">
            <v>6455</v>
          </cell>
          <cell r="X97">
            <v>6746</v>
          </cell>
          <cell r="Y97">
            <v>6822</v>
          </cell>
          <cell r="Z97">
            <v>6917</v>
          </cell>
          <cell r="AA97">
            <v>26940</v>
          </cell>
          <cell r="AB97">
            <v>7175</v>
          </cell>
          <cell r="AC97">
            <v>7503.228653707215</v>
          </cell>
          <cell r="AD97">
            <v>7524.5493741176188</v>
          </cell>
          <cell r="AE97">
            <v>7534.1690332895032</v>
          </cell>
          <cell r="AF97">
            <v>29736.947061114333</v>
          </cell>
          <cell r="AG97">
            <v>30813.112111812174</v>
          </cell>
          <cell r="AH97">
            <v>31319.681687332351</v>
          </cell>
          <cell r="AI97">
            <v>31298.971782873559</v>
          </cell>
          <cell r="AJ97">
            <v>31043.472364856592</v>
          </cell>
          <cell r="AK97">
            <v>30776.149303820825</v>
          </cell>
          <cell r="AL97">
            <v>30500.717011696954</v>
          </cell>
          <cell r="AM97">
            <v>0.02</v>
          </cell>
          <cell r="AN97">
            <v>0.02</v>
          </cell>
          <cell r="AO97">
            <v>2.0500000000000001E-2</v>
          </cell>
          <cell r="AP97">
            <v>2.0500000000000001E-2</v>
          </cell>
          <cell r="AQ97">
            <v>2.0500000000000001E-2</v>
          </cell>
        </row>
        <row r="98">
          <cell r="A98" t="str">
            <v xml:space="preserve">    Year-over-Year Growth</v>
          </cell>
          <cell r="R98">
            <v>471</v>
          </cell>
          <cell r="S98">
            <v>571</v>
          </cell>
          <cell r="T98">
            <v>702.5</v>
          </cell>
          <cell r="U98">
            <v>980</v>
          </cell>
          <cell r="V98">
            <v>701.4</v>
          </cell>
          <cell r="W98">
            <v>0.13464580769906842</v>
          </cell>
          <cell r="X98">
            <v>0.12208915502328677</v>
          </cell>
          <cell r="Y98">
            <v>9.0996321765552501E-2</v>
          </cell>
          <cell r="Z98">
            <v>9.4288878342034588E-2</v>
          </cell>
          <cell r="AA98">
            <v>0.10978372811534509</v>
          </cell>
          <cell r="AB98">
            <v>0.1115414407436095</v>
          </cell>
          <cell r="AC98">
            <v>0.11224854042502441</v>
          </cell>
          <cell r="AD98">
            <v>0.1029829044440953</v>
          </cell>
          <cell r="AE98">
            <v>8.9224957827020779E-2</v>
          </cell>
          <cell r="AF98">
            <v>0.10382134599533521</v>
          </cell>
          <cell r="AG98">
            <v>3.6189493443497867E-2</v>
          </cell>
          <cell r="AH98">
            <v>1.6440065309923257E-2</v>
          </cell>
          <cell r="AI98">
            <v>-6.6124249491239517E-4</v>
          </cell>
          <cell r="AJ98">
            <v>-8.1631888673343589E-3</v>
          </cell>
          <cell r="AK98">
            <v>-8.6112486996910986E-3</v>
          </cell>
          <cell r="AL98">
            <v>-8.949537169345545E-3</v>
          </cell>
        </row>
        <row r="99">
          <cell r="A99" t="str">
            <v>Post-Paid ARPU</v>
          </cell>
          <cell r="R99">
            <v>64.481394584424265</v>
          </cell>
          <cell r="S99">
            <v>66.33894433685883</v>
          </cell>
          <cell r="T99">
            <v>66.659204417651424</v>
          </cell>
          <cell r="U99">
            <v>65.262505807650612</v>
          </cell>
          <cell r="V99">
            <v>65.607966253045944</v>
          </cell>
          <cell r="W99">
            <v>64.577768440429381</v>
          </cell>
          <cell r="X99">
            <v>65.556883667142841</v>
          </cell>
          <cell r="Y99">
            <v>64.289046266061661</v>
          </cell>
          <cell r="Z99">
            <v>63.21744534620165</v>
          </cell>
          <cell r="AA99">
            <v>64.379036235790736</v>
          </cell>
          <cell r="AB99">
            <v>62.872415001752536</v>
          </cell>
          <cell r="AC99">
            <v>63.590177157128558</v>
          </cell>
          <cell r="AD99">
            <v>63.067554387006489</v>
          </cell>
          <cell r="AE99">
            <v>62.395618556701031</v>
          </cell>
          <cell r="AF99">
            <v>63.171738492187309</v>
          </cell>
          <cell r="AG99">
            <v>62.224162414804496</v>
          </cell>
          <cell r="AH99">
            <v>61.60192079065645</v>
          </cell>
          <cell r="AI99">
            <v>60.985901582749882</v>
          </cell>
          <cell r="AJ99">
            <v>60.376042566922386</v>
          </cell>
          <cell r="AK99">
            <v>59.772282141253164</v>
          </cell>
          <cell r="AL99">
            <v>59.174559319840633</v>
          </cell>
          <cell r="AM99">
            <v>1.83E-2</v>
          </cell>
          <cell r="AN99">
            <v>1.8100000000000002E-2</v>
          </cell>
          <cell r="AO99">
            <v>1.8500000000000003E-2</v>
          </cell>
          <cell r="AP99">
            <v>1.8500000000000003E-2</v>
          </cell>
          <cell r="AQ99">
            <v>1.8500000000000003E-2</v>
          </cell>
        </row>
        <row r="100">
          <cell r="A100" t="str">
            <v xml:space="preserve">    Year-over-Year Change</v>
          </cell>
          <cell r="W100">
            <v>1.494599436414612E-3</v>
          </cell>
          <cell r="X100">
            <v>-1.1788862146265178E-2</v>
          </cell>
          <cell r="Y100">
            <v>-3.5556352229162536E-2</v>
          </cell>
          <cell r="Z100">
            <v>-3.1335916942515252E-2</v>
          </cell>
          <cell r="AA100">
            <v>-1.8731414604673202E-2</v>
          </cell>
          <cell r="AB100">
            <v>-2.640774805109547E-2</v>
          </cell>
          <cell r="AC100">
            <v>-0.03</v>
          </cell>
          <cell r="AD100">
            <v>-1.9E-2</v>
          </cell>
          <cell r="AE100">
            <v>-1.2999999999999999E-2</v>
          </cell>
          <cell r="AF100">
            <v>-1.8752963917969323E-2</v>
          </cell>
          <cell r="AG100">
            <v>-1.4999999999999999E-2</v>
          </cell>
          <cell r="AH100">
            <v>-0.01</v>
          </cell>
          <cell r="AI100">
            <v>-0.01</v>
          </cell>
          <cell r="AJ100">
            <v>-0.01</v>
          </cell>
          <cell r="AK100">
            <v>-0.01</v>
          </cell>
          <cell r="AL100">
            <v>-0.01</v>
          </cell>
          <cell r="AM100">
            <v>0.02</v>
          </cell>
          <cell r="AN100">
            <v>0.02</v>
          </cell>
          <cell r="AO100">
            <v>2.0500000000000001E-2</v>
          </cell>
          <cell r="AP100">
            <v>2.0500000000000001E-2</v>
          </cell>
          <cell r="AQ100">
            <v>2.0500000000000001E-2</v>
          </cell>
        </row>
        <row r="101">
          <cell r="A101" t="str">
            <v>Gross Adds</v>
          </cell>
          <cell r="W101">
            <v>511.55000000000007</v>
          </cell>
          <cell r="X101">
            <v>506.97300000000001</v>
          </cell>
          <cell r="Y101">
            <v>570.03899999999999</v>
          </cell>
          <cell r="Z101">
            <v>960.31200000000001</v>
          </cell>
          <cell r="AA101">
            <v>2548.8740000000003</v>
          </cell>
          <cell r="AB101">
            <v>972.69100000000003</v>
          </cell>
          <cell r="AC101">
            <v>1105.6799999999998</v>
          </cell>
          <cell r="AD101">
            <v>995.11199999999985</v>
          </cell>
          <cell r="AE101">
            <v>1044.8675999999998</v>
          </cell>
          <cell r="AF101">
            <v>4118.3505999999998</v>
          </cell>
          <cell r="AG101">
            <v>4571.3691660000004</v>
          </cell>
          <cell r="AH101">
            <v>4914.2218534499998</v>
          </cell>
          <cell r="AI101">
            <v>5209.0751646569997</v>
          </cell>
          <cell r="AJ101">
            <v>5495.5742987131343</v>
          </cell>
          <cell r="AK101">
            <v>5770.3530136487916</v>
          </cell>
          <cell r="AL101">
            <v>6058.8706643312316</v>
          </cell>
          <cell r="AM101">
            <v>2.1000000000000001E-2</v>
          </cell>
          <cell r="AN101">
            <v>2.1000000000000001E-2</v>
          </cell>
          <cell r="AO101">
            <v>2.1500000000000002E-2</v>
          </cell>
          <cell r="AP101">
            <v>2.1500000000000002E-2</v>
          </cell>
          <cell r="AQ101">
            <v>2.1500000000000002E-2</v>
          </cell>
        </row>
        <row r="102">
          <cell r="A102" t="str">
            <v>Direct Pre-Paid Subs (Mainly Boost)</v>
          </cell>
          <cell r="M102">
            <v>60</v>
          </cell>
          <cell r="N102">
            <v>143</v>
          </cell>
          <cell r="O102">
            <v>245</v>
          </cell>
          <cell r="P102">
            <v>405</v>
          </cell>
          <cell r="Q102">
            <v>405</v>
          </cell>
          <cell r="R102">
            <v>537</v>
          </cell>
          <cell r="S102">
            <v>605</v>
          </cell>
          <cell r="T102">
            <v>800</v>
          </cell>
          <cell r="U102">
            <v>1160</v>
          </cell>
          <cell r="V102">
            <v>1160</v>
          </cell>
          <cell r="W102">
            <v>1474</v>
          </cell>
          <cell r="X102">
            <v>1687</v>
          </cell>
          <cell r="Y102">
            <v>1987</v>
          </cell>
          <cell r="Z102">
            <v>2684</v>
          </cell>
          <cell r="AA102">
            <v>2684</v>
          </cell>
          <cell r="AB102">
            <v>3127</v>
          </cell>
          <cell r="AC102">
            <v>3540.7025602968461</v>
          </cell>
          <cell r="AD102">
            <v>3941.3457944879838</v>
          </cell>
          <cell r="AE102">
            <v>4425.7456623030303</v>
          </cell>
          <cell r="AF102">
            <v>4425.7456623030303</v>
          </cell>
          <cell r="AG102">
            <v>5951.7262673172681</v>
          </cell>
          <cell r="AH102">
            <v>7075.607280130369</v>
          </cell>
          <cell r="AI102">
            <v>7935.2117923491805</v>
          </cell>
          <cell r="AJ102">
            <v>8638.5786799186899</v>
          </cell>
          <cell r="AK102">
            <v>9244.4754506836562</v>
          </cell>
          <cell r="AL102">
            <v>9805.4082465883548</v>
          </cell>
        </row>
        <row r="103">
          <cell r="A103" t="str">
            <v xml:space="preserve">   Net Adds - Internal</v>
          </cell>
          <cell r="M103">
            <v>60</v>
          </cell>
          <cell r="N103">
            <v>83</v>
          </cell>
          <cell r="O103">
            <v>102</v>
          </cell>
          <cell r="P103">
            <v>160</v>
          </cell>
          <cell r="Q103">
            <v>405</v>
          </cell>
          <cell r="R103">
            <v>132</v>
          </cell>
          <cell r="S103">
            <v>68</v>
          </cell>
          <cell r="T103">
            <v>195</v>
          </cell>
          <cell r="U103">
            <v>360</v>
          </cell>
          <cell r="V103">
            <v>755</v>
          </cell>
          <cell r="W103">
            <v>314</v>
          </cell>
          <cell r="X103">
            <v>213</v>
          </cell>
          <cell r="Y103">
            <v>300</v>
          </cell>
          <cell r="Z103">
            <v>624</v>
          </cell>
          <cell r="AA103">
            <v>1451</v>
          </cell>
          <cell r="AB103">
            <v>502</v>
          </cell>
          <cell r="AC103">
            <v>413.70256029684606</v>
          </cell>
          <cell r="AD103">
            <v>400.64323419113771</v>
          </cell>
          <cell r="AE103">
            <v>484.39986781504683</v>
          </cell>
          <cell r="AF103">
            <v>1800.7456623030307</v>
          </cell>
          <cell r="AG103">
            <v>1525.9806050142383</v>
          </cell>
          <cell r="AH103">
            <v>1123.8810128131004</v>
          </cell>
          <cell r="AI103">
            <v>859.60451221881158</v>
          </cell>
          <cell r="AJ103">
            <v>703.36688756950844</v>
          </cell>
          <cell r="AK103">
            <v>605.89677076496628</v>
          </cell>
          <cell r="AL103">
            <v>560.93279590469956</v>
          </cell>
          <cell r="AM103">
            <v>29890.996313209089</v>
          </cell>
          <cell r="AN103">
            <v>30431.221498407012</v>
          </cell>
          <cell r="AO103">
            <v>30891.119998556886</v>
          </cell>
          <cell r="AP103">
            <v>31253.531946398009</v>
          </cell>
          <cell r="AQ103">
            <v>31586.693296878824</v>
          </cell>
        </row>
        <row r="104">
          <cell r="A104" t="str">
            <v xml:space="preserve">   Net Adds - Acquired</v>
          </cell>
          <cell r="R104">
            <v>0</v>
          </cell>
          <cell r="S104">
            <v>0</v>
          </cell>
          <cell r="T104">
            <v>0</v>
          </cell>
          <cell r="U104">
            <v>0</v>
          </cell>
          <cell r="V104">
            <v>0</v>
          </cell>
          <cell r="W104">
            <v>0</v>
          </cell>
          <cell r="X104">
            <v>0</v>
          </cell>
          <cell r="Y104">
            <v>0</v>
          </cell>
          <cell r="Z104">
            <v>73</v>
          </cell>
          <cell r="AA104">
            <v>73</v>
          </cell>
          <cell r="AB104">
            <v>-59</v>
          </cell>
          <cell r="AC104">
            <v>0</v>
          </cell>
          <cell r="AD104">
            <v>0</v>
          </cell>
          <cell r="AE104">
            <v>0</v>
          </cell>
          <cell r="AF104">
            <v>-59</v>
          </cell>
          <cell r="AG104">
            <v>0</v>
          </cell>
          <cell r="AH104">
            <v>0</v>
          </cell>
          <cell r="AI104">
            <v>0</v>
          </cell>
          <cell r="AJ104">
            <v>0</v>
          </cell>
          <cell r="AK104">
            <v>0</v>
          </cell>
          <cell r="AL104">
            <v>0</v>
          </cell>
          <cell r="AM104">
            <v>1.1434587449576261E-2</v>
          </cell>
          <cell r="AN104">
            <v>1.807317426081223E-2</v>
          </cell>
          <cell r="AO104">
            <v>1.5112719026870058E-2</v>
          </cell>
          <cell r="AP104">
            <v>1.1731913503234992E-2</v>
          </cell>
          <cell r="AQ104">
            <v>1.0659958402532199E-2</v>
          </cell>
        </row>
        <row r="105">
          <cell r="A105" t="str">
            <v xml:space="preserve">   Average</v>
          </cell>
          <cell r="R105">
            <v>471</v>
          </cell>
          <cell r="S105">
            <v>571</v>
          </cell>
          <cell r="T105">
            <v>702.5</v>
          </cell>
          <cell r="U105">
            <v>980</v>
          </cell>
          <cell r="V105">
            <v>701.4</v>
          </cell>
          <cell r="W105">
            <v>1317</v>
          </cell>
          <cell r="X105">
            <v>1580.5</v>
          </cell>
          <cell r="Y105">
            <v>1837</v>
          </cell>
          <cell r="Z105">
            <v>2335.5</v>
          </cell>
          <cell r="AA105">
            <v>1798.4</v>
          </cell>
          <cell r="AB105">
            <v>2905.5</v>
          </cell>
          <cell r="AC105">
            <v>3333.851280148423</v>
          </cell>
          <cell r="AD105">
            <v>3741.0241773924149</v>
          </cell>
          <cell r="AE105">
            <v>4183.5457283955075</v>
          </cell>
          <cell r="AF105">
            <v>3543.7588034175724</v>
          </cell>
          <cell r="AG105">
            <v>5188.7359648101492</v>
          </cell>
          <cell r="AH105">
            <v>6513.6667737238186</v>
          </cell>
          <cell r="AI105">
            <v>7505.4095362397748</v>
          </cell>
          <cell r="AJ105">
            <v>8286.8952361339361</v>
          </cell>
          <cell r="AK105">
            <v>8941.5270653011721</v>
          </cell>
          <cell r="AL105">
            <v>9524.9418486360046</v>
          </cell>
          <cell r="AM105">
            <v>59.437045638900216</v>
          </cell>
          <cell r="AN105">
            <v>59.555919730178019</v>
          </cell>
          <cell r="AO105">
            <v>59.675031569638378</v>
          </cell>
          <cell r="AP105">
            <v>59.794381632777657</v>
          </cell>
          <cell r="AQ105">
            <v>59.913970396043212</v>
          </cell>
        </row>
        <row r="106">
          <cell r="A106" t="str">
            <v xml:space="preserve">   Percent of Total Direct Subs</v>
          </cell>
          <cell r="R106">
            <v>49</v>
          </cell>
          <cell r="S106">
            <v>58</v>
          </cell>
          <cell r="T106">
            <v>77</v>
          </cell>
          <cell r="U106">
            <v>116</v>
          </cell>
          <cell r="V106">
            <v>300</v>
          </cell>
          <cell r="W106">
            <v>4.1756373937677053E-2</v>
          </cell>
          <cell r="X106">
            <v>4.626607794202342E-2</v>
          </cell>
          <cell r="Y106">
            <v>5.2352848184644571E-2</v>
          </cell>
          <cell r="Z106">
            <v>6.7673533193817609E-2</v>
          </cell>
          <cell r="AA106">
            <v>6.7673533193817609E-2</v>
          </cell>
          <cell r="AB106">
            <v>7.404688609992896E-2</v>
          </cell>
          <cell r="AC106">
            <v>8.2150781366004857E-2</v>
          </cell>
          <cell r="AD106">
            <v>8.9735989985636491E-2</v>
          </cell>
          <cell r="AE106">
            <v>9.8471504807897764E-2</v>
          </cell>
          <cell r="AF106">
            <v>9.8471504807897764E-2</v>
          </cell>
          <cell r="AG106">
            <v>0.12408324920970402</v>
          </cell>
          <cell r="AH106">
            <v>0.14208474787703082</v>
          </cell>
          <cell r="AI106">
            <v>0.15636376759933249</v>
          </cell>
          <cell r="AJ106">
            <v>0.16767371655572205</v>
          </cell>
          <cell r="AK106">
            <v>0.17717231040962109</v>
          </cell>
          <cell r="AL106">
            <v>0.18578569835498776</v>
          </cell>
          <cell r="AM106">
            <v>0</v>
          </cell>
          <cell r="AN106">
            <v>2E-3</v>
          </cell>
          <cell r="AO106">
            <v>2E-3</v>
          </cell>
          <cell r="AP106">
            <v>2E-3</v>
          </cell>
          <cell r="AQ106">
            <v>2E-3</v>
          </cell>
        </row>
        <row r="107">
          <cell r="A107" t="str">
            <v xml:space="preserve">    Year-over-Year Growth</v>
          </cell>
          <cell r="W107">
            <v>2.2857142857142856</v>
          </cell>
          <cell r="X107">
            <v>2.1379310344827585</v>
          </cell>
          <cell r="Y107">
            <v>1.5974025974025974</v>
          </cell>
          <cell r="Z107">
            <v>1.2068965517241379</v>
          </cell>
          <cell r="AA107">
            <v>1.6633333333333336</v>
          </cell>
          <cell r="AB107">
            <v>0.93788819875776408</v>
          </cell>
          <cell r="AC107">
            <v>0.85164835164835173</v>
          </cell>
          <cell r="AD107">
            <v>1.0524127172905922</v>
          </cell>
          <cell r="AE107">
            <v>0.76203776131933498</v>
          </cell>
          <cell r="AF107">
            <v>0.89056847353675628</v>
          </cell>
          <cell r="AG107">
            <v>0.45571640829561755</v>
          </cell>
          <cell r="AH107">
            <v>0.26928952424473152</v>
          </cell>
          <cell r="AI107">
            <v>0.16131002902239677</v>
          </cell>
          <cell r="AJ107">
            <v>0.1131879155908766</v>
          </cell>
          <cell r="AK107">
            <v>8.3717943818579998E-2</v>
          </cell>
          <cell r="AL107">
            <v>6.3325429478792383E-2</v>
          </cell>
        </row>
        <row r="108">
          <cell r="A108" t="str">
            <v>Gross Adds</v>
          </cell>
          <cell r="R108">
            <v>34.67799009200283</v>
          </cell>
          <cell r="S108">
            <v>33.858727378867485</v>
          </cell>
          <cell r="T108">
            <v>36.536180308422303</v>
          </cell>
          <cell r="U108">
            <v>39.455782312925173</v>
          </cell>
          <cell r="V108">
            <v>35.642999714856003</v>
          </cell>
          <cell r="W108">
            <v>511.55000000000007</v>
          </cell>
          <cell r="X108">
            <v>506.97300000000001</v>
          </cell>
          <cell r="Y108">
            <v>570.03899999999999</v>
          </cell>
          <cell r="Z108">
            <v>960.31200000000001</v>
          </cell>
          <cell r="AA108">
            <v>2548.8740000000003</v>
          </cell>
          <cell r="AB108">
            <v>972.69100000000003</v>
          </cell>
          <cell r="AC108">
            <v>933.78336000000002</v>
          </cell>
          <cell r="AD108">
            <v>961.79686079999999</v>
          </cell>
          <cell r="AE108">
            <v>1086.830452704</v>
          </cell>
          <cell r="AF108">
            <v>3955.1016735040002</v>
          </cell>
          <cell r="AG108">
            <v>4390.162857589441</v>
          </cell>
          <cell r="AH108">
            <v>4719.4250719086485</v>
          </cell>
          <cell r="AI108">
            <v>5002.5905762231678</v>
          </cell>
          <cell r="AJ108">
            <v>5277.7330579154413</v>
          </cell>
          <cell r="AK108">
            <v>5541.6197108112137</v>
          </cell>
          <cell r="AL108">
            <v>5818.7006963517742</v>
          </cell>
          <cell r="AM108">
            <v>0.02</v>
          </cell>
          <cell r="AN108">
            <v>2.1999999999999999E-2</v>
          </cell>
          <cell r="AO108">
            <v>2.1999999999999999E-2</v>
          </cell>
          <cell r="AP108">
            <v>1.2E-2</v>
          </cell>
          <cell r="AQ108">
            <v>1.2E-2</v>
          </cell>
        </row>
        <row r="109">
          <cell r="A109" t="str">
            <v xml:space="preserve">    Sequential Growth</v>
          </cell>
          <cell r="W109">
            <v>0.17507321835340051</v>
          </cell>
          <cell r="X109">
            <v>-8.9473169778125916E-3</v>
          </cell>
          <cell r="Y109">
            <v>0.1243971572450604</v>
          </cell>
          <cell r="Z109">
            <v>0.68464262971480894</v>
          </cell>
          <cell r="AA109">
            <v>3.8735542704626313E-2</v>
          </cell>
          <cell r="AB109">
            <v>-0.61838403938366515</v>
          </cell>
          <cell r="AC109">
            <v>-0.04</v>
          </cell>
          <cell r="AD109">
            <v>0.03</v>
          </cell>
          <cell r="AE109">
            <v>0.13</v>
          </cell>
          <cell r="AF109">
            <v>0.55170544856434645</v>
          </cell>
          <cell r="AG109">
            <v>0.11</v>
          </cell>
          <cell r="AH109">
            <v>7.4999999999999997E-2</v>
          </cell>
          <cell r="AI109">
            <v>0.06</v>
          </cell>
          <cell r="AJ109">
            <v>5.5E-2</v>
          </cell>
          <cell r="AK109">
            <v>0.05</v>
          </cell>
          <cell r="AL109">
            <v>0.05</v>
          </cell>
          <cell r="AM109">
            <v>0</v>
          </cell>
          <cell r="AN109">
            <v>2E-3</v>
          </cell>
          <cell r="AO109">
            <v>2E-3</v>
          </cell>
          <cell r="AP109">
            <v>2E-3</v>
          </cell>
          <cell r="AQ109">
            <v>2E-3</v>
          </cell>
        </row>
        <row r="110">
          <cell r="A110" t="str">
            <v xml:space="preserve">   Disconnects</v>
          </cell>
          <cell r="W110">
            <v>197.55000000000004</v>
          </cell>
          <cell r="X110">
            <v>293.97300000000001</v>
          </cell>
          <cell r="Y110">
            <v>270.03900000000004</v>
          </cell>
          <cell r="Z110">
            <v>336.31200000000001</v>
          </cell>
          <cell r="AA110">
            <v>1097.8740000000003</v>
          </cell>
          <cell r="AB110">
            <v>470.69100000000003</v>
          </cell>
          <cell r="AC110">
            <v>520.08079970315396</v>
          </cell>
          <cell r="AD110">
            <v>561.15362660886228</v>
          </cell>
          <cell r="AE110">
            <v>602.43058488895315</v>
          </cell>
          <cell r="AF110">
            <v>2154.3560112009695</v>
          </cell>
          <cell r="AG110">
            <v>2864.1822525752027</v>
          </cell>
          <cell r="AH110">
            <v>3595.5440590955482</v>
          </cell>
          <cell r="AI110">
            <v>4142.9860640043562</v>
          </cell>
          <cell r="AJ110">
            <v>4574.3661703459329</v>
          </cell>
          <cell r="AK110">
            <v>4935.7229400462475</v>
          </cell>
          <cell r="AL110">
            <v>5257.7679004470747</v>
          </cell>
          <cell r="AM110">
            <v>-0.01</v>
          </cell>
          <cell r="AN110">
            <v>-8.0000000000000002E-3</v>
          </cell>
          <cell r="AO110">
            <v>-8.0000000000000002E-3</v>
          </cell>
          <cell r="AP110">
            <v>-8.0000000000000002E-3</v>
          </cell>
          <cell r="AQ110">
            <v>-8.0000000000000002E-3</v>
          </cell>
        </row>
        <row r="111">
          <cell r="A111" t="str">
            <v xml:space="preserve">   Monthly Churn Rate</v>
          </cell>
          <cell r="R111" t="str">
            <v>NM</v>
          </cell>
          <cell r="S111" t="str">
            <v>NM</v>
          </cell>
          <cell r="T111" t="str">
            <v>NM</v>
          </cell>
          <cell r="U111" t="str">
            <v>NM</v>
          </cell>
          <cell r="W111">
            <v>0.05</v>
          </cell>
          <cell r="X111">
            <v>6.2E-2</v>
          </cell>
          <cell r="Y111">
            <v>4.9000000000000002E-2</v>
          </cell>
          <cell r="Z111">
            <v>4.8000000000000001E-2</v>
          </cell>
          <cell r="AA111">
            <v>5.0872720195729547E-2</v>
          </cell>
          <cell r="AB111">
            <v>5.3999999999999999E-2</v>
          </cell>
          <cell r="AC111">
            <v>5.1999999999999998E-2</v>
          </cell>
          <cell r="AD111">
            <v>0.05</v>
          </cell>
          <cell r="AE111">
            <v>4.8000000000000001E-2</v>
          </cell>
          <cell r="AF111">
            <v>5.0660803276719575E-2</v>
          </cell>
          <cell r="AG111">
            <v>4.5999999999999999E-2</v>
          </cell>
          <cell r="AH111">
            <v>4.5999999999999999E-2</v>
          </cell>
          <cell r="AI111">
            <v>4.5999999999999999E-2</v>
          </cell>
          <cell r="AJ111">
            <v>4.5999999999999999E-2</v>
          </cell>
          <cell r="AK111">
            <v>4.5999999999999999E-2</v>
          </cell>
          <cell r="AL111">
            <v>4.5999999999999999E-2</v>
          </cell>
        </row>
        <row r="112">
          <cell r="A112" t="str">
            <v>Total Subscriber Revenues</v>
          </cell>
          <cell r="C112">
            <v>3336</v>
          </cell>
          <cell r="D112">
            <v>3649.3</v>
          </cell>
          <cell r="E112">
            <v>3952.3</v>
          </cell>
          <cell r="F112">
            <v>4189.3</v>
          </cell>
          <cell r="G112">
            <v>15126.900000000001</v>
          </cell>
          <cell r="H112">
            <v>4383</v>
          </cell>
          <cell r="I112">
            <v>4754</v>
          </cell>
          <cell r="J112">
            <v>4952</v>
          </cell>
          <cell r="K112">
            <v>4957</v>
          </cell>
          <cell r="L112">
            <v>19046</v>
          </cell>
          <cell r="M112">
            <v>4816</v>
          </cell>
          <cell r="N112">
            <v>5188</v>
          </cell>
          <cell r="O112">
            <v>5499</v>
          </cell>
          <cell r="P112">
            <v>5606</v>
          </cell>
          <cell r="Q112">
            <v>21109</v>
          </cell>
          <cell r="R112">
            <v>5738</v>
          </cell>
          <cell r="S112">
            <v>6070</v>
          </cell>
          <cell r="T112">
            <v>6330</v>
          </cell>
          <cell r="U112">
            <v>6437</v>
          </cell>
          <cell r="V112">
            <v>24575</v>
          </cell>
          <cell r="W112">
            <v>6616</v>
          </cell>
          <cell r="X112">
            <v>6928</v>
          </cell>
          <cell r="Y112">
            <v>7022</v>
          </cell>
          <cell r="Z112">
            <v>7173</v>
          </cell>
          <cell r="AA112">
            <v>27739</v>
          </cell>
          <cell r="AB112">
            <v>7487</v>
          </cell>
          <cell r="AC112">
            <v>7596</v>
          </cell>
          <cell r="AD112">
            <v>8155.5614059835725</v>
          </cell>
          <cell r="AE112">
            <v>8195.3908929066547</v>
          </cell>
          <cell r="AF112">
            <v>31433.952298890224</v>
          </cell>
          <cell r="AG112">
            <v>33570.629674877593</v>
          </cell>
          <cell r="AH112">
            <v>34651.413452992572</v>
          </cell>
          <cell r="AI112">
            <v>35425.565906697055</v>
          </cell>
          <cell r="AJ112">
            <v>35952.075938100046</v>
          </cell>
          <cell r="AK112">
            <v>36269.046291894847</v>
          </cell>
          <cell r="AL112">
            <v>36420.617661926612</v>
          </cell>
          <cell r="AM112">
            <v>6506.8003819429759</v>
          </cell>
          <cell r="AN112">
            <v>7152.3039064282793</v>
          </cell>
          <cell r="AO112">
            <v>7681.0356817422771</v>
          </cell>
          <cell r="AP112">
            <v>8167.1891432783104</v>
          </cell>
          <cell r="AQ112">
            <v>8646.3593692363629</v>
          </cell>
        </row>
        <row r="113">
          <cell r="A113" t="str">
            <v>Pre-Paid Service Revenue</v>
          </cell>
          <cell r="H113">
            <v>0.31384892086330929</v>
          </cell>
          <cell r="I113">
            <v>0.30271558929109688</v>
          </cell>
          <cell r="J113">
            <v>0.25294132530425317</v>
          </cell>
          <cell r="K113">
            <v>0.1832525720287399</v>
          </cell>
          <cell r="L113">
            <v>0.25908150381109141</v>
          </cell>
          <cell r="M113">
            <v>9.8790782569016633E-2</v>
          </cell>
          <cell r="N113">
            <v>9.129154396297845E-2</v>
          </cell>
          <cell r="O113">
            <v>0.11046042003231027</v>
          </cell>
          <cell r="P113">
            <v>0.13092596328424455</v>
          </cell>
          <cell r="Q113">
            <v>0.1083167069200881</v>
          </cell>
          <cell r="R113">
            <v>49</v>
          </cell>
          <cell r="S113">
            <v>58</v>
          </cell>
          <cell r="T113">
            <v>77</v>
          </cell>
          <cell r="U113">
            <v>116</v>
          </cell>
          <cell r="V113">
            <v>300</v>
          </cell>
          <cell r="W113">
            <v>161</v>
          </cell>
          <cell r="X113">
            <v>182</v>
          </cell>
          <cell r="Y113">
            <v>200</v>
          </cell>
          <cell r="Z113">
            <v>256</v>
          </cell>
          <cell r="AA113">
            <v>799</v>
          </cell>
          <cell r="AB113">
            <v>312</v>
          </cell>
          <cell r="AC113">
            <v>364.70919730317138</v>
          </cell>
          <cell r="AD113">
            <v>403.22416283271536</v>
          </cell>
          <cell r="AE113">
            <v>449.39753900229709</v>
          </cell>
          <cell r="AF113">
            <v>1529.3308991381837</v>
          </cell>
          <cell r="AG113">
            <v>2205.6424430858519</v>
          </cell>
          <cell r="AH113">
            <v>2741.1592714953881</v>
          </cell>
          <cell r="AI113">
            <v>3126.9311763738106</v>
          </cell>
          <cell r="AJ113">
            <v>3417.9914413266147</v>
          </cell>
          <cell r="AK113">
            <v>3651.1192056398259</v>
          </cell>
          <cell r="AL113">
            <v>3850.4531590137503</v>
          </cell>
          <cell r="AM113">
            <v>879.70373938690318</v>
          </cell>
          <cell r="AN113">
            <v>645.50352448530339</v>
          </cell>
          <cell r="AO113">
            <v>528.73177531399688</v>
          </cell>
          <cell r="AP113">
            <v>486.1534615360315</v>
          </cell>
          <cell r="AQ113">
            <v>479.17022595805065</v>
          </cell>
        </row>
        <row r="114">
          <cell r="A114" t="str">
            <v xml:space="preserve">    Year-over-Year Growth</v>
          </cell>
          <cell r="C114">
            <v>16887.849999999999</v>
          </cell>
          <cell r="D114">
            <v>18217.95</v>
          </cell>
          <cell r="E114">
            <v>19744.5</v>
          </cell>
          <cell r="F114">
            <v>21414.3</v>
          </cell>
          <cell r="G114">
            <v>19816.125</v>
          </cell>
          <cell r="H114">
            <v>23445</v>
          </cell>
          <cell r="I114">
            <v>23834.5</v>
          </cell>
          <cell r="J114">
            <v>24425</v>
          </cell>
          <cell r="K114">
            <v>24999</v>
          </cell>
          <cell r="L114">
            <v>23977.8</v>
          </cell>
          <cell r="M114">
            <v>25741.5</v>
          </cell>
          <cell r="N114">
            <v>26628</v>
          </cell>
          <cell r="O114">
            <v>27611</v>
          </cell>
          <cell r="P114">
            <v>28628.5</v>
          </cell>
          <cell r="Q114">
            <v>27177</v>
          </cell>
          <cell r="R114">
            <v>29880</v>
          </cell>
          <cell r="S114">
            <v>30779.5</v>
          </cell>
          <cell r="T114">
            <v>31971</v>
          </cell>
          <cell r="U114">
            <v>33265</v>
          </cell>
          <cell r="V114">
            <v>31534.800000000003</v>
          </cell>
          <cell r="W114">
            <v>2.2857142857142856</v>
          </cell>
          <cell r="X114">
            <v>2.1379310344827585</v>
          </cell>
          <cell r="Y114">
            <v>1.5974025974025974</v>
          </cell>
          <cell r="Z114">
            <v>1.2068965517241379</v>
          </cell>
          <cell r="AA114">
            <v>1.6633333333333336</v>
          </cell>
          <cell r="AB114">
            <v>0.93788819875776408</v>
          </cell>
          <cell r="AC114">
            <v>1.0038966884789637</v>
          </cell>
          <cell r="AD114">
            <v>1.0161208141635769</v>
          </cell>
          <cell r="AE114">
            <v>0.75545913672772302</v>
          </cell>
          <cell r="AF114">
            <v>0.91405619416543638</v>
          </cell>
          <cell r="AG114">
            <v>0.44222708396775801</v>
          </cell>
          <cell r="AH114">
            <v>0.2427940349480715</v>
          </cell>
          <cell r="AI114">
            <v>0.14073312298557972</v>
          </cell>
          <cell r="AJ114">
            <v>9.3081762448745664E-2</v>
          </cell>
          <cell r="AK114">
            <v>6.8206070236012106E-2</v>
          </cell>
          <cell r="AL114">
            <v>5.4595301371156646E-2</v>
          </cell>
          <cell r="AM114">
            <v>0</v>
          </cell>
          <cell r="AN114">
            <v>0</v>
          </cell>
          <cell r="AO114">
            <v>0</v>
          </cell>
          <cell r="AP114">
            <v>0</v>
          </cell>
          <cell r="AQ114">
            <v>0</v>
          </cell>
        </row>
        <row r="115">
          <cell r="A115" t="str">
            <v>Pre-Paid ARPU</v>
          </cell>
          <cell r="C115">
            <v>65.846155668128276</v>
          </cell>
          <cell r="D115">
            <v>66.771142380637414</v>
          </cell>
          <cell r="E115">
            <v>66.724066617707891</v>
          </cell>
          <cell r="F115">
            <v>65.210318961317128</v>
          </cell>
          <cell r="G115">
            <v>63.613597512127122</v>
          </cell>
          <cell r="H115">
            <v>62.316058861164429</v>
          </cell>
          <cell r="I115">
            <v>66.486255917542493</v>
          </cell>
          <cell r="J115">
            <v>67.581030365063114</v>
          </cell>
          <cell r="K115">
            <v>66.095977172420234</v>
          </cell>
          <cell r="L115">
            <v>66.193173129589312</v>
          </cell>
          <cell r="M115">
            <v>62.363628123199248</v>
          </cell>
          <cell r="N115">
            <v>64.944169045115416</v>
          </cell>
          <cell r="O115">
            <v>66.386585056680318</v>
          </cell>
          <cell r="P115">
            <v>65.272950614480905</v>
          </cell>
          <cell r="Q115">
            <v>64.726913689271569</v>
          </cell>
          <cell r="R115">
            <v>34.67799009200283</v>
          </cell>
          <cell r="S115">
            <v>33.858727378867485</v>
          </cell>
          <cell r="T115">
            <v>36.536180308422303</v>
          </cell>
          <cell r="U115">
            <v>39.455782312925173</v>
          </cell>
          <cell r="V115">
            <v>35.642999714856003</v>
          </cell>
          <cell r="W115">
            <v>40.749177423437104</v>
          </cell>
          <cell r="X115">
            <v>38.384477486027627</v>
          </cell>
          <cell r="Y115">
            <v>36.291054255126113</v>
          </cell>
          <cell r="Z115">
            <v>36.537500892028831</v>
          </cell>
          <cell r="AA115">
            <v>37.02365065243179</v>
          </cell>
          <cell r="AB115">
            <v>35.794183445190157</v>
          </cell>
          <cell r="AC115">
            <v>36.465253611726247</v>
          </cell>
          <cell r="AD115">
            <v>35.928143712574851</v>
          </cell>
          <cell r="AE115">
            <v>35.806750874188253</v>
          </cell>
          <cell r="AF115">
            <v>35.963012344954862</v>
          </cell>
          <cell r="AG115">
            <v>35.423567159780539</v>
          </cell>
          <cell r="AH115">
            <v>35.069331488182733</v>
          </cell>
          <cell r="AI115">
            <v>34.718638173300903</v>
          </cell>
          <cell r="AJ115">
            <v>34.371451791567893</v>
          </cell>
          <cell r="AK115">
            <v>34.027737273652214</v>
          </cell>
          <cell r="AL115">
            <v>33.687459900915691</v>
          </cell>
          <cell r="AM115">
            <v>6066.9485122495244</v>
          </cell>
          <cell r="AN115">
            <v>6829.5521441856272</v>
          </cell>
          <cell r="AO115">
            <v>7416.6697940852782</v>
          </cell>
          <cell r="AP115">
            <v>7924.1124125102942</v>
          </cell>
          <cell r="AQ115">
            <v>8406.7742562573367</v>
          </cell>
        </row>
        <row r="116">
          <cell r="A116" t="str">
            <v xml:space="preserve">    Year-over-Year Change</v>
          </cell>
          <cell r="H116">
            <v>-5.3611281799896049E-2</v>
          </cell>
          <cell r="I116">
            <v>-4.2666105886115524E-3</v>
          </cell>
          <cell r="J116">
            <v>1.2843398054035893E-2</v>
          </cell>
          <cell r="K116">
            <v>1.3581565390417438E-2</v>
          </cell>
          <cell r="L116">
            <v>4.055069542278944E-2</v>
          </cell>
          <cell r="M116">
            <v>7.6335479014799645E-4</v>
          </cell>
          <cell r="N116">
            <v>-2.319406997950979E-2</v>
          </cell>
          <cell r="O116">
            <v>-1.7674268976524465E-2</v>
          </cell>
          <cell r="P116">
            <v>-1.2451991681617036E-2</v>
          </cell>
          <cell r="Q116">
            <v>-2.2151218486643365E-2</v>
          </cell>
          <cell r="R116">
            <v>2.6425239996530792E-2</v>
          </cell>
          <cell r="S116">
            <v>1.2198551131401114E-2</v>
          </cell>
          <cell r="T116">
            <v>-5.8637598861885909E-3</v>
          </cell>
          <cell r="U116">
            <v>-1.1807663612653396E-2</v>
          </cell>
          <cell r="V116">
            <v>2.6138456556209055E-2</v>
          </cell>
          <cell r="W116">
            <v>0.17507321835340051</v>
          </cell>
          <cell r="X116">
            <v>0.13366568850974692</v>
          </cell>
          <cell r="Y116">
            <v>-6.7091319132690508E-3</v>
          </cell>
          <cell r="Z116">
            <v>-7.3963339460648703E-2</v>
          </cell>
          <cell r="AA116">
            <v>3.8735542704626313E-2</v>
          </cell>
          <cell r="AB116">
            <v>-0.12159739880778686</v>
          </cell>
          <cell r="AC116">
            <v>-0.05</v>
          </cell>
          <cell r="AD116">
            <v>-0.01</v>
          </cell>
          <cell r="AE116">
            <v>-0.02</v>
          </cell>
          <cell r="AF116">
            <v>-2.8647588468082685E-2</v>
          </cell>
          <cell r="AG116">
            <v>-1.4999999999999999E-2</v>
          </cell>
          <cell r="AH116">
            <v>-0.01</v>
          </cell>
          <cell r="AI116">
            <v>-0.01</v>
          </cell>
          <cell r="AJ116">
            <v>-0.01</v>
          </cell>
          <cell r="AK116">
            <v>-0.01</v>
          </cell>
          <cell r="AL116">
            <v>-0.01</v>
          </cell>
          <cell r="AM116">
            <v>0.1334869051381965</v>
          </cell>
          <cell r="AN116">
            <v>0.14282976272687764</v>
          </cell>
          <cell r="AO116">
            <v>0.15050948979676129</v>
          </cell>
          <cell r="AP116">
            <v>0.15727739158550516</v>
          </cell>
          <cell r="AQ116">
            <v>0.16390648052811174</v>
          </cell>
        </row>
        <row r="118">
          <cell r="A118" t="str">
            <v>Wholesale Subscribers</v>
          </cell>
          <cell r="C118">
            <v>465</v>
          </cell>
          <cell r="D118">
            <v>530</v>
          </cell>
          <cell r="E118">
            <v>550</v>
          </cell>
          <cell r="F118">
            <v>565</v>
          </cell>
          <cell r="G118">
            <v>527.5</v>
          </cell>
          <cell r="H118">
            <v>580</v>
          </cell>
          <cell r="I118">
            <v>647.5</v>
          </cell>
          <cell r="J118">
            <v>650</v>
          </cell>
          <cell r="K118">
            <v>647.5</v>
          </cell>
          <cell r="L118">
            <v>631.25</v>
          </cell>
          <cell r="M118">
            <v>3300</v>
          </cell>
          <cell r="N118">
            <v>3500</v>
          </cell>
          <cell r="O118">
            <v>3800</v>
          </cell>
          <cell r="P118">
            <v>4500</v>
          </cell>
          <cell r="Q118">
            <v>4500</v>
          </cell>
          <cell r="R118">
            <v>2031</v>
          </cell>
          <cell r="S118">
            <v>2330</v>
          </cell>
          <cell r="T118">
            <v>2752</v>
          </cell>
          <cell r="U118">
            <v>3675</v>
          </cell>
          <cell r="V118">
            <v>3675</v>
          </cell>
          <cell r="W118">
            <v>4296</v>
          </cell>
          <cell r="X118">
            <v>4383</v>
          </cell>
          <cell r="Y118">
            <v>4596</v>
          </cell>
          <cell r="Z118">
            <v>5154</v>
          </cell>
          <cell r="AA118">
            <v>5154</v>
          </cell>
          <cell r="AB118">
            <v>5382</v>
          </cell>
          <cell r="AC118">
            <v>5582</v>
          </cell>
          <cell r="AD118">
            <v>5857</v>
          </cell>
          <cell r="AE118">
            <v>6232</v>
          </cell>
          <cell r="AF118">
            <v>6232</v>
          </cell>
          <cell r="AG118">
            <v>7260</v>
          </cell>
          <cell r="AH118">
            <v>8238</v>
          </cell>
          <cell r="AI118">
            <v>9166</v>
          </cell>
          <cell r="AJ118">
            <v>10044</v>
          </cell>
          <cell r="AK118">
            <v>10872</v>
          </cell>
          <cell r="AL118">
            <v>11650</v>
          </cell>
          <cell r="AM118">
            <v>5247.9066682065604</v>
          </cell>
          <cell r="AN118">
            <v>5562.7810682989548</v>
          </cell>
          <cell r="AO118">
            <v>5868.7340270553968</v>
          </cell>
          <cell r="AP118">
            <v>6191.5143985434433</v>
          </cell>
          <cell r="AQ118">
            <v>6532.0476904633324</v>
          </cell>
        </row>
        <row r="119">
          <cell r="A119" t="str">
            <v xml:space="preserve">   Net Adds</v>
          </cell>
          <cell r="L119">
            <v>0.19668246445497628</v>
          </cell>
          <cell r="M119">
            <v>0.16034482758620694</v>
          </cell>
          <cell r="N119">
            <v>200</v>
          </cell>
          <cell r="O119">
            <v>300</v>
          </cell>
          <cell r="P119">
            <v>700</v>
          </cell>
          <cell r="Q119">
            <v>1200</v>
          </cell>
          <cell r="R119">
            <v>0.22585438335809815</v>
          </cell>
          <cell r="S119">
            <v>299</v>
          </cell>
          <cell r="T119">
            <v>422</v>
          </cell>
          <cell r="U119">
            <v>923</v>
          </cell>
          <cell r="V119">
            <v>1644</v>
          </cell>
          <cell r="W119">
            <v>621</v>
          </cell>
          <cell r="X119">
            <v>87</v>
          </cell>
          <cell r="Y119">
            <v>213</v>
          </cell>
          <cell r="Z119">
            <v>558</v>
          </cell>
          <cell r="AA119">
            <v>1479</v>
          </cell>
          <cell r="AB119">
            <v>228</v>
          </cell>
          <cell r="AC119">
            <v>200</v>
          </cell>
          <cell r="AD119">
            <v>275</v>
          </cell>
          <cell r="AE119">
            <v>375</v>
          </cell>
          <cell r="AF119">
            <v>1078</v>
          </cell>
          <cell r="AG119">
            <v>1028</v>
          </cell>
          <cell r="AH119">
            <v>978</v>
          </cell>
          <cell r="AI119">
            <v>928</v>
          </cell>
          <cell r="AJ119">
            <v>878</v>
          </cell>
          <cell r="AK119">
            <v>828</v>
          </cell>
          <cell r="AL119">
            <v>778</v>
          </cell>
          <cell r="AM119">
            <v>0.08</v>
          </cell>
          <cell r="AN119">
            <v>0.06</v>
          </cell>
          <cell r="AO119">
            <v>5.5E-2</v>
          </cell>
          <cell r="AP119">
            <v>5.5E-2</v>
          </cell>
          <cell r="AQ119">
            <v>5.5E-2</v>
          </cell>
        </row>
        <row r="120">
          <cell r="A120" t="str">
            <v xml:space="preserve">   Average</v>
          </cell>
          <cell r="N120">
            <v>3400</v>
          </cell>
          <cell r="O120">
            <v>3650</v>
          </cell>
          <cell r="P120">
            <v>4150</v>
          </cell>
          <cell r="Q120">
            <v>3775</v>
          </cell>
          <cell r="R120">
            <v>3265.5</v>
          </cell>
          <cell r="S120">
            <v>2180.5</v>
          </cell>
          <cell r="T120">
            <v>2541</v>
          </cell>
          <cell r="U120">
            <v>3213.5</v>
          </cell>
          <cell r="V120">
            <v>3057.6</v>
          </cell>
          <cell r="W120">
            <v>3985.5</v>
          </cell>
          <cell r="X120">
            <v>4339.5</v>
          </cell>
          <cell r="Y120">
            <v>4489.5</v>
          </cell>
          <cell r="Z120">
            <v>4875</v>
          </cell>
          <cell r="AA120">
            <v>4607.25</v>
          </cell>
          <cell r="AB120">
            <v>5268</v>
          </cell>
          <cell r="AC120">
            <v>5482</v>
          </cell>
          <cell r="AD120">
            <v>5719.5</v>
          </cell>
          <cell r="AE120">
            <v>6044.5</v>
          </cell>
          <cell r="AF120">
            <v>5763.25</v>
          </cell>
          <cell r="AG120">
            <v>6746</v>
          </cell>
          <cell r="AH120">
            <v>7749</v>
          </cell>
          <cell r="AI120">
            <v>8702</v>
          </cell>
          <cell r="AJ120">
            <v>9605</v>
          </cell>
          <cell r="AK120">
            <v>10458</v>
          </cell>
          <cell r="AL120">
            <v>11261</v>
          </cell>
          <cell r="AM120">
            <v>4368.2029288196572</v>
          </cell>
          <cell r="AN120">
            <v>4917.2775438136514</v>
          </cell>
          <cell r="AO120">
            <v>5340.0022517414</v>
          </cell>
          <cell r="AP120">
            <v>5705.3609370074118</v>
          </cell>
          <cell r="AQ120">
            <v>6052.8774645052818</v>
          </cell>
        </row>
        <row r="121">
          <cell r="A121" t="str">
            <v>Avg. Price per Minute</v>
          </cell>
          <cell r="G121">
            <v>0.12059449765332156</v>
          </cell>
          <cell r="H121">
            <v>0.10744148079511108</v>
          </cell>
          <cell r="I121">
            <v>0.10268147632052894</v>
          </cell>
          <cell r="J121">
            <v>0.10397081594625095</v>
          </cell>
          <cell r="K121">
            <v>0.10207872922381503</v>
          </cell>
          <cell r="L121">
            <v>0.10486047228449792</v>
          </cell>
          <cell r="M121">
            <v>9.2665123511440184E-2</v>
          </cell>
          <cell r="N121">
            <v>8.5452854006730805E-2</v>
          </cell>
          <cell r="O121">
            <v>8.6779849747294538E-2</v>
          </cell>
          <cell r="P121">
            <v>8.5547772758166329E-2</v>
          </cell>
          <cell r="Q121">
            <v>8.743926199158604E-2</v>
          </cell>
          <cell r="R121">
            <v>7.7589820561708114E-2</v>
          </cell>
          <cell r="S121">
            <v>7.5559073347009897E-2</v>
          </cell>
          <cell r="T121">
            <v>7.542549721399304E-2</v>
          </cell>
          <cell r="U121">
            <v>7.3506814325492623E-2</v>
          </cell>
          <cell r="V121">
            <v>7.7063118562153546E-2</v>
          </cell>
          <cell r="W121">
            <v>7.154124672949666E-2</v>
          </cell>
          <cell r="X121">
            <v>6.6010256219695626E-2</v>
          </cell>
          <cell r="Y121">
            <v>6.2781210672616272E-2</v>
          </cell>
          <cell r="Z121">
            <v>6.1001784002403331E-2</v>
          </cell>
          <cell r="AA121">
            <v>6.50373496423063E-2</v>
          </cell>
          <cell r="AB121">
            <v>5.975582240157748E-2</v>
          </cell>
          <cell r="AC121">
            <v>5.8293089920544591E-2</v>
          </cell>
          <cell r="AD121">
            <v>5.6081695686421636E-2</v>
          </cell>
          <cell r="AE121">
            <v>5.5506509469644076E-2</v>
          </cell>
          <cell r="AF121">
            <v>5.7321967558524083E-2</v>
          </cell>
          <cell r="AG121">
            <v>5.3249172721013212E-2</v>
          </cell>
          <cell r="AH121">
            <v>5.0150252062186006E-2</v>
          </cell>
          <cell r="AI121">
            <v>4.783262953940294E-2</v>
          </cell>
          <cell r="AJ121">
            <v>4.6139016407043286E-2</v>
          </cell>
          <cell r="AK121">
            <v>4.4550667731031689E-2</v>
          </cell>
          <cell r="AL121">
            <v>4.3050844094831862E-2</v>
          </cell>
          <cell r="AM121">
            <v>0.06</v>
          </cell>
          <cell r="AN121">
            <v>0.06</v>
          </cell>
          <cell r="AO121">
            <v>0.06</v>
          </cell>
          <cell r="AP121">
            <v>0.06</v>
          </cell>
          <cell r="AQ121">
            <v>0.06</v>
          </cell>
        </row>
        <row r="122">
          <cell r="A122" t="str">
            <v>Affiliate Subscribers</v>
          </cell>
          <cell r="L122">
            <v>-0.13047050798333226</v>
          </cell>
          <cell r="M122">
            <v>-0.13752935248397347</v>
          </cell>
          <cell r="N122">
            <v>-0.16778705304175345</v>
          </cell>
          <cell r="O122">
            <v>-0.16534415011077241</v>
          </cell>
          <cell r="P122">
            <v>-0.16194320394999606</v>
          </cell>
          <cell r="Q122">
            <v>-0.16613705730455075</v>
          </cell>
          <cell r="R122">
            <v>3017</v>
          </cell>
          <cell r="S122">
            <v>3019</v>
          </cell>
          <cell r="T122">
            <v>3120</v>
          </cell>
          <cell r="U122">
            <v>3230</v>
          </cell>
          <cell r="V122">
            <v>3230</v>
          </cell>
          <cell r="W122">
            <v>3396</v>
          </cell>
          <cell r="X122">
            <v>3497</v>
          </cell>
          <cell r="Y122">
            <v>3065</v>
          </cell>
          <cell r="Z122">
            <v>2821</v>
          </cell>
          <cell r="AA122">
            <v>2821</v>
          </cell>
          <cell r="AB122">
            <v>1256</v>
          </cell>
          <cell r="AC122">
            <v>1306</v>
          </cell>
          <cell r="AD122">
            <v>1356</v>
          </cell>
          <cell r="AE122">
            <v>1436</v>
          </cell>
          <cell r="AF122">
            <v>1436</v>
          </cell>
          <cell r="AG122">
            <v>1636</v>
          </cell>
          <cell r="AH122">
            <v>1826</v>
          </cell>
          <cell r="AI122">
            <v>2006</v>
          </cell>
          <cell r="AJ122">
            <v>2176</v>
          </cell>
          <cell r="AK122">
            <v>2336</v>
          </cell>
          <cell r="AL122">
            <v>2486</v>
          </cell>
        </row>
        <row r="123">
          <cell r="A123" t="str">
            <v xml:space="preserve">   Net Adds</v>
          </cell>
          <cell r="R123">
            <v>49</v>
          </cell>
          <cell r="S123">
            <v>2</v>
          </cell>
          <cell r="T123">
            <v>101</v>
          </cell>
          <cell r="U123">
            <v>110</v>
          </cell>
          <cell r="V123">
            <v>213</v>
          </cell>
          <cell r="W123">
            <v>166</v>
          </cell>
          <cell r="X123">
            <v>101</v>
          </cell>
          <cell r="Y123">
            <v>90</v>
          </cell>
          <cell r="Z123">
            <v>93</v>
          </cell>
          <cell r="AA123">
            <v>450</v>
          </cell>
          <cell r="AB123">
            <v>45</v>
          </cell>
          <cell r="AC123">
            <v>50</v>
          </cell>
          <cell r="AD123">
            <v>50</v>
          </cell>
          <cell r="AE123">
            <v>80</v>
          </cell>
          <cell r="AF123">
            <v>225</v>
          </cell>
          <cell r="AG123">
            <v>200</v>
          </cell>
          <cell r="AH123">
            <v>190</v>
          </cell>
          <cell r="AI123">
            <v>180</v>
          </cell>
          <cell r="AJ123">
            <v>170</v>
          </cell>
          <cell r="AK123">
            <v>160</v>
          </cell>
          <cell r="AL123">
            <v>150</v>
          </cell>
          <cell r="AM123">
            <v>2244.4815673868216</v>
          </cell>
          <cell r="AN123">
            <v>2551.8746217944408</v>
          </cell>
          <cell r="AO123">
            <v>2798.9647251302417</v>
          </cell>
          <cell r="AP123">
            <v>3020.3723306723873</v>
          </cell>
          <cell r="AQ123">
            <v>3236.3882416481765</v>
          </cell>
        </row>
        <row r="124">
          <cell r="A124" t="str">
            <v xml:space="preserve">   Average</v>
          </cell>
          <cell r="L124">
            <v>1.5074860019714391</v>
          </cell>
          <cell r="M124">
            <v>1.1658953139104773</v>
          </cell>
          <cell r="N124">
            <v>1.0355100146012919</v>
          </cell>
          <cell r="O124">
            <v>1.0700292499283901</v>
          </cell>
          <cell r="P124">
            <v>1.1014872747204447</v>
          </cell>
          <cell r="Q124">
            <v>1.0393422763604157</v>
          </cell>
          <cell r="R124">
            <v>1.3882854891383987</v>
          </cell>
          <cell r="S124">
            <v>3018</v>
          </cell>
          <cell r="T124">
            <v>3069.5</v>
          </cell>
          <cell r="U124">
            <v>3175</v>
          </cell>
          <cell r="V124">
            <v>3096.5</v>
          </cell>
          <cell r="W124">
            <v>3313</v>
          </cell>
          <cell r="X124">
            <v>3446.5</v>
          </cell>
          <cell r="Y124">
            <v>3281</v>
          </cell>
          <cell r="Z124">
            <v>2943</v>
          </cell>
          <cell r="AA124">
            <v>3194.75</v>
          </cell>
          <cell r="AB124">
            <v>2038.5</v>
          </cell>
          <cell r="AC124">
            <v>1281</v>
          </cell>
          <cell r="AD124">
            <v>1331</v>
          </cell>
          <cell r="AE124">
            <v>1396</v>
          </cell>
          <cell r="AF124">
            <v>1338.5</v>
          </cell>
          <cell r="AG124">
            <v>1536</v>
          </cell>
          <cell r="AH124">
            <v>1731</v>
          </cell>
          <cell r="AI124">
            <v>1916</v>
          </cell>
          <cell r="AJ124">
            <v>2091</v>
          </cell>
          <cell r="AK124">
            <v>2256</v>
          </cell>
          <cell r="AL124">
            <v>2411</v>
          </cell>
          <cell r="AM124">
            <v>0.15741259149224351</v>
          </cell>
          <cell r="AN124">
            <v>0.13695503624273786</v>
          </cell>
          <cell r="AO124">
            <v>9.6826897852078098E-2</v>
          </cell>
          <cell r="AP124">
            <v>7.9103392605936795E-2</v>
          </cell>
          <cell r="AQ124">
            <v>7.151962980924953E-2</v>
          </cell>
        </row>
        <row r="125">
          <cell r="A125" t="str">
            <v>Pre-Paid ARPU</v>
          </cell>
          <cell r="R125">
            <v>34.67799009200283</v>
          </cell>
          <cell r="S125">
            <v>33.858727378867485</v>
          </cell>
          <cell r="T125">
            <v>36.536180308422303</v>
          </cell>
          <cell r="U125">
            <v>39.455782312925173</v>
          </cell>
          <cell r="V125">
            <v>35.642999714856003</v>
          </cell>
          <cell r="W125">
            <v>40.749177423437104</v>
          </cell>
          <cell r="X125">
            <v>38.384477486027627</v>
          </cell>
          <cell r="Y125">
            <v>36.291054255126113</v>
          </cell>
          <cell r="Z125">
            <v>36.537500892028831</v>
          </cell>
          <cell r="AA125">
            <v>37.02365065243179</v>
          </cell>
          <cell r="AB125">
            <v>35.794183445190157</v>
          </cell>
          <cell r="AC125">
            <v>33.274091627172197</v>
          </cell>
          <cell r="AD125">
            <v>32.502902044825433</v>
          </cell>
          <cell r="AE125">
            <v>31.495394541364234</v>
          </cell>
          <cell r="AF125">
            <v>33.354541423255633</v>
          </cell>
          <cell r="AG125">
            <v>31.891392537253484</v>
          </cell>
          <cell r="AH125">
            <v>30.576842426322013</v>
          </cell>
          <cell r="AI125">
            <v>31.52781498348067</v>
          </cell>
          <cell r="AJ125">
            <v>30.550532705123306</v>
          </cell>
          <cell r="AK125">
            <v>31.140766150025993</v>
          </cell>
          <cell r="AL125">
            <v>30.829358488525731</v>
          </cell>
          <cell r="AM125">
            <v>30.829358488525731</v>
          </cell>
          <cell r="AN125">
            <v>31.13765207341099</v>
          </cell>
          <cell r="AO125">
            <v>31.449028594145101</v>
          </cell>
          <cell r="AP125">
            <v>31.763518880086554</v>
          </cell>
          <cell r="AQ125">
            <v>32.081154068887422</v>
          </cell>
        </row>
        <row r="126">
          <cell r="A126" t="str">
            <v xml:space="preserve">    Year-over-Year Change</v>
          </cell>
          <cell r="W126">
            <v>0.17507321835340051</v>
          </cell>
          <cell r="X126">
            <v>0.13366568850974692</v>
          </cell>
          <cell r="Y126">
            <v>-6.7091319132690508E-3</v>
          </cell>
          <cell r="Z126">
            <v>-7.3963339460648703E-2</v>
          </cell>
          <cell r="AA126">
            <v>3.8735542704626313E-2</v>
          </cell>
          <cell r="AB126">
            <v>-0.12159739880778686</v>
          </cell>
          <cell r="AC126">
            <v>-0.13313678324045619</v>
          </cell>
          <cell r="AD126">
            <v>-0.10438253415483523</v>
          </cell>
          <cell r="AE126">
            <v>-0.13799811775754489</v>
          </cell>
          <cell r="AF126">
            <v>-9.9101767775976013E-2</v>
          </cell>
          <cell r="AG126">
            <v>-0.10903422099048077</v>
          </cell>
          <cell r="AH126">
            <v>-8.1061542748399606E-2</v>
          </cell>
          <cell r="AI126">
            <v>-0.03</v>
          </cell>
          <cell r="AJ126">
            <v>-0.03</v>
          </cell>
          <cell r="AK126">
            <v>-6.6371030113642648E-2</v>
          </cell>
          <cell r="AL126">
            <v>-0.01</v>
          </cell>
          <cell r="AM126">
            <v>0</v>
          </cell>
          <cell r="AN126">
            <v>0.01</v>
          </cell>
          <cell r="AO126">
            <v>0.01</v>
          </cell>
          <cell r="AP126">
            <v>0.01</v>
          </cell>
          <cell r="AQ126">
            <v>0.01</v>
          </cell>
        </row>
        <row r="127">
          <cell r="A127" t="str">
            <v>Subscriber Revenues</v>
          </cell>
          <cell r="C127">
            <v>3336</v>
          </cell>
          <cell r="D127">
            <v>3649.3</v>
          </cell>
          <cell r="E127">
            <v>3952.3</v>
          </cell>
          <cell r="F127">
            <v>4189.3</v>
          </cell>
          <cell r="G127">
            <v>15126.900000000001</v>
          </cell>
          <cell r="H127">
            <v>4383</v>
          </cell>
          <cell r="I127">
            <v>4754</v>
          </cell>
          <cell r="J127">
            <v>4952</v>
          </cell>
          <cell r="K127">
            <v>4957</v>
          </cell>
          <cell r="L127">
            <v>19046</v>
          </cell>
          <cell r="M127">
            <v>4816</v>
          </cell>
          <cell r="N127">
            <v>5188</v>
          </cell>
          <cell r="O127">
            <v>5499</v>
          </cell>
          <cell r="P127">
            <v>5606</v>
          </cell>
          <cell r="Q127">
            <v>21109</v>
          </cell>
          <cell r="R127">
            <v>5738</v>
          </cell>
          <cell r="S127">
            <v>6070</v>
          </cell>
          <cell r="T127">
            <v>6330</v>
          </cell>
          <cell r="U127">
            <v>6437</v>
          </cell>
          <cell r="V127">
            <v>24575</v>
          </cell>
          <cell r="W127">
            <v>6616</v>
          </cell>
          <cell r="X127">
            <v>6928</v>
          </cell>
          <cell r="Y127">
            <v>7022</v>
          </cell>
          <cell r="Z127">
            <v>7173</v>
          </cell>
          <cell r="AA127">
            <v>27739</v>
          </cell>
          <cell r="AB127">
            <v>7487</v>
          </cell>
          <cell r="AC127">
            <v>7867.9378510103861</v>
          </cell>
          <cell r="AD127">
            <v>7927.7735369503343</v>
          </cell>
          <cell r="AE127">
            <v>7983.5665722918002</v>
          </cell>
          <cell r="AF127">
            <v>31266.277960252519</v>
          </cell>
          <cell r="AG127">
            <v>33018.754554898027</v>
          </cell>
          <cell r="AH127">
            <v>34060.840958827743</v>
          </cell>
          <cell r="AI127">
            <v>34425.902959247367</v>
          </cell>
          <cell r="AJ127">
            <v>34461.463806183208</v>
          </cell>
          <cell r="AK127">
            <v>34427.268509460657</v>
          </cell>
          <cell r="AL127">
            <v>34351.170170710713</v>
          </cell>
        </row>
        <row r="128">
          <cell r="A128" t="str">
            <v xml:space="preserve">    Year-over-Year Growth</v>
          </cell>
          <cell r="H128">
            <v>0.31384892086330929</v>
          </cell>
          <cell r="I128">
            <v>0.30271558929109688</v>
          </cell>
          <cell r="J128">
            <v>0.25294132530425317</v>
          </cell>
          <cell r="K128">
            <v>0.1832525720287399</v>
          </cell>
          <cell r="L128">
            <v>0.25908150381109141</v>
          </cell>
          <cell r="M128">
            <v>9.8790782569016633E-2</v>
          </cell>
          <cell r="N128">
            <v>9.129154396297845E-2</v>
          </cell>
          <cell r="O128">
            <v>0.11046042003231027</v>
          </cell>
          <cell r="P128">
            <v>0.13092596328424455</v>
          </cell>
          <cell r="Q128">
            <v>0.1083167069200881</v>
          </cell>
          <cell r="R128">
            <v>0.19144518272425248</v>
          </cell>
          <cell r="S128">
            <v>0.1700077101002313</v>
          </cell>
          <cell r="T128">
            <v>0.15111838516093834</v>
          </cell>
          <cell r="U128">
            <v>0.14823403496254017</v>
          </cell>
          <cell r="V128">
            <v>0.1641953669051115</v>
          </cell>
          <cell r="W128">
            <v>0.1530149878006275</v>
          </cell>
          <cell r="X128">
            <v>0.14135090609555179</v>
          </cell>
          <cell r="Y128">
            <v>0.10932069510268572</v>
          </cell>
          <cell r="Z128">
            <v>0.11433897778468238</v>
          </cell>
          <cell r="AA128">
            <v>0.12874872838250262</v>
          </cell>
          <cell r="AB128">
            <v>0.1316505441354292</v>
          </cell>
          <cell r="AC128">
            <v>0.13567232260542528</v>
          </cell>
          <cell r="AD128">
            <v>0.12899081984482108</v>
          </cell>
          <cell r="AE128">
            <v>0.11300244978276863</v>
          </cell>
          <cell r="AF128">
            <v>0.12715952126077079</v>
          </cell>
          <cell r="AG128">
            <v>5.6050054850576014E-2</v>
          </cell>
          <cell r="AH128">
            <v>3.1560439452587685E-2</v>
          </cell>
          <cell r="AI128">
            <v>1.0717938551808137E-2</v>
          </cell>
          <cell r="AJ128">
            <v>1.0329677329870002E-3</v>
          </cell>
          <cell r="AK128">
            <v>-9.9227638485910319E-4</v>
          </cell>
          <cell r="AL128">
            <v>-2.2104088428924751E-3</v>
          </cell>
        </row>
        <row r="129">
          <cell r="A129" t="str">
            <v>Average Subscribers</v>
          </cell>
          <cell r="C129">
            <v>16887.849999999999</v>
          </cell>
          <cell r="D129">
            <v>18217.95</v>
          </cell>
          <cell r="E129">
            <v>19744.5</v>
          </cell>
          <cell r="F129">
            <v>21414.3</v>
          </cell>
          <cell r="G129">
            <v>19816.125</v>
          </cell>
          <cell r="H129">
            <v>23445</v>
          </cell>
          <cell r="I129">
            <v>23834.5</v>
          </cell>
          <cell r="J129">
            <v>24425</v>
          </cell>
          <cell r="K129">
            <v>24999</v>
          </cell>
          <cell r="L129">
            <v>23977.8</v>
          </cell>
          <cell r="M129">
            <v>25741.5</v>
          </cell>
          <cell r="N129">
            <v>26628</v>
          </cell>
          <cell r="O129">
            <v>27611</v>
          </cell>
          <cell r="P129">
            <v>28628.5</v>
          </cell>
          <cell r="Q129">
            <v>27177</v>
          </cell>
          <cell r="R129">
            <v>29880</v>
          </cell>
          <cell r="S129">
            <v>30779.5</v>
          </cell>
          <cell r="T129">
            <v>31971</v>
          </cell>
          <cell r="U129">
            <v>33265</v>
          </cell>
          <cell r="V129">
            <v>31534.800000000003</v>
          </cell>
          <cell r="W129">
            <v>34636</v>
          </cell>
          <cell r="X129">
            <v>35881.5</v>
          </cell>
          <cell r="Y129">
            <v>37208.5</v>
          </cell>
          <cell r="Z129">
            <v>38807.5</v>
          </cell>
          <cell r="AA129">
            <v>36670</v>
          </cell>
          <cell r="AB129">
            <v>40945.5</v>
          </cell>
          <cell r="AC129">
            <v>42665.023635940961</v>
          </cell>
          <cell r="AD129">
            <v>43510.809910872857</v>
          </cell>
          <cell r="AE129">
            <v>44433.001312860666</v>
          </cell>
          <cell r="AF129">
            <v>42771.409979520649</v>
          </cell>
          <cell r="AG129">
            <v>46455.010077647188</v>
          </cell>
          <cell r="AH129">
            <v>48882.044909430151</v>
          </cell>
          <cell r="AI129">
            <v>50273.452327797859</v>
          </cell>
          <cell r="AJ129">
            <v>51134.288348017115</v>
          </cell>
          <cell r="AK129">
            <v>51849.025604355033</v>
          </cell>
          <cell r="AL129">
            <v>52477.968400186466</v>
          </cell>
          <cell r="AM129">
            <v>32135.47788059591</v>
          </cell>
          <cell r="AN129">
            <v>32983.096120201451</v>
          </cell>
          <cell r="AO129">
            <v>33690.084723687127</v>
          </cell>
          <cell r="AP129">
            <v>34273.904277070396</v>
          </cell>
          <cell r="AQ129">
            <v>34823.081538527003</v>
          </cell>
        </row>
        <row r="130">
          <cell r="A130" t="str">
            <v>Blended ARPU</v>
          </cell>
          <cell r="C130">
            <v>65.846155668128276</v>
          </cell>
          <cell r="D130">
            <v>66.771142380637414</v>
          </cell>
          <cell r="E130">
            <v>66.724066617707891</v>
          </cell>
          <cell r="F130">
            <v>65.210318961317128</v>
          </cell>
          <cell r="G130">
            <v>63.613597512127122</v>
          </cell>
          <cell r="H130">
            <v>62.316058861164429</v>
          </cell>
          <cell r="I130">
            <v>66.486255917542493</v>
          </cell>
          <cell r="J130">
            <v>67.581030365063114</v>
          </cell>
          <cell r="K130">
            <v>66.095977172420234</v>
          </cell>
          <cell r="L130">
            <v>66.193173129589312</v>
          </cell>
          <cell r="M130">
            <v>62.363628123199248</v>
          </cell>
          <cell r="N130">
            <v>64.944169045115416</v>
          </cell>
          <cell r="O130">
            <v>66.386585056680318</v>
          </cell>
          <cell r="P130">
            <v>65.272950614480905</v>
          </cell>
          <cell r="Q130">
            <v>64.726913689271569</v>
          </cell>
          <cell r="R130">
            <v>64.011601963409191</v>
          </cell>
          <cell r="S130">
            <v>65.736393811898608</v>
          </cell>
          <cell r="T130">
            <v>65.997310062243912</v>
          </cell>
          <cell r="U130">
            <v>64.502229570619775</v>
          </cell>
          <cell r="V130">
            <v>66.418775310756089</v>
          </cell>
          <cell r="W130">
            <v>63.671709589252032</v>
          </cell>
          <cell r="X130">
            <v>64.359999814203235</v>
          </cell>
          <cell r="Y130">
            <v>62.906773093961505</v>
          </cell>
          <cell r="Z130">
            <v>61.611801842427361</v>
          </cell>
          <cell r="AA130">
            <v>63.037451140805381</v>
          </cell>
          <cell r="AB130">
            <v>60.950938849609031</v>
          </cell>
          <cell r="AC130">
            <v>61.470631604841806</v>
          </cell>
          <cell r="AD130">
            <v>60.734129849490365</v>
          </cell>
          <cell r="AE130">
            <v>59.892169756724194</v>
          </cell>
          <cell r="AF130">
            <v>60.917401708335667</v>
          </cell>
          <cell r="AG130">
            <v>59.230702457619493</v>
          </cell>
          <cell r="AH130">
            <v>58.066380375344529</v>
          </cell>
          <cell r="AI130">
            <v>57.064416978932606</v>
          </cell>
          <cell r="AJ130">
            <v>56.16170173270104</v>
          </cell>
          <cell r="AK130">
            <v>55.332554643304228</v>
          </cell>
          <cell r="AL130">
            <v>54.548558213921275</v>
          </cell>
          <cell r="AM130">
            <v>2.0423579254265523E-2</v>
          </cell>
          <cell r="AN130">
            <v>2.6376400648373544E-2</v>
          </cell>
          <cell r="AO130">
            <v>2.1434876850528806E-2</v>
          </cell>
          <cell r="AP130">
            <v>1.7329120961598221E-2</v>
          </cell>
          <cell r="AQ130">
            <v>1.6023189450990349E-2</v>
          </cell>
        </row>
        <row r="131">
          <cell r="A131" t="str">
            <v xml:space="preserve">    Year-over-Year Change</v>
          </cell>
          <cell r="C131">
            <v>16887.849999999999</v>
          </cell>
          <cell r="D131">
            <v>18217.95</v>
          </cell>
          <cell r="E131">
            <v>19744.5</v>
          </cell>
          <cell r="F131">
            <v>21414.3</v>
          </cell>
          <cell r="G131">
            <v>19816.125</v>
          </cell>
          <cell r="H131">
            <v>-5.3611281799896049E-2</v>
          </cell>
          <cell r="I131">
            <v>-4.2666105886115524E-3</v>
          </cell>
          <cell r="J131">
            <v>1.2843398054035893E-2</v>
          </cell>
          <cell r="K131">
            <v>1.3581565390417438E-2</v>
          </cell>
          <cell r="L131">
            <v>4.055069542278944E-2</v>
          </cell>
          <cell r="M131">
            <v>7.6335479014799645E-4</v>
          </cell>
          <cell r="N131">
            <v>-2.319406997950979E-2</v>
          </cell>
          <cell r="O131">
            <v>-1.7674268976524465E-2</v>
          </cell>
          <cell r="P131">
            <v>-1.2451991681617036E-2</v>
          </cell>
          <cell r="Q131">
            <v>-2.2151218486643365E-2</v>
          </cell>
          <cell r="R131">
            <v>2.6425239996530792E-2</v>
          </cell>
          <cell r="S131">
            <v>1.2198551131401114E-2</v>
          </cell>
          <cell r="T131">
            <v>-5.8637598861885909E-3</v>
          </cell>
          <cell r="U131">
            <v>-1.1807663612653396E-2</v>
          </cell>
          <cell r="V131">
            <v>2.6138456556209055E-2</v>
          </cell>
          <cell r="W131">
            <v>-5.3098557719497563E-3</v>
          </cell>
          <cell r="X131">
            <v>-2.0938081903821182E-2</v>
          </cell>
          <cell r="Y131">
            <v>-4.6828226262064843E-2</v>
          </cell>
          <cell r="Z131">
            <v>-4.4811284004188545E-2</v>
          </cell>
          <cell r="AA131">
            <v>-5.0909161665965375E-2</v>
          </cell>
          <cell r="AB131">
            <v>-4.2731234282772812E-2</v>
          </cell>
          <cell r="AC131">
            <v>-4.4893850492581766E-2</v>
          </cell>
          <cell r="AD131">
            <v>-3.453750904097308E-2</v>
          </cell>
          <cell r="AE131">
            <v>-2.7910757911303041E-2</v>
          </cell>
          <cell r="AF131">
            <v>-3.3631585574965706E-2</v>
          </cell>
          <cell r="AG131">
            <v>-2.7688299294048369E-2</v>
          </cell>
          <cell r="AH131">
            <v>-1.9657407965202767E-2</v>
          </cell>
          <cell r="AI131">
            <v>-1.7255482259014077E-2</v>
          </cell>
          <cell r="AJ131">
            <v>-1.5819231914081189E-2</v>
          </cell>
          <cell r="AK131">
            <v>-1.4763567766217234E-2</v>
          </cell>
          <cell r="AL131">
            <v>-1.4168809563138818E-2</v>
          </cell>
          <cell r="AM131">
            <v>47975.430548305529</v>
          </cell>
          <cell r="AN131">
            <v>49410.291999375011</v>
          </cell>
          <cell r="AO131">
            <v>50554.644457335882</v>
          </cell>
          <cell r="AP131">
            <v>51481.064159720481</v>
          </cell>
          <cell r="AQ131">
            <v>52340.174496752908</v>
          </cell>
        </row>
        <row r="132">
          <cell r="A132" t="str">
            <v>Wholesale Subscribers</v>
          </cell>
          <cell r="C132">
            <v>65.846155668128276</v>
          </cell>
          <cell r="D132">
            <v>66.771142380637414</v>
          </cell>
          <cell r="E132">
            <v>66.724066617707891</v>
          </cell>
          <cell r="F132">
            <v>65.210318961317128</v>
          </cell>
          <cell r="G132">
            <v>63.613597512127122</v>
          </cell>
          <cell r="H132">
            <v>62.316058861164429</v>
          </cell>
          <cell r="I132">
            <v>66.486255917542493</v>
          </cell>
          <cell r="J132">
            <v>67.581030365063114</v>
          </cell>
          <cell r="K132">
            <v>66.095977172420234</v>
          </cell>
          <cell r="L132">
            <v>66.193173129589312</v>
          </cell>
          <cell r="M132">
            <v>3300</v>
          </cell>
          <cell r="N132">
            <v>3500</v>
          </cell>
          <cell r="O132">
            <v>3800</v>
          </cell>
          <cell r="P132">
            <v>4500</v>
          </cell>
          <cell r="Q132">
            <v>4500</v>
          </cell>
          <cell r="R132">
            <v>2031</v>
          </cell>
          <cell r="S132">
            <v>2330</v>
          </cell>
          <cell r="T132">
            <v>2752</v>
          </cell>
          <cell r="U132">
            <v>3675</v>
          </cell>
          <cell r="V132">
            <v>3675</v>
          </cell>
          <cell r="W132">
            <v>4296</v>
          </cell>
          <cell r="X132">
            <v>4383</v>
          </cell>
          <cell r="Y132">
            <v>4596</v>
          </cell>
          <cell r="Z132">
            <v>5154</v>
          </cell>
          <cell r="AA132">
            <v>5154</v>
          </cell>
          <cell r="AB132">
            <v>5382</v>
          </cell>
          <cell r="AC132">
            <v>5351</v>
          </cell>
          <cell r="AD132">
            <v>5551</v>
          </cell>
          <cell r="AE132">
            <v>5801</v>
          </cell>
          <cell r="AF132">
            <v>5801</v>
          </cell>
          <cell r="AG132">
            <v>6383</v>
          </cell>
          <cell r="AH132">
            <v>6900</v>
          </cell>
          <cell r="AI132">
            <v>7352</v>
          </cell>
          <cell r="AJ132">
            <v>7739</v>
          </cell>
          <cell r="AK132">
            <v>8061</v>
          </cell>
          <cell r="AL132">
            <v>8318</v>
          </cell>
          <cell r="AM132">
            <v>55.819332092356667</v>
          </cell>
          <cell r="AN132">
            <v>55.62791135468067</v>
          </cell>
          <cell r="AO132">
            <v>55.534107507700391</v>
          </cell>
          <cell r="AP132">
            <v>55.479791188748692</v>
          </cell>
          <cell r="AQ132">
            <v>55.443519045278443</v>
          </cell>
        </row>
        <row r="133">
          <cell r="A133" t="str">
            <v>MOU per Sub per Month</v>
          </cell>
          <cell r="C133">
            <v>465</v>
          </cell>
          <cell r="D133">
            <v>530</v>
          </cell>
          <cell r="E133">
            <v>550</v>
          </cell>
          <cell r="F133">
            <v>565</v>
          </cell>
          <cell r="G133">
            <v>527.5</v>
          </cell>
          <cell r="H133">
            <v>580</v>
          </cell>
          <cell r="I133">
            <v>647.5</v>
          </cell>
          <cell r="J133">
            <v>650</v>
          </cell>
          <cell r="K133">
            <v>647.5</v>
          </cell>
          <cell r="L133">
            <v>631.25</v>
          </cell>
          <cell r="M133">
            <v>673</v>
          </cell>
          <cell r="N133">
            <v>760</v>
          </cell>
          <cell r="O133">
            <v>765</v>
          </cell>
          <cell r="P133">
            <v>763</v>
          </cell>
          <cell r="Q133">
            <v>740.25</v>
          </cell>
          <cell r="R133">
            <v>825</v>
          </cell>
          <cell r="S133">
            <v>870</v>
          </cell>
          <cell r="T133">
            <v>875</v>
          </cell>
          <cell r="U133">
            <v>877.5</v>
          </cell>
          <cell r="V133">
            <v>861.875</v>
          </cell>
          <cell r="W133">
            <v>890</v>
          </cell>
          <cell r="X133">
            <v>975</v>
          </cell>
          <cell r="Y133">
            <v>1002</v>
          </cell>
          <cell r="Z133">
            <v>1010</v>
          </cell>
          <cell r="AA133">
            <v>969.25</v>
          </cell>
          <cell r="AB133">
            <v>1020</v>
          </cell>
          <cell r="AC133">
            <v>1097.9157303370785</v>
          </cell>
          <cell r="AD133">
            <v>1082.1600000000001</v>
          </cell>
          <cell r="AE133">
            <v>1070.6000000000001</v>
          </cell>
          <cell r="AF133">
            <v>1067.6689325842697</v>
          </cell>
          <cell r="AG133">
            <v>1121.0523792134832</v>
          </cell>
          <cell r="AH133">
            <v>1165.8944743820225</v>
          </cell>
          <cell r="AI133">
            <v>1200.8713086134833</v>
          </cell>
          <cell r="AJ133">
            <v>1224.8887347857531</v>
          </cell>
          <cell r="AK133">
            <v>1249.3865094814682</v>
          </cell>
          <cell r="AL133">
            <v>1274.3742396710977</v>
          </cell>
          <cell r="AM133">
            <v>-7.2040130883779252E-3</v>
          </cell>
          <cell r="AN133">
            <v>-3.429291080718766E-3</v>
          </cell>
          <cell r="AO133">
            <v>-1.6862730362495748E-3</v>
          </cell>
          <cell r="AP133">
            <v>-9.7807134010696739E-4</v>
          </cell>
          <cell r="AQ133">
            <v>-6.5379019446643039E-4</v>
          </cell>
        </row>
        <row r="134">
          <cell r="A134" t="str">
            <v xml:space="preserve">    Year-over-Year Growth</v>
          </cell>
          <cell r="L134">
            <v>0.19668246445497628</v>
          </cell>
          <cell r="M134">
            <v>0.16034482758620694</v>
          </cell>
          <cell r="N134">
            <v>0.17374517374517384</v>
          </cell>
          <cell r="O134">
            <v>0.17692307692307696</v>
          </cell>
          <cell r="P134">
            <v>0.17837837837837833</v>
          </cell>
          <cell r="Q134">
            <v>0.1726732673267326</v>
          </cell>
          <cell r="R134">
            <v>0.22585438335809815</v>
          </cell>
          <cell r="S134">
            <v>0.14473684210526305</v>
          </cell>
          <cell r="T134">
            <v>0.14379084967320255</v>
          </cell>
          <cell r="U134">
            <v>0.15006553079947582</v>
          </cell>
          <cell r="V134">
            <v>0.1643026004728132</v>
          </cell>
          <cell r="W134">
            <v>7.8787878787878851E-2</v>
          </cell>
          <cell r="X134">
            <v>0.1206896551724137</v>
          </cell>
          <cell r="Y134">
            <v>0.14514285714285724</v>
          </cell>
          <cell r="Z134">
            <v>0.15099715099715105</v>
          </cell>
          <cell r="AA134">
            <v>0.12458303118201597</v>
          </cell>
          <cell r="AB134">
            <v>0.14606741573033699</v>
          </cell>
          <cell r="AC134">
            <v>0.126067415730337</v>
          </cell>
          <cell r="AD134">
            <v>0.08</v>
          </cell>
          <cell r="AE134">
            <v>0.06</v>
          </cell>
          <cell r="AF134">
            <v>0.10154132843360286</v>
          </cell>
          <cell r="AG134">
            <v>0.05</v>
          </cell>
          <cell r="AH134">
            <v>0.04</v>
          </cell>
          <cell r="AI134">
            <v>0.03</v>
          </cell>
          <cell r="AJ134">
            <v>0.02</v>
          </cell>
          <cell r="AK134">
            <v>0.02</v>
          </cell>
          <cell r="AL134">
            <v>0.02</v>
          </cell>
        </row>
        <row r="135">
          <cell r="A135" t="str">
            <v>MOU per Sub per Month</v>
          </cell>
          <cell r="C135">
            <v>465</v>
          </cell>
          <cell r="D135">
            <v>530</v>
          </cell>
          <cell r="E135">
            <v>550</v>
          </cell>
          <cell r="F135">
            <v>565</v>
          </cell>
          <cell r="G135">
            <v>527.5</v>
          </cell>
          <cell r="H135">
            <v>580</v>
          </cell>
          <cell r="I135">
            <v>647.5</v>
          </cell>
          <cell r="J135">
            <v>650</v>
          </cell>
          <cell r="K135">
            <v>647.5</v>
          </cell>
          <cell r="L135">
            <v>631.25</v>
          </cell>
          <cell r="M135">
            <v>673</v>
          </cell>
          <cell r="N135">
            <v>760</v>
          </cell>
          <cell r="O135">
            <v>765</v>
          </cell>
          <cell r="P135">
            <v>763</v>
          </cell>
          <cell r="Q135">
            <v>740.25</v>
          </cell>
          <cell r="R135">
            <v>825</v>
          </cell>
          <cell r="S135">
            <v>870</v>
          </cell>
          <cell r="T135">
            <v>875</v>
          </cell>
          <cell r="U135">
            <v>877.5</v>
          </cell>
          <cell r="V135">
            <v>861.875</v>
          </cell>
          <cell r="W135">
            <v>890</v>
          </cell>
          <cell r="X135">
            <v>975</v>
          </cell>
          <cell r="Y135">
            <v>1002</v>
          </cell>
          <cell r="Z135">
            <v>1010</v>
          </cell>
          <cell r="AA135">
            <v>969.25</v>
          </cell>
          <cell r="AB135">
            <v>1020</v>
          </cell>
          <cell r="AC135">
            <v>1020</v>
          </cell>
          <cell r="AD135">
            <v>1020</v>
          </cell>
          <cell r="AE135">
            <v>960</v>
          </cell>
          <cell r="AF135">
            <v>1005</v>
          </cell>
          <cell r="AG135">
            <v>960</v>
          </cell>
          <cell r="AH135">
            <v>960</v>
          </cell>
          <cell r="AI135">
            <v>999.6</v>
          </cell>
          <cell r="AJ135">
            <v>979.2</v>
          </cell>
          <cell r="AK135">
            <v>974.7</v>
          </cell>
          <cell r="AL135">
            <v>1003.941</v>
          </cell>
          <cell r="AM135">
            <v>1029.0395249999999</v>
          </cell>
          <cell r="AN135">
            <v>1049.6203154999998</v>
          </cell>
          <cell r="AO135">
            <v>1070.6127218099998</v>
          </cell>
          <cell r="AP135">
            <v>1092.0249762461999</v>
          </cell>
          <cell r="AQ135">
            <v>1113.865475771124</v>
          </cell>
        </row>
        <row r="136">
          <cell r="A136" t="str">
            <v>Avg. Price per Minute</v>
          </cell>
          <cell r="G136">
            <v>0.12059449765332156</v>
          </cell>
          <cell r="H136">
            <v>0.10744148079511108</v>
          </cell>
          <cell r="I136">
            <v>0.10268147632052894</v>
          </cell>
          <cell r="J136">
            <v>0.10397081594625095</v>
          </cell>
          <cell r="K136">
            <v>0.10207872922381503</v>
          </cell>
          <cell r="L136">
            <v>0.10486047228449792</v>
          </cell>
          <cell r="M136">
            <v>9.2665123511440184E-2</v>
          </cell>
          <cell r="N136">
            <v>8.5452854006730805E-2</v>
          </cell>
          <cell r="O136">
            <v>8.6779849747294538E-2</v>
          </cell>
          <cell r="P136">
            <v>8.5547772758166329E-2</v>
          </cell>
          <cell r="Q136">
            <v>8.743926199158604E-2</v>
          </cell>
          <cell r="R136">
            <v>7.7589820561708114E-2</v>
          </cell>
          <cell r="S136">
            <v>7.5559073347009897E-2</v>
          </cell>
          <cell r="T136">
            <v>7.542549721399304E-2</v>
          </cell>
          <cell r="U136">
            <v>7.3506814325492623E-2</v>
          </cell>
          <cell r="V136">
            <v>7.7063118562153546E-2</v>
          </cell>
          <cell r="W136">
            <v>7.154124672949666E-2</v>
          </cell>
          <cell r="X136">
            <v>6.6010256219695626E-2</v>
          </cell>
          <cell r="Y136">
            <v>6.2781210672616272E-2</v>
          </cell>
          <cell r="Z136">
            <v>6.1001784002403331E-2</v>
          </cell>
          <cell r="AA136">
            <v>6.50373496423063E-2</v>
          </cell>
          <cell r="AB136">
            <v>5.975582240157748E-2</v>
          </cell>
          <cell r="AC136">
            <v>5.5988478811547129E-2</v>
          </cell>
          <cell r="AD136">
            <v>5.612305929759958E-2</v>
          </cell>
          <cell r="AE136">
            <v>5.5942620732976074E-2</v>
          </cell>
          <cell r="AF136">
            <v>5.7056452472477967E-2</v>
          </cell>
          <cell r="AG136">
            <v>5.283491079977462E-2</v>
          </cell>
          <cell r="AH136">
            <v>4.9804147503248415E-2</v>
          </cell>
          <cell r="AI136">
            <v>4.7519177591826008E-2</v>
          </cell>
          <cell r="AJ136">
            <v>4.5850451667778916E-2</v>
          </cell>
          <cell r="AK136">
            <v>4.4287779821049013E-2</v>
          </cell>
          <cell r="AL136">
            <v>4.2804190885088571E-2</v>
          </cell>
          <cell r="AM136">
            <v>2.5000000000000001E-2</v>
          </cell>
          <cell r="AN136">
            <v>0.02</v>
          </cell>
          <cell r="AO136">
            <v>0.02</v>
          </cell>
          <cell r="AP136">
            <v>0.02</v>
          </cell>
          <cell r="AQ136">
            <v>0.02</v>
          </cell>
        </row>
        <row r="137">
          <cell r="A137" t="str">
            <v xml:space="preserve">    Year-over-Year Change</v>
          </cell>
          <cell r="L137">
            <v>-0.13047050798333226</v>
          </cell>
          <cell r="M137">
            <v>-0.13752935248397347</v>
          </cell>
          <cell r="N137">
            <v>-0.16778705304175345</v>
          </cell>
          <cell r="O137">
            <v>-0.16534415011077241</v>
          </cell>
          <cell r="P137">
            <v>-0.16194320394999606</v>
          </cell>
          <cell r="Q137">
            <v>-0.16613705730455075</v>
          </cell>
          <cell r="R137">
            <v>-0.16268583452404195</v>
          </cell>
          <cell r="S137">
            <v>-0.11578057602314384</v>
          </cell>
          <cell r="T137">
            <v>-0.13084088721478204</v>
          </cell>
          <cell r="U137">
            <v>-0.14075127901590267</v>
          </cell>
          <cell r="V137">
            <v>-0.11866686878522548</v>
          </cell>
          <cell r="W137">
            <v>-7.7955765181863645E-2</v>
          </cell>
          <cell r="X137">
            <v>-0.12637551923725576</v>
          </cell>
          <cell r="Y137">
            <v>-0.16763941914102465</v>
          </cell>
          <cell r="Z137">
            <v>-0.17012069476601532</v>
          </cell>
          <cell r="AA137">
            <v>-0.15605089885050694</v>
          </cell>
          <cell r="AB137">
            <v>-0.16473607697222326</v>
          </cell>
          <cell r="AC137">
            <v>-0.15182151959528789</v>
          </cell>
          <cell r="AD137">
            <v>-0.10605324911201219</v>
          </cell>
          <cell r="AE137">
            <v>-8.2934677274814406E-2</v>
          </cell>
          <cell r="AF137">
            <v>-0.12271252155448875</v>
          </cell>
          <cell r="AG137">
            <v>-7.3988856470522224E-2</v>
          </cell>
          <cell r="AH137">
            <v>-5.7362892274233412E-2</v>
          </cell>
          <cell r="AI137">
            <v>-4.5879108989334116E-2</v>
          </cell>
          <cell r="AJ137">
            <v>-3.5116894033413115E-2</v>
          </cell>
          <cell r="AK137">
            <v>-3.4081929182565918E-2</v>
          </cell>
          <cell r="AL137">
            <v>-3.3498832905038189E-2</v>
          </cell>
        </row>
        <row r="138">
          <cell r="A138" t="str">
            <v xml:space="preserve">   Average</v>
          </cell>
          <cell r="G138">
            <v>0.12059449765332156</v>
          </cell>
          <cell r="H138">
            <v>0.10744148079511108</v>
          </cell>
          <cell r="I138">
            <v>0.10268147632052894</v>
          </cell>
          <cell r="J138">
            <v>0.10397081594625095</v>
          </cell>
          <cell r="K138">
            <v>0.10207872922381503</v>
          </cell>
          <cell r="L138">
            <v>0.10486047228449792</v>
          </cell>
          <cell r="M138">
            <v>9.2665123511440184E-2</v>
          </cell>
          <cell r="N138">
            <v>8.5452854006730805E-2</v>
          </cell>
          <cell r="O138">
            <v>8.6779849747294538E-2</v>
          </cell>
          <cell r="P138">
            <v>8.5547772758166329E-2</v>
          </cell>
          <cell r="Q138">
            <v>8.743926199158604E-2</v>
          </cell>
          <cell r="R138">
            <v>7.7589820561708114E-2</v>
          </cell>
          <cell r="S138">
            <v>3018</v>
          </cell>
          <cell r="T138">
            <v>3069.5</v>
          </cell>
          <cell r="U138">
            <v>3175</v>
          </cell>
          <cell r="V138">
            <v>3096.5</v>
          </cell>
          <cell r="W138">
            <v>3313</v>
          </cell>
          <cell r="X138">
            <v>3446.5</v>
          </cell>
          <cell r="Y138">
            <v>3281</v>
          </cell>
          <cell r="Z138">
            <v>2943</v>
          </cell>
          <cell r="AA138">
            <v>3194.75</v>
          </cell>
          <cell r="AB138">
            <v>2038.5</v>
          </cell>
          <cell r="AC138">
            <v>1269.5</v>
          </cell>
          <cell r="AD138">
            <v>876.3</v>
          </cell>
          <cell r="AE138">
            <v>903.8</v>
          </cell>
          <cell r="AF138">
            <v>1086.6500000000001</v>
          </cell>
          <cell r="AG138">
            <v>986.3</v>
          </cell>
          <cell r="AH138">
            <v>1093.8</v>
          </cell>
          <cell r="AI138">
            <v>1196.3</v>
          </cell>
          <cell r="AJ138">
            <v>1293.8</v>
          </cell>
          <cell r="AK138">
            <v>1386.3</v>
          </cell>
          <cell r="AL138">
            <v>1473.8</v>
          </cell>
          <cell r="AM138">
            <v>5.4244108934840642E-2</v>
          </cell>
          <cell r="AN138">
            <v>5.2998127544989081E-2</v>
          </cell>
          <cell r="AO138">
            <v>5.1871331599547307E-2</v>
          </cell>
          <cell r="AP138">
            <v>5.080450758503588E-2</v>
          </cell>
          <cell r="AQ138">
            <v>4.9775776564845178E-2</v>
          </cell>
        </row>
        <row r="139">
          <cell r="A139" t="str">
            <v>Elasticity (Usage/Price)</v>
          </cell>
          <cell r="L139">
            <v>1.5074860019714391</v>
          </cell>
          <cell r="M139">
            <v>1.1658953139104773</v>
          </cell>
          <cell r="N139">
            <v>1.0355100146012919</v>
          </cell>
          <cell r="O139">
            <v>1.0700292499283901</v>
          </cell>
          <cell r="P139">
            <v>1.1014872747204447</v>
          </cell>
          <cell r="Q139">
            <v>1.0393422763604157</v>
          </cell>
          <cell r="R139">
            <v>1.3882854891383987</v>
          </cell>
          <cell r="S139">
            <v>1.2500960616773147</v>
          </cell>
          <cell r="T139">
            <v>1.0989748902968113</v>
          </cell>
          <cell r="U139">
            <v>1.0661752550221641</v>
          </cell>
          <cell r="V139">
            <v>1.384570117630588</v>
          </cell>
          <cell r="W139">
            <v>1.010674176618932</v>
          </cell>
          <cell r="X139">
            <v>0.95500818434488488</v>
          </cell>
          <cell r="Y139">
            <v>0.86580386574089452</v>
          </cell>
          <cell r="Z139">
            <v>0.88758837485840936</v>
          </cell>
          <cell r="AA139">
            <v>0.7983486932770798</v>
          </cell>
          <cell r="AB139">
            <v>0.88667533193087966</v>
          </cell>
          <cell r="AC139">
            <v>0.83036591957712014</v>
          </cell>
          <cell r="AD139">
            <v>0.75433803933253329</v>
          </cell>
          <cell r="AE139">
            <v>0.72346094506622971</v>
          </cell>
          <cell r="AF139">
            <v>0.82747324516931942</v>
          </cell>
          <cell r="AG139">
            <v>0.67577743980839089</v>
          </cell>
          <cell r="AH139">
            <v>0.69731490889219727</v>
          </cell>
          <cell r="AI139">
            <v>0.65389238502810376</v>
          </cell>
          <cell r="AJ139">
            <v>0.5695264501743903</v>
          </cell>
          <cell r="AK139">
            <v>0.5868212416282671</v>
          </cell>
          <cell r="AL139">
            <v>0.59703572529513471</v>
          </cell>
          <cell r="AM139">
            <v>-3.1418549354515046E-2</v>
          </cell>
          <cell r="AN139">
            <v>-2.2969893216390869E-2</v>
          </cell>
          <cell r="AO139">
            <v>-2.1261051996322999E-2</v>
          </cell>
          <cell r="AP139">
            <v>-2.0566736607948166E-2</v>
          </cell>
          <cell r="AQ139">
            <v>-2.0248813916143638E-2</v>
          </cell>
        </row>
        <row r="140">
          <cell r="A140" t="str">
            <v>Wholesale/Affiliate Revenues</v>
          </cell>
          <cell r="H140">
            <v>0</v>
          </cell>
          <cell r="I140">
            <v>0</v>
          </cell>
          <cell r="J140">
            <v>0</v>
          </cell>
          <cell r="K140">
            <v>0</v>
          </cell>
          <cell r="L140">
            <v>0</v>
          </cell>
          <cell r="M140">
            <v>73</v>
          </cell>
          <cell r="N140">
            <v>56</v>
          </cell>
          <cell r="O140">
            <v>100</v>
          </cell>
          <cell r="P140">
            <v>101</v>
          </cell>
          <cell r="Q140">
            <v>330</v>
          </cell>
          <cell r="R140">
            <v>121</v>
          </cell>
          <cell r="S140">
            <v>124</v>
          </cell>
          <cell r="T140">
            <v>166</v>
          </cell>
          <cell r="U140">
            <v>197</v>
          </cell>
          <cell r="V140">
            <v>608</v>
          </cell>
          <cell r="W140">
            <v>225</v>
          </cell>
          <cell r="X140">
            <v>225</v>
          </cell>
          <cell r="Y140">
            <v>227</v>
          </cell>
          <cell r="Z140">
            <v>215</v>
          </cell>
          <cell r="AA140">
            <v>892</v>
          </cell>
          <cell r="AB140">
            <v>198</v>
          </cell>
          <cell r="AC140">
            <v>204</v>
          </cell>
          <cell r="AD140">
            <v>195.00591216781419</v>
          </cell>
          <cell r="AE140">
            <v>199.04357892043998</v>
          </cell>
          <cell r="AF140">
            <v>796.04949108825417</v>
          </cell>
          <cell r="AG140">
            <v>839.92750436272343</v>
          </cell>
          <cell r="AH140">
            <v>904.12031930400246</v>
          </cell>
          <cell r="AI140">
            <v>958.13932560386047</v>
          </cell>
          <cell r="AJ140">
            <v>1002.3961797457496</v>
          </cell>
          <cell r="AK140">
            <v>1037.2906643414478</v>
          </cell>
          <cell r="AL140">
            <v>1063.2109789237643</v>
          </cell>
        </row>
        <row r="141">
          <cell r="A141" t="str">
            <v>Equipment Revenues</v>
          </cell>
          <cell r="C141">
            <v>319</v>
          </cell>
          <cell r="D141">
            <v>337</v>
          </cell>
          <cell r="E141">
            <v>505</v>
          </cell>
          <cell r="F141">
            <v>452</v>
          </cell>
          <cell r="G141">
            <v>1613</v>
          </cell>
          <cell r="H141">
            <v>422</v>
          </cell>
          <cell r="I141">
            <v>418</v>
          </cell>
          <cell r="J141">
            <v>484</v>
          </cell>
          <cell r="K141">
            <v>425</v>
          </cell>
          <cell r="L141">
            <v>1749</v>
          </cell>
          <cell r="M141">
            <v>429</v>
          </cell>
          <cell r="N141">
            <v>408</v>
          </cell>
          <cell r="O141">
            <v>628</v>
          </cell>
          <cell r="P141">
            <v>606</v>
          </cell>
          <cell r="Q141">
            <v>2071</v>
          </cell>
          <cell r="R141">
            <v>704</v>
          </cell>
          <cell r="S141">
            <v>738</v>
          </cell>
          <cell r="T141">
            <v>695</v>
          </cell>
          <cell r="U141">
            <v>816</v>
          </cell>
          <cell r="V141">
            <v>2953</v>
          </cell>
          <cell r="W141">
            <v>679</v>
          </cell>
          <cell r="X141">
            <v>757</v>
          </cell>
          <cell r="Y141">
            <v>817</v>
          </cell>
          <cell r="Z141">
            <v>842</v>
          </cell>
          <cell r="AA141">
            <v>3095</v>
          </cell>
          <cell r="AB141">
            <v>830</v>
          </cell>
          <cell r="AC141">
            <v>800.97285222989581</v>
          </cell>
          <cell r="AD141">
            <v>789.59968781153145</v>
          </cell>
          <cell r="AE141">
            <v>828.36089543110484</v>
          </cell>
          <cell r="AF141">
            <v>3248.933435472532</v>
          </cell>
          <cell r="AG141">
            <v>3256.6935487078435</v>
          </cell>
          <cell r="AH141">
            <v>3239.4735186656139</v>
          </cell>
          <cell r="AI141">
            <v>3210.2030439033151</v>
          </cell>
          <cell r="AJ141">
            <v>3176.6167510434352</v>
          </cell>
          <cell r="AK141">
            <v>3138.2531190489512</v>
          </cell>
          <cell r="AL141">
            <v>3099.55947064579</v>
          </cell>
          <cell r="AM141">
            <v>0.79570828423392315</v>
          </cell>
          <cell r="AN141">
            <v>0.87070496199470315</v>
          </cell>
          <cell r="AO141">
            <v>0.94068722485881262</v>
          </cell>
          <cell r="AP141">
            <v>0.97244401876916409</v>
          </cell>
          <cell r="AQ141">
            <v>0.98771217330683914</v>
          </cell>
        </row>
        <row r="142">
          <cell r="A142" t="str">
            <v xml:space="preserve">    Year-over-Year Growth</v>
          </cell>
          <cell r="H142">
            <v>0.32288401253918497</v>
          </cell>
          <cell r="I142">
            <v>0.24035608308605338</v>
          </cell>
          <cell r="J142">
            <v>-4.1584158415841621E-2</v>
          </cell>
          <cell r="K142">
            <v>-5.9734513274336321E-2</v>
          </cell>
          <cell r="L142">
            <v>8.4314941103533769E-2</v>
          </cell>
          <cell r="M142">
            <v>1.6587677725118377E-2</v>
          </cell>
          <cell r="N142">
            <v>-2.3923444976076569E-2</v>
          </cell>
          <cell r="O142">
            <v>0.29752066115702469</v>
          </cell>
          <cell r="P142">
            <v>0.42588235294117638</v>
          </cell>
          <cell r="Q142">
            <v>0.1841052029731276</v>
          </cell>
          <cell r="R142">
            <v>0.64102564102564097</v>
          </cell>
          <cell r="S142">
            <v>0.80882352941176472</v>
          </cell>
          <cell r="T142">
            <v>0.1066878980891719</v>
          </cell>
          <cell r="U142">
            <v>0.34653465346534662</v>
          </cell>
          <cell r="V142">
            <v>0.42588121680347668</v>
          </cell>
          <cell r="W142">
            <v>-3.5511363636363646E-2</v>
          </cell>
          <cell r="X142">
            <v>2.5745257452574499E-2</v>
          </cell>
          <cell r="Y142">
            <v>0.1755395683453238</v>
          </cell>
          <cell r="Z142">
            <v>3.1862745098039325E-2</v>
          </cell>
          <cell r="AA142">
            <v>4.8086691500169421E-2</v>
          </cell>
          <cell r="AB142">
            <v>0.22238586156111939</v>
          </cell>
          <cell r="AC142">
            <v>5.8088312060628589E-2</v>
          </cell>
          <cell r="AD142">
            <v>-3.3537713816975012E-2</v>
          </cell>
          <cell r="AE142">
            <v>-1.6198461483248439E-2</v>
          </cell>
          <cell r="AF142">
            <v>4.9736166550091054E-2</v>
          </cell>
          <cell r="AG142">
            <v>2.3885109958194928E-3</v>
          </cell>
          <cell r="AH142">
            <v>-5.287580727103447E-3</v>
          </cell>
          <cell r="AI142">
            <v>-9.0355653761774457E-3</v>
          </cell>
          <cell r="AJ142">
            <v>-1.0462357801219291E-2</v>
          </cell>
          <cell r="AK142">
            <v>-1.207688399360185E-2</v>
          </cell>
          <cell r="AL142">
            <v>-1.2329677350846446E-2</v>
          </cell>
        </row>
        <row r="143">
          <cell r="A143" t="str">
            <v>Rev. per Gross Add</v>
          </cell>
          <cell r="C143">
            <v>122.792017171636</v>
          </cell>
          <cell r="D143">
            <v>131.97008367431971</v>
          </cell>
          <cell r="E143">
            <v>160.55212125913556</v>
          </cell>
          <cell r="F143">
            <v>135.30115492706636</v>
          </cell>
          <cell r="G143">
            <v>138.60258485141975</v>
          </cell>
          <cell r="H143">
            <v>138.93996706925233</v>
          </cell>
          <cell r="I143">
            <v>159.11749932765244</v>
          </cell>
          <cell r="J143">
            <v>182.4249400523002</v>
          </cell>
          <cell r="K143">
            <v>144.77414722065998</v>
          </cell>
          <cell r="L143">
            <v>155.42486773890275</v>
          </cell>
          <cell r="M143">
            <v>156.50037437880934</v>
          </cell>
          <cell r="N143">
            <v>152.49600071762825</v>
          </cell>
          <cell r="O143">
            <v>233.22393843185128</v>
          </cell>
          <cell r="P143">
            <v>204.90899048339756</v>
          </cell>
          <cell r="Q143">
            <v>187.13648556957216</v>
          </cell>
          <cell r="R143">
            <v>234.16337152679839</v>
          </cell>
          <cell r="S143">
            <v>257.81569322028565</v>
          </cell>
          <cell r="T143">
            <v>228.41397551730836</v>
          </cell>
          <cell r="U143">
            <v>256.21622639969104</v>
          </cell>
          <cell r="V143">
            <v>244.12042204973693</v>
          </cell>
          <cell r="W143">
            <v>187.32858675617237</v>
          </cell>
          <cell r="X143">
            <v>221.85555649989888</v>
          </cell>
          <cell r="Y143">
            <v>235.62027759068025</v>
          </cell>
          <cell r="Z143">
            <v>210.28718936436329</v>
          </cell>
          <cell r="AA143">
            <v>213.32662819136547</v>
          </cell>
          <cell r="AB143">
            <v>211.07717769977245</v>
          </cell>
          <cell r="AC143">
            <v>207.07717769977245</v>
          </cell>
          <cell r="AD143">
            <v>203.07717769977245</v>
          </cell>
          <cell r="AE143">
            <v>199.07717769977245</v>
          </cell>
          <cell r="AF143">
            <v>204.98801814676381</v>
          </cell>
          <cell r="AG143">
            <v>199.98801814676381</v>
          </cell>
          <cell r="AH143">
            <v>194.98801814676381</v>
          </cell>
          <cell r="AI143">
            <v>189.98801814676381</v>
          </cell>
          <cell r="AJ143">
            <v>184.98801814676381</v>
          </cell>
          <cell r="AK143">
            <v>179.98801814676381</v>
          </cell>
          <cell r="AL143">
            <v>174.98801814676381</v>
          </cell>
        </row>
        <row r="144">
          <cell r="A144" t="str">
            <v>Wholesale/Affiliate ARPU</v>
          </cell>
          <cell r="C144">
            <v>319</v>
          </cell>
          <cell r="D144">
            <v>337</v>
          </cell>
          <cell r="E144">
            <v>505</v>
          </cell>
          <cell r="F144">
            <v>452</v>
          </cell>
          <cell r="G144">
            <v>1613</v>
          </cell>
          <cell r="H144">
            <v>422</v>
          </cell>
          <cell r="I144">
            <v>418</v>
          </cell>
          <cell r="J144">
            <v>484</v>
          </cell>
          <cell r="K144">
            <v>425</v>
          </cell>
          <cell r="L144">
            <v>1749</v>
          </cell>
          <cell r="M144">
            <v>429</v>
          </cell>
          <cell r="N144">
            <v>5.4901960784313717</v>
          </cell>
          <cell r="O144">
            <v>9.1324200913242013</v>
          </cell>
          <cell r="P144">
            <v>8.1124497991967868</v>
          </cell>
          <cell r="Q144">
            <v>2071</v>
          </cell>
          <cell r="R144">
            <v>704</v>
          </cell>
          <cell r="S144">
            <v>7.9510115097303711</v>
          </cell>
          <cell r="T144">
            <v>9.8624602679499755</v>
          </cell>
          <cell r="U144">
            <v>10.278886540919883</v>
          </cell>
          <cell r="V144">
            <v>8.232993722342286</v>
          </cell>
          <cell r="W144">
            <v>10.276084126875386</v>
          </cell>
          <cell r="X144">
            <v>9.6326740303108149</v>
          </cell>
          <cell r="Y144">
            <v>9.7376831177744894</v>
          </cell>
          <cell r="Z144">
            <v>9.1668798499189901</v>
          </cell>
          <cell r="AA144">
            <v>9.5274715884815855</v>
          </cell>
          <cell r="AB144">
            <v>9.0330527612399916</v>
          </cell>
          <cell r="AC144">
            <v>10.247136829415311</v>
          </cell>
          <cell r="AD144">
            <v>10.273255689252085</v>
          </cell>
          <cell r="AE144">
            <v>10.083567834910889</v>
          </cell>
          <cell r="AF144">
            <v>10.03911342343072</v>
          </cell>
          <cell r="AG144">
            <v>9.8885267220792592</v>
          </cell>
          <cell r="AH144">
            <v>9.7401988212480699</v>
          </cell>
          <cell r="AI144">
            <v>9.5940958389293485</v>
          </cell>
          <cell r="AJ144">
            <v>9.4501844013454086</v>
          </cell>
          <cell r="AK144">
            <v>9.3084316353252277</v>
          </cell>
          <cell r="AL144">
            <v>9.1688051607953494</v>
          </cell>
          <cell r="AM144">
            <v>2711.1991248012496</v>
          </cell>
          <cell r="AN144">
            <v>2730.6510968056159</v>
          </cell>
          <cell r="AO144">
            <v>2736.3480654865434</v>
          </cell>
          <cell r="AP144">
            <v>2732.7190359202978</v>
          </cell>
          <cell r="AQ144">
            <v>2720.1162122309579</v>
          </cell>
        </row>
        <row r="145">
          <cell r="A145" t="str">
            <v>Wholesale/Affiliate Revenues</v>
          </cell>
          <cell r="H145">
            <v>0</v>
          </cell>
          <cell r="I145">
            <v>0</v>
          </cell>
          <cell r="J145">
            <v>0</v>
          </cell>
          <cell r="K145">
            <v>0</v>
          </cell>
          <cell r="L145">
            <v>0</v>
          </cell>
          <cell r="M145">
            <v>73</v>
          </cell>
          <cell r="N145">
            <v>56</v>
          </cell>
          <cell r="O145">
            <v>100</v>
          </cell>
          <cell r="P145">
            <v>101</v>
          </cell>
          <cell r="Q145">
            <v>330</v>
          </cell>
          <cell r="R145">
            <v>121</v>
          </cell>
          <cell r="S145">
            <v>124</v>
          </cell>
          <cell r="T145">
            <v>166</v>
          </cell>
          <cell r="U145">
            <v>197</v>
          </cell>
          <cell r="V145">
            <v>608</v>
          </cell>
          <cell r="W145">
            <v>225</v>
          </cell>
          <cell r="X145">
            <v>225</v>
          </cell>
          <cell r="Y145">
            <v>227</v>
          </cell>
          <cell r="Z145">
            <v>215</v>
          </cell>
          <cell r="AA145">
            <v>892</v>
          </cell>
          <cell r="AB145">
            <v>198</v>
          </cell>
          <cell r="AC145">
            <v>183.71108399691752</v>
          </cell>
          <cell r="AD145">
            <v>195.66827424232676</v>
          </cell>
          <cell r="AE145">
            <v>194.38758314146841</v>
          </cell>
          <cell r="AF145">
            <v>771.76694138071275</v>
          </cell>
          <cell r="AG145">
            <v>855.02659458433618</v>
          </cell>
          <cell r="AH145">
            <v>929.77173518794132</v>
          </cell>
          <cell r="AI145">
            <v>989.31439557112685</v>
          </cell>
          <cell r="AJ145">
            <v>1035.2674808881056</v>
          </cell>
          <cell r="AK145">
            <v>1069.1066359790361</v>
          </cell>
          <cell r="AL145">
            <v>1092.1806379385018</v>
          </cell>
          <cell r="AM145">
            <v>1.6764185063861792E-2</v>
          </cell>
          <cell r="AN145">
            <v>7.1746747874124051E-3</v>
          </cell>
          <cell r="AO145">
            <v>2.0863041373508917E-3</v>
          </cell>
          <cell r="AP145">
            <v>-1.3262309762483993E-3</v>
          </cell>
          <cell r="AQ145">
            <v>-4.6118256299610971E-3</v>
          </cell>
        </row>
        <row r="146">
          <cell r="A146" t="str">
            <v xml:space="preserve">    Year-over-Year Growth</v>
          </cell>
          <cell r="C146">
            <v>122.792017171636</v>
          </cell>
          <cell r="D146">
            <v>131.97008367431971</v>
          </cell>
          <cell r="E146">
            <v>160.55212125913556</v>
          </cell>
          <cell r="F146">
            <v>135.30115492706636</v>
          </cell>
          <cell r="G146">
            <v>138.60258485141975</v>
          </cell>
          <cell r="H146">
            <v>138.93996706925233</v>
          </cell>
          <cell r="I146">
            <v>159.11749932765244</v>
          </cell>
          <cell r="J146">
            <v>182.4249400523002</v>
          </cell>
          <cell r="K146">
            <v>144.77414722065998</v>
          </cell>
          <cell r="L146">
            <v>155.42486773890275</v>
          </cell>
          <cell r="M146">
            <v>156.50037437880934</v>
          </cell>
          <cell r="N146">
            <v>152.49600071762825</v>
          </cell>
          <cell r="O146">
            <v>233.22393843185128</v>
          </cell>
          <cell r="P146">
            <v>204.90899048339756</v>
          </cell>
          <cell r="Q146">
            <v>187.13648556957216</v>
          </cell>
          <cell r="R146">
            <v>0.65753424657534243</v>
          </cell>
          <cell r="S146">
            <v>1.2142857142857144</v>
          </cell>
          <cell r="T146">
            <v>0.65999999999999992</v>
          </cell>
          <cell r="U146">
            <v>0.95049504950495045</v>
          </cell>
          <cell r="V146">
            <v>0.84242424242424252</v>
          </cell>
          <cell r="W146">
            <v>0.85950413223140498</v>
          </cell>
          <cell r="X146">
            <v>0.81451612903225801</v>
          </cell>
          <cell r="Y146">
            <v>0.3674698795180722</v>
          </cell>
          <cell r="Z146">
            <v>9.137055837563457E-2</v>
          </cell>
          <cell r="AA146">
            <v>0.46710526315789469</v>
          </cell>
          <cell r="AB146">
            <v>-0.12</v>
          </cell>
          <cell r="AC146">
            <v>-0.18350629334703328</v>
          </cell>
          <cell r="AD146">
            <v>-0.1380252236020848</v>
          </cell>
          <cell r="AE146">
            <v>-9.5871706318751526E-2</v>
          </cell>
          <cell r="AF146">
            <v>-0.13479042446108436</v>
          </cell>
          <cell r="AG146">
            <v>0.10788186010490364</v>
          </cell>
          <cell r="AH146">
            <v>8.7418497947355567E-2</v>
          </cell>
          <cell r="AI146">
            <v>6.4040084388185647E-2</v>
          </cell>
          <cell r="AJ146">
            <v>4.6449425503861441E-2</v>
          </cell>
          <cell r="AK146">
            <v>3.2686388508891939E-2</v>
          </cell>
          <cell r="AL146">
            <v>2.1582507472077905E-2</v>
          </cell>
          <cell r="AM146">
            <v>169.82041160416</v>
          </cell>
          <cell r="AN146">
            <v>165.82041160416</v>
          </cell>
          <cell r="AO146">
            <v>161.82041160416</v>
          </cell>
          <cell r="AP146">
            <v>157.82041160416</v>
          </cell>
          <cell r="AQ146">
            <v>153.82041160416</v>
          </cell>
        </row>
        <row r="147">
          <cell r="A147" t="str">
            <v>Average Wholesale/Affiliate Subscribers</v>
          </cell>
          <cell r="N147">
            <v>3400</v>
          </cell>
          <cell r="O147">
            <v>3650</v>
          </cell>
          <cell r="P147">
            <v>4150</v>
          </cell>
          <cell r="Q147">
            <v>3775</v>
          </cell>
          <cell r="R147">
            <v>3265.5</v>
          </cell>
          <cell r="S147">
            <v>5198.5</v>
          </cell>
          <cell r="T147">
            <v>5610.5</v>
          </cell>
          <cell r="U147">
            <v>6388.5</v>
          </cell>
          <cell r="V147">
            <v>6154.1</v>
          </cell>
          <cell r="W147">
            <v>7298.5</v>
          </cell>
          <cell r="X147">
            <v>7786</v>
          </cell>
          <cell r="Y147">
            <v>7770.5</v>
          </cell>
          <cell r="Z147">
            <v>7818</v>
          </cell>
          <cell r="AA147">
            <v>7802</v>
          </cell>
          <cell r="AB147">
            <v>7306.5</v>
          </cell>
          <cell r="AC147">
            <v>6763</v>
          </cell>
          <cell r="AD147">
            <v>7050.5</v>
          </cell>
          <cell r="AE147">
            <v>7440.5</v>
          </cell>
          <cell r="AF147">
            <v>7101.75</v>
          </cell>
          <cell r="AG147">
            <v>8282</v>
          </cell>
          <cell r="AH147">
            <v>9480</v>
          </cell>
          <cell r="AI147">
            <v>10618</v>
          </cell>
          <cell r="AJ147">
            <v>11696</v>
          </cell>
          <cell r="AK147">
            <v>12714</v>
          </cell>
          <cell r="AL147">
            <v>13672</v>
          </cell>
        </row>
        <row r="148">
          <cell r="A148" t="str">
            <v>Wholesale/Affiliate ARPU</v>
          </cell>
          <cell r="C148">
            <v>2091</v>
          </cell>
          <cell r="D148">
            <v>2111</v>
          </cell>
          <cell r="E148">
            <v>1862.7</v>
          </cell>
          <cell r="F148">
            <v>1829</v>
          </cell>
          <cell r="G148">
            <v>7893.7</v>
          </cell>
          <cell r="H148">
            <v>2059</v>
          </cell>
          <cell r="I148">
            <v>2020</v>
          </cell>
          <cell r="J148">
            <v>2096</v>
          </cell>
          <cell r="K148">
            <v>2124</v>
          </cell>
          <cell r="L148">
            <v>8299</v>
          </cell>
          <cell r="M148">
            <v>2127</v>
          </cell>
          <cell r="N148">
            <v>5.4901960784313717</v>
          </cell>
          <cell r="O148">
            <v>9.1324200913242013</v>
          </cell>
          <cell r="P148">
            <v>8.1124497991967868</v>
          </cell>
          <cell r="Q148">
            <v>9306</v>
          </cell>
          <cell r="R148">
            <v>1379.1838</v>
          </cell>
          <cell r="S148">
            <v>7.9510115097303711</v>
          </cell>
          <cell r="T148">
            <v>9.8624602679499755</v>
          </cell>
          <cell r="U148">
            <v>10.278886540919883</v>
          </cell>
          <cell r="V148">
            <v>8.232993722342286</v>
          </cell>
          <cell r="W148">
            <v>10.276084126875386</v>
          </cell>
          <cell r="X148">
            <v>9.6326740303108149</v>
          </cell>
          <cell r="Y148">
            <v>9.7376831177744894</v>
          </cell>
          <cell r="Z148">
            <v>9.1668798499189901</v>
          </cell>
          <cell r="AA148">
            <v>9.5274715884815855</v>
          </cell>
          <cell r="AB148">
            <v>9.0330527612399916</v>
          </cell>
          <cell r="AC148">
            <v>9.0547135884921648</v>
          </cell>
          <cell r="AD148">
            <v>9.2507989618857653</v>
          </cell>
          <cell r="AE148">
            <v>8.7085358574230405</v>
          </cell>
          <cell r="AF148">
            <v>9.0560653052734974</v>
          </cell>
          <cell r="AG148">
            <v>8.6032620400098221</v>
          </cell>
          <cell r="AH148">
            <v>8.1730989380093302</v>
          </cell>
          <cell r="AI148">
            <v>7.7644439911088634</v>
          </cell>
          <cell r="AJ148">
            <v>7.3762217915534203</v>
          </cell>
          <cell r="AK148">
            <v>7.0074107019757488</v>
          </cell>
          <cell r="AL148">
            <v>6.6570401668769614</v>
          </cell>
        </row>
        <row r="149">
          <cell r="A149" t="str">
            <v xml:space="preserve">    Year-over-Year Change</v>
          </cell>
          <cell r="H149">
            <v>-1.5303682448589151E-2</v>
          </cell>
          <cell r="I149">
            <v>-4.3107531975367097E-2</v>
          </cell>
          <cell r="J149">
            <v>0.12524829548504846</v>
          </cell>
          <cell r="K149">
            <v>0.16129032258064524</v>
          </cell>
          <cell r="L149">
            <v>5.1344743276283689E-2</v>
          </cell>
          <cell r="M149">
            <v>3.3025740650801438E-2</v>
          </cell>
          <cell r="N149">
            <v>0.11089108910891099</v>
          </cell>
          <cell r="O149">
            <v>0.18511450381679384</v>
          </cell>
          <cell r="P149">
            <v>0.15395480225988711</v>
          </cell>
          <cell r="Q149">
            <v>0.12133992047234599</v>
          </cell>
          <cell r="R149">
            <v>-0.3515826046074283</v>
          </cell>
          <cell r="S149">
            <v>-0.38389019607843133</v>
          </cell>
          <cell r="T149">
            <v>-0.41224549114331721</v>
          </cell>
          <cell r="U149">
            <v>-0.41044471644226843</v>
          </cell>
          <cell r="V149">
            <v>-0.39106851493660011</v>
          </cell>
          <cell r="W149">
            <v>9.4850447054265041E-2</v>
          </cell>
          <cell r="X149">
            <v>0.2115029664492929</v>
          </cell>
          <cell r="Y149">
            <v>-1.2651726525172879E-2</v>
          </cell>
          <cell r="Z149">
            <v>-0.10818357480394725</v>
          </cell>
          <cell r="AA149">
            <v>0.15723051781594477</v>
          </cell>
          <cell r="AB149">
            <v>-0.12096352562786561</v>
          </cell>
          <cell r="AC149">
            <v>-0.06</v>
          </cell>
          <cell r="AD149">
            <v>-0.05</v>
          </cell>
          <cell r="AE149">
            <v>-0.05</v>
          </cell>
          <cell r="AF149">
            <v>-4.9478634371159291E-2</v>
          </cell>
          <cell r="AG149">
            <v>-0.05</v>
          </cell>
          <cell r="AH149">
            <v>-0.05</v>
          </cell>
          <cell r="AI149">
            <v>-0.05</v>
          </cell>
          <cell r="AJ149">
            <v>-0.05</v>
          </cell>
          <cell r="AK149">
            <v>-0.05</v>
          </cell>
          <cell r="AL149">
            <v>-0.05</v>
          </cell>
          <cell r="AM149">
            <v>9004</v>
          </cell>
          <cell r="AN149">
            <v>9756</v>
          </cell>
          <cell r="AO149">
            <v>10443</v>
          </cell>
          <cell r="AP149">
            <v>11065</v>
          </cell>
          <cell r="AQ149">
            <v>11622</v>
          </cell>
        </row>
        <row r="150">
          <cell r="A150" t="str">
            <v>Gross Margin</v>
          </cell>
          <cell r="C150">
            <v>0.4279069767441861</v>
          </cell>
          <cell r="D150">
            <v>0.47043624413616636</v>
          </cell>
          <cell r="E150">
            <v>0.58210127207053597</v>
          </cell>
          <cell r="F150">
            <v>0.60592937323594687</v>
          </cell>
          <cell r="G150">
            <v>0.52844999074068544</v>
          </cell>
          <cell r="H150">
            <v>0.57148803329864717</v>
          </cell>
          <cell r="I150">
            <v>0.60943542150038676</v>
          </cell>
          <cell r="J150">
            <v>0.61442236938925676</v>
          </cell>
          <cell r="K150">
            <v>0.60535117056856191</v>
          </cell>
          <cell r="L150">
            <v>0.60091368117335897</v>
          </cell>
          <cell r="M150">
            <v>0.60003760812335472</v>
          </cell>
          <cell r="N150">
            <v>0.60297239915074308</v>
          </cell>
          <cell r="O150">
            <v>0.6010920186285531</v>
          </cell>
          <cell r="P150">
            <v>0.611753524473309</v>
          </cell>
          <cell r="Q150">
            <v>0.60416843896214378</v>
          </cell>
          <cell r="R150">
            <v>0.7898546701203718</v>
          </cell>
          <cell r="S150">
            <v>0.80055533756491637</v>
          </cell>
          <cell r="T150">
            <v>0.79697090807954385</v>
          </cell>
          <cell r="U150">
            <v>0.80604026845637589</v>
          </cell>
          <cell r="V150">
            <v>0.79859552175149273</v>
          </cell>
          <cell r="W150">
            <v>0.79920212765957444</v>
          </cell>
          <cell r="X150">
            <v>0.80126422250316054</v>
          </cell>
          <cell r="Y150">
            <v>0.7948797421274485</v>
          </cell>
          <cell r="Z150">
            <v>0.78797083839611182</v>
          </cell>
          <cell r="AA150">
            <v>0.79570383912248632</v>
          </cell>
          <cell r="AB150">
            <v>0.79342337052260714</v>
          </cell>
          <cell r="AC150">
            <v>0.78906616611919289</v>
          </cell>
          <cell r="AD150">
            <v>0.79500000000000004</v>
          </cell>
          <cell r="AE150">
            <v>0.79</v>
          </cell>
          <cell r="AF150">
            <v>0.79188282546620592</v>
          </cell>
          <cell r="AG150">
            <v>0.79</v>
          </cell>
          <cell r="AH150">
            <v>0.79500000000000004</v>
          </cell>
          <cell r="AI150">
            <v>0.79749999999999999</v>
          </cell>
          <cell r="AJ150">
            <v>0.79749999999999999</v>
          </cell>
          <cell r="AK150">
            <v>0.79749999999999999</v>
          </cell>
          <cell r="AL150">
            <v>0.79749999999999999</v>
          </cell>
          <cell r="AM150">
            <v>817</v>
          </cell>
          <cell r="AN150">
            <v>752</v>
          </cell>
          <cell r="AO150">
            <v>687</v>
          </cell>
          <cell r="AP150">
            <v>622</v>
          </cell>
          <cell r="AQ150">
            <v>557</v>
          </cell>
        </row>
        <row r="151">
          <cell r="A151" t="str">
            <v xml:space="preserve">   Average</v>
          </cell>
          <cell r="N151">
            <v>3400</v>
          </cell>
          <cell r="O151">
            <v>3650</v>
          </cell>
          <cell r="P151">
            <v>4150</v>
          </cell>
          <cell r="Q151">
            <v>3775</v>
          </cell>
          <cell r="R151">
            <v>3265.5</v>
          </cell>
          <cell r="S151">
            <v>2180.5</v>
          </cell>
          <cell r="T151">
            <v>2541</v>
          </cell>
          <cell r="U151">
            <v>3213.5</v>
          </cell>
          <cell r="V151">
            <v>3057.6</v>
          </cell>
          <cell r="W151">
            <v>3985.5</v>
          </cell>
          <cell r="X151">
            <v>4339.5</v>
          </cell>
          <cell r="Y151">
            <v>4489.5</v>
          </cell>
          <cell r="Z151">
            <v>4875</v>
          </cell>
          <cell r="AA151">
            <v>4607.25</v>
          </cell>
          <cell r="AB151">
            <v>5268</v>
          </cell>
          <cell r="AC151">
            <v>5366.5</v>
          </cell>
          <cell r="AD151">
            <v>5439.5</v>
          </cell>
          <cell r="AE151">
            <v>5943</v>
          </cell>
          <cell r="AF151">
            <v>5654.75</v>
          </cell>
          <cell r="AG151">
            <v>6591.5</v>
          </cell>
          <cell r="AH151">
            <v>6902.5</v>
          </cell>
          <cell r="AI151">
            <v>7042.5</v>
          </cell>
          <cell r="AJ151">
            <v>7205</v>
          </cell>
          <cell r="AK151">
            <v>7053.75</v>
          </cell>
          <cell r="AL151">
            <v>7746</v>
          </cell>
          <cell r="AM151">
            <v>8595.5</v>
          </cell>
          <cell r="AN151">
            <v>9380</v>
          </cell>
          <cell r="AO151">
            <v>10099.5</v>
          </cell>
          <cell r="AP151">
            <v>10754</v>
          </cell>
          <cell r="AQ151">
            <v>11343.5</v>
          </cell>
        </row>
        <row r="152">
          <cell r="A152" t="str">
            <v>Cost of Equipment</v>
          </cell>
          <cell r="R152">
            <v>1078.8162</v>
          </cell>
          <cell r="S152">
            <v>1081.4495999999999</v>
          </cell>
          <cell r="T152">
            <v>1142.0178000000001</v>
          </cell>
          <cell r="U152">
            <v>1337</v>
          </cell>
          <cell r="V152">
            <v>4639.2836000000007</v>
          </cell>
          <cell r="W152">
            <v>1196</v>
          </cell>
          <cell r="X152">
            <v>1236</v>
          </cell>
          <cell r="Y152">
            <v>1300</v>
          </cell>
          <cell r="Z152">
            <v>1406</v>
          </cell>
          <cell r="AA152">
            <v>5138</v>
          </cell>
          <cell r="AB152">
            <v>1340</v>
          </cell>
          <cell r="AC152">
            <v>1282</v>
          </cell>
          <cell r="AD152">
            <v>1277.9438965874999</v>
          </cell>
          <cell r="AE152">
            <v>1460.9398463999999</v>
          </cell>
          <cell r="AF152">
            <v>5360.8837429874993</v>
          </cell>
          <cell r="AG152">
            <v>5348.5013150429049</v>
          </cell>
          <cell r="AH152">
            <v>5317.4271002984651</v>
          </cell>
          <cell r="AI152">
            <v>5245.3332427781461</v>
          </cell>
          <cell r="AJ152">
            <v>5147.3185422774068</v>
          </cell>
          <cell r="AK152">
            <v>5041.374095865207</v>
          </cell>
          <cell r="AL152">
            <v>4935.0551585915719</v>
          </cell>
        </row>
        <row r="153">
          <cell r="A153" t="str">
            <v>Cost of Service &amp; Product</v>
          </cell>
          <cell r="C153">
            <v>2091</v>
          </cell>
          <cell r="D153">
            <v>2111</v>
          </cell>
          <cell r="E153">
            <v>1862.7</v>
          </cell>
          <cell r="F153">
            <v>1829</v>
          </cell>
          <cell r="G153">
            <v>7893.7</v>
          </cell>
          <cell r="H153">
            <v>2059</v>
          </cell>
          <cell r="I153">
            <v>2020</v>
          </cell>
          <cell r="J153">
            <v>2096</v>
          </cell>
          <cell r="K153">
            <v>2124</v>
          </cell>
          <cell r="L153">
            <v>8299</v>
          </cell>
          <cell r="M153">
            <v>2127</v>
          </cell>
          <cell r="N153">
            <v>2244</v>
          </cell>
          <cell r="O153">
            <v>2484</v>
          </cell>
          <cell r="P153">
            <v>2451</v>
          </cell>
          <cell r="Q153">
            <v>9306</v>
          </cell>
          <cell r="R153">
            <v>1379.1838</v>
          </cell>
          <cell r="S153">
            <v>1382.5504000000001</v>
          </cell>
          <cell r="T153">
            <v>1459.9821999999999</v>
          </cell>
          <cell r="U153">
            <v>1445</v>
          </cell>
          <cell r="V153">
            <v>5666.7163999999993</v>
          </cell>
          <cell r="W153">
            <v>1510</v>
          </cell>
          <cell r="X153">
            <v>1572</v>
          </cell>
          <cell r="Y153">
            <v>1654.5</v>
          </cell>
          <cell r="Z153">
            <v>1745</v>
          </cell>
          <cell r="AA153">
            <v>6481.5</v>
          </cell>
          <cell r="AB153">
            <v>1759</v>
          </cell>
          <cell r="AC153">
            <v>1786.6015087472447</v>
          </cell>
          <cell r="AD153">
            <v>1635.1675133227013</v>
          </cell>
          <cell r="AE153">
            <v>1821.4221022188515</v>
          </cell>
          <cell r="AF153">
            <v>7002.1911242887973</v>
          </cell>
          <cell r="AG153">
            <v>6827.9159411556702</v>
          </cell>
          <cell r="AH153">
            <v>6686.9237016303268</v>
          </cell>
          <cell r="AI153">
            <v>6469.2485012853349</v>
          </cell>
          <cell r="AJ153">
            <v>6251.903242759533</v>
          </cell>
          <cell r="AK153">
            <v>6760.7624669147617</v>
          </cell>
          <cell r="AL153">
            <v>6617.5197347027961</v>
          </cell>
          <cell r="AM153">
            <v>1316</v>
          </cell>
          <cell r="AN153">
            <v>1445</v>
          </cell>
          <cell r="AO153">
            <v>1569</v>
          </cell>
          <cell r="AP153">
            <v>1688</v>
          </cell>
          <cell r="AQ153">
            <v>1802</v>
          </cell>
        </row>
        <row r="154">
          <cell r="A154" t="str">
            <v xml:space="preserve">    Year-over-Year Growth</v>
          </cell>
          <cell r="H154">
            <v>-1.5303682448589151E-2</v>
          </cell>
          <cell r="I154">
            <v>-4.3107531975367097E-2</v>
          </cell>
          <cell r="J154">
            <v>0.12524829548504846</v>
          </cell>
          <cell r="K154">
            <v>0.16129032258064524</v>
          </cell>
          <cell r="L154">
            <v>5.1344743276283689E-2</v>
          </cell>
          <cell r="M154">
            <v>3.3025740650801438E-2</v>
          </cell>
          <cell r="N154">
            <v>0.11089108910891099</v>
          </cell>
          <cell r="O154">
            <v>0.18511450381679384</v>
          </cell>
          <cell r="P154">
            <v>0.15395480225988711</v>
          </cell>
          <cell r="Q154">
            <v>0.12133992047234599</v>
          </cell>
          <cell r="R154">
            <v>-0.3515826046074283</v>
          </cell>
          <cell r="S154">
            <v>-0.38389019607843133</v>
          </cell>
          <cell r="T154">
            <v>-0.41224549114331721</v>
          </cell>
          <cell r="U154">
            <v>-0.41044471644226843</v>
          </cell>
          <cell r="V154">
            <v>-0.39106851493660011</v>
          </cell>
          <cell r="W154">
            <v>9.4850447054265041E-2</v>
          </cell>
          <cell r="X154">
            <v>0.13702907322582947</v>
          </cell>
          <cell r="Y154">
            <v>0.13323299421047752</v>
          </cell>
          <cell r="Z154">
            <v>0.20761245674740492</v>
          </cell>
          <cell r="AA154">
            <v>0.14378407925972803</v>
          </cell>
          <cell r="AB154">
            <v>0.16490066225165556</v>
          </cell>
          <cell r="AC154">
            <v>0.1365149546738198</v>
          </cell>
          <cell r="AD154">
            <v>-1.1684790980537096E-2</v>
          </cell>
          <cell r="AE154">
            <v>4.379490098501515E-2</v>
          </cell>
          <cell r="AF154">
            <v>8.0334972504635838E-2</v>
          </cell>
          <cell r="AG154">
            <v>-2.4888664139516514E-2</v>
          </cell>
          <cell r="AH154">
            <v>-2.0649381266618194E-2</v>
          </cell>
          <cell r="AI154">
            <v>-3.2552367883593614E-2</v>
          </cell>
          <cell r="AJ154">
            <v>-3.3596677957666743E-2</v>
          </cell>
          <cell r="AK154">
            <v>8.1392690257090949E-2</v>
          </cell>
          <cell r="AL154">
            <v>-2.1187363542641058E-2</v>
          </cell>
          <cell r="AM154">
            <v>134</v>
          </cell>
          <cell r="AN154">
            <v>129</v>
          </cell>
          <cell r="AO154">
            <v>124</v>
          </cell>
          <cell r="AP154">
            <v>119</v>
          </cell>
          <cell r="AQ154">
            <v>114</v>
          </cell>
        </row>
        <row r="155">
          <cell r="A155" t="str">
            <v>Gross Margin</v>
          </cell>
          <cell r="C155">
            <v>0.4279069767441861</v>
          </cell>
          <cell r="D155">
            <v>0.47043624413616636</v>
          </cell>
          <cell r="E155">
            <v>0.58210127207053597</v>
          </cell>
          <cell r="F155">
            <v>0.60592937323594687</v>
          </cell>
          <cell r="G155">
            <v>0.52844999074068544</v>
          </cell>
          <cell r="H155">
            <v>0.57148803329864717</v>
          </cell>
          <cell r="I155">
            <v>0.60943542150038676</v>
          </cell>
          <cell r="J155">
            <v>0.61442236938925676</v>
          </cell>
          <cell r="K155">
            <v>0.60535117056856191</v>
          </cell>
          <cell r="L155">
            <v>0.60091368117335897</v>
          </cell>
          <cell r="M155">
            <v>0.60003760812335472</v>
          </cell>
          <cell r="N155">
            <v>0.60297239915074308</v>
          </cell>
          <cell r="O155">
            <v>0.6010920186285531</v>
          </cell>
          <cell r="P155">
            <v>0.611753524473309</v>
          </cell>
          <cell r="Q155">
            <v>0.60416843896214378</v>
          </cell>
          <cell r="R155">
            <v>0.7898546701203718</v>
          </cell>
          <cell r="S155">
            <v>0.80055533756491637</v>
          </cell>
          <cell r="T155">
            <v>0.79697090807954385</v>
          </cell>
          <cell r="U155">
            <v>0.80604026845637589</v>
          </cell>
          <cell r="V155">
            <v>0.79859552175149273</v>
          </cell>
          <cell r="W155">
            <v>0.79920212765957444</v>
          </cell>
          <cell r="X155">
            <v>0.80126422250316054</v>
          </cell>
          <cell r="Y155">
            <v>0.7948797421274485</v>
          </cell>
          <cell r="Z155">
            <v>0.78797083839611182</v>
          </cell>
          <cell r="AA155">
            <v>0.79570383912248632</v>
          </cell>
          <cell r="AB155">
            <v>0.79342337052260714</v>
          </cell>
          <cell r="AC155">
            <v>0.7981839107457428</v>
          </cell>
          <cell r="AD155">
            <v>0.81654214069289477</v>
          </cell>
          <cell r="AE155">
            <v>0.7977616714569582</v>
          </cell>
          <cell r="AF155">
            <v>0.80156444517875602</v>
          </cell>
          <cell r="AG155">
            <v>0.81611018990046813</v>
          </cell>
          <cell r="AH155">
            <v>0.82508740198937325</v>
          </cell>
          <cell r="AI155">
            <v>0.83251318860727752</v>
          </cell>
          <cell r="AJ155">
            <v>0.8383407809275284</v>
          </cell>
          <cell r="AK155">
            <v>0.82500769981190747</v>
          </cell>
          <cell r="AL155">
            <v>0.82830773061115515</v>
          </cell>
          <cell r="AM155">
            <v>1249</v>
          </cell>
          <cell r="AN155">
            <v>1380.5</v>
          </cell>
          <cell r="AO155">
            <v>1507</v>
          </cell>
          <cell r="AP155">
            <v>1628.5</v>
          </cell>
          <cell r="AQ155">
            <v>1745</v>
          </cell>
        </row>
        <row r="156">
          <cell r="A156" t="str">
            <v>Selling, General and Admin.</v>
          </cell>
          <cell r="G156">
            <v>0</v>
          </cell>
          <cell r="H156">
            <v>1520</v>
          </cell>
          <cell r="I156">
            <v>1572</v>
          </cell>
          <cell r="J156">
            <v>1732</v>
          </cell>
          <cell r="K156">
            <v>1643</v>
          </cell>
          <cell r="L156">
            <v>6467</v>
          </cell>
          <cell r="M156">
            <v>1517</v>
          </cell>
          <cell r="N156">
            <v>1526</v>
          </cell>
          <cell r="O156">
            <v>1691</v>
          </cell>
          <cell r="P156">
            <v>1804</v>
          </cell>
          <cell r="Q156">
            <v>6538</v>
          </cell>
          <cell r="R156">
            <v>2065</v>
          </cell>
          <cell r="S156">
            <v>2224</v>
          </cell>
          <cell r="T156">
            <v>2269</v>
          </cell>
          <cell r="U156">
            <v>2359</v>
          </cell>
          <cell r="V156">
            <v>8917</v>
          </cell>
          <cell r="W156">
            <v>2474</v>
          </cell>
          <cell r="X156">
            <v>2455</v>
          </cell>
          <cell r="Y156">
            <v>2460.5</v>
          </cell>
          <cell r="Z156">
            <v>2544</v>
          </cell>
          <cell r="AA156">
            <v>9933.5</v>
          </cell>
          <cell r="AB156">
            <v>2725</v>
          </cell>
          <cell r="AC156">
            <v>1400.3423346581471</v>
          </cell>
          <cell r="AD156">
            <v>1439.8318038337447</v>
          </cell>
          <cell r="AE156">
            <v>1420.8513160923228</v>
          </cell>
          <cell r="AF156">
            <v>10843.79493541117</v>
          </cell>
          <cell r="AG156">
            <v>5982.0978297199508</v>
          </cell>
          <cell r="AH156">
            <v>6234.8454382559485</v>
          </cell>
          <cell r="AI156">
            <v>6354.3910710903028</v>
          </cell>
          <cell r="AJ156">
            <v>6394.2815657039891</v>
          </cell>
          <cell r="AK156">
            <v>5718.2224625150693</v>
          </cell>
          <cell r="AL156">
            <v>5716.2115546716041</v>
          </cell>
        </row>
        <row r="157">
          <cell r="A157" t="str">
            <v>Cost of Equipment</v>
          </cell>
          <cell r="H157">
            <v>0</v>
          </cell>
          <cell r="I157">
            <v>3.4210526315789469E-2</v>
          </cell>
          <cell r="J157">
            <v>0.10178117048346058</v>
          </cell>
          <cell r="K157">
            <v>-5.1385681293302565E-2</v>
          </cell>
          <cell r="L157">
            <v>0</v>
          </cell>
          <cell r="M157">
            <v>-7.6688983566646329E-2</v>
          </cell>
          <cell r="N157">
            <v>5.9327620303231132E-3</v>
          </cell>
          <cell r="O157">
            <v>0.10812581913499342</v>
          </cell>
          <cell r="P157">
            <v>6.68243642814903E-2</v>
          </cell>
          <cell r="Q157">
            <v>1.097881552497304E-2</v>
          </cell>
          <cell r="R157">
            <v>1078.8162</v>
          </cell>
          <cell r="S157">
            <v>1081.4495999999999</v>
          </cell>
          <cell r="T157">
            <v>1142.0178000000001</v>
          </cell>
          <cell r="U157">
            <v>1337</v>
          </cell>
          <cell r="V157">
            <v>4639.2836000000007</v>
          </cell>
          <cell r="W157">
            <v>1196</v>
          </cell>
          <cell r="X157">
            <v>1236</v>
          </cell>
          <cell r="Y157">
            <v>1300</v>
          </cell>
          <cell r="Z157">
            <v>1406</v>
          </cell>
          <cell r="AA157">
            <v>5138</v>
          </cell>
          <cell r="AB157">
            <v>1340</v>
          </cell>
          <cell r="AC157">
            <v>1400.2130786600001</v>
          </cell>
          <cell r="AD157">
            <v>1438.6249001460001</v>
          </cell>
          <cell r="AE157">
            <v>1418.9023001320638</v>
          </cell>
          <cell r="AF157">
            <v>5597.740278938064</v>
          </cell>
          <cell r="AG157">
            <v>5976.3907030603241</v>
          </cell>
          <cell r="AH157">
            <v>6230.139580090743</v>
          </cell>
          <cell r="AI157">
            <v>6353.2235152599105</v>
          </cell>
          <cell r="AJ157">
            <v>6387.9890342445442</v>
          </cell>
          <cell r="AK157">
            <v>5718.9752609460784</v>
          </cell>
          <cell r="AL157">
            <v>5721.2929183466231</v>
          </cell>
          <cell r="AM157">
            <v>1498.1645234739424</v>
          </cell>
          <cell r="AN157">
            <v>1670.3153376949754</v>
          </cell>
          <cell r="AO157">
            <v>1828.6615576842232</v>
          </cell>
          <cell r="AP157">
            <v>1970.4334429332821</v>
          </cell>
          <cell r="AQ157">
            <v>2093.1934753419278</v>
          </cell>
        </row>
        <row r="158">
          <cell r="A158" t="str">
            <v>Gross Margin</v>
          </cell>
          <cell r="I158">
            <v>0.33066891039124946</v>
          </cell>
          <cell r="J158">
            <v>0.34975767366720517</v>
          </cell>
          <cell r="K158">
            <v>0.33145047407706274</v>
          </cell>
          <cell r="L158">
            <v>0.33954636144072248</v>
          </cell>
          <cell r="M158">
            <v>0.31028840253630602</v>
          </cell>
          <cell r="N158">
            <v>0.29099923722349352</v>
          </cell>
          <cell r="O158">
            <v>0.30201821753884622</v>
          </cell>
          <cell r="P158">
            <v>0.31610303136499035</v>
          </cell>
          <cell r="Q158">
            <v>0.30495825364989038</v>
          </cell>
          <cell r="R158">
            <v>-0.53240937500000007</v>
          </cell>
          <cell r="S158">
            <v>-0.46537886178861787</v>
          </cell>
          <cell r="T158">
            <v>-0.64319107913669082</v>
          </cell>
          <cell r="U158">
            <v>-0.6384803921568627</v>
          </cell>
          <cell r="V158">
            <v>-0.57104083982390819</v>
          </cell>
          <cell r="W158">
            <v>-0.76141384388807065</v>
          </cell>
          <cell r="X158">
            <v>-0.63276089828269488</v>
          </cell>
          <cell r="Y158">
            <v>-0.59118727050183595</v>
          </cell>
          <cell r="Z158">
            <v>-0.66983372921615203</v>
          </cell>
          <cell r="AA158">
            <v>-0.66009693053311791</v>
          </cell>
          <cell r="AB158">
            <v>-0.6144578313253013</v>
          </cell>
          <cell r="AC158">
            <v>-0.74814049535115812</v>
          </cell>
          <cell r="AD158">
            <v>-0.82196741254206729</v>
          </cell>
          <cell r="AE158">
            <v>-0.71290352786827627</v>
          </cell>
          <cell r="AF158">
            <v>-0.72294705019831107</v>
          </cell>
          <cell r="AG158">
            <v>-0.83510994008987227</v>
          </cell>
          <cell r="AH158">
            <v>-0.92319509457111648</v>
          </cell>
          <cell r="AI158">
            <v>-0.97907217343329411</v>
          </cell>
          <cell r="AJ158">
            <v>-1.0109410529760186</v>
          </cell>
          <cell r="AK158">
            <v>-0.82234352807055155</v>
          </cell>
          <cell r="AL158">
            <v>-0.84584066623977305</v>
          </cell>
          <cell r="AM158">
            <v>0.15575774679686138</v>
          </cell>
          <cell r="AN158">
            <v>0.11490781654731075</v>
          </cell>
          <cell r="AO158">
            <v>9.4800195158217582E-2</v>
          </cell>
          <cell r="AP158">
            <v>7.7527678456037252E-2</v>
          </cell>
          <cell r="AQ158">
            <v>6.2301029678982323E-2</v>
          </cell>
        </row>
        <row r="159">
          <cell r="A159" t="str">
            <v>Equip. Cost per Gross Add</v>
          </cell>
          <cell r="N159">
            <v>3400</v>
          </cell>
          <cell r="O159">
            <v>3650</v>
          </cell>
          <cell r="P159">
            <v>4150</v>
          </cell>
          <cell r="Q159">
            <v>3775</v>
          </cell>
          <cell r="R159">
            <v>358.83414580927388</v>
          </cell>
          <cell r="S159">
            <v>377.79766708238566</v>
          </cell>
          <cell r="T159">
            <v>375.32780692018758</v>
          </cell>
          <cell r="U159">
            <v>419.80526310831732</v>
          </cell>
          <cell r="V159">
            <v>360.99191307715398</v>
          </cell>
          <cell r="W159">
            <v>329.96316606830953</v>
          </cell>
          <cell r="X159">
            <v>362.23707771978206</v>
          </cell>
          <cell r="Y159">
            <v>374.91598637439944</v>
          </cell>
          <cell r="Z159">
            <v>351.14464162267785</v>
          </cell>
          <cell r="AA159">
            <v>354.14288066146554</v>
          </cell>
          <cell r="AB159">
            <v>340.77520255143986</v>
          </cell>
          <cell r="AC159">
            <v>362</v>
          </cell>
          <cell r="AD159">
            <v>370</v>
          </cell>
          <cell r="AE159">
            <v>341</v>
          </cell>
          <cell r="AF159">
            <v>408.74257725516333</v>
          </cell>
          <cell r="AG159">
            <v>367</v>
          </cell>
          <cell r="AH159">
            <v>375</v>
          </cell>
          <cell r="AI159">
            <v>376</v>
          </cell>
          <cell r="AJ159">
            <v>372</v>
          </cell>
          <cell r="AK159">
            <v>328</v>
          </cell>
          <cell r="AL159">
            <v>323</v>
          </cell>
          <cell r="AM159">
            <v>9844.5</v>
          </cell>
          <cell r="AN159">
            <v>10760.5</v>
          </cell>
          <cell r="AO159">
            <v>11606.5</v>
          </cell>
          <cell r="AP159">
            <v>12382.5</v>
          </cell>
          <cell r="AQ159">
            <v>13088.5</v>
          </cell>
        </row>
        <row r="160">
          <cell r="A160" t="str">
            <v>Total CPGA</v>
          </cell>
          <cell r="C160">
            <v>325</v>
          </cell>
          <cell r="D160">
            <v>300</v>
          </cell>
          <cell r="E160">
            <v>285</v>
          </cell>
          <cell r="F160">
            <v>315</v>
          </cell>
          <cell r="G160">
            <v>306.25</v>
          </cell>
          <cell r="H160">
            <v>305</v>
          </cell>
          <cell r="I160">
            <v>350</v>
          </cell>
          <cell r="J160">
            <v>395</v>
          </cell>
          <cell r="K160">
            <v>375</v>
          </cell>
          <cell r="L160">
            <v>356.25</v>
          </cell>
          <cell r="M160">
            <v>365</v>
          </cell>
          <cell r="N160">
            <v>415</v>
          </cell>
          <cell r="O160">
            <v>465</v>
          </cell>
          <cell r="P160">
            <v>425</v>
          </cell>
          <cell r="Q160">
            <v>417.5</v>
          </cell>
          <cell r="R160">
            <v>425</v>
          </cell>
          <cell r="S160">
            <v>425</v>
          </cell>
          <cell r="T160">
            <v>425</v>
          </cell>
          <cell r="U160">
            <v>425</v>
          </cell>
          <cell r="V160">
            <v>425</v>
          </cell>
          <cell r="W160">
            <v>420</v>
          </cell>
          <cell r="X160">
            <v>415</v>
          </cell>
          <cell r="Y160">
            <v>420</v>
          </cell>
          <cell r="Z160">
            <v>415</v>
          </cell>
          <cell r="AA160">
            <v>417.5</v>
          </cell>
          <cell r="AB160">
            <v>430</v>
          </cell>
          <cell r="AC160">
            <v>362.03341682208395</v>
          </cell>
          <cell r="AD160">
            <v>426</v>
          </cell>
          <cell r="AE160">
            <v>424</v>
          </cell>
          <cell r="AF160">
            <v>427</v>
          </cell>
          <cell r="AG160">
            <v>417</v>
          </cell>
          <cell r="AH160">
            <v>407</v>
          </cell>
          <cell r="AI160">
            <v>397</v>
          </cell>
          <cell r="AJ160">
            <v>387</v>
          </cell>
          <cell r="AK160">
            <v>377</v>
          </cell>
          <cell r="AL160">
            <v>367</v>
          </cell>
        </row>
        <row r="161">
          <cell r="A161" t="str">
            <v>Selling, General and Admin.</v>
          </cell>
          <cell r="G161">
            <v>0</v>
          </cell>
          <cell r="H161">
            <v>1520</v>
          </cell>
          <cell r="I161">
            <v>1572</v>
          </cell>
          <cell r="J161">
            <v>1732</v>
          </cell>
          <cell r="K161">
            <v>1643</v>
          </cell>
          <cell r="L161">
            <v>6467</v>
          </cell>
          <cell r="M161">
            <v>1517</v>
          </cell>
          <cell r="N161">
            <v>1526</v>
          </cell>
          <cell r="O161">
            <v>1691</v>
          </cell>
          <cell r="P161">
            <v>1804</v>
          </cell>
          <cell r="Q161">
            <v>6538</v>
          </cell>
          <cell r="R161">
            <v>2065</v>
          </cell>
          <cell r="S161">
            <v>2224</v>
          </cell>
          <cell r="T161">
            <v>2269</v>
          </cell>
          <cell r="U161">
            <v>2359</v>
          </cell>
          <cell r="V161">
            <v>8917</v>
          </cell>
          <cell r="W161">
            <v>2474</v>
          </cell>
          <cell r="X161">
            <v>2455</v>
          </cell>
          <cell r="Y161">
            <v>2460.5</v>
          </cell>
          <cell r="Z161">
            <v>2544</v>
          </cell>
          <cell r="AA161">
            <v>9933.5</v>
          </cell>
          <cell r="AB161">
            <v>2725</v>
          </cell>
          <cell r="AC161">
            <v>2717.4315155649651</v>
          </cell>
          <cell r="AD161">
            <v>2680.7357976935782</v>
          </cell>
          <cell r="AE161">
            <v>2698.7248712929786</v>
          </cell>
          <cell r="AF161">
            <v>10821.892184551521</v>
          </cell>
          <cell r="AG161">
            <v>10500.872156339532</v>
          </cell>
          <cell r="AH161">
            <v>10147.277681264548</v>
          </cell>
          <cell r="AI161">
            <v>10093.336946123271</v>
          </cell>
          <cell r="AJ161">
            <v>9939.0847603799666</v>
          </cell>
          <cell r="AK161">
            <v>9761.5031649959146</v>
          </cell>
          <cell r="AL161">
            <v>9569.7047183352861</v>
          </cell>
          <cell r="AM161">
            <v>12.681908032183305</v>
          </cell>
          <cell r="AN161">
            <v>12.935546192826971</v>
          </cell>
          <cell r="AO161">
            <v>13.129579385719374</v>
          </cell>
          <cell r="AP161">
            <v>13.260875179576567</v>
          </cell>
          <cell r="AQ161">
            <v>13.32717955547445</v>
          </cell>
        </row>
        <row r="162">
          <cell r="A162" t="str">
            <v xml:space="preserve">   Sequential Growth</v>
          </cell>
          <cell r="I162">
            <v>3.4210526315789469E-2</v>
          </cell>
          <cell r="J162">
            <v>0.10178117048346058</v>
          </cell>
          <cell r="K162">
            <v>-5.1385681293302565E-2</v>
          </cell>
          <cell r="M162">
            <v>-7.6688983566646329E-2</v>
          </cell>
          <cell r="N162">
            <v>5.9327620303231132E-3</v>
          </cell>
          <cell r="O162">
            <v>0.10812581913499342</v>
          </cell>
          <cell r="P162">
            <v>6.68243642814903E-2</v>
          </cell>
          <cell r="Q162">
            <v>1.097881552497304E-2</v>
          </cell>
          <cell r="S162">
            <v>7.6997578692493907E-2</v>
          </cell>
          <cell r="T162">
            <v>2.0233812949640217E-2</v>
          </cell>
          <cell r="U162">
            <v>3.9665050683120207E-2</v>
          </cell>
          <cell r="W162">
            <v>-0.72255242794661889</v>
          </cell>
          <cell r="X162">
            <v>-7.6798706548100171E-3</v>
          </cell>
          <cell r="Y162">
            <v>2.2403258655805391E-3</v>
          </cell>
          <cell r="Z162">
            <v>3.3936191830928664E-2</v>
          </cell>
          <cell r="AA162">
            <v>0.11399573847706623</v>
          </cell>
          <cell r="AB162">
            <v>-0.72567574369557564</v>
          </cell>
          <cell r="AC162">
            <v>-2.7774254807467758E-3</v>
          </cell>
          <cell r="AD162">
            <v>-1.3503824350751925E-2</v>
          </cell>
          <cell r="AE162">
            <v>6.7104985186818844E-3</v>
          </cell>
          <cell r="AF162">
            <v>8.9433954250920822E-2</v>
          </cell>
          <cell r="AG162">
            <v>-2.9663946261657692E-2</v>
          </cell>
          <cell r="AH162">
            <v>-3.3672867340025059E-2</v>
          </cell>
          <cell r="AI162">
            <v>-5.3157838817076142E-3</v>
          </cell>
          <cell r="AJ162">
            <v>-1.5282575680043098E-2</v>
          </cell>
          <cell r="AK162">
            <v>-1.7866996777403776E-2</v>
          </cell>
          <cell r="AL162">
            <v>-1.9648454077073385E-2</v>
          </cell>
          <cell r="AM162">
            <v>0.04</v>
          </cell>
          <cell r="AN162">
            <v>0.02</v>
          </cell>
          <cell r="AO162">
            <v>1.4999999999999999E-2</v>
          </cell>
          <cell r="AP162">
            <v>0.01</v>
          </cell>
          <cell r="AQ162">
            <v>5.0000000000000001E-3</v>
          </cell>
        </row>
        <row r="163">
          <cell r="A163" t="str">
            <v xml:space="preserve">   Percent of Service Revenues</v>
          </cell>
          <cell r="C163">
            <v>1400</v>
          </cell>
          <cell r="D163">
            <v>1678</v>
          </cell>
          <cell r="E163">
            <v>1669</v>
          </cell>
          <cell r="F163">
            <v>1384</v>
          </cell>
          <cell r="G163">
            <v>6131</v>
          </cell>
          <cell r="I163">
            <v>0.33066891039124946</v>
          </cell>
          <cell r="J163">
            <v>0.34975767366720517</v>
          </cell>
          <cell r="K163">
            <v>0.33145047407706274</v>
          </cell>
          <cell r="L163">
            <v>0.33954636144072248</v>
          </cell>
          <cell r="M163">
            <v>0.31028840253630602</v>
          </cell>
          <cell r="N163">
            <v>0.29099923722349352</v>
          </cell>
          <cell r="O163">
            <v>0.30201821753884622</v>
          </cell>
          <cell r="P163">
            <v>0.31610303136499035</v>
          </cell>
          <cell r="Q163">
            <v>0.30495825364989038</v>
          </cell>
          <cell r="R163">
            <v>0.35542168674698793</v>
          </cell>
          <cell r="S163">
            <v>0.36245110821382009</v>
          </cell>
          <cell r="T163">
            <v>0.35348185075556943</v>
          </cell>
          <cell r="U163">
            <v>0.3619208346118441</v>
          </cell>
          <cell r="V163">
            <v>0.35835711128079412</v>
          </cell>
          <cell r="W163">
            <v>0.37035928143712576</v>
          </cell>
          <cell r="X163">
            <v>0.35217328934155789</v>
          </cell>
          <cell r="Y163">
            <v>0.34905660377358488</v>
          </cell>
          <cell r="Z163">
            <v>0.35670218732473358</v>
          </cell>
          <cell r="AA163">
            <v>0.35690931302098305</v>
          </cell>
          <cell r="AB163">
            <v>0.36959175369591751</v>
          </cell>
          <cell r="AC163">
            <v>0.33750000000000002</v>
          </cell>
          <cell r="AD163">
            <v>0.33</v>
          </cell>
          <cell r="AE163">
            <v>0.33</v>
          </cell>
          <cell r="AF163">
            <v>0.35471479340841738</v>
          </cell>
          <cell r="AG163">
            <v>0.31</v>
          </cell>
          <cell r="AH163">
            <v>0.28999999999999998</v>
          </cell>
          <cell r="AI163">
            <v>0.28499999999999998</v>
          </cell>
          <cell r="AJ163">
            <v>0.27999999999999997</v>
          </cell>
          <cell r="AK163">
            <v>0.27499999999999997</v>
          </cell>
          <cell r="AL163">
            <v>0.26999999999999996</v>
          </cell>
        </row>
        <row r="164">
          <cell r="A164" t="str">
            <v xml:space="preserve">   Percent of Service Revenues</v>
          </cell>
          <cell r="L164">
            <v>0.14008190696209177</v>
          </cell>
          <cell r="M164">
            <v>0.11773255813953488</v>
          </cell>
          <cell r="N164">
            <v>0.16846569005397069</v>
          </cell>
          <cell r="O164">
            <v>0.16766684851791236</v>
          </cell>
          <cell r="P164">
            <v>0.2670353193007492</v>
          </cell>
          <cell r="Q164">
            <v>0.18286039130228812</v>
          </cell>
          <cell r="R164">
            <v>0.1915978203550712</v>
          </cell>
          <cell r="S164">
            <v>0.19377910844976715</v>
          </cell>
          <cell r="T164">
            <v>0.20182312490004797</v>
          </cell>
          <cell r="U164">
            <v>0.24600537889574434</v>
          </cell>
          <cell r="V164">
            <v>0.20893923789907312</v>
          </cell>
          <cell r="W164">
            <v>0.16065065840433773</v>
          </cell>
          <cell r="X164">
            <v>0.23510228283427217</v>
          </cell>
          <cell r="Y164">
            <v>0.19055995309293464</v>
          </cell>
          <cell r="Z164">
            <v>0.2219170160474194</v>
          </cell>
          <cell r="AA164">
            <v>0.20259836674090573</v>
          </cell>
          <cell r="AB164">
            <v>0.14926829268292682</v>
          </cell>
          <cell r="AC164">
            <v>0.14657666345226616</v>
          </cell>
          <cell r="AD164">
            <v>0.22</v>
          </cell>
          <cell r="AE164">
            <v>0.27</v>
          </cell>
          <cell r="AF164">
            <v>0.19816876428675995</v>
          </cell>
          <cell r="AG164">
            <v>0.19</v>
          </cell>
          <cell r="AH164">
            <v>0.18</v>
          </cell>
          <cell r="AI164">
            <v>0.17</v>
          </cell>
          <cell r="AJ164">
            <v>0.16</v>
          </cell>
          <cell r="AK164">
            <v>0.16</v>
          </cell>
          <cell r="AL164">
            <v>0.16</v>
          </cell>
        </row>
        <row r="165">
          <cell r="A165" t="str">
            <v>Total CPGA</v>
          </cell>
          <cell r="C165">
            <v>325</v>
          </cell>
          <cell r="D165">
            <v>300</v>
          </cell>
          <cell r="E165">
            <v>285</v>
          </cell>
          <cell r="F165">
            <v>315</v>
          </cell>
          <cell r="G165">
            <v>306.25</v>
          </cell>
          <cell r="H165">
            <v>305</v>
          </cell>
          <cell r="I165">
            <v>350</v>
          </cell>
          <cell r="J165">
            <v>395</v>
          </cell>
          <cell r="K165">
            <v>375</v>
          </cell>
          <cell r="L165">
            <v>356.25</v>
          </cell>
          <cell r="M165">
            <v>365</v>
          </cell>
          <cell r="N165">
            <v>415</v>
          </cell>
          <cell r="O165">
            <v>465</v>
          </cell>
          <cell r="P165">
            <v>425</v>
          </cell>
          <cell r="Q165">
            <v>417.5</v>
          </cell>
          <cell r="R165">
            <v>425</v>
          </cell>
          <cell r="S165">
            <v>425</v>
          </cell>
          <cell r="T165">
            <v>425</v>
          </cell>
          <cell r="U165">
            <v>425</v>
          </cell>
          <cell r="V165">
            <v>425</v>
          </cell>
          <cell r="W165">
            <v>420</v>
          </cell>
          <cell r="X165">
            <v>415</v>
          </cell>
          <cell r="Y165">
            <v>420</v>
          </cell>
          <cell r="Z165">
            <v>415</v>
          </cell>
          <cell r="AA165">
            <v>417.5</v>
          </cell>
          <cell r="AB165">
            <v>430</v>
          </cell>
          <cell r="AC165">
            <v>428</v>
          </cell>
          <cell r="AD165">
            <v>426</v>
          </cell>
          <cell r="AE165">
            <v>424</v>
          </cell>
          <cell r="AF165">
            <v>427</v>
          </cell>
          <cell r="AG165">
            <v>417</v>
          </cell>
          <cell r="AH165">
            <v>407</v>
          </cell>
          <cell r="AI165">
            <v>397</v>
          </cell>
          <cell r="AJ165">
            <v>387</v>
          </cell>
          <cell r="AK165">
            <v>377</v>
          </cell>
          <cell r="AL165">
            <v>367</v>
          </cell>
          <cell r="AM165">
            <v>8468.3480762269664</v>
          </cell>
          <cell r="AN165">
            <v>8654.4104814135244</v>
          </cell>
          <cell r="AO165">
            <v>8798.6716997773183</v>
          </cell>
          <cell r="AP165">
            <v>8906.2574687286324</v>
          </cell>
          <cell r="AQ165">
            <v>8997.460808324684</v>
          </cell>
        </row>
        <row r="166">
          <cell r="A166" t="str">
            <v xml:space="preserve">   Postpay</v>
          </cell>
          <cell r="H166">
            <v>-1.5303682448589151E-2</v>
          </cell>
          <cell r="I166">
            <v>-4.3107531975367097E-2</v>
          </cell>
          <cell r="J166">
            <v>0.12524829548504846</v>
          </cell>
          <cell r="K166">
            <v>0.16129032258064524</v>
          </cell>
          <cell r="L166">
            <v>5.1344743276283689E-2</v>
          </cell>
          <cell r="M166">
            <v>3.3025740650801438E-2</v>
          </cell>
          <cell r="N166">
            <v>0.11089108910891099</v>
          </cell>
          <cell r="O166">
            <v>0.18511450381679384</v>
          </cell>
          <cell r="P166">
            <v>0.15395480225988711</v>
          </cell>
          <cell r="Q166">
            <v>0.12133992047234599</v>
          </cell>
          <cell r="R166">
            <v>-0.3515826046074283</v>
          </cell>
          <cell r="S166">
            <v>-0.38389019607843133</v>
          </cell>
          <cell r="T166">
            <v>-0.41224549114331721</v>
          </cell>
          <cell r="U166">
            <v>-0.41044471644226843</v>
          </cell>
          <cell r="V166">
            <v>-0.39106851493660011</v>
          </cell>
          <cell r="W166">
            <v>9.4850447054265041E-2</v>
          </cell>
          <cell r="X166">
            <v>0.13702907322582947</v>
          </cell>
          <cell r="Y166">
            <v>0.13323299421047752</v>
          </cell>
          <cell r="Z166">
            <v>0.20761245674740492</v>
          </cell>
          <cell r="AA166">
            <v>0.14378407925972803</v>
          </cell>
          <cell r="AB166">
            <v>0.16490066225165556</v>
          </cell>
          <cell r="AC166">
            <v>0.14376590330788797</v>
          </cell>
          <cell r="AD166">
            <v>0.1532184950135993</v>
          </cell>
          <cell r="AE166">
            <v>0.18853868194842405</v>
          </cell>
          <cell r="AF166">
            <v>0.1631566766952095</v>
          </cell>
          <cell r="AG166">
            <v>0.18192154633314384</v>
          </cell>
          <cell r="AH166">
            <v>0.17686318131256962</v>
          </cell>
          <cell r="AI166">
            <v>0.12301852630492904</v>
          </cell>
          <cell r="AJ166">
            <v>3.4928503076538275E-2</v>
          </cell>
          <cell r="AK166">
            <v>0.12536955346472278</v>
          </cell>
          <cell r="AL166">
            <v>-2.2121097924657995E-2</v>
          </cell>
          <cell r="AM166">
            <v>2.0715523538649805E-2</v>
          </cell>
          <cell r="AN166">
            <v>2.1971511268990884E-2</v>
          </cell>
          <cell r="AO166">
            <v>1.6669098221492318E-2</v>
          </cell>
          <cell r="AP166">
            <v>1.2227501220898773E-2</v>
          </cell>
          <cell r="AQ166">
            <v>1.0240366384677513E-2</v>
          </cell>
        </row>
        <row r="167">
          <cell r="A167" t="str">
            <v xml:space="preserve">   Prepay</v>
          </cell>
          <cell r="C167">
            <v>0.4279069767441861</v>
          </cell>
          <cell r="D167">
            <v>0.47043624413616636</v>
          </cell>
          <cell r="E167">
            <v>0.58210127207053597</v>
          </cell>
          <cell r="F167">
            <v>0.60592937323594687</v>
          </cell>
          <cell r="G167">
            <v>0.52844999074068544</v>
          </cell>
          <cell r="H167">
            <v>0.57148803329864717</v>
          </cell>
          <cell r="I167">
            <v>0.60943542150038676</v>
          </cell>
          <cell r="J167">
            <v>0.61442236938925676</v>
          </cell>
          <cell r="K167">
            <v>0.60535117056856191</v>
          </cell>
          <cell r="L167">
            <v>0.60091368117335897</v>
          </cell>
          <cell r="M167">
            <v>0.60003760812335472</v>
          </cell>
          <cell r="N167">
            <v>0.60297239915074308</v>
          </cell>
          <cell r="O167">
            <v>0.6010920186285531</v>
          </cell>
          <cell r="P167">
            <v>0.611753524473309</v>
          </cell>
          <cell r="Q167">
            <v>0.60416843896214378</v>
          </cell>
          <cell r="R167">
            <v>0.7898546701203718</v>
          </cell>
          <cell r="S167">
            <v>0.80055533756491637</v>
          </cell>
          <cell r="T167">
            <v>0.79697090807954385</v>
          </cell>
          <cell r="U167">
            <v>0.80604026845637589</v>
          </cell>
          <cell r="V167">
            <v>0.79859552175149273</v>
          </cell>
          <cell r="W167">
            <v>0.79920212765957444</v>
          </cell>
          <cell r="X167">
            <v>0.80126422250316054</v>
          </cell>
          <cell r="Y167">
            <v>0.7948797421274485</v>
          </cell>
          <cell r="Z167">
            <v>0.78797083839611182</v>
          </cell>
          <cell r="AA167">
            <v>0.79570383912248632</v>
          </cell>
          <cell r="AB167">
            <v>0.79342337052260714</v>
          </cell>
          <cell r="AC167">
            <v>0.78906616611919289</v>
          </cell>
          <cell r="AD167">
            <v>0.78968253968253965</v>
          </cell>
          <cell r="AE167">
            <v>0.76965792980897385</v>
          </cell>
          <cell r="AF167">
            <v>0.7853054250320376</v>
          </cell>
          <cell r="AG167">
            <v>0.76166456494325341</v>
          </cell>
          <cell r="AH167">
            <v>0.75913488901536708</v>
          </cell>
          <cell r="AI167">
            <v>0.76</v>
          </cell>
          <cell r="AJ167">
            <v>0.75800000000000001</v>
          </cell>
          <cell r="AK167">
            <v>0.75969355596725019</v>
          </cell>
          <cell r="AL167">
            <v>0.76600000000000001</v>
          </cell>
          <cell r="AM167">
            <v>0.76700000000000002</v>
          </cell>
          <cell r="AN167">
            <v>0.76849999999999996</v>
          </cell>
          <cell r="AO167">
            <v>0.76999999999999991</v>
          </cell>
          <cell r="AP167">
            <v>0.77149999999999985</v>
          </cell>
          <cell r="AQ167">
            <v>0.7729999999999998</v>
          </cell>
        </row>
        <row r="169">
          <cell r="A169" t="str">
            <v>Cost of Equipment</v>
          </cell>
          <cell r="R169">
            <v>1078.8162</v>
          </cell>
          <cell r="S169">
            <v>1081.4495999999999</v>
          </cell>
          <cell r="T169">
            <v>1142.0178000000001</v>
          </cell>
          <cell r="U169">
            <v>1337</v>
          </cell>
          <cell r="V169">
            <v>4639.2836000000007</v>
          </cell>
          <cell r="W169">
            <v>1196</v>
          </cell>
          <cell r="X169">
            <v>1236</v>
          </cell>
          <cell r="Y169">
            <v>1300</v>
          </cell>
          <cell r="Z169">
            <v>1406</v>
          </cell>
          <cell r="AA169">
            <v>5138</v>
          </cell>
          <cell r="AB169">
            <v>1340</v>
          </cell>
          <cell r="AC169">
            <v>1282</v>
          </cell>
          <cell r="AD169">
            <v>1350</v>
          </cell>
          <cell r="AE169">
            <v>1273</v>
          </cell>
          <cell r="AF169">
            <v>5245</v>
          </cell>
          <cell r="AG169">
            <v>1379</v>
          </cell>
          <cell r="AH169">
            <v>1256</v>
          </cell>
          <cell r="AI169">
            <v>1283.3965609000004</v>
          </cell>
          <cell r="AJ169">
            <v>1320.4348757280002</v>
          </cell>
          <cell r="AK169">
            <v>5238.831436628001</v>
          </cell>
          <cell r="AL169">
            <v>5215.7806478418797</v>
          </cell>
          <cell r="AM169">
            <v>5188.6561058059606</v>
          </cell>
          <cell r="AN169">
            <v>5104.9314847346841</v>
          </cell>
          <cell r="AO169">
            <v>4988.3860219879616</v>
          </cell>
          <cell r="AP169">
            <v>4848.303982230359</v>
          </cell>
          <cell r="AQ169">
            <v>4686.1842893528528</v>
          </cell>
        </row>
        <row r="170">
          <cell r="A170" t="str">
            <v>Capital Expenditures</v>
          </cell>
          <cell r="C170">
            <v>1400</v>
          </cell>
          <cell r="D170">
            <v>1678</v>
          </cell>
          <cell r="E170">
            <v>1669</v>
          </cell>
          <cell r="F170">
            <v>1384</v>
          </cell>
          <cell r="G170">
            <v>6131</v>
          </cell>
          <cell r="L170">
            <v>2668</v>
          </cell>
          <cell r="M170">
            <v>567</v>
          </cell>
          <cell r="N170">
            <v>874</v>
          </cell>
          <cell r="O170">
            <v>922</v>
          </cell>
          <cell r="P170">
            <v>1497</v>
          </cell>
          <cell r="Q170">
            <v>3860</v>
          </cell>
          <cell r="R170">
            <v>1090</v>
          </cell>
          <cell r="S170">
            <v>1165</v>
          </cell>
          <cell r="T170">
            <v>1262</v>
          </cell>
          <cell r="U170">
            <v>1555</v>
          </cell>
          <cell r="V170">
            <v>5072</v>
          </cell>
          <cell r="W170">
            <v>1037</v>
          </cell>
          <cell r="X170">
            <v>1586</v>
          </cell>
          <cell r="Y170">
            <v>1300</v>
          </cell>
          <cell r="Z170">
            <v>1535</v>
          </cell>
          <cell r="AA170">
            <v>5458</v>
          </cell>
          <cell r="AB170">
            <v>1071</v>
          </cell>
          <cell r="AC170">
            <v>1425.6134442043708</v>
          </cell>
          <cell r="AD170">
            <v>1392.0416342117594</v>
          </cell>
          <cell r="AE170">
            <v>1544.504651824348</v>
          </cell>
          <cell r="AF170">
            <v>5433.159730240478</v>
          </cell>
          <cell r="AG170">
            <v>5854.491301244313</v>
          </cell>
          <cell r="AH170">
            <v>5637.5427037198233</v>
          </cell>
          <cell r="AI170">
            <v>5320.8252030885051</v>
          </cell>
          <cell r="AJ170">
            <v>4966.9555783770547</v>
          </cell>
          <cell r="AK170">
            <v>4924.1838886113328</v>
          </cell>
          <cell r="AL170">
            <v>4880.1147218715141</v>
          </cell>
          <cell r="AM170">
            <v>-0.9137864343277724</v>
          </cell>
          <cell r="AN170">
            <v>-0.86949240446960108</v>
          </cell>
          <cell r="AO170">
            <v>-0.82300858757929563</v>
          </cell>
          <cell r="AP170">
            <v>-0.77416848146541928</v>
          </cell>
          <cell r="AQ170">
            <v>-0.72278826481071001</v>
          </cell>
        </row>
        <row r="171">
          <cell r="A171" t="str">
            <v xml:space="preserve">   Percent of Service Revenues</v>
          </cell>
          <cell r="L171">
            <v>0.14008190696209177</v>
          </cell>
          <cell r="M171">
            <v>0.11773255813953488</v>
          </cell>
          <cell r="N171">
            <v>0.16846569005397069</v>
          </cell>
          <cell r="O171">
            <v>0.16766684851791236</v>
          </cell>
          <cell r="P171">
            <v>0.2670353193007492</v>
          </cell>
          <cell r="Q171">
            <v>0.18286039130228812</v>
          </cell>
          <cell r="R171">
            <v>0.1915978203550712</v>
          </cell>
          <cell r="S171">
            <v>0.19377910844976715</v>
          </cell>
          <cell r="T171">
            <v>0.20182312490004797</v>
          </cell>
          <cell r="U171">
            <v>0.24600537889574434</v>
          </cell>
          <cell r="V171">
            <v>0.20893923789907312</v>
          </cell>
          <cell r="W171">
            <v>0.16065065840433773</v>
          </cell>
          <cell r="X171">
            <v>0.23510228283427217</v>
          </cell>
          <cell r="Y171">
            <v>0.19055995309293464</v>
          </cell>
          <cell r="Z171">
            <v>0.2219170160474194</v>
          </cell>
          <cell r="AA171">
            <v>0.20259836674090573</v>
          </cell>
          <cell r="AB171">
            <v>0.14926829268292682</v>
          </cell>
          <cell r="AC171">
            <v>0.19</v>
          </cell>
          <cell r="AD171">
            <v>0.185</v>
          </cell>
          <cell r="AE171">
            <v>0.20499999999999999</v>
          </cell>
          <cell r="AF171">
            <v>0.1827073814630143</v>
          </cell>
          <cell r="AG171">
            <v>0.19</v>
          </cell>
          <cell r="AH171">
            <v>0.18</v>
          </cell>
          <cell r="AI171">
            <v>0.17</v>
          </cell>
          <cell r="AJ171">
            <v>0.16</v>
          </cell>
          <cell r="AK171">
            <v>0.16</v>
          </cell>
          <cell r="AL171">
            <v>0.16</v>
          </cell>
          <cell r="AM171">
            <v>325</v>
          </cell>
          <cell r="AN171">
            <v>310</v>
          </cell>
          <cell r="AO171">
            <v>295</v>
          </cell>
          <cell r="AP171">
            <v>280</v>
          </cell>
          <cell r="AQ171">
            <v>265</v>
          </cell>
        </row>
        <row r="173">
          <cell r="A173" t="str">
            <v>Amortization</v>
          </cell>
          <cell r="G173">
            <v>0</v>
          </cell>
          <cell r="H173">
            <v>1520</v>
          </cell>
          <cell r="I173">
            <v>1572</v>
          </cell>
          <cell r="J173">
            <v>1732</v>
          </cell>
          <cell r="K173">
            <v>1643</v>
          </cell>
          <cell r="L173">
            <v>6467</v>
          </cell>
          <cell r="M173">
            <v>1517</v>
          </cell>
          <cell r="N173">
            <v>1526</v>
          </cell>
          <cell r="O173">
            <v>1691</v>
          </cell>
          <cell r="P173">
            <v>1804</v>
          </cell>
          <cell r="Q173">
            <v>6538</v>
          </cell>
          <cell r="R173">
            <v>826</v>
          </cell>
          <cell r="S173">
            <v>826</v>
          </cell>
          <cell r="T173">
            <v>825</v>
          </cell>
          <cell r="U173">
            <v>823</v>
          </cell>
          <cell r="V173">
            <v>3300</v>
          </cell>
          <cell r="W173">
            <v>822</v>
          </cell>
          <cell r="X173">
            <v>821</v>
          </cell>
          <cell r="Y173">
            <v>838</v>
          </cell>
          <cell r="Z173">
            <v>869</v>
          </cell>
          <cell r="AA173">
            <v>3350</v>
          </cell>
          <cell r="AB173">
            <v>938</v>
          </cell>
          <cell r="AC173">
            <v>938</v>
          </cell>
          <cell r="AD173">
            <v>938</v>
          </cell>
          <cell r="AE173">
            <v>938</v>
          </cell>
          <cell r="AF173">
            <v>3752</v>
          </cell>
          <cell r="AG173">
            <v>3752</v>
          </cell>
          <cell r="AH173">
            <v>3752</v>
          </cell>
          <cell r="AI173">
            <v>3752</v>
          </cell>
          <cell r="AJ173">
            <v>3752</v>
          </cell>
          <cell r="AK173">
            <v>3752</v>
          </cell>
          <cell r="AL173">
            <v>3752</v>
          </cell>
          <cell r="AM173">
            <v>11300.903847767471</v>
          </cell>
          <cell r="AN173">
            <v>11504.932604021615</v>
          </cell>
          <cell r="AO173">
            <v>11667.90815343049</v>
          </cell>
          <cell r="AP173">
            <v>11779.409759001195</v>
          </cell>
          <cell r="AQ173">
            <v>11868.582416958861</v>
          </cell>
        </row>
        <row r="174">
          <cell r="A174" t="str">
            <v xml:space="preserve">   Sequential Growth</v>
          </cell>
          <cell r="I174">
            <v>3.4210526315789469E-2</v>
          </cell>
          <cell r="J174">
            <v>0.10178117048346058</v>
          </cell>
          <cell r="K174">
            <v>-5.1385681293302565E-2</v>
          </cell>
          <cell r="M174">
            <v>-7.6688983566646329E-2</v>
          </cell>
          <cell r="N174">
            <v>5.9327620303231132E-3</v>
          </cell>
          <cell r="O174">
            <v>0.10812581913499342</v>
          </cell>
          <cell r="P174">
            <v>6.68243642814903E-2</v>
          </cell>
          <cell r="Q174">
            <v>1.097881552497304E-2</v>
          </cell>
          <cell r="S174">
            <v>7.6997578692493907E-2</v>
          </cell>
          <cell r="T174">
            <v>2.0233812949640217E-2</v>
          </cell>
          <cell r="U174">
            <v>3.9665050683120207E-2</v>
          </cell>
          <cell r="W174">
            <v>-0.72255242794661889</v>
          </cell>
          <cell r="X174">
            <v>-7.6798706548100171E-3</v>
          </cell>
          <cell r="Y174">
            <v>2.2403258655805391E-3</v>
          </cell>
          <cell r="Z174">
            <v>3.3936191830928664E-2</v>
          </cell>
          <cell r="AA174">
            <v>0.11399573847706623</v>
          </cell>
          <cell r="AB174">
            <v>-0.72567574369557564</v>
          </cell>
          <cell r="AC174">
            <v>-7.9266055045871586E-2</v>
          </cell>
          <cell r="AD174">
            <v>5.8190514149063288E-2</v>
          </cell>
          <cell r="AE174">
            <v>3.5404896421845633E-2</v>
          </cell>
          <cell r="AF174">
            <v>7.0921628831730921E-2</v>
          </cell>
          <cell r="AG174">
            <v>4.4016005820298298E-2</v>
          </cell>
          <cell r="AH174">
            <v>-4.4599303135888557E-2</v>
          </cell>
          <cell r="AI174">
            <v>2.6356214407813106E-2</v>
          </cell>
          <cell r="AJ174">
            <v>1.0599575153707352E-2</v>
          </cell>
          <cell r="AK174">
            <v>5.9444212523389162E-2</v>
          </cell>
          <cell r="AL174">
            <v>-1.0847834534243539E-2</v>
          </cell>
          <cell r="AM174">
            <v>1.3705948211368169E-2</v>
          </cell>
          <cell r="AN174">
            <v>1.8054198053764514E-2</v>
          </cell>
          <cell r="AO174">
            <v>1.4165710918802477E-2</v>
          </cell>
          <cell r="AP174">
            <v>9.5562635653694272E-3</v>
          </cell>
          <cell r="AQ174">
            <v>7.5702144489477874E-3</v>
          </cell>
        </row>
        <row r="175">
          <cell r="A175" t="str">
            <v>Capacity Capex</v>
          </cell>
          <cell r="I175">
            <v>0.33066891039124946</v>
          </cell>
          <cell r="J175">
            <v>0.34975767366720517</v>
          </cell>
          <cell r="K175">
            <v>0.33145047407706274</v>
          </cell>
          <cell r="L175">
            <v>0.33954636144072248</v>
          </cell>
          <cell r="M175">
            <v>0.31028840253630602</v>
          </cell>
          <cell r="N175">
            <v>0.29099923722349352</v>
          </cell>
          <cell r="O175">
            <v>0.30201821753884622</v>
          </cell>
          <cell r="P175">
            <v>0.31610303136499035</v>
          </cell>
          <cell r="Q175">
            <v>0.30495825364989038</v>
          </cell>
          <cell r="R175">
            <v>0.35244922341696533</v>
          </cell>
          <cell r="S175">
            <v>0.35905715208266065</v>
          </cell>
          <cell r="T175">
            <v>0.34929187192118227</v>
          </cell>
          <cell r="U175">
            <v>0.35559240277359061</v>
          </cell>
          <cell r="V175">
            <v>0.35408807528888536</v>
          </cell>
          <cell r="W175">
            <v>0.36164303464405789</v>
          </cell>
          <cell r="X175">
            <v>0.34321263805396335</v>
          </cell>
          <cell r="Y175">
            <v>0.33942612774175751</v>
          </cell>
          <cell r="Z175">
            <v>0.34434217650243637</v>
          </cell>
          <cell r="AA175">
            <v>0.34694911110334953</v>
          </cell>
          <cell r="AB175">
            <v>0.35458685751463892</v>
          </cell>
          <cell r="AC175">
            <v>0.32166666666666666</v>
          </cell>
          <cell r="AD175">
            <v>0.32263944586219467</v>
          </cell>
          <cell r="AE175">
            <v>0.33508044856167724</v>
          </cell>
          <cell r="AF175">
            <v>0.33329155962153018</v>
          </cell>
          <cell r="AG175">
            <v>0.35541795665634673</v>
          </cell>
          <cell r="AH175">
            <v>0.33545387815023242</v>
          </cell>
          <cell r="AI175">
            <v>0.34</v>
          </cell>
          <cell r="AJ175">
            <v>0.34799999999999998</v>
          </cell>
          <cell r="AK175">
            <v>0.34467053348513371</v>
          </cell>
          <cell r="AL175">
            <v>0.34</v>
          </cell>
          <cell r="AM175">
            <v>0.33600000000000002</v>
          </cell>
          <cell r="AN175">
            <v>0.33200000000000002</v>
          </cell>
          <cell r="AO175">
            <v>0.32850000000000001</v>
          </cell>
          <cell r="AP175">
            <v>0.32500000000000001</v>
          </cell>
          <cell r="AQ175">
            <v>0.32150000000000001</v>
          </cell>
        </row>
        <row r="176">
          <cell r="A176" t="str">
            <v>Coverage Capex</v>
          </cell>
        </row>
        <row r="177">
          <cell r="A177" t="str">
            <v>Upgrade Capex</v>
          </cell>
          <cell r="AL177">
            <v>0.32800000000000001</v>
          </cell>
          <cell r="AM177">
            <v>0.32350000000000001</v>
          </cell>
          <cell r="AN177">
            <v>0.3175</v>
          </cell>
          <cell r="AO177">
            <v>0.312</v>
          </cell>
          <cell r="AP177">
            <v>0.30649999999999999</v>
          </cell>
          <cell r="AQ177">
            <v>0.30149999999999999</v>
          </cell>
        </row>
        <row r="178">
          <cell r="A178" t="str">
            <v>Other Capex, Incl. Maintenance</v>
          </cell>
          <cell r="AL178">
            <v>0.34</v>
          </cell>
          <cell r="AM178">
            <v>0.33600000000000002</v>
          </cell>
          <cell r="AN178">
            <v>0.33200000000000002</v>
          </cell>
          <cell r="AO178">
            <v>0.32850000000000001</v>
          </cell>
          <cell r="AP178">
            <v>0.32500000000000001</v>
          </cell>
          <cell r="AQ178">
            <v>0.32150000000000001</v>
          </cell>
        </row>
        <row r="179">
          <cell r="A179" t="str">
            <v xml:space="preserve">   BEAR CASE</v>
          </cell>
          <cell r="AL179">
            <v>0.35000000000000003</v>
          </cell>
          <cell r="AM179">
            <v>0.34600000000000003</v>
          </cell>
          <cell r="AN179">
            <v>0.34200000000000003</v>
          </cell>
          <cell r="AO179">
            <v>0.33850000000000002</v>
          </cell>
          <cell r="AP179">
            <v>0.33</v>
          </cell>
          <cell r="AQ179">
            <v>0.32650000000000001</v>
          </cell>
        </row>
        <row r="181">
          <cell r="A181" t="str">
            <v>Total CPGA</v>
          </cell>
          <cell r="C181">
            <v>325</v>
          </cell>
          <cell r="D181">
            <v>300</v>
          </cell>
          <cell r="E181">
            <v>285</v>
          </cell>
          <cell r="F181">
            <v>315</v>
          </cell>
          <cell r="G181">
            <v>306.25</v>
          </cell>
          <cell r="H181">
            <v>305</v>
          </cell>
          <cell r="I181">
            <v>350</v>
          </cell>
          <cell r="J181">
            <v>395</v>
          </cell>
          <cell r="K181">
            <v>375</v>
          </cell>
          <cell r="L181">
            <v>356.25</v>
          </cell>
          <cell r="M181">
            <v>365</v>
          </cell>
          <cell r="N181">
            <v>415</v>
          </cell>
          <cell r="O181">
            <v>465</v>
          </cell>
          <cell r="P181">
            <v>425</v>
          </cell>
          <cell r="Q181">
            <v>417.5</v>
          </cell>
          <cell r="R181">
            <v>425</v>
          </cell>
          <cell r="S181">
            <v>425</v>
          </cell>
          <cell r="T181">
            <v>425</v>
          </cell>
          <cell r="U181">
            <v>425</v>
          </cell>
          <cell r="V181">
            <v>425</v>
          </cell>
          <cell r="W181">
            <v>420</v>
          </cell>
          <cell r="X181">
            <v>415</v>
          </cell>
          <cell r="Y181">
            <v>420</v>
          </cell>
          <cell r="Z181">
            <v>415</v>
          </cell>
          <cell r="AA181">
            <v>417.5</v>
          </cell>
          <cell r="AB181">
            <v>430</v>
          </cell>
          <cell r="AC181">
            <v>428</v>
          </cell>
          <cell r="AD181">
            <v>426</v>
          </cell>
          <cell r="AE181">
            <v>430</v>
          </cell>
          <cell r="AF181">
            <v>428.5</v>
          </cell>
          <cell r="AG181">
            <v>430</v>
          </cell>
          <cell r="AH181">
            <v>430</v>
          </cell>
          <cell r="AI181">
            <v>430</v>
          </cell>
          <cell r="AJ181">
            <v>430</v>
          </cell>
          <cell r="AK181">
            <v>430</v>
          </cell>
          <cell r="AL181">
            <v>420</v>
          </cell>
          <cell r="AM181">
            <v>410</v>
          </cell>
          <cell r="AN181">
            <v>400</v>
          </cell>
          <cell r="AO181">
            <v>390</v>
          </cell>
          <cell r="AP181">
            <v>380</v>
          </cell>
          <cell r="AQ181">
            <v>370</v>
          </cell>
        </row>
        <row r="184">
          <cell r="A184" t="str">
            <v>Capital Expenditures</v>
          </cell>
          <cell r="C184">
            <v>1400</v>
          </cell>
          <cell r="D184">
            <v>1678</v>
          </cell>
          <cell r="E184">
            <v>1669</v>
          </cell>
          <cell r="F184">
            <v>1384</v>
          </cell>
          <cell r="G184">
            <v>6131</v>
          </cell>
          <cell r="L184">
            <v>2668</v>
          </cell>
          <cell r="M184">
            <v>567</v>
          </cell>
          <cell r="N184">
            <v>874</v>
          </cell>
          <cell r="O184">
            <v>922</v>
          </cell>
          <cell r="P184">
            <v>1497</v>
          </cell>
          <cell r="Q184">
            <v>3860</v>
          </cell>
          <cell r="R184">
            <v>1090</v>
          </cell>
          <cell r="S184">
            <v>1165</v>
          </cell>
          <cell r="T184">
            <v>1262</v>
          </cell>
          <cell r="U184">
            <v>1555</v>
          </cell>
          <cell r="V184">
            <v>5072</v>
          </cell>
          <cell r="W184">
            <v>1037</v>
          </cell>
          <cell r="X184">
            <v>1586</v>
          </cell>
          <cell r="Y184">
            <v>1300</v>
          </cell>
          <cell r="Z184">
            <v>1535</v>
          </cell>
          <cell r="AA184">
            <v>5458</v>
          </cell>
          <cell r="AB184">
            <v>1071</v>
          </cell>
          <cell r="AC184">
            <v>1064</v>
          </cell>
          <cell r="AD184">
            <v>1473</v>
          </cell>
          <cell r="AE184">
            <v>2238</v>
          </cell>
          <cell r="AF184">
            <v>5846</v>
          </cell>
          <cell r="AG184">
            <v>1403</v>
          </cell>
          <cell r="AH184">
            <v>1371</v>
          </cell>
          <cell r="AI184">
            <v>1589.2595143317046</v>
          </cell>
          <cell r="AJ184">
            <v>1785.5348265378248</v>
          </cell>
          <cell r="AK184">
            <v>6148.7943408695301</v>
          </cell>
          <cell r="AL184">
            <v>5171.7871029127436</v>
          </cell>
          <cell r="AM184">
            <v>5081.4693732455453</v>
          </cell>
          <cell r="AN184">
            <v>5021.1515472371575</v>
          </cell>
          <cell r="AO184">
            <v>5019.8069997654939</v>
          </cell>
          <cell r="AP184">
            <v>5000.5651114236816</v>
          </cell>
          <cell r="AQ184">
            <v>5053.8709275006122</v>
          </cell>
        </row>
        <row r="185">
          <cell r="A185" t="str">
            <v xml:space="preserve">   Percent of Service Revenues</v>
          </cell>
          <cell r="L185">
            <v>0.14008190696209177</v>
          </cell>
          <cell r="M185">
            <v>0.11773255813953488</v>
          </cell>
          <cell r="N185">
            <v>0.16846569005397069</v>
          </cell>
          <cell r="O185">
            <v>0.16766684851791236</v>
          </cell>
          <cell r="P185">
            <v>0.2670353193007492</v>
          </cell>
          <cell r="Q185">
            <v>0.18286039130228812</v>
          </cell>
          <cell r="R185">
            <v>0.1915978203550712</v>
          </cell>
          <cell r="S185">
            <v>0.19377910844976715</v>
          </cell>
          <cell r="T185">
            <v>0.20182312490004797</v>
          </cell>
          <cell r="U185">
            <v>0.24600537889574434</v>
          </cell>
          <cell r="V185">
            <v>0.20893923789907312</v>
          </cell>
          <cell r="W185">
            <v>0.16065065840433773</v>
          </cell>
          <cell r="X185">
            <v>0.23510228283427217</v>
          </cell>
          <cell r="Y185">
            <v>0.19055995309293464</v>
          </cell>
          <cell r="Z185">
            <v>0.2219170160474194</v>
          </cell>
          <cell r="AA185">
            <v>0.20259836674090573</v>
          </cell>
          <cell r="AB185">
            <v>0.14926829268292682</v>
          </cell>
          <cell r="AC185">
            <v>0.14657666345226616</v>
          </cell>
          <cell r="AD185">
            <v>0.1924735397883183</v>
          </cell>
          <cell r="AE185">
            <v>0.29493937796520825</v>
          </cell>
          <cell r="AF185">
            <v>0.19700084245998314</v>
          </cell>
          <cell r="AG185">
            <v>0.18913453761121596</v>
          </cell>
          <cell r="AH185">
            <v>0.18287314925970388</v>
          </cell>
          <cell r="AI185">
            <v>0.21</v>
          </cell>
          <cell r="AJ185">
            <v>0.24</v>
          </cell>
          <cell r="AK185">
            <v>0.20548976334451047</v>
          </cell>
          <cell r="AL185">
            <v>0.17499999999999999</v>
          </cell>
          <cell r="AM185">
            <v>0.17</v>
          </cell>
          <cell r="AN185">
            <v>0.16500000000000001</v>
          </cell>
          <cell r="AO185">
            <v>0.16250000000000001</v>
          </cell>
          <cell r="AP185">
            <v>0.16</v>
          </cell>
          <cell r="AQ185">
            <v>0.16</v>
          </cell>
        </row>
        <row r="187">
          <cell r="A187" t="str">
            <v>Average PP&amp;E Life</v>
          </cell>
          <cell r="B187">
            <v>6</v>
          </cell>
          <cell r="AL187">
            <v>0.16499999999999998</v>
          </cell>
          <cell r="AM187">
            <v>0.16</v>
          </cell>
          <cell r="AN187">
            <v>0.155</v>
          </cell>
          <cell r="AO187">
            <v>0.14750000000000002</v>
          </cell>
          <cell r="AP187">
            <v>0.14000000000000001</v>
          </cell>
          <cell r="AQ187">
            <v>0.14000000000000001</v>
          </cell>
        </row>
        <row r="188">
          <cell r="A188" t="str">
            <v>PP&amp;E Retirements</v>
          </cell>
          <cell r="AL188">
            <v>0.17499999999999999</v>
          </cell>
          <cell r="AM188">
            <v>0.17</v>
          </cell>
          <cell r="AN188">
            <v>0.16500000000000001</v>
          </cell>
          <cell r="AO188">
            <v>0.16250000000000001</v>
          </cell>
          <cell r="AP188">
            <v>0.16</v>
          </cell>
          <cell r="AQ188">
            <v>0.16</v>
          </cell>
        </row>
        <row r="189">
          <cell r="A189" t="str">
            <v>Capital Expenditures</v>
          </cell>
          <cell r="Y189">
            <v>1300</v>
          </cell>
          <cell r="Z189">
            <v>1535</v>
          </cell>
          <cell r="AB189">
            <v>1071</v>
          </cell>
          <cell r="AC189">
            <v>1425.6134442043708</v>
          </cell>
          <cell r="AD189">
            <v>1392.0416342117594</v>
          </cell>
          <cell r="AE189">
            <v>1544.504651824348</v>
          </cell>
          <cell r="AG189">
            <v>5854.491301244313</v>
          </cell>
          <cell r="AH189">
            <v>5637.5427037198233</v>
          </cell>
          <cell r="AI189">
            <v>5320.8252030885051</v>
          </cell>
          <cell r="AJ189">
            <v>4966.9555783770547</v>
          </cell>
          <cell r="AK189">
            <v>4924.1838886113328</v>
          </cell>
          <cell r="AL189">
            <v>4880.1147218715141</v>
          </cell>
          <cell r="AM189">
            <v>0.18000000000000002</v>
          </cell>
          <cell r="AN189">
            <v>0.17</v>
          </cell>
          <cell r="AO189">
            <v>0.16750000000000001</v>
          </cell>
          <cell r="AP189">
            <v>0.16500000000000001</v>
          </cell>
          <cell r="AQ189">
            <v>0.16500000000000001</v>
          </cell>
        </row>
        <row r="190">
          <cell r="A190" t="str">
            <v xml:space="preserve">  Existing Depreciation</v>
          </cell>
          <cell r="Y190">
            <v>1115</v>
          </cell>
          <cell r="Z190">
            <v>1174</v>
          </cell>
          <cell r="AB190">
            <v>1284</v>
          </cell>
          <cell r="AC190">
            <v>1219.8</v>
          </cell>
          <cell r="AD190">
            <v>1158.81</v>
          </cell>
          <cell r="AE190">
            <v>1100.8694999999998</v>
          </cell>
          <cell r="AG190">
            <v>3669.5649999999996</v>
          </cell>
          <cell r="AH190">
            <v>3057.9708333333333</v>
          </cell>
          <cell r="AI190">
            <v>2548.3090277777778</v>
          </cell>
          <cell r="AJ190">
            <v>2123.5908564814818</v>
          </cell>
          <cell r="AK190">
            <v>1769.6590470679016</v>
          </cell>
          <cell r="AL190">
            <v>1474.7158725565848</v>
          </cell>
        </row>
        <row r="191">
          <cell r="A191" t="str">
            <v xml:space="preserve">  New Depreciation</v>
          </cell>
          <cell r="Y191">
            <v>0</v>
          </cell>
          <cell r="Z191">
            <v>0</v>
          </cell>
          <cell r="AB191">
            <v>0</v>
          </cell>
          <cell r="AC191">
            <v>0</v>
          </cell>
          <cell r="AD191">
            <v>0</v>
          </cell>
          <cell r="AE191">
            <v>0</v>
          </cell>
          <cell r="AG191">
            <v>0</v>
          </cell>
          <cell r="AH191">
            <v>0</v>
          </cell>
          <cell r="AI191">
            <v>0</v>
          </cell>
          <cell r="AJ191">
            <v>0</v>
          </cell>
          <cell r="AK191">
            <v>0</v>
          </cell>
          <cell r="AL191">
            <v>0</v>
          </cell>
        </row>
        <row r="192">
          <cell r="Y192">
            <v>0</v>
          </cell>
          <cell r="Z192">
            <v>0</v>
          </cell>
          <cell r="AB192">
            <v>0</v>
          </cell>
          <cell r="AC192">
            <v>0</v>
          </cell>
          <cell r="AD192">
            <v>0</v>
          </cell>
          <cell r="AE192">
            <v>0</v>
          </cell>
          <cell r="AG192">
            <v>0</v>
          </cell>
          <cell r="AH192">
            <v>0</v>
          </cell>
          <cell r="AI192">
            <v>0</v>
          </cell>
          <cell r="AJ192">
            <v>0</v>
          </cell>
          <cell r="AK192">
            <v>0</v>
          </cell>
          <cell r="AL192">
            <v>0</v>
          </cell>
        </row>
        <row r="193">
          <cell r="Z193">
            <v>0</v>
          </cell>
          <cell r="AB193">
            <v>0</v>
          </cell>
          <cell r="AC193">
            <v>0</v>
          </cell>
          <cell r="AD193">
            <v>0</v>
          </cell>
          <cell r="AE193">
            <v>0</v>
          </cell>
          <cell r="AG193">
            <v>0</v>
          </cell>
          <cell r="AH193">
            <v>0</v>
          </cell>
          <cell r="AI193">
            <v>0</v>
          </cell>
          <cell r="AJ193">
            <v>0</v>
          </cell>
          <cell r="AK193">
            <v>0</v>
          </cell>
          <cell r="AL193">
            <v>0</v>
          </cell>
        </row>
        <row r="194">
          <cell r="AB194">
            <v>0</v>
          </cell>
          <cell r="AC194">
            <v>0</v>
          </cell>
          <cell r="AD194">
            <v>0</v>
          </cell>
          <cell r="AE194">
            <v>0</v>
          </cell>
          <cell r="AG194">
            <v>0</v>
          </cell>
          <cell r="AH194">
            <v>0</v>
          </cell>
          <cell r="AI194">
            <v>0</v>
          </cell>
          <cell r="AJ194">
            <v>0</v>
          </cell>
          <cell r="AK194">
            <v>0</v>
          </cell>
          <cell r="AL194">
            <v>0</v>
          </cell>
        </row>
        <row r="195">
          <cell r="AC195">
            <v>29.700280087591057</v>
          </cell>
          <cell r="AD195">
            <v>59.400560175182115</v>
          </cell>
          <cell r="AE195">
            <v>59.400560175182115</v>
          </cell>
          <cell r="AG195">
            <v>237.60224070072846</v>
          </cell>
          <cell r="AH195">
            <v>237.60224070072846</v>
          </cell>
          <cell r="AI195">
            <v>237.60224070072846</v>
          </cell>
          <cell r="AJ195">
            <v>237.60224070072846</v>
          </cell>
          <cell r="AK195">
            <v>237.60224070072846</v>
          </cell>
          <cell r="AL195">
            <v>89.10084026277309</v>
          </cell>
        </row>
        <row r="196">
          <cell r="AD196">
            <v>29.000867379411655</v>
          </cell>
          <cell r="AE196">
            <v>58.001734758823311</v>
          </cell>
          <cell r="AG196">
            <v>232.00693903529324</v>
          </cell>
          <cell r="AH196">
            <v>232.00693903529324</v>
          </cell>
          <cell r="AI196">
            <v>232.00693903529324</v>
          </cell>
          <cell r="AJ196">
            <v>232.00693903529324</v>
          </cell>
          <cell r="AK196">
            <v>232.00693903529324</v>
          </cell>
          <cell r="AL196">
            <v>145.00433689705824</v>
          </cell>
        </row>
        <row r="197">
          <cell r="AE197">
            <v>32.177180246340583</v>
          </cell>
          <cell r="AG197">
            <v>257.41744197072467</v>
          </cell>
          <cell r="AH197">
            <v>257.41744197072467</v>
          </cell>
          <cell r="AI197">
            <v>257.41744197072467</v>
          </cell>
          <cell r="AJ197">
            <v>257.41744197072467</v>
          </cell>
          <cell r="AK197">
            <v>257.41744197072467</v>
          </cell>
          <cell r="AL197">
            <v>225.24026172438403</v>
          </cell>
        </row>
        <row r="198">
          <cell r="AG198">
            <v>487.87427510369275</v>
          </cell>
          <cell r="AH198">
            <v>975.74855020738551</v>
          </cell>
          <cell r="AI198">
            <v>975.74855020738551</v>
          </cell>
          <cell r="AJ198">
            <v>975.74855020738551</v>
          </cell>
          <cell r="AK198">
            <v>975.74855020738551</v>
          </cell>
          <cell r="AL198">
            <v>975.74855020738551</v>
          </cell>
        </row>
        <row r="199">
          <cell r="AH199">
            <v>469.79522530998526</v>
          </cell>
          <cell r="AI199">
            <v>939.59045061997051</v>
          </cell>
          <cell r="AJ199">
            <v>939.59045061997051</v>
          </cell>
          <cell r="AK199">
            <v>939.59045061997051</v>
          </cell>
          <cell r="AL199">
            <v>939.59045061997051</v>
          </cell>
        </row>
        <row r="200">
          <cell r="AI200">
            <v>443.40210025737542</v>
          </cell>
          <cell r="AJ200">
            <v>886.80420051475085</v>
          </cell>
          <cell r="AK200">
            <v>886.80420051475085</v>
          </cell>
          <cell r="AL200">
            <v>886.80420051475085</v>
          </cell>
        </row>
        <row r="201">
          <cell r="AJ201">
            <v>413.91296486475454</v>
          </cell>
          <cell r="AK201">
            <v>827.82592972950908</v>
          </cell>
          <cell r="AL201">
            <v>827.82592972950908</v>
          </cell>
        </row>
        <row r="202">
          <cell r="AK202">
            <v>410.34865738427771</v>
          </cell>
          <cell r="AL202">
            <v>820.69731476855543</v>
          </cell>
        </row>
        <row r="203">
          <cell r="AL203">
            <v>406.67622682262618</v>
          </cell>
        </row>
        <row r="208">
          <cell r="AG208">
            <v>-100</v>
          </cell>
          <cell r="AH208">
            <v>-250</v>
          </cell>
          <cell r="AI208">
            <v>-625</v>
          </cell>
          <cell r="AJ208">
            <v>-1250</v>
          </cell>
          <cell r="AK208">
            <v>-1875</v>
          </cell>
          <cell r="AL208">
            <v>-1875</v>
          </cell>
        </row>
        <row r="209">
          <cell r="Y209" t="str">
            <v xml:space="preserve">______ </v>
          </cell>
          <cell r="Z209" t="str">
            <v xml:space="preserve">______ </v>
          </cell>
          <cell r="AB209" t="str">
            <v xml:space="preserve">______ </v>
          </cell>
          <cell r="AC209" t="str">
            <v xml:space="preserve">______ </v>
          </cell>
          <cell r="AD209" t="str">
            <v xml:space="preserve">______ </v>
          </cell>
          <cell r="AE209" t="str">
            <v xml:space="preserve">______ </v>
          </cell>
          <cell r="AG209" t="str">
            <v xml:space="preserve">______ </v>
          </cell>
          <cell r="AH209" t="str">
            <v xml:space="preserve">______ </v>
          </cell>
          <cell r="AI209" t="str">
            <v xml:space="preserve">______ </v>
          </cell>
          <cell r="AJ209" t="str">
            <v xml:space="preserve">______ </v>
          </cell>
          <cell r="AK209" t="str">
            <v xml:space="preserve">______ </v>
          </cell>
          <cell r="AL209" t="str">
            <v xml:space="preserve">______ </v>
          </cell>
        </row>
        <row r="210">
          <cell r="A210" t="str">
            <v>Depreciation</v>
          </cell>
          <cell r="Y210">
            <v>1115</v>
          </cell>
          <cell r="Z210">
            <v>1174</v>
          </cell>
          <cell r="AB210">
            <v>1284</v>
          </cell>
          <cell r="AC210">
            <v>1249.5002800875909</v>
          </cell>
          <cell r="AD210">
            <v>1247.2114275545937</v>
          </cell>
          <cell r="AE210">
            <v>1250.4489751803458</v>
          </cell>
          <cell r="AG210">
            <v>4784.4658968104386</v>
          </cell>
          <cell r="AH210">
            <v>4980.5412305574509</v>
          </cell>
          <cell r="AI210">
            <v>5009.0767505692556</v>
          </cell>
          <cell r="AJ210">
            <v>4816.6736443950904</v>
          </cell>
          <cell r="AK210">
            <v>4662.0034572305412</v>
          </cell>
          <cell r="AL210">
            <v>4916.4039841035974</v>
          </cell>
        </row>
        <row r="218">
          <cell r="W218" t="str">
            <v>2005-Q1</v>
          </cell>
          <cell r="X218" t="str">
            <v>2005-Q2</v>
          </cell>
          <cell r="Y218" t="str">
            <v>2005-Q3</v>
          </cell>
          <cell r="Z218" t="str">
            <v>2005-Q4</v>
          </cell>
          <cell r="AA218" t="str">
            <v>2005-FY</v>
          </cell>
          <cell r="AB218" t="str">
            <v>2006-Q1</v>
          </cell>
          <cell r="AC218" t="str">
            <v>2006-Q2</v>
          </cell>
          <cell r="AD218" t="str">
            <v>2006-Q3</v>
          </cell>
          <cell r="AE218" t="str">
            <v>2006-Q4</v>
          </cell>
          <cell r="AF218" t="str">
            <v>2006-FY</v>
          </cell>
          <cell r="AG218" t="str">
            <v>2007-Q1</v>
          </cell>
          <cell r="AH218" t="str">
            <v>2007-Q2</v>
          </cell>
          <cell r="AI218" t="str">
            <v>2007-Q3</v>
          </cell>
          <cell r="AJ218" t="str">
            <v>2007-Q4</v>
          </cell>
          <cell r="AK218" t="str">
            <v>2007-FY</v>
          </cell>
          <cell r="AL218" t="str">
            <v>2008-FY</v>
          </cell>
          <cell r="AM218" t="str">
            <v>2009-FY</v>
          </cell>
          <cell r="AN218" t="str">
            <v>2010-FY</v>
          </cell>
          <cell r="AO218" t="str">
            <v>2011-FY</v>
          </cell>
          <cell r="AP218" t="str">
            <v>2012-FY</v>
          </cell>
          <cell r="AQ218" t="str">
            <v>2013-FY</v>
          </cell>
        </row>
      </sheetData>
      <sheetData sheetId="3" refreshError="1">
        <row r="1">
          <cell r="A1" t="str">
            <v>SPRINT NEXTEL CORP.</v>
          </cell>
          <cell r="B1">
            <v>0</v>
          </cell>
          <cell r="C1">
            <v>0</v>
          </cell>
          <cell r="D1">
            <v>0</v>
          </cell>
          <cell r="E1">
            <v>1996</v>
          </cell>
          <cell r="F1">
            <v>1997</v>
          </cell>
          <cell r="G1">
            <v>1998</v>
          </cell>
          <cell r="H1">
            <v>1999</v>
          </cell>
          <cell r="I1">
            <v>2000</v>
          </cell>
          <cell r="J1">
            <v>2001</v>
          </cell>
          <cell r="K1">
            <v>2002</v>
          </cell>
          <cell r="L1">
            <v>2003</v>
          </cell>
          <cell r="M1">
            <v>2004</v>
          </cell>
          <cell r="N1">
            <v>2005</v>
          </cell>
          <cell r="O1">
            <v>2006</v>
          </cell>
          <cell r="P1">
            <v>2007</v>
          </cell>
          <cell r="Q1">
            <v>2008</v>
          </cell>
          <cell r="R1">
            <v>2009</v>
          </cell>
          <cell r="S1">
            <v>2010</v>
          </cell>
          <cell r="T1">
            <v>2011</v>
          </cell>
          <cell r="U1">
            <v>2012</v>
          </cell>
          <cell r="V1" t="str">
            <v>CAGR (04-08)</v>
          </cell>
          <cell r="AM1" t="str">
            <v>1Q01</v>
          </cell>
          <cell r="AN1" t="str">
            <v>2Q01</v>
          </cell>
          <cell r="AO1" t="str">
            <v>3Q01</v>
          </cell>
          <cell r="AP1" t="str">
            <v>4Q01</v>
          </cell>
          <cell r="AQ1" t="str">
            <v>1Q02</v>
          </cell>
          <cell r="AR1" t="str">
            <v>2Q02</v>
          </cell>
          <cell r="AS1" t="str">
            <v>3Q02</v>
          </cell>
          <cell r="AT1" t="str">
            <v>4Q02</v>
          </cell>
          <cell r="AU1" t="str">
            <v>1Q03</v>
          </cell>
          <cell r="AV1" t="str">
            <v>2Q03</v>
          </cell>
          <cell r="AW1" t="str">
            <v>3Q03</v>
          </cell>
          <cell r="AX1" t="str">
            <v>4Q03</v>
          </cell>
          <cell r="AY1" t="str">
            <v>1Q04</v>
          </cell>
          <cell r="AZ1" t="str">
            <v>2Q04</v>
          </cell>
          <cell r="BA1" t="str">
            <v>3Q04</v>
          </cell>
          <cell r="BB1" t="str">
            <v>4Q04</v>
          </cell>
          <cell r="BC1" t="str">
            <v>1Q05</v>
          </cell>
          <cell r="BD1" t="str">
            <v>2Q05</v>
          </cell>
          <cell r="BE1" t="str">
            <v>3Q05</v>
          </cell>
          <cell r="BF1" t="str">
            <v>4Q05</v>
          </cell>
          <cell r="BG1" t="str">
            <v>1Q06</v>
          </cell>
          <cell r="BH1" t="str">
            <v>2Q06E</v>
          </cell>
          <cell r="BI1" t="str">
            <v>3Q06E</v>
          </cell>
          <cell r="BJ1" t="str">
            <v>4Q06E</v>
          </cell>
          <cell r="BM1" t="str">
            <v>check 2005</v>
          </cell>
          <cell r="BN1" t="str">
            <v>check 2003</v>
          </cell>
          <cell r="BO1" t="str">
            <v>check 2004</v>
          </cell>
        </row>
        <row r="2">
          <cell r="A2" t="str">
            <v>GAAP EPS</v>
          </cell>
          <cell r="B2">
            <v>0</v>
          </cell>
          <cell r="C2">
            <v>0</v>
          </cell>
          <cell r="D2">
            <v>0</v>
          </cell>
          <cell r="E2">
            <v>0</v>
          </cell>
          <cell r="F2">
            <v>0</v>
          </cell>
          <cell r="G2">
            <v>0</v>
          </cell>
          <cell r="H2">
            <v>0</v>
          </cell>
          <cell r="I2">
            <v>0</v>
          </cell>
          <cell r="J2">
            <v>0</v>
          </cell>
          <cell r="K2">
            <v>0.4036898061288306</v>
          </cell>
          <cell r="L2">
            <v>0.62976047481099418</v>
          </cell>
          <cell r="M2">
            <v>0.93252043785506433</v>
          </cell>
          <cell r="N2">
            <v>0.92452575440491458</v>
          </cell>
          <cell r="O2">
            <v>6.0013486176668913E-2</v>
          </cell>
          <cell r="P2">
            <v>1.4439925790050001</v>
          </cell>
          <cell r="Q2">
            <v>1.6264062254090983</v>
          </cell>
          <cell r="R2">
            <v>1.6801542718935321</v>
          </cell>
          <cell r="S2">
            <v>1.7165457575113305</v>
          </cell>
          <cell r="T2">
            <v>1.7478592375718576</v>
          </cell>
          <cell r="U2">
            <v>1.8181130868941773</v>
          </cell>
          <cell r="AM2">
            <v>0</v>
          </cell>
          <cell r="AN2">
            <v>0</v>
          </cell>
          <cell r="AO2">
            <v>0</v>
          </cell>
          <cell r="AP2">
            <v>0</v>
          </cell>
          <cell r="AY2">
            <v>0.16850607527068898</v>
          </cell>
          <cell r="AZ2">
            <v>0.20374104721507547</v>
          </cell>
          <cell r="BA2">
            <v>0.23783262098442026</v>
          </cell>
          <cell r="BB2">
            <v>0.31327731092436972</v>
          </cell>
          <cell r="BC2">
            <v>0.31444437010771392</v>
          </cell>
          <cell r="BD2">
            <v>0.42467142761796722</v>
          </cell>
          <cell r="BE2">
            <v>0.39649205335842208</v>
          </cell>
          <cell r="BF2">
            <v>6.5449419346177082E-2</v>
          </cell>
          <cell r="BG2">
            <v>0.92452575440491458</v>
          </cell>
          <cell r="BH2">
            <v>6.0013486176668913E-2</v>
          </cell>
          <cell r="BI2">
            <v>0.28645932114458017</v>
          </cell>
          <cell r="BJ2">
            <v>0.30574302401179604</v>
          </cell>
        </row>
        <row r="3">
          <cell r="A3" t="str">
            <v>% growth</v>
          </cell>
          <cell r="B3">
            <v>0</v>
          </cell>
          <cell r="C3">
            <v>0</v>
          </cell>
          <cell r="D3">
            <v>0</v>
          </cell>
          <cell r="E3">
            <v>0</v>
          </cell>
          <cell r="F3">
            <v>0</v>
          </cell>
          <cell r="G3">
            <v>0</v>
          </cell>
          <cell r="H3">
            <v>0</v>
          </cell>
          <cell r="I3">
            <v>0</v>
          </cell>
          <cell r="J3">
            <v>0</v>
          </cell>
          <cell r="K3">
            <v>0</v>
          </cell>
          <cell r="L3">
            <v>0.56001084310267935</v>
          </cell>
          <cell r="M3">
            <v>0.48075415202094973</v>
          </cell>
          <cell r="N3">
            <v>-8.5731991767802329E-3</v>
          </cell>
          <cell r="O3">
            <v>-0.9350872748641843</v>
          </cell>
          <cell r="P3">
            <v>23.061134771510282</v>
          </cell>
          <cell r="Q3">
            <v>0.12632588910518661</v>
          </cell>
          <cell r="R3">
            <v>3.3047122941818774E-2</v>
          </cell>
          <cell r="S3">
            <v>2.165960961238711E-2</v>
          </cell>
          <cell r="T3">
            <v>1.8242147011522603E-2</v>
          </cell>
          <cell r="U3">
            <v>4.0194226063602789E-2</v>
          </cell>
          <cell r="AM3">
            <v>0</v>
          </cell>
          <cell r="AN3">
            <v>0</v>
          </cell>
          <cell r="AO3">
            <v>0</v>
          </cell>
          <cell r="AP3">
            <v>0</v>
          </cell>
          <cell r="AY3">
            <v>0</v>
          </cell>
          <cell r="AZ3">
            <v>0</v>
          </cell>
          <cell r="BA3">
            <v>0</v>
          </cell>
          <cell r="BB3">
            <v>0</v>
          </cell>
          <cell r="BC3">
            <v>0.86607141376112984</v>
          </cell>
          <cell r="BD3">
            <v>1.0843685326191079</v>
          </cell>
          <cell r="BE3">
            <v>0.66710542783109283</v>
          </cell>
          <cell r="BF3">
            <v>-0.79108152086386607</v>
          </cell>
          <cell r="BG3">
            <v>1.9401886066149485</v>
          </cell>
          <cell r="BH3">
            <v>-0.85868254308209124</v>
          </cell>
          <cell r="BI3">
            <v>-0.27751560537424991</v>
          </cell>
          <cell r="BJ3">
            <v>3.6714398243115136</v>
          </cell>
        </row>
        <row r="5">
          <cell r="A5" t="str">
            <v>LOCAL DIVISION</v>
          </cell>
        </row>
        <row r="6">
          <cell r="AM6">
            <v>1115</v>
          </cell>
          <cell r="AN6">
            <v>1086</v>
          </cell>
          <cell r="AO6">
            <v>1087</v>
          </cell>
          <cell r="AP6">
            <v>1067</v>
          </cell>
        </row>
        <row r="8">
          <cell r="A8" t="str">
            <v xml:space="preserve">Voice </v>
          </cell>
          <cell r="K8">
            <v>4810</v>
          </cell>
          <cell r="L8">
            <v>4654</v>
          </cell>
          <cell r="M8">
            <v>4498</v>
          </cell>
          <cell r="N8">
            <v>4335</v>
          </cell>
          <cell r="O8">
            <v>4139.5903500000004</v>
          </cell>
          <cell r="P8">
            <v>3902.2546934906154</v>
          </cell>
          <cell r="Q8">
            <v>3700.4082223670039</v>
          </cell>
          <cell r="R8">
            <v>3509.274889692063</v>
          </cell>
          <cell r="S8">
            <v>3328.6871745560693</v>
          </cell>
          <cell r="T8">
            <v>3158.4776428984514</v>
          </cell>
          <cell r="U8">
            <v>2998.4789461445171</v>
          </cell>
          <cell r="V8">
            <v>-4.7625964957189404E-2</v>
          </cell>
          <cell r="AQ8">
            <v>1217</v>
          </cell>
          <cell r="AR8">
            <v>1194</v>
          </cell>
          <cell r="AS8">
            <v>1205</v>
          </cell>
          <cell r="AT8">
            <v>1194</v>
          </cell>
          <cell r="AU8">
            <v>1183</v>
          </cell>
          <cell r="AV8">
            <v>1165</v>
          </cell>
          <cell r="AW8">
            <v>1152</v>
          </cell>
          <cell r="AX8">
            <v>1154</v>
          </cell>
          <cell r="AY8">
            <v>1147</v>
          </cell>
          <cell r="AZ8">
            <v>1136</v>
          </cell>
          <cell r="BA8">
            <v>1105</v>
          </cell>
          <cell r="BB8">
            <v>1110</v>
          </cell>
          <cell r="BC8">
            <v>1105</v>
          </cell>
          <cell r="BD8">
            <v>1085</v>
          </cell>
          <cell r="BE8">
            <v>1082</v>
          </cell>
          <cell r="BF8">
            <v>1063</v>
          </cell>
          <cell r="BG8">
            <v>1050</v>
          </cell>
          <cell r="BH8">
            <v>1041.8045999999999</v>
          </cell>
          <cell r="BI8">
            <v>1032.7129500000001</v>
          </cell>
          <cell r="BJ8">
            <v>1015.0727999999998</v>
          </cell>
          <cell r="BM8">
            <v>0</v>
          </cell>
          <cell r="BN8">
            <v>0</v>
          </cell>
          <cell r="BO8">
            <v>0</v>
          </cell>
        </row>
        <row r="9">
          <cell r="A9" t="str">
            <v>% growth</v>
          </cell>
          <cell r="L9">
            <v>-3.2432432432432434E-2</v>
          </cell>
          <cell r="M9">
            <v>-3.3519553072625663E-2</v>
          </cell>
          <cell r="N9">
            <v>-3.6238328145842602E-2</v>
          </cell>
          <cell r="O9">
            <v>-4.5077197231833788E-2</v>
          </cell>
          <cell r="P9">
            <v>-5.7333126334441542E-2</v>
          </cell>
          <cell r="Q9">
            <v>-5.1725601473505356E-2</v>
          </cell>
          <cell r="R9">
            <v>-5.1651958700027034E-2</v>
          </cell>
          <cell r="S9">
            <v>-5.1460122336509317E-2</v>
          </cell>
          <cell r="T9">
            <v>-5.1134132687105982E-2</v>
          </cell>
          <cell r="U9">
            <v>-5.0656903370418616E-2</v>
          </cell>
          <cell r="AU9">
            <v>-2.79375513557929E-2</v>
          </cell>
          <cell r="AV9">
            <v>-2.4288107202680043E-2</v>
          </cell>
          <cell r="AW9">
            <v>-4.3983402489626511E-2</v>
          </cell>
          <cell r="AX9">
            <v>-3.350083752093802E-2</v>
          </cell>
          <cell r="AY9">
            <v>-3.0431107354184306E-2</v>
          </cell>
          <cell r="AZ9">
            <v>-2.4892703862660959E-2</v>
          </cell>
          <cell r="BA9">
            <v>-4.079861111111116E-2</v>
          </cell>
          <cell r="BB9">
            <v>-3.8128249566724448E-2</v>
          </cell>
          <cell r="BC9">
            <v>-3.6617262423713992E-2</v>
          </cell>
          <cell r="BD9">
            <v>-4.4894366197183122E-2</v>
          </cell>
          <cell r="BE9">
            <v>-2.0814479638009087E-2</v>
          </cell>
          <cell r="BF9">
            <v>-4.2342342342342354E-2</v>
          </cell>
          <cell r="BG9">
            <v>-4.9773755656108642E-2</v>
          </cell>
          <cell r="BH9">
            <v>-3.9811428571428609E-2</v>
          </cell>
          <cell r="BI9">
            <v>-4.5551802218114501E-2</v>
          </cell>
          <cell r="BJ9">
            <v>-4.5086735653810162E-2</v>
          </cell>
        </row>
        <row r="10">
          <cell r="A10" t="str">
            <v>Data</v>
          </cell>
          <cell r="K10">
            <v>646</v>
          </cell>
          <cell r="L10">
            <v>730</v>
          </cell>
          <cell r="M10">
            <v>833</v>
          </cell>
          <cell r="N10">
            <v>983</v>
          </cell>
          <cell r="O10">
            <v>1113.4666666666667</v>
          </cell>
          <cell r="P10">
            <v>1227.9977201646093</v>
          </cell>
          <cell r="Q10">
            <v>1334.3923621399176</v>
          </cell>
          <cell r="R10">
            <v>1432.8305925925927</v>
          </cell>
          <cell r="S10">
            <v>1523.492411522634</v>
          </cell>
          <cell r="T10">
            <v>1606.5578189300413</v>
          </cell>
          <cell r="U10">
            <v>1682.2068148148151</v>
          </cell>
          <cell r="V10">
            <v>0.12501842848898082</v>
          </cell>
          <cell r="AQ10">
            <v>154</v>
          </cell>
          <cell r="AR10">
            <v>161</v>
          </cell>
          <cell r="AS10">
            <v>163</v>
          </cell>
          <cell r="AT10">
            <v>168</v>
          </cell>
          <cell r="AU10">
            <v>173</v>
          </cell>
          <cell r="AV10">
            <v>176</v>
          </cell>
          <cell r="AW10">
            <v>187</v>
          </cell>
          <cell r="AX10">
            <v>194</v>
          </cell>
          <cell r="AY10">
            <v>195</v>
          </cell>
          <cell r="AZ10">
            <v>205</v>
          </cell>
          <cell r="BA10">
            <v>214</v>
          </cell>
          <cell r="BB10">
            <v>219</v>
          </cell>
          <cell r="BC10">
            <v>233</v>
          </cell>
          <cell r="BD10">
            <v>240</v>
          </cell>
          <cell r="BE10">
            <v>251</v>
          </cell>
          <cell r="BF10">
            <v>259</v>
          </cell>
          <cell r="BG10">
            <v>267</v>
          </cell>
          <cell r="BH10">
            <v>275.60000000000002</v>
          </cell>
          <cell r="BI10">
            <v>281.93333333333334</v>
          </cell>
          <cell r="BJ10">
            <v>288.93333333333334</v>
          </cell>
          <cell r="BM10">
            <v>0</v>
          </cell>
          <cell r="BN10">
            <v>0</v>
          </cell>
          <cell r="BO10">
            <v>0</v>
          </cell>
        </row>
        <row r="11">
          <cell r="A11" t="str">
            <v>% growth</v>
          </cell>
          <cell r="L11">
            <v>0.13003095975232193</v>
          </cell>
          <cell r="M11">
            <v>0.14109589041095894</v>
          </cell>
          <cell r="N11">
            <v>0.18007202881152451</v>
          </cell>
          <cell r="O11">
            <v>0.13272295693455405</v>
          </cell>
          <cell r="P11">
            <v>0.10285988519154232</v>
          </cell>
          <cell r="Q11">
            <v>8.6640748780092647E-2</v>
          </cell>
          <cell r="R11">
            <v>7.3770079360176544E-2</v>
          </cell>
          <cell r="S11">
            <v>6.327462534562156E-2</v>
          </cell>
          <cell r="T11">
            <v>5.4523020120847754E-2</v>
          </cell>
          <cell r="U11">
            <v>4.7087627344253091E-2</v>
          </cell>
          <cell r="AU11">
            <v>0.12337662337662336</v>
          </cell>
          <cell r="AV11">
            <v>9.3167701863354102E-2</v>
          </cell>
          <cell r="AW11">
            <v>0.14723926380368102</v>
          </cell>
          <cell r="AX11">
            <v>0.15476190476190466</v>
          </cell>
          <cell r="AY11">
            <v>0.12716763005780352</v>
          </cell>
          <cell r="AZ11">
            <v>0.16477272727272729</v>
          </cell>
          <cell r="BA11">
            <v>0.14438502673796783</v>
          </cell>
          <cell r="BB11">
            <v>0.12886597938144329</v>
          </cell>
          <cell r="BC11">
            <v>0.19487179487179485</v>
          </cell>
          <cell r="BD11">
            <v>0.1707317073170731</v>
          </cell>
          <cell r="BE11">
            <v>0.17289719626168232</v>
          </cell>
          <cell r="BF11">
            <v>0.18264840182648401</v>
          </cell>
          <cell r="BG11">
            <v>0.14592274678111594</v>
          </cell>
          <cell r="BH11">
            <v>0.14833333333333343</v>
          </cell>
          <cell r="BI11">
            <v>0.1232403718459496</v>
          </cell>
          <cell r="BJ11">
            <v>0.11557271557271553</v>
          </cell>
        </row>
        <row r="12">
          <cell r="A12" t="str">
            <v>Other</v>
          </cell>
          <cell r="K12">
            <v>801</v>
          </cell>
          <cell r="L12">
            <v>746</v>
          </cell>
          <cell r="M12">
            <v>690</v>
          </cell>
          <cell r="N12">
            <v>1209</v>
          </cell>
          <cell r="O12">
            <v>1123</v>
          </cell>
          <cell r="P12">
            <v>1010.7</v>
          </cell>
          <cell r="Q12">
            <v>909.63000000000011</v>
          </cell>
          <cell r="R12">
            <v>818.66700000000014</v>
          </cell>
          <cell r="S12">
            <v>736.80030000000011</v>
          </cell>
          <cell r="T12">
            <v>663.12027000000012</v>
          </cell>
          <cell r="U12">
            <v>596.80824300000018</v>
          </cell>
          <cell r="V12">
            <v>7.152897967339622E-2</v>
          </cell>
          <cell r="AQ12">
            <v>194</v>
          </cell>
          <cell r="AR12">
            <v>193</v>
          </cell>
          <cell r="AS12">
            <v>212</v>
          </cell>
          <cell r="AT12">
            <v>202</v>
          </cell>
          <cell r="AU12">
            <v>176</v>
          </cell>
          <cell r="AV12">
            <v>185</v>
          </cell>
          <cell r="AW12">
            <v>188</v>
          </cell>
          <cell r="AX12">
            <v>197</v>
          </cell>
          <cell r="AY12">
            <v>164</v>
          </cell>
          <cell r="AZ12">
            <v>169</v>
          </cell>
          <cell r="BA12">
            <v>177</v>
          </cell>
          <cell r="BB12">
            <v>180</v>
          </cell>
          <cell r="BC12">
            <v>259</v>
          </cell>
          <cell r="BD12">
            <v>266</v>
          </cell>
          <cell r="BE12">
            <v>339</v>
          </cell>
          <cell r="BF12">
            <v>345</v>
          </cell>
          <cell r="BG12">
            <v>303</v>
          </cell>
          <cell r="BH12">
            <v>290</v>
          </cell>
          <cell r="BI12">
            <v>275</v>
          </cell>
          <cell r="BJ12">
            <v>255</v>
          </cell>
          <cell r="BM12">
            <v>0</v>
          </cell>
          <cell r="BN12">
            <v>0</v>
          </cell>
          <cell r="BO12">
            <v>0</v>
          </cell>
        </row>
        <row r="13">
          <cell r="A13" t="str">
            <v>% growth</v>
          </cell>
          <cell r="L13">
            <v>-6.8664169787765239E-2</v>
          </cell>
          <cell r="M13">
            <v>-7.5067024128686377E-2</v>
          </cell>
          <cell r="N13">
            <v>0.75217391304347836</v>
          </cell>
          <cell r="O13">
            <v>-7.1133167907361461E-2</v>
          </cell>
          <cell r="P13">
            <v>-0.1</v>
          </cell>
          <cell r="Q13">
            <v>-0.1</v>
          </cell>
          <cell r="R13">
            <v>-0.1</v>
          </cell>
          <cell r="S13">
            <v>-0.1</v>
          </cell>
          <cell r="T13">
            <v>-0.1</v>
          </cell>
          <cell r="U13">
            <v>-0.1</v>
          </cell>
          <cell r="AU13">
            <v>-9.2783505154639179E-2</v>
          </cell>
          <cell r="AV13">
            <v>-4.1450777202072575E-2</v>
          </cell>
          <cell r="AW13">
            <v>-0.1132075471698113</v>
          </cell>
          <cell r="AX13">
            <v>-2.4752475247524774E-2</v>
          </cell>
          <cell r="AY13">
            <v>-6.8181818181818232E-2</v>
          </cell>
          <cell r="AZ13">
            <v>-8.6486486486486491E-2</v>
          </cell>
          <cell r="BA13">
            <v>-5.8510638297872286E-2</v>
          </cell>
          <cell r="BB13">
            <v>-8.6294416243654859E-2</v>
          </cell>
          <cell r="BC13">
            <v>0.5792682926829269</v>
          </cell>
          <cell r="BD13">
            <v>0.57396449704142016</v>
          </cell>
          <cell r="BE13">
            <v>0.9152542372881356</v>
          </cell>
          <cell r="BF13">
            <v>0.91666666666666674</v>
          </cell>
          <cell r="BG13">
            <v>0.16988416988416999</v>
          </cell>
          <cell r="BH13">
            <v>9.0225563909774431E-2</v>
          </cell>
          <cell r="BI13">
            <v>-0.1887905604719764</v>
          </cell>
          <cell r="BJ13">
            <v>-0.26086956521739135</v>
          </cell>
        </row>
        <row r="14">
          <cell r="A14" t="str">
            <v>Total Local Division Revenues</v>
          </cell>
          <cell r="H14">
            <v>5958</v>
          </cell>
          <cell r="I14">
            <v>6155</v>
          </cell>
          <cell r="J14">
            <v>6247</v>
          </cell>
          <cell r="K14">
            <v>6257</v>
          </cell>
          <cell r="L14">
            <v>6130</v>
          </cell>
          <cell r="M14">
            <v>6021</v>
          </cell>
          <cell r="N14">
            <v>6527</v>
          </cell>
          <cell r="O14">
            <v>6376.0570166666676</v>
          </cell>
          <cell r="P14">
            <v>6140.9524136552245</v>
          </cell>
          <cell r="Q14">
            <v>5944.4305845069212</v>
          </cell>
          <cell r="R14">
            <v>5760.7724822846558</v>
          </cell>
          <cell r="S14">
            <v>5588.9798860787032</v>
          </cell>
          <cell r="T14">
            <v>5428.1557318284931</v>
          </cell>
          <cell r="U14">
            <v>5277.4940039593321</v>
          </cell>
          <cell r="V14">
            <v>-3.1945399387268703E-3</v>
          </cell>
          <cell r="AE14">
            <v>1439</v>
          </cell>
          <cell r="AF14">
            <v>1456</v>
          </cell>
          <cell r="AG14">
            <v>1493</v>
          </cell>
          <cell r="AH14">
            <v>1570</v>
          </cell>
          <cell r="AI14">
            <v>1529</v>
          </cell>
          <cell r="AJ14">
            <v>1523</v>
          </cell>
          <cell r="AK14">
            <v>1545</v>
          </cell>
          <cell r="AL14">
            <v>1558</v>
          </cell>
          <cell r="AM14">
            <v>1553</v>
          </cell>
          <cell r="AN14">
            <v>1552</v>
          </cell>
          <cell r="AO14">
            <v>1564</v>
          </cell>
          <cell r="AP14">
            <v>1578</v>
          </cell>
          <cell r="AQ14">
            <v>1565</v>
          </cell>
          <cell r="AR14">
            <v>1548</v>
          </cell>
          <cell r="AS14">
            <v>1580</v>
          </cell>
          <cell r="AT14">
            <v>1564</v>
          </cell>
          <cell r="AU14">
            <v>1532</v>
          </cell>
          <cell r="AV14">
            <v>1526</v>
          </cell>
          <cell r="AW14">
            <v>1527</v>
          </cell>
          <cell r="AX14">
            <v>1545</v>
          </cell>
          <cell r="AY14">
            <v>1506</v>
          </cell>
          <cell r="AZ14">
            <v>1510</v>
          </cell>
          <cell r="BA14">
            <v>1496</v>
          </cell>
          <cell r="BB14">
            <v>1509</v>
          </cell>
          <cell r="BC14">
            <v>1597</v>
          </cell>
          <cell r="BD14">
            <v>1591</v>
          </cell>
          <cell r="BE14">
            <v>1672</v>
          </cell>
          <cell r="BF14">
            <v>1667</v>
          </cell>
          <cell r="BG14">
            <v>1620</v>
          </cell>
          <cell r="BH14">
            <v>1607.4045999999998</v>
          </cell>
          <cell r="BI14">
            <v>1589.6462833333335</v>
          </cell>
          <cell r="BJ14">
            <v>1559.0061333333333</v>
          </cell>
          <cell r="BM14">
            <v>0</v>
          </cell>
          <cell r="BN14">
            <v>0</v>
          </cell>
          <cell r="BO14">
            <v>0</v>
          </cell>
        </row>
        <row r="15">
          <cell r="A15" t="str">
            <v>% growth</v>
          </cell>
          <cell r="I15">
            <v>3.3064786841221938E-2</v>
          </cell>
          <cell r="J15">
            <v>1.4947197400487333E-2</v>
          </cell>
          <cell r="K15">
            <v>1.6007683688170626E-3</v>
          </cell>
          <cell r="L15">
            <v>-2.0297267060891855E-2</v>
          </cell>
          <cell r="M15">
            <v>-1.7781402936378421E-2</v>
          </cell>
          <cell r="N15">
            <v>8.4039196146819428E-2</v>
          </cell>
          <cell r="O15">
            <v>-2.3125935856186941E-2</v>
          </cell>
          <cell r="P15">
            <v>-3.6873039622590031E-2</v>
          </cell>
          <cell r="Q15">
            <v>-3.2001848558752988E-2</v>
          </cell>
          <cell r="R15">
            <v>-3.0895827550066257E-2</v>
          </cell>
          <cell r="S15">
            <v>-2.9821104154736822E-2</v>
          </cell>
          <cell r="T15">
            <v>-2.8775225090861167E-2</v>
          </cell>
          <cell r="U15">
            <v>-2.7755601591483825E-2</v>
          </cell>
          <cell r="AI15">
            <v>6.2543432939541344E-2</v>
          </cell>
          <cell r="AJ15">
            <v>4.6016483516483575E-2</v>
          </cell>
          <cell r="AK15">
            <v>3.4829202947086468E-2</v>
          </cell>
          <cell r="AL15">
            <v>-7.6433121019108263E-3</v>
          </cell>
          <cell r="AM15">
            <v>1.5696533682145297E-2</v>
          </cell>
          <cell r="AN15">
            <v>1.9041365725541715E-2</v>
          </cell>
          <cell r="AO15">
            <v>1.229773462783168E-2</v>
          </cell>
          <cell r="AP15">
            <v>1.2836970474968012E-2</v>
          </cell>
          <cell r="AQ15">
            <v>7.726980038634812E-3</v>
          </cell>
          <cell r="AR15">
            <v>-2.5773195876288568E-3</v>
          </cell>
          <cell r="AS15">
            <v>1.0230179028132946E-2</v>
          </cell>
          <cell r="AT15">
            <v>-8.8719898605830183E-3</v>
          </cell>
          <cell r="AU15">
            <v>-2.1086261980830634E-2</v>
          </cell>
          <cell r="AV15">
            <v>-1.4211886304909549E-2</v>
          </cell>
          <cell r="AW15">
            <v>-3.3544303797468311E-2</v>
          </cell>
          <cell r="AX15">
            <v>-1.2148337595907943E-2</v>
          </cell>
          <cell r="AY15">
            <v>-1.6971279373368175E-2</v>
          </cell>
          <cell r="AZ15">
            <v>-1.0484927916120546E-2</v>
          </cell>
          <cell r="BA15">
            <v>-2.0301244269810059E-2</v>
          </cell>
          <cell r="BB15">
            <v>-2.3300970873786353E-2</v>
          </cell>
          <cell r="BC15">
            <v>6.0424966799468738E-2</v>
          </cell>
          <cell r="BD15">
            <v>5.3642384105960339E-2</v>
          </cell>
          <cell r="BE15">
            <v>0.11764705882352944</v>
          </cell>
          <cell r="BF15">
            <v>0.10470510271703115</v>
          </cell>
          <cell r="BG15">
            <v>1.4402003757044479E-2</v>
          </cell>
          <cell r="BH15">
            <v>1.0310873664362008E-2</v>
          </cell>
          <cell r="BI15">
            <v>-4.9254615231259846E-2</v>
          </cell>
          <cell r="BJ15">
            <v>-6.4783363327334587E-2</v>
          </cell>
        </row>
        <row r="16">
          <cell r="A16" t="str">
            <v>% seq. growth</v>
          </cell>
          <cell r="AR16">
            <v>-1.0862619808306717E-2</v>
          </cell>
          <cell r="AS16">
            <v>2.067183462532296E-2</v>
          </cell>
          <cell r="AT16">
            <v>-1.0126582278481067E-2</v>
          </cell>
          <cell r="AU16">
            <v>-2.0460358056266004E-2</v>
          </cell>
          <cell r="AV16">
            <v>-3.916449086161844E-3</v>
          </cell>
          <cell r="AW16">
            <v>6.5530799475754797E-4</v>
          </cell>
          <cell r="AX16">
            <v>1.1787819253438192E-2</v>
          </cell>
          <cell r="AY16">
            <v>-2.5242718446601975E-2</v>
          </cell>
          <cell r="AZ16">
            <v>2.6560424966799445E-3</v>
          </cell>
          <cell r="BA16">
            <v>-9.2715231788079722E-3</v>
          </cell>
          <cell r="BB16">
            <v>8.6898395721926036E-3</v>
          </cell>
          <cell r="BC16">
            <v>5.8316766070245274E-2</v>
          </cell>
          <cell r="BD16">
            <v>-3.7570444583594487E-3</v>
          </cell>
          <cell r="BE16">
            <v>5.0911376492771776E-2</v>
          </cell>
          <cell r="BF16">
            <v>-2.9904306220095433E-3</v>
          </cell>
          <cell r="BG16">
            <v>-2.8194361127774403E-2</v>
          </cell>
          <cell r="BH16">
            <v>-7.7749382716050253E-3</v>
          </cell>
          <cell r="BI16">
            <v>-1.1047819986745311E-2</v>
          </cell>
          <cell r="BJ16">
            <v>-1.927482253206092E-2</v>
          </cell>
        </row>
        <row r="18">
          <cell r="A18" t="str">
            <v>Costs of services and products</v>
          </cell>
          <cell r="H18">
            <v>2016</v>
          </cell>
          <cell r="I18">
            <v>1965</v>
          </cell>
          <cell r="J18">
            <v>1955</v>
          </cell>
          <cell r="K18">
            <v>1918</v>
          </cell>
          <cell r="L18">
            <v>1943</v>
          </cell>
          <cell r="M18">
            <v>1877</v>
          </cell>
          <cell r="N18">
            <v>2407</v>
          </cell>
          <cell r="O18">
            <v>2376.4941922341563</v>
          </cell>
          <cell r="P18">
            <v>2301.1475325483616</v>
          </cell>
          <cell r="Q18">
            <v>2239.3954188694147</v>
          </cell>
          <cell r="R18">
            <v>2181.7289891561863</v>
          </cell>
          <cell r="S18">
            <v>2127.8453815053085</v>
          </cell>
          <cell r="T18">
            <v>2077.4724631576009</v>
          </cell>
          <cell r="U18">
            <v>2030.3659531608384</v>
          </cell>
          <cell r="V18">
            <v>4.5121129802065951E-2</v>
          </cell>
          <cell r="AE18">
            <v>484</v>
          </cell>
          <cell r="AF18">
            <v>489</v>
          </cell>
          <cell r="AG18">
            <v>496</v>
          </cell>
          <cell r="AH18">
            <v>547</v>
          </cell>
          <cell r="AI18">
            <v>0</v>
          </cell>
          <cell r="AJ18">
            <v>0</v>
          </cell>
          <cell r="AK18">
            <v>0</v>
          </cell>
          <cell r="AL18">
            <v>0</v>
          </cell>
          <cell r="AM18">
            <v>496</v>
          </cell>
          <cell r="AN18">
            <v>484</v>
          </cell>
          <cell r="AO18">
            <v>496</v>
          </cell>
          <cell r="AP18">
            <v>479</v>
          </cell>
          <cell r="AQ18">
            <v>480</v>
          </cell>
          <cell r="AR18">
            <v>474</v>
          </cell>
          <cell r="AS18">
            <v>486</v>
          </cell>
          <cell r="AT18">
            <v>478</v>
          </cell>
          <cell r="AU18">
            <v>487</v>
          </cell>
          <cell r="AV18">
            <v>489</v>
          </cell>
          <cell r="AW18">
            <v>491</v>
          </cell>
          <cell r="AX18">
            <v>476</v>
          </cell>
          <cell r="AY18">
            <v>451</v>
          </cell>
          <cell r="AZ18">
            <v>462</v>
          </cell>
          <cell r="BA18">
            <v>499</v>
          </cell>
          <cell r="BB18">
            <v>465</v>
          </cell>
          <cell r="BC18">
            <v>564</v>
          </cell>
          <cell r="BD18">
            <v>561</v>
          </cell>
          <cell r="BE18">
            <v>641</v>
          </cell>
          <cell r="BF18">
            <v>641</v>
          </cell>
          <cell r="BG18">
            <v>599</v>
          </cell>
          <cell r="BH18">
            <v>597.55762117530855</v>
          </cell>
          <cell r="BI18">
            <v>594.13520471152265</v>
          </cell>
          <cell r="BJ18">
            <v>585.80136634732503</v>
          </cell>
          <cell r="BM18">
            <v>0</v>
          </cell>
          <cell r="BN18">
            <v>0</v>
          </cell>
          <cell r="BO18">
            <v>0</v>
          </cell>
        </row>
        <row r="19">
          <cell r="A19" t="str">
            <v>% growth</v>
          </cell>
          <cell r="I19">
            <v>-2.5297619047619069E-2</v>
          </cell>
          <cell r="J19">
            <v>-5.0890585241730735E-3</v>
          </cell>
          <cell r="K19">
            <v>-1.8925831202046051E-2</v>
          </cell>
          <cell r="L19">
            <v>1.3034410844629862E-2</v>
          </cell>
          <cell r="M19">
            <v>-3.3968090581574906E-2</v>
          </cell>
          <cell r="N19">
            <v>0.28236547682472035</v>
          </cell>
          <cell r="O19">
            <v>-1.2673788020707843E-2</v>
          </cell>
          <cell r="P19">
            <v>-3.1704962684954374E-2</v>
          </cell>
          <cell r="Q19">
            <v>-2.6835356188814496E-2</v>
          </cell>
          <cell r="R19">
            <v>-2.5750892061010777E-2</v>
          </cell>
          <cell r="S19">
            <v>-2.4697663146382887E-2</v>
          </cell>
          <cell r="T19">
            <v>-2.3673204258888414E-2</v>
          </cell>
          <cell r="U19">
            <v>-2.267491426825663E-2</v>
          </cell>
          <cell r="AI19">
            <v>-1</v>
          </cell>
          <cell r="AJ19">
            <v>-1</v>
          </cell>
          <cell r="AK19">
            <v>-1</v>
          </cell>
          <cell r="AL19">
            <v>-1</v>
          </cell>
          <cell r="AQ19">
            <v>-3.2258064516129004E-2</v>
          </cell>
          <cell r="AR19">
            <v>-2.0661157024793431E-2</v>
          </cell>
          <cell r="AS19">
            <v>-2.0161290322580627E-2</v>
          </cell>
          <cell r="AT19">
            <v>-2.0876826722338038E-3</v>
          </cell>
          <cell r="AU19">
            <v>1.4583333333333393E-2</v>
          </cell>
          <cell r="AV19">
            <v>3.1645569620253111E-2</v>
          </cell>
          <cell r="AW19">
            <v>1.0288065843621297E-2</v>
          </cell>
          <cell r="AX19">
            <v>-4.1841004184099972E-3</v>
          </cell>
          <cell r="AY19">
            <v>-7.3921971252566721E-2</v>
          </cell>
          <cell r="AZ19">
            <v>-5.5214723926380382E-2</v>
          </cell>
          <cell r="BA19">
            <v>1.6293279022403295E-2</v>
          </cell>
          <cell r="BB19">
            <v>-2.3109243697479021E-2</v>
          </cell>
          <cell r="BC19">
            <v>0.25055432372505537</v>
          </cell>
          <cell r="BD19">
            <v>0.21428571428571419</v>
          </cell>
          <cell r="BE19">
            <v>0.28456913827655317</v>
          </cell>
          <cell r="BF19">
            <v>0.37849462365591391</v>
          </cell>
          <cell r="BG19">
            <v>6.2056737588652489E-2</v>
          </cell>
          <cell r="BH19">
            <v>6.5165100134239928E-2</v>
          </cell>
          <cell r="BI19">
            <v>-7.3112005130229862E-2</v>
          </cell>
          <cell r="BJ19">
            <v>-8.6113313030694139E-2</v>
          </cell>
        </row>
        <row r="20">
          <cell r="A20" t="str">
            <v>% revenues</v>
          </cell>
          <cell r="H20">
            <v>0.33836858006042297</v>
          </cell>
          <cell r="I20">
            <v>0.31925264012997562</v>
          </cell>
          <cell r="J20">
            <v>0.31295021610372981</v>
          </cell>
          <cell r="K20">
            <v>0.30653667891961006</v>
          </cell>
          <cell r="L20">
            <v>0.31696574225122348</v>
          </cell>
          <cell r="M20">
            <v>0.31174223550905167</v>
          </cell>
          <cell r="N20">
            <v>0.36877585414432357</v>
          </cell>
          <cell r="O20">
            <v>0.37272160302552648</v>
          </cell>
          <cell r="P20">
            <v>0.37472160302552648</v>
          </cell>
          <cell r="Q20">
            <v>0.37672160302552649</v>
          </cell>
          <cell r="R20">
            <v>0.37872160302552649</v>
          </cell>
          <cell r="S20">
            <v>0.38072160302552649</v>
          </cell>
          <cell r="T20">
            <v>0.38272160302552649</v>
          </cell>
          <cell r="U20">
            <v>0.38472160302552649</v>
          </cell>
          <cell r="AE20">
            <v>0.33634468380820015</v>
          </cell>
          <cell r="AF20">
            <v>0.33585164835164832</v>
          </cell>
          <cell r="AG20">
            <v>0.33221701272605492</v>
          </cell>
          <cell r="AH20">
            <v>0.34840764331210189</v>
          </cell>
          <cell r="AI20">
            <v>0</v>
          </cell>
          <cell r="AJ20">
            <v>0</v>
          </cell>
          <cell r="AK20">
            <v>0</v>
          </cell>
          <cell r="AL20">
            <v>0</v>
          </cell>
          <cell r="AM20">
            <v>0.31938184159690919</v>
          </cell>
          <cell r="AN20">
            <v>0.31185567010309279</v>
          </cell>
          <cell r="AO20">
            <v>0.31713554987212278</v>
          </cell>
          <cell r="AP20">
            <v>0.30354879594423323</v>
          </cell>
          <cell r="AQ20">
            <v>0.30670926517571884</v>
          </cell>
          <cell r="AR20">
            <v>0.30620155038759689</v>
          </cell>
          <cell r="AS20">
            <v>0.30759493670886073</v>
          </cell>
          <cell r="AT20">
            <v>0.30562659846547313</v>
          </cell>
          <cell r="AU20">
            <v>0.31788511749347259</v>
          </cell>
          <cell r="AV20">
            <v>0.32044560943643513</v>
          </cell>
          <cell r="AW20">
            <v>0.32154551407989523</v>
          </cell>
          <cell r="AX20">
            <v>0.3080906148867314</v>
          </cell>
          <cell r="AY20">
            <v>0.29946879150066402</v>
          </cell>
          <cell r="AZ20">
            <v>0.30596026490066225</v>
          </cell>
          <cell r="BA20">
            <v>0.33355614973262032</v>
          </cell>
          <cell r="BB20">
            <v>0.30815109343936381</v>
          </cell>
          <cell r="BC20">
            <v>0.35316217908578584</v>
          </cell>
          <cell r="BD20">
            <v>0.35260842237586426</v>
          </cell>
          <cell r="BE20">
            <v>0.38337320574162681</v>
          </cell>
          <cell r="BF20">
            <v>0.38452309538092383</v>
          </cell>
          <cell r="BG20">
            <v>0.36975308641975307</v>
          </cell>
          <cell r="BH20">
            <v>0.37175308641975308</v>
          </cell>
          <cell r="BI20">
            <v>0.37375308641975308</v>
          </cell>
          <cell r="BJ20">
            <v>0.37575308641975308</v>
          </cell>
        </row>
        <row r="21">
          <cell r="A21" t="str">
            <v>Selling, general, and administrative</v>
          </cell>
          <cell r="H21">
            <v>1320</v>
          </cell>
          <cell r="I21">
            <v>1288</v>
          </cell>
          <cell r="J21">
            <v>1280</v>
          </cell>
          <cell r="K21">
            <v>1269</v>
          </cell>
          <cell r="L21">
            <v>1220</v>
          </cell>
          <cell r="M21">
            <v>1255</v>
          </cell>
          <cell r="N21">
            <v>1190</v>
          </cell>
          <cell r="O21">
            <v>1213.830040937037</v>
          </cell>
          <cell r="P21">
            <v>1178.2838663629584</v>
          </cell>
          <cell r="Q21">
            <v>1149.4932503891496</v>
          </cell>
          <cell r="R21">
            <v>1122.6198638785881</v>
          </cell>
          <cell r="S21">
            <v>1097.5255698208064</v>
          </cell>
          <cell r="T21">
            <v>1074.0862581039798</v>
          </cell>
          <cell r="U21">
            <v>1052.1905888550971</v>
          </cell>
          <cell r="V21">
            <v>-2.1714368451860255E-2</v>
          </cell>
          <cell r="AE21">
            <v>322</v>
          </cell>
          <cell r="AF21">
            <v>319</v>
          </cell>
          <cell r="AG21">
            <v>330</v>
          </cell>
          <cell r="AH21">
            <v>349</v>
          </cell>
          <cell r="AI21">
            <v>0</v>
          </cell>
          <cell r="AJ21">
            <v>0</v>
          </cell>
          <cell r="AK21">
            <v>0</v>
          </cell>
          <cell r="AL21">
            <v>0</v>
          </cell>
          <cell r="AM21">
            <v>338</v>
          </cell>
          <cell r="AN21">
            <v>327</v>
          </cell>
          <cell r="AO21">
            <v>307</v>
          </cell>
          <cell r="AP21">
            <v>308</v>
          </cell>
          <cell r="AQ21">
            <v>318</v>
          </cell>
          <cell r="AR21">
            <v>305</v>
          </cell>
          <cell r="AS21">
            <v>323</v>
          </cell>
          <cell r="AT21">
            <v>323</v>
          </cell>
          <cell r="AU21">
            <v>318</v>
          </cell>
          <cell r="AV21">
            <v>313</v>
          </cell>
          <cell r="AW21">
            <v>304</v>
          </cell>
          <cell r="AX21">
            <v>285</v>
          </cell>
          <cell r="AY21">
            <v>327</v>
          </cell>
          <cell r="AZ21">
            <v>330</v>
          </cell>
          <cell r="BA21">
            <v>311</v>
          </cell>
          <cell r="BB21">
            <v>287</v>
          </cell>
          <cell r="BC21">
            <v>321</v>
          </cell>
          <cell r="BD21">
            <v>290</v>
          </cell>
          <cell r="BE21">
            <v>298</v>
          </cell>
          <cell r="BF21">
            <v>281</v>
          </cell>
          <cell r="BG21">
            <v>306</v>
          </cell>
          <cell r="BH21">
            <v>305.22827348888887</v>
          </cell>
          <cell r="BI21">
            <v>303.44581275185186</v>
          </cell>
          <cell r="BJ21">
            <v>299.15595469629631</v>
          </cell>
          <cell r="BM21">
            <v>0</v>
          </cell>
          <cell r="BN21">
            <v>0</v>
          </cell>
          <cell r="BO21">
            <v>0</v>
          </cell>
        </row>
        <row r="22">
          <cell r="A22" t="str">
            <v>% growth</v>
          </cell>
          <cell r="I22">
            <v>-2.4242424242424288E-2</v>
          </cell>
          <cell r="J22">
            <v>-6.2111801242236142E-3</v>
          </cell>
          <cell r="K22">
            <v>-8.5937499999999556E-3</v>
          </cell>
          <cell r="L22">
            <v>-3.86130811662726E-2</v>
          </cell>
          <cell r="M22">
            <v>2.8688524590164022E-2</v>
          </cell>
          <cell r="N22">
            <v>-5.1792828685258918E-2</v>
          </cell>
          <cell r="O22">
            <v>2.0025244484904947E-2</v>
          </cell>
          <cell r="P22">
            <v>-2.9284309479305715E-2</v>
          </cell>
          <cell r="Q22">
            <v>-2.443436322579684E-2</v>
          </cell>
          <cell r="R22">
            <v>-2.3378463946146399E-2</v>
          </cell>
          <cell r="S22">
            <v>-2.235333158196795E-2</v>
          </cell>
          <cell r="T22">
            <v>-2.135650627315544E-2</v>
          </cell>
          <cell r="U22">
            <v>-2.0385391846958201E-2</v>
          </cell>
          <cell r="AI22">
            <v>-1</v>
          </cell>
          <cell r="AJ22">
            <v>-1</v>
          </cell>
          <cell r="AK22">
            <v>-1</v>
          </cell>
          <cell r="AL22">
            <v>-1</v>
          </cell>
          <cell r="AQ22">
            <v>-5.9171597633136064E-2</v>
          </cell>
          <cell r="AR22">
            <v>-6.7278287461773667E-2</v>
          </cell>
          <cell r="AS22">
            <v>5.2117263843648232E-2</v>
          </cell>
          <cell r="AT22">
            <v>4.870129870129869E-2</v>
          </cell>
          <cell r="AU22">
            <v>0</v>
          </cell>
          <cell r="AV22">
            <v>2.6229508196721207E-2</v>
          </cell>
          <cell r="AW22">
            <v>-5.8823529411764719E-2</v>
          </cell>
          <cell r="AX22">
            <v>-0.11764705882352944</v>
          </cell>
          <cell r="AY22">
            <v>2.8301886792452935E-2</v>
          </cell>
          <cell r="AZ22">
            <v>5.4313099041533475E-2</v>
          </cell>
          <cell r="BA22">
            <v>2.3026315789473673E-2</v>
          </cell>
          <cell r="BB22">
            <v>7.0175438596491446E-3</v>
          </cell>
          <cell r="BC22">
            <v>-1.834862385321101E-2</v>
          </cell>
          <cell r="BD22">
            <v>-0.12121212121212122</v>
          </cell>
          <cell r="BE22">
            <v>-4.1800643086816747E-2</v>
          </cell>
          <cell r="BF22">
            <v>-2.0905923344947785E-2</v>
          </cell>
          <cell r="BG22">
            <v>-4.6728971962616828E-2</v>
          </cell>
          <cell r="BH22">
            <v>5.2511287892720304E-2</v>
          </cell>
          <cell r="BI22">
            <v>1.8274539435744419E-2</v>
          </cell>
          <cell r="BJ22">
            <v>6.4611938420983339E-2</v>
          </cell>
        </row>
        <row r="23">
          <cell r="A23" t="str">
            <v>% revenues</v>
          </cell>
          <cell r="H23">
            <v>0.2215508559919436</v>
          </cell>
          <cell r="I23">
            <v>0.20926076360682372</v>
          </cell>
          <cell r="J23">
            <v>0.20489835120858013</v>
          </cell>
          <cell r="K23">
            <v>0.20281284960843854</v>
          </cell>
          <cell r="L23">
            <v>0.19902120717781402</v>
          </cell>
          <cell r="M23">
            <v>0.20843713668825775</v>
          </cell>
          <cell r="N23">
            <v>0.18231959552627547</v>
          </cell>
          <cell r="O23">
            <v>0.19037314719177559</v>
          </cell>
          <cell r="P23">
            <v>0.19187314719177559</v>
          </cell>
          <cell r="Q23">
            <v>0.19337314719177559</v>
          </cell>
          <cell r="R23">
            <v>0.19487314719177559</v>
          </cell>
          <cell r="S23">
            <v>0.19637314719177559</v>
          </cell>
          <cell r="T23">
            <v>0.19787314719177559</v>
          </cell>
          <cell r="U23">
            <v>0.1993731471917756</v>
          </cell>
          <cell r="AE23">
            <v>0.2237665045170257</v>
          </cell>
          <cell r="AF23">
            <v>0.21909340659340659</v>
          </cell>
          <cell r="AG23">
            <v>0.22103148024112526</v>
          </cell>
          <cell r="AH23">
            <v>0.22229299363057325</v>
          </cell>
          <cell r="AI23">
            <v>0</v>
          </cell>
          <cell r="AJ23">
            <v>0</v>
          </cell>
          <cell r="AK23">
            <v>0</v>
          </cell>
          <cell r="AL23">
            <v>0</v>
          </cell>
          <cell r="AM23">
            <v>0.21764327108821635</v>
          </cell>
          <cell r="AN23">
            <v>0.21069587628865979</v>
          </cell>
          <cell r="AO23">
            <v>0.19629156010230178</v>
          </cell>
          <cell r="AP23">
            <v>0.19518377693282637</v>
          </cell>
          <cell r="AQ23">
            <v>0.20319488817891374</v>
          </cell>
          <cell r="AR23">
            <v>0.19702842377260982</v>
          </cell>
          <cell r="AS23">
            <v>0.20443037974683545</v>
          </cell>
          <cell r="AT23">
            <v>0.20652173913043478</v>
          </cell>
          <cell r="AU23">
            <v>0.20757180156657964</v>
          </cell>
          <cell r="AV23">
            <v>0.20511140235910877</v>
          </cell>
          <cell r="AW23">
            <v>0.19908316961362149</v>
          </cell>
          <cell r="AX23">
            <v>0.18446601941747573</v>
          </cell>
          <cell r="AY23">
            <v>0.21713147410358566</v>
          </cell>
          <cell r="AZ23">
            <v>0.2185430463576159</v>
          </cell>
          <cell r="BA23">
            <v>0.20788770053475936</v>
          </cell>
          <cell r="BB23">
            <v>0.19019218025182241</v>
          </cell>
          <cell r="BC23">
            <v>0.20100187852222917</v>
          </cell>
          <cell r="BD23">
            <v>0.18227529855436833</v>
          </cell>
          <cell r="BE23">
            <v>0.17822966507177032</v>
          </cell>
          <cell r="BF23">
            <v>0.16856628674265148</v>
          </cell>
          <cell r="BG23">
            <v>0.18888888888888888</v>
          </cell>
          <cell r="BH23">
            <v>0.18988888888888888</v>
          </cell>
          <cell r="BI23">
            <v>0.19088888888888889</v>
          </cell>
          <cell r="BJ23">
            <v>0.19188888888888889</v>
          </cell>
        </row>
        <row r="24">
          <cell r="A24" t="str">
            <v>Depreciation</v>
          </cell>
          <cell r="H24">
            <v>1069</v>
          </cell>
          <cell r="I24">
            <v>1139</v>
          </cell>
          <cell r="J24">
            <v>1120</v>
          </cell>
          <cell r="K24">
            <v>1157</v>
          </cell>
          <cell r="L24">
            <v>1081</v>
          </cell>
          <cell r="M24">
            <v>1084</v>
          </cell>
          <cell r="N24">
            <v>1091</v>
          </cell>
          <cell r="O24">
            <v>1038</v>
          </cell>
          <cell r="P24">
            <v>1033</v>
          </cell>
          <cell r="Q24">
            <v>1028</v>
          </cell>
          <cell r="R24">
            <v>1023</v>
          </cell>
          <cell r="S24">
            <v>1018</v>
          </cell>
          <cell r="T24">
            <v>1013</v>
          </cell>
          <cell r="U24">
            <v>1008</v>
          </cell>
          <cell r="V24">
            <v>-1.3173148480233876E-2</v>
          </cell>
          <cell r="AE24">
            <v>261</v>
          </cell>
          <cell r="AF24">
            <v>265</v>
          </cell>
          <cell r="AG24">
            <v>271</v>
          </cell>
          <cell r="AH24">
            <v>272</v>
          </cell>
          <cell r="AI24">
            <v>0</v>
          </cell>
          <cell r="AJ24">
            <v>0</v>
          </cell>
          <cell r="AK24">
            <v>0</v>
          </cell>
          <cell r="AL24">
            <v>0</v>
          </cell>
          <cell r="AM24">
            <v>281</v>
          </cell>
          <cell r="AN24">
            <v>275</v>
          </cell>
          <cell r="AO24">
            <v>284</v>
          </cell>
          <cell r="AP24">
            <v>280</v>
          </cell>
          <cell r="AQ24">
            <v>286</v>
          </cell>
          <cell r="AR24">
            <v>288</v>
          </cell>
          <cell r="AS24">
            <v>291</v>
          </cell>
          <cell r="AT24">
            <v>292</v>
          </cell>
          <cell r="AU24">
            <v>265</v>
          </cell>
          <cell r="AV24">
            <v>271</v>
          </cell>
          <cell r="AW24">
            <v>269</v>
          </cell>
          <cell r="AX24">
            <v>276</v>
          </cell>
          <cell r="AY24">
            <v>268</v>
          </cell>
          <cell r="AZ24">
            <v>271</v>
          </cell>
          <cell r="BA24">
            <v>272</v>
          </cell>
          <cell r="BB24">
            <v>273</v>
          </cell>
          <cell r="BC24">
            <v>277</v>
          </cell>
          <cell r="BD24">
            <v>278</v>
          </cell>
          <cell r="BE24">
            <v>277</v>
          </cell>
          <cell r="BF24">
            <v>259</v>
          </cell>
          <cell r="BG24">
            <v>263</v>
          </cell>
          <cell r="BH24">
            <v>260</v>
          </cell>
          <cell r="BI24">
            <v>260</v>
          </cell>
          <cell r="BJ24">
            <v>255</v>
          </cell>
          <cell r="BM24">
            <v>0</v>
          </cell>
          <cell r="BN24">
            <v>0</v>
          </cell>
          <cell r="BO24">
            <v>0</v>
          </cell>
        </row>
        <row r="25">
          <cell r="A25" t="str">
            <v>% growth</v>
          </cell>
          <cell r="I25">
            <v>6.5481758652946587E-2</v>
          </cell>
          <cell r="J25">
            <v>-1.6681299385425841E-2</v>
          </cell>
          <cell r="K25">
            <v>3.3035714285714279E-2</v>
          </cell>
          <cell r="L25">
            <v>-6.568712186689718E-2</v>
          </cell>
          <cell r="M25">
            <v>2.7752081406104967E-3</v>
          </cell>
          <cell r="N25">
            <v>6.4575645756457245E-3</v>
          </cell>
          <cell r="O25">
            <v>-4.8579285059578314E-2</v>
          </cell>
          <cell r="P25">
            <v>-4.816955684007751E-3</v>
          </cell>
          <cell r="Q25">
            <v>-4.8402710551790351E-3</v>
          </cell>
          <cell r="R25">
            <v>-4.8638132295719672E-3</v>
          </cell>
          <cell r="S25">
            <v>-4.8875855327468187E-3</v>
          </cell>
          <cell r="T25">
            <v>-4.9115913555992652E-3</v>
          </cell>
          <cell r="U25">
            <v>-4.9358341559723184E-3</v>
          </cell>
          <cell r="AI25">
            <v>-1</v>
          </cell>
          <cell r="AJ25">
            <v>-1</v>
          </cell>
          <cell r="AK25">
            <v>-1</v>
          </cell>
          <cell r="AL25">
            <v>-1</v>
          </cell>
          <cell r="AQ25">
            <v>1.7793594306049876E-2</v>
          </cell>
          <cell r="AR25">
            <v>4.7272727272727355E-2</v>
          </cell>
          <cell r="AS25">
            <v>2.464788732394374E-2</v>
          </cell>
          <cell r="AT25">
            <v>4.2857142857142927E-2</v>
          </cell>
          <cell r="AU25">
            <v>-7.3426573426573438E-2</v>
          </cell>
          <cell r="AV25">
            <v>-5.902777777777779E-2</v>
          </cell>
          <cell r="AW25">
            <v>-7.5601374570446689E-2</v>
          </cell>
          <cell r="AX25">
            <v>-5.4794520547945202E-2</v>
          </cell>
          <cell r="AY25">
            <v>1.132075471698113E-2</v>
          </cell>
          <cell r="AZ25">
            <v>0</v>
          </cell>
          <cell r="BA25">
            <v>1.1152416356877248E-2</v>
          </cell>
          <cell r="BB25">
            <v>-1.0869565217391353E-2</v>
          </cell>
          <cell r="BC25">
            <v>3.3582089552238736E-2</v>
          </cell>
          <cell r="BD25">
            <v>2.583025830258312E-2</v>
          </cell>
          <cell r="BE25">
            <v>1.8382352941176405E-2</v>
          </cell>
          <cell r="BF25">
            <v>-5.1282051282051322E-2</v>
          </cell>
          <cell r="BG25">
            <v>-5.0541516245487417E-2</v>
          </cell>
          <cell r="BH25">
            <v>-6.4748201438848962E-2</v>
          </cell>
          <cell r="BI25">
            <v>-6.1371841155234641E-2</v>
          </cell>
          <cell r="BJ25">
            <v>-1.5444015444015413E-2</v>
          </cell>
        </row>
        <row r="26">
          <cell r="A26" t="str">
            <v>% revenues</v>
          </cell>
          <cell r="H26">
            <v>0.17942262504196038</v>
          </cell>
          <cell r="I26">
            <v>0.18505280259951259</v>
          </cell>
          <cell r="J26">
            <v>0.1792860573075076</v>
          </cell>
          <cell r="K26">
            <v>0.18491289755473869</v>
          </cell>
          <cell r="L26">
            <v>0.17634584013050572</v>
          </cell>
          <cell r="M26">
            <v>0.1800365387809334</v>
          </cell>
          <cell r="N26">
            <v>0.16715183085644247</v>
          </cell>
          <cell r="O26">
            <v>0.16279653668195315</v>
          </cell>
          <cell r="P26">
            <v>0.16821494947640159</v>
          </cell>
          <cell r="Q26">
            <v>0.17293498265070087</v>
          </cell>
          <cell r="R26">
            <v>0.17758035109803366</v>
          </cell>
          <cell r="S26">
            <v>0.18214415166096459</v>
          </cell>
          <cell r="T26">
            <v>0.18661955368380106</v>
          </cell>
          <cell r="U26">
            <v>0.19099974329554303</v>
          </cell>
          <cell r="AE26">
            <v>0.1813759555246699</v>
          </cell>
          <cell r="AF26">
            <v>0.1820054945054945</v>
          </cell>
          <cell r="AG26">
            <v>0.18151373074346952</v>
          </cell>
          <cell r="AH26">
            <v>0.17324840764331209</v>
          </cell>
          <cell r="AI26">
            <v>0</v>
          </cell>
          <cell r="AJ26">
            <v>0</v>
          </cell>
          <cell r="AK26">
            <v>0</v>
          </cell>
          <cell r="AL26">
            <v>0</v>
          </cell>
          <cell r="AM26">
            <v>0.18094011590470058</v>
          </cell>
          <cell r="AN26">
            <v>0.17719072164948454</v>
          </cell>
          <cell r="AO26">
            <v>0.1815856777493606</v>
          </cell>
          <cell r="AP26">
            <v>0.17743979721166034</v>
          </cell>
          <cell r="AQ26">
            <v>0.18274760383386582</v>
          </cell>
          <cell r="AR26">
            <v>0.18604651162790697</v>
          </cell>
          <cell r="AS26">
            <v>0.18417721518987343</v>
          </cell>
          <cell r="AT26">
            <v>0.1867007672634271</v>
          </cell>
          <cell r="AU26">
            <v>0.17297650130548303</v>
          </cell>
          <cell r="AV26">
            <v>0.17758846657929228</v>
          </cell>
          <cell r="AW26">
            <v>0.17616240995415849</v>
          </cell>
          <cell r="AX26">
            <v>0.17864077669902911</v>
          </cell>
          <cell r="AY26">
            <v>0.17795484727755645</v>
          </cell>
          <cell r="AZ26">
            <v>0.17947019867549668</v>
          </cell>
          <cell r="BA26">
            <v>0.18181818181818182</v>
          </cell>
          <cell r="BB26">
            <v>0.18091451292246521</v>
          </cell>
          <cell r="BC26">
            <v>0.17345021916092673</v>
          </cell>
          <cell r="BD26">
            <v>0.17473287240729102</v>
          </cell>
          <cell r="BE26">
            <v>0.16566985645933013</v>
          </cell>
          <cell r="BF26">
            <v>0.15536892621475704</v>
          </cell>
          <cell r="BG26">
            <v>0.16234567901234567</v>
          </cell>
          <cell r="BH26">
            <v>0.16175143457969451</v>
          </cell>
          <cell r="BI26">
            <v>0.16355839832167274</v>
          </cell>
          <cell r="BJ26">
            <v>0.16356574521921916</v>
          </cell>
        </row>
        <row r="27">
          <cell r="A27" t="str">
            <v>Total operating expenses</v>
          </cell>
          <cell r="H27">
            <v>4405</v>
          </cell>
          <cell r="I27">
            <v>4392</v>
          </cell>
          <cell r="J27">
            <v>4355</v>
          </cell>
          <cell r="K27">
            <v>4344</v>
          </cell>
          <cell r="L27">
            <v>4244</v>
          </cell>
          <cell r="M27">
            <v>4216</v>
          </cell>
          <cell r="N27">
            <v>4688</v>
          </cell>
          <cell r="O27">
            <v>4628.3242331711936</v>
          </cell>
          <cell r="P27">
            <v>4512.4313989113198</v>
          </cell>
          <cell r="Q27">
            <v>4416.8886692585638</v>
          </cell>
          <cell r="R27">
            <v>4327.3488530347749</v>
          </cell>
          <cell r="S27">
            <v>4243.3709513261147</v>
          </cell>
          <cell r="T27">
            <v>4164.558721261581</v>
          </cell>
          <cell r="U27">
            <v>4090.5565420159355</v>
          </cell>
          <cell r="V27">
            <v>1.1705154392138484E-2</v>
          </cell>
          <cell r="AE27">
            <v>1067</v>
          </cell>
          <cell r="AF27">
            <v>1073</v>
          </cell>
          <cell r="AG27">
            <v>1097</v>
          </cell>
          <cell r="AH27">
            <v>1168</v>
          </cell>
          <cell r="AI27">
            <v>0</v>
          </cell>
          <cell r="AJ27">
            <v>0</v>
          </cell>
          <cell r="AK27">
            <v>0</v>
          </cell>
          <cell r="AL27">
            <v>0</v>
          </cell>
          <cell r="AM27">
            <v>1115</v>
          </cell>
          <cell r="AN27">
            <v>1086</v>
          </cell>
          <cell r="AO27">
            <v>1087</v>
          </cell>
          <cell r="AP27">
            <v>1067</v>
          </cell>
          <cell r="AQ27">
            <v>1084</v>
          </cell>
          <cell r="AR27">
            <v>1067</v>
          </cell>
          <cell r="AS27">
            <v>1100</v>
          </cell>
          <cell r="AT27">
            <v>1093</v>
          </cell>
          <cell r="AU27">
            <v>1070</v>
          </cell>
          <cell r="AV27">
            <v>1073</v>
          </cell>
          <cell r="AW27">
            <v>1064</v>
          </cell>
          <cell r="AX27">
            <v>1037</v>
          </cell>
          <cell r="AY27">
            <v>1046</v>
          </cell>
          <cell r="AZ27">
            <v>1063</v>
          </cell>
          <cell r="BA27">
            <v>1082</v>
          </cell>
          <cell r="BB27">
            <v>1025</v>
          </cell>
          <cell r="BC27">
            <v>1162</v>
          </cell>
          <cell r="BD27">
            <v>1129</v>
          </cell>
          <cell r="BE27">
            <v>1216</v>
          </cell>
          <cell r="BF27">
            <v>1181</v>
          </cell>
          <cell r="BG27">
            <v>1168</v>
          </cell>
          <cell r="BH27">
            <v>1162.7858946641973</v>
          </cell>
          <cell r="BI27">
            <v>1157.5810174633746</v>
          </cell>
          <cell r="BJ27">
            <v>1139.9573210436213</v>
          </cell>
          <cell r="BM27">
            <v>0</v>
          </cell>
          <cell r="BN27">
            <v>0</v>
          </cell>
          <cell r="BO27">
            <v>0</v>
          </cell>
        </row>
        <row r="28">
          <cell r="A28" t="str">
            <v>% growth</v>
          </cell>
          <cell r="I28">
            <v>-2.9511918274688353E-3</v>
          </cell>
          <cell r="J28">
            <v>-8.4244080145718936E-3</v>
          </cell>
          <cell r="K28">
            <v>-2.5258323765786628E-3</v>
          </cell>
          <cell r="L28">
            <v>-2.3020257826887658E-2</v>
          </cell>
          <cell r="M28">
            <v>-6.5975494816210567E-3</v>
          </cell>
          <cell r="N28">
            <v>0.11195445920303615</v>
          </cell>
          <cell r="O28">
            <v>-1.2729472446417756E-2</v>
          </cell>
          <cell r="P28">
            <v>-2.50399125949885E-2</v>
          </cell>
          <cell r="Q28">
            <v>-2.117322596323723E-2</v>
          </cell>
          <cell r="R28">
            <v>-2.0272146963310145E-2</v>
          </cell>
          <cell r="S28">
            <v>-1.9406316560257597E-2</v>
          </cell>
          <cell r="T28">
            <v>-1.8573023892691665E-2</v>
          </cell>
          <cell r="U28">
            <v>-1.7769512738009308E-2</v>
          </cell>
          <cell r="AI28">
            <v>-1</v>
          </cell>
          <cell r="AJ28">
            <v>-1</v>
          </cell>
          <cell r="AK28">
            <v>-1</v>
          </cell>
          <cell r="AL28">
            <v>-1</v>
          </cell>
          <cell r="AQ28">
            <v>-2.7802690582959588E-2</v>
          </cell>
          <cell r="AR28">
            <v>-1.7495395948434633E-2</v>
          </cell>
          <cell r="AS28">
            <v>1.1959521619135272E-2</v>
          </cell>
          <cell r="AT28">
            <v>2.4367385192127555E-2</v>
          </cell>
          <cell r="AU28">
            <v>-1.291512915129156E-2</v>
          </cell>
          <cell r="AV28">
            <v>5.623242736644718E-3</v>
          </cell>
          <cell r="AW28">
            <v>-3.2727272727272716E-2</v>
          </cell>
          <cell r="AX28">
            <v>-5.1235132662397098E-2</v>
          </cell>
          <cell r="AY28">
            <v>-2.2429906542056122E-2</v>
          </cell>
          <cell r="AZ28">
            <v>-9.3196644920783278E-3</v>
          </cell>
          <cell r="BA28">
            <v>1.6917293233082775E-2</v>
          </cell>
          <cell r="BB28">
            <v>-1.1571841851494735E-2</v>
          </cell>
          <cell r="BC28">
            <v>0.11089866156787753</v>
          </cell>
          <cell r="BD28">
            <v>6.2088428974600207E-2</v>
          </cell>
          <cell r="BE28">
            <v>0.12384473197781887</v>
          </cell>
          <cell r="BF28">
            <v>0.15219512195121943</v>
          </cell>
          <cell r="BG28">
            <v>5.1635111876076056E-3</v>
          </cell>
          <cell r="BH28">
            <v>2.992550457413401E-2</v>
          </cell>
          <cell r="BI28">
            <v>-4.8041926428145865E-2</v>
          </cell>
          <cell r="BJ28">
            <v>-3.4752480064672908E-2</v>
          </cell>
        </row>
        <row r="29">
          <cell r="A29" t="str">
            <v>% revenues</v>
          </cell>
          <cell r="H29">
            <v>0.73934206109432699</v>
          </cell>
          <cell r="I29">
            <v>0.71356620633631196</v>
          </cell>
          <cell r="J29">
            <v>0.69713462461981757</v>
          </cell>
          <cell r="K29">
            <v>0.69426242608278732</v>
          </cell>
          <cell r="L29">
            <v>0.69233278955954325</v>
          </cell>
          <cell r="M29">
            <v>0.70021591097824276</v>
          </cell>
          <cell r="N29">
            <v>0.71824728052704157</v>
          </cell>
          <cell r="O29">
            <v>0.72589128689925531</v>
          </cell>
          <cell r="P29">
            <v>0.73480969969370358</v>
          </cell>
          <cell r="Q29">
            <v>0.74302973286800289</v>
          </cell>
          <cell r="R29">
            <v>0.75117510131533582</v>
          </cell>
          <cell r="S29">
            <v>0.7592389018782667</v>
          </cell>
          <cell r="T29">
            <v>0.76721430390110323</v>
          </cell>
          <cell r="U29">
            <v>0.7750944935128451</v>
          </cell>
          <cell r="AE29">
            <v>0.74148714384989578</v>
          </cell>
          <cell r="AF29">
            <v>0.7369505494505495</v>
          </cell>
          <cell r="AG29">
            <v>0.7347622237106497</v>
          </cell>
          <cell r="AH29">
            <v>0.74394904458598721</v>
          </cell>
          <cell r="AI29">
            <v>0</v>
          </cell>
          <cell r="AJ29">
            <v>0</v>
          </cell>
          <cell r="AK29">
            <v>0</v>
          </cell>
          <cell r="AL29">
            <v>0</v>
          </cell>
          <cell r="AM29">
            <v>0.71796522858982614</v>
          </cell>
          <cell r="AN29">
            <v>0.69974226804123707</v>
          </cell>
          <cell r="AO29">
            <v>0.69501278772378516</v>
          </cell>
          <cell r="AP29">
            <v>0.67617237008871989</v>
          </cell>
          <cell r="AQ29">
            <v>0.69265175718849836</v>
          </cell>
          <cell r="AR29">
            <v>0.68927648578811374</v>
          </cell>
          <cell r="AS29">
            <v>0.69620253164556967</v>
          </cell>
          <cell r="AT29">
            <v>0.69884910485933505</v>
          </cell>
          <cell r="AU29">
            <v>0.69843342036553524</v>
          </cell>
          <cell r="AV29">
            <v>0.70314547837483621</v>
          </cell>
          <cell r="AW29">
            <v>0.69679109364767522</v>
          </cell>
          <cell r="AX29">
            <v>0.67119741100323627</v>
          </cell>
          <cell r="AY29">
            <v>0.69455511288180616</v>
          </cell>
          <cell r="AZ29">
            <v>0.70397350993377483</v>
          </cell>
          <cell r="BA29">
            <v>0.7232620320855615</v>
          </cell>
          <cell r="BB29">
            <v>0.67925778661365144</v>
          </cell>
          <cell r="BC29">
            <v>0.72761427676894175</v>
          </cell>
          <cell r="BD29">
            <v>0.70961659333752358</v>
          </cell>
          <cell r="BE29">
            <v>0.72727272727272729</v>
          </cell>
          <cell r="BF29">
            <v>0.70845830833833234</v>
          </cell>
          <cell r="BG29">
            <v>0.72098765432098766</v>
          </cell>
          <cell r="BH29">
            <v>0.72339340988833634</v>
          </cell>
          <cell r="BI29">
            <v>0.72820037363031476</v>
          </cell>
          <cell r="BJ29">
            <v>0.73120772052786109</v>
          </cell>
        </row>
        <row r="31">
          <cell r="A31" t="str">
            <v>EBITDA</v>
          </cell>
          <cell r="H31">
            <v>2622</v>
          </cell>
          <cell r="I31">
            <v>2902</v>
          </cell>
          <cell r="J31">
            <v>3012</v>
          </cell>
          <cell r="K31">
            <v>3070</v>
          </cell>
          <cell r="L31">
            <v>2967</v>
          </cell>
          <cell r="M31">
            <v>2889</v>
          </cell>
          <cell r="N31">
            <v>2930</v>
          </cell>
          <cell r="O31">
            <v>2785.732783495474</v>
          </cell>
          <cell r="P31">
            <v>2661.5210147439047</v>
          </cell>
          <cell r="Q31">
            <v>2555.5419152483573</v>
          </cell>
          <cell r="R31">
            <v>2456.4236292498808</v>
          </cell>
          <cell r="S31">
            <v>2363.6089347525885</v>
          </cell>
          <cell r="T31">
            <v>2276.5970105669121</v>
          </cell>
          <cell r="U31">
            <v>2194.9374619433966</v>
          </cell>
          <cell r="V31">
            <v>-3.0196233089071267E-2</v>
          </cell>
          <cell r="AE31">
            <v>633</v>
          </cell>
          <cell r="AF31">
            <v>648</v>
          </cell>
          <cell r="AG31">
            <v>667</v>
          </cell>
          <cell r="AH31">
            <v>674</v>
          </cell>
          <cell r="AI31">
            <v>1529</v>
          </cell>
          <cell r="AJ31">
            <v>1523</v>
          </cell>
          <cell r="AK31">
            <v>1545</v>
          </cell>
          <cell r="AL31">
            <v>1558</v>
          </cell>
          <cell r="AM31">
            <v>719</v>
          </cell>
          <cell r="AN31">
            <v>741</v>
          </cell>
          <cell r="AO31">
            <v>761</v>
          </cell>
          <cell r="AP31">
            <v>791</v>
          </cell>
          <cell r="AQ31">
            <v>767</v>
          </cell>
          <cell r="AR31">
            <v>769</v>
          </cell>
          <cell r="AS31">
            <v>771</v>
          </cell>
          <cell r="AT31">
            <v>763</v>
          </cell>
          <cell r="AU31">
            <v>727</v>
          </cell>
          <cell r="AV31">
            <v>724</v>
          </cell>
          <cell r="AW31">
            <v>732</v>
          </cell>
          <cell r="AX31">
            <v>784</v>
          </cell>
          <cell r="AY31">
            <v>728</v>
          </cell>
          <cell r="AZ31">
            <v>718</v>
          </cell>
          <cell r="BA31">
            <v>686</v>
          </cell>
          <cell r="BB31">
            <v>757</v>
          </cell>
          <cell r="BC31">
            <v>712</v>
          </cell>
          <cell r="BD31">
            <v>740</v>
          </cell>
          <cell r="BE31">
            <v>733</v>
          </cell>
          <cell r="BF31">
            <v>745</v>
          </cell>
          <cell r="BG31">
            <v>715</v>
          </cell>
          <cell r="BH31">
            <v>704.61870533580259</v>
          </cell>
          <cell r="BI31">
            <v>692.06526586995892</v>
          </cell>
          <cell r="BJ31">
            <v>674.04881228971203</v>
          </cell>
          <cell r="BM31">
            <v>0</v>
          </cell>
          <cell r="BN31">
            <v>0</v>
          </cell>
          <cell r="BO31">
            <v>0</v>
          </cell>
        </row>
        <row r="32">
          <cell r="A32" t="str">
            <v>% growth</v>
          </cell>
          <cell r="I32">
            <v>0.10678871090770414</v>
          </cell>
          <cell r="J32">
            <v>3.7904893177119314E-2</v>
          </cell>
          <cell r="K32">
            <v>1.9256308100929598E-2</v>
          </cell>
          <cell r="L32">
            <v>-3.3550488599348505E-2</v>
          </cell>
          <cell r="M32">
            <v>-2.6289180990899941E-2</v>
          </cell>
          <cell r="N32">
            <v>1.4191761855313345E-2</v>
          </cell>
          <cell r="O32">
            <v>-4.9237957851374081E-2</v>
          </cell>
          <cell r="P32">
            <v>-4.4588543986516571E-2</v>
          </cell>
          <cell r="Q32">
            <v>-3.9818997824349278E-2</v>
          </cell>
          <cell r="R32">
            <v>-3.878562327898416E-2</v>
          </cell>
          <cell r="S32">
            <v>-3.778448203807383E-2</v>
          </cell>
          <cell r="T32">
            <v>-3.6813164354865813E-2</v>
          </cell>
          <cell r="U32">
            <v>-3.5869127581425131E-2</v>
          </cell>
          <cell r="AI32">
            <v>1.4154818325434437</v>
          </cell>
          <cell r="AJ32">
            <v>1.3503086419753085</v>
          </cell>
          <cell r="AK32">
            <v>1.3163418290854572</v>
          </cell>
          <cell r="AL32">
            <v>1.3115727002967361</v>
          </cell>
          <cell r="AM32">
            <v>-0.52975801177240034</v>
          </cell>
          <cell r="AN32">
            <v>-0.51346027577150366</v>
          </cell>
          <cell r="AO32">
            <v>-0.50744336569579285</v>
          </cell>
          <cell r="AP32">
            <v>-0.49229781771501924</v>
          </cell>
          <cell r="AQ32">
            <v>6.6759388038942991E-2</v>
          </cell>
          <cell r="AR32">
            <v>3.7786774628879805E-2</v>
          </cell>
          <cell r="AS32">
            <v>1.3140604467805517E-2</v>
          </cell>
          <cell r="AT32">
            <v>-3.539823008849563E-2</v>
          </cell>
          <cell r="AU32">
            <v>-5.2151238591916504E-2</v>
          </cell>
          <cell r="AV32">
            <v>-5.8517555266579979E-2</v>
          </cell>
          <cell r="AW32">
            <v>-5.058365758754868E-2</v>
          </cell>
          <cell r="AX32">
            <v>2.7522935779816571E-2</v>
          </cell>
          <cell r="AY32">
            <v>1.3755158184318717E-3</v>
          </cell>
          <cell r="AZ32">
            <v>-8.2872928176795924E-3</v>
          </cell>
          <cell r="BA32">
            <v>-6.2841530054644767E-2</v>
          </cell>
          <cell r="BB32">
            <v>-3.4438775510204134E-2</v>
          </cell>
          <cell r="BC32">
            <v>-2.1978021978022011E-2</v>
          </cell>
          <cell r="BD32">
            <v>3.0640668523676862E-2</v>
          </cell>
          <cell r="BE32">
            <v>6.8513119533527789E-2</v>
          </cell>
          <cell r="BF32">
            <v>-1.5852047556142668E-2</v>
          </cell>
          <cell r="BG32">
            <v>4.2134831460673983E-3</v>
          </cell>
          <cell r="BH32">
            <v>-4.7812560357023526E-2</v>
          </cell>
          <cell r="BI32">
            <v>-5.5845476302921027E-2</v>
          </cell>
          <cell r="BJ32">
            <v>-9.5236493570856284E-2</v>
          </cell>
        </row>
        <row r="33">
          <cell r="A33" t="str">
            <v>% revenues</v>
          </cell>
          <cell r="H33">
            <v>0.44008056394763345</v>
          </cell>
          <cell r="I33">
            <v>0.47148659626320066</v>
          </cell>
          <cell r="J33">
            <v>0.48215143268769012</v>
          </cell>
          <cell r="K33">
            <v>0.4906504714719514</v>
          </cell>
          <cell r="L33">
            <v>0.4840130505709625</v>
          </cell>
          <cell r="M33">
            <v>0.47982062780269058</v>
          </cell>
          <cell r="N33">
            <v>0.44890455032940096</v>
          </cell>
          <cell r="O33">
            <v>0.4369052497826979</v>
          </cell>
          <cell r="P33">
            <v>0.43340524978269801</v>
          </cell>
          <cell r="Q33">
            <v>0.42990524978269801</v>
          </cell>
          <cell r="R33">
            <v>0.42640524978269784</v>
          </cell>
          <cell r="S33">
            <v>0.42290524978269795</v>
          </cell>
          <cell r="T33">
            <v>0.41940524978269783</v>
          </cell>
          <cell r="U33">
            <v>0.41590524978269794</v>
          </cell>
          <cell r="AE33">
            <v>0.43988881167477417</v>
          </cell>
          <cell r="AF33">
            <v>0.44505494505494503</v>
          </cell>
          <cell r="AG33">
            <v>0.44675150703281985</v>
          </cell>
          <cell r="AH33">
            <v>0.42929936305732486</v>
          </cell>
          <cell r="AI33">
            <v>1</v>
          </cell>
          <cell r="AJ33">
            <v>1</v>
          </cell>
          <cell r="AK33">
            <v>1</v>
          </cell>
          <cell r="AL33">
            <v>1</v>
          </cell>
          <cell r="AM33">
            <v>0.46297488731487446</v>
          </cell>
          <cell r="AN33">
            <v>0.47744845360824745</v>
          </cell>
          <cell r="AO33">
            <v>0.48657289002557547</v>
          </cell>
          <cell r="AP33">
            <v>0.50126742712294048</v>
          </cell>
          <cell r="AQ33">
            <v>0.49009584664536743</v>
          </cell>
          <cell r="AR33">
            <v>0.49677002583979329</v>
          </cell>
          <cell r="AS33">
            <v>0.48797468354430379</v>
          </cell>
          <cell r="AT33">
            <v>0.48785166240409206</v>
          </cell>
          <cell r="AU33">
            <v>0.47454308093994779</v>
          </cell>
          <cell r="AV33">
            <v>0.47444298820445607</v>
          </cell>
          <cell r="AW33">
            <v>0.47937131630648327</v>
          </cell>
          <cell r="AX33">
            <v>0.50744336569579285</v>
          </cell>
          <cell r="AY33">
            <v>0.48339973439575035</v>
          </cell>
          <cell r="AZ33">
            <v>0.47549668874172185</v>
          </cell>
          <cell r="BA33">
            <v>0.45855614973262032</v>
          </cell>
          <cell r="BB33">
            <v>0.50165672630881375</v>
          </cell>
          <cell r="BC33">
            <v>0.44583594239198499</v>
          </cell>
          <cell r="BD33">
            <v>0.46511627906976744</v>
          </cell>
          <cell r="BE33">
            <v>0.4383971291866029</v>
          </cell>
          <cell r="BF33">
            <v>0.44691061787642472</v>
          </cell>
          <cell r="BG33">
            <v>0.44135802469135804</v>
          </cell>
          <cell r="BH33">
            <v>0.43835802469135815</v>
          </cell>
          <cell r="BI33">
            <v>0.43535802469135804</v>
          </cell>
          <cell r="BJ33">
            <v>0.43235802469135809</v>
          </cell>
        </row>
        <row r="34">
          <cell r="A34" t="str">
            <v>per access line</v>
          </cell>
          <cell r="K34">
            <v>379.84338638189092</v>
          </cell>
          <cell r="L34">
            <v>375.23713165549509</v>
          </cell>
          <cell r="M34">
            <v>376.76056338028167</v>
          </cell>
          <cell r="N34">
            <v>398.63945578231289</v>
          </cell>
          <cell r="O34">
            <v>396.09452346018395</v>
          </cell>
          <cell r="P34">
            <v>398.3603242452175</v>
          </cell>
          <cell r="Q34">
            <v>402.45755010592774</v>
          </cell>
          <cell r="R34">
            <v>407.10046082153121</v>
          </cell>
          <cell r="S34">
            <v>412.2450091858139</v>
          </cell>
          <cell r="T34">
            <v>417.83901700134726</v>
          </cell>
          <cell r="U34">
            <v>423.82022482861578</v>
          </cell>
        </row>
        <row r="35">
          <cell r="A35" t="str">
            <v>Operating income</v>
          </cell>
          <cell r="H35">
            <v>1553</v>
          </cell>
          <cell r="I35">
            <v>1763</v>
          </cell>
          <cell r="J35">
            <v>1892</v>
          </cell>
          <cell r="K35">
            <v>1913</v>
          </cell>
          <cell r="L35">
            <v>1886</v>
          </cell>
          <cell r="M35">
            <v>1805</v>
          </cell>
          <cell r="N35">
            <v>1839</v>
          </cell>
          <cell r="O35">
            <v>1747.732783495474</v>
          </cell>
          <cell r="P35">
            <v>1628.5210147439047</v>
          </cell>
          <cell r="Q35">
            <v>1527.5419152483573</v>
          </cell>
          <cell r="R35">
            <v>1433.4236292498808</v>
          </cell>
          <cell r="S35">
            <v>1345.6089347525885</v>
          </cell>
          <cell r="T35">
            <v>1263.5970105669121</v>
          </cell>
          <cell r="U35">
            <v>1186.9374619433966</v>
          </cell>
          <cell r="V35">
            <v>-4.0866671338604998E-2</v>
          </cell>
          <cell r="AE35">
            <v>372</v>
          </cell>
          <cell r="AF35">
            <v>383</v>
          </cell>
          <cell r="AG35">
            <v>396</v>
          </cell>
          <cell r="AH35">
            <v>402</v>
          </cell>
          <cell r="AI35">
            <v>1529</v>
          </cell>
          <cell r="AJ35">
            <v>1523</v>
          </cell>
          <cell r="AK35">
            <v>1545</v>
          </cell>
          <cell r="AL35">
            <v>1558</v>
          </cell>
          <cell r="AM35">
            <v>438</v>
          </cell>
          <cell r="AN35">
            <v>466</v>
          </cell>
          <cell r="AO35">
            <v>477</v>
          </cell>
          <cell r="AP35">
            <v>511</v>
          </cell>
          <cell r="AQ35">
            <v>481</v>
          </cell>
          <cell r="AR35">
            <v>481</v>
          </cell>
          <cell r="AS35">
            <v>480</v>
          </cell>
          <cell r="AT35">
            <v>471</v>
          </cell>
          <cell r="AU35">
            <v>462</v>
          </cell>
          <cell r="AV35">
            <v>453</v>
          </cell>
          <cell r="AW35">
            <v>463</v>
          </cell>
          <cell r="AX35">
            <v>508</v>
          </cell>
          <cell r="AY35">
            <v>460</v>
          </cell>
          <cell r="AZ35">
            <v>447</v>
          </cell>
          <cell r="BA35">
            <v>414</v>
          </cell>
          <cell r="BB35">
            <v>484</v>
          </cell>
          <cell r="BC35">
            <v>435</v>
          </cell>
          <cell r="BD35">
            <v>462</v>
          </cell>
          <cell r="BE35">
            <v>456</v>
          </cell>
          <cell r="BF35">
            <v>486</v>
          </cell>
          <cell r="BG35">
            <v>452</v>
          </cell>
          <cell r="BH35">
            <v>444.61870533580259</v>
          </cell>
          <cell r="BI35">
            <v>432.06526586995892</v>
          </cell>
          <cell r="BJ35">
            <v>419.04881228971203</v>
          </cell>
          <cell r="BM35">
            <v>0</v>
          </cell>
          <cell r="BN35">
            <v>0</v>
          </cell>
          <cell r="BO35">
            <v>0</v>
          </cell>
        </row>
        <row r="36">
          <cell r="A36" t="str">
            <v>% growth</v>
          </cell>
          <cell r="I36">
            <v>0.13522215067611065</v>
          </cell>
          <cell r="J36">
            <v>7.3170731707317138E-2</v>
          </cell>
          <cell r="K36">
            <v>1.10993657505285E-2</v>
          </cell>
          <cell r="L36">
            <v>-1.4113957135389432E-2</v>
          </cell>
          <cell r="M36">
            <v>-4.2948038176033987E-2</v>
          </cell>
          <cell r="N36">
            <v>1.8836565096952862E-2</v>
          </cell>
          <cell r="O36">
            <v>-4.962872023084608E-2</v>
          </cell>
          <cell r="P36">
            <v>-6.8209379532919834E-2</v>
          </cell>
          <cell r="Q36">
            <v>-6.2006629685050108E-2</v>
          </cell>
          <cell r="R36">
            <v>-6.1614208460639253E-2</v>
          </cell>
          <cell r="S36">
            <v>-6.1262206583859835E-2</v>
          </cell>
          <cell r="T36">
            <v>-6.0947814827608582E-2</v>
          </cell>
          <cell r="U36">
            <v>-6.0667719203547521E-2</v>
          </cell>
          <cell r="AI36">
            <v>3.110215053763441</v>
          </cell>
          <cell r="AJ36">
            <v>2.9765013054830289</v>
          </cell>
          <cell r="AK36">
            <v>2.9015151515151514</v>
          </cell>
          <cell r="AL36">
            <v>2.8756218905472637</v>
          </cell>
          <cell r="AM36">
            <v>-0.71353826030085021</v>
          </cell>
          <cell r="AN36">
            <v>-0.69402495075508863</v>
          </cell>
          <cell r="AO36">
            <v>-0.6912621359223301</v>
          </cell>
          <cell r="AP36">
            <v>-0.67201540436456997</v>
          </cell>
          <cell r="AQ36">
            <v>9.8173515981735182E-2</v>
          </cell>
          <cell r="AR36">
            <v>3.2188841201716833E-2</v>
          </cell>
          <cell r="AS36">
            <v>6.2893081761006275E-3</v>
          </cell>
          <cell r="AT36">
            <v>-7.8277886497064575E-2</v>
          </cell>
          <cell r="AU36">
            <v>-3.9501039501039448E-2</v>
          </cell>
          <cell r="AV36">
            <v>-5.8212058212058215E-2</v>
          </cell>
          <cell r="AW36">
            <v>-3.5416666666666652E-2</v>
          </cell>
          <cell r="AX36">
            <v>7.8556263269639048E-2</v>
          </cell>
          <cell r="AY36">
            <v>-4.3290043290042934E-3</v>
          </cell>
          <cell r="AZ36">
            <v>-1.3245033112582738E-2</v>
          </cell>
          <cell r="BA36">
            <v>-0.10583153347732177</v>
          </cell>
          <cell r="BB36">
            <v>-4.7244094488189003E-2</v>
          </cell>
          <cell r="BC36">
            <v>-5.4347826086956541E-2</v>
          </cell>
          <cell r="BD36">
            <v>3.3557046979865834E-2</v>
          </cell>
          <cell r="BE36">
            <v>0.10144927536231885</v>
          </cell>
          <cell r="BF36">
            <v>4.1322314049587749E-3</v>
          </cell>
          <cell r="BG36">
            <v>3.9080459770114873E-2</v>
          </cell>
          <cell r="BH36">
            <v>-3.7621849922505168E-2</v>
          </cell>
          <cell r="BI36">
            <v>-5.248845203956376E-2</v>
          </cell>
          <cell r="BJ36">
            <v>-0.13775964549441966</v>
          </cell>
        </row>
        <row r="37">
          <cell r="A37" t="str">
            <v>% revenues</v>
          </cell>
          <cell r="H37">
            <v>0.26065793890567307</v>
          </cell>
          <cell r="I37">
            <v>0.28643379366368804</v>
          </cell>
          <cell r="J37">
            <v>0.30286537538018249</v>
          </cell>
          <cell r="K37">
            <v>0.30573757391721273</v>
          </cell>
          <cell r="L37">
            <v>0.30766721044045675</v>
          </cell>
          <cell r="M37">
            <v>0.29978408902175718</v>
          </cell>
          <cell r="N37">
            <v>0.28175271947295849</v>
          </cell>
          <cell r="O37">
            <v>0.27410871310074475</v>
          </cell>
          <cell r="P37">
            <v>0.26519030030629642</v>
          </cell>
          <cell r="Q37">
            <v>0.25697026713199711</v>
          </cell>
          <cell r="R37">
            <v>0.24882489868466418</v>
          </cell>
          <cell r="S37">
            <v>0.24076109812173332</v>
          </cell>
          <cell r="T37">
            <v>0.23278569609889677</v>
          </cell>
          <cell r="U37">
            <v>0.22490550648715488</v>
          </cell>
          <cell r="AE37">
            <v>0.25851285615010422</v>
          </cell>
          <cell r="AF37">
            <v>0.26304945054945056</v>
          </cell>
          <cell r="AG37">
            <v>0.2652377762893503</v>
          </cell>
          <cell r="AH37">
            <v>0.25605095541401274</v>
          </cell>
          <cell r="AI37">
            <v>1</v>
          </cell>
          <cell r="AJ37">
            <v>1</v>
          </cell>
          <cell r="AK37">
            <v>1</v>
          </cell>
          <cell r="AL37">
            <v>1</v>
          </cell>
          <cell r="AM37">
            <v>0.28203477141017386</v>
          </cell>
          <cell r="AN37">
            <v>0.30025773195876287</v>
          </cell>
          <cell r="AO37">
            <v>0.30498721227621484</v>
          </cell>
          <cell r="AP37">
            <v>0.32382762991128011</v>
          </cell>
          <cell r="AQ37">
            <v>0.30734824281150158</v>
          </cell>
          <cell r="AR37">
            <v>0.31072351421188632</v>
          </cell>
          <cell r="AS37">
            <v>0.30379746835443039</v>
          </cell>
          <cell r="AT37">
            <v>0.30115089514066495</v>
          </cell>
          <cell r="AU37">
            <v>0.30156657963446476</v>
          </cell>
          <cell r="AV37">
            <v>0.29685452162516385</v>
          </cell>
          <cell r="AW37">
            <v>0.30320890635232484</v>
          </cell>
          <cell r="AX37">
            <v>0.32880258899676373</v>
          </cell>
          <cell r="AY37">
            <v>0.3054448871181939</v>
          </cell>
          <cell r="AZ37">
            <v>0.29602649006622517</v>
          </cell>
          <cell r="BA37">
            <v>0.2767379679144385</v>
          </cell>
          <cell r="BB37">
            <v>0.32074221338634856</v>
          </cell>
          <cell r="BC37">
            <v>0.27238572323105825</v>
          </cell>
          <cell r="BD37">
            <v>0.29038340666247642</v>
          </cell>
          <cell r="BE37">
            <v>0.27272727272727271</v>
          </cell>
          <cell r="BF37">
            <v>0.29154169166166766</v>
          </cell>
          <cell r="BG37">
            <v>0.27901234567901234</v>
          </cell>
          <cell r="BH37">
            <v>0.27660659011166361</v>
          </cell>
          <cell r="BI37">
            <v>0.2717996263696853</v>
          </cell>
          <cell r="BJ37">
            <v>0.26879227947213896</v>
          </cell>
        </row>
        <row r="38">
          <cell r="A38" t="str">
            <v>VOICE REVENUE</v>
          </cell>
        </row>
        <row r="39">
          <cell r="A39" t="str">
            <v>Local Voice</v>
          </cell>
          <cell r="K39">
            <v>3709.8739647689413</v>
          </cell>
          <cell r="L39">
            <v>3518.6549999999997</v>
          </cell>
          <cell r="M39">
            <v>3355.6979999999999</v>
          </cell>
          <cell r="N39">
            <v>3203.0990999999995</v>
          </cell>
          <cell r="O39">
            <v>3065.3870999999999</v>
          </cell>
          <cell r="P39">
            <v>2897.8208999999997</v>
          </cell>
          <cell r="Q39">
            <v>2749.5983609999998</v>
          </cell>
          <cell r="R39">
            <v>2609.386389585</v>
          </cell>
          <cell r="S39">
            <v>2477.0462984912247</v>
          </cell>
          <cell r="T39">
            <v>2352.4394557638566</v>
          </cell>
          <cell r="U39">
            <v>2235.4272839273985</v>
          </cell>
          <cell r="AQ39">
            <v>934.73928720000004</v>
          </cell>
          <cell r="AR39">
            <v>929.53383552751347</v>
          </cell>
          <cell r="AS39">
            <v>924.67887049092474</v>
          </cell>
          <cell r="AT39">
            <v>920.92197155050292</v>
          </cell>
          <cell r="AU39">
            <v>889.68</v>
          </cell>
          <cell r="AV39">
            <v>880.35</v>
          </cell>
          <cell r="AW39">
            <v>876.67499999999995</v>
          </cell>
          <cell r="AX39">
            <v>871.94999999999993</v>
          </cell>
          <cell r="AY39">
            <v>850.88400000000001</v>
          </cell>
          <cell r="AZ39">
            <v>841.68000000000006</v>
          </cell>
          <cell r="BA39">
            <v>834.41699999999992</v>
          </cell>
          <cell r="BB39">
            <v>828.7170000000001</v>
          </cell>
          <cell r="BC39">
            <v>818.41859999999997</v>
          </cell>
          <cell r="BD39">
            <v>803.52299999999991</v>
          </cell>
          <cell r="BE39">
            <v>794.94900000000007</v>
          </cell>
          <cell r="BF39">
            <v>786.20849999999996</v>
          </cell>
          <cell r="BG39">
            <v>782.04</v>
          </cell>
          <cell r="BH39">
            <v>771.47759999999994</v>
          </cell>
          <cell r="BI39">
            <v>761.09969999999998</v>
          </cell>
          <cell r="BJ39">
            <v>750.7697999999998</v>
          </cell>
          <cell r="BM39">
            <v>0</v>
          </cell>
          <cell r="BO39">
            <v>0</v>
          </cell>
        </row>
        <row r="40">
          <cell r="A40" t="str">
            <v>% growth</v>
          </cell>
          <cell r="L40">
            <v>-5.15432509526913E-2</v>
          </cell>
          <cell r="M40">
            <v>-4.6312298307165656E-2</v>
          </cell>
          <cell r="N40">
            <v>-4.547456296722785E-2</v>
          </cell>
          <cell r="O40">
            <v>-4.2993362272181868E-2</v>
          </cell>
          <cell r="P40">
            <v>-5.4663960711520021E-2</v>
          </cell>
          <cell r="Q40">
            <v>-5.1149654901032626E-2</v>
          </cell>
          <cell r="R40">
            <v>-5.0993619069516161E-2</v>
          </cell>
          <cell r="S40">
            <v>-5.0716939285800011E-2</v>
          </cell>
          <cell r="T40">
            <v>-5.0304607872394769E-2</v>
          </cell>
          <cell r="U40">
            <v>-4.974077932155041E-2</v>
          </cell>
          <cell r="AU40">
            <v>-4.8205192417850151E-2</v>
          </cell>
          <cell r="AV40">
            <v>-5.2912367089468559E-2</v>
          </cell>
          <cell r="AW40">
            <v>-5.1914099070349495E-2</v>
          </cell>
          <cell r="AX40">
            <v>-5.3177112788450165E-2</v>
          </cell>
          <cell r="AY40">
            <v>-4.3606690045859153E-2</v>
          </cell>
          <cell r="AZ40">
            <v>-4.3925711364798059E-2</v>
          </cell>
          <cell r="BA40">
            <v>-4.8202583625631013E-2</v>
          </cell>
          <cell r="BB40">
            <v>-4.9581971443316553E-2</v>
          </cell>
          <cell r="BC40">
            <v>-3.8154907131876969E-2</v>
          </cell>
          <cell r="BD40">
            <v>-4.5334331337325562E-2</v>
          </cell>
          <cell r="BE40">
            <v>-4.730009096171317E-2</v>
          </cell>
          <cell r="BF40">
            <v>-5.129435018226991E-2</v>
          </cell>
          <cell r="BG40">
            <v>-4.4449869541088205E-2</v>
          </cell>
          <cell r="BH40">
            <v>-3.9881123502376381E-2</v>
          </cell>
          <cell r="BI40">
            <v>-4.2580467426212354E-2</v>
          </cell>
          <cell r="BJ40">
            <v>-4.5075447543495351E-2</v>
          </cell>
        </row>
        <row r="41">
          <cell r="A41" t="str">
            <v>seq. growth</v>
          </cell>
          <cell r="AR41">
            <v>-5.5688808032017256E-3</v>
          </cell>
          <cell r="AS41">
            <v>-5.2230105575807872E-3</v>
          </cell>
          <cell r="AT41">
            <v>-4.0629228809210272E-3</v>
          </cell>
          <cell r="AU41">
            <v>-3.392466736123434E-2</v>
          </cell>
          <cell r="AV41">
            <v>-1.048691664418655E-2</v>
          </cell>
          <cell r="AW41">
            <v>-4.1744760606577946E-3</v>
          </cell>
          <cell r="AX41">
            <v>-5.389682607579771E-3</v>
          </cell>
          <cell r="AY41">
            <v>-2.4159642181317609E-2</v>
          </cell>
          <cell r="AZ41">
            <v>-1.0816985629063414E-2</v>
          </cell>
          <cell r="BA41">
            <v>-8.6291702309667651E-3</v>
          </cell>
          <cell r="BB41">
            <v>-6.831116815692706E-3</v>
          </cell>
          <cell r="BC41">
            <v>-1.2426920166957012E-2</v>
          </cell>
          <cell r="BD41">
            <v>-1.820046611843873E-2</v>
          </cell>
          <cell r="BE41">
            <v>-1.0670509742720324E-2</v>
          </cell>
          <cell r="BF41">
            <v>-1.0995044965148804E-2</v>
          </cell>
          <cell r="BG41">
            <v>-5.3020286603362443E-3</v>
          </cell>
          <cell r="BH41">
            <v>-1.3506214515881521E-2</v>
          </cell>
          <cell r="BI41">
            <v>-1.3451978385373708E-2</v>
          </cell>
          <cell r="BJ41">
            <v>-1.3572334872816505E-2</v>
          </cell>
        </row>
        <row r="42">
          <cell r="A42" t="str">
            <v>% of local revenues</v>
          </cell>
          <cell r="K42">
            <v>0.59291576870208429</v>
          </cell>
          <cell r="L42">
            <v>0.57400570962479602</v>
          </cell>
          <cell r="M42">
            <v>0.55733233682112604</v>
          </cell>
          <cell r="N42">
            <v>0.49074599356519066</v>
          </cell>
          <cell r="O42">
            <v>0.48076532126159538</v>
          </cell>
          <cell r="P42">
            <v>0.47188460434187857</v>
          </cell>
          <cell r="Q42">
            <v>0.46255033546296742</v>
          </cell>
          <cell r="R42">
            <v>0.45295772357080616</v>
          </cell>
          <cell r="S42">
            <v>0.44320186312732479</v>
          </cell>
          <cell r="T42">
            <v>0.4333772964489781</v>
          </cell>
          <cell r="U42">
            <v>0.42357741804165289</v>
          </cell>
          <cell r="AQ42">
            <v>0.59727749980830669</v>
          </cell>
          <cell r="AR42">
            <v>0.60047405395834208</v>
          </cell>
          <cell r="AS42">
            <v>0.58523979144995242</v>
          </cell>
          <cell r="AT42">
            <v>0.58882478999392773</v>
          </cell>
          <cell r="AU42">
            <v>0.58073107049608352</v>
          </cell>
          <cell r="AV42">
            <v>0.57690039318479691</v>
          </cell>
          <cell r="AW42">
            <v>0.57411591355599212</v>
          </cell>
          <cell r="AX42">
            <v>0.56436893203883487</v>
          </cell>
          <cell r="AY42">
            <v>0.56499601593625504</v>
          </cell>
          <cell r="AZ42">
            <v>0.55740397350993387</v>
          </cell>
          <cell r="BA42">
            <v>0.55776537433155071</v>
          </cell>
          <cell r="BB42">
            <v>0.54918290258449309</v>
          </cell>
          <cell r="BC42">
            <v>0.51247251095804636</v>
          </cell>
          <cell r="BD42">
            <v>0.50504274041483344</v>
          </cell>
          <cell r="BE42">
            <v>0.47544796650717708</v>
          </cell>
          <cell r="BF42">
            <v>0.47163077384523094</v>
          </cell>
          <cell r="BG42">
            <v>0.48274074074074069</v>
          </cell>
          <cell r="BH42">
            <v>0.47995234056192199</v>
          </cell>
          <cell r="BI42">
            <v>0.47878556882732931</v>
          </cell>
          <cell r="BJ42">
            <v>0.48156949735327093</v>
          </cell>
        </row>
        <row r="43">
          <cell r="A43" t="str">
            <v>Long Distance Voice</v>
          </cell>
          <cell r="K43">
            <v>1100.1260352310587</v>
          </cell>
          <cell r="L43">
            <v>1135.3450000000003</v>
          </cell>
          <cell r="M43">
            <v>1142.3019999999999</v>
          </cell>
          <cell r="N43">
            <v>1131.9009000000001</v>
          </cell>
          <cell r="O43">
            <v>1074.20325</v>
          </cell>
          <cell r="P43">
            <v>1004.4337934906157</v>
          </cell>
          <cell r="Q43">
            <v>950.8098613670038</v>
          </cell>
          <cell r="R43">
            <v>899.88850010706278</v>
          </cell>
          <cell r="S43">
            <v>851.64087606484452</v>
          </cell>
          <cell r="T43">
            <v>806.03818713459464</v>
          </cell>
          <cell r="U43">
            <v>763.05166221711852</v>
          </cell>
          <cell r="AQ43">
            <v>282.26071279999996</v>
          </cell>
          <cell r="AR43">
            <v>264.46616447248653</v>
          </cell>
          <cell r="AS43">
            <v>280.32112950907526</v>
          </cell>
          <cell r="AT43">
            <v>273.07802844949708</v>
          </cell>
          <cell r="AU43">
            <v>293.32000000000005</v>
          </cell>
          <cell r="AV43">
            <v>284.64999999999998</v>
          </cell>
          <cell r="AW43">
            <v>275.32500000000005</v>
          </cell>
          <cell r="AX43">
            <v>282.05000000000007</v>
          </cell>
          <cell r="AY43">
            <v>296.11599999999999</v>
          </cell>
          <cell r="AZ43">
            <v>294.31999999999994</v>
          </cell>
          <cell r="BA43">
            <v>270.58300000000008</v>
          </cell>
          <cell r="BB43">
            <v>281.2829999999999</v>
          </cell>
          <cell r="BC43">
            <v>286.58140000000003</v>
          </cell>
          <cell r="BD43">
            <v>281.47700000000009</v>
          </cell>
          <cell r="BE43">
            <v>287.05099999999993</v>
          </cell>
          <cell r="BF43">
            <v>276.79150000000004</v>
          </cell>
          <cell r="BG43">
            <v>267.96000000000004</v>
          </cell>
          <cell r="BH43">
            <v>270.327</v>
          </cell>
          <cell r="BI43">
            <v>271.61324999999999</v>
          </cell>
          <cell r="BJ43">
            <v>264.303</v>
          </cell>
          <cell r="BM43">
            <v>0</v>
          </cell>
          <cell r="BO43">
            <v>0</v>
          </cell>
        </row>
        <row r="44">
          <cell r="A44" t="str">
            <v>Long Distance ARPU</v>
          </cell>
          <cell r="K44">
            <v>11.342985848779824</v>
          </cell>
          <cell r="L44">
            <v>11.965610640360865</v>
          </cell>
          <cell r="M44">
            <v>12.414167101373671</v>
          </cell>
          <cell r="N44">
            <v>12.833343537414965</v>
          </cell>
          <cell r="O44">
            <v>12.7281298876724</v>
          </cell>
          <cell r="P44">
            <v>12.528129887672401</v>
          </cell>
          <cell r="Q44">
            <v>12.4781298876724</v>
          </cell>
          <cell r="R44">
            <v>12.4281298876724</v>
          </cell>
          <cell r="S44">
            <v>12.378129887672399</v>
          </cell>
          <cell r="T44">
            <v>12.328129887672398</v>
          </cell>
          <cell r="U44">
            <v>12.278129887672398</v>
          </cell>
          <cell r="AQ44">
            <v>11.439947982340138</v>
          </cell>
          <cell r="AR44">
            <v>10.780847717194295</v>
          </cell>
          <cell r="AS44">
            <v>11.505235296213465</v>
          </cell>
          <cell r="AT44">
            <v>11.262419443295041</v>
          </cell>
          <cell r="AU44">
            <v>12.121662947351023</v>
          </cell>
          <cell r="AV44">
            <v>11.887162782928256</v>
          </cell>
          <cell r="AW44">
            <v>11.551290119572059</v>
          </cell>
          <cell r="AX44">
            <v>11.890308165760299</v>
          </cell>
          <cell r="AY44">
            <v>12.532419163704079</v>
          </cell>
          <cell r="AZ44">
            <v>12.610111396743784</v>
          </cell>
          <cell r="BA44">
            <v>11.686231320722126</v>
          </cell>
          <cell r="BB44">
            <v>12.227569118414184</v>
          </cell>
          <cell r="BC44">
            <v>12.505188288170356</v>
          </cell>
          <cell r="BD44">
            <v>12.460247897299693</v>
          </cell>
          <cell r="BE44">
            <v>12.864165994442949</v>
          </cell>
          <cell r="BF44">
            <v>12.552902494331066</v>
          </cell>
          <cell r="BG44">
            <v>12.304725168756027</v>
          </cell>
          <cell r="BH44">
            <v>12.55</v>
          </cell>
          <cell r="BI44">
            <v>12.75</v>
          </cell>
          <cell r="BJ44">
            <v>12.55</v>
          </cell>
        </row>
        <row r="45">
          <cell r="A45" t="str">
            <v>% growth</v>
          </cell>
          <cell r="L45">
            <v>3.2013572664467027E-2</v>
          </cell>
          <cell r="M45">
            <v>6.1276528279947673E-3</v>
          </cell>
          <cell r="N45">
            <v>-9.1053854409778312E-3</v>
          </cell>
          <cell r="O45">
            <v>-5.0974117963860643E-2</v>
          </cell>
          <cell r="P45">
            <v>-6.4949958501228089E-2</v>
          </cell>
          <cell r="Q45">
            <v>-5.3387224196487448E-2</v>
          </cell>
          <cell r="R45">
            <v>-5.3555777373543556E-2</v>
          </cell>
          <cell r="S45">
            <v>-5.3615113468477582E-2</v>
          </cell>
          <cell r="T45">
            <v>-5.3546853153602858E-2</v>
          </cell>
          <cell r="U45">
            <v>-5.3330630736355022E-2</v>
          </cell>
          <cell r="AU45">
            <v>3.9181107035027862E-2</v>
          </cell>
          <cell r="AV45">
            <v>7.6319160024772348E-2</v>
          </cell>
          <cell r="AW45">
            <v>-1.782287877415778E-2</v>
          </cell>
          <cell r="AX45">
            <v>3.2854974094564504E-2</v>
          </cell>
          <cell r="AY45">
            <v>9.532251465975472E-3</v>
          </cell>
          <cell r="AZ45">
            <v>3.3971544001405007E-2</v>
          </cell>
          <cell r="BA45">
            <v>-1.7223281576318805E-2</v>
          </cell>
          <cell r="BB45">
            <v>-2.7193759971642084E-3</v>
          </cell>
          <cell r="BC45">
            <v>-3.2198868011184656E-2</v>
          </cell>
          <cell r="BD45">
            <v>-4.3636178309322649E-2</v>
          </cell>
          <cell r="BE45">
            <v>6.0861177531477795E-2</v>
          </cell>
          <cell r="BF45">
            <v>-1.5967904210349992E-2</v>
          </cell>
          <cell r="BG45">
            <v>-6.4977699180756243E-2</v>
          </cell>
          <cell r="BH45">
            <v>-3.9612472777527441E-2</v>
          </cell>
          <cell r="BI45">
            <v>-5.378051287053498E-2</v>
          </cell>
          <cell r="BJ45">
            <v>-4.5118798807044391E-2</v>
          </cell>
        </row>
        <row r="46">
          <cell r="A46" t="str">
            <v>seq. growth</v>
          </cell>
          <cell r="AR46">
            <v>-6.3042951146098813E-2</v>
          </cell>
          <cell r="AS46">
            <v>5.9950826103647659E-2</v>
          </cell>
          <cell r="AT46">
            <v>-2.5838584027764844E-2</v>
          </cell>
          <cell r="AU46">
            <v>7.4125229574251605E-2</v>
          </cell>
          <cell r="AV46">
            <v>-2.9558161734624555E-2</v>
          </cell>
          <cell r="AW46">
            <v>-3.2759529246442765E-2</v>
          </cell>
          <cell r="AX46">
            <v>2.4425678743303481E-2</v>
          </cell>
          <cell r="AY46">
            <v>4.9870590320864716E-2</v>
          </cell>
          <cell r="AZ46">
            <v>-6.0651906685219581E-3</v>
          </cell>
          <cell r="BA46">
            <v>-8.0650312584941042E-2</v>
          </cell>
          <cell r="BB46">
            <v>3.9544243356012032E-2</v>
          </cell>
          <cell r="BC46">
            <v>1.8836545400895632E-2</v>
          </cell>
          <cell r="BD46">
            <v>-1.7811344351028824E-2</v>
          </cell>
          <cell r="BE46">
            <v>1.9802683700621548E-2</v>
          </cell>
          <cell r="BF46">
            <v>-3.5741035565108215E-2</v>
          </cell>
          <cell r="BG46">
            <v>-3.1906687886008034E-2</v>
          </cell>
          <cell r="BH46">
            <v>8.8334079713388025E-3</v>
          </cell>
          <cell r="BI46">
            <v>4.7581262692959481E-3</v>
          </cell>
          <cell r="BJ46">
            <v>-2.6914187728323213E-2</v>
          </cell>
        </row>
        <row r="47">
          <cell r="A47" t="str">
            <v>% of local revenues</v>
          </cell>
          <cell r="K47">
            <v>0.17582324360413276</v>
          </cell>
          <cell r="L47">
            <v>0.18521125611745518</v>
          </cell>
          <cell r="M47">
            <v>0.18971964789902007</v>
          </cell>
          <cell r="N47">
            <v>0.17341824728052704</v>
          </cell>
          <cell r="O47">
            <v>0.1684745364089579</v>
          </cell>
          <cell r="P47">
            <v>0.16356319440891995</v>
          </cell>
          <cell r="Q47">
            <v>0.15994969540818882</v>
          </cell>
          <cell r="R47">
            <v>0.15620969286226305</v>
          </cell>
          <cell r="S47">
            <v>0.15237859026584658</v>
          </cell>
          <cell r="T47">
            <v>0.14849208957073859</v>
          </cell>
          <cell r="U47">
            <v>0.14458598373482842</v>
          </cell>
          <cell r="AQ47">
            <v>0.18035828293929709</v>
          </cell>
          <cell r="AR47">
            <v>0.1708437754990223</v>
          </cell>
          <cell r="AS47">
            <v>0.17741843639814889</v>
          </cell>
          <cell r="AT47">
            <v>0.17460231998049686</v>
          </cell>
          <cell r="AU47">
            <v>0.19146214099216713</v>
          </cell>
          <cell r="AV47">
            <v>0.18653342070773263</v>
          </cell>
          <cell r="AW47">
            <v>0.18030451866404718</v>
          </cell>
          <cell r="AX47">
            <v>0.18255663430420715</v>
          </cell>
          <cell r="AY47">
            <v>0.19662416998671978</v>
          </cell>
          <cell r="AZ47">
            <v>0.19491390728476818</v>
          </cell>
          <cell r="BA47">
            <v>0.18087098930481288</v>
          </cell>
          <cell r="BB47">
            <v>0.18640357852882697</v>
          </cell>
          <cell r="BC47">
            <v>0.17944984345648093</v>
          </cell>
          <cell r="BD47">
            <v>0.17691829038340673</v>
          </cell>
          <cell r="BE47">
            <v>0.17168122009569373</v>
          </cell>
          <cell r="BF47">
            <v>0.16604169166166768</v>
          </cell>
          <cell r="BG47">
            <v>0.16540740740740742</v>
          </cell>
          <cell r="BH47">
            <v>0.16817607713701954</v>
          </cell>
          <cell r="BI47">
            <v>0.17086395435747723</v>
          </cell>
          <cell r="BJ47">
            <v>0.16953300846539326</v>
          </cell>
        </row>
        <row r="48">
          <cell r="A48" t="str">
            <v>Total Voice</v>
          </cell>
          <cell r="K48">
            <v>4810</v>
          </cell>
          <cell r="L48">
            <v>4654</v>
          </cell>
          <cell r="M48">
            <v>4498</v>
          </cell>
          <cell r="N48">
            <v>4335</v>
          </cell>
          <cell r="O48">
            <v>4139.5903500000004</v>
          </cell>
          <cell r="P48">
            <v>3902.2546934906154</v>
          </cell>
          <cell r="Q48">
            <v>3700.4082223670039</v>
          </cell>
          <cell r="R48">
            <v>3509.274889692063</v>
          </cell>
          <cell r="S48">
            <v>3328.6871745560693</v>
          </cell>
          <cell r="T48">
            <v>3158.4776428984514</v>
          </cell>
          <cell r="U48">
            <v>2998.4789461445171</v>
          </cell>
          <cell r="AQ48">
            <v>1217</v>
          </cell>
          <cell r="AR48">
            <v>1194</v>
          </cell>
          <cell r="AS48">
            <v>1205</v>
          </cell>
          <cell r="AT48">
            <v>1194</v>
          </cell>
          <cell r="AU48">
            <v>1183</v>
          </cell>
          <cell r="AV48">
            <v>1165</v>
          </cell>
          <cell r="AW48">
            <v>1152</v>
          </cell>
          <cell r="AX48">
            <v>1154</v>
          </cell>
          <cell r="AY48">
            <v>1147</v>
          </cell>
          <cell r="AZ48">
            <v>1136</v>
          </cell>
          <cell r="BA48">
            <v>1105</v>
          </cell>
          <cell r="BB48">
            <v>1110</v>
          </cell>
          <cell r="BC48">
            <v>1105</v>
          </cell>
          <cell r="BD48">
            <v>1085</v>
          </cell>
          <cell r="BE48">
            <v>1082</v>
          </cell>
          <cell r="BF48">
            <v>1063</v>
          </cell>
          <cell r="BG48">
            <v>1050</v>
          </cell>
          <cell r="BH48">
            <v>1041.8045999999999</v>
          </cell>
          <cell r="BI48">
            <v>1032.7129500000001</v>
          </cell>
          <cell r="BJ48">
            <v>1015.0727999999998</v>
          </cell>
          <cell r="BM48">
            <v>0</v>
          </cell>
          <cell r="BO48">
            <v>0</v>
          </cell>
        </row>
        <row r="49">
          <cell r="A49" t="str">
            <v>% growth</v>
          </cell>
          <cell r="L49">
            <v>-3.2432432432432434E-2</v>
          </cell>
          <cell r="M49">
            <v>-3.3519553072625663E-2</v>
          </cell>
          <cell r="N49">
            <v>-3.6238328145842602E-2</v>
          </cell>
          <cell r="O49">
            <v>-4.5077197231833788E-2</v>
          </cell>
          <cell r="P49">
            <v>-5.7333126334441542E-2</v>
          </cell>
          <cell r="Q49">
            <v>-5.1725601473505356E-2</v>
          </cell>
          <cell r="R49">
            <v>-5.1651958700027034E-2</v>
          </cell>
          <cell r="S49">
            <v>-5.1460122336509317E-2</v>
          </cell>
          <cell r="T49">
            <v>-5.1134132687105982E-2</v>
          </cell>
          <cell r="U49">
            <v>-5.0656903370418616E-2</v>
          </cell>
          <cell r="AU49">
            <v>-2.79375513557929E-2</v>
          </cell>
          <cell r="AV49">
            <v>-2.4288107202680043E-2</v>
          </cell>
          <cell r="AW49">
            <v>-4.3983402489626511E-2</v>
          </cell>
          <cell r="AX49">
            <v>-3.350083752093802E-2</v>
          </cell>
          <cell r="AY49">
            <v>-3.0431107354184306E-2</v>
          </cell>
          <cell r="AZ49">
            <v>-2.4892703862660959E-2</v>
          </cell>
          <cell r="BA49">
            <v>-4.079861111111116E-2</v>
          </cell>
          <cell r="BB49">
            <v>-3.8128249566724448E-2</v>
          </cell>
          <cell r="BC49">
            <v>-3.6617262423713992E-2</v>
          </cell>
          <cell r="BD49">
            <v>-4.4894366197183122E-2</v>
          </cell>
          <cell r="BE49">
            <v>-2.0814479638009087E-2</v>
          </cell>
          <cell r="BF49">
            <v>-4.2342342342342354E-2</v>
          </cell>
          <cell r="BG49">
            <v>-4.9773755656108642E-2</v>
          </cell>
          <cell r="BH49">
            <v>-3.9811428571428609E-2</v>
          </cell>
          <cell r="BI49">
            <v>-4.5551802218114501E-2</v>
          </cell>
          <cell r="BJ49">
            <v>-4.5086735653810162E-2</v>
          </cell>
        </row>
        <row r="50">
          <cell r="A50" t="str">
            <v>seq. growth</v>
          </cell>
          <cell r="AR50">
            <v>-1.8898931799506968E-2</v>
          </cell>
          <cell r="AS50">
            <v>9.2127303182578668E-3</v>
          </cell>
          <cell r="AT50">
            <v>-9.1286307053941584E-3</v>
          </cell>
          <cell r="AU50">
            <v>-9.2127303182579778E-3</v>
          </cell>
          <cell r="AV50">
            <v>-1.5215553677092153E-2</v>
          </cell>
          <cell r="AW50">
            <v>-1.1158798283261828E-2</v>
          </cell>
          <cell r="AX50">
            <v>1.7361111111111605E-3</v>
          </cell>
          <cell r="AY50">
            <v>-6.0658578856152001E-3</v>
          </cell>
          <cell r="AZ50">
            <v>-9.5902353966870191E-3</v>
          </cell>
          <cell r="BA50">
            <v>-2.7288732394366244E-2</v>
          </cell>
          <cell r="BB50">
            <v>4.5248868778280382E-3</v>
          </cell>
          <cell r="BC50">
            <v>-4.5045045045044585E-3</v>
          </cell>
          <cell r="BD50">
            <v>-1.8099547511312264E-2</v>
          </cell>
          <cell r="BE50">
            <v>-2.7649769585254003E-3</v>
          </cell>
          <cell r="BF50">
            <v>-1.756007393715342E-2</v>
          </cell>
          <cell r="BG50">
            <v>-1.2229539040451542E-2</v>
          </cell>
          <cell r="BH50">
            <v>-7.8051428571429549E-3</v>
          </cell>
          <cell r="BI50">
            <v>-8.7268284282866482E-3</v>
          </cell>
          <cell r="BJ50">
            <v>-1.7081368060699043E-2</v>
          </cell>
        </row>
        <row r="51">
          <cell r="A51" t="str">
            <v>% of local revenues</v>
          </cell>
          <cell r="K51">
            <v>0.768739012306217</v>
          </cell>
          <cell r="L51">
            <v>0.75921696574225117</v>
          </cell>
          <cell r="M51">
            <v>0.74705198472014611</v>
          </cell>
          <cell r="N51">
            <v>0.66416424084571779</v>
          </cell>
          <cell r="O51">
            <v>0.64923985767055337</v>
          </cell>
          <cell r="P51">
            <v>0.63544779875079849</v>
          </cell>
          <cell r="Q51">
            <v>0.62250003087115624</v>
          </cell>
          <cell r="R51">
            <v>0.60916741643306926</v>
          </cell>
          <cell r="S51">
            <v>0.59558045339317134</v>
          </cell>
          <cell r="T51">
            <v>0.58186938601971672</v>
          </cell>
          <cell r="U51">
            <v>0.56816340177648128</v>
          </cell>
          <cell r="AQ51">
            <v>0.77763578274760381</v>
          </cell>
          <cell r="AR51">
            <v>0.77131782945736438</v>
          </cell>
          <cell r="AS51">
            <v>0.76265822784810122</v>
          </cell>
          <cell r="AT51">
            <v>0.76342710997442453</v>
          </cell>
          <cell r="AU51">
            <v>0.77219321148825071</v>
          </cell>
          <cell r="AV51">
            <v>0.76343381389252951</v>
          </cell>
          <cell r="AW51">
            <v>0.75442043222003929</v>
          </cell>
          <cell r="AX51">
            <v>0.74692556634304208</v>
          </cell>
          <cell r="AY51">
            <v>0.76162018592297476</v>
          </cell>
          <cell r="AZ51">
            <v>0.75231788079470197</v>
          </cell>
          <cell r="BA51">
            <v>0.73863636363636365</v>
          </cell>
          <cell r="BB51">
            <v>0.73558648111332003</v>
          </cell>
          <cell r="BC51">
            <v>0.69192235441452721</v>
          </cell>
          <cell r="BD51">
            <v>0.68196103079824011</v>
          </cell>
          <cell r="BE51">
            <v>0.64712918660287078</v>
          </cell>
          <cell r="BF51">
            <v>0.6376724655068986</v>
          </cell>
          <cell r="BG51">
            <v>0.64814814814814814</v>
          </cell>
          <cell r="BH51">
            <v>0.64812841769894158</v>
          </cell>
          <cell r="BI51">
            <v>0.64964952318480662</v>
          </cell>
          <cell r="BJ51">
            <v>0.65110250581866413</v>
          </cell>
        </row>
        <row r="52">
          <cell r="A52" t="str">
            <v>avg. voice revenue per access line</v>
          </cell>
          <cell r="K52">
            <v>49.594101207841888</v>
          </cell>
          <cell r="L52">
            <v>49.049365541081748</v>
          </cell>
          <cell r="M52">
            <v>48.882802990784207</v>
          </cell>
          <cell r="N52">
            <v>49.149659863945573</v>
          </cell>
          <cell r="O52">
            <v>49.049603654201626</v>
          </cell>
          <cell r="P52">
            <v>48.672151386836468</v>
          </cell>
          <cell r="Q52">
            <v>48.562994887033057</v>
          </cell>
          <cell r="R52">
            <v>48.46569784529008</v>
          </cell>
          <cell r="S52">
            <v>48.380630099003206</v>
          </cell>
          <cell r="T52">
            <v>48.30803707623776</v>
          </cell>
          <cell r="U52">
            <v>48.24799655011811</v>
          </cell>
          <cell r="AQ52">
            <v>49.324670643671489</v>
          </cell>
          <cell r="AR52">
            <v>48.672888647232405</v>
          </cell>
          <cell r="AS52">
            <v>49.456880243800512</v>
          </cell>
          <cell r="AT52">
            <v>49.243539993482919</v>
          </cell>
          <cell r="AU52">
            <v>48.888337879163572</v>
          </cell>
          <cell r="AV52">
            <v>48.651131713020959</v>
          </cell>
          <cell r="AW52">
            <v>48.332284455632475</v>
          </cell>
          <cell r="AX52">
            <v>48.64887652291219</v>
          </cell>
          <cell r="AY52">
            <v>48.544100220077873</v>
          </cell>
          <cell r="AZ52">
            <v>48.671808054841478</v>
          </cell>
          <cell r="BA52">
            <v>47.723935389133629</v>
          </cell>
          <cell r="BB52">
            <v>48.25247782994262</v>
          </cell>
          <cell r="BC52">
            <v>48.217480473011307</v>
          </cell>
          <cell r="BD52">
            <v>48.030101814962372</v>
          </cell>
          <cell r="BE52">
            <v>48.489737384601597</v>
          </cell>
          <cell r="BF52">
            <v>48.208616780045354</v>
          </cell>
          <cell r="BG52">
            <v>48.216007714561229</v>
          </cell>
          <cell r="BH52">
            <v>48.366044568245123</v>
          </cell>
          <cell r="BI52">
            <v>48.477348260808341</v>
          </cell>
          <cell r="BJ52">
            <v>48.199088319088311</v>
          </cell>
        </row>
        <row r="53">
          <cell r="A53" t="str">
            <v>LOCAL VOICE REVENUE</v>
          </cell>
        </row>
        <row r="54">
          <cell r="A54" t="str">
            <v>Consumer Local Voice</v>
          </cell>
          <cell r="K54">
            <v>2421.4383630326856</v>
          </cell>
          <cell r="L54">
            <v>2340.2399999999998</v>
          </cell>
          <cell r="M54">
            <v>2208.1979999999999</v>
          </cell>
          <cell r="N54">
            <v>2086.143</v>
          </cell>
          <cell r="O54">
            <v>1947.078</v>
          </cell>
          <cell r="P54">
            <v>1805.2982999999999</v>
          </cell>
          <cell r="Q54">
            <v>1673.4635999999998</v>
          </cell>
          <cell r="R54">
            <v>1549.39365</v>
          </cell>
          <cell r="S54">
            <v>1432.95345</v>
          </cell>
          <cell r="T54">
            <v>1324.008</v>
          </cell>
          <cell r="U54">
            <v>1222.4222999999997</v>
          </cell>
          <cell r="AQ54">
            <v>614.44959345000007</v>
          </cell>
          <cell r="AR54">
            <v>610.28144782320771</v>
          </cell>
          <cell r="AS54">
            <v>601.05767462511767</v>
          </cell>
          <cell r="AT54">
            <v>595.64964713436007</v>
          </cell>
          <cell r="AU54">
            <v>592.41</v>
          </cell>
          <cell r="AV54">
            <v>585.375</v>
          </cell>
          <cell r="AW54">
            <v>582.64499999999998</v>
          </cell>
          <cell r="AX54">
            <v>579.80999999999995</v>
          </cell>
          <cell r="AY54">
            <v>561.71400000000006</v>
          </cell>
          <cell r="AZ54">
            <v>553.86</v>
          </cell>
          <cell r="BA54">
            <v>548.35199999999998</v>
          </cell>
          <cell r="BB54">
            <v>544.27200000000005</v>
          </cell>
          <cell r="BC54">
            <v>537.84</v>
          </cell>
          <cell r="BD54">
            <v>524.10749999999996</v>
          </cell>
          <cell r="BE54">
            <v>516.0675</v>
          </cell>
          <cell r="BF54">
            <v>508.12799999999999</v>
          </cell>
          <cell r="BG54">
            <v>499.48500000000001</v>
          </cell>
          <cell r="BH54">
            <v>490.98</v>
          </cell>
          <cell r="BI54">
            <v>482.517</v>
          </cell>
          <cell r="BJ54">
            <v>474.09599999999989</v>
          </cell>
          <cell r="BM54">
            <v>0</v>
          </cell>
          <cell r="BO54">
            <v>0</v>
          </cell>
        </row>
        <row r="55">
          <cell r="A55" t="str">
            <v>Consumer Local ARPU</v>
          </cell>
          <cell r="K55">
            <v>35.570550202570239</v>
          </cell>
          <cell r="L55">
            <v>35.316914161535671</v>
          </cell>
          <cell r="M55">
            <v>34.4858508245877</v>
          </cell>
          <cell r="N55">
            <v>34.383949762658233</v>
          </cell>
          <cell r="O55">
            <v>34.087499999999999</v>
          </cell>
          <cell r="P55">
            <v>33.837499999999999</v>
          </cell>
          <cell r="Q55">
            <v>33.587499999999999</v>
          </cell>
          <cell r="R55">
            <v>33.337499999999999</v>
          </cell>
          <cell r="S55">
            <v>33.087499999999999</v>
          </cell>
          <cell r="T55">
            <v>32.837499999999999</v>
          </cell>
          <cell r="U55">
            <v>32.587499999999999</v>
          </cell>
          <cell r="AQ55">
            <v>35</v>
          </cell>
          <cell r="AR55">
            <v>35</v>
          </cell>
          <cell r="AS55">
            <v>35</v>
          </cell>
          <cell r="AT55">
            <v>35</v>
          </cell>
          <cell r="AU55">
            <v>35</v>
          </cell>
          <cell r="AV55">
            <v>35</v>
          </cell>
          <cell r="AW55">
            <v>35</v>
          </cell>
          <cell r="AX55">
            <v>35</v>
          </cell>
          <cell r="AY55">
            <v>34</v>
          </cell>
          <cell r="AZ55">
            <v>34</v>
          </cell>
          <cell r="BA55">
            <v>34</v>
          </cell>
          <cell r="BB55">
            <v>34</v>
          </cell>
          <cell r="BC55">
            <v>33.75</v>
          </cell>
          <cell r="BD55">
            <v>33.5</v>
          </cell>
          <cell r="BE55">
            <v>33.5</v>
          </cell>
          <cell r="BF55">
            <v>33.5</v>
          </cell>
          <cell r="BG55">
            <v>33.5</v>
          </cell>
          <cell r="BH55">
            <v>33.4</v>
          </cell>
          <cell r="BI55">
            <v>33.299999999999997</v>
          </cell>
          <cell r="BJ55">
            <v>33.199999999999996</v>
          </cell>
        </row>
        <row r="56">
          <cell r="A56" t="str">
            <v>% growth</v>
          </cell>
          <cell r="L56">
            <v>-3.3533111671275595E-2</v>
          </cell>
          <cell r="M56">
            <v>-5.6422418213516567E-2</v>
          </cell>
          <cell r="N56">
            <v>-5.5273576010846814E-2</v>
          </cell>
          <cell r="O56">
            <v>-6.6661297907190442E-2</v>
          </cell>
          <cell r="P56">
            <v>-7.2816651413040501E-2</v>
          </cell>
          <cell r="Q56">
            <v>-7.3026546360787092E-2</v>
          </cell>
          <cell r="R56">
            <v>-7.4139616780430684E-2</v>
          </cell>
          <cell r="S56">
            <v>-7.515210869748945E-2</v>
          </cell>
          <cell r="T56">
            <v>-7.6028603720518562E-2</v>
          </cell>
          <cell r="U56">
            <v>-7.6725895916036957E-2</v>
          </cell>
          <cell r="AU56">
            <v>-3.5868838851780493E-2</v>
          </cell>
          <cell r="AV56">
            <v>-4.0811412360715948E-2</v>
          </cell>
          <cell r="AW56">
            <v>-3.0633790071147082E-2</v>
          </cell>
          <cell r="AX56">
            <v>-2.6592221132949345E-2</v>
          </cell>
          <cell r="AY56">
            <v>-5.1815465640350333E-2</v>
          </cell>
          <cell r="AZ56">
            <v>-5.3837283792440682E-2</v>
          </cell>
          <cell r="BA56">
            <v>-5.8857451793115856E-2</v>
          </cell>
          <cell r="BB56">
            <v>-6.1292492368189455E-2</v>
          </cell>
          <cell r="BC56">
            <v>-4.2502056206539351E-2</v>
          </cell>
          <cell r="BD56">
            <v>-5.3718448705449173E-2</v>
          </cell>
          <cell r="BE56">
            <v>-5.8875503326330514E-2</v>
          </cell>
          <cell r="BF56">
            <v>-6.6407972484346156E-2</v>
          </cell>
          <cell r="BG56">
            <v>-7.1313029897367319E-2</v>
          </cell>
          <cell r="BH56">
            <v>-6.3207452669538089E-2</v>
          </cell>
          <cell r="BI56">
            <v>-6.5011844380822303E-2</v>
          </cell>
          <cell r="BJ56">
            <v>-6.6975250330625569E-2</v>
          </cell>
        </row>
        <row r="57">
          <cell r="A57" t="str">
            <v>seq. growth</v>
          </cell>
          <cell r="AR57">
            <v>-6.7835436319342302E-3</v>
          </cell>
          <cell r="AS57">
            <v>-1.5113966238020193E-2</v>
          </cell>
          <cell r="AT57">
            <v>-8.9975184064168268E-3</v>
          </cell>
          <cell r="AU57">
            <v>-5.4388467280152009E-3</v>
          </cell>
          <cell r="AV57">
            <v>-1.1875221552640869E-2</v>
          </cell>
          <cell r="AW57">
            <v>-4.6636771300448965E-3</v>
          </cell>
          <cell r="AX57">
            <v>-4.8657415750585908E-3</v>
          </cell>
          <cell r="AY57">
            <v>-3.1210224038909162E-2</v>
          </cell>
          <cell r="AZ57">
            <v>-1.3982204467042014E-2</v>
          </cell>
          <cell r="BA57">
            <v>-9.944751381215533E-3</v>
          </cell>
          <cell r="BB57">
            <v>-7.440476190476053E-3</v>
          </cell>
          <cell r="BC57">
            <v>-1.1817620601463963E-2</v>
          </cell>
          <cell r="BD57">
            <v>-2.5532686300758778E-2</v>
          </cell>
          <cell r="BE57">
            <v>-1.5340364333652823E-2</v>
          </cell>
          <cell r="BF57">
            <v>-1.5384615384615441E-2</v>
          </cell>
          <cell r="BG57">
            <v>-1.7009493670886E-2</v>
          </cell>
          <cell r="BH57">
            <v>-1.7027538364515427E-2</v>
          </cell>
          <cell r="BI57">
            <v>-1.7236954662104398E-2</v>
          </cell>
          <cell r="BJ57">
            <v>-1.7452234843539416E-2</v>
          </cell>
        </row>
        <row r="58">
          <cell r="A58" t="str">
            <v>% of local revenues</v>
          </cell>
          <cell r="K58">
            <v>0.38699670177923695</v>
          </cell>
          <cell r="L58">
            <v>0.38176835236541595</v>
          </cell>
          <cell r="M58">
            <v>0.36674937717987044</v>
          </cell>
          <cell r="N58">
            <v>0.31961743526888309</v>
          </cell>
          <cell r="O58">
            <v>0.30537336709983043</v>
          </cell>
          <cell r="P58">
            <v>0.29397692383768992</v>
          </cell>
          <cell r="Q58">
            <v>0.28151789750250911</v>
          </cell>
          <cell r="R58">
            <v>0.26895588304600571</v>
          </cell>
          <cell r="S58">
            <v>0.25638908695471752</v>
          </cell>
          <cell r="T58">
            <v>0.24391488848349666</v>
          </cell>
          <cell r="U58">
            <v>0.23162931101066195</v>
          </cell>
          <cell r="AQ58">
            <v>0.39261954853035147</v>
          </cell>
          <cell r="AR58">
            <v>0.39423866138450109</v>
          </cell>
          <cell r="AS58">
            <v>0.38041624976273269</v>
          </cell>
          <cell r="AT58">
            <v>0.38085015801429672</v>
          </cell>
          <cell r="AU58">
            <v>0.38669060052219317</v>
          </cell>
          <cell r="AV58">
            <v>0.38360091743119268</v>
          </cell>
          <cell r="AW58">
            <v>0.38156188605108055</v>
          </cell>
          <cell r="AX58">
            <v>0.37528155339805824</v>
          </cell>
          <cell r="AY58">
            <v>0.37298406374501997</v>
          </cell>
          <cell r="AZ58">
            <v>0.36679470198675496</v>
          </cell>
          <cell r="BA58">
            <v>0.36654545454545451</v>
          </cell>
          <cell r="BB58">
            <v>0.36068389662027839</v>
          </cell>
          <cell r="BC58">
            <v>0.33678146524733876</v>
          </cell>
          <cell r="BD58">
            <v>0.32942017598994339</v>
          </cell>
          <cell r="BE58">
            <v>0.3086528110047847</v>
          </cell>
          <cell r="BF58">
            <v>0.30481583683263347</v>
          </cell>
          <cell r="BG58">
            <v>0.30832407407407408</v>
          </cell>
          <cell r="BH58">
            <v>0.30544892057668621</v>
          </cell>
          <cell r="BI58">
            <v>0.30353733724222526</v>
          </cell>
          <cell r="BJ58">
            <v>0.30410143351157221</v>
          </cell>
        </row>
        <row r="59">
          <cell r="A59" t="str">
            <v>Business Local Voice</v>
          </cell>
          <cell r="K59">
            <v>1288.4356017362556</v>
          </cell>
          <cell r="L59">
            <v>1178.415</v>
          </cell>
          <cell r="M59">
            <v>1147.5</v>
          </cell>
          <cell r="N59">
            <v>1116.9561000000001</v>
          </cell>
          <cell r="O59">
            <v>1118.3090999999999</v>
          </cell>
          <cell r="P59">
            <v>1092.5226</v>
          </cell>
          <cell r="Q59">
            <v>1076.134761</v>
          </cell>
          <cell r="R59">
            <v>1059.9927395849998</v>
          </cell>
          <cell r="S59">
            <v>1044.0928484912249</v>
          </cell>
          <cell r="T59">
            <v>1028.4314557638565</v>
          </cell>
          <cell r="U59">
            <v>1013.0049839273987</v>
          </cell>
          <cell r="AQ59">
            <v>320.28969374999997</v>
          </cell>
          <cell r="AR59">
            <v>319.2523877043057</v>
          </cell>
          <cell r="AS59">
            <v>323.62119586580712</v>
          </cell>
          <cell r="AT59">
            <v>325.27232441614285</v>
          </cell>
          <cell r="AU59">
            <v>297.27</v>
          </cell>
          <cell r="AV59">
            <v>294.97500000000002</v>
          </cell>
          <cell r="AW59">
            <v>294.02999999999997</v>
          </cell>
          <cell r="AX59">
            <v>292.14</v>
          </cell>
          <cell r="AY59">
            <v>289.17</v>
          </cell>
          <cell r="AZ59">
            <v>287.82</v>
          </cell>
          <cell r="BA59">
            <v>286.065</v>
          </cell>
          <cell r="BB59">
            <v>284.44499999999999</v>
          </cell>
          <cell r="BC59">
            <v>280.57859999999999</v>
          </cell>
          <cell r="BD59">
            <v>279.41550000000001</v>
          </cell>
          <cell r="BE59">
            <v>278.88150000000002</v>
          </cell>
          <cell r="BF59">
            <v>278.08049999999997</v>
          </cell>
          <cell r="BG59">
            <v>282.55500000000001</v>
          </cell>
          <cell r="BH59">
            <v>280.49759999999998</v>
          </cell>
          <cell r="BI59">
            <v>278.58269999999993</v>
          </cell>
          <cell r="BJ59">
            <v>276.67379999999991</v>
          </cell>
          <cell r="BM59">
            <v>0</v>
          </cell>
          <cell r="BO59">
            <v>0</v>
          </cell>
        </row>
        <row r="60">
          <cell r="A60" t="str">
            <v>Business Local ARPU</v>
          </cell>
          <cell r="K60">
            <v>44.562354161396691</v>
          </cell>
          <cell r="L60">
            <v>45.379505545286506</v>
          </cell>
          <cell r="M60">
            <v>45.384432842904602</v>
          </cell>
          <cell r="N60">
            <v>44.68539366298608</v>
          </cell>
          <cell r="O60">
            <v>45.371190360272628</v>
          </cell>
          <cell r="P60">
            <v>45</v>
          </cell>
          <cell r="Q60">
            <v>45</v>
          </cell>
          <cell r="R60">
            <v>45</v>
          </cell>
          <cell r="S60">
            <v>45</v>
          </cell>
          <cell r="T60">
            <v>45</v>
          </cell>
          <cell r="U60">
            <v>45</v>
          </cell>
          <cell r="AQ60">
            <v>45</v>
          </cell>
          <cell r="AR60">
            <v>45</v>
          </cell>
          <cell r="AS60">
            <v>45</v>
          </cell>
          <cell r="AT60">
            <v>45</v>
          </cell>
          <cell r="AU60">
            <v>45</v>
          </cell>
          <cell r="AV60">
            <v>45</v>
          </cell>
          <cell r="AW60">
            <v>45</v>
          </cell>
          <cell r="AX60">
            <v>45</v>
          </cell>
          <cell r="AY60">
            <v>45</v>
          </cell>
          <cell r="AZ60">
            <v>45</v>
          </cell>
          <cell r="BA60">
            <v>45</v>
          </cell>
          <cell r="BB60">
            <v>45</v>
          </cell>
          <cell r="BC60">
            <v>44.6</v>
          </cell>
          <cell r="BD60">
            <v>44.5</v>
          </cell>
          <cell r="BE60">
            <v>44.5</v>
          </cell>
          <cell r="BF60">
            <v>44.5</v>
          </cell>
          <cell r="BG60">
            <v>45.5</v>
          </cell>
          <cell r="BH60">
            <v>45.3</v>
          </cell>
          <cell r="BI60">
            <v>45.099999999999994</v>
          </cell>
          <cell r="BJ60">
            <v>44.899999999999991</v>
          </cell>
        </row>
        <row r="61">
          <cell r="A61" t="str">
            <v>% growth</v>
          </cell>
          <cell r="L61">
            <v>-8.5390842652900423E-2</v>
          </cell>
          <cell r="M61">
            <v>-2.6234391110092736E-2</v>
          </cell>
          <cell r="N61">
            <v>-2.661777777777774E-2</v>
          </cell>
          <cell r="O61">
            <v>1.2113278221048684E-3</v>
          </cell>
          <cell r="P61">
            <v>-2.3058472831885113E-2</v>
          </cell>
          <cell r="Q61">
            <v>-1.5000000000000013E-2</v>
          </cell>
          <cell r="R61">
            <v>-1.5000000000000235E-2</v>
          </cell>
          <cell r="S61">
            <v>-1.4999999999999902E-2</v>
          </cell>
          <cell r="T61">
            <v>-1.5000000000000013E-2</v>
          </cell>
          <cell r="U61">
            <v>-1.5000000000000013E-2</v>
          </cell>
          <cell r="AU61">
            <v>-7.1871478224859286E-2</v>
          </cell>
          <cell r="AV61">
            <v>-7.6044498457413567E-2</v>
          </cell>
          <cell r="AW61">
            <v>-9.1437755758363437E-2</v>
          </cell>
          <cell r="AX61">
            <v>-0.10186026270637905</v>
          </cell>
          <cell r="AY61">
            <v>-2.7247956403269602E-2</v>
          </cell>
          <cell r="AZ61">
            <v>-2.4256292906178589E-2</v>
          </cell>
          <cell r="BA61">
            <v>-2.708907254361792E-2</v>
          </cell>
          <cell r="BB61">
            <v>-2.6340110905730074E-2</v>
          </cell>
          <cell r="BC61">
            <v>-2.971055088702157E-2</v>
          </cell>
          <cell r="BD61">
            <v>-2.9200542005419994E-2</v>
          </cell>
          <cell r="BE61">
            <v>-2.5111425724922642E-2</v>
          </cell>
          <cell r="BF61">
            <v>-2.2375151611032096E-2</v>
          </cell>
          <cell r="BG61">
            <v>7.044015473739007E-3</v>
          </cell>
          <cell r="BH61">
            <v>3.8727271751208825E-3</v>
          </cell>
          <cell r="BI61">
            <v>-1.0714228086126099E-3</v>
          </cell>
          <cell r="BJ61">
            <v>-5.058607129949988E-3</v>
          </cell>
        </row>
        <row r="62">
          <cell r="A62" t="str">
            <v>seq. growth</v>
          </cell>
          <cell r="AR62">
            <v>-3.2386494662045573E-3</v>
          </cell>
          <cell r="AS62">
            <v>1.3684496435302673E-2</v>
          </cell>
          <cell r="AT62">
            <v>5.1020408163264808E-3</v>
          </cell>
          <cell r="AU62">
            <v>-8.6088862513607589E-2</v>
          </cell>
          <cell r="AV62">
            <v>-7.7202543142596003E-3</v>
          </cell>
          <cell r="AW62">
            <v>-3.2036613272312664E-3</v>
          </cell>
          <cell r="AX62">
            <v>-6.4279155188246007E-3</v>
          </cell>
          <cell r="AY62">
            <v>-1.0166358595193992E-2</v>
          </cell>
          <cell r="AZ62">
            <v>-4.6685340802988806E-3</v>
          </cell>
          <cell r="BA62">
            <v>-6.0975609756097615E-3</v>
          </cell>
          <cell r="BB62">
            <v>-5.6630486078339537E-3</v>
          </cell>
          <cell r="BC62">
            <v>-1.359278595158997E-2</v>
          </cell>
          <cell r="BD62">
            <v>-4.1453624759693053E-3</v>
          </cell>
          <cell r="BE62">
            <v>-1.9111323459148899E-3</v>
          </cell>
          <cell r="BF62">
            <v>-2.8721876495932941E-3</v>
          </cell>
          <cell r="BG62">
            <v>1.6090664393943577E-2</v>
          </cell>
          <cell r="BH62">
            <v>-7.2814142379360458E-3</v>
          </cell>
          <cell r="BI62">
            <v>-6.8267963790066277E-3</v>
          </cell>
          <cell r="BJ62">
            <v>-6.8521842885435058E-3</v>
          </cell>
        </row>
        <row r="63">
          <cell r="A63" t="str">
            <v>% of local revenues</v>
          </cell>
          <cell r="K63">
            <v>0.20591906692284731</v>
          </cell>
          <cell r="L63">
            <v>0.1922373572593801</v>
          </cell>
          <cell r="M63">
            <v>0.1905829596412556</v>
          </cell>
          <cell r="N63">
            <v>0.17112855829630766</v>
          </cell>
          <cell r="O63">
            <v>0.17539195416176495</v>
          </cell>
          <cell r="P63">
            <v>0.17790768050418868</v>
          </cell>
          <cell r="Q63">
            <v>0.18103243796045829</v>
          </cell>
          <cell r="R63">
            <v>0.1840018405248004</v>
          </cell>
          <cell r="S63">
            <v>0.18681277617260728</v>
          </cell>
          <cell r="T63">
            <v>0.18946240796548147</v>
          </cell>
          <cell r="U63">
            <v>0.19194810703099091</v>
          </cell>
          <cell r="AR63">
            <v>0.20623539257384088</v>
          </cell>
          <cell r="AS63">
            <v>0.2048235416872197</v>
          </cell>
          <cell r="AT63">
            <v>0.20797463197963098</v>
          </cell>
          <cell r="AU63">
            <v>0.19404046997389032</v>
          </cell>
          <cell r="AV63">
            <v>0.19329947575360421</v>
          </cell>
          <cell r="AW63">
            <v>0.19255402750491157</v>
          </cell>
          <cell r="AX63">
            <v>0.18908737864077668</v>
          </cell>
          <cell r="AY63">
            <v>0.19201195219123507</v>
          </cell>
          <cell r="AZ63">
            <v>0.1906092715231788</v>
          </cell>
          <cell r="BA63">
            <v>0.19121991978609626</v>
          </cell>
          <cell r="BB63">
            <v>0.18849900596421471</v>
          </cell>
          <cell r="BC63">
            <v>0.17569104571070757</v>
          </cell>
          <cell r="BD63">
            <v>0.17562256442489002</v>
          </cell>
          <cell r="BE63">
            <v>0.16679515550239235</v>
          </cell>
          <cell r="BF63">
            <v>0.16681493701259748</v>
          </cell>
          <cell r="BG63">
            <v>0.17441666666666666</v>
          </cell>
          <cell r="BH63">
            <v>0.17450341998523583</v>
          </cell>
          <cell r="BI63">
            <v>0.17524823158510403</v>
          </cell>
          <cell r="BJ63">
            <v>0.17746806384169875</v>
          </cell>
        </row>
        <row r="64">
          <cell r="A64" t="str">
            <v>Total Local Voice</v>
          </cell>
          <cell r="K64">
            <v>3709.8739647689413</v>
          </cell>
          <cell r="L64">
            <v>3518.6549999999997</v>
          </cell>
          <cell r="M64">
            <v>3355.6979999999999</v>
          </cell>
          <cell r="N64">
            <v>3203.0991000000004</v>
          </cell>
          <cell r="O64">
            <v>3065.3870999999999</v>
          </cell>
          <cell r="P64">
            <v>2897.8208999999997</v>
          </cell>
          <cell r="Q64">
            <v>2749.5983609999998</v>
          </cell>
          <cell r="R64">
            <v>2609.386389585</v>
          </cell>
          <cell r="S64">
            <v>2477.0462984912247</v>
          </cell>
          <cell r="T64">
            <v>2352.4394557638566</v>
          </cell>
          <cell r="U64">
            <v>2235.4272839273985</v>
          </cell>
          <cell r="AQ64">
            <v>934.73928720000004</v>
          </cell>
          <cell r="AR64">
            <v>929.53383552751347</v>
          </cell>
          <cell r="AS64">
            <v>924.67887049092474</v>
          </cell>
          <cell r="AT64">
            <v>920.92197155050292</v>
          </cell>
          <cell r="AU64">
            <v>889.68</v>
          </cell>
          <cell r="AV64">
            <v>880.35</v>
          </cell>
          <cell r="AW64">
            <v>876.67499999999995</v>
          </cell>
          <cell r="AX64">
            <v>871.94999999999993</v>
          </cell>
          <cell r="AY64">
            <v>850.88400000000001</v>
          </cell>
          <cell r="AZ64">
            <v>841.68000000000006</v>
          </cell>
          <cell r="BA64">
            <v>834.41699999999992</v>
          </cell>
          <cell r="BB64">
            <v>828.7170000000001</v>
          </cell>
          <cell r="BC64">
            <v>818.41859999999997</v>
          </cell>
          <cell r="BD64">
            <v>803.52299999999991</v>
          </cell>
          <cell r="BE64">
            <v>794.94900000000007</v>
          </cell>
          <cell r="BF64">
            <v>786.20849999999996</v>
          </cell>
          <cell r="BG64">
            <v>782.04</v>
          </cell>
          <cell r="BH64">
            <v>771.47759999999994</v>
          </cell>
          <cell r="BI64">
            <v>761.09969999999998</v>
          </cell>
          <cell r="BJ64">
            <v>750.7697999999998</v>
          </cell>
          <cell r="BM64">
            <v>0</v>
          </cell>
          <cell r="BO64">
            <v>0</v>
          </cell>
        </row>
        <row r="65">
          <cell r="A65" t="str">
            <v>Avg. Local ARPU</v>
          </cell>
          <cell r="K65">
            <v>38.251115359062069</v>
          </cell>
          <cell r="L65">
            <v>37.083754900720876</v>
          </cell>
          <cell r="M65">
            <v>36.468635889410535</v>
          </cell>
          <cell r="N65">
            <v>36.316316326530618</v>
          </cell>
          <cell r="O65">
            <v>36.321473766529216</v>
          </cell>
          <cell r="P65">
            <v>36.144021499164062</v>
          </cell>
          <cell r="Q65">
            <v>36.084864999360654</v>
          </cell>
          <cell r="R65">
            <v>36.037567957617682</v>
          </cell>
          <cell r="S65">
            <v>36.002500211330798</v>
          </cell>
          <cell r="T65">
            <v>35.979907188565356</v>
          </cell>
          <cell r="U65">
            <v>35.969866662445718</v>
          </cell>
          <cell r="AQ65">
            <v>37.884722661331352</v>
          </cell>
          <cell r="AR65">
            <v>37.892040930038114</v>
          </cell>
          <cell r="AS65">
            <v>37.951644947587035</v>
          </cell>
          <cell r="AT65">
            <v>37.981120550187882</v>
          </cell>
          <cell r="AU65">
            <v>36.766674931812545</v>
          </cell>
          <cell r="AV65">
            <v>36.763968930092709</v>
          </cell>
          <cell r="AW65">
            <v>36.780994336060417</v>
          </cell>
          <cell r="AX65">
            <v>36.758568357151887</v>
          </cell>
          <cell r="AY65">
            <v>36.011681056373789</v>
          </cell>
          <cell r="AZ65">
            <v>36.061696658097688</v>
          </cell>
          <cell r="BA65">
            <v>36.0377040684115</v>
          </cell>
          <cell r="BB65">
            <v>36.024908711528433</v>
          </cell>
          <cell r="BC65">
            <v>35.712292184840948</v>
          </cell>
          <cell r="BD65">
            <v>35.569853917662684</v>
          </cell>
          <cell r="BE65">
            <v>35.625571390158647</v>
          </cell>
          <cell r="BF65">
            <v>35.655714285714282</v>
          </cell>
          <cell r="BG65">
            <v>35.9112825458052</v>
          </cell>
          <cell r="BH65">
            <v>35.816044568245125</v>
          </cell>
          <cell r="BI65">
            <v>35.727348260808334</v>
          </cell>
          <cell r="BJ65">
            <v>35.649088319088314</v>
          </cell>
        </row>
        <row r="66">
          <cell r="A66" t="str">
            <v>% growth</v>
          </cell>
          <cell r="L66">
            <v>-5.15432509526913E-2</v>
          </cell>
          <cell r="M66">
            <v>-4.6312298307165656E-2</v>
          </cell>
          <cell r="N66">
            <v>-4.5474562967227516E-2</v>
          </cell>
          <cell r="O66">
            <v>-4.299336227218209E-2</v>
          </cell>
          <cell r="P66">
            <v>-5.4663960711520021E-2</v>
          </cell>
          <cell r="Q66">
            <v>-5.1149654901032626E-2</v>
          </cell>
          <cell r="R66">
            <v>-5.0993619069516161E-2</v>
          </cell>
          <cell r="S66">
            <v>-5.0716939285800011E-2</v>
          </cell>
          <cell r="T66">
            <v>-5.0304607872394769E-2</v>
          </cell>
          <cell r="U66">
            <v>-4.974077932155041E-2</v>
          </cell>
          <cell r="AU66">
            <v>-4.8205192417850151E-2</v>
          </cell>
          <cell r="AV66">
            <v>-5.2912367089468559E-2</v>
          </cell>
          <cell r="AW66">
            <v>-5.1914099070349495E-2</v>
          </cell>
          <cell r="AX66">
            <v>-5.3177112788450165E-2</v>
          </cell>
          <cell r="AY66">
            <v>-4.3606690045859153E-2</v>
          </cell>
          <cell r="AZ66">
            <v>-4.3925711364798059E-2</v>
          </cell>
          <cell r="BA66">
            <v>-4.8202583625631013E-2</v>
          </cell>
          <cell r="BB66">
            <v>-4.9581971443316553E-2</v>
          </cell>
          <cell r="BC66">
            <v>-3.8154907131876969E-2</v>
          </cell>
          <cell r="BD66">
            <v>-4.5334331337325562E-2</v>
          </cell>
          <cell r="BE66">
            <v>-4.730009096171317E-2</v>
          </cell>
          <cell r="BF66">
            <v>-5.129435018226991E-2</v>
          </cell>
          <cell r="BG66">
            <v>-4.4449869541088205E-2</v>
          </cell>
          <cell r="BH66">
            <v>-3.9881123502376381E-2</v>
          </cell>
          <cell r="BI66">
            <v>-4.2580467426212354E-2</v>
          </cell>
          <cell r="BJ66">
            <v>-4.5075447543495351E-2</v>
          </cell>
        </row>
        <row r="67">
          <cell r="A67" t="str">
            <v>seq. growth</v>
          </cell>
          <cell r="AR67">
            <v>-5.5688808032017256E-3</v>
          </cell>
          <cell r="AS67">
            <v>-5.2230105575807872E-3</v>
          </cell>
          <cell r="AT67">
            <v>-4.0629228809210272E-3</v>
          </cell>
          <cell r="AU67">
            <v>-3.392466736123434E-2</v>
          </cell>
          <cell r="AV67">
            <v>-1.048691664418655E-2</v>
          </cell>
          <cell r="AW67">
            <v>-4.1744760606577946E-3</v>
          </cell>
          <cell r="AX67">
            <v>-5.389682607579771E-3</v>
          </cell>
          <cell r="AY67">
            <v>-2.4159642181317609E-2</v>
          </cell>
          <cell r="AZ67">
            <v>-1.0816985629063414E-2</v>
          </cell>
          <cell r="BA67">
            <v>-8.6291702309667651E-3</v>
          </cell>
          <cell r="BB67">
            <v>-6.831116815692706E-3</v>
          </cell>
          <cell r="BC67">
            <v>-1.2426920166957012E-2</v>
          </cell>
          <cell r="BD67">
            <v>-1.820046611843873E-2</v>
          </cell>
          <cell r="BE67">
            <v>-1.0670509742720324E-2</v>
          </cell>
          <cell r="BF67">
            <v>-1.0995044965148804E-2</v>
          </cell>
          <cell r="BG67">
            <v>-5.3020286603362443E-3</v>
          </cell>
          <cell r="BH67">
            <v>-1.3506214515881521E-2</v>
          </cell>
          <cell r="BI67">
            <v>-1.3451978385373708E-2</v>
          </cell>
          <cell r="BJ67">
            <v>-1.3572334872816505E-2</v>
          </cell>
        </row>
        <row r="68">
          <cell r="A68" t="str">
            <v>% of local revenues</v>
          </cell>
          <cell r="K68">
            <v>0.59291576870208429</v>
          </cell>
          <cell r="L68">
            <v>0.57400570962479602</v>
          </cell>
          <cell r="M68">
            <v>0.55733233682112604</v>
          </cell>
          <cell r="N68">
            <v>0.49074599356519077</v>
          </cell>
          <cell r="O68">
            <v>0.48076532126159538</v>
          </cell>
          <cell r="P68">
            <v>0.47188460434187857</v>
          </cell>
          <cell r="Q68">
            <v>0.46255033546296742</v>
          </cell>
          <cell r="R68">
            <v>0.45295772357080616</v>
          </cell>
          <cell r="S68">
            <v>0.44320186312732479</v>
          </cell>
          <cell r="T68">
            <v>0.4333772964489781</v>
          </cell>
          <cell r="U68">
            <v>0.42357741804165289</v>
          </cell>
          <cell r="AQ68">
            <v>0.59727749980830669</v>
          </cell>
          <cell r="AR68">
            <v>0.60047405395834208</v>
          </cell>
          <cell r="AS68">
            <v>0.58523979144995242</v>
          </cell>
          <cell r="AT68">
            <v>0.58882478999392773</v>
          </cell>
          <cell r="AU68">
            <v>0.58073107049608352</v>
          </cell>
          <cell r="AV68">
            <v>0.57690039318479691</v>
          </cell>
          <cell r="AW68">
            <v>0.57411591355599212</v>
          </cell>
          <cell r="AX68">
            <v>0.56436893203883487</v>
          </cell>
          <cell r="AY68">
            <v>0.56499601593625504</v>
          </cell>
          <cell r="AZ68">
            <v>0.55740397350993387</v>
          </cell>
          <cell r="BA68">
            <v>0.55776537433155071</v>
          </cell>
          <cell r="BB68">
            <v>0.54918290258449309</v>
          </cell>
          <cell r="BC68">
            <v>0.51247251095804636</v>
          </cell>
          <cell r="BD68">
            <v>0.50504274041483344</v>
          </cell>
          <cell r="BE68">
            <v>0.47544796650717708</v>
          </cell>
          <cell r="BF68">
            <v>0.47163077384523094</v>
          </cell>
          <cell r="BG68">
            <v>0.48274074074074069</v>
          </cell>
          <cell r="BH68">
            <v>0.47995234056192199</v>
          </cell>
          <cell r="BI68">
            <v>0.47878556882732931</v>
          </cell>
          <cell r="BJ68">
            <v>0.48156949735327093</v>
          </cell>
        </row>
        <row r="69">
          <cell r="A69" t="str">
            <v>ACCESS LINES</v>
          </cell>
        </row>
        <row r="70">
          <cell r="A70" t="str">
            <v>Total Switched Access Lines (000s)</v>
          </cell>
          <cell r="E70">
            <v>7108</v>
          </cell>
          <cell r="F70">
            <v>7363</v>
          </cell>
          <cell r="G70">
            <v>7655</v>
          </cell>
          <cell r="H70">
            <v>8028</v>
          </cell>
          <cell r="I70">
            <v>8318.4287999999997</v>
          </cell>
          <cell r="J70">
            <v>8234.7426792677797</v>
          </cell>
          <cell r="K70">
            <v>8082.2784075367617</v>
          </cell>
          <cell r="L70">
            <v>7907</v>
          </cell>
          <cell r="M70">
            <v>7668</v>
          </cell>
          <cell r="N70">
            <v>7350</v>
          </cell>
          <cell r="O70">
            <v>7033</v>
          </cell>
          <cell r="P70">
            <v>6681.1900000000005</v>
          </cell>
          <cell r="Q70">
            <v>6349.8421500000004</v>
          </cell>
          <cell r="R70">
            <v>6033.9495177499994</v>
          </cell>
          <cell r="S70">
            <v>5733.5052749837496</v>
          </cell>
          <cell r="T70">
            <v>5448.5026958589933</v>
          </cell>
          <cell r="U70">
            <v>5178.9351554211089</v>
          </cell>
          <cell r="AD70">
            <v>7655</v>
          </cell>
          <cell r="AE70">
            <v>7800.3140551770794</v>
          </cell>
          <cell r="AF70">
            <v>7862.2009569377997</v>
          </cell>
          <cell r="AG70">
            <v>7938.8145315487573</v>
          </cell>
          <cell r="AH70">
            <v>8028</v>
          </cell>
          <cell r="AI70">
            <v>8164</v>
          </cell>
          <cell r="AJ70">
            <v>8216</v>
          </cell>
          <cell r="AK70">
            <v>8304</v>
          </cell>
          <cell r="AL70">
            <v>8318.4287999999997</v>
          </cell>
          <cell r="AM70">
            <v>8344.360999999999</v>
          </cell>
          <cell r="AN70">
            <v>8289.9439999999995</v>
          </cell>
          <cell r="AO70">
            <v>8245.8719999999994</v>
          </cell>
          <cell r="AP70">
            <v>8234.7426792677797</v>
          </cell>
          <cell r="AQ70">
            <v>8224.4171399999996</v>
          </cell>
          <cell r="AR70">
            <v>8177.0367664963051</v>
          </cell>
          <cell r="AS70">
            <v>8121.5528494039245</v>
          </cell>
          <cell r="AT70">
            <v>8082.2784075367617</v>
          </cell>
          <cell r="AU70">
            <v>8066</v>
          </cell>
          <cell r="AV70">
            <v>7982</v>
          </cell>
          <cell r="AW70">
            <v>7945</v>
          </cell>
          <cell r="AX70">
            <v>7907</v>
          </cell>
          <cell r="AY70">
            <v>7876</v>
          </cell>
          <cell r="AZ70">
            <v>7780</v>
          </cell>
          <cell r="BA70">
            <v>7718</v>
          </cell>
          <cell r="BB70">
            <v>7668</v>
          </cell>
          <cell r="BC70">
            <v>7639</v>
          </cell>
          <cell r="BD70">
            <v>7530</v>
          </cell>
          <cell r="BE70">
            <v>7438</v>
          </cell>
          <cell r="BF70">
            <v>7350</v>
          </cell>
          <cell r="BG70">
            <v>7259</v>
          </cell>
          <cell r="BH70">
            <v>7180</v>
          </cell>
          <cell r="BI70">
            <v>7101</v>
          </cell>
          <cell r="BJ70">
            <v>7020</v>
          </cell>
          <cell r="BM70">
            <v>0</v>
          </cell>
        </row>
        <row r="71">
          <cell r="A71" t="str">
            <v>% Growth</v>
          </cell>
          <cell r="G71">
            <v>3.9657748200461862E-2</v>
          </cell>
          <cell r="H71">
            <v>4.8726322664924826E-2</v>
          </cell>
          <cell r="I71">
            <v>3.6176980568011885E-2</v>
          </cell>
          <cell r="J71">
            <v>-1.0060327826839077E-2</v>
          </cell>
          <cell r="K71">
            <v>-1.8514758465357994E-2</v>
          </cell>
          <cell r="L71">
            <v>-2.1686756963644527E-2</v>
          </cell>
          <cell r="M71">
            <v>-3.0226381687112669E-2</v>
          </cell>
          <cell r="N71">
            <v>-4.1471048513302078E-2</v>
          </cell>
          <cell r="O71">
            <v>-4.3129251700680271E-2</v>
          </cell>
          <cell r="P71">
            <v>-5.0022749893359753E-2</v>
          </cell>
          <cell r="Q71">
            <v>-4.9594136673257294E-2</v>
          </cell>
          <cell r="R71">
            <v>-4.9748107872256475E-2</v>
          </cell>
          <cell r="S71">
            <v>-4.9792303015203654E-2</v>
          </cell>
          <cell r="T71">
            <v>-4.9708261430973177E-2</v>
          </cell>
          <cell r="U71">
            <v>-4.9475526669512826E-2</v>
          </cell>
          <cell r="AH71">
            <v>4.8726322664924826E-2</v>
          </cell>
          <cell r="AI71">
            <v>4.6624525916561188E-2</v>
          </cell>
          <cell r="AJ71">
            <v>4.4999999999999998E-2</v>
          </cell>
          <cell r="AK71">
            <v>4.5999999999999999E-2</v>
          </cell>
          <cell r="AL71">
            <v>3.6176980568011885E-2</v>
          </cell>
          <cell r="AM71">
            <v>2.2092234198922034E-2</v>
          </cell>
          <cell r="AN71">
            <v>8.9999999999999993E-3</v>
          </cell>
          <cell r="AO71">
            <v>-7.0000000000000001E-3</v>
          </cell>
          <cell r="AP71">
            <v>-1.0060327826839077E-2</v>
          </cell>
          <cell r="AQ71">
            <v>-1.4374241478766203E-2</v>
          </cell>
          <cell r="AR71">
            <v>-1.3619782413933579E-2</v>
          </cell>
          <cell r="AS71">
            <v>-1.5076531699264151E-2</v>
          </cell>
          <cell r="AT71">
            <v>-1.8514758465357994E-2</v>
          </cell>
          <cell r="AU71">
            <v>-1.9261807530351005E-2</v>
          </cell>
          <cell r="AV71">
            <v>-2.385176587384652E-2</v>
          </cell>
          <cell r="AW71">
            <v>-2.1738804472211548E-2</v>
          </cell>
          <cell r="AX71">
            <v>-2.1686756963644527E-2</v>
          </cell>
          <cell r="AY71">
            <v>-2.3555665757500566E-2</v>
          </cell>
          <cell r="AZ71">
            <v>-2.530694061638683E-2</v>
          </cell>
          <cell r="BA71">
            <v>-2.8571428571428581E-2</v>
          </cell>
          <cell r="BB71">
            <v>-3.0226381687112669E-2</v>
          </cell>
          <cell r="BC71">
            <v>-3.0091416962925388E-2</v>
          </cell>
          <cell r="BD71">
            <v>-3.2133676092545027E-2</v>
          </cell>
          <cell r="BE71">
            <v>-3.627882871210153E-2</v>
          </cell>
          <cell r="BF71">
            <v>-4.1471048513302078E-2</v>
          </cell>
          <cell r="BG71">
            <v>-4.9744730985731067E-2</v>
          </cell>
          <cell r="BH71">
            <v>-4.6480743691899029E-2</v>
          </cell>
          <cell r="BI71">
            <v>-4.5307878461952167E-2</v>
          </cell>
          <cell r="BJ71">
            <v>-4.4897959183673453E-2</v>
          </cell>
        </row>
        <row r="72">
          <cell r="A72" t="str">
            <v>Net Adds (000s)</v>
          </cell>
          <cell r="F72">
            <v>255</v>
          </cell>
          <cell r="G72">
            <v>292</v>
          </cell>
          <cell r="H72">
            <v>373</v>
          </cell>
          <cell r="I72">
            <v>290.42879999999968</v>
          </cell>
          <cell r="J72">
            <v>-83.686120732219933</v>
          </cell>
          <cell r="K72">
            <v>-152.46427173101802</v>
          </cell>
          <cell r="L72">
            <v>-175.27840753676173</v>
          </cell>
          <cell r="M72">
            <v>-239</v>
          </cell>
          <cell r="N72">
            <v>-318</v>
          </cell>
          <cell r="O72">
            <v>-317</v>
          </cell>
          <cell r="P72">
            <v>-351.80999999999949</v>
          </cell>
          <cell r="Q72">
            <v>-331.34785000000011</v>
          </cell>
          <cell r="R72">
            <v>-315.89263225000104</v>
          </cell>
          <cell r="S72">
            <v>-300.44424276624977</v>
          </cell>
          <cell r="T72">
            <v>-285.00257912475627</v>
          </cell>
          <cell r="U72">
            <v>-269.56754043788442</v>
          </cell>
          <cell r="AE72">
            <v>145.31405517707935</v>
          </cell>
          <cell r="AF72">
            <v>61.88690176072032</v>
          </cell>
          <cell r="AG72">
            <v>76.613574610957585</v>
          </cell>
          <cell r="AH72">
            <v>89.185468451242741</v>
          </cell>
          <cell r="AI72">
            <v>136</v>
          </cell>
          <cell r="AJ72">
            <v>52</v>
          </cell>
          <cell r="AK72">
            <v>88</v>
          </cell>
          <cell r="AL72">
            <v>14.428799999999683</v>
          </cell>
          <cell r="AM72">
            <v>25.932199999999284</v>
          </cell>
          <cell r="AN72">
            <v>-54.416999999999462</v>
          </cell>
          <cell r="AO72">
            <v>-44.072000000000116</v>
          </cell>
          <cell r="AP72">
            <v>-11.129320732219639</v>
          </cell>
          <cell r="AQ72">
            <v>-10.325539267780186</v>
          </cell>
          <cell r="AR72">
            <v>-47.3803735036945</v>
          </cell>
          <cell r="AS72">
            <v>-55.48391709238058</v>
          </cell>
          <cell r="AT72">
            <v>-39.27444186716275</v>
          </cell>
          <cell r="AU72">
            <v>-16.278407536761733</v>
          </cell>
          <cell r="AV72">
            <v>-84</v>
          </cell>
          <cell r="AW72">
            <v>-37</v>
          </cell>
          <cell r="AX72">
            <v>-38</v>
          </cell>
          <cell r="AY72">
            <v>-31</v>
          </cell>
          <cell r="AZ72">
            <v>-96</v>
          </cell>
          <cell r="BA72">
            <v>-62</v>
          </cell>
          <cell r="BB72">
            <v>-50</v>
          </cell>
          <cell r="BC72">
            <v>-29</v>
          </cell>
          <cell r="BD72">
            <v>-109</v>
          </cell>
          <cell r="BE72">
            <v>-92</v>
          </cell>
          <cell r="BF72">
            <v>-88</v>
          </cell>
          <cell r="BG72">
            <v>-91</v>
          </cell>
          <cell r="BH72">
            <v>-79</v>
          </cell>
          <cell r="BI72">
            <v>-79</v>
          </cell>
          <cell r="BJ72">
            <v>-81</v>
          </cell>
        </row>
        <row r="73">
          <cell r="A73" t="str">
            <v>Average access lines</v>
          </cell>
          <cell r="F73">
            <v>7235.5</v>
          </cell>
          <cell r="G73">
            <v>7509</v>
          </cell>
          <cell r="H73">
            <v>7860.7073859159091</v>
          </cell>
          <cell r="I73">
            <v>8214.3035999999993</v>
          </cell>
          <cell r="J73">
            <v>8289.1906849084717</v>
          </cell>
          <cell r="K73">
            <v>8158.5105434022707</v>
          </cell>
          <cell r="L73">
            <v>7994.6392037683809</v>
          </cell>
          <cell r="M73">
            <v>7787.5</v>
          </cell>
          <cell r="N73">
            <v>7509</v>
          </cell>
          <cell r="O73">
            <v>7191.5</v>
          </cell>
          <cell r="P73">
            <v>6857.0950000000003</v>
          </cell>
          <cell r="Q73">
            <v>6515.5160750000005</v>
          </cell>
          <cell r="R73">
            <v>6191.8958338749999</v>
          </cell>
          <cell r="S73">
            <v>5883.727396366874</v>
          </cell>
          <cell r="T73">
            <v>5591.0039854213719</v>
          </cell>
          <cell r="U73">
            <v>5313.7189256400507</v>
          </cell>
          <cell r="AE73">
            <v>7727.6570275885397</v>
          </cell>
          <cell r="AF73">
            <v>7831.25750605744</v>
          </cell>
          <cell r="AG73">
            <v>7900.5077442432785</v>
          </cell>
          <cell r="AH73">
            <v>7983.4072657743782</v>
          </cell>
          <cell r="AI73">
            <v>8096</v>
          </cell>
          <cell r="AJ73">
            <v>8190</v>
          </cell>
          <cell r="AK73">
            <v>8260</v>
          </cell>
          <cell r="AL73">
            <v>8311.2144000000008</v>
          </cell>
          <cell r="AM73">
            <v>8331.3948999999993</v>
          </cell>
          <cell r="AN73">
            <v>8317.1525000000001</v>
          </cell>
          <cell r="AO73">
            <v>8267.9079999999994</v>
          </cell>
          <cell r="AP73">
            <v>8240.3073396338896</v>
          </cell>
          <cell r="AQ73">
            <v>8229.5799096338887</v>
          </cell>
          <cell r="AR73">
            <v>8200.7269532481514</v>
          </cell>
          <cell r="AS73">
            <v>8149.2948079501148</v>
          </cell>
          <cell r="AT73">
            <v>8101.9156284703431</v>
          </cell>
          <cell r="AU73">
            <v>8074.1392037683809</v>
          </cell>
          <cell r="AV73">
            <v>8024</v>
          </cell>
          <cell r="AW73">
            <v>7963.5</v>
          </cell>
          <cell r="AX73">
            <v>7926</v>
          </cell>
          <cell r="AY73">
            <v>7891.5</v>
          </cell>
          <cell r="AZ73">
            <v>7828</v>
          </cell>
          <cell r="BA73">
            <v>7749</v>
          </cell>
          <cell r="BB73">
            <v>7693</v>
          </cell>
          <cell r="BC73">
            <v>7653.5</v>
          </cell>
          <cell r="BD73">
            <v>7584.5</v>
          </cell>
          <cell r="BE73">
            <v>7484</v>
          </cell>
          <cell r="BF73">
            <v>7394</v>
          </cell>
          <cell r="BG73">
            <v>7304.5</v>
          </cell>
          <cell r="BH73">
            <v>7219.5</v>
          </cell>
          <cell r="BI73">
            <v>7140.5</v>
          </cell>
          <cell r="BJ73">
            <v>7060.5</v>
          </cell>
        </row>
        <row r="75">
          <cell r="A75" t="str">
            <v>Consumer access lines</v>
          </cell>
          <cell r="E75">
            <v>5143</v>
          </cell>
          <cell r="F75">
            <v>5294</v>
          </cell>
          <cell r="G75">
            <v>5446</v>
          </cell>
          <cell r="H75">
            <v>5694</v>
          </cell>
          <cell r="I75">
            <v>5888.7348000000002</v>
          </cell>
          <cell r="J75">
            <v>5788.6263084000002</v>
          </cell>
          <cell r="K75">
            <v>5672.8537822320004</v>
          </cell>
          <cell r="L75">
            <v>5522</v>
          </cell>
          <cell r="M75">
            <v>5336</v>
          </cell>
          <cell r="N75">
            <v>5056</v>
          </cell>
          <cell r="O75">
            <v>4760</v>
          </cell>
          <cell r="P75">
            <v>4446</v>
          </cell>
          <cell r="Q75">
            <v>4152</v>
          </cell>
          <cell r="R75">
            <v>3873</v>
          </cell>
          <cell r="S75">
            <v>3609</v>
          </cell>
          <cell r="T75">
            <v>3360</v>
          </cell>
          <cell r="U75">
            <v>3126</v>
          </cell>
          <cell r="AD75">
            <v>5446</v>
          </cell>
          <cell r="AE75">
            <v>5540.6698564593307</v>
          </cell>
          <cell r="AF75">
            <v>5573.4319740342144</v>
          </cell>
          <cell r="AG75">
            <v>5618.4319740342144</v>
          </cell>
          <cell r="AH75">
            <v>5694</v>
          </cell>
          <cell r="AI75">
            <v>5790</v>
          </cell>
          <cell r="AJ75">
            <v>5818.6629808917196</v>
          </cell>
          <cell r="AK75">
            <v>5858.3390193254754</v>
          </cell>
          <cell r="AL75">
            <v>5888.7348000000002</v>
          </cell>
          <cell r="AM75">
            <v>5911.0109999999995</v>
          </cell>
          <cell r="AN75">
            <v>5876.8496107006367</v>
          </cell>
          <cell r="AO75">
            <v>5799.7556291322207</v>
          </cell>
          <cell r="AP75">
            <v>5788.6263084000002</v>
          </cell>
          <cell r="AQ75">
            <v>5851.9008899999999</v>
          </cell>
          <cell r="AR75">
            <v>5812.20426498293</v>
          </cell>
          <cell r="AS75">
            <v>5724.3588059535014</v>
          </cell>
          <cell r="AT75">
            <v>5672.8537822320004</v>
          </cell>
          <cell r="AU75">
            <v>5642</v>
          </cell>
          <cell r="AV75">
            <v>5575</v>
          </cell>
          <cell r="AW75">
            <v>5549</v>
          </cell>
          <cell r="AX75">
            <v>5522</v>
          </cell>
          <cell r="AY75">
            <v>5507</v>
          </cell>
          <cell r="AZ75">
            <v>5430</v>
          </cell>
          <cell r="BA75">
            <v>5376</v>
          </cell>
          <cell r="BB75">
            <v>5336</v>
          </cell>
          <cell r="BC75">
            <v>5312</v>
          </cell>
          <cell r="BD75">
            <v>5215</v>
          </cell>
          <cell r="BE75">
            <v>5135</v>
          </cell>
          <cell r="BF75">
            <v>5056</v>
          </cell>
          <cell r="BG75">
            <v>4970</v>
          </cell>
          <cell r="BH75">
            <v>4900</v>
          </cell>
          <cell r="BI75">
            <v>4830</v>
          </cell>
          <cell r="BJ75">
            <v>4760</v>
          </cell>
          <cell r="BM75">
            <v>0</v>
          </cell>
        </row>
        <row r="76">
          <cell r="A76" t="str">
            <v>% growth</v>
          </cell>
          <cell r="F76">
            <v>2.9360295547345983E-2</v>
          </cell>
          <cell r="G76">
            <v>2.8711749149981092E-2</v>
          </cell>
          <cell r="H76">
            <v>4.5538009548292235E-2</v>
          </cell>
          <cell r="I76">
            <v>3.4200000000000008E-2</v>
          </cell>
          <cell r="J76">
            <v>-1.7000000000000015E-2</v>
          </cell>
          <cell r="K76">
            <v>-2.0000000000000018E-2</v>
          </cell>
          <cell r="L76">
            <v>-2.6592221132949123E-2</v>
          </cell>
          <cell r="M76">
            <v>-3.3683448026077478E-2</v>
          </cell>
          <cell r="N76">
            <v>-5.2473763118440764E-2</v>
          </cell>
          <cell r="O76">
            <v>-5.8544303797468333E-2</v>
          </cell>
          <cell r="P76">
            <v>-6.5966386554621836E-2</v>
          </cell>
          <cell r="Q76">
            <v>-6.6126855600539769E-2</v>
          </cell>
          <cell r="R76">
            <v>-6.7196531791907543E-2</v>
          </cell>
          <cell r="S76">
            <v>-6.8164213787761385E-2</v>
          </cell>
          <cell r="T76">
            <v>-6.8994181213632544E-2</v>
          </cell>
          <cell r="U76">
            <v>-6.9642857142857117E-2</v>
          </cell>
          <cell r="AH76">
            <v>4.5538009548292235E-2</v>
          </cell>
          <cell r="AI76">
            <v>4.4999999999999998E-2</v>
          </cell>
          <cell r="AJ76">
            <v>4.3999999999999997E-2</v>
          </cell>
          <cell r="AK76">
            <v>4.2700000000000002E-2</v>
          </cell>
          <cell r="AL76">
            <v>3.4200000000000001E-2</v>
          </cell>
          <cell r="AM76">
            <v>2.0899999999999998E-2</v>
          </cell>
          <cell r="AN76">
            <v>0.01</v>
          </cell>
          <cell r="AO76">
            <v>-0.01</v>
          </cell>
          <cell r="AP76">
            <v>-1.7000000000000001E-2</v>
          </cell>
          <cell r="AQ76">
            <v>-0.01</v>
          </cell>
          <cell r="AR76">
            <v>-1.0999999999999999E-2</v>
          </cell>
          <cell r="AS76">
            <v>-1.2999999999999999E-2</v>
          </cell>
          <cell r="AT76">
            <v>-0.02</v>
          </cell>
          <cell r="AU76">
            <v>-3.5000000000000003E-2</v>
          </cell>
          <cell r="AV76">
            <v>-4.0811412360715948E-2</v>
          </cell>
          <cell r="AW76">
            <v>-3.0633790071146971E-2</v>
          </cell>
          <cell r="AX76">
            <v>-2.6592221132949123E-2</v>
          </cell>
          <cell r="AY76">
            <v>-2.392768521800781E-2</v>
          </cell>
          <cell r="AZ76">
            <v>-2.6008968609865457E-2</v>
          </cell>
          <cell r="BA76">
            <v>-3.1176788610560502E-2</v>
          </cell>
          <cell r="BB76">
            <v>-3.3683448026077478E-2</v>
          </cell>
          <cell r="BC76">
            <v>-3.5409478845106257E-2</v>
          </cell>
          <cell r="BD76">
            <v>-3.9594843462246732E-2</v>
          </cell>
          <cell r="BE76">
            <v>-4.4828869047619069E-2</v>
          </cell>
          <cell r="BF76">
            <v>-5.2473763118440764E-2</v>
          </cell>
          <cell r="BG76">
            <v>-6.4382530120481896E-2</v>
          </cell>
          <cell r="BH76">
            <v>-6.0402684563758413E-2</v>
          </cell>
          <cell r="BI76">
            <v>-5.9396299902629068E-2</v>
          </cell>
          <cell r="BJ76">
            <v>-5.8544303797468333E-2</v>
          </cell>
        </row>
        <row r="77">
          <cell r="A77" t="str">
            <v>% total access lines</v>
          </cell>
          <cell r="F77">
            <v>0.71900040744261851</v>
          </cell>
          <cell r="G77">
            <v>0.71143043762246894</v>
          </cell>
          <cell r="H77">
            <v>0.70926756352765319</v>
          </cell>
          <cell r="I77">
            <v>0.70791431189505405</v>
          </cell>
          <cell r="J77">
            <v>0.70295169307156979</v>
          </cell>
          <cell r="K77">
            <v>0.70188794498121199</v>
          </cell>
          <cell r="L77">
            <v>0.69836853421019351</v>
          </cell>
          <cell r="M77">
            <v>0.69587897756911843</v>
          </cell>
          <cell r="N77">
            <v>0.68789115646258503</v>
          </cell>
          <cell r="O77">
            <v>0.67680932745627753</v>
          </cell>
          <cell r="P77">
            <v>0.66545031648553621</v>
          </cell>
          <cell r="Q77">
            <v>0.65387452190445394</v>
          </cell>
          <cell r="R77">
            <v>0.64186814765467304</v>
          </cell>
          <cell r="S77">
            <v>0.62945786685619276</v>
          </cell>
          <cell r="T77">
            <v>0.61668318574086223</v>
          </cell>
          <cell r="U77">
            <v>0.60359898438346427</v>
          </cell>
          <cell r="AD77">
            <v>0.71143043762246894</v>
          </cell>
          <cell r="AE77">
            <v>0.71031368958561103</v>
          </cell>
          <cell r="AF77">
            <v>0.70888953418521827</v>
          </cell>
          <cell r="AG77">
            <v>0.70771674432078369</v>
          </cell>
          <cell r="AH77">
            <v>0.70926756352765319</v>
          </cell>
          <cell r="AI77">
            <v>0.70921117099461051</v>
          </cell>
          <cell r="AJ77">
            <v>0.70821117099461051</v>
          </cell>
          <cell r="AK77">
            <v>0.7054839859495996</v>
          </cell>
          <cell r="AL77">
            <v>0.70791431189505405</v>
          </cell>
          <cell r="AM77">
            <v>0.70838390141557872</v>
          </cell>
          <cell r="AN77">
            <v>0.70891306511849017</v>
          </cell>
          <cell r="AO77">
            <v>0.70335261439083963</v>
          </cell>
          <cell r="AP77">
            <v>0.70295169307156979</v>
          </cell>
          <cell r="AQ77">
            <v>0.71152773386686463</v>
          </cell>
          <cell r="AR77">
            <v>0.71079590699618955</v>
          </cell>
          <cell r="AS77">
            <v>0.7048355052412959</v>
          </cell>
          <cell r="AT77">
            <v>0.70188794498121199</v>
          </cell>
          <cell r="AU77">
            <v>0.69947929580957102</v>
          </cell>
          <cell r="AV77">
            <v>0.69844650463542968</v>
          </cell>
          <cell r="AW77">
            <v>0.69842668344870984</v>
          </cell>
          <cell r="AX77">
            <v>0.69836853421019351</v>
          </cell>
          <cell r="AY77">
            <v>0.69921279837480954</v>
          </cell>
          <cell r="AZ77">
            <v>0.69794344473007708</v>
          </cell>
          <cell r="BA77">
            <v>0.69655351127235032</v>
          </cell>
          <cell r="BB77">
            <v>0.69587897756911843</v>
          </cell>
          <cell r="BC77">
            <v>0.69537897630579915</v>
          </cell>
          <cell r="BD77">
            <v>0.6925630810092962</v>
          </cell>
          <cell r="BE77">
            <v>0.6903737563861253</v>
          </cell>
          <cell r="BF77">
            <v>0.68789115646258503</v>
          </cell>
          <cell r="BG77">
            <v>0.68466730954676958</v>
          </cell>
          <cell r="BH77">
            <v>0.68245125348189417</v>
          </cell>
          <cell r="BI77">
            <v>0.68018588931136459</v>
          </cell>
          <cell r="BJ77">
            <v>0.67806267806267806</v>
          </cell>
        </row>
        <row r="78">
          <cell r="A78" t="str">
            <v xml:space="preserve">   Net adds</v>
          </cell>
          <cell r="F78">
            <v>151</v>
          </cell>
          <cell r="G78">
            <v>152</v>
          </cell>
          <cell r="H78">
            <v>248</v>
          </cell>
          <cell r="I78">
            <v>194.73480000000018</v>
          </cell>
          <cell r="J78">
            <v>-100.10849159999998</v>
          </cell>
          <cell r="K78">
            <v>-115.77252616799979</v>
          </cell>
          <cell r="L78">
            <v>-150.85378223200041</v>
          </cell>
          <cell r="M78">
            <v>-186</v>
          </cell>
          <cell r="N78">
            <v>-280</v>
          </cell>
          <cell r="O78">
            <v>-296</v>
          </cell>
          <cell r="P78">
            <v>-314</v>
          </cell>
          <cell r="Q78">
            <v>-294</v>
          </cell>
          <cell r="R78">
            <v>-279</v>
          </cell>
          <cell r="S78">
            <v>-264</v>
          </cell>
          <cell r="T78">
            <v>-249</v>
          </cell>
          <cell r="U78">
            <v>-234</v>
          </cell>
          <cell r="AE78">
            <v>94.669856459330731</v>
          </cell>
          <cell r="AF78">
            <v>32.762117574883632</v>
          </cell>
          <cell r="AG78">
            <v>45</v>
          </cell>
          <cell r="AH78">
            <v>75.568025965785637</v>
          </cell>
          <cell r="AI78">
            <v>96</v>
          </cell>
          <cell r="AJ78">
            <v>28.662980891719599</v>
          </cell>
          <cell r="AK78">
            <v>39.676038433755821</v>
          </cell>
          <cell r="AL78">
            <v>30.395780674524758</v>
          </cell>
          <cell r="AM78">
            <v>22.276199999999335</v>
          </cell>
          <cell r="AN78">
            <v>-34.161389299362781</v>
          </cell>
          <cell r="AO78">
            <v>-77.093981568415984</v>
          </cell>
          <cell r="AP78">
            <v>-11.129320732220549</v>
          </cell>
          <cell r="AQ78">
            <v>63.274581599999692</v>
          </cell>
          <cell r="AR78">
            <v>-39.696625017069891</v>
          </cell>
          <cell r="AS78">
            <v>-87.845459029428639</v>
          </cell>
          <cell r="AT78">
            <v>-51.505023721500947</v>
          </cell>
          <cell r="AU78">
            <v>-30.853782232000412</v>
          </cell>
          <cell r="AV78">
            <v>-67</v>
          </cell>
          <cell r="AW78">
            <v>-26</v>
          </cell>
          <cell r="AX78">
            <v>-27</v>
          </cell>
          <cell r="AY78">
            <v>-15</v>
          </cell>
          <cell r="AZ78">
            <v>-77</v>
          </cell>
          <cell r="BA78">
            <v>-54</v>
          </cell>
          <cell r="BB78">
            <v>-40</v>
          </cell>
          <cell r="BC78">
            <v>-24</v>
          </cell>
          <cell r="BD78">
            <v>-97</v>
          </cell>
          <cell r="BE78">
            <v>-80</v>
          </cell>
          <cell r="BF78">
            <v>-79</v>
          </cell>
          <cell r="BG78">
            <v>-86</v>
          </cell>
          <cell r="BH78">
            <v>-70</v>
          </cell>
          <cell r="BI78">
            <v>-70</v>
          </cell>
          <cell r="BJ78">
            <v>-70</v>
          </cell>
        </row>
        <row r="79">
          <cell r="A79" t="str">
            <v>Average consumer lines</v>
          </cell>
          <cell r="F79">
            <v>5218.5</v>
          </cell>
          <cell r="G79">
            <v>5370</v>
          </cell>
          <cell r="H79">
            <v>5575.6334511319401</v>
          </cell>
          <cell r="I79">
            <v>5814.5923500542995</v>
          </cell>
          <cell r="J79">
            <v>5856.574198508215</v>
          </cell>
          <cell r="K79">
            <v>5730.7400453160008</v>
          </cell>
          <cell r="L79">
            <v>5597.4268911159998</v>
          </cell>
          <cell r="M79">
            <v>5429</v>
          </cell>
          <cell r="N79">
            <v>5196</v>
          </cell>
          <cell r="O79">
            <v>4908</v>
          </cell>
          <cell r="P79">
            <v>4603</v>
          </cell>
          <cell r="Q79">
            <v>4299</v>
          </cell>
          <cell r="R79">
            <v>4012.5</v>
          </cell>
          <cell r="S79">
            <v>3741</v>
          </cell>
          <cell r="T79">
            <v>3484.5</v>
          </cell>
          <cell r="U79">
            <v>3243</v>
          </cell>
          <cell r="AE79">
            <v>5493.3349282296658</v>
          </cell>
          <cell r="AF79">
            <v>5557.050915246773</v>
          </cell>
          <cell r="AG79">
            <v>5595.9319740342144</v>
          </cell>
          <cell r="AH79">
            <v>5656.2159870171072</v>
          </cell>
          <cell r="AI79">
            <v>5742</v>
          </cell>
          <cell r="AJ79">
            <v>5804.3314904458603</v>
          </cell>
          <cell r="AK79">
            <v>5838.5010001085975</v>
          </cell>
          <cell r="AL79">
            <v>5873.5369096627383</v>
          </cell>
          <cell r="AM79">
            <v>5899.8729000000003</v>
          </cell>
          <cell r="AN79">
            <v>5893.9303053503181</v>
          </cell>
          <cell r="AO79">
            <v>5838.3026199164287</v>
          </cell>
          <cell r="AP79">
            <v>5794.19096876611</v>
          </cell>
          <cell r="AQ79">
            <v>5820.2635991999996</v>
          </cell>
          <cell r="AR79">
            <v>5832.0525774914649</v>
          </cell>
          <cell r="AS79">
            <v>5768.2815354682152</v>
          </cell>
          <cell r="AT79">
            <v>5698.6062940927513</v>
          </cell>
          <cell r="AU79">
            <v>5657.4268911159998</v>
          </cell>
          <cell r="AV79">
            <v>5608.5</v>
          </cell>
          <cell r="AW79">
            <v>5562</v>
          </cell>
          <cell r="AX79">
            <v>5535.5</v>
          </cell>
          <cell r="AY79">
            <v>5514.5</v>
          </cell>
          <cell r="AZ79">
            <v>5468.5</v>
          </cell>
          <cell r="BA79">
            <v>5403</v>
          </cell>
          <cell r="BB79">
            <v>5356</v>
          </cell>
          <cell r="BC79">
            <v>5324</v>
          </cell>
          <cell r="BD79">
            <v>5263.5</v>
          </cell>
          <cell r="BE79">
            <v>5175</v>
          </cell>
          <cell r="BF79">
            <v>5095.5</v>
          </cell>
          <cell r="BG79">
            <v>5013</v>
          </cell>
          <cell r="BH79">
            <v>4935</v>
          </cell>
          <cell r="BI79">
            <v>4865</v>
          </cell>
          <cell r="BJ79">
            <v>4795</v>
          </cell>
        </row>
        <row r="80">
          <cell r="A80" t="str">
            <v>Primary lines</v>
          </cell>
          <cell r="I80">
            <v>4828.7625360000002</v>
          </cell>
          <cell r="J80">
            <v>4804.5598359719997</v>
          </cell>
          <cell r="K80">
            <v>4753.6931013760004</v>
          </cell>
          <cell r="L80">
            <v>4697.7451107159995</v>
          </cell>
          <cell r="M80">
            <v>4586.7451107159995</v>
          </cell>
          <cell r="N80">
            <v>4381.7451107159995</v>
          </cell>
          <cell r="O80">
            <v>4159.7451107159995</v>
          </cell>
          <cell r="P80">
            <v>3924.7451107159995</v>
          </cell>
          <cell r="Q80">
            <v>3704.7451107159995</v>
          </cell>
          <cell r="R80">
            <v>3499.7451107159995</v>
          </cell>
          <cell r="S80">
            <v>3309.7451107159995</v>
          </cell>
          <cell r="T80">
            <v>3134.7451107159995</v>
          </cell>
          <cell r="U80">
            <v>2974.7451107159995</v>
          </cell>
        </row>
        <row r="81">
          <cell r="A81" t="str">
            <v>% growth</v>
          </cell>
          <cell r="J81">
            <v>-5.0121951219512795E-3</v>
          </cell>
          <cell r="K81">
            <v>-1.0587178915986706E-2</v>
          </cell>
          <cell r="L81">
            <v>-1.1769373719941245E-2</v>
          </cell>
          <cell r="M81">
            <v>-2.3628357304187997E-2</v>
          </cell>
          <cell r="N81">
            <v>-4.4694003056995446E-2</v>
          </cell>
          <cell r="O81">
            <v>-5.0664745299099367E-2</v>
          </cell>
          <cell r="P81">
            <v>-5.6493846075955978E-2</v>
          </cell>
          <cell r="Q81">
            <v>-5.6054595596365941E-2</v>
          </cell>
          <cell r="R81">
            <v>-5.533444106776364E-2</v>
          </cell>
          <cell r="S81">
            <v>-5.4289667958455579E-2</v>
          </cell>
          <cell r="T81">
            <v>-5.2874162252978474E-2</v>
          </cell>
          <cell r="U81">
            <v>-5.1040832459725793E-2</v>
          </cell>
        </row>
        <row r="82">
          <cell r="A82" t="str">
            <v>% of total lines</v>
          </cell>
          <cell r="J82">
            <v>0.83</v>
          </cell>
          <cell r="K82">
            <v>0.83797208316299077</v>
          </cell>
          <cell r="L82">
            <v>0.85073254449764568</v>
          </cell>
          <cell r="M82">
            <v>0.85958491580134921</v>
          </cell>
          <cell r="N82">
            <v>0.86664262474604425</v>
          </cell>
          <cell r="O82">
            <v>0.8738960316630251</v>
          </cell>
          <cell r="P82">
            <v>0.8827586843715699</v>
          </cell>
          <cell r="Q82">
            <v>0.89227965094315986</v>
          </cell>
          <cell r="R82">
            <v>0.90362641639968999</v>
          </cell>
          <cell r="S82">
            <v>0.9170809395167635</v>
          </cell>
          <cell r="T82">
            <v>0.93295985437976181</v>
          </cell>
          <cell r="U82">
            <v>0.95161391897504788</v>
          </cell>
        </row>
        <row r="83">
          <cell r="A83" t="str">
            <v>net adds</v>
          </cell>
          <cell r="J83">
            <v>-24.202700028000436</v>
          </cell>
          <cell r="K83">
            <v>-50.866734595999333</v>
          </cell>
          <cell r="L83">
            <v>-55.947990660000869</v>
          </cell>
          <cell r="M83">
            <v>-111</v>
          </cell>
          <cell r="N83">
            <v>-205</v>
          </cell>
          <cell r="O83">
            <v>-222</v>
          </cell>
          <cell r="P83">
            <v>-235</v>
          </cell>
          <cell r="Q83">
            <v>-220</v>
          </cell>
          <cell r="R83">
            <v>-205</v>
          </cell>
          <cell r="S83">
            <v>-190</v>
          </cell>
          <cell r="T83">
            <v>-175</v>
          </cell>
          <cell r="U83">
            <v>-160</v>
          </cell>
        </row>
        <row r="84">
          <cell r="A84" t="str">
            <v>Secondary lines</v>
          </cell>
          <cell r="I84">
            <v>1059.972264</v>
          </cell>
          <cell r="J84">
            <v>984.06647242800011</v>
          </cell>
          <cell r="K84">
            <v>919.16068085600023</v>
          </cell>
          <cell r="L84">
            <v>824.25488928400034</v>
          </cell>
          <cell r="M84">
            <v>749.25488928400034</v>
          </cell>
          <cell r="N84">
            <v>674.25488928400034</v>
          </cell>
          <cell r="O84">
            <v>600.25488928400034</v>
          </cell>
          <cell r="P84">
            <v>521.25488928400034</v>
          </cell>
          <cell r="Q84">
            <v>447.25488928400034</v>
          </cell>
          <cell r="R84">
            <v>373.25488928400034</v>
          </cell>
          <cell r="S84">
            <v>299.25488928400034</v>
          </cell>
          <cell r="T84">
            <v>225.25488928400034</v>
          </cell>
          <cell r="U84">
            <v>151.25488928400034</v>
          </cell>
        </row>
        <row r="85">
          <cell r="A85" t="str">
            <v>% growth</v>
          </cell>
          <cell r="J85">
            <v>-7.1611111111110959E-2</v>
          </cell>
          <cell r="K85">
            <v>-6.5956714704299424E-2</v>
          </cell>
          <cell r="L85">
            <v>-0.10325266686083179</v>
          </cell>
          <cell r="M85">
            <v>-9.0991270995249729E-2</v>
          </cell>
          <cell r="N85">
            <v>-0.10009944689406192</v>
          </cell>
          <cell r="O85">
            <v>-0.10975077997370031</v>
          </cell>
          <cell r="P85">
            <v>-0.13161075638089892</v>
          </cell>
          <cell r="Q85">
            <v>-0.14196509523708634</v>
          </cell>
          <cell r="R85">
            <v>-0.16545375304552812</v>
          </cell>
          <cell r="S85">
            <v>-0.19825594285436199</v>
          </cell>
          <cell r="T85">
            <v>-0.24728083867586259</v>
          </cell>
          <cell r="U85">
            <v>-0.32851673158002415</v>
          </cell>
        </row>
        <row r="86">
          <cell r="A86" t="str">
            <v>% of total lines</v>
          </cell>
          <cell r="I86">
            <v>0.18</v>
          </cell>
          <cell r="J86">
            <v>0.17</v>
          </cell>
          <cell r="K86">
            <v>0.16202791683700929</v>
          </cell>
          <cell r="L86">
            <v>0.14926745550235429</v>
          </cell>
          <cell r="M86">
            <v>0.14041508419865073</v>
          </cell>
          <cell r="N86">
            <v>0.13335737525395577</v>
          </cell>
          <cell r="O86">
            <v>0.12610396833697488</v>
          </cell>
          <cell r="P86">
            <v>0.11724131562843013</v>
          </cell>
          <cell r="Q86">
            <v>0.10772034905684016</v>
          </cell>
          <cell r="R86">
            <v>9.6373583600309926E-2</v>
          </cell>
          <cell r="S86">
            <v>8.2919060483236454E-2</v>
          </cell>
          <cell r="T86">
            <v>6.7040145620238203E-2</v>
          </cell>
          <cell r="U86">
            <v>4.8386081024952128E-2</v>
          </cell>
        </row>
        <row r="87">
          <cell r="A87" t="str">
            <v>% penetration of primary lines</v>
          </cell>
          <cell r="I87">
            <v>0.21951219512195122</v>
          </cell>
          <cell r="J87">
            <v>0.20481927710843376</v>
          </cell>
          <cell r="K87">
            <v>0.19335717751529663</v>
          </cell>
          <cell r="L87">
            <v>0.17545755886239917</v>
          </cell>
          <cell r="M87">
            <v>0.16335219664452649</v>
          </cell>
          <cell r="N87">
            <v>0.15387816320831671</v>
          </cell>
          <cell r="O87">
            <v>0.14430088221936294</v>
          </cell>
          <cell r="P87">
            <v>0.13281241827928711</v>
          </cell>
          <cell r="Q87">
            <v>0.12072487469929109</v>
          </cell>
          <cell r="R87">
            <v>0.10665202106893937</v>
          </cell>
          <cell r="S87">
            <v>9.0416294691424842E-2</v>
          </cell>
          <cell r="T87">
            <v>7.1857481654242189E-2</v>
          </cell>
          <cell r="U87">
            <v>5.0846335956358422E-2</v>
          </cell>
        </row>
        <row r="88">
          <cell r="A88" t="str">
            <v>net adds</v>
          </cell>
          <cell r="J88">
            <v>-75.905791571999885</v>
          </cell>
          <cell r="K88">
            <v>-64.905791571999885</v>
          </cell>
          <cell r="L88">
            <v>-94.905791571999885</v>
          </cell>
          <cell r="M88">
            <v>-75</v>
          </cell>
          <cell r="N88">
            <v>-75</v>
          </cell>
          <cell r="O88">
            <v>-74</v>
          </cell>
          <cell r="P88">
            <v>-79</v>
          </cell>
          <cell r="Q88">
            <v>-74</v>
          </cell>
          <cell r="R88">
            <v>-74</v>
          </cell>
          <cell r="S88">
            <v>-74</v>
          </cell>
          <cell r="T88">
            <v>-74</v>
          </cell>
          <cell r="U88">
            <v>-74</v>
          </cell>
        </row>
        <row r="90">
          <cell r="A90" t="str">
            <v>Business access lines</v>
          </cell>
          <cell r="E90">
            <v>1965</v>
          </cell>
          <cell r="F90">
            <v>2069</v>
          </cell>
          <cell r="G90">
            <v>2209</v>
          </cell>
          <cell r="H90">
            <v>2334</v>
          </cell>
          <cell r="I90">
            <v>2429.694</v>
          </cell>
          <cell r="J90">
            <v>2446.1163708677786</v>
          </cell>
          <cell r="K90">
            <v>2409.4246253047618</v>
          </cell>
          <cell r="L90">
            <v>2164</v>
          </cell>
          <cell r="M90">
            <v>2107</v>
          </cell>
          <cell r="N90">
            <v>2083</v>
          </cell>
          <cell r="O90">
            <v>2054</v>
          </cell>
          <cell r="P90">
            <v>2023.19</v>
          </cell>
          <cell r="Q90">
            <v>1992.8421499999999</v>
          </cell>
          <cell r="R90">
            <v>1962.9495177499998</v>
          </cell>
          <cell r="S90">
            <v>1933.5052749837498</v>
          </cell>
          <cell r="T90">
            <v>1904.5026958589935</v>
          </cell>
          <cell r="U90">
            <v>1875.9351554211087</v>
          </cell>
          <cell r="AD90">
            <v>2209</v>
          </cell>
          <cell r="AE90">
            <v>2259.6441987177486</v>
          </cell>
          <cell r="AF90">
            <v>2291.909196088222</v>
          </cell>
          <cell r="AG90">
            <v>2323.5227706991795</v>
          </cell>
          <cell r="AH90">
            <v>2334</v>
          </cell>
          <cell r="AI90">
            <v>2374</v>
          </cell>
          <cell r="AJ90">
            <v>2397.3370191082804</v>
          </cell>
          <cell r="AK90">
            <v>2445.6609806745246</v>
          </cell>
          <cell r="AL90">
            <v>2429.694</v>
          </cell>
          <cell r="AM90">
            <v>2433.35</v>
          </cell>
          <cell r="AN90">
            <v>2413.0943892993628</v>
          </cell>
          <cell r="AO90">
            <v>2446.1163708677786</v>
          </cell>
          <cell r="AP90">
            <v>2446.1163708677786</v>
          </cell>
          <cell r="AQ90">
            <v>2372.5162499999997</v>
          </cell>
          <cell r="AR90">
            <v>2364.8325015133755</v>
          </cell>
          <cell r="AS90">
            <v>2397.1940434504231</v>
          </cell>
          <cell r="AT90">
            <v>2409.4246253047618</v>
          </cell>
          <cell r="AU90">
            <v>2202</v>
          </cell>
          <cell r="AV90">
            <v>2185</v>
          </cell>
          <cell r="AW90">
            <v>2178</v>
          </cell>
          <cell r="AX90">
            <v>2164</v>
          </cell>
          <cell r="AY90">
            <v>2142</v>
          </cell>
          <cell r="AZ90">
            <v>2132</v>
          </cell>
          <cell r="BA90">
            <v>2119</v>
          </cell>
          <cell r="BB90">
            <v>2107</v>
          </cell>
          <cell r="BC90">
            <v>2097</v>
          </cell>
          <cell r="BD90">
            <v>2093</v>
          </cell>
          <cell r="BE90">
            <v>2089</v>
          </cell>
          <cell r="BF90">
            <v>2083</v>
          </cell>
          <cell r="BG90">
            <v>2070</v>
          </cell>
          <cell r="BH90">
            <v>2064</v>
          </cell>
          <cell r="BI90">
            <v>2059</v>
          </cell>
          <cell r="BJ90">
            <v>2054</v>
          </cell>
          <cell r="BM90">
            <v>0</v>
          </cell>
        </row>
        <row r="91">
          <cell r="A91" t="str">
            <v>% growth</v>
          </cell>
          <cell r="F91">
            <v>5.292620865139952E-2</v>
          </cell>
          <cell r="G91">
            <v>6.7665538907684786E-2</v>
          </cell>
          <cell r="H91">
            <v>5.6586690810321416E-2</v>
          </cell>
          <cell r="I91">
            <v>4.0999999999999925E-2</v>
          </cell>
          <cell r="J91">
            <v>6.7590284487588637E-3</v>
          </cell>
          <cell r="K91">
            <v>-1.5000000000000124E-2</v>
          </cell>
          <cell r="L91">
            <v>-0.10186026270637893</v>
          </cell>
          <cell r="M91">
            <v>-2.6340110905730074E-2</v>
          </cell>
          <cell r="N91">
            <v>-1.1390602752728962E-2</v>
          </cell>
          <cell r="O91">
            <v>-1.3922227556409039E-2</v>
          </cell>
          <cell r="P91">
            <v>-1.4999999999999999E-2</v>
          </cell>
          <cell r="Q91">
            <v>-1.4999999999999999E-2</v>
          </cell>
          <cell r="R91">
            <v>-1.4999999999999999E-2</v>
          </cell>
          <cell r="S91">
            <v>-1.4999999999999999E-2</v>
          </cell>
          <cell r="T91">
            <v>-1.4999999999999999E-2</v>
          </cell>
          <cell r="U91">
            <v>-1.4999999999999999E-2</v>
          </cell>
          <cell r="AH91">
            <v>5.6586690810321416E-2</v>
          </cell>
          <cell r="AI91">
            <v>5.0607879482594376E-2</v>
          </cell>
          <cell r="AJ91">
            <v>4.5999999999999999E-2</v>
          </cell>
          <cell r="AK91">
            <v>5.2565962131110089E-2</v>
          </cell>
          <cell r="AL91">
            <v>4.1000000000000002E-2</v>
          </cell>
          <cell r="AM91">
            <v>2.5000000000000001E-2</v>
          </cell>
          <cell r="AN91">
            <v>6.5728640009670158E-3</v>
          </cell>
          <cell r="AO91">
            <v>1.8620331961494152E-4</v>
          </cell>
          <cell r="AP91">
            <v>6.7590284487588637E-3</v>
          </cell>
          <cell r="AQ91">
            <v>-2.5000000000000001E-2</v>
          </cell>
          <cell r="AR91">
            <v>-0.02</v>
          </cell>
          <cell r="AS91">
            <v>-0.02</v>
          </cell>
          <cell r="AT91">
            <v>-1.4999999999999999E-2</v>
          </cell>
          <cell r="AU91">
            <v>-0.02</v>
          </cell>
          <cell r="AV91">
            <v>-7.6044498457413678E-2</v>
          </cell>
          <cell r="AW91">
            <v>-9.1437755758363326E-2</v>
          </cell>
          <cell r="AX91">
            <v>-0.10186026270637893</v>
          </cell>
          <cell r="AY91">
            <v>-2.7247956403269713E-2</v>
          </cell>
          <cell r="AZ91">
            <v>-2.4256292906178478E-2</v>
          </cell>
          <cell r="BA91">
            <v>-2.7089072543618031E-2</v>
          </cell>
          <cell r="BB91">
            <v>-2.6340110905730074E-2</v>
          </cell>
          <cell r="BC91">
            <v>-2.1008403361344574E-2</v>
          </cell>
          <cell r="BD91">
            <v>-1.8292682926829285E-2</v>
          </cell>
          <cell r="BE91">
            <v>-1.4157621519584662E-2</v>
          </cell>
          <cell r="BF91">
            <v>-1.1390602752728962E-2</v>
          </cell>
          <cell r="BG91">
            <v>-1.2875536480686733E-2</v>
          </cell>
          <cell r="BH91">
            <v>-1.3855709507883396E-2</v>
          </cell>
          <cell r="BI91">
            <v>-1.4360938247965582E-2</v>
          </cell>
          <cell r="BJ91">
            <v>-1.3922227556409039E-2</v>
          </cell>
        </row>
        <row r="92">
          <cell r="A92" t="str">
            <v>% total access lines</v>
          </cell>
          <cell r="F92">
            <v>0.28099959255738149</v>
          </cell>
          <cell r="G92">
            <v>0.28856956237753101</v>
          </cell>
          <cell r="H92">
            <v>0.29073243647234681</v>
          </cell>
          <cell r="I92">
            <v>0.29208568810494601</v>
          </cell>
          <cell r="J92">
            <v>0.29704830692843015</v>
          </cell>
          <cell r="K92">
            <v>0.29811205501878807</v>
          </cell>
          <cell r="L92">
            <v>0.27368154799544708</v>
          </cell>
          <cell r="M92">
            <v>0.27477829942618676</v>
          </cell>
          <cell r="N92">
            <v>0.28340136054421766</v>
          </cell>
          <cell r="O92">
            <v>0.29205175600739369</v>
          </cell>
          <cell r="P92">
            <v>0.30281880922410526</v>
          </cell>
          <cell r="Q92">
            <v>0.31384121099766232</v>
          </cell>
          <cell r="R92">
            <v>0.32531752411511133</v>
          </cell>
          <cell r="S92">
            <v>0.33722917870503399</v>
          </cell>
          <cell r="T92">
            <v>0.34954606837332874</v>
          </cell>
          <cell r="U92">
            <v>0.36222410575221287</v>
          </cell>
          <cell r="AD92">
            <v>0.28856956237753101</v>
          </cell>
          <cell r="AE92">
            <v>0.28968631041438897</v>
          </cell>
          <cell r="AF92">
            <v>0.29150987218989677</v>
          </cell>
          <cell r="AG92">
            <v>0.29267880758084558</v>
          </cell>
          <cell r="AH92">
            <v>0.29073243647234681</v>
          </cell>
          <cell r="AI92">
            <v>0.29078882900538949</v>
          </cell>
          <cell r="AJ92">
            <v>0.29178882900538955</v>
          </cell>
          <cell r="AK92">
            <v>0.29451601405040034</v>
          </cell>
          <cell r="AL92">
            <v>0.29208568810494601</v>
          </cell>
          <cell r="AM92">
            <v>0.29161609858442128</v>
          </cell>
          <cell r="AN92">
            <v>0.29108693488150983</v>
          </cell>
          <cell r="AO92">
            <v>0.29664738560916043</v>
          </cell>
          <cell r="AP92">
            <v>0.29704830692843015</v>
          </cell>
          <cell r="AQ92">
            <v>0.28847226613313531</v>
          </cell>
          <cell r="AR92">
            <v>0.2892040930038105</v>
          </cell>
          <cell r="AS92">
            <v>0.2951644947587041</v>
          </cell>
          <cell r="AT92">
            <v>0.29811205501878807</v>
          </cell>
          <cell r="AU92">
            <v>0.27299776841061246</v>
          </cell>
          <cell r="AV92">
            <v>0.27374091706339265</v>
          </cell>
          <cell r="AW92">
            <v>0.27413467589679041</v>
          </cell>
          <cell r="AX92">
            <v>0.27368154799544708</v>
          </cell>
          <cell r="AY92">
            <v>0.27196546470289484</v>
          </cell>
          <cell r="AZ92">
            <v>0.27403598971722365</v>
          </cell>
          <cell r="BA92">
            <v>0.27455299300336877</v>
          </cell>
          <cell r="BB92">
            <v>0.27477829942618676</v>
          </cell>
          <cell r="BC92">
            <v>0.27451237072915302</v>
          </cell>
          <cell r="BD92">
            <v>0.27795484727755643</v>
          </cell>
          <cell r="BE92">
            <v>0.28085506856681902</v>
          </cell>
          <cell r="BF92">
            <v>0.28340136054421766</v>
          </cell>
          <cell r="BG92">
            <v>0.28516324562611928</v>
          </cell>
          <cell r="BH92">
            <v>0.28746518105849583</v>
          </cell>
          <cell r="BI92">
            <v>0.28995916068159416</v>
          </cell>
          <cell r="BJ92">
            <v>0.29259259259259257</v>
          </cell>
        </row>
        <row r="93">
          <cell r="A93" t="str">
            <v xml:space="preserve">   Net adds</v>
          </cell>
          <cell r="F93">
            <v>104</v>
          </cell>
          <cell r="G93">
            <v>140</v>
          </cell>
          <cell r="H93">
            <v>125</v>
          </cell>
          <cell r="I93">
            <v>95.69399999999996</v>
          </cell>
          <cell r="J93">
            <v>16.422370867778682</v>
          </cell>
          <cell r="K93">
            <v>-36.691745563016866</v>
          </cell>
          <cell r="L93">
            <v>-245.42462530476178</v>
          </cell>
          <cell r="M93">
            <v>-57</v>
          </cell>
          <cell r="N93">
            <v>-24</v>
          </cell>
          <cell r="O93">
            <v>-29</v>
          </cell>
          <cell r="P93">
            <v>-30.809999999999945</v>
          </cell>
          <cell r="Q93">
            <v>-30.347850000000108</v>
          </cell>
          <cell r="R93">
            <v>-29.892632250000133</v>
          </cell>
          <cell r="S93">
            <v>-29.444242766249999</v>
          </cell>
          <cell r="T93">
            <v>-29.002579124756267</v>
          </cell>
          <cell r="U93">
            <v>-28.567540437884873</v>
          </cell>
          <cell r="AE93">
            <v>50.644198717748623</v>
          </cell>
          <cell r="AF93">
            <v>32.264997370473338</v>
          </cell>
          <cell r="AG93">
            <v>31.613574610957585</v>
          </cell>
          <cell r="AH93">
            <v>10.477229300820454</v>
          </cell>
          <cell r="AI93">
            <v>40</v>
          </cell>
          <cell r="AJ93">
            <v>23.337019108280401</v>
          </cell>
          <cell r="AK93">
            <v>48.323961566244179</v>
          </cell>
          <cell r="AL93">
            <v>-15.966980674524621</v>
          </cell>
          <cell r="AM93">
            <v>3.6559999999999491</v>
          </cell>
          <cell r="AN93">
            <v>-20.255610700637135</v>
          </cell>
          <cell r="AO93">
            <v>33.021981568415868</v>
          </cell>
          <cell r="AP93">
            <v>0</v>
          </cell>
          <cell r="AQ93">
            <v>-73.600120867778969</v>
          </cell>
          <cell r="AR93">
            <v>-7.6837484866241539</v>
          </cell>
          <cell r="AS93">
            <v>32.361541937047605</v>
          </cell>
          <cell r="AT93">
            <v>12.230581854338652</v>
          </cell>
          <cell r="AU93">
            <v>-207.42462530476178</v>
          </cell>
          <cell r="AV93">
            <v>-17</v>
          </cell>
          <cell r="AW93">
            <v>-7</v>
          </cell>
          <cell r="AX93">
            <v>-14</v>
          </cell>
          <cell r="AY93">
            <v>-22</v>
          </cell>
          <cell r="AZ93">
            <v>-10</v>
          </cell>
          <cell r="BA93">
            <v>-13</v>
          </cell>
          <cell r="BB93">
            <v>-12</v>
          </cell>
          <cell r="BC93">
            <v>-10</v>
          </cell>
          <cell r="BD93">
            <v>-4</v>
          </cell>
          <cell r="BE93">
            <v>-4</v>
          </cell>
          <cell r="BF93">
            <v>-6</v>
          </cell>
          <cell r="BG93">
            <v>-13</v>
          </cell>
          <cell r="BH93">
            <v>-6</v>
          </cell>
          <cell r="BI93">
            <v>-5</v>
          </cell>
          <cell r="BJ93">
            <v>-5</v>
          </cell>
        </row>
        <row r="94">
          <cell r="A94" t="str">
            <v>Average business lines</v>
          </cell>
          <cell r="F94">
            <v>2017</v>
          </cell>
          <cell r="G94">
            <v>2139</v>
          </cell>
          <cell r="H94">
            <v>2286.6440413762875</v>
          </cell>
          <cell r="I94">
            <v>2399.7112499457012</v>
          </cell>
          <cell r="J94">
            <v>2432.6164864002576</v>
          </cell>
          <cell r="K94">
            <v>2427.77049808627</v>
          </cell>
          <cell r="L94">
            <v>2286.7123126523811</v>
          </cell>
          <cell r="M94">
            <v>2135.5</v>
          </cell>
          <cell r="N94">
            <v>2095</v>
          </cell>
          <cell r="O94">
            <v>2068.5</v>
          </cell>
          <cell r="P94">
            <v>2038.595</v>
          </cell>
          <cell r="Q94">
            <v>2008.016075</v>
          </cell>
          <cell r="R94">
            <v>1977.8958338749999</v>
          </cell>
          <cell r="S94">
            <v>1948.2273963668749</v>
          </cell>
          <cell r="T94">
            <v>1919.0039854213717</v>
          </cell>
          <cell r="U94">
            <v>1890.2189256400511</v>
          </cell>
          <cell r="AE94">
            <v>2234.3220993588743</v>
          </cell>
          <cell r="AF94">
            <v>2275.7766974029855</v>
          </cell>
          <cell r="AG94">
            <v>2307.7159833937008</v>
          </cell>
          <cell r="AH94">
            <v>2328.7613853495895</v>
          </cell>
          <cell r="AI94">
            <v>2354</v>
          </cell>
          <cell r="AJ94">
            <v>2385.6685095541402</v>
          </cell>
          <cell r="AK94">
            <v>2421.4989998914025</v>
          </cell>
          <cell r="AL94">
            <v>2437.6774903372625</v>
          </cell>
          <cell r="AM94">
            <v>2431.5219999999999</v>
          </cell>
          <cell r="AN94">
            <v>2423.2221946496811</v>
          </cell>
          <cell r="AO94">
            <v>2429.6053800835707</v>
          </cell>
          <cell r="AP94">
            <v>2446.1163708677786</v>
          </cell>
          <cell r="AQ94">
            <v>2409.3163104338892</v>
          </cell>
          <cell r="AR94">
            <v>2368.6743757566874</v>
          </cell>
          <cell r="AS94">
            <v>2381.0132724818995</v>
          </cell>
          <cell r="AT94">
            <v>2403.3093343775927</v>
          </cell>
          <cell r="AU94">
            <v>2305.7123126523811</v>
          </cell>
          <cell r="AV94">
            <v>2193.5</v>
          </cell>
          <cell r="AW94">
            <v>2181.5</v>
          </cell>
          <cell r="AX94">
            <v>2171</v>
          </cell>
          <cell r="AY94">
            <v>2153</v>
          </cell>
          <cell r="AZ94">
            <v>2137</v>
          </cell>
          <cell r="BA94">
            <v>2125.5</v>
          </cell>
          <cell r="BB94">
            <v>2113</v>
          </cell>
          <cell r="BC94">
            <v>2102</v>
          </cell>
          <cell r="BD94">
            <v>2095</v>
          </cell>
          <cell r="BE94">
            <v>2091</v>
          </cell>
          <cell r="BF94">
            <v>2086</v>
          </cell>
          <cell r="BG94">
            <v>2076.5</v>
          </cell>
          <cell r="BH94">
            <v>2067</v>
          </cell>
          <cell r="BI94">
            <v>2061.5</v>
          </cell>
          <cell r="BJ94">
            <v>2056.5</v>
          </cell>
        </row>
        <row r="95">
          <cell r="AY95">
            <v>2.2522522522522515E-2</v>
          </cell>
        </row>
        <row r="96">
          <cell r="A96" t="str">
            <v>Wholesale Access Lines</v>
          </cell>
          <cell r="L96">
            <v>221</v>
          </cell>
          <cell r="M96">
            <v>225</v>
          </cell>
          <cell r="N96">
            <v>211</v>
          </cell>
          <cell r="O96">
            <v>219</v>
          </cell>
          <cell r="P96">
            <v>212</v>
          </cell>
          <cell r="Q96">
            <v>205</v>
          </cell>
          <cell r="R96">
            <v>198</v>
          </cell>
          <cell r="S96">
            <v>191</v>
          </cell>
          <cell r="T96">
            <v>184</v>
          </cell>
          <cell r="U96">
            <v>177</v>
          </cell>
          <cell r="AU96">
            <v>222</v>
          </cell>
          <cell r="AV96">
            <v>222</v>
          </cell>
          <cell r="AW96">
            <v>218</v>
          </cell>
          <cell r="AX96">
            <v>221</v>
          </cell>
          <cell r="AY96">
            <v>227</v>
          </cell>
          <cell r="AZ96">
            <v>218</v>
          </cell>
          <cell r="BA96">
            <v>223</v>
          </cell>
          <cell r="BB96">
            <v>225</v>
          </cell>
          <cell r="BC96">
            <v>230</v>
          </cell>
          <cell r="BD96">
            <v>222</v>
          </cell>
          <cell r="BE96">
            <v>214</v>
          </cell>
          <cell r="BF96">
            <v>211</v>
          </cell>
          <cell r="BG96">
            <v>219</v>
          </cell>
          <cell r="BH96">
            <v>216</v>
          </cell>
          <cell r="BI96">
            <v>212</v>
          </cell>
          <cell r="BJ96">
            <v>206</v>
          </cell>
          <cell r="BM96">
            <v>0</v>
          </cell>
        </row>
        <row r="97">
          <cell r="A97" t="str">
            <v xml:space="preserve">   Net adds</v>
          </cell>
          <cell r="N97">
            <v>-14</v>
          </cell>
          <cell r="O97">
            <v>8</v>
          </cell>
          <cell r="P97">
            <v>-7</v>
          </cell>
          <cell r="Q97">
            <v>-7</v>
          </cell>
          <cell r="R97">
            <v>-7</v>
          </cell>
          <cell r="S97">
            <v>-7</v>
          </cell>
          <cell r="T97">
            <v>-7</v>
          </cell>
          <cell r="U97">
            <v>-7</v>
          </cell>
          <cell r="AV97">
            <v>0</v>
          </cell>
          <cell r="AW97">
            <v>-4</v>
          </cell>
          <cell r="AX97">
            <v>3</v>
          </cell>
          <cell r="AY97">
            <v>6</v>
          </cell>
          <cell r="AZ97">
            <v>-9</v>
          </cell>
          <cell r="BA97">
            <v>5</v>
          </cell>
          <cell r="BB97">
            <v>2</v>
          </cell>
          <cell r="BC97">
            <v>5</v>
          </cell>
          <cell r="BD97">
            <v>-8</v>
          </cell>
          <cell r="BE97">
            <v>-8</v>
          </cell>
          <cell r="BF97">
            <v>-3</v>
          </cell>
          <cell r="BG97">
            <v>8</v>
          </cell>
          <cell r="BH97">
            <v>-3</v>
          </cell>
          <cell r="BI97">
            <v>-4</v>
          </cell>
          <cell r="BJ97">
            <v>-6</v>
          </cell>
        </row>
        <row r="98">
          <cell r="A98" t="str">
            <v>Resale</v>
          </cell>
          <cell r="L98">
            <v>150</v>
          </cell>
          <cell r="M98">
            <v>121</v>
          </cell>
          <cell r="N98">
            <v>121</v>
          </cell>
          <cell r="O98">
            <v>121</v>
          </cell>
          <cell r="P98">
            <v>119</v>
          </cell>
          <cell r="Q98">
            <v>117</v>
          </cell>
          <cell r="R98">
            <v>115</v>
          </cell>
          <cell r="S98">
            <v>113</v>
          </cell>
          <cell r="T98">
            <v>111</v>
          </cell>
          <cell r="U98">
            <v>109</v>
          </cell>
          <cell r="AU98">
            <v>165</v>
          </cell>
          <cell r="AV98">
            <v>160</v>
          </cell>
          <cell r="AW98">
            <v>153</v>
          </cell>
          <cell r="AX98">
            <v>150</v>
          </cell>
          <cell r="AY98">
            <v>151</v>
          </cell>
          <cell r="AZ98">
            <v>141</v>
          </cell>
          <cell r="BA98">
            <v>131</v>
          </cell>
          <cell r="BB98">
            <v>121</v>
          </cell>
          <cell r="BC98">
            <v>121</v>
          </cell>
          <cell r="BD98">
            <v>121</v>
          </cell>
          <cell r="BE98">
            <v>121</v>
          </cell>
          <cell r="BF98">
            <v>121</v>
          </cell>
          <cell r="BG98">
            <v>121</v>
          </cell>
          <cell r="BH98">
            <v>121</v>
          </cell>
          <cell r="BI98">
            <v>121</v>
          </cell>
          <cell r="BJ98">
            <v>121</v>
          </cell>
          <cell r="BM98">
            <v>0</v>
          </cell>
        </row>
        <row r="99">
          <cell r="A99" t="str">
            <v xml:space="preserve">   Net adds</v>
          </cell>
          <cell r="M99">
            <v>-29</v>
          </cell>
          <cell r="N99">
            <v>0</v>
          </cell>
          <cell r="O99">
            <v>0</v>
          </cell>
          <cell r="P99">
            <v>-2</v>
          </cell>
          <cell r="Q99">
            <v>-2</v>
          </cell>
          <cell r="R99">
            <v>-2</v>
          </cell>
          <cell r="S99">
            <v>-2</v>
          </cell>
          <cell r="T99">
            <v>-2</v>
          </cell>
          <cell r="U99">
            <v>-2</v>
          </cell>
          <cell r="AV99">
            <v>-5</v>
          </cell>
          <cell r="AW99">
            <v>-7</v>
          </cell>
          <cell r="AX99">
            <v>-3</v>
          </cell>
          <cell r="AY99">
            <v>1</v>
          </cell>
          <cell r="AZ99">
            <v>-10</v>
          </cell>
          <cell r="BA99">
            <v>-10</v>
          </cell>
          <cell r="BB99">
            <v>-10</v>
          </cell>
          <cell r="BC99">
            <v>0</v>
          </cell>
          <cell r="BD99">
            <v>0</v>
          </cell>
          <cell r="BE99">
            <v>0</v>
          </cell>
          <cell r="BF99">
            <v>0</v>
          </cell>
          <cell r="BG99">
            <v>0</v>
          </cell>
          <cell r="BH99">
            <v>0</v>
          </cell>
          <cell r="BI99">
            <v>0</v>
          </cell>
          <cell r="BJ99">
            <v>0</v>
          </cell>
        </row>
        <row r="100">
          <cell r="A100" t="str">
            <v>UNE-P</v>
          </cell>
          <cell r="L100">
            <v>71</v>
          </cell>
          <cell r="M100">
            <v>104</v>
          </cell>
          <cell r="N100">
            <v>90</v>
          </cell>
          <cell r="O100">
            <v>98</v>
          </cell>
          <cell r="P100">
            <v>93</v>
          </cell>
          <cell r="Q100">
            <v>88</v>
          </cell>
          <cell r="R100">
            <v>83</v>
          </cell>
          <cell r="S100">
            <v>78</v>
          </cell>
          <cell r="T100">
            <v>73</v>
          </cell>
          <cell r="U100">
            <v>68</v>
          </cell>
          <cell r="AU100">
            <v>57</v>
          </cell>
          <cell r="AV100">
            <v>62</v>
          </cell>
          <cell r="AW100">
            <v>65</v>
          </cell>
          <cell r="AX100">
            <v>71</v>
          </cell>
          <cell r="AY100">
            <v>76</v>
          </cell>
          <cell r="AZ100">
            <v>77</v>
          </cell>
          <cell r="BA100">
            <v>92</v>
          </cell>
          <cell r="BB100">
            <v>104</v>
          </cell>
          <cell r="BC100">
            <v>109</v>
          </cell>
          <cell r="BD100">
            <v>101</v>
          </cell>
          <cell r="BE100">
            <v>93</v>
          </cell>
          <cell r="BF100">
            <v>90</v>
          </cell>
          <cell r="BG100">
            <v>98</v>
          </cell>
          <cell r="BH100">
            <v>95</v>
          </cell>
          <cell r="BI100">
            <v>91</v>
          </cell>
          <cell r="BJ100">
            <v>85</v>
          </cell>
          <cell r="BM100">
            <v>0</v>
          </cell>
        </row>
        <row r="101">
          <cell r="A101" t="str">
            <v xml:space="preserve">   Net adds</v>
          </cell>
          <cell r="M101">
            <v>33</v>
          </cell>
          <cell r="N101">
            <v>-14</v>
          </cell>
          <cell r="O101">
            <v>8</v>
          </cell>
          <cell r="P101">
            <v>-5</v>
          </cell>
          <cell r="Q101">
            <v>-5</v>
          </cell>
          <cell r="R101">
            <v>-5</v>
          </cell>
          <cell r="S101">
            <v>-5</v>
          </cell>
          <cell r="T101">
            <v>-5</v>
          </cell>
          <cell r="U101">
            <v>-5</v>
          </cell>
          <cell r="AV101">
            <v>5</v>
          </cell>
          <cell r="AW101">
            <v>3</v>
          </cell>
          <cell r="AX101">
            <v>6</v>
          </cell>
          <cell r="AY101">
            <v>5</v>
          </cell>
          <cell r="AZ101">
            <v>1</v>
          </cell>
          <cell r="BA101">
            <v>15</v>
          </cell>
          <cell r="BB101">
            <v>12</v>
          </cell>
          <cell r="BC101">
            <v>5</v>
          </cell>
          <cell r="BD101">
            <v>-8</v>
          </cell>
          <cell r="BE101">
            <v>-8</v>
          </cell>
          <cell r="BF101">
            <v>-3</v>
          </cell>
          <cell r="BG101">
            <v>8</v>
          </cell>
          <cell r="BH101">
            <v>-3</v>
          </cell>
          <cell r="BI101">
            <v>-4</v>
          </cell>
          <cell r="BJ101">
            <v>-6</v>
          </cell>
        </row>
        <row r="102">
          <cell r="A102" t="str">
            <v>VGEs</v>
          </cell>
        </row>
        <row r="103">
          <cell r="A103" t="str">
            <v>% growth</v>
          </cell>
          <cell r="H103">
            <v>0.14000000000000001</v>
          </cell>
          <cell r="AJ103">
            <v>0.17</v>
          </cell>
          <cell r="AK103">
            <v>0.18</v>
          </cell>
          <cell r="AL103">
            <v>0.21</v>
          </cell>
          <cell r="AM103">
            <v>0.22</v>
          </cell>
          <cell r="AN103">
            <v>0.17</v>
          </cell>
          <cell r="AO103">
            <v>0.15</v>
          </cell>
          <cell r="AP103">
            <v>0.13</v>
          </cell>
        </row>
        <row r="105">
          <cell r="A105" t="str">
            <v>Blended monthly revenue per line</v>
          </cell>
          <cell r="H105">
            <v>63.162254441576458</v>
          </cell>
          <cell r="I105">
            <v>62.441893025072346</v>
          </cell>
          <cell r="J105">
            <v>62.802673158565604</v>
          </cell>
          <cell r="K105">
            <v>63.910767031898075</v>
          </cell>
          <cell r="L105">
            <v>63.896984005550259</v>
          </cell>
          <cell r="M105">
            <v>64.430176565008026</v>
          </cell>
          <cell r="N105">
            <v>72.435299862387353</v>
          </cell>
          <cell r="O105">
            <v>73.884180591284476</v>
          </cell>
          <cell r="P105">
            <v>74.630150883321406</v>
          </cell>
          <cell r="Q105">
            <v>76.029160188293559</v>
          </cell>
          <cell r="R105">
            <v>77.531080367559795</v>
          </cell>
          <cell r="S105">
            <v>79.158719033700564</v>
          </cell>
          <cell r="T105">
            <v>80.906097038243516</v>
          </cell>
          <cell r="U105">
            <v>82.765229616212181</v>
          </cell>
          <cell r="AF105">
            <v>61.973869836093407</v>
          </cell>
          <cell r="AG105">
            <v>62.9917320224504</v>
          </cell>
          <cell r="AH105">
            <v>65.55262883517328</v>
          </cell>
          <cell r="AI105">
            <v>62.952898550724633</v>
          </cell>
          <cell r="AJ105">
            <v>61.986161986161989</v>
          </cell>
          <cell r="AK105">
            <v>62.348668280871671</v>
          </cell>
          <cell r="AL105">
            <v>62.485854453872982</v>
          </cell>
          <cell r="AM105">
            <v>62.134453219432281</v>
          </cell>
          <cell r="AN105">
            <v>62.200775245293784</v>
          </cell>
          <cell r="AO105">
            <v>63.055047701708027</v>
          </cell>
          <cell r="AP105">
            <v>63.832570597223594</v>
          </cell>
          <cell r="AQ105">
            <v>63.389221855174156</v>
          </cell>
          <cell r="AR105">
            <v>62.921251120990227</v>
          </cell>
          <cell r="AS105">
            <v>64.627268871519092</v>
          </cell>
          <cell r="AT105">
            <v>64.346922041665593</v>
          </cell>
          <cell r="AU105">
            <v>63.24719623713289</v>
          </cell>
          <cell r="AV105">
            <v>63.393153871718177</v>
          </cell>
          <cell r="AW105">
            <v>63.916619576819237</v>
          </cell>
          <cell r="AX105">
            <v>64.976028261418122</v>
          </cell>
          <cell r="AY105">
            <v>63.612747893302924</v>
          </cell>
          <cell r="AZ105">
            <v>64.299097257707373</v>
          </cell>
          <cell r="BA105">
            <v>64.352389555641579</v>
          </cell>
          <cell r="BB105">
            <v>65.384115429611327</v>
          </cell>
          <cell r="BC105">
            <v>69.554234446113981</v>
          </cell>
          <cell r="BD105">
            <v>69.9233085019887</v>
          </cell>
          <cell r="BE105">
            <v>74.469980402636736</v>
          </cell>
          <cell r="BF105">
            <v>75.1510233522676</v>
          </cell>
          <cell r="BG105">
            <v>73.927031282086389</v>
          </cell>
          <cell r="BH105">
            <v>74.215878292587192</v>
          </cell>
          <cell r="BI105">
            <v>74.207981856234781</v>
          </cell>
          <cell r="BJ105">
            <v>73.602253538858591</v>
          </cell>
        </row>
        <row r="106">
          <cell r="A106" t="str">
            <v>% growth</v>
          </cell>
          <cell r="I106">
            <v>-1.1404935160609697E-2</v>
          </cell>
          <cell r="J106">
            <v>5.7778538736548146E-3</v>
          </cell>
          <cell r="K106">
            <v>1.7644055859449281E-2</v>
          </cell>
          <cell r="L106">
            <v>-2.156604745634505E-4</v>
          </cell>
          <cell r="M106">
            <v>8.3445653618243742E-3</v>
          </cell>
          <cell r="N106">
            <v>0.12424493807342607</v>
          </cell>
          <cell r="O106">
            <v>2.0002412244440215E-2</v>
          </cell>
          <cell r="P106">
            <v>1.0096481900009335E-2</v>
          </cell>
          <cell r="Q106">
            <v>1.8745899457705661E-2</v>
          </cell>
          <cell r="R106">
            <v>1.9754528072473576E-2</v>
          </cell>
          <cell r="S106">
            <v>2.0993370122336152E-2</v>
          </cell>
          <cell r="T106">
            <v>2.2074359285665368E-2</v>
          </cell>
          <cell r="U106">
            <v>2.297889338413972E-2</v>
          </cell>
          <cell r="AJ106">
            <v>1.9834407793295483E-4</v>
          </cell>
          <cell r="AK106">
            <v>-1.0208700744242738E-2</v>
          </cell>
          <cell r="AL106">
            <v>-4.6783392760821996E-2</v>
          </cell>
          <cell r="AM106">
            <v>-1.3000915766140375E-2</v>
          </cell>
          <cell r="AN106">
            <v>3.4622769381931207E-3</v>
          </cell>
          <cell r="AO106">
            <v>1.1329502943899561E-2</v>
          </cell>
          <cell r="AP106">
            <v>2.155233620666519E-2</v>
          </cell>
          <cell r="AQ106">
            <v>2.0194410198003609E-2</v>
          </cell>
          <cell r="AR106">
            <v>1.158306906714901E-2</v>
          </cell>
          <cell r="AS106">
            <v>2.4934104835646398E-2</v>
          </cell>
          <cell r="AT106">
            <v>8.0578212600508348E-3</v>
          </cell>
          <cell r="AU106">
            <v>-2.2405325997809644E-3</v>
          </cell>
          <cell r="AV106">
            <v>7.4998945876096901E-3</v>
          </cell>
          <cell r="AW106">
            <v>-1.0996121406780301E-2</v>
          </cell>
          <cell r="AX106">
            <v>9.7767880699122234E-3</v>
          </cell>
          <cell r="AY106">
            <v>5.7797290301924154E-3</v>
          </cell>
          <cell r="AZ106">
            <v>1.4290871027216268E-2</v>
          </cell>
          <cell r="BA106">
            <v>6.8177882639524068E-3</v>
          </cell>
          <cell r="BB106">
            <v>6.2805803788337222E-3</v>
          </cell>
          <cell r="BC106">
            <v>9.3400878748024718E-2</v>
          </cell>
          <cell r="BD106">
            <v>8.7469521099803105E-2</v>
          </cell>
          <cell r="BE106">
            <v>0.15722168076209653</v>
          </cell>
          <cell r="BF106">
            <v>0.14937738101191789</v>
          </cell>
          <cell r="BG106">
            <v>6.2868880245676051E-2</v>
          </cell>
          <cell r="BH106">
            <v>6.1389683677173235E-2</v>
          </cell>
          <cell r="BI106">
            <v>-3.51817665300036E-3</v>
          </cell>
          <cell r="BJ106">
            <v>-2.060876544753365E-2</v>
          </cell>
        </row>
        <row r="108">
          <cell r="A108" t="str">
            <v>Video Subscribers (Dish Partnership)</v>
          </cell>
          <cell r="AZ108">
            <v>5</v>
          </cell>
          <cell r="BA108">
            <v>13</v>
          </cell>
          <cell r="BB108">
            <v>24</v>
          </cell>
          <cell r="BC108">
            <v>29</v>
          </cell>
        </row>
        <row r="109">
          <cell r="A109" t="str">
            <v>Net Adds</v>
          </cell>
          <cell r="BA109">
            <v>8</v>
          </cell>
          <cell r="BB109">
            <v>11</v>
          </cell>
          <cell r="BC109">
            <v>5</v>
          </cell>
        </row>
        <row r="111">
          <cell r="A111" t="str">
            <v>Caller ID penetration</v>
          </cell>
          <cell r="AF111">
            <v>0.33</v>
          </cell>
          <cell r="AG111">
            <v>0.31</v>
          </cell>
          <cell r="AH111">
            <v>0.38</v>
          </cell>
          <cell r="AI111">
            <v>0.42</v>
          </cell>
          <cell r="AJ111">
            <v>0.44</v>
          </cell>
          <cell r="AK111">
            <v>0.38</v>
          </cell>
          <cell r="AL111">
            <v>0.39</v>
          </cell>
          <cell r="AM111">
            <v>0.4</v>
          </cell>
          <cell r="AN111">
            <v>0.41</v>
          </cell>
          <cell r="AO111">
            <v>0.42</v>
          </cell>
          <cell r="AP111">
            <v>0.43</v>
          </cell>
          <cell r="AQ111">
            <v>0.43</v>
          </cell>
          <cell r="AR111">
            <v>0.43</v>
          </cell>
          <cell r="AS111">
            <v>0.43</v>
          </cell>
          <cell r="AT111">
            <v>0.44</v>
          </cell>
          <cell r="AU111">
            <v>0.44</v>
          </cell>
          <cell r="AV111">
            <v>0.45</v>
          </cell>
          <cell r="AW111">
            <v>0.45</v>
          </cell>
          <cell r="AX111">
            <v>0.46</v>
          </cell>
          <cell r="AY111">
            <v>0.46</v>
          </cell>
          <cell r="AZ111">
            <v>0.47</v>
          </cell>
        </row>
        <row r="112">
          <cell r="A112" t="str">
            <v>Call waiting penetration</v>
          </cell>
          <cell r="AF112">
            <v>0.43</v>
          </cell>
          <cell r="AG112">
            <v>0.41</v>
          </cell>
          <cell r="AH112">
            <v>0.46</v>
          </cell>
          <cell r="AI112">
            <v>0.48</v>
          </cell>
          <cell r="AJ112">
            <v>0.49</v>
          </cell>
          <cell r="AK112">
            <v>0.44</v>
          </cell>
          <cell r="AL112">
            <v>0.44</v>
          </cell>
          <cell r="AM112">
            <v>0.44</v>
          </cell>
          <cell r="AN112">
            <v>0.45</v>
          </cell>
          <cell r="AO112">
            <v>0.45</v>
          </cell>
          <cell r="AP112">
            <v>0.44</v>
          </cell>
          <cell r="AQ112">
            <v>0.44</v>
          </cell>
          <cell r="AR112">
            <v>0.43</v>
          </cell>
          <cell r="AS112">
            <v>0.43</v>
          </cell>
          <cell r="AT112">
            <v>0.42</v>
          </cell>
          <cell r="AU112">
            <v>0.42</v>
          </cell>
          <cell r="AV112">
            <v>0.43</v>
          </cell>
          <cell r="AW112">
            <v>0.43</v>
          </cell>
          <cell r="AX112">
            <v>0.43</v>
          </cell>
          <cell r="AY112">
            <v>0.43</v>
          </cell>
          <cell r="AZ112">
            <v>0.44</v>
          </cell>
        </row>
        <row r="113">
          <cell r="A113" t="str">
            <v>Voicemail penetration</v>
          </cell>
          <cell r="AF113">
            <v>0.09</v>
          </cell>
          <cell r="AG113">
            <v>0.08</v>
          </cell>
          <cell r="AH113">
            <v>0.1</v>
          </cell>
          <cell r="AI113">
            <v>0.12</v>
          </cell>
          <cell r="AJ113">
            <v>0.13</v>
          </cell>
          <cell r="AK113">
            <v>0.1</v>
          </cell>
          <cell r="AL113">
            <v>0.1</v>
          </cell>
          <cell r="AM113">
            <v>0.1</v>
          </cell>
          <cell r="AN113">
            <v>0.11</v>
          </cell>
          <cell r="AO113">
            <v>0.11</v>
          </cell>
          <cell r="AP113">
            <v>0.11</v>
          </cell>
          <cell r="AQ113">
            <v>0.13</v>
          </cell>
          <cell r="AR113">
            <v>0.14000000000000001</v>
          </cell>
          <cell r="AS113">
            <v>0.16</v>
          </cell>
          <cell r="AT113">
            <v>0.15</v>
          </cell>
          <cell r="AU113">
            <v>0.15</v>
          </cell>
          <cell r="AV113">
            <v>0.15</v>
          </cell>
          <cell r="AW113">
            <v>0.14000000000000001</v>
          </cell>
          <cell r="AX113">
            <v>0.15</v>
          </cell>
          <cell r="AY113">
            <v>0.15</v>
          </cell>
          <cell r="AZ113">
            <v>0.15</v>
          </cell>
        </row>
        <row r="114">
          <cell r="A114" t="str">
            <v>Residential Bundle Penetration</v>
          </cell>
          <cell r="AU114">
            <v>0.65</v>
          </cell>
          <cell r="AV114">
            <v>0.65</v>
          </cell>
          <cell r="AW114">
            <v>0.66</v>
          </cell>
          <cell r="AX114">
            <v>0.66</v>
          </cell>
          <cell r="AY114">
            <v>0.67</v>
          </cell>
          <cell r="AZ114">
            <v>0.68</v>
          </cell>
          <cell r="BA114">
            <v>0.69</v>
          </cell>
          <cell r="BC114">
            <v>0.71</v>
          </cell>
          <cell r="BD114">
            <v>0.71</v>
          </cell>
          <cell r="BE114">
            <v>0.72</v>
          </cell>
          <cell r="BF114">
            <v>0.72</v>
          </cell>
          <cell r="BG114">
            <v>1.72</v>
          </cell>
        </row>
        <row r="115">
          <cell r="A115" t="str">
            <v>implied customers</v>
          </cell>
          <cell r="AU115">
            <v>3667.3</v>
          </cell>
          <cell r="AV115">
            <v>3623.75</v>
          </cell>
          <cell r="AW115">
            <v>3662.34</v>
          </cell>
          <cell r="AX115">
            <v>3644.52</v>
          </cell>
          <cell r="AY115">
            <v>3689.69</v>
          </cell>
          <cell r="AZ115">
            <v>3692.4</v>
          </cell>
          <cell r="BA115">
            <v>3709.4399999999996</v>
          </cell>
          <cell r="BC115">
            <v>3771.52</v>
          </cell>
          <cell r="BD115">
            <v>3702.6499999999996</v>
          </cell>
          <cell r="BE115">
            <v>3697.2</v>
          </cell>
        </row>
        <row r="116">
          <cell r="A116" t="str">
            <v>Business Bundle Penetration</v>
          </cell>
          <cell r="AU116">
            <v>0.24</v>
          </cell>
          <cell r="AV116">
            <v>0.25</v>
          </cell>
          <cell r="AW116">
            <v>0.26</v>
          </cell>
          <cell r="AX116">
            <v>0.28000000000000003</v>
          </cell>
        </row>
        <row r="117">
          <cell r="A117" t="str">
            <v>implied customers</v>
          </cell>
          <cell r="AU117">
            <v>528.48</v>
          </cell>
          <cell r="AV117">
            <v>546.25</v>
          </cell>
          <cell r="AW117">
            <v>566.28</v>
          </cell>
          <cell r="AX117">
            <v>605.92000000000007</v>
          </cell>
        </row>
        <row r="118">
          <cell r="A118" t="str">
            <v>Long Distance Penetration of Local Lines</v>
          </cell>
          <cell r="AU118">
            <v>0.47</v>
          </cell>
          <cell r="AV118">
            <v>0.48</v>
          </cell>
          <cell r="AW118">
            <v>0.49</v>
          </cell>
          <cell r="AX118">
            <v>0.49</v>
          </cell>
          <cell r="AY118">
            <v>0.51</v>
          </cell>
          <cell r="AZ118">
            <v>0.52</v>
          </cell>
          <cell r="BA118">
            <v>0.56000000000000005</v>
          </cell>
          <cell r="BC118">
            <v>0.55000000000000004</v>
          </cell>
          <cell r="BD118">
            <v>0.55000000000000004</v>
          </cell>
          <cell r="BE118">
            <v>0.55000000000000004</v>
          </cell>
        </row>
        <row r="119">
          <cell r="A119" t="str">
            <v>implied customers</v>
          </cell>
          <cell r="AU119">
            <v>3791.02</v>
          </cell>
          <cell r="AV119">
            <v>3831.3599999999997</v>
          </cell>
          <cell r="AW119">
            <v>3893.0499999999997</v>
          </cell>
          <cell r="AX119">
            <v>3874.43</v>
          </cell>
          <cell r="AY119">
            <v>4016.76</v>
          </cell>
          <cell r="AZ119">
            <v>4045.6000000000004</v>
          </cell>
          <cell r="BA119">
            <v>4322.0800000000008</v>
          </cell>
          <cell r="BC119">
            <v>4201.4500000000007</v>
          </cell>
          <cell r="BD119">
            <v>4141.5</v>
          </cell>
          <cell r="BE119">
            <v>4090.9000000000005</v>
          </cell>
        </row>
        <row r="121">
          <cell r="A121" t="str">
            <v>DATA REVENUE</v>
          </cell>
        </row>
        <row r="123">
          <cell r="A123" t="str">
            <v>DSL Revenue</v>
          </cell>
          <cell r="K123">
            <v>67.917000000000002</v>
          </cell>
          <cell r="L123">
            <v>140.45400000000001</v>
          </cell>
          <cell r="M123">
            <v>227.79000000000002</v>
          </cell>
          <cell r="N123">
            <v>326.01549999999997</v>
          </cell>
          <cell r="O123">
            <v>437.4666666666667</v>
          </cell>
          <cell r="P123">
            <v>549.99772016460918</v>
          </cell>
          <cell r="Q123">
            <v>654.39236213991762</v>
          </cell>
          <cell r="R123">
            <v>750.83059259259267</v>
          </cell>
          <cell r="S123">
            <v>839.49241152263392</v>
          </cell>
          <cell r="T123">
            <v>920.55781893004132</v>
          </cell>
          <cell r="U123">
            <v>994.20681481481495</v>
          </cell>
          <cell r="AQ123">
            <v>10.811999999999999</v>
          </cell>
          <cell r="AR123">
            <v>14.787000000000001</v>
          </cell>
          <cell r="AS123">
            <v>18.762</v>
          </cell>
          <cell r="AT123">
            <v>23.556000000000001</v>
          </cell>
          <cell r="AU123">
            <v>24.42</v>
          </cell>
          <cell r="AV123">
            <v>33.450000000000003</v>
          </cell>
          <cell r="AW123">
            <v>38.808</v>
          </cell>
          <cell r="AX123">
            <v>43.776000000000003</v>
          </cell>
          <cell r="AY123">
            <v>48.161999999999999</v>
          </cell>
          <cell r="AZ123">
            <v>52.853999999999999</v>
          </cell>
          <cell r="BA123">
            <v>59.616</v>
          </cell>
          <cell r="BB123">
            <v>67.158000000000001</v>
          </cell>
          <cell r="BC123">
            <v>71.905500000000004</v>
          </cell>
          <cell r="BD123">
            <v>76.11</v>
          </cell>
          <cell r="BE123">
            <v>87</v>
          </cell>
          <cell r="BF123">
            <v>91</v>
          </cell>
          <cell r="BG123">
            <v>98</v>
          </cell>
          <cell r="BH123">
            <v>106.6</v>
          </cell>
          <cell r="BI123">
            <v>112.93333333333335</v>
          </cell>
          <cell r="BJ123">
            <v>119.93333333333334</v>
          </cell>
          <cell r="BM123">
            <v>0</v>
          </cell>
          <cell r="BO123">
            <v>0</v>
          </cell>
        </row>
        <row r="124">
          <cell r="A124" t="str">
            <v>% growth</v>
          </cell>
          <cell r="L124">
            <v>1.0680242060161667</v>
          </cell>
          <cell r="M124">
            <v>0.62181212354222737</v>
          </cell>
          <cell r="N124">
            <v>0.43121076430045191</v>
          </cell>
          <cell r="O124">
            <v>0.34185849036830063</v>
          </cell>
          <cell r="P124">
            <v>0.2572334353046537</v>
          </cell>
          <cell r="Q124">
            <v>0.18980922674382006</v>
          </cell>
          <cell r="R124">
            <v>0.14737065410927785</v>
          </cell>
          <cell r="S124">
            <v>0.11808498455543082</v>
          </cell>
          <cell r="T124">
            <v>9.6564788787518063E-2</v>
          </cell>
          <cell r="U124">
            <v>8.0004747524034192E-2</v>
          </cell>
          <cell r="AU124">
            <v>1.2586015538290791</v>
          </cell>
          <cell r="AV124">
            <v>1.2621221343071616</v>
          </cell>
          <cell r="AW124">
            <v>1.0684362008314676</v>
          </cell>
          <cell r="AX124">
            <v>0.85838003056546119</v>
          </cell>
          <cell r="AY124">
            <v>0.97223587223587216</v>
          </cell>
          <cell r="AZ124">
            <v>0.58008968609865463</v>
          </cell>
          <cell r="BA124">
            <v>0.53617810760667894</v>
          </cell>
          <cell r="BB124">
            <v>0.53412828947368407</v>
          </cell>
          <cell r="BC124">
            <v>0.49299240064781369</v>
          </cell>
          <cell r="BD124">
            <v>0.44000454081053464</v>
          </cell>
          <cell r="BE124">
            <v>0.4593397745571659</v>
          </cell>
          <cell r="BF124">
            <v>0.3550135501355014</v>
          </cell>
          <cell r="BG124">
            <v>0.36289991725250492</v>
          </cell>
          <cell r="BH124">
            <v>0.40060438838523194</v>
          </cell>
          <cell r="BI124">
            <v>0.29808429118773971</v>
          </cell>
          <cell r="BJ124">
            <v>0.31794871794871793</v>
          </cell>
        </row>
        <row r="125">
          <cell r="A125" t="str">
            <v>seq. growth</v>
          </cell>
          <cell r="AR125">
            <v>0.36764705882352966</v>
          </cell>
          <cell r="AS125">
            <v>0.26881720430107525</v>
          </cell>
          <cell r="AT125">
            <v>0.25551646945954598</v>
          </cell>
          <cell r="AU125">
            <v>3.6678553234844591E-2</v>
          </cell>
          <cell r="AV125">
            <v>0.36977886977886976</v>
          </cell>
          <cell r="AW125">
            <v>0.16017937219730927</v>
          </cell>
          <cell r="AX125">
            <v>0.12801484230055671</v>
          </cell>
          <cell r="AY125">
            <v>0.10019188596491224</v>
          </cell>
          <cell r="AZ125">
            <v>9.7421203438395443E-2</v>
          </cell>
          <cell r="BA125">
            <v>0.12793733681462149</v>
          </cell>
          <cell r="BB125">
            <v>0.12650966183574885</v>
          </cell>
          <cell r="BC125">
            <v>7.0691503618332874E-2</v>
          </cell>
          <cell r="BD125">
            <v>5.8472578592736246E-2</v>
          </cell>
          <cell r="BE125">
            <v>0.1430823807646826</v>
          </cell>
          <cell r="BF125">
            <v>4.5977011494252817E-2</v>
          </cell>
          <cell r="BG125">
            <v>7.6923076923076872E-2</v>
          </cell>
          <cell r="BH125">
            <v>8.7755102040816269E-2</v>
          </cell>
          <cell r="BI125">
            <v>5.9412132582864485E-2</v>
          </cell>
          <cell r="BJ125">
            <v>6.198347107438007E-2</v>
          </cell>
        </row>
        <row r="126">
          <cell r="A126" t="str">
            <v>% of local revenues</v>
          </cell>
          <cell r="AX126">
            <v>2.8333980582524274E-2</v>
          </cell>
          <cell r="AY126">
            <v>3.1980079681274899E-2</v>
          </cell>
          <cell r="AZ126">
            <v>3.5002649006622519E-2</v>
          </cell>
          <cell r="BA126">
            <v>3.9850267379679144E-2</v>
          </cell>
          <cell r="BB126">
            <v>4.4504970178926441E-2</v>
          </cell>
          <cell r="BC126">
            <v>4.5025360050093929E-2</v>
          </cell>
          <cell r="BD126">
            <v>4.7837837837837835E-2</v>
          </cell>
          <cell r="BE126">
            <v>5.2033492822966508E-2</v>
          </cell>
          <cell r="BF126">
            <v>5.4589082183563287E-2</v>
          </cell>
          <cell r="BG126">
            <v>6.0493827160493827E-2</v>
          </cell>
          <cell r="BH126">
            <v>6.6318088177674747E-2</v>
          </cell>
          <cell r="BI126">
            <v>7.1043058142798376E-2</v>
          </cell>
          <cell r="BJ126">
            <v>7.6929353110947785E-2</v>
          </cell>
        </row>
        <row r="127">
          <cell r="A127" t="str">
            <v>Other Data</v>
          </cell>
          <cell r="K127">
            <v>578.08299999999997</v>
          </cell>
          <cell r="L127">
            <v>589.54600000000005</v>
          </cell>
          <cell r="M127">
            <v>605.21</v>
          </cell>
          <cell r="N127">
            <v>656.98450000000003</v>
          </cell>
          <cell r="O127">
            <v>676</v>
          </cell>
          <cell r="P127">
            <v>678</v>
          </cell>
          <cell r="Q127">
            <v>680</v>
          </cell>
          <cell r="R127">
            <v>682</v>
          </cell>
          <cell r="S127">
            <v>684</v>
          </cell>
          <cell r="T127">
            <v>686</v>
          </cell>
          <cell r="U127">
            <v>688</v>
          </cell>
          <cell r="AQ127">
            <v>143.18799999999999</v>
          </cell>
          <cell r="AR127">
            <v>146.21299999999999</v>
          </cell>
          <cell r="AS127">
            <v>144.238</v>
          </cell>
          <cell r="AT127">
            <v>144.44399999999999</v>
          </cell>
          <cell r="AU127">
            <v>148.57999999999998</v>
          </cell>
          <cell r="AV127">
            <v>142.55000000000001</v>
          </cell>
          <cell r="AW127">
            <v>148.19200000000001</v>
          </cell>
          <cell r="AX127">
            <v>150.22399999999999</v>
          </cell>
          <cell r="AY127">
            <v>146.83799999999999</v>
          </cell>
          <cell r="AZ127">
            <v>152.14600000000002</v>
          </cell>
          <cell r="BA127">
            <v>154.38400000000001</v>
          </cell>
          <cell r="BB127">
            <v>151.84199999999998</v>
          </cell>
          <cell r="BC127">
            <v>161.09449999999998</v>
          </cell>
          <cell r="BD127">
            <v>163.89</v>
          </cell>
          <cell r="BE127">
            <v>164</v>
          </cell>
          <cell r="BF127">
            <v>168</v>
          </cell>
          <cell r="BG127">
            <v>169</v>
          </cell>
          <cell r="BH127">
            <v>169</v>
          </cell>
          <cell r="BI127">
            <v>169</v>
          </cell>
          <cell r="BJ127">
            <v>169</v>
          </cell>
          <cell r="BM127">
            <v>0</v>
          </cell>
          <cell r="BO127">
            <v>0</v>
          </cell>
        </row>
        <row r="128">
          <cell r="A128" t="str">
            <v>% growth</v>
          </cell>
          <cell r="L128">
            <v>1.9829332466099192E-2</v>
          </cell>
          <cell r="M128">
            <v>2.6569597622577268E-2</v>
          </cell>
          <cell r="N128">
            <v>8.5547991606219398E-2</v>
          </cell>
          <cell r="O128">
            <v>2.8943605214430512E-2</v>
          </cell>
          <cell r="P128">
            <v>2.9585798816567088E-3</v>
          </cell>
          <cell r="Q128">
            <v>2.9498525073745618E-3</v>
          </cell>
          <cell r="R128">
            <v>2.9411764705882248E-3</v>
          </cell>
          <cell r="S128">
            <v>2.9325513196480912E-3</v>
          </cell>
          <cell r="T128">
            <v>2.9239766081872176E-3</v>
          </cell>
          <cell r="U128">
            <v>2.9154518950438302E-3</v>
          </cell>
          <cell r="AU128">
            <v>3.7656786881582249E-2</v>
          </cell>
          <cell r="AV128">
            <v>-2.505249191248371E-2</v>
          </cell>
          <cell r="AW128">
            <v>2.7413025693645343E-2</v>
          </cell>
          <cell r="AX128">
            <v>4.0015507740023937E-2</v>
          </cell>
          <cell r="AY128">
            <v>-1.1724323596715491E-2</v>
          </cell>
          <cell r="AZ128">
            <v>6.7316730971588967E-2</v>
          </cell>
          <cell r="BA128">
            <v>4.1783632044914754E-2</v>
          </cell>
          <cell r="BB128">
            <v>1.0770582596655531E-2</v>
          </cell>
          <cell r="BC128">
            <v>9.7089990329478626E-2</v>
          </cell>
          <cell r="BD128">
            <v>7.7189015813757589E-2</v>
          </cell>
          <cell r="BE128">
            <v>6.2286247279510709E-2</v>
          </cell>
          <cell r="BF128">
            <v>0.10641324534713736</v>
          </cell>
          <cell r="BG128">
            <v>4.907368035531956E-2</v>
          </cell>
          <cell r="BH128">
            <v>3.1179449630849954E-2</v>
          </cell>
          <cell r="BI128">
            <v>3.0487804878048808E-2</v>
          </cell>
          <cell r="BJ128">
            <v>5.9523809523809312E-3</v>
          </cell>
        </row>
        <row r="129">
          <cell r="A129" t="str">
            <v>seq. growth</v>
          </cell>
          <cell r="AR129">
            <v>2.1126072017208175E-2</v>
          </cell>
          <cell r="AS129">
            <v>-1.3507690834604236E-2</v>
          </cell>
          <cell r="AT129">
            <v>1.4281950664871701E-3</v>
          </cell>
          <cell r="AU129">
            <v>2.863393425825933E-2</v>
          </cell>
          <cell r="AV129">
            <v>-4.0584197065553718E-2</v>
          </cell>
          <cell r="AW129">
            <v>3.9579095054366853E-2</v>
          </cell>
          <cell r="AX129">
            <v>1.3711941265385219E-2</v>
          </cell>
          <cell r="AY129">
            <v>-2.2539674086697215E-2</v>
          </cell>
          <cell r="AZ129">
            <v>3.6148680859178217E-2</v>
          </cell>
          <cell r="BA129">
            <v>1.4709555295571386E-2</v>
          </cell>
          <cell r="BB129">
            <v>-1.6465436832832636E-2</v>
          </cell>
          <cell r="BC129">
            <v>6.0935050908180965E-2</v>
          </cell>
          <cell r="BD129">
            <v>1.7353168481853753E-2</v>
          </cell>
          <cell r="BE129">
            <v>6.7118189029224951E-4</v>
          </cell>
          <cell r="BF129">
            <v>2.4390243902439046E-2</v>
          </cell>
          <cell r="BG129">
            <v>5.9523809523809312E-3</v>
          </cell>
          <cell r="BH129">
            <v>0</v>
          </cell>
          <cell r="BI129">
            <v>0</v>
          </cell>
          <cell r="BJ129">
            <v>0</v>
          </cell>
        </row>
        <row r="130">
          <cell r="A130" t="str">
            <v>% of local revenues</v>
          </cell>
          <cell r="AQ130">
            <v>9.1493929712460051E-2</v>
          </cell>
          <cell r="AR130">
            <v>9.4452842377260982E-2</v>
          </cell>
          <cell r="AS130">
            <v>9.1289873417721518E-2</v>
          </cell>
          <cell r="AT130">
            <v>9.2355498721227614E-2</v>
          </cell>
          <cell r="AU130">
            <v>9.6984334203655348E-2</v>
          </cell>
          <cell r="AV130">
            <v>9.3414154652686765E-2</v>
          </cell>
          <cell r="AW130">
            <v>9.7047806155861172E-2</v>
          </cell>
          <cell r="AX130">
            <v>9.7232362459546917E-2</v>
          </cell>
          <cell r="AY130">
            <v>9.75019920318725E-2</v>
          </cell>
          <cell r="AZ130">
            <v>0.100758940397351</v>
          </cell>
          <cell r="BA130">
            <v>0.10319786096256685</v>
          </cell>
          <cell r="BB130">
            <v>0.10062425447316102</v>
          </cell>
          <cell r="BC130">
            <v>0.10087319974953037</v>
          </cell>
          <cell r="BD130">
            <v>0.10301068510370835</v>
          </cell>
          <cell r="BE130">
            <v>9.8086124401913874E-2</v>
          </cell>
          <cell r="BF130">
            <v>0.10077984403119376</v>
          </cell>
          <cell r="BG130">
            <v>0.10432098765432099</v>
          </cell>
          <cell r="BH130">
            <v>0.10513843247680144</v>
          </cell>
          <cell r="BI130">
            <v>0.10631295890908728</v>
          </cell>
          <cell r="BJ130">
            <v>0.10840239585116877</v>
          </cell>
        </row>
        <row r="131">
          <cell r="A131" t="str">
            <v>Total Data Revenue</v>
          </cell>
          <cell r="K131">
            <v>646</v>
          </cell>
          <cell r="L131">
            <v>730</v>
          </cell>
          <cell r="M131">
            <v>833</v>
          </cell>
          <cell r="N131">
            <v>983</v>
          </cell>
          <cell r="O131">
            <v>1113.4666666666667</v>
          </cell>
          <cell r="P131">
            <v>1227.9977201646093</v>
          </cell>
          <cell r="Q131">
            <v>1334.3923621399176</v>
          </cell>
          <cell r="R131">
            <v>1432.8305925925927</v>
          </cell>
          <cell r="S131">
            <v>1523.492411522634</v>
          </cell>
          <cell r="T131">
            <v>1606.5578189300413</v>
          </cell>
          <cell r="U131">
            <v>1682.2068148148151</v>
          </cell>
          <cell r="AQ131">
            <v>154</v>
          </cell>
          <cell r="AR131">
            <v>161</v>
          </cell>
          <cell r="AS131">
            <v>163</v>
          </cell>
          <cell r="AT131">
            <v>168</v>
          </cell>
          <cell r="AU131">
            <v>173</v>
          </cell>
          <cell r="AV131">
            <v>176</v>
          </cell>
          <cell r="AW131">
            <v>187</v>
          </cell>
          <cell r="AX131">
            <v>194</v>
          </cell>
          <cell r="AY131">
            <v>195</v>
          </cell>
          <cell r="AZ131">
            <v>205</v>
          </cell>
          <cell r="BA131">
            <v>214</v>
          </cell>
          <cell r="BB131">
            <v>219</v>
          </cell>
          <cell r="BC131">
            <v>233</v>
          </cell>
          <cell r="BD131">
            <v>240</v>
          </cell>
          <cell r="BE131">
            <v>251</v>
          </cell>
          <cell r="BF131">
            <v>259</v>
          </cell>
          <cell r="BG131">
            <v>267</v>
          </cell>
          <cell r="BH131">
            <v>275.60000000000002</v>
          </cell>
          <cell r="BI131">
            <v>281.93333333333334</v>
          </cell>
          <cell r="BJ131">
            <v>288.93333333333334</v>
          </cell>
          <cell r="BM131">
            <v>0</v>
          </cell>
          <cell r="BO131">
            <v>0</v>
          </cell>
        </row>
        <row r="132">
          <cell r="A132" t="str">
            <v>% growth</v>
          </cell>
          <cell r="L132">
            <v>0.13003095975232193</v>
          </cell>
          <cell r="M132">
            <v>0.14109589041095894</v>
          </cell>
          <cell r="N132">
            <v>0.18007202881152451</v>
          </cell>
          <cell r="O132">
            <v>0.13272295693455405</v>
          </cell>
          <cell r="P132">
            <v>0.10285988519154232</v>
          </cell>
          <cell r="Q132">
            <v>8.6640748780092647E-2</v>
          </cell>
          <cell r="R132">
            <v>7.3770079360176544E-2</v>
          </cell>
          <cell r="S132">
            <v>6.327462534562156E-2</v>
          </cell>
          <cell r="T132">
            <v>5.4523020120847754E-2</v>
          </cell>
          <cell r="U132">
            <v>4.7087627344253091E-2</v>
          </cell>
          <cell r="AU132">
            <v>0.12337662337662336</v>
          </cell>
          <cell r="AV132">
            <v>9.3167701863354102E-2</v>
          </cell>
          <cell r="AW132">
            <v>0.14723926380368102</v>
          </cell>
          <cell r="AX132">
            <v>0.15476190476190466</v>
          </cell>
          <cell r="AY132">
            <v>0.12716763005780352</v>
          </cell>
          <cell r="AZ132">
            <v>0.16477272727272729</v>
          </cell>
          <cell r="BA132">
            <v>0.14438502673796783</v>
          </cell>
          <cell r="BB132">
            <v>0.12886597938144329</v>
          </cell>
          <cell r="BC132">
            <v>0.19487179487179485</v>
          </cell>
          <cell r="BD132">
            <v>0.1707317073170731</v>
          </cell>
          <cell r="BE132">
            <v>0.17289719626168232</v>
          </cell>
          <cell r="BF132">
            <v>0.18264840182648401</v>
          </cell>
          <cell r="BG132">
            <v>0.14592274678111594</v>
          </cell>
          <cell r="BH132">
            <v>0.14833333333333343</v>
          </cell>
          <cell r="BI132">
            <v>0.1232403718459496</v>
          </cell>
          <cell r="BJ132">
            <v>0.11557271557271553</v>
          </cell>
        </row>
        <row r="133">
          <cell r="A133" t="str">
            <v>seq. growth</v>
          </cell>
          <cell r="AR133">
            <v>4.5454545454545414E-2</v>
          </cell>
          <cell r="AS133">
            <v>1.2422360248447228E-2</v>
          </cell>
          <cell r="AT133">
            <v>3.0674846625766916E-2</v>
          </cell>
          <cell r="AU133">
            <v>2.9761904761904656E-2</v>
          </cell>
          <cell r="AV133">
            <v>1.7341040462427681E-2</v>
          </cell>
          <cell r="AW133">
            <v>6.25E-2</v>
          </cell>
          <cell r="AX133">
            <v>3.7433155080213831E-2</v>
          </cell>
          <cell r="AY133">
            <v>5.1546391752577136E-3</v>
          </cell>
          <cell r="AZ133">
            <v>5.1282051282051322E-2</v>
          </cell>
          <cell r="BA133">
            <v>4.3902439024390283E-2</v>
          </cell>
          <cell r="BB133">
            <v>2.3364485981308469E-2</v>
          </cell>
          <cell r="BC133">
            <v>6.3926940639269514E-2</v>
          </cell>
          <cell r="BD133">
            <v>3.0042918454935563E-2</v>
          </cell>
          <cell r="BE133">
            <v>4.5833333333333393E-2</v>
          </cell>
          <cell r="BF133">
            <v>3.1872509960159334E-2</v>
          </cell>
          <cell r="BG133">
            <v>3.0888030888030826E-2</v>
          </cell>
          <cell r="BH133">
            <v>3.2209737827715523E-2</v>
          </cell>
          <cell r="BI133">
            <v>2.2980164489598387E-2</v>
          </cell>
          <cell r="BJ133">
            <v>2.4828564672499498E-2</v>
          </cell>
        </row>
        <row r="134">
          <cell r="A134" t="str">
            <v>% of local revenues</v>
          </cell>
          <cell r="AQ134">
            <v>9.840255591054313E-2</v>
          </cell>
          <cell r="AR134">
            <v>0.10400516795865633</v>
          </cell>
          <cell r="AS134">
            <v>0.10316455696202531</v>
          </cell>
          <cell r="AT134">
            <v>0.10741687979539642</v>
          </cell>
          <cell r="AU134">
            <v>0.1129242819843342</v>
          </cell>
          <cell r="AV134">
            <v>0.11533420707732635</v>
          </cell>
          <cell r="AW134">
            <v>0.12246234446627374</v>
          </cell>
          <cell r="AX134">
            <v>0.1255663430420712</v>
          </cell>
          <cell r="AY134">
            <v>0.12948207171314741</v>
          </cell>
          <cell r="AZ134">
            <v>0.13576158940397351</v>
          </cell>
          <cell r="BA134">
            <v>0.14304812834224598</v>
          </cell>
          <cell r="BB134">
            <v>0.14512922465208747</v>
          </cell>
          <cell r="BC134">
            <v>0.14589855979962429</v>
          </cell>
          <cell r="BD134">
            <v>0.15084852294154619</v>
          </cell>
          <cell r="BE134">
            <v>0.15011961722488038</v>
          </cell>
          <cell r="BF134">
            <v>0.15536892621475704</v>
          </cell>
          <cell r="BG134">
            <v>0.1648148148148148</v>
          </cell>
          <cell r="BH134">
            <v>0.1714565206544762</v>
          </cell>
          <cell r="BI134">
            <v>0.17735601705188564</v>
          </cell>
          <cell r="BJ134">
            <v>0.18533174896211654</v>
          </cell>
        </row>
        <row r="135">
          <cell r="A135" t="str">
            <v>avg. data revenue per access line</v>
          </cell>
          <cell r="K135">
            <v>6.6606630728203449</v>
          </cell>
          <cell r="L135">
            <v>7.6936048227309133</v>
          </cell>
          <cell r="M135">
            <v>9.0527734307077043</v>
          </cell>
          <cell r="N135">
            <v>11.145124716553289</v>
          </cell>
          <cell r="O135">
            <v>13.193358295021882</v>
          </cell>
          <cell r="P135">
            <v>15.316604279634431</v>
          </cell>
          <cell r="Q135">
            <v>17.512146110854079</v>
          </cell>
          <cell r="R135">
            <v>19.788456802873636</v>
          </cell>
          <cell r="S135">
            <v>22.14312098292773</v>
          </cell>
          <cell r="T135">
            <v>24.571855006316198</v>
          </cell>
          <cell r="U135">
            <v>27.068093541937639</v>
          </cell>
          <cell r="AQ135">
            <v>6.2415770576215364</v>
          </cell>
          <cell r="AR135">
            <v>6.5630947003387083</v>
          </cell>
          <cell r="AS135">
            <v>6.6900178255099449</v>
          </cell>
          <cell r="AT135">
            <v>6.9287392955654363</v>
          </cell>
          <cell r="AU135">
            <v>7.1493511860484347</v>
          </cell>
          <cell r="AV135">
            <v>7.3498705420529529</v>
          </cell>
          <cell r="AW135">
            <v>7.8456052024333971</v>
          </cell>
          <cell r="AX135">
            <v>8.1784073184098478</v>
          </cell>
          <cell r="AY135">
            <v>8.2529202640934489</v>
          </cell>
          <cell r="AZ135">
            <v>8.7832047986289634</v>
          </cell>
          <cell r="BA135">
            <v>9.2424635052258797</v>
          </cell>
          <cell r="BB135">
            <v>9.5200834637454346</v>
          </cell>
          <cell r="BC135">
            <v>10.167124841820483</v>
          </cell>
          <cell r="BD135">
            <v>10.624169986719787</v>
          </cell>
          <cell r="BE135">
            <v>11.248543515281886</v>
          </cell>
          <cell r="BF135">
            <v>11.746031746031745</v>
          </cell>
          <cell r="BG135">
            <v>12.260641961702714</v>
          </cell>
          <cell r="BH135">
            <v>12.794800371402044</v>
          </cell>
          <cell r="BI135">
            <v>13.234442723247115</v>
          </cell>
          <cell r="BJ135">
            <v>13.719531497309275</v>
          </cell>
        </row>
        <row r="137">
          <cell r="A137" t="str">
            <v>DSL Subscribers (000s)</v>
          </cell>
          <cell r="I137">
            <v>19</v>
          </cell>
          <cell r="J137">
            <v>55.1</v>
          </cell>
          <cell r="K137">
            <v>151</v>
          </cell>
          <cell r="L137">
            <v>304</v>
          </cell>
          <cell r="M137">
            <v>492</v>
          </cell>
          <cell r="N137">
            <v>693</v>
          </cell>
          <cell r="O137">
            <v>927</v>
          </cell>
          <cell r="P137">
            <v>1156</v>
          </cell>
          <cell r="Q137">
            <v>1380</v>
          </cell>
          <cell r="R137">
            <v>1599</v>
          </cell>
          <cell r="S137">
            <v>1813</v>
          </cell>
          <cell r="T137">
            <v>2022</v>
          </cell>
          <cell r="U137">
            <v>2226</v>
          </cell>
          <cell r="AH137">
            <v>1</v>
          </cell>
          <cell r="AI137">
            <v>4</v>
          </cell>
          <cell r="AJ137">
            <v>8</v>
          </cell>
          <cell r="AK137">
            <v>13</v>
          </cell>
          <cell r="AL137">
            <v>19</v>
          </cell>
          <cell r="AM137">
            <v>28</v>
          </cell>
          <cell r="AN137">
            <v>35</v>
          </cell>
          <cell r="AO137">
            <v>42</v>
          </cell>
          <cell r="AP137">
            <v>55.1</v>
          </cell>
          <cell r="AQ137">
            <v>68</v>
          </cell>
          <cell r="AR137">
            <v>93</v>
          </cell>
          <cell r="AS137">
            <v>118</v>
          </cell>
          <cell r="AT137">
            <v>151</v>
          </cell>
          <cell r="AU137">
            <v>185</v>
          </cell>
          <cell r="AV137">
            <v>223</v>
          </cell>
          <cell r="AW137">
            <v>264</v>
          </cell>
          <cell r="AX137">
            <v>304</v>
          </cell>
          <cell r="AY137">
            <v>349</v>
          </cell>
          <cell r="AZ137">
            <v>383</v>
          </cell>
          <cell r="BA137">
            <v>432</v>
          </cell>
          <cell r="BB137">
            <v>492</v>
          </cell>
          <cell r="BC137">
            <v>551</v>
          </cell>
          <cell r="BD137">
            <v>590</v>
          </cell>
          <cell r="BE137">
            <v>638</v>
          </cell>
          <cell r="BF137">
            <v>693</v>
          </cell>
          <cell r="BG137">
            <v>777</v>
          </cell>
          <cell r="BH137">
            <v>822</v>
          </cell>
          <cell r="BI137">
            <v>872</v>
          </cell>
          <cell r="BJ137">
            <v>927</v>
          </cell>
          <cell r="BM137">
            <v>0</v>
          </cell>
        </row>
        <row r="138">
          <cell r="A138" t="str">
            <v>% growth</v>
          </cell>
          <cell r="J138">
            <v>1.9</v>
          </cell>
          <cell r="K138">
            <v>1.7404718693284935</v>
          </cell>
          <cell r="L138">
            <v>1.0132450331125828</v>
          </cell>
          <cell r="M138">
            <v>0.61842105263157898</v>
          </cell>
          <cell r="N138">
            <v>0.40853658536585358</v>
          </cell>
          <cell r="O138">
            <v>0.33766233766233755</v>
          </cell>
          <cell r="P138">
            <v>0.24703344120819848</v>
          </cell>
          <cell r="Q138">
            <v>0.19377162629757794</v>
          </cell>
          <cell r="R138">
            <v>0.15869565217391313</v>
          </cell>
          <cell r="S138">
            <v>0.13383364602876791</v>
          </cell>
          <cell r="T138">
            <v>0.11527854384997238</v>
          </cell>
          <cell r="U138">
            <v>0.10089020771513346</v>
          </cell>
          <cell r="AU138">
            <v>1.7205882352941178</v>
          </cell>
          <cell r="AV138">
            <v>1.3978494623655915</v>
          </cell>
          <cell r="AW138">
            <v>1.2372881355932202</v>
          </cell>
          <cell r="AX138">
            <v>1.0132450331125828</v>
          </cell>
          <cell r="AY138">
            <v>0.88648648648648654</v>
          </cell>
          <cell r="AZ138">
            <v>0.71748878923766823</v>
          </cell>
          <cell r="BA138">
            <v>0.63636363636363646</v>
          </cell>
          <cell r="BB138">
            <v>0.61842105263157898</v>
          </cell>
          <cell r="BC138">
            <v>0.57879656160458448</v>
          </cell>
          <cell r="BD138">
            <v>0.54046997389033935</v>
          </cell>
          <cell r="BE138">
            <v>0.47685185185185186</v>
          </cell>
          <cell r="BF138">
            <v>0.40853658536585358</v>
          </cell>
          <cell r="BG138">
            <v>0.41016333938294003</v>
          </cell>
          <cell r="BH138">
            <v>0.39322033898305087</v>
          </cell>
          <cell r="BI138">
            <v>0.36677115987460818</v>
          </cell>
          <cell r="BJ138">
            <v>0.33766233766233755</v>
          </cell>
        </row>
        <row r="139">
          <cell r="A139" t="str">
            <v>average DSL subs</v>
          </cell>
          <cell r="K139">
            <v>103.05</v>
          </cell>
          <cell r="L139">
            <v>227.5</v>
          </cell>
          <cell r="M139">
            <v>398</v>
          </cell>
          <cell r="N139">
            <v>592.5</v>
          </cell>
          <cell r="O139">
            <v>810</v>
          </cell>
          <cell r="P139">
            <v>1041.5</v>
          </cell>
          <cell r="Q139">
            <v>1268</v>
          </cell>
          <cell r="R139">
            <v>1489.5</v>
          </cell>
          <cell r="S139">
            <v>1706</v>
          </cell>
          <cell r="T139">
            <v>1917.5</v>
          </cell>
          <cell r="U139">
            <v>2124</v>
          </cell>
          <cell r="AR139">
            <v>80.5</v>
          </cell>
          <cell r="AS139">
            <v>105.5</v>
          </cell>
          <cell r="AT139">
            <v>134.5</v>
          </cell>
          <cell r="AU139">
            <v>168</v>
          </cell>
          <cell r="AV139">
            <v>204</v>
          </cell>
          <cell r="AW139">
            <v>243.5</v>
          </cell>
          <cell r="AX139">
            <v>284</v>
          </cell>
          <cell r="AY139">
            <v>326.5</v>
          </cell>
          <cell r="AZ139">
            <v>366</v>
          </cell>
          <cell r="BA139">
            <v>407.5</v>
          </cell>
          <cell r="BB139">
            <v>462</v>
          </cell>
          <cell r="BC139">
            <v>521.5</v>
          </cell>
          <cell r="BD139">
            <v>570.5</v>
          </cell>
          <cell r="BE139">
            <v>614</v>
          </cell>
          <cell r="BF139">
            <v>665.5</v>
          </cell>
          <cell r="BG139">
            <v>735</v>
          </cell>
          <cell r="BH139">
            <v>799.5</v>
          </cell>
          <cell r="BI139">
            <v>847</v>
          </cell>
          <cell r="BJ139">
            <v>899.5</v>
          </cell>
        </row>
        <row r="140">
          <cell r="A140" t="str">
            <v>Net adds (000s)</v>
          </cell>
          <cell r="J140">
            <v>36.1</v>
          </cell>
          <cell r="K140">
            <v>95.9</v>
          </cell>
          <cell r="L140">
            <v>153</v>
          </cell>
          <cell r="M140">
            <v>188</v>
          </cell>
          <cell r="N140">
            <v>201</v>
          </cell>
          <cell r="O140">
            <v>234</v>
          </cell>
          <cell r="P140">
            <v>229</v>
          </cell>
          <cell r="Q140">
            <v>224</v>
          </cell>
          <cell r="R140">
            <v>219</v>
          </cell>
          <cell r="S140">
            <v>214</v>
          </cell>
          <cell r="T140">
            <v>209</v>
          </cell>
          <cell r="U140">
            <v>204</v>
          </cell>
          <cell r="AI140">
            <v>3</v>
          </cell>
          <cell r="AJ140">
            <v>4</v>
          </cell>
          <cell r="AK140">
            <v>5</v>
          </cell>
          <cell r="AL140">
            <v>6</v>
          </cell>
          <cell r="AM140">
            <v>9</v>
          </cell>
          <cell r="AN140">
            <v>7</v>
          </cell>
          <cell r="AO140">
            <v>7</v>
          </cell>
          <cell r="AP140">
            <v>13.100000000000001</v>
          </cell>
          <cell r="AQ140">
            <v>12.899999999999999</v>
          </cell>
          <cell r="AR140">
            <v>25</v>
          </cell>
          <cell r="AS140">
            <v>25</v>
          </cell>
          <cell r="AT140">
            <v>33</v>
          </cell>
          <cell r="AU140">
            <v>34</v>
          </cell>
          <cell r="AV140">
            <v>38</v>
          </cell>
          <cell r="AW140">
            <v>41</v>
          </cell>
          <cell r="AX140">
            <v>40</v>
          </cell>
          <cell r="AY140">
            <v>45</v>
          </cell>
          <cell r="AZ140">
            <v>34</v>
          </cell>
          <cell r="BA140">
            <v>49</v>
          </cell>
          <cell r="BB140">
            <v>60</v>
          </cell>
          <cell r="BC140">
            <v>59</v>
          </cell>
          <cell r="BD140">
            <v>39</v>
          </cell>
          <cell r="BE140">
            <v>48</v>
          </cell>
          <cell r="BF140">
            <v>55</v>
          </cell>
          <cell r="BG140">
            <v>84</v>
          </cell>
          <cell r="BH140">
            <v>45</v>
          </cell>
          <cell r="BI140">
            <v>50</v>
          </cell>
          <cell r="BJ140">
            <v>55</v>
          </cell>
          <cell r="BM140">
            <v>0</v>
          </cell>
        </row>
        <row r="141">
          <cell r="A141" t="str">
            <v>% penetration of capable lines</v>
          </cell>
          <cell r="J141">
            <v>1.9E-2</v>
          </cell>
          <cell r="K141">
            <v>0.04</v>
          </cell>
          <cell r="L141">
            <v>6.832689022745661E-2</v>
          </cell>
          <cell r="M141">
            <v>9.1661077576570549E-2</v>
          </cell>
          <cell r="N141">
            <v>0.12699285321605278</v>
          </cell>
          <cell r="O141">
            <v>0.17844767844767845</v>
          </cell>
          <cell r="P141">
            <v>0.22807241474785853</v>
          </cell>
          <cell r="Q141">
            <v>0.27911541222011199</v>
          </cell>
          <cell r="R141">
            <v>0.33181804113090974</v>
          </cell>
          <cell r="S141">
            <v>0.38626804751863725</v>
          </cell>
          <cell r="T141">
            <v>0.44251955498723494</v>
          </cell>
          <cell r="U141">
            <v>0.50058465715497824</v>
          </cell>
          <cell r="AL141">
            <v>1.2E-2</v>
          </cell>
          <cell r="AM141">
            <v>1.4E-2</v>
          </cell>
          <cell r="AN141">
            <v>1.6E-2</v>
          </cell>
          <cell r="AP141">
            <v>1.9E-2</v>
          </cell>
          <cell r="AQ141">
            <v>2.3E-2</v>
          </cell>
          <cell r="AR141">
            <v>2.3E-2</v>
          </cell>
          <cell r="AS141">
            <v>2.3E-2</v>
          </cell>
          <cell r="AT141">
            <v>0.04</v>
          </cell>
          <cell r="AU141">
            <v>4.3999999999999997E-2</v>
          </cell>
          <cell r="AV141">
            <v>4.3999999999999997E-2</v>
          </cell>
          <cell r="AW141">
            <v>5.9336509934370216E-2</v>
          </cell>
          <cell r="AX141">
            <v>6.832689022745661E-2</v>
          </cell>
          <cell r="AY141">
            <v>7.107942973523422E-2</v>
          </cell>
          <cell r="AZ141">
            <v>7.6523476523476519E-2</v>
          </cell>
          <cell r="BA141">
            <v>8.3301195526417279E-2</v>
          </cell>
          <cell r="BB141">
            <v>9.1661077576570549E-2</v>
          </cell>
          <cell r="BC141">
            <v>0.10018181818181818</v>
          </cell>
          <cell r="BD141">
            <v>0.10999999999999999</v>
          </cell>
          <cell r="BE141">
            <v>0.12</v>
          </cell>
          <cell r="BF141">
            <v>0.12699285321605278</v>
          </cell>
          <cell r="BG141">
            <v>0.14346381093057606</v>
          </cell>
          <cell r="BH141">
            <v>0.15682832830923038</v>
          </cell>
          <cell r="BI141">
            <v>0.1682186379306021</v>
          </cell>
          <cell r="BJ141">
            <v>0.17844767844767845</v>
          </cell>
        </row>
        <row r="142">
          <cell r="A142" t="str">
            <v>incremental penetration</v>
          </cell>
          <cell r="K142">
            <v>2.1000000000000001E-2</v>
          </cell>
          <cell r="L142">
            <v>2.832689022745661E-2</v>
          </cell>
          <cell r="M142">
            <v>2.3334187349113938E-2</v>
          </cell>
          <cell r="N142">
            <v>3.5331775639482227E-2</v>
          </cell>
          <cell r="O142">
            <v>5.1454825231625673E-2</v>
          </cell>
          <cell r="P142">
            <v>4.9624736300180078E-2</v>
          </cell>
          <cell r="Q142">
            <v>5.1042997472253465E-2</v>
          </cell>
          <cell r="R142">
            <v>5.2702628910797744E-2</v>
          </cell>
          <cell r="S142">
            <v>5.4450006387727512E-2</v>
          </cell>
          <cell r="T142">
            <v>5.6251507468597695E-2</v>
          </cell>
          <cell r="U142">
            <v>5.8065102167743299E-2</v>
          </cell>
          <cell r="AN142">
            <v>2E-3</v>
          </cell>
        </row>
        <row r="143">
          <cell r="A143" t="str">
            <v>% penetration of total access lines</v>
          </cell>
          <cell r="J143">
            <v>6.6911623284504869E-3</v>
          </cell>
          <cell r="K143">
            <v>1.8682850600542516E-2</v>
          </cell>
          <cell r="L143">
            <v>3.8446945744277219E-2</v>
          </cell>
          <cell r="M143">
            <v>6.416275430359937E-2</v>
          </cell>
          <cell r="N143">
            <v>9.4285714285714292E-2</v>
          </cell>
          <cell r="O143">
            <v>0.13180719465377505</v>
          </cell>
          <cell r="P143">
            <v>0.17302306924365268</v>
          </cell>
          <cell r="Q143">
            <v>0.2173282370491682</v>
          </cell>
          <cell r="R143">
            <v>0.26500055979855985</v>
          </cell>
          <cell r="S143">
            <v>0.31621144710730881</v>
          </cell>
          <cell r="T143">
            <v>0.37111113141905455</v>
          </cell>
          <cell r="U143">
            <v>0.42981808676826344</v>
          </cell>
          <cell r="AI143">
            <v>4.8995590396864281E-4</v>
          </cell>
          <cell r="AJ143">
            <v>9.7370983446932818E-4</v>
          </cell>
          <cell r="AK143">
            <v>1.5655105973025048E-3</v>
          </cell>
          <cell r="AL143">
            <v>2.2840851868564408E-3</v>
          </cell>
          <cell r="AM143">
            <v>3.3555595209747041E-3</v>
          </cell>
          <cell r="AN143">
            <v>4.2219826816682965E-3</v>
          </cell>
          <cell r="AO143">
            <v>5.0934576719114735E-3</v>
          </cell>
          <cell r="AP143">
            <v>6.6911623284504869E-3</v>
          </cell>
          <cell r="AQ143">
            <v>8.268063115290868E-3</v>
          </cell>
          <cell r="AR143">
            <v>1.1373313176363352E-2</v>
          </cell>
          <cell r="AS143">
            <v>1.4529241167058405E-2</v>
          </cell>
          <cell r="AT143">
            <v>1.8682850600542516E-2</v>
          </cell>
          <cell r="AU143">
            <v>2.2935779816513763E-2</v>
          </cell>
          <cell r="AV143">
            <v>2.793786018541719E-2</v>
          </cell>
          <cell r="AW143">
            <v>3.3228445563247326E-2</v>
          </cell>
          <cell r="AX143">
            <v>3.8446945744277219E-2</v>
          </cell>
          <cell r="AY143">
            <v>4.4311833417978667E-2</v>
          </cell>
          <cell r="AZ143">
            <v>4.9228791773778917E-2</v>
          </cell>
          <cell r="BA143">
            <v>5.5973050012956722E-2</v>
          </cell>
          <cell r="BB143">
            <v>6.416275430359937E-2</v>
          </cell>
          <cell r="BC143">
            <v>7.2129859929310119E-2</v>
          </cell>
          <cell r="BD143">
            <v>7.8353253652058433E-2</v>
          </cell>
          <cell r="BE143">
            <v>8.5775746168324812E-2</v>
          </cell>
          <cell r="BF143">
            <v>9.4285714285714292E-2</v>
          </cell>
          <cell r="BG143">
            <v>0.10703953712632594</v>
          </cell>
          <cell r="BH143">
            <v>0.11448467966573816</v>
          </cell>
          <cell r="BI143">
            <v>0.12279960568933954</v>
          </cell>
          <cell r="BJ143">
            <v>0.13205128205128205</v>
          </cell>
        </row>
        <row r="144">
          <cell r="A144" t="str">
            <v>ARPU</v>
          </cell>
          <cell r="K144">
            <v>54.922367782629792</v>
          </cell>
          <cell r="L144">
            <v>51.448351648351654</v>
          </cell>
          <cell r="M144">
            <v>47.694723618090457</v>
          </cell>
          <cell r="N144">
            <v>45.853094233473975</v>
          </cell>
          <cell r="O144">
            <v>45.006858710562419</v>
          </cell>
          <cell r="P144">
            <v>44.006858710562419</v>
          </cell>
          <cell r="Q144">
            <v>43.006858710562419</v>
          </cell>
          <cell r="R144">
            <v>42.006858710562419</v>
          </cell>
          <cell r="S144">
            <v>41.006858710562419</v>
          </cell>
          <cell r="T144">
            <v>40.006858710562419</v>
          </cell>
          <cell r="U144">
            <v>39.006858710562419</v>
          </cell>
          <cell r="AM144">
            <v>55</v>
          </cell>
          <cell r="AN144">
            <v>57</v>
          </cell>
          <cell r="AP144">
            <v>55</v>
          </cell>
          <cell r="AQ144">
            <v>53</v>
          </cell>
          <cell r="AR144">
            <v>53</v>
          </cell>
          <cell r="AS144">
            <v>53</v>
          </cell>
          <cell r="AT144">
            <v>52</v>
          </cell>
          <cell r="AU144">
            <v>44</v>
          </cell>
          <cell r="AV144">
            <v>50</v>
          </cell>
          <cell r="AW144">
            <v>49</v>
          </cell>
          <cell r="AX144">
            <v>48</v>
          </cell>
          <cell r="AY144">
            <v>46</v>
          </cell>
          <cell r="AZ144">
            <v>46</v>
          </cell>
          <cell r="BA144">
            <v>46</v>
          </cell>
          <cell r="BB144">
            <v>45.5</v>
          </cell>
          <cell r="BC144">
            <v>43.5</v>
          </cell>
          <cell r="BD144">
            <v>43</v>
          </cell>
          <cell r="BE144">
            <v>44</v>
          </cell>
          <cell r="BF144">
            <v>44</v>
          </cell>
          <cell r="BG144">
            <v>44.44444444444445</v>
          </cell>
          <cell r="BH144">
            <v>44.44444444444445</v>
          </cell>
          <cell r="BI144">
            <v>44.44444444444445</v>
          </cell>
          <cell r="BJ144">
            <v>44.44444444444445</v>
          </cell>
        </row>
        <row r="145">
          <cell r="A145" t="str">
            <v>DSL capable lines (millions)</v>
          </cell>
          <cell r="J145">
            <v>2900</v>
          </cell>
          <cell r="K145">
            <v>3775</v>
          </cell>
          <cell r="L145">
            <v>4449.2000000000007</v>
          </cell>
          <cell r="M145">
            <v>5367.5999999999995</v>
          </cell>
          <cell r="N145">
            <v>5457</v>
          </cell>
          <cell r="O145">
            <v>5194.8</v>
          </cell>
          <cell r="P145">
            <v>5068.5656188539751</v>
          </cell>
          <cell r="Q145">
            <v>4944.1913258151581</v>
          </cell>
          <cell r="R145">
            <v>4818.9061527524309</v>
          </cell>
          <cell r="S145">
            <v>4693.6318228924274</v>
          </cell>
          <cell r="T145">
            <v>4569.2895990965353</v>
          </cell>
          <cell r="U145">
            <v>4446.8002927841289</v>
          </cell>
          <cell r="AL145">
            <v>1718.75</v>
          </cell>
          <cell r="AM145">
            <v>2100</v>
          </cell>
          <cell r="AN145">
            <v>2200</v>
          </cell>
          <cell r="AP145">
            <v>2900</v>
          </cell>
          <cell r="AQ145">
            <v>2956.521739130435</v>
          </cell>
          <cell r="AR145">
            <v>4043.4782608695655</v>
          </cell>
          <cell r="AS145">
            <v>3000</v>
          </cell>
          <cell r="AT145">
            <v>3775</v>
          </cell>
          <cell r="AU145">
            <v>4039</v>
          </cell>
          <cell r="AV145">
            <v>4039</v>
          </cell>
          <cell r="AW145">
            <v>4449.2000000000007</v>
          </cell>
          <cell r="AX145">
            <v>4449.2000000000007</v>
          </cell>
          <cell r="AY145">
            <v>4910</v>
          </cell>
          <cell r="AZ145">
            <v>5005</v>
          </cell>
          <cell r="BA145">
            <v>5186</v>
          </cell>
          <cell r="BB145">
            <v>5367.5999999999995</v>
          </cell>
          <cell r="BC145">
            <v>5500</v>
          </cell>
          <cell r="BD145">
            <v>5363.636363636364</v>
          </cell>
          <cell r="BE145">
            <v>5316.666666666667</v>
          </cell>
          <cell r="BF145">
            <v>5457</v>
          </cell>
          <cell r="BG145">
            <v>5416</v>
          </cell>
          <cell r="BH145">
            <v>5241.3999999999996</v>
          </cell>
          <cell r="BI145">
            <v>5183.7299999999996</v>
          </cell>
          <cell r="BJ145">
            <v>5194.8</v>
          </cell>
        </row>
        <row r="146">
          <cell r="A146" t="str">
            <v>% of total lines</v>
          </cell>
          <cell r="J146">
            <v>0.35216643833949934</v>
          </cell>
          <cell r="K146">
            <v>0.46707126501356289</v>
          </cell>
          <cell r="L146">
            <v>0.56269128620209952</v>
          </cell>
          <cell r="M146">
            <v>0.7</v>
          </cell>
          <cell r="N146">
            <v>0.74244897959183676</v>
          </cell>
          <cell r="O146">
            <v>0.73863216266173759</v>
          </cell>
          <cell r="P146">
            <v>0.75863216266173761</v>
          </cell>
          <cell r="Q146">
            <v>0.77863216266173763</v>
          </cell>
          <cell r="R146">
            <v>0.79863216266173764</v>
          </cell>
          <cell r="S146">
            <v>0.81863216266173766</v>
          </cell>
          <cell r="T146">
            <v>0.83863216266173768</v>
          </cell>
          <cell r="U146">
            <v>0.8586321626617377</v>
          </cell>
          <cell r="AM146">
            <v>0.25166696407310279</v>
          </cell>
          <cell r="AN146">
            <v>0.26538176856200718</v>
          </cell>
          <cell r="AP146">
            <v>0.35216643833949934</v>
          </cell>
          <cell r="AQ146">
            <v>0.3594810050126464</v>
          </cell>
          <cell r="AR146">
            <v>0.49449187723318921</v>
          </cell>
          <cell r="AS146">
            <v>0.36938748729809506</v>
          </cell>
          <cell r="AT146">
            <v>0.46707126501356289</v>
          </cell>
          <cell r="AU146">
            <v>0.50074386312918417</v>
          </cell>
          <cell r="AV146">
            <v>0.50601353044349784</v>
          </cell>
          <cell r="AW146">
            <v>0.56000000000000005</v>
          </cell>
          <cell r="AX146">
            <v>0.56269128620209952</v>
          </cell>
          <cell r="AY146">
            <v>0.62341289994921278</v>
          </cell>
          <cell r="AZ146">
            <v>0.64331619537275064</v>
          </cell>
          <cell r="BA146">
            <v>0.67193573464628142</v>
          </cell>
          <cell r="BB146">
            <v>0.7</v>
          </cell>
          <cell r="BC146">
            <v>0.71998952742505562</v>
          </cell>
          <cell r="BD146">
            <v>0.71230230592780397</v>
          </cell>
          <cell r="BE146">
            <v>0.71479788473604022</v>
          </cell>
          <cell r="BF146">
            <v>0.74244897959183676</v>
          </cell>
          <cell r="BG146">
            <v>0.74610827937732471</v>
          </cell>
          <cell r="BH146">
            <v>0.73</v>
          </cell>
          <cell r="BI146">
            <v>0.73</v>
          </cell>
          <cell r="BJ146">
            <v>0.74</v>
          </cell>
        </row>
        <row r="147">
          <cell r="A147" t="str">
            <v>Churn</v>
          </cell>
          <cell r="AX147">
            <v>0.03</v>
          </cell>
          <cell r="AY147">
            <v>2.9000000000000001E-2</v>
          </cell>
        </row>
        <row r="149">
          <cell r="A149" t="str">
            <v>CAPEX &amp; DEPRECIATION</v>
          </cell>
        </row>
        <row r="150">
          <cell r="A150" t="str">
            <v>Capex</v>
          </cell>
          <cell r="C150" t="str">
            <v>'94-'99 data from 1999 Fact Book</v>
          </cell>
        </row>
        <row r="151">
          <cell r="A151" t="str">
            <v>Cable and wire facility assets</v>
          </cell>
          <cell r="C151">
            <v>329</v>
          </cell>
          <cell r="D151">
            <v>341</v>
          </cell>
          <cell r="E151">
            <v>384</v>
          </cell>
          <cell r="F151">
            <v>400</v>
          </cell>
          <cell r="G151">
            <v>455</v>
          </cell>
          <cell r="H151">
            <v>412</v>
          </cell>
        </row>
        <row r="152">
          <cell r="A152" t="str">
            <v>% growth</v>
          </cell>
          <cell r="D152">
            <v>3.6474164133738496E-2</v>
          </cell>
          <cell r="E152">
            <v>0.12609970674486815</v>
          </cell>
          <cell r="F152">
            <v>4.1666666666666741E-2</v>
          </cell>
          <cell r="G152">
            <v>0.13749999999999996</v>
          </cell>
          <cell r="H152">
            <v>-9.4505494505494503E-2</v>
          </cell>
        </row>
        <row r="153">
          <cell r="A153" t="str">
            <v>Central office assets</v>
          </cell>
          <cell r="C153">
            <v>363</v>
          </cell>
          <cell r="D153">
            <v>440</v>
          </cell>
          <cell r="E153">
            <v>655</v>
          </cell>
          <cell r="F153">
            <v>658</v>
          </cell>
          <cell r="G153">
            <v>789</v>
          </cell>
          <cell r="H153">
            <v>826</v>
          </cell>
        </row>
        <row r="154">
          <cell r="A154" t="str">
            <v>% growth</v>
          </cell>
          <cell r="D154">
            <v>0.21212121212121215</v>
          </cell>
          <cell r="E154">
            <v>0.48863636363636354</v>
          </cell>
          <cell r="F154">
            <v>4.5801526717557106E-3</v>
          </cell>
          <cell r="G154">
            <v>0.19908814589665647</v>
          </cell>
          <cell r="H154">
            <v>4.6894803548795938E-2</v>
          </cell>
        </row>
        <row r="155">
          <cell r="A155" t="str">
            <v>Other</v>
          </cell>
          <cell r="C155">
            <v>222</v>
          </cell>
          <cell r="D155">
            <v>170</v>
          </cell>
          <cell r="E155">
            <v>111</v>
          </cell>
          <cell r="F155">
            <v>212</v>
          </cell>
          <cell r="G155">
            <v>130</v>
          </cell>
          <cell r="H155">
            <v>116</v>
          </cell>
        </row>
        <row r="156">
          <cell r="A156" t="str">
            <v>% growth</v>
          </cell>
          <cell r="D156">
            <v>-0.23423423423423428</v>
          </cell>
          <cell r="E156">
            <v>-0.34705882352941175</v>
          </cell>
          <cell r="F156">
            <v>0.90990990990990994</v>
          </cell>
          <cell r="G156">
            <v>-0.3867924528301887</v>
          </cell>
          <cell r="H156">
            <v>-0.10769230769230764</v>
          </cell>
        </row>
        <row r="157">
          <cell r="A157" t="str">
            <v>Total capex</v>
          </cell>
          <cell r="C157">
            <v>914</v>
          </cell>
          <cell r="D157">
            <v>951</v>
          </cell>
          <cell r="E157">
            <v>1150</v>
          </cell>
          <cell r="F157">
            <v>1270</v>
          </cell>
          <cell r="G157">
            <v>1374</v>
          </cell>
          <cell r="H157">
            <v>1354</v>
          </cell>
          <cell r="I157">
            <v>1371</v>
          </cell>
          <cell r="J157">
            <v>1289</v>
          </cell>
          <cell r="K157">
            <v>1290</v>
          </cell>
          <cell r="L157">
            <v>1236</v>
          </cell>
          <cell r="M157">
            <v>1042</v>
          </cell>
          <cell r="N157">
            <v>867.3</v>
          </cell>
          <cell r="O157">
            <v>804</v>
          </cell>
          <cell r="P157">
            <v>793.71636031356479</v>
          </cell>
          <cell r="Q157">
            <v>792.45173556037344</v>
          </cell>
          <cell r="R157">
            <v>783.19850872490917</v>
          </cell>
          <cell r="S157">
            <v>772.86877763234156</v>
          </cell>
          <cell r="T157">
            <v>761.69332786125142</v>
          </cell>
          <cell r="U157">
            <v>749.90282508176767</v>
          </cell>
          <cell r="AI157">
            <v>0</v>
          </cell>
          <cell r="AM157">
            <v>364</v>
          </cell>
          <cell r="AN157">
            <v>325</v>
          </cell>
          <cell r="AO157">
            <v>300</v>
          </cell>
          <cell r="AP157">
            <v>300</v>
          </cell>
          <cell r="AQ157">
            <v>290</v>
          </cell>
          <cell r="AR157">
            <v>276</v>
          </cell>
          <cell r="AS157">
            <v>305</v>
          </cell>
          <cell r="AT157">
            <v>419</v>
          </cell>
          <cell r="AU157">
            <v>281</v>
          </cell>
          <cell r="AV157">
            <v>297</v>
          </cell>
          <cell r="AW157">
            <v>269</v>
          </cell>
          <cell r="AX157">
            <v>389</v>
          </cell>
          <cell r="AY157">
            <v>209</v>
          </cell>
          <cell r="AZ157">
            <v>247</v>
          </cell>
          <cell r="BA157">
            <v>257</v>
          </cell>
          <cell r="BB157">
            <v>329</v>
          </cell>
          <cell r="BC157">
            <v>152</v>
          </cell>
          <cell r="BD157">
            <v>197</v>
          </cell>
          <cell r="BE157">
            <v>205</v>
          </cell>
          <cell r="BF157">
            <v>303</v>
          </cell>
          <cell r="BG157">
            <v>179</v>
          </cell>
          <cell r="BH157">
            <v>200</v>
          </cell>
          <cell r="BI157">
            <v>200</v>
          </cell>
          <cell r="BJ157">
            <v>225</v>
          </cell>
          <cell r="BM157">
            <v>10.299999999999955</v>
          </cell>
          <cell r="BN157">
            <v>0</v>
          </cell>
        </row>
        <row r="158">
          <cell r="A158" t="str">
            <v>% growth</v>
          </cell>
          <cell r="D158">
            <v>4.0481400437636816E-2</v>
          </cell>
          <cell r="E158">
            <v>0.20925341745531023</v>
          </cell>
          <cell r="F158">
            <v>0.10434782608695659</v>
          </cell>
          <cell r="G158">
            <v>8.1889763779527502E-2</v>
          </cell>
          <cell r="H158">
            <v>-1.4556040756914079E-2</v>
          </cell>
          <cell r="I158">
            <v>1.2555391432791829E-2</v>
          </cell>
          <cell r="J158">
            <v>-5.9810357403355163E-2</v>
          </cell>
          <cell r="K158">
            <v>7.7579519006976128E-4</v>
          </cell>
          <cell r="L158">
            <v>-4.1860465116279055E-2</v>
          </cell>
          <cell r="M158">
            <v>-0.15695792880258896</v>
          </cell>
          <cell r="N158">
            <v>-0.167658349328215</v>
          </cell>
          <cell r="O158">
            <v>-7.2985126253891308E-2</v>
          </cell>
          <cell r="P158">
            <v>-1.2790596624919437E-2</v>
          </cell>
          <cell r="Q158">
            <v>-1.5932955605094667E-3</v>
          </cell>
          <cell r="R158">
            <v>-1.1676707135887532E-2</v>
          </cell>
          <cell r="S158">
            <v>-1.3189160828951274E-2</v>
          </cell>
          <cell r="T158">
            <v>-1.4459698844771274E-2</v>
          </cell>
          <cell r="U158">
            <v>-1.5479330523466839E-2</v>
          </cell>
          <cell r="AQ158">
            <v>-0.20329670329670335</v>
          </cell>
          <cell r="AR158">
            <v>-0.15076923076923077</v>
          </cell>
          <cell r="AS158">
            <v>1.6666666666666607E-2</v>
          </cell>
          <cell r="AT158">
            <v>0.39666666666666672</v>
          </cell>
          <cell r="AU158">
            <v>-3.1034482758620641E-2</v>
          </cell>
          <cell r="AV158">
            <v>7.6086956521739024E-2</v>
          </cell>
          <cell r="AW158">
            <v>-0.11803278688524588</v>
          </cell>
          <cell r="AX158">
            <v>-7.1599045346062096E-2</v>
          </cell>
          <cell r="AY158">
            <v>-0.25622775800711739</v>
          </cell>
          <cell r="AZ158">
            <v>-0.16835016835016836</v>
          </cell>
          <cell r="BA158">
            <v>-4.4609665427509326E-2</v>
          </cell>
          <cell r="BB158">
            <v>-0.15424164524421591</v>
          </cell>
          <cell r="BC158">
            <v>-0.27272727272727271</v>
          </cell>
          <cell r="BD158">
            <v>-0.20242914979757087</v>
          </cell>
          <cell r="BE158">
            <v>-0.2023346303501945</v>
          </cell>
          <cell r="BF158">
            <v>-7.9027355623100259E-2</v>
          </cell>
          <cell r="BG158">
            <v>0.17763157894736836</v>
          </cell>
          <cell r="BH158">
            <v>1.5228426395939021E-2</v>
          </cell>
          <cell r="BI158">
            <v>-2.4390243902439046E-2</v>
          </cell>
          <cell r="BJ158">
            <v>-0.25742574257425743</v>
          </cell>
        </row>
        <row r="159">
          <cell r="A159" t="str">
            <v>% revenue</v>
          </cell>
          <cell r="H159">
            <v>0.22725746894931184</v>
          </cell>
          <cell r="I159">
            <v>0.22274573517465476</v>
          </cell>
          <cell r="J159">
            <v>0.20633904274051545</v>
          </cell>
          <cell r="K159">
            <v>0.20616909061850727</v>
          </cell>
          <cell r="L159">
            <v>0.20163132137030995</v>
          </cell>
          <cell r="M159">
            <v>0.17306095333001162</v>
          </cell>
          <cell r="N159">
            <v>0.13287881109238547</v>
          </cell>
          <cell r="O159">
            <v>0.12609673939527008</v>
          </cell>
          <cell r="P159">
            <v>0.12924971679452049</v>
          </cell>
          <cell r="Q159">
            <v>0.13330994858039977</v>
          </cell>
          <cell r="R159">
            <v>0.13595373036053346</v>
          </cell>
          <cell r="S159">
            <v>0.13828440849419404</v>
          </cell>
          <cell r="T159">
            <v>0.14032267412576102</v>
          </cell>
          <cell r="U159">
            <v>0.14209449115795647</v>
          </cell>
          <cell r="AM159">
            <v>0.23438506117192531</v>
          </cell>
          <cell r="AN159">
            <v>0.20940721649484537</v>
          </cell>
          <cell r="AO159">
            <v>0.1918158567774936</v>
          </cell>
          <cell r="AP159">
            <v>0.19011406844106463</v>
          </cell>
          <cell r="AQ159">
            <v>0.1853035143769968</v>
          </cell>
          <cell r="AR159">
            <v>0.17829457364341086</v>
          </cell>
          <cell r="AS159">
            <v>0.19303797468354431</v>
          </cell>
          <cell r="AT159">
            <v>0.26790281329923271</v>
          </cell>
          <cell r="AU159">
            <v>0.18342036553524804</v>
          </cell>
          <cell r="AV159">
            <v>0.1946264744429882</v>
          </cell>
          <cell r="AW159">
            <v>0.17616240995415849</v>
          </cell>
          <cell r="AX159">
            <v>0.25177993527508091</v>
          </cell>
          <cell r="AY159">
            <v>0.13877822045152721</v>
          </cell>
          <cell r="AZ159">
            <v>0.16357615894039734</v>
          </cell>
          <cell r="BA159">
            <v>0.17179144385026737</v>
          </cell>
          <cell r="BB159">
            <v>0.21802518223989398</v>
          </cell>
          <cell r="BC159">
            <v>9.517845961177207E-2</v>
          </cell>
          <cell r="BD159">
            <v>0.12382149591451917</v>
          </cell>
          <cell r="BE159">
            <v>0.12260765550239235</v>
          </cell>
          <cell r="BF159">
            <v>0.18176364727054589</v>
          </cell>
          <cell r="BG159">
            <v>0.11049382716049383</v>
          </cell>
          <cell r="BH159">
            <v>0.12442418044591885</v>
          </cell>
          <cell r="BI159">
            <v>0.12581415255513287</v>
          </cell>
          <cell r="BJ159">
            <v>0.14432271636989924</v>
          </cell>
        </row>
        <row r="160">
          <cell r="A160" t="str">
            <v>Capex per access line</v>
          </cell>
          <cell r="F160">
            <v>175.52346071453252</v>
          </cell>
          <cell r="G160">
            <v>182.98042349180983</v>
          </cell>
          <cell r="H160">
            <v>172.24912893030117</v>
          </cell>
          <cell r="I160">
            <v>166.90398441080265</v>
          </cell>
          <cell r="J160">
            <v>155.50372153300671</v>
          </cell>
          <cell r="K160">
            <v>158.11709663637242</v>
          </cell>
          <cell r="L160">
            <v>154.60359979939992</v>
          </cell>
          <cell r="M160">
            <v>133.80417335473516</v>
          </cell>
          <cell r="N160">
            <v>118</v>
          </cell>
          <cell r="O160">
            <v>111.79865118542725</v>
          </cell>
          <cell r="P160">
            <v>118.79865118542725</v>
          </cell>
          <cell r="Q160">
            <v>124.79865118542725</v>
          </cell>
          <cell r="R160">
            <v>129.79865118542725</v>
          </cell>
          <cell r="S160">
            <v>134.79865118542725</v>
          </cell>
          <cell r="T160">
            <v>139.79865118542725</v>
          </cell>
          <cell r="U160">
            <v>144.79865118542725</v>
          </cell>
          <cell r="AM160">
            <v>43.690162856162296</v>
          </cell>
          <cell r="AN160">
            <v>39.075873623815362</v>
          </cell>
          <cell r="AO160">
            <v>36.284873997146562</v>
          </cell>
          <cell r="AP160">
            <v>36.406409085868972</v>
          </cell>
          <cell r="AQ160">
            <v>35.238736750160712</v>
          </cell>
          <cell r="AR160">
            <v>33.655552925180821</v>
          </cell>
          <cell r="AS160">
            <v>37.426551276860742</v>
          </cell>
          <cell r="AT160">
            <v>51.716164326325874</v>
          </cell>
          <cell r="AU160">
            <v>34.802471558683436</v>
          </cell>
          <cell r="AV160">
            <v>37.013958125623127</v>
          </cell>
          <cell r="AW160">
            <v>33.779117222326867</v>
          </cell>
          <cell r="AX160">
            <v>49.078980570275043</v>
          </cell>
          <cell r="AY160">
            <v>26.484191851992652</v>
          </cell>
          <cell r="AZ160">
            <v>31.553398058252426</v>
          </cell>
          <cell r="BA160">
            <v>33.165569750935603</v>
          </cell>
          <cell r="BB160">
            <v>42.766151046405824</v>
          </cell>
          <cell r="BC160">
            <v>19.860194682171556</v>
          </cell>
          <cell r="BD160">
            <v>25.974025974025977</v>
          </cell>
          <cell r="BE160">
            <v>27.391769107429184</v>
          </cell>
          <cell r="BF160">
            <v>40.979172301866377</v>
          </cell>
          <cell r="BG160">
            <v>24.505441850913822</v>
          </cell>
          <cell r="BH160">
            <v>27</v>
          </cell>
          <cell r="BI160">
            <v>27</v>
          </cell>
          <cell r="BJ160">
            <v>37</v>
          </cell>
        </row>
        <row r="161">
          <cell r="A161" t="str">
            <v>% growth</v>
          </cell>
          <cell r="G161">
            <v>4.248413714566146E-2</v>
          </cell>
          <cell r="H161">
            <v>-5.8647227701869364E-2</v>
          </cell>
          <cell r="I161">
            <v>-3.1031474891587862E-2</v>
          </cell>
          <cell r="J161">
            <v>-6.8304318306364409E-2</v>
          </cell>
          <cell r="K161">
            <v>1.6805868551583281E-2</v>
          </cell>
          <cell r="L161">
            <v>-2.2220853479574254E-2</v>
          </cell>
          <cell r="M161">
            <v>-0.13453390782395935</v>
          </cell>
          <cell r="N161">
            <v>-0.11811420345489443</v>
          </cell>
          <cell r="O161">
            <v>-5.255380351332839E-2</v>
          </cell>
          <cell r="P161">
            <v>6.2612562189054755E-2</v>
          </cell>
          <cell r="Q161">
            <v>5.0505623928632559E-2</v>
          </cell>
          <cell r="R161">
            <v>4.006453557395373E-2</v>
          </cell>
          <cell r="S161">
            <v>3.8521201525099968E-2</v>
          </cell>
          <cell r="T161">
            <v>3.7092359278299236E-2</v>
          </cell>
          <cell r="U161">
            <v>3.576572418690982E-2</v>
          </cell>
        </row>
        <row r="163">
          <cell r="A163" t="str">
            <v>Depreciation</v>
          </cell>
        </row>
        <row r="164">
          <cell r="A164" t="str">
            <v>Depreciation</v>
          </cell>
          <cell r="H164">
            <v>1069</v>
          </cell>
          <cell r="I164">
            <v>1139</v>
          </cell>
          <cell r="J164">
            <v>1120</v>
          </cell>
          <cell r="K164">
            <v>1157</v>
          </cell>
          <cell r="L164">
            <v>1081</v>
          </cell>
          <cell r="M164">
            <v>1084</v>
          </cell>
          <cell r="N164">
            <v>1091</v>
          </cell>
          <cell r="O164">
            <v>1038</v>
          </cell>
          <cell r="P164">
            <v>1033</v>
          </cell>
          <cell r="Q164">
            <v>1028</v>
          </cell>
          <cell r="R164">
            <v>1023</v>
          </cell>
          <cell r="S164">
            <v>1018</v>
          </cell>
          <cell r="T164">
            <v>1013</v>
          </cell>
          <cell r="U164">
            <v>1008</v>
          </cell>
          <cell r="AE164">
            <v>261</v>
          </cell>
          <cell r="AF164">
            <v>265</v>
          </cell>
          <cell r="AG164">
            <v>271</v>
          </cell>
          <cell r="AH164">
            <v>272</v>
          </cell>
          <cell r="AI164">
            <v>0</v>
          </cell>
          <cell r="AJ164">
            <v>0</v>
          </cell>
          <cell r="AK164">
            <v>0</v>
          </cell>
          <cell r="AL164">
            <v>0</v>
          </cell>
          <cell r="AM164">
            <v>281</v>
          </cell>
          <cell r="AN164">
            <v>275</v>
          </cell>
          <cell r="AO164">
            <v>284</v>
          </cell>
          <cell r="AP164">
            <v>280</v>
          </cell>
          <cell r="AQ164">
            <v>286</v>
          </cell>
          <cell r="AR164">
            <v>288</v>
          </cell>
          <cell r="AS164">
            <v>291</v>
          </cell>
          <cell r="AT164">
            <v>292</v>
          </cell>
          <cell r="AU164">
            <v>265</v>
          </cell>
          <cell r="AV164">
            <v>271</v>
          </cell>
          <cell r="AW164">
            <v>269</v>
          </cell>
          <cell r="AX164">
            <v>276</v>
          </cell>
          <cell r="AY164">
            <v>268</v>
          </cell>
          <cell r="AZ164">
            <v>271</v>
          </cell>
          <cell r="BA164">
            <v>272</v>
          </cell>
          <cell r="BB164">
            <v>273</v>
          </cell>
          <cell r="BC164">
            <v>277</v>
          </cell>
          <cell r="BD164">
            <v>278</v>
          </cell>
          <cell r="BE164">
            <v>277</v>
          </cell>
          <cell r="BF164">
            <v>259</v>
          </cell>
          <cell r="BG164">
            <v>263</v>
          </cell>
          <cell r="BH164">
            <v>260</v>
          </cell>
          <cell r="BI164">
            <v>260</v>
          </cell>
          <cell r="BJ164">
            <v>255</v>
          </cell>
          <cell r="BM164">
            <v>0</v>
          </cell>
          <cell r="BN164">
            <v>0</v>
          </cell>
        </row>
        <row r="165">
          <cell r="A165" t="str">
            <v>% growth</v>
          </cell>
          <cell r="I165">
            <v>6.5481758652946587E-2</v>
          </cell>
          <cell r="J165">
            <v>-1.6681299385425841E-2</v>
          </cell>
          <cell r="K165">
            <v>3.3035714285714279E-2</v>
          </cell>
          <cell r="L165">
            <v>-6.568712186689718E-2</v>
          </cell>
          <cell r="M165">
            <v>2.7752081406104967E-3</v>
          </cell>
          <cell r="N165">
            <v>6.4575645756457245E-3</v>
          </cell>
          <cell r="O165">
            <v>-4.8579285059578314E-2</v>
          </cell>
          <cell r="P165">
            <v>-4.816955684007751E-3</v>
          </cell>
          <cell r="Q165">
            <v>-4.8402710551790351E-3</v>
          </cell>
          <cell r="R165">
            <v>-4.8638132295719672E-3</v>
          </cell>
          <cell r="S165">
            <v>-4.8875855327468187E-3</v>
          </cell>
          <cell r="T165">
            <v>-4.9115913555992652E-3</v>
          </cell>
          <cell r="U165">
            <v>-4.9358341559723184E-3</v>
          </cell>
          <cell r="AI165">
            <v>-1</v>
          </cell>
          <cell r="AJ165">
            <v>-1</v>
          </cell>
          <cell r="AK165">
            <v>-1</v>
          </cell>
          <cell r="AL165">
            <v>-1</v>
          </cell>
          <cell r="AQ165">
            <v>1.7793594306049876E-2</v>
          </cell>
          <cell r="AR165">
            <v>4.7272727272727355E-2</v>
          </cell>
          <cell r="AS165">
            <v>2.464788732394374E-2</v>
          </cell>
          <cell r="AT165">
            <v>4.2857142857142927E-2</v>
          </cell>
          <cell r="AU165">
            <v>-7.3426573426573438E-2</v>
          </cell>
          <cell r="AV165">
            <v>-5.902777777777779E-2</v>
          </cell>
          <cell r="AW165">
            <v>-7.5601374570446689E-2</v>
          </cell>
          <cell r="AX165">
            <v>-5.4794520547945202E-2</v>
          </cell>
          <cell r="AY165">
            <v>1.132075471698113E-2</v>
          </cell>
          <cell r="AZ165">
            <v>0</v>
          </cell>
          <cell r="BA165">
            <v>1.1152416356877248E-2</v>
          </cell>
          <cell r="BB165">
            <v>-1.0869565217391353E-2</v>
          </cell>
          <cell r="BC165">
            <v>3.3582089552238736E-2</v>
          </cell>
          <cell r="BD165">
            <v>2.583025830258312E-2</v>
          </cell>
          <cell r="BE165">
            <v>1.8382352941176405E-2</v>
          </cell>
          <cell r="BF165">
            <v>-5.1282051282051322E-2</v>
          </cell>
          <cell r="BG165">
            <v>-5.0541516245487417E-2</v>
          </cell>
          <cell r="BH165">
            <v>-6.4748201438848962E-2</v>
          </cell>
          <cell r="BI165">
            <v>-6.1371841155234641E-2</v>
          </cell>
          <cell r="BJ165">
            <v>-1.5444015444015413E-2</v>
          </cell>
        </row>
        <row r="166">
          <cell r="A166" t="str">
            <v>% revenue</v>
          </cell>
          <cell r="H166">
            <v>0.17942262504196038</v>
          </cell>
          <cell r="I166">
            <v>0.18505280259951259</v>
          </cell>
          <cell r="J166">
            <v>0.1792860573075076</v>
          </cell>
          <cell r="K166">
            <v>0.18491289755473869</v>
          </cell>
          <cell r="L166">
            <v>0.17634584013050572</v>
          </cell>
          <cell r="M166">
            <v>0.1800365387809334</v>
          </cell>
          <cell r="N166">
            <v>0.16715183085644247</v>
          </cell>
          <cell r="O166">
            <v>0.16279653668195315</v>
          </cell>
          <cell r="P166">
            <v>0.16821494947640159</v>
          </cell>
          <cell r="Q166">
            <v>0.17293498265070087</v>
          </cell>
          <cell r="R166">
            <v>0.17758035109803366</v>
          </cell>
          <cell r="S166">
            <v>0.18214415166096459</v>
          </cell>
          <cell r="T166">
            <v>0.18661955368380106</v>
          </cell>
          <cell r="U166">
            <v>0.19099974329554303</v>
          </cell>
          <cell r="AE166">
            <v>0.1813759555246699</v>
          </cell>
          <cell r="AF166">
            <v>0.1820054945054945</v>
          </cell>
          <cell r="AG166">
            <v>0.18151373074346952</v>
          </cell>
          <cell r="AH166">
            <v>0.17324840764331209</v>
          </cell>
          <cell r="AI166">
            <v>0</v>
          </cell>
          <cell r="AJ166">
            <v>0</v>
          </cell>
          <cell r="AK166">
            <v>0</v>
          </cell>
          <cell r="AL166">
            <v>0</v>
          </cell>
          <cell r="AM166">
            <v>0.18094011590470058</v>
          </cell>
          <cell r="AN166">
            <v>0.17719072164948454</v>
          </cell>
          <cell r="AO166">
            <v>0.1815856777493606</v>
          </cell>
          <cell r="AP166">
            <v>0.17743979721166034</v>
          </cell>
          <cell r="AQ166">
            <v>0.18274760383386582</v>
          </cell>
          <cell r="AR166">
            <v>0.18604651162790697</v>
          </cell>
          <cell r="AS166">
            <v>0.18417721518987343</v>
          </cell>
          <cell r="AT166">
            <v>0.1867007672634271</v>
          </cell>
          <cell r="AU166">
            <v>0.17297650130548303</v>
          </cell>
          <cell r="AV166">
            <v>0.17758846657929228</v>
          </cell>
          <cell r="AW166">
            <v>0.17616240995415849</v>
          </cell>
          <cell r="AX166">
            <v>0.17864077669902911</v>
          </cell>
          <cell r="AY166">
            <v>0.17795484727755645</v>
          </cell>
          <cell r="AZ166">
            <v>0.17947019867549668</v>
          </cell>
          <cell r="BA166">
            <v>0.18181818181818182</v>
          </cell>
          <cell r="BB166">
            <v>0.18091451292246521</v>
          </cell>
          <cell r="BC166">
            <v>0.17345021916092673</v>
          </cell>
          <cell r="BD166">
            <v>0.17473287240729102</v>
          </cell>
          <cell r="BE166">
            <v>0.16566985645933013</v>
          </cell>
          <cell r="BF166">
            <v>0.15536892621475704</v>
          </cell>
          <cell r="BG166">
            <v>0.16234567901234567</v>
          </cell>
          <cell r="BH166">
            <v>0.16175143457969451</v>
          </cell>
          <cell r="BI166">
            <v>0.16355839832167274</v>
          </cell>
          <cell r="BJ166">
            <v>0.16356574521921916</v>
          </cell>
        </row>
        <row r="167">
          <cell r="A167" t="str">
            <v>% capex</v>
          </cell>
          <cell r="H167">
            <v>0.78951255539143284</v>
          </cell>
          <cell r="I167">
            <v>0.83078045222465358</v>
          </cell>
          <cell r="J167">
            <v>0.86889061287820013</v>
          </cell>
          <cell r="K167">
            <v>0.89689922480620154</v>
          </cell>
          <cell r="L167">
            <v>0.87459546925566345</v>
          </cell>
          <cell r="M167">
            <v>1.0403071017274472</v>
          </cell>
          <cell r="N167">
            <v>1.2579268995733888</v>
          </cell>
          <cell r="O167">
            <v>1.291044776119403</v>
          </cell>
          <cell r="P167">
            <v>1.3014724801589121</v>
          </cell>
          <cell r="Q167">
            <v>1.2972398871371784</v>
          </cell>
          <cell r="R167">
            <v>1.3061822623558119</v>
          </cell>
          <cell r="S167">
            <v>1.3171705591712606</v>
          </cell>
          <cell r="T167">
            <v>1.3299315655611548</v>
          </cell>
          <cell r="U167">
            <v>1.3441741600187864</v>
          </cell>
          <cell r="AM167">
            <v>0.77197802197802201</v>
          </cell>
          <cell r="AN167">
            <v>0.84615384615384615</v>
          </cell>
          <cell r="AO167">
            <v>0.94666666666666666</v>
          </cell>
          <cell r="AP167">
            <v>0.93333333333333335</v>
          </cell>
          <cell r="AQ167">
            <v>0.98620689655172411</v>
          </cell>
          <cell r="AR167">
            <v>1.0434782608695652</v>
          </cell>
          <cell r="AS167">
            <v>0.95409836065573772</v>
          </cell>
          <cell r="AT167">
            <v>0.69689737470167068</v>
          </cell>
          <cell r="AU167">
            <v>0.94306049822064053</v>
          </cell>
          <cell r="AV167">
            <v>0.91245791245791241</v>
          </cell>
          <cell r="AW167">
            <v>1</v>
          </cell>
          <cell r="AX167">
            <v>0.70951156812339333</v>
          </cell>
          <cell r="AY167">
            <v>1.2822966507177034</v>
          </cell>
          <cell r="AZ167">
            <v>1.097165991902834</v>
          </cell>
          <cell r="BA167">
            <v>1.0583657587548638</v>
          </cell>
          <cell r="BB167">
            <v>0.82978723404255317</v>
          </cell>
          <cell r="BC167">
            <v>1.8223684210526316</v>
          </cell>
          <cell r="BD167">
            <v>1.4111675126903553</v>
          </cell>
          <cell r="BE167">
            <v>1.351219512195122</v>
          </cell>
          <cell r="BF167">
            <v>0.8547854785478548</v>
          </cell>
          <cell r="BG167">
            <v>1.4692737430167597</v>
          </cell>
          <cell r="BH167">
            <v>1.3</v>
          </cell>
          <cell r="BI167">
            <v>1.3</v>
          </cell>
          <cell r="BJ167">
            <v>1.1333333333333333</v>
          </cell>
        </row>
        <row r="168">
          <cell r="A168" t="str">
            <v>Capex/Depreciation</v>
          </cell>
          <cell r="H168">
            <v>1.2666043030869971</v>
          </cell>
          <cell r="I168">
            <v>1.2036874451273047</v>
          </cell>
          <cell r="J168">
            <v>1.1508928571428572</v>
          </cell>
          <cell r="K168">
            <v>1.11495246326707</v>
          </cell>
          <cell r="L168">
            <v>1.1433857539315448</v>
          </cell>
          <cell r="M168">
            <v>0.96125461254612543</v>
          </cell>
          <cell r="N168">
            <v>0.79495875343721356</v>
          </cell>
          <cell r="O168">
            <v>0.77456647398843925</v>
          </cell>
          <cell r="P168">
            <v>0.768360464969569</v>
          </cell>
          <cell r="Q168">
            <v>0.77086744704316479</v>
          </cell>
          <cell r="R168">
            <v>0.76558994010255055</v>
          </cell>
          <cell r="S168">
            <v>0.75920312144630797</v>
          </cell>
          <cell r="T168">
            <v>0.75191838880676354</v>
          </cell>
          <cell r="U168">
            <v>0.74395121535889652</v>
          </cell>
        </row>
        <row r="169">
          <cell r="A169" t="str">
            <v>% growth</v>
          </cell>
          <cell r="I169">
            <v>-4.9673649304956546E-2</v>
          </cell>
          <cell r="J169">
            <v>-4.3860711680733577E-2</v>
          </cell>
          <cell r="K169">
            <v>-3.1228270861816676E-2</v>
          </cell>
          <cell r="L169">
            <v>2.5501796355656969E-2</v>
          </cell>
          <cell r="M169">
            <v>-0.15929107106605045</v>
          </cell>
          <cell r="N169">
            <v>-0.17299876321886798</v>
          </cell>
          <cell r="O169">
            <v>-2.5651996862230853E-2</v>
          </cell>
          <cell r="P169">
            <v>-8.0122355243623655E-3</v>
          </cell>
          <cell r="Q169">
            <v>3.2627681770367456E-3</v>
          </cell>
          <cell r="R169">
            <v>-6.8461925080081087E-3</v>
          </cell>
          <cell r="S169">
            <v>-8.3423492416672129E-3</v>
          </cell>
          <cell r="T169">
            <v>-9.5952353642418942E-3</v>
          </cell>
          <cell r="U169">
            <v>-1.0595795456619039E-2</v>
          </cell>
        </row>
        <row r="170">
          <cell r="A170" t="str">
            <v>Depreciation per line</v>
          </cell>
          <cell r="H170">
            <v>135.99284994571045</v>
          </cell>
          <cell r="I170">
            <v>138.66056764690316</v>
          </cell>
          <cell r="J170">
            <v>135.11572390765517</v>
          </cell>
          <cell r="K170">
            <v>141.81510140176968</v>
          </cell>
          <cell r="L170">
            <v>135.21560791517095</v>
          </cell>
          <cell r="M170">
            <v>139.19743178170143</v>
          </cell>
          <cell r="N170">
            <v>145.29231588760155</v>
          </cell>
          <cell r="O170">
            <v>144.33706459014115</v>
          </cell>
          <cell r="P170">
            <v>150.64688472304962</v>
          </cell>
          <cell r="Q170">
            <v>157.77721797731883</v>
          </cell>
          <cell r="R170">
            <v>165.2159576721736</v>
          </cell>
          <cell r="S170">
            <v>173.01957269954448</v>
          </cell>
          <cell r="T170">
            <v>181.18391663490365</v>
          </cell>
          <cell r="U170">
            <v>189.6976513259184</v>
          </cell>
          <cell r="AE170">
            <v>33.774790867167482</v>
          </cell>
          <cell r="AF170">
            <v>33.838754477811996</v>
          </cell>
          <cell r="AG170">
            <v>34.301592856163545</v>
          </cell>
          <cell r="AH170">
            <v>34.070665687580508</v>
          </cell>
          <cell r="AI170">
            <v>0</v>
          </cell>
          <cell r="AJ170">
            <v>0</v>
          </cell>
          <cell r="AK170">
            <v>0</v>
          </cell>
          <cell r="AL170">
            <v>0</v>
          </cell>
          <cell r="AM170">
            <v>33.72784550159782</v>
          </cell>
          <cell r="AN170">
            <v>33.064200758612998</v>
          </cell>
          <cell r="AO170">
            <v>34.349680717298739</v>
          </cell>
          <cell r="AP170">
            <v>33.979315146811039</v>
          </cell>
          <cell r="AQ170">
            <v>34.752685208779184</v>
          </cell>
          <cell r="AR170">
            <v>35.118837834971288</v>
          </cell>
          <cell r="AS170">
            <v>35.708611218250745</v>
          </cell>
          <cell r="AT170">
            <v>36.040859148656693</v>
          </cell>
          <cell r="AU170">
            <v>32.820836167441676</v>
          </cell>
          <cell r="AV170">
            <v>33.773678963110669</v>
          </cell>
          <cell r="AW170">
            <v>33.779117222326867</v>
          </cell>
          <cell r="AX170">
            <v>34.822104466313398</v>
          </cell>
          <cell r="AY170">
            <v>33.960590508775262</v>
          </cell>
          <cell r="AZ170">
            <v>34.619315278487484</v>
          </cell>
          <cell r="BA170">
            <v>35.101303393986321</v>
          </cell>
          <cell r="BB170">
            <v>35.486806187443136</v>
          </cell>
          <cell r="BC170">
            <v>36.192591624746846</v>
          </cell>
          <cell r="BD170">
            <v>36.653701628320917</v>
          </cell>
          <cell r="BE170">
            <v>37.012292891501865</v>
          </cell>
          <cell r="BF170">
            <v>35.028401406545846</v>
          </cell>
          <cell r="BG170">
            <v>36.005202272571701</v>
          </cell>
          <cell r="BH170">
            <v>36.013574347253972</v>
          </cell>
          <cell r="BI170">
            <v>36.412015965268537</v>
          </cell>
          <cell r="BJ170">
            <v>36.116422349691952</v>
          </cell>
        </row>
        <row r="171">
          <cell r="A171" t="str">
            <v>% growth</v>
          </cell>
          <cell r="I171">
            <v>1.9616602654166648E-2</v>
          </cell>
          <cell r="J171">
            <v>-2.556490139485712E-2</v>
          </cell>
          <cell r="K171">
            <v>4.9582515641874547E-2</v>
          </cell>
          <cell r="L171">
            <v>-4.6535900770553473E-2</v>
          </cell>
          <cell r="M171">
            <v>2.9447960393954808E-2</v>
          </cell>
          <cell r="N171">
            <v>4.3785894810606241E-2</v>
          </cell>
          <cell r="O171">
            <v>-6.5746856027772971E-3</v>
          </cell>
          <cell r="P171">
            <v>4.3715868483440445E-2</v>
          </cell>
          <cell r="Q171">
            <v>4.7331435146353407E-2</v>
          </cell>
          <cell r="R171">
            <v>4.7147109007360744E-2</v>
          </cell>
          <cell r="S171">
            <v>4.7232816595446758E-2</v>
          </cell>
          <cell r="T171">
            <v>4.718740087017137E-2</v>
          </cell>
          <cell r="U171">
            <v>4.6989461587644277E-2</v>
          </cell>
        </row>
        <row r="172">
          <cell r="A172" t="str">
            <v>Implied depreciable life</v>
          </cell>
          <cell r="I172">
            <v>19.585714285714285</v>
          </cell>
          <cell r="J172">
            <v>-67.842105263157904</v>
          </cell>
          <cell r="K172">
            <v>34.864864864864863</v>
          </cell>
          <cell r="L172">
            <v>-16.263157894736842</v>
          </cell>
          <cell r="N172">
            <v>123.89999999999999</v>
          </cell>
          <cell r="O172">
            <v>-15.169811320754716</v>
          </cell>
          <cell r="P172">
            <v>-158.74327206271295</v>
          </cell>
          <cell r="Q172">
            <v>-158.49034711207469</v>
          </cell>
          <cell r="R172">
            <v>-156.63970174498183</v>
          </cell>
          <cell r="S172">
            <v>-154.57375552646832</v>
          </cell>
          <cell r="T172">
            <v>-152.33866557225028</v>
          </cell>
          <cell r="U172">
            <v>-149.98056501635355</v>
          </cell>
        </row>
        <row r="174">
          <cell r="A174" t="str">
            <v>Free Cash Flow</v>
          </cell>
        </row>
        <row r="175">
          <cell r="A175" t="str">
            <v>Ebitda</v>
          </cell>
          <cell r="H175">
            <v>2622</v>
          </cell>
          <cell r="I175">
            <v>2902</v>
          </cell>
          <cell r="J175">
            <v>3012</v>
          </cell>
          <cell r="K175">
            <v>3070</v>
          </cell>
          <cell r="L175">
            <v>2967</v>
          </cell>
          <cell r="M175">
            <v>2889</v>
          </cell>
          <cell r="N175">
            <v>2930</v>
          </cell>
          <cell r="O175">
            <v>2785.732783495474</v>
          </cell>
          <cell r="P175">
            <v>2661.5210147439047</v>
          </cell>
          <cell r="Q175">
            <v>2555.5419152483573</v>
          </cell>
          <cell r="R175">
            <v>2456.4236292498808</v>
          </cell>
          <cell r="S175">
            <v>2363.6089347525885</v>
          </cell>
          <cell r="T175">
            <v>2276.5970105669121</v>
          </cell>
          <cell r="U175">
            <v>2194.9374619433966</v>
          </cell>
        </row>
        <row r="176">
          <cell r="A176" t="str">
            <v>Less: Capex</v>
          </cell>
          <cell r="H176">
            <v>-1354</v>
          </cell>
          <cell r="I176">
            <v>-1371</v>
          </cell>
          <cell r="J176">
            <v>-1289</v>
          </cell>
          <cell r="K176">
            <v>-1290</v>
          </cell>
          <cell r="L176">
            <v>-1236</v>
          </cell>
          <cell r="M176">
            <v>-1042</v>
          </cell>
          <cell r="N176">
            <v>-867.3</v>
          </cell>
          <cell r="O176">
            <v>-804</v>
          </cell>
          <cell r="P176">
            <v>-793.71636031356479</v>
          </cell>
          <cell r="Q176">
            <v>-792.45173556037344</v>
          </cell>
          <cell r="R176">
            <v>-783.19850872490917</v>
          </cell>
          <cell r="S176">
            <v>-772.86877763234156</v>
          </cell>
          <cell r="T176">
            <v>-761.69332786125142</v>
          </cell>
          <cell r="U176">
            <v>-749.90282508176767</v>
          </cell>
        </row>
        <row r="177">
          <cell r="A177" t="str">
            <v>Free Cash Flow</v>
          </cell>
          <cell r="H177">
            <v>1268</v>
          </cell>
          <cell r="I177">
            <v>1531</v>
          </cell>
          <cell r="J177">
            <v>1723</v>
          </cell>
          <cell r="K177">
            <v>1780</v>
          </cell>
          <cell r="L177">
            <v>1731</v>
          </cell>
          <cell r="M177">
            <v>1847</v>
          </cell>
          <cell r="N177">
            <v>2062.6999999999998</v>
          </cell>
          <cell r="O177">
            <v>1981.732783495474</v>
          </cell>
          <cell r="P177">
            <v>1867.80465443034</v>
          </cell>
          <cell r="Q177">
            <v>1763.0901796879839</v>
          </cell>
          <cell r="R177">
            <v>1673.2251205249718</v>
          </cell>
          <cell r="S177">
            <v>1590.740157120247</v>
          </cell>
          <cell r="T177">
            <v>1514.9036827056607</v>
          </cell>
          <cell r="U177">
            <v>1445.0346368616288</v>
          </cell>
        </row>
        <row r="183">
          <cell r="L183" t="str">
            <v>Sprint Nextel Local</v>
          </cell>
          <cell r="AX183" t="str">
            <v>Sprint Nextel Local</v>
          </cell>
        </row>
        <row r="184">
          <cell r="L184" t="str">
            <v>Annual Income Statement</v>
          </cell>
          <cell r="AX184" t="str">
            <v>Quarterly Income Statement</v>
          </cell>
        </row>
        <row r="185">
          <cell r="L185" t="str">
            <v>(Values in millions)</v>
          </cell>
          <cell r="AX185" t="str">
            <v>(Values in millions)</v>
          </cell>
        </row>
        <row r="186">
          <cell r="L186" t="str">
            <v>Calendar Year Ending Dec. 31</v>
          </cell>
          <cell r="M186">
            <v>2004</v>
          </cell>
          <cell r="N186">
            <v>2005</v>
          </cell>
          <cell r="O186" t="str">
            <v>2006E</v>
          </cell>
          <cell r="P186" t="str">
            <v>2007E</v>
          </cell>
          <cell r="Q186" t="str">
            <v>2008E</v>
          </cell>
          <cell r="R186" t="str">
            <v>2009E</v>
          </cell>
          <cell r="S186" t="str">
            <v>2010E</v>
          </cell>
          <cell r="T186" t="str">
            <v>2011E</v>
          </cell>
          <cell r="U186" t="str">
            <v>2012E</v>
          </cell>
          <cell r="AX186" t="str">
            <v>Fiscal Year Ending Dec. 31</v>
          </cell>
          <cell r="AY186" t="str">
            <v>1Q04</v>
          </cell>
          <cell r="AZ186" t="str">
            <v>2Q04</v>
          </cell>
          <cell r="BA186" t="str">
            <v>3Q04</v>
          </cell>
          <cell r="BB186" t="str">
            <v>4Q04</v>
          </cell>
          <cell r="BC186" t="str">
            <v>1Q05</v>
          </cell>
          <cell r="BD186" t="str">
            <v>2Q05</v>
          </cell>
          <cell r="BE186" t="str">
            <v>3Q05</v>
          </cell>
          <cell r="BF186" t="str">
            <v>4Q05</v>
          </cell>
          <cell r="BG186" t="str">
            <v>1Q06</v>
          </cell>
          <cell r="BH186" t="str">
            <v>2Q06E</v>
          </cell>
          <cell r="BI186" t="str">
            <v>3Q06E</v>
          </cell>
          <cell r="BJ186" t="str">
            <v>4Q06E</v>
          </cell>
        </row>
        <row r="187">
          <cell r="L187" t="str">
            <v xml:space="preserve">Voice </v>
          </cell>
          <cell r="M187">
            <v>4498</v>
          </cell>
          <cell r="N187">
            <v>4335</v>
          </cell>
          <cell r="O187">
            <v>4139.5903500000004</v>
          </cell>
          <cell r="P187">
            <v>3902.2546934906154</v>
          </cell>
          <cell r="Q187">
            <v>3700.4082223670039</v>
          </cell>
          <cell r="R187">
            <v>3509.274889692063</v>
          </cell>
          <cell r="S187">
            <v>3328.6871745560693</v>
          </cell>
          <cell r="T187">
            <v>3158.4776428984514</v>
          </cell>
          <cell r="U187">
            <v>2998.4789461445171</v>
          </cell>
          <cell r="AX187" t="str">
            <v xml:space="preserve">Voice </v>
          </cell>
          <cell r="AY187">
            <v>1147</v>
          </cell>
          <cell r="AZ187">
            <v>1136</v>
          </cell>
          <cell r="BA187">
            <v>1105</v>
          </cell>
          <cell r="BB187">
            <v>1110</v>
          </cell>
          <cell r="BC187">
            <v>1105</v>
          </cell>
          <cell r="BD187">
            <v>1085</v>
          </cell>
          <cell r="BE187">
            <v>1082</v>
          </cell>
          <cell r="BF187">
            <v>1063</v>
          </cell>
          <cell r="BG187">
            <v>1050</v>
          </cell>
          <cell r="BH187">
            <v>1041.8045999999999</v>
          </cell>
          <cell r="BI187">
            <v>1032.7129500000001</v>
          </cell>
          <cell r="BJ187">
            <v>1015.0727999999998</v>
          </cell>
        </row>
        <row r="188">
          <cell r="L188" t="str">
            <v>% growth</v>
          </cell>
          <cell r="M188">
            <v>-3.3519553072625663E-2</v>
          </cell>
          <cell r="N188">
            <v>-3.6238328145842602E-2</v>
          </cell>
          <cell r="O188">
            <v>-4.5077197231833788E-2</v>
          </cell>
          <cell r="P188">
            <v>-5.7333126334441542E-2</v>
          </cell>
          <cell r="Q188">
            <v>-5.1725601473505356E-2</v>
          </cell>
          <cell r="R188">
            <v>-5.1651958700027034E-2</v>
          </cell>
          <cell r="S188">
            <v>-5.1460122336509317E-2</v>
          </cell>
          <cell r="T188">
            <v>-5.1134132687105982E-2</v>
          </cell>
          <cell r="U188">
            <v>-5.0656903370418616E-2</v>
          </cell>
          <cell r="AX188" t="str">
            <v>% growth</v>
          </cell>
          <cell r="AY188">
            <v>-3.0431107354184306E-2</v>
          </cell>
          <cell r="AZ188">
            <v>-2.4892703862660959E-2</v>
          </cell>
          <cell r="BA188">
            <v>-4.079861111111116E-2</v>
          </cell>
          <cell r="BB188">
            <v>-3.8128249566724448E-2</v>
          </cell>
          <cell r="BC188">
            <v>-3.6617262423713992E-2</v>
          </cell>
          <cell r="BD188">
            <v>-4.4894366197183122E-2</v>
          </cell>
          <cell r="BE188">
            <v>-2.0814479638009087E-2</v>
          </cell>
          <cell r="BF188">
            <v>-4.2342342342342354E-2</v>
          </cell>
          <cell r="BG188">
            <v>-4.9773755656108642E-2</v>
          </cell>
          <cell r="BH188">
            <v>-3.9811428571428609E-2</v>
          </cell>
          <cell r="BI188">
            <v>-4.5551802218114501E-2</v>
          </cell>
          <cell r="BJ188">
            <v>-4.5086735653810162E-2</v>
          </cell>
        </row>
        <row r="189">
          <cell r="L189" t="str">
            <v>Data</v>
          </cell>
          <cell r="M189">
            <v>833</v>
          </cell>
          <cell r="N189">
            <v>983</v>
          </cell>
          <cell r="O189">
            <v>1113.4666666666667</v>
          </cell>
          <cell r="P189">
            <v>1227.9977201646093</v>
          </cell>
          <cell r="Q189">
            <v>1334.3923621399176</v>
          </cell>
          <cell r="R189">
            <v>1432.8305925925927</v>
          </cell>
          <cell r="S189">
            <v>1523.492411522634</v>
          </cell>
          <cell r="T189">
            <v>1606.5578189300413</v>
          </cell>
          <cell r="U189">
            <v>1682.2068148148151</v>
          </cell>
          <cell r="AX189" t="str">
            <v>Data</v>
          </cell>
          <cell r="AY189">
            <v>195</v>
          </cell>
          <cell r="AZ189">
            <v>205</v>
          </cell>
          <cell r="BA189">
            <v>214</v>
          </cell>
          <cell r="BB189">
            <v>219</v>
          </cell>
          <cell r="BC189">
            <v>233</v>
          </cell>
          <cell r="BD189">
            <v>240</v>
          </cell>
          <cell r="BE189">
            <v>251</v>
          </cell>
          <cell r="BF189">
            <v>259</v>
          </cell>
          <cell r="BG189">
            <v>267</v>
          </cell>
          <cell r="BH189">
            <v>275.60000000000002</v>
          </cell>
          <cell r="BI189">
            <v>281.93333333333334</v>
          </cell>
          <cell r="BJ189">
            <v>288.93333333333334</v>
          </cell>
        </row>
        <row r="190">
          <cell r="L190" t="str">
            <v>% growth</v>
          </cell>
          <cell r="M190">
            <v>0.14109589041095894</v>
          </cell>
          <cell r="N190">
            <v>0.18007202881152451</v>
          </cell>
          <cell r="O190">
            <v>0.13272295693455405</v>
          </cell>
          <cell r="P190">
            <v>0.10285988519154232</v>
          </cell>
          <cell r="Q190">
            <v>8.6640748780092647E-2</v>
          </cell>
          <cell r="R190">
            <v>7.3770079360176544E-2</v>
          </cell>
          <cell r="S190">
            <v>6.327462534562156E-2</v>
          </cell>
          <cell r="T190">
            <v>5.4523020120847754E-2</v>
          </cell>
          <cell r="U190">
            <v>4.7087627344253091E-2</v>
          </cell>
          <cell r="AX190" t="str">
            <v>% growth</v>
          </cell>
          <cell r="AY190">
            <v>0.12716763005780352</v>
          </cell>
          <cell r="AZ190">
            <v>0.16477272727272729</v>
          </cell>
          <cell r="BA190">
            <v>0.14438502673796783</v>
          </cell>
          <cell r="BB190">
            <v>0.12886597938144329</v>
          </cell>
          <cell r="BC190">
            <v>0.19487179487179485</v>
          </cell>
          <cell r="BD190">
            <v>0.1707317073170731</v>
          </cell>
          <cell r="BE190">
            <v>0.17289719626168232</v>
          </cell>
          <cell r="BF190">
            <v>0.18264840182648401</v>
          </cell>
          <cell r="BG190">
            <v>0.14592274678111594</v>
          </cell>
          <cell r="BH190">
            <v>0.14833333333333343</v>
          </cell>
          <cell r="BI190">
            <v>0.1232403718459496</v>
          </cell>
          <cell r="BJ190">
            <v>0.11557271557271553</v>
          </cell>
        </row>
        <row r="191">
          <cell r="L191" t="str">
            <v>Other</v>
          </cell>
          <cell r="M191">
            <v>690</v>
          </cell>
          <cell r="N191">
            <v>1209</v>
          </cell>
          <cell r="O191">
            <v>1123</v>
          </cell>
          <cell r="P191">
            <v>1010.7</v>
          </cell>
          <cell r="Q191">
            <v>909.63000000000011</v>
          </cell>
          <cell r="R191">
            <v>818.66700000000014</v>
          </cell>
          <cell r="S191">
            <v>736.80030000000011</v>
          </cell>
          <cell r="T191">
            <v>663.12027000000012</v>
          </cell>
          <cell r="U191">
            <v>596.80824300000018</v>
          </cell>
          <cell r="AX191" t="str">
            <v>Other</v>
          </cell>
          <cell r="AY191">
            <v>164</v>
          </cell>
          <cell r="AZ191">
            <v>169</v>
          </cell>
          <cell r="BA191">
            <v>177</v>
          </cell>
          <cell r="BB191">
            <v>180</v>
          </cell>
          <cell r="BC191">
            <v>259</v>
          </cell>
          <cell r="BD191">
            <v>266</v>
          </cell>
          <cell r="BE191">
            <v>339</v>
          </cell>
          <cell r="BF191">
            <v>345</v>
          </cell>
          <cell r="BG191">
            <v>303</v>
          </cell>
          <cell r="BH191">
            <v>290</v>
          </cell>
          <cell r="BI191">
            <v>275</v>
          </cell>
          <cell r="BJ191">
            <v>255</v>
          </cell>
        </row>
        <row r="192">
          <cell r="L192" t="str">
            <v>% growth</v>
          </cell>
          <cell r="M192">
            <v>-7.5067024128686377E-2</v>
          </cell>
          <cell r="N192">
            <v>0.75217391304347836</v>
          </cell>
          <cell r="O192">
            <v>-7.1133167907361461E-2</v>
          </cell>
          <cell r="P192">
            <v>-0.1</v>
          </cell>
          <cell r="Q192">
            <v>-0.1</v>
          </cell>
          <cell r="R192">
            <v>-0.1</v>
          </cell>
          <cell r="S192">
            <v>-0.1</v>
          </cell>
          <cell r="T192">
            <v>-0.1</v>
          </cell>
          <cell r="U192">
            <v>-0.1</v>
          </cell>
          <cell r="AX192" t="str">
            <v>% growth</v>
          </cell>
          <cell r="AY192">
            <v>-6.8181818181818232E-2</v>
          </cell>
          <cell r="AZ192">
            <v>-8.6486486486486491E-2</v>
          </cell>
          <cell r="BA192">
            <v>-5.8510638297872286E-2</v>
          </cell>
          <cell r="BB192">
            <v>-8.6294416243654859E-2</v>
          </cell>
          <cell r="BC192">
            <v>0.5792682926829269</v>
          </cell>
          <cell r="BD192">
            <v>0.57396449704142016</v>
          </cell>
          <cell r="BE192">
            <v>0.9152542372881356</v>
          </cell>
          <cell r="BF192">
            <v>0.91666666666666674</v>
          </cell>
          <cell r="BG192">
            <v>0.16988416988416999</v>
          </cell>
          <cell r="BH192">
            <v>9.0225563909774431E-2</v>
          </cell>
          <cell r="BI192">
            <v>-0.1887905604719764</v>
          </cell>
          <cell r="BJ192">
            <v>-0.26086956521739135</v>
          </cell>
        </row>
        <row r="193">
          <cell r="M193" t="str">
            <v xml:space="preserve">______ </v>
          </cell>
          <cell r="N193" t="str">
            <v xml:space="preserve">______ </v>
          </cell>
          <cell r="O193" t="str">
            <v xml:space="preserve">______ </v>
          </cell>
          <cell r="P193" t="str">
            <v xml:space="preserve">______ </v>
          </cell>
          <cell r="Q193" t="str">
            <v xml:space="preserve">______ </v>
          </cell>
          <cell r="R193" t="str">
            <v xml:space="preserve">______ </v>
          </cell>
          <cell r="S193" t="str">
            <v xml:space="preserve">______ </v>
          </cell>
          <cell r="T193" t="str">
            <v xml:space="preserve">______ </v>
          </cell>
          <cell r="U193" t="str">
            <v xml:space="preserve">______ </v>
          </cell>
          <cell r="AY193" t="str">
            <v xml:space="preserve">______ </v>
          </cell>
          <cell r="AZ193" t="str">
            <v xml:space="preserve">______ </v>
          </cell>
          <cell r="BA193" t="str">
            <v xml:space="preserve">______ </v>
          </cell>
          <cell r="BB193" t="str">
            <v xml:space="preserve">______ </v>
          </cell>
          <cell r="BC193" t="str">
            <v xml:space="preserve">______ </v>
          </cell>
          <cell r="BD193" t="str">
            <v xml:space="preserve">______ </v>
          </cell>
          <cell r="BE193" t="str">
            <v xml:space="preserve">______ </v>
          </cell>
          <cell r="BF193" t="str">
            <v xml:space="preserve">______ </v>
          </cell>
          <cell r="BG193" t="str">
            <v xml:space="preserve">______ </v>
          </cell>
          <cell r="BH193" t="str">
            <v xml:space="preserve">______ </v>
          </cell>
          <cell r="BI193" t="str">
            <v xml:space="preserve">______ </v>
          </cell>
          <cell r="BJ193" t="str">
            <v xml:space="preserve">______ </v>
          </cell>
        </row>
        <row r="194">
          <cell r="L194" t="str">
            <v>Total Local Division Revenues</v>
          </cell>
          <cell r="M194">
            <v>6021</v>
          </cell>
          <cell r="N194">
            <v>6527</v>
          </cell>
          <cell r="O194">
            <v>6376.0570166666676</v>
          </cell>
          <cell r="P194">
            <v>6140.9524136552245</v>
          </cell>
          <cell r="Q194">
            <v>5944.4305845069212</v>
          </cell>
          <cell r="R194">
            <v>5760.7724822846558</v>
          </cell>
          <cell r="S194">
            <v>5588.9798860787032</v>
          </cell>
          <cell r="T194">
            <v>5428.1557318284931</v>
          </cell>
          <cell r="U194">
            <v>5277.4940039593321</v>
          </cell>
          <cell r="AX194" t="str">
            <v>Total Local Division Revenues</v>
          </cell>
          <cell r="AY194">
            <v>1506</v>
          </cell>
          <cell r="AZ194">
            <v>1510</v>
          </cell>
          <cell r="BA194">
            <v>1496</v>
          </cell>
          <cell r="BB194">
            <v>1509</v>
          </cell>
          <cell r="BC194">
            <v>1597</v>
          </cell>
          <cell r="BD194">
            <v>1591</v>
          </cell>
          <cell r="BE194">
            <v>1672</v>
          </cell>
          <cell r="BF194">
            <v>1667</v>
          </cell>
          <cell r="BG194">
            <v>1620</v>
          </cell>
          <cell r="BH194">
            <v>1607.4045999999998</v>
          </cell>
          <cell r="BI194">
            <v>1589.6462833333335</v>
          </cell>
          <cell r="BJ194">
            <v>1559.0061333333333</v>
          </cell>
        </row>
        <row r="195">
          <cell r="L195" t="str">
            <v>% growth</v>
          </cell>
          <cell r="M195">
            <v>-1.7781402936378421E-2</v>
          </cell>
          <cell r="N195">
            <v>8.4039196146819428E-2</v>
          </cell>
          <cell r="O195">
            <v>-2.3125935856186941E-2</v>
          </cell>
          <cell r="P195">
            <v>-3.6873039622590031E-2</v>
          </cell>
          <cell r="Q195">
            <v>-3.2001848558752988E-2</v>
          </cell>
          <cell r="R195">
            <v>-3.0895827550066257E-2</v>
          </cell>
          <cell r="S195">
            <v>-2.9821104154736822E-2</v>
          </cell>
          <cell r="T195">
            <v>-2.8775225090861167E-2</v>
          </cell>
          <cell r="U195">
            <v>-2.7755601591483825E-2</v>
          </cell>
          <cell r="AX195" t="str">
            <v>% growth</v>
          </cell>
          <cell r="AY195">
            <v>-1.6971279373368175E-2</v>
          </cell>
          <cell r="AZ195">
            <v>-1.0484927916120546E-2</v>
          </cell>
          <cell r="BA195">
            <v>-2.0301244269810059E-2</v>
          </cell>
          <cell r="BB195">
            <v>-2.3300970873786353E-2</v>
          </cell>
          <cell r="BC195">
            <v>6.0424966799468738E-2</v>
          </cell>
          <cell r="BD195">
            <v>5.3642384105960339E-2</v>
          </cell>
          <cell r="BE195">
            <v>0.11764705882352944</v>
          </cell>
          <cell r="BF195">
            <v>0.10470510271703115</v>
          </cell>
          <cell r="BG195">
            <v>1.4402003757044479E-2</v>
          </cell>
          <cell r="BH195">
            <v>1.0310873664362008E-2</v>
          </cell>
          <cell r="BI195">
            <v>-4.9254615231259846E-2</v>
          </cell>
          <cell r="BJ195">
            <v>-6.4783363327334587E-2</v>
          </cell>
        </row>
        <row r="197">
          <cell r="L197" t="str">
            <v>Costs of Services and Products</v>
          </cell>
          <cell r="M197">
            <v>1877</v>
          </cell>
          <cell r="N197">
            <v>2407</v>
          </cell>
          <cell r="O197">
            <v>2376.4941922341563</v>
          </cell>
          <cell r="P197">
            <v>2301.1475325483616</v>
          </cell>
          <cell r="Q197">
            <v>2239.3954188694147</v>
          </cell>
          <cell r="R197">
            <v>2181.7289891561863</v>
          </cell>
          <cell r="S197">
            <v>2127.8453815053085</v>
          </cell>
          <cell r="T197">
            <v>2077.4724631576009</v>
          </cell>
          <cell r="U197">
            <v>2030.3659531608384</v>
          </cell>
          <cell r="AX197" t="str">
            <v>Costs of Services and Products</v>
          </cell>
          <cell r="AY197">
            <v>451</v>
          </cell>
          <cell r="AZ197">
            <v>462</v>
          </cell>
          <cell r="BA197">
            <v>499</v>
          </cell>
          <cell r="BB197">
            <v>465</v>
          </cell>
          <cell r="BC197">
            <v>564</v>
          </cell>
          <cell r="BD197">
            <v>561</v>
          </cell>
          <cell r="BE197">
            <v>641</v>
          </cell>
          <cell r="BF197">
            <v>641</v>
          </cell>
          <cell r="BG197">
            <v>599</v>
          </cell>
          <cell r="BH197">
            <v>597.55762117530855</v>
          </cell>
          <cell r="BI197">
            <v>594.13520471152265</v>
          </cell>
          <cell r="BJ197">
            <v>585.80136634732503</v>
          </cell>
        </row>
        <row r="198">
          <cell r="L198" t="str">
            <v>% growth</v>
          </cell>
          <cell r="M198">
            <v>-3.3968090581574906E-2</v>
          </cell>
          <cell r="N198">
            <v>0.28236547682472035</v>
          </cell>
          <cell r="O198">
            <v>-1.2673788020707843E-2</v>
          </cell>
          <cell r="P198">
            <v>-3.1704962684954374E-2</v>
          </cell>
          <cell r="Q198">
            <v>-2.6835356188814496E-2</v>
          </cell>
          <cell r="R198">
            <v>-2.5750892061010777E-2</v>
          </cell>
          <cell r="S198">
            <v>-2.4697663146382887E-2</v>
          </cell>
          <cell r="T198">
            <v>-2.3673204258888414E-2</v>
          </cell>
          <cell r="U198">
            <v>-2.267491426825663E-2</v>
          </cell>
          <cell r="AX198" t="str">
            <v>% growth</v>
          </cell>
          <cell r="AY198">
            <v>-7.3921971252566721E-2</v>
          </cell>
          <cell r="AZ198">
            <v>-5.5214723926380382E-2</v>
          </cell>
          <cell r="BA198">
            <v>1.6293279022403295E-2</v>
          </cell>
          <cell r="BB198">
            <v>-2.3109243697479021E-2</v>
          </cell>
          <cell r="BC198">
            <v>0.25055432372505537</v>
          </cell>
          <cell r="BD198">
            <v>0.21428571428571419</v>
          </cell>
          <cell r="BE198">
            <v>0.28456913827655317</v>
          </cell>
          <cell r="BF198">
            <v>0.37849462365591391</v>
          </cell>
          <cell r="BG198">
            <v>6.2056737588652489E-2</v>
          </cell>
          <cell r="BH198">
            <v>6.5165100134239928E-2</v>
          </cell>
          <cell r="BI198">
            <v>-7.3112005130229862E-2</v>
          </cell>
          <cell r="BJ198">
            <v>-8.6113313030694139E-2</v>
          </cell>
        </row>
        <row r="199">
          <cell r="L199" t="str">
            <v>% revenues</v>
          </cell>
          <cell r="M199">
            <v>0.31174223550905167</v>
          </cell>
          <cell r="N199">
            <v>0.36877585414432357</v>
          </cell>
          <cell r="O199">
            <v>0.37272160302552648</v>
          </cell>
          <cell r="P199">
            <v>0.37472160302552648</v>
          </cell>
          <cell r="Q199">
            <v>0.37672160302552649</v>
          </cell>
          <cell r="R199">
            <v>0.37872160302552649</v>
          </cell>
          <cell r="S199">
            <v>0.38072160302552649</v>
          </cell>
          <cell r="T199">
            <v>0.38272160302552649</v>
          </cell>
          <cell r="U199">
            <v>0.38472160302552649</v>
          </cell>
          <cell r="AX199" t="str">
            <v>% revenues</v>
          </cell>
          <cell r="AY199">
            <v>0.29946879150066402</v>
          </cell>
          <cell r="AZ199">
            <v>0.30596026490066225</v>
          </cell>
          <cell r="BA199">
            <v>0.33355614973262032</v>
          </cell>
          <cell r="BB199">
            <v>0.30815109343936381</v>
          </cell>
          <cell r="BC199">
            <v>0.35316217908578584</v>
          </cell>
          <cell r="BD199">
            <v>0.35260842237586426</v>
          </cell>
          <cell r="BE199">
            <v>0.38337320574162681</v>
          </cell>
          <cell r="BF199">
            <v>0.38452309538092383</v>
          </cell>
          <cell r="BG199">
            <v>0.36975308641975307</v>
          </cell>
          <cell r="BH199">
            <v>0.37175308641975308</v>
          </cell>
          <cell r="BI199">
            <v>0.37375308641975308</v>
          </cell>
          <cell r="BJ199">
            <v>0.37575308641975308</v>
          </cell>
        </row>
        <row r="200">
          <cell r="L200" t="str">
            <v>Selling, General, and Administrative</v>
          </cell>
          <cell r="M200">
            <v>1255</v>
          </cell>
          <cell r="N200">
            <v>1190</v>
          </cell>
          <cell r="O200">
            <v>1213.830040937037</v>
          </cell>
          <cell r="P200">
            <v>1178.2838663629584</v>
          </cell>
          <cell r="Q200">
            <v>1149.4932503891496</v>
          </cell>
          <cell r="R200">
            <v>1122.6198638785881</v>
          </cell>
          <cell r="S200">
            <v>1097.5255698208064</v>
          </cell>
          <cell r="T200">
            <v>1074.0862581039798</v>
          </cell>
          <cell r="U200">
            <v>1052.1905888550971</v>
          </cell>
          <cell r="AX200" t="str">
            <v>Selling, General, and Administrative</v>
          </cell>
          <cell r="AY200">
            <v>327</v>
          </cell>
          <cell r="AZ200">
            <v>330</v>
          </cell>
          <cell r="BA200">
            <v>311</v>
          </cell>
          <cell r="BB200">
            <v>287</v>
          </cell>
          <cell r="BC200">
            <v>321</v>
          </cell>
          <cell r="BD200">
            <v>290</v>
          </cell>
          <cell r="BE200">
            <v>298</v>
          </cell>
          <cell r="BF200">
            <v>281</v>
          </cell>
          <cell r="BG200">
            <v>306</v>
          </cell>
          <cell r="BH200">
            <v>305.22827348888887</v>
          </cell>
          <cell r="BI200">
            <v>303.44581275185186</v>
          </cell>
          <cell r="BJ200">
            <v>299.15595469629631</v>
          </cell>
        </row>
        <row r="201">
          <cell r="L201" t="str">
            <v>% growth</v>
          </cell>
          <cell r="M201">
            <v>2.8688524590164022E-2</v>
          </cell>
          <cell r="N201">
            <v>-5.1792828685258918E-2</v>
          </cell>
          <cell r="O201">
            <v>2.0025244484904947E-2</v>
          </cell>
          <cell r="P201">
            <v>-2.9284309479305715E-2</v>
          </cell>
          <cell r="Q201">
            <v>-2.443436322579684E-2</v>
          </cell>
          <cell r="R201">
            <v>-2.3378463946146399E-2</v>
          </cell>
          <cell r="S201">
            <v>-2.235333158196795E-2</v>
          </cell>
          <cell r="T201">
            <v>-2.135650627315544E-2</v>
          </cell>
          <cell r="U201">
            <v>-2.0385391846958201E-2</v>
          </cell>
          <cell r="AX201" t="str">
            <v>% growth</v>
          </cell>
          <cell r="AY201">
            <v>2.8301886792452935E-2</v>
          </cell>
          <cell r="AZ201">
            <v>5.4313099041533475E-2</v>
          </cell>
          <cell r="BA201">
            <v>2.3026315789473673E-2</v>
          </cell>
          <cell r="BB201">
            <v>7.0175438596491446E-3</v>
          </cell>
          <cell r="BC201">
            <v>-1.834862385321101E-2</v>
          </cell>
          <cell r="BD201">
            <v>-0.12121212121212122</v>
          </cell>
          <cell r="BE201">
            <v>-4.1800643086816747E-2</v>
          </cell>
          <cell r="BF201">
            <v>-2.0905923344947785E-2</v>
          </cell>
          <cell r="BG201">
            <v>-4.6728971962616828E-2</v>
          </cell>
          <cell r="BH201">
            <v>5.2511287892720304E-2</v>
          </cell>
          <cell r="BI201">
            <v>1.8274539435744419E-2</v>
          </cell>
          <cell r="BJ201">
            <v>6.4611938420983339E-2</v>
          </cell>
        </row>
        <row r="202">
          <cell r="L202" t="str">
            <v>% revenues</v>
          </cell>
          <cell r="M202">
            <v>0.20843713668825775</v>
          </cell>
          <cell r="N202">
            <v>0.18231959552627547</v>
          </cell>
          <cell r="O202">
            <v>0.19037314719177559</v>
          </cell>
          <cell r="P202">
            <v>0.19187314719177559</v>
          </cell>
          <cell r="Q202">
            <v>0.19337314719177559</v>
          </cell>
          <cell r="R202">
            <v>0.19487314719177559</v>
          </cell>
          <cell r="S202">
            <v>0.19637314719177559</v>
          </cell>
          <cell r="T202">
            <v>0.19787314719177559</v>
          </cell>
          <cell r="U202">
            <v>0.1993731471917756</v>
          </cell>
          <cell r="AX202" t="str">
            <v>% revenues</v>
          </cell>
          <cell r="AY202">
            <v>0.21713147410358566</v>
          </cell>
          <cell r="AZ202">
            <v>0.2185430463576159</v>
          </cell>
          <cell r="BA202">
            <v>0.20788770053475936</v>
          </cell>
          <cell r="BB202">
            <v>0.19019218025182241</v>
          </cell>
          <cell r="BC202">
            <v>0.20100187852222917</v>
          </cell>
          <cell r="BD202">
            <v>0.18227529855436833</v>
          </cell>
          <cell r="BE202">
            <v>0.17822966507177032</v>
          </cell>
          <cell r="BF202">
            <v>0.16856628674265148</v>
          </cell>
          <cell r="BG202">
            <v>0.18888888888888888</v>
          </cell>
          <cell r="BH202">
            <v>0.18988888888888888</v>
          </cell>
          <cell r="BI202">
            <v>0.19088888888888889</v>
          </cell>
          <cell r="BJ202">
            <v>0.19188888888888889</v>
          </cell>
        </row>
        <row r="203">
          <cell r="M203" t="str">
            <v xml:space="preserve">______ </v>
          </cell>
          <cell r="N203" t="str">
            <v xml:space="preserve">______ </v>
          </cell>
          <cell r="O203" t="str">
            <v xml:space="preserve">______ </v>
          </cell>
          <cell r="P203" t="str">
            <v xml:space="preserve">______ </v>
          </cell>
          <cell r="Q203" t="str">
            <v xml:space="preserve">______ </v>
          </cell>
          <cell r="R203" t="str">
            <v xml:space="preserve">______ </v>
          </cell>
          <cell r="S203" t="str">
            <v xml:space="preserve">______ </v>
          </cell>
          <cell r="T203" t="str">
            <v xml:space="preserve">______ </v>
          </cell>
          <cell r="U203" t="str">
            <v xml:space="preserve">______ </v>
          </cell>
          <cell r="AY203" t="str">
            <v xml:space="preserve">______ </v>
          </cell>
          <cell r="AZ203" t="str">
            <v xml:space="preserve">______ </v>
          </cell>
          <cell r="BA203" t="str">
            <v xml:space="preserve">______ </v>
          </cell>
          <cell r="BB203" t="str">
            <v xml:space="preserve">______ </v>
          </cell>
          <cell r="BC203" t="str">
            <v xml:space="preserve">______ </v>
          </cell>
          <cell r="BD203" t="str">
            <v xml:space="preserve">______ </v>
          </cell>
          <cell r="BE203" t="str">
            <v xml:space="preserve">______ </v>
          </cell>
          <cell r="BF203" t="str">
            <v xml:space="preserve">______ </v>
          </cell>
          <cell r="BG203" t="str">
            <v xml:space="preserve">______ </v>
          </cell>
          <cell r="BH203" t="str">
            <v xml:space="preserve">______ </v>
          </cell>
          <cell r="BI203" t="str">
            <v xml:space="preserve">______ </v>
          </cell>
          <cell r="BJ203" t="str">
            <v xml:space="preserve">______ </v>
          </cell>
        </row>
        <row r="204">
          <cell r="L204" t="str">
            <v>Total Operating Expenses</v>
          </cell>
          <cell r="M204">
            <v>3132</v>
          </cell>
          <cell r="N204">
            <v>3597</v>
          </cell>
          <cell r="O204">
            <v>3590.3242331711936</v>
          </cell>
          <cell r="P204">
            <v>3479.4313989113198</v>
          </cell>
          <cell r="Q204">
            <v>3388.8886692585638</v>
          </cell>
          <cell r="R204">
            <v>3304.3488530347749</v>
          </cell>
          <cell r="S204">
            <v>3225.3709513261147</v>
          </cell>
          <cell r="T204">
            <v>3151.558721261581</v>
          </cell>
          <cell r="U204">
            <v>3082.5565420159355</v>
          </cell>
          <cell r="AX204" t="str">
            <v>Total Operating Expenses</v>
          </cell>
          <cell r="AY204">
            <v>778</v>
          </cell>
          <cell r="AZ204">
            <v>792</v>
          </cell>
          <cell r="BA204">
            <v>810</v>
          </cell>
          <cell r="BB204">
            <v>752</v>
          </cell>
          <cell r="BC204">
            <v>885</v>
          </cell>
          <cell r="BD204">
            <v>851</v>
          </cell>
          <cell r="BE204">
            <v>939</v>
          </cell>
          <cell r="BF204">
            <v>922</v>
          </cell>
          <cell r="BG204">
            <v>905</v>
          </cell>
          <cell r="BH204">
            <v>902.78589466419726</v>
          </cell>
          <cell r="BI204">
            <v>897.58101746337456</v>
          </cell>
          <cell r="BJ204">
            <v>884.95732104362128</v>
          </cell>
        </row>
        <row r="205">
          <cell r="L205" t="str">
            <v>% growth</v>
          </cell>
          <cell r="M205">
            <v>-9.800822004426224E-3</v>
          </cell>
          <cell r="N205">
            <v>0.1484674329501916</v>
          </cell>
          <cell r="O205">
            <v>-1.8559262799017207E-3</v>
          </cell>
          <cell r="P205">
            <v>-3.0886579333233799E-2</v>
          </cell>
          <cell r="Q205">
            <v>-2.6022277571296826E-2</v>
          </cell>
          <cell r="R205">
            <v>-2.4946176895886296E-2</v>
          </cell>
          <cell r="S205">
            <v>-2.3901199667863637E-2</v>
          </cell>
          <cell r="T205">
            <v>-2.2884880895385318E-2</v>
          </cell>
          <cell r="U205">
            <v>-2.1894619567178419E-2</v>
          </cell>
          <cell r="AX205" t="str">
            <v>% growth</v>
          </cell>
          <cell r="AY205">
            <v>-3.354037267080745E-2</v>
          </cell>
          <cell r="AZ205">
            <v>-1.2468827930174564E-2</v>
          </cell>
          <cell r="BA205">
            <v>1.8867924528301883E-2</v>
          </cell>
          <cell r="BB205">
            <v>-1.1826544021025009E-2</v>
          </cell>
          <cell r="BC205">
            <v>0.13753213367609263</v>
          </cell>
          <cell r="BD205">
            <v>7.4494949494949392E-2</v>
          </cell>
          <cell r="BE205">
            <v>0.15925925925925921</v>
          </cell>
          <cell r="BF205">
            <v>0.22606382978723394</v>
          </cell>
          <cell r="BG205">
            <v>2.2598870056497189E-2</v>
          </cell>
          <cell r="BH205">
            <v>6.0852990204697033E-2</v>
          </cell>
          <cell r="BI205">
            <v>-4.4109672562966384E-2</v>
          </cell>
          <cell r="BJ205">
            <v>-4.0176441384358719E-2</v>
          </cell>
        </row>
        <row r="206">
          <cell r="L206" t="str">
            <v>% revenues</v>
          </cell>
          <cell r="M206">
            <v>0.52017937219730936</v>
          </cell>
          <cell r="N206">
            <v>0.55109544967059909</v>
          </cell>
          <cell r="O206">
            <v>0.56309475021730204</v>
          </cell>
          <cell r="P206">
            <v>0.56659475021730199</v>
          </cell>
          <cell r="Q206">
            <v>0.57009475021730205</v>
          </cell>
          <cell r="R206">
            <v>0.57359475021730222</v>
          </cell>
          <cell r="S206">
            <v>0.57709475021730205</v>
          </cell>
          <cell r="T206">
            <v>0.58059475021730211</v>
          </cell>
          <cell r="U206">
            <v>0.58409475021730206</v>
          </cell>
          <cell r="AX206" t="str">
            <v>% revenues</v>
          </cell>
          <cell r="AY206">
            <v>0.51660026560424965</v>
          </cell>
          <cell r="AZ206">
            <v>0.52450331125827809</v>
          </cell>
          <cell r="BA206">
            <v>0.54144385026737973</v>
          </cell>
          <cell r="BB206">
            <v>0.49834327369118619</v>
          </cell>
          <cell r="BC206">
            <v>0.55416405760801501</v>
          </cell>
          <cell r="BD206">
            <v>0.53488372093023251</v>
          </cell>
          <cell r="BE206">
            <v>0.5616028708133971</v>
          </cell>
          <cell r="BF206">
            <v>0.55308938212357528</v>
          </cell>
          <cell r="BG206">
            <v>0.55864197530864201</v>
          </cell>
          <cell r="BH206">
            <v>0.56164197530864191</v>
          </cell>
          <cell r="BI206">
            <v>0.56464197530864202</v>
          </cell>
          <cell r="BJ206">
            <v>0.56764197530864191</v>
          </cell>
        </row>
        <row r="208">
          <cell r="L208" t="str">
            <v>EBITDA</v>
          </cell>
          <cell r="M208">
            <v>2889</v>
          </cell>
          <cell r="N208">
            <v>2930</v>
          </cell>
          <cell r="O208">
            <v>2785.732783495474</v>
          </cell>
          <cell r="P208">
            <v>2661.5210147439047</v>
          </cell>
          <cell r="Q208">
            <v>2555.5419152483573</v>
          </cell>
          <cell r="R208">
            <v>2456.4236292498808</v>
          </cell>
          <cell r="S208">
            <v>2363.6089347525885</v>
          </cell>
          <cell r="T208">
            <v>2276.5970105669121</v>
          </cell>
          <cell r="U208">
            <v>2194.9374619433966</v>
          </cell>
          <cell r="AX208" t="str">
            <v>EBITDA</v>
          </cell>
          <cell r="AY208">
            <v>728</v>
          </cell>
          <cell r="AZ208">
            <v>718</v>
          </cell>
          <cell r="BA208">
            <v>686</v>
          </cell>
          <cell r="BB208">
            <v>757</v>
          </cell>
          <cell r="BC208">
            <v>712</v>
          </cell>
          <cell r="BD208">
            <v>740</v>
          </cell>
          <cell r="BE208">
            <v>733</v>
          </cell>
          <cell r="BF208">
            <v>745</v>
          </cell>
          <cell r="BG208">
            <v>715</v>
          </cell>
          <cell r="BH208">
            <v>704.61870533580259</v>
          </cell>
          <cell r="BI208">
            <v>692.06526586995892</v>
          </cell>
          <cell r="BJ208">
            <v>674.04881228971203</v>
          </cell>
        </row>
        <row r="209">
          <cell r="L209" t="str">
            <v>% growth</v>
          </cell>
          <cell r="M209">
            <v>-2.6289180990899941E-2</v>
          </cell>
          <cell r="N209">
            <v>1.4191761855313345E-2</v>
          </cell>
          <cell r="O209">
            <v>-4.9237957851374081E-2</v>
          </cell>
          <cell r="P209">
            <v>-4.4588543986516571E-2</v>
          </cell>
          <cell r="Q209">
            <v>-3.9818997824349278E-2</v>
          </cell>
          <cell r="R209">
            <v>-3.878562327898416E-2</v>
          </cell>
          <cell r="S209">
            <v>-3.778448203807383E-2</v>
          </cell>
          <cell r="T209">
            <v>-3.6813164354865813E-2</v>
          </cell>
          <cell r="U209">
            <v>-3.5869127581425131E-2</v>
          </cell>
          <cell r="AX209" t="str">
            <v>% growth</v>
          </cell>
          <cell r="AY209">
            <v>1.3755158184318717E-3</v>
          </cell>
          <cell r="AZ209">
            <v>-8.2872928176795924E-3</v>
          </cell>
          <cell r="BA209">
            <v>-6.2841530054644767E-2</v>
          </cell>
          <cell r="BB209">
            <v>-3.4438775510204134E-2</v>
          </cell>
          <cell r="BC209">
            <v>-2.1978021978022011E-2</v>
          </cell>
          <cell r="BD209">
            <v>3.0640668523676862E-2</v>
          </cell>
          <cell r="BE209">
            <v>6.8513119533527789E-2</v>
          </cell>
          <cell r="BF209">
            <v>-1.5852047556142668E-2</v>
          </cell>
          <cell r="BG209">
            <v>4.2134831460673983E-3</v>
          </cell>
          <cell r="BH209">
            <v>-4.7812560357023526E-2</v>
          </cell>
          <cell r="BI209">
            <v>-5.5845476302921027E-2</v>
          </cell>
          <cell r="BJ209">
            <v>-9.5236493570856284E-2</v>
          </cell>
        </row>
        <row r="210">
          <cell r="L210" t="str">
            <v>% revenues</v>
          </cell>
          <cell r="M210">
            <v>0.47982062780269058</v>
          </cell>
          <cell r="N210">
            <v>0.44890455032940096</v>
          </cell>
          <cell r="O210">
            <v>0.4369052497826979</v>
          </cell>
          <cell r="P210">
            <v>0.43340524978269801</v>
          </cell>
          <cell r="Q210">
            <v>0.42990524978269801</v>
          </cell>
          <cell r="R210">
            <v>0.42640524978269784</v>
          </cell>
          <cell r="S210">
            <v>0.42290524978269795</v>
          </cell>
          <cell r="T210">
            <v>0.41940524978269783</v>
          </cell>
          <cell r="U210">
            <v>0.41590524978269794</v>
          </cell>
          <cell r="AX210" t="str">
            <v>% revenues</v>
          </cell>
          <cell r="AY210">
            <v>0.48339973439575035</v>
          </cell>
          <cell r="AZ210">
            <v>0.47549668874172185</v>
          </cell>
          <cell r="BA210">
            <v>0.45855614973262032</v>
          </cell>
          <cell r="BB210">
            <v>0.50165672630881375</v>
          </cell>
          <cell r="BC210">
            <v>0.44583594239198499</v>
          </cell>
          <cell r="BD210">
            <v>0.46511627906976744</v>
          </cell>
          <cell r="BE210">
            <v>0.4383971291866029</v>
          </cell>
          <cell r="BF210">
            <v>0.44691061787642472</v>
          </cell>
          <cell r="BG210">
            <v>0.44135802469135804</v>
          </cell>
          <cell r="BH210">
            <v>0.43835802469135815</v>
          </cell>
          <cell r="BI210">
            <v>0.43535802469135804</v>
          </cell>
          <cell r="BJ210">
            <v>0.43235802469135809</v>
          </cell>
        </row>
        <row r="212">
          <cell r="L212" t="str">
            <v>Depreciation</v>
          </cell>
          <cell r="M212">
            <v>1084</v>
          </cell>
          <cell r="N212">
            <v>1091</v>
          </cell>
          <cell r="O212">
            <v>1038</v>
          </cell>
          <cell r="P212">
            <v>1033</v>
          </cell>
          <cell r="Q212">
            <v>1028</v>
          </cell>
          <cell r="R212">
            <v>1023</v>
          </cell>
          <cell r="S212">
            <v>1018</v>
          </cell>
          <cell r="T212">
            <v>1013</v>
          </cell>
          <cell r="U212">
            <v>1008</v>
          </cell>
          <cell r="AX212" t="str">
            <v>Depreciation</v>
          </cell>
          <cell r="AY212">
            <v>268</v>
          </cell>
          <cell r="AZ212">
            <v>271</v>
          </cell>
          <cell r="BA212">
            <v>272</v>
          </cell>
          <cell r="BB212">
            <v>273</v>
          </cell>
          <cell r="BC212">
            <v>277</v>
          </cell>
          <cell r="BD212">
            <v>278</v>
          </cell>
          <cell r="BE212">
            <v>277</v>
          </cell>
          <cell r="BF212">
            <v>259</v>
          </cell>
          <cell r="BG212">
            <v>263</v>
          </cell>
          <cell r="BH212">
            <v>260</v>
          </cell>
          <cell r="BI212">
            <v>260</v>
          </cell>
          <cell r="BJ212">
            <v>255</v>
          </cell>
        </row>
        <row r="213">
          <cell r="L213" t="str">
            <v>% growth</v>
          </cell>
          <cell r="M213">
            <v>2.7752081406104967E-3</v>
          </cell>
          <cell r="N213">
            <v>6.4575645756457245E-3</v>
          </cell>
          <cell r="O213">
            <v>-4.8579285059578314E-2</v>
          </cell>
          <cell r="P213">
            <v>-4.816955684007751E-3</v>
          </cell>
          <cell r="Q213">
            <v>-4.8402710551790351E-3</v>
          </cell>
          <cell r="R213">
            <v>-4.8638132295719672E-3</v>
          </cell>
          <cell r="S213">
            <v>-4.8875855327468187E-3</v>
          </cell>
          <cell r="T213">
            <v>-4.9115913555992652E-3</v>
          </cell>
          <cell r="U213">
            <v>-4.9358341559723184E-3</v>
          </cell>
          <cell r="AX213" t="str">
            <v>% growth</v>
          </cell>
          <cell r="AY213">
            <v>1.132075471698113E-2</v>
          </cell>
          <cell r="AZ213">
            <v>0</v>
          </cell>
          <cell r="BA213">
            <v>1.1152416356877248E-2</v>
          </cell>
          <cell r="BB213">
            <v>-1.0869565217391353E-2</v>
          </cell>
          <cell r="BC213">
            <v>3.3582089552238736E-2</v>
          </cell>
          <cell r="BD213">
            <v>2.583025830258312E-2</v>
          </cell>
          <cell r="BE213">
            <v>1.8382352941176405E-2</v>
          </cell>
          <cell r="BF213">
            <v>-5.1282051282051322E-2</v>
          </cell>
          <cell r="BG213">
            <v>-5.0541516245487417E-2</v>
          </cell>
          <cell r="BH213">
            <v>-6.4748201438848962E-2</v>
          </cell>
          <cell r="BI213">
            <v>-6.1371841155234641E-2</v>
          </cell>
          <cell r="BJ213">
            <v>-1.5444015444015413E-2</v>
          </cell>
        </row>
        <row r="214">
          <cell r="L214" t="str">
            <v>% revenues</v>
          </cell>
          <cell r="M214">
            <v>0.1800365387809334</v>
          </cell>
          <cell r="N214">
            <v>0.16715183085644247</v>
          </cell>
          <cell r="O214">
            <v>0.16279653668195315</v>
          </cell>
          <cell r="P214">
            <v>0.16821494947640159</v>
          </cell>
          <cell r="Q214">
            <v>0.17293498265070087</v>
          </cell>
          <cell r="R214">
            <v>0.17758035109803366</v>
          </cell>
          <cell r="S214">
            <v>0.18214415166096459</v>
          </cell>
          <cell r="T214">
            <v>0.18661955368380106</v>
          </cell>
          <cell r="U214">
            <v>0.19099974329554303</v>
          </cell>
          <cell r="AX214" t="str">
            <v>% revenues</v>
          </cell>
          <cell r="AY214">
            <v>0.17795484727755645</v>
          </cell>
          <cell r="AZ214">
            <v>0.17947019867549668</v>
          </cell>
          <cell r="BA214">
            <v>0.18181818181818182</v>
          </cell>
          <cell r="BB214">
            <v>0.18091451292246521</v>
          </cell>
          <cell r="BC214">
            <v>0.17345021916092673</v>
          </cell>
          <cell r="BD214">
            <v>0.17473287240729102</v>
          </cell>
          <cell r="BE214">
            <v>0.16566985645933013</v>
          </cell>
          <cell r="BF214">
            <v>0.15536892621475704</v>
          </cell>
          <cell r="BG214">
            <v>0.16234567901234567</v>
          </cell>
          <cell r="BH214">
            <v>0.16175143457969451</v>
          </cell>
          <cell r="BI214">
            <v>0.16355839832167274</v>
          </cell>
          <cell r="BJ214">
            <v>0.16356574521921916</v>
          </cell>
        </row>
        <row r="216">
          <cell r="L216" t="str">
            <v>Operating Income</v>
          </cell>
          <cell r="M216">
            <v>1805</v>
          </cell>
          <cell r="N216">
            <v>1839</v>
          </cell>
          <cell r="O216">
            <v>1747.732783495474</v>
          </cell>
          <cell r="P216">
            <v>1628.5210147439047</v>
          </cell>
          <cell r="Q216">
            <v>1527.5419152483573</v>
          </cell>
          <cell r="R216">
            <v>1433.4236292498808</v>
          </cell>
          <cell r="S216">
            <v>1345.6089347525885</v>
          </cell>
          <cell r="T216">
            <v>1263.5970105669121</v>
          </cell>
          <cell r="U216">
            <v>1186.9374619433966</v>
          </cell>
          <cell r="AX216" t="str">
            <v>Operating Income</v>
          </cell>
          <cell r="AY216">
            <v>460</v>
          </cell>
          <cell r="AZ216">
            <v>447</v>
          </cell>
          <cell r="BA216">
            <v>414</v>
          </cell>
          <cell r="BB216">
            <v>484</v>
          </cell>
          <cell r="BC216">
            <v>435</v>
          </cell>
          <cell r="BD216">
            <v>462</v>
          </cell>
          <cell r="BE216">
            <v>456</v>
          </cell>
          <cell r="BF216">
            <v>486</v>
          </cell>
          <cell r="BG216">
            <v>452</v>
          </cell>
          <cell r="BH216">
            <v>444.61870533580259</v>
          </cell>
          <cell r="BI216">
            <v>432.06526586995892</v>
          </cell>
          <cell r="BJ216">
            <v>419.04881228971203</v>
          </cell>
        </row>
        <row r="217">
          <cell r="L217" t="str">
            <v>% growth</v>
          </cell>
          <cell r="M217">
            <v>-4.2948038176033987E-2</v>
          </cell>
          <cell r="N217">
            <v>1.8836565096952862E-2</v>
          </cell>
          <cell r="O217">
            <v>-4.962872023084608E-2</v>
          </cell>
          <cell r="P217">
            <v>-6.8209379532919834E-2</v>
          </cell>
          <cell r="Q217">
            <v>-6.2006629685050108E-2</v>
          </cell>
          <cell r="R217">
            <v>-6.1614208460639253E-2</v>
          </cell>
          <cell r="S217">
            <v>-6.1262206583859835E-2</v>
          </cell>
          <cell r="T217">
            <v>-6.0947814827608582E-2</v>
          </cell>
          <cell r="U217">
            <v>-6.0667719203547521E-2</v>
          </cell>
          <cell r="AX217" t="str">
            <v>% growth</v>
          </cell>
          <cell r="AY217">
            <v>-4.3290043290042934E-3</v>
          </cell>
          <cell r="AZ217">
            <v>-1.3245033112582738E-2</v>
          </cell>
          <cell r="BA217">
            <v>-0.10583153347732177</v>
          </cell>
          <cell r="BB217">
            <v>-4.7244094488189003E-2</v>
          </cell>
          <cell r="BC217">
            <v>-5.4347826086956541E-2</v>
          </cell>
          <cell r="BD217">
            <v>3.3557046979865834E-2</v>
          </cell>
          <cell r="BE217">
            <v>0.10144927536231885</v>
          </cell>
          <cell r="BF217">
            <v>4.1322314049587749E-3</v>
          </cell>
          <cell r="BG217">
            <v>3.9080459770114873E-2</v>
          </cell>
          <cell r="BH217">
            <v>-3.7621849922505168E-2</v>
          </cell>
          <cell r="BI217">
            <v>-5.248845203956376E-2</v>
          </cell>
          <cell r="BJ217">
            <v>-0.13775964549441966</v>
          </cell>
        </row>
        <row r="218">
          <cell r="L218" t="str">
            <v>% revenues</v>
          </cell>
          <cell r="M218">
            <v>0.29978408902175718</v>
          </cell>
          <cell r="N218">
            <v>0.28175271947295849</v>
          </cell>
          <cell r="O218">
            <v>0.27410871310074475</v>
          </cell>
          <cell r="P218">
            <v>0.26519030030629642</v>
          </cell>
          <cell r="Q218">
            <v>0.25697026713199711</v>
          </cell>
          <cell r="R218">
            <v>0.24882489868466418</v>
          </cell>
          <cell r="S218">
            <v>0.24076109812173332</v>
          </cell>
          <cell r="T218">
            <v>0.23278569609889677</v>
          </cell>
          <cell r="U218">
            <v>0.22490550648715488</v>
          </cell>
          <cell r="AX218" t="str">
            <v>% revenues</v>
          </cell>
          <cell r="AY218">
            <v>0.3054448871181939</v>
          </cell>
          <cell r="AZ218">
            <v>0.29602649006622517</v>
          </cell>
          <cell r="BA218">
            <v>0.2767379679144385</v>
          </cell>
          <cell r="BB218">
            <v>0.32074221338634856</v>
          </cell>
          <cell r="BC218">
            <v>0.27238572323105825</v>
          </cell>
          <cell r="BD218">
            <v>0.29038340666247642</v>
          </cell>
          <cell r="BE218">
            <v>0.27272727272727271</v>
          </cell>
          <cell r="BF218">
            <v>0.29154169166166766</v>
          </cell>
          <cell r="BG218">
            <v>0.27901234567901234</v>
          </cell>
          <cell r="BH218">
            <v>0.27660659011166361</v>
          </cell>
          <cell r="BI218">
            <v>0.2717996263696853</v>
          </cell>
          <cell r="BJ218">
            <v>0.26879227947213896</v>
          </cell>
        </row>
        <row r="221">
          <cell r="L221" t="str">
            <v>Total Switched Access Lines (000s)</v>
          </cell>
          <cell r="M221">
            <v>7668</v>
          </cell>
          <cell r="N221">
            <v>7350</v>
          </cell>
          <cell r="O221">
            <v>7033</v>
          </cell>
          <cell r="P221">
            <v>6681.1900000000005</v>
          </cell>
          <cell r="Q221">
            <v>6349.8421500000004</v>
          </cell>
          <cell r="R221">
            <v>6033.9495177499994</v>
          </cell>
          <cell r="S221">
            <v>5733.5052749837496</v>
          </cell>
          <cell r="T221">
            <v>5448.5026958589933</v>
          </cell>
          <cell r="U221">
            <v>5178.9351554211089</v>
          </cell>
          <cell r="AX221" t="str">
            <v>Total Switched Access Lines (000s)</v>
          </cell>
          <cell r="AY221">
            <v>7876</v>
          </cell>
          <cell r="AZ221">
            <v>7780</v>
          </cell>
          <cell r="BA221">
            <v>7718</v>
          </cell>
          <cell r="BB221">
            <v>7668</v>
          </cell>
          <cell r="BC221">
            <v>7639</v>
          </cell>
          <cell r="BD221">
            <v>7530</v>
          </cell>
          <cell r="BE221">
            <v>7438</v>
          </cell>
          <cell r="BF221">
            <v>7350</v>
          </cell>
          <cell r="BG221">
            <v>7259</v>
          </cell>
          <cell r="BH221">
            <v>7180</v>
          </cell>
          <cell r="BI221">
            <v>7101</v>
          </cell>
          <cell r="BJ221">
            <v>7020</v>
          </cell>
        </row>
        <row r="222">
          <cell r="L222" t="str">
            <v>% Growth</v>
          </cell>
          <cell r="M222">
            <v>-3.0226381687112669E-2</v>
          </cell>
          <cell r="N222">
            <v>-4.1471048513302078E-2</v>
          </cell>
          <cell r="O222">
            <v>-4.3129251700680271E-2</v>
          </cell>
          <cell r="P222">
            <v>-5.0022749893359753E-2</v>
          </cell>
          <cell r="Q222">
            <v>-4.9594136673257294E-2</v>
          </cell>
          <cell r="R222">
            <v>-4.9748107872256475E-2</v>
          </cell>
          <cell r="S222">
            <v>-4.9792303015203654E-2</v>
          </cell>
          <cell r="T222">
            <v>-4.9708261430973177E-2</v>
          </cell>
          <cell r="U222">
            <v>-4.9475526669512826E-2</v>
          </cell>
          <cell r="AX222" t="str">
            <v>% Growth</v>
          </cell>
          <cell r="AY222">
            <v>-2.3555665757500566E-2</v>
          </cell>
          <cell r="AZ222">
            <v>-2.530694061638683E-2</v>
          </cell>
          <cell r="BA222">
            <v>-2.8571428571428581E-2</v>
          </cell>
          <cell r="BB222">
            <v>-3.0226381687112669E-2</v>
          </cell>
          <cell r="BC222">
            <v>-3.0091416962925388E-2</v>
          </cell>
          <cell r="BD222">
            <v>-3.2133676092545027E-2</v>
          </cell>
          <cell r="BE222">
            <v>-3.627882871210153E-2</v>
          </cell>
          <cell r="BF222">
            <v>-4.1471048513302078E-2</v>
          </cell>
          <cell r="BG222">
            <v>-4.9744730985731067E-2</v>
          </cell>
          <cell r="BH222">
            <v>-4.6480743691899029E-2</v>
          </cell>
          <cell r="BI222">
            <v>-4.5307878461952167E-2</v>
          </cell>
          <cell r="BJ222">
            <v>-4.4897959183673453E-2</v>
          </cell>
        </row>
        <row r="223">
          <cell r="L223" t="str">
            <v>Net Adds (000s)</v>
          </cell>
          <cell r="M223">
            <v>-239</v>
          </cell>
          <cell r="N223">
            <v>-318</v>
          </cell>
          <cell r="O223">
            <v>-317</v>
          </cell>
          <cell r="P223">
            <v>-351.80999999999949</v>
          </cell>
          <cell r="Q223">
            <v>-331.34785000000011</v>
          </cell>
          <cell r="R223">
            <v>-315.89263225000104</v>
          </cell>
          <cell r="S223">
            <v>-300.44424276624977</v>
          </cell>
          <cell r="T223">
            <v>-285.00257912475627</v>
          </cell>
          <cell r="U223">
            <v>-269.56754043788442</v>
          </cell>
          <cell r="AX223" t="str">
            <v>Net Adds (000s)</v>
          </cell>
          <cell r="AY223">
            <v>-31</v>
          </cell>
          <cell r="AZ223">
            <v>-96</v>
          </cell>
          <cell r="BA223">
            <v>-62</v>
          </cell>
          <cell r="BB223">
            <v>-50</v>
          </cell>
          <cell r="BC223">
            <v>-29</v>
          </cell>
          <cell r="BD223">
            <v>-109</v>
          </cell>
          <cell r="BE223">
            <v>-92</v>
          </cell>
          <cell r="BF223">
            <v>-88</v>
          </cell>
          <cell r="BG223">
            <v>-91</v>
          </cell>
          <cell r="BH223">
            <v>-79</v>
          </cell>
          <cell r="BI223">
            <v>-79</v>
          </cell>
          <cell r="BJ223">
            <v>-81</v>
          </cell>
        </row>
        <row r="224">
          <cell r="L224" t="str">
            <v>Consumer Access Lines</v>
          </cell>
          <cell r="M224">
            <v>5336</v>
          </cell>
          <cell r="N224">
            <v>5056</v>
          </cell>
          <cell r="O224">
            <v>4760</v>
          </cell>
          <cell r="P224">
            <v>4446</v>
          </cell>
          <cell r="Q224">
            <v>4152</v>
          </cell>
          <cell r="R224">
            <v>3873</v>
          </cell>
          <cell r="S224">
            <v>3609</v>
          </cell>
          <cell r="T224">
            <v>3360</v>
          </cell>
          <cell r="U224">
            <v>3126</v>
          </cell>
          <cell r="AX224" t="str">
            <v>Consumer Access Lines</v>
          </cell>
          <cell r="AY224">
            <v>5507</v>
          </cell>
          <cell r="AZ224">
            <v>5430</v>
          </cell>
          <cell r="BA224">
            <v>5376</v>
          </cell>
          <cell r="BB224">
            <v>5336</v>
          </cell>
          <cell r="BC224">
            <v>5312</v>
          </cell>
          <cell r="BD224">
            <v>5215</v>
          </cell>
          <cell r="BE224">
            <v>5135</v>
          </cell>
          <cell r="BF224">
            <v>5056</v>
          </cell>
          <cell r="BG224">
            <v>4970</v>
          </cell>
          <cell r="BH224">
            <v>4900</v>
          </cell>
          <cell r="BI224">
            <v>4830</v>
          </cell>
          <cell r="BJ224">
            <v>4760</v>
          </cell>
        </row>
        <row r="225">
          <cell r="L225" t="str">
            <v xml:space="preserve">   Net adds</v>
          </cell>
          <cell r="M225">
            <v>-186</v>
          </cell>
          <cell r="N225">
            <v>-280</v>
          </cell>
          <cell r="O225">
            <v>-296</v>
          </cell>
          <cell r="P225">
            <v>-314</v>
          </cell>
          <cell r="Q225">
            <v>-294</v>
          </cell>
          <cell r="R225">
            <v>-279</v>
          </cell>
          <cell r="S225">
            <v>-264</v>
          </cell>
          <cell r="T225">
            <v>-249</v>
          </cell>
          <cell r="U225">
            <v>-234</v>
          </cell>
          <cell r="AX225" t="str">
            <v xml:space="preserve">   Net adds</v>
          </cell>
          <cell r="AY225">
            <v>-15</v>
          </cell>
          <cell r="AZ225">
            <v>-77</v>
          </cell>
          <cell r="BA225">
            <v>-54</v>
          </cell>
          <cell r="BB225">
            <v>-40</v>
          </cell>
          <cell r="BC225">
            <v>-24</v>
          </cell>
          <cell r="BD225">
            <v>-97</v>
          </cell>
          <cell r="BE225">
            <v>-80</v>
          </cell>
          <cell r="BF225">
            <v>-79</v>
          </cell>
          <cell r="BG225">
            <v>-86</v>
          </cell>
          <cell r="BH225">
            <v>-70</v>
          </cell>
          <cell r="BI225">
            <v>-70</v>
          </cell>
          <cell r="BJ225">
            <v>-70</v>
          </cell>
        </row>
        <row r="226">
          <cell r="L226" t="str">
            <v>Business access Lines</v>
          </cell>
          <cell r="M226">
            <v>2107</v>
          </cell>
          <cell r="N226">
            <v>2083</v>
          </cell>
          <cell r="O226">
            <v>2054</v>
          </cell>
          <cell r="P226">
            <v>2023.19</v>
          </cell>
          <cell r="Q226">
            <v>1992.8421499999999</v>
          </cell>
          <cell r="R226">
            <v>1962.9495177499998</v>
          </cell>
          <cell r="S226">
            <v>1933.5052749837498</v>
          </cell>
          <cell r="T226">
            <v>1904.5026958589935</v>
          </cell>
          <cell r="U226">
            <v>1875.9351554211087</v>
          </cell>
          <cell r="AX226" t="str">
            <v>Business access Lines</v>
          </cell>
          <cell r="AY226">
            <v>2142</v>
          </cell>
          <cell r="AZ226">
            <v>2132</v>
          </cell>
          <cell r="BA226">
            <v>2119</v>
          </cell>
          <cell r="BB226">
            <v>2107</v>
          </cell>
          <cell r="BC226">
            <v>2097</v>
          </cell>
          <cell r="BD226">
            <v>2093</v>
          </cell>
          <cell r="BE226">
            <v>2089</v>
          </cell>
          <cell r="BF226">
            <v>2083</v>
          </cell>
          <cell r="BG226">
            <v>2070</v>
          </cell>
          <cell r="BH226">
            <v>2064</v>
          </cell>
          <cell r="BI226">
            <v>2059</v>
          </cell>
          <cell r="BJ226">
            <v>2054</v>
          </cell>
        </row>
        <row r="227">
          <cell r="L227" t="str">
            <v xml:space="preserve">   Net adds</v>
          </cell>
          <cell r="M227">
            <v>-57</v>
          </cell>
          <cell r="N227">
            <v>-24</v>
          </cell>
          <cell r="O227">
            <v>-29</v>
          </cell>
          <cell r="P227">
            <v>-30.809999999999945</v>
          </cell>
          <cell r="Q227">
            <v>-30.347850000000108</v>
          </cell>
          <cell r="R227">
            <v>-29.892632250000133</v>
          </cell>
          <cell r="S227">
            <v>-29.444242766249999</v>
          </cell>
          <cell r="T227">
            <v>-29.002579124756267</v>
          </cell>
          <cell r="U227">
            <v>-28.567540437884873</v>
          </cell>
          <cell r="AX227" t="str">
            <v xml:space="preserve">   Net adds</v>
          </cell>
          <cell r="AY227">
            <v>-22</v>
          </cell>
          <cell r="AZ227">
            <v>-10</v>
          </cell>
          <cell r="BA227">
            <v>-13</v>
          </cell>
          <cell r="BB227">
            <v>-12</v>
          </cell>
          <cell r="BC227">
            <v>-10</v>
          </cell>
          <cell r="BD227">
            <v>-4</v>
          </cell>
          <cell r="BE227">
            <v>-4</v>
          </cell>
          <cell r="BF227">
            <v>-6</v>
          </cell>
          <cell r="BG227">
            <v>-13</v>
          </cell>
          <cell r="BH227">
            <v>-6</v>
          </cell>
          <cell r="BI227">
            <v>-5</v>
          </cell>
          <cell r="BJ227">
            <v>-5</v>
          </cell>
        </row>
        <row r="228">
          <cell r="L228" t="str">
            <v>Wholesale Access Lines</v>
          </cell>
          <cell r="M228">
            <v>225</v>
          </cell>
          <cell r="N228">
            <v>211</v>
          </cell>
          <cell r="O228">
            <v>219</v>
          </cell>
          <cell r="P228">
            <v>212</v>
          </cell>
          <cell r="Q228">
            <v>205</v>
          </cell>
          <cell r="R228">
            <v>198</v>
          </cell>
          <cell r="S228">
            <v>191</v>
          </cell>
          <cell r="T228">
            <v>184</v>
          </cell>
          <cell r="U228">
            <v>177</v>
          </cell>
          <cell r="AX228" t="str">
            <v>Wholesale Access Lines</v>
          </cell>
          <cell r="AY228">
            <v>227</v>
          </cell>
          <cell r="AZ228">
            <v>218</v>
          </cell>
          <cell r="BA228">
            <v>223</v>
          </cell>
          <cell r="BB228">
            <v>225</v>
          </cell>
          <cell r="BC228">
            <v>230</v>
          </cell>
          <cell r="BD228">
            <v>222</v>
          </cell>
          <cell r="BE228">
            <v>214</v>
          </cell>
          <cell r="BF228">
            <v>211</v>
          </cell>
          <cell r="BG228">
            <v>219</v>
          </cell>
          <cell r="BH228">
            <v>216</v>
          </cell>
          <cell r="BI228">
            <v>212</v>
          </cell>
          <cell r="BJ228">
            <v>206</v>
          </cell>
        </row>
        <row r="229">
          <cell r="L229" t="str">
            <v xml:space="preserve">   Net adds</v>
          </cell>
          <cell r="M229">
            <v>0</v>
          </cell>
          <cell r="N229">
            <v>-14</v>
          </cell>
          <cell r="O229">
            <v>8</v>
          </cell>
          <cell r="P229">
            <v>-7</v>
          </cell>
          <cell r="Q229">
            <v>-7</v>
          </cell>
          <cell r="R229">
            <v>-7</v>
          </cell>
          <cell r="S229">
            <v>-7</v>
          </cell>
          <cell r="T229">
            <v>-7</v>
          </cell>
          <cell r="U229">
            <v>-7</v>
          </cell>
          <cell r="AX229" t="str">
            <v xml:space="preserve">   Net adds</v>
          </cell>
          <cell r="AY229">
            <v>6</v>
          </cell>
          <cell r="AZ229">
            <v>-9</v>
          </cell>
          <cell r="BA229">
            <v>5</v>
          </cell>
          <cell r="BB229">
            <v>2</v>
          </cell>
          <cell r="BC229">
            <v>5</v>
          </cell>
          <cell r="BD229">
            <v>-8</v>
          </cell>
          <cell r="BE229">
            <v>-8</v>
          </cell>
          <cell r="BF229">
            <v>-3</v>
          </cell>
          <cell r="BG229">
            <v>8</v>
          </cell>
          <cell r="BH229">
            <v>-3</v>
          </cell>
          <cell r="BI229">
            <v>-4</v>
          </cell>
          <cell r="BJ229">
            <v>-6</v>
          </cell>
        </row>
        <row r="230">
          <cell r="L230" t="str">
            <v>DSL Subscribers (000s)</v>
          </cell>
          <cell r="M230">
            <v>492</v>
          </cell>
          <cell r="N230">
            <v>693</v>
          </cell>
          <cell r="O230">
            <v>927</v>
          </cell>
          <cell r="P230">
            <v>1156</v>
          </cell>
          <cell r="Q230">
            <v>1380</v>
          </cell>
          <cell r="R230">
            <v>1599</v>
          </cell>
          <cell r="S230">
            <v>1813</v>
          </cell>
          <cell r="T230">
            <v>2022</v>
          </cell>
          <cell r="U230">
            <v>2226</v>
          </cell>
          <cell r="AX230" t="str">
            <v>DSL Subscribers (000s)</v>
          </cell>
          <cell r="AY230">
            <v>349</v>
          </cell>
          <cell r="AZ230">
            <v>383</v>
          </cell>
          <cell r="BA230">
            <v>432</v>
          </cell>
          <cell r="BB230">
            <v>492</v>
          </cell>
          <cell r="BC230">
            <v>551</v>
          </cell>
          <cell r="BD230">
            <v>590</v>
          </cell>
          <cell r="BE230">
            <v>638</v>
          </cell>
          <cell r="BF230">
            <v>693</v>
          </cell>
          <cell r="BG230">
            <v>777</v>
          </cell>
          <cell r="BH230">
            <v>822</v>
          </cell>
          <cell r="BI230">
            <v>872</v>
          </cell>
          <cell r="BJ230">
            <v>927</v>
          </cell>
        </row>
        <row r="231">
          <cell r="L231" t="str">
            <v>Net adds (000s)</v>
          </cell>
          <cell r="M231">
            <v>188</v>
          </cell>
          <cell r="N231">
            <v>201</v>
          </cell>
          <cell r="O231">
            <v>234</v>
          </cell>
          <cell r="P231">
            <v>229</v>
          </cell>
          <cell r="Q231">
            <v>224</v>
          </cell>
          <cell r="R231">
            <v>219</v>
          </cell>
          <cell r="S231">
            <v>214</v>
          </cell>
          <cell r="T231">
            <v>209</v>
          </cell>
          <cell r="U231">
            <v>204</v>
          </cell>
          <cell r="AX231" t="str">
            <v>Net adds (000s)</v>
          </cell>
          <cell r="AY231">
            <v>45</v>
          </cell>
          <cell r="AZ231">
            <v>34</v>
          </cell>
          <cell r="BA231">
            <v>49</v>
          </cell>
          <cell r="BB231">
            <v>60</v>
          </cell>
          <cell r="BC231">
            <v>59</v>
          </cell>
          <cell r="BD231">
            <v>39</v>
          </cell>
          <cell r="BE231">
            <v>48</v>
          </cell>
          <cell r="BF231">
            <v>55</v>
          </cell>
          <cell r="BG231">
            <v>84</v>
          </cell>
          <cell r="BH231">
            <v>45</v>
          </cell>
          <cell r="BI231">
            <v>50</v>
          </cell>
          <cell r="BJ231">
            <v>55</v>
          </cell>
        </row>
        <row r="232">
          <cell r="L232" t="str">
            <v>ARPU</v>
          </cell>
          <cell r="M232">
            <v>47.694723618090457</v>
          </cell>
          <cell r="N232">
            <v>45.853094233473975</v>
          </cell>
          <cell r="O232">
            <v>45.006858710562419</v>
          </cell>
          <cell r="P232">
            <v>44.006858710562419</v>
          </cell>
          <cell r="Q232">
            <v>43.006858710562419</v>
          </cell>
          <cell r="R232">
            <v>42.006858710562419</v>
          </cell>
          <cell r="S232">
            <v>41.006858710562419</v>
          </cell>
          <cell r="T232">
            <v>40.006858710562419</v>
          </cell>
          <cell r="U232">
            <v>39.006858710562419</v>
          </cell>
          <cell r="AX232" t="str">
            <v>ARPU</v>
          </cell>
          <cell r="AY232">
            <v>46</v>
          </cell>
          <cell r="AZ232">
            <v>46</v>
          </cell>
          <cell r="BA232">
            <v>46</v>
          </cell>
          <cell r="BB232">
            <v>45.5</v>
          </cell>
          <cell r="BC232">
            <v>43.5</v>
          </cell>
          <cell r="BD232">
            <v>43</v>
          </cell>
          <cell r="BE232">
            <v>44</v>
          </cell>
          <cell r="BF232">
            <v>44</v>
          </cell>
          <cell r="BG232">
            <v>44.44444444444445</v>
          </cell>
          <cell r="BH232">
            <v>44.44444444444445</v>
          </cell>
          <cell r="BI232">
            <v>44.44444444444445</v>
          </cell>
          <cell r="BJ232">
            <v>44.44444444444445</v>
          </cell>
        </row>
        <row r="233">
          <cell r="L233" t="str">
            <v>Total Capex</v>
          </cell>
          <cell r="M233">
            <v>1042</v>
          </cell>
          <cell r="N233">
            <v>867.3</v>
          </cell>
          <cell r="O233">
            <v>804</v>
          </cell>
          <cell r="P233">
            <v>793.71636031356479</v>
          </cell>
          <cell r="Q233">
            <v>792.45173556037344</v>
          </cell>
          <cell r="R233">
            <v>783.19850872490917</v>
          </cell>
          <cell r="S233">
            <v>772.86877763234156</v>
          </cell>
          <cell r="T233">
            <v>761.69332786125142</v>
          </cell>
          <cell r="U233">
            <v>749.90282508176767</v>
          </cell>
          <cell r="AX233" t="str">
            <v>Total Capex</v>
          </cell>
          <cell r="AY233">
            <v>209</v>
          </cell>
          <cell r="AZ233">
            <v>247</v>
          </cell>
          <cell r="BA233">
            <v>257</v>
          </cell>
          <cell r="BB233">
            <v>329</v>
          </cell>
          <cell r="BC233">
            <v>152</v>
          </cell>
          <cell r="BD233">
            <v>197</v>
          </cell>
          <cell r="BE233">
            <v>205</v>
          </cell>
          <cell r="BF233">
            <v>303</v>
          </cell>
          <cell r="BG233">
            <v>179</v>
          </cell>
          <cell r="BH233">
            <v>200</v>
          </cell>
          <cell r="BI233">
            <v>200</v>
          </cell>
          <cell r="BJ233">
            <v>225</v>
          </cell>
        </row>
        <row r="234">
          <cell r="L234" t="str">
            <v>% revenue</v>
          </cell>
          <cell r="M234">
            <v>0.17306095333001162</v>
          </cell>
          <cell r="N234">
            <v>0.13287881109238547</v>
          </cell>
          <cell r="O234">
            <v>0.12609673939527008</v>
          </cell>
          <cell r="P234">
            <v>0.12924971679452049</v>
          </cell>
          <cell r="Q234">
            <v>0.13330994858039977</v>
          </cell>
          <cell r="R234">
            <v>0.13595373036053346</v>
          </cell>
          <cell r="S234">
            <v>0.13828440849419404</v>
          </cell>
          <cell r="T234">
            <v>0.14032267412576102</v>
          </cell>
          <cell r="U234">
            <v>0.14209449115795647</v>
          </cell>
          <cell r="AX234" t="str">
            <v>% revenue</v>
          </cell>
          <cell r="AY234">
            <v>0.13877822045152721</v>
          </cell>
          <cell r="AZ234">
            <v>0.16357615894039734</v>
          </cell>
          <cell r="BA234">
            <v>0.17179144385026737</v>
          </cell>
          <cell r="BB234">
            <v>0.21802518223989398</v>
          </cell>
          <cell r="BC234">
            <v>9.517845961177207E-2</v>
          </cell>
          <cell r="BD234">
            <v>0.12382149591451917</v>
          </cell>
          <cell r="BE234">
            <v>0.12260765550239235</v>
          </cell>
          <cell r="BF234">
            <v>0.18176364727054589</v>
          </cell>
          <cell r="BG234">
            <v>0.11049382716049383</v>
          </cell>
          <cell r="BH234">
            <v>0.12442418044591885</v>
          </cell>
          <cell r="BI234">
            <v>0.12581415255513287</v>
          </cell>
          <cell r="BJ234">
            <v>0.14432271636989924</v>
          </cell>
        </row>
        <row r="235">
          <cell r="L235" t="str">
            <v>Source:  Company reports and Morgan Stanley estimates.</v>
          </cell>
          <cell r="AX235" t="str">
            <v>Source:  Company reports and Morgan Stanley estimates.</v>
          </cell>
        </row>
      </sheetData>
      <sheetData sheetId="4" refreshError="1">
        <row r="1">
          <cell r="A1" t="str">
            <v>SPRINT NEXTEL CORP.</v>
          </cell>
          <cell r="E1">
            <v>1999</v>
          </cell>
          <cell r="F1">
            <v>2000</v>
          </cell>
          <cell r="G1">
            <v>2001</v>
          </cell>
          <cell r="H1">
            <v>1999</v>
          </cell>
          <cell r="I1">
            <v>2000</v>
          </cell>
          <cell r="J1">
            <v>2001</v>
          </cell>
          <cell r="K1">
            <v>2002</v>
          </cell>
          <cell r="L1">
            <v>2003</v>
          </cell>
          <cell r="M1">
            <v>2004</v>
          </cell>
          <cell r="N1">
            <v>2005</v>
          </cell>
          <cell r="O1">
            <v>2006</v>
          </cell>
          <cell r="P1">
            <v>2007</v>
          </cell>
          <cell r="Q1">
            <v>2008</v>
          </cell>
          <cell r="R1">
            <v>2009</v>
          </cell>
          <cell r="S1">
            <v>2010</v>
          </cell>
          <cell r="T1">
            <v>2011</v>
          </cell>
          <cell r="U1">
            <v>2012</v>
          </cell>
          <cell r="V1" t="str">
            <v>CAGR (04-08)</v>
          </cell>
          <cell r="AD1" t="str">
            <v>1Q01</v>
          </cell>
          <cell r="AE1" t="str">
            <v>2Q01</v>
          </cell>
          <cell r="AF1" t="str">
            <v>3Q01</v>
          </cell>
          <cell r="AG1" t="str">
            <v>4Q01</v>
          </cell>
          <cell r="AH1" t="str">
            <v>1Q02</v>
          </cell>
          <cell r="AI1" t="str">
            <v>2Q02</v>
          </cell>
          <cell r="AJ1" t="str">
            <v>3Q02</v>
          </cell>
          <cell r="AK1" t="str">
            <v>4Q02</v>
          </cell>
          <cell r="AL1" t="str">
            <v>1Q03</v>
          </cell>
          <cell r="AM1" t="str">
            <v>1Q01</v>
          </cell>
          <cell r="AN1" t="str">
            <v>2Q01</v>
          </cell>
          <cell r="AO1" t="str">
            <v>3Q01</v>
          </cell>
          <cell r="AP1" t="str">
            <v>4Q01</v>
          </cell>
          <cell r="AQ1" t="str">
            <v>1Q02</v>
          </cell>
          <cell r="AR1" t="str">
            <v>2Q02</v>
          </cell>
          <cell r="AS1" t="str">
            <v>3Q02</v>
          </cell>
          <cell r="AT1" t="str">
            <v>4Q02</v>
          </cell>
          <cell r="AU1" t="str">
            <v>1Q03</v>
          </cell>
          <cell r="AV1" t="str">
            <v>2Q03</v>
          </cell>
          <cell r="AW1" t="str">
            <v>3Q03</v>
          </cell>
          <cell r="AX1" t="str">
            <v>4Q03</v>
          </cell>
          <cell r="AY1" t="str">
            <v>1Q04</v>
          </cell>
          <cell r="AZ1" t="str">
            <v>2Q04</v>
          </cell>
          <cell r="BA1" t="str">
            <v>3Q04</v>
          </cell>
          <cell r="BB1" t="str">
            <v>4Q04</v>
          </cell>
          <cell r="BC1" t="str">
            <v>1Q05</v>
          </cell>
          <cell r="BD1" t="str">
            <v>2Q05</v>
          </cell>
          <cell r="BE1" t="str">
            <v>3Q05</v>
          </cell>
          <cell r="BF1" t="str">
            <v>4Q05</v>
          </cell>
          <cell r="BG1" t="str">
            <v>1Q06</v>
          </cell>
          <cell r="BH1" t="str">
            <v>2Q06</v>
          </cell>
          <cell r="BI1" t="str">
            <v>3Q06</v>
          </cell>
          <cell r="BJ1" t="str">
            <v>4Q06</v>
          </cell>
          <cell r="BM1" t="str">
            <v>2005 Check</v>
          </cell>
          <cell r="BN1" t="str">
            <v>2003 Check</v>
          </cell>
          <cell r="BO1" t="str">
            <v>2004 Check</v>
          </cell>
        </row>
        <row r="2">
          <cell r="A2" t="str">
            <v>GAAP EPS</v>
          </cell>
          <cell r="E2">
            <v>0</v>
          </cell>
          <cell r="F2">
            <v>0</v>
          </cell>
          <cell r="G2">
            <v>0</v>
          </cell>
          <cell r="H2">
            <v>0</v>
          </cell>
          <cell r="I2">
            <v>0</v>
          </cell>
          <cell r="J2">
            <v>0</v>
          </cell>
          <cell r="K2">
            <v>0.4036898061288306</v>
          </cell>
          <cell r="L2">
            <v>0.62976047481099418</v>
          </cell>
          <cell r="M2">
            <v>0.93252043785506433</v>
          </cell>
          <cell r="N2">
            <v>0.92452575440491458</v>
          </cell>
          <cell r="O2">
            <v>6.0013486176668913E-2</v>
          </cell>
          <cell r="P2">
            <v>1.4439925790050001</v>
          </cell>
          <cell r="Q2">
            <v>1.6264062254090983</v>
          </cell>
          <cell r="R2">
            <v>1.6801542718935321</v>
          </cell>
          <cell r="S2">
            <v>1.7165457575113305</v>
          </cell>
          <cell r="T2">
            <v>1.7478592375718576</v>
          </cell>
          <cell r="U2">
            <v>1.8181130868941773</v>
          </cell>
          <cell r="AD2">
            <v>0</v>
          </cell>
          <cell r="AE2">
            <v>0</v>
          </cell>
          <cell r="AF2">
            <v>0</v>
          </cell>
          <cell r="AG2">
            <v>0</v>
          </cell>
          <cell r="AH2">
            <v>0</v>
          </cell>
          <cell r="AI2">
            <v>0</v>
          </cell>
          <cell r="AJ2">
            <v>0</v>
          </cell>
          <cell r="AK2">
            <v>0</v>
          </cell>
          <cell r="AM2">
            <v>0</v>
          </cell>
          <cell r="AN2">
            <v>0</v>
          </cell>
          <cell r="AO2">
            <v>0</v>
          </cell>
          <cell r="AP2">
            <v>0</v>
          </cell>
          <cell r="AQ2">
            <v>0</v>
          </cell>
          <cell r="AR2">
            <v>0</v>
          </cell>
          <cell r="AS2">
            <v>0</v>
          </cell>
          <cell r="AT2">
            <v>0</v>
          </cell>
          <cell r="AU2">
            <v>0.42467142761796722</v>
          </cell>
          <cell r="AV2">
            <v>0.56550519135781729</v>
          </cell>
          <cell r="AW2">
            <v>0.24031684231724507</v>
          </cell>
          <cell r="AX2">
            <v>0.34516172146484897</v>
          </cell>
          <cell r="AY2">
            <v>0.16850607527068898</v>
          </cell>
          <cell r="AZ2">
            <v>0.20374104721507547</v>
          </cell>
          <cell r="BA2">
            <v>0.23783262098442026</v>
          </cell>
          <cell r="BB2">
            <v>0.31327731092436972</v>
          </cell>
          <cell r="BC2">
            <v>0.31444437010771392</v>
          </cell>
          <cell r="BD2">
            <v>0.42467142761796722</v>
          </cell>
          <cell r="BE2">
            <v>0.39649205335842208</v>
          </cell>
          <cell r="BF2">
            <v>6.5449419346177082E-2</v>
          </cell>
          <cell r="BG2">
            <v>0.92452575440491458</v>
          </cell>
          <cell r="BH2">
            <v>6.0013486176668913E-2</v>
          </cell>
          <cell r="BI2">
            <v>0.28645932114458017</v>
          </cell>
          <cell r="BJ2">
            <v>0.30574302401179604</v>
          </cell>
        </row>
        <row r="3">
          <cell r="A3" t="str">
            <v>% growth</v>
          </cell>
          <cell r="E3">
            <v>0</v>
          </cell>
          <cell r="F3">
            <v>0</v>
          </cell>
          <cell r="G3">
            <v>0</v>
          </cell>
          <cell r="H3">
            <v>0</v>
          </cell>
          <cell r="I3">
            <v>0</v>
          </cell>
          <cell r="J3">
            <v>0</v>
          </cell>
          <cell r="K3">
            <v>0</v>
          </cell>
          <cell r="L3">
            <v>0.56001084310267935</v>
          </cell>
          <cell r="M3">
            <v>0.48075415202094973</v>
          </cell>
          <cell r="N3">
            <v>-8.5731991767802329E-3</v>
          </cell>
          <cell r="O3">
            <v>-0.9350872748641843</v>
          </cell>
          <cell r="P3">
            <v>23.061134771510282</v>
          </cell>
          <cell r="Q3">
            <v>0.12632588910518661</v>
          </cell>
          <cell r="R3">
            <v>3.3047122941818774E-2</v>
          </cell>
          <cell r="S3">
            <v>2.165960961238711E-2</v>
          </cell>
          <cell r="T3">
            <v>1.8242147011522603E-2</v>
          </cell>
          <cell r="U3">
            <v>4.0194226063602789E-2</v>
          </cell>
          <cell r="AH3">
            <v>0</v>
          </cell>
          <cell r="AI3">
            <v>0</v>
          </cell>
          <cell r="AJ3">
            <v>0</v>
          </cell>
          <cell r="AK3">
            <v>0</v>
          </cell>
          <cell r="AP3">
            <v>0</v>
          </cell>
          <cell r="AQ3">
            <v>0</v>
          </cell>
          <cell r="AR3">
            <v>0</v>
          </cell>
          <cell r="AS3">
            <v>0</v>
          </cell>
          <cell r="AT3">
            <v>0</v>
          </cell>
          <cell r="AU3">
            <v>1.0843685326191079</v>
          </cell>
          <cell r="AV3">
            <v>1.3777444364743467</v>
          </cell>
          <cell r="AW3">
            <v>-0.23289419968475955</v>
          </cell>
          <cell r="AX3">
            <v>4.0978297527617347</v>
          </cell>
          <cell r="AY3">
            <v>0</v>
          </cell>
          <cell r="AZ3">
            <v>0</v>
          </cell>
          <cell r="BA3">
            <v>0</v>
          </cell>
          <cell r="BB3">
            <v>0</v>
          </cell>
          <cell r="BC3">
            <v>0.86607141376112984</v>
          </cell>
          <cell r="BD3">
            <v>1.0843685326191079</v>
          </cell>
          <cell r="BE3">
            <v>0.66710542783109283</v>
          </cell>
          <cell r="BF3">
            <v>-0.79108152086386607</v>
          </cell>
          <cell r="BG3">
            <v>1.9401886066149485</v>
          </cell>
          <cell r="BH3">
            <v>-0.85868254308209124</v>
          </cell>
          <cell r="BI3">
            <v>-0.27751560537424991</v>
          </cell>
          <cell r="BJ3">
            <v>3.6714398243115136</v>
          </cell>
        </row>
        <row r="5">
          <cell r="A5" t="str">
            <v>GLOBAL MARKETS DIVISION</v>
          </cell>
        </row>
        <row r="7">
          <cell r="A7" t="str">
            <v>Net Operating Revenues</v>
          </cell>
        </row>
        <row r="8">
          <cell r="A8" t="str">
            <v>Voice</v>
          </cell>
          <cell r="E8">
            <v>7445</v>
          </cell>
          <cell r="F8">
            <v>7094</v>
          </cell>
          <cell r="G8">
            <v>6610</v>
          </cell>
          <cell r="H8">
            <v>7445</v>
          </cell>
          <cell r="I8">
            <v>7094</v>
          </cell>
          <cell r="J8">
            <v>6610</v>
          </cell>
          <cell r="K8">
            <v>5768</v>
          </cell>
          <cell r="L8">
            <v>4999</v>
          </cell>
          <cell r="M8">
            <v>4560</v>
          </cell>
          <cell r="N8">
            <v>4213</v>
          </cell>
          <cell r="O8">
            <v>3918.8450000000003</v>
          </cell>
          <cell r="P8">
            <v>3506.2385187977816</v>
          </cell>
          <cell r="Q8">
            <v>3229.4040448540704</v>
          </cell>
          <cell r="R8">
            <v>3011.5748625886717</v>
          </cell>
          <cell r="S8">
            <v>2818.1343207459222</v>
          </cell>
          <cell r="T8">
            <v>2634.0439823460065</v>
          </cell>
          <cell r="U8">
            <v>2448.8560683933642</v>
          </cell>
          <cell r="V8">
            <v>-8.2640874368395956E-2</v>
          </cell>
          <cell r="Z8">
            <v>0</v>
          </cell>
          <cell r="AA8">
            <v>0</v>
          </cell>
          <cell r="AB8">
            <v>0</v>
          </cell>
          <cell r="AC8">
            <v>0</v>
          </cell>
          <cell r="AD8">
            <v>1726</v>
          </cell>
          <cell r="AE8">
            <v>1858</v>
          </cell>
          <cell r="AF8">
            <v>1880</v>
          </cell>
          <cell r="AG8">
            <v>1903</v>
          </cell>
          <cell r="AH8">
            <v>1804</v>
          </cell>
          <cell r="AI8">
            <v>0</v>
          </cell>
          <cell r="AJ8">
            <v>0</v>
          </cell>
          <cell r="AK8">
            <v>0</v>
          </cell>
          <cell r="AL8">
            <v>0</v>
          </cell>
          <cell r="AM8">
            <v>1726</v>
          </cell>
          <cell r="AN8">
            <v>1701</v>
          </cell>
          <cell r="AO8">
            <v>1683</v>
          </cell>
          <cell r="AP8">
            <v>1500</v>
          </cell>
          <cell r="AQ8">
            <v>1536</v>
          </cell>
          <cell r="AR8">
            <v>1468</v>
          </cell>
          <cell r="AS8">
            <v>1433</v>
          </cell>
          <cell r="AT8">
            <v>1331</v>
          </cell>
          <cell r="AU8">
            <v>1293</v>
          </cell>
          <cell r="AV8">
            <v>1244</v>
          </cell>
          <cell r="AW8">
            <v>1243</v>
          </cell>
          <cell r="AX8">
            <v>1219</v>
          </cell>
          <cell r="AY8">
            <v>1186</v>
          </cell>
          <cell r="AZ8">
            <v>1164</v>
          </cell>
          <cell r="BA8">
            <v>1131</v>
          </cell>
          <cell r="BB8">
            <v>1079</v>
          </cell>
          <cell r="BC8">
            <v>1065</v>
          </cell>
          <cell r="BD8">
            <v>1054</v>
          </cell>
          <cell r="BE8">
            <v>1085</v>
          </cell>
          <cell r="BF8">
            <v>1009</v>
          </cell>
          <cell r="BG8">
            <v>1009</v>
          </cell>
          <cell r="BH8">
            <v>980.21999999999991</v>
          </cell>
          <cell r="BI8">
            <v>971.07500000000005</v>
          </cell>
          <cell r="BJ8">
            <v>958.55</v>
          </cell>
          <cell r="BM8">
            <v>0</v>
          </cell>
          <cell r="BN8">
            <v>0</v>
          </cell>
          <cell r="BO8">
            <v>0</v>
          </cell>
        </row>
        <row r="9">
          <cell r="A9" t="str">
            <v>% y/y growth</v>
          </cell>
          <cell r="F9">
            <v>-4.7145735392881138E-2</v>
          </cell>
          <cell r="G9">
            <v>-6.8226670425711844E-2</v>
          </cell>
          <cell r="H9">
            <v>-0.12738275340393346</v>
          </cell>
          <cell r="I9">
            <v>-4.7145735392881138E-2</v>
          </cell>
          <cell r="J9">
            <v>-6.8226670425711844E-2</v>
          </cell>
          <cell r="K9">
            <v>-0.12738275340393346</v>
          </cell>
          <cell r="L9">
            <v>-0.13332177531206657</v>
          </cell>
          <cell r="M9">
            <v>-8.7817563512702534E-2</v>
          </cell>
          <cell r="N9">
            <v>-7.6096491228070162E-2</v>
          </cell>
          <cell r="O9">
            <v>-6.982079278423925E-2</v>
          </cell>
          <cell r="P9">
            <v>-0.10528777770037312</v>
          </cell>
          <cell r="Q9">
            <v>-7.8954832211081905E-2</v>
          </cell>
          <cell r="R9">
            <v>-6.7451820595970657E-2</v>
          </cell>
          <cell r="S9">
            <v>-6.423235372487901E-2</v>
          </cell>
          <cell r="T9">
            <v>-6.5323479099175574E-2</v>
          </cell>
          <cell r="U9">
            <v>-7.0305551157769597E-2</v>
          </cell>
          <cell r="AH9">
            <v>-0.11008111239860952</v>
          </cell>
          <cell r="AI9">
            <v>-0.13697824808935921</v>
          </cell>
          <cell r="AJ9">
            <v>-0.14854426619132499</v>
          </cell>
          <cell r="AK9">
            <v>-0.11266666666666669</v>
          </cell>
          <cell r="AL9">
            <v>-0.158203125</v>
          </cell>
          <cell r="AM9">
            <v>-0.15258855585831066</v>
          </cell>
          <cell r="AN9">
            <v>-0.1325889741800419</v>
          </cell>
          <cell r="AO9">
            <v>-8.4147257700976752E-2</v>
          </cell>
          <cell r="AP9">
            <v>-8.2753286929621028E-2</v>
          </cell>
          <cell r="AQ9">
            <v>-0.11008111239860952</v>
          </cell>
          <cell r="AR9">
            <v>-0.13697824808935921</v>
          </cell>
          <cell r="AS9">
            <v>-0.14854426619132499</v>
          </cell>
          <cell r="AT9">
            <v>-0.11266666666666669</v>
          </cell>
          <cell r="AU9">
            <v>-0.158203125</v>
          </cell>
          <cell r="AV9">
            <v>-0.15258855585831066</v>
          </cell>
          <cell r="AW9">
            <v>-0.1325889741800419</v>
          </cell>
          <cell r="AX9">
            <v>-8.4147257700976752E-2</v>
          </cell>
          <cell r="AY9">
            <v>-8.2753286929621028E-2</v>
          </cell>
          <cell r="AZ9">
            <v>-6.4308681672025747E-2</v>
          </cell>
          <cell r="BA9">
            <v>-9.0104585679806948E-2</v>
          </cell>
          <cell r="BB9">
            <v>-0.11484823625922891</v>
          </cell>
          <cell r="BC9">
            <v>-0.10202360876897132</v>
          </cell>
          <cell r="BD9">
            <v>-9.4501718213058417E-2</v>
          </cell>
          <cell r="BE9">
            <v>-4.0671971706454424E-2</v>
          </cell>
          <cell r="BF9">
            <v>-6.4874884151992607E-2</v>
          </cell>
          <cell r="BG9">
            <v>-5.258215962441315E-2</v>
          </cell>
          <cell r="BH9">
            <v>-7.0000000000000007E-2</v>
          </cell>
          <cell r="BI9">
            <v>-0.105</v>
          </cell>
          <cell r="BJ9">
            <v>-0.05</v>
          </cell>
        </row>
        <row r="10">
          <cell r="A10" t="str">
            <v>% GMG revenues</v>
          </cell>
          <cell r="E10">
            <v>0.72225455956538609</v>
          </cell>
          <cell r="F10">
            <v>0.67382218844984798</v>
          </cell>
          <cell r="G10">
            <v>0.66398794575590159</v>
          </cell>
          <cell r="H10">
            <v>0.72225455956538609</v>
          </cell>
          <cell r="I10">
            <v>0.67382218844984798</v>
          </cell>
          <cell r="J10">
            <v>0.66398794575590159</v>
          </cell>
          <cell r="K10">
            <v>0.64497372246449736</v>
          </cell>
          <cell r="L10">
            <v>0.62448469706433474</v>
          </cell>
          <cell r="M10">
            <v>0.6223556708066057</v>
          </cell>
          <cell r="N10">
            <v>0.61647644132279777</v>
          </cell>
          <cell r="O10">
            <v>0.60157068504863487</v>
          </cell>
          <cell r="P10">
            <v>0.57713240427177059</v>
          </cell>
          <cell r="Q10">
            <v>0.55534511798711761</v>
          </cell>
          <cell r="R10">
            <v>0.53628973071977892</v>
          </cell>
          <cell r="S10">
            <v>0.51742918522489711</v>
          </cell>
          <cell r="T10">
            <v>0.49786662434235279</v>
          </cell>
          <cell r="U10">
            <v>0.47656477769260724</v>
          </cell>
          <cell r="AD10">
            <v>0.67238021036229056</v>
          </cell>
          <cell r="AE10">
            <v>0.66367538041357788</v>
          </cell>
          <cell r="AF10">
            <v>0.67185628742514969</v>
          </cell>
          <cell r="AG10">
            <v>0.65760631302060502</v>
          </cell>
          <cell r="AH10">
            <v>0.65584970111016228</v>
          </cell>
          <cell r="AI10">
            <v>0.64527472527472529</v>
          </cell>
          <cell r="AJ10">
            <v>0.64231286418646349</v>
          </cell>
          <cell r="AK10">
            <v>0.63532219570405724</v>
          </cell>
          <cell r="AL10">
            <v>0.63196480938416422</v>
          </cell>
          <cell r="AM10">
            <v>0.67238021036229056</v>
          </cell>
          <cell r="AN10">
            <v>0.66367538041357788</v>
          </cell>
          <cell r="AO10">
            <v>0.67185628742514969</v>
          </cell>
          <cell r="AP10">
            <v>0.65760631302060502</v>
          </cell>
          <cell r="AQ10">
            <v>0.65584970111016228</v>
          </cell>
          <cell r="AR10">
            <v>0.64527472527472529</v>
          </cell>
          <cell r="AS10">
            <v>0.64231286418646349</v>
          </cell>
          <cell r="AT10">
            <v>0.63532219570405724</v>
          </cell>
          <cell r="AU10">
            <v>0.63196480938416422</v>
          </cell>
          <cell r="AV10">
            <v>0.6204488778054863</v>
          </cell>
          <cell r="AW10">
            <v>0.62873039959534649</v>
          </cell>
          <cell r="AX10">
            <v>0.61659079413252404</v>
          </cell>
          <cell r="AY10">
            <v>0.62029288702928875</v>
          </cell>
          <cell r="AZ10">
            <v>0.62146289375333685</v>
          </cell>
          <cell r="BA10">
            <v>0.62555309734513276</v>
          </cell>
          <cell r="BB10">
            <v>0.62226066897347176</v>
          </cell>
          <cell r="BC10">
            <v>0.62099125364431484</v>
          </cell>
          <cell r="BD10">
            <v>0.61207897793263644</v>
          </cell>
          <cell r="BE10">
            <v>0.62536023054755041</v>
          </cell>
          <cell r="BF10">
            <v>0.60709987966305656</v>
          </cell>
          <cell r="BG10">
            <v>0.60455362492510489</v>
          </cell>
          <cell r="BH10">
            <v>0.59999265480008812</v>
          </cell>
          <cell r="BI10">
            <v>0.60095923261390893</v>
          </cell>
          <cell r="BJ10">
            <v>0.60068556675189244</v>
          </cell>
        </row>
        <row r="11">
          <cell r="A11" t="str">
            <v>Enterprise Data</v>
          </cell>
          <cell r="E11">
            <v>1696</v>
          </cell>
          <cell r="F11">
            <v>1937</v>
          </cell>
          <cell r="G11">
            <v>1857</v>
          </cell>
          <cell r="H11">
            <v>1696</v>
          </cell>
          <cell r="I11">
            <v>1937</v>
          </cell>
          <cell r="J11">
            <v>1857</v>
          </cell>
          <cell r="K11">
            <v>1847</v>
          </cell>
          <cell r="L11">
            <v>1853</v>
          </cell>
          <cell r="M11">
            <v>1722</v>
          </cell>
          <cell r="N11">
            <v>1632</v>
          </cell>
          <cell r="O11">
            <v>1460.51</v>
          </cell>
          <cell r="P11">
            <v>1413.397263406782</v>
          </cell>
          <cell r="Q11">
            <v>1382.103935146911</v>
          </cell>
          <cell r="R11">
            <v>1349.1463996999739</v>
          </cell>
          <cell r="S11">
            <v>1319.8353975541374</v>
          </cell>
          <cell r="T11">
            <v>1292.0998782308043</v>
          </cell>
          <cell r="U11">
            <v>1266.5086528673921</v>
          </cell>
          <cell r="V11">
            <v>-5.3486333347065096E-2</v>
          </cell>
          <cell r="Z11">
            <v>0</v>
          </cell>
          <cell r="AA11">
            <v>0</v>
          </cell>
          <cell r="AB11">
            <v>0</v>
          </cell>
          <cell r="AC11">
            <v>0</v>
          </cell>
          <cell r="AD11">
            <v>472</v>
          </cell>
          <cell r="AE11">
            <v>390</v>
          </cell>
          <cell r="AF11">
            <v>401</v>
          </cell>
          <cell r="AG11">
            <v>426</v>
          </cell>
          <cell r="AH11">
            <v>479</v>
          </cell>
          <cell r="AI11">
            <v>0</v>
          </cell>
          <cell r="AJ11">
            <v>0</v>
          </cell>
          <cell r="AK11">
            <v>0</v>
          </cell>
          <cell r="AL11">
            <v>0</v>
          </cell>
          <cell r="AM11">
            <v>472</v>
          </cell>
          <cell r="AN11">
            <v>487</v>
          </cell>
          <cell r="AO11">
            <v>473</v>
          </cell>
          <cell r="AP11">
            <v>425</v>
          </cell>
          <cell r="AQ11">
            <v>484</v>
          </cell>
          <cell r="AR11">
            <v>467</v>
          </cell>
          <cell r="AS11">
            <v>445</v>
          </cell>
          <cell r="AT11">
            <v>451</v>
          </cell>
          <cell r="AU11">
            <v>462</v>
          </cell>
          <cell r="AV11">
            <v>466</v>
          </cell>
          <cell r="AW11">
            <v>463</v>
          </cell>
          <cell r="AX11">
            <v>462</v>
          </cell>
          <cell r="AY11">
            <v>452</v>
          </cell>
          <cell r="AZ11">
            <v>438</v>
          </cell>
          <cell r="BA11">
            <v>427</v>
          </cell>
          <cell r="BB11">
            <v>405</v>
          </cell>
          <cell r="BC11">
            <v>412</v>
          </cell>
          <cell r="BD11">
            <v>420</v>
          </cell>
          <cell r="BE11">
            <v>402</v>
          </cell>
          <cell r="BF11">
            <v>398</v>
          </cell>
          <cell r="BG11">
            <v>375</v>
          </cell>
          <cell r="BH11">
            <v>367.5</v>
          </cell>
          <cell r="BI11">
            <v>361.8</v>
          </cell>
          <cell r="BJ11">
            <v>356.21</v>
          </cell>
          <cell r="BM11">
            <v>0</v>
          </cell>
          <cell r="BN11">
            <v>0</v>
          </cell>
          <cell r="BO11">
            <v>0</v>
          </cell>
        </row>
        <row r="12">
          <cell r="A12" t="str">
            <v>% y/y growth</v>
          </cell>
          <cell r="F12">
            <v>0.14209905660377364</v>
          </cell>
          <cell r="G12">
            <v>-4.1300980898296369E-2</v>
          </cell>
          <cell r="H12">
            <v>-5.3850296176628509E-3</v>
          </cell>
          <cell r="I12">
            <v>0.14209905660377364</v>
          </cell>
          <cell r="J12">
            <v>-4.1300980898296369E-2</v>
          </cell>
          <cell r="K12">
            <v>-5.3850296176628509E-3</v>
          </cell>
          <cell r="L12">
            <v>3.2485110990796429E-3</v>
          </cell>
          <cell r="M12">
            <v>-7.0696168375607105E-2</v>
          </cell>
          <cell r="N12">
            <v>-5.2264808362369353E-2</v>
          </cell>
          <cell r="O12">
            <v>-0.10507965686274512</v>
          </cell>
          <cell r="P12">
            <v>-3.2257729555578485E-2</v>
          </cell>
          <cell r="Q12">
            <v>-2.2140504350803059E-2</v>
          </cell>
          <cell r="R12">
            <v>-2.3845916800340983E-2</v>
          </cell>
          <cell r="S12">
            <v>-2.1725590456569299E-2</v>
          </cell>
          <cell r="T12">
            <v>-2.1014377531267447E-2</v>
          </cell>
          <cell r="U12">
            <v>-1.9805918872504491E-2</v>
          </cell>
          <cell r="AH12">
            <v>2.5423728813559254E-2</v>
          </cell>
          <cell r="AI12">
            <v>-4.1067761806981573E-2</v>
          </cell>
          <cell r="AJ12">
            <v>-5.9196617336152224E-2</v>
          </cell>
          <cell r="AK12">
            <v>6.1176470588235388E-2</v>
          </cell>
          <cell r="AL12">
            <v>-4.5454545454545414E-2</v>
          </cell>
          <cell r="AM12">
            <v>-2.1413276231263545E-3</v>
          </cell>
          <cell r="AN12">
            <v>4.0449438202247112E-2</v>
          </cell>
          <cell r="AO12">
            <v>2.4390243902439046E-2</v>
          </cell>
          <cell r="AP12">
            <v>-2.1645021645021689E-2</v>
          </cell>
          <cell r="AQ12">
            <v>2.5423728813559254E-2</v>
          </cell>
          <cell r="AR12">
            <v>-4.1067761806981573E-2</v>
          </cell>
          <cell r="AS12">
            <v>-5.9196617336152224E-2</v>
          </cell>
          <cell r="AT12">
            <v>6.1176470588235388E-2</v>
          </cell>
          <cell r="AU12">
            <v>-4.5454545454545414E-2</v>
          </cell>
          <cell r="AV12">
            <v>-2.1413276231263545E-3</v>
          </cell>
          <cell r="AW12">
            <v>4.0449438202247112E-2</v>
          </cell>
          <cell r="AX12">
            <v>2.4390243902439046E-2</v>
          </cell>
          <cell r="AY12">
            <v>-2.1645021645021689E-2</v>
          </cell>
          <cell r="AZ12">
            <v>-6.0085836909871237E-2</v>
          </cell>
          <cell r="BA12">
            <v>-7.7753779697624203E-2</v>
          </cell>
          <cell r="BB12">
            <v>-0.12337662337662336</v>
          </cell>
          <cell r="BC12">
            <v>-8.8495575221238965E-2</v>
          </cell>
          <cell r="BD12">
            <v>-4.1095890410958957E-2</v>
          </cell>
          <cell r="BE12">
            <v>-5.8548009367681453E-2</v>
          </cell>
          <cell r="BF12">
            <v>-1.7283950617283939E-2</v>
          </cell>
          <cell r="BG12">
            <v>-8.9805825242718407E-2</v>
          </cell>
          <cell r="BH12">
            <v>-0.125</v>
          </cell>
          <cell r="BI12">
            <v>-0.1</v>
          </cell>
          <cell r="BJ12">
            <v>-0.105</v>
          </cell>
        </row>
        <row r="13">
          <cell r="A13" t="str">
            <v>% GMG revenues</v>
          </cell>
          <cell r="E13">
            <v>0.16453240201785022</v>
          </cell>
          <cell r="F13">
            <v>0.18398556231003038</v>
          </cell>
          <cell r="G13">
            <v>0.18653942742340532</v>
          </cell>
          <cell r="H13">
            <v>0.16453240201785022</v>
          </cell>
          <cell r="I13">
            <v>0.18398556231003038</v>
          </cell>
          <cell r="J13">
            <v>0.18653942742340532</v>
          </cell>
          <cell r="K13">
            <v>0.20653024712065302</v>
          </cell>
          <cell r="L13">
            <v>0.23148032479700187</v>
          </cell>
          <cell r="M13">
            <v>0.23502115463354714</v>
          </cell>
          <cell r="N13">
            <v>0.23880597014925373</v>
          </cell>
          <cell r="O13">
            <v>0.22419871192159468</v>
          </cell>
          <cell r="P13">
            <v>0.23264742442587452</v>
          </cell>
          <cell r="Q13">
            <v>0.2376737819963016</v>
          </cell>
          <cell r="R13">
            <v>0.24025082968541173</v>
          </cell>
          <cell r="S13">
            <v>0.24233101643169919</v>
          </cell>
          <cell r="T13">
            <v>0.24422272710685244</v>
          </cell>
          <cell r="U13">
            <v>0.24647157601038686</v>
          </cell>
          <cell r="AH13">
            <v>0.20666097352690008</v>
          </cell>
          <cell r="AI13">
            <v>0.20527472527472526</v>
          </cell>
          <cell r="AJ13">
            <v>0.19946212460779919</v>
          </cell>
          <cell r="AK13">
            <v>0.21527446300715991</v>
          </cell>
          <cell r="AL13">
            <v>0.22580645161290322</v>
          </cell>
          <cell r="AM13">
            <v>0.23241895261845386</v>
          </cell>
          <cell r="AN13">
            <v>0.23419322205361659</v>
          </cell>
          <cell r="AO13">
            <v>0.23368740515933231</v>
          </cell>
          <cell r="AP13">
            <v>0.23640167364016737</v>
          </cell>
          <cell r="AQ13">
            <v>0.20666097352690008</v>
          </cell>
          <cell r="AR13">
            <v>0.20527472527472526</v>
          </cell>
          <cell r="AS13">
            <v>0.19946212460779919</v>
          </cell>
          <cell r="AT13">
            <v>0.21527446300715991</v>
          </cell>
          <cell r="AU13">
            <v>0.22580645161290322</v>
          </cell>
          <cell r="AV13">
            <v>0.23241895261845386</v>
          </cell>
          <cell r="AW13">
            <v>0.23419322205361659</v>
          </cell>
          <cell r="AX13">
            <v>0.23368740515933231</v>
          </cell>
          <cell r="AY13">
            <v>0.23640167364016737</v>
          </cell>
          <cell r="AZ13">
            <v>0.23384943940202882</v>
          </cell>
          <cell r="BA13">
            <v>0.23617256637168141</v>
          </cell>
          <cell r="BB13">
            <v>0.23356401384083045</v>
          </cell>
          <cell r="BC13">
            <v>0.2402332361516035</v>
          </cell>
          <cell r="BD13">
            <v>0.24390243902439024</v>
          </cell>
          <cell r="BE13">
            <v>0.23170028818443805</v>
          </cell>
          <cell r="BF13">
            <v>0.23947051744885681</v>
          </cell>
          <cell r="BG13">
            <v>0.22468544038346316</v>
          </cell>
          <cell r="BH13">
            <v>0.22494674730063907</v>
          </cell>
          <cell r="BI13">
            <v>0.22390345787885821</v>
          </cell>
          <cell r="BJ13">
            <v>0.22322279039454554</v>
          </cell>
        </row>
        <row r="14">
          <cell r="A14" t="str">
            <v>Internet</v>
          </cell>
          <cell r="E14">
            <v>615</v>
          </cell>
          <cell r="F14">
            <v>920</v>
          </cell>
          <cell r="G14">
            <v>1003</v>
          </cell>
          <cell r="H14">
            <v>615</v>
          </cell>
          <cell r="I14">
            <v>920</v>
          </cell>
          <cell r="J14">
            <v>1003</v>
          </cell>
          <cell r="K14">
            <v>1009</v>
          </cell>
          <cell r="L14">
            <v>973</v>
          </cell>
          <cell r="M14">
            <v>793</v>
          </cell>
          <cell r="N14">
            <v>736</v>
          </cell>
          <cell r="O14">
            <v>882</v>
          </cell>
          <cell r="P14">
            <v>899.64</v>
          </cell>
          <cell r="Q14">
            <v>944.62200000000007</v>
          </cell>
          <cell r="R14">
            <v>991.85310000000015</v>
          </cell>
          <cell r="S14">
            <v>1041.4457550000002</v>
          </cell>
          <cell r="T14">
            <v>1093.5180427500002</v>
          </cell>
          <cell r="U14">
            <v>1148.1939448875003</v>
          </cell>
          <cell r="V14">
            <v>4.471111942607231E-2</v>
          </cell>
          <cell r="Z14">
            <v>0</v>
          </cell>
          <cell r="AA14">
            <v>0</v>
          </cell>
          <cell r="AB14">
            <v>0</v>
          </cell>
          <cell r="AC14">
            <v>0</v>
          </cell>
          <cell r="AD14">
            <v>234</v>
          </cell>
          <cell r="AE14">
            <v>118</v>
          </cell>
          <cell r="AF14">
            <v>146</v>
          </cell>
          <cell r="AG14">
            <v>156</v>
          </cell>
          <cell r="AH14">
            <v>195</v>
          </cell>
          <cell r="AI14">
            <v>0</v>
          </cell>
          <cell r="AJ14">
            <v>0</v>
          </cell>
          <cell r="AK14">
            <v>0</v>
          </cell>
          <cell r="AL14">
            <v>0</v>
          </cell>
          <cell r="AM14">
            <v>234</v>
          </cell>
          <cell r="AN14">
            <v>251</v>
          </cell>
          <cell r="AO14">
            <v>241</v>
          </cell>
          <cell r="AP14">
            <v>238</v>
          </cell>
          <cell r="AQ14">
            <v>245</v>
          </cell>
          <cell r="AR14">
            <v>247</v>
          </cell>
          <cell r="AS14">
            <v>258</v>
          </cell>
          <cell r="AT14">
            <v>259</v>
          </cell>
          <cell r="AU14">
            <v>243</v>
          </cell>
          <cell r="AV14">
            <v>245</v>
          </cell>
          <cell r="AW14">
            <v>233</v>
          </cell>
          <cell r="AX14">
            <v>252</v>
          </cell>
          <cell r="AY14">
            <v>223</v>
          </cell>
          <cell r="AZ14">
            <v>214</v>
          </cell>
          <cell r="BA14">
            <v>180</v>
          </cell>
          <cell r="BB14">
            <v>176</v>
          </cell>
          <cell r="BC14">
            <v>178</v>
          </cell>
          <cell r="BD14">
            <v>178</v>
          </cell>
          <cell r="BE14">
            <v>188</v>
          </cell>
          <cell r="BF14">
            <v>192</v>
          </cell>
          <cell r="BG14">
            <v>225</v>
          </cell>
          <cell r="BH14">
            <v>222</v>
          </cell>
          <cell r="BI14">
            <v>219</v>
          </cell>
          <cell r="BJ14">
            <v>216</v>
          </cell>
          <cell r="BM14">
            <v>0</v>
          </cell>
          <cell r="BN14">
            <v>0</v>
          </cell>
          <cell r="BO14">
            <v>0</v>
          </cell>
        </row>
        <row r="15">
          <cell r="A15" t="str">
            <v>% y/y growth</v>
          </cell>
          <cell r="F15">
            <v>0.49593495934959342</v>
          </cell>
          <cell r="G15">
            <v>9.0217391304347805E-2</v>
          </cell>
          <cell r="H15">
            <v>5.9820538384844912E-3</v>
          </cell>
          <cell r="I15">
            <v>0.49593495934959342</v>
          </cell>
          <cell r="J15">
            <v>9.0217391304347805E-2</v>
          </cell>
          <cell r="K15">
            <v>5.9820538384844912E-3</v>
          </cell>
          <cell r="L15">
            <v>-3.5678889990089169E-2</v>
          </cell>
          <cell r="M15">
            <v>-0.18499486125385411</v>
          </cell>
          <cell r="N15">
            <v>-7.1878940731399776E-2</v>
          </cell>
          <cell r="O15">
            <v>0.19836956521739135</v>
          </cell>
          <cell r="P15">
            <v>0.02</v>
          </cell>
          <cell r="Q15">
            <v>0.05</v>
          </cell>
          <cell r="R15">
            <v>0.05</v>
          </cell>
          <cell r="S15">
            <v>0.05</v>
          </cell>
          <cell r="T15">
            <v>0.05</v>
          </cell>
          <cell r="U15">
            <v>0.05</v>
          </cell>
          <cell r="AH15">
            <v>4.7008547008547064E-2</v>
          </cell>
          <cell r="AI15">
            <v>-1.5936254980079667E-2</v>
          </cell>
          <cell r="AJ15">
            <v>7.0539419087136901E-2</v>
          </cell>
          <cell r="AK15">
            <v>8.8235294117646967E-2</v>
          </cell>
          <cell r="AL15">
            <v>-8.1632653061224358E-3</v>
          </cell>
          <cell r="AM15">
            <v>-8.0971659919027994E-3</v>
          </cell>
          <cell r="AN15">
            <v>-9.68992248062015E-2</v>
          </cell>
          <cell r="AO15">
            <v>-2.7027027027026973E-2</v>
          </cell>
          <cell r="AP15">
            <v>-8.2304526748971152E-2</v>
          </cell>
          <cell r="AQ15">
            <v>4.7008547008547064E-2</v>
          </cell>
          <cell r="AR15">
            <v>-1.5936254980079667E-2</v>
          </cell>
          <cell r="AS15">
            <v>7.0539419087136901E-2</v>
          </cell>
          <cell r="AT15">
            <v>8.8235294117646967E-2</v>
          </cell>
          <cell r="AU15">
            <v>-8.1632653061224358E-3</v>
          </cell>
          <cell r="AV15">
            <v>-8.0971659919027994E-3</v>
          </cell>
          <cell r="AW15">
            <v>-9.68992248062015E-2</v>
          </cell>
          <cell r="AX15">
            <v>-2.7027027027026973E-2</v>
          </cell>
          <cell r="AY15">
            <v>-8.2304526748971152E-2</v>
          </cell>
          <cell r="AZ15">
            <v>-0.12653061224489792</v>
          </cell>
          <cell r="BA15">
            <v>-0.22746781115879833</v>
          </cell>
          <cell r="BB15">
            <v>-0.30158730158730163</v>
          </cell>
          <cell r="BC15">
            <v>-0.2017937219730942</v>
          </cell>
          <cell r="BD15">
            <v>-0.16822429906542058</v>
          </cell>
          <cell r="BE15">
            <v>4.4444444444444509E-2</v>
          </cell>
          <cell r="BF15">
            <v>9.0909090909090828E-2</v>
          </cell>
          <cell r="BG15">
            <v>0.26404494382022481</v>
          </cell>
          <cell r="BH15">
            <v>0.24719101123595499</v>
          </cell>
          <cell r="BI15">
            <v>0.16489361702127669</v>
          </cell>
          <cell r="BJ15">
            <v>0.125</v>
          </cell>
        </row>
        <row r="16">
          <cell r="A16" t="str">
            <v>% GMG revenues</v>
          </cell>
          <cell r="E16">
            <v>5.9662398137369031E-2</v>
          </cell>
          <cell r="F16">
            <v>8.7386018237082072E-2</v>
          </cell>
          <cell r="G16">
            <v>0.10075339025615268</v>
          </cell>
          <cell r="H16">
            <v>5.9662398137369031E-2</v>
          </cell>
          <cell r="I16">
            <v>8.7386018237082072E-2</v>
          </cell>
          <cell r="J16">
            <v>0.10075339025615268</v>
          </cell>
          <cell r="K16">
            <v>0.11282567371128256</v>
          </cell>
          <cell r="L16">
            <v>0.12154903185509057</v>
          </cell>
          <cell r="M16">
            <v>0.10822983485737682</v>
          </cell>
          <cell r="N16">
            <v>0.10769681006731051</v>
          </cell>
          <cell r="O16">
            <v>0.13539329680375109</v>
          </cell>
          <cell r="P16">
            <v>0.14808216651418304</v>
          </cell>
          <cell r="Q16">
            <v>0.16244211277283274</v>
          </cell>
          <cell r="R16">
            <v>0.17662540570396207</v>
          </cell>
          <cell r="S16">
            <v>0.19121672962804168</v>
          </cell>
          <cell r="T16">
            <v>0.20668832420805178</v>
          </cell>
          <cell r="U16">
            <v>0.22344669380765475</v>
          </cell>
          <cell r="AH16">
            <v>0.10461144321093083</v>
          </cell>
          <cell r="AI16">
            <v>0.10857142857142857</v>
          </cell>
          <cell r="AJ16">
            <v>0.11564320932317347</v>
          </cell>
          <cell r="AK16">
            <v>0.12362768496420047</v>
          </cell>
          <cell r="AL16">
            <v>0.11876832844574781</v>
          </cell>
          <cell r="AM16">
            <v>0.12219451371571072</v>
          </cell>
          <cell r="AN16">
            <v>0.1178553363682347</v>
          </cell>
          <cell r="AO16">
            <v>0.12746585735963581</v>
          </cell>
          <cell r="AP16">
            <v>0.11663179916317992</v>
          </cell>
          <cell r="AQ16">
            <v>0.10461144321093083</v>
          </cell>
          <cell r="AR16">
            <v>0.10857142857142857</v>
          </cell>
          <cell r="AS16">
            <v>0.11564320932317347</v>
          </cell>
          <cell r="AT16">
            <v>0.12362768496420047</v>
          </cell>
          <cell r="AU16">
            <v>0.11876832844574781</v>
          </cell>
          <cell r="AV16">
            <v>0.12219451371571072</v>
          </cell>
          <cell r="AW16">
            <v>0.1178553363682347</v>
          </cell>
          <cell r="AX16">
            <v>0.12746585735963581</v>
          </cell>
          <cell r="AY16">
            <v>0.11663179916317992</v>
          </cell>
          <cell r="AZ16">
            <v>0.11425520555258943</v>
          </cell>
          <cell r="BA16">
            <v>9.9557522123893807E-2</v>
          </cell>
          <cell r="BB16">
            <v>0.10149942329873125</v>
          </cell>
          <cell r="BC16">
            <v>0.10379008746355685</v>
          </cell>
          <cell r="BD16">
            <v>0.10336817653890824</v>
          </cell>
          <cell r="BE16">
            <v>0.10835734870317003</v>
          </cell>
          <cell r="BF16">
            <v>0.11552346570397112</v>
          </cell>
          <cell r="BG16">
            <v>0.13481126423007789</v>
          </cell>
          <cell r="BH16">
            <v>0.13588619836936564</v>
          </cell>
          <cell r="BI16">
            <v>0.1355302854490601</v>
          </cell>
          <cell r="BJ16">
            <v>0.13535870055647467</v>
          </cell>
        </row>
        <row r="17">
          <cell r="A17" t="str">
            <v xml:space="preserve">Other services </v>
          </cell>
          <cell r="E17">
            <v>552</v>
          </cell>
          <cell r="F17">
            <v>577</v>
          </cell>
          <cell r="G17">
            <v>485</v>
          </cell>
          <cell r="H17">
            <v>552</v>
          </cell>
          <cell r="I17">
            <v>577</v>
          </cell>
          <cell r="J17">
            <v>485</v>
          </cell>
          <cell r="K17">
            <v>319</v>
          </cell>
          <cell r="L17">
            <v>180</v>
          </cell>
          <cell r="M17">
            <v>252</v>
          </cell>
          <cell r="N17">
            <v>253</v>
          </cell>
          <cell r="O17">
            <v>253</v>
          </cell>
          <cell r="P17">
            <v>256</v>
          </cell>
          <cell r="Q17">
            <v>259</v>
          </cell>
          <cell r="R17">
            <v>263</v>
          </cell>
          <cell r="S17">
            <v>267</v>
          </cell>
          <cell r="T17">
            <v>271</v>
          </cell>
          <cell r="U17">
            <v>275</v>
          </cell>
          <cell r="V17">
            <v>6.87325669604677E-3</v>
          </cell>
          <cell r="Z17">
            <v>0</v>
          </cell>
          <cell r="AA17">
            <v>0</v>
          </cell>
          <cell r="AB17">
            <v>0</v>
          </cell>
          <cell r="AC17">
            <v>0</v>
          </cell>
          <cell r="AD17">
            <v>135</v>
          </cell>
          <cell r="AE17">
            <v>150</v>
          </cell>
          <cell r="AF17">
            <v>160</v>
          </cell>
          <cell r="AG17">
            <v>109</v>
          </cell>
          <cell r="AH17">
            <v>133</v>
          </cell>
          <cell r="AI17">
            <v>0</v>
          </cell>
          <cell r="AJ17">
            <v>0</v>
          </cell>
          <cell r="AK17">
            <v>0</v>
          </cell>
          <cell r="AL17">
            <v>0</v>
          </cell>
          <cell r="AM17">
            <v>135</v>
          </cell>
          <cell r="AN17">
            <v>124</v>
          </cell>
          <cell r="AO17">
            <v>108</v>
          </cell>
          <cell r="AP17">
            <v>118</v>
          </cell>
          <cell r="AQ17">
            <v>77</v>
          </cell>
          <cell r="AR17">
            <v>93</v>
          </cell>
          <cell r="AS17">
            <v>95</v>
          </cell>
          <cell r="AT17">
            <v>54</v>
          </cell>
          <cell r="AU17">
            <v>48</v>
          </cell>
          <cell r="AV17">
            <v>50</v>
          </cell>
          <cell r="AW17">
            <v>38</v>
          </cell>
          <cell r="AX17">
            <v>44</v>
          </cell>
          <cell r="AY17">
            <v>51</v>
          </cell>
          <cell r="AZ17">
            <v>57</v>
          </cell>
          <cell r="BA17">
            <v>70</v>
          </cell>
          <cell r="BB17">
            <v>74</v>
          </cell>
          <cell r="BC17">
            <v>60</v>
          </cell>
          <cell r="BD17">
            <v>70</v>
          </cell>
          <cell r="BE17">
            <v>60</v>
          </cell>
          <cell r="BF17">
            <v>63</v>
          </cell>
          <cell r="BG17">
            <v>60</v>
          </cell>
          <cell r="BH17">
            <v>64</v>
          </cell>
          <cell r="BI17">
            <v>64</v>
          </cell>
          <cell r="BJ17">
            <v>65</v>
          </cell>
          <cell r="BM17">
            <v>0</v>
          </cell>
          <cell r="BN17">
            <v>0</v>
          </cell>
          <cell r="BO17">
            <v>0</v>
          </cell>
        </row>
        <row r="18">
          <cell r="A18" t="str">
            <v>% y/y growth</v>
          </cell>
          <cell r="F18">
            <v>4.5289855072463858E-2</v>
          </cell>
          <cell r="G18">
            <v>-0.15944540727902945</v>
          </cell>
          <cell r="H18">
            <v>-0.34226804123711341</v>
          </cell>
          <cell r="I18">
            <v>4.5289855072463858E-2</v>
          </cell>
          <cell r="J18">
            <v>-0.15944540727902945</v>
          </cell>
          <cell r="K18">
            <v>-0.34226804123711341</v>
          </cell>
          <cell r="L18">
            <v>-0.43573667711598751</v>
          </cell>
          <cell r="M18">
            <v>0.39999999999999991</v>
          </cell>
          <cell r="N18">
            <v>3.9682539682539542E-3</v>
          </cell>
          <cell r="O18">
            <v>0</v>
          </cell>
          <cell r="P18">
            <v>1.1857707509881354E-2</v>
          </cell>
          <cell r="Q18">
            <v>1.171875E-2</v>
          </cell>
          <cell r="R18">
            <v>1.5444015444015413E-2</v>
          </cell>
          <cell r="S18">
            <v>1.5209125475285079E-2</v>
          </cell>
          <cell r="T18">
            <v>1.4981273408239737E-2</v>
          </cell>
          <cell r="U18">
            <v>1.4760147601476037E-2</v>
          </cell>
          <cell r="AH18">
            <v>-0.42962962962962958</v>
          </cell>
          <cell r="AI18">
            <v>-0.25</v>
          </cell>
          <cell r="AJ18">
            <v>-0.12037037037037035</v>
          </cell>
          <cell r="AK18">
            <v>-0.5423728813559322</v>
          </cell>
          <cell r="AL18">
            <v>-0.37662337662337664</v>
          </cell>
          <cell r="AM18">
            <v>-0.4623655913978495</v>
          </cell>
          <cell r="AN18">
            <v>-0.6</v>
          </cell>
          <cell r="AO18">
            <v>-0.18518518518518523</v>
          </cell>
          <cell r="AP18">
            <v>6.25E-2</v>
          </cell>
          <cell r="AQ18">
            <v>-0.42962962962962958</v>
          </cell>
          <cell r="AR18">
            <v>-0.25</v>
          </cell>
          <cell r="AS18">
            <v>-0.12037037037037035</v>
          </cell>
          <cell r="AT18">
            <v>-0.5423728813559322</v>
          </cell>
          <cell r="AU18">
            <v>-0.37662337662337664</v>
          </cell>
          <cell r="AV18">
            <v>-0.4623655913978495</v>
          </cell>
          <cell r="AW18">
            <v>-0.6</v>
          </cell>
          <cell r="AX18">
            <v>-0.18518518518518523</v>
          </cell>
          <cell r="AY18">
            <v>6.25E-2</v>
          </cell>
          <cell r="AZ18">
            <v>0.1399999999999999</v>
          </cell>
          <cell r="BA18">
            <v>0.84210526315789469</v>
          </cell>
          <cell r="BB18">
            <v>0.68181818181818188</v>
          </cell>
          <cell r="BC18">
            <v>0.17647058823529416</v>
          </cell>
          <cell r="BD18">
            <v>0.22807017543859653</v>
          </cell>
          <cell r="BE18">
            <v>-0.1428571428571429</v>
          </cell>
          <cell r="BF18">
            <v>-0.14864864864864868</v>
          </cell>
          <cell r="BG18">
            <v>0</v>
          </cell>
          <cell r="BH18">
            <v>-8.5714285714285743E-2</v>
          </cell>
          <cell r="BI18">
            <v>6.6666666666666652E-2</v>
          </cell>
          <cell r="BJ18">
            <v>3.1746031746031855E-2</v>
          </cell>
        </row>
        <row r="19">
          <cell r="A19" t="str">
            <v>% GMG revenues</v>
          </cell>
          <cell r="E19">
            <v>5.3550640279394643E-2</v>
          </cell>
          <cell r="F19">
            <v>5.4806231003039517E-2</v>
          </cell>
          <cell r="G19">
            <v>4.8719236564540434E-2</v>
          </cell>
          <cell r="H19">
            <v>5.3550640279394643E-2</v>
          </cell>
          <cell r="I19">
            <v>5.4806231003039517E-2</v>
          </cell>
          <cell r="J19">
            <v>4.8719236564540434E-2</v>
          </cell>
          <cell r="K19">
            <v>3.5670356703567038E-2</v>
          </cell>
          <cell r="L19">
            <v>2.2485946283572766E-2</v>
          </cell>
          <cell r="M19">
            <v>3.4393339702470313E-2</v>
          </cell>
          <cell r="N19">
            <v>3.7020778460637983E-2</v>
          </cell>
          <cell r="O19">
            <v>3.8837306226019302E-2</v>
          </cell>
          <cell r="P19">
            <v>4.2138004788171785E-2</v>
          </cell>
          <cell r="Q19">
            <v>4.4538987243747948E-2</v>
          </cell>
          <cell r="R19">
            <v>4.6834033890847365E-2</v>
          </cell>
          <cell r="S19">
            <v>4.9023068715362057E-2</v>
          </cell>
          <cell r="T19">
            <v>5.1222324342743014E-2</v>
          </cell>
          <cell r="U19">
            <v>5.3516952489351177E-2</v>
          </cell>
          <cell r="AH19">
            <v>3.2877882152006835E-2</v>
          </cell>
          <cell r="AI19">
            <v>4.0879120879120878E-2</v>
          </cell>
          <cell r="AJ19">
            <v>4.2581801882563872E-2</v>
          </cell>
          <cell r="AK19">
            <v>2.5775656324582338E-2</v>
          </cell>
          <cell r="AL19">
            <v>2.3460410557184751E-2</v>
          </cell>
          <cell r="AM19">
            <v>2.4937655860349128E-2</v>
          </cell>
          <cell r="AN19">
            <v>1.9221041982802226E-2</v>
          </cell>
          <cell r="AO19">
            <v>2.2255943348507841E-2</v>
          </cell>
          <cell r="AP19">
            <v>2.6673640167364017E-2</v>
          </cell>
          <cell r="AQ19">
            <v>3.2877882152006835E-2</v>
          </cell>
          <cell r="AR19">
            <v>4.0879120879120878E-2</v>
          </cell>
          <cell r="AS19">
            <v>4.2581801882563872E-2</v>
          </cell>
          <cell r="AT19">
            <v>2.5775656324582338E-2</v>
          </cell>
          <cell r="AU19">
            <v>2.3460410557184751E-2</v>
          </cell>
          <cell r="AV19">
            <v>2.4937655860349128E-2</v>
          </cell>
          <cell r="AW19">
            <v>1.9221041982802226E-2</v>
          </cell>
          <cell r="AX19">
            <v>2.2255943348507841E-2</v>
          </cell>
          <cell r="AY19">
            <v>2.6673640167364017E-2</v>
          </cell>
          <cell r="AZ19">
            <v>3.0432461292044848E-2</v>
          </cell>
          <cell r="BA19">
            <v>3.8716814159292033E-2</v>
          </cell>
          <cell r="BB19">
            <v>4.2675893886966548E-2</v>
          </cell>
          <cell r="BC19">
            <v>3.4985422740524783E-2</v>
          </cell>
          <cell r="BD19">
            <v>4.065040650406504E-2</v>
          </cell>
          <cell r="BE19">
            <v>3.4582132564841501E-2</v>
          </cell>
          <cell r="BF19">
            <v>3.7906137184115521E-2</v>
          </cell>
          <cell r="BG19">
            <v>3.5949670461354104E-2</v>
          </cell>
          <cell r="BH19">
            <v>3.9174399529907207E-2</v>
          </cell>
          <cell r="BI19">
            <v>3.9607024058172818E-2</v>
          </cell>
          <cell r="BJ19">
            <v>4.073294229708728E-2</v>
          </cell>
        </row>
        <row r="20">
          <cell r="A20" t="str">
            <v>Net operating revenues</v>
          </cell>
          <cell r="E20">
            <v>10308</v>
          </cell>
          <cell r="F20">
            <v>10528</v>
          </cell>
          <cell r="G20">
            <v>9955</v>
          </cell>
          <cell r="H20">
            <v>10308</v>
          </cell>
          <cell r="I20">
            <v>10528</v>
          </cell>
          <cell r="J20">
            <v>9955</v>
          </cell>
          <cell r="K20">
            <v>8943</v>
          </cell>
          <cell r="L20">
            <v>8005</v>
          </cell>
          <cell r="M20">
            <v>7327</v>
          </cell>
          <cell r="N20">
            <v>6834</v>
          </cell>
          <cell r="O20">
            <v>6514.3550000000005</v>
          </cell>
          <cell r="P20">
            <v>6075.2757822045642</v>
          </cell>
          <cell r="Q20">
            <v>5815.129980000982</v>
          </cell>
          <cell r="R20">
            <v>5615.5743622886457</v>
          </cell>
          <cell r="S20">
            <v>5446.4154733000596</v>
          </cell>
          <cell r="T20">
            <v>5290.6619033268107</v>
          </cell>
          <cell r="U20">
            <v>5138.5586661482566</v>
          </cell>
          <cell r="V20">
            <v>-5.6138419326156819E-2</v>
          </cell>
          <cell r="Z20">
            <v>0</v>
          </cell>
          <cell r="AA20">
            <v>0</v>
          </cell>
          <cell r="AB20">
            <v>0</v>
          </cell>
          <cell r="AC20">
            <v>0</v>
          </cell>
          <cell r="AD20">
            <v>2567</v>
          </cell>
          <cell r="AE20">
            <v>2516</v>
          </cell>
          <cell r="AF20">
            <v>2587</v>
          </cell>
          <cell r="AG20">
            <v>2594</v>
          </cell>
          <cell r="AH20">
            <v>2611</v>
          </cell>
          <cell r="AI20">
            <v>0</v>
          </cell>
          <cell r="AJ20">
            <v>0</v>
          </cell>
          <cell r="AK20">
            <v>0</v>
          </cell>
          <cell r="AL20">
            <v>0</v>
          </cell>
          <cell r="AM20">
            <v>2567</v>
          </cell>
          <cell r="AN20">
            <v>2563</v>
          </cell>
          <cell r="AO20">
            <v>2505</v>
          </cell>
          <cell r="AP20">
            <v>2281</v>
          </cell>
          <cell r="AQ20">
            <v>2342</v>
          </cell>
          <cell r="AR20">
            <v>2275</v>
          </cell>
          <cell r="AS20">
            <v>2231</v>
          </cell>
          <cell r="AT20">
            <v>2095</v>
          </cell>
          <cell r="AU20">
            <v>2046</v>
          </cell>
          <cell r="AV20">
            <v>2005</v>
          </cell>
          <cell r="AW20">
            <v>1977</v>
          </cell>
          <cell r="AX20">
            <v>1977</v>
          </cell>
          <cell r="AY20">
            <v>1912</v>
          </cell>
          <cell r="AZ20">
            <v>1873</v>
          </cell>
          <cell r="BA20">
            <v>1808</v>
          </cell>
          <cell r="BB20">
            <v>1734</v>
          </cell>
          <cell r="BC20">
            <v>1715</v>
          </cell>
          <cell r="BD20">
            <v>1722</v>
          </cell>
          <cell r="BE20">
            <v>1735</v>
          </cell>
          <cell r="BF20">
            <v>1662</v>
          </cell>
          <cell r="BG20">
            <v>1669</v>
          </cell>
          <cell r="BH20">
            <v>1633.7199999999998</v>
          </cell>
          <cell r="BI20">
            <v>1615.875</v>
          </cell>
          <cell r="BJ20">
            <v>1595.76</v>
          </cell>
          <cell r="BM20">
            <v>0</v>
          </cell>
          <cell r="BN20">
            <v>0</v>
          </cell>
          <cell r="BO20">
            <v>0</v>
          </cell>
        </row>
        <row r="21">
          <cell r="A21" t="str">
            <v>% y/y growth</v>
          </cell>
          <cell r="F21">
            <v>2.1342646488164529E-2</v>
          </cell>
          <cell r="G21">
            <v>-5.4426291793313042E-2</v>
          </cell>
          <cell r="H21">
            <v>-0.10165745856353592</v>
          </cell>
          <cell r="I21">
            <v>2.1342646488164529E-2</v>
          </cell>
          <cell r="J21">
            <v>-5.4426291793313042E-2</v>
          </cell>
          <cell r="K21">
            <v>-0.10165745856353592</v>
          </cell>
          <cell r="L21">
            <v>-0.10488650341048866</v>
          </cell>
          <cell r="M21">
            <v>-8.4697064334790739E-2</v>
          </cell>
          <cell r="N21">
            <v>-6.7285382830626461E-2</v>
          </cell>
          <cell r="O21">
            <v>-4.6772753877670437E-2</v>
          </cell>
          <cell r="P21">
            <v>-6.7401794620562838E-2</v>
          </cell>
          <cell r="Q21">
            <v>-4.2820410386239627E-2</v>
          </cell>
          <cell r="R21">
            <v>-3.4316622052926626E-2</v>
          </cell>
          <cell r="S21">
            <v>-3.012316783205149E-2</v>
          </cell>
          <cell r="T21">
            <v>-2.8597445556035717E-2</v>
          </cell>
          <cell r="U21">
            <v>-2.8749377669155196E-2</v>
          </cell>
          <cell r="AH21">
            <v>-8.7650954421503724E-2</v>
          </cell>
          <cell r="AI21">
            <v>-0.11236831837690209</v>
          </cell>
          <cell r="AJ21">
            <v>-0.1093812375249501</v>
          </cell>
          <cell r="AK21">
            <v>-8.1543182814554971E-2</v>
          </cell>
          <cell r="AL21">
            <v>-0.12638770281810419</v>
          </cell>
          <cell r="AM21">
            <v>-0.1186813186813187</v>
          </cell>
          <cell r="AN21">
            <v>-0.1138502913491708</v>
          </cell>
          <cell r="AO21">
            <v>-5.632458233890214E-2</v>
          </cell>
          <cell r="AP21">
            <v>-6.5493646138807482E-2</v>
          </cell>
          <cell r="AQ21">
            <v>-8.7650954421503724E-2</v>
          </cell>
          <cell r="AR21">
            <v>-0.11236831837690209</v>
          </cell>
          <cell r="AS21">
            <v>-0.1093812375249501</v>
          </cell>
          <cell r="AT21">
            <v>-8.1543182814554971E-2</v>
          </cell>
          <cell r="AU21">
            <v>-0.12638770281810419</v>
          </cell>
          <cell r="AV21">
            <v>-0.1186813186813187</v>
          </cell>
          <cell r="AW21">
            <v>-0.1138502913491708</v>
          </cell>
          <cell r="AX21">
            <v>-5.632458233890214E-2</v>
          </cell>
          <cell r="AY21">
            <v>-6.5493646138807482E-2</v>
          </cell>
          <cell r="AZ21">
            <v>-6.5835411471321659E-2</v>
          </cell>
          <cell r="BA21">
            <v>-8.548305513404153E-2</v>
          </cell>
          <cell r="BB21">
            <v>-0.12291350531107736</v>
          </cell>
          <cell r="BC21">
            <v>-0.10303347280334729</v>
          </cell>
          <cell r="BD21">
            <v>-8.0619327282434594E-2</v>
          </cell>
          <cell r="BE21">
            <v>-4.0376106194690231E-2</v>
          </cell>
          <cell r="BF21">
            <v>-4.1522491349480939E-2</v>
          </cell>
          <cell r="BG21">
            <v>-2.6822157434402305E-2</v>
          </cell>
          <cell r="BH21">
            <v>-5.1265969802555267E-2</v>
          </cell>
          <cell r="BI21">
            <v>-6.8659942363112347E-2</v>
          </cell>
          <cell r="BJ21">
            <v>-3.9855595667870003E-2</v>
          </cell>
        </row>
        <row r="22">
          <cell r="A22" t="str">
            <v>% q/q growth</v>
          </cell>
          <cell r="AE22">
            <v>-1.5582391897156489E-3</v>
          </cell>
          <cell r="AF22">
            <v>-2.2629730784237245E-2</v>
          </cell>
          <cell r="AG22">
            <v>-8.942115768463077E-2</v>
          </cell>
          <cell r="AH22">
            <v>2.6742656729504599E-2</v>
          </cell>
          <cell r="AI22">
            <v>-2.8608027327070906E-2</v>
          </cell>
          <cell r="AJ22">
            <v>-1.9340659340659316E-2</v>
          </cell>
          <cell r="AK22">
            <v>-6.0959211116091483E-2</v>
          </cell>
          <cell r="AL22">
            <v>-2.3389021479713556E-2</v>
          </cell>
          <cell r="AM22">
            <v>-2.0039100684261957E-2</v>
          </cell>
          <cell r="AN22">
            <v>-1.5582391897156489E-3</v>
          </cell>
          <cell r="AO22">
            <v>-2.2629730784237245E-2</v>
          </cell>
          <cell r="AP22">
            <v>-8.942115768463077E-2</v>
          </cell>
          <cell r="AQ22">
            <v>2.6742656729504599E-2</v>
          </cell>
          <cell r="AR22">
            <v>-2.8608027327070906E-2</v>
          </cell>
          <cell r="AS22">
            <v>-1.9340659340659316E-2</v>
          </cell>
          <cell r="AT22">
            <v>-6.0959211116091483E-2</v>
          </cell>
          <cell r="AU22">
            <v>-2.3389021479713556E-2</v>
          </cell>
          <cell r="AV22">
            <v>-2.0039100684261957E-2</v>
          </cell>
          <cell r="AW22">
            <v>-1.3965087281795463E-2</v>
          </cell>
          <cell r="AX22">
            <v>0</v>
          </cell>
          <cell r="AY22">
            <v>-3.2878098128477529E-2</v>
          </cell>
          <cell r="AZ22">
            <v>-2.0397489539748959E-2</v>
          </cell>
          <cell r="BA22">
            <v>-3.4703683929524831E-2</v>
          </cell>
          <cell r="BB22">
            <v>-4.0929203539822989E-2</v>
          </cell>
          <cell r="BC22">
            <v>-1.0957324106113053E-2</v>
          </cell>
          <cell r="BD22">
            <v>4.0816326530612734E-3</v>
          </cell>
          <cell r="BE22">
            <v>7.5493612078978423E-3</v>
          </cell>
          <cell r="BF22">
            <v>-4.2074927953890451E-2</v>
          </cell>
          <cell r="BG22">
            <v>4.2117930204572662E-3</v>
          </cell>
          <cell r="BH22">
            <v>-2.1138406231276385E-2</v>
          </cell>
          <cell r="BI22">
            <v>-1.0922924368924836E-2</v>
          </cell>
          <cell r="BJ22">
            <v>-1.244836388953352E-2</v>
          </cell>
        </row>
        <row r="24">
          <cell r="A24" t="str">
            <v>Expenses</v>
          </cell>
        </row>
        <row r="25">
          <cell r="A25" t="str">
            <v>Costs of services and products</v>
          </cell>
          <cell r="E25">
            <v>4947</v>
          </cell>
          <cell r="F25">
            <v>5558</v>
          </cell>
          <cell r="G25">
            <v>6004</v>
          </cell>
          <cell r="H25">
            <v>4947</v>
          </cell>
          <cell r="I25">
            <v>5558</v>
          </cell>
          <cell r="J25">
            <v>6004</v>
          </cell>
          <cell r="K25">
            <v>5015</v>
          </cell>
          <cell r="L25">
            <v>4252</v>
          </cell>
          <cell r="M25">
            <v>4324</v>
          </cell>
          <cell r="N25">
            <v>4412</v>
          </cell>
          <cell r="O25">
            <v>4276.47696</v>
          </cell>
          <cell r="P25">
            <v>4070.4347740770581</v>
          </cell>
          <cell r="Q25">
            <v>3954.2883864006681</v>
          </cell>
          <cell r="R25">
            <v>3818.5905663562794</v>
          </cell>
          <cell r="S25">
            <v>3703.5625218440409</v>
          </cell>
          <cell r="T25">
            <v>3597.6500942622315</v>
          </cell>
          <cell r="U25">
            <v>3494.2198929808146</v>
          </cell>
          <cell r="V25">
            <v>-2.2097258863197022E-2</v>
          </cell>
          <cell r="Z25">
            <v>0</v>
          </cell>
          <cell r="AA25">
            <v>0</v>
          </cell>
          <cell r="AB25">
            <v>0</v>
          </cell>
          <cell r="AC25">
            <v>0</v>
          </cell>
          <cell r="AD25">
            <v>1489</v>
          </cell>
          <cell r="AE25">
            <v>1216</v>
          </cell>
          <cell r="AF25">
            <v>1244</v>
          </cell>
          <cell r="AG25">
            <v>1264</v>
          </cell>
          <cell r="AH25">
            <v>1223</v>
          </cell>
          <cell r="AI25">
            <v>0</v>
          </cell>
          <cell r="AJ25">
            <v>0</v>
          </cell>
          <cell r="AK25">
            <v>0</v>
          </cell>
          <cell r="AL25">
            <v>0</v>
          </cell>
          <cell r="AM25">
            <v>1489</v>
          </cell>
          <cell r="AN25">
            <v>1528</v>
          </cell>
          <cell r="AO25">
            <v>1544</v>
          </cell>
          <cell r="AP25">
            <v>1443</v>
          </cell>
          <cell r="AQ25">
            <v>1421</v>
          </cell>
          <cell r="AR25">
            <v>1329</v>
          </cell>
          <cell r="AS25">
            <v>1189</v>
          </cell>
          <cell r="AT25">
            <v>1076</v>
          </cell>
          <cell r="AU25">
            <v>1106</v>
          </cell>
          <cell r="AV25">
            <v>1064</v>
          </cell>
          <cell r="AW25">
            <v>1061</v>
          </cell>
          <cell r="AX25">
            <v>1021</v>
          </cell>
          <cell r="AY25">
            <v>1053</v>
          </cell>
          <cell r="AZ25">
            <v>1095</v>
          </cell>
          <cell r="BA25">
            <v>1085</v>
          </cell>
          <cell r="BB25">
            <v>1091</v>
          </cell>
          <cell r="BC25">
            <v>1086</v>
          </cell>
          <cell r="BD25">
            <v>1123</v>
          </cell>
          <cell r="BE25">
            <v>1107</v>
          </cell>
          <cell r="BF25">
            <v>1096</v>
          </cell>
          <cell r="BG25">
            <v>1098</v>
          </cell>
          <cell r="BH25">
            <v>1068.4528799999998</v>
          </cell>
          <cell r="BI25">
            <v>1060.0140000000001</v>
          </cell>
          <cell r="BJ25">
            <v>1050.01008</v>
          </cell>
          <cell r="BM25">
            <v>0</v>
          </cell>
          <cell r="BN25">
            <v>0</v>
          </cell>
          <cell r="BO25">
            <v>0</v>
          </cell>
        </row>
        <row r="26">
          <cell r="A26" t="str">
            <v>% growth</v>
          </cell>
          <cell r="F26">
            <v>0.12350919749343037</v>
          </cell>
          <cell r="G26">
            <v>8.0244692335372347E-2</v>
          </cell>
          <cell r="H26">
            <v>-0.16472351765489679</v>
          </cell>
          <cell r="I26">
            <v>0.12350919749343037</v>
          </cell>
          <cell r="J26">
            <v>8.0244692335372347E-2</v>
          </cell>
          <cell r="K26">
            <v>-0.16472351765489679</v>
          </cell>
          <cell r="L26">
            <v>-0.15214356929212358</v>
          </cell>
          <cell r="M26">
            <v>1.6933207902163794E-2</v>
          </cell>
          <cell r="N26">
            <v>2.0351526364477346E-2</v>
          </cell>
          <cell r="O26">
            <v>-3.071691749773342E-2</v>
          </cell>
          <cell r="P26">
            <v>-4.8180356833476767E-2</v>
          </cell>
          <cell r="Q26">
            <v>-2.8534147854690883E-2</v>
          </cell>
          <cell r="R26">
            <v>-3.4316622052926626E-2</v>
          </cell>
          <cell r="S26">
            <v>-3.0123167832051378E-2</v>
          </cell>
          <cell r="T26">
            <v>-2.8597445556035717E-2</v>
          </cell>
          <cell r="U26">
            <v>-2.8749377669155307E-2</v>
          </cell>
          <cell r="AH26">
            <v>-4.566823371390194E-2</v>
          </cell>
          <cell r="AI26">
            <v>-0.13023560209424079</v>
          </cell>
          <cell r="AJ26">
            <v>-0.22992227979274615</v>
          </cell>
          <cell r="AK26">
            <v>-0.25433125433125436</v>
          </cell>
          <cell r="AL26">
            <v>-0.22167487684729059</v>
          </cell>
          <cell r="AM26">
            <v>-0.199398043641836</v>
          </cell>
          <cell r="AN26">
            <v>-0.10765349032800675</v>
          </cell>
          <cell r="AO26">
            <v>-5.1115241635687703E-2</v>
          </cell>
          <cell r="AP26">
            <v>-4.7920433996383349E-2</v>
          </cell>
          <cell r="AQ26">
            <v>-4.566823371390194E-2</v>
          </cell>
          <cell r="AR26">
            <v>-0.13023560209424079</v>
          </cell>
          <cell r="AS26">
            <v>-0.22992227979274615</v>
          </cell>
          <cell r="AT26">
            <v>-0.25433125433125436</v>
          </cell>
          <cell r="AU26">
            <v>-0.22167487684729059</v>
          </cell>
          <cell r="AV26">
            <v>-0.199398043641836</v>
          </cell>
          <cell r="AW26">
            <v>-0.10765349032800675</v>
          </cell>
          <cell r="AX26">
            <v>-5.1115241635687703E-2</v>
          </cell>
          <cell r="AY26">
            <v>-4.7920433996383349E-2</v>
          </cell>
          <cell r="AZ26">
            <v>2.913533834586457E-2</v>
          </cell>
          <cell r="BA26">
            <v>2.2620169651272448E-2</v>
          </cell>
          <cell r="BB26">
            <v>6.8560235063663155E-2</v>
          </cell>
          <cell r="BC26">
            <v>3.1339031339031376E-2</v>
          </cell>
          <cell r="BD26">
            <v>2.5570776255707806E-2</v>
          </cell>
          <cell r="BE26">
            <v>2.0276497695852491E-2</v>
          </cell>
          <cell r="BF26">
            <v>4.5829514207149646E-3</v>
          </cell>
          <cell r="BG26">
            <v>1.1049723756906049E-2</v>
          </cell>
          <cell r="BH26">
            <v>-4.857268032057005E-2</v>
          </cell>
          <cell r="BI26">
            <v>-4.2444444444444285E-2</v>
          </cell>
          <cell r="BJ26">
            <v>-4.1961605839415994E-2</v>
          </cell>
        </row>
        <row r="27">
          <cell r="A27" t="str">
            <v>% revenues</v>
          </cell>
          <cell r="E27">
            <v>0.479918509895227</v>
          </cell>
          <cell r="F27">
            <v>0.52792553191489366</v>
          </cell>
          <cell r="G27">
            <v>0.60311401305876444</v>
          </cell>
          <cell r="H27">
            <v>0.479918509895227</v>
          </cell>
          <cell r="I27">
            <v>0.52792553191489366</v>
          </cell>
          <cell r="J27">
            <v>0.60311401305876444</v>
          </cell>
          <cell r="K27">
            <v>0.56077378955607737</v>
          </cell>
          <cell r="L27">
            <v>0.53116801998750784</v>
          </cell>
          <cell r="M27">
            <v>0.59014603521222875</v>
          </cell>
          <cell r="N27">
            <v>0.64559555165349725</v>
          </cell>
          <cell r="O27">
            <v>0.65646974412662495</v>
          </cell>
          <cell r="P27">
            <v>0.67</v>
          </cell>
          <cell r="Q27">
            <v>0.68</v>
          </cell>
          <cell r="R27">
            <v>0.68</v>
          </cell>
          <cell r="S27">
            <v>0.68</v>
          </cell>
          <cell r="T27">
            <v>0.68</v>
          </cell>
          <cell r="U27">
            <v>0.68</v>
          </cell>
          <cell r="AB27">
            <v>0.51</v>
          </cell>
          <cell r="AD27">
            <v>0.58005453837164</v>
          </cell>
          <cell r="AE27">
            <v>0.59617635583300821</v>
          </cell>
          <cell r="AF27">
            <v>0.61636726546906184</v>
          </cell>
          <cell r="AG27">
            <v>0.63261727312582205</v>
          </cell>
          <cell r="AH27">
            <v>0.60674637062339876</v>
          </cell>
          <cell r="AI27">
            <v>0.58417582417582414</v>
          </cell>
          <cell r="AJ27">
            <v>0.53294486777229944</v>
          </cell>
          <cell r="AK27">
            <v>0.51</v>
          </cell>
          <cell r="AL27">
            <v>0.5405669599217986</v>
          </cell>
          <cell r="AM27">
            <v>0.58005453837164</v>
          </cell>
          <cell r="AN27">
            <v>0.59617635583300821</v>
          </cell>
          <cell r="AO27">
            <v>0.61636726546906184</v>
          </cell>
          <cell r="AP27">
            <v>0.63261727312582205</v>
          </cell>
          <cell r="AQ27">
            <v>0.60674637062339876</v>
          </cell>
          <cell r="AR27">
            <v>0.58417582417582414</v>
          </cell>
          <cell r="AS27">
            <v>0.53294486777229944</v>
          </cell>
          <cell r="AT27">
            <v>0.51360381861575177</v>
          </cell>
          <cell r="AU27">
            <v>0.5405669599217986</v>
          </cell>
          <cell r="AV27">
            <v>0.53067331670822948</v>
          </cell>
          <cell r="AW27">
            <v>0.53667172483560954</v>
          </cell>
          <cell r="AX27">
            <v>0.51643904906423876</v>
          </cell>
          <cell r="AY27">
            <v>0.55073221757322177</v>
          </cell>
          <cell r="AZ27">
            <v>0.58462359850507206</v>
          </cell>
          <cell r="BA27">
            <v>0.60011061946902655</v>
          </cell>
          <cell r="BB27">
            <v>0.62918108419838525</v>
          </cell>
          <cell r="BC27">
            <v>0.63323615160349855</v>
          </cell>
          <cell r="BD27">
            <v>0.65214866434378627</v>
          </cell>
          <cell r="BE27">
            <v>0.63804034582132563</v>
          </cell>
          <cell r="BF27">
            <v>0.65944645006016844</v>
          </cell>
          <cell r="BG27">
            <v>0.65787896944278013</v>
          </cell>
          <cell r="BH27">
            <v>0.65400000000000003</v>
          </cell>
          <cell r="BI27">
            <v>0.65600000000000003</v>
          </cell>
          <cell r="BJ27">
            <v>0.65800000000000003</v>
          </cell>
        </row>
        <row r="28">
          <cell r="A28" t="str">
            <v>Selling, general, and administrative</v>
          </cell>
          <cell r="E28">
            <v>2957</v>
          </cell>
          <cell r="F28">
            <v>2270</v>
          </cell>
          <cell r="G28">
            <v>2955</v>
          </cell>
          <cell r="H28">
            <v>2957</v>
          </cell>
          <cell r="I28">
            <v>2270</v>
          </cell>
          <cell r="J28">
            <v>2955</v>
          </cell>
          <cell r="K28">
            <v>2452</v>
          </cell>
          <cell r="L28">
            <v>2199</v>
          </cell>
          <cell r="M28">
            <v>1860</v>
          </cell>
          <cell r="N28">
            <v>1406</v>
          </cell>
          <cell r="O28">
            <v>1379.8870400000001</v>
          </cell>
          <cell r="P28">
            <v>1336.5606720850042</v>
          </cell>
          <cell r="Q28">
            <v>1366.5555453002307</v>
          </cell>
          <cell r="R28">
            <v>1319.6599751378317</v>
          </cell>
          <cell r="S28">
            <v>1279.9076362255139</v>
          </cell>
          <cell r="T28">
            <v>1243.3055472818005</v>
          </cell>
          <cell r="U28">
            <v>1207.5612865448402</v>
          </cell>
          <cell r="V28">
            <v>-7.4175677240119975E-2</v>
          </cell>
          <cell r="Z28">
            <v>0</v>
          </cell>
          <cell r="AA28">
            <v>0</v>
          </cell>
          <cell r="AB28">
            <v>0</v>
          </cell>
          <cell r="AC28">
            <v>0</v>
          </cell>
          <cell r="AD28">
            <v>751</v>
          </cell>
          <cell r="AE28">
            <v>736</v>
          </cell>
          <cell r="AF28">
            <v>785</v>
          </cell>
          <cell r="AG28">
            <v>786</v>
          </cell>
          <cell r="AH28">
            <v>834</v>
          </cell>
          <cell r="AI28">
            <v>0</v>
          </cell>
          <cell r="AJ28">
            <v>0</v>
          </cell>
          <cell r="AK28">
            <v>0</v>
          </cell>
          <cell r="AL28">
            <v>0</v>
          </cell>
          <cell r="AM28">
            <v>751</v>
          </cell>
          <cell r="AN28">
            <v>748</v>
          </cell>
          <cell r="AO28">
            <v>724</v>
          </cell>
          <cell r="AP28">
            <v>732</v>
          </cell>
          <cell r="AQ28">
            <v>639</v>
          </cell>
          <cell r="AR28">
            <v>612</v>
          </cell>
          <cell r="AS28">
            <v>601</v>
          </cell>
          <cell r="AT28">
            <v>600</v>
          </cell>
          <cell r="AU28">
            <v>575</v>
          </cell>
          <cell r="AV28">
            <v>563</v>
          </cell>
          <cell r="AW28">
            <v>526</v>
          </cell>
          <cell r="AX28">
            <v>535</v>
          </cell>
          <cell r="AY28">
            <v>516</v>
          </cell>
          <cell r="AZ28">
            <v>515</v>
          </cell>
          <cell r="BA28">
            <v>421</v>
          </cell>
          <cell r="BB28">
            <v>408</v>
          </cell>
          <cell r="BC28">
            <v>369</v>
          </cell>
          <cell r="BD28">
            <v>336</v>
          </cell>
          <cell r="BE28">
            <v>357</v>
          </cell>
          <cell r="BF28">
            <v>344</v>
          </cell>
          <cell r="BG28">
            <v>335</v>
          </cell>
          <cell r="BH28">
            <v>347.98235999999997</v>
          </cell>
          <cell r="BI28">
            <v>349.029</v>
          </cell>
          <cell r="BJ28">
            <v>347.87567999999999</v>
          </cell>
          <cell r="BM28">
            <v>0</v>
          </cell>
          <cell r="BN28">
            <v>0</v>
          </cell>
          <cell r="BO28">
            <v>0</v>
          </cell>
        </row>
        <row r="29">
          <cell r="A29" t="str">
            <v>% growth</v>
          </cell>
          <cell r="F29">
            <v>-0.2323300642543118</v>
          </cell>
          <cell r="G29">
            <v>0.30176211453744495</v>
          </cell>
          <cell r="H29">
            <v>-0.17021996615905244</v>
          </cell>
          <cell r="I29">
            <v>-0.2323300642543118</v>
          </cell>
          <cell r="J29">
            <v>0.30176211453744495</v>
          </cell>
          <cell r="K29">
            <v>-0.17021996615905244</v>
          </cell>
          <cell r="L29">
            <v>-0.10318107667210441</v>
          </cell>
          <cell r="M29">
            <v>-0.15416098226466579</v>
          </cell>
          <cell r="N29">
            <v>-0.24408602150537639</v>
          </cell>
          <cell r="O29">
            <v>-1.8572517780938824E-2</v>
          </cell>
          <cell r="P29">
            <v>-3.139848890456709E-2</v>
          </cell>
          <cell r="Q29">
            <v>2.2441834360153123E-2</v>
          </cell>
          <cell r="R29">
            <v>-3.4316622052926626E-2</v>
          </cell>
          <cell r="S29">
            <v>-3.012316783205149E-2</v>
          </cell>
          <cell r="T29">
            <v>-2.8597445556035606E-2</v>
          </cell>
          <cell r="U29">
            <v>-2.8749377669155307E-2</v>
          </cell>
          <cell r="AH29">
            <v>-0.14913448735019974</v>
          </cell>
          <cell r="AI29">
            <v>-0.18181818181818177</v>
          </cell>
          <cell r="AJ29">
            <v>-0.16988950276243098</v>
          </cell>
          <cell r="AK29">
            <v>-0.18032786885245899</v>
          </cell>
          <cell r="AL29">
            <v>-0.10015649452269171</v>
          </cell>
          <cell r="AM29">
            <v>-8.0065359477124232E-2</v>
          </cell>
          <cell r="AN29">
            <v>-0.12479201331114809</v>
          </cell>
          <cell r="AO29">
            <v>-0.10833333333333328</v>
          </cell>
          <cell r="AP29">
            <v>-0.1026086956521739</v>
          </cell>
          <cell r="AQ29">
            <v>-0.14913448735019974</v>
          </cell>
          <cell r="AR29">
            <v>-0.18181818181818177</v>
          </cell>
          <cell r="AS29">
            <v>-0.16988950276243098</v>
          </cell>
          <cell r="AT29">
            <v>-0.18032786885245899</v>
          </cell>
          <cell r="AU29">
            <v>-0.10015649452269171</v>
          </cell>
          <cell r="AV29">
            <v>-8.0065359477124232E-2</v>
          </cell>
          <cell r="AW29">
            <v>-0.12479201331114809</v>
          </cell>
          <cell r="AX29">
            <v>-0.10833333333333328</v>
          </cell>
          <cell r="AY29">
            <v>-0.1026086956521739</v>
          </cell>
          <cell r="AZ29">
            <v>-8.5257548845470654E-2</v>
          </cell>
          <cell r="BA29">
            <v>-0.19961977186311786</v>
          </cell>
          <cell r="BB29">
            <v>-0.23738317757009342</v>
          </cell>
          <cell r="BC29">
            <v>-0.28488372093023251</v>
          </cell>
          <cell r="BD29">
            <v>-0.34757281553398056</v>
          </cell>
          <cell r="BE29">
            <v>-0.15201900237529686</v>
          </cell>
          <cell r="BF29">
            <v>-0.15686274509803921</v>
          </cell>
          <cell r="BG29">
            <v>-9.2140921409214038E-2</v>
          </cell>
          <cell r="BH29">
            <v>3.5661785714285577E-2</v>
          </cell>
          <cell r="BI29">
            <v>-2.232773109243702E-2</v>
          </cell>
          <cell r="BJ29">
            <v>1.1266511627906928E-2</v>
          </cell>
        </row>
        <row r="30">
          <cell r="A30" t="str">
            <v>% revenues</v>
          </cell>
          <cell r="E30">
            <v>0.28686457120682962</v>
          </cell>
          <cell r="F30">
            <v>0.21561550151975684</v>
          </cell>
          <cell r="G30">
            <v>0.2968357609241587</v>
          </cell>
          <cell r="H30">
            <v>0.28686457120682962</v>
          </cell>
          <cell r="I30">
            <v>0.21561550151975684</v>
          </cell>
          <cell r="J30">
            <v>0.2968357609241587</v>
          </cell>
          <cell r="K30">
            <v>0.27418092362741808</v>
          </cell>
          <cell r="L30">
            <v>0.27470331043098062</v>
          </cell>
          <cell r="M30">
            <v>0.25385560256585232</v>
          </cell>
          <cell r="N30">
            <v>0.20573602575358502</v>
          </cell>
          <cell r="O30">
            <v>0.21182251197547569</v>
          </cell>
          <cell r="P30">
            <v>0.22</v>
          </cell>
          <cell r="Q30">
            <v>0.23499999999999999</v>
          </cell>
          <cell r="R30">
            <v>0.23499999999999999</v>
          </cell>
          <cell r="S30">
            <v>0.23499999999999999</v>
          </cell>
          <cell r="T30">
            <v>0.23499999999999999</v>
          </cell>
          <cell r="U30">
            <v>0.23499999999999999</v>
          </cell>
          <cell r="AB30">
            <v>0.26</v>
          </cell>
          <cell r="AD30">
            <v>0.29255940786910789</v>
          </cell>
          <cell r="AE30">
            <v>0.29184549356223177</v>
          </cell>
          <cell r="AF30">
            <v>0.28902195608782433</v>
          </cell>
          <cell r="AG30">
            <v>0.32091188075405525</v>
          </cell>
          <cell r="AH30">
            <v>0.27284372331340734</v>
          </cell>
          <cell r="AI30">
            <v>0.26901098901098902</v>
          </cell>
          <cell r="AJ30">
            <v>0.26938592559390406</v>
          </cell>
          <cell r="AK30">
            <v>0.26</v>
          </cell>
          <cell r="AL30">
            <v>0.2810361681329423</v>
          </cell>
          <cell r="AM30">
            <v>0.29255940786910789</v>
          </cell>
          <cell r="AN30">
            <v>0.29184549356223177</v>
          </cell>
          <cell r="AO30">
            <v>0.28902195608782433</v>
          </cell>
          <cell r="AP30">
            <v>0.32091188075405525</v>
          </cell>
          <cell r="AQ30">
            <v>0.27284372331340734</v>
          </cell>
          <cell r="AR30">
            <v>0.26901098901098902</v>
          </cell>
          <cell r="AS30">
            <v>0.26938592559390406</v>
          </cell>
          <cell r="AT30">
            <v>0.28639618138424822</v>
          </cell>
          <cell r="AU30">
            <v>0.2810361681329423</v>
          </cell>
          <cell r="AV30">
            <v>0.28079800498753116</v>
          </cell>
          <cell r="AW30">
            <v>0.26605968639352556</v>
          </cell>
          <cell r="AX30">
            <v>0.27061203844208398</v>
          </cell>
          <cell r="AY30">
            <v>0.26987447698744771</v>
          </cell>
          <cell r="AZ30">
            <v>0.27495995728777362</v>
          </cell>
          <cell r="BA30">
            <v>0.23285398230088494</v>
          </cell>
          <cell r="BB30">
            <v>0.23529411764705882</v>
          </cell>
          <cell r="BC30">
            <v>0.21516034985422741</v>
          </cell>
          <cell r="BD30">
            <v>0.1951219512195122</v>
          </cell>
          <cell r="BE30">
            <v>0.20576368876080692</v>
          </cell>
          <cell r="BF30">
            <v>0.20697954271961491</v>
          </cell>
          <cell r="BG30">
            <v>0.20071899340922708</v>
          </cell>
          <cell r="BH30">
            <v>0.21299999999999999</v>
          </cell>
          <cell r="BI30">
            <v>0.216</v>
          </cell>
          <cell r="BJ30">
            <v>0.218</v>
          </cell>
        </row>
        <row r="31">
          <cell r="A31" t="str">
            <v>Depreciation and amortization</v>
          </cell>
          <cell r="E31">
            <v>1045</v>
          </cell>
          <cell r="F31">
            <v>1121</v>
          </cell>
          <cell r="G31">
            <v>1318</v>
          </cell>
          <cell r="H31">
            <v>1045</v>
          </cell>
          <cell r="I31">
            <v>1121</v>
          </cell>
          <cell r="J31">
            <v>1318</v>
          </cell>
          <cell r="K31">
            <v>1479</v>
          </cell>
          <cell r="L31">
            <v>1432</v>
          </cell>
          <cell r="M31">
            <v>1071</v>
          </cell>
          <cell r="N31">
            <v>489</v>
          </cell>
          <cell r="O31">
            <v>484.541023773017</v>
          </cell>
          <cell r="P31">
            <v>428.60451908753504</v>
          </cell>
          <cell r="Q31">
            <v>381.45592591098585</v>
          </cell>
          <cell r="R31">
            <v>343.32412339516321</v>
          </cell>
          <cell r="S31">
            <v>314.32327696312694</v>
          </cell>
          <cell r="T31">
            <v>284.69395823729707</v>
          </cell>
          <cell r="U31">
            <v>254.44837648196091</v>
          </cell>
          <cell r="V31">
            <v>-0.22747289905965984</v>
          </cell>
          <cell r="Z31">
            <v>0</v>
          </cell>
          <cell r="AA31">
            <v>0</v>
          </cell>
          <cell r="AB31">
            <v>0</v>
          </cell>
          <cell r="AC31">
            <v>0</v>
          </cell>
          <cell r="AD31">
            <v>302</v>
          </cell>
          <cell r="AE31">
            <v>243</v>
          </cell>
          <cell r="AF31">
            <v>251</v>
          </cell>
          <cell r="AG31">
            <v>264</v>
          </cell>
          <cell r="AH31">
            <v>287</v>
          </cell>
          <cell r="AI31">
            <v>0</v>
          </cell>
          <cell r="AJ31">
            <v>0</v>
          </cell>
          <cell r="AK31">
            <v>0</v>
          </cell>
          <cell r="AL31">
            <v>0</v>
          </cell>
          <cell r="AM31">
            <v>302</v>
          </cell>
          <cell r="AN31">
            <v>334</v>
          </cell>
          <cell r="AO31">
            <v>356</v>
          </cell>
          <cell r="AP31">
            <v>326</v>
          </cell>
          <cell r="AQ31">
            <v>357</v>
          </cell>
          <cell r="AR31">
            <v>364</v>
          </cell>
          <cell r="AS31">
            <v>378</v>
          </cell>
          <cell r="AT31">
            <v>380</v>
          </cell>
          <cell r="AU31">
            <v>361</v>
          </cell>
          <cell r="AV31">
            <v>363</v>
          </cell>
          <cell r="AW31">
            <v>352</v>
          </cell>
          <cell r="AX31">
            <v>356</v>
          </cell>
          <cell r="AY31">
            <v>320</v>
          </cell>
          <cell r="AZ31">
            <v>321</v>
          </cell>
          <cell r="BA31">
            <v>319</v>
          </cell>
          <cell r="BB31">
            <v>111</v>
          </cell>
          <cell r="BC31">
            <v>117</v>
          </cell>
          <cell r="BD31">
            <v>114</v>
          </cell>
          <cell r="BE31">
            <v>122</v>
          </cell>
          <cell r="BF31">
            <v>136</v>
          </cell>
          <cell r="BG31">
            <v>121</v>
          </cell>
          <cell r="BH31">
            <v>124.01578746877981</v>
          </cell>
          <cell r="BI31">
            <v>120.4814170148055</v>
          </cell>
          <cell r="BJ31">
            <v>119.04381928943168</v>
          </cell>
          <cell r="BM31">
            <v>0</v>
          </cell>
          <cell r="BN31">
            <v>0</v>
          </cell>
          <cell r="BO31">
            <v>0</v>
          </cell>
        </row>
        <row r="32">
          <cell r="A32" t="str">
            <v>% growth</v>
          </cell>
          <cell r="F32">
            <v>7.2727272727272751E-2</v>
          </cell>
          <cell r="G32">
            <v>0.17573595004460296</v>
          </cell>
          <cell r="H32">
            <v>0.12215477996965096</v>
          </cell>
          <cell r="I32">
            <v>7.2727272727272751E-2</v>
          </cell>
          <cell r="J32">
            <v>0.17573595004460296</v>
          </cell>
          <cell r="K32">
            <v>0.12215477996965096</v>
          </cell>
          <cell r="L32">
            <v>-3.1778228532792441E-2</v>
          </cell>
          <cell r="M32">
            <v>-0.25209497206703912</v>
          </cell>
          <cell r="N32">
            <v>-0.54341736694677878</v>
          </cell>
          <cell r="O32">
            <v>-9.1185607913762956E-3</v>
          </cell>
          <cell r="P32">
            <v>-0.11544224728365904</v>
          </cell>
          <cell r="Q32">
            <v>-0.11000489046854844</v>
          </cell>
          <cell r="R32">
            <v>-9.9963848837206992E-2</v>
          </cell>
          <cell r="S32">
            <v>-8.4470750686681417E-2</v>
          </cell>
          <cell r="T32">
            <v>-9.4263838848007708E-2</v>
          </cell>
          <cell r="U32">
            <v>-0.10623893089478909</v>
          </cell>
          <cell r="AH32">
            <v>0.18211920529801318</v>
          </cell>
          <cell r="AI32">
            <v>8.9820359281437057E-2</v>
          </cell>
          <cell r="AJ32">
            <v>6.1797752808988804E-2</v>
          </cell>
          <cell r="AK32">
            <v>0.16564417177914104</v>
          </cell>
          <cell r="AL32">
            <v>1.1204481792717047E-2</v>
          </cell>
          <cell r="AM32">
            <v>-2.7472527472527375E-3</v>
          </cell>
          <cell r="AN32">
            <v>-6.8783068783068835E-2</v>
          </cell>
          <cell r="AO32">
            <v>-6.315789473684208E-2</v>
          </cell>
          <cell r="AP32">
            <v>-0.11357340720221609</v>
          </cell>
          <cell r="AQ32">
            <v>0.18211920529801318</v>
          </cell>
          <cell r="AR32">
            <v>8.9820359281437057E-2</v>
          </cell>
          <cell r="AS32">
            <v>6.1797752808988804E-2</v>
          </cell>
          <cell r="AT32">
            <v>0.16564417177914104</v>
          </cell>
          <cell r="AU32">
            <v>1.1204481792717047E-2</v>
          </cell>
          <cell r="AV32">
            <v>-2.7472527472527375E-3</v>
          </cell>
          <cell r="AW32">
            <v>-6.8783068783068835E-2</v>
          </cell>
          <cell r="AX32">
            <v>-6.315789473684208E-2</v>
          </cell>
          <cell r="AY32">
            <v>-0.11357340720221609</v>
          </cell>
          <cell r="AZ32">
            <v>-0.11570247933884292</v>
          </cell>
          <cell r="BA32">
            <v>-9.375E-2</v>
          </cell>
          <cell r="BB32">
            <v>-0.6882022471910112</v>
          </cell>
          <cell r="BC32">
            <v>-0.63437500000000002</v>
          </cell>
          <cell r="BD32">
            <v>-0.64485981308411211</v>
          </cell>
          <cell r="BE32">
            <v>-0.61755485893416928</v>
          </cell>
          <cell r="BF32">
            <v>0.22522522522522515</v>
          </cell>
          <cell r="BG32">
            <v>3.4188034188034289E-2</v>
          </cell>
          <cell r="BH32">
            <v>8.7857784813857975E-2</v>
          </cell>
          <cell r="BI32">
            <v>-1.2447401517987733E-2</v>
          </cell>
          <cell r="BJ32">
            <v>-0.12467779934241408</v>
          </cell>
        </row>
        <row r="33">
          <cell r="A33" t="str">
            <v>% revenues</v>
          </cell>
          <cell r="E33">
            <v>0.10137757081878153</v>
          </cell>
          <cell r="F33">
            <v>0.10647796352583587</v>
          </cell>
          <cell r="G33">
            <v>0.13239578101456553</v>
          </cell>
          <cell r="H33">
            <v>0.10137757081878153</v>
          </cell>
          <cell r="I33">
            <v>0.10647796352583587</v>
          </cell>
          <cell r="J33">
            <v>0.13239578101456553</v>
          </cell>
          <cell r="K33">
            <v>0.16538074471653808</v>
          </cell>
          <cell r="L33">
            <v>0.17888819487820112</v>
          </cell>
          <cell r="M33">
            <v>0.14617169373549885</v>
          </cell>
          <cell r="N33">
            <v>7.1553994732221252E-2</v>
          </cell>
          <cell r="O33">
            <v>7.4380506400559529E-2</v>
          </cell>
          <cell r="P33">
            <v>7.0548981552900847E-2</v>
          </cell>
          <cell r="Q33">
            <v>6.5597145244021091E-2</v>
          </cell>
          <cell r="R33">
            <v>6.1137846504313823E-2</v>
          </cell>
          <cell r="S33">
            <v>5.7711953578281468E-2</v>
          </cell>
          <cell r="T33">
            <v>5.3810650432657439E-2</v>
          </cell>
          <cell r="U33">
            <v>4.9517460637009611E-2</v>
          </cell>
          <cell r="AB33">
            <v>0.1</v>
          </cell>
          <cell r="AE33">
            <v>0.13031603589543503</v>
          </cell>
          <cell r="AF33">
            <v>0.14211576846307386</v>
          </cell>
          <cell r="AG33">
            <v>0.14291977202981149</v>
          </cell>
          <cell r="AH33">
            <v>0.15243381725021349</v>
          </cell>
          <cell r="AI33">
            <v>0.16</v>
          </cell>
          <cell r="AJ33">
            <v>0.16943074854325416</v>
          </cell>
          <cell r="AK33">
            <v>0.1</v>
          </cell>
          <cell r="AL33">
            <v>0.17644183773216032</v>
          </cell>
          <cell r="AM33">
            <v>0.18104738154613467</v>
          </cell>
          <cell r="AN33">
            <v>0.13031603589543503</v>
          </cell>
          <cell r="AO33">
            <v>0.14211576846307386</v>
          </cell>
          <cell r="AP33">
            <v>0.14291977202981149</v>
          </cell>
          <cell r="AQ33">
            <v>0.15243381725021349</v>
          </cell>
          <cell r="AR33">
            <v>0.16</v>
          </cell>
          <cell r="AS33">
            <v>0.16943074854325416</v>
          </cell>
          <cell r="AT33">
            <v>0.18138424821002386</v>
          </cell>
          <cell r="AU33">
            <v>0.17644183773216032</v>
          </cell>
          <cell r="AV33">
            <v>0.18104738154613467</v>
          </cell>
          <cell r="AW33">
            <v>0.17804754678806273</v>
          </cell>
          <cell r="AX33">
            <v>0.18007081436519981</v>
          </cell>
          <cell r="AY33">
            <v>0.16736401673640167</v>
          </cell>
          <cell r="AZ33">
            <v>0.17138280832888414</v>
          </cell>
          <cell r="BA33">
            <v>0.17643805309734514</v>
          </cell>
          <cell r="BB33">
            <v>6.4013840830449822E-2</v>
          </cell>
          <cell r="BC33">
            <v>6.8221574344023317E-2</v>
          </cell>
          <cell r="BD33">
            <v>6.6202090592334492E-2</v>
          </cell>
          <cell r="BE33">
            <v>7.0317002881844379E-2</v>
          </cell>
          <cell r="BF33">
            <v>8.1829121540312882E-2</v>
          </cell>
          <cell r="BG33">
            <v>7.2498502097064113E-2</v>
          </cell>
          <cell r="BH33">
            <v>7.591006259871938E-2</v>
          </cell>
          <cell r="BI33">
            <v>7.4561099722939894E-2</v>
          </cell>
          <cell r="BJ33">
            <v>7.4600077260635486E-2</v>
          </cell>
        </row>
        <row r="35">
          <cell r="A35" t="str">
            <v>Operating expenses</v>
          </cell>
          <cell r="E35">
            <v>8949</v>
          </cell>
          <cell r="F35">
            <v>8949</v>
          </cell>
          <cell r="G35">
            <v>10277</v>
          </cell>
          <cell r="H35">
            <v>8949</v>
          </cell>
          <cell r="I35">
            <v>8949</v>
          </cell>
          <cell r="J35">
            <v>10277</v>
          </cell>
          <cell r="K35">
            <v>8946</v>
          </cell>
          <cell r="L35">
            <v>7883</v>
          </cell>
          <cell r="M35">
            <v>7255</v>
          </cell>
          <cell r="N35">
            <v>6307</v>
          </cell>
          <cell r="O35">
            <v>6140.9050237730171</v>
          </cell>
          <cell r="P35">
            <v>5835.5999652495975</v>
          </cell>
          <cell r="Q35">
            <v>5702.2998576118844</v>
          </cell>
          <cell r="R35">
            <v>5481.5746648892746</v>
          </cell>
          <cell r="S35">
            <v>5297.7934350326814</v>
          </cell>
          <cell r="T35">
            <v>5125.649599781329</v>
          </cell>
          <cell r="U35">
            <v>4956.2295560076154</v>
          </cell>
          <cell r="V35">
            <v>-5.842881650613263E-2</v>
          </cell>
          <cell r="AD35">
            <v>2542</v>
          </cell>
          <cell r="AE35">
            <v>2610</v>
          </cell>
          <cell r="AF35">
            <v>2624</v>
          </cell>
          <cell r="AG35">
            <v>2501</v>
          </cell>
          <cell r="AH35">
            <v>2417</v>
          </cell>
          <cell r="AI35">
            <v>2305</v>
          </cell>
          <cell r="AJ35">
            <v>2168</v>
          </cell>
          <cell r="AK35">
            <v>2056</v>
          </cell>
          <cell r="AL35">
            <v>2042</v>
          </cell>
          <cell r="AM35">
            <v>2542</v>
          </cell>
          <cell r="AN35">
            <v>2610</v>
          </cell>
          <cell r="AO35">
            <v>2624</v>
          </cell>
          <cell r="AP35">
            <v>2501</v>
          </cell>
          <cell r="AQ35">
            <v>2417</v>
          </cell>
          <cell r="AR35">
            <v>2305</v>
          </cell>
          <cell r="AS35">
            <v>2168</v>
          </cell>
          <cell r="AT35">
            <v>2056</v>
          </cell>
          <cell r="AU35">
            <v>2042</v>
          </cell>
          <cell r="AV35">
            <v>1990</v>
          </cell>
          <cell r="AW35">
            <v>1939</v>
          </cell>
          <cell r="AX35">
            <v>1912</v>
          </cell>
          <cell r="AY35">
            <v>1889</v>
          </cell>
          <cell r="AZ35">
            <v>1931</v>
          </cell>
          <cell r="BA35">
            <v>1825</v>
          </cell>
          <cell r="BB35">
            <v>1610</v>
          </cell>
          <cell r="BC35">
            <v>1572</v>
          </cell>
          <cell r="BD35">
            <v>1573</v>
          </cell>
          <cell r="BE35">
            <v>1586</v>
          </cell>
          <cell r="BF35">
            <v>1576</v>
          </cell>
          <cell r="BG35">
            <v>1554</v>
          </cell>
          <cell r="BH35">
            <v>1540.4510274687796</v>
          </cell>
          <cell r="BI35">
            <v>1529.5244170148057</v>
          </cell>
          <cell r="BJ35">
            <v>1516.9295792894318</v>
          </cell>
          <cell r="BM35">
            <v>0</v>
          </cell>
          <cell r="BN35">
            <v>0</v>
          </cell>
          <cell r="BO35">
            <v>0</v>
          </cell>
        </row>
        <row r="36">
          <cell r="A36" t="str">
            <v>% growth</v>
          </cell>
          <cell r="F36">
            <v>0</v>
          </cell>
          <cell r="G36">
            <v>0.14839646887920432</v>
          </cell>
          <cell r="H36">
            <v>-0.12951250364892475</v>
          </cell>
          <cell r="I36">
            <v>0</v>
          </cell>
          <cell r="J36">
            <v>0.14839646887920432</v>
          </cell>
          <cell r="K36">
            <v>-0.12951250364892475</v>
          </cell>
          <cell r="L36">
            <v>-0.11882405544377372</v>
          </cell>
          <cell r="M36">
            <v>-7.9665102118482767E-2</v>
          </cell>
          <cell r="N36">
            <v>-0.13066850447966916</v>
          </cell>
          <cell r="O36">
            <v>-2.6335020806561471E-2</v>
          </cell>
          <cell r="P36">
            <v>-4.9716622768387619E-2</v>
          </cell>
          <cell r="Q36">
            <v>-2.2842571189166772E-2</v>
          </cell>
          <cell r="R36">
            <v>-3.8708099930586437E-2</v>
          </cell>
          <cell r="S36">
            <v>-3.3527086848557097E-2</v>
          </cell>
          <cell r="T36">
            <v>-3.2493497030861573E-2</v>
          </cell>
          <cell r="U36">
            <v>-3.3053379962013296E-2</v>
          </cell>
          <cell r="AH36">
            <v>-4.9173878835562568E-2</v>
          </cell>
          <cell r="AI36">
            <v>-0.11685823754789271</v>
          </cell>
          <cell r="AJ36">
            <v>-0.17378048780487809</v>
          </cell>
          <cell r="AK36">
            <v>-0.17792882846861258</v>
          </cell>
          <cell r="AL36">
            <v>-0.1551510136532892</v>
          </cell>
          <cell r="AM36">
            <v>-0.1366594360086768</v>
          </cell>
          <cell r="AN36">
            <v>-0.10562730627306272</v>
          </cell>
          <cell r="AO36">
            <v>-7.0038910505836549E-2</v>
          </cell>
          <cell r="AP36">
            <v>-7.492654260528897E-2</v>
          </cell>
          <cell r="AQ36">
            <v>-4.9173878835562568E-2</v>
          </cell>
          <cell r="AR36">
            <v>-0.11685823754789271</v>
          </cell>
          <cell r="AS36">
            <v>-0.17378048780487809</v>
          </cell>
          <cell r="AT36">
            <v>-0.17792882846861258</v>
          </cell>
          <cell r="AU36">
            <v>-0.1551510136532892</v>
          </cell>
          <cell r="AV36">
            <v>-0.1366594360086768</v>
          </cell>
          <cell r="AW36">
            <v>-0.10562730627306272</v>
          </cell>
          <cell r="AX36">
            <v>-7.0038910505836549E-2</v>
          </cell>
          <cell r="AY36">
            <v>-7.492654260528897E-2</v>
          </cell>
          <cell r="AZ36">
            <v>-2.9648241206030157E-2</v>
          </cell>
          <cell r="BA36">
            <v>-5.8793192367199598E-2</v>
          </cell>
          <cell r="BB36">
            <v>-0.15794979079497906</v>
          </cell>
          <cell r="BC36">
            <v>-0.1678136580201165</v>
          </cell>
          <cell r="BD36">
            <v>-0.18539616778871049</v>
          </cell>
          <cell r="BE36">
            <v>-0.13095890410958899</v>
          </cell>
          <cell r="BF36">
            <v>-2.1118012422360222E-2</v>
          </cell>
          <cell r="BG36">
            <v>-1.1450381679389277E-2</v>
          </cell>
          <cell r="BH36">
            <v>-2.0692290229637922E-2</v>
          </cell>
          <cell r="BI36">
            <v>-3.560881651021075E-2</v>
          </cell>
          <cell r="BJ36">
            <v>-3.7481231415335214E-2</v>
          </cell>
        </row>
        <row r="37">
          <cell r="A37" t="str">
            <v>% revenues</v>
          </cell>
          <cell r="E37">
            <v>0.86816065192083813</v>
          </cell>
          <cell r="F37">
            <v>0.85001899696048633</v>
          </cell>
          <cell r="G37">
            <v>1.0323455549974887</v>
          </cell>
          <cell r="H37">
            <v>0.86816065192083813</v>
          </cell>
          <cell r="I37">
            <v>0.85001899696048633</v>
          </cell>
          <cell r="J37">
            <v>1.0323455549974887</v>
          </cell>
          <cell r="K37">
            <v>1.0003354579000336</v>
          </cell>
          <cell r="L37">
            <v>0.98475952529668953</v>
          </cell>
          <cell r="M37">
            <v>0.99017333151357989</v>
          </cell>
          <cell r="N37">
            <v>0.92288557213930345</v>
          </cell>
          <cell r="O37">
            <v>0.94267276250266019</v>
          </cell>
          <cell r="P37">
            <v>0.96054898155290092</v>
          </cell>
          <cell r="Q37">
            <v>0.98059714524402108</v>
          </cell>
          <cell r="R37">
            <v>0.9761378465043139</v>
          </cell>
          <cell r="S37">
            <v>0.97271195357828144</v>
          </cell>
          <cell r="T37">
            <v>0.96881065043265746</v>
          </cell>
          <cell r="U37">
            <v>0.9645174606370096</v>
          </cell>
          <cell r="AD37">
            <v>0.99026100506427739</v>
          </cell>
          <cell r="AE37">
            <v>1.018337885290675</v>
          </cell>
          <cell r="AF37">
            <v>1.04750499001996</v>
          </cell>
          <cell r="AG37">
            <v>1.0964489259096888</v>
          </cell>
          <cell r="AH37">
            <v>1.0320239111870197</v>
          </cell>
          <cell r="AI37">
            <v>1.0131868131868131</v>
          </cell>
          <cell r="AJ37">
            <v>0.97176154190945763</v>
          </cell>
          <cell r="AK37">
            <v>0.9813842482100239</v>
          </cell>
          <cell r="AL37">
            <v>0.99804496578690127</v>
          </cell>
          <cell r="AM37">
            <v>0.99026100506427739</v>
          </cell>
          <cell r="AN37">
            <v>1.018337885290675</v>
          </cell>
          <cell r="AO37">
            <v>1.04750499001996</v>
          </cell>
          <cell r="AP37">
            <v>1.0964489259096888</v>
          </cell>
          <cell r="AQ37">
            <v>1.0320239111870197</v>
          </cell>
          <cell r="AR37">
            <v>1.0131868131868131</v>
          </cell>
          <cell r="AS37">
            <v>0.97176154190945763</v>
          </cell>
          <cell r="AT37">
            <v>0.9813842482100239</v>
          </cell>
          <cell r="AU37">
            <v>0.99804496578690127</v>
          </cell>
          <cell r="AV37">
            <v>0.99251870324189528</v>
          </cell>
          <cell r="AW37">
            <v>0.98077895801719772</v>
          </cell>
          <cell r="AX37">
            <v>0.96712190187152247</v>
          </cell>
          <cell r="AY37">
            <v>0.98797071129707115</v>
          </cell>
          <cell r="AZ37">
            <v>1.0309663641217299</v>
          </cell>
          <cell r="BA37">
            <v>1.0094026548672566</v>
          </cell>
          <cell r="BB37">
            <v>0.92848904267589394</v>
          </cell>
          <cell r="BC37">
            <v>0.91661807580174925</v>
          </cell>
          <cell r="BD37">
            <v>0.91347270615563303</v>
          </cell>
          <cell r="BE37">
            <v>0.91412103746397699</v>
          </cell>
          <cell r="BF37">
            <v>0.94825511432009624</v>
          </cell>
          <cell r="BG37">
            <v>0.93109646494907128</v>
          </cell>
          <cell r="BH37">
            <v>0.94291006259871935</v>
          </cell>
          <cell r="BI37">
            <v>0.94656109972294</v>
          </cell>
          <cell r="BJ37">
            <v>0.95060007726063556</v>
          </cell>
        </row>
        <row r="39">
          <cell r="A39" t="str">
            <v>Operating income (loss)</v>
          </cell>
          <cell r="E39">
            <v>1359</v>
          </cell>
          <cell r="F39">
            <v>1579</v>
          </cell>
          <cell r="G39">
            <v>-322</v>
          </cell>
          <cell r="H39">
            <v>1359</v>
          </cell>
          <cell r="I39">
            <v>1579</v>
          </cell>
          <cell r="J39">
            <v>-322</v>
          </cell>
          <cell r="K39">
            <v>-3</v>
          </cell>
          <cell r="L39">
            <v>122</v>
          </cell>
          <cell r="M39">
            <v>72</v>
          </cell>
          <cell r="N39">
            <v>527</v>
          </cell>
          <cell r="O39">
            <v>373.44997622698338</v>
          </cell>
          <cell r="P39">
            <v>239.67581695496665</v>
          </cell>
          <cell r="Q39">
            <v>112.8301223890976</v>
          </cell>
          <cell r="R39">
            <v>133.99969739937114</v>
          </cell>
          <cell r="S39">
            <v>148.62203826737823</v>
          </cell>
          <cell r="T39">
            <v>165.0123035454817</v>
          </cell>
          <cell r="U39">
            <v>182.32911014064121</v>
          </cell>
          <cell r="AD39">
            <v>25</v>
          </cell>
          <cell r="AE39">
            <v>-47</v>
          </cell>
          <cell r="AF39">
            <v>-119</v>
          </cell>
          <cell r="AG39">
            <v>-220</v>
          </cell>
          <cell r="AH39">
            <v>-75</v>
          </cell>
          <cell r="AI39">
            <v>-30</v>
          </cell>
          <cell r="AJ39">
            <v>63</v>
          </cell>
          <cell r="AK39">
            <v>39</v>
          </cell>
          <cell r="AL39">
            <v>4</v>
          </cell>
          <cell r="AM39">
            <v>25</v>
          </cell>
          <cell r="AN39">
            <v>-47</v>
          </cell>
          <cell r="AO39">
            <v>-119</v>
          </cell>
          <cell r="AP39">
            <v>-220</v>
          </cell>
          <cell r="AQ39">
            <v>-75</v>
          </cell>
          <cell r="AR39">
            <v>-30</v>
          </cell>
          <cell r="AS39">
            <v>63</v>
          </cell>
          <cell r="AT39">
            <v>39</v>
          </cell>
          <cell r="AU39">
            <v>4</v>
          </cell>
          <cell r="AV39">
            <v>15</v>
          </cell>
          <cell r="AW39">
            <v>38</v>
          </cell>
          <cell r="AX39">
            <v>65</v>
          </cell>
          <cell r="AY39">
            <v>23</v>
          </cell>
          <cell r="AZ39">
            <v>-58</v>
          </cell>
          <cell r="BA39">
            <v>-17</v>
          </cell>
          <cell r="BB39">
            <v>124</v>
          </cell>
          <cell r="BC39">
            <v>143</v>
          </cell>
          <cell r="BD39">
            <v>149</v>
          </cell>
          <cell r="BE39">
            <v>149</v>
          </cell>
          <cell r="BF39">
            <v>86</v>
          </cell>
          <cell r="BG39">
            <v>115</v>
          </cell>
          <cell r="BH39">
            <v>93.268972531220243</v>
          </cell>
          <cell r="BI39">
            <v>86.350582985194251</v>
          </cell>
          <cell r="BJ39">
            <v>78.830420710568205</v>
          </cell>
          <cell r="BM39">
            <v>0</v>
          </cell>
          <cell r="BN39">
            <v>0</v>
          </cell>
          <cell r="BO39">
            <v>0</v>
          </cell>
        </row>
        <row r="40">
          <cell r="A40" t="str">
            <v>% growth</v>
          </cell>
          <cell r="F40">
            <v>0.16188373804267853</v>
          </cell>
          <cell r="G40">
            <v>-1.2039265357821405</v>
          </cell>
          <cell r="H40">
            <v>-0.99068322981366463</v>
          </cell>
          <cell r="I40">
            <v>0.16188373804267853</v>
          </cell>
          <cell r="J40">
            <v>-1.2039265357821405</v>
          </cell>
          <cell r="K40">
            <v>-0.99068322981366463</v>
          </cell>
          <cell r="L40">
            <v>-41.666666666666664</v>
          </cell>
          <cell r="M40">
            <v>-0.4098360655737705</v>
          </cell>
          <cell r="N40">
            <v>6.3194444444444446</v>
          </cell>
          <cell r="O40">
            <v>-0.29136626901900686</v>
          </cell>
          <cell r="P40">
            <v>-0.35821172255399647</v>
          </cell>
          <cell r="Q40">
            <v>-0.52923860311573456</v>
          </cell>
          <cell r="R40">
            <v>0.18762343390242653</v>
          </cell>
          <cell r="S40">
            <v>0.10912219319739824</v>
          </cell>
          <cell r="T40">
            <v>0.11028152667787117</v>
          </cell>
          <cell r="U40">
            <v>0.10494251775829877</v>
          </cell>
          <cell r="AH40">
            <v>-4</v>
          </cell>
          <cell r="AI40">
            <v>-0.36170212765957444</v>
          </cell>
          <cell r="AJ40">
            <v>-1.5294117647058822</v>
          </cell>
          <cell r="AK40">
            <v>-1.1772727272727272</v>
          </cell>
          <cell r="AL40">
            <v>-1.0533333333333332</v>
          </cell>
          <cell r="AM40">
            <v>-1.5</v>
          </cell>
          <cell r="AN40">
            <v>-0.39682539682539686</v>
          </cell>
          <cell r="AO40">
            <v>0.66666666666666674</v>
          </cell>
          <cell r="AP40">
            <v>4.75</v>
          </cell>
          <cell r="AQ40">
            <v>-4</v>
          </cell>
          <cell r="AR40">
            <v>-0.36170212765957444</v>
          </cell>
          <cell r="AS40">
            <v>-1.5294117647058822</v>
          </cell>
          <cell r="AT40">
            <v>-1.1772727272727272</v>
          </cell>
          <cell r="AU40">
            <v>-1.0533333333333332</v>
          </cell>
          <cell r="AV40">
            <v>-1.5</v>
          </cell>
          <cell r="AW40">
            <v>-0.39682539682539686</v>
          </cell>
          <cell r="AX40">
            <v>0.66666666666666674</v>
          </cell>
          <cell r="AY40">
            <v>4.75</v>
          </cell>
          <cell r="AZ40">
            <v>-4.8666666666666671</v>
          </cell>
          <cell r="BA40">
            <v>-1.4473684210526316</v>
          </cell>
          <cell r="BB40">
            <v>0.9076923076923078</v>
          </cell>
          <cell r="BC40">
            <v>5.2173913043478262</v>
          </cell>
          <cell r="BD40">
            <v>-3.5689655172413794</v>
          </cell>
          <cell r="BE40">
            <v>-9.764705882352942</v>
          </cell>
          <cell r="BF40">
            <v>-0.30645161290322576</v>
          </cell>
          <cell r="BG40">
            <v>-0.19580419580419584</v>
          </cell>
          <cell r="BH40">
            <v>-0.37403374140120638</v>
          </cell>
          <cell r="BI40">
            <v>-0.42046588600540769</v>
          </cell>
          <cell r="BJ40">
            <v>-8.3367201039904582E-2</v>
          </cell>
        </row>
        <row r="41">
          <cell r="A41" t="str">
            <v>% revenues</v>
          </cell>
          <cell r="E41">
            <v>0.13183934807916181</v>
          </cell>
          <cell r="F41">
            <v>0.14998100303951367</v>
          </cell>
          <cell r="G41">
            <v>-3.2345554997488701E-2</v>
          </cell>
          <cell r="H41">
            <v>0.13183934807916181</v>
          </cell>
          <cell r="I41">
            <v>0.14998100303951367</v>
          </cell>
          <cell r="J41">
            <v>-3.2345554997488701E-2</v>
          </cell>
          <cell r="K41">
            <v>-3.3545790003354579E-4</v>
          </cell>
          <cell r="L41">
            <v>1.5240474703310431E-2</v>
          </cell>
          <cell r="M41">
            <v>9.8266684864200902E-3</v>
          </cell>
          <cell r="N41">
            <v>7.7114427860696513E-2</v>
          </cell>
          <cell r="O41">
            <v>5.7327237497339853E-2</v>
          </cell>
          <cell r="P41">
            <v>3.9451018447099098E-2</v>
          </cell>
          <cell r="Q41">
            <v>1.9402854755978909E-2</v>
          </cell>
          <cell r="R41">
            <v>2.386215349568608E-2</v>
          </cell>
          <cell r="S41">
            <v>2.7288046421718549E-2</v>
          </cell>
          <cell r="T41">
            <v>3.1189349567342536E-2</v>
          </cell>
          <cell r="U41">
            <v>3.5482539362990451E-2</v>
          </cell>
          <cell r="AD41">
            <v>9.7389949357226339E-3</v>
          </cell>
          <cell r="AE41">
            <v>-1.8337885290674989E-2</v>
          </cell>
          <cell r="AF41">
            <v>-4.7504990019960079E-2</v>
          </cell>
          <cell r="AG41">
            <v>-9.6448925909688732E-2</v>
          </cell>
          <cell r="AH41">
            <v>-3.2023911187019638E-2</v>
          </cell>
          <cell r="AI41">
            <v>-1.3186813186813187E-2</v>
          </cell>
          <cell r="AJ41">
            <v>2.8238458090542359E-2</v>
          </cell>
          <cell r="AK41">
            <v>1.8615751789976133E-2</v>
          </cell>
          <cell r="AL41">
            <v>1.9550342130987292E-3</v>
          </cell>
          <cell r="AM41">
            <v>9.7389949357226339E-3</v>
          </cell>
          <cell r="AN41">
            <v>-1.8337885290674989E-2</v>
          </cell>
          <cell r="AO41">
            <v>-4.7504990019960079E-2</v>
          </cell>
          <cell r="AP41">
            <v>-9.6448925909688732E-2</v>
          </cell>
          <cell r="AQ41">
            <v>-3.2023911187019638E-2</v>
          </cell>
          <cell r="AR41">
            <v>-1.3186813186813187E-2</v>
          </cell>
          <cell r="AS41">
            <v>2.8238458090542359E-2</v>
          </cell>
          <cell r="AT41">
            <v>1.8615751789976133E-2</v>
          </cell>
          <cell r="AU41">
            <v>1.9550342130987292E-3</v>
          </cell>
          <cell r="AV41">
            <v>7.481296758104738E-3</v>
          </cell>
          <cell r="AW41">
            <v>1.9221041982802226E-2</v>
          </cell>
          <cell r="AX41">
            <v>3.2878098128477494E-2</v>
          </cell>
          <cell r="AY41">
            <v>1.202928870292887E-2</v>
          </cell>
          <cell r="AZ41">
            <v>-3.0966364121729845E-2</v>
          </cell>
          <cell r="BA41">
            <v>-9.4026548672566379E-3</v>
          </cell>
          <cell r="BB41">
            <v>7.1510957324106117E-2</v>
          </cell>
          <cell r="BC41">
            <v>8.3381924198250731E-2</v>
          </cell>
          <cell r="BD41">
            <v>8.6527293844367012E-2</v>
          </cell>
          <cell r="BE41">
            <v>8.5878962536023049E-2</v>
          </cell>
          <cell r="BF41">
            <v>5.1744885679903728E-2</v>
          </cell>
          <cell r="BG41">
            <v>6.8903535050928694E-2</v>
          </cell>
          <cell r="BH41">
            <v>5.7089937401280669E-2</v>
          </cell>
          <cell r="BI41">
            <v>5.3438900277059956E-2</v>
          </cell>
          <cell r="BJ41">
            <v>4.9399922739364444E-2</v>
          </cell>
        </row>
        <row r="43">
          <cell r="A43" t="str">
            <v>EBITDA</v>
          </cell>
          <cell r="E43">
            <v>2404</v>
          </cell>
          <cell r="F43">
            <v>2700</v>
          </cell>
          <cell r="G43">
            <v>996</v>
          </cell>
          <cell r="H43">
            <v>2404</v>
          </cell>
          <cell r="I43">
            <v>2700</v>
          </cell>
          <cell r="J43">
            <v>996</v>
          </cell>
          <cell r="K43">
            <v>1476</v>
          </cell>
          <cell r="L43">
            <v>1554</v>
          </cell>
          <cell r="M43">
            <v>1143</v>
          </cell>
          <cell r="N43">
            <v>1016</v>
          </cell>
          <cell r="O43">
            <v>857.99099999999976</v>
          </cell>
          <cell r="P43">
            <v>668.28033604250163</v>
          </cell>
          <cell r="Q43">
            <v>494.28604830008345</v>
          </cell>
          <cell r="R43">
            <v>477.32382079453436</v>
          </cell>
          <cell r="S43">
            <v>462.94531523050517</v>
          </cell>
          <cell r="T43">
            <v>449.70626178277877</v>
          </cell>
          <cell r="U43">
            <v>436.77748662260211</v>
          </cell>
          <cell r="AD43">
            <v>327</v>
          </cell>
          <cell r="AE43">
            <v>287</v>
          </cell>
          <cell r="AF43">
            <v>237</v>
          </cell>
          <cell r="AG43">
            <v>106</v>
          </cell>
          <cell r="AH43">
            <v>282</v>
          </cell>
          <cell r="AI43">
            <v>334</v>
          </cell>
          <cell r="AJ43">
            <v>441</v>
          </cell>
          <cell r="AK43">
            <v>419</v>
          </cell>
          <cell r="AL43">
            <v>365</v>
          </cell>
          <cell r="AM43">
            <v>327</v>
          </cell>
          <cell r="AN43">
            <v>287</v>
          </cell>
          <cell r="AO43">
            <v>237</v>
          </cell>
          <cell r="AP43">
            <v>106</v>
          </cell>
          <cell r="AQ43">
            <v>282</v>
          </cell>
          <cell r="AR43">
            <v>334</v>
          </cell>
          <cell r="AS43">
            <v>441</v>
          </cell>
          <cell r="AT43">
            <v>419</v>
          </cell>
          <cell r="AU43">
            <v>365</v>
          </cell>
          <cell r="AV43">
            <v>378</v>
          </cell>
          <cell r="AW43">
            <v>390</v>
          </cell>
          <cell r="AX43">
            <v>421</v>
          </cell>
          <cell r="AY43">
            <v>343</v>
          </cell>
          <cell r="AZ43">
            <v>263</v>
          </cell>
          <cell r="BA43">
            <v>302</v>
          </cell>
          <cell r="BB43">
            <v>235</v>
          </cell>
          <cell r="BC43">
            <v>260</v>
          </cell>
          <cell r="BD43">
            <v>263</v>
          </cell>
          <cell r="BE43">
            <v>271</v>
          </cell>
          <cell r="BF43">
            <v>222</v>
          </cell>
          <cell r="BG43">
            <v>236</v>
          </cell>
          <cell r="BH43">
            <v>217.28476000000006</v>
          </cell>
          <cell r="BI43">
            <v>206.83199999999977</v>
          </cell>
          <cell r="BJ43">
            <v>197.87423999999987</v>
          </cell>
          <cell r="BM43">
            <v>0</v>
          </cell>
          <cell r="BN43">
            <v>0</v>
          </cell>
          <cell r="BO43">
            <v>0</v>
          </cell>
        </row>
        <row r="44">
          <cell r="A44" t="str">
            <v>% growth</v>
          </cell>
          <cell r="F44">
            <v>0.12312811980033267</v>
          </cell>
          <cell r="G44">
            <v>-0.63111111111111118</v>
          </cell>
          <cell r="H44">
            <v>0.48192771084337349</v>
          </cell>
          <cell r="I44">
            <v>0.12312811980033267</v>
          </cell>
          <cell r="J44">
            <v>-0.63111111111111118</v>
          </cell>
          <cell r="K44">
            <v>0.48192771084337349</v>
          </cell>
          <cell r="L44">
            <v>5.2845528455284452E-2</v>
          </cell>
          <cell r="M44">
            <v>-0.26447876447876451</v>
          </cell>
          <cell r="N44">
            <v>-0.11111111111111116</v>
          </cell>
          <cell r="O44">
            <v>-0.15552066929133879</v>
          </cell>
          <cell r="P44">
            <v>-0.22111031928947755</v>
          </cell>
          <cell r="Q44">
            <v>-0.26036122620754831</v>
          </cell>
          <cell r="R44">
            <v>-3.4316622052927626E-2</v>
          </cell>
          <cell r="S44">
            <v>-3.0123167832050157E-2</v>
          </cell>
          <cell r="T44">
            <v>-2.8597445556036272E-2</v>
          </cell>
          <cell r="U44">
            <v>-2.8749377669154197E-2</v>
          </cell>
          <cell r="AH44">
            <v>-0.13761467889908252</v>
          </cell>
          <cell r="AI44">
            <v>0.16376306620209058</v>
          </cell>
          <cell r="AJ44">
            <v>0.860759493670886</v>
          </cell>
          <cell r="AK44">
            <v>2.9528301886792452</v>
          </cell>
          <cell r="AL44">
            <v>0.29432624113475181</v>
          </cell>
          <cell r="AM44">
            <v>0.13173652694610771</v>
          </cell>
          <cell r="AN44">
            <v>-0.11564625850340138</v>
          </cell>
          <cell r="AO44">
            <v>4.7732696897375693E-3</v>
          </cell>
          <cell r="AP44">
            <v>-6.02739726027397E-2</v>
          </cell>
          <cell r="AQ44">
            <v>-0.13761467889908252</v>
          </cell>
          <cell r="AR44">
            <v>0.16376306620209058</v>
          </cell>
          <cell r="AS44">
            <v>0.860759493670886</v>
          </cell>
          <cell r="AT44">
            <v>2.9528301886792452</v>
          </cell>
          <cell r="AU44">
            <v>0.29432624113475181</v>
          </cell>
          <cell r="AV44">
            <v>0.13173652694610771</v>
          </cell>
          <cell r="AW44">
            <v>-0.11564625850340138</v>
          </cell>
          <cell r="AX44">
            <v>4.7732696897375693E-3</v>
          </cell>
          <cell r="AY44">
            <v>-6.02739726027397E-2</v>
          </cell>
          <cell r="AZ44">
            <v>-0.30423280423280419</v>
          </cell>
          <cell r="BA44">
            <v>-0.22564102564102562</v>
          </cell>
          <cell r="BB44">
            <v>-0.44180522565320668</v>
          </cell>
          <cell r="BC44">
            <v>-0.24198250728862969</v>
          </cell>
          <cell r="BD44">
            <v>0</v>
          </cell>
          <cell r="BE44">
            <v>-0.10264900662251653</v>
          </cell>
          <cell r="BF44">
            <v>-5.5319148936170182E-2</v>
          </cell>
          <cell r="BG44">
            <v>-9.2307692307692313E-2</v>
          </cell>
          <cell r="BH44">
            <v>-0.1738222053231937</v>
          </cell>
          <cell r="BI44">
            <v>-0.23678228782287913</v>
          </cell>
          <cell r="BJ44">
            <v>-0.10867459459459516</v>
          </cell>
        </row>
        <row r="45">
          <cell r="A45" t="str">
            <v>% revenues</v>
          </cell>
          <cell r="E45">
            <v>0.23321691889794335</v>
          </cell>
          <cell r="F45">
            <v>0.25645896656534956</v>
          </cell>
          <cell r="G45">
            <v>0.10005022601707685</v>
          </cell>
          <cell r="H45">
            <v>0.23321691889794335</v>
          </cell>
          <cell r="I45">
            <v>0.25645896656534956</v>
          </cell>
          <cell r="J45">
            <v>0.10005022601707685</v>
          </cell>
          <cell r="K45">
            <v>0.16504528681650452</v>
          </cell>
          <cell r="L45">
            <v>0.19412866958151156</v>
          </cell>
          <cell r="M45">
            <v>0.15599836222191893</v>
          </cell>
          <cell r="N45">
            <v>0.14866842259291776</v>
          </cell>
          <cell r="O45">
            <v>0.1317077438978993</v>
          </cell>
          <cell r="P45">
            <v>0.10999999999999993</v>
          </cell>
          <cell r="Q45">
            <v>8.4999999999999992E-2</v>
          </cell>
          <cell r="R45">
            <v>8.4999999999999909E-2</v>
          </cell>
          <cell r="S45">
            <v>8.500000000000002E-2</v>
          </cell>
          <cell r="T45">
            <v>8.4999999999999978E-2</v>
          </cell>
          <cell r="U45">
            <v>8.5000000000000062E-2</v>
          </cell>
          <cell r="AD45">
            <v>0.12738605375925205</v>
          </cell>
          <cell r="AE45">
            <v>0.11197815060476005</v>
          </cell>
          <cell r="AF45">
            <v>9.4610778443113774E-2</v>
          </cell>
          <cell r="AG45">
            <v>4.6470846120122755E-2</v>
          </cell>
          <cell r="AH45">
            <v>0.12040990606319385</v>
          </cell>
          <cell r="AI45">
            <v>0.14681318681318681</v>
          </cell>
          <cell r="AJ45">
            <v>0.1976692066337965</v>
          </cell>
          <cell r="AK45">
            <v>0.2</v>
          </cell>
          <cell r="AL45">
            <v>0.17839687194525905</v>
          </cell>
          <cell r="AM45">
            <v>0.12738605375925205</v>
          </cell>
          <cell r="AN45">
            <v>0.11197815060476005</v>
          </cell>
          <cell r="AO45">
            <v>9.4610778443113774E-2</v>
          </cell>
          <cell r="AP45">
            <v>4.6470846120122755E-2</v>
          </cell>
          <cell r="AQ45">
            <v>0.12040990606319385</v>
          </cell>
          <cell r="AR45">
            <v>0.14681318681318681</v>
          </cell>
          <cell r="AS45">
            <v>0.1976692066337965</v>
          </cell>
          <cell r="AT45">
            <v>0.2</v>
          </cell>
          <cell r="AU45">
            <v>0.17839687194525905</v>
          </cell>
          <cell r="AV45">
            <v>0.18852867830423939</v>
          </cell>
          <cell r="AW45">
            <v>0.19726858877086495</v>
          </cell>
          <cell r="AX45">
            <v>0.21294891249367728</v>
          </cell>
          <cell r="AY45">
            <v>0.17939330543933055</v>
          </cell>
          <cell r="AZ45">
            <v>0.1404164442071543</v>
          </cell>
          <cell r="BA45">
            <v>0.16703539823008851</v>
          </cell>
          <cell r="BB45">
            <v>0.13552479815455595</v>
          </cell>
          <cell r="BC45">
            <v>0.15160349854227406</v>
          </cell>
          <cell r="BD45">
            <v>0.1527293844367015</v>
          </cell>
          <cell r="BE45">
            <v>0.15619596541786743</v>
          </cell>
          <cell r="BF45">
            <v>0.13357400722021662</v>
          </cell>
          <cell r="BG45">
            <v>0.14140203714799282</v>
          </cell>
          <cell r="BH45">
            <v>0.13300000000000006</v>
          </cell>
          <cell r="BI45">
            <v>0.12799999999999986</v>
          </cell>
          <cell r="BJ45">
            <v>0.12399999999999992</v>
          </cell>
        </row>
        <row r="47">
          <cell r="A47" t="str">
            <v>CAPEX and D&amp;A</v>
          </cell>
        </row>
        <row r="49">
          <cell r="A49" t="str">
            <v>Total GMG capex</v>
          </cell>
          <cell r="D49">
            <v>1518</v>
          </cell>
          <cell r="E49">
            <v>1774</v>
          </cell>
          <cell r="F49">
            <v>2294</v>
          </cell>
          <cell r="G49">
            <v>1518</v>
          </cell>
          <cell r="H49">
            <v>1774</v>
          </cell>
          <cell r="I49">
            <v>2294</v>
          </cell>
          <cell r="J49">
            <v>730</v>
          </cell>
          <cell r="K49">
            <v>384</v>
          </cell>
          <cell r="L49">
            <v>329</v>
          </cell>
          <cell r="M49">
            <v>282</v>
          </cell>
          <cell r="N49">
            <v>384</v>
          </cell>
          <cell r="O49">
            <v>349.84574999999995</v>
          </cell>
          <cell r="P49">
            <v>326.2655186096232</v>
          </cell>
          <cell r="Q49">
            <v>312.29469520787984</v>
          </cell>
          <cell r="R49">
            <v>301.57779618329715</v>
          </cell>
          <cell r="S49">
            <v>292.49331761444745</v>
          </cell>
          <cell r="T49">
            <v>284.12875588846407</v>
          </cell>
          <cell r="U49">
            <v>275.9602309787594</v>
          </cell>
          <cell r="Z49">
            <v>650</v>
          </cell>
          <cell r="AA49">
            <v>1100</v>
          </cell>
          <cell r="AB49">
            <v>939</v>
          </cell>
          <cell r="AC49">
            <v>952</v>
          </cell>
          <cell r="AD49">
            <v>204</v>
          </cell>
          <cell r="AE49">
            <v>220</v>
          </cell>
          <cell r="AF49">
            <v>128</v>
          </cell>
          <cell r="AG49">
            <v>178</v>
          </cell>
          <cell r="AH49">
            <v>204</v>
          </cell>
          <cell r="AI49">
            <v>650</v>
          </cell>
          <cell r="AJ49">
            <v>1100</v>
          </cell>
          <cell r="AK49">
            <v>939</v>
          </cell>
          <cell r="AL49">
            <v>952</v>
          </cell>
          <cell r="AM49">
            <v>204</v>
          </cell>
          <cell r="AN49">
            <v>220</v>
          </cell>
          <cell r="AO49">
            <v>128</v>
          </cell>
          <cell r="AP49">
            <v>178</v>
          </cell>
          <cell r="AQ49">
            <v>204</v>
          </cell>
          <cell r="AR49">
            <v>220</v>
          </cell>
          <cell r="AS49">
            <v>0</v>
          </cell>
          <cell r="AT49">
            <v>0</v>
          </cell>
          <cell r="AU49">
            <v>61</v>
          </cell>
          <cell r="AV49">
            <v>86</v>
          </cell>
          <cell r="AW49">
            <v>75</v>
          </cell>
          <cell r="AX49">
            <v>107</v>
          </cell>
          <cell r="AY49">
            <v>56</v>
          </cell>
          <cell r="AZ49">
            <v>64</v>
          </cell>
          <cell r="BA49">
            <v>71</v>
          </cell>
          <cell r="BB49">
            <v>91</v>
          </cell>
          <cell r="BC49">
            <v>65</v>
          </cell>
          <cell r="BD49">
            <v>70</v>
          </cell>
          <cell r="BE49">
            <v>83</v>
          </cell>
          <cell r="BF49">
            <v>166</v>
          </cell>
          <cell r="BG49">
            <v>92</v>
          </cell>
          <cell r="BH49">
            <v>65.348799999999997</v>
          </cell>
          <cell r="BI49">
            <v>80.793750000000003</v>
          </cell>
          <cell r="BJ49">
            <v>111.70320000000001</v>
          </cell>
          <cell r="BM49">
            <v>0</v>
          </cell>
          <cell r="BN49">
            <v>0</v>
          </cell>
          <cell r="BO49">
            <v>0</v>
          </cell>
        </row>
        <row r="50">
          <cell r="A50" t="str">
            <v>% growth</v>
          </cell>
          <cell r="E50">
            <v>0.16864295125164697</v>
          </cell>
          <cell r="F50">
            <v>0.29312288613303261</v>
          </cell>
          <cell r="G50">
            <v>-0.68177855274629473</v>
          </cell>
          <cell r="H50">
            <v>0.16864295125164697</v>
          </cell>
          <cell r="I50">
            <v>0.29312288613303261</v>
          </cell>
          <cell r="J50">
            <v>-0.68177855274629473</v>
          </cell>
          <cell r="K50">
            <v>0.36170212765957444</v>
          </cell>
          <cell r="L50">
            <v>1.1380208333333335</v>
          </cell>
          <cell r="M50">
            <v>-0.1428571428571429</v>
          </cell>
          <cell r="N50">
            <v>0.36170212765957444</v>
          </cell>
          <cell r="O50">
            <v>-8.8943359375000086E-2</v>
          </cell>
          <cell r="P50">
            <v>-6.7401794620562838E-2</v>
          </cell>
          <cell r="Q50">
            <v>-4.2820410386239627E-2</v>
          </cell>
          <cell r="R50">
            <v>-3.4316622052926515E-2</v>
          </cell>
          <cell r="S50">
            <v>-3.0123167832051601E-2</v>
          </cell>
          <cell r="T50">
            <v>-2.8597445556035606E-2</v>
          </cell>
          <cell r="U50">
            <v>-2.8749377669155196E-2</v>
          </cell>
          <cell r="AD50">
            <v>-0.68615384615384611</v>
          </cell>
          <cell r="AE50">
            <v>-0.8</v>
          </cell>
          <cell r="AF50">
            <v>-0.86368477103301378</v>
          </cell>
          <cell r="AG50">
            <v>-0.81302521008403361</v>
          </cell>
          <cell r="AH50">
            <v>0</v>
          </cell>
          <cell r="AI50">
            <v>0</v>
          </cell>
          <cell r="AJ50">
            <v>-1</v>
          </cell>
          <cell r="AK50">
            <v>-1</v>
          </cell>
          <cell r="AL50">
            <v>-0.7009803921568627</v>
          </cell>
          <cell r="AM50">
            <v>-0.68615384615384611</v>
          </cell>
          <cell r="AN50">
            <v>-0.8</v>
          </cell>
          <cell r="AO50">
            <v>-0.86368477103301378</v>
          </cell>
          <cell r="AP50">
            <v>-0.81302521008403361</v>
          </cell>
          <cell r="AQ50">
            <v>0</v>
          </cell>
          <cell r="AR50">
            <v>0</v>
          </cell>
          <cell r="AS50">
            <v>-1</v>
          </cell>
          <cell r="AT50">
            <v>-1</v>
          </cell>
          <cell r="AU50">
            <v>-0.7009803921568627</v>
          </cell>
          <cell r="AV50">
            <v>-0.60909090909090913</v>
          </cell>
          <cell r="AW50">
            <v>0.82417582417582413</v>
          </cell>
          <cell r="AX50">
            <v>0.41538461538461546</v>
          </cell>
          <cell r="AY50">
            <v>-8.1967213114754078E-2</v>
          </cell>
          <cell r="AZ50">
            <v>-0.2558139534883721</v>
          </cell>
          <cell r="BA50">
            <v>-5.3333333333333344E-2</v>
          </cell>
          <cell r="BB50">
            <v>-0.14953271028037385</v>
          </cell>
          <cell r="BC50">
            <v>0.16071428571428581</v>
          </cell>
          <cell r="BD50">
            <v>9.375E-2</v>
          </cell>
          <cell r="BE50">
            <v>0.16901408450704225</v>
          </cell>
          <cell r="BF50">
            <v>0.82417582417582413</v>
          </cell>
          <cell r="BG50">
            <v>0.41538461538461546</v>
          </cell>
          <cell r="BH50">
            <v>-6.644571428571433E-2</v>
          </cell>
          <cell r="BI50">
            <v>-2.6581325301204828E-2</v>
          </cell>
          <cell r="BJ50">
            <v>-0.32708915662650595</v>
          </cell>
        </row>
        <row r="51">
          <cell r="A51" t="str">
            <v>% segment revenues</v>
          </cell>
          <cell r="G51">
            <v>7.3329984932194878E-2</v>
          </cell>
          <cell r="I51">
            <v>4.109931292941911E-2</v>
          </cell>
          <cell r="J51">
            <v>7.3329984932194878E-2</v>
          </cell>
          <cell r="K51">
            <v>5.6189640035118525E-2</v>
          </cell>
          <cell r="L51">
            <v>4.109931292941911E-2</v>
          </cell>
          <cell r="M51">
            <v>3.8487784905145352E-2</v>
          </cell>
          <cell r="N51">
            <v>5.6189640035118525E-2</v>
          </cell>
          <cell r="O51">
            <v>5.3703820255420517E-2</v>
          </cell>
          <cell r="P51">
            <v>5.3703820255420517E-2</v>
          </cell>
          <cell r="Q51">
            <v>5.3703820255420517E-2</v>
          </cell>
          <cell r="R51">
            <v>5.3703820255420517E-2</v>
          </cell>
          <cell r="S51">
            <v>5.3703820255420517E-2</v>
          </cell>
          <cell r="T51">
            <v>5.3703820255420517E-2</v>
          </cell>
          <cell r="U51">
            <v>5.3703820255420517E-2</v>
          </cell>
          <cell r="AD51">
            <v>7.9470198675496692E-2</v>
          </cell>
          <cell r="AE51">
            <v>8.5836909871244635E-2</v>
          </cell>
          <cell r="AF51">
            <v>5.1097804391217562E-2</v>
          </cell>
          <cell r="AG51">
            <v>7.8035949145111791E-2</v>
          </cell>
          <cell r="AH51">
            <v>8.7105038428693424E-2</v>
          </cell>
          <cell r="AI51">
            <v>9.6703296703296707E-2</v>
          </cell>
          <cell r="AJ51">
            <v>0</v>
          </cell>
          <cell r="AK51">
            <v>0</v>
          </cell>
          <cell r="AL51">
            <v>2.9814271749755622E-2</v>
          </cell>
          <cell r="AM51">
            <v>7.9470198675496692E-2</v>
          </cell>
          <cell r="AN51">
            <v>8.5836909871244635E-2</v>
          </cell>
          <cell r="AO51">
            <v>5.1097804391217562E-2</v>
          </cell>
          <cell r="AP51">
            <v>7.8035949145111791E-2</v>
          </cell>
          <cell r="AQ51">
            <v>8.7105038428693424E-2</v>
          </cell>
          <cell r="AR51">
            <v>9.6703296703296707E-2</v>
          </cell>
          <cell r="AS51">
            <v>0</v>
          </cell>
          <cell r="AT51">
            <v>0</v>
          </cell>
          <cell r="AU51">
            <v>2.9814271749755622E-2</v>
          </cell>
          <cell r="AV51">
            <v>4.2892768079800497E-2</v>
          </cell>
          <cell r="AW51">
            <v>3.7936267071320182E-2</v>
          </cell>
          <cell r="AX51">
            <v>5.4122407688416793E-2</v>
          </cell>
          <cell r="AY51">
            <v>2.9288702928870293E-2</v>
          </cell>
          <cell r="AZ51">
            <v>3.4169781099839827E-2</v>
          </cell>
          <cell r="BA51">
            <v>3.9269911504424777E-2</v>
          </cell>
          <cell r="BB51">
            <v>5.2479815455593999E-2</v>
          </cell>
          <cell r="BC51">
            <v>3.7900874635568516E-2</v>
          </cell>
          <cell r="BD51">
            <v>4.065040650406504E-2</v>
          </cell>
          <cell r="BE51">
            <v>4.7838616714697406E-2</v>
          </cell>
          <cell r="BF51">
            <v>9.9879663056558363E-2</v>
          </cell>
          <cell r="BG51">
            <v>5.5122828040742963E-2</v>
          </cell>
          <cell r="BH51">
            <v>0.04</v>
          </cell>
          <cell r="BI51">
            <v>0.05</v>
          </cell>
          <cell r="BJ51">
            <v>7.0000000000000007E-2</v>
          </cell>
        </row>
        <row r="52">
          <cell r="A52" t="str">
            <v>Retired (acquired) D&amp;A</v>
          </cell>
          <cell r="G52">
            <v>1318</v>
          </cell>
          <cell r="I52">
            <v>-47.500000000000007</v>
          </cell>
          <cell r="J52">
            <v>1318</v>
          </cell>
          <cell r="K52">
            <v>-609.42857142857144</v>
          </cell>
          <cell r="L52">
            <v>-47.500000000000007</v>
          </cell>
          <cell r="M52">
            <v>-265.14285714285711</v>
          </cell>
          <cell r="N52">
            <v>-609.42857142857144</v>
          </cell>
          <cell r="O52">
            <v>-58.699842142857108</v>
          </cell>
          <cell r="P52">
            <v>-80</v>
          </cell>
          <cell r="Q52">
            <v>-70</v>
          </cell>
          <cell r="R52">
            <v>-60</v>
          </cell>
          <cell r="S52">
            <v>-50</v>
          </cell>
          <cell r="T52">
            <v>-50</v>
          </cell>
          <cell r="U52">
            <v>-50</v>
          </cell>
          <cell r="AI52">
            <v>-8.7142857142857135</v>
          </cell>
          <cell r="AJ52">
            <v>14</v>
          </cell>
          <cell r="AK52">
            <v>2</v>
          </cell>
          <cell r="AL52">
            <v>-23.357142857142858</v>
          </cell>
          <cell r="AM52">
            <v>-4.1428571428571432</v>
          </cell>
          <cell r="AN52">
            <v>-16.357142857142858</v>
          </cell>
          <cell r="AO52">
            <v>-3.6428571428571432</v>
          </cell>
          <cell r="AP52">
            <v>-40</v>
          </cell>
          <cell r="AQ52">
            <v>-3.5714285714285712</v>
          </cell>
          <cell r="AR52">
            <v>-8.7142857142857135</v>
          </cell>
          <cell r="AS52">
            <v>14</v>
          </cell>
          <cell r="AT52">
            <v>2</v>
          </cell>
          <cell r="AU52">
            <v>-23.357142857142858</v>
          </cell>
          <cell r="AV52">
            <v>-4.1428571428571432</v>
          </cell>
          <cell r="AW52">
            <v>-16.357142857142858</v>
          </cell>
          <cell r="AX52">
            <v>-3.6428571428571432</v>
          </cell>
          <cell r="AY52">
            <v>-40</v>
          </cell>
          <cell r="AZ52">
            <v>-3.5714285714285712</v>
          </cell>
          <cell r="BA52">
            <v>-7.0714285714285712</v>
          </cell>
          <cell r="BB52">
            <v>-214.5</v>
          </cell>
          <cell r="BC52">
            <v>1.3571428571428568</v>
          </cell>
          <cell r="BD52">
            <v>-8</v>
          </cell>
          <cell r="BE52">
            <v>2.0714285714285712</v>
          </cell>
          <cell r="BF52">
            <v>2.1428571428571423</v>
          </cell>
          <cell r="BG52">
            <v>-21.571428571428569</v>
          </cell>
          <cell r="BH52">
            <v>-10</v>
          </cell>
          <cell r="BI52">
            <v>-10</v>
          </cell>
          <cell r="BJ52">
            <v>-10</v>
          </cell>
          <cell r="BN52">
            <v>0</v>
          </cell>
        </row>
        <row r="53">
          <cell r="A53" t="str">
            <v>Assumed New D&amp;A</v>
          </cell>
          <cell r="I53">
            <v>23.5</v>
          </cell>
          <cell r="J53">
            <v>20.142857142857142</v>
          </cell>
          <cell r="K53">
            <v>27.428571428571427</v>
          </cell>
          <cell r="L53">
            <v>23.5</v>
          </cell>
          <cell r="M53">
            <v>20.142857142857142</v>
          </cell>
          <cell r="N53">
            <v>27.428571428571427</v>
          </cell>
          <cell r="O53">
            <v>24.988982142857139</v>
          </cell>
          <cell r="P53">
            <v>23.304679900687372</v>
          </cell>
          <cell r="Q53">
            <v>22.306763943419988</v>
          </cell>
          <cell r="R53">
            <v>21.541271155949797</v>
          </cell>
          <cell r="S53">
            <v>20.892379829603389</v>
          </cell>
          <cell r="T53">
            <v>20.294911134890292</v>
          </cell>
          <cell r="U53">
            <v>19.711445069911385</v>
          </cell>
          <cell r="AH53">
            <v>14.571428571428571</v>
          </cell>
          <cell r="AI53">
            <v>15.714285714285714</v>
          </cell>
          <cell r="AJ53">
            <v>0</v>
          </cell>
          <cell r="AK53">
            <v>0</v>
          </cell>
          <cell r="AL53">
            <v>4.3571428571428568</v>
          </cell>
          <cell r="AM53">
            <v>6.1428571428571432</v>
          </cell>
          <cell r="AN53">
            <v>5.3571428571428568</v>
          </cell>
          <cell r="AO53">
            <v>7.6428571428571432</v>
          </cell>
          <cell r="AP53">
            <v>4</v>
          </cell>
          <cell r="AQ53">
            <v>14.571428571428571</v>
          </cell>
          <cell r="AR53">
            <v>15.714285714285714</v>
          </cell>
          <cell r="AS53">
            <v>0</v>
          </cell>
          <cell r="AT53">
            <v>0</v>
          </cell>
          <cell r="AU53">
            <v>4.3571428571428568</v>
          </cell>
          <cell r="AV53">
            <v>6.1428571428571432</v>
          </cell>
          <cell r="AW53">
            <v>5.3571428571428568</v>
          </cell>
          <cell r="AX53">
            <v>7.6428571428571432</v>
          </cell>
          <cell r="AY53">
            <v>4</v>
          </cell>
          <cell r="AZ53">
            <v>4.5714285714285712</v>
          </cell>
          <cell r="BA53">
            <v>5.0714285714285712</v>
          </cell>
          <cell r="BB53">
            <v>6.5</v>
          </cell>
          <cell r="BC53">
            <v>4.6428571428571432</v>
          </cell>
          <cell r="BD53">
            <v>5</v>
          </cell>
          <cell r="BE53">
            <v>5.9285714285714288</v>
          </cell>
          <cell r="BF53">
            <v>11.857142857142858</v>
          </cell>
          <cell r="BG53">
            <v>6.5714285714285712</v>
          </cell>
          <cell r="BH53">
            <v>4.3565866666666668</v>
          </cell>
          <cell r="BI53">
            <v>5.3862500000000004</v>
          </cell>
          <cell r="BJ53">
            <v>7.4468800000000011</v>
          </cell>
        </row>
        <row r="54">
          <cell r="A54" t="str">
            <v>% prior period gross D&amp;A</v>
          </cell>
          <cell r="J54">
            <v>5.5819548872180436</v>
          </cell>
          <cell r="K54">
            <v>2.2984913793103452</v>
          </cell>
          <cell r="L54">
            <v>6.9971870604781994E-2</v>
          </cell>
          <cell r="M54">
            <v>5.5819548872180436</v>
          </cell>
          <cell r="N54">
            <v>2.2984913793103452</v>
          </cell>
          <cell r="O54">
            <v>9.6319478434130273E-2</v>
          </cell>
          <cell r="P54">
            <v>9.6319478434130273E-2</v>
          </cell>
          <cell r="Q54">
            <v>9.6319478434130273E-2</v>
          </cell>
          <cell r="R54">
            <v>9.6319478434130273E-2</v>
          </cell>
          <cell r="S54">
            <v>9.6319478434130273E-2</v>
          </cell>
          <cell r="T54">
            <v>9.6319478434130273E-2</v>
          </cell>
          <cell r="U54">
            <v>9.6319478434130273E-2</v>
          </cell>
          <cell r="AJ54">
            <v>-1.6065573770491806</v>
          </cell>
          <cell r="AK54">
            <v>0.14285714285714285</v>
          </cell>
          <cell r="AM54">
            <v>0.17737003058103976</v>
          </cell>
          <cell r="AN54">
            <v>3.9482758620689653</v>
          </cell>
          <cell r="AO54">
            <v>0.22270742358078605</v>
          </cell>
          <cell r="AP54">
            <v>10.980392156862743</v>
          </cell>
          <cell r="AQ54">
            <v>8.9285714285714274E-2</v>
          </cell>
          <cell r="AR54">
            <v>1.98</v>
          </cell>
          <cell r="AS54">
            <v>-1.6065573770491806</v>
          </cell>
          <cell r="AT54">
            <v>0.14285714285714285</v>
          </cell>
          <cell r="AU54">
            <v>-5.8947368421052646</v>
          </cell>
          <cell r="AV54">
            <v>0.17737003058103976</v>
          </cell>
          <cell r="AW54">
            <v>3.9482758620689653</v>
          </cell>
          <cell r="AX54">
            <v>0.22270742358078605</v>
          </cell>
          <cell r="AY54">
            <v>10.980392156862743</v>
          </cell>
          <cell r="AZ54">
            <v>8.9285714285714274E-2</v>
          </cell>
          <cell r="BA54">
            <v>1.98</v>
          </cell>
          <cell r="BB54">
            <v>30.333333333333336</v>
          </cell>
          <cell r="BC54">
            <v>-6.3270063270063253E-3</v>
          </cell>
          <cell r="BD54">
            <v>-5.8947368421052646</v>
          </cell>
          <cell r="BE54">
            <v>-0.2589285714285714</v>
          </cell>
          <cell r="BF54">
            <v>1.0344827586206895</v>
          </cell>
          <cell r="BG54">
            <v>-10.066666666666668</v>
          </cell>
          <cell r="BH54">
            <v>0.46357615894039739</v>
          </cell>
          <cell r="BI54">
            <v>1</v>
          </cell>
          <cell r="BJ54">
            <v>1</v>
          </cell>
        </row>
        <row r="56">
          <cell r="A56" t="str">
            <v>D&amp;A expense</v>
          </cell>
          <cell r="G56">
            <v>1318</v>
          </cell>
          <cell r="H56">
            <v>1479</v>
          </cell>
          <cell r="I56">
            <v>1432</v>
          </cell>
          <cell r="J56">
            <v>1318</v>
          </cell>
          <cell r="K56">
            <v>1479</v>
          </cell>
          <cell r="L56">
            <v>1432</v>
          </cell>
          <cell r="M56">
            <v>1071</v>
          </cell>
          <cell r="N56">
            <v>489</v>
          </cell>
          <cell r="O56">
            <v>455.28914000000003</v>
          </cell>
          <cell r="P56">
            <v>398.59381990068738</v>
          </cell>
          <cell r="Q56">
            <v>350.90058384410736</v>
          </cell>
          <cell r="R56">
            <v>312.44185500005716</v>
          </cell>
          <cell r="S56">
            <v>283.33423482966055</v>
          </cell>
          <cell r="T56">
            <v>253.62914596455084</v>
          </cell>
          <cell r="U56">
            <v>223.34059103446225</v>
          </cell>
          <cell r="AD56">
            <v>302</v>
          </cell>
          <cell r="AE56">
            <v>334</v>
          </cell>
          <cell r="AF56">
            <v>356</v>
          </cell>
          <cell r="AG56">
            <v>326</v>
          </cell>
          <cell r="AH56">
            <v>357</v>
          </cell>
          <cell r="AI56">
            <v>364</v>
          </cell>
          <cell r="AJ56">
            <v>378</v>
          </cell>
          <cell r="AK56">
            <v>380</v>
          </cell>
          <cell r="AL56">
            <v>361</v>
          </cell>
          <cell r="AM56">
            <v>302</v>
          </cell>
          <cell r="AN56">
            <v>334</v>
          </cell>
          <cell r="AO56">
            <v>356</v>
          </cell>
          <cell r="AP56">
            <v>326</v>
          </cell>
          <cell r="AQ56">
            <v>357</v>
          </cell>
          <cell r="AR56">
            <v>364</v>
          </cell>
          <cell r="AS56">
            <v>378</v>
          </cell>
          <cell r="AT56">
            <v>380</v>
          </cell>
          <cell r="AU56">
            <v>361</v>
          </cell>
          <cell r="AV56">
            <v>363</v>
          </cell>
          <cell r="AW56">
            <v>352</v>
          </cell>
          <cell r="AX56">
            <v>356</v>
          </cell>
          <cell r="AY56">
            <v>320</v>
          </cell>
          <cell r="AZ56">
            <v>321</v>
          </cell>
          <cell r="BA56">
            <v>319</v>
          </cell>
          <cell r="BB56">
            <v>111</v>
          </cell>
          <cell r="BC56">
            <v>117</v>
          </cell>
          <cell r="BD56">
            <v>114</v>
          </cell>
          <cell r="BE56">
            <v>122</v>
          </cell>
          <cell r="BF56">
            <v>136</v>
          </cell>
          <cell r="BG56">
            <v>121</v>
          </cell>
          <cell r="BH56">
            <v>115.35658666666667</v>
          </cell>
          <cell r="BI56">
            <v>110.74283666666668</v>
          </cell>
          <cell r="BJ56">
            <v>108.18971666666668</v>
          </cell>
          <cell r="BM56">
            <v>0</v>
          </cell>
          <cell r="BN56">
            <v>0</v>
          </cell>
          <cell r="BO56">
            <v>0</v>
          </cell>
        </row>
        <row r="57">
          <cell r="A57" t="str">
            <v>% growth</v>
          </cell>
          <cell r="H57">
            <v>0.12215477996965096</v>
          </cell>
          <cell r="I57">
            <v>-3.1778228532792441E-2</v>
          </cell>
          <cell r="J57">
            <v>-0.25209497206703912</v>
          </cell>
          <cell r="K57">
            <v>0.12215477996965096</v>
          </cell>
          <cell r="L57">
            <v>-3.1778228532792441E-2</v>
          </cell>
          <cell r="M57">
            <v>-0.25209497206703912</v>
          </cell>
          <cell r="N57">
            <v>-0.54341736694677878</v>
          </cell>
          <cell r="O57">
            <v>-6.8938364008179875E-2</v>
          </cell>
          <cell r="P57">
            <v>-0.72165236040454794</v>
          </cell>
          <cell r="Q57">
            <v>-0.67236173310540859</v>
          </cell>
          <cell r="R57">
            <v>-0.36105960122687697</v>
          </cell>
          <cell r="S57">
            <v>-0.37768286142370866</v>
          </cell>
          <cell r="T57">
            <v>-0.36369021971353088</v>
          </cell>
          <cell r="U57">
            <v>-0.36352174570993445</v>
          </cell>
          <cell r="AH57">
            <v>0.18211920529801318</v>
          </cell>
          <cell r="AI57">
            <v>8.9820359281437057E-2</v>
          </cell>
          <cell r="AJ57">
            <v>6.1797752808988804E-2</v>
          </cell>
          <cell r="AK57">
            <v>0.16564417177914104</v>
          </cell>
          <cell r="AL57">
            <v>1.1204481792717047E-2</v>
          </cell>
          <cell r="AM57">
            <v>-2.7472527472527375E-3</v>
          </cell>
          <cell r="AN57">
            <v>-6.8783068783068835E-2</v>
          </cell>
          <cell r="AO57">
            <v>-6.315789473684208E-2</v>
          </cell>
          <cell r="AP57">
            <v>-0.11357340720221609</v>
          </cell>
          <cell r="AQ57">
            <v>0.18211920529801318</v>
          </cell>
          <cell r="AR57">
            <v>8.9820359281437057E-2</v>
          </cell>
          <cell r="AS57">
            <v>6.1797752808988804E-2</v>
          </cell>
          <cell r="AT57">
            <v>0.16564417177914104</v>
          </cell>
          <cell r="AU57">
            <v>1.1204481792717047E-2</v>
          </cell>
          <cell r="AV57">
            <v>-2.7472527472527375E-3</v>
          </cell>
          <cell r="AW57">
            <v>-6.8783068783068835E-2</v>
          </cell>
          <cell r="AX57">
            <v>-6.315789473684208E-2</v>
          </cell>
          <cell r="AY57">
            <v>-0.11357340720221609</v>
          </cell>
          <cell r="AZ57">
            <v>-0.11570247933884292</v>
          </cell>
          <cell r="BA57">
            <v>-9.375E-2</v>
          </cell>
          <cell r="BB57">
            <v>-0.6882022471910112</v>
          </cell>
          <cell r="BC57">
            <v>-0.63437500000000002</v>
          </cell>
          <cell r="BD57">
            <v>-0.64485981308411211</v>
          </cell>
          <cell r="BE57">
            <v>-0.61755485893416928</v>
          </cell>
          <cell r="BF57">
            <v>0.22522522522522515</v>
          </cell>
          <cell r="BG57">
            <v>3.4188034188034289E-2</v>
          </cell>
          <cell r="BH57">
            <v>1.189988304093581E-2</v>
          </cell>
          <cell r="BI57">
            <v>-9.2271830601092786E-2</v>
          </cell>
          <cell r="BJ57">
            <v>-0.20448737745098022</v>
          </cell>
        </row>
        <row r="58">
          <cell r="A58" t="str">
            <v>Implied asset life</v>
          </cell>
          <cell r="G58">
            <v>14</v>
          </cell>
          <cell r="H58">
            <v>14</v>
          </cell>
          <cell r="I58">
            <v>14</v>
          </cell>
          <cell r="J58">
            <v>14</v>
          </cell>
          <cell r="K58">
            <v>14</v>
          </cell>
          <cell r="L58">
            <v>14</v>
          </cell>
          <cell r="M58">
            <v>14</v>
          </cell>
          <cell r="N58">
            <v>14</v>
          </cell>
          <cell r="O58">
            <v>14</v>
          </cell>
          <cell r="P58">
            <v>14</v>
          </cell>
          <cell r="Q58">
            <v>14</v>
          </cell>
          <cell r="R58">
            <v>14</v>
          </cell>
          <cell r="S58">
            <v>14</v>
          </cell>
          <cell r="T58">
            <v>14</v>
          </cell>
          <cell r="U58">
            <v>14</v>
          </cell>
          <cell r="AD58">
            <v>14</v>
          </cell>
          <cell r="AE58">
            <v>14</v>
          </cell>
          <cell r="AF58">
            <v>14</v>
          </cell>
          <cell r="AG58">
            <v>14</v>
          </cell>
          <cell r="AH58">
            <v>14</v>
          </cell>
          <cell r="AI58">
            <v>14</v>
          </cell>
          <cell r="AJ58">
            <v>14</v>
          </cell>
          <cell r="AK58">
            <v>14</v>
          </cell>
          <cell r="AL58">
            <v>14</v>
          </cell>
          <cell r="AM58">
            <v>14</v>
          </cell>
          <cell r="AN58">
            <v>14</v>
          </cell>
          <cell r="AO58">
            <v>14</v>
          </cell>
          <cell r="AP58">
            <v>14</v>
          </cell>
          <cell r="AQ58">
            <v>14</v>
          </cell>
          <cell r="AR58">
            <v>14</v>
          </cell>
          <cell r="AS58">
            <v>14</v>
          </cell>
          <cell r="AT58">
            <v>14</v>
          </cell>
          <cell r="AU58">
            <v>14</v>
          </cell>
          <cell r="AV58">
            <v>14</v>
          </cell>
          <cell r="AW58">
            <v>14</v>
          </cell>
          <cell r="AX58">
            <v>14</v>
          </cell>
          <cell r="AY58">
            <v>14</v>
          </cell>
          <cell r="AZ58">
            <v>14</v>
          </cell>
          <cell r="BA58">
            <v>14</v>
          </cell>
          <cell r="BB58">
            <v>14</v>
          </cell>
          <cell r="BC58">
            <v>14</v>
          </cell>
          <cell r="BD58">
            <v>14</v>
          </cell>
          <cell r="BE58">
            <v>14</v>
          </cell>
          <cell r="BF58">
            <v>14</v>
          </cell>
          <cell r="BG58">
            <v>14</v>
          </cell>
          <cell r="BH58">
            <v>15</v>
          </cell>
          <cell r="BI58">
            <v>15</v>
          </cell>
          <cell r="BJ58">
            <v>15</v>
          </cell>
        </row>
        <row r="59">
          <cell r="A59" t="str">
            <v>Capex/depreciation</v>
          </cell>
          <cell r="G59">
            <v>0.55386949924127471</v>
          </cell>
          <cell r="I59">
            <v>0.22974860335195529</v>
          </cell>
          <cell r="J59">
            <v>0.55386949924127471</v>
          </cell>
          <cell r="K59">
            <v>0.78527607361963192</v>
          </cell>
          <cell r="L59">
            <v>0.22974860335195529</v>
          </cell>
          <cell r="M59">
            <v>0.26330532212885155</v>
          </cell>
          <cell r="N59">
            <v>0.78527607361963192</v>
          </cell>
          <cell r="O59">
            <v>0.7684034589535782</v>
          </cell>
          <cell r="P59">
            <v>0.81854133787351413</v>
          </cell>
          <cell r="Q59">
            <v>0.88998055171837864</v>
          </cell>
          <cell r="R59">
            <v>0.965228542069826</v>
          </cell>
          <cell r="S59">
            <v>1.032326071681007</v>
          </cell>
          <cell r="T59">
            <v>1.1202527801287321</v>
          </cell>
          <cell r="U59">
            <v>1.2356026716888993</v>
          </cell>
          <cell r="AD59">
            <v>0.67549668874172186</v>
          </cell>
          <cell r="AE59">
            <v>0.6586826347305389</v>
          </cell>
          <cell r="AF59">
            <v>0.3595505617977528</v>
          </cell>
          <cell r="AG59">
            <v>0.54601226993865026</v>
          </cell>
          <cell r="AH59">
            <v>0.5714285714285714</v>
          </cell>
          <cell r="AI59">
            <v>0.60439560439560436</v>
          </cell>
          <cell r="AJ59">
            <v>0</v>
          </cell>
          <cell r="AK59">
            <v>0</v>
          </cell>
          <cell r="AL59">
            <v>0.16897506925207756</v>
          </cell>
          <cell r="AM59">
            <v>0.67549668874172186</v>
          </cell>
          <cell r="AN59">
            <v>0.6586826347305389</v>
          </cell>
          <cell r="AO59">
            <v>0.3595505617977528</v>
          </cell>
          <cell r="AP59">
            <v>0.54601226993865026</v>
          </cell>
          <cell r="AQ59">
            <v>0.5714285714285714</v>
          </cell>
          <cell r="AR59">
            <v>0.60439560439560436</v>
          </cell>
          <cell r="AS59">
            <v>0</v>
          </cell>
          <cell r="AT59">
            <v>0</v>
          </cell>
          <cell r="AU59">
            <v>0.16897506925207756</v>
          </cell>
          <cell r="AV59">
            <v>0.23691460055096419</v>
          </cell>
          <cell r="AW59">
            <v>0.21306818181818182</v>
          </cell>
          <cell r="AX59">
            <v>0.300561797752809</v>
          </cell>
          <cell r="AY59">
            <v>0.17499999999999999</v>
          </cell>
          <cell r="AZ59">
            <v>0.19937694704049844</v>
          </cell>
          <cell r="BA59">
            <v>0.2225705329153605</v>
          </cell>
          <cell r="BB59">
            <v>0.81981981981981977</v>
          </cell>
          <cell r="BC59">
            <v>0.55555555555555558</v>
          </cell>
          <cell r="BD59">
            <v>0.61403508771929827</v>
          </cell>
          <cell r="BE59">
            <v>0.68032786885245899</v>
          </cell>
          <cell r="BF59">
            <v>1.2205882352941178</v>
          </cell>
          <cell r="BG59">
            <v>0.76033057851239672</v>
          </cell>
          <cell r="BH59">
            <v>0.56649387684147834</v>
          </cell>
          <cell r="BI59">
            <v>0.72956186090110087</v>
          </cell>
          <cell r="BJ59">
            <v>1.032475205976908</v>
          </cell>
        </row>
        <row r="61">
          <cell r="A61" t="str">
            <v>PP&amp;E Retirements</v>
          </cell>
          <cell r="J61">
            <v>-3152</v>
          </cell>
          <cell r="K61">
            <v>-8532</v>
          </cell>
          <cell r="L61">
            <v>-597</v>
          </cell>
          <cell r="M61">
            <v>-3152</v>
          </cell>
          <cell r="N61">
            <v>-8532</v>
          </cell>
          <cell r="O61">
            <v>-821.79778999999951</v>
          </cell>
          <cell r="P61">
            <v>-1120</v>
          </cell>
          <cell r="Q61">
            <v>-980</v>
          </cell>
          <cell r="R61">
            <v>-840</v>
          </cell>
          <cell r="S61">
            <v>-700</v>
          </cell>
          <cell r="T61">
            <v>-700</v>
          </cell>
          <cell r="U61">
            <v>-700</v>
          </cell>
          <cell r="AQ61">
            <v>-50</v>
          </cell>
          <cell r="AR61">
            <v>-99</v>
          </cell>
          <cell r="AS61">
            <v>-3003</v>
          </cell>
          <cell r="AT61">
            <v>-2133</v>
          </cell>
          <cell r="AU61">
            <v>-2133</v>
          </cell>
          <cell r="AV61">
            <v>-2133</v>
          </cell>
          <cell r="AW61">
            <v>-2133</v>
          </cell>
          <cell r="AX61">
            <v>-2133</v>
          </cell>
          <cell r="AY61">
            <v>-2133</v>
          </cell>
          <cell r="AZ61">
            <v>-50</v>
          </cell>
          <cell r="BA61">
            <v>-99</v>
          </cell>
          <cell r="BB61">
            <v>-3003</v>
          </cell>
          <cell r="BC61">
            <v>-2133</v>
          </cell>
          <cell r="BD61">
            <v>-2133</v>
          </cell>
          <cell r="BE61">
            <v>-2133</v>
          </cell>
          <cell r="BF61">
            <v>-2133</v>
          </cell>
          <cell r="BG61">
            <v>-2133</v>
          </cell>
          <cell r="BH61">
            <v>-2133</v>
          </cell>
          <cell r="BI61">
            <v>-2133</v>
          </cell>
          <cell r="BJ61">
            <v>-2133</v>
          </cell>
        </row>
        <row r="63">
          <cell r="A63" t="str">
            <v>GLOBAL MARKETS GROUP - DATA/IP/OTHER</v>
          </cell>
        </row>
        <row r="64">
          <cell r="A64" t="str">
            <v>ATM</v>
          </cell>
          <cell r="F64">
            <v>193.70000000000002</v>
          </cell>
          <cell r="G64">
            <v>231.7</v>
          </cell>
          <cell r="H64">
            <v>294.36650000000003</v>
          </cell>
          <cell r="I64">
            <v>193.70000000000002</v>
          </cell>
          <cell r="J64">
            <v>231.7</v>
          </cell>
          <cell r="K64">
            <v>294.36650000000003</v>
          </cell>
          <cell r="L64">
            <v>282.02215000000001</v>
          </cell>
          <cell r="M64">
            <v>291.21921400000002</v>
          </cell>
          <cell r="N64">
            <v>303.79849306999995</v>
          </cell>
          <cell r="O64">
            <v>334.03654619630004</v>
          </cell>
          <cell r="P64">
            <v>352.40855623709649</v>
          </cell>
          <cell r="Q64">
            <v>371.79102683013679</v>
          </cell>
          <cell r="R64">
            <v>390.38057817164366</v>
          </cell>
          <cell r="S64">
            <v>409.89960708022585</v>
          </cell>
          <cell r="T64">
            <v>422.19659529263265</v>
          </cell>
          <cell r="U64">
            <v>434.86249315141163</v>
          </cell>
          <cell r="V64">
            <v>7.5904168520919191E-2</v>
          </cell>
          <cell r="Z64">
            <v>36.700000000000017</v>
          </cell>
          <cell r="AA64">
            <v>45</v>
          </cell>
          <cell r="AB64">
            <v>53</v>
          </cell>
          <cell r="AC64">
            <v>59</v>
          </cell>
          <cell r="AD64">
            <v>45</v>
          </cell>
          <cell r="AE64">
            <v>58.5</v>
          </cell>
          <cell r="AF64">
            <v>66.25</v>
          </cell>
          <cell r="AG64">
            <v>61.95</v>
          </cell>
          <cell r="AH64">
            <v>45.38461538461538</v>
          </cell>
          <cell r="AI64">
            <v>36.700000000000017</v>
          </cell>
          <cell r="AJ64">
            <v>45</v>
          </cell>
          <cell r="AK64">
            <v>53</v>
          </cell>
          <cell r="AL64">
            <v>59</v>
          </cell>
          <cell r="AM64">
            <v>45</v>
          </cell>
          <cell r="AN64">
            <v>58.5</v>
          </cell>
          <cell r="AO64">
            <v>66.25</v>
          </cell>
          <cell r="AP64">
            <v>61.95</v>
          </cell>
          <cell r="AQ64">
            <v>62.999999999999993</v>
          </cell>
          <cell r="AR64">
            <v>69</v>
          </cell>
          <cell r="AS64">
            <v>86.787500000000009</v>
          </cell>
          <cell r="AT64">
            <v>75.579000000000008</v>
          </cell>
          <cell r="AU64">
            <v>72.449999999999989</v>
          </cell>
          <cell r="AV64">
            <v>75.900000000000006</v>
          </cell>
          <cell r="AW64">
            <v>69.430000000000007</v>
          </cell>
          <cell r="AX64">
            <v>64.242150000000009</v>
          </cell>
          <cell r="AY64">
            <v>70.638749999999987</v>
          </cell>
          <cell r="AZ64">
            <v>80.454000000000008</v>
          </cell>
          <cell r="BA64">
            <v>78.454000000000008</v>
          </cell>
          <cell r="BB64">
            <v>61.672464000000005</v>
          </cell>
          <cell r="BC64">
            <v>72.404718749999986</v>
          </cell>
          <cell r="BD64">
            <v>82.465350000000001</v>
          </cell>
          <cell r="BE64">
            <v>79.238540000000015</v>
          </cell>
          <cell r="BF64">
            <v>69.689884320000004</v>
          </cell>
          <cell r="BG64">
            <v>81.817332187499971</v>
          </cell>
          <cell r="BH64">
            <v>89.887231500000013</v>
          </cell>
          <cell r="BI64">
            <v>86.37000860000002</v>
          </cell>
          <cell r="BJ64">
            <v>75.961973908800005</v>
          </cell>
          <cell r="BM64">
            <v>0</v>
          </cell>
          <cell r="BN64">
            <v>0</v>
          </cell>
          <cell r="BO64">
            <v>0</v>
          </cell>
        </row>
        <row r="65">
          <cell r="A65" t="str">
            <v>% growth</v>
          </cell>
          <cell r="G65">
            <v>0.19617965926690739</v>
          </cell>
          <cell r="H65">
            <v>0.27046396201985345</v>
          </cell>
          <cell r="I65">
            <v>-4.1935308535448246E-2</v>
          </cell>
          <cell r="J65">
            <v>0.19617965926690739</v>
          </cell>
          <cell r="K65">
            <v>0.27046396201985345</v>
          </cell>
          <cell r="L65">
            <v>-4.1935308535448246E-2</v>
          </cell>
          <cell r="M65">
            <v>3.2611140649768222E-2</v>
          </cell>
          <cell r="N65">
            <v>4.319522361598005E-2</v>
          </cell>
          <cell r="O65">
            <v>9.9533255812867871E-2</v>
          </cell>
          <cell r="P65">
            <v>5.5E-2</v>
          </cell>
          <cell r="Q65">
            <v>5.5E-2</v>
          </cell>
          <cell r="R65">
            <v>0.05</v>
          </cell>
          <cell r="S65">
            <v>0.05</v>
          </cell>
          <cell r="T65">
            <v>0.03</v>
          </cell>
          <cell r="U65">
            <v>0.03</v>
          </cell>
          <cell r="AC65">
            <v>0.3</v>
          </cell>
          <cell r="AD65">
            <v>0.22615803814713842</v>
          </cell>
          <cell r="AE65">
            <v>0.3</v>
          </cell>
          <cell r="AF65">
            <v>0.25</v>
          </cell>
          <cell r="AG65">
            <v>0.05</v>
          </cell>
          <cell r="AH65">
            <v>0.4</v>
          </cell>
          <cell r="AI65">
            <v>0.17948717948717952</v>
          </cell>
          <cell r="AJ65">
            <v>0.31</v>
          </cell>
          <cell r="AK65">
            <v>0.22</v>
          </cell>
          <cell r="AL65">
            <v>0.3</v>
          </cell>
          <cell r="AM65">
            <v>0.22615803814713842</v>
          </cell>
          <cell r="AN65">
            <v>0.3</v>
          </cell>
          <cell r="AO65">
            <v>0.25</v>
          </cell>
          <cell r="AP65">
            <v>0.05</v>
          </cell>
          <cell r="AQ65">
            <v>0.4</v>
          </cell>
          <cell r="AR65">
            <v>0.17948717948717952</v>
          </cell>
          <cell r="AS65">
            <v>0.31</v>
          </cell>
          <cell r="AT65">
            <v>0.22</v>
          </cell>
          <cell r="AU65">
            <v>0.15</v>
          </cell>
          <cell r="AV65">
            <v>0.1</v>
          </cell>
          <cell r="AW65">
            <v>-0.2</v>
          </cell>
          <cell r="AX65">
            <v>-0.15</v>
          </cell>
          <cell r="AY65">
            <v>-2.5000000000000001E-2</v>
          </cell>
          <cell r="AZ65">
            <v>0.06</v>
          </cell>
          <cell r="BA65">
            <v>0.12997263430793615</v>
          </cell>
          <cell r="BB65">
            <v>-0.04</v>
          </cell>
          <cell r="BC65">
            <v>2.5000000000000001E-2</v>
          </cell>
          <cell r="BD65">
            <v>2.5000000000000001E-2</v>
          </cell>
          <cell r="BE65">
            <v>0.01</v>
          </cell>
          <cell r="BF65">
            <v>0.13</v>
          </cell>
          <cell r="BG65">
            <v>0.13</v>
          </cell>
          <cell r="BH65">
            <v>0.09</v>
          </cell>
          <cell r="BI65">
            <v>0.09</v>
          </cell>
          <cell r="BJ65">
            <v>0.09</v>
          </cell>
        </row>
        <row r="66">
          <cell r="A66" t="str">
            <v>% sequential growth</v>
          </cell>
          <cell r="AA66">
            <v>0.22615803814713842</v>
          </cell>
          <cell r="AB66">
            <v>0.17777777777777781</v>
          </cell>
          <cell r="AC66">
            <v>0.1132075471698113</v>
          </cell>
          <cell r="AD66">
            <v>-0.23728813559322037</v>
          </cell>
          <cell r="AE66">
            <v>0.30000000000000004</v>
          </cell>
          <cell r="AF66">
            <v>0.13247863247863245</v>
          </cell>
          <cell r="AG66">
            <v>-6.4905660377358454E-2</v>
          </cell>
          <cell r="AH66">
            <v>1.6949152542372614E-2</v>
          </cell>
          <cell r="AI66">
            <v>9.5238095238095344E-2</v>
          </cell>
          <cell r="AJ66">
            <v>0.22615803814713842</v>
          </cell>
          <cell r="AK66">
            <v>0.17777777777777781</v>
          </cell>
          <cell r="AL66">
            <v>0.1132075471698113</v>
          </cell>
          <cell r="AM66">
            <v>-0.23728813559322037</v>
          </cell>
          <cell r="AN66">
            <v>0.30000000000000004</v>
          </cell>
          <cell r="AO66">
            <v>0.13247863247863245</v>
          </cell>
          <cell r="AP66">
            <v>-6.4905660377358454E-2</v>
          </cell>
          <cell r="AQ66">
            <v>1.6949152542372614E-2</v>
          </cell>
          <cell r="AR66">
            <v>9.5238095238095344E-2</v>
          </cell>
          <cell r="AS66">
            <v>0.25778985507246399</v>
          </cell>
          <cell r="AT66">
            <v>-0.12914878294685295</v>
          </cell>
          <cell r="AU66">
            <v>-4.1400388996943871E-2</v>
          </cell>
          <cell r="AV66">
            <v>4.7619047619047894E-2</v>
          </cell>
          <cell r="AW66">
            <v>-8.5243741765480885E-2</v>
          </cell>
          <cell r="AX66">
            <v>-7.4720581881031256E-2</v>
          </cell>
          <cell r="AY66">
            <v>9.9570142032917364E-2</v>
          </cell>
          <cell r="AZ66">
            <v>0.13894993894993934</v>
          </cell>
          <cell r="BA66">
            <v>-2.4858925597235682E-2</v>
          </cell>
          <cell r="BB66">
            <v>-0.21390287302113342</v>
          </cell>
          <cell r="BC66">
            <v>0.17402020373306271</v>
          </cell>
          <cell r="BD66">
            <v>0.13894993894993912</v>
          </cell>
          <cell r="BE66">
            <v>-3.9129282783617492E-2</v>
          </cell>
          <cell r="BF66">
            <v>-0.12050519456819886</v>
          </cell>
          <cell r="BG66">
            <v>0.17402020373306271</v>
          </cell>
          <cell r="BH66">
            <v>9.8633126951711558E-2</v>
          </cell>
          <cell r="BI66">
            <v>-3.9129282783617492E-2</v>
          </cell>
          <cell r="BJ66">
            <v>-0.12050519456819886</v>
          </cell>
        </row>
        <row r="67">
          <cell r="A67" t="str">
            <v>% enterprise data revenues</v>
          </cell>
          <cell r="F67">
            <v>0.1</v>
          </cell>
          <cell r="G67">
            <v>0.12477113624124932</v>
          </cell>
          <cell r="H67">
            <v>0.15937547374120198</v>
          </cell>
          <cell r="I67">
            <v>0.1</v>
          </cell>
          <cell r="J67">
            <v>0.12477113624124932</v>
          </cell>
          <cell r="K67">
            <v>0.15937547374120198</v>
          </cell>
          <cell r="L67">
            <v>0.15219759848893685</v>
          </cell>
          <cell r="M67">
            <v>0.16911684901277585</v>
          </cell>
          <cell r="N67">
            <v>0.18615103742034314</v>
          </cell>
          <cell r="O67">
            <v>0.22285035719079993</v>
          </cell>
          <cell r="P67">
            <v>0.24291735249991248</v>
          </cell>
          <cell r="Q67">
            <v>0.26204817443313916</v>
          </cell>
          <cell r="R67">
            <v>0.2818372794662895</v>
          </cell>
          <cell r="S67">
            <v>0.30246123391877916</v>
          </cell>
          <cell r="T67">
            <v>0.31818877563284276</v>
          </cell>
          <cell r="U67">
            <v>0.33432000612337481</v>
          </cell>
          <cell r="AD67">
            <v>9.5338983050847453E-2</v>
          </cell>
          <cell r="AE67">
            <v>0.12012320328542095</v>
          </cell>
          <cell r="AF67">
            <v>0.14006342494714588</v>
          </cell>
          <cell r="AG67">
            <v>0.14576470588235294</v>
          </cell>
          <cell r="AH67">
            <v>0.13016528925619833</v>
          </cell>
          <cell r="AI67">
            <v>0.14775160599571735</v>
          </cell>
          <cell r="AJ67">
            <v>0.19502808988764048</v>
          </cell>
          <cell r="AK67">
            <v>0.16758093126385812</v>
          </cell>
          <cell r="AL67">
            <v>0.1568181818181818</v>
          </cell>
          <cell r="AM67">
            <v>9.5338983050847453E-2</v>
          </cell>
          <cell r="AN67">
            <v>0.12012320328542095</v>
          </cell>
          <cell r="AO67">
            <v>0.14006342494714588</v>
          </cell>
          <cell r="AP67">
            <v>0.14576470588235294</v>
          </cell>
          <cell r="AQ67">
            <v>0.13016528925619833</v>
          </cell>
          <cell r="AR67">
            <v>0.14775160599571735</v>
          </cell>
          <cell r="AS67">
            <v>0.19502808988764048</v>
          </cell>
          <cell r="AT67">
            <v>0.16758093126385812</v>
          </cell>
          <cell r="AU67">
            <v>0.1568181818181818</v>
          </cell>
          <cell r="AV67">
            <v>0.1628755364806867</v>
          </cell>
          <cell r="AW67">
            <v>0.14995680345572357</v>
          </cell>
          <cell r="AX67">
            <v>0.13905227272727275</v>
          </cell>
          <cell r="AY67">
            <v>0.15628042035398226</v>
          </cell>
          <cell r="AZ67">
            <v>0.18368493150684934</v>
          </cell>
          <cell r="BA67">
            <v>0.1837330210772834</v>
          </cell>
          <cell r="BB67">
            <v>0.1522776888888889</v>
          </cell>
          <cell r="BC67">
            <v>0.17573960861650481</v>
          </cell>
          <cell r="BD67">
            <v>0.19634607142857144</v>
          </cell>
          <cell r="BE67">
            <v>0.19711079601990053</v>
          </cell>
          <cell r="BF67">
            <v>0.1751002118592965</v>
          </cell>
          <cell r="BG67">
            <v>0.21817955249999993</v>
          </cell>
          <cell r="BH67">
            <v>0.2357315556072011</v>
          </cell>
          <cell r="BI67">
            <v>0.23263880384048871</v>
          </cell>
          <cell r="BJ67">
            <v>0.20455435951894649</v>
          </cell>
        </row>
        <row r="68">
          <cell r="A68" t="str">
            <v>Frame relay</v>
          </cell>
          <cell r="G68">
            <v>937.35</v>
          </cell>
          <cell r="H68">
            <v>984.78949999999998</v>
          </cell>
          <cell r="I68">
            <v>1092.5252825</v>
          </cell>
          <cell r="J68">
            <v>937.35</v>
          </cell>
          <cell r="K68">
            <v>984.78949999999998</v>
          </cell>
          <cell r="L68">
            <v>1092.5252825</v>
          </cell>
          <cell r="M68">
            <v>992.53304617499998</v>
          </cell>
          <cell r="N68">
            <v>905.82442053199986</v>
          </cell>
          <cell r="O68">
            <v>790.46178010283984</v>
          </cell>
          <cell r="P68">
            <v>735.12945549564097</v>
          </cell>
          <cell r="Q68">
            <v>694.69733544338067</v>
          </cell>
          <cell r="R68">
            <v>653.01549531677779</v>
          </cell>
          <cell r="S68">
            <v>613.83456559777107</v>
          </cell>
          <cell r="T68">
            <v>583.14283731788248</v>
          </cell>
          <cell r="U68">
            <v>553.98569545198836</v>
          </cell>
          <cell r="V68">
            <v>-3.351344139119361E-2</v>
          </cell>
          <cell r="Z68">
            <v>231.29999999999998</v>
          </cell>
          <cell r="AA68">
            <v>235</v>
          </cell>
          <cell r="AB68">
            <v>227</v>
          </cell>
          <cell r="AC68">
            <v>-887</v>
          </cell>
          <cell r="AD68">
            <v>246</v>
          </cell>
          <cell r="AE68">
            <v>237.35</v>
          </cell>
          <cell r="AF68">
            <v>227</v>
          </cell>
          <cell r="AG68">
            <v>227</v>
          </cell>
          <cell r="AH68">
            <v>224.61538461538461</v>
          </cell>
          <cell r="AI68">
            <v>231.29999999999998</v>
          </cell>
          <cell r="AJ68">
            <v>235</v>
          </cell>
          <cell r="AK68">
            <v>227</v>
          </cell>
          <cell r="AL68">
            <v>-887</v>
          </cell>
          <cell r="AM68">
            <v>246</v>
          </cell>
          <cell r="AN68">
            <v>237.35</v>
          </cell>
          <cell r="AO68">
            <v>227</v>
          </cell>
          <cell r="AP68">
            <v>227</v>
          </cell>
          <cell r="AQ68">
            <v>237</v>
          </cell>
          <cell r="AR68">
            <v>230.2295</v>
          </cell>
          <cell r="AS68">
            <v>245.16000000000003</v>
          </cell>
          <cell r="AT68">
            <v>272.39999999999998</v>
          </cell>
          <cell r="AU68">
            <v>265.44</v>
          </cell>
          <cell r="AV68">
            <v>261.31048249999998</v>
          </cell>
          <cell r="AW68">
            <v>277.0308</v>
          </cell>
          <cell r="AX68">
            <v>288.74399999999997</v>
          </cell>
          <cell r="AY68">
            <v>257.47679999999997</v>
          </cell>
          <cell r="AZ68">
            <v>243.01874872499997</v>
          </cell>
          <cell r="BA68">
            <v>245.01874872499997</v>
          </cell>
          <cell r="BB68">
            <v>247.01874872499997</v>
          </cell>
          <cell r="BC68">
            <v>239.45342399999996</v>
          </cell>
          <cell r="BD68">
            <v>226.00743631424996</v>
          </cell>
          <cell r="BE68">
            <v>220.51687385249997</v>
          </cell>
          <cell r="BF68">
            <v>219.84668636524998</v>
          </cell>
          <cell r="BG68">
            <v>210.71901311999997</v>
          </cell>
          <cell r="BH68">
            <v>196.62646959339747</v>
          </cell>
          <cell r="BI68">
            <v>191.84968025167498</v>
          </cell>
          <cell r="BJ68">
            <v>191.26661713776747</v>
          </cell>
          <cell r="BM68">
            <v>0</v>
          </cell>
          <cell r="BN68">
            <v>0</v>
          </cell>
        </row>
        <row r="69">
          <cell r="A69" t="str">
            <v>% growth</v>
          </cell>
          <cell r="H69">
            <v>5.0610230970288494E-2</v>
          </cell>
          <cell r="I69">
            <v>0.10939980828390228</v>
          </cell>
          <cell r="J69">
            <v>-9.1523956403269824E-2</v>
          </cell>
          <cell r="K69">
            <v>5.0610230970288494E-2</v>
          </cell>
          <cell r="L69">
            <v>0.10939980828390228</v>
          </cell>
          <cell r="M69">
            <v>-9.1523956403269824E-2</v>
          </cell>
          <cell r="N69">
            <v>-8.7360945791332356E-2</v>
          </cell>
          <cell r="O69">
            <v>-0.12735651392728664</v>
          </cell>
          <cell r="P69">
            <v>-7.0000000000000007E-2</v>
          </cell>
          <cell r="Q69">
            <v>-5.5E-2</v>
          </cell>
          <cell r="R69">
            <v>-0.06</v>
          </cell>
          <cell r="S69">
            <v>-0.06</v>
          </cell>
          <cell r="T69">
            <v>-0.05</v>
          </cell>
          <cell r="U69">
            <v>-0.05</v>
          </cell>
          <cell r="AD69">
            <v>6.3553826199740593E-2</v>
          </cell>
          <cell r="AE69">
            <v>0.01</v>
          </cell>
          <cell r="AF69">
            <v>0</v>
          </cell>
          <cell r="AG69">
            <v>-1.2559188275084554</v>
          </cell>
          <cell r="AH69">
            <v>-3.6585365853658569E-2</v>
          </cell>
          <cell r="AI69">
            <v>-0.03</v>
          </cell>
          <cell r="AJ69">
            <v>0.08</v>
          </cell>
          <cell r="AK69">
            <v>0.2</v>
          </cell>
          <cell r="AL69">
            <v>-4.9489726027397261</v>
          </cell>
          <cell r="AM69">
            <v>6.3553826199740593E-2</v>
          </cell>
          <cell r="AN69">
            <v>0.01</v>
          </cell>
          <cell r="AO69">
            <v>0</v>
          </cell>
          <cell r="AP69">
            <v>-1.2559188275084554</v>
          </cell>
          <cell r="AQ69">
            <v>-3.6585365853658569E-2</v>
          </cell>
          <cell r="AR69">
            <v>-0.03</v>
          </cell>
          <cell r="AS69">
            <v>0.08</v>
          </cell>
          <cell r="AT69">
            <v>0.2</v>
          </cell>
          <cell r="AU69">
            <v>0.12</v>
          </cell>
          <cell r="AV69">
            <v>0.13500000000000001</v>
          </cell>
          <cell r="AW69">
            <v>0.13</v>
          </cell>
          <cell r="AX69">
            <v>0.06</v>
          </cell>
          <cell r="AY69">
            <v>-0.03</v>
          </cell>
          <cell r="AZ69">
            <v>-7.0000000000000007E-2</v>
          </cell>
          <cell r="BA69">
            <v>-0.11555412349457184</v>
          </cell>
          <cell r="BB69">
            <v>-0.14450603744147072</v>
          </cell>
          <cell r="BC69">
            <v>-7.0000000000000007E-2</v>
          </cell>
          <cell r="BD69">
            <v>-7.0000000000000007E-2</v>
          </cell>
          <cell r="BE69">
            <v>-0.1</v>
          </cell>
          <cell r="BF69">
            <v>-0.11</v>
          </cell>
          <cell r="BG69">
            <v>-0.12</v>
          </cell>
          <cell r="BH69">
            <v>-0.13</v>
          </cell>
          <cell r="BI69">
            <v>-0.13</v>
          </cell>
          <cell r="BJ69">
            <v>-0.13</v>
          </cell>
        </row>
        <row r="70">
          <cell r="A70" t="str">
            <v>% sequential growth</v>
          </cell>
          <cell r="AA70">
            <v>1.5996541288370247E-2</v>
          </cell>
          <cell r="AB70">
            <v>-3.4042553191489411E-2</v>
          </cell>
          <cell r="AC70">
            <v>-4.9074889867841414</v>
          </cell>
          <cell r="AD70">
            <v>-1.2773393461104847</v>
          </cell>
          <cell r="AE70">
            <v>-3.5162601626016254E-2</v>
          </cell>
          <cell r="AF70">
            <v>-4.36064883084053E-2</v>
          </cell>
          <cell r="AG70">
            <v>0</v>
          </cell>
          <cell r="AH70">
            <v>4.4052863436123246E-2</v>
          </cell>
          <cell r="AI70">
            <v>-2.8567510548523245E-2</v>
          </cell>
          <cell r="AJ70">
            <v>1.5996541288370247E-2</v>
          </cell>
          <cell r="AK70">
            <v>-3.4042553191489411E-2</v>
          </cell>
          <cell r="AL70">
            <v>-4.9074889867841414</v>
          </cell>
          <cell r="AM70">
            <v>-1.2773393461104847</v>
          </cell>
          <cell r="AN70">
            <v>-3.5162601626016254E-2</v>
          </cell>
          <cell r="AO70">
            <v>-4.36064883084053E-2</v>
          </cell>
          <cell r="AP70">
            <v>0</v>
          </cell>
          <cell r="AQ70">
            <v>4.4052863436123246E-2</v>
          </cell>
          <cell r="AR70">
            <v>-2.8567510548523245E-2</v>
          </cell>
          <cell r="AS70">
            <v>6.485050786280655E-2</v>
          </cell>
          <cell r="AT70">
            <v>0.11111111111111094</v>
          </cell>
          <cell r="AU70">
            <v>-2.555066079295143E-2</v>
          </cell>
          <cell r="AV70">
            <v>-1.5557253993369602E-2</v>
          </cell>
          <cell r="AW70">
            <v>6.0159536462529806E-2</v>
          </cell>
          <cell r="AX70">
            <v>4.2281219272369608E-2</v>
          </cell>
          <cell r="AY70">
            <v>-0.10828692544260665</v>
          </cell>
          <cell r="AZ70">
            <v>-5.6152831148282067E-2</v>
          </cell>
          <cell r="BA70">
            <v>8.2298177012802842E-3</v>
          </cell>
          <cell r="BB70">
            <v>8.1626406567145704E-3</v>
          </cell>
          <cell r="BC70">
            <v>-3.0626520310902849E-2</v>
          </cell>
          <cell r="BD70">
            <v>-5.6152831148282067E-2</v>
          </cell>
          <cell r="BE70">
            <v>-2.4293724805212524E-2</v>
          </cell>
          <cell r="BF70">
            <v>-3.0391664616934433E-3</v>
          </cell>
          <cell r="BG70">
            <v>-4.1518357161342112E-2</v>
          </cell>
          <cell r="BH70">
            <v>-6.6878367157960694E-2</v>
          </cell>
          <cell r="BI70">
            <v>-2.4293724805212524E-2</v>
          </cell>
          <cell r="BJ70">
            <v>-3.0391664616935543E-3</v>
          </cell>
        </row>
        <row r="71">
          <cell r="A71" t="str">
            <v>% enterprise data revenues</v>
          </cell>
          <cell r="G71">
            <v>0.5047657512116317</v>
          </cell>
          <cell r="H71">
            <v>0.53318327016783973</v>
          </cell>
          <cell r="I71">
            <v>0.58959810172692928</v>
          </cell>
          <cell r="J71">
            <v>0.5047657512116317</v>
          </cell>
          <cell r="K71">
            <v>0.53318327016783973</v>
          </cell>
          <cell r="L71">
            <v>0.58959810172692928</v>
          </cell>
          <cell r="M71">
            <v>0.57638388279616726</v>
          </cell>
          <cell r="N71">
            <v>0.5550394733651961</v>
          </cell>
          <cell r="O71">
            <v>0.52735154894720493</v>
          </cell>
          <cell r="P71">
            <v>0.50672918665901978</v>
          </cell>
          <cell r="Q71">
            <v>0.48964110319874932</v>
          </cell>
          <cell r="R71">
            <v>0.47144791759719956</v>
          </cell>
          <cell r="S71">
            <v>0.45294300586231567</v>
          </cell>
          <cell r="T71">
            <v>0.43948602971710626</v>
          </cell>
          <cell r="U71">
            <v>0.42590129986511482</v>
          </cell>
          <cell r="AD71">
            <v>0.52118644067796616</v>
          </cell>
          <cell r="AE71">
            <v>0.48737166324435316</v>
          </cell>
          <cell r="AF71">
            <v>0.47991543340380549</v>
          </cell>
          <cell r="AG71">
            <v>0.53411764705882347</v>
          </cell>
          <cell r="AH71">
            <v>0.48966942148760328</v>
          </cell>
          <cell r="AI71">
            <v>0.49299678800856533</v>
          </cell>
          <cell r="AJ71">
            <v>0.55092134831460682</v>
          </cell>
          <cell r="AK71">
            <v>0.60399113082039901</v>
          </cell>
          <cell r="AL71">
            <v>0.57454545454545458</v>
          </cell>
          <cell r="AM71">
            <v>0.52118644067796616</v>
          </cell>
          <cell r="AN71">
            <v>0.48737166324435316</v>
          </cell>
          <cell r="AO71">
            <v>0.47991543340380549</v>
          </cell>
          <cell r="AP71">
            <v>0.53411764705882347</v>
          </cell>
          <cell r="AQ71">
            <v>0.48966942148760328</v>
          </cell>
          <cell r="AR71">
            <v>0.49299678800856533</v>
          </cell>
          <cell r="AS71">
            <v>0.55092134831460682</v>
          </cell>
          <cell r="AT71">
            <v>0.60399113082039901</v>
          </cell>
          <cell r="AU71">
            <v>0.57454545454545458</v>
          </cell>
          <cell r="AV71">
            <v>0.56075210836909861</v>
          </cell>
          <cell r="AW71">
            <v>0.5983386609071274</v>
          </cell>
          <cell r="AX71">
            <v>0.62498701298701298</v>
          </cell>
          <cell r="AY71">
            <v>0.56963893805309729</v>
          </cell>
          <cell r="AZ71">
            <v>0.5548373258561643</v>
          </cell>
          <cell r="BA71">
            <v>0.57381439982435589</v>
          </cell>
          <cell r="BB71">
            <v>0.60992283635802458</v>
          </cell>
          <cell r="BC71">
            <v>0.58119763106796107</v>
          </cell>
          <cell r="BD71">
            <v>0.538112943605357</v>
          </cell>
          <cell r="BE71">
            <v>0.54854943744402973</v>
          </cell>
          <cell r="BF71">
            <v>0.55237860895791457</v>
          </cell>
          <cell r="BG71">
            <v>0.56191736831999994</v>
          </cell>
          <cell r="BH71">
            <v>0.51565792802066224</v>
          </cell>
          <cell r="BI71">
            <v>0.51674974744566471</v>
          </cell>
          <cell r="BJ71">
            <v>0.51505270798971581</v>
          </cell>
        </row>
        <row r="72">
          <cell r="A72" t="str">
            <v>ATM/FR</v>
          </cell>
          <cell r="G72">
            <v>1169.05</v>
          </cell>
          <cell r="H72">
            <v>1279.1559999999999</v>
          </cell>
          <cell r="I72">
            <v>1374.5474325</v>
          </cell>
          <cell r="J72">
            <v>1169.05</v>
          </cell>
          <cell r="K72">
            <v>1279.1559999999999</v>
          </cell>
          <cell r="L72">
            <v>1374.5474325</v>
          </cell>
          <cell r="M72">
            <v>1283.7522601749999</v>
          </cell>
          <cell r="N72">
            <v>1209.6229136019997</v>
          </cell>
          <cell r="O72">
            <v>1124.49832629914</v>
          </cell>
          <cell r="P72">
            <v>1087.5380117327375</v>
          </cell>
          <cell r="Q72">
            <v>1066.4883622735174</v>
          </cell>
          <cell r="R72">
            <v>1043.3960734884215</v>
          </cell>
          <cell r="S72">
            <v>1023.7341726779969</v>
          </cell>
          <cell r="T72">
            <v>1005.3394326105151</v>
          </cell>
          <cell r="U72">
            <v>988.84818860339999</v>
          </cell>
          <cell r="V72">
            <v>-7.7407745245618997E-3</v>
          </cell>
          <cell r="Z72">
            <v>268</v>
          </cell>
          <cell r="AA72">
            <v>280</v>
          </cell>
          <cell r="AB72">
            <v>280</v>
          </cell>
          <cell r="AC72">
            <v>-828</v>
          </cell>
          <cell r="AD72">
            <v>291</v>
          </cell>
          <cell r="AE72">
            <v>295.85000000000002</v>
          </cell>
          <cell r="AF72">
            <v>293.25</v>
          </cell>
          <cell r="AG72">
            <v>243.47826086956525</v>
          </cell>
          <cell r="AH72">
            <v>270</v>
          </cell>
          <cell r="AI72">
            <v>268</v>
          </cell>
          <cell r="AJ72">
            <v>280</v>
          </cell>
          <cell r="AK72">
            <v>280</v>
          </cell>
          <cell r="AL72">
            <v>-828</v>
          </cell>
          <cell r="AM72">
            <v>291</v>
          </cell>
          <cell r="AN72">
            <v>295.85000000000002</v>
          </cell>
          <cell r="AO72">
            <v>293.25</v>
          </cell>
          <cell r="AP72">
            <v>288.95</v>
          </cell>
          <cell r="AQ72">
            <v>300</v>
          </cell>
          <cell r="AR72">
            <v>299.22950000000003</v>
          </cell>
          <cell r="AS72">
            <v>331.94750000000005</v>
          </cell>
          <cell r="AT72">
            <v>347.97899999999998</v>
          </cell>
          <cell r="AU72">
            <v>337.89</v>
          </cell>
          <cell r="AV72">
            <v>337.21048250000001</v>
          </cell>
          <cell r="AW72">
            <v>346.46080000000001</v>
          </cell>
          <cell r="AX72">
            <v>352.98614999999995</v>
          </cell>
          <cell r="AY72">
            <v>328.11554999999998</v>
          </cell>
          <cell r="AZ72">
            <v>323.47274872499997</v>
          </cell>
          <cell r="BA72">
            <v>323.47274872499997</v>
          </cell>
          <cell r="BB72">
            <v>308.69121272499996</v>
          </cell>
          <cell r="BC72">
            <v>311.85814274999996</v>
          </cell>
          <cell r="BD72">
            <v>308.47278631424996</v>
          </cell>
          <cell r="BE72">
            <v>299.7554138525</v>
          </cell>
          <cell r="BF72">
            <v>289.53657068525001</v>
          </cell>
          <cell r="BG72">
            <v>292.53634530749991</v>
          </cell>
          <cell r="BH72">
            <v>286.51370109339746</v>
          </cell>
          <cell r="BI72">
            <v>278.21968885167502</v>
          </cell>
          <cell r="BJ72">
            <v>267.22859104656749</v>
          </cell>
          <cell r="BM72">
            <v>0</v>
          </cell>
          <cell r="BN72">
            <v>0</v>
          </cell>
        </row>
        <row r="73">
          <cell r="A73" t="str">
            <v>% growth</v>
          </cell>
          <cell r="H73">
            <v>9.4184166631025246E-2</v>
          </cell>
          <cell r="I73">
            <v>7.4573728692981955E-2</v>
          </cell>
          <cell r="J73">
            <v>-6.6054593809006357E-2</v>
          </cell>
          <cell r="K73">
            <v>9.4184166631025246E-2</v>
          </cell>
          <cell r="L73">
            <v>7.4573728692981955E-2</v>
          </cell>
          <cell r="M73">
            <v>-6.6054593809006357E-2</v>
          </cell>
          <cell r="N73">
            <v>-5.774427735994403E-2</v>
          </cell>
          <cell r="O73">
            <v>-7.0372829702255557E-2</v>
          </cell>
          <cell r="P73">
            <v>-3.2868269967144759E-2</v>
          </cell>
          <cell r="Q73">
            <v>-1.9355322969982769E-2</v>
          </cell>
          <cell r="R73">
            <v>-2.1652640199343764E-2</v>
          </cell>
          <cell r="S73">
            <v>-1.8844139162502604E-2</v>
          </cell>
          <cell r="T73">
            <v>-1.7968277858071979E-2</v>
          </cell>
          <cell r="U73">
            <v>-1.6403657781823178E-2</v>
          </cell>
          <cell r="AB73">
            <v>0.15</v>
          </cell>
          <cell r="AD73">
            <v>8.582089552238803E-2</v>
          </cell>
          <cell r="AE73">
            <v>5.6607142857142856E-2</v>
          </cell>
          <cell r="AF73">
            <v>4.7321428571428514E-2</v>
          </cell>
          <cell r="AG73">
            <v>-1.3489734299516907</v>
          </cell>
          <cell r="AH73">
            <v>3.0927835051546282E-2</v>
          </cell>
          <cell r="AI73">
            <v>1.14230184214974E-2</v>
          </cell>
          <cell r="AJ73">
            <v>0.1319607843137256</v>
          </cell>
          <cell r="AK73">
            <v>0.15</v>
          </cell>
          <cell r="AL73">
            <v>-4.0666666666666664</v>
          </cell>
          <cell r="AM73">
            <v>8.582089552238803E-2</v>
          </cell>
          <cell r="AN73">
            <v>5.6607142857142856E-2</v>
          </cell>
          <cell r="AO73">
            <v>4.7321428571428514E-2</v>
          </cell>
          <cell r="AP73">
            <v>-1.3489734299516907</v>
          </cell>
          <cell r="AQ73">
            <v>3.0927835051546282E-2</v>
          </cell>
          <cell r="AR73">
            <v>1.14230184214974E-2</v>
          </cell>
          <cell r="AS73">
            <v>0.1319607843137256</v>
          </cell>
          <cell r="AT73">
            <v>0.20428793908980802</v>
          </cell>
          <cell r="AU73">
            <v>0.12629999999999986</v>
          </cell>
          <cell r="AV73">
            <v>0.12692927167942991</v>
          </cell>
          <cell r="AW73">
            <v>4.3721672854894145E-2</v>
          </cell>
          <cell r="AX73">
            <v>1.4389230384592056E-2</v>
          </cell>
          <cell r="AY73">
            <v>-2.8927905531385911E-2</v>
          </cell>
          <cell r="AZ73">
            <v>-4.0739343786562299E-2</v>
          </cell>
          <cell r="BA73">
            <v>-6.635108870902573E-2</v>
          </cell>
          <cell r="BB73">
            <v>-0.1254863321832882</v>
          </cell>
          <cell r="BC73">
            <v>-4.9547810976956264E-2</v>
          </cell>
          <cell r="BD73">
            <v>-4.6371641722135371E-2</v>
          </cell>
          <cell r="BE73">
            <v>-7.332096742610994E-2</v>
          </cell>
          <cell r="BF73">
            <v>-6.205114123806954E-2</v>
          </cell>
          <cell r="BG73">
            <v>-6.1957007991256141E-2</v>
          </cell>
          <cell r="BH73">
            <v>-7.1186458563259336E-2</v>
          </cell>
          <cell r="BI73">
            <v>-7.1844323757308426E-2</v>
          </cell>
          <cell r="BJ73">
            <v>-7.7047191606524623E-2</v>
          </cell>
        </row>
        <row r="74">
          <cell r="A74" t="str">
            <v>% sequential growth</v>
          </cell>
          <cell r="AA74">
            <v>4.4776119402984982E-2</v>
          </cell>
          <cell r="AB74">
            <v>0</v>
          </cell>
          <cell r="AC74">
            <v>-3.9571428571428573</v>
          </cell>
          <cell r="AD74">
            <v>-1.3514492753623188</v>
          </cell>
          <cell r="AE74">
            <v>1.6666666666666829E-2</v>
          </cell>
          <cell r="AF74">
            <v>-8.7882372824067412E-3</v>
          </cell>
          <cell r="AG74">
            <v>-1.4663256606990638E-2</v>
          </cell>
          <cell r="AH74">
            <v>3.8241910365115039E-2</v>
          </cell>
          <cell r="AI74">
            <v>-2.5683333333332836E-3</v>
          </cell>
          <cell r="AJ74">
            <v>4.4776119402984982E-2</v>
          </cell>
          <cell r="AK74">
            <v>0</v>
          </cell>
          <cell r="AL74">
            <v>-3.9571428571428573</v>
          </cell>
          <cell r="AM74">
            <v>-1.3514492753623188</v>
          </cell>
          <cell r="AN74">
            <v>1.6666666666666829E-2</v>
          </cell>
          <cell r="AO74">
            <v>-8.7882372824067412E-3</v>
          </cell>
          <cell r="AP74">
            <v>-1.4663256606990638E-2</v>
          </cell>
          <cell r="AQ74">
            <v>3.8241910365115039E-2</v>
          </cell>
          <cell r="AR74">
            <v>-2.5683333333332836E-3</v>
          </cell>
          <cell r="AS74">
            <v>0.10934082368215714</v>
          </cell>
          <cell r="AT74">
            <v>4.8295287658439712E-2</v>
          </cell>
          <cell r="AU74">
            <v>-2.8993128895709264E-2</v>
          </cell>
          <cell r="AV74">
            <v>-2.0110612921364623E-3</v>
          </cell>
          <cell r="AW74">
            <v>2.7431880027632305E-2</v>
          </cell>
          <cell r="AX74">
            <v>1.8834309682365102E-2</v>
          </cell>
          <cell r="AY74">
            <v>-7.0457721924783612E-2</v>
          </cell>
          <cell r="AZ74">
            <v>-1.4149897117036958E-2</v>
          </cell>
          <cell r="BA74">
            <v>0</v>
          </cell>
          <cell r="BB74">
            <v>-4.5696387279184791E-2</v>
          </cell>
          <cell r="BC74">
            <v>1.0259216636079982E-2</v>
          </cell>
          <cell r="BD74">
            <v>-1.0855437045502625E-2</v>
          </cell>
          <cell r="BE74">
            <v>-2.8259778004758318E-2</v>
          </cell>
          <cell r="BF74">
            <v>-3.409060418931531E-2</v>
          </cell>
          <cell r="BG74">
            <v>1.0360607004325173E-2</v>
          </cell>
          <cell r="BH74">
            <v>-2.0587678456746139E-2</v>
          </cell>
          <cell r="BI74">
            <v>-2.8948047545617306E-2</v>
          </cell>
          <cell r="BJ74">
            <v>-3.9505104223472531E-2</v>
          </cell>
        </row>
        <row r="75">
          <cell r="A75" t="str">
            <v>% enterprise data revenues</v>
          </cell>
          <cell r="G75">
            <v>0.62953688745288094</v>
          </cell>
          <cell r="H75">
            <v>0.69255874390904171</v>
          </cell>
          <cell r="I75">
            <v>0.74179570021586616</v>
          </cell>
          <cell r="J75">
            <v>0.62953688745288094</v>
          </cell>
          <cell r="K75">
            <v>0.69255874390904171</v>
          </cell>
          <cell r="L75">
            <v>0.74179570021586616</v>
          </cell>
          <cell r="M75">
            <v>0.74550073180894305</v>
          </cell>
          <cell r="N75">
            <v>0.7411905107855391</v>
          </cell>
          <cell r="O75">
            <v>0.75020190613800486</v>
          </cell>
          <cell r="P75">
            <v>0.7496465391589322</v>
          </cell>
          <cell r="Q75">
            <v>0.75168927763188842</v>
          </cell>
          <cell r="R75">
            <v>0.75328519706348906</v>
          </cell>
          <cell r="S75">
            <v>0.75540423978109483</v>
          </cell>
          <cell r="T75">
            <v>0.75767480534994902</v>
          </cell>
          <cell r="U75">
            <v>0.76022130598848958</v>
          </cell>
          <cell r="AD75">
            <v>0.61652542372881358</v>
          </cell>
          <cell r="AE75">
            <v>0.60749486652977414</v>
          </cell>
          <cell r="AF75">
            <v>0.61997885835095135</v>
          </cell>
          <cell r="AG75">
            <v>0.67988235294117649</v>
          </cell>
          <cell r="AH75">
            <v>0.6198347107438017</v>
          </cell>
          <cell r="AI75">
            <v>0.64074839400428274</v>
          </cell>
          <cell r="AJ75">
            <v>0.74594943820224735</v>
          </cell>
          <cell r="AK75">
            <v>0.77157206208425722</v>
          </cell>
          <cell r="AL75">
            <v>0.73136363636363633</v>
          </cell>
          <cell r="AM75">
            <v>0.61652542372881358</v>
          </cell>
          <cell r="AN75">
            <v>0.60749486652977414</v>
          </cell>
          <cell r="AO75">
            <v>0.61997885835095135</v>
          </cell>
          <cell r="AP75">
            <v>0.67988235294117649</v>
          </cell>
          <cell r="AQ75">
            <v>0.6198347107438017</v>
          </cell>
          <cell r="AR75">
            <v>0.64074839400428274</v>
          </cell>
          <cell r="AS75">
            <v>0.74594943820224735</v>
          </cell>
          <cell r="AT75">
            <v>0.77157206208425722</v>
          </cell>
          <cell r="AU75">
            <v>0.73136363636363633</v>
          </cell>
          <cell r="AV75">
            <v>0.72362764484978548</v>
          </cell>
          <cell r="AW75">
            <v>0.74829546436285099</v>
          </cell>
          <cell r="AX75">
            <v>0.76403928571428559</v>
          </cell>
          <cell r="AY75">
            <v>0.72591935840707966</v>
          </cell>
          <cell r="AZ75">
            <v>0.73852225736301369</v>
          </cell>
          <cell r="BA75">
            <v>0.75754742090163929</v>
          </cell>
          <cell r="BB75">
            <v>0.76220052524691351</v>
          </cell>
          <cell r="BC75">
            <v>0.75693723968446591</v>
          </cell>
          <cell r="BD75">
            <v>0.73445901503392852</v>
          </cell>
          <cell r="BE75">
            <v>0.7456602334639304</v>
          </cell>
          <cell r="BF75">
            <v>0.72747882081721105</v>
          </cell>
          <cell r="BG75">
            <v>0.78009692081999982</v>
          </cell>
          <cell r="BH75">
            <v>0.75138948362786329</v>
          </cell>
          <cell r="BI75">
            <v>0.74938855128615345</v>
          </cell>
          <cell r="BJ75">
            <v>0.71960706750866232</v>
          </cell>
        </row>
        <row r="76">
          <cell r="A76" t="str">
            <v>Private line</v>
          </cell>
          <cell r="E76">
            <v>778.56116504854367</v>
          </cell>
          <cell r="F76">
            <v>801.91800000000001</v>
          </cell>
          <cell r="G76">
            <v>687.95</v>
          </cell>
          <cell r="H76">
            <v>778.56116504854367</v>
          </cell>
          <cell r="I76">
            <v>801.91800000000001</v>
          </cell>
          <cell r="J76">
            <v>687.95</v>
          </cell>
          <cell r="K76">
            <v>567.84399999999994</v>
          </cell>
          <cell r="L76">
            <v>478.45256750000004</v>
          </cell>
          <cell r="M76">
            <v>438.24773982500017</v>
          </cell>
          <cell r="N76">
            <v>422.37708639800013</v>
          </cell>
          <cell r="O76">
            <v>374.42925186177263</v>
          </cell>
          <cell r="P76">
            <v>363.19637430591945</v>
          </cell>
          <cell r="Q76">
            <v>352.30048307674184</v>
          </cell>
          <cell r="R76">
            <v>341.7314685844396</v>
          </cell>
          <cell r="S76">
            <v>331.4795245269064</v>
          </cell>
          <cell r="T76">
            <v>321.5351387910992</v>
          </cell>
          <cell r="U76">
            <v>311.88908462736623</v>
          </cell>
          <cell r="V76">
            <v>-0.11455298329084285</v>
          </cell>
          <cell r="Z76">
            <v>-268</v>
          </cell>
          <cell r="AA76">
            <v>-280</v>
          </cell>
          <cell r="AB76">
            <v>-280</v>
          </cell>
          <cell r="AC76">
            <v>1629.9180000000001</v>
          </cell>
          <cell r="AD76">
            <v>181</v>
          </cell>
          <cell r="AE76">
            <v>191.15</v>
          </cell>
          <cell r="AF76">
            <v>179.75</v>
          </cell>
          <cell r="AG76">
            <v>136.05000000000001</v>
          </cell>
          <cell r="AH76">
            <v>209</v>
          </cell>
          <cell r="AI76">
            <v>-268</v>
          </cell>
          <cell r="AJ76">
            <v>-280</v>
          </cell>
          <cell r="AK76">
            <v>-280</v>
          </cell>
          <cell r="AL76">
            <v>1629.9180000000001</v>
          </cell>
          <cell r="AM76">
            <v>181</v>
          </cell>
          <cell r="AN76">
            <v>191.15</v>
          </cell>
          <cell r="AO76">
            <v>179.75</v>
          </cell>
          <cell r="AP76">
            <v>136.05000000000001</v>
          </cell>
          <cell r="AQ76">
            <v>184</v>
          </cell>
          <cell r="AR76">
            <v>167.7705</v>
          </cell>
          <cell r="AS76">
            <v>113.05249999999995</v>
          </cell>
          <cell r="AT76">
            <v>103.02100000000002</v>
          </cell>
          <cell r="AU76">
            <v>124.11000000000001</v>
          </cell>
          <cell r="AV76">
            <v>128.78951750000004</v>
          </cell>
          <cell r="AW76">
            <v>116.53919999999999</v>
          </cell>
          <cell r="AX76">
            <v>109.01384999999999</v>
          </cell>
          <cell r="AY76">
            <v>123.88445000000007</v>
          </cell>
          <cell r="AZ76">
            <v>114.52725127500003</v>
          </cell>
          <cell r="BA76">
            <v>103.52725127500003</v>
          </cell>
          <cell r="BB76">
            <v>96.308787275000043</v>
          </cell>
          <cell r="BC76">
            <v>100.14185725000007</v>
          </cell>
          <cell r="BD76">
            <v>111.52721368575004</v>
          </cell>
          <cell r="BE76">
            <v>102.24458614750003</v>
          </cell>
          <cell r="BF76">
            <v>108.46342931474999</v>
          </cell>
          <cell r="BG76">
            <v>82.463654692500057</v>
          </cell>
          <cell r="BH76">
            <v>94.798131632887532</v>
          </cell>
          <cell r="BI76">
            <v>93.04257339422503</v>
          </cell>
          <cell r="BJ76">
            <v>104.12489214215998</v>
          </cell>
          <cell r="BM76">
            <v>0</v>
          </cell>
          <cell r="BN76">
            <v>0</v>
          </cell>
        </row>
        <row r="77">
          <cell r="A77" t="str">
            <v>% growth</v>
          </cell>
          <cell r="F77">
            <v>0.03</v>
          </cell>
          <cell r="G77">
            <v>-0.14211926905244676</v>
          </cell>
          <cell r="H77">
            <v>-0.17458536230830746</v>
          </cell>
          <cell r="I77">
            <v>0.03</v>
          </cell>
          <cell r="J77">
            <v>-0.14211926905244676</v>
          </cell>
          <cell r="K77">
            <v>-0.17458536230830746</v>
          </cell>
          <cell r="L77">
            <v>-0.15742251833249965</v>
          </cell>
          <cell r="M77">
            <v>-8.4030958147172763E-2</v>
          </cell>
          <cell r="N77">
            <v>-3.6213885400384394E-2</v>
          </cell>
          <cell r="O77">
            <v>-0.11351902383039525</v>
          </cell>
          <cell r="P77">
            <v>-0.03</v>
          </cell>
          <cell r="Q77">
            <v>-0.03</v>
          </cell>
          <cell r="R77">
            <v>-0.03</v>
          </cell>
          <cell r="S77">
            <v>-0.03</v>
          </cell>
          <cell r="T77">
            <v>-0.03</v>
          </cell>
          <cell r="U77">
            <v>-0.03</v>
          </cell>
          <cell r="AD77">
            <v>-1.6753731343283582</v>
          </cell>
          <cell r="AE77">
            <v>-1.6826785714285715</v>
          </cell>
          <cell r="AF77">
            <v>-1.6419642857142858</v>
          </cell>
          <cell r="AG77">
            <v>-0.91652954320401392</v>
          </cell>
          <cell r="AH77">
            <v>1.6574585635359185E-2</v>
          </cell>
          <cell r="AI77">
            <v>-0.12230970442061206</v>
          </cell>
          <cell r="AJ77">
            <v>-0.37105702364395021</v>
          </cell>
          <cell r="AK77">
            <v>-0.2427710400588019</v>
          </cell>
          <cell r="AL77">
            <v>6.7986507177033495</v>
          </cell>
          <cell r="AM77">
            <v>-1.6753731343283582</v>
          </cell>
          <cell r="AN77">
            <v>-1.6826785714285715</v>
          </cell>
          <cell r="AO77">
            <v>-1.6419642857142858</v>
          </cell>
          <cell r="AP77">
            <v>-0.91652954320401392</v>
          </cell>
          <cell r="AQ77">
            <v>1.6574585635359185E-2</v>
          </cell>
          <cell r="AR77">
            <v>-0.12230970442061206</v>
          </cell>
          <cell r="AS77">
            <v>-0.37105702364395021</v>
          </cell>
          <cell r="AT77">
            <v>-0.2427710400588019</v>
          </cell>
          <cell r="AU77">
            <v>-0.32548913043478256</v>
          </cell>
          <cell r="AV77">
            <v>-0.23234706041884567</v>
          </cell>
          <cell r="AW77">
            <v>3.0841423232569332E-2</v>
          </cell>
          <cell r="AX77">
            <v>5.8171149571446312E-2</v>
          </cell>
          <cell r="AY77">
            <v>-1.8173394569328538E-3</v>
          </cell>
          <cell r="AZ77">
            <v>-0.1107408933727857</v>
          </cell>
          <cell r="BA77">
            <v>-0.11165297792502415</v>
          </cell>
          <cell r="BB77">
            <v>-0.11654539973590461</v>
          </cell>
          <cell r="BC77">
            <v>-0.19165111319459371</v>
          </cell>
          <cell r="BD77">
            <v>-2.6194967187733953E-2</v>
          </cell>
          <cell r="BE77">
            <v>-1.2389637623941629E-2</v>
          </cell>
          <cell r="BF77">
            <v>0.12620491217528862</v>
          </cell>
          <cell r="BG77">
            <v>-0.1765316026980317</v>
          </cell>
          <cell r="BH77">
            <v>-0.15</v>
          </cell>
          <cell r="BI77">
            <v>-0.09</v>
          </cell>
          <cell r="BJ77">
            <v>-0.04</v>
          </cell>
        </row>
        <row r="78">
          <cell r="A78" t="str">
            <v>% sequential growth</v>
          </cell>
          <cell r="AA78">
            <v>4.4776119402984982E-2</v>
          </cell>
          <cell r="AB78">
            <v>0</v>
          </cell>
          <cell r="AC78">
            <v>-6.821135714285715</v>
          </cell>
          <cell r="AD78">
            <v>-0.88895146872419351</v>
          </cell>
          <cell r="AE78">
            <v>5.6077348066298383E-2</v>
          </cell>
          <cell r="AF78">
            <v>-5.963902694219203E-2</v>
          </cell>
          <cell r="AG78">
            <v>-0.24311543810848391</v>
          </cell>
          <cell r="AH78">
            <v>0.35244395442851872</v>
          </cell>
          <cell r="AI78">
            <v>-8.8203804347826043E-2</v>
          </cell>
          <cell r="AJ78">
            <v>4.4776119402984982E-2</v>
          </cell>
          <cell r="AK78">
            <v>0</v>
          </cell>
          <cell r="AL78">
            <v>-6.821135714285715</v>
          </cell>
          <cell r="AM78">
            <v>-0.88895146872419351</v>
          </cell>
          <cell r="AN78">
            <v>5.6077348066298383E-2</v>
          </cell>
          <cell r="AO78">
            <v>-5.963902694219203E-2</v>
          </cell>
          <cell r="AP78">
            <v>-0.24311543810848391</v>
          </cell>
          <cell r="AQ78">
            <v>0.35244395442851872</v>
          </cell>
          <cell r="AR78">
            <v>-8.8203804347826043E-2</v>
          </cell>
          <cell r="AS78">
            <v>-0.32614792231053757</v>
          </cell>
          <cell r="AT78">
            <v>-8.8733110722893693E-2</v>
          </cell>
          <cell r="AU78">
            <v>0.20470583667407616</v>
          </cell>
          <cell r="AV78">
            <v>3.7704596728708628E-2</v>
          </cell>
          <cell r="AW78">
            <v>-9.5118902048841436E-2</v>
          </cell>
          <cell r="AX78">
            <v>-6.4573551217101177E-2</v>
          </cell>
          <cell r="AY78">
            <v>0.1364101900813528</v>
          </cell>
          <cell r="AZ78">
            <v>-7.5531664587444536E-2</v>
          </cell>
          <cell r="BA78">
            <v>-9.6047009576673337E-2</v>
          </cell>
          <cell r="BB78">
            <v>-6.9725255052174973E-2</v>
          </cell>
          <cell r="BC78">
            <v>3.9799794841721914E-2</v>
          </cell>
          <cell r="BD78">
            <v>0.11369228361050765</v>
          </cell>
          <cell r="BE78">
            <v>-8.3231950583878556E-2</v>
          </cell>
          <cell r="BF78">
            <v>6.0823202494834527E-2</v>
          </cell>
          <cell r="BG78">
            <v>-0.23971005514495758</v>
          </cell>
          <cell r="BH78">
            <v>0.14957470641316695</v>
          </cell>
          <cell r="BI78">
            <v>-1.8518911801564064E-2</v>
          </cell>
          <cell r="BJ78">
            <v>0.11911019164290226</v>
          </cell>
        </row>
        <row r="79">
          <cell r="A79" t="str">
            <v>% enterprise data revenues</v>
          </cell>
          <cell r="F79">
            <v>0.41399999999999998</v>
          </cell>
          <cell r="G79">
            <v>0.37046311254711906</v>
          </cell>
          <cell r="H79">
            <v>0.30744125609095829</v>
          </cell>
          <cell r="I79">
            <v>0.41399999999999998</v>
          </cell>
          <cell r="J79">
            <v>0.37046311254711906</v>
          </cell>
          <cell r="K79">
            <v>0.30744125609095829</v>
          </cell>
          <cell r="L79">
            <v>0.25820429978413384</v>
          </cell>
          <cell r="M79">
            <v>0.254499268191057</v>
          </cell>
          <cell r="N79">
            <v>0.2588094892144609</v>
          </cell>
          <cell r="O79">
            <v>0.24979809386199509</v>
          </cell>
          <cell r="P79">
            <v>0.25035346084106785</v>
          </cell>
          <cell r="Q79">
            <v>0.24831072236811161</v>
          </cell>
          <cell r="R79">
            <v>0.24671480293651085</v>
          </cell>
          <cell r="S79">
            <v>0.24459576021890508</v>
          </cell>
          <cell r="T79">
            <v>0.24232519465005101</v>
          </cell>
          <cell r="U79">
            <v>0.23977869401151033</v>
          </cell>
          <cell r="AD79">
            <v>0.38347457627118642</v>
          </cell>
          <cell r="AE79">
            <v>0.39250513347022586</v>
          </cell>
          <cell r="AF79">
            <v>0.3800211416490486</v>
          </cell>
          <cell r="AG79">
            <v>0.32011764705882356</v>
          </cell>
          <cell r="AH79">
            <v>0.38016528925619836</v>
          </cell>
          <cell r="AI79">
            <v>0.35925160599571732</v>
          </cell>
          <cell r="AJ79">
            <v>0.25405056179775271</v>
          </cell>
          <cell r="AK79">
            <v>0.22842793791574284</v>
          </cell>
          <cell r="AL79">
            <v>0.26863636363636367</v>
          </cell>
          <cell r="AM79">
            <v>0.38347457627118642</v>
          </cell>
          <cell r="AN79">
            <v>0.39250513347022586</v>
          </cell>
          <cell r="AO79">
            <v>0.3800211416490486</v>
          </cell>
          <cell r="AP79">
            <v>0.32011764705882356</v>
          </cell>
          <cell r="AQ79">
            <v>0.38016528925619836</v>
          </cell>
          <cell r="AR79">
            <v>0.35925160599571732</v>
          </cell>
          <cell r="AS79">
            <v>0.25405056179775271</v>
          </cell>
          <cell r="AT79">
            <v>0.22842793791574284</v>
          </cell>
          <cell r="AU79">
            <v>0.26863636363636367</v>
          </cell>
          <cell r="AV79">
            <v>0.27637235515021469</v>
          </cell>
          <cell r="AW79">
            <v>0.25170453563714901</v>
          </cell>
          <cell r="AX79">
            <v>0.23596071428571427</v>
          </cell>
          <cell r="AY79">
            <v>0.2740806415929205</v>
          </cell>
          <cell r="AZ79">
            <v>0.26147774263698637</v>
          </cell>
          <cell r="BA79">
            <v>0.24245257909836071</v>
          </cell>
          <cell r="BB79">
            <v>0.23779947475308652</v>
          </cell>
          <cell r="BC79">
            <v>0.24306276031553414</v>
          </cell>
          <cell r="BD79">
            <v>0.26554098496607154</v>
          </cell>
          <cell r="BE79">
            <v>0.25433976653606971</v>
          </cell>
          <cell r="BF79">
            <v>0.2725211791827889</v>
          </cell>
          <cell r="BG79">
            <v>0.21990307918000015</v>
          </cell>
          <cell r="BH79">
            <v>0.24861051637213671</v>
          </cell>
          <cell r="BI79">
            <v>0.25061144871384655</v>
          </cell>
          <cell r="BJ79">
            <v>0.28039293249133773</v>
          </cell>
        </row>
        <row r="80">
          <cell r="A80" t="str">
            <v>Total enterprise data services revenues</v>
          </cell>
          <cell r="E80">
            <v>1696</v>
          </cell>
          <cell r="F80">
            <v>1937</v>
          </cell>
          <cell r="G80">
            <v>1857</v>
          </cell>
          <cell r="H80">
            <v>1696</v>
          </cell>
          <cell r="I80">
            <v>1937</v>
          </cell>
          <cell r="J80">
            <v>1857</v>
          </cell>
          <cell r="K80">
            <v>1847</v>
          </cell>
          <cell r="L80">
            <v>1853</v>
          </cell>
          <cell r="M80">
            <v>1722</v>
          </cell>
          <cell r="N80">
            <v>1631.9999999999998</v>
          </cell>
          <cell r="O80">
            <v>1498.9275781609126</v>
          </cell>
          <cell r="P80">
            <v>1450.7343860386568</v>
          </cell>
          <cell r="Q80">
            <v>1418.7888453502592</v>
          </cell>
          <cell r="R80">
            <v>1385.1275420728612</v>
          </cell>
          <cell r="S80">
            <v>1355.2136972049034</v>
          </cell>
          <cell r="T80">
            <v>1326.8745714016143</v>
          </cell>
          <cell r="U80">
            <v>1300.7372732307663</v>
          </cell>
          <cell r="V80">
            <v>-4.1937703602285659E-2</v>
          </cell>
          <cell r="Z80">
            <v>0</v>
          </cell>
          <cell r="AA80">
            <v>0</v>
          </cell>
          <cell r="AB80">
            <v>0</v>
          </cell>
          <cell r="AC80">
            <v>0</v>
          </cell>
          <cell r="AD80">
            <v>472</v>
          </cell>
          <cell r="AE80">
            <v>390</v>
          </cell>
          <cell r="AF80">
            <v>401</v>
          </cell>
          <cell r="AG80">
            <v>426</v>
          </cell>
          <cell r="AH80">
            <v>479</v>
          </cell>
          <cell r="AI80">
            <v>0</v>
          </cell>
          <cell r="AJ80">
            <v>0</v>
          </cell>
          <cell r="AK80">
            <v>0</v>
          </cell>
          <cell r="AL80">
            <v>0</v>
          </cell>
          <cell r="AM80">
            <v>472</v>
          </cell>
          <cell r="AN80">
            <v>487</v>
          </cell>
          <cell r="AO80">
            <v>473</v>
          </cell>
          <cell r="AP80">
            <v>425</v>
          </cell>
          <cell r="AQ80">
            <v>484</v>
          </cell>
          <cell r="AR80">
            <v>467</v>
          </cell>
          <cell r="AS80">
            <v>445</v>
          </cell>
          <cell r="AT80">
            <v>451</v>
          </cell>
          <cell r="AU80">
            <v>462</v>
          </cell>
          <cell r="AV80">
            <v>466</v>
          </cell>
          <cell r="AW80">
            <v>463</v>
          </cell>
          <cell r="AX80">
            <v>462</v>
          </cell>
          <cell r="AY80">
            <v>452</v>
          </cell>
          <cell r="AZ80">
            <v>438</v>
          </cell>
          <cell r="BA80">
            <v>427</v>
          </cell>
          <cell r="BB80">
            <v>405</v>
          </cell>
          <cell r="BC80">
            <v>412</v>
          </cell>
          <cell r="BD80">
            <v>420</v>
          </cell>
          <cell r="BE80">
            <v>402</v>
          </cell>
          <cell r="BF80">
            <v>398</v>
          </cell>
          <cell r="BG80">
            <v>375</v>
          </cell>
          <cell r="BH80">
            <v>381.31183272628499</v>
          </cell>
          <cell r="BI80">
            <v>371.26226224590005</v>
          </cell>
          <cell r="BJ80">
            <v>371.35348318872747</v>
          </cell>
          <cell r="BM80">
            <v>0</v>
          </cell>
          <cell r="BN80">
            <v>0</v>
          </cell>
        </row>
        <row r="81">
          <cell r="A81" t="str">
            <v>% growth</v>
          </cell>
          <cell r="F81">
            <v>0.14209905660377364</v>
          </cell>
          <cell r="G81">
            <v>-4.1300980898296369E-2</v>
          </cell>
          <cell r="H81">
            <v>-5.3850296176628509E-3</v>
          </cell>
          <cell r="I81">
            <v>0.14209905660377364</v>
          </cell>
          <cell r="J81">
            <v>-4.1300980898296369E-2</v>
          </cell>
          <cell r="K81">
            <v>-5.3850296176628509E-3</v>
          </cell>
          <cell r="L81">
            <v>3.2485110990796429E-3</v>
          </cell>
          <cell r="M81">
            <v>-7.0696168375607105E-2</v>
          </cell>
          <cell r="N81">
            <v>-5.2264808362369464E-2</v>
          </cell>
          <cell r="O81">
            <v>-8.1539474166107295E-2</v>
          </cell>
          <cell r="P81">
            <v>-3.2151781596670426E-2</v>
          </cell>
          <cell r="Q81">
            <v>-2.2020254703982944E-2</v>
          </cell>
          <cell r="R81">
            <v>-2.3725379141311231E-2</v>
          </cell>
          <cell r="S81">
            <v>-2.1596455170612927E-2</v>
          </cell>
          <cell r="T81">
            <v>-2.0911186082119615E-2</v>
          </cell>
          <cell r="U81">
            <v>-1.9698394056371415E-2</v>
          </cell>
          <cell r="AH81">
            <v>2.5423728813559254E-2</v>
          </cell>
          <cell r="AI81">
            <v>-4.1067761806981573E-2</v>
          </cell>
          <cell r="AJ81">
            <v>-5.9196617336152224E-2</v>
          </cell>
          <cell r="AK81">
            <v>6.1176470588235388E-2</v>
          </cell>
          <cell r="AL81">
            <v>-4.5454545454545414E-2</v>
          </cell>
          <cell r="AM81">
            <v>-2.1413276231263545E-3</v>
          </cell>
          <cell r="AN81">
            <v>4.0449438202247112E-2</v>
          </cell>
          <cell r="AO81">
            <v>2.4390243902439046E-2</v>
          </cell>
          <cell r="AP81">
            <v>-2.1645021645021689E-2</v>
          </cell>
          <cell r="AQ81">
            <v>2.5423728813559254E-2</v>
          </cell>
          <cell r="AR81">
            <v>-4.1067761806981573E-2</v>
          </cell>
          <cell r="AS81">
            <v>-5.9196617336152224E-2</v>
          </cell>
          <cell r="AT81">
            <v>6.1176470588235388E-2</v>
          </cell>
          <cell r="AU81">
            <v>-4.5454545454545414E-2</v>
          </cell>
          <cell r="AV81">
            <v>-2.1413276231263545E-3</v>
          </cell>
          <cell r="AW81">
            <v>4.0449438202247112E-2</v>
          </cell>
          <cell r="AX81">
            <v>2.4390243902439046E-2</v>
          </cell>
          <cell r="AY81">
            <v>-2.1645021645021689E-2</v>
          </cell>
          <cell r="AZ81">
            <v>-6.0085836909871237E-2</v>
          </cell>
          <cell r="BA81">
            <v>-7.7753779697624203E-2</v>
          </cell>
          <cell r="BB81">
            <v>-0.12337662337662336</v>
          </cell>
          <cell r="BC81">
            <v>-8.8495575221238965E-2</v>
          </cell>
          <cell r="BD81">
            <v>-4.1095890410958957E-2</v>
          </cell>
          <cell r="BE81">
            <v>-5.8548009367681453E-2</v>
          </cell>
          <cell r="BF81">
            <v>-1.7283950617283939E-2</v>
          </cell>
          <cell r="BG81">
            <v>-8.9805825242718407E-2</v>
          </cell>
          <cell r="BH81">
            <v>-9.211468398503575E-2</v>
          </cell>
          <cell r="BI81">
            <v>-7.6462034214178964E-2</v>
          </cell>
          <cell r="BJ81">
            <v>-6.6951047264503849E-2</v>
          </cell>
        </row>
        <row r="82">
          <cell r="A82" t="str">
            <v>% sequential growth</v>
          </cell>
          <cell r="AE82">
            <v>3.1779661016949179E-2</v>
          </cell>
          <cell r="AF82">
            <v>-2.8747433264887046E-2</v>
          </cell>
          <cell r="AG82">
            <v>-0.10147991543340384</v>
          </cell>
          <cell r="AH82">
            <v>0.13882352941176479</v>
          </cell>
          <cell r="AI82">
            <v>-3.512396694214881E-2</v>
          </cell>
          <cell r="AJ82">
            <v>-4.7109207708779466E-2</v>
          </cell>
          <cell r="AK82">
            <v>1.348314606741563E-2</v>
          </cell>
          <cell r="AL82">
            <v>2.4390243902439046E-2</v>
          </cell>
          <cell r="AM82">
            <v>8.6580086580085869E-3</v>
          </cell>
          <cell r="AN82">
            <v>3.1779661016949179E-2</v>
          </cell>
          <cell r="AO82">
            <v>-2.8747433264887046E-2</v>
          </cell>
          <cell r="AP82">
            <v>-0.10147991543340384</v>
          </cell>
          <cell r="AQ82">
            <v>0.13882352941176479</v>
          </cell>
          <cell r="AR82">
            <v>-3.512396694214881E-2</v>
          </cell>
          <cell r="AS82">
            <v>-4.7109207708779466E-2</v>
          </cell>
          <cell r="AT82">
            <v>1.348314606741563E-2</v>
          </cell>
          <cell r="AU82">
            <v>2.4390243902439046E-2</v>
          </cell>
          <cell r="AV82">
            <v>8.6580086580085869E-3</v>
          </cell>
          <cell r="AW82">
            <v>-6.4377682403433667E-3</v>
          </cell>
          <cell r="AX82">
            <v>-2.1598272138229069E-3</v>
          </cell>
          <cell r="AY82">
            <v>-2.1645021645021689E-2</v>
          </cell>
          <cell r="AZ82">
            <v>-3.0973451327433676E-2</v>
          </cell>
          <cell r="BA82">
            <v>-2.5114155251141579E-2</v>
          </cell>
          <cell r="BB82">
            <v>-5.1522248243559665E-2</v>
          </cell>
          <cell r="BC82">
            <v>1.7283950617283939E-2</v>
          </cell>
          <cell r="BD82">
            <v>1.9417475728155331E-2</v>
          </cell>
          <cell r="BE82">
            <v>-4.2857142857142816E-2</v>
          </cell>
          <cell r="BF82">
            <v>-9.9502487562188602E-3</v>
          </cell>
          <cell r="BG82">
            <v>-5.7788944723618063E-2</v>
          </cell>
          <cell r="BH82">
            <v>1.6831553936760058E-2</v>
          </cell>
          <cell r="BI82">
            <v>-2.6355254722973065E-2</v>
          </cell>
          <cell r="BJ82">
            <v>2.4570486177499795E-4</v>
          </cell>
        </row>
        <row r="84">
          <cell r="A84" t="str">
            <v>GLOBAL MARKETS GROUP - VOICE</v>
          </cell>
        </row>
        <row r="86">
          <cell r="A86" t="str">
            <v>Voice Services</v>
          </cell>
        </row>
        <row r="87">
          <cell r="A87" t="str">
            <v>Consumer voice revenue</v>
          </cell>
          <cell r="E87">
            <v>1880.8665300471807</v>
          </cell>
          <cell r="F87">
            <v>1730.3972076434063</v>
          </cell>
          <cell r="G87">
            <v>2077.8550169999999</v>
          </cell>
          <cell r="H87">
            <v>1880.8665300471807</v>
          </cell>
          <cell r="I87">
            <v>1730.3972076434063</v>
          </cell>
          <cell r="J87">
            <v>2077.8550169999999</v>
          </cell>
          <cell r="K87">
            <v>1580.1362624335861</v>
          </cell>
          <cell r="L87">
            <v>1161.120385440418</v>
          </cell>
          <cell r="M87">
            <v>892.32900925803267</v>
          </cell>
          <cell r="N87">
            <v>753.47508666717818</v>
          </cell>
          <cell r="O87">
            <v>581.97922256043807</v>
          </cell>
          <cell r="P87">
            <v>621.43256690045212</v>
          </cell>
          <cell r="Q87">
            <v>561.3773236351924</v>
          </cell>
          <cell r="R87">
            <v>505.23959127167319</v>
          </cell>
          <cell r="S87">
            <v>454.71563214450589</v>
          </cell>
          <cell r="T87">
            <v>409.24406893005533</v>
          </cell>
          <cell r="U87">
            <v>368.3196620370498</v>
          </cell>
          <cell r="Z87">
            <v>552.859375</v>
          </cell>
          <cell r="AA87">
            <v>585.65131578947364</v>
          </cell>
          <cell r="AB87">
            <v>591.88651685393256</v>
          </cell>
          <cell r="AC87">
            <v>0</v>
          </cell>
          <cell r="AD87">
            <v>530.745</v>
          </cell>
          <cell r="AE87">
            <v>534.11400000000003</v>
          </cell>
          <cell r="AF87">
            <v>526.779</v>
          </cell>
          <cell r="AG87">
            <v>486.217017</v>
          </cell>
          <cell r="AH87">
            <v>449.75074072500001</v>
          </cell>
          <cell r="AI87">
            <v>552.859375</v>
          </cell>
          <cell r="AJ87">
            <v>585.65131578947364</v>
          </cell>
          <cell r="AK87">
            <v>591.88651685393256</v>
          </cell>
          <cell r="AL87">
            <v>0</v>
          </cell>
          <cell r="AM87">
            <v>530.745</v>
          </cell>
          <cell r="AN87">
            <v>534.11400000000003</v>
          </cell>
          <cell r="AO87">
            <v>526.779</v>
          </cell>
          <cell r="AP87">
            <v>486.217017</v>
          </cell>
          <cell r="AQ87">
            <v>449.75074072500001</v>
          </cell>
          <cell r="AR87">
            <v>400.27815924525004</v>
          </cell>
          <cell r="AS87">
            <v>380.26425128298752</v>
          </cell>
          <cell r="AT87">
            <v>349.84311118034856</v>
          </cell>
          <cell r="AU87">
            <v>323.82053332200002</v>
          </cell>
          <cell r="AV87">
            <v>272.18914828676998</v>
          </cell>
          <cell r="AW87">
            <v>292.80347348790042</v>
          </cell>
          <cell r="AX87">
            <v>272.30723034374739</v>
          </cell>
          <cell r="AY87">
            <v>239.63036270249771</v>
          </cell>
          <cell r="AZ87">
            <v>227.64884456737281</v>
          </cell>
          <cell r="BA87">
            <v>220.81937923035161</v>
          </cell>
          <cell r="BB87">
            <v>204.23042275781054</v>
          </cell>
          <cell r="BC87">
            <v>201.28950467009807</v>
          </cell>
          <cell r="BD87">
            <v>191.22502943659316</v>
          </cell>
          <cell r="BE87">
            <v>183.28008476119183</v>
          </cell>
          <cell r="BF87">
            <v>177.68046779929517</v>
          </cell>
          <cell r="BG87">
            <v>110.70922756855394</v>
          </cell>
          <cell r="BH87">
            <v>164.4535253154701</v>
          </cell>
          <cell r="BI87">
            <v>155.78807204701306</v>
          </cell>
          <cell r="BJ87">
            <v>151.0283976294009</v>
          </cell>
          <cell r="BM87">
            <v>0</v>
          </cell>
          <cell r="BN87">
            <v>0</v>
          </cell>
          <cell r="BO87">
            <v>0</v>
          </cell>
        </row>
        <row r="88">
          <cell r="A88" t="str">
            <v>% y/y growth</v>
          </cell>
          <cell r="F88">
            <v>-7.999999999999996E-2</v>
          </cell>
          <cell r="G88">
            <v>0.2007965615188374</v>
          </cell>
          <cell r="H88">
            <v>-0.23953488116077437</v>
          </cell>
          <cell r="I88">
            <v>-7.999999999999996E-2</v>
          </cell>
          <cell r="J88">
            <v>0.2007965615188374</v>
          </cell>
          <cell r="K88">
            <v>-0.23953488116077437</v>
          </cell>
          <cell r="L88">
            <v>-0.26517705273584247</v>
          </cell>
          <cell r="M88">
            <v>-0.23149311609099998</v>
          </cell>
          <cell r="N88">
            <v>-0.15560843719102091</v>
          </cell>
          <cell r="O88">
            <v>-0.22760654883137832</v>
          </cell>
          <cell r="P88">
            <v>6.7791671610607729E-2</v>
          </cell>
          <cell r="Q88">
            <v>-9.6640000000000059E-2</v>
          </cell>
          <cell r="R88">
            <v>-9.9999999999999978E-2</v>
          </cell>
          <cell r="S88">
            <v>-9.9999999999999978E-2</v>
          </cell>
          <cell r="T88">
            <v>-9.9999999999999978E-2</v>
          </cell>
          <cell r="U88">
            <v>-9.9999999999999978E-2</v>
          </cell>
          <cell r="AD88">
            <v>-0.04</v>
          </cell>
          <cell r="AE88">
            <v>-8.7999999999999995E-2</v>
          </cell>
          <cell r="AF88">
            <v>-0.11</v>
          </cell>
          <cell r="AH88">
            <v>-0.15260484653647233</v>
          </cell>
          <cell r="AI88">
            <v>-0.25057542164172819</v>
          </cell>
          <cell r="AJ88">
            <v>-0.27813323749999996</v>
          </cell>
          <cell r="AK88">
            <v>-0.28047949999999988</v>
          </cell>
          <cell r="AL88">
            <v>-0.28000000000000003</v>
          </cell>
          <cell r="AM88">
            <v>-0.04</v>
          </cell>
          <cell r="AN88">
            <v>-8.7999999999999995E-2</v>
          </cell>
          <cell r="AO88">
            <v>-0.11</v>
          </cell>
          <cell r="AP88">
            <v>-0.25999021666666655</v>
          </cell>
          <cell r="AQ88">
            <v>-0.15260484653647233</v>
          </cell>
          <cell r="AR88">
            <v>-0.25057542164172819</v>
          </cell>
          <cell r="AS88">
            <v>-0.27813323749999996</v>
          </cell>
          <cell r="AT88">
            <v>-0.28047949999999988</v>
          </cell>
          <cell r="AU88">
            <v>-0.28000000000000003</v>
          </cell>
          <cell r="AV88">
            <v>-0.32000000000000017</v>
          </cell>
          <cell r="AW88">
            <v>-0.22999999999999987</v>
          </cell>
          <cell r="AX88">
            <v>-0.22163043478260869</v>
          </cell>
          <cell r="AY88">
            <v>-0.25999021666666655</v>
          </cell>
          <cell r="AZ88">
            <v>-0.16363732352941163</v>
          </cell>
          <cell r="BA88">
            <v>-0.24584440000000007</v>
          </cell>
          <cell r="BB88">
            <v>-0.25</v>
          </cell>
          <cell r="BC88">
            <v>-0.16000000000000003</v>
          </cell>
          <cell r="BD88">
            <v>-0.16000000000000003</v>
          </cell>
          <cell r="BE88">
            <v>-0.17000000000000004</v>
          </cell>
          <cell r="BF88">
            <v>-0.13</v>
          </cell>
          <cell r="BG88">
            <v>-0.44999999999999996</v>
          </cell>
          <cell r="BH88">
            <v>-0.14000000000000012</v>
          </cell>
          <cell r="BI88">
            <v>-0.15000000000000002</v>
          </cell>
          <cell r="BJ88">
            <v>-0.15000000000000002</v>
          </cell>
        </row>
        <row r="89">
          <cell r="A89" t="str">
            <v>% q/q growth</v>
          </cell>
          <cell r="AA89">
            <v>5.9313348515567244E-2</v>
          </cell>
          <cell r="AB89">
            <v>1.0646609845063937E-2</v>
          </cell>
          <cell r="AC89">
            <v>-1</v>
          </cell>
          <cell r="AE89">
            <v>6.3476810897888925E-3</v>
          </cell>
          <cell r="AF89">
            <v>-1.3733023287163526E-2</v>
          </cell>
          <cell r="AG89">
            <v>-7.6999999999999999E-2</v>
          </cell>
          <cell r="AH89">
            <v>-7.4999999999999997E-2</v>
          </cell>
          <cell r="AI89">
            <v>-0.11</v>
          </cell>
          <cell r="AJ89">
            <v>5.9313348515567244E-2</v>
          </cell>
          <cell r="AK89">
            <v>1.0646609845063937E-2</v>
          </cell>
          <cell r="AL89">
            <v>-1</v>
          </cell>
          <cell r="AM89">
            <v>-0.15944444444444461</v>
          </cell>
          <cell r="AN89">
            <v>6.3476810897888925E-3</v>
          </cell>
          <cell r="AO89">
            <v>-1.3733023287163526E-2</v>
          </cell>
          <cell r="AP89">
            <v>-7.6999999999999999E-2</v>
          </cell>
          <cell r="AQ89">
            <v>-7.4999999999999997E-2</v>
          </cell>
          <cell r="AR89">
            <v>-0.11</v>
          </cell>
          <cell r="AS89">
            <v>-0.05</v>
          </cell>
          <cell r="AT89">
            <v>-7.9999999999999849E-2</v>
          </cell>
          <cell r="AU89">
            <v>-7.4383565165968224E-2</v>
          </cell>
          <cell r="AV89">
            <v>-0.15944444444444461</v>
          </cell>
          <cell r="AW89">
            <v>7.5735294117647234E-2</v>
          </cell>
          <cell r="AX89">
            <v>-6.9999999999999951E-2</v>
          </cell>
          <cell r="AY89">
            <v>-0.12</v>
          </cell>
          <cell r="AZ89">
            <v>-5.0000000000000044E-2</v>
          </cell>
          <cell r="BA89">
            <v>-3.0000000000000027E-2</v>
          </cell>
          <cell r="BB89">
            <v>-7.5124549893947568E-2</v>
          </cell>
          <cell r="BC89">
            <v>-1.4399999999999968E-2</v>
          </cell>
          <cell r="BD89">
            <v>-5.0000000000000044E-2</v>
          </cell>
          <cell r="BE89">
            <v>-4.1547619047619166E-2</v>
          </cell>
          <cell r="BF89">
            <v>-3.0552239045463003E-2</v>
          </cell>
          <cell r="BG89">
            <v>-0.37691954022988505</v>
          </cell>
          <cell r="BH89">
            <v>0.48545454545454514</v>
          </cell>
          <cell r="BI89">
            <v>-5.269241417497228E-2</v>
          </cell>
          <cell r="BJ89">
            <v>-3.0552239045463003E-2</v>
          </cell>
        </row>
        <row r="90">
          <cell r="A90" t="str">
            <v>% total voice revenues</v>
          </cell>
          <cell r="E90">
            <v>0.25263485964367771</v>
          </cell>
          <cell r="F90">
            <v>0.24392404956912972</v>
          </cell>
          <cell r="G90">
            <v>0.31435022950075642</v>
          </cell>
          <cell r="H90">
            <v>0.25263485964367771</v>
          </cell>
          <cell r="I90">
            <v>0.24392404956912972</v>
          </cell>
          <cell r="J90">
            <v>0.31435022950075642</v>
          </cell>
          <cell r="K90">
            <v>0.27394872788377012</v>
          </cell>
          <cell r="L90">
            <v>0.23227053119432245</v>
          </cell>
          <cell r="M90">
            <v>0.19568618624079664</v>
          </cell>
          <cell r="N90">
            <v>0.17884526149232807</v>
          </cell>
          <cell r="O90">
            <v>0.14602093593688095</v>
          </cell>
          <cell r="P90">
            <v>0.19907706176732642</v>
          </cell>
          <cell r="Q90">
            <v>0.1988665873544587</v>
          </cell>
          <cell r="R90">
            <v>0.1952252364198212</v>
          </cell>
          <cell r="S90">
            <v>0.19050926396467222</v>
          </cell>
          <cell r="T90">
            <v>0.18562772679561368</v>
          </cell>
          <cell r="U90">
            <v>0.18137585802712505</v>
          </cell>
          <cell r="AC90">
            <v>0.32</v>
          </cell>
          <cell r="AD90">
            <v>0.3075</v>
          </cell>
          <cell r="AE90">
            <v>0.314</v>
          </cell>
          <cell r="AF90">
            <v>0.313</v>
          </cell>
          <cell r="AG90">
            <v>0.32414467800000002</v>
          </cell>
          <cell r="AH90">
            <v>0.29280647182617187</v>
          </cell>
          <cell r="AI90">
            <v>0.27266904580739104</v>
          </cell>
          <cell r="AJ90">
            <v>0.26536235260501573</v>
          </cell>
          <cell r="AK90">
            <v>0.2628423074232521</v>
          </cell>
          <cell r="AL90">
            <v>0.32</v>
          </cell>
          <cell r="AM90">
            <v>0.3075</v>
          </cell>
          <cell r="AN90">
            <v>0.314</v>
          </cell>
          <cell r="AO90">
            <v>0.313</v>
          </cell>
          <cell r="AP90">
            <v>0.32414467800000002</v>
          </cell>
          <cell r="AQ90">
            <v>0.29280647182617187</v>
          </cell>
          <cell r="AR90">
            <v>0.27266904580739104</v>
          </cell>
          <cell r="AS90">
            <v>0.26536235260501573</v>
          </cell>
          <cell r="AT90">
            <v>0.2628423074232521</v>
          </cell>
          <cell r="AU90">
            <v>0.25044124773549886</v>
          </cell>
          <cell r="AV90">
            <v>0.2188015661469212</v>
          </cell>
          <cell r="AW90">
            <v>0.23556192557353212</v>
          </cell>
          <cell r="AX90">
            <v>0.22338575089724971</v>
          </cell>
          <cell r="AY90">
            <v>0.20204920969856469</v>
          </cell>
          <cell r="AZ90">
            <v>0.19557460873485635</v>
          </cell>
          <cell r="BA90">
            <v>0.19524259878899347</v>
          </cell>
          <cell r="BB90">
            <v>0.18927750023893469</v>
          </cell>
          <cell r="BC90">
            <v>0.18900422973718128</v>
          </cell>
          <cell r="BD90">
            <v>0.18142792166659694</v>
          </cell>
          <cell r="BE90">
            <v>0.16892173710708924</v>
          </cell>
          <cell r="BF90">
            <v>0.17609560733329552</v>
          </cell>
          <cell r="BG90">
            <v>0.10972173198072739</v>
          </cell>
          <cell r="BH90">
            <v>0.16560347128149758</v>
          </cell>
          <cell r="BI90">
            <v>0.15592136543959412</v>
          </cell>
          <cell r="BJ90">
            <v>0.15342389911392079</v>
          </cell>
        </row>
        <row r="91">
          <cell r="A91" t="str">
            <v>Business voice revenue</v>
          </cell>
          <cell r="E91">
            <v>9960.1680072085292</v>
          </cell>
          <cell r="F91">
            <v>2621.6769842397457</v>
          </cell>
          <cell r="G91">
            <v>3261.3644415343915</v>
          </cell>
          <cell r="H91">
            <v>9960.1680072085292</v>
          </cell>
          <cell r="I91">
            <v>2621.6769842397457</v>
          </cell>
          <cell r="J91">
            <v>3261.3644415343915</v>
          </cell>
          <cell r="K91">
            <v>2850.8382692915711</v>
          </cell>
          <cell r="L91">
            <v>2519.3600962556179</v>
          </cell>
          <cell r="M91">
            <v>2270.3918834365386</v>
          </cell>
          <cell r="N91">
            <v>1810.6234863500142</v>
          </cell>
          <cell r="O91">
            <v>2069.7247895275532</v>
          </cell>
          <cell r="P91">
            <v>1086.2188019442776</v>
          </cell>
          <cell r="Q91">
            <v>791.03355812046379</v>
          </cell>
          <cell r="R91">
            <v>568.15600478474028</v>
          </cell>
          <cell r="S91">
            <v>402.39372634069736</v>
          </cell>
          <cell r="T91">
            <v>280.96946179377562</v>
          </cell>
          <cell r="U91">
            <v>193.37586517839972</v>
          </cell>
          <cell r="Z91">
            <v>885.1282051282052</v>
          </cell>
          <cell r="AA91">
            <v>870.17671517671522</v>
          </cell>
          <cell r="AB91">
            <v>866.37206393482541</v>
          </cell>
          <cell r="AC91">
            <v>0</v>
          </cell>
          <cell r="AD91">
            <v>863</v>
          </cell>
          <cell r="AE91">
            <v>837.11</v>
          </cell>
          <cell r="AF91">
            <v>828.25169312169305</v>
          </cell>
          <cell r="AG91">
            <v>733.00274841269834</v>
          </cell>
          <cell r="AH91">
            <v>747.66280338095237</v>
          </cell>
          <cell r="AI91">
            <v>885.1282051282052</v>
          </cell>
          <cell r="AJ91">
            <v>870.17671517671522</v>
          </cell>
          <cell r="AK91">
            <v>866.37206393482541</v>
          </cell>
          <cell r="AL91">
            <v>0</v>
          </cell>
          <cell r="AM91">
            <v>863</v>
          </cell>
          <cell r="AN91">
            <v>837.11</v>
          </cell>
          <cell r="AO91">
            <v>828.25169312169305</v>
          </cell>
          <cell r="AP91">
            <v>733.00274841269834</v>
          </cell>
          <cell r="AQ91">
            <v>747.66280338095237</v>
          </cell>
          <cell r="AR91">
            <v>747.66280338095237</v>
          </cell>
          <cell r="AS91">
            <v>691.58809312738094</v>
          </cell>
          <cell r="AT91">
            <v>663.92456940228567</v>
          </cell>
          <cell r="AU91">
            <v>642.99001090761908</v>
          </cell>
          <cell r="AV91">
            <v>636.56011079854284</v>
          </cell>
          <cell r="AW91">
            <v>629.34516474591669</v>
          </cell>
          <cell r="AX91">
            <v>610.4648098035392</v>
          </cell>
          <cell r="AY91">
            <v>586.04621741139761</v>
          </cell>
          <cell r="AZ91">
            <v>568.46483088905563</v>
          </cell>
          <cell r="BA91">
            <v>554.25321011682922</v>
          </cell>
          <cell r="BB91">
            <v>561.62762501925613</v>
          </cell>
          <cell r="BC91">
            <v>468.83697392911813</v>
          </cell>
          <cell r="BD91">
            <v>454.77186471124452</v>
          </cell>
          <cell r="BE91">
            <v>448.94510019463172</v>
          </cell>
          <cell r="BF91">
            <v>438.06954751501979</v>
          </cell>
          <cell r="BG91">
            <v>897.82280507426128</v>
          </cell>
          <cell r="BH91">
            <v>400.19924094589516</v>
          </cell>
          <cell r="BI91">
            <v>390.58223716932957</v>
          </cell>
          <cell r="BJ91">
            <v>381.12050633806723</v>
          </cell>
          <cell r="BM91">
            <v>0</v>
          </cell>
          <cell r="BN91">
            <v>0</v>
          </cell>
          <cell r="BO91">
            <v>0</v>
          </cell>
        </row>
        <row r="92">
          <cell r="A92" t="str">
            <v>% y/y growth</v>
          </cell>
          <cell r="F92">
            <v>-0.73678385923386591</v>
          </cell>
          <cell r="G92">
            <v>0.24399934131479095</v>
          </cell>
          <cell r="H92">
            <v>-0.12587558968101031</v>
          </cell>
          <cell r="I92">
            <v>-0.73678385923386591</v>
          </cell>
          <cell r="J92">
            <v>0.24399934131479095</v>
          </cell>
          <cell r="K92">
            <v>-0.12587558968101031</v>
          </cell>
          <cell r="L92">
            <v>-0.11627393128769981</v>
          </cell>
          <cell r="M92">
            <v>-9.8822003725909102E-2</v>
          </cell>
          <cell r="N92">
            <v>-0.20250618425864175</v>
          </cell>
          <cell r="O92">
            <v>0.14310059773932027</v>
          </cell>
          <cell r="P92">
            <v>-0.47518684250178789</v>
          </cell>
          <cell r="Q92">
            <v>-0.27175486494566925</v>
          </cell>
          <cell r="R92">
            <v>-0.28175486494566926</v>
          </cell>
          <cell r="S92">
            <v>-0.29175486494566927</v>
          </cell>
          <cell r="T92">
            <v>-0.30175486494566928</v>
          </cell>
          <cell r="U92">
            <v>-0.31175486494566929</v>
          </cell>
          <cell r="AD92">
            <v>-2.5000000000000001E-2</v>
          </cell>
          <cell r="AE92">
            <v>-3.7999999999999999E-2</v>
          </cell>
          <cell r="AF92">
            <v>-4.3999999999999997E-2</v>
          </cell>
          <cell r="AH92">
            <v>-0.13364680952380958</v>
          </cell>
          <cell r="AI92">
            <v>-0.10685238095238103</v>
          </cell>
          <cell r="AJ92">
            <v>-0.16500249999999994</v>
          </cell>
          <cell r="AK92">
            <v>-9.423999999999999E-2</v>
          </cell>
          <cell r="AL92">
            <v>-0.1399999999999999</v>
          </cell>
          <cell r="AM92">
            <v>-2.5000000000000001E-2</v>
          </cell>
          <cell r="AN92">
            <v>-3.7999999999999999E-2</v>
          </cell>
          <cell r="AO92">
            <v>-4.3999999999999997E-2</v>
          </cell>
          <cell r="AP92">
            <v>-8.8560930232558177E-2</v>
          </cell>
          <cell r="AQ92">
            <v>-0.13364680952380958</v>
          </cell>
          <cell r="AR92">
            <v>-0.10685238095238103</v>
          </cell>
          <cell r="AS92">
            <v>-0.16500249999999994</v>
          </cell>
          <cell r="AT92">
            <v>-9.423999999999999E-2</v>
          </cell>
          <cell r="AU92">
            <v>-0.1399999999999999</v>
          </cell>
          <cell r="AV92">
            <v>-0.14860000000000007</v>
          </cell>
          <cell r="AW92">
            <v>-8.9999999999999969E-2</v>
          </cell>
          <cell r="AX92">
            <v>-8.0520833333333264E-2</v>
          </cell>
          <cell r="AY92">
            <v>-8.8560930232558177E-2</v>
          </cell>
          <cell r="AZ92">
            <v>-0.1069738407329105</v>
          </cell>
          <cell r="BA92">
            <v>-0.11931760000000013</v>
          </cell>
          <cell r="BB92">
            <v>-7.9999999999999849E-2</v>
          </cell>
          <cell r="BC92">
            <v>-0.19999999999999996</v>
          </cell>
          <cell r="BD92">
            <v>-0.19999999999999996</v>
          </cell>
          <cell r="BE92">
            <v>-0.18999999999999995</v>
          </cell>
          <cell r="BF92">
            <v>-0.21999999999999997</v>
          </cell>
          <cell r="BG92">
            <v>0.91500000000000004</v>
          </cell>
          <cell r="BH92">
            <v>-0.12</v>
          </cell>
          <cell r="BI92">
            <v>-0.13</v>
          </cell>
          <cell r="BJ92">
            <v>-0.13</v>
          </cell>
        </row>
        <row r="93">
          <cell r="A93" t="str">
            <v>% q/q growth</v>
          </cell>
          <cell r="AA93">
            <v>-1.6891891891891886E-2</v>
          </cell>
          <cell r="AB93">
            <v>-4.3722742467513509E-3</v>
          </cell>
          <cell r="AC93">
            <v>-1</v>
          </cell>
          <cell r="AE93">
            <v>-3.0000000000000027E-2</v>
          </cell>
          <cell r="AF93">
            <v>-1.0582010582010692E-2</v>
          </cell>
          <cell r="AG93">
            <v>-0.115</v>
          </cell>
          <cell r="AH93">
            <v>0.02</v>
          </cell>
          <cell r="AI93">
            <v>0</v>
          </cell>
          <cell r="AJ93">
            <v>-1.6891891891891886E-2</v>
          </cell>
          <cell r="AK93">
            <v>-4.3722742467513509E-3</v>
          </cell>
          <cell r="AL93">
            <v>-1</v>
          </cell>
          <cell r="AM93">
            <v>-1.000000000000012E-2</v>
          </cell>
          <cell r="AN93">
            <v>-3.0000000000000027E-2</v>
          </cell>
          <cell r="AO93">
            <v>-1.0582010582010692E-2</v>
          </cell>
          <cell r="AP93">
            <v>-0.115</v>
          </cell>
          <cell r="AQ93">
            <v>0.02</v>
          </cell>
          <cell r="AR93">
            <v>0</v>
          </cell>
          <cell r="AS93">
            <v>-7.4999999999999997E-2</v>
          </cell>
          <cell r="AT93">
            <v>-0.04</v>
          </cell>
          <cell r="AU93">
            <v>-3.1531531531531432E-2</v>
          </cell>
          <cell r="AV93">
            <v>-1.000000000000012E-2</v>
          </cell>
          <cell r="AW93">
            <v>-1.1334272962179925E-2</v>
          </cell>
          <cell r="AX93">
            <v>-3.0000000000000027E-2</v>
          </cell>
          <cell r="AY93">
            <v>-4.0000000000000036E-2</v>
          </cell>
          <cell r="AZ93">
            <v>-3.0000000000000027E-2</v>
          </cell>
          <cell r="BA93">
            <v>-2.5000000000000022E-2</v>
          </cell>
          <cell r="BB93">
            <v>1.3305137016477397E-2</v>
          </cell>
          <cell r="BC93">
            <v>-0.16521739130434787</v>
          </cell>
          <cell r="BD93">
            <v>-3.0000000000000138E-2</v>
          </cell>
          <cell r="BE93">
            <v>-1.2812500000000004E-2</v>
          </cell>
          <cell r="BF93">
            <v>-2.4224682873021708E-2</v>
          </cell>
          <cell r="BG93">
            <v>1.0494983277591974</v>
          </cell>
          <cell r="BH93">
            <v>-0.55425587467362936</v>
          </cell>
          <cell r="BI93">
            <v>-2.4030539772727177E-2</v>
          </cell>
          <cell r="BJ93">
            <v>-2.4224682873021708E-2</v>
          </cell>
        </row>
        <row r="94">
          <cell r="A94" t="str">
            <v>% total voice revenues</v>
          </cell>
          <cell r="E94">
            <v>1.3378331775968475</v>
          </cell>
          <cell r="F94">
            <v>0.36956258588099039</v>
          </cell>
          <cell r="G94">
            <v>0.49339855393863713</v>
          </cell>
          <cell r="H94">
            <v>1.3378331775968475</v>
          </cell>
          <cell r="I94">
            <v>0.36956258588099039</v>
          </cell>
          <cell r="J94">
            <v>0.49339855393863713</v>
          </cell>
          <cell r="K94">
            <v>0.49425074016844162</v>
          </cell>
          <cell r="L94">
            <v>0.50397281381388637</v>
          </cell>
          <cell r="M94">
            <v>0.49789295689397778</v>
          </cell>
          <cell r="N94">
            <v>0.42977058778780303</v>
          </cell>
          <cell r="O94">
            <v>0.51930230355808216</v>
          </cell>
          <cell r="P94">
            <v>0.34797218402319774</v>
          </cell>
          <cell r="Q94">
            <v>0.28022176451234521</v>
          </cell>
          <cell r="R94">
            <v>0.21953622058450262</v>
          </cell>
          <cell r="S94">
            <v>0.1685882938917877</v>
          </cell>
          <cell r="T94">
            <v>0.1274440522207779</v>
          </cell>
          <cell r="U94">
            <v>9.5226285978025765E-2</v>
          </cell>
          <cell r="AC94">
            <v>0.495</v>
          </cell>
          <cell r="AD94">
            <v>0.5</v>
          </cell>
          <cell r="AE94">
            <v>0.49212815990593767</v>
          </cell>
          <cell r="AF94">
            <v>0.49212815990593767</v>
          </cell>
          <cell r="AG94">
            <v>0.48866849894179887</v>
          </cell>
          <cell r="AH94">
            <v>0.48675963761780755</v>
          </cell>
          <cell r="AI94">
            <v>0.50930708677176595</v>
          </cell>
          <cell r="AJ94">
            <v>0.48261555696258268</v>
          </cell>
          <cell r="AK94">
            <v>0.49881635567414401</v>
          </cell>
          <cell r="AL94">
            <v>0.495</v>
          </cell>
          <cell r="AM94">
            <v>0.5</v>
          </cell>
          <cell r="AN94">
            <v>0.49212815990593767</v>
          </cell>
          <cell r="AO94">
            <v>0.49212815990593767</v>
          </cell>
          <cell r="AP94">
            <v>0.48866849894179887</v>
          </cell>
          <cell r="AQ94">
            <v>0.48675963761780755</v>
          </cell>
          <cell r="AR94">
            <v>0.50930708677176595</v>
          </cell>
          <cell r="AS94">
            <v>0.48261555696258268</v>
          </cell>
          <cell r="AT94">
            <v>0.49881635567414401</v>
          </cell>
          <cell r="AU94">
            <v>0.49728539126652677</v>
          </cell>
          <cell r="AV94">
            <v>0.51170426913066147</v>
          </cell>
          <cell r="AW94">
            <v>0.50631147606268434</v>
          </cell>
          <cell r="AX94">
            <v>0.50079147645901489</v>
          </cell>
          <cell r="AY94">
            <v>0.49413677690674335</v>
          </cell>
          <cell r="AZ94">
            <v>0.48837184784283127</v>
          </cell>
          <cell r="BA94">
            <v>0.49005588869746175</v>
          </cell>
          <cell r="BB94">
            <v>0.52050753013832818</v>
          </cell>
          <cell r="BC94">
            <v>0.44022251073156632</v>
          </cell>
          <cell r="BD94">
            <v>0.43147235741104795</v>
          </cell>
          <cell r="BE94">
            <v>0.41377428589366977</v>
          </cell>
          <cell r="BF94">
            <v>0.43416208871657064</v>
          </cell>
          <cell r="BG94">
            <v>0.8898144748010518</v>
          </cell>
          <cell r="BH94">
            <v>0.40299764555200002</v>
          </cell>
          <cell r="BI94">
            <v>0.39091642213477729</v>
          </cell>
          <cell r="BJ94">
            <v>0.38716555980512513</v>
          </cell>
        </row>
        <row r="95">
          <cell r="A95" t="str">
            <v>Wholesale voice revenue</v>
          </cell>
          <cell r="E95">
            <v>-4396.0345372557085</v>
          </cell>
          <cell r="F95">
            <v>-4352.0741918831518</v>
          </cell>
          <cell r="G95">
            <v>1270.7805414656086</v>
          </cell>
          <cell r="H95">
            <v>-4396.0345372557085</v>
          </cell>
          <cell r="I95">
            <v>-4352.0741918831518</v>
          </cell>
          <cell r="J95">
            <v>1270.7805414656086</v>
          </cell>
          <cell r="K95">
            <v>1337.0254682748425</v>
          </cell>
          <cell r="L95">
            <v>1318.5195183039643</v>
          </cell>
          <cell r="M95">
            <v>1397.2791073054286</v>
          </cell>
          <cell r="N95">
            <v>1648.9014269828076</v>
          </cell>
          <cell r="O95">
            <v>1333.8835259346695</v>
          </cell>
          <cell r="P95">
            <v>1413.9165374907498</v>
          </cell>
          <cell r="Q95">
            <v>1470.4731989903798</v>
          </cell>
          <cell r="R95">
            <v>1514.5873949600914</v>
          </cell>
          <cell r="S95">
            <v>1529.7332689096922</v>
          </cell>
          <cell r="T95">
            <v>1514.4359362205953</v>
          </cell>
          <cell r="U95">
            <v>1469.0028581339775</v>
          </cell>
          <cell r="Z95">
            <v>-1437.9875801282051</v>
          </cell>
          <cell r="AA95">
            <v>-1455.8280309661889</v>
          </cell>
          <cell r="AB95">
            <v>-1458.2585807887581</v>
          </cell>
          <cell r="AC95">
            <v>0</v>
          </cell>
          <cell r="AD95">
            <v>332.255</v>
          </cell>
          <cell r="AE95">
            <v>329.77599999999995</v>
          </cell>
          <cell r="AF95">
            <v>327.96930687830695</v>
          </cell>
          <cell r="AG95">
            <v>280.78023458730166</v>
          </cell>
          <cell r="AH95">
            <v>338.58645589404762</v>
          </cell>
          <cell r="AI95">
            <v>-1437.9875801282051</v>
          </cell>
          <cell r="AJ95">
            <v>-1455.8280309661889</v>
          </cell>
          <cell r="AK95">
            <v>-1458.2585807887581</v>
          </cell>
          <cell r="AL95">
            <v>0</v>
          </cell>
          <cell r="AM95">
            <v>332.255</v>
          </cell>
          <cell r="AN95">
            <v>329.77599999999995</v>
          </cell>
          <cell r="AO95">
            <v>327.96930687830695</v>
          </cell>
          <cell r="AP95">
            <v>280.78023458730166</v>
          </cell>
          <cell r="AQ95">
            <v>338.58645589404762</v>
          </cell>
          <cell r="AR95">
            <v>320.05903737379759</v>
          </cell>
          <cell r="AS95">
            <v>361.14765558963154</v>
          </cell>
          <cell r="AT95">
            <v>317.23231941736577</v>
          </cell>
          <cell r="AU95">
            <v>326.1894557703809</v>
          </cell>
          <cell r="AV95">
            <v>335.25074091468719</v>
          </cell>
          <cell r="AW95">
            <v>320.85136176618289</v>
          </cell>
          <cell r="AX95">
            <v>336.22795985271341</v>
          </cell>
          <cell r="AY95">
            <v>360.32341988610472</v>
          </cell>
          <cell r="AZ95">
            <v>367.88632454357156</v>
          </cell>
          <cell r="BA95">
            <v>355.92741065281916</v>
          </cell>
          <cell r="BB95">
            <v>313.14195222293336</v>
          </cell>
          <cell r="BC95">
            <v>394.87352140078383</v>
          </cell>
          <cell r="BD95">
            <v>408.00310585216238</v>
          </cell>
          <cell r="BE95">
            <v>452.77481504417642</v>
          </cell>
          <cell r="BF95">
            <v>393.24998468568498</v>
          </cell>
          <cell r="BG95">
            <v>0.46796735718477578</v>
          </cell>
          <cell r="BH95">
            <v>428.40326114477051</v>
          </cell>
          <cell r="BI95">
            <v>452.77481504417642</v>
          </cell>
          <cell r="BJ95">
            <v>452.23748238853767</v>
          </cell>
          <cell r="BM95">
            <v>0</v>
          </cell>
          <cell r="BN95">
            <v>0</v>
          </cell>
          <cell r="BO95">
            <v>0</v>
          </cell>
        </row>
        <row r="96">
          <cell r="A96" t="str">
            <v>% y/y growth</v>
          </cell>
          <cell r="F96">
            <v>-9.9999999999998979E-3</v>
          </cell>
          <cell r="G96">
            <v>-1.2919942274503686</v>
          </cell>
          <cell r="H96">
            <v>5.2129321033537845E-2</v>
          </cell>
          <cell r="I96">
            <v>-9.9999999999998979E-3</v>
          </cell>
          <cell r="J96">
            <v>-1.2919942274503686</v>
          </cell>
          <cell r="K96">
            <v>5.2129321033537845E-2</v>
          </cell>
          <cell r="L96">
            <v>-1.3841134974606262E-2</v>
          </cell>
          <cell r="M96">
            <v>5.9733350859132006E-2</v>
          </cell>
          <cell r="N96">
            <v>0.18008021329583745</v>
          </cell>
          <cell r="O96">
            <v>-0.1910471395640454</v>
          </cell>
          <cell r="P96">
            <v>6.0000000000000053E-2</v>
          </cell>
          <cell r="Q96">
            <v>4.0000000000000036E-2</v>
          </cell>
          <cell r="R96">
            <v>3.0000000000000027E-2</v>
          </cell>
          <cell r="S96">
            <v>1.0000000000000009E-2</v>
          </cell>
          <cell r="T96">
            <v>-1.0000000000000009E-2</v>
          </cell>
          <cell r="U96">
            <v>-2.9999999999999916E-2</v>
          </cell>
          <cell r="AD96">
            <v>-1.2310555421976437</v>
          </cell>
          <cell r="AE96">
            <v>-1.2265212600564763</v>
          </cell>
          <cell r="AF96">
            <v>-1.2249047673704834</v>
          </cell>
          <cell r="AH96">
            <v>1.9056013887067458E-2</v>
          </cell>
          <cell r="AI96">
            <v>-2.9465342008522022E-2</v>
          </cell>
          <cell r="AJ96">
            <v>0.10116296865436691</v>
          </cell>
          <cell r="AK96">
            <v>0.1298242551995954</v>
          </cell>
          <cell r="AL96">
            <v>-3.6613987086199451E-2</v>
          </cell>
          <cell r="AM96">
            <v>-1.2310555421976437</v>
          </cell>
          <cell r="AN96">
            <v>-1.2265212600564763</v>
          </cell>
          <cell r="AO96">
            <v>-1.2249047673704834</v>
          </cell>
          <cell r="AP96">
            <v>0.10464459691104233</v>
          </cell>
          <cell r="AQ96">
            <v>1.9056013887067458E-2</v>
          </cell>
          <cell r="AR96">
            <v>-2.9465342008522022E-2</v>
          </cell>
          <cell r="AS96">
            <v>0.10116296865436691</v>
          </cell>
          <cell r="AT96">
            <v>0.1298242551995954</v>
          </cell>
          <cell r="AU96">
            <v>-3.6613987086199451E-2</v>
          </cell>
          <cell r="AV96">
            <v>4.7465316603908736E-2</v>
          </cell>
          <cell r="AW96">
            <v>-0.11157844499269554</v>
          </cell>
          <cell r="AX96">
            <v>5.9879272295569885E-2</v>
          </cell>
          <cell r="AY96">
            <v>0.10464459691104233</v>
          </cell>
          <cell r="AZ96">
            <v>9.7346790464482025E-2</v>
          </cell>
          <cell r="BA96">
            <v>0.10932180151442705</v>
          </cell>
          <cell r="BB96">
            <v>-6.8661772328193704E-2</v>
          </cell>
          <cell r="BC96">
            <v>9.588636099646286E-2</v>
          </cell>
          <cell r="BD96">
            <v>0.10904667728098572</v>
          </cell>
          <cell r="BE96">
            <v>0.2720987524218097</v>
          </cell>
          <cell r="BF96">
            <v>0.25582018600216427</v>
          </cell>
          <cell r="BG96">
            <v>-0.9988148930434112</v>
          </cell>
          <cell r="BH96">
            <v>5.0000000000000044E-2</v>
          </cell>
          <cell r="BI96">
            <v>0</v>
          </cell>
          <cell r="BJ96">
            <v>0.14999999999999991</v>
          </cell>
        </row>
        <row r="97">
          <cell r="A97" t="str">
            <v>% q/q growth</v>
          </cell>
          <cell r="AA97">
            <v>1.2406540282074774E-2</v>
          </cell>
          <cell r="AB97">
            <v>1.6695308586387458E-3</v>
          </cell>
          <cell r="AC97">
            <v>-1</v>
          </cell>
          <cell r="AE97">
            <v>-7.4611367774752857E-3</v>
          </cell>
          <cell r="AF97">
            <v>-5.4785464123920935E-3</v>
          </cell>
          <cell r="AG97">
            <v>-0.14388258688034727</v>
          </cell>
          <cell r="AH97">
            <v>0.20587710310774221</v>
          </cell>
          <cell r="AI97">
            <v>-5.4719904466727143E-2</v>
          </cell>
          <cell r="AJ97">
            <v>1.2406540282074774E-2</v>
          </cell>
          <cell r="AK97">
            <v>1.6695308586387458E-3</v>
          </cell>
          <cell r="AL97">
            <v>-1</v>
          </cell>
          <cell r="AM97">
            <v>2.777920924177546E-2</v>
          </cell>
          <cell r="AN97">
            <v>-7.4611367774752857E-3</v>
          </cell>
          <cell r="AO97">
            <v>-5.4785464123920935E-3</v>
          </cell>
          <cell r="AP97">
            <v>-0.14388258688034727</v>
          </cell>
          <cell r="AQ97">
            <v>0.20587710310774221</v>
          </cell>
          <cell r="AR97">
            <v>-5.4719904466727143E-2</v>
          </cell>
          <cell r="AS97">
            <v>0.1283782471914594</v>
          </cell>
          <cell r="AT97">
            <v>-0.12159939429917366</v>
          </cell>
          <cell r="AU97">
            <v>2.8235257900159683E-2</v>
          </cell>
          <cell r="AV97">
            <v>2.777920924177546E-2</v>
          </cell>
          <cell r="AW97">
            <v>-4.2951073304767329E-2</v>
          </cell>
          <cell r="AX97">
            <v>4.7924365980207551E-2</v>
          </cell>
          <cell r="AY97">
            <v>7.1664058051407853E-2</v>
          </cell>
          <cell r="AZ97">
            <v>2.0989212024734361E-2</v>
          </cell>
          <cell r="BA97">
            <v>-3.2507090078951806E-2</v>
          </cell>
          <cell r="BB97">
            <v>-0.12020838280314372</v>
          </cell>
          <cell r="BC97">
            <v>0.26100485290346453</v>
          </cell>
          <cell r="BD97">
            <v>3.3250100955876549E-2</v>
          </cell>
          <cell r="BE97">
            <v>0.10973374601770014</v>
          </cell>
          <cell r="BF97">
            <v>-0.13146674324781893</v>
          </cell>
          <cell r="BG97">
            <v>-0.99881000031682443</v>
          </cell>
          <cell r="BH97">
            <v>914.45543629791371</v>
          </cell>
          <cell r="BI97">
            <v>5.6889281921619128E-2</v>
          </cell>
          <cell r="BJ97">
            <v>-1.1867547349918572E-3</v>
          </cell>
        </row>
        <row r="98">
          <cell r="A98" t="str">
            <v>% total voice revenues</v>
          </cell>
          <cell r="E98">
            <v>-0.59046803724052499</v>
          </cell>
          <cell r="F98">
            <v>-0.61348663545012005</v>
          </cell>
          <cell r="G98">
            <v>0.19225121656060645</v>
          </cell>
          <cell r="H98">
            <v>-0.59046803724052499</v>
          </cell>
          <cell r="I98">
            <v>-0.61348663545012005</v>
          </cell>
          <cell r="J98">
            <v>0.19225121656060645</v>
          </cell>
          <cell r="K98">
            <v>0.23180053194778824</v>
          </cell>
          <cell r="L98">
            <v>0.26375665499179124</v>
          </cell>
          <cell r="M98">
            <v>0.30642085686522558</v>
          </cell>
          <cell r="N98">
            <v>0.39138415071986887</v>
          </cell>
          <cell r="O98">
            <v>0.33467676050503686</v>
          </cell>
          <cell r="P98">
            <v>0.45295075420947578</v>
          </cell>
          <cell r="Q98">
            <v>0.52091164813319613</v>
          </cell>
          <cell r="R98">
            <v>0.58523854299567613</v>
          </cell>
          <cell r="S98">
            <v>0.6409024421435402</v>
          </cell>
          <cell r="T98">
            <v>0.6869282209836084</v>
          </cell>
          <cell r="U98">
            <v>0.72339785599484907</v>
          </cell>
          <cell r="AD98">
            <v>0.1925</v>
          </cell>
          <cell r="AE98">
            <v>0.19387184009406228</v>
          </cell>
          <cell r="AF98">
            <v>0.189</v>
          </cell>
          <cell r="AG98">
            <v>0.18718682305820111</v>
          </cell>
          <cell r="AH98">
            <v>0.22043389055602058</v>
          </cell>
          <cell r="AI98">
            <v>0.21802386742084304</v>
          </cell>
          <cell r="AJ98">
            <v>0.25202209043240165</v>
          </cell>
          <cell r="AK98">
            <v>0.2383413369026039</v>
          </cell>
          <cell r="AL98">
            <v>0.25227336099797443</v>
          </cell>
          <cell r="AM98">
            <v>0.1925</v>
          </cell>
          <cell r="AN98">
            <v>0.19387184009406228</v>
          </cell>
          <cell r="AO98">
            <v>0.189</v>
          </cell>
          <cell r="AP98">
            <v>0.18718682305820111</v>
          </cell>
          <cell r="AQ98">
            <v>0.22043389055602058</v>
          </cell>
          <cell r="AR98">
            <v>0.21802386742084304</v>
          </cell>
          <cell r="AS98">
            <v>0.25202209043240165</v>
          </cell>
          <cell r="AT98">
            <v>0.2383413369026039</v>
          </cell>
          <cell r="AU98">
            <v>0.25227336099797443</v>
          </cell>
          <cell r="AV98">
            <v>0.26949416472241733</v>
          </cell>
          <cell r="AW98">
            <v>0.25812659836378349</v>
          </cell>
          <cell r="AX98">
            <v>0.27582277264373539</v>
          </cell>
          <cell r="AY98">
            <v>0.303814013394692</v>
          </cell>
          <cell r="AZ98">
            <v>0.31605354342231234</v>
          </cell>
          <cell r="BA98">
            <v>0.31470151251354478</v>
          </cell>
          <cell r="BB98">
            <v>0.29021496962273713</v>
          </cell>
          <cell r="BC98">
            <v>0.3707732595312524</v>
          </cell>
          <cell r="BD98">
            <v>0.38709972092235517</v>
          </cell>
          <cell r="BE98">
            <v>0.41730397699924093</v>
          </cell>
          <cell r="BF98">
            <v>0.38974230395013376</v>
          </cell>
          <cell r="BG98">
            <v>4.6379321822078866E-4</v>
          </cell>
          <cell r="BH98">
            <v>0.43139888316650232</v>
          </cell>
          <cell r="BI98">
            <v>0.4531622124256286</v>
          </cell>
          <cell r="BJ98">
            <v>0.45941054108095397</v>
          </cell>
        </row>
        <row r="99">
          <cell r="A99" t="str">
            <v>Total voice revenues</v>
          </cell>
          <cell r="E99">
            <v>7445</v>
          </cell>
          <cell r="F99">
            <v>7094</v>
          </cell>
          <cell r="G99">
            <v>6610</v>
          </cell>
          <cell r="H99">
            <v>7445</v>
          </cell>
          <cell r="I99">
            <v>7094</v>
          </cell>
          <cell r="J99">
            <v>6610</v>
          </cell>
          <cell r="K99">
            <v>5768</v>
          </cell>
          <cell r="L99">
            <v>4999</v>
          </cell>
          <cell r="M99">
            <v>4560</v>
          </cell>
          <cell r="N99">
            <v>4213</v>
          </cell>
          <cell r="O99">
            <v>3985.5875380226607</v>
          </cell>
          <cell r="P99">
            <v>3121.5679063354796</v>
          </cell>
          <cell r="Q99">
            <v>2822.884080746036</v>
          </cell>
          <cell r="R99">
            <v>2587.9829910165049</v>
          </cell>
          <cell r="S99">
            <v>2386.8426273948953</v>
          </cell>
          <cell r="T99">
            <v>2204.6494669444264</v>
          </cell>
          <cell r="U99">
            <v>2030.6983853494271</v>
          </cell>
          <cell r="Z99">
            <v>0</v>
          </cell>
          <cell r="AA99">
            <v>0</v>
          </cell>
          <cell r="AB99">
            <v>0</v>
          </cell>
          <cell r="AC99">
            <v>0</v>
          </cell>
          <cell r="AD99">
            <v>1726</v>
          </cell>
          <cell r="AE99">
            <v>1858</v>
          </cell>
          <cell r="AF99">
            <v>1880</v>
          </cell>
          <cell r="AG99">
            <v>1903</v>
          </cell>
          <cell r="AH99">
            <v>1804</v>
          </cell>
          <cell r="AI99">
            <v>0</v>
          </cell>
          <cell r="AJ99">
            <v>0</v>
          </cell>
          <cell r="AK99">
            <v>0</v>
          </cell>
          <cell r="AL99">
            <v>0</v>
          </cell>
          <cell r="AM99">
            <v>1726</v>
          </cell>
          <cell r="AN99">
            <v>1701</v>
          </cell>
          <cell r="AO99">
            <v>1683</v>
          </cell>
          <cell r="AP99">
            <v>1500</v>
          </cell>
          <cell r="AQ99">
            <v>1536</v>
          </cell>
          <cell r="AR99">
            <v>1468</v>
          </cell>
          <cell r="AS99">
            <v>1433</v>
          </cell>
          <cell r="AT99">
            <v>1331</v>
          </cell>
          <cell r="AU99">
            <v>1293</v>
          </cell>
          <cell r="AV99">
            <v>1244</v>
          </cell>
          <cell r="AW99">
            <v>1243</v>
          </cell>
          <cell r="AX99">
            <v>1219</v>
          </cell>
          <cell r="AY99">
            <v>1186</v>
          </cell>
          <cell r="AZ99">
            <v>1164</v>
          </cell>
          <cell r="BA99">
            <v>1131</v>
          </cell>
          <cell r="BB99">
            <v>1079</v>
          </cell>
          <cell r="BC99">
            <v>1065</v>
          </cell>
          <cell r="BD99">
            <v>1054</v>
          </cell>
          <cell r="BE99">
            <v>1085</v>
          </cell>
          <cell r="BF99">
            <v>1009</v>
          </cell>
          <cell r="BG99">
            <v>1009</v>
          </cell>
          <cell r="BH99">
            <v>993.05602740613585</v>
          </cell>
          <cell r="BI99">
            <v>999.14512426051908</v>
          </cell>
          <cell r="BJ99">
            <v>984.38638635600591</v>
          </cell>
          <cell r="BM99">
            <v>0</v>
          </cell>
          <cell r="BN99">
            <v>0</v>
          </cell>
          <cell r="BO99">
            <v>0</v>
          </cell>
        </row>
        <row r="100">
          <cell r="A100" t="str">
            <v>% y/y growth</v>
          </cell>
          <cell r="F100">
            <v>-4.7145735392881138E-2</v>
          </cell>
          <cell r="G100">
            <v>-6.8226670425711844E-2</v>
          </cell>
          <cell r="H100">
            <v>-0.12738275340393346</v>
          </cell>
          <cell r="I100">
            <v>-4.7145735392881138E-2</v>
          </cell>
          <cell r="J100">
            <v>-6.8226670425711844E-2</v>
          </cell>
          <cell r="K100">
            <v>-0.12738275340393346</v>
          </cell>
          <cell r="L100">
            <v>-0.13332177531206657</v>
          </cell>
          <cell r="M100">
            <v>-8.7817563512702534E-2</v>
          </cell>
          <cell r="N100">
            <v>-7.6096491228070162E-2</v>
          </cell>
          <cell r="O100">
            <v>-5.3978747205634781E-2</v>
          </cell>
          <cell r="P100">
            <v>-0.21678601296406119</v>
          </cell>
          <cell r="Q100">
            <v>-9.568391095488904E-2</v>
          </cell>
          <cell r="R100">
            <v>-8.3213154706462844E-2</v>
          </cell>
          <cell r="S100">
            <v>-7.7720898599339727E-2</v>
          </cell>
          <cell r="T100">
            <v>-7.6332288672639637E-2</v>
          </cell>
          <cell r="U100">
            <v>-7.8901922597287011E-2</v>
          </cell>
          <cell r="AH100">
            <v>-0.11008111239860952</v>
          </cell>
          <cell r="AI100">
            <v>-1</v>
          </cell>
          <cell r="AJ100">
            <v>-1</v>
          </cell>
          <cell r="AK100">
            <v>-1</v>
          </cell>
          <cell r="AL100">
            <v>-1</v>
          </cell>
          <cell r="AM100">
            <v>-0.15258855585831066</v>
          </cell>
          <cell r="AN100">
            <v>-0.1325889741800419</v>
          </cell>
          <cell r="AO100">
            <v>-8.4147257700976752E-2</v>
          </cell>
          <cell r="AP100">
            <v>-8.2753286929621028E-2</v>
          </cell>
          <cell r="AQ100">
            <v>-0.11008111239860952</v>
          </cell>
          <cell r="AR100">
            <v>-0.13697824808935921</v>
          </cell>
          <cell r="AS100">
            <v>-0.14854426619132499</v>
          </cell>
          <cell r="AT100">
            <v>-0.11266666666666669</v>
          </cell>
          <cell r="AU100">
            <v>-0.158203125</v>
          </cell>
          <cell r="AV100">
            <v>-0.15258855585831066</v>
          </cell>
          <cell r="AW100">
            <v>-0.1325889741800419</v>
          </cell>
          <cell r="AX100">
            <v>-8.4147257700976752E-2</v>
          </cell>
          <cell r="AY100">
            <v>-8.2753286929621028E-2</v>
          </cell>
          <cell r="AZ100">
            <v>-6.4308681672025747E-2</v>
          </cell>
          <cell r="BA100">
            <v>-9.0104585679806948E-2</v>
          </cell>
          <cell r="BB100">
            <v>-0.11484823625922891</v>
          </cell>
          <cell r="BC100">
            <v>-0.10202360876897132</v>
          </cell>
          <cell r="BD100">
            <v>-9.4501718213058417E-2</v>
          </cell>
          <cell r="BE100">
            <v>-4.0671971706454424E-2</v>
          </cell>
          <cell r="BF100">
            <v>-6.4874884151992607E-2</v>
          </cell>
          <cell r="BG100">
            <v>-5.258215962441315E-2</v>
          </cell>
          <cell r="BH100">
            <v>-5.7821605876531401E-2</v>
          </cell>
          <cell r="BI100">
            <v>-7.9128917732240511E-2</v>
          </cell>
          <cell r="BJ100">
            <v>-2.4394067040628409E-2</v>
          </cell>
        </row>
        <row r="101">
          <cell r="A101" t="str">
            <v>% q/q growth</v>
          </cell>
          <cell r="AE101">
            <v>-1.4484356894553851E-2</v>
          </cell>
          <cell r="AF101">
            <v>1.1840688912809538E-2</v>
          </cell>
          <cell r="AG101">
            <v>1.2234042553191493E-2</v>
          </cell>
          <cell r="AH101">
            <v>-5.2023121387283267E-2</v>
          </cell>
          <cell r="AI101">
            <v>-4.427083333333337E-2</v>
          </cell>
          <cell r="AJ101">
            <v>-2.3841961852861027E-2</v>
          </cell>
          <cell r="AK101">
            <v>-7.1179344033496128E-2</v>
          </cell>
          <cell r="AL101">
            <v>-2.8549962434260001E-2</v>
          </cell>
          <cell r="AM101">
            <v>-3.7896365042536684E-2</v>
          </cell>
          <cell r="AN101">
            <v>-1.4484356894553851E-2</v>
          </cell>
          <cell r="AO101">
            <v>-1.0582010582010581E-2</v>
          </cell>
          <cell r="AP101">
            <v>-0.10873440285204994</v>
          </cell>
          <cell r="AQ101">
            <v>2.4000000000000021E-2</v>
          </cell>
          <cell r="AR101">
            <v>-4.427083333333337E-2</v>
          </cell>
          <cell r="AS101">
            <v>-2.3841961852861027E-2</v>
          </cell>
          <cell r="AT101">
            <v>-7.1179344033496128E-2</v>
          </cell>
          <cell r="AU101">
            <v>-2.8549962434260001E-2</v>
          </cell>
          <cell r="AV101">
            <v>-3.7896365042536684E-2</v>
          </cell>
          <cell r="AW101">
            <v>-8.0385852090036902E-4</v>
          </cell>
          <cell r="AX101">
            <v>-1.9308125502815798E-2</v>
          </cell>
          <cell r="AY101">
            <v>-2.7071369975389614E-2</v>
          </cell>
          <cell r="AZ101">
            <v>-1.8549747048903886E-2</v>
          </cell>
          <cell r="BA101">
            <v>-2.8350515463917536E-2</v>
          </cell>
          <cell r="BB101">
            <v>-4.5977011494252928E-2</v>
          </cell>
          <cell r="BC101">
            <v>-1.2974976830398499E-2</v>
          </cell>
          <cell r="BD101">
            <v>-1.0328638497652531E-2</v>
          </cell>
          <cell r="BE101">
            <v>2.9411764705882248E-2</v>
          </cell>
          <cell r="BF101">
            <v>-7.0046082949308808E-2</v>
          </cell>
          <cell r="BG101">
            <v>0</v>
          </cell>
          <cell r="BH101">
            <v>-1.580175678281881E-2</v>
          </cell>
          <cell r="BI101">
            <v>6.1316750378002105E-3</v>
          </cell>
          <cell r="BJ101">
            <v>-1.47713655865922E-2</v>
          </cell>
        </row>
        <row r="102">
          <cell r="A102" t="str">
            <v>% total Global Markets revenue</v>
          </cell>
          <cell r="E102">
            <v>0.72225455956538609</v>
          </cell>
          <cell r="F102">
            <v>0.67382218844984798</v>
          </cell>
          <cell r="G102">
            <v>0.66398794575590159</v>
          </cell>
          <cell r="H102">
            <v>0.72225455956538609</v>
          </cell>
          <cell r="I102">
            <v>0.67382218844984798</v>
          </cell>
          <cell r="J102">
            <v>0.66398794575590159</v>
          </cell>
          <cell r="K102">
            <v>0.64497372246449736</v>
          </cell>
          <cell r="L102">
            <v>0.62448469706433474</v>
          </cell>
          <cell r="M102">
            <v>0.6223556708066057</v>
          </cell>
          <cell r="N102">
            <v>0.61647644132279777</v>
          </cell>
          <cell r="O102">
            <v>0.61181614112566174</v>
          </cell>
          <cell r="P102">
            <v>0.51381501321784295</v>
          </cell>
          <cell r="Q102">
            <v>0.48543783035879096</v>
          </cell>
          <cell r="R102">
            <v>0.46085811068518445</v>
          </cell>
          <cell r="S102">
            <v>0.43824101174357782</v>
          </cell>
          <cell r="T102">
            <v>0.41670579357152365</v>
          </cell>
          <cell r="U102">
            <v>0.39518832366889978</v>
          </cell>
          <cell r="AD102">
            <v>0.67238021036229056</v>
          </cell>
          <cell r="AE102">
            <v>0.73847376788553254</v>
          </cell>
          <cell r="AF102">
            <v>0.72671047545419409</v>
          </cell>
          <cell r="AG102">
            <v>0.7336160370084811</v>
          </cell>
          <cell r="AH102">
            <v>0.69092301800076594</v>
          </cell>
          <cell r="AI102">
            <v>0.64527472527472529</v>
          </cell>
          <cell r="AJ102">
            <v>0.64231286418646349</v>
          </cell>
          <cell r="AK102">
            <v>0.63532219570405724</v>
          </cell>
          <cell r="AL102">
            <v>0.63196480938416422</v>
          </cell>
          <cell r="AM102">
            <v>0.67238021036229056</v>
          </cell>
          <cell r="AN102">
            <v>0.66367538041357788</v>
          </cell>
          <cell r="AO102">
            <v>0.67185628742514969</v>
          </cell>
          <cell r="AP102">
            <v>0.65760631302060502</v>
          </cell>
          <cell r="AQ102">
            <v>0.65584970111016228</v>
          </cell>
          <cell r="AR102">
            <v>0.64527472527472529</v>
          </cell>
          <cell r="AS102">
            <v>0.64231286418646349</v>
          </cell>
          <cell r="AT102">
            <v>0.63532219570405724</v>
          </cell>
          <cell r="AU102">
            <v>0.63196480938416422</v>
          </cell>
          <cell r="AV102">
            <v>0.6204488778054863</v>
          </cell>
          <cell r="AW102">
            <v>0.62873039959534649</v>
          </cell>
          <cell r="AX102">
            <v>0.61659079413252404</v>
          </cell>
          <cell r="AY102">
            <v>0.62029288702928875</v>
          </cell>
          <cell r="AZ102">
            <v>0.62146289375333685</v>
          </cell>
          <cell r="BA102">
            <v>0.62555309734513276</v>
          </cell>
          <cell r="BB102">
            <v>0.62226066897347176</v>
          </cell>
          <cell r="BC102">
            <v>0.62099125364431484</v>
          </cell>
          <cell r="BD102">
            <v>0.61207897793263644</v>
          </cell>
          <cell r="BE102">
            <v>0.62536023054755041</v>
          </cell>
          <cell r="BF102">
            <v>0.60709987966305656</v>
          </cell>
          <cell r="BG102">
            <v>0.60455362492510489</v>
          </cell>
          <cell r="BH102">
            <v>0.60784958708110082</v>
          </cell>
          <cell r="BI102">
            <v>0.61833070272175694</v>
          </cell>
          <cell r="BJ102">
            <v>0.61687621343811472</v>
          </cell>
        </row>
        <row r="103">
          <cell r="A103" t="str">
            <v>% total Global Markets ex Consumer</v>
          </cell>
        </row>
        <row r="104">
          <cell r="A104" t="str">
            <v>Consumer Voice</v>
          </cell>
        </row>
        <row r="105">
          <cell r="A105" t="str">
            <v>Consumer voice revenue</v>
          </cell>
          <cell r="E105">
            <v>1880.8665300471807</v>
          </cell>
          <cell r="F105">
            <v>1730.3972076434063</v>
          </cell>
          <cell r="G105">
            <v>2077.8550169999999</v>
          </cell>
          <cell r="H105">
            <v>1880.8665300471807</v>
          </cell>
          <cell r="I105">
            <v>1730.3972076434063</v>
          </cell>
          <cell r="J105">
            <v>2077.8550169999999</v>
          </cell>
          <cell r="K105">
            <v>1580.1362624335861</v>
          </cell>
          <cell r="L105">
            <v>1161.120385440418</v>
          </cell>
          <cell r="M105">
            <v>892.32900925803267</v>
          </cell>
          <cell r="N105">
            <v>753.47508666717818</v>
          </cell>
          <cell r="O105">
            <v>581.97922256043807</v>
          </cell>
          <cell r="P105">
            <v>621.43256690045212</v>
          </cell>
          <cell r="Q105">
            <v>561.3773236351924</v>
          </cell>
          <cell r="R105">
            <v>505.23959127167319</v>
          </cell>
          <cell r="S105">
            <v>454.71563214450589</v>
          </cell>
          <cell r="T105">
            <v>409.24406893005533</v>
          </cell>
          <cell r="U105">
            <v>368.3196620370498</v>
          </cell>
          <cell r="Z105">
            <v>552.859375</v>
          </cell>
          <cell r="AA105">
            <v>585.65131578947364</v>
          </cell>
          <cell r="AB105">
            <v>591.88651685393256</v>
          </cell>
          <cell r="AC105">
            <v>0</v>
          </cell>
          <cell r="AD105">
            <v>530.745</v>
          </cell>
          <cell r="AE105">
            <v>534.11400000000003</v>
          </cell>
          <cell r="AF105">
            <v>526.779</v>
          </cell>
          <cell r="AG105">
            <v>486.217017</v>
          </cell>
          <cell r="AH105">
            <v>449.75074072500001</v>
          </cell>
          <cell r="AI105">
            <v>552.859375</v>
          </cell>
          <cell r="AJ105">
            <v>585.65131578947364</v>
          </cell>
          <cell r="AK105">
            <v>591.88651685393256</v>
          </cell>
          <cell r="AL105">
            <v>0</v>
          </cell>
          <cell r="AM105">
            <v>530.745</v>
          </cell>
          <cell r="AN105">
            <v>534.11400000000003</v>
          </cell>
          <cell r="AO105">
            <v>526.779</v>
          </cell>
          <cell r="AP105">
            <v>486.217017</v>
          </cell>
          <cell r="AQ105">
            <v>449.75074072500001</v>
          </cell>
          <cell r="AR105">
            <v>400.27815924525004</v>
          </cell>
          <cell r="AS105">
            <v>380.26425128298752</v>
          </cell>
          <cell r="AT105">
            <v>349.84311118034856</v>
          </cell>
          <cell r="AU105">
            <v>323.82053332200002</v>
          </cell>
          <cell r="AV105">
            <v>272.18914828676998</v>
          </cell>
          <cell r="AW105">
            <v>292.80347348790042</v>
          </cell>
          <cell r="AX105">
            <v>272.30723034374739</v>
          </cell>
          <cell r="AY105">
            <v>239.63036270249771</v>
          </cell>
          <cell r="AZ105">
            <v>227.64884456737281</v>
          </cell>
          <cell r="BA105">
            <v>220.81937923035161</v>
          </cell>
          <cell r="BB105">
            <v>204.23042275781054</v>
          </cell>
          <cell r="BC105">
            <v>201.28950467009807</v>
          </cell>
          <cell r="BD105">
            <v>191.22502943659316</v>
          </cell>
          <cell r="BE105">
            <v>183.28008476119183</v>
          </cell>
          <cell r="BF105">
            <v>177.68046779929517</v>
          </cell>
          <cell r="BG105">
            <v>110.70922756855394</v>
          </cell>
          <cell r="BH105">
            <v>164.4535253154701</v>
          </cell>
          <cell r="BI105">
            <v>155.78807204701306</v>
          </cell>
          <cell r="BJ105">
            <v>151.0283976294009</v>
          </cell>
          <cell r="BM105">
            <v>0</v>
          </cell>
          <cell r="BN105">
            <v>0</v>
          </cell>
          <cell r="BO105">
            <v>0</v>
          </cell>
        </row>
        <row r="106">
          <cell r="A106" t="str">
            <v>% y/y growth</v>
          </cell>
          <cell r="F106">
            <v>-0.08</v>
          </cell>
          <cell r="G106">
            <v>0.2007965615188374</v>
          </cell>
          <cell r="H106">
            <v>-0.23953488116077437</v>
          </cell>
          <cell r="I106">
            <v>-0.08</v>
          </cell>
          <cell r="J106">
            <v>0.2007965615188374</v>
          </cell>
          <cell r="K106">
            <v>-0.23953488116077437</v>
          </cell>
          <cell r="L106">
            <v>-0.26517705273584247</v>
          </cell>
          <cell r="M106">
            <v>-0.23149311609099998</v>
          </cell>
          <cell r="N106">
            <v>-0.15560843719102091</v>
          </cell>
          <cell r="O106">
            <v>-0.22760654883137832</v>
          </cell>
          <cell r="P106">
            <v>6.7791671610607729E-2</v>
          </cell>
          <cell r="Q106">
            <v>-9.6640000000000059E-2</v>
          </cell>
          <cell r="R106">
            <v>-0.1</v>
          </cell>
          <cell r="S106">
            <v>-0.1</v>
          </cell>
          <cell r="T106">
            <v>-0.1</v>
          </cell>
          <cell r="U106">
            <v>-0.1</v>
          </cell>
          <cell r="AD106">
            <v>-4.0000000000000036E-2</v>
          </cell>
          <cell r="AE106">
            <v>-8.7999999999999856E-2</v>
          </cell>
          <cell r="AF106">
            <v>-0.10999999999999999</v>
          </cell>
          <cell r="AH106">
            <v>-0.15260484653647233</v>
          </cell>
          <cell r="AI106">
            <v>-0.25057542164172819</v>
          </cell>
          <cell r="AJ106">
            <v>-0.27813323749999996</v>
          </cell>
          <cell r="AK106">
            <v>-0.28047949999999988</v>
          </cell>
          <cell r="AL106">
            <v>-0.28000000000000003</v>
          </cell>
          <cell r="AM106">
            <v>-4.0000000000000036E-2</v>
          </cell>
          <cell r="AN106">
            <v>-8.7999999999999856E-2</v>
          </cell>
          <cell r="AO106">
            <v>-0.10999999999999999</v>
          </cell>
          <cell r="AP106">
            <v>-0.25999021666666655</v>
          </cell>
          <cell r="AQ106">
            <v>-0.15260484653647233</v>
          </cell>
          <cell r="AR106">
            <v>-0.25057542164172819</v>
          </cell>
          <cell r="AS106">
            <v>-0.27813323749999996</v>
          </cell>
          <cell r="AT106">
            <v>-0.28047949999999988</v>
          </cell>
          <cell r="AU106">
            <v>-0.28000000000000003</v>
          </cell>
          <cell r="AV106">
            <v>-0.32</v>
          </cell>
          <cell r="AW106">
            <v>-0.23</v>
          </cell>
          <cell r="AX106">
            <v>-0.22163043478260869</v>
          </cell>
          <cell r="AY106">
            <v>-0.25999021666666655</v>
          </cell>
          <cell r="AZ106">
            <v>-0.16363732352941163</v>
          </cell>
          <cell r="BA106">
            <v>-0.24584440000000007</v>
          </cell>
          <cell r="BB106">
            <v>-0.25</v>
          </cell>
          <cell r="BC106">
            <v>-0.16</v>
          </cell>
          <cell r="BD106">
            <v>-0.16</v>
          </cell>
          <cell r="BE106">
            <v>-0.17</v>
          </cell>
          <cell r="BF106">
            <v>-0.13</v>
          </cell>
          <cell r="BG106">
            <v>-0.45</v>
          </cell>
          <cell r="BH106">
            <v>-0.14000000000000001</v>
          </cell>
          <cell r="BI106">
            <v>-0.15</v>
          </cell>
          <cell r="BJ106">
            <v>-0.15</v>
          </cell>
        </row>
        <row r="107">
          <cell r="A107" t="str">
            <v>% q/q growth</v>
          </cell>
          <cell r="AA107">
            <v>5.9313348515567244E-2</v>
          </cell>
          <cell r="AB107">
            <v>1.0646609845063937E-2</v>
          </cell>
          <cell r="AC107">
            <v>-1</v>
          </cell>
          <cell r="AE107">
            <v>6.3476810897888925E-3</v>
          </cell>
          <cell r="AF107">
            <v>-1.3733023287163526E-2</v>
          </cell>
          <cell r="AG107">
            <v>-7.6999999999999957E-2</v>
          </cell>
          <cell r="AH107">
            <v>-7.4999999999999956E-2</v>
          </cell>
          <cell r="AI107">
            <v>-0.10999999999999999</v>
          </cell>
          <cell r="AJ107">
            <v>5.9313348515567244E-2</v>
          </cell>
          <cell r="AK107">
            <v>1.0646609845063937E-2</v>
          </cell>
          <cell r="AL107">
            <v>-1</v>
          </cell>
          <cell r="AM107">
            <v>-0.15944444444444461</v>
          </cell>
          <cell r="AN107">
            <v>6.3476810897888925E-3</v>
          </cell>
          <cell r="AO107">
            <v>-1.3733023287163526E-2</v>
          </cell>
          <cell r="AP107">
            <v>-7.6999999999999957E-2</v>
          </cell>
          <cell r="AQ107">
            <v>-7.4999999999999956E-2</v>
          </cell>
          <cell r="AR107">
            <v>-0.10999999999999999</v>
          </cell>
          <cell r="AS107">
            <v>-5.0000000000000044E-2</v>
          </cell>
          <cell r="AT107">
            <v>-7.9999999999999849E-2</v>
          </cell>
          <cell r="AU107">
            <v>-7.4383565165968224E-2</v>
          </cell>
          <cell r="AV107">
            <v>-0.15944444444444461</v>
          </cell>
          <cell r="AW107">
            <v>7.5735294117647234E-2</v>
          </cell>
          <cell r="AX107">
            <v>-7.0000000000000007E-2</v>
          </cell>
          <cell r="AY107">
            <v>-0.12</v>
          </cell>
          <cell r="AZ107">
            <v>-0.05</v>
          </cell>
          <cell r="BA107">
            <v>-0.03</v>
          </cell>
          <cell r="BB107">
            <v>-7.5124549893947568E-2</v>
          </cell>
          <cell r="BC107">
            <v>-1.4399999999999968E-2</v>
          </cell>
          <cell r="BD107">
            <v>-5.0000000000000044E-2</v>
          </cell>
          <cell r="BE107">
            <v>-4.1547619047619166E-2</v>
          </cell>
          <cell r="BF107">
            <v>-3.0552239045463003E-2</v>
          </cell>
          <cell r="BG107">
            <v>-0.37691954022988505</v>
          </cell>
          <cell r="BH107">
            <v>0.48545454545454514</v>
          </cell>
          <cell r="BI107">
            <v>-5.269241417497228E-2</v>
          </cell>
          <cell r="BJ107">
            <v>-3.0552239045463003E-2</v>
          </cell>
        </row>
        <row r="108">
          <cell r="A108" t="str">
            <v>% total voice revenues</v>
          </cell>
          <cell r="E108">
            <v>0.25263485964367771</v>
          </cell>
          <cell r="F108">
            <v>0.24392404956912972</v>
          </cell>
          <cell r="G108">
            <v>0.31435022950075642</v>
          </cell>
          <cell r="H108">
            <v>0.25263485964367771</v>
          </cell>
          <cell r="I108">
            <v>0.24392404956912972</v>
          </cell>
          <cell r="J108">
            <v>0.31435022950075642</v>
          </cell>
          <cell r="K108">
            <v>0.27394872788377012</v>
          </cell>
          <cell r="L108">
            <v>0.23227053119432245</v>
          </cell>
          <cell r="M108">
            <v>0.19568618624079664</v>
          </cell>
          <cell r="N108">
            <v>0.17884526149232807</v>
          </cell>
          <cell r="O108">
            <v>0.14850784416337928</v>
          </cell>
          <cell r="P108">
            <v>0.17723625006365193</v>
          </cell>
          <cell r="Q108">
            <v>0.17383310228081411</v>
          </cell>
          <cell r="R108">
            <v>0.16776590797991398</v>
          </cell>
          <cell r="S108">
            <v>0.16135342761949997</v>
          </cell>
          <cell r="T108">
            <v>0.15536721166119741</v>
          </cell>
          <cell r="U108">
            <v>0.15040478155937334</v>
          </cell>
          <cell r="AN108">
            <v>0.23556192557353212</v>
          </cell>
          <cell r="AP108">
            <v>0.20204920969856469</v>
          </cell>
          <cell r="AW108">
            <v>0.23556192557353212</v>
          </cell>
          <cell r="AY108">
            <v>0.20204920969856469</v>
          </cell>
        </row>
        <row r="109">
          <cell r="A109" t="str">
            <v>FON Consumer LD volume</v>
          </cell>
          <cell r="D109">
            <v>14478.453196347036</v>
          </cell>
          <cell r="E109">
            <v>15509.764554794525</v>
          </cell>
          <cell r="F109">
            <v>15990.919750642128</v>
          </cell>
          <cell r="G109">
            <v>14478.453196347036</v>
          </cell>
          <cell r="H109">
            <v>15509.764554794525</v>
          </cell>
          <cell r="I109">
            <v>15990.919750642128</v>
          </cell>
          <cell r="J109">
            <v>16516.202870357985</v>
          </cell>
          <cell r="K109">
            <v>16062.816909210904</v>
          </cell>
          <cell r="L109">
            <v>13782.933218871292</v>
          </cell>
          <cell r="M109">
            <v>11678.57466491862</v>
          </cell>
          <cell r="N109">
            <v>10363.100014662186</v>
          </cell>
          <cell r="O109">
            <v>9148.6328895396455</v>
          </cell>
          <cell r="P109">
            <v>9793.1956613026668</v>
          </cell>
          <cell r="Q109">
            <v>9215.3971172858091</v>
          </cell>
        </row>
        <row r="110">
          <cell r="A110" t="str">
            <v xml:space="preserve">Y/Y Volume growth </v>
          </cell>
          <cell r="E110">
            <v>7.1230769230769209E-2</v>
          </cell>
          <cell r="F110">
            <v>3.1022727272727257E-2</v>
          </cell>
          <cell r="G110">
            <v>3.2848837209302095E-2</v>
          </cell>
          <cell r="H110">
            <v>7.1230769230769209E-2</v>
          </cell>
          <cell r="I110">
            <v>3.1022727272727257E-2</v>
          </cell>
          <cell r="J110">
            <v>3.2848837209302095E-2</v>
          </cell>
          <cell r="K110">
            <v>-2.7450980392156876E-2</v>
          </cell>
          <cell r="L110">
            <v>-0.14193548387096766</v>
          </cell>
          <cell r="M110">
            <v>-0.15267857142857155</v>
          </cell>
          <cell r="N110">
            <v>-0.11264000000000007</v>
          </cell>
          <cell r="O110">
            <v>-0.11719148936170232</v>
          </cell>
          <cell r="P110">
            <v>7.0454545454545547E-2</v>
          </cell>
          <cell r="Q110">
            <v>-5.9000000000000052E-2</v>
          </cell>
          <cell r="AD110">
            <v>0.05</v>
          </cell>
          <cell r="AE110">
            <v>0.08</v>
          </cell>
          <cell r="AF110">
            <v>0.1</v>
          </cell>
          <cell r="AG110">
            <v>0.03</v>
          </cell>
          <cell r="AH110">
            <v>0.1</v>
          </cell>
          <cell r="AI110">
            <v>-0.2</v>
          </cell>
          <cell r="AL110">
            <v>-0.28000000000000003</v>
          </cell>
          <cell r="AM110">
            <v>0.05</v>
          </cell>
          <cell r="AN110">
            <v>0.08</v>
          </cell>
          <cell r="AO110">
            <v>0.1</v>
          </cell>
          <cell r="AP110">
            <v>0.03</v>
          </cell>
          <cell r="AQ110">
            <v>0.1</v>
          </cell>
          <cell r="AR110">
            <v>-0.2</v>
          </cell>
          <cell r="AU110">
            <v>-0.28000000000000003</v>
          </cell>
          <cell r="AW110">
            <v>-0.23</v>
          </cell>
        </row>
        <row r="111">
          <cell r="A111" t="str">
            <v xml:space="preserve">Q/Q Volume growth </v>
          </cell>
          <cell r="AD111">
            <v>-0.05</v>
          </cell>
          <cell r="AE111">
            <v>0.01</v>
          </cell>
          <cell r="AF111">
            <v>0.05</v>
          </cell>
          <cell r="AG111">
            <v>-0.06</v>
          </cell>
          <cell r="AH111">
            <v>-0.09</v>
          </cell>
          <cell r="AI111">
            <v>-0.09</v>
          </cell>
          <cell r="AM111">
            <v>-0.05</v>
          </cell>
          <cell r="AN111">
            <v>0.01</v>
          </cell>
          <cell r="AO111">
            <v>0.05</v>
          </cell>
          <cell r="AP111">
            <v>-0.06</v>
          </cell>
          <cell r="AQ111">
            <v>-0.09</v>
          </cell>
          <cell r="AR111">
            <v>-0.09</v>
          </cell>
        </row>
        <row r="112">
          <cell r="A112" t="str">
            <v>Q/Q implied price decline</v>
          </cell>
          <cell r="AE112">
            <v>-3.6523189102111078E-3</v>
          </cell>
          <cell r="AF112">
            <v>-6.3733023287163529E-2</v>
          </cell>
          <cell r="AG112">
            <v>-1.699999999999996E-2</v>
          </cell>
          <cell r="AH112">
            <v>1.5000000000000041E-2</v>
          </cell>
          <cell r="AI112">
            <v>-1.999999999999999E-2</v>
          </cell>
          <cell r="AN112">
            <v>-3.6523189102111078E-3</v>
          </cell>
          <cell r="AO112">
            <v>-6.3733023287163529E-2</v>
          </cell>
          <cell r="AP112">
            <v>-1.699999999999996E-2</v>
          </cell>
          <cell r="AQ112">
            <v>1.5000000000000041E-2</v>
          </cell>
          <cell r="AR112">
            <v>-1.999999999999999E-2</v>
          </cell>
        </row>
        <row r="113">
          <cell r="A113" t="str">
            <v>Consumer LD volume (total market)</v>
          </cell>
          <cell r="D113">
            <v>222745.4337899544</v>
          </cell>
          <cell r="E113">
            <v>234996.43264840188</v>
          </cell>
          <cell r="F113">
            <v>247921.23644406398</v>
          </cell>
          <cell r="G113">
            <v>222745.4337899544</v>
          </cell>
          <cell r="H113">
            <v>234996.43264840188</v>
          </cell>
          <cell r="I113">
            <v>247921.23644406398</v>
          </cell>
          <cell r="J113">
            <v>259077.69208404684</v>
          </cell>
          <cell r="K113">
            <v>259077.69208404684</v>
          </cell>
          <cell r="L113">
            <v>246123.80747984449</v>
          </cell>
          <cell r="M113">
            <v>233571.4932983724</v>
          </cell>
          <cell r="N113">
            <v>220491.48967366354</v>
          </cell>
          <cell r="O113">
            <v>207923.4747622647</v>
          </cell>
          <cell r="P113">
            <v>195863.91322605332</v>
          </cell>
          <cell r="Q113">
            <v>184307.94234571618</v>
          </cell>
        </row>
        <row r="114">
          <cell r="A114" t="str">
            <v>Market volume growth</v>
          </cell>
          <cell r="E114">
            <v>5.4999999999999938E-2</v>
          </cell>
          <cell r="F114">
            <v>5.4999999999999938E-2</v>
          </cell>
          <cell r="G114">
            <v>4.4999999999999929E-2</v>
          </cell>
          <cell r="H114">
            <v>5.4999999999999938E-2</v>
          </cell>
          <cell r="I114">
            <v>5.4999999999999938E-2</v>
          </cell>
          <cell r="J114">
            <v>4.4999999999999929E-2</v>
          </cell>
          <cell r="K114">
            <v>0</v>
          </cell>
          <cell r="L114">
            <v>-5.0000000000000044E-2</v>
          </cell>
          <cell r="M114">
            <v>-5.1000000000000045E-2</v>
          </cell>
          <cell r="N114">
            <v>-5.600000000000005E-2</v>
          </cell>
          <cell r="O114">
            <v>-5.7000000000000051E-2</v>
          </cell>
          <cell r="P114">
            <v>-5.7000000000000051E-2</v>
          </cell>
          <cell r="Q114">
            <v>-3.5000000000000003E-2</v>
          </cell>
        </row>
        <row r="115">
          <cell r="A115" t="str">
            <v>FON Consumer LD market share (of minutes)</v>
          </cell>
          <cell r="D115">
            <v>6.5000000000000002E-2</v>
          </cell>
          <cell r="E115">
            <v>6.6000000000000003E-2</v>
          </cell>
          <cell r="F115">
            <v>6.4500000000000002E-2</v>
          </cell>
          <cell r="G115">
            <v>6.5000000000000002E-2</v>
          </cell>
          <cell r="H115">
            <v>6.6000000000000003E-2</v>
          </cell>
          <cell r="I115">
            <v>6.4500000000000002E-2</v>
          </cell>
          <cell r="J115">
            <v>6.3750000000000001E-2</v>
          </cell>
          <cell r="K115">
            <v>6.2E-2</v>
          </cell>
          <cell r="L115">
            <v>5.6000000000000001E-2</v>
          </cell>
          <cell r="M115">
            <v>0.05</v>
          </cell>
          <cell r="N115">
            <v>4.7E-2</v>
          </cell>
          <cell r="O115">
            <v>4.3999999999999997E-2</v>
          </cell>
          <cell r="P115">
            <v>0.05</v>
          </cell>
          <cell r="Q115">
            <v>0.05</v>
          </cell>
        </row>
        <row r="116">
          <cell r="A116" t="str">
            <v>Change in market share</v>
          </cell>
          <cell r="D116">
            <v>6.5000000000000002E-2</v>
          </cell>
          <cell r="E116">
            <v>1.0000000000000009E-3</v>
          </cell>
          <cell r="F116">
            <v>-1.5000000000000013E-3</v>
          </cell>
          <cell r="G116">
            <v>6.5000000000000002E-2</v>
          </cell>
          <cell r="H116">
            <v>1.0000000000000009E-3</v>
          </cell>
          <cell r="I116">
            <v>-1.5000000000000013E-3</v>
          </cell>
          <cell r="J116">
            <v>-7.5000000000000067E-4</v>
          </cell>
          <cell r="K116">
            <v>-1.7500000000000016E-3</v>
          </cell>
          <cell r="L116">
            <v>-5.9999999999999984E-3</v>
          </cell>
          <cell r="M116">
            <v>-5.9999999999999984E-3</v>
          </cell>
          <cell r="N116">
            <v>-3.0000000000000027E-3</v>
          </cell>
          <cell r="O116">
            <v>-3.0000000000000027E-3</v>
          </cell>
          <cell r="P116">
            <v>6.0000000000000053E-3</v>
          </cell>
          <cell r="Q116">
            <v>0</v>
          </cell>
        </row>
        <row r="117">
          <cell r="A117" t="str">
            <v>Assumed price per minute</v>
          </cell>
          <cell r="E117">
            <v>0.12126983123452699</v>
          </cell>
          <cell r="F117">
            <v>0.10821123704119151</v>
          </cell>
          <cell r="G117">
            <v>0.12580706554102547</v>
          </cell>
          <cell r="H117">
            <v>0.12126983123452699</v>
          </cell>
          <cell r="I117">
            <v>0.10821123704119151</v>
          </cell>
          <cell r="J117">
            <v>0.12580706554102547</v>
          </cell>
          <cell r="K117">
            <v>9.837230115768103E-2</v>
          </cell>
          <cell r="L117">
            <v>8.4243344069217227E-2</v>
          </cell>
          <cell r="M117">
            <v>7.6407355765640492E-2</v>
          </cell>
          <cell r="N117">
            <v>7.1058840862045655E-2</v>
          </cell>
          <cell r="O117">
            <v>6.6795310410322911E-2</v>
          </cell>
          <cell r="P117">
            <v>6.3455544889806759E-2</v>
          </cell>
          <cell r="Q117">
            <v>6.0917323094214486E-2</v>
          </cell>
        </row>
        <row r="118">
          <cell r="A118" t="str">
            <v>Implied minutes</v>
          </cell>
          <cell r="D118">
            <v>14478.453196347036</v>
          </cell>
          <cell r="E118">
            <v>15509.764554794525</v>
          </cell>
          <cell r="F118">
            <v>15990.919750642128</v>
          </cell>
          <cell r="G118">
            <v>14478.453196347036</v>
          </cell>
          <cell r="H118">
            <v>15509.764554794525</v>
          </cell>
          <cell r="I118">
            <v>15990.919750642128</v>
          </cell>
          <cell r="J118">
            <v>16516.202870357985</v>
          </cell>
          <cell r="K118">
            <v>16062.816909210904</v>
          </cell>
          <cell r="L118">
            <v>13782.933218871292</v>
          </cell>
          <cell r="M118">
            <v>11678.57466491862</v>
          </cell>
          <cell r="N118">
            <v>10363.100014662186</v>
          </cell>
          <cell r="O118">
            <v>9148.6328895396455</v>
          </cell>
          <cell r="P118">
            <v>9793.1956613026668</v>
          </cell>
          <cell r="Q118">
            <v>9215.3971172858091</v>
          </cell>
        </row>
        <row r="119">
          <cell r="A119" t="str">
            <v>Implied price decline</v>
          </cell>
          <cell r="F119">
            <v>-0.10768213380359304</v>
          </cell>
          <cell r="G119">
            <v>0.16260629654511716</v>
          </cell>
          <cell r="H119">
            <v>-0.21807013990321567</v>
          </cell>
          <cell r="I119">
            <v>-0.10768213380359304</v>
          </cell>
          <cell r="J119">
            <v>0.16260629654511716</v>
          </cell>
          <cell r="K119">
            <v>-0.21807013990321567</v>
          </cell>
          <cell r="L119">
            <v>-0.08</v>
          </cell>
          <cell r="M119">
            <v>-0.08</v>
          </cell>
          <cell r="N119">
            <v>-7.0000000000000007E-2</v>
          </cell>
          <cell r="O119">
            <v>-6.0000000000000005E-2</v>
          </cell>
          <cell r="P119">
            <v>-0.05</v>
          </cell>
          <cell r="Q119">
            <v>-0.04</v>
          </cell>
        </row>
        <row r="120">
          <cell r="A120" t="str">
            <v>Implied elasticity</v>
          </cell>
          <cell r="F120">
            <v>0.28809539871592066</v>
          </cell>
          <cell r="G120">
            <v>-0.20201454622138679</v>
          </cell>
          <cell r="H120">
            <v>-0.12588142697730292</v>
          </cell>
          <cell r="I120">
            <v>0.28809539871592066</v>
          </cell>
          <cell r="J120">
            <v>-0.20201454622138679</v>
          </cell>
          <cell r="K120">
            <v>-0.12588142697730292</v>
          </cell>
          <cell r="L120">
            <v>-1.7741935483870956</v>
          </cell>
          <cell r="M120">
            <v>-1.9084821428571443</v>
          </cell>
          <cell r="N120">
            <v>-1.6091428571428581</v>
          </cell>
          <cell r="O120">
            <v>-1.9531914893617051</v>
          </cell>
        </row>
        <row r="121">
          <cell r="A121" t="str">
            <v>Change in elasticity</v>
          </cell>
          <cell r="G121">
            <v>-0.49010994493730742</v>
          </cell>
          <cell r="H121">
            <v>7.6133119244083863E-2</v>
          </cell>
          <cell r="I121">
            <v>-1.6483121214097927</v>
          </cell>
          <cell r="J121">
            <v>-0.49010994493730742</v>
          </cell>
          <cell r="K121">
            <v>7.6133119244083863E-2</v>
          </cell>
          <cell r="L121">
            <v>-1.6483121214097927</v>
          </cell>
          <cell r="M121">
            <v>-0.13428859447004871</v>
          </cell>
          <cell r="N121">
            <v>0.29933928571428625</v>
          </cell>
          <cell r="O121">
            <v>-0.34404863221884696</v>
          </cell>
        </row>
        <row r="122">
          <cell r="A122" t="str">
            <v>Voice revenue growth</v>
          </cell>
          <cell r="F122">
            <v>-0.08</v>
          </cell>
          <cell r="G122">
            <v>0.2007965615188374</v>
          </cell>
          <cell r="H122">
            <v>-0.23953488116077437</v>
          </cell>
          <cell r="I122">
            <v>-0.08</v>
          </cell>
          <cell r="J122">
            <v>0.2007965615188374</v>
          </cell>
          <cell r="K122">
            <v>-0.23953488116077437</v>
          </cell>
          <cell r="L122">
            <v>-0.26517705273584247</v>
          </cell>
          <cell r="M122">
            <v>-0.23149311609099998</v>
          </cell>
          <cell r="N122">
            <v>-0.15560843719102091</v>
          </cell>
          <cell r="O122">
            <v>-0.22760654883137832</v>
          </cell>
          <cell r="P122">
            <v>6.7791671610607729E-2</v>
          </cell>
          <cell r="Q122">
            <v>-9.6640000000000059E-2</v>
          </cell>
          <cell r="AD122">
            <v>-4.0000000000000036E-2</v>
          </cell>
          <cell r="AE122">
            <v>-8.7999999999999856E-2</v>
          </cell>
          <cell r="AF122">
            <v>-0.10999999999999999</v>
          </cell>
          <cell r="AH122">
            <v>-0.15260484653647233</v>
          </cell>
          <cell r="AI122">
            <v>-0.25057542164172819</v>
          </cell>
          <cell r="AJ122">
            <v>-0.27813323749999996</v>
          </cell>
          <cell r="AM122">
            <v>-4.0000000000000036E-2</v>
          </cell>
          <cell r="AN122">
            <v>-8.7999999999999856E-2</v>
          </cell>
          <cell r="AO122">
            <v>-0.10999999999999999</v>
          </cell>
          <cell r="AQ122">
            <v>-0.15260484653647233</v>
          </cell>
          <cell r="AR122">
            <v>-0.25057542164172819</v>
          </cell>
          <cell r="AS122">
            <v>-0.27813323749999996</v>
          </cell>
        </row>
        <row r="123">
          <cell r="A123" t="str">
            <v>Volume growth</v>
          </cell>
          <cell r="F123">
            <v>3.1022727272727257E-2</v>
          </cell>
          <cell r="G123">
            <v>3.2848837209302095E-2</v>
          </cell>
          <cell r="H123">
            <v>-2.7450980392156876E-2</v>
          </cell>
          <cell r="I123">
            <v>3.1022727272727257E-2</v>
          </cell>
          <cell r="J123">
            <v>3.2848837209302095E-2</v>
          </cell>
          <cell r="K123">
            <v>-2.7450980392156876E-2</v>
          </cell>
          <cell r="L123">
            <v>-0.14193548387096766</v>
          </cell>
          <cell r="M123">
            <v>-0.15267857142857155</v>
          </cell>
          <cell r="N123">
            <v>-0.11264000000000007</v>
          </cell>
          <cell r="O123">
            <v>-0.11719148936170232</v>
          </cell>
          <cell r="P123">
            <v>7.0454545454545547E-2</v>
          </cell>
          <cell r="Q123">
            <v>-5.9000000000000052E-2</v>
          </cell>
          <cell r="AD123">
            <v>0.05</v>
          </cell>
          <cell r="AE123">
            <v>0.08</v>
          </cell>
          <cell r="AF123">
            <v>0.1</v>
          </cell>
          <cell r="AG123">
            <v>0.03</v>
          </cell>
          <cell r="AH123">
            <v>0.1</v>
          </cell>
          <cell r="AI123">
            <v>-0.2</v>
          </cell>
          <cell r="AJ123">
            <v>0</v>
          </cell>
          <cell r="AM123">
            <v>0.05</v>
          </cell>
          <cell r="AN123">
            <v>0.08</v>
          </cell>
          <cell r="AO123">
            <v>0.1</v>
          </cell>
          <cell r="AP123">
            <v>0.03</v>
          </cell>
          <cell r="AQ123">
            <v>0.1</v>
          </cell>
          <cell r="AR123">
            <v>-0.2</v>
          </cell>
          <cell r="AS123">
            <v>0</v>
          </cell>
        </row>
        <row r="124">
          <cell r="A124" t="str">
            <v>Gap implied price (decline)</v>
          </cell>
          <cell r="F124">
            <v>-0.11102272727272726</v>
          </cell>
          <cell r="G124">
            <v>0.16794772430953531</v>
          </cell>
          <cell r="H124">
            <v>-0.21208390076861749</v>
          </cell>
          <cell r="I124">
            <v>-0.11102272727272726</v>
          </cell>
          <cell r="J124">
            <v>0.16794772430953531</v>
          </cell>
          <cell r="K124">
            <v>-0.21208390076861749</v>
          </cell>
          <cell r="L124">
            <v>-0.12324156886487481</v>
          </cell>
          <cell r="M124">
            <v>-7.8814544662428432E-2</v>
          </cell>
          <cell r="N124">
            <v>-4.2968437191020836E-2</v>
          </cell>
          <cell r="O124">
            <v>-0.110415059469676</v>
          </cell>
          <cell r="P124">
            <v>-2.6628738439378186E-3</v>
          </cell>
          <cell r="Q124">
            <v>-3.7640000000000007E-2</v>
          </cell>
          <cell r="AD124">
            <v>-9.0000000000000038E-2</v>
          </cell>
          <cell r="AE124">
            <v>-0.16799999999999987</v>
          </cell>
          <cell r="AF124">
            <v>-0.21</v>
          </cell>
          <cell r="AH124">
            <v>-0.25260484653647231</v>
          </cell>
          <cell r="AI124">
            <v>-5.057542164172818E-2</v>
          </cell>
          <cell r="AJ124">
            <v>-0.27813323749999996</v>
          </cell>
          <cell r="AM124">
            <v>-9.0000000000000038E-2</v>
          </cell>
          <cell r="AN124">
            <v>-0.16799999999999987</v>
          </cell>
          <cell r="AO124">
            <v>-0.21</v>
          </cell>
          <cell r="AQ124">
            <v>-0.25260484653647231</v>
          </cell>
          <cell r="AR124">
            <v>-5.057542164172818E-2</v>
          </cell>
          <cell r="AS124">
            <v>-0.27813323749999996</v>
          </cell>
        </row>
        <row r="126">
          <cell r="A126" t="str">
            <v>Consumer UNE-P</v>
          </cell>
          <cell r="AM126">
            <v>100</v>
          </cell>
          <cell r="AN126">
            <v>200</v>
          </cell>
          <cell r="AO126">
            <v>280</v>
          </cell>
          <cell r="AP126">
            <v>313</v>
          </cell>
          <cell r="AV126">
            <v>100</v>
          </cell>
          <cell r="AW126">
            <v>200</v>
          </cell>
          <cell r="AX126">
            <v>280</v>
          </cell>
          <cell r="AY126">
            <v>313</v>
          </cell>
        </row>
        <row r="129">
          <cell r="A129" t="str">
            <v>Business Voice</v>
          </cell>
        </row>
        <row r="130">
          <cell r="A130" t="str">
            <v>Business voice revenue</v>
          </cell>
          <cell r="E130">
            <v>9960.1680072085292</v>
          </cell>
          <cell r="F130">
            <v>2621.6769842397457</v>
          </cell>
          <cell r="G130">
            <v>3261.3644415343915</v>
          </cell>
          <cell r="H130">
            <v>9960.1680072085292</v>
          </cell>
          <cell r="I130">
            <v>2621.6769842397457</v>
          </cell>
          <cell r="J130">
            <v>3261.3644415343915</v>
          </cell>
          <cell r="K130">
            <v>2850.8382692915711</v>
          </cell>
          <cell r="L130">
            <v>2519.3600962556179</v>
          </cell>
          <cell r="M130">
            <v>2270.3918834365386</v>
          </cell>
          <cell r="N130">
            <v>1810.6234863500142</v>
          </cell>
          <cell r="O130">
            <v>2069.7247895275532</v>
          </cell>
          <cell r="P130">
            <v>1086.2188019442776</v>
          </cell>
          <cell r="Q130">
            <v>791.03355812046379</v>
          </cell>
          <cell r="R130">
            <v>568.15600478474028</v>
          </cell>
          <cell r="S130">
            <v>402.39372634069736</v>
          </cell>
          <cell r="T130">
            <v>280.96946179377562</v>
          </cell>
          <cell r="U130">
            <v>193.37586517839972</v>
          </cell>
          <cell r="Z130">
            <v>885.1282051282052</v>
          </cell>
          <cell r="AA130">
            <v>870.17671517671522</v>
          </cell>
          <cell r="AB130">
            <v>866.37206393482541</v>
          </cell>
          <cell r="AC130">
            <v>0</v>
          </cell>
          <cell r="AD130">
            <v>863</v>
          </cell>
          <cell r="AE130">
            <v>837.11</v>
          </cell>
          <cell r="AF130">
            <v>828.25169312169305</v>
          </cell>
          <cell r="AG130">
            <v>733.00274841269834</v>
          </cell>
          <cell r="AH130">
            <v>747.66280338095237</v>
          </cell>
          <cell r="AI130">
            <v>885.1282051282052</v>
          </cell>
          <cell r="AJ130">
            <v>870.17671517671522</v>
          </cell>
          <cell r="AK130">
            <v>866.37206393482541</v>
          </cell>
          <cell r="AL130">
            <v>0</v>
          </cell>
          <cell r="AM130">
            <v>863</v>
          </cell>
          <cell r="AN130">
            <v>837.11</v>
          </cell>
          <cell r="AO130">
            <v>828.25169312169305</v>
          </cell>
          <cell r="AP130">
            <v>733.00274841269834</v>
          </cell>
          <cell r="AQ130">
            <v>747.66280338095237</v>
          </cell>
          <cell r="AR130">
            <v>747.66280338095237</v>
          </cell>
          <cell r="AS130">
            <v>691.58809312738094</v>
          </cell>
          <cell r="AT130">
            <v>663.92456940228567</v>
          </cell>
          <cell r="AU130">
            <v>642.99001090761908</v>
          </cell>
          <cell r="AV130">
            <v>636.56011079854284</v>
          </cell>
          <cell r="AW130">
            <v>629.34516474591669</v>
          </cell>
          <cell r="AX130">
            <v>610.4648098035392</v>
          </cell>
          <cell r="AY130">
            <v>586.04621741139761</v>
          </cell>
          <cell r="AZ130">
            <v>568.46483088905563</v>
          </cell>
          <cell r="BA130">
            <v>554.25321011682922</v>
          </cell>
          <cell r="BB130">
            <v>561.62762501925613</v>
          </cell>
          <cell r="BC130">
            <v>468.83697392911813</v>
          </cell>
          <cell r="BD130">
            <v>454.77186471124452</v>
          </cell>
          <cell r="BE130">
            <v>448.94510019463172</v>
          </cell>
          <cell r="BF130">
            <v>438.06954751501979</v>
          </cell>
          <cell r="BG130">
            <v>897.82280507426128</v>
          </cell>
          <cell r="BH130">
            <v>400.19924094589516</v>
          </cell>
          <cell r="BI130">
            <v>390.58223716932957</v>
          </cell>
          <cell r="BJ130">
            <v>381.12050633806723</v>
          </cell>
          <cell r="BM130">
            <v>0</v>
          </cell>
          <cell r="BN130">
            <v>0</v>
          </cell>
          <cell r="BO130">
            <v>0</v>
          </cell>
        </row>
        <row r="131">
          <cell r="A131" t="str">
            <v>% y/y growth</v>
          </cell>
          <cell r="F131">
            <v>-0.73678385923386591</v>
          </cell>
          <cell r="G131">
            <v>0.24399934131479095</v>
          </cell>
          <cell r="H131">
            <v>-0.12587558968101031</v>
          </cell>
          <cell r="I131">
            <v>-0.73678385923386591</v>
          </cell>
          <cell r="J131">
            <v>0.24399934131479095</v>
          </cell>
          <cell r="K131">
            <v>-0.12587558968101031</v>
          </cell>
          <cell r="L131">
            <v>-0.11627393128769981</v>
          </cell>
          <cell r="M131">
            <v>-9.8822003725909102E-2</v>
          </cell>
          <cell r="N131">
            <v>-0.20250618425864175</v>
          </cell>
          <cell r="O131">
            <v>0.14310059773932027</v>
          </cell>
          <cell r="P131">
            <v>-0.47518684250178789</v>
          </cell>
          <cell r="Q131">
            <v>-0.27175486494566925</v>
          </cell>
          <cell r="R131">
            <v>-0.28175486494566926</v>
          </cell>
          <cell r="S131">
            <v>-0.29175486494566927</v>
          </cell>
          <cell r="T131">
            <v>-0.30175486494566928</v>
          </cell>
          <cell r="U131">
            <v>-0.31175486494566929</v>
          </cell>
          <cell r="AD131">
            <v>-2.5000000000000022E-2</v>
          </cell>
          <cell r="AE131">
            <v>-3.8000000000000034E-2</v>
          </cell>
          <cell r="AF131">
            <v>-4.4000000000000039E-2</v>
          </cell>
          <cell r="AH131">
            <v>-0.13364680952380958</v>
          </cell>
          <cell r="AI131">
            <v>-0.12</v>
          </cell>
          <cell r="AJ131">
            <v>-0.16500249999999994</v>
          </cell>
          <cell r="AK131">
            <v>-9.423999999999999E-2</v>
          </cell>
          <cell r="AL131">
            <v>-0.14000000000000001</v>
          </cell>
          <cell r="AM131">
            <v>-2.5000000000000022E-2</v>
          </cell>
          <cell r="AN131">
            <v>-3.8000000000000034E-2</v>
          </cell>
          <cell r="AO131">
            <v>-4.4000000000000039E-2</v>
          </cell>
          <cell r="AP131">
            <v>-8.8560930232558177E-2</v>
          </cell>
          <cell r="AQ131">
            <v>-0.13364680952380958</v>
          </cell>
          <cell r="AR131">
            <v>-0.12</v>
          </cell>
          <cell r="AS131">
            <v>-0.16500249999999994</v>
          </cell>
          <cell r="AT131">
            <v>-9.423999999999999E-2</v>
          </cell>
          <cell r="AU131">
            <v>-0.14000000000000001</v>
          </cell>
          <cell r="AV131">
            <v>-0.14860000000000007</v>
          </cell>
          <cell r="AW131">
            <v>-0.09</v>
          </cell>
          <cell r="AX131">
            <v>-8.0520833333333264E-2</v>
          </cell>
          <cell r="AY131">
            <v>-8.8560930232558177E-2</v>
          </cell>
          <cell r="AZ131">
            <v>-0.1069738407329105</v>
          </cell>
          <cell r="BA131">
            <v>-0.11931760000000013</v>
          </cell>
          <cell r="BB131">
            <v>-0.08</v>
          </cell>
          <cell r="BC131">
            <v>-0.2</v>
          </cell>
          <cell r="BD131">
            <v>-0.2</v>
          </cell>
          <cell r="BE131">
            <v>-0.19</v>
          </cell>
          <cell r="BF131">
            <v>-0.22</v>
          </cell>
          <cell r="BG131">
            <v>0.91500000000000004</v>
          </cell>
          <cell r="BH131">
            <v>-0.12</v>
          </cell>
          <cell r="BI131">
            <v>-0.13</v>
          </cell>
          <cell r="BJ131">
            <v>-0.13</v>
          </cell>
        </row>
        <row r="132">
          <cell r="A132" t="str">
            <v>% q/q growth</v>
          </cell>
          <cell r="AA132">
            <v>-1.6891891891891886E-2</v>
          </cell>
          <cell r="AB132">
            <v>-4.3722742467513509E-3</v>
          </cell>
          <cell r="AC132">
            <v>-1</v>
          </cell>
          <cell r="AE132">
            <v>-3.0000000000000027E-2</v>
          </cell>
          <cell r="AF132">
            <v>-1.0582010582010692E-2</v>
          </cell>
          <cell r="AG132">
            <v>-0.11499999999999999</v>
          </cell>
          <cell r="AH132">
            <v>2.0000000000000018E-2</v>
          </cell>
          <cell r="AI132">
            <v>0</v>
          </cell>
          <cell r="AJ132">
            <v>-1.6891891891891886E-2</v>
          </cell>
          <cell r="AK132">
            <v>-4.3722742467513509E-3</v>
          </cell>
          <cell r="AL132">
            <v>-1</v>
          </cell>
          <cell r="AM132">
            <v>-0.01</v>
          </cell>
          <cell r="AN132">
            <v>-3.0000000000000027E-2</v>
          </cell>
          <cell r="AO132">
            <v>-1.0582010582010692E-2</v>
          </cell>
          <cell r="AP132">
            <v>-0.11499999999999999</v>
          </cell>
          <cell r="AQ132">
            <v>2.0000000000000018E-2</v>
          </cell>
          <cell r="AR132">
            <v>0</v>
          </cell>
          <cell r="AS132">
            <v>-7.4999999999999956E-2</v>
          </cell>
          <cell r="AT132">
            <v>-0.04</v>
          </cell>
          <cell r="AU132">
            <v>-0.04</v>
          </cell>
          <cell r="AV132">
            <v>-0.01</v>
          </cell>
          <cell r="AW132">
            <v>-1.1334272962179925E-2</v>
          </cell>
          <cell r="AX132">
            <v>-0.03</v>
          </cell>
          <cell r="AY132">
            <v>-0.04</v>
          </cell>
          <cell r="AZ132">
            <v>-0.03</v>
          </cell>
          <cell r="BA132">
            <v>-2.5000000000000001E-2</v>
          </cell>
          <cell r="BB132">
            <v>1.3305137016477397E-2</v>
          </cell>
          <cell r="BC132">
            <v>-0.16521739130434787</v>
          </cell>
          <cell r="BD132">
            <v>-3.0000000000000138E-2</v>
          </cell>
          <cell r="BE132">
            <v>-1.2812500000000004E-2</v>
          </cell>
          <cell r="BF132">
            <v>-2.4224682873021708E-2</v>
          </cell>
          <cell r="BG132">
            <v>1.0494983277591974</v>
          </cell>
          <cell r="BH132">
            <v>-0.55425587467362936</v>
          </cell>
          <cell r="BI132">
            <v>-2.4030539772727177E-2</v>
          </cell>
          <cell r="BJ132">
            <v>-2.4224682873021708E-2</v>
          </cell>
        </row>
        <row r="133">
          <cell r="A133" t="str">
            <v>% total voice revenues</v>
          </cell>
          <cell r="E133">
            <v>1.3378331775968475</v>
          </cell>
          <cell r="F133">
            <v>0.36956258588099039</v>
          </cell>
          <cell r="G133">
            <v>0.49339855393863713</v>
          </cell>
          <cell r="H133">
            <v>1.3378331775968475</v>
          </cell>
          <cell r="I133">
            <v>0.36956258588099039</v>
          </cell>
          <cell r="J133">
            <v>0.49339855393863713</v>
          </cell>
          <cell r="K133">
            <v>0.49425074016844162</v>
          </cell>
          <cell r="L133">
            <v>0.50397281381388637</v>
          </cell>
          <cell r="M133">
            <v>0.49789295689397778</v>
          </cell>
          <cell r="N133">
            <v>0.42977058778780303</v>
          </cell>
          <cell r="O133">
            <v>0.52814663236937232</v>
          </cell>
          <cell r="P133">
            <v>0.30979603815336559</v>
          </cell>
          <cell r="Q133">
            <v>0.24494722466857158</v>
          </cell>
          <cell r="R133">
            <v>0.18865744027905987</v>
          </cell>
          <cell r="S133">
            <v>0.14278727716363399</v>
          </cell>
          <cell r="T133">
            <v>0.1066684777007902</v>
          </cell>
          <cell r="U133">
            <v>7.8965794549644155E-2</v>
          </cell>
        </row>
        <row r="134">
          <cell r="A134" t="str">
            <v>FON Business LD volume</v>
          </cell>
          <cell r="E134">
            <v>29259.787770532872</v>
          </cell>
          <cell r="F134">
            <v>32770.962302996821</v>
          </cell>
          <cell r="G134">
            <v>47129.54395280913</v>
          </cell>
          <cell r="H134">
            <v>29259.787770532872</v>
          </cell>
          <cell r="I134">
            <v>32770.962302996821</v>
          </cell>
          <cell r="J134">
            <v>47129.54395280913</v>
          </cell>
          <cell r="K134">
            <v>47635.730533959533</v>
          </cell>
          <cell r="L134">
            <v>46444.837270610537</v>
          </cell>
          <cell r="M134">
            <v>37451.8203464611</v>
          </cell>
          <cell r="N134">
            <v>31102.486879234479</v>
          </cell>
          <cell r="O134">
            <v>25151.728274789304</v>
          </cell>
          <cell r="P134">
            <v>19579.422226228231</v>
          </cell>
          <cell r="Q134">
            <v>14366.366733929814</v>
          </cell>
        </row>
        <row r="135">
          <cell r="A135" t="str">
            <v xml:space="preserve">Y/Y Volume growth </v>
          </cell>
          <cell r="F135">
            <v>0.12</v>
          </cell>
          <cell r="G135">
            <v>0.43814952753155056</v>
          </cell>
          <cell r="H135">
            <v>1.0740324193615036E-2</v>
          </cell>
          <cell r="I135">
            <v>0.12</v>
          </cell>
          <cell r="J135">
            <v>0.43814952753155056</v>
          </cell>
          <cell r="K135">
            <v>1.0740324193615036E-2</v>
          </cell>
          <cell r="L135">
            <v>-2.5000000000000133E-2</v>
          </cell>
          <cell r="M135">
            <v>-0.19362791329748197</v>
          </cell>
          <cell r="N135">
            <v>-0.16953337403869562</v>
          </cell>
          <cell r="O135">
            <v>-0.19132742110143575</v>
          </cell>
          <cell r="P135">
            <v>-0.22154764029263319</v>
          </cell>
          <cell r="Q135">
            <v>-0.2662517530938735</v>
          </cell>
          <cell r="AD135">
            <v>0.3</v>
          </cell>
          <cell r="AE135">
            <v>0.3</v>
          </cell>
          <cell r="AF135">
            <v>0.3</v>
          </cell>
          <cell r="AG135">
            <v>0.36</v>
          </cell>
          <cell r="AH135">
            <v>0.23</v>
          </cell>
          <cell r="AI135">
            <v>0.18</v>
          </cell>
          <cell r="AK135">
            <v>-0.15</v>
          </cell>
          <cell r="AL135">
            <v>-0.06</v>
          </cell>
          <cell r="AM135">
            <v>0.3</v>
          </cell>
          <cell r="AN135">
            <v>0.3</v>
          </cell>
          <cell r="AO135">
            <v>0.3</v>
          </cell>
          <cell r="AP135">
            <v>0.36</v>
          </cell>
          <cell r="AQ135">
            <v>0.23</v>
          </cell>
          <cell r="AR135">
            <v>0.18</v>
          </cell>
          <cell r="AT135">
            <v>-0.15</v>
          </cell>
          <cell r="AU135">
            <v>-0.06</v>
          </cell>
        </row>
        <row r="136">
          <cell r="A136" t="str">
            <v xml:space="preserve">Q/Q Volume growth </v>
          </cell>
          <cell r="AD136">
            <v>0.15</v>
          </cell>
          <cell r="AE136">
            <v>0.03</v>
          </cell>
          <cell r="AF136">
            <v>0.08</v>
          </cell>
          <cell r="AG136">
            <v>0.06</v>
          </cell>
          <cell r="AH136">
            <v>0.04</v>
          </cell>
          <cell r="AI136">
            <v>0.01</v>
          </cell>
          <cell r="AM136">
            <v>0.15</v>
          </cell>
          <cell r="AN136">
            <v>0.03</v>
          </cell>
          <cell r="AO136">
            <v>0.08</v>
          </cell>
          <cell r="AP136">
            <v>0.06</v>
          </cell>
          <cell r="AQ136">
            <v>0.04</v>
          </cell>
          <cell r="AR136">
            <v>0.01</v>
          </cell>
        </row>
        <row r="137">
          <cell r="A137" t="str">
            <v>Q/Q implied price decline</v>
          </cell>
          <cell r="AE137">
            <v>-6.0000000000000026E-2</v>
          </cell>
          <cell r="AF137">
            <v>-9.0582010582010694E-2</v>
          </cell>
          <cell r="AG137">
            <v>-0.17499999999999999</v>
          </cell>
          <cell r="AH137">
            <v>-1.9999999999999983E-2</v>
          </cell>
          <cell r="AI137">
            <v>-0.01</v>
          </cell>
          <cell r="AJ137">
            <v>-7.4999999999999956E-2</v>
          </cell>
          <cell r="AK137">
            <v>-0.04</v>
          </cell>
          <cell r="AN137">
            <v>-6.0000000000000026E-2</v>
          </cell>
          <cell r="AO137">
            <v>-9.0582010582010694E-2</v>
          </cell>
          <cell r="AP137">
            <v>-0.17499999999999999</v>
          </cell>
          <cell r="AQ137">
            <v>-1.9999999999999983E-2</v>
          </cell>
          <cell r="AR137">
            <v>-0.01</v>
          </cell>
          <cell r="AS137">
            <v>-7.4999999999999956E-2</v>
          </cell>
          <cell r="AT137">
            <v>-0.04</v>
          </cell>
        </row>
        <row r="139">
          <cell r="A139" t="str">
            <v>Business LD volume (total market, from T model)</v>
          </cell>
          <cell r="D139">
            <v>349518.97263292869</v>
          </cell>
          <cell r="E139">
            <v>416867.14456391876</v>
          </cell>
          <cell r="F139">
            <v>479397.21624850656</v>
          </cell>
          <cell r="G139">
            <v>349518.97263292869</v>
          </cell>
          <cell r="H139">
            <v>416867.14456391876</v>
          </cell>
          <cell r="I139">
            <v>479397.21624850656</v>
          </cell>
          <cell r="J139">
            <v>546512.82652329747</v>
          </cell>
          <cell r="K139">
            <v>549245.39065591386</v>
          </cell>
          <cell r="L139">
            <v>535514.25588951597</v>
          </cell>
          <cell r="M139">
            <v>522126.39949227805</v>
          </cell>
          <cell r="N139">
            <v>503851.97551004833</v>
          </cell>
          <cell r="O139">
            <v>486217.15636719664</v>
          </cell>
          <cell r="P139">
            <v>469199.55589434475</v>
          </cell>
          <cell r="Q139">
            <v>452777.57143804268</v>
          </cell>
        </row>
        <row r="140">
          <cell r="A140" t="str">
            <v>Market volume growth</v>
          </cell>
          <cell r="E140">
            <v>0.19268817204301047</v>
          </cell>
          <cell r="F140">
            <v>0.14999999999999991</v>
          </cell>
          <cell r="G140">
            <v>0.1399999999999999</v>
          </cell>
          <cell r="H140">
            <v>0.19268817204301047</v>
          </cell>
          <cell r="I140">
            <v>0.14999999999999991</v>
          </cell>
          <cell r="J140">
            <v>0.1399999999999999</v>
          </cell>
          <cell r="K140">
            <v>4.9999999999998934E-3</v>
          </cell>
          <cell r="L140">
            <v>-2.5000000000000022E-2</v>
          </cell>
          <cell r="M140">
            <v>-2.5000000000000022E-2</v>
          </cell>
          <cell r="N140">
            <v>-3.5000000000000031E-2</v>
          </cell>
          <cell r="O140">
            <v>-3.5000000000000031E-2</v>
          </cell>
          <cell r="P140">
            <v>7.0000000000000007E-2</v>
          </cell>
          <cell r="Q140">
            <v>7.0000000000000007E-2</v>
          </cell>
        </row>
        <row r="141">
          <cell r="A141" t="str">
            <v>FON Business LD market share (of minutes)</v>
          </cell>
          <cell r="E141">
            <v>7.0189719079783303E-2</v>
          </cell>
          <cell r="F141">
            <v>6.8358682929875916E-2</v>
          </cell>
          <cell r="G141">
            <v>8.6236848735333438E-2</v>
          </cell>
          <cell r="H141">
            <v>7.0189719079783303E-2</v>
          </cell>
          <cell r="I141">
            <v>6.8358682929875916E-2</v>
          </cell>
          <cell r="J141">
            <v>8.6236848735333438E-2</v>
          </cell>
          <cell r="K141">
            <v>8.672941338128029E-2</v>
          </cell>
          <cell r="L141">
            <v>8.6729413381280276E-2</v>
          </cell>
          <cell r="M141">
            <v>7.1729413381280277E-2</v>
          </cell>
          <cell r="N141">
            <v>6.1729413381280275E-2</v>
          </cell>
          <cell r="O141">
            <v>5.1729413381280273E-2</v>
          </cell>
          <cell r="P141">
            <v>4.1729413381280271E-2</v>
          </cell>
          <cell r="Q141">
            <v>3.1729413381280269E-2</v>
          </cell>
        </row>
        <row r="142">
          <cell r="A142" t="str">
            <v>Change in market share</v>
          </cell>
          <cell r="F142">
            <v>-1.8310361499073863E-3</v>
          </cell>
          <cell r="G142">
            <v>1.7878165805457522E-2</v>
          </cell>
          <cell r="H142">
            <v>4.9256464594685245E-4</v>
          </cell>
          <cell r="I142">
            <v>-1.8310361499073863E-3</v>
          </cell>
          <cell r="J142">
            <v>1.7878165805457522E-2</v>
          </cell>
          <cell r="K142">
            <v>4.9256464594685245E-4</v>
          </cell>
          <cell r="L142">
            <v>0</v>
          </cell>
          <cell r="M142">
            <v>-1.4999999999999999E-2</v>
          </cell>
          <cell r="N142">
            <v>-0.01</v>
          </cell>
          <cell r="O142">
            <v>-0.01</v>
          </cell>
          <cell r="P142">
            <v>-0.01</v>
          </cell>
          <cell r="Q142">
            <v>-0.01</v>
          </cell>
        </row>
        <row r="144">
          <cell r="A144" t="str">
            <v>Assumed price per minute</v>
          </cell>
          <cell r="E144">
            <v>0.34040465656552971</v>
          </cell>
          <cell r="F144">
            <v>0.08</v>
          </cell>
          <cell r="G144">
            <v>6.9199999999999998E-2</v>
          </cell>
          <cell r="H144">
            <v>0.34040465656552971</v>
          </cell>
          <cell r="I144">
            <v>0.08</v>
          </cell>
          <cell r="J144">
            <v>6.9199999999999998E-2</v>
          </cell>
          <cell r="K144">
            <v>6.4748608556071244E-2</v>
          </cell>
          <cell r="L144">
            <v>6.0583559392302637E-2</v>
          </cell>
          <cell r="M144">
            <v>5.9715611091373764E-2</v>
          </cell>
          <cell r="N144">
            <v>5.7625564703175682E-2</v>
          </cell>
          <cell r="O144">
            <v>5.5896797762080411E-2</v>
          </cell>
          <cell r="P144">
            <v>5.5477571778864809E-2</v>
          </cell>
          <cell r="Q144">
            <v>5.5061489990523328E-2</v>
          </cell>
        </row>
        <row r="145">
          <cell r="A145" t="str">
            <v>Implied minutes</v>
          </cell>
          <cell r="F145">
            <v>32770.962302996821</v>
          </cell>
          <cell r="G145">
            <v>47129.54395280913</v>
          </cell>
          <cell r="H145">
            <v>47635.730533959533</v>
          </cell>
          <cell r="I145">
            <v>32770.962302996821</v>
          </cell>
          <cell r="J145">
            <v>47129.54395280913</v>
          </cell>
          <cell r="K145">
            <v>47635.730533959533</v>
          </cell>
          <cell r="L145">
            <v>46444.837270610537</v>
          </cell>
          <cell r="M145">
            <v>37451.8203464611</v>
          </cell>
          <cell r="N145">
            <v>31102.486879234479</v>
          </cell>
          <cell r="O145">
            <v>25151.728274789304</v>
          </cell>
          <cell r="P145">
            <v>19579.422226228231</v>
          </cell>
          <cell r="Q145">
            <v>14366.366733929814</v>
          </cell>
        </row>
        <row r="146">
          <cell r="A146" t="str">
            <v>Implied price decline</v>
          </cell>
          <cell r="F146">
            <v>-0.76498558860166599</v>
          </cell>
          <cell r="G146">
            <v>-0.13500000000000001</v>
          </cell>
          <cell r="H146">
            <v>-6.4326465952727618E-2</v>
          </cell>
          <cell r="I146">
            <v>-0.76498558860166599</v>
          </cell>
          <cell r="J146">
            <v>-0.13500000000000001</v>
          </cell>
          <cell r="K146">
            <v>-6.4326465952727618E-2</v>
          </cell>
          <cell r="L146">
            <v>-6.4326465952727618E-2</v>
          </cell>
          <cell r="M146">
            <v>-1.4326465952727616E-2</v>
          </cell>
          <cell r="N146">
            <v>-3.5000000000000003E-2</v>
          </cell>
          <cell r="O146">
            <v>-0.03</v>
          </cell>
          <cell r="P146">
            <v>-7.4999999999999997E-3</v>
          </cell>
          <cell r="Q146">
            <v>-7.4999999999999997E-3</v>
          </cell>
        </row>
        <row r="147">
          <cell r="A147" t="str">
            <v>Implied elasticity</v>
          </cell>
          <cell r="F147">
            <v>0.15686570020142554</v>
          </cell>
          <cell r="G147">
            <v>3.2455520557892634</v>
          </cell>
          <cell r="H147">
            <v>0.16696586754055337</v>
          </cell>
          <cell r="I147">
            <v>0.15686570020142554</v>
          </cell>
          <cell r="J147">
            <v>3.2455520557892634</v>
          </cell>
          <cell r="K147">
            <v>0.16696586754055337</v>
          </cell>
          <cell r="L147">
            <v>-0.38864252263403049</v>
          </cell>
          <cell r="M147">
            <v>-13.515399676122998</v>
          </cell>
          <cell r="N147">
            <v>-4.8438106868198743</v>
          </cell>
          <cell r="O147">
            <v>-6.3775807033811915</v>
          </cell>
          <cell r="P147">
            <v>-29.539685372351091</v>
          </cell>
          <cell r="Q147">
            <v>-35.500233745849805</v>
          </cell>
        </row>
        <row r="148">
          <cell r="A148" t="str">
            <v>Change in elasticity</v>
          </cell>
          <cell r="G148">
            <v>3.0886863555878379</v>
          </cell>
          <cell r="H148">
            <v>-3.07858618824871</v>
          </cell>
          <cell r="I148">
            <v>-0.55560839017458385</v>
          </cell>
          <cell r="J148">
            <v>3.0886863555878379</v>
          </cell>
          <cell r="K148">
            <v>-3.07858618824871</v>
          </cell>
          <cell r="L148">
            <v>-0.55560839017458385</v>
          </cell>
          <cell r="M148">
            <v>-13.126757153488967</v>
          </cell>
          <cell r="N148">
            <v>8.6715889893031246</v>
          </cell>
          <cell r="O148">
            <v>-1.5337700165613173</v>
          </cell>
          <cell r="P148">
            <v>-23.162104668969899</v>
          </cell>
          <cell r="Q148">
            <v>-5.9605483734987139</v>
          </cell>
        </row>
        <row r="150">
          <cell r="A150" t="str">
            <v>Voice revenue growth</v>
          </cell>
          <cell r="F150">
            <v>-0.73678385923386591</v>
          </cell>
          <cell r="G150">
            <v>0.24399934131479095</v>
          </cell>
          <cell r="H150">
            <v>-0.12587558968101031</v>
          </cell>
          <cell r="I150">
            <v>-0.73678385923386591</v>
          </cell>
          <cell r="J150">
            <v>0.24399934131479095</v>
          </cell>
          <cell r="K150">
            <v>-0.12587558968101031</v>
          </cell>
          <cell r="L150">
            <v>-0.11627393128769981</v>
          </cell>
          <cell r="M150">
            <v>-9.8822003725909102E-2</v>
          </cell>
          <cell r="N150">
            <v>-0.20250618425864175</v>
          </cell>
          <cell r="O150">
            <v>0.14310059773932027</v>
          </cell>
          <cell r="P150">
            <v>-0.47518684250178789</v>
          </cell>
          <cell r="Q150">
            <v>-0.27175486494566925</v>
          </cell>
          <cell r="AD150">
            <v>-2.5000000000000022E-2</v>
          </cell>
          <cell r="AE150">
            <v>-3.8000000000000034E-2</v>
          </cell>
          <cell r="AF150">
            <v>-4.4000000000000039E-2</v>
          </cell>
          <cell r="AH150">
            <v>-0.13364680952380958</v>
          </cell>
          <cell r="AI150">
            <v>-0.12</v>
          </cell>
          <cell r="AJ150">
            <v>-0.16500249999999994</v>
          </cell>
          <cell r="AM150">
            <v>-2.5000000000000022E-2</v>
          </cell>
          <cell r="AN150">
            <v>-3.8000000000000034E-2</v>
          </cell>
          <cell r="AO150">
            <v>-4.4000000000000039E-2</v>
          </cell>
          <cell r="AQ150">
            <v>-0.13364680952380958</v>
          </cell>
          <cell r="AR150">
            <v>-0.12</v>
          </cell>
          <cell r="AS150">
            <v>-0.16500249999999994</v>
          </cell>
        </row>
        <row r="151">
          <cell r="A151" t="str">
            <v>Volume growth</v>
          </cell>
          <cell r="F151">
            <v>0.12</v>
          </cell>
          <cell r="G151">
            <v>0.43814952753155056</v>
          </cell>
          <cell r="H151">
            <v>1.0740324193615036E-2</v>
          </cell>
          <cell r="I151">
            <v>0.12</v>
          </cell>
          <cell r="J151">
            <v>0.43814952753155056</v>
          </cell>
          <cell r="K151">
            <v>1.0740324193615036E-2</v>
          </cell>
          <cell r="L151">
            <v>-2.5000000000000133E-2</v>
          </cell>
          <cell r="M151">
            <v>-0.19362791329748197</v>
          </cell>
          <cell r="N151">
            <v>-0.16953337403869562</v>
          </cell>
          <cell r="O151">
            <v>-0.19132742110143575</v>
          </cell>
          <cell r="P151">
            <v>-0.22154764029263319</v>
          </cell>
          <cell r="Q151">
            <v>-0.2662517530938735</v>
          </cell>
          <cell r="AD151">
            <v>0.3</v>
          </cell>
          <cell r="AE151">
            <v>0.3</v>
          </cell>
          <cell r="AF151">
            <v>0.3</v>
          </cell>
          <cell r="AG151">
            <v>0.36</v>
          </cell>
          <cell r="AH151">
            <v>0.23</v>
          </cell>
          <cell r="AI151">
            <v>0.18</v>
          </cell>
          <cell r="AJ151">
            <v>0</v>
          </cell>
          <cell r="AM151">
            <v>0.3</v>
          </cell>
          <cell r="AN151">
            <v>0.3</v>
          </cell>
          <cell r="AO151">
            <v>0.3</v>
          </cell>
          <cell r="AP151">
            <v>0.36</v>
          </cell>
          <cell r="AQ151">
            <v>0.23</v>
          </cell>
          <cell r="AR151">
            <v>0.18</v>
          </cell>
          <cell r="AS151">
            <v>0</v>
          </cell>
        </row>
        <row r="152">
          <cell r="A152" t="str">
            <v>Gap implied price (decline)</v>
          </cell>
          <cell r="F152">
            <v>-0.85678385923386591</v>
          </cell>
          <cell r="G152">
            <v>-0.19415018621675961</v>
          </cell>
          <cell r="H152">
            <v>-0.13661591387462535</v>
          </cell>
          <cell r="I152">
            <v>-0.85678385923386591</v>
          </cell>
          <cell r="J152">
            <v>-0.19415018621675961</v>
          </cell>
          <cell r="K152">
            <v>-0.13661591387462535</v>
          </cell>
          <cell r="L152">
            <v>-9.1273931287699672E-2</v>
          </cell>
          <cell r="M152">
            <v>9.4805909571572866E-2</v>
          </cell>
          <cell r="N152">
            <v>-3.2972810219946136E-2</v>
          </cell>
          <cell r="O152">
            <v>0.33442801884075601</v>
          </cell>
          <cell r="P152">
            <v>-0.2536392022091547</v>
          </cell>
          <cell r="Q152">
            <v>-5.50311185179575E-3</v>
          </cell>
          <cell r="AD152">
            <v>-0.32500000000000001</v>
          </cell>
          <cell r="AE152">
            <v>-0.33800000000000002</v>
          </cell>
          <cell r="AF152">
            <v>-0.34400000000000003</v>
          </cell>
          <cell r="AH152">
            <v>-0.36364680952380957</v>
          </cell>
          <cell r="AI152">
            <v>-0.3</v>
          </cell>
          <cell r="AJ152">
            <v>-0.16500249999999994</v>
          </cell>
          <cell r="AM152">
            <v>-0.32500000000000001</v>
          </cell>
          <cell r="AN152">
            <v>-0.33800000000000002</v>
          </cell>
          <cell r="AO152">
            <v>-0.34400000000000003</v>
          </cell>
          <cell r="AQ152">
            <v>-0.36364680952380957</v>
          </cell>
          <cell r="AR152">
            <v>-0.3</v>
          </cell>
          <cell r="AS152">
            <v>-0.16500249999999994</v>
          </cell>
        </row>
        <row r="154">
          <cell r="A154" t="str">
            <v>Wholesale Voice</v>
          </cell>
        </row>
        <row r="155">
          <cell r="A155" t="str">
            <v>Wholesale voice revenue</v>
          </cell>
          <cell r="E155">
            <v>-4396.0345372557085</v>
          </cell>
          <cell r="F155">
            <v>-4352.0741918831518</v>
          </cell>
          <cell r="G155">
            <v>1270.7805414656086</v>
          </cell>
          <cell r="H155">
            <v>-4396.0345372557085</v>
          </cell>
          <cell r="I155">
            <v>-4352.0741918831518</v>
          </cell>
          <cell r="J155">
            <v>1270.7805414656086</v>
          </cell>
          <cell r="K155">
            <v>1337.0254682748425</v>
          </cell>
          <cell r="L155">
            <v>1318.5195183039643</v>
          </cell>
          <cell r="M155">
            <v>1397.2791073054286</v>
          </cell>
          <cell r="N155">
            <v>1648.9014269828076</v>
          </cell>
          <cell r="O155">
            <v>1333.8835259346695</v>
          </cell>
          <cell r="P155">
            <v>1413.9165374907498</v>
          </cell>
          <cell r="Q155">
            <v>1470.4731989903798</v>
          </cell>
          <cell r="R155">
            <v>1514.5873949600914</v>
          </cell>
          <cell r="S155">
            <v>1529.7332689096922</v>
          </cell>
          <cell r="T155">
            <v>1514.4359362205953</v>
          </cell>
          <cell r="U155">
            <v>1469.0028581339775</v>
          </cell>
          <cell r="Z155">
            <v>-1437.9875801282051</v>
          </cell>
          <cell r="AA155">
            <v>-1455.8280309661889</v>
          </cell>
          <cell r="AB155">
            <v>-1458.2585807887581</v>
          </cell>
          <cell r="AC155">
            <v>0</v>
          </cell>
          <cell r="AD155">
            <v>332.255</v>
          </cell>
          <cell r="AE155">
            <v>329.77599999999995</v>
          </cell>
          <cell r="AF155">
            <v>327.96930687830695</v>
          </cell>
          <cell r="AG155">
            <v>280.78023458730166</v>
          </cell>
          <cell r="AH155">
            <v>338.58645589404762</v>
          </cell>
          <cell r="AI155">
            <v>-1437.9875801282051</v>
          </cell>
          <cell r="AJ155">
            <v>-1455.8280309661889</v>
          </cell>
          <cell r="AK155">
            <v>-1458.2585807887581</v>
          </cell>
          <cell r="AL155">
            <v>0</v>
          </cell>
          <cell r="AM155">
            <v>332.255</v>
          </cell>
          <cell r="AN155">
            <v>329.77599999999995</v>
          </cell>
          <cell r="AO155">
            <v>327.96930687830695</v>
          </cell>
          <cell r="AP155">
            <v>280.78023458730166</v>
          </cell>
          <cell r="AQ155">
            <v>338.58645589404762</v>
          </cell>
          <cell r="AR155">
            <v>320.05903737379759</v>
          </cell>
          <cell r="AS155">
            <v>361.14765558963154</v>
          </cell>
          <cell r="AT155">
            <v>317.23231941736577</v>
          </cell>
          <cell r="AU155">
            <v>326.1894557703809</v>
          </cell>
          <cell r="AV155">
            <v>335.25074091468719</v>
          </cell>
          <cell r="AW155">
            <v>320.85136176618289</v>
          </cell>
          <cell r="AX155">
            <v>336.22795985271341</v>
          </cell>
          <cell r="AY155">
            <v>360.32341988610472</v>
          </cell>
          <cell r="AZ155">
            <v>367.88632454357156</v>
          </cell>
          <cell r="BA155">
            <v>355.92741065281916</v>
          </cell>
          <cell r="BB155">
            <v>313.14195222293336</v>
          </cell>
          <cell r="BC155">
            <v>394.87352140078383</v>
          </cell>
          <cell r="BD155">
            <v>408.00310585216238</v>
          </cell>
          <cell r="BE155">
            <v>452.77481504417642</v>
          </cell>
          <cell r="BF155">
            <v>393.24998468568498</v>
          </cell>
          <cell r="BG155">
            <v>0.46796735718477578</v>
          </cell>
          <cell r="BH155">
            <v>428.40326114477051</v>
          </cell>
          <cell r="BI155">
            <v>452.77481504417642</v>
          </cell>
          <cell r="BJ155">
            <v>452.23748238853767</v>
          </cell>
          <cell r="BM155">
            <v>0</v>
          </cell>
          <cell r="BN155">
            <v>0</v>
          </cell>
          <cell r="BO155">
            <v>0</v>
          </cell>
        </row>
        <row r="156">
          <cell r="A156" t="str">
            <v>% y/y growth</v>
          </cell>
          <cell r="F156">
            <v>-0.01</v>
          </cell>
          <cell r="G156">
            <v>-1.2919942274503686</v>
          </cell>
          <cell r="H156">
            <v>5.2129321033537845E-2</v>
          </cell>
          <cell r="I156">
            <v>-0.01</v>
          </cell>
          <cell r="J156">
            <v>-1.2919942274503686</v>
          </cell>
          <cell r="K156">
            <v>5.2129321033537845E-2</v>
          </cell>
          <cell r="L156">
            <v>-1.3841134974606262E-2</v>
          </cell>
          <cell r="M156">
            <v>5.9733350859132006E-2</v>
          </cell>
          <cell r="N156">
            <v>0.18008021329583745</v>
          </cell>
          <cell r="O156">
            <v>-0.1910471395640454</v>
          </cell>
          <cell r="P156">
            <v>0.06</v>
          </cell>
          <cell r="Q156">
            <v>0.04</v>
          </cell>
          <cell r="R156">
            <v>0.03</v>
          </cell>
          <cell r="S156">
            <v>0.01</v>
          </cell>
          <cell r="T156">
            <v>-0.01</v>
          </cell>
          <cell r="U156">
            <v>-0.03</v>
          </cell>
          <cell r="AD156">
            <v>-1.2310555421976437</v>
          </cell>
          <cell r="AE156">
            <v>-1.2265212600564763</v>
          </cell>
          <cell r="AF156">
            <v>-1.2249047673704834</v>
          </cell>
          <cell r="AH156">
            <v>1.9056013887067458E-2</v>
          </cell>
          <cell r="AI156">
            <v>-2.9465342008522022E-2</v>
          </cell>
          <cell r="AJ156">
            <v>0.10116296865436691</v>
          </cell>
          <cell r="AK156">
            <v>0.1298242551995954</v>
          </cell>
          <cell r="AL156">
            <v>-3.6613987086199451E-2</v>
          </cell>
          <cell r="AM156">
            <v>-1.2310555421976437</v>
          </cell>
          <cell r="AN156">
            <v>-1.2265212600564763</v>
          </cell>
          <cell r="AO156">
            <v>-1.2249047673704834</v>
          </cell>
          <cell r="AP156">
            <v>0.10464459691104233</v>
          </cell>
          <cell r="AQ156">
            <v>1.9056013887067458E-2</v>
          </cell>
          <cell r="AR156">
            <v>-2.9465342008522022E-2</v>
          </cell>
          <cell r="AS156">
            <v>0.10116296865436691</v>
          </cell>
          <cell r="AT156">
            <v>0.1298242551995954</v>
          </cell>
          <cell r="AU156">
            <v>-3.6613987086199451E-2</v>
          </cell>
          <cell r="AV156">
            <v>4.7465316603908736E-2</v>
          </cell>
          <cell r="AW156">
            <v>-0.11157844499269554</v>
          </cell>
          <cell r="AX156">
            <v>5.9879272295569885E-2</v>
          </cell>
          <cell r="AY156">
            <v>0.10464459691104233</v>
          </cell>
          <cell r="AZ156">
            <v>9.7346790464482025E-2</v>
          </cell>
          <cell r="BA156">
            <v>0.10932180151442705</v>
          </cell>
          <cell r="BB156">
            <v>-6.8661772328193704E-2</v>
          </cell>
          <cell r="BC156">
            <v>9.588636099646286E-2</v>
          </cell>
          <cell r="BD156">
            <v>0.10904667728098572</v>
          </cell>
          <cell r="BE156">
            <v>0.2720987524218097</v>
          </cell>
          <cell r="BF156">
            <v>0.25582018600216427</v>
          </cell>
          <cell r="BG156">
            <v>-0.9988148930434112</v>
          </cell>
          <cell r="BH156">
            <v>0.05</v>
          </cell>
          <cell r="BI156">
            <v>0</v>
          </cell>
          <cell r="BJ156">
            <v>0.15</v>
          </cell>
        </row>
        <row r="157">
          <cell r="A157" t="str">
            <v>% q/q growth</v>
          </cell>
          <cell r="AA157">
            <v>1.2406540282074774E-2</v>
          </cell>
          <cell r="AB157">
            <v>1.6695308586387458E-3</v>
          </cell>
          <cell r="AC157">
            <v>-1</v>
          </cell>
          <cell r="AE157">
            <v>-7.4611367774752857E-3</v>
          </cell>
          <cell r="AF157">
            <v>-5.4785464123920935E-3</v>
          </cell>
          <cell r="AG157">
            <v>-0.14388258688034727</v>
          </cell>
          <cell r="AH157">
            <v>0.20587710310774221</v>
          </cell>
          <cell r="AI157">
            <v>-5.4719904466727143E-2</v>
          </cell>
          <cell r="AJ157">
            <v>1.2406540282074774E-2</v>
          </cell>
          <cell r="AK157">
            <v>1.6695308586387458E-3</v>
          </cell>
          <cell r="AL157">
            <v>-1</v>
          </cell>
          <cell r="AM157">
            <v>2.777920924177546E-2</v>
          </cell>
          <cell r="AN157">
            <v>-7.4611367774752857E-3</v>
          </cell>
          <cell r="AO157">
            <v>-5.4785464123920935E-3</v>
          </cell>
          <cell r="AP157">
            <v>-0.14388258688034727</v>
          </cell>
          <cell r="AQ157">
            <v>0.20587710310774221</v>
          </cell>
          <cell r="AR157">
            <v>-5.4719904466727143E-2</v>
          </cell>
          <cell r="AS157">
            <v>0.1283782471914594</v>
          </cell>
          <cell r="AT157">
            <v>-0.12159939429917366</v>
          </cell>
          <cell r="AU157">
            <v>2.8235257900159683E-2</v>
          </cell>
          <cell r="AV157">
            <v>2.777920924177546E-2</v>
          </cell>
          <cell r="AW157">
            <v>-4.2951073304767329E-2</v>
          </cell>
          <cell r="AX157">
            <v>4.7924365980207551E-2</v>
          </cell>
          <cell r="AY157">
            <v>7.1664058051407853E-2</v>
          </cell>
          <cell r="AZ157">
            <v>2.0989212024734361E-2</v>
          </cell>
          <cell r="BA157">
            <v>-3.2507090078951806E-2</v>
          </cell>
          <cell r="BB157">
            <v>-0.12020838280314372</v>
          </cell>
          <cell r="BC157">
            <v>0.26100485290346453</v>
          </cell>
          <cell r="BD157">
            <v>3.3250100955876549E-2</v>
          </cell>
          <cell r="BE157">
            <v>0.10973374601770014</v>
          </cell>
          <cell r="BF157">
            <v>-0.13146674324781893</v>
          </cell>
          <cell r="BG157">
            <v>-0.99881000031682443</v>
          </cell>
          <cell r="BH157">
            <v>914.45543629791371</v>
          </cell>
          <cell r="BI157">
            <v>5.6889281921619128E-2</v>
          </cell>
          <cell r="BJ157">
            <v>-1.1867547349918572E-3</v>
          </cell>
        </row>
        <row r="158">
          <cell r="A158" t="str">
            <v>% total voice revenues</v>
          </cell>
          <cell r="E158">
            <v>-0.59046803724052499</v>
          </cell>
          <cell r="F158">
            <v>-0.61348663545012005</v>
          </cell>
          <cell r="G158">
            <v>0.19225121656060645</v>
          </cell>
          <cell r="H158">
            <v>-0.59046803724052499</v>
          </cell>
          <cell r="I158">
            <v>-0.61348663545012005</v>
          </cell>
          <cell r="J158">
            <v>0.19225121656060645</v>
          </cell>
          <cell r="K158">
            <v>0.23180053194778824</v>
          </cell>
          <cell r="L158">
            <v>0.26375665499179124</v>
          </cell>
          <cell r="M158">
            <v>0.30642085686522558</v>
          </cell>
          <cell r="N158">
            <v>0.39138415071986887</v>
          </cell>
          <cell r="O158">
            <v>0.34037669924038061</v>
          </cell>
          <cell r="P158">
            <v>0.40325737393802669</v>
          </cell>
          <cell r="Q158">
            <v>0.45533887323065741</v>
          </cell>
          <cell r="R158">
            <v>0.5029220471239394</v>
          </cell>
          <cell r="S158">
            <v>0.54281772790190941</v>
          </cell>
          <cell r="T158">
            <v>0.5749470951778739</v>
          </cell>
          <cell r="U158">
            <v>0.59987309058051541</v>
          </cell>
        </row>
        <row r="159">
          <cell r="A159" t="str">
            <v xml:space="preserve">Y/Y Volume growth </v>
          </cell>
          <cell r="AD159">
            <v>0.15</v>
          </cell>
          <cell r="AE159">
            <v>0.04</v>
          </cell>
          <cell r="AF159">
            <v>0.08</v>
          </cell>
          <cell r="AH159">
            <v>0.05</v>
          </cell>
          <cell r="AI159">
            <v>0.1</v>
          </cell>
          <cell r="AJ159">
            <v>0.02</v>
          </cell>
          <cell r="AK159">
            <v>-0.3</v>
          </cell>
          <cell r="AM159">
            <v>0.15</v>
          </cell>
          <cell r="AN159">
            <v>0.04</v>
          </cell>
          <cell r="AO159">
            <v>0.08</v>
          </cell>
          <cell r="AQ159">
            <v>0.05</v>
          </cell>
          <cell r="AR159">
            <v>0.1</v>
          </cell>
          <cell r="AS159">
            <v>0.02</v>
          </cell>
          <cell r="AT159">
            <v>-0.3</v>
          </cell>
        </row>
        <row r="160">
          <cell r="A160" t="str">
            <v xml:space="preserve">Q/Q Volume growth </v>
          </cell>
          <cell r="AD160">
            <v>0.02</v>
          </cell>
          <cell r="AE160">
            <v>-0.01</v>
          </cell>
          <cell r="AF160">
            <v>7.0000000000000007E-2</v>
          </cell>
          <cell r="AG160">
            <v>-0.02</v>
          </cell>
          <cell r="AI160">
            <v>0.05</v>
          </cell>
          <cell r="AJ160">
            <v>-0.05</v>
          </cell>
          <cell r="AM160">
            <v>0.02</v>
          </cell>
          <cell r="AN160">
            <v>-0.01</v>
          </cell>
          <cell r="AO160">
            <v>7.0000000000000007E-2</v>
          </cell>
          <cell r="AP160">
            <v>-0.02</v>
          </cell>
          <cell r="AR160">
            <v>0.05</v>
          </cell>
          <cell r="AS160">
            <v>-0.05</v>
          </cell>
        </row>
        <row r="161">
          <cell r="A161" t="str">
            <v>Q/Q implied price decline</v>
          </cell>
          <cell r="AE161">
            <v>2.5388632225247145E-3</v>
          </cell>
          <cell r="AF161">
            <v>-7.54785464123921E-2</v>
          </cell>
          <cell r="AG161">
            <v>-0.12388258688034727</v>
          </cell>
          <cell r="AI161">
            <v>-0.10471990446672715</v>
          </cell>
          <cell r="AJ161">
            <v>7.8378247191459402E-2</v>
          </cell>
          <cell r="AN161">
            <v>2.5388632225247145E-3</v>
          </cell>
          <cell r="AO161">
            <v>-7.54785464123921E-2</v>
          </cell>
          <cell r="AP161">
            <v>-0.12388258688034727</v>
          </cell>
          <cell r="AR161">
            <v>-0.10471990446672715</v>
          </cell>
          <cell r="AS161">
            <v>7.8378247191459402E-2</v>
          </cell>
        </row>
        <row r="163">
          <cell r="A163" t="str">
            <v>Voice revenue growth</v>
          </cell>
          <cell r="AD163">
            <v>-1.2310555421976437</v>
          </cell>
          <cell r="AE163">
            <v>-1.2265212600564763</v>
          </cell>
          <cell r="AF163">
            <v>-1.2249047673704834</v>
          </cell>
          <cell r="AH163">
            <v>1.9056013887067458E-2</v>
          </cell>
          <cell r="AI163">
            <v>-2.9465342008522022E-2</v>
          </cell>
          <cell r="AJ163">
            <v>0.10116296865436691</v>
          </cell>
          <cell r="AM163">
            <v>-1.2310555421976437</v>
          </cell>
          <cell r="AN163">
            <v>-1.2265212600564763</v>
          </cell>
          <cell r="AO163">
            <v>-1.2249047673704834</v>
          </cell>
          <cell r="AQ163">
            <v>1.9056013887067458E-2</v>
          </cell>
          <cell r="AR163">
            <v>-2.9465342008522022E-2</v>
          </cell>
          <cell r="AS163">
            <v>0.10116296865436691</v>
          </cell>
        </row>
        <row r="164">
          <cell r="A164" t="str">
            <v>Volume growth</v>
          </cell>
          <cell r="AD164">
            <v>0.15</v>
          </cell>
          <cell r="AE164">
            <v>0.04</v>
          </cell>
          <cell r="AF164">
            <v>0.08</v>
          </cell>
          <cell r="AH164">
            <v>0.05</v>
          </cell>
          <cell r="AI164">
            <v>0.1</v>
          </cell>
          <cell r="AJ164">
            <v>0.02</v>
          </cell>
          <cell r="AM164">
            <v>0.15</v>
          </cell>
          <cell r="AN164">
            <v>0.04</v>
          </cell>
          <cell r="AO164">
            <v>0.08</v>
          </cell>
          <cell r="AQ164">
            <v>0.05</v>
          </cell>
          <cell r="AR164">
            <v>0.1</v>
          </cell>
          <cell r="AS164">
            <v>0.02</v>
          </cell>
        </row>
        <row r="165">
          <cell r="A165" t="str">
            <v>Gap implied price (decline)</v>
          </cell>
          <cell r="AD165">
            <v>-1.3810555421976436</v>
          </cell>
          <cell r="AE165">
            <v>-1.2665212600564764</v>
          </cell>
          <cell r="AF165">
            <v>-1.3049047673704834</v>
          </cell>
          <cell r="AH165">
            <v>-3.0943986112932545E-2</v>
          </cell>
          <cell r="AI165">
            <v>-0.12946534200852203</v>
          </cell>
          <cell r="AJ165">
            <v>8.116296865436691E-2</v>
          </cell>
          <cell r="AM165">
            <v>-1.3810555421976436</v>
          </cell>
          <cell r="AN165">
            <v>-1.2665212600564764</v>
          </cell>
          <cell r="AO165">
            <v>-1.3049047673704834</v>
          </cell>
          <cell r="AQ165">
            <v>-3.0943986112932545E-2</v>
          </cell>
          <cell r="AR165">
            <v>-0.12946534200852203</v>
          </cell>
          <cell r="AS165">
            <v>8.116296865436691E-2</v>
          </cell>
        </row>
        <row r="178">
          <cell r="L178" t="str">
            <v>Sprint Nextel Global Markets Division</v>
          </cell>
          <cell r="AX178" t="str">
            <v>Sprint Nextel Global Markets Division</v>
          </cell>
          <cell r="BJ178" t="str">
            <v>Sprint Nextel Global Markets Division</v>
          </cell>
          <cell r="BU178" t="str">
            <v>Sprint Nextel Global Markets Division</v>
          </cell>
        </row>
        <row r="179">
          <cell r="L179" t="str">
            <v>Annual Income Statement</v>
          </cell>
          <cell r="AX179" t="str">
            <v>Quarterly Income Statement</v>
          </cell>
          <cell r="BJ179" t="str">
            <v>Annual Income Statement</v>
          </cell>
          <cell r="BU179" t="str">
            <v>Quarterly Income Statement</v>
          </cell>
        </row>
        <row r="180">
          <cell r="L180" t="str">
            <v>(Values in millions)</v>
          </cell>
          <cell r="AX180" t="str">
            <v>(Values in millions)</v>
          </cell>
          <cell r="BJ180" t="str">
            <v>(Values in millions)</v>
          </cell>
          <cell r="BU180" t="str">
            <v>(Values in millions)</v>
          </cell>
        </row>
        <row r="181">
          <cell r="L181" t="str">
            <v>Calendar Year Ending Dec. 31</v>
          </cell>
          <cell r="M181">
            <v>2004</v>
          </cell>
          <cell r="N181">
            <v>2005</v>
          </cell>
          <cell r="O181" t="str">
            <v>2006E</v>
          </cell>
          <cell r="P181" t="str">
            <v>2007E</v>
          </cell>
          <cell r="Q181" t="str">
            <v>2008E</v>
          </cell>
          <cell r="R181" t="str">
            <v>2009E</v>
          </cell>
          <cell r="S181" t="str">
            <v>2010E</v>
          </cell>
          <cell r="T181" t="str">
            <v>2011E</v>
          </cell>
          <cell r="U181" t="str">
            <v>2012E</v>
          </cell>
          <cell r="AX181" t="str">
            <v>Fiscal Year Ending Dec. 31</v>
          </cell>
          <cell r="AY181" t="str">
            <v>1Q04</v>
          </cell>
          <cell r="AZ181" t="str">
            <v>2Q04</v>
          </cell>
          <cell r="BA181" t="str">
            <v>3Q04</v>
          </cell>
          <cell r="BB181" t="str">
            <v>4Q04</v>
          </cell>
          <cell r="BC181" t="str">
            <v>1Q05</v>
          </cell>
          <cell r="BD181" t="str">
            <v>2Q05</v>
          </cell>
          <cell r="BE181" t="str">
            <v>3Q05</v>
          </cell>
          <cell r="BF181" t="str">
            <v>4Q05</v>
          </cell>
          <cell r="BG181" t="str">
            <v>1Q06</v>
          </cell>
          <cell r="BH181" t="str">
            <v>2Q06E</v>
          </cell>
          <cell r="BI181" t="str">
            <v>3Q06E</v>
          </cell>
          <cell r="BJ181" t="str">
            <v>4Q06E</v>
          </cell>
          <cell r="BK181" t="str">
            <v>4Q06E</v>
          </cell>
          <cell r="BL181" t="str">
            <v>2006E</v>
          </cell>
          <cell r="BM181" t="str">
            <v>2008E</v>
          </cell>
          <cell r="BN181" t="str">
            <v>2009E</v>
          </cell>
          <cell r="BO181" t="str">
            <v>2010E</v>
          </cell>
          <cell r="BP181" t="str">
            <v>2011E</v>
          </cell>
          <cell r="BQ181" t="str">
            <v>2012E</v>
          </cell>
          <cell r="BR181" t="str">
            <v>2013E</v>
          </cell>
          <cell r="BU181" t="str">
            <v>Fiscal Year Ending Dec. 31</v>
          </cell>
          <cell r="BV181" t="str">
            <v>1Q06</v>
          </cell>
          <cell r="BW181" t="str">
            <v>2Q06</v>
          </cell>
          <cell r="BX181" t="str">
            <v>3Q06</v>
          </cell>
          <cell r="BY181" t="str">
            <v>4Q06</v>
          </cell>
          <cell r="BZ181">
            <v>2006</v>
          </cell>
          <cell r="CA181" t="str">
            <v>1Q07</v>
          </cell>
          <cell r="CB181" t="str">
            <v>2Q07</v>
          </cell>
          <cell r="CC181" t="str">
            <v>3Q07E</v>
          </cell>
          <cell r="CD181" t="str">
            <v>4Q07E</v>
          </cell>
          <cell r="CE181" t="str">
            <v>2007E</v>
          </cell>
        </row>
        <row r="182">
          <cell r="L182" t="str">
            <v>Voice</v>
          </cell>
          <cell r="M182">
            <v>4560</v>
          </cell>
          <cell r="N182">
            <v>4213</v>
          </cell>
          <cell r="O182">
            <v>3918.8450000000003</v>
          </cell>
          <cell r="P182">
            <v>3506.2385187977816</v>
          </cell>
          <cell r="Q182">
            <v>3229.4040448540704</v>
          </cell>
          <cell r="R182">
            <v>3011.5748625886717</v>
          </cell>
          <cell r="S182">
            <v>2818.1343207459222</v>
          </cell>
          <cell r="T182">
            <v>2634.0439823460065</v>
          </cell>
          <cell r="U182">
            <v>2448.8560683933642</v>
          </cell>
          <cell r="AX182" t="str">
            <v>Voice</v>
          </cell>
          <cell r="AY182">
            <v>1186</v>
          </cell>
          <cell r="AZ182">
            <v>1164</v>
          </cell>
          <cell r="BA182">
            <v>1131</v>
          </cell>
          <cell r="BB182">
            <v>1079</v>
          </cell>
          <cell r="BC182">
            <v>1065</v>
          </cell>
          <cell r="BD182">
            <v>1054</v>
          </cell>
          <cell r="BE182">
            <v>1085</v>
          </cell>
          <cell r="BF182">
            <v>1009</v>
          </cell>
          <cell r="BG182">
            <v>1009</v>
          </cell>
          <cell r="BH182">
            <v>980.21999999999991</v>
          </cell>
          <cell r="BI182">
            <v>971.07500000000005</v>
          </cell>
          <cell r="BJ182">
            <v>958.55</v>
          </cell>
          <cell r="BK182">
            <v>968.64</v>
          </cell>
          <cell r="BL182">
            <v>3967.99</v>
          </cell>
          <cell r="BM182">
            <v>3399.3850000000002</v>
          </cell>
          <cell r="BN182">
            <v>3246.412675</v>
          </cell>
          <cell r="BO182">
            <v>3116.5561680000001</v>
          </cell>
          <cell r="BP182">
            <v>3007.47670212</v>
          </cell>
          <cell r="BQ182">
            <v>2917.2524010563998</v>
          </cell>
          <cell r="BR182">
            <v>2829.7348290247078</v>
          </cell>
          <cell r="BU182" t="str">
            <v>Voice</v>
          </cell>
          <cell r="BV182">
            <v>1009</v>
          </cell>
          <cell r="BW182">
            <v>1003</v>
          </cell>
          <cell r="BX182">
            <v>989</v>
          </cell>
          <cell r="BY182">
            <v>978</v>
          </cell>
          <cell r="BZ182">
            <v>3979</v>
          </cell>
          <cell r="CA182">
            <v>898</v>
          </cell>
          <cell r="CB182">
            <v>910</v>
          </cell>
          <cell r="CC182">
            <v>890.1</v>
          </cell>
          <cell r="CD182">
            <v>880.2</v>
          </cell>
          <cell r="CE182">
            <v>3578.3</v>
          </cell>
        </row>
        <row r="183">
          <cell r="L183" t="str">
            <v>% y/y growth</v>
          </cell>
          <cell r="M183">
            <v>-8.7817563512702534E-2</v>
          </cell>
          <cell r="N183">
            <v>-7.6096491228070162E-2</v>
          </cell>
          <cell r="O183">
            <v>-6.982079278423925E-2</v>
          </cell>
          <cell r="P183">
            <v>-0.10528777770037312</v>
          </cell>
          <cell r="Q183">
            <v>-7.8954832211081905E-2</v>
          </cell>
          <cell r="R183">
            <v>-6.7451820595970657E-2</v>
          </cell>
          <cell r="S183">
            <v>-6.423235372487901E-2</v>
          </cell>
          <cell r="T183">
            <v>-6.5323479099175574E-2</v>
          </cell>
          <cell r="U183">
            <v>-7.0305551157769597E-2</v>
          </cell>
          <cell r="AX183" t="str">
            <v>% y/y growth</v>
          </cell>
          <cell r="AY183">
            <v>-8.2753286929621028E-2</v>
          </cell>
          <cell r="AZ183">
            <v>-6.4308681672025747E-2</v>
          </cell>
          <cell r="BA183">
            <v>-9.0104585679806948E-2</v>
          </cell>
          <cell r="BB183">
            <v>-0.11484823625922891</v>
          </cell>
          <cell r="BC183">
            <v>-0.10202360876897132</v>
          </cell>
          <cell r="BD183">
            <v>-9.4501718213058417E-2</v>
          </cell>
          <cell r="BE183">
            <v>-4.0671971706454424E-2</v>
          </cell>
          <cell r="BF183">
            <v>-6.4874884151992607E-2</v>
          </cell>
          <cell r="BG183">
            <v>-5.258215962441315E-2</v>
          </cell>
          <cell r="BH183">
            <v>-7.0000000000000007E-2</v>
          </cell>
          <cell r="BI183">
            <v>-0.105</v>
          </cell>
          <cell r="BJ183">
            <v>-0.05</v>
          </cell>
          <cell r="BK183">
            <v>-0.04</v>
          </cell>
          <cell r="BL183">
            <v>-5.8155708521243854E-2</v>
          </cell>
          <cell r="BM183">
            <v>-0.05</v>
          </cell>
          <cell r="BN183">
            <v>-4.4999999999999998E-2</v>
          </cell>
          <cell r="BO183">
            <v>-0.04</v>
          </cell>
          <cell r="BP183">
            <v>-3.5000000000000003E-2</v>
          </cell>
          <cell r="BQ183">
            <v>-0.03</v>
          </cell>
          <cell r="BR183">
            <v>-0.03</v>
          </cell>
          <cell r="BU183" t="str">
            <v>% y/y growth</v>
          </cell>
          <cell r="BV183">
            <v>-5.258215962441315E-2</v>
          </cell>
          <cell r="BW183">
            <v>-4.8387096774193505E-2</v>
          </cell>
          <cell r="BX183">
            <v>-8.8479262672811032E-2</v>
          </cell>
          <cell r="BY183">
            <v>-3.0723488602576787E-2</v>
          </cell>
          <cell r="BZ183">
            <v>-5.5542368858295776E-2</v>
          </cell>
          <cell r="CA183">
            <v>-0.110009910802775</v>
          </cell>
          <cell r="CB183">
            <v>-9.2721834496510502E-2</v>
          </cell>
          <cell r="CC183">
            <v>-0.1</v>
          </cell>
          <cell r="CD183">
            <v>-0.1</v>
          </cell>
          <cell r="CE183">
            <v>-0.10070369439557669</v>
          </cell>
        </row>
        <row r="184">
          <cell r="L184" t="str">
            <v>Enterprise Data</v>
          </cell>
          <cell r="M184">
            <v>1722</v>
          </cell>
          <cell r="N184">
            <v>1632</v>
          </cell>
          <cell r="O184">
            <v>1460.51</v>
          </cell>
          <cell r="P184">
            <v>1413.397263406782</v>
          </cell>
          <cell r="Q184">
            <v>1382.103935146911</v>
          </cell>
          <cell r="R184">
            <v>1349.1463996999739</v>
          </cell>
          <cell r="S184">
            <v>1319.8353975541374</v>
          </cell>
          <cell r="T184">
            <v>1292.0998782308043</v>
          </cell>
          <cell r="U184">
            <v>1266.5086528673921</v>
          </cell>
          <cell r="AX184" t="str">
            <v>Enterprise Data</v>
          </cell>
          <cell r="AY184">
            <v>452</v>
          </cell>
          <cell r="AZ184">
            <v>438</v>
          </cell>
          <cell r="BA184">
            <v>427</v>
          </cell>
          <cell r="BB184">
            <v>405</v>
          </cell>
          <cell r="BC184">
            <v>412</v>
          </cell>
          <cell r="BD184">
            <v>420</v>
          </cell>
          <cell r="BE184">
            <v>402</v>
          </cell>
          <cell r="BF184">
            <v>398</v>
          </cell>
          <cell r="BG184">
            <v>375</v>
          </cell>
          <cell r="BH184">
            <v>367.5</v>
          </cell>
          <cell r="BI184">
            <v>361.8</v>
          </cell>
          <cell r="BJ184">
            <v>356.21</v>
          </cell>
          <cell r="BK184">
            <v>346.65800000000002</v>
          </cell>
          <cell r="BL184">
            <v>1435.3879999999999</v>
          </cell>
          <cell r="BM184">
            <v>1222.5978</v>
          </cell>
          <cell r="BN184">
            <v>1195.7006484000001</v>
          </cell>
          <cell r="BO184">
            <v>1169.3952341352001</v>
          </cell>
          <cell r="BP184">
            <v>1143.6685389842257</v>
          </cell>
          <cell r="BQ184">
            <v>1118.5078311265727</v>
          </cell>
          <cell r="BR184">
            <v>1093.9006588417881</v>
          </cell>
          <cell r="BU184" t="str">
            <v>Enterprise Data</v>
          </cell>
          <cell r="BV184">
            <v>375</v>
          </cell>
          <cell r="BW184">
            <v>366</v>
          </cell>
          <cell r="BX184">
            <v>346</v>
          </cell>
          <cell r="BY184">
            <v>353</v>
          </cell>
          <cell r="BZ184">
            <v>1440</v>
          </cell>
          <cell r="CA184">
            <v>311</v>
          </cell>
          <cell r="CB184">
            <v>310</v>
          </cell>
          <cell r="CC184">
            <v>311.40000000000003</v>
          </cell>
          <cell r="CD184">
            <v>317.7</v>
          </cell>
          <cell r="CE184">
            <v>1250.1000000000001</v>
          </cell>
        </row>
        <row r="185">
          <cell r="L185" t="str">
            <v>% y/y growth</v>
          </cell>
          <cell r="M185">
            <v>-7.0696168375607105E-2</v>
          </cell>
          <cell r="N185">
            <v>-5.2264808362369353E-2</v>
          </cell>
          <cell r="O185">
            <v>-0.10507965686274512</v>
          </cell>
          <cell r="P185">
            <v>-3.2257729555578485E-2</v>
          </cell>
          <cell r="Q185">
            <v>-2.2140504350803059E-2</v>
          </cell>
          <cell r="R185">
            <v>-2.3845916800340983E-2</v>
          </cell>
          <cell r="S185">
            <v>-2.1725590456569299E-2</v>
          </cell>
          <cell r="T185">
            <v>-2.1014377531267447E-2</v>
          </cell>
          <cell r="U185">
            <v>-1.9805918872504491E-2</v>
          </cell>
          <cell r="AX185" t="str">
            <v>% y/y growth</v>
          </cell>
          <cell r="AY185">
            <v>-2.1645021645021689E-2</v>
          </cell>
          <cell r="AZ185">
            <v>-6.0085836909871237E-2</v>
          </cell>
          <cell r="BA185">
            <v>-7.7753779697624203E-2</v>
          </cell>
          <cell r="BB185">
            <v>-0.12337662337662336</v>
          </cell>
          <cell r="BC185">
            <v>-8.8495575221238965E-2</v>
          </cell>
          <cell r="BD185">
            <v>-4.1095890410958957E-2</v>
          </cell>
          <cell r="BE185">
            <v>-5.8548009367681453E-2</v>
          </cell>
          <cell r="BF185">
            <v>-1.7283950617283939E-2</v>
          </cell>
          <cell r="BG185">
            <v>-8.9805825242718407E-2</v>
          </cell>
          <cell r="BH185">
            <v>-0.125</v>
          </cell>
          <cell r="BI185">
            <v>-0.1</v>
          </cell>
          <cell r="BJ185">
            <v>-0.105</v>
          </cell>
          <cell r="BK185">
            <v>-0.129</v>
          </cell>
          <cell r="BL185">
            <v>-0.12047303921568631</v>
          </cell>
          <cell r="BM185">
            <v>-2.1999999999999999E-2</v>
          </cell>
          <cell r="BN185">
            <v>-2.1999999999999999E-2</v>
          </cell>
          <cell r="BO185">
            <v>-2.1999999999999999E-2</v>
          </cell>
          <cell r="BP185">
            <v>-2.1999999999999999E-2</v>
          </cell>
          <cell r="BQ185">
            <v>-2.1999999999999999E-2</v>
          </cell>
          <cell r="BR185">
            <v>-2.1999999999999999E-2</v>
          </cell>
          <cell r="BU185" t="str">
            <v>% y/y growth</v>
          </cell>
          <cell r="BV185">
            <v>-8.9805825242718407E-2</v>
          </cell>
          <cell r="BW185">
            <v>-0.12857142857142856</v>
          </cell>
          <cell r="BX185">
            <v>-0.13930348258706471</v>
          </cell>
          <cell r="BY185">
            <v>-0.11306532663316582</v>
          </cell>
          <cell r="BZ185">
            <v>-0.11764705882352944</v>
          </cell>
          <cell r="CA185">
            <v>-0.17066666666666663</v>
          </cell>
          <cell r="CB185">
            <v>-0.15300546448087426</v>
          </cell>
          <cell r="CC185">
            <v>-0.1</v>
          </cell>
          <cell r="CD185">
            <v>-0.1</v>
          </cell>
          <cell r="CE185">
            <v>-0.13187499999999985</v>
          </cell>
        </row>
        <row r="186">
          <cell r="L186" t="str">
            <v>Internet</v>
          </cell>
          <cell r="M186">
            <v>793</v>
          </cell>
          <cell r="N186">
            <v>736</v>
          </cell>
          <cell r="O186">
            <v>882</v>
          </cell>
          <cell r="P186">
            <v>899.64</v>
          </cell>
          <cell r="Q186">
            <v>944.62200000000007</v>
          </cell>
          <cell r="R186">
            <v>991.85310000000015</v>
          </cell>
          <cell r="S186">
            <v>1041.4457550000002</v>
          </cell>
          <cell r="T186">
            <v>1093.5180427500002</v>
          </cell>
          <cell r="U186">
            <v>1148.1939448875003</v>
          </cell>
          <cell r="AX186" t="str">
            <v>Internet</v>
          </cell>
          <cell r="AY186">
            <v>223</v>
          </cell>
          <cell r="AZ186">
            <v>214</v>
          </cell>
          <cell r="BA186">
            <v>180</v>
          </cell>
          <cell r="BB186">
            <v>176</v>
          </cell>
          <cell r="BC186">
            <v>178</v>
          </cell>
          <cell r="BD186">
            <v>178</v>
          </cell>
          <cell r="BE186">
            <v>188</v>
          </cell>
          <cell r="BF186">
            <v>192</v>
          </cell>
          <cell r="BG186">
            <v>225</v>
          </cell>
          <cell r="BH186">
            <v>222</v>
          </cell>
          <cell r="BI186">
            <v>219</v>
          </cell>
          <cell r="BJ186">
            <v>216</v>
          </cell>
          <cell r="BK186">
            <v>208</v>
          </cell>
          <cell r="BL186">
            <v>861</v>
          </cell>
          <cell r="BM186">
            <v>1612.49</v>
          </cell>
          <cell r="BN186">
            <v>1693.1145000000001</v>
          </cell>
          <cell r="BO186">
            <v>1760.8390800000002</v>
          </cell>
          <cell r="BP186">
            <v>1831.2726432000002</v>
          </cell>
          <cell r="BQ186">
            <v>1904.5235489280003</v>
          </cell>
          <cell r="BR186">
            <v>1980.7044908851203</v>
          </cell>
          <cell r="BU186" t="str">
            <v>Internet</v>
          </cell>
          <cell r="BV186">
            <v>225</v>
          </cell>
          <cell r="BW186">
            <v>217</v>
          </cell>
          <cell r="BX186">
            <v>237</v>
          </cell>
          <cell r="BY186">
            <v>254</v>
          </cell>
          <cell r="BZ186">
            <v>933</v>
          </cell>
          <cell r="CA186">
            <v>344</v>
          </cell>
          <cell r="CB186">
            <v>371</v>
          </cell>
          <cell r="CC186">
            <v>386</v>
          </cell>
          <cell r="CD186">
            <v>406</v>
          </cell>
          <cell r="CE186">
            <v>1507</v>
          </cell>
        </row>
        <row r="187">
          <cell r="L187" t="str">
            <v>% y/y growth</v>
          </cell>
          <cell r="M187">
            <v>-0.18499486125385411</v>
          </cell>
          <cell r="N187">
            <v>-7.1878940731399776E-2</v>
          </cell>
          <cell r="O187">
            <v>0.19836956521739135</v>
          </cell>
          <cell r="P187">
            <v>0.02</v>
          </cell>
          <cell r="Q187">
            <v>0.05</v>
          </cell>
          <cell r="R187">
            <v>0.05</v>
          </cell>
          <cell r="S187">
            <v>0.05</v>
          </cell>
          <cell r="T187">
            <v>0.05</v>
          </cell>
          <cell r="U187">
            <v>0.05</v>
          </cell>
          <cell r="AX187" t="str">
            <v>% y/y growth</v>
          </cell>
          <cell r="AY187">
            <v>-8.2304526748971152E-2</v>
          </cell>
          <cell r="AZ187">
            <v>-0.12653061224489792</v>
          </cell>
          <cell r="BA187">
            <v>-0.22746781115879833</v>
          </cell>
          <cell r="BB187">
            <v>-0.30158730158730163</v>
          </cell>
          <cell r="BC187">
            <v>-0.2017937219730942</v>
          </cell>
          <cell r="BD187">
            <v>-0.16822429906542058</v>
          </cell>
          <cell r="BE187">
            <v>4.4444444444444509E-2</v>
          </cell>
          <cell r="BF187">
            <v>9.0909090909090828E-2</v>
          </cell>
          <cell r="BG187">
            <v>0.26404494382022481</v>
          </cell>
          <cell r="BH187">
            <v>0.24719101123595499</v>
          </cell>
          <cell r="BI187">
            <v>0.16489361702127669</v>
          </cell>
          <cell r="BJ187">
            <v>0.125</v>
          </cell>
          <cell r="BK187">
            <v>8.3333333333333259E-2</v>
          </cell>
          <cell r="BL187">
            <v>0.16983695652173902</v>
          </cell>
          <cell r="BM187">
            <v>7.0000000000000007E-2</v>
          </cell>
          <cell r="BN187">
            <v>0.05</v>
          </cell>
          <cell r="BO187">
            <v>0.04</v>
          </cell>
          <cell r="BP187">
            <v>0.04</v>
          </cell>
          <cell r="BQ187">
            <v>0.04</v>
          </cell>
          <cell r="BR187">
            <v>0.04</v>
          </cell>
          <cell r="BU187" t="str">
            <v>% y/y growth</v>
          </cell>
          <cell r="BV187">
            <v>0.26404494382022481</v>
          </cell>
          <cell r="BW187">
            <v>0.2191011235955056</v>
          </cell>
          <cell r="BX187">
            <v>0.2606382978723405</v>
          </cell>
          <cell r="BY187">
            <v>0.32291666666666674</v>
          </cell>
          <cell r="BZ187">
            <v>0.26766304347826098</v>
          </cell>
          <cell r="CA187">
            <v>0.52888888888888896</v>
          </cell>
          <cell r="CB187">
            <v>0.70967741935483875</v>
          </cell>
          <cell r="CC187">
            <v>0.62869198312236296</v>
          </cell>
          <cell r="CD187">
            <v>0.59842519685039375</v>
          </cell>
          <cell r="CE187">
            <v>0.61521972132904601</v>
          </cell>
        </row>
        <row r="188">
          <cell r="L188" t="str">
            <v xml:space="preserve">Other services </v>
          </cell>
          <cell r="M188">
            <v>252</v>
          </cell>
          <cell r="N188">
            <v>253</v>
          </cell>
          <cell r="O188">
            <v>253</v>
          </cell>
          <cell r="P188">
            <v>256</v>
          </cell>
          <cell r="Q188">
            <v>259</v>
          </cell>
          <cell r="R188">
            <v>263</v>
          </cell>
          <cell r="S188">
            <v>267</v>
          </cell>
          <cell r="T188">
            <v>271</v>
          </cell>
          <cell r="U188">
            <v>275</v>
          </cell>
          <cell r="AX188" t="str">
            <v xml:space="preserve">Other services </v>
          </cell>
          <cell r="AY188">
            <v>51</v>
          </cell>
          <cell r="AZ188">
            <v>57</v>
          </cell>
          <cell r="BA188">
            <v>70</v>
          </cell>
          <cell r="BB188">
            <v>74</v>
          </cell>
          <cell r="BC188">
            <v>60</v>
          </cell>
          <cell r="BD188">
            <v>70</v>
          </cell>
          <cell r="BE188">
            <v>60</v>
          </cell>
          <cell r="BF188">
            <v>63</v>
          </cell>
          <cell r="BG188">
            <v>60</v>
          </cell>
          <cell r="BH188">
            <v>64</v>
          </cell>
          <cell r="BI188">
            <v>64</v>
          </cell>
          <cell r="BJ188">
            <v>65</v>
          </cell>
          <cell r="BK188">
            <v>45</v>
          </cell>
          <cell r="BL188">
            <v>210</v>
          </cell>
          <cell r="BM188">
            <v>171</v>
          </cell>
          <cell r="BN188">
            <v>175</v>
          </cell>
          <cell r="BO188">
            <v>179</v>
          </cell>
          <cell r="BP188">
            <v>183</v>
          </cell>
          <cell r="BQ188">
            <v>185</v>
          </cell>
          <cell r="BR188">
            <v>187</v>
          </cell>
          <cell r="BU188" t="str">
            <v xml:space="preserve">Other services </v>
          </cell>
          <cell r="BV188">
            <v>60</v>
          </cell>
          <cell r="BW188">
            <v>55</v>
          </cell>
          <cell r="BX188">
            <v>54</v>
          </cell>
          <cell r="BY188">
            <v>50</v>
          </cell>
          <cell r="BZ188">
            <v>219</v>
          </cell>
          <cell r="CA188">
            <v>45</v>
          </cell>
          <cell r="CB188">
            <v>43</v>
          </cell>
          <cell r="CC188">
            <v>41</v>
          </cell>
          <cell r="CD188">
            <v>39</v>
          </cell>
          <cell r="CE188">
            <v>168</v>
          </cell>
        </row>
        <row r="189">
          <cell r="L189" t="str">
            <v>% y/y growth</v>
          </cell>
          <cell r="M189">
            <v>0.39999999999999991</v>
          </cell>
          <cell r="N189">
            <v>3.9682539682539542E-3</v>
          </cell>
          <cell r="O189">
            <v>0</v>
          </cell>
          <cell r="P189">
            <v>1.1857707509881354E-2</v>
          </cell>
          <cell r="Q189">
            <v>1.171875E-2</v>
          </cell>
          <cell r="R189">
            <v>1.5444015444015413E-2</v>
          </cell>
          <cell r="S189">
            <v>1.5209125475285079E-2</v>
          </cell>
          <cell r="T189">
            <v>1.4981273408239737E-2</v>
          </cell>
          <cell r="U189">
            <v>1.4760147601476037E-2</v>
          </cell>
          <cell r="AX189" t="str">
            <v>% y/y growth</v>
          </cell>
          <cell r="AY189">
            <v>6.25E-2</v>
          </cell>
          <cell r="AZ189">
            <v>0.1399999999999999</v>
          </cell>
          <cell r="BA189">
            <v>0.84210526315789469</v>
          </cell>
          <cell r="BB189">
            <v>0.68181818181818188</v>
          </cell>
          <cell r="BC189">
            <v>0.17647058823529416</v>
          </cell>
          <cell r="BD189">
            <v>0.22807017543859653</v>
          </cell>
          <cell r="BE189">
            <v>-0.1428571428571429</v>
          </cell>
          <cell r="BF189">
            <v>-0.14864864864864868</v>
          </cell>
          <cell r="BG189">
            <v>0</v>
          </cell>
          <cell r="BH189">
            <v>-8.5714285714285743E-2</v>
          </cell>
          <cell r="BI189">
            <v>6.6666666666666652E-2</v>
          </cell>
          <cell r="BJ189">
            <v>3.1746031746031855E-2</v>
          </cell>
          <cell r="BK189">
            <v>-0.2857142857142857</v>
          </cell>
          <cell r="BL189">
            <v>-0.16996047430830041</v>
          </cell>
          <cell r="BM189">
            <v>1.7857142857142794E-2</v>
          </cell>
          <cell r="BN189">
            <v>2.3391812865497075E-2</v>
          </cell>
          <cell r="BO189">
            <v>2.2857142857142909E-2</v>
          </cell>
          <cell r="BP189">
            <v>2.2346368715083775E-2</v>
          </cell>
          <cell r="BQ189">
            <v>1.0928961748633892E-2</v>
          </cell>
          <cell r="BR189">
            <v>1.08108108108107E-2</v>
          </cell>
          <cell r="BU189" t="str">
            <v>% y/y growth</v>
          </cell>
          <cell r="BV189">
            <v>0</v>
          </cell>
          <cell r="BW189">
            <v>-0.2142857142857143</v>
          </cell>
          <cell r="BX189">
            <v>-9.9999999999999978E-2</v>
          </cell>
          <cell r="BY189">
            <v>-0.20634920634920639</v>
          </cell>
          <cell r="BZ189">
            <v>-0.13438735177865613</v>
          </cell>
          <cell r="CA189">
            <v>-0.25</v>
          </cell>
          <cell r="CB189">
            <v>-0.21818181818181814</v>
          </cell>
          <cell r="CC189">
            <v>-0.2407407407407407</v>
          </cell>
          <cell r="CD189">
            <v>-0.21999999999999997</v>
          </cell>
          <cell r="CE189">
            <v>-0.23287671232876717</v>
          </cell>
        </row>
        <row r="190">
          <cell r="M190" t="str">
            <v xml:space="preserve">______ </v>
          </cell>
          <cell r="N190" t="str">
            <v xml:space="preserve">______ </v>
          </cell>
          <cell r="O190" t="str">
            <v xml:space="preserve">______ </v>
          </cell>
          <cell r="P190" t="str">
            <v xml:space="preserve">______ </v>
          </cell>
          <cell r="Q190" t="str">
            <v xml:space="preserve">______ </v>
          </cell>
          <cell r="R190" t="str">
            <v xml:space="preserve">______ </v>
          </cell>
          <cell r="S190" t="str">
            <v xml:space="preserve">______ </v>
          </cell>
          <cell r="T190" t="str">
            <v xml:space="preserve">______ </v>
          </cell>
          <cell r="U190" t="str">
            <v xml:space="preserve">______ </v>
          </cell>
          <cell r="AY190" t="str">
            <v xml:space="preserve">______ </v>
          </cell>
          <cell r="AZ190" t="str">
            <v xml:space="preserve">______ </v>
          </cell>
          <cell r="BA190" t="str">
            <v xml:space="preserve">______ </v>
          </cell>
          <cell r="BB190" t="str">
            <v xml:space="preserve">______ </v>
          </cell>
          <cell r="BC190" t="str">
            <v xml:space="preserve">______ </v>
          </cell>
          <cell r="BD190" t="str">
            <v xml:space="preserve">______ </v>
          </cell>
          <cell r="BE190" t="str">
            <v xml:space="preserve">______ </v>
          </cell>
          <cell r="BF190" t="str">
            <v xml:space="preserve">______ </v>
          </cell>
          <cell r="BG190" t="str">
            <v xml:space="preserve">______ </v>
          </cell>
          <cell r="BH190" t="str">
            <v xml:space="preserve">______ </v>
          </cell>
          <cell r="BI190" t="str">
            <v xml:space="preserve">______ </v>
          </cell>
          <cell r="BJ190" t="str">
            <v xml:space="preserve">______ </v>
          </cell>
          <cell r="BK190" t="str">
            <v xml:space="preserve">______ </v>
          </cell>
          <cell r="BL190" t="str">
            <v xml:space="preserve">______ </v>
          </cell>
          <cell r="BM190" t="str">
            <v xml:space="preserve">______ </v>
          </cell>
          <cell r="BN190" t="str">
            <v xml:space="preserve">______ </v>
          </cell>
          <cell r="BO190" t="str">
            <v xml:space="preserve">______ </v>
          </cell>
          <cell r="BP190" t="str">
            <v xml:space="preserve">______ </v>
          </cell>
          <cell r="BQ190" t="str">
            <v xml:space="preserve">______ </v>
          </cell>
          <cell r="BR190" t="str">
            <v xml:space="preserve">______ </v>
          </cell>
          <cell r="BV190" t="str">
            <v xml:space="preserve">______ </v>
          </cell>
          <cell r="BW190" t="str">
            <v xml:space="preserve">______ </v>
          </cell>
          <cell r="BX190" t="str">
            <v xml:space="preserve">______ </v>
          </cell>
          <cell r="BY190" t="str">
            <v xml:space="preserve">______ </v>
          </cell>
          <cell r="BZ190" t="str">
            <v xml:space="preserve">______ </v>
          </cell>
          <cell r="CA190" t="str">
            <v xml:space="preserve">______ </v>
          </cell>
          <cell r="CB190" t="str">
            <v xml:space="preserve">______ </v>
          </cell>
          <cell r="CC190" t="str">
            <v xml:space="preserve">______ </v>
          </cell>
          <cell r="CD190" t="str">
            <v xml:space="preserve">______ </v>
          </cell>
          <cell r="CE190" t="str">
            <v xml:space="preserve">______ </v>
          </cell>
        </row>
        <row r="191">
          <cell r="L191" t="str">
            <v>Net Operating Revenues</v>
          </cell>
          <cell r="M191">
            <v>7327</v>
          </cell>
          <cell r="N191">
            <v>6834</v>
          </cell>
          <cell r="O191">
            <v>6514.3550000000005</v>
          </cell>
          <cell r="P191">
            <v>6075.2757822045642</v>
          </cell>
          <cell r="Q191">
            <v>5815.129980000982</v>
          </cell>
          <cell r="R191">
            <v>5615.5743622886457</v>
          </cell>
          <cell r="S191">
            <v>5446.4154733000596</v>
          </cell>
          <cell r="T191">
            <v>5290.6619033268107</v>
          </cell>
          <cell r="U191">
            <v>5138.5586661482566</v>
          </cell>
          <cell r="AX191" t="str">
            <v>Net Operating Revenues</v>
          </cell>
          <cell r="AY191">
            <v>1912</v>
          </cell>
          <cell r="AZ191">
            <v>1873</v>
          </cell>
          <cell r="BA191">
            <v>1808</v>
          </cell>
          <cell r="BB191">
            <v>1734</v>
          </cell>
          <cell r="BC191">
            <v>1715</v>
          </cell>
          <cell r="BD191">
            <v>1722</v>
          </cell>
          <cell r="BE191">
            <v>1735</v>
          </cell>
          <cell r="BF191">
            <v>1662</v>
          </cell>
          <cell r="BG191">
            <v>1669</v>
          </cell>
          <cell r="BH191">
            <v>1633.7199999999998</v>
          </cell>
          <cell r="BI191">
            <v>1615.875</v>
          </cell>
          <cell r="BJ191">
            <v>1595.76</v>
          </cell>
          <cell r="BK191">
            <v>1568.298</v>
          </cell>
          <cell r="BL191">
            <v>6474.3779999999997</v>
          </cell>
          <cell r="BM191">
            <v>6405.4727999999996</v>
          </cell>
          <cell r="BN191">
            <v>6310.2278234000005</v>
          </cell>
          <cell r="BO191">
            <v>6225.7904821352004</v>
          </cell>
          <cell r="BP191">
            <v>6165.4178843042255</v>
          </cell>
          <cell r="BQ191">
            <v>6125.283781110973</v>
          </cell>
          <cell r="BR191">
            <v>6091.3399787516164</v>
          </cell>
          <cell r="BU191" t="str">
            <v>Net Operating Revenues</v>
          </cell>
          <cell r="BV191">
            <v>1669</v>
          </cell>
          <cell r="BW191">
            <v>1641</v>
          </cell>
          <cell r="BX191">
            <v>1626</v>
          </cell>
          <cell r="BY191">
            <v>1635</v>
          </cell>
          <cell r="BZ191">
            <v>6571</v>
          </cell>
          <cell r="CA191">
            <v>1598</v>
          </cell>
          <cell r="CB191">
            <v>1634</v>
          </cell>
          <cell r="CC191">
            <v>1628.5</v>
          </cell>
          <cell r="CD191">
            <v>1642.9</v>
          </cell>
          <cell r="CE191">
            <v>6503.4000000000005</v>
          </cell>
        </row>
        <row r="192">
          <cell r="L192" t="str">
            <v>% y/y growth</v>
          </cell>
          <cell r="M192">
            <v>-8.4697064334790739E-2</v>
          </cell>
          <cell r="N192">
            <v>-6.7285382830626461E-2</v>
          </cell>
          <cell r="O192">
            <v>-4.6772753877670437E-2</v>
          </cell>
          <cell r="P192">
            <v>-6.7401794620562838E-2</v>
          </cell>
          <cell r="Q192">
            <v>-4.2820410386239627E-2</v>
          </cell>
          <cell r="R192">
            <v>-3.4316622052926626E-2</v>
          </cell>
          <cell r="S192">
            <v>-3.012316783205149E-2</v>
          </cell>
          <cell r="T192">
            <v>-2.8597445556035717E-2</v>
          </cell>
          <cell r="U192">
            <v>-2.8749377669155196E-2</v>
          </cell>
          <cell r="AX192" t="str">
            <v>% y/y growth</v>
          </cell>
          <cell r="AY192">
            <v>-6.5493646138807482E-2</v>
          </cell>
          <cell r="AZ192">
            <v>-6.5835411471321659E-2</v>
          </cell>
          <cell r="BA192">
            <v>-8.548305513404153E-2</v>
          </cell>
          <cell r="BB192">
            <v>-0.12291350531107736</v>
          </cell>
          <cell r="BC192">
            <v>-0.10303347280334729</v>
          </cell>
          <cell r="BD192">
            <v>-8.0619327282434594E-2</v>
          </cell>
          <cell r="BE192">
            <v>-4.0376106194690231E-2</v>
          </cell>
          <cell r="BF192">
            <v>-4.1522491349480939E-2</v>
          </cell>
          <cell r="BG192">
            <v>-2.6822157434402305E-2</v>
          </cell>
          <cell r="BH192">
            <v>-5.1265969802555267E-2</v>
          </cell>
          <cell r="BI192">
            <v>-6.8659942363112347E-2</v>
          </cell>
          <cell r="BJ192">
            <v>-3.9855595667870003E-2</v>
          </cell>
          <cell r="BK192">
            <v>-5.6379061371841122E-2</v>
          </cell>
          <cell r="BL192">
            <v>-5.2622475856014095E-2</v>
          </cell>
          <cell r="BM192">
            <v>-1.5057846664821684E-2</v>
          </cell>
          <cell r="BN192">
            <v>-1.4869312472921448E-2</v>
          </cell>
          <cell r="BO192">
            <v>-1.3381028962485941E-2</v>
          </cell>
          <cell r="BP192">
            <v>-9.6971778931869146E-3</v>
          </cell>
          <cell r="BQ192">
            <v>-6.5095511685306917E-3</v>
          </cell>
          <cell r="BR192">
            <v>-5.5415885324417991E-3</v>
          </cell>
          <cell r="BU192" t="str">
            <v>% y/y growth</v>
          </cell>
          <cell r="BV192">
            <v>-2.6822157434402305E-2</v>
          </cell>
          <cell r="BW192">
            <v>-4.7038327526132351E-2</v>
          </cell>
          <cell r="BX192">
            <v>-6.2824207492795381E-2</v>
          </cell>
          <cell r="BY192">
            <v>-1.6245487364620947E-2</v>
          </cell>
          <cell r="BZ192">
            <v>-3.8484050336552555E-2</v>
          </cell>
          <cell r="CA192">
            <v>-4.2540443379268988E-2</v>
          </cell>
          <cell r="CB192">
            <v>-4.2656916514320908E-3</v>
          </cell>
          <cell r="CC192">
            <v>1.5375153751537862E-3</v>
          </cell>
          <cell r="CD192">
            <v>4.8318042813455531E-3</v>
          </cell>
          <cell r="CE192">
            <v>-1.0287627453964276E-2</v>
          </cell>
        </row>
        <row r="194">
          <cell r="L194" t="str">
            <v>Costs of Services and Products</v>
          </cell>
          <cell r="M194">
            <v>4324</v>
          </cell>
          <cell r="N194">
            <v>4412</v>
          </cell>
          <cell r="O194">
            <v>4276.47696</v>
          </cell>
          <cell r="P194">
            <v>4070.4347740770581</v>
          </cell>
          <cell r="Q194">
            <v>3954.2883864006681</v>
          </cell>
          <cell r="R194">
            <v>3818.5905663562794</v>
          </cell>
          <cell r="S194">
            <v>3703.5625218440409</v>
          </cell>
          <cell r="T194">
            <v>3597.6500942622315</v>
          </cell>
          <cell r="U194">
            <v>3494.2198929808146</v>
          </cell>
          <cell r="AX194" t="str">
            <v>Costs of Services and Products</v>
          </cell>
          <cell r="AY194">
            <v>1053</v>
          </cell>
          <cell r="AZ194">
            <v>1095</v>
          </cell>
          <cell r="BA194">
            <v>1085</v>
          </cell>
          <cell r="BB194">
            <v>1091</v>
          </cell>
          <cell r="BC194">
            <v>1086</v>
          </cell>
          <cell r="BD194">
            <v>1123</v>
          </cell>
          <cell r="BE194">
            <v>1107</v>
          </cell>
          <cell r="BF194">
            <v>1096</v>
          </cell>
          <cell r="BG194">
            <v>1098</v>
          </cell>
          <cell r="BH194">
            <v>1068.4528799999998</v>
          </cell>
          <cell r="BI194">
            <v>1060.0140000000001</v>
          </cell>
          <cell r="BJ194">
            <v>1050.01008</v>
          </cell>
          <cell r="BK194">
            <v>1050.7596600000002</v>
          </cell>
          <cell r="BL194">
            <v>4304.7293399999999</v>
          </cell>
          <cell r="BM194">
            <v>4413.3707591999992</v>
          </cell>
          <cell r="BN194">
            <v>4354.0571981459998</v>
          </cell>
          <cell r="BO194">
            <v>4302.0212231554233</v>
          </cell>
          <cell r="BP194">
            <v>4266.4691759385241</v>
          </cell>
          <cell r="BQ194">
            <v>4244.8216603099036</v>
          </cell>
          <cell r="BR194">
            <v>4227.3899452536216</v>
          </cell>
          <cell r="BU194" t="str">
            <v>Costs of Services and Products</v>
          </cell>
          <cell r="BV194">
            <v>1098</v>
          </cell>
          <cell r="BW194">
            <v>1085</v>
          </cell>
          <cell r="BX194">
            <v>1141</v>
          </cell>
          <cell r="BY194">
            <v>1102</v>
          </cell>
          <cell r="BZ194">
            <v>4426</v>
          </cell>
          <cell r="CA194">
            <v>1112</v>
          </cell>
          <cell r="CB194">
            <v>1111</v>
          </cell>
          <cell r="CC194">
            <v>1123.665</v>
          </cell>
          <cell r="CD194">
            <v>1117.1720000000003</v>
          </cell>
          <cell r="CE194">
            <v>4463.8370000000004</v>
          </cell>
        </row>
        <row r="195">
          <cell r="L195" t="str">
            <v>% growth</v>
          </cell>
          <cell r="M195">
            <v>1.6933207902163794E-2</v>
          </cell>
          <cell r="N195">
            <v>2.0351526364477346E-2</v>
          </cell>
          <cell r="O195">
            <v>-3.071691749773342E-2</v>
          </cell>
          <cell r="P195">
            <v>-4.8180356833476767E-2</v>
          </cell>
          <cell r="Q195">
            <v>-2.8534147854690883E-2</v>
          </cell>
          <cell r="R195">
            <v>-3.4316622052926626E-2</v>
          </cell>
          <cell r="S195">
            <v>-3.0123167832051378E-2</v>
          </cell>
          <cell r="T195">
            <v>-2.8597445556035717E-2</v>
          </cell>
          <cell r="U195">
            <v>-2.8749377669155307E-2</v>
          </cell>
          <cell r="AX195" t="str">
            <v>% growth</v>
          </cell>
          <cell r="AY195">
            <v>-4.7920433996383349E-2</v>
          </cell>
          <cell r="AZ195">
            <v>2.913533834586457E-2</v>
          </cell>
          <cell r="BA195">
            <v>2.2620169651272448E-2</v>
          </cell>
          <cell r="BB195">
            <v>6.8560235063663155E-2</v>
          </cell>
          <cell r="BC195">
            <v>3.1339031339031376E-2</v>
          </cell>
          <cell r="BD195">
            <v>2.5570776255707806E-2</v>
          </cell>
          <cell r="BE195">
            <v>2.0276497695852491E-2</v>
          </cell>
          <cell r="BF195">
            <v>4.5829514207149646E-3</v>
          </cell>
          <cell r="BG195">
            <v>1.1049723756906049E-2</v>
          </cell>
          <cell r="BH195">
            <v>-4.857268032057005E-2</v>
          </cell>
          <cell r="BI195">
            <v>-4.2444444444444285E-2</v>
          </cell>
          <cell r="BJ195">
            <v>-4.1961605839415994E-2</v>
          </cell>
          <cell r="BK195">
            <v>-4.1277682481751676E-2</v>
          </cell>
          <cell r="BL195">
            <v>-2.4313386219401711E-2</v>
          </cell>
          <cell r="BM195">
            <v>-1.1305574285082831E-2</v>
          </cell>
          <cell r="BN195">
            <v>-1.3439514668092567E-2</v>
          </cell>
          <cell r="BO195">
            <v>-1.1951146395764889E-2</v>
          </cell>
          <cell r="BP195">
            <v>-8.264033432829665E-3</v>
          </cell>
          <cell r="BQ195">
            <v>-5.0738713291790249E-3</v>
          </cell>
          <cell r="BR195">
            <v>-4.106583609689074E-3</v>
          </cell>
          <cell r="BU195" t="str">
            <v>% growth</v>
          </cell>
          <cell r="BV195">
            <v>1.1049723756906049E-2</v>
          </cell>
          <cell r="BW195">
            <v>-3.383793410507574E-2</v>
          </cell>
          <cell r="BX195">
            <v>3.0713640469738124E-2</v>
          </cell>
          <cell r="BY195">
            <v>5.4744525547445466E-3</v>
          </cell>
          <cell r="BZ195">
            <v>3.1731640979146825E-3</v>
          </cell>
          <cell r="CA195">
            <v>1.2750455373406133E-2</v>
          </cell>
          <cell r="CB195">
            <v>2.3963133640553025E-2</v>
          </cell>
          <cell r="CC195">
            <v>-1.519281332164768E-2</v>
          </cell>
          <cell r="CD195">
            <v>1.3767695099818678E-2</v>
          </cell>
          <cell r="CE195">
            <v>8.5488025305016091E-3</v>
          </cell>
        </row>
        <row r="196">
          <cell r="L196" t="str">
            <v>% revenues</v>
          </cell>
          <cell r="M196">
            <v>0.59014603521222875</v>
          </cell>
          <cell r="N196">
            <v>0.64559555165349725</v>
          </cell>
          <cell r="O196">
            <v>0.65646974412662495</v>
          </cell>
          <cell r="P196">
            <v>0.67</v>
          </cell>
          <cell r="Q196">
            <v>0.68</v>
          </cell>
          <cell r="R196">
            <v>0.68</v>
          </cell>
          <cell r="S196">
            <v>0.68</v>
          </cell>
          <cell r="T196">
            <v>0.68</v>
          </cell>
          <cell r="U196">
            <v>0.68</v>
          </cell>
          <cell r="AX196" t="str">
            <v>% revenues</v>
          </cell>
          <cell r="AY196">
            <v>0.55073221757322177</v>
          </cell>
          <cell r="AZ196">
            <v>0.58462359850507206</v>
          </cell>
          <cell r="BA196">
            <v>0.60011061946902655</v>
          </cell>
          <cell r="BB196">
            <v>0.62918108419838525</v>
          </cell>
          <cell r="BC196">
            <v>0.63323615160349855</v>
          </cell>
          <cell r="BD196">
            <v>0.65214866434378627</v>
          </cell>
          <cell r="BE196">
            <v>0.63804034582132563</v>
          </cell>
          <cell r="BF196">
            <v>0.65944645006016844</v>
          </cell>
          <cell r="BG196">
            <v>0.65787896944278013</v>
          </cell>
          <cell r="BH196">
            <v>0.65400000000000003</v>
          </cell>
          <cell r="BI196">
            <v>0.65600000000000003</v>
          </cell>
          <cell r="BJ196">
            <v>0.65800000000000003</v>
          </cell>
          <cell r="BK196">
            <v>0.67</v>
          </cell>
          <cell r="BL196">
            <v>0.66488693431245438</v>
          </cell>
          <cell r="BM196">
            <v>0.68899999999999995</v>
          </cell>
          <cell r="BN196">
            <v>0.69</v>
          </cell>
          <cell r="BO196">
            <v>0.69099999999999995</v>
          </cell>
          <cell r="BP196">
            <v>0.69199999999999995</v>
          </cell>
          <cell r="BQ196">
            <v>0.69299999999999995</v>
          </cell>
          <cell r="BR196">
            <v>0.69399999999999995</v>
          </cell>
          <cell r="BU196" t="str">
            <v>% revenues</v>
          </cell>
          <cell r="BV196">
            <v>0.65787896944278013</v>
          </cell>
          <cell r="BW196">
            <v>0.66118220597196831</v>
          </cell>
          <cell r="BX196">
            <v>0.70172201722017225</v>
          </cell>
          <cell r="BY196">
            <v>0.67400611620795103</v>
          </cell>
          <cell r="BZ196">
            <v>0.67356566732612999</v>
          </cell>
          <cell r="CA196">
            <v>0.69586983729662077</v>
          </cell>
          <cell r="CB196">
            <v>0.67992656058751533</v>
          </cell>
          <cell r="CC196">
            <v>0.69</v>
          </cell>
          <cell r="CD196">
            <v>0.68</v>
          </cell>
          <cell r="CE196">
            <v>0.68638512162868659</v>
          </cell>
        </row>
        <row r="197">
          <cell r="L197" t="str">
            <v>Selling, General, and Administrative</v>
          </cell>
          <cell r="M197">
            <v>1860</v>
          </cell>
          <cell r="N197">
            <v>1406</v>
          </cell>
          <cell r="O197">
            <v>1379.8870400000001</v>
          </cell>
          <cell r="P197">
            <v>1336.5606720850042</v>
          </cell>
          <cell r="Q197">
            <v>1366.5555453002307</v>
          </cell>
          <cell r="R197">
            <v>1319.6599751378317</v>
          </cell>
          <cell r="S197">
            <v>1279.9076362255139</v>
          </cell>
          <cell r="T197">
            <v>1243.3055472818005</v>
          </cell>
          <cell r="U197">
            <v>1207.5612865448402</v>
          </cell>
          <cell r="AX197" t="str">
            <v>Selling, General, and Administrative</v>
          </cell>
          <cell r="AY197">
            <v>516</v>
          </cell>
          <cell r="AZ197">
            <v>515</v>
          </cell>
          <cell r="BA197">
            <v>421</v>
          </cell>
          <cell r="BB197">
            <v>408</v>
          </cell>
          <cell r="BC197">
            <v>369</v>
          </cell>
          <cell r="BD197">
            <v>336</v>
          </cell>
          <cell r="BE197">
            <v>357</v>
          </cell>
          <cell r="BF197">
            <v>344</v>
          </cell>
          <cell r="BG197">
            <v>335</v>
          </cell>
          <cell r="BH197">
            <v>347.98235999999997</v>
          </cell>
          <cell r="BI197">
            <v>349.029</v>
          </cell>
          <cell r="BJ197">
            <v>347.87567999999999</v>
          </cell>
          <cell r="BK197">
            <v>315.22789800000004</v>
          </cell>
          <cell r="BL197">
            <v>1255.2321380000001</v>
          </cell>
          <cell r="BM197">
            <v>1107.2109023659009</v>
          </cell>
          <cell r="BN197">
            <v>1097.0576653085968</v>
          </cell>
          <cell r="BO197">
            <v>1088.6036953977207</v>
          </cell>
          <cell r="BP197">
            <v>1084.2127295925725</v>
          </cell>
          <cell r="BQ197">
            <v>1083.2802751328284</v>
          </cell>
          <cell r="BR197">
            <v>1083.3685215614835</v>
          </cell>
          <cell r="BU197" t="str">
            <v>Selling, General, and Administrative</v>
          </cell>
          <cell r="BV197">
            <v>335</v>
          </cell>
          <cell r="BW197">
            <v>281</v>
          </cell>
          <cell r="BX197">
            <v>279</v>
          </cell>
          <cell r="BY197">
            <v>274</v>
          </cell>
          <cell r="BZ197">
            <v>1169</v>
          </cell>
          <cell r="CA197">
            <v>304</v>
          </cell>
          <cell r="CB197">
            <v>264</v>
          </cell>
          <cell r="CC197">
            <v>276.84500000000003</v>
          </cell>
          <cell r="CD197">
            <v>279.29300000000006</v>
          </cell>
          <cell r="CE197">
            <v>1124.1380000000001</v>
          </cell>
        </row>
        <row r="198">
          <cell r="L198" t="str">
            <v>% growth</v>
          </cell>
          <cell r="M198">
            <v>-0.15416098226466579</v>
          </cell>
          <cell r="N198">
            <v>-0.24408602150537639</v>
          </cell>
          <cell r="O198">
            <v>-1.8572517780938824E-2</v>
          </cell>
          <cell r="P198">
            <v>-3.139848890456709E-2</v>
          </cell>
          <cell r="Q198">
            <v>2.2441834360153123E-2</v>
          </cell>
          <cell r="R198">
            <v>-3.4316622052926626E-2</v>
          </cell>
          <cell r="S198">
            <v>-3.012316783205149E-2</v>
          </cell>
          <cell r="T198">
            <v>-2.8597445556035606E-2</v>
          </cell>
          <cell r="U198">
            <v>-2.8749377669155307E-2</v>
          </cell>
          <cell r="AX198" t="str">
            <v>% growth</v>
          </cell>
          <cell r="AY198">
            <v>-0.1026086956521739</v>
          </cell>
          <cell r="AZ198">
            <v>-8.5257548845470654E-2</v>
          </cell>
          <cell r="BA198">
            <v>-0.19961977186311786</v>
          </cell>
          <cell r="BB198">
            <v>-0.23738317757009342</v>
          </cell>
          <cell r="BC198">
            <v>-0.28488372093023251</v>
          </cell>
          <cell r="BD198">
            <v>-0.34757281553398056</v>
          </cell>
          <cell r="BE198">
            <v>-0.15201900237529686</v>
          </cell>
          <cell r="BF198">
            <v>-0.15686274509803921</v>
          </cell>
          <cell r="BG198">
            <v>-9.2140921409214038E-2</v>
          </cell>
          <cell r="BH198">
            <v>3.5661785714285577E-2</v>
          </cell>
          <cell r="BI198">
            <v>-2.232773109243702E-2</v>
          </cell>
          <cell r="BJ198">
            <v>1.1266511627906928E-2</v>
          </cell>
          <cell r="BK198">
            <v>-8.3639831395348696E-2</v>
          </cell>
          <cell r="BL198">
            <v>-0.10723176529160738</v>
          </cell>
          <cell r="BM198">
            <v>-1.5057846664821573E-2</v>
          </cell>
          <cell r="BN198">
            <v>-9.1701021328534082E-3</v>
          </cell>
          <cell r="BO198">
            <v>-7.7060396898079864E-3</v>
          </cell>
          <cell r="BP198">
            <v>-4.0335760605184623E-3</v>
          </cell>
          <cell r="BQ198">
            <v>-8.6002906467863571E-4</v>
          </cell>
          <cell r="BR198">
            <v>8.1462231594997547E-5</v>
          </cell>
          <cell r="BU198" t="str">
            <v>% growth</v>
          </cell>
          <cell r="BV198">
            <v>-9.2140921409214038E-2</v>
          </cell>
          <cell r="BW198">
            <v>-0.16369047619047616</v>
          </cell>
          <cell r="BX198">
            <v>-0.21848739495798319</v>
          </cell>
          <cell r="BY198">
            <v>-0.20348837209302328</v>
          </cell>
          <cell r="BZ198">
            <v>-0.16856330014224752</v>
          </cell>
          <cell r="CA198">
            <v>-9.2537313432835777E-2</v>
          </cell>
          <cell r="CB198">
            <v>-6.0498220640569422E-2</v>
          </cell>
          <cell r="CC198">
            <v>-7.7240143369174952E-3</v>
          </cell>
          <cell r="CD198">
            <v>1.9317518248175514E-2</v>
          </cell>
          <cell r="CE198">
            <v>-3.8376390076988787E-2</v>
          </cell>
        </row>
        <row r="199">
          <cell r="L199" t="str">
            <v>% revenues</v>
          </cell>
          <cell r="M199">
            <v>0.25385560256585232</v>
          </cell>
          <cell r="N199">
            <v>0.20573602575358502</v>
          </cell>
          <cell r="O199">
            <v>0.21182251197547569</v>
          </cell>
          <cell r="P199">
            <v>0.22</v>
          </cell>
          <cell r="Q199">
            <v>0.23499999999999999</v>
          </cell>
          <cell r="R199">
            <v>0.23499999999999999</v>
          </cell>
          <cell r="S199">
            <v>0.23499999999999999</v>
          </cell>
          <cell r="T199">
            <v>0.23499999999999999</v>
          </cell>
          <cell r="U199">
            <v>0.23499999999999999</v>
          </cell>
          <cell r="AX199" t="str">
            <v>% revenues</v>
          </cell>
          <cell r="AY199">
            <v>0.26987447698744771</v>
          </cell>
          <cell r="AZ199">
            <v>0.27495995728777362</v>
          </cell>
          <cell r="BA199">
            <v>0.23285398230088494</v>
          </cell>
          <cell r="BB199">
            <v>0.23529411764705882</v>
          </cell>
          <cell r="BC199">
            <v>0.21516034985422741</v>
          </cell>
          <cell r="BD199">
            <v>0.1951219512195122</v>
          </cell>
          <cell r="BE199">
            <v>0.20576368876080692</v>
          </cell>
          <cell r="BF199">
            <v>0.20697954271961491</v>
          </cell>
          <cell r="BG199">
            <v>0.20071899340922708</v>
          </cell>
          <cell r="BH199">
            <v>0.21299999999999999</v>
          </cell>
          <cell r="BI199">
            <v>0.216</v>
          </cell>
          <cell r="BJ199">
            <v>0.218</v>
          </cell>
          <cell r="BK199">
            <v>0.20100000000000001</v>
          </cell>
          <cell r="BL199">
            <v>0.19387686940737783</v>
          </cell>
          <cell r="BM199">
            <v>0.17285389181043762</v>
          </cell>
          <cell r="BN199">
            <v>0.17385389181043762</v>
          </cell>
          <cell r="BO199">
            <v>0.17485389181043762</v>
          </cell>
          <cell r="BP199">
            <v>0.17585389181043762</v>
          </cell>
          <cell r="BQ199">
            <v>0.17685389181043762</v>
          </cell>
          <cell r="BR199">
            <v>0.17785389181043762</v>
          </cell>
          <cell r="BU199" t="str">
            <v>% revenues</v>
          </cell>
          <cell r="BV199">
            <v>0.20071899340922708</v>
          </cell>
          <cell r="BW199">
            <v>0.17123705057891531</v>
          </cell>
          <cell r="BX199">
            <v>0.17158671586715868</v>
          </cell>
          <cell r="BY199">
            <v>0.16758409785932721</v>
          </cell>
          <cell r="BZ199">
            <v>0.17790290671130726</v>
          </cell>
          <cell r="CA199">
            <v>0.1902377972465582</v>
          </cell>
          <cell r="CB199">
            <v>0.16156670746634028</v>
          </cell>
          <cell r="CC199">
            <v>0.17</v>
          </cell>
          <cell r="CD199">
            <v>0.17</v>
          </cell>
          <cell r="CE199">
            <v>0.17285389181043762</v>
          </cell>
        </row>
        <row r="200">
          <cell r="M200" t="str">
            <v xml:space="preserve">______ </v>
          </cell>
          <cell r="N200" t="str">
            <v xml:space="preserve">______ </v>
          </cell>
          <cell r="O200" t="str">
            <v xml:space="preserve">______ </v>
          </cell>
          <cell r="P200" t="str">
            <v xml:space="preserve">______ </v>
          </cell>
          <cell r="Q200" t="str">
            <v xml:space="preserve">______ </v>
          </cell>
          <cell r="R200" t="str">
            <v xml:space="preserve">______ </v>
          </cell>
          <cell r="S200" t="str">
            <v xml:space="preserve">______ </v>
          </cell>
          <cell r="T200" t="str">
            <v xml:space="preserve">______ </v>
          </cell>
          <cell r="U200" t="str">
            <v xml:space="preserve">______ </v>
          </cell>
          <cell r="AY200" t="str">
            <v xml:space="preserve">______ </v>
          </cell>
          <cell r="AZ200" t="str">
            <v xml:space="preserve">______ </v>
          </cell>
          <cell r="BA200" t="str">
            <v xml:space="preserve">______ </v>
          </cell>
          <cell r="BB200" t="str">
            <v xml:space="preserve">______ </v>
          </cell>
          <cell r="BC200" t="str">
            <v xml:space="preserve">______ </v>
          </cell>
          <cell r="BD200" t="str">
            <v xml:space="preserve">______ </v>
          </cell>
          <cell r="BE200" t="str">
            <v xml:space="preserve">______ </v>
          </cell>
          <cell r="BF200" t="str">
            <v xml:space="preserve">______ </v>
          </cell>
          <cell r="BG200" t="str">
            <v xml:space="preserve">______ </v>
          </cell>
          <cell r="BH200" t="str">
            <v xml:space="preserve">______ </v>
          </cell>
          <cell r="BI200" t="str">
            <v xml:space="preserve">______ </v>
          </cell>
          <cell r="BJ200" t="str">
            <v xml:space="preserve">______ </v>
          </cell>
          <cell r="BK200" t="str">
            <v xml:space="preserve">______ </v>
          </cell>
          <cell r="BL200" t="str">
            <v xml:space="preserve">______ </v>
          </cell>
          <cell r="BM200" t="str">
            <v xml:space="preserve">______ </v>
          </cell>
          <cell r="BN200" t="str">
            <v xml:space="preserve">______ </v>
          </cell>
          <cell r="BO200" t="str">
            <v xml:space="preserve">______ </v>
          </cell>
          <cell r="BP200" t="str">
            <v xml:space="preserve">______ </v>
          </cell>
          <cell r="BQ200" t="str">
            <v xml:space="preserve">______ </v>
          </cell>
          <cell r="BR200" t="str">
            <v xml:space="preserve">______ </v>
          </cell>
          <cell r="BV200" t="str">
            <v xml:space="preserve">______ </v>
          </cell>
          <cell r="BW200" t="str">
            <v xml:space="preserve">______ </v>
          </cell>
          <cell r="BX200" t="str">
            <v xml:space="preserve">______ </v>
          </cell>
          <cell r="BY200" t="str">
            <v xml:space="preserve">______ </v>
          </cell>
          <cell r="BZ200" t="str">
            <v xml:space="preserve">______ </v>
          </cell>
          <cell r="CA200" t="str">
            <v xml:space="preserve">______ </v>
          </cell>
          <cell r="CB200" t="str">
            <v xml:space="preserve">______ </v>
          </cell>
          <cell r="CC200" t="str">
            <v xml:space="preserve">______ </v>
          </cell>
          <cell r="CD200" t="str">
            <v xml:space="preserve">______ </v>
          </cell>
          <cell r="CE200" t="str">
            <v xml:space="preserve">______ </v>
          </cell>
        </row>
        <row r="201">
          <cell r="L201" t="str">
            <v>Net Operating Expenses</v>
          </cell>
          <cell r="M201">
            <v>6184</v>
          </cell>
          <cell r="N201">
            <v>5818</v>
          </cell>
          <cell r="O201">
            <v>5656.3640000000005</v>
          </cell>
          <cell r="P201">
            <v>5406.9954461620628</v>
          </cell>
          <cell r="Q201">
            <v>5320.8439317008988</v>
          </cell>
          <cell r="R201">
            <v>5138.2505414941115</v>
          </cell>
          <cell r="S201">
            <v>4983.4701580695546</v>
          </cell>
          <cell r="T201">
            <v>4840.955641544032</v>
          </cell>
          <cell r="U201">
            <v>4701.7811795256548</v>
          </cell>
          <cell r="AX201" t="str">
            <v>Net Operating Expenses</v>
          </cell>
          <cell r="AY201">
            <v>1569</v>
          </cell>
          <cell r="AZ201">
            <v>1610</v>
          </cell>
          <cell r="BA201">
            <v>1506</v>
          </cell>
          <cell r="BB201">
            <v>1499</v>
          </cell>
          <cell r="BC201">
            <v>1455</v>
          </cell>
          <cell r="BD201">
            <v>1459</v>
          </cell>
          <cell r="BE201">
            <v>1464</v>
          </cell>
          <cell r="BF201">
            <v>1440</v>
          </cell>
          <cell r="BG201">
            <v>1433</v>
          </cell>
          <cell r="BH201">
            <v>1416.4352399999998</v>
          </cell>
          <cell r="BI201">
            <v>1409.0430000000003</v>
          </cell>
          <cell r="BJ201">
            <v>1397.8857600000001</v>
          </cell>
          <cell r="BK201">
            <v>1365.9875580000003</v>
          </cell>
          <cell r="BL201">
            <v>5559.9614779999993</v>
          </cell>
          <cell r="BM201">
            <v>5520.5816615659005</v>
          </cell>
          <cell r="BN201">
            <v>5451.1148634545971</v>
          </cell>
          <cell r="BO201">
            <v>5390.6249185531433</v>
          </cell>
          <cell r="BP201">
            <v>5350.6819055310962</v>
          </cell>
          <cell r="BQ201">
            <v>5328.1019354427326</v>
          </cell>
          <cell r="BR201">
            <v>5310.7584668151048</v>
          </cell>
          <cell r="BU201" t="str">
            <v>Net Operating Expenses</v>
          </cell>
          <cell r="BV201">
            <v>1433</v>
          </cell>
          <cell r="BW201">
            <v>1366</v>
          </cell>
          <cell r="BX201">
            <v>1420</v>
          </cell>
          <cell r="BY201">
            <v>1376</v>
          </cell>
          <cell r="BZ201">
            <v>5595</v>
          </cell>
          <cell r="CA201">
            <v>1416</v>
          </cell>
          <cell r="CB201">
            <v>1375</v>
          </cell>
          <cell r="CC201">
            <v>1400.51</v>
          </cell>
          <cell r="CD201">
            <v>1396.4650000000001</v>
          </cell>
          <cell r="CE201">
            <v>5587.9750000000004</v>
          </cell>
        </row>
        <row r="202">
          <cell r="L202" t="str">
            <v>% growth</v>
          </cell>
          <cell r="M202">
            <v>-4.1388931948535101E-2</v>
          </cell>
          <cell r="N202">
            <v>-5.9184993531694707E-2</v>
          </cell>
          <cell r="O202">
            <v>-2.7782055689240193E-2</v>
          </cell>
          <cell r="P202">
            <v>-4.4086369589711238E-2</v>
          </cell>
          <cell r="Q202">
            <v>-1.5933343262257593E-2</v>
          </cell>
          <cell r="R202">
            <v>-3.4316622052926515E-2</v>
          </cell>
          <cell r="S202">
            <v>-3.0123167832051601E-2</v>
          </cell>
          <cell r="T202">
            <v>-2.8597445556035717E-2</v>
          </cell>
          <cell r="U202">
            <v>-2.8749377669155307E-2</v>
          </cell>
          <cell r="AX202" t="str">
            <v>% growth</v>
          </cell>
          <cell r="AY202">
            <v>-6.662700773349195E-2</v>
          </cell>
          <cell r="AZ202">
            <v>-1.0448678549477619E-2</v>
          </cell>
          <cell r="BA202">
            <v>-5.1039697542533125E-2</v>
          </cell>
          <cell r="BB202">
            <v>-3.6632390745501286E-2</v>
          </cell>
          <cell r="BC202">
            <v>-7.2657743785850881E-2</v>
          </cell>
          <cell r="BD202">
            <v>-9.3788819875776364E-2</v>
          </cell>
          <cell r="BE202">
            <v>-2.7888446215139417E-2</v>
          </cell>
          <cell r="BF202">
            <v>-3.9359573048699081E-2</v>
          </cell>
          <cell r="BG202">
            <v>-1.5120274914089293E-2</v>
          </cell>
          <cell r="BH202">
            <v>-2.9173927347498463E-2</v>
          </cell>
          <cell r="BI202">
            <v>-3.7538934426229242E-2</v>
          </cell>
          <cell r="BJ202">
            <v>-2.9245999999999883E-2</v>
          </cell>
          <cell r="BK202">
            <v>-5.1397529166666511E-2</v>
          </cell>
          <cell r="BL202">
            <v>-4.435175696115512E-2</v>
          </cell>
          <cell r="BM202">
            <v>0.86185389181043759</v>
          </cell>
          <cell r="BN202">
            <v>0.86385389181043759</v>
          </cell>
          <cell r="BO202">
            <v>0.86585389181043748</v>
          </cell>
          <cell r="BP202">
            <v>0.86785389181043759</v>
          </cell>
          <cell r="BQ202">
            <v>0.8698538918104376</v>
          </cell>
          <cell r="BR202">
            <v>0.8718538918104376</v>
          </cell>
          <cell r="BU202" t="str">
            <v>% revenues</v>
          </cell>
          <cell r="BV202">
            <v>0.85859796285200718</v>
          </cell>
          <cell r="BW202">
            <v>0.83241925655088356</v>
          </cell>
          <cell r="BX202">
            <v>0.87330873308733092</v>
          </cell>
          <cell r="BY202">
            <v>0.8415902140672783</v>
          </cell>
          <cell r="BZ202">
            <v>0.85146857403743725</v>
          </cell>
          <cell r="CA202">
            <v>0.88610763454317898</v>
          </cell>
          <cell r="CB202">
            <v>0.8414932680538556</v>
          </cell>
          <cell r="CC202">
            <v>0.86</v>
          </cell>
          <cell r="CD202">
            <v>0.85000000000000009</v>
          </cell>
          <cell r="CE202">
            <v>0.85923901343912412</v>
          </cell>
        </row>
        <row r="203">
          <cell r="L203" t="str">
            <v>% revenues</v>
          </cell>
          <cell r="M203">
            <v>0.84400163777808102</v>
          </cell>
          <cell r="N203">
            <v>0.85133157740708221</v>
          </cell>
          <cell r="O203">
            <v>0.8682922561021007</v>
          </cell>
          <cell r="P203">
            <v>0.89000000000000012</v>
          </cell>
          <cell r="Q203">
            <v>0.91500000000000004</v>
          </cell>
          <cell r="R203">
            <v>0.91500000000000015</v>
          </cell>
          <cell r="S203">
            <v>0.91500000000000004</v>
          </cell>
          <cell r="T203">
            <v>0.91500000000000004</v>
          </cell>
          <cell r="U203">
            <v>0.91500000000000004</v>
          </cell>
          <cell r="AX203" t="str">
            <v>% revenues</v>
          </cell>
          <cell r="AY203">
            <v>0.82060669456066948</v>
          </cell>
          <cell r="AZ203">
            <v>0.85958355579284573</v>
          </cell>
          <cell r="BA203">
            <v>0.83296460176991149</v>
          </cell>
          <cell r="BB203">
            <v>0.86447520184544402</v>
          </cell>
          <cell r="BC203">
            <v>0.84839650145772594</v>
          </cell>
          <cell r="BD203">
            <v>0.84727061556329852</v>
          </cell>
          <cell r="BE203">
            <v>0.8438040345821326</v>
          </cell>
          <cell r="BF203">
            <v>0.86642599277978338</v>
          </cell>
          <cell r="BG203">
            <v>0.85859796285200718</v>
          </cell>
          <cell r="BH203">
            <v>0.86699999999999999</v>
          </cell>
          <cell r="BI203">
            <v>0.87200000000000022</v>
          </cell>
          <cell r="BJ203">
            <v>0.87600000000000011</v>
          </cell>
          <cell r="BK203">
            <v>0.87100000000000022</v>
          </cell>
          <cell r="BL203">
            <v>0.85876380371983219</v>
          </cell>
        </row>
        <row r="204">
          <cell r="BJ204" t="str">
            <v>EBITDA</v>
          </cell>
          <cell r="BK204">
            <v>976</v>
          </cell>
          <cell r="BL204">
            <v>915.42499999999973</v>
          </cell>
          <cell r="BM204">
            <v>884.89113843409939</v>
          </cell>
          <cell r="BN204">
            <v>859.11295994540376</v>
          </cell>
          <cell r="BO204">
            <v>835.16556358205662</v>
          </cell>
          <cell r="BP204">
            <v>814.73597877312943</v>
          </cell>
          <cell r="BQ204">
            <v>797.18184566824061</v>
          </cell>
          <cell r="BR204">
            <v>780.58151193651156</v>
          </cell>
          <cell r="BU204" t="str">
            <v>EBITDA</v>
          </cell>
          <cell r="BV204">
            <v>236</v>
          </cell>
          <cell r="BW204">
            <v>275</v>
          </cell>
          <cell r="BX204">
            <v>206</v>
          </cell>
          <cell r="BY204">
            <v>259</v>
          </cell>
          <cell r="BZ204">
            <v>976</v>
          </cell>
          <cell r="CA204">
            <v>182</v>
          </cell>
          <cell r="CB204">
            <v>259</v>
          </cell>
          <cell r="CC204">
            <v>227.98999999999992</v>
          </cell>
          <cell r="CD204">
            <v>246.43499999999986</v>
          </cell>
          <cell r="CE204">
            <v>915.42499999999973</v>
          </cell>
        </row>
        <row r="205">
          <cell r="L205" t="str">
            <v>EBITDA</v>
          </cell>
          <cell r="M205">
            <v>1143</v>
          </cell>
          <cell r="N205">
            <v>1016</v>
          </cell>
          <cell r="O205">
            <v>857.99099999999976</v>
          </cell>
          <cell r="P205">
            <v>668.28033604250163</v>
          </cell>
          <cell r="Q205">
            <v>494.28604830008345</v>
          </cell>
          <cell r="R205">
            <v>477.32382079453436</v>
          </cell>
          <cell r="S205">
            <v>462.94531523050517</v>
          </cell>
          <cell r="T205">
            <v>449.70626178277877</v>
          </cell>
          <cell r="U205">
            <v>436.77748662260211</v>
          </cell>
          <cell r="AX205" t="str">
            <v>EBITDA</v>
          </cell>
          <cell r="AY205">
            <v>343</v>
          </cell>
          <cell r="AZ205">
            <v>263</v>
          </cell>
          <cell r="BA205">
            <v>302</v>
          </cell>
          <cell r="BB205">
            <v>235</v>
          </cell>
          <cell r="BC205">
            <v>260</v>
          </cell>
          <cell r="BD205">
            <v>263</v>
          </cell>
          <cell r="BE205">
            <v>271</v>
          </cell>
          <cell r="BF205">
            <v>222</v>
          </cell>
          <cell r="BG205">
            <v>236</v>
          </cell>
          <cell r="BH205">
            <v>217.28476000000006</v>
          </cell>
          <cell r="BI205">
            <v>206.83199999999977</v>
          </cell>
          <cell r="BJ205">
            <v>197.87423999999987</v>
          </cell>
          <cell r="BK205">
            <v>202.31044199999974</v>
          </cell>
          <cell r="BL205">
            <v>914.41652199999976</v>
          </cell>
          <cell r="BM205">
            <v>-3.3354847820302402E-2</v>
          </cell>
          <cell r="BN205">
            <v>-2.9131468684738593E-2</v>
          </cell>
          <cell r="BO205">
            <v>-2.7874560715355767E-2</v>
          </cell>
          <cell r="BP205">
            <v>-2.4461718370311969E-2</v>
          </cell>
          <cell r="BQ205">
            <v>-2.1545793437676264E-2</v>
          </cell>
          <cell r="BR205">
            <v>-2.0823772921990891E-2</v>
          </cell>
          <cell r="BU205" t="str">
            <v>% growth</v>
          </cell>
          <cell r="BV205">
            <v>-9.2307692307692313E-2</v>
          </cell>
          <cell r="BW205">
            <v>4.5627376425855459E-2</v>
          </cell>
          <cell r="BX205">
            <v>-0.23985239852398521</v>
          </cell>
          <cell r="BY205">
            <v>0.16666666666666674</v>
          </cell>
          <cell r="BZ205">
            <v>-3.9370078740157521E-2</v>
          </cell>
          <cell r="CA205">
            <v>-0.22881355932203384</v>
          </cell>
          <cell r="CB205">
            <v>-5.8181818181818223E-2</v>
          </cell>
          <cell r="CC205">
            <v>0.1067475728155336</v>
          </cell>
          <cell r="CD205">
            <v>-4.8513513513514073E-2</v>
          </cell>
          <cell r="CE205">
            <v>-6.206454918032811E-2</v>
          </cell>
        </row>
        <row r="206">
          <cell r="L206" t="str">
            <v>% growth</v>
          </cell>
          <cell r="M206">
            <v>-0.26447876447876451</v>
          </cell>
          <cell r="N206">
            <v>-0.11111111111111116</v>
          </cell>
          <cell r="O206">
            <v>-0.15552066929133879</v>
          </cell>
          <cell r="P206">
            <v>-0.22111031928947755</v>
          </cell>
          <cell r="Q206">
            <v>-0.26036122620754831</v>
          </cell>
          <cell r="R206">
            <v>-3.4316622052927626E-2</v>
          </cell>
          <cell r="S206">
            <v>-3.0123167832050157E-2</v>
          </cell>
          <cell r="T206">
            <v>-2.8597445556036272E-2</v>
          </cell>
          <cell r="U206">
            <v>-2.8749377669154197E-2</v>
          </cell>
          <cell r="AX206" t="str">
            <v>% growth</v>
          </cell>
          <cell r="AY206">
            <v>-6.02739726027397E-2</v>
          </cell>
          <cell r="AZ206">
            <v>-0.30423280423280419</v>
          </cell>
          <cell r="BA206">
            <v>-0.22564102564102562</v>
          </cell>
          <cell r="BB206">
            <v>-0.44180522565320668</v>
          </cell>
          <cell r="BC206">
            <v>-0.24198250728862969</v>
          </cell>
          <cell r="BD206">
            <v>0</v>
          </cell>
          <cell r="BE206">
            <v>-0.10264900662251653</v>
          </cell>
          <cell r="BF206">
            <v>-5.5319148936170182E-2</v>
          </cell>
          <cell r="BG206">
            <v>-9.2307692307692313E-2</v>
          </cell>
          <cell r="BH206">
            <v>-0.1738222053231937</v>
          </cell>
          <cell r="BI206">
            <v>-0.23678228782287913</v>
          </cell>
          <cell r="BJ206">
            <v>-0.10867459459459516</v>
          </cell>
          <cell r="BK206">
            <v>-8.8691702702703878E-2</v>
          </cell>
          <cell r="BL206">
            <v>-9.9983738188976656E-2</v>
          </cell>
        </row>
        <row r="207">
          <cell r="BJ207" t="str">
            <v>Depreciation and Amortization</v>
          </cell>
          <cell r="BK207">
            <v>505</v>
          </cell>
          <cell r="BL207">
            <v>534.80999999999995</v>
          </cell>
          <cell r="BM207">
            <v>540.15809999999999</v>
          </cell>
          <cell r="BN207">
            <v>540.15809999999999</v>
          </cell>
          <cell r="BO207">
            <v>534.75651900000003</v>
          </cell>
          <cell r="BP207">
            <v>524.06138862</v>
          </cell>
          <cell r="BQ207">
            <v>508.3395469614</v>
          </cell>
          <cell r="BR207">
            <v>493.08936055255799</v>
          </cell>
          <cell r="BU207" t="str">
            <v>Depreciation and Amortization</v>
          </cell>
          <cell r="BV207">
            <v>121</v>
          </cell>
          <cell r="BW207">
            <v>113</v>
          </cell>
          <cell r="BX207">
            <v>124</v>
          </cell>
          <cell r="BY207">
            <v>147</v>
          </cell>
          <cell r="BZ207">
            <v>505</v>
          </cell>
          <cell r="CA207">
            <v>127</v>
          </cell>
          <cell r="CB207">
            <v>133</v>
          </cell>
          <cell r="CC207">
            <v>135.16</v>
          </cell>
          <cell r="CD207">
            <v>139.65</v>
          </cell>
          <cell r="CE207">
            <v>534.80999999999995</v>
          </cell>
        </row>
        <row r="208">
          <cell r="L208" t="str">
            <v>Depreciation and Amortization</v>
          </cell>
          <cell r="M208">
            <v>1071</v>
          </cell>
          <cell r="N208">
            <v>489</v>
          </cell>
          <cell r="O208">
            <v>484.541023773017</v>
          </cell>
          <cell r="P208">
            <v>428.60451908753504</v>
          </cell>
          <cell r="Q208">
            <v>381.45592591098585</v>
          </cell>
          <cell r="R208">
            <v>343.32412339516321</v>
          </cell>
          <cell r="S208">
            <v>314.32327696312694</v>
          </cell>
          <cell r="T208">
            <v>284.69395823729707</v>
          </cell>
          <cell r="U208">
            <v>254.44837648196091</v>
          </cell>
          <cell r="AX208" t="str">
            <v>Depreciation and Amortization</v>
          </cell>
          <cell r="AY208">
            <v>320</v>
          </cell>
          <cell r="AZ208">
            <v>321</v>
          </cell>
          <cell r="BA208">
            <v>319</v>
          </cell>
          <cell r="BB208">
            <v>111</v>
          </cell>
          <cell r="BC208">
            <v>117</v>
          </cell>
          <cell r="BD208">
            <v>114</v>
          </cell>
          <cell r="BE208">
            <v>122</v>
          </cell>
          <cell r="BF208">
            <v>136</v>
          </cell>
          <cell r="BG208">
            <v>121</v>
          </cell>
          <cell r="BH208">
            <v>124.01578746877981</v>
          </cell>
          <cell r="BI208">
            <v>120.4814170148055</v>
          </cell>
          <cell r="BJ208">
            <v>119.04381928943168</v>
          </cell>
          <cell r="BK208">
            <v>119.04381928943168</v>
          </cell>
          <cell r="BL208">
            <v>471.50581928943166</v>
          </cell>
          <cell r="BM208">
            <v>8.4327592492469877E-2</v>
          </cell>
          <cell r="BN208">
            <v>8.5600411762781423E-2</v>
          </cell>
          <cell r="BO208">
            <v>8.5893754461296878E-2</v>
          </cell>
          <cell r="BP208">
            <v>8.5000140858925891E-2</v>
          </cell>
          <cell r="BQ208">
            <v>8.2990366671501378E-2</v>
          </cell>
          <cell r="BR208">
            <v>8.094924306845433E-2</v>
          </cell>
          <cell r="BU208" t="str">
            <v>% revenues</v>
          </cell>
          <cell r="BV208">
            <v>7.2498502097064113E-2</v>
          </cell>
          <cell r="BW208">
            <v>6.8860450944546014E-2</v>
          </cell>
          <cell r="BX208">
            <v>7.626076260762607E-2</v>
          </cell>
          <cell r="BY208">
            <v>8.990825688073395E-2</v>
          </cell>
          <cell r="BZ208">
            <v>7.685283822858012E-2</v>
          </cell>
          <cell r="CA208">
            <v>7.9474342928660832E-2</v>
          </cell>
          <cell r="CB208">
            <v>8.1395348837209308E-2</v>
          </cell>
          <cell r="CC208">
            <v>8.2996622658888547E-2</v>
          </cell>
          <cell r="CD208">
            <v>8.5002130379207494E-2</v>
          </cell>
          <cell r="CE208">
            <v>8.223544607436109E-2</v>
          </cell>
        </row>
        <row r="209">
          <cell r="L209" t="str">
            <v>% growth</v>
          </cell>
          <cell r="M209">
            <v>-0.25209497206703912</v>
          </cell>
          <cell r="N209">
            <v>-0.54341736694677878</v>
          </cell>
          <cell r="O209">
            <v>-9.1185607913762956E-3</v>
          </cell>
          <cell r="P209">
            <v>-0.11544224728365904</v>
          </cell>
          <cell r="Q209">
            <v>-0.11000489046854844</v>
          </cell>
          <cell r="R209">
            <v>-9.9963848837206992E-2</v>
          </cell>
          <cell r="S209">
            <v>-8.4470750686681417E-2</v>
          </cell>
          <cell r="T209">
            <v>-9.4263838848007708E-2</v>
          </cell>
          <cell r="U209">
            <v>-0.10623893089478909</v>
          </cell>
          <cell r="AX209" t="str">
            <v>% growth</v>
          </cell>
          <cell r="AY209">
            <v>-0.11357340720221609</v>
          </cell>
          <cell r="AZ209">
            <v>-0.11570247933884292</v>
          </cell>
          <cell r="BA209">
            <v>-9.375E-2</v>
          </cell>
          <cell r="BB209">
            <v>-0.6882022471910112</v>
          </cell>
          <cell r="BC209">
            <v>-0.63437500000000002</v>
          </cell>
          <cell r="BD209">
            <v>-0.64485981308411211</v>
          </cell>
          <cell r="BE209">
            <v>-0.61755485893416928</v>
          </cell>
          <cell r="BF209">
            <v>0.22522522522522515</v>
          </cell>
          <cell r="BG209">
            <v>3.4188034188034289E-2</v>
          </cell>
          <cell r="BH209">
            <v>8.7857784813857975E-2</v>
          </cell>
          <cell r="BI209">
            <v>-1.2447401517987733E-2</v>
          </cell>
          <cell r="BJ209">
            <v>-0.12467779934241408</v>
          </cell>
          <cell r="BK209">
            <v>-0.12467779934241408</v>
          </cell>
          <cell r="BL209">
            <v>-3.5775420676008918E-2</v>
          </cell>
        </row>
        <row r="210">
          <cell r="L210" t="str">
            <v>% revenues</v>
          </cell>
          <cell r="M210">
            <v>0.14617169373549885</v>
          </cell>
          <cell r="N210">
            <v>7.1553994732221252E-2</v>
          </cell>
          <cell r="O210">
            <v>7.4380506400559529E-2</v>
          </cell>
          <cell r="P210">
            <v>7.0548981552900847E-2</v>
          </cell>
          <cell r="Q210">
            <v>6.5597145244021091E-2</v>
          </cell>
          <cell r="R210">
            <v>6.1137846504313823E-2</v>
          </cell>
          <cell r="S210">
            <v>5.7711953578281468E-2</v>
          </cell>
          <cell r="T210">
            <v>5.3810650432657439E-2</v>
          </cell>
          <cell r="U210">
            <v>4.9517460637009611E-2</v>
          </cell>
          <cell r="AX210" t="str">
            <v>% revenues</v>
          </cell>
          <cell r="AY210">
            <v>0.16736401673640167</v>
          </cell>
          <cell r="AZ210">
            <v>0.17138280832888414</v>
          </cell>
          <cell r="BA210">
            <v>0.17643805309734514</v>
          </cell>
          <cell r="BB210">
            <v>6.4013840830449822E-2</v>
          </cell>
          <cell r="BC210">
            <v>6.8221574344023317E-2</v>
          </cell>
          <cell r="BD210">
            <v>6.6202090592334492E-2</v>
          </cell>
          <cell r="BE210">
            <v>7.0317002881844379E-2</v>
          </cell>
          <cell r="BF210">
            <v>8.1829121540312882E-2</v>
          </cell>
          <cell r="BG210">
            <v>7.2498502097064113E-2</v>
          </cell>
          <cell r="BH210">
            <v>7.591006259871938E-2</v>
          </cell>
          <cell r="BI210">
            <v>7.4561099722939894E-2</v>
          </cell>
          <cell r="BJ210">
            <v>7.4600077260635486E-2</v>
          </cell>
          <cell r="BK210">
            <v>7.5906377033849226E-2</v>
          </cell>
          <cell r="BL210">
            <v>7.2826427386450357E-2</v>
          </cell>
          <cell r="BM210">
            <v>344.7330384340994</v>
          </cell>
          <cell r="BN210">
            <v>318.95485994540377</v>
          </cell>
          <cell r="BO210">
            <v>300.40904458205659</v>
          </cell>
          <cell r="BP210">
            <v>290.67459015312943</v>
          </cell>
          <cell r="BQ210">
            <v>288.84229870684067</v>
          </cell>
          <cell r="BR210">
            <v>287.49215138395357</v>
          </cell>
          <cell r="BU210" t="str">
            <v>Operating Income</v>
          </cell>
          <cell r="BV210">
            <v>115</v>
          </cell>
          <cell r="BW210">
            <v>162</v>
          </cell>
          <cell r="BX210">
            <v>82</v>
          </cell>
          <cell r="BY210">
            <v>112</v>
          </cell>
          <cell r="BZ210">
            <v>471</v>
          </cell>
          <cell r="CA210">
            <v>55</v>
          </cell>
          <cell r="CB210">
            <v>126</v>
          </cell>
          <cell r="CC210">
            <v>92.829999999999927</v>
          </cell>
          <cell r="CD210">
            <v>106.78499999999985</v>
          </cell>
          <cell r="CE210">
            <v>380.61499999999978</v>
          </cell>
        </row>
        <row r="211">
          <cell r="BJ211" t="str">
            <v>% growth</v>
          </cell>
          <cell r="BK211">
            <v>-0.10626185958254264</v>
          </cell>
          <cell r="BL211">
            <v>-0.19190021231422549</v>
          </cell>
          <cell r="BM211">
            <v>-9.4273640203093478E-2</v>
          </cell>
          <cell r="BN211">
            <v>-7.4777220674262401E-2</v>
          </cell>
          <cell r="BO211">
            <v>-5.8145580119148166E-2</v>
          </cell>
          <cell r="BP211">
            <v>-3.2403999162109787E-2</v>
          </cell>
          <cell r="BQ211">
            <v>-6.3035831419715471E-3</v>
          </cell>
          <cell r="BR211">
            <v>-4.6743407351754751E-3</v>
          </cell>
          <cell r="BU211" t="str">
            <v>% growth</v>
          </cell>
          <cell r="BV211">
            <v>-0.19580419580419584</v>
          </cell>
          <cell r="BW211">
            <v>8.7248322147650992E-2</v>
          </cell>
          <cell r="BX211">
            <v>-0.44966442953020136</v>
          </cell>
          <cell r="BY211">
            <v>0.30232558139534893</v>
          </cell>
          <cell r="BZ211">
            <v>-0.10626185958254264</v>
          </cell>
          <cell r="CA211">
            <v>-0.52173913043478259</v>
          </cell>
          <cell r="CB211">
            <v>-0.22222222222222221</v>
          </cell>
          <cell r="CC211">
            <v>0.13207317073170644</v>
          </cell>
          <cell r="CD211">
            <v>-4.6562500000001283E-2</v>
          </cell>
          <cell r="CE211">
            <v>-0.19190021231422549</v>
          </cell>
        </row>
        <row r="212">
          <cell r="L212" t="str">
            <v>Operating Income</v>
          </cell>
          <cell r="M212">
            <v>72</v>
          </cell>
          <cell r="N212">
            <v>527</v>
          </cell>
          <cell r="O212">
            <v>373.44997622698338</v>
          </cell>
          <cell r="P212">
            <v>239.67581695496665</v>
          </cell>
          <cell r="Q212">
            <v>112.8301223890976</v>
          </cell>
          <cell r="R212">
            <v>133.99969739937114</v>
          </cell>
          <cell r="S212">
            <v>148.62203826737823</v>
          </cell>
          <cell r="T212">
            <v>165.0123035454817</v>
          </cell>
          <cell r="U212">
            <v>182.32911014064121</v>
          </cell>
          <cell r="AX212" t="str">
            <v>Operating Income</v>
          </cell>
          <cell r="AY212">
            <v>23</v>
          </cell>
          <cell r="AZ212">
            <v>-58</v>
          </cell>
          <cell r="BA212">
            <v>-17</v>
          </cell>
          <cell r="BB212">
            <v>124</v>
          </cell>
          <cell r="BC212">
            <v>143</v>
          </cell>
          <cell r="BD212">
            <v>149</v>
          </cell>
          <cell r="BE212">
            <v>149</v>
          </cell>
          <cell r="BF212">
            <v>86</v>
          </cell>
          <cell r="BG212">
            <v>115</v>
          </cell>
          <cell r="BH212">
            <v>93.268972531220243</v>
          </cell>
          <cell r="BI212">
            <v>86.350582985194251</v>
          </cell>
          <cell r="BJ212">
            <v>78.830420710568205</v>
          </cell>
          <cell r="BK212">
            <v>83.266622710568072</v>
          </cell>
          <cell r="BL212">
            <v>442.91070271056833</v>
          </cell>
          <cell r="BM212">
            <v>5.3818515697092562E-2</v>
          </cell>
          <cell r="BN212">
            <v>5.0545696426781049E-2</v>
          </cell>
          <cell r="BO212">
            <v>4.825235372826555E-2</v>
          </cell>
          <cell r="BP212">
            <v>4.7145967330636564E-2</v>
          </cell>
          <cell r="BQ212">
            <v>4.7155741518061046E-2</v>
          </cell>
          <cell r="BR212">
            <v>4.7196865121108107E-2</v>
          </cell>
          <cell r="BU212" t="str">
            <v>% revenues</v>
          </cell>
          <cell r="BV212">
            <v>6.8903535050928694E-2</v>
          </cell>
          <cell r="BW212">
            <v>9.8720292504570387E-2</v>
          </cell>
          <cell r="BX212">
            <v>5.0430504305043047E-2</v>
          </cell>
          <cell r="BY212">
            <v>6.8501529051987767E-2</v>
          </cell>
          <cell r="BZ212">
            <v>7.1678587733982654E-2</v>
          </cell>
          <cell r="CA212">
            <v>3.4418022528160203E-2</v>
          </cell>
          <cell r="CB212">
            <v>7.711138310893513E-2</v>
          </cell>
          <cell r="CC212">
            <v>5.7003377341111411E-2</v>
          </cell>
          <cell r="CD212">
            <v>6.4997869620792403E-2</v>
          </cell>
          <cell r="CE212">
            <v>5.8525540486514704E-2</v>
          </cell>
        </row>
        <row r="213">
          <cell r="L213" t="str">
            <v>% growth</v>
          </cell>
          <cell r="M213">
            <v>-0.4098360655737705</v>
          </cell>
          <cell r="N213">
            <v>6.3194444444444446</v>
          </cell>
          <cell r="O213">
            <v>-0.29136626901900686</v>
          </cell>
          <cell r="P213">
            <v>-0.35821172255399647</v>
          </cell>
          <cell r="Q213">
            <v>-0.52923860311573456</v>
          </cell>
          <cell r="R213">
            <v>0.18762343390242653</v>
          </cell>
          <cell r="S213">
            <v>0.10912219319739824</v>
          </cell>
          <cell r="T213">
            <v>0.11028152667787117</v>
          </cell>
          <cell r="U213">
            <v>0.10494251775829877</v>
          </cell>
          <cell r="AX213" t="str">
            <v>% growth</v>
          </cell>
          <cell r="AY213">
            <v>4.75</v>
          </cell>
          <cell r="AZ213">
            <v>-4.8666666666666671</v>
          </cell>
          <cell r="BA213">
            <v>-1.4473684210526316</v>
          </cell>
          <cell r="BB213">
            <v>0.9076923076923078</v>
          </cell>
          <cell r="BC213">
            <v>5.2173913043478262</v>
          </cell>
          <cell r="BD213">
            <v>-3.5689655172413794</v>
          </cell>
          <cell r="BE213">
            <v>-9.764705882352942</v>
          </cell>
          <cell r="BF213">
            <v>-0.30645161290322576</v>
          </cell>
          <cell r="BG213">
            <v>-0.19580419580419584</v>
          </cell>
          <cell r="BH213">
            <v>-0.37403374140120638</v>
          </cell>
          <cell r="BI213">
            <v>-0.42046588600540769</v>
          </cell>
          <cell r="BJ213">
            <v>-8.3367201039904582E-2</v>
          </cell>
          <cell r="BK213">
            <v>-3.1783456853859637E-2</v>
          </cell>
          <cell r="BL213">
            <v>-0.15956223394579061</v>
          </cell>
        </row>
        <row r="214">
          <cell r="L214" t="str">
            <v>% revenues</v>
          </cell>
          <cell r="M214">
            <v>9.8266684864200902E-3</v>
          </cell>
          <cell r="N214">
            <v>7.7114427860696513E-2</v>
          </cell>
          <cell r="O214">
            <v>5.7327237497339853E-2</v>
          </cell>
          <cell r="P214">
            <v>3.9451018447099098E-2</v>
          </cell>
          <cell r="Q214">
            <v>1.9402854755978909E-2</v>
          </cell>
          <cell r="R214">
            <v>2.386215349568608E-2</v>
          </cell>
          <cell r="S214">
            <v>2.7288046421718549E-2</v>
          </cell>
          <cell r="T214">
            <v>3.1189349567342536E-2</v>
          </cell>
          <cell r="U214">
            <v>3.5482539362990451E-2</v>
          </cell>
          <cell r="AX214" t="str">
            <v>% revenues</v>
          </cell>
          <cell r="AY214">
            <v>1.202928870292887E-2</v>
          </cell>
          <cell r="AZ214">
            <v>-3.0966364121729845E-2</v>
          </cell>
          <cell r="BA214">
            <v>-9.4026548672566379E-3</v>
          </cell>
          <cell r="BB214">
            <v>7.1510957324106117E-2</v>
          </cell>
          <cell r="BC214">
            <v>8.3381924198250731E-2</v>
          </cell>
          <cell r="BD214">
            <v>8.6527293844367012E-2</v>
          </cell>
          <cell r="BE214">
            <v>8.5878962536023049E-2</v>
          </cell>
          <cell r="BF214">
            <v>5.1744885679903728E-2</v>
          </cell>
          <cell r="BG214">
            <v>6.8903535050928694E-2</v>
          </cell>
          <cell r="BH214">
            <v>5.7089937401280669E-2</v>
          </cell>
          <cell r="BI214">
            <v>5.3438900277059956E-2</v>
          </cell>
          <cell r="BJ214">
            <v>4.9399922739364444E-2</v>
          </cell>
          <cell r="BK214">
            <v>5.3093622966150611E-2</v>
          </cell>
          <cell r="BL214">
            <v>6.8409768893717415E-2</v>
          </cell>
          <cell r="BM214">
            <v>640.54728</v>
          </cell>
          <cell r="BN214">
            <v>612.09209886980011</v>
          </cell>
          <cell r="BO214">
            <v>585.22430532070882</v>
          </cell>
          <cell r="BP214">
            <v>561.05302747168446</v>
          </cell>
          <cell r="BQ214">
            <v>539.02497273776555</v>
          </cell>
          <cell r="BR214">
            <v>517.76389819388737</v>
          </cell>
          <cell r="BU214" t="str">
            <v>Total GMG Capex</v>
          </cell>
          <cell r="BV214">
            <v>92</v>
          </cell>
          <cell r="BW214">
            <v>200</v>
          </cell>
          <cell r="BX214">
            <v>255</v>
          </cell>
          <cell r="BY214">
            <v>274</v>
          </cell>
          <cell r="BZ214">
            <v>821</v>
          </cell>
          <cell r="CA214">
            <v>144</v>
          </cell>
          <cell r="CB214">
            <v>145</v>
          </cell>
          <cell r="CC214">
            <v>150</v>
          </cell>
          <cell r="CD214">
            <v>150</v>
          </cell>
          <cell r="CE214">
            <v>589</v>
          </cell>
        </row>
        <row r="215">
          <cell r="BJ215" t="str">
            <v>% segment revenues</v>
          </cell>
          <cell r="BK215">
            <v>0.12494293106072135</v>
          </cell>
          <cell r="BL215">
            <v>9.0568010579081704E-2</v>
          </cell>
          <cell r="BM215">
            <v>0.1</v>
          </cell>
          <cell r="BN215">
            <v>9.7000000000000003E-2</v>
          </cell>
          <cell r="BO215">
            <v>9.4E-2</v>
          </cell>
          <cell r="BP215">
            <v>9.0999999999999998E-2</v>
          </cell>
          <cell r="BQ215">
            <v>8.7999999999999995E-2</v>
          </cell>
          <cell r="BR215">
            <v>8.4999999999999992E-2</v>
          </cell>
          <cell r="BU215" t="str">
            <v>% segment revenues</v>
          </cell>
          <cell r="BV215">
            <v>5.5122828040742963E-2</v>
          </cell>
          <cell r="BW215">
            <v>0.12187690432663011</v>
          </cell>
          <cell r="BX215">
            <v>0.15682656826568267</v>
          </cell>
          <cell r="BY215">
            <v>0.16758409785932721</v>
          </cell>
          <cell r="BZ215">
            <v>0.12494293106072135</v>
          </cell>
          <cell r="CA215">
            <v>9.0112640801001245E-2</v>
          </cell>
          <cell r="CB215">
            <v>8.8739290085679309E-2</v>
          </cell>
          <cell r="CC215">
            <v>9.2109303039607002E-2</v>
          </cell>
          <cell r="CD215">
            <v>9.1301966035668633E-2</v>
          </cell>
          <cell r="CE215">
            <v>9.0568010579081704E-2</v>
          </cell>
        </row>
        <row r="216">
          <cell r="L216" t="str">
            <v>Total GMG Capex</v>
          </cell>
          <cell r="M216">
            <v>282</v>
          </cell>
          <cell r="N216">
            <v>384</v>
          </cell>
          <cell r="O216">
            <v>349.84574999999995</v>
          </cell>
          <cell r="P216">
            <v>326.2655186096232</v>
          </cell>
          <cell r="Q216">
            <v>312.29469520787984</v>
          </cell>
          <cell r="R216">
            <v>301.57779618329715</v>
          </cell>
          <cell r="S216">
            <v>292.49331761444745</v>
          </cell>
          <cell r="T216">
            <v>284.12875588846407</v>
          </cell>
          <cell r="U216">
            <v>275.9602309787594</v>
          </cell>
          <cell r="AX216" t="str">
            <v>Total GMG Capex</v>
          </cell>
          <cell r="AY216">
            <v>56</v>
          </cell>
          <cell r="AZ216">
            <v>64</v>
          </cell>
          <cell r="BA216">
            <v>71</v>
          </cell>
          <cell r="BB216">
            <v>91</v>
          </cell>
          <cell r="BC216">
            <v>65</v>
          </cell>
          <cell r="BD216">
            <v>70</v>
          </cell>
          <cell r="BE216">
            <v>83</v>
          </cell>
          <cell r="BF216">
            <v>166</v>
          </cell>
          <cell r="BG216">
            <v>92</v>
          </cell>
          <cell r="BH216">
            <v>65.348799999999997</v>
          </cell>
          <cell r="BI216">
            <v>80.793750000000003</v>
          </cell>
          <cell r="BJ216">
            <v>111.70320000000001</v>
          </cell>
          <cell r="BK216">
            <v>100</v>
          </cell>
          <cell r="BL216">
            <v>492</v>
          </cell>
        </row>
        <row r="217">
          <cell r="L217" t="str">
            <v>% segment revenues</v>
          </cell>
          <cell r="M217">
            <v>3.8487784905145352E-2</v>
          </cell>
          <cell r="N217">
            <v>5.6189640035118525E-2</v>
          </cell>
          <cell r="O217">
            <v>5.3703820255420517E-2</v>
          </cell>
          <cell r="P217">
            <v>5.3703820255420517E-2</v>
          </cell>
          <cell r="Q217">
            <v>5.3703820255420517E-2</v>
          </cell>
          <cell r="R217">
            <v>5.3703820255420517E-2</v>
          </cell>
          <cell r="S217">
            <v>5.3703820255420517E-2</v>
          </cell>
          <cell r="T217">
            <v>5.3703820255420517E-2</v>
          </cell>
          <cell r="U217">
            <v>5.3703820255420517E-2</v>
          </cell>
          <cell r="AX217" t="str">
            <v>% segment revenues</v>
          </cell>
          <cell r="AY217">
            <v>2.9288702928870293E-2</v>
          </cell>
          <cell r="AZ217">
            <v>3.4169781099839827E-2</v>
          </cell>
          <cell r="BA217">
            <v>3.9269911504424777E-2</v>
          </cell>
          <cell r="BB217">
            <v>5.2479815455593999E-2</v>
          </cell>
          <cell r="BC217">
            <v>3.7900874635568516E-2</v>
          </cell>
          <cell r="BD217">
            <v>4.065040650406504E-2</v>
          </cell>
          <cell r="BE217">
            <v>4.7838616714697406E-2</v>
          </cell>
          <cell r="BF217">
            <v>9.9879663056558363E-2</v>
          </cell>
          <cell r="BG217">
            <v>5.5122828040742963E-2</v>
          </cell>
          <cell r="BH217">
            <v>0.04</v>
          </cell>
          <cell r="BI217">
            <v>0.05</v>
          </cell>
          <cell r="BJ217">
            <v>7.0000000000000007E-2</v>
          </cell>
          <cell r="BK217">
            <v>7.0000000000000007E-2</v>
          </cell>
          <cell r="BL217">
            <v>7.59918558971997E-2</v>
          </cell>
        </row>
        <row r="218">
          <cell r="L218" t="str">
            <v>Source:  Company reports and Morgan Stanley estimates.</v>
          </cell>
          <cell r="AX218" t="str">
            <v>Source:  Company reports and Morgan Stanley estimates.</v>
          </cell>
        </row>
      </sheetData>
      <sheetData sheetId="5" refreshError="1">
        <row r="3">
          <cell r="B3" t="str">
            <v>2006E EBITDA</v>
          </cell>
          <cell r="C3" t="str">
            <v>3-Year Est. Fwd. Growth</v>
          </cell>
          <cell r="D3" t="str">
            <v>Applied Multiple</v>
          </cell>
          <cell r="E3" t="str">
            <v>Implied EV</v>
          </cell>
          <cell r="F3" t="str">
            <v>Per 2006E Share</v>
          </cell>
        </row>
        <row r="4">
          <cell r="A4" t="str">
            <v>Core Wireless</v>
          </cell>
          <cell r="B4">
            <v>11865.154749327383</v>
          </cell>
          <cell r="C4">
            <v>9.7960062060464814E-2</v>
          </cell>
          <cell r="D4">
            <v>5.25</v>
          </cell>
          <cell r="E4">
            <v>67403.213370032739</v>
          </cell>
          <cell r="F4">
            <v>22.37154016729156</v>
          </cell>
        </row>
        <row r="5">
          <cell r="A5" t="str">
            <v>Nextel Partners</v>
          </cell>
          <cell r="B5">
            <v>760</v>
          </cell>
          <cell r="C5">
            <v>-9.9551577662164048E-2</v>
          </cell>
          <cell r="D5">
            <v>4.5</v>
          </cell>
          <cell r="E5">
            <v>3947.1051955158637</v>
          </cell>
          <cell r="F5">
            <v>1.3100684375571257</v>
          </cell>
        </row>
        <row r="6">
          <cell r="A6" t="str">
            <v>Alamosa</v>
          </cell>
          <cell r="B6">
            <v>381.70000000000005</v>
          </cell>
          <cell r="E6">
            <v>71350.318565548601</v>
          </cell>
          <cell r="F6">
            <v>23.681608604848684</v>
          </cell>
        </row>
        <row r="7">
          <cell r="A7" t="str">
            <v>Total Wireless</v>
          </cell>
          <cell r="B7">
            <v>13006.854749327384</v>
          </cell>
          <cell r="D7">
            <v>5.5</v>
          </cell>
          <cell r="E7">
            <v>71537.701121300604</v>
          </cell>
          <cell r="F7">
            <v>24.01077435768967</v>
          </cell>
          <cell r="G7">
            <v>5.5</v>
          </cell>
        </row>
        <row r="8">
          <cell r="A8" t="str">
            <v>Less Debt &amp; Preferred Stock</v>
          </cell>
          <cell r="E8">
            <v>-23801</v>
          </cell>
          <cell r="F8">
            <v>-7.8996979654153803</v>
          </cell>
        </row>
        <row r="9">
          <cell r="A9" t="str">
            <v>Global Markets Group</v>
          </cell>
          <cell r="B9">
            <v>857.99099999999976</v>
          </cell>
          <cell r="C9">
            <v>-0.18623111591545782</v>
          </cell>
          <cell r="D9">
            <v>4.5</v>
          </cell>
          <cell r="E9">
            <v>3860.959499999999</v>
          </cell>
          <cell r="F9">
            <v>1.2958849097133647</v>
          </cell>
        </row>
        <row r="10">
          <cell r="A10" t="str">
            <v>Local</v>
          </cell>
          <cell r="B10">
            <v>2785.732783495474</v>
          </cell>
          <cell r="C10">
            <v>-4.0942923307825008E-2</v>
          </cell>
          <cell r="D10">
            <v>0</v>
          </cell>
          <cell r="E10">
            <v>0</v>
          </cell>
          <cell r="F10">
            <v>0</v>
          </cell>
        </row>
        <row r="11">
          <cell r="A11" t="str">
            <v>Total Enterprise Value</v>
          </cell>
          <cell r="E11">
            <v>75398.660621300602</v>
          </cell>
          <cell r="F11">
            <v>25.306659267403035</v>
          </cell>
        </row>
        <row r="12">
          <cell r="A12" t="str">
            <v>Plus 2.5 GHz Spectrum</v>
          </cell>
          <cell r="E12">
            <v>3000</v>
          </cell>
          <cell r="F12">
            <v>0.99571841083341628</v>
          </cell>
        </row>
        <row r="13">
          <cell r="A13" t="str">
            <v>Less Cash to NXTP Shareholders</v>
          </cell>
          <cell r="E13">
            <v>-6143.46</v>
          </cell>
          <cell r="F13">
            <v>-2.06197892193059</v>
          </cell>
        </row>
        <row r="14">
          <cell r="A14" t="str">
            <v>Less Cash to APCS Shareholders</v>
          </cell>
          <cell r="E14">
            <v>-3069.375</v>
          </cell>
          <cell r="F14">
            <v>-1.030199033362422</v>
          </cell>
          <cell r="I14" t="str">
            <v>Wireless&gt;&gt;</v>
          </cell>
          <cell r="J14" t="str">
            <v>Applied</v>
          </cell>
        </row>
        <row r="15">
          <cell r="J15" t="str">
            <v>EBITDA</v>
          </cell>
          <cell r="K15" t="str">
            <v>Sum-of-the-</v>
          </cell>
        </row>
        <row r="16">
          <cell r="A16" t="str">
            <v>Less Debt &amp; Preferred Stock</v>
          </cell>
          <cell r="E16">
            <v>3012.9</v>
          </cell>
          <cell r="J16" t="str">
            <v>Multiple</v>
          </cell>
          <cell r="K16" t="str">
            <v>Parts Value</v>
          </cell>
        </row>
        <row r="17">
          <cell r="A17" t="str">
            <v>Sprint Nextel 2006E</v>
          </cell>
          <cell r="E17">
            <v>-15085</v>
          </cell>
          <cell r="F17">
            <v>-5.0630999530106733</v>
          </cell>
          <cell r="G17" t="str">
            <v>+7k</v>
          </cell>
          <cell r="J17">
            <v>5</v>
          </cell>
        </row>
        <row r="18">
          <cell r="A18" t="str">
            <v>Nextel Partners</v>
          </cell>
          <cell r="E18">
            <v>-1435</v>
          </cell>
          <cell r="F18">
            <v>-0.48164059877827747</v>
          </cell>
          <cell r="J18">
            <v>5.5</v>
          </cell>
        </row>
        <row r="19">
          <cell r="A19" t="str">
            <v>Alamosa</v>
          </cell>
          <cell r="E19">
            <v>-750</v>
          </cell>
          <cell r="F19">
            <v>-0.25172853594683492</v>
          </cell>
          <cell r="J19">
            <v>6</v>
          </cell>
        </row>
        <row r="20">
          <cell r="E20" t="str">
            <v>2006E</v>
          </cell>
          <cell r="F20" t="str">
            <v>2007E</v>
          </cell>
        </row>
        <row r="21">
          <cell r="A21" t="str">
            <v>Plus Cash &amp; Equivalents</v>
          </cell>
          <cell r="E21">
            <v>14.352104858198738</v>
          </cell>
          <cell r="F21">
            <v>14.964195883574583</v>
          </cell>
        </row>
        <row r="22">
          <cell r="A22" t="str">
            <v>Sprint Nextel 2006E</v>
          </cell>
          <cell r="E22">
            <v>6741.0771259244948</v>
          </cell>
          <cell r="F22">
            <v>2.2625619674848947</v>
          </cell>
        </row>
        <row r="23">
          <cell r="A23" t="str">
            <v>Nextel Partners</v>
          </cell>
          <cell r="E23">
            <v>165</v>
          </cell>
          <cell r="F23">
            <v>5.5380277908303681E-2</v>
          </cell>
        </row>
        <row r="24">
          <cell r="A24" t="str">
            <v>Alamosa</v>
          </cell>
          <cell r="E24">
            <v>125</v>
          </cell>
          <cell r="F24">
            <v>4.1954755991139153E-2</v>
          </cell>
        </row>
        <row r="26">
          <cell r="A26" t="str">
            <v>Plus 2.5 GHz Spectrum</v>
          </cell>
          <cell r="E26">
            <v>3000</v>
          </cell>
          <cell r="F26">
            <v>1.0069141437873397</v>
          </cell>
        </row>
        <row r="28">
          <cell r="A28" t="str">
            <v>Total Equity Value</v>
          </cell>
          <cell r="E28">
            <v>58946.902747225089</v>
          </cell>
          <cell r="F28">
            <v>19.784823369545915</v>
          </cell>
          <cell r="I28" t="str">
            <v>Wireless&gt;&gt;</v>
          </cell>
          <cell r="J28" t="str">
            <v>Applied</v>
          </cell>
        </row>
        <row r="29">
          <cell r="J29" t="str">
            <v>EBITDA</v>
          </cell>
          <cell r="K29" t="str">
            <v>Sum-of-the-</v>
          </cell>
        </row>
        <row r="30">
          <cell r="A30" t="str">
            <v>Diluted Shares Outstanding (mil.)</v>
          </cell>
          <cell r="E30">
            <v>2979.4</v>
          </cell>
          <cell r="J30" t="str">
            <v>Multiple</v>
          </cell>
          <cell r="K30" t="str">
            <v>Parts Value</v>
          </cell>
        </row>
        <row r="31">
          <cell r="J31">
            <v>5</v>
          </cell>
          <cell r="K31">
            <v>24</v>
          </cell>
        </row>
        <row r="32">
          <cell r="A32" t="str">
            <v>2006E per share value, sum of the parts basis</v>
          </cell>
          <cell r="B32">
            <v>2004</v>
          </cell>
          <cell r="C32">
            <v>2005</v>
          </cell>
          <cell r="D32" t="str">
            <v>2006E</v>
          </cell>
          <cell r="E32" t="str">
            <v>2007E</v>
          </cell>
          <cell r="F32">
            <v>19.784823369545915</v>
          </cell>
          <cell r="G32" t="str">
            <v>2009E</v>
          </cell>
          <cell r="H32" t="str">
            <v>2010E</v>
          </cell>
          <cell r="I32" t="str">
            <v>2011E</v>
          </cell>
          <cell r="J32">
            <v>5.5</v>
          </cell>
          <cell r="K32">
            <v>25</v>
          </cell>
        </row>
        <row r="33">
          <cell r="A33" t="str">
            <v>NOL Usage</v>
          </cell>
          <cell r="B33">
            <v>452.8</v>
          </cell>
          <cell r="C33">
            <v>2173.6</v>
          </cell>
          <cell r="D33">
            <v>2085.5768164221458</v>
          </cell>
          <cell r="E33">
            <v>714.42318357785268</v>
          </cell>
          <cell r="F33">
            <v>0</v>
          </cell>
          <cell r="G33">
            <v>0</v>
          </cell>
          <cell r="H33">
            <v>0</v>
          </cell>
          <cell r="I33">
            <v>0</v>
          </cell>
          <cell r="J33">
            <v>6</v>
          </cell>
          <cell r="K33">
            <v>27</v>
          </cell>
        </row>
        <row r="34">
          <cell r="A34" t="str">
            <v>Discounted Value</v>
          </cell>
          <cell r="B34">
            <v>4236.3739155839303</v>
          </cell>
          <cell r="C34">
            <v>2486.4113071423249</v>
          </cell>
          <cell r="D34">
            <v>649.47562143441144</v>
          </cell>
          <cell r="E34">
            <v>0</v>
          </cell>
          <cell r="F34">
            <v>0</v>
          </cell>
          <cell r="G34">
            <v>0</v>
          </cell>
          <cell r="H34">
            <v>0</v>
          </cell>
          <cell r="I34">
            <v>0</v>
          </cell>
          <cell r="J34">
            <v>0</v>
          </cell>
        </row>
        <row r="36">
          <cell r="A36" t="str">
            <v>Discount Rate</v>
          </cell>
          <cell r="B36">
            <v>0.1</v>
          </cell>
          <cell r="I36" t="str">
            <v>Local&gt;&gt;</v>
          </cell>
          <cell r="J36" t="str">
            <v>Applied</v>
          </cell>
        </row>
        <row r="37">
          <cell r="J37" t="str">
            <v>EBITDA</v>
          </cell>
          <cell r="K37" t="str">
            <v>Sum-of-the-</v>
          </cell>
        </row>
        <row r="38">
          <cell r="J38" t="str">
            <v>Multiple</v>
          </cell>
          <cell r="K38" t="str">
            <v>Parts Value</v>
          </cell>
        </row>
        <row r="39">
          <cell r="J39">
            <v>5</v>
          </cell>
          <cell r="K39">
            <v>25</v>
          </cell>
        </row>
        <row r="40">
          <cell r="J40">
            <v>5.25</v>
          </cell>
          <cell r="K40">
            <v>25</v>
          </cell>
        </row>
        <row r="41">
          <cell r="J41">
            <v>5.5</v>
          </cell>
          <cell r="K41">
            <v>26</v>
          </cell>
        </row>
      </sheetData>
      <sheetData sheetId="6" refreshError="1">
        <row r="1">
          <cell r="B1" t="str">
            <v>3Q06</v>
          </cell>
          <cell r="C1" t="str">
            <v>2Q07</v>
          </cell>
          <cell r="D1" t="str">
            <v>4Q04</v>
          </cell>
          <cell r="E1" t="str">
            <v>3Q05</v>
          </cell>
          <cell r="F1" t="str">
            <v>4Q05</v>
          </cell>
          <cell r="G1" t="str">
            <v>4Q05</v>
          </cell>
          <cell r="H1" t="str">
            <v>Favorable/</v>
          </cell>
        </row>
        <row r="2">
          <cell r="B2" t="str">
            <v>Prior Year</v>
          </cell>
          <cell r="C2" t="str">
            <v>Prior Qtr.</v>
          </cell>
          <cell r="D2" t="str">
            <v>Prior Year</v>
          </cell>
          <cell r="E2" t="str">
            <v>Actual</v>
          </cell>
          <cell r="F2" t="str">
            <v>Estimate</v>
          </cell>
          <cell r="G2" t="str">
            <v>Actual</v>
          </cell>
          <cell r="H2" t="str">
            <v>(Unfavorable)</v>
          </cell>
        </row>
        <row r="3">
          <cell r="A3" t="str">
            <v>Consolidated</v>
          </cell>
        </row>
        <row r="4">
          <cell r="A4" t="str">
            <v>Normalized EPS</v>
          </cell>
          <cell r="B4">
            <v>0.31933169400747802</v>
          </cell>
          <cell r="C4">
            <v>0.24930651872399445</v>
          </cell>
          <cell r="D4">
            <v>0.31327731092436972</v>
          </cell>
          <cell r="E4">
            <v>0.39649205335842208</v>
          </cell>
          <cell r="F4">
            <v>6.5449419346177082E-2</v>
          </cell>
        </row>
        <row r="5">
          <cell r="A5" t="str">
            <v>Consolidated Revenues</v>
          </cell>
          <cell r="B5">
            <v>10496</v>
          </cell>
          <cell r="C5">
            <v>10162</v>
          </cell>
          <cell r="D5">
            <v>6930</v>
          </cell>
          <cell r="E5">
            <v>11209</v>
          </cell>
          <cell r="F5">
            <v>11296</v>
          </cell>
        </row>
        <row r="6">
          <cell r="A6" t="str">
            <v>% y/y growth</v>
          </cell>
          <cell r="D6">
            <v>3.7269869779973153E-2</v>
          </cell>
        </row>
        <row r="7">
          <cell r="A7" t="str">
            <v>Consolidated EBITDA</v>
          </cell>
          <cell r="B7">
            <v>3364</v>
          </cell>
          <cell r="C7">
            <v>2882</v>
          </cell>
          <cell r="D7">
            <v>2049</v>
          </cell>
          <cell r="E7">
            <v>3671</v>
          </cell>
          <cell r="F7">
            <v>3109</v>
          </cell>
        </row>
        <row r="8">
          <cell r="A8" t="str">
            <v>% margin</v>
          </cell>
          <cell r="B8">
            <v>0.3205030487804878</v>
          </cell>
          <cell r="C8">
            <v>0.28360558945089548</v>
          </cell>
          <cell r="D8">
            <v>0.2956709956709957</v>
          </cell>
          <cell r="E8">
            <v>0.32750468373628333</v>
          </cell>
          <cell r="F8">
            <v>0.27523016997167138</v>
          </cell>
        </row>
        <row r="10">
          <cell r="A10" t="str">
            <v>Wireless Retail Service Revenue</v>
          </cell>
          <cell r="D10">
            <v>3244</v>
          </cell>
          <cell r="E10">
            <v>7049</v>
          </cell>
          <cell r="F10">
            <v>7132</v>
          </cell>
        </row>
        <row r="11">
          <cell r="A11" t="str">
            <v>Wireless EBITDA</v>
          </cell>
          <cell r="B11">
            <v>8017</v>
          </cell>
          <cell r="C11">
            <v>7898</v>
          </cell>
          <cell r="D11">
            <v>1066</v>
          </cell>
          <cell r="E11">
            <v>2651</v>
          </cell>
          <cell r="F11">
            <v>2535</v>
          </cell>
        </row>
        <row r="12">
          <cell r="A12" t="str">
            <v>% margin</v>
          </cell>
          <cell r="B12">
            <v>3159</v>
          </cell>
          <cell r="C12">
            <v>2671</v>
          </cell>
          <cell r="D12">
            <v>0.3286066584463625</v>
          </cell>
          <cell r="E12">
            <v>0.37608171371825788</v>
          </cell>
          <cell r="F12">
            <v>0.35544026920919797</v>
          </cell>
        </row>
        <row r="13">
          <cell r="A13" t="str">
            <v>Wireless Retail Net Adds</v>
          </cell>
          <cell r="B13">
            <v>0.39403766995135336</v>
          </cell>
          <cell r="C13">
            <v>0.33818688275512787</v>
          </cell>
          <cell r="D13">
            <v>526</v>
          </cell>
          <cell r="E13">
            <v>669</v>
          </cell>
          <cell r="F13">
            <v>746</v>
          </cell>
        </row>
        <row r="14">
          <cell r="A14" t="str">
            <v>Churn</v>
          </cell>
          <cell r="B14">
            <v>-188</v>
          </cell>
          <cell r="C14">
            <v>16</v>
          </cell>
          <cell r="D14">
            <v>2.7E-2</v>
          </cell>
          <cell r="E14">
            <v>2.1000000000000001E-2</v>
          </cell>
          <cell r="F14">
            <v>2.1000000000000001E-2</v>
          </cell>
        </row>
        <row r="15">
          <cell r="A15" t="str">
            <v>Wireless Capex</v>
          </cell>
          <cell r="B15">
            <v>216</v>
          </cell>
          <cell r="C15">
            <v>169</v>
          </cell>
          <cell r="D15">
            <v>889</v>
          </cell>
          <cell r="E15">
            <v>1300</v>
          </cell>
          <cell r="F15">
            <v>1535</v>
          </cell>
        </row>
        <row r="16">
          <cell r="A16" t="str">
            <v>Blended Churn</v>
          </cell>
          <cell r="B16">
            <v>2.762803436927087E-2</v>
          </cell>
          <cell r="C16">
            <v>2.4565088274646738E-2</v>
          </cell>
          <cell r="D16">
            <v>2.6536109168614583E-2</v>
          </cell>
          <cell r="E16">
            <v>2.6536109168614583E-2</v>
          </cell>
          <cell r="F16">
            <v>0</v>
          </cell>
        </row>
        <row r="17">
          <cell r="A17" t="str">
            <v>Local Revenues</v>
          </cell>
          <cell r="B17">
            <v>59.027087520891776</v>
          </cell>
          <cell r="C17">
            <v>57.276086254972135</v>
          </cell>
          <cell r="D17">
            <v>1509</v>
          </cell>
          <cell r="E17">
            <v>1672</v>
          </cell>
          <cell r="F17">
            <v>1667</v>
          </cell>
        </row>
        <row r="18">
          <cell r="A18" t="str">
            <v>% y/y growth</v>
          </cell>
          <cell r="B18">
            <v>1473</v>
          </cell>
          <cell r="C18">
            <v>1371</v>
          </cell>
          <cell r="D18">
            <v>-2.3300970873786353E-2</v>
          </cell>
          <cell r="E18">
            <v>1589.2595143317046</v>
          </cell>
          <cell r="F18">
            <v>0</v>
          </cell>
        </row>
        <row r="19">
          <cell r="A19" t="str">
            <v>Local EBITDA</v>
          </cell>
          <cell r="D19">
            <v>757</v>
          </cell>
          <cell r="E19">
            <v>733</v>
          </cell>
          <cell r="F19">
            <v>745</v>
          </cell>
        </row>
        <row r="20">
          <cell r="A20" t="str">
            <v>% margin</v>
          </cell>
          <cell r="D20">
            <v>0.50165672630881375</v>
          </cell>
          <cell r="E20">
            <v>0.4383971291866029</v>
          </cell>
          <cell r="F20">
            <v>0.44691061787642472</v>
          </cell>
        </row>
        <row r="21">
          <cell r="A21" t="str">
            <v>Access lines</v>
          </cell>
          <cell r="B21">
            <v>1626</v>
          </cell>
          <cell r="C21">
            <v>1634</v>
          </cell>
          <cell r="D21">
            <v>7668</v>
          </cell>
          <cell r="E21">
            <v>7438</v>
          </cell>
          <cell r="F21">
            <v>7350</v>
          </cell>
        </row>
        <row r="22">
          <cell r="A22" t="str">
            <v>% y/y growth</v>
          </cell>
          <cell r="B22">
            <v>-6.2824207492795381E-2</v>
          </cell>
          <cell r="C22">
            <v>-4.2656916514320908E-3</v>
          </cell>
          <cell r="D22">
            <v>-3.0226381687112669E-2</v>
          </cell>
          <cell r="E22">
            <v>1.5375153751537862E-3</v>
          </cell>
          <cell r="F22">
            <v>0</v>
          </cell>
        </row>
        <row r="23">
          <cell r="A23" t="str">
            <v>Incremental Access Lines</v>
          </cell>
          <cell r="B23">
            <v>206</v>
          </cell>
          <cell r="C23">
            <v>259</v>
          </cell>
          <cell r="D23">
            <v>-50</v>
          </cell>
          <cell r="E23">
            <v>-92</v>
          </cell>
          <cell r="F23">
            <v>-88</v>
          </cell>
        </row>
        <row r="24">
          <cell r="A24" t="str">
            <v>DSL Net Adds</v>
          </cell>
          <cell r="B24">
            <v>0.12669126691266913</v>
          </cell>
          <cell r="C24">
            <v>0.15850673194614442</v>
          </cell>
          <cell r="D24">
            <v>60</v>
          </cell>
          <cell r="E24">
            <v>48</v>
          </cell>
          <cell r="F24">
            <v>55</v>
          </cell>
        </row>
        <row r="25">
          <cell r="A25" t="str">
            <v>Local Capex</v>
          </cell>
          <cell r="B25">
            <v>255</v>
          </cell>
          <cell r="C25">
            <v>145</v>
          </cell>
          <cell r="D25">
            <v>329</v>
          </cell>
          <cell r="E25">
            <v>205</v>
          </cell>
          <cell r="F25">
            <v>303</v>
          </cell>
        </row>
        <row r="27">
          <cell r="A27" t="str">
            <v>GMG Revenues</v>
          </cell>
          <cell r="D27">
            <v>1734</v>
          </cell>
          <cell r="E27">
            <v>1735</v>
          </cell>
          <cell r="F27">
            <v>1662</v>
          </cell>
        </row>
        <row r="28">
          <cell r="A28" t="str">
            <v>% y/y growth</v>
          </cell>
          <cell r="D28">
            <v>-0.12291350531107736</v>
          </cell>
        </row>
        <row r="29">
          <cell r="A29" t="str">
            <v>GMG EBITDA</v>
          </cell>
          <cell r="D29">
            <v>235</v>
          </cell>
          <cell r="E29">
            <v>271</v>
          </cell>
          <cell r="F29">
            <v>222</v>
          </cell>
          <cell r="J29" t="str">
            <v>WACC:</v>
          </cell>
          <cell r="K29">
            <v>9.5000000000000001E-2</v>
          </cell>
        </row>
        <row r="30">
          <cell r="A30" t="str">
            <v>% margin</v>
          </cell>
          <cell r="D30">
            <v>0.13552479815455595</v>
          </cell>
          <cell r="E30">
            <v>0.15619596541786743</v>
          </cell>
          <cell r="F30">
            <v>0.13357400722021662</v>
          </cell>
          <cell r="K30" t="str">
            <v>WACC:</v>
          </cell>
          <cell r="L30">
            <v>9.5000000000000001E-2</v>
          </cell>
        </row>
        <row r="31">
          <cell r="A31" t="str">
            <v>GMG Capex</v>
          </cell>
          <cell r="D31">
            <v>91</v>
          </cell>
          <cell r="E31">
            <v>83</v>
          </cell>
          <cell r="F31">
            <v>166</v>
          </cell>
          <cell r="K31" t="str">
            <v>2006E</v>
          </cell>
          <cell r="L31" t="str">
            <v>2007E</v>
          </cell>
          <cell r="M31" t="str">
            <v>2008E</v>
          </cell>
          <cell r="N31" t="str">
            <v>2009E</v>
          </cell>
          <cell r="O31" t="str">
            <v>2010E</v>
          </cell>
          <cell r="P31" t="str">
            <v>2011E</v>
          </cell>
          <cell r="Q31" t="str">
            <v>2012E</v>
          </cell>
          <cell r="R31">
            <v>2013</v>
          </cell>
          <cell r="S31">
            <v>2014</v>
          </cell>
        </row>
        <row r="32">
          <cell r="I32" t="str">
            <v>Revenues Modeled</v>
          </cell>
          <cell r="K32">
            <v>35115</v>
          </cell>
          <cell r="L32" t="str">
            <v>2006E</v>
          </cell>
          <cell r="M32" t="str">
            <v>2007E</v>
          </cell>
          <cell r="N32" t="str">
            <v>2008E</v>
          </cell>
          <cell r="O32" t="str">
            <v>2009E</v>
          </cell>
          <cell r="P32" t="str">
            <v>2010E</v>
          </cell>
          <cell r="Q32" t="str">
            <v>2011E</v>
          </cell>
          <cell r="R32" t="str">
            <v>2012E</v>
          </cell>
          <cell r="S32">
            <v>2013</v>
          </cell>
          <cell r="T32">
            <v>2014</v>
          </cell>
        </row>
        <row r="33">
          <cell r="I33" t="str">
            <v>Revenues 1+1=2</v>
          </cell>
          <cell r="J33" t="str">
            <v>Revenues Modeled</v>
          </cell>
          <cell r="K33">
            <v>0</v>
          </cell>
          <cell r="L33">
            <v>35286.978337105764</v>
          </cell>
          <cell r="M33">
            <v>37130.474698190206</v>
          </cell>
          <cell r="N33">
            <v>38230.086212681294</v>
          </cell>
          <cell r="O33">
            <v>38625.420398721806</v>
          </cell>
          <cell r="P33">
            <v>38673.348038114753</v>
          </cell>
          <cell r="Q33">
            <v>38634.628264488645</v>
          </cell>
          <cell r="R33">
            <v>39600.493971100856</v>
          </cell>
          <cell r="S33">
            <v>40432.104344493971</v>
          </cell>
          <cell r="T33">
            <v>41119.450118350367</v>
          </cell>
        </row>
        <row r="34">
          <cell r="I34" t="str">
            <v>Synergies</v>
          </cell>
          <cell r="J34" t="str">
            <v>Revenues 1+1=2</v>
          </cell>
          <cell r="K34">
            <v>35115</v>
          </cell>
          <cell r="L34">
            <v>0</v>
          </cell>
          <cell r="M34">
            <v>0</v>
          </cell>
          <cell r="N34">
            <v>0</v>
          </cell>
          <cell r="O34">
            <v>0</v>
          </cell>
          <cell r="P34">
            <v>0</v>
          </cell>
          <cell r="Q34">
            <v>0</v>
          </cell>
          <cell r="R34">
            <v>0</v>
          </cell>
          <cell r="S34">
            <v>0</v>
          </cell>
          <cell r="T34">
            <v>0</v>
          </cell>
        </row>
        <row r="35">
          <cell r="J35" t="str">
            <v>Synergies</v>
          </cell>
          <cell r="L35">
            <v>35286.978337105764</v>
          </cell>
          <cell r="M35">
            <v>37130.474698190206</v>
          </cell>
          <cell r="N35">
            <v>38230.086212681294</v>
          </cell>
          <cell r="O35">
            <v>38625.420398721806</v>
          </cell>
          <cell r="P35">
            <v>38673.348038114753</v>
          </cell>
          <cell r="Q35">
            <v>38634.628264488645</v>
          </cell>
          <cell r="R35">
            <v>39600.493971100856</v>
          </cell>
          <cell r="S35">
            <v>40432.104344493971</v>
          </cell>
          <cell r="T35">
            <v>41119.450118350367</v>
          </cell>
        </row>
        <row r="36">
          <cell r="I36" t="str">
            <v>EBITDA Modeled</v>
          </cell>
          <cell r="K36">
            <v>11693</v>
          </cell>
          <cell r="L36">
            <v>10312.231116311497</v>
          </cell>
          <cell r="M36">
            <v>10794.680530103164</v>
          </cell>
          <cell r="N36">
            <v>11386.933499070707</v>
          </cell>
          <cell r="O36">
            <v>12119.787984532224</v>
          </cell>
          <cell r="P36">
            <v>12800.128471662123</v>
          </cell>
          <cell r="Q36">
            <v>13120.131683453676</v>
          </cell>
          <cell r="R36">
            <v>13382.534317122749</v>
          </cell>
          <cell r="S36">
            <v>13583.272331879589</v>
          </cell>
        </row>
        <row r="37">
          <cell r="I37" t="str">
            <v>EBITDA 1+1=2</v>
          </cell>
          <cell r="J37" t="str">
            <v>EBITDA Modeled</v>
          </cell>
          <cell r="K37">
            <v>0</v>
          </cell>
          <cell r="L37">
            <v>11865.154749327383</v>
          </cell>
          <cell r="M37">
            <v>13825.295897634678</v>
          </cell>
          <cell r="N37">
            <v>15165.745249695676</v>
          </cell>
          <cell r="O37">
            <v>15709.611436053288</v>
          </cell>
          <cell r="P37">
            <v>16094.371000730709</v>
          </cell>
          <cell r="Q37">
            <v>16393.387371631892</v>
          </cell>
          <cell r="R37">
            <v>16803.222055922688</v>
          </cell>
          <cell r="S37">
            <v>17139.286497041143</v>
          </cell>
          <cell r="T37">
            <v>17396.375794496758</v>
          </cell>
        </row>
        <row r="38">
          <cell r="I38" t="str">
            <v>Synergies (captures rev. synergies)</v>
          </cell>
          <cell r="J38" t="str">
            <v>EBITDA 1+1=2</v>
          </cell>
          <cell r="K38">
            <v>11693</v>
          </cell>
          <cell r="L38">
            <v>0</v>
          </cell>
          <cell r="M38">
            <v>0</v>
          </cell>
          <cell r="N38">
            <v>0</v>
          </cell>
          <cell r="O38">
            <v>0</v>
          </cell>
          <cell r="P38">
            <v>0</v>
          </cell>
          <cell r="Q38">
            <v>0</v>
          </cell>
          <cell r="R38">
            <v>0</v>
          </cell>
          <cell r="S38">
            <v>0</v>
          </cell>
          <cell r="T38">
            <v>0</v>
          </cell>
        </row>
        <row r="39">
          <cell r="J39" t="str">
            <v>Synergies (captures rev. synergies)</v>
          </cell>
          <cell r="L39">
            <v>11865.154749327383</v>
          </cell>
          <cell r="M39">
            <v>13825.295897634678</v>
          </cell>
          <cell r="N39">
            <v>15165.745249695676</v>
          </cell>
          <cell r="O39">
            <v>15709.611436053288</v>
          </cell>
          <cell r="P39">
            <v>16094.371000730709</v>
          </cell>
          <cell r="Q39">
            <v>16393.387371631892</v>
          </cell>
          <cell r="R39">
            <v>16803.222055922688</v>
          </cell>
          <cell r="S39">
            <v>17139.286497041143</v>
          </cell>
          <cell r="T39">
            <v>17396.375794496758</v>
          </cell>
        </row>
        <row r="40">
          <cell r="I40" t="str">
            <v>Capex Modeled</v>
          </cell>
          <cell r="K40">
            <v>5846</v>
          </cell>
          <cell r="L40">
            <v>6148.7943408695301</v>
          </cell>
          <cell r="M40">
            <v>5171.7871029127436</v>
          </cell>
          <cell r="N40">
            <v>5081.4693732455453</v>
          </cell>
          <cell r="O40">
            <v>5021.1515472371575</v>
          </cell>
          <cell r="P40">
            <v>5019.8069997654939</v>
          </cell>
          <cell r="Q40">
            <v>4944.5098947690112</v>
          </cell>
          <cell r="R40">
            <v>4895.0647958213212</v>
          </cell>
          <cell r="S40">
            <v>4846.114147863108</v>
          </cell>
        </row>
        <row r="41">
          <cell r="I41" t="str">
            <v>Capex 1+1=2</v>
          </cell>
          <cell r="J41" t="str">
            <v>Capex Modeled</v>
          </cell>
          <cell r="K41">
            <v>0</v>
          </cell>
          <cell r="L41">
            <v>5433.159730240478</v>
          </cell>
          <cell r="M41">
            <v>5854.491301244313</v>
          </cell>
          <cell r="N41">
            <v>5637.5427037198233</v>
          </cell>
          <cell r="O41">
            <v>5320.8252030885051</v>
          </cell>
          <cell r="P41">
            <v>4966.9555783770547</v>
          </cell>
          <cell r="Q41">
            <v>4924.1838886113328</v>
          </cell>
          <cell r="R41">
            <v>4850.3211302821628</v>
          </cell>
          <cell r="S41">
            <v>4801.8179189793409</v>
          </cell>
          <cell r="T41">
            <v>4753.7997397895479</v>
          </cell>
        </row>
        <row r="42">
          <cell r="I42" t="str">
            <v>Synergies</v>
          </cell>
          <cell r="J42" t="str">
            <v>Capex 1+1=2</v>
          </cell>
          <cell r="K42">
            <v>-5846</v>
          </cell>
          <cell r="L42">
            <v>0</v>
          </cell>
          <cell r="M42">
            <v>0</v>
          </cell>
          <cell r="N42">
            <v>0</v>
          </cell>
          <cell r="O42">
            <v>0</v>
          </cell>
          <cell r="P42">
            <v>0</v>
          </cell>
          <cell r="Q42">
            <v>0</v>
          </cell>
          <cell r="R42">
            <v>0</v>
          </cell>
          <cell r="S42">
            <v>0</v>
          </cell>
          <cell r="T42">
            <v>0</v>
          </cell>
        </row>
        <row r="43">
          <cell r="J43" t="str">
            <v>Synergies</v>
          </cell>
          <cell r="L43">
            <v>-5433.159730240478</v>
          </cell>
          <cell r="M43">
            <v>-5854.491301244313</v>
          </cell>
          <cell r="N43">
            <v>-5637.5427037198233</v>
          </cell>
          <cell r="O43">
            <v>-5320.8252030885051</v>
          </cell>
          <cell r="P43">
            <v>-4966.9555783770547</v>
          </cell>
          <cell r="Q43">
            <v>-4924.1838886113328</v>
          </cell>
          <cell r="R43">
            <v>-4850.3211302821628</v>
          </cell>
          <cell r="S43">
            <v>-4801.8179189793409</v>
          </cell>
          <cell r="T43">
            <v>-4753.7997397895479</v>
          </cell>
        </row>
        <row r="44">
          <cell r="I44" t="str">
            <v>Total Synergies</v>
          </cell>
          <cell r="K44">
            <v>5847</v>
          </cell>
          <cell r="L44">
            <v>4163.4367754419673</v>
          </cell>
          <cell r="M44">
            <v>5622.89342719042</v>
          </cell>
          <cell r="N44">
            <v>6305.4641258251613</v>
          </cell>
          <cell r="O44">
            <v>7098.6364372950666</v>
          </cell>
          <cell r="P44">
            <v>7780.3214718966292</v>
          </cell>
          <cell r="Q44">
            <v>8175.6217886846644</v>
          </cell>
          <cell r="R44">
            <v>8487.4695213014274</v>
          </cell>
          <cell r="S44">
            <v>8737.1581840164799</v>
          </cell>
        </row>
        <row r="45">
          <cell r="I45" t="str">
            <v>Present Value</v>
          </cell>
          <cell r="J45" t="str">
            <v>Total Synergies</v>
          </cell>
          <cell r="K45">
            <v>5339.7260273972606</v>
          </cell>
          <cell r="L45">
            <v>6431.9950190869049</v>
          </cell>
          <cell r="M45">
            <v>7970.8045963903651</v>
          </cell>
          <cell r="N45">
            <v>9528.2025459758515</v>
          </cell>
          <cell r="O45">
            <v>10388.786232964783</v>
          </cell>
          <cell r="P45">
            <v>11127.415422353653</v>
          </cell>
          <cell r="Q45">
            <v>11469.203483020559</v>
          </cell>
          <cell r="R45">
            <v>11952.900925640526</v>
          </cell>
          <cell r="S45">
            <v>12337.468578061802</v>
          </cell>
          <cell r="T45">
            <v>12642.57605470721</v>
          </cell>
        </row>
        <row r="46">
          <cell r="I46" t="str">
            <v>Total Present Value at Dec. 05</v>
          </cell>
          <cell r="J46" t="str">
            <v>Present Value</v>
          </cell>
          <cell r="K46">
            <v>38801.709994151584</v>
          </cell>
          <cell r="L46">
            <v>5873.9680539606443</v>
          </cell>
          <cell r="M46">
            <v>6647.7384511501969</v>
          </cell>
          <cell r="N46">
            <v>7257.1921657243402</v>
          </cell>
          <cell r="O46">
            <v>7226.1726441470264</v>
          </cell>
          <cell r="P46">
            <v>7068.4421193630888</v>
          </cell>
          <cell r="Q46">
            <v>6653.4752065404036</v>
          </cell>
          <cell r="R46">
            <v>6332.4896047538887</v>
          </cell>
          <cell r="S46">
            <v>5969.1584346303625</v>
          </cell>
          <cell r="T46">
            <v>5586.0973805323965</v>
          </cell>
        </row>
        <row r="47">
          <cell r="J47" t="str">
            <v>Total Present Value at Dec. 05</v>
          </cell>
          <cell r="L47">
            <v>58614.734060802344</v>
          </cell>
        </row>
        <row r="48">
          <cell r="J48" t="str">
            <v>Check:</v>
          </cell>
          <cell r="K48">
            <v>38801.709994151592</v>
          </cell>
        </row>
        <row r="49">
          <cell r="K49" t="str">
            <v>Check:</v>
          </cell>
          <cell r="L49">
            <v>58614.734060802344</v>
          </cell>
          <cell r="W49" t="str">
            <v>Sprint</v>
          </cell>
          <cell r="Y49" t="str">
            <v>Nextel</v>
          </cell>
        </row>
        <row r="50">
          <cell r="N50">
            <v>2.5096276858558086E-2</v>
          </cell>
          <cell r="O50">
            <v>2.8593356914362156E-2</v>
          </cell>
          <cell r="P50">
            <v>2.3299548862066866E-2</v>
          </cell>
          <cell r="Q50">
            <v>2.5000000000000001E-2</v>
          </cell>
          <cell r="R50">
            <v>2.1000000000000001E-2</v>
          </cell>
          <cell r="S50">
            <v>1.7000000000000001E-2</v>
          </cell>
          <cell r="V50" t="str">
            <v>Chairman</v>
          </cell>
          <cell r="X50" t="str">
            <v>Sprint</v>
          </cell>
          <cell r="Y50" t="str">
            <v>Tim Donahue</v>
          </cell>
          <cell r="Z50" t="str">
            <v>Nextel</v>
          </cell>
        </row>
        <row r="51">
          <cell r="O51">
            <v>1.034091798384118E-2</v>
          </cell>
          <cell r="P51">
            <v>1.2408315274812232E-3</v>
          </cell>
          <cell r="Q51">
            <v>-1.0012004543270558E-3</v>
          </cell>
          <cell r="R51">
            <v>2.5000000000000001E-2</v>
          </cell>
          <cell r="S51">
            <v>2.1000000000000001E-2</v>
          </cell>
          <cell r="T51">
            <v>1.7000000000000001E-2</v>
          </cell>
          <cell r="V51" t="str">
            <v>President &amp; C.E.O.</v>
          </cell>
          <cell r="W51" t="str">
            <v>Chairman</v>
          </cell>
          <cell r="Z51" t="str">
            <v>Tim Donahue</v>
          </cell>
        </row>
        <row r="52">
          <cell r="R52">
            <v>2.4E-2</v>
          </cell>
          <cell r="S52">
            <v>1.9E-2</v>
          </cell>
          <cell r="T52">
            <v>1.4E-2</v>
          </cell>
          <cell r="V52" t="str">
            <v>COO</v>
          </cell>
          <cell r="W52" t="str">
            <v>President &amp; C.E.O.</v>
          </cell>
          <cell r="X52" t="str">
            <v>Gary Forsee</v>
          </cell>
        </row>
        <row r="53">
          <cell r="V53" t="str">
            <v>CFO</v>
          </cell>
          <cell r="W53" t="str">
            <v>COO</v>
          </cell>
          <cell r="X53" t="str">
            <v>Len Lauer</v>
          </cell>
          <cell r="Y53" t="str">
            <v>Paul Saleh</v>
          </cell>
        </row>
        <row r="54">
          <cell r="N54">
            <v>5.4865261395733222E-2</v>
          </cell>
          <cell r="O54">
            <v>6.4359248740789354E-2</v>
          </cell>
          <cell r="P54">
            <v>5.6134685524051875E-2</v>
          </cell>
          <cell r="Q54">
            <v>2.5000000000000001E-2</v>
          </cell>
          <cell r="R54">
            <v>0.02</v>
          </cell>
          <cell r="S54">
            <v>1.4999999999999999E-2</v>
          </cell>
          <cell r="V54" t="str">
            <v>Chief Strategy Officer</v>
          </cell>
          <cell r="W54" t="str">
            <v>CFO</v>
          </cell>
          <cell r="Y54" t="str">
            <v>Tom Kelly</v>
          </cell>
          <cell r="Z54" t="str">
            <v>Paul Saleh</v>
          </cell>
        </row>
        <row r="55">
          <cell r="O55">
            <v>3.5861487675228343E-2</v>
          </cell>
          <cell r="P55">
            <v>2.4491984810929512E-2</v>
          </cell>
          <cell r="Q55">
            <v>1.8578941102302515E-2</v>
          </cell>
          <cell r="R55">
            <v>2.5000000000000001E-2</v>
          </cell>
          <cell r="S55">
            <v>0.02</v>
          </cell>
          <cell r="T55">
            <v>1.4999999999999999E-2</v>
          </cell>
          <cell r="V55" t="str">
            <v>CTO</v>
          </cell>
          <cell r="W55" t="str">
            <v>Chief Strategy Officer</v>
          </cell>
          <cell r="Y55" t="str">
            <v>Barry West</v>
          </cell>
          <cell r="Z55" t="str">
            <v>Tom Kelly</v>
          </cell>
        </row>
        <row r="56">
          <cell r="R56">
            <v>2.5000000000000001E-2</v>
          </cell>
          <cell r="S56">
            <v>0.02</v>
          </cell>
          <cell r="T56">
            <v>1.4999999999999999E-2</v>
          </cell>
          <cell r="V56" t="str">
            <v>Chief Transition Officers</v>
          </cell>
          <cell r="W56" t="str">
            <v>CTO</v>
          </cell>
          <cell r="Y56" t="str">
            <v>Richard Orchard</v>
          </cell>
          <cell r="Z56" t="str">
            <v>Barry West</v>
          </cell>
        </row>
        <row r="57">
          <cell r="W57" t="str">
            <v>Chief Transition Officers</v>
          </cell>
          <cell r="X57" t="str">
            <v>Steve Nielsen</v>
          </cell>
          <cell r="Z57" t="str">
            <v>Richard Orchard</v>
          </cell>
        </row>
        <row r="58">
          <cell r="N58">
            <v>-1.746354362041147E-2</v>
          </cell>
          <cell r="O58">
            <v>-1.1870154393917476E-2</v>
          </cell>
          <cell r="P58">
            <v>-2.6777671596134311E-4</v>
          </cell>
          <cell r="Q58">
            <v>-1.4999999999999999E-2</v>
          </cell>
          <cell r="R58">
            <v>-0.01</v>
          </cell>
          <cell r="S58">
            <v>-0.01</v>
          </cell>
        </row>
        <row r="59">
          <cell r="O59">
            <v>-5.6180062356306126E-2</v>
          </cell>
          <cell r="P59">
            <v>-6.6506530698667632E-2</v>
          </cell>
          <cell r="Q59">
            <v>-8.6112486996908766E-3</v>
          </cell>
          <cell r="R59">
            <v>-1.4999999999999999E-2</v>
          </cell>
          <cell r="S59">
            <v>-0.01</v>
          </cell>
          <cell r="T59">
            <v>-0.01</v>
          </cell>
        </row>
        <row r="60">
          <cell r="R60">
            <v>-1.4999999999999999E-2</v>
          </cell>
          <cell r="S60">
            <v>-0.01</v>
          </cell>
          <cell r="T60">
            <v>-0.01</v>
          </cell>
        </row>
        <row r="61">
          <cell r="AA61" t="str">
            <v>Integrate the CDMA and iDEN networks</v>
          </cell>
        </row>
        <row r="62">
          <cell r="AA62" t="str">
            <v>Rebrand the new Sprint, renovate stores, etc.</v>
          </cell>
          <cell r="AB62" t="str">
            <v>Integrate the CDMA and iDEN networks</v>
          </cell>
        </row>
        <row r="63">
          <cell r="AA63" t="str">
            <v>Migrate iDEN customers (currently 55% of EBITDA)</v>
          </cell>
          <cell r="AB63" t="str">
            <v>Rebrand the new Sprint, renovate stores, etc.</v>
          </cell>
        </row>
        <row r="64">
          <cell r="AA64" t="str">
            <v>Spin off local operations</v>
          </cell>
          <cell r="AB64" t="str">
            <v>Migrate iDEN customers (currently 55% of EBITDA)</v>
          </cell>
        </row>
        <row r="65">
          <cell r="AA65" t="str">
            <v>Address any affiliate issues that arise</v>
          </cell>
          <cell r="AB65" t="str">
            <v>Spin off local operations</v>
          </cell>
        </row>
        <row r="66">
          <cell r="AA66" t="str">
            <v>Complete Nextel's Spectrum Swap</v>
          </cell>
          <cell r="AB66" t="str">
            <v>Address any affiliate issues that arise</v>
          </cell>
        </row>
        <row r="67">
          <cell r="AA67" t="str">
            <v>Rollout EVDO Rev A, Q Chat</v>
          </cell>
          <cell r="AB67" t="str">
            <v>Complete Nextel's Spectrum Swap</v>
          </cell>
        </row>
        <row r="68">
          <cell r="AA68" t="str">
            <v>Improve network quality even as traffic increases</v>
          </cell>
          <cell r="AB68" t="str">
            <v>Rollout EVDO Rev A, Q Chat</v>
          </cell>
        </row>
        <row r="69">
          <cell r="AA69" t="str">
            <v>Meet Synergy Targets</v>
          </cell>
          <cell r="AB69" t="str">
            <v>Improve network quality even as traffic increases</v>
          </cell>
          <cell r="AE69" t="str">
            <v xml:space="preserve">    Appraiser    </v>
          </cell>
        </row>
        <row r="70">
          <cell r="AB70" t="str">
            <v>Meet Synergy Targets</v>
          </cell>
          <cell r="AD70" t="str">
            <v>A</v>
          </cell>
          <cell r="AE70" t="str">
            <v>B</v>
          </cell>
          <cell r="AF70" t="str">
            <v xml:space="preserve">    Appraiser    </v>
          </cell>
          <cell r="AG70" t="str">
            <v>Outcome</v>
          </cell>
          <cell r="AH70" t="str">
            <v>Reason</v>
          </cell>
        </row>
        <row r="71">
          <cell r="AD71">
            <v>100</v>
          </cell>
          <cell r="AE71" t="str">
            <v>A</v>
          </cell>
          <cell r="AF71" t="str">
            <v>B</v>
          </cell>
          <cell r="AG71" t="str">
            <v>C</v>
          </cell>
          <cell r="AH71" t="str">
            <v>Outcome</v>
          </cell>
          <cell r="AI71" t="str">
            <v>Reason</v>
          </cell>
        </row>
        <row r="72">
          <cell r="AD72">
            <v>100</v>
          </cell>
          <cell r="AE72">
            <v>100</v>
          </cell>
          <cell r="AF72">
            <v>106</v>
          </cell>
          <cell r="AG72" t="str">
            <v>--</v>
          </cell>
          <cell r="AH72">
            <v>103</v>
          </cell>
          <cell r="AI72" t="str">
            <v>Within 10%, use the average</v>
          </cell>
        </row>
        <row r="73">
          <cell r="AD73">
            <v>100</v>
          </cell>
          <cell r="AE73">
            <v>100</v>
          </cell>
          <cell r="AF73">
            <v>120</v>
          </cell>
          <cell r="AG73">
            <v>109</v>
          </cell>
          <cell r="AH73">
            <v>109</v>
          </cell>
          <cell r="AI73" t="str">
            <v>C within middle third, use C</v>
          </cell>
        </row>
        <row r="74">
          <cell r="AD74">
            <v>100</v>
          </cell>
          <cell r="AE74">
            <v>100</v>
          </cell>
          <cell r="AF74">
            <v>120</v>
          </cell>
          <cell r="AG74">
            <v>104</v>
          </cell>
          <cell r="AH74">
            <v>102</v>
          </cell>
          <cell r="AI74" t="str">
            <v>Use avg. of A &amp; C</v>
          </cell>
        </row>
        <row r="75">
          <cell r="AD75">
            <v>100</v>
          </cell>
          <cell r="AE75">
            <v>100</v>
          </cell>
          <cell r="AF75">
            <v>120</v>
          </cell>
          <cell r="AG75">
            <v>116</v>
          </cell>
          <cell r="AH75">
            <v>118</v>
          </cell>
          <cell r="AI75" t="str">
            <v>Use avg. of B &amp; C</v>
          </cell>
        </row>
        <row r="76">
          <cell r="AD76">
            <v>100</v>
          </cell>
          <cell r="AE76">
            <v>100</v>
          </cell>
          <cell r="AF76">
            <v>120</v>
          </cell>
          <cell r="AG76">
            <v>90</v>
          </cell>
          <cell r="AH76">
            <v>100</v>
          </cell>
          <cell r="AI76" t="str">
            <v>Use A - cannot go lower</v>
          </cell>
        </row>
        <row r="77">
          <cell r="AE77">
            <v>100</v>
          </cell>
          <cell r="AF77">
            <v>120</v>
          </cell>
          <cell r="AG77">
            <v>130</v>
          </cell>
          <cell r="AH77">
            <v>120</v>
          </cell>
          <cell r="AI77" t="str">
            <v>Use B - cannot go higher</v>
          </cell>
        </row>
        <row r="80">
          <cell r="AK80" t="str">
            <v>1Q04</v>
          </cell>
          <cell r="AL80" t="str">
            <v>2Q04</v>
          </cell>
          <cell r="AM80" t="str">
            <v>3Q04</v>
          </cell>
          <cell r="AN80" t="str">
            <v>4Q04</v>
          </cell>
          <cell r="AO80" t="str">
            <v>1Q05</v>
          </cell>
          <cell r="AP80" t="str">
            <v>2Q05</v>
          </cell>
          <cell r="AQ80" t="str">
            <v>3Q05</v>
          </cell>
          <cell r="AR80" t="str">
            <v>4Q05</v>
          </cell>
          <cell r="AS80" t="str">
            <v>1Q06</v>
          </cell>
        </row>
        <row r="81">
          <cell r="AJ81" t="str">
            <v>ARPU</v>
          </cell>
          <cell r="AK81">
            <v>65</v>
          </cell>
          <cell r="AL81" t="str">
            <v>1Q04</v>
          </cell>
          <cell r="AM81" t="str">
            <v>2Q04</v>
          </cell>
          <cell r="AN81" t="str">
            <v>3Q04</v>
          </cell>
          <cell r="AO81" t="str">
            <v>4Q04</v>
          </cell>
          <cell r="AP81" t="str">
            <v>1Q05</v>
          </cell>
          <cell r="AQ81" t="str">
            <v>2Q05</v>
          </cell>
          <cell r="AR81" t="str">
            <v>3Q05</v>
          </cell>
          <cell r="AS81" t="str">
            <v>4Q05</v>
          </cell>
          <cell r="AT81" t="str">
            <v>1Q06</v>
          </cell>
        </row>
        <row r="82">
          <cell r="AJ82" t="str">
            <v>DATA ARPU</v>
          </cell>
          <cell r="AK82" t="str">
            <v>ARPU</v>
          </cell>
          <cell r="AL82">
            <v>65</v>
          </cell>
          <cell r="AM82">
            <v>66</v>
          </cell>
          <cell r="AN82">
            <v>67</v>
          </cell>
          <cell r="AO82">
            <v>64.502229570619775</v>
          </cell>
          <cell r="AP82">
            <v>63.671709589252032</v>
          </cell>
          <cell r="AQ82">
            <v>64.359999814203235</v>
          </cell>
          <cell r="AR82">
            <v>62.906773093961505</v>
          </cell>
          <cell r="AS82">
            <v>61.611801842427361</v>
          </cell>
          <cell r="AT82">
            <v>60.950938849609031</v>
          </cell>
        </row>
        <row r="83">
          <cell r="AJ83" t="str">
            <v>DATA % of Arpu</v>
          </cell>
          <cell r="AK83" t="str">
            <v>DATA ARPU</v>
          </cell>
          <cell r="AN83">
            <v>6.2013360260991142E-2</v>
          </cell>
          <cell r="AO83">
            <v>4</v>
          </cell>
          <cell r="AP83">
            <v>4.5</v>
          </cell>
          <cell r="AQ83">
            <v>5</v>
          </cell>
          <cell r="AR83">
            <v>5.25</v>
          </cell>
          <cell r="AS83">
            <v>6</v>
          </cell>
          <cell r="AT83">
            <v>7</v>
          </cell>
        </row>
        <row r="84">
          <cell r="AJ84" t="str">
            <v>Sequential Growth</v>
          </cell>
          <cell r="AK84" t="str">
            <v>DATA % of Arpu</v>
          </cell>
          <cell r="AL84">
            <v>1.538461538461533E-2</v>
          </cell>
          <cell r="AM84">
            <v>1.5151515151515138E-2</v>
          </cell>
          <cell r="AN84">
            <v>-3.7280155662391401E-2</v>
          </cell>
          <cell r="AO84">
            <v>6.2013360260991142E-2</v>
          </cell>
          <cell r="AP84">
            <v>7.0675030229746069E-2</v>
          </cell>
          <cell r="AQ84">
            <v>7.7688005196304852E-2</v>
          </cell>
          <cell r="AR84">
            <v>8.3456832099117056E-2</v>
          </cell>
          <cell r="AS84">
            <v>9.7383939774153078E-2</v>
          </cell>
          <cell r="AT84">
            <v>0.11484646720983038</v>
          </cell>
        </row>
        <row r="85">
          <cell r="AK85" t="str">
            <v>Sequential Growth</v>
          </cell>
          <cell r="AM85">
            <v>1.538461538461533E-2</v>
          </cell>
          <cell r="AN85">
            <v>1.5151515151515138E-2</v>
          </cell>
          <cell r="AO85">
            <v>-3.7280155662391401E-2</v>
          </cell>
          <cell r="AP85">
            <v>-1.2875833702127415E-2</v>
          </cell>
          <cell r="AQ85">
            <v>1.0809984990058918E-2</v>
          </cell>
          <cell r="AR85">
            <v>-2.2579656998709674E-2</v>
          </cell>
          <cell r="AS85">
            <v>-2.0585561583327361E-2</v>
          </cell>
          <cell r="AT85">
            <v>-1.0726240315264479E-2</v>
          </cell>
        </row>
        <row r="86">
          <cell r="AJ86" t="str">
            <v>Churn</v>
          </cell>
          <cell r="AK86">
            <v>2.4E-2</v>
          </cell>
          <cell r="AL86">
            <v>0.02</v>
          </cell>
          <cell r="AM86">
            <v>2.1999999999999999E-2</v>
          </cell>
          <cell r="AN86">
            <v>2.1999999999999999E-2</v>
          </cell>
          <cell r="AO86">
            <v>2.1000000000000001E-2</v>
          </cell>
          <cell r="AP86">
            <v>1.9E-2</v>
          </cell>
          <cell r="AQ86">
            <v>2.1000000000000001E-2</v>
          </cell>
          <cell r="AR86">
            <v>2.1000000000000001E-2</v>
          </cell>
          <cell r="AS86">
            <v>2.0209999999999999</v>
          </cell>
        </row>
        <row r="87">
          <cell r="AK87" t="str">
            <v>Churn</v>
          </cell>
          <cell r="AL87">
            <v>2.4E-2</v>
          </cell>
          <cell r="AM87">
            <v>0.02</v>
          </cell>
          <cell r="AN87">
            <v>2.1999999999999999E-2</v>
          </cell>
          <cell r="AO87">
            <v>2.1999999999999999E-2</v>
          </cell>
          <cell r="AP87">
            <v>2.1000000000000001E-2</v>
          </cell>
          <cell r="AQ87">
            <v>1.9E-2</v>
          </cell>
          <cell r="AR87">
            <v>2.1000000000000001E-2</v>
          </cell>
          <cell r="AS87">
            <v>2.1000000000000001E-2</v>
          </cell>
          <cell r="AT87">
            <v>2.0209999999999999</v>
          </cell>
        </row>
        <row r="90">
          <cell r="AJ90" t="str">
            <v>EBITDA Margin</v>
          </cell>
          <cell r="AK90">
            <v>0.34818228366615461</v>
          </cell>
          <cell r="AL90">
            <v>0.36228608330642559</v>
          </cell>
          <cell r="AM90">
            <v>0.35714285714285715</v>
          </cell>
          <cell r="AN90">
            <v>0.34805547181187818</v>
          </cell>
          <cell r="AO90">
            <v>0.34205525507966672</v>
          </cell>
          <cell r="AP90">
            <v>0.3700545225779393</v>
          </cell>
          <cell r="AQ90">
            <v>0.36570561456752654</v>
          </cell>
          <cell r="AR90">
            <v>0.34312398484028156</v>
          </cell>
          <cell r="AS90">
            <v>0.35016265452179568</v>
          </cell>
        </row>
        <row r="91">
          <cell r="AJ91" t="str">
            <v>VZW Margin</v>
          </cell>
          <cell r="AK91" t="str">
            <v>EBITDA Margin</v>
          </cell>
          <cell r="AL91">
            <v>0.34818228366615461</v>
          </cell>
          <cell r="AM91">
            <v>0.36228608330642559</v>
          </cell>
          <cell r="AN91">
            <v>0.35714285714285715</v>
          </cell>
          <cell r="AO91">
            <v>0.34805547181187818</v>
          </cell>
          <cell r="AP91">
            <v>0.34205525507966672</v>
          </cell>
          <cell r="AQ91">
            <v>0.3700545225779393</v>
          </cell>
          <cell r="AR91">
            <v>0.36570561456752654</v>
          </cell>
          <cell r="AS91">
            <v>0.34312398484028156</v>
          </cell>
          <cell r="AT91">
            <v>0.35016265452179568</v>
          </cell>
        </row>
        <row r="92">
          <cell r="AJ92" t="str">
            <v>Cingular</v>
          </cell>
          <cell r="AK92" t="str">
            <v>VZW Margin</v>
          </cell>
          <cell r="AL92">
            <v>0.41028903835666242</v>
          </cell>
          <cell r="AM92">
            <v>0.44977660102598049</v>
          </cell>
          <cell r="AN92">
            <v>0.43715761465017999</v>
          </cell>
          <cell r="AO92">
            <v>0.39523735889902584</v>
          </cell>
          <cell r="AP92">
            <v>0.41024858929388441</v>
          </cell>
          <cell r="AQ92">
            <v>0.43017166133255746</v>
          </cell>
          <cell r="AR92">
            <v>0.41513067400275105</v>
          </cell>
          <cell r="AS92">
            <v>0.46769851951547781</v>
          </cell>
        </row>
        <row r="93">
          <cell r="AK93" t="str">
            <v>Cingular</v>
          </cell>
          <cell r="AL93">
            <v>0.27985337656844778</v>
          </cell>
          <cell r="AM93">
            <v>0.30394524959742353</v>
          </cell>
          <cell r="AN93">
            <v>0.28036751790298609</v>
          </cell>
          <cell r="AO93">
            <v>0.34241245136186771</v>
          </cell>
          <cell r="AP93">
            <v>0.25529047041380237</v>
          </cell>
          <cell r="AQ93">
            <v>0.28863842466640754</v>
          </cell>
          <cell r="AR93">
            <v>0.31640979147778786</v>
          </cell>
          <cell r="AS93">
            <v>0.30967990744311608</v>
          </cell>
          <cell r="AT93">
            <v>0.31867582760774515</v>
          </cell>
        </row>
        <row r="149">
          <cell r="BA149" t="str">
            <v>1Q04</v>
          </cell>
          <cell r="BB149" t="str">
            <v>2Q04</v>
          </cell>
          <cell r="BC149" t="str">
            <v>3Q04</v>
          </cell>
          <cell r="BD149" t="str">
            <v>4Q04</v>
          </cell>
          <cell r="BE149" t="str">
            <v>1Q05</v>
          </cell>
          <cell r="BF149" t="str">
            <v>2Q05</v>
          </cell>
          <cell r="BG149" t="str">
            <v>3Q05</v>
          </cell>
          <cell r="BH149" t="str">
            <v>4Q05</v>
          </cell>
          <cell r="BI149" t="str">
            <v>1Q06</v>
          </cell>
          <cell r="BJ149" t="str">
            <v>2Q06</v>
          </cell>
          <cell r="BK149" t="str">
            <v>3Q06</v>
          </cell>
          <cell r="BL149" t="str">
            <v>4Q06</v>
          </cell>
        </row>
        <row r="150">
          <cell r="AZ150" t="str">
            <v>Affiliate Adds</v>
          </cell>
          <cell r="BA150">
            <v>138</v>
          </cell>
          <cell r="BB150" t="str">
            <v>1Q04</v>
          </cell>
          <cell r="BC150" t="str">
            <v>2Q04</v>
          </cell>
          <cell r="BD150" t="str">
            <v>3Q04</v>
          </cell>
          <cell r="BE150" t="str">
            <v>4Q04</v>
          </cell>
          <cell r="BF150" t="str">
            <v>1Q05</v>
          </cell>
          <cell r="BG150" t="str">
            <v>2Q05</v>
          </cell>
          <cell r="BH150" t="str">
            <v>3Q05</v>
          </cell>
          <cell r="BI150" t="str">
            <v>4Q05</v>
          </cell>
          <cell r="BJ150" t="str">
            <v>1Q06</v>
          </cell>
          <cell r="BK150">
            <v>28</v>
          </cell>
          <cell r="BL150">
            <v>46</v>
          </cell>
        </row>
        <row r="151">
          <cell r="AZ151" t="str">
            <v>Wholesale Net Adds</v>
          </cell>
          <cell r="BA151" t="str">
            <v>Affiliate Adds</v>
          </cell>
          <cell r="BB151">
            <v>138</v>
          </cell>
          <cell r="BC151">
            <v>93</v>
          </cell>
          <cell r="BD151">
            <v>101</v>
          </cell>
          <cell r="BE151">
            <v>133</v>
          </cell>
          <cell r="BF151">
            <v>166</v>
          </cell>
          <cell r="BG151">
            <v>101</v>
          </cell>
          <cell r="BH151">
            <v>90</v>
          </cell>
          <cell r="BI151">
            <v>93</v>
          </cell>
          <cell r="BJ151">
            <v>45</v>
          </cell>
          <cell r="BK151">
            <v>177</v>
          </cell>
          <cell r="BL151">
            <v>830</v>
          </cell>
        </row>
        <row r="152">
          <cell r="AZ152" t="str">
            <v>Total Affiliate/ Wholesale</v>
          </cell>
          <cell r="BA152" t="str">
            <v>Wholesale Net Adds</v>
          </cell>
          <cell r="BB152">
            <v>420</v>
          </cell>
          <cell r="BC152">
            <v>299</v>
          </cell>
          <cell r="BD152">
            <v>422</v>
          </cell>
          <cell r="BE152">
            <v>923</v>
          </cell>
          <cell r="BF152">
            <v>621</v>
          </cell>
          <cell r="BG152">
            <v>87</v>
          </cell>
          <cell r="BH152">
            <v>213</v>
          </cell>
          <cell r="BI152">
            <v>558</v>
          </cell>
          <cell r="BJ152">
            <v>228</v>
          </cell>
          <cell r="BK152">
            <v>205</v>
          </cell>
          <cell r="BL152">
            <v>876</v>
          </cell>
        </row>
        <row r="153">
          <cell r="BA153" t="str">
            <v>Total Affiliate/ Wholesale</v>
          </cell>
          <cell r="BB153">
            <v>558</v>
          </cell>
          <cell r="BC153">
            <v>392</v>
          </cell>
          <cell r="BD153">
            <v>523</v>
          </cell>
          <cell r="BE153">
            <v>1056</v>
          </cell>
          <cell r="BF153">
            <v>787</v>
          </cell>
          <cell r="BG153">
            <v>188</v>
          </cell>
          <cell r="BH153">
            <v>303</v>
          </cell>
          <cell r="BI153">
            <v>651</v>
          </cell>
          <cell r="BJ153">
            <v>273</v>
          </cell>
        </row>
        <row r="154">
          <cell r="AZ154" t="str">
            <v>Post Adds</v>
          </cell>
          <cell r="BA154">
            <v>889</v>
          </cell>
          <cell r="BB154">
            <v>1050</v>
          </cell>
          <cell r="BC154">
            <v>979</v>
          </cell>
          <cell r="BD154">
            <v>1121</v>
          </cell>
          <cell r="BE154">
            <v>1014</v>
          </cell>
          <cell r="BF154">
            <v>950</v>
          </cell>
          <cell r="BG154">
            <v>669</v>
          </cell>
          <cell r="BH154">
            <v>746</v>
          </cell>
          <cell r="BI154">
            <v>563</v>
          </cell>
          <cell r="BJ154">
            <v>210</v>
          </cell>
          <cell r="BK154">
            <v>-188</v>
          </cell>
          <cell r="BL154">
            <v>-306</v>
          </cell>
        </row>
        <row r="155">
          <cell r="AZ155" t="str">
            <v>Pre Adds (Boost)</v>
          </cell>
          <cell r="BA155" t="str">
            <v>Post Adds</v>
          </cell>
          <cell r="BB155">
            <v>889</v>
          </cell>
          <cell r="BC155">
            <v>1050</v>
          </cell>
          <cell r="BD155">
            <v>979</v>
          </cell>
          <cell r="BE155">
            <v>1121</v>
          </cell>
          <cell r="BF155">
            <v>1014</v>
          </cell>
          <cell r="BG155">
            <v>950</v>
          </cell>
          <cell r="BH155">
            <v>669</v>
          </cell>
          <cell r="BI155">
            <v>746</v>
          </cell>
          <cell r="BJ155">
            <v>563</v>
          </cell>
          <cell r="BK155">
            <v>216</v>
          </cell>
          <cell r="BL155">
            <v>171</v>
          </cell>
        </row>
        <row r="156">
          <cell r="AZ156" t="str">
            <v>Direct Net Adds</v>
          </cell>
          <cell r="BA156" t="str">
            <v>Pre Adds (Boost)</v>
          </cell>
          <cell r="BB156">
            <v>132</v>
          </cell>
          <cell r="BC156">
            <v>68</v>
          </cell>
          <cell r="BD156">
            <v>195</v>
          </cell>
          <cell r="BE156">
            <v>360</v>
          </cell>
          <cell r="BF156">
            <v>314</v>
          </cell>
          <cell r="BG156">
            <v>213</v>
          </cell>
          <cell r="BH156">
            <v>300</v>
          </cell>
          <cell r="BI156">
            <v>624</v>
          </cell>
          <cell r="BJ156">
            <v>502</v>
          </cell>
          <cell r="BK156">
            <v>28</v>
          </cell>
          <cell r="BL156">
            <v>-135</v>
          </cell>
        </row>
        <row r="157">
          <cell r="BA157" t="str">
            <v>Direct Net Adds</v>
          </cell>
          <cell r="BB157">
            <v>1021</v>
          </cell>
          <cell r="BC157">
            <v>1118</v>
          </cell>
          <cell r="BD157">
            <v>1174</v>
          </cell>
          <cell r="BE157">
            <v>1481</v>
          </cell>
          <cell r="BF157">
            <v>1328</v>
          </cell>
          <cell r="BG157">
            <v>1163</v>
          </cell>
          <cell r="BH157">
            <v>969</v>
          </cell>
          <cell r="BI157">
            <v>1370</v>
          </cell>
          <cell r="BJ157">
            <v>1065</v>
          </cell>
        </row>
        <row r="186">
          <cell r="BI186">
            <v>-1.9261807530351005E-2</v>
          </cell>
          <cell r="BJ186">
            <v>-2.385176587384652E-2</v>
          </cell>
          <cell r="BK186">
            <v>-2.1738804472211548E-2</v>
          </cell>
          <cell r="BL186">
            <v>-2.1686756963644527E-2</v>
          </cell>
          <cell r="BM186">
            <v>-2.1999999999999999E-2</v>
          </cell>
          <cell r="BN186">
            <v>-2.4E-2</v>
          </cell>
          <cell r="BO186">
            <v>-2.7E-2</v>
          </cell>
          <cell r="BP186">
            <v>-2.9000000000000001E-2</v>
          </cell>
          <cell r="BQ186">
            <v>-3.0091416962925388E-2</v>
          </cell>
        </row>
        <row r="187">
          <cell r="BJ187">
            <v>-1.9261807530351005E-2</v>
          </cell>
          <cell r="BK187">
            <v>-2.385176587384652E-2</v>
          </cell>
          <cell r="BL187">
            <v>-2.1738804472211548E-2</v>
          </cell>
          <cell r="BM187">
            <v>-2.1686756963644527E-2</v>
          </cell>
          <cell r="BN187">
            <v>-2.1999999999999999E-2</v>
          </cell>
          <cell r="BO187">
            <v>-2.4E-2</v>
          </cell>
          <cell r="BP187">
            <v>-2.7E-2</v>
          </cell>
          <cell r="BQ187">
            <v>-2.9000000000000001E-2</v>
          </cell>
          <cell r="BR187">
            <v>-3.0091416962925388E-2</v>
          </cell>
        </row>
        <row r="188">
          <cell r="BJ188" t="str">
            <v>1Q04</v>
          </cell>
          <cell r="BK188" t="str">
            <v>2Q04</v>
          </cell>
          <cell r="BL188" t="str">
            <v>3Q04</v>
          </cell>
          <cell r="BM188" t="str">
            <v>4Q04</v>
          </cell>
          <cell r="BN188" t="str">
            <v>1Q05</v>
          </cell>
          <cell r="BO188" t="str">
            <v>2Q05</v>
          </cell>
        </row>
        <row r="189">
          <cell r="BI189" t="str">
            <v>Direct Net Adds</v>
          </cell>
          <cell r="BK189" t="str">
            <v>1Q04</v>
          </cell>
          <cell r="BL189" t="str">
            <v>2Q04</v>
          </cell>
          <cell r="BM189" t="str">
            <v>3Q04</v>
          </cell>
          <cell r="BN189" t="str">
            <v>4Q04</v>
          </cell>
          <cell r="BO189" t="str">
            <v>1Q05</v>
          </cell>
          <cell r="BP189" t="str">
            <v>2Q05</v>
          </cell>
        </row>
        <row r="190">
          <cell r="BI190" t="str">
            <v>Wholesale/Affiliate Net Adds</v>
          </cell>
          <cell r="BJ190" t="str">
            <v>Direct Net Adds</v>
          </cell>
        </row>
        <row r="191">
          <cell r="BJ191" t="str">
            <v>Wholesale/Affiliate Net Adds</v>
          </cell>
        </row>
        <row r="212">
          <cell r="BJ212" t="str">
            <v>1Q04</v>
          </cell>
          <cell r="BK212" t="str">
            <v>2Q04</v>
          </cell>
          <cell r="BL212" t="str">
            <v>3Q04</v>
          </cell>
          <cell r="BM212" t="str">
            <v>4Q04</v>
          </cell>
          <cell r="BN212" t="str">
            <v>1Q05</v>
          </cell>
          <cell r="BO212" t="str">
            <v>2Q05</v>
          </cell>
        </row>
        <row r="213">
          <cell r="BI213" t="str">
            <v>Voice ARPU</v>
          </cell>
          <cell r="BJ213">
            <v>56.898033608918176</v>
          </cell>
          <cell r="BK213" t="str">
            <v>1Q04</v>
          </cell>
          <cell r="BL213" t="str">
            <v>2Q04</v>
          </cell>
          <cell r="BM213" t="str">
            <v>3Q04</v>
          </cell>
          <cell r="BN213" t="str">
            <v>4Q04</v>
          </cell>
          <cell r="BO213" t="str">
            <v>1Q05</v>
          </cell>
          <cell r="BP213" t="str">
            <v>2Q05</v>
          </cell>
        </row>
        <row r="214">
          <cell r="BI214" t="str">
            <v>Data ARPU</v>
          </cell>
          <cell r="BJ214" t="str">
            <v>Voice ARPU</v>
          </cell>
          <cell r="BK214">
            <v>56.898033608918176</v>
          </cell>
          <cell r="BL214">
            <v>57.868055974425481</v>
          </cell>
          <cell r="BM214">
            <v>58.267316112297536</v>
          </cell>
          <cell r="BN214">
            <v>56.047801999734382</v>
          </cell>
          <cell r="BO214">
            <v>55.174950389958006</v>
          </cell>
          <cell r="BP214">
            <v>55.466852422947213</v>
          </cell>
        </row>
        <row r="215">
          <cell r="BI215" t="str">
            <v>ARPU</v>
          </cell>
          <cell r="BJ215" t="str">
            <v>Data ARPU</v>
          </cell>
          <cell r="BK215">
            <v>4</v>
          </cell>
          <cell r="BL215">
            <v>4.5</v>
          </cell>
          <cell r="BM215">
            <v>5</v>
          </cell>
          <cell r="BN215">
            <v>5.5</v>
          </cell>
          <cell r="BO215">
            <v>6</v>
          </cell>
          <cell r="BP215">
            <v>6.5</v>
          </cell>
        </row>
        <row r="216">
          <cell r="BJ216" t="str">
            <v>ARPU</v>
          </cell>
          <cell r="BK216">
            <v>60.898033608918176</v>
          </cell>
          <cell r="BL216">
            <v>62.368055974425481</v>
          </cell>
          <cell r="BM216">
            <v>63.267316112297536</v>
          </cell>
          <cell r="BN216">
            <v>61.547801999734382</v>
          </cell>
          <cell r="BO216">
            <v>61.174950389958006</v>
          </cell>
          <cell r="BP216">
            <v>61.966852422947213</v>
          </cell>
        </row>
        <row r="234">
          <cell r="BR234" t="str">
            <v>Sprint Nextel Affiliates</v>
          </cell>
        </row>
        <row r="235">
          <cell r="BS235" t="str">
            <v>Sprint Nextel Affiliates</v>
          </cell>
          <cell r="BT235" t="str">
            <v>3Q Subs</v>
          </cell>
          <cell r="BU235" t="str">
            <v>Acquisition</v>
          </cell>
          <cell r="BW235" t="str">
            <v>EBITDA</v>
          </cell>
        </row>
        <row r="236">
          <cell r="BS236" t="str">
            <v>Ticker (Mkt. Cap)</v>
          </cell>
          <cell r="BT236" t="str">
            <v>(mil.)</v>
          </cell>
          <cell r="BU236" t="str">
            <v>3Q Subs</v>
          </cell>
          <cell r="BV236" t="str">
            <v>Acquisition</v>
          </cell>
          <cell r="BW236" t="str">
            <v>Multiple</v>
          </cell>
          <cell r="BX236" t="str">
            <v>EBITDA</v>
          </cell>
        </row>
        <row r="237">
          <cell r="BR237" t="str">
            <v>US Unwired</v>
          </cell>
          <cell r="BS237" t="str">
            <v>UNWR</v>
          </cell>
          <cell r="BT237" t="str">
            <v>Ticker (Mkt. Cap)</v>
          </cell>
          <cell r="BU237" t="str">
            <v>(mil.)</v>
          </cell>
          <cell r="BV237" t="str">
            <v>Date</v>
          </cell>
          <cell r="BW237" t="str">
            <v>Paid</v>
          </cell>
          <cell r="BX237" t="str">
            <v>Multiple</v>
          </cell>
        </row>
        <row r="238">
          <cell r="BR238" t="str">
            <v>Gulf Coast</v>
          </cell>
          <cell r="BS238" t="str">
            <v>US Unwired</v>
          </cell>
          <cell r="BT238" t="str">
            <v>UNWR</v>
          </cell>
          <cell r="BU238">
            <v>0.5</v>
          </cell>
          <cell r="BV238" t="str">
            <v>3Q05</v>
          </cell>
          <cell r="BW238" t="str">
            <v>$1.3 billion including $266 million of debt</v>
          </cell>
          <cell r="BX238">
            <v>11.824201411627739</v>
          </cell>
        </row>
        <row r="239">
          <cell r="BR239" t="str">
            <v>IWO</v>
          </cell>
          <cell r="BS239" t="str">
            <v>Gulf Coast</v>
          </cell>
          <cell r="BT239" t="str">
            <v>Private</v>
          </cell>
          <cell r="BU239">
            <v>9.5000000000000001E-2</v>
          </cell>
          <cell r="BV239" t="str">
            <v>4Q05</v>
          </cell>
          <cell r="BW239" t="str">
            <v>$288 million including debt</v>
          </cell>
          <cell r="BX239">
            <v>9.1999999999999993</v>
          </cell>
        </row>
        <row r="240">
          <cell r="BR240" t="str">
            <v>Alamosa</v>
          </cell>
          <cell r="BS240" t="str">
            <v>IWO</v>
          </cell>
          <cell r="BT240" t="str">
            <v>IWHD ($210mm)</v>
          </cell>
          <cell r="BU240">
            <v>0.24</v>
          </cell>
          <cell r="BV240" t="str">
            <v>4Q05</v>
          </cell>
          <cell r="BW240" t="str">
            <v>$427 million including $208 million of debt</v>
          </cell>
          <cell r="BX240">
            <v>10.8</v>
          </cell>
        </row>
        <row r="241">
          <cell r="BR241" t="str">
            <v>Enterprise</v>
          </cell>
          <cell r="BS241" t="str">
            <v>Alamosa</v>
          </cell>
          <cell r="BT241" t="str">
            <v>APCS</v>
          </cell>
          <cell r="BU241">
            <v>1.48</v>
          </cell>
          <cell r="BV241" t="str">
            <v>1Q06</v>
          </cell>
          <cell r="BW241" t="str">
            <v>$4.3 billion including $900 million of debt</v>
          </cell>
          <cell r="BX241">
            <v>9.8000000000000007</v>
          </cell>
        </row>
        <row r="242">
          <cell r="BR242" t="str">
            <v>Nextel Partners</v>
          </cell>
          <cell r="BS242" t="str">
            <v>Enterprise</v>
          </cell>
          <cell r="BT242" t="str">
            <v>Private</v>
          </cell>
          <cell r="BU242">
            <v>5.1999999999999998E-2</v>
          </cell>
          <cell r="BV242" t="str">
            <v>1Q06</v>
          </cell>
          <cell r="BW242" t="str">
            <v>$98 million including debt</v>
          </cell>
          <cell r="BX242">
            <v>7.8</v>
          </cell>
        </row>
        <row r="243">
          <cell r="BR243" t="str">
            <v>Ubiquitel</v>
          </cell>
          <cell r="BS243" t="str">
            <v>Nextel Partners</v>
          </cell>
          <cell r="BT243" t="str">
            <v>NXTP</v>
          </cell>
          <cell r="BU243">
            <v>1.9119999999999999</v>
          </cell>
          <cell r="BV243" t="str">
            <v>2Q06</v>
          </cell>
          <cell r="BW243" t="str">
            <v>$10 billion including $1.3 billion of debt</v>
          </cell>
          <cell r="BX243">
            <v>15.832966687617851</v>
          </cell>
        </row>
        <row r="244">
          <cell r="BR244" t="str">
            <v>Northern PCS</v>
          </cell>
          <cell r="BS244" t="str">
            <v>Ubiquitel</v>
          </cell>
          <cell r="BT244" t="str">
            <v>UPCS</v>
          </cell>
          <cell r="BU244">
            <v>0.45200000000000001</v>
          </cell>
          <cell r="BV244" t="str">
            <v>2Q06</v>
          </cell>
          <cell r="BW244" t="str">
            <v>$1.3 billion including $300 of debt</v>
          </cell>
          <cell r="BX244">
            <v>9.4</v>
          </cell>
        </row>
        <row r="245">
          <cell r="BR245" t="str">
            <v>Shentel/Shenendoah</v>
          </cell>
          <cell r="BS245" t="str">
            <v>Shentel</v>
          </cell>
          <cell r="BT245" t="str">
            <v>SHEN ($330mm)</v>
          </cell>
          <cell r="BU245">
            <v>0.1</v>
          </cell>
          <cell r="BV245" t="str">
            <v>Not bought</v>
          </cell>
          <cell r="BW245" t="str">
            <v>170 subs as of 1Q06</v>
          </cell>
        </row>
        <row r="246">
          <cell r="BR246" t="str">
            <v>iPCS</v>
          </cell>
          <cell r="BS246" t="str">
            <v>iPCS</v>
          </cell>
          <cell r="BT246" t="str">
            <v>iPCX ($799mm)</v>
          </cell>
          <cell r="BU246">
            <v>0.49530000000000002</v>
          </cell>
          <cell r="BV246" t="str">
            <v>Not bought</v>
          </cell>
          <cell r="BW246" t="str">
            <v>510 subs as of 1Q06</v>
          </cell>
        </row>
        <row r="247">
          <cell r="BR247" t="str">
            <v>Swiftel</v>
          </cell>
          <cell r="BS247" t="str">
            <v>Northern PCS</v>
          </cell>
          <cell r="BT247" t="str">
            <v>Private</v>
          </cell>
          <cell r="BU247">
            <v>0.125</v>
          </cell>
          <cell r="BV247" t="str">
            <v>Not bought</v>
          </cell>
        </row>
        <row r="248">
          <cell r="BS248" t="str">
            <v>Swiftel</v>
          </cell>
          <cell r="BT248" t="str">
            <v>Private</v>
          </cell>
          <cell r="BV248" t="str">
            <v>Not bought</v>
          </cell>
        </row>
        <row r="249">
          <cell r="BZ249" t="str">
            <v>1Q04</v>
          </cell>
          <cell r="CA249" t="str">
            <v>2Q04</v>
          </cell>
          <cell r="CB249" t="str">
            <v>3Q04</v>
          </cell>
          <cell r="CC249" t="str">
            <v>4Q04</v>
          </cell>
          <cell r="CD249" t="str">
            <v>1Q05</v>
          </cell>
          <cell r="CE249" t="str">
            <v>2Q05</v>
          </cell>
          <cell r="CF249" t="str">
            <v>3Q05</v>
          </cell>
          <cell r="CG249" t="str">
            <v>4Q05</v>
          </cell>
          <cell r="CH249" t="str">
            <v>1Q06</v>
          </cell>
        </row>
        <row r="250">
          <cell r="BY250" t="str">
            <v>Line Loss</v>
          </cell>
          <cell r="BZ250">
            <v>-2.3555665757500566E-2</v>
          </cell>
          <cell r="CA250" t="str">
            <v>1Q04</v>
          </cell>
          <cell r="CB250" t="str">
            <v>2Q04</v>
          </cell>
          <cell r="CC250" t="str">
            <v>3Q04</v>
          </cell>
          <cell r="CD250" t="str">
            <v>4Q04</v>
          </cell>
          <cell r="CE250" t="str">
            <v>1Q05</v>
          </cell>
          <cell r="CF250" t="str">
            <v>2Q05</v>
          </cell>
          <cell r="CG250" t="str">
            <v>3Q05</v>
          </cell>
          <cell r="CH250" t="str">
            <v>4Q05</v>
          </cell>
          <cell r="CI250" t="str">
            <v>1Q06</v>
          </cell>
        </row>
        <row r="251">
          <cell r="BZ251" t="str">
            <v>Line Loss</v>
          </cell>
          <cell r="CA251">
            <v>-2.3555665757500566E-2</v>
          </cell>
          <cell r="CB251">
            <v>-2.530694061638683E-2</v>
          </cell>
          <cell r="CC251">
            <v>-2.8571428571428581E-2</v>
          </cell>
          <cell r="CD251">
            <v>-3.0226381687112669E-2</v>
          </cell>
          <cell r="CE251">
            <v>-3.0091416962925388E-2</v>
          </cell>
          <cell r="CF251">
            <v>-3.2133676092545027E-2</v>
          </cell>
          <cell r="CG251">
            <v>-3.627882871210153E-2</v>
          </cell>
          <cell r="CH251">
            <v>-4.1471048513302078E-2</v>
          </cell>
          <cell r="CI251">
            <v>-4.9744730985731067E-2</v>
          </cell>
        </row>
        <row r="276">
          <cell r="CN276">
            <v>2005</v>
          </cell>
          <cell r="CO276">
            <v>2006</v>
          </cell>
          <cell r="CP276" t="str">
            <v>2007E</v>
          </cell>
          <cell r="CQ276" t="str">
            <v>2008E</v>
          </cell>
          <cell r="CR276" t="str">
            <v>2009E</v>
          </cell>
          <cell r="CS276" t="str">
            <v>2010E</v>
          </cell>
          <cell r="CT276" t="str">
            <v>2011E</v>
          </cell>
          <cell r="CU276" t="str">
            <v>2012E</v>
          </cell>
          <cell r="CV276" t="str">
            <v>2013E</v>
          </cell>
        </row>
        <row r="277">
          <cell r="CM277" t="str">
            <v>Gross Adds</v>
          </cell>
        </row>
        <row r="278">
          <cell r="CL278">
            <v>10200.835500000001</v>
          </cell>
          <cell r="CM278" t="str">
            <v>Bull</v>
          </cell>
          <cell r="CN278">
            <v>11959.394500000002</v>
          </cell>
          <cell r="CO278">
            <v>11016.564000000002</v>
          </cell>
          <cell r="CP278">
            <v>10200.835500000001</v>
          </cell>
          <cell r="CQ278">
            <v>11527.532856000002</v>
          </cell>
          <cell r="CR278">
            <v>11585.17052028</v>
          </cell>
          <cell r="CS278">
            <v>11643.096372881399</v>
          </cell>
          <cell r="CT278">
            <v>11672.204113813601</v>
          </cell>
          <cell r="CU278">
            <v>11672.204113813601</v>
          </cell>
          <cell r="CV278">
            <v>11637.187501472161</v>
          </cell>
        </row>
        <row r="279">
          <cell r="CL279">
            <v>10200.835500000001</v>
          </cell>
          <cell r="CM279" t="str">
            <v>Base</v>
          </cell>
          <cell r="CN279">
            <v>11959.394500000002</v>
          </cell>
          <cell r="CO279">
            <v>11016.564000000002</v>
          </cell>
          <cell r="CP279">
            <v>10200.835500000001</v>
          </cell>
          <cell r="CQ279">
            <v>11414.517828000002</v>
          </cell>
          <cell r="CR279">
            <v>11385.981533430002</v>
          </cell>
          <cell r="CS279">
            <v>11329.051625762851</v>
          </cell>
          <cell r="CT279">
            <v>11215.761109505223</v>
          </cell>
          <cell r="CU279">
            <v>11075.564095636408</v>
          </cell>
          <cell r="CV279">
            <v>10937.119544440953</v>
          </cell>
        </row>
        <row r="280">
          <cell r="CL280">
            <v>10200.835500000001</v>
          </cell>
          <cell r="CM280" t="str">
            <v>Bear</v>
          </cell>
          <cell r="CN280">
            <v>11959.394500000002</v>
          </cell>
          <cell r="CO280">
            <v>11016.564000000002</v>
          </cell>
          <cell r="CP280">
            <v>10200.835500000001</v>
          </cell>
          <cell r="CQ280">
            <v>11301.502800000002</v>
          </cell>
          <cell r="CR280">
            <v>11188.487772000002</v>
          </cell>
          <cell r="CS280">
            <v>11054.225918736001</v>
          </cell>
          <cell r="CT280">
            <v>10899.466755873696</v>
          </cell>
          <cell r="CU280">
            <v>10735.974754535591</v>
          </cell>
          <cell r="CV280">
            <v>10574.935133217557</v>
          </cell>
        </row>
        <row r="282">
          <cell r="CM282" t="str">
            <v>Churn Adds</v>
          </cell>
        </row>
        <row r="283">
          <cell r="CL283">
            <v>2.1499520258433259E-2</v>
          </cell>
          <cell r="CM283" t="str">
            <v>Bull</v>
          </cell>
          <cell r="CN283">
            <v>2.050473379483591E-2</v>
          </cell>
          <cell r="CO283">
            <v>2.2262508396984553E-2</v>
          </cell>
          <cell r="CP283">
            <v>2.1499520258433259E-2</v>
          </cell>
          <cell r="CQ283">
            <v>1.9E-2</v>
          </cell>
          <cell r="CR283">
            <v>1.83E-2</v>
          </cell>
          <cell r="CS283">
            <v>1.8100000000000002E-2</v>
          </cell>
          <cell r="CT283">
            <v>1.8500000000000003E-2</v>
          </cell>
          <cell r="CU283">
            <v>1.8500000000000003E-2</v>
          </cell>
          <cell r="CV283">
            <v>1.8500000000000003E-2</v>
          </cell>
        </row>
        <row r="284">
          <cell r="CL284">
            <v>2.1499520258433259E-2</v>
          </cell>
          <cell r="CM284" t="str">
            <v>Base</v>
          </cell>
          <cell r="CN284">
            <v>2.050473379483591E-2</v>
          </cell>
          <cell r="CO284">
            <v>2.2262508396984553E-2</v>
          </cell>
          <cell r="CP284">
            <v>2.1499520258433259E-2</v>
          </cell>
          <cell r="CQ284">
            <v>2.0500000000000001E-2</v>
          </cell>
          <cell r="CR284">
            <v>0.02</v>
          </cell>
          <cell r="CS284">
            <v>0.02</v>
          </cell>
          <cell r="CT284">
            <v>2.0500000000000001E-2</v>
          </cell>
          <cell r="CU284">
            <v>2.0500000000000001E-2</v>
          </cell>
          <cell r="CV284">
            <v>2.0500000000000001E-2</v>
          </cell>
        </row>
        <row r="285">
          <cell r="CL285">
            <v>2.1499520258433259E-2</v>
          </cell>
          <cell r="CM285" t="str">
            <v>Bear</v>
          </cell>
          <cell r="CN285">
            <v>2.050473379483591E-2</v>
          </cell>
          <cell r="CO285">
            <v>2.2262508396984553E-2</v>
          </cell>
          <cell r="CP285">
            <v>2.1499520258433259E-2</v>
          </cell>
          <cell r="CQ285">
            <v>2.1500000000000002E-2</v>
          </cell>
          <cell r="CR285">
            <v>2.1000000000000001E-2</v>
          </cell>
          <cell r="CS285">
            <v>2.1000000000000001E-2</v>
          </cell>
          <cell r="CT285">
            <v>2.1500000000000002E-2</v>
          </cell>
          <cell r="CU285">
            <v>2.1500000000000002E-2</v>
          </cell>
          <cell r="CV285">
            <v>2.1500000000000002E-2</v>
          </cell>
        </row>
        <row r="287">
          <cell r="CM287" t="str">
            <v>Net Adds</v>
          </cell>
        </row>
        <row r="288">
          <cell r="CL288">
            <v>-514.51853779235717</v>
          </cell>
          <cell r="CM288" t="str">
            <v>Bull</v>
          </cell>
          <cell r="CN288">
            <v>3379</v>
          </cell>
          <cell r="CO288">
            <v>279</v>
          </cell>
          <cell r="CP288">
            <v>-514.51853779235717</v>
          </cell>
          <cell r="CQ288">
            <v>1340.8215456554462</v>
          </cell>
          <cell r="CR288">
            <v>1607.0302685114548</v>
          </cell>
          <cell r="CS288">
            <v>1781.0440894590974</v>
          </cell>
          <cell r="CT288">
            <v>1773.7302427526702</v>
          </cell>
          <cell r="CU288">
            <v>1710.4794543150729</v>
          </cell>
          <cell r="CV288">
            <v>1561.6415734844013</v>
          </cell>
        </row>
        <row r="289">
          <cell r="CL289">
            <v>-514.51853779235717</v>
          </cell>
          <cell r="CM289" t="str">
            <v>Base</v>
          </cell>
          <cell r="CN289">
            <v>3379</v>
          </cell>
          <cell r="CO289">
            <v>279</v>
          </cell>
          <cell r="CP289">
            <v>-514.51853779235717</v>
          </cell>
          <cell r="CQ289">
            <v>782.9486818491514</v>
          </cell>
          <cell r="CR289">
            <v>954.79022417717897</v>
          </cell>
          <cell r="CS289">
            <v>1032.7901992957159</v>
          </cell>
          <cell r="CT289">
            <v>912.31838839531702</v>
          </cell>
          <cell r="CU289">
            <v>750.1379563156479</v>
          </cell>
          <cell r="CV289">
            <v>525.59958211426238</v>
          </cell>
        </row>
        <row r="290">
          <cell r="CL290">
            <v>-514.51853779235717</v>
          </cell>
          <cell r="CM290" t="str">
            <v>Bear</v>
          </cell>
          <cell r="CN290">
            <v>3379</v>
          </cell>
          <cell r="CO290">
            <v>279</v>
          </cell>
          <cell r="CP290">
            <v>-514.51853779235717</v>
          </cell>
          <cell r="CQ290">
            <v>230.99594040372904</v>
          </cell>
          <cell r="CR290">
            <v>167.85421533548833</v>
          </cell>
          <cell r="CS290">
            <v>101.10136841976055</v>
          </cell>
          <cell r="CT290">
            <v>31.802485359667116</v>
          </cell>
          <cell r="CU290">
            <v>-29.459586595285145</v>
          </cell>
          <cell r="CV290">
            <v>-74.941950035927221</v>
          </cell>
        </row>
        <row r="292">
          <cell r="CM292" t="str">
            <v>ARPU</v>
          </cell>
        </row>
        <row r="293">
          <cell r="CL293">
            <v>60.037419837272942</v>
          </cell>
          <cell r="CM293" t="str">
            <v>Bull</v>
          </cell>
          <cell r="CN293">
            <v>64.379036235790736</v>
          </cell>
          <cell r="CO293">
            <v>61.526053458728306</v>
          </cell>
          <cell r="CP293">
            <v>60.037419837272942</v>
          </cell>
          <cell r="CQ293">
            <v>60.266280198045955</v>
          </cell>
          <cell r="CR293">
            <v>60.868943000026412</v>
          </cell>
          <cell r="CS293">
            <v>62.086321860026942</v>
          </cell>
          <cell r="CT293">
            <v>63.948911515827753</v>
          </cell>
          <cell r="CU293">
            <v>65.867378861302583</v>
          </cell>
          <cell r="CV293">
            <v>67.843400227141657</v>
          </cell>
        </row>
        <row r="294">
          <cell r="CL294">
            <v>60.037419837272942</v>
          </cell>
          <cell r="CM294" t="str">
            <v>Base</v>
          </cell>
          <cell r="CN294">
            <v>64.379036235790736</v>
          </cell>
          <cell r="CO294">
            <v>61.526053458728306</v>
          </cell>
          <cell r="CP294">
            <v>60.037419837272942</v>
          </cell>
          <cell r="CQ294">
            <v>59.663617396065497</v>
          </cell>
          <cell r="CR294">
            <v>59.663617396065497</v>
          </cell>
          <cell r="CS294">
            <v>59.782944630857628</v>
          </cell>
          <cell r="CT294">
            <v>59.902510520119343</v>
          </cell>
          <cell r="CU294">
            <v>60.022315541159578</v>
          </cell>
          <cell r="CV294">
            <v>60.142360172241901</v>
          </cell>
        </row>
        <row r="295">
          <cell r="CL295">
            <v>60.037419837272942</v>
          </cell>
          <cell r="CM295" t="str">
            <v>Bear</v>
          </cell>
          <cell r="CN295">
            <v>64.379036235790736</v>
          </cell>
          <cell r="CO295">
            <v>61.526053458728306</v>
          </cell>
          <cell r="CP295">
            <v>60.037419837272942</v>
          </cell>
          <cell r="CQ295">
            <v>59.060954594085032</v>
          </cell>
          <cell r="CR295">
            <v>58.470345048144182</v>
          </cell>
          <cell r="CS295">
            <v>58.002582287759026</v>
          </cell>
          <cell r="CT295">
            <v>57.53856162945695</v>
          </cell>
          <cell r="CU295">
            <v>57.078253136421296</v>
          </cell>
          <cell r="CV295">
            <v>56.621627111329921</v>
          </cell>
        </row>
        <row r="297">
          <cell r="CM297" t="str">
            <v>CAPEX/Sales</v>
          </cell>
        </row>
        <row r="298">
          <cell r="CL298">
            <v>0.20548976334451047</v>
          </cell>
          <cell r="CM298" t="str">
            <v>Bull</v>
          </cell>
          <cell r="CN298">
            <v>0.20259836674090573</v>
          </cell>
          <cell r="CO298">
            <v>0.19700084245998314</v>
          </cell>
          <cell r="CP298">
            <v>0.20548976334451047</v>
          </cell>
          <cell r="CQ298">
            <v>0.16499999999999998</v>
          </cell>
          <cell r="CR298">
            <v>0.16</v>
          </cell>
          <cell r="CS298">
            <v>0.155</v>
          </cell>
          <cell r="CT298">
            <v>0.14750000000000002</v>
          </cell>
          <cell r="CU298">
            <v>0.14000000000000001</v>
          </cell>
          <cell r="CV298">
            <v>0.14000000000000001</v>
          </cell>
        </row>
        <row r="299">
          <cell r="CL299">
            <v>0.20548976334451047</v>
          </cell>
          <cell r="CM299" t="str">
            <v>Base</v>
          </cell>
          <cell r="CN299">
            <v>0.20259836674090573</v>
          </cell>
          <cell r="CO299">
            <v>0.19700084245998314</v>
          </cell>
          <cell r="CP299">
            <v>0.20548976334451047</v>
          </cell>
          <cell r="CQ299">
            <v>0.17499999999999999</v>
          </cell>
          <cell r="CR299">
            <v>0.17</v>
          </cell>
          <cell r="CS299">
            <v>0.16500000000000001</v>
          </cell>
          <cell r="CT299">
            <v>0.16250000000000001</v>
          </cell>
          <cell r="CU299">
            <v>0.16</v>
          </cell>
          <cell r="CV299">
            <v>0.16</v>
          </cell>
        </row>
        <row r="300">
          <cell r="CL300">
            <v>0.20548976334451047</v>
          </cell>
          <cell r="CM300" t="str">
            <v>Bear</v>
          </cell>
          <cell r="CN300">
            <v>0.20259836674090573</v>
          </cell>
          <cell r="CO300">
            <v>0.19700084245998314</v>
          </cell>
          <cell r="CP300">
            <v>0.20548976334451047</v>
          </cell>
          <cell r="CQ300">
            <v>0.185</v>
          </cell>
          <cell r="CR300">
            <v>0.18000000000000002</v>
          </cell>
          <cell r="CS300">
            <v>0.17</v>
          </cell>
          <cell r="CT300">
            <v>0.16750000000000001</v>
          </cell>
          <cell r="CU300">
            <v>0.16500000000000001</v>
          </cell>
          <cell r="CV300">
            <v>0.16500000000000001</v>
          </cell>
        </row>
        <row r="302">
          <cell r="CM302" t="str">
            <v>SGA</v>
          </cell>
        </row>
        <row r="303">
          <cell r="CL303">
            <v>0.34467053348513371</v>
          </cell>
          <cell r="CM303" t="str">
            <v>Bull</v>
          </cell>
          <cell r="CN303">
            <v>0.34694911110334953</v>
          </cell>
          <cell r="CO303">
            <v>0.33329155962153018</v>
          </cell>
          <cell r="CP303">
            <v>0.34467053348513371</v>
          </cell>
          <cell r="CQ303">
            <v>0.32800000000000001</v>
          </cell>
          <cell r="CR303">
            <v>0.32350000000000001</v>
          </cell>
          <cell r="CS303">
            <v>0.3175</v>
          </cell>
          <cell r="CT303">
            <v>0.312</v>
          </cell>
          <cell r="CU303">
            <v>0.30649999999999999</v>
          </cell>
          <cell r="CV303">
            <v>0.30149999999999999</v>
          </cell>
        </row>
        <row r="304">
          <cell r="CL304">
            <v>0.34467053348513371</v>
          </cell>
          <cell r="CM304" t="str">
            <v>Base</v>
          </cell>
          <cell r="CN304">
            <v>0.34694911110334953</v>
          </cell>
          <cell r="CO304">
            <v>0.33329155962153018</v>
          </cell>
          <cell r="CP304">
            <v>0.34467053348513371</v>
          </cell>
          <cell r="CQ304">
            <v>0.34</v>
          </cell>
          <cell r="CR304">
            <v>0.33600000000000002</v>
          </cell>
          <cell r="CS304">
            <v>0.33200000000000002</v>
          </cell>
          <cell r="CT304">
            <v>0.32850000000000001</v>
          </cell>
          <cell r="CU304">
            <v>0.32500000000000001</v>
          </cell>
          <cell r="CV304">
            <v>0.32150000000000001</v>
          </cell>
        </row>
        <row r="305">
          <cell r="CL305">
            <v>0.34467053348513371</v>
          </cell>
          <cell r="CM305" t="str">
            <v>Bear</v>
          </cell>
          <cell r="CN305">
            <v>0.34694911110334953</v>
          </cell>
          <cell r="CO305">
            <v>0.33329155962153018</v>
          </cell>
          <cell r="CP305">
            <v>0.34467053348513371</v>
          </cell>
          <cell r="CQ305">
            <v>0.35000000000000003</v>
          </cell>
          <cell r="CR305">
            <v>0.34600000000000003</v>
          </cell>
          <cell r="CS305">
            <v>0.34200000000000003</v>
          </cell>
          <cell r="CT305">
            <v>0.33850000000000002</v>
          </cell>
          <cell r="CU305">
            <v>0.33</v>
          </cell>
          <cell r="CV305">
            <v>0.32650000000000001</v>
          </cell>
        </row>
        <row r="380">
          <cell r="DE380" t="str">
            <v>incl wholesale</v>
          </cell>
          <cell r="DI380" t="str">
            <v>postpaid</v>
          </cell>
        </row>
        <row r="381">
          <cell r="DE381" t="str">
            <v>Net Adds(1)</v>
          </cell>
          <cell r="DG381" t="str">
            <v>EBITDA</v>
          </cell>
          <cell r="DI381" t="str">
            <v>Postpaid ARPU</v>
          </cell>
          <cell r="DK381" t="str">
            <v>Capex</v>
          </cell>
        </row>
        <row r="382">
          <cell r="DE382" t="str">
            <v>4Q06E</v>
          </cell>
          <cell r="DF382" t="str">
            <v>2007E</v>
          </cell>
          <cell r="DG382" t="str">
            <v>4Q06E</v>
          </cell>
          <cell r="DH382" t="str">
            <v>2007E</v>
          </cell>
          <cell r="DI382" t="str">
            <v>4Q06E</v>
          </cell>
          <cell r="DJ382" t="str">
            <v>2007E</v>
          </cell>
          <cell r="DK382" t="str">
            <v>4Q06E</v>
          </cell>
          <cell r="DL382" t="str">
            <v>2007E</v>
          </cell>
        </row>
        <row r="383">
          <cell r="DD383" t="str">
            <v>Consensus</v>
          </cell>
          <cell r="DE383">
            <v>503.2</v>
          </cell>
          <cell r="DF383">
            <v>2416.5333333333333</v>
          </cell>
          <cell r="DG383">
            <v>2985</v>
          </cell>
          <cell r="DH383">
            <v>12457.933333333332</v>
          </cell>
          <cell r="DI383">
            <v>60.252666666666663</v>
          </cell>
          <cell r="DJ383">
            <v>59.65</v>
          </cell>
          <cell r="DK383">
            <v>2054.4285714285716</v>
          </cell>
          <cell r="DL383">
            <v>6702.5</v>
          </cell>
        </row>
        <row r="384">
          <cell r="DD384" t="str">
            <v xml:space="preserve">Morgan Stanley </v>
          </cell>
          <cell r="DE384">
            <v>695</v>
          </cell>
          <cell r="DF384">
            <v>1277.0248920780382</v>
          </cell>
          <cell r="DG384">
            <v>2908</v>
          </cell>
          <cell r="DH384">
            <v>10312.231116311497</v>
          </cell>
          <cell r="DI384">
            <v>60.597348666347223</v>
          </cell>
          <cell r="DJ384">
            <v>60.037419837272942</v>
          </cell>
          <cell r="DK384">
            <v>2238</v>
          </cell>
          <cell r="DL384">
            <v>6148.7943408695301</v>
          </cell>
          <cell r="DS384">
            <v>39146</v>
          </cell>
          <cell r="DX384">
            <v>2007</v>
          </cell>
        </row>
        <row r="385">
          <cell r="DN385" t="str">
            <v xml:space="preserve">                 2008E                 </v>
          </cell>
          <cell r="DQ385" t="str">
            <v>Implied Multiples</v>
          </cell>
          <cell r="DS385" t="str">
            <v>Share Price</v>
          </cell>
          <cell r="DT385" t="str">
            <v>Shares</v>
          </cell>
          <cell r="DU385" t="str">
            <v>Diluted M Cap</v>
          </cell>
          <cell r="DV385" t="str">
            <v>Net Debt</v>
          </cell>
          <cell r="DW385" t="str">
            <v>EV</v>
          </cell>
          <cell r="DX385" t="str">
            <v>EBITDA</v>
          </cell>
          <cell r="DY385" t="str">
            <v>FCF</v>
          </cell>
          <cell r="DZ385" t="str">
            <v>EPS</v>
          </cell>
        </row>
        <row r="386">
          <cell r="DN386" t="str">
            <v>Postpaid</v>
          </cell>
          <cell r="DQ386" t="str">
            <v>at Current Stock Price</v>
          </cell>
          <cell r="DS386">
            <v>19.61</v>
          </cell>
          <cell r="DT386">
            <v>3025.7324909999998</v>
          </cell>
          <cell r="DU386">
            <v>59334.614148509994</v>
          </cell>
          <cell r="DV386">
            <v>20555.178501786493</v>
          </cell>
          <cell r="DW386">
            <v>79889.792650296484</v>
          </cell>
          <cell r="DX386">
            <v>10934.656116311497</v>
          </cell>
          <cell r="DY386">
            <v>1799.4989639486316</v>
          </cell>
          <cell r="DZ386">
            <v>0.84556367789523579</v>
          </cell>
        </row>
        <row r="387">
          <cell r="DN387" t="str">
            <v>Net Adds</v>
          </cell>
          <cell r="DO387" t="str">
            <v>EBITDA</v>
          </cell>
          <cell r="DP387" t="str">
            <v>EPS</v>
          </cell>
          <cell r="DQ387" t="str">
            <v>EBITDA</v>
          </cell>
          <cell r="DR387" t="str">
            <v>P/E</v>
          </cell>
        </row>
        <row r="388">
          <cell r="DM388" t="str">
            <v>Turnaround</v>
          </cell>
          <cell r="DN388">
            <v>1340.8215456554462</v>
          </cell>
          <cell r="DO388">
            <v>12797.299694663187</v>
          </cell>
          <cell r="DP388">
            <v>1.0602634060838889</v>
          </cell>
          <cell r="DQ388">
            <v>6.2427070207328699</v>
          </cell>
          <cell r="DR388">
            <v>18.495403960446069</v>
          </cell>
          <cell r="DV388" t="str">
            <v>EV/EBITDA</v>
          </cell>
          <cell r="DW388">
            <v>7.3061092914593724</v>
          </cell>
        </row>
        <row r="389">
          <cell r="DK389">
            <v>11214.027066462029</v>
          </cell>
          <cell r="DL389">
            <v>0.83716788011322363</v>
          </cell>
          <cell r="DM389" t="str">
            <v>Base</v>
          </cell>
          <cell r="DN389">
            <v>782.9486818491514</v>
          </cell>
          <cell r="DO389">
            <v>12250.294786727631</v>
          </cell>
          <cell r="DP389">
            <v>0.9388665482383951</v>
          </cell>
          <cell r="DQ389">
            <v>6.5214587927183345</v>
          </cell>
          <cell r="DR389">
            <v>20.88688753134771</v>
          </cell>
          <cell r="DV389" t="str">
            <v>FCF Yield</v>
          </cell>
          <cell r="DW389">
            <v>3.0327979540654356E-2</v>
          </cell>
        </row>
        <row r="390">
          <cell r="DM390" t="str">
            <v>iDEN Challenges</v>
          </cell>
          <cell r="DN390">
            <v>230.99594040372904</v>
          </cell>
          <cell r="DO390">
            <v>11716.175026552082</v>
          </cell>
          <cell r="DP390">
            <v>0.82040714655015945</v>
          </cell>
          <cell r="DQ390">
            <v>6.8187605997046123</v>
          </cell>
          <cell r="DR390">
            <v>23.902765940619521</v>
          </cell>
          <cell r="DV390" t="str">
            <v>FY PE</v>
          </cell>
          <cell r="DW390">
            <v>23.191630048268998</v>
          </cell>
        </row>
        <row r="392">
          <cell r="EB392" t="str">
            <v>Actual</v>
          </cell>
          <cell r="EC392" t="str">
            <v>Estimated</v>
          </cell>
          <cell r="ED392" t="str">
            <v>Difference</v>
          </cell>
        </row>
        <row r="393">
          <cell r="EB393" t="str">
            <v>4Q06</v>
          </cell>
          <cell r="EC393" t="str">
            <v>4Q06</v>
          </cell>
          <cell r="ED393" t="str">
            <v>Fav. / (Unfav.)</v>
          </cell>
        </row>
        <row r="394">
          <cell r="EA394" t="str">
            <v>Contract</v>
          </cell>
        </row>
        <row r="395">
          <cell r="EA395" t="str">
            <v>Net Adds</v>
          </cell>
          <cell r="EB395">
            <v>-306</v>
          </cell>
          <cell r="EC395">
            <v>-306</v>
          </cell>
          <cell r="ED395">
            <v>0</v>
          </cell>
        </row>
        <row r="396">
          <cell r="EA396" t="str">
            <v>Gross Adds</v>
          </cell>
          <cell r="EB396">
            <v>2574.0600000000004</v>
          </cell>
          <cell r="EC396">
            <v>2574.0600000000004</v>
          </cell>
          <cell r="ED396">
            <v>0</v>
          </cell>
        </row>
        <row r="397">
          <cell r="EA397" t="str">
            <v>Churn</v>
          </cell>
          <cell r="EB397">
            <v>2.3E-2</v>
          </cell>
          <cell r="EC397">
            <v>2.3E-2</v>
          </cell>
          <cell r="ED397">
            <v>0</v>
          </cell>
        </row>
        <row r="399">
          <cell r="EA399" t="str">
            <v>Prepaid</v>
          </cell>
        </row>
        <row r="400">
          <cell r="EA400" t="str">
            <v>Net Adds</v>
          </cell>
          <cell r="EB400">
            <v>171</v>
          </cell>
          <cell r="EC400">
            <v>171</v>
          </cell>
          <cell r="ED400">
            <v>0</v>
          </cell>
        </row>
        <row r="401">
          <cell r="EA401" t="str">
            <v>Gross Adds</v>
          </cell>
          <cell r="EB401">
            <v>936.66750000000002</v>
          </cell>
          <cell r="EC401">
            <v>936.66750000000002</v>
          </cell>
          <cell r="ED401">
            <v>0</v>
          </cell>
        </row>
        <row r="402">
          <cell r="EA402" t="str">
            <v>Churn</v>
          </cell>
          <cell r="EB402">
            <v>6.5000000000000002E-2</v>
          </cell>
          <cell r="EC402">
            <v>6.5000000000000002E-2</v>
          </cell>
          <cell r="ED402">
            <v>0</v>
          </cell>
        </row>
        <row r="404">
          <cell r="EA404" t="str">
            <v>Total Retail</v>
          </cell>
        </row>
        <row r="405">
          <cell r="EA405" t="str">
            <v>Net Adds</v>
          </cell>
          <cell r="EB405">
            <v>-135</v>
          </cell>
          <cell r="EC405">
            <v>-135</v>
          </cell>
          <cell r="ED405">
            <v>0</v>
          </cell>
        </row>
        <row r="406">
          <cell r="EA406" t="str">
            <v>Gross Adds</v>
          </cell>
          <cell r="EB406">
            <v>3510.7275000000004</v>
          </cell>
          <cell r="EC406">
            <v>3510.7275000000004</v>
          </cell>
          <cell r="ED406">
            <v>0</v>
          </cell>
        </row>
        <row r="407">
          <cell r="EA407" t="str">
            <v>Churn</v>
          </cell>
          <cell r="EB407">
            <v>2.6611246756375023E-2</v>
          </cell>
          <cell r="EC407">
            <v>2.7480000000000001E-2</v>
          </cell>
          <cell r="ED407">
            <v>8.6875324362497772E-4</v>
          </cell>
        </row>
        <row r="409">
          <cell r="EA409" t="str">
            <v>Wholesale /</v>
          </cell>
          <cell r="EB409">
            <v>876</v>
          </cell>
          <cell r="EC409">
            <v>300</v>
          </cell>
          <cell r="ED409">
            <v>576</v>
          </cell>
        </row>
        <row r="410">
          <cell r="EA410" t="str">
            <v>Affiliate Adds</v>
          </cell>
        </row>
        <row r="411">
          <cell r="EF411" t="str">
            <v>New</v>
          </cell>
          <cell r="EG411" t="str">
            <v>Old</v>
          </cell>
        </row>
        <row r="412">
          <cell r="EF412" t="str">
            <v>2007E</v>
          </cell>
          <cell r="EG412" t="str">
            <v>2007E</v>
          </cell>
        </row>
        <row r="413">
          <cell r="EE413" t="str">
            <v>Consolidated Revenue</v>
          </cell>
          <cell r="EF413">
            <v>40836.28114933386</v>
          </cell>
          <cell r="EG413">
            <v>41741.722854668631</v>
          </cell>
        </row>
        <row r="415">
          <cell r="EE415" t="str">
            <v>Consolidated EBITDA</v>
          </cell>
          <cell r="EF415">
            <v>10934.656116311497</v>
          </cell>
          <cell r="EG415">
            <v>12955.488953672902</v>
          </cell>
        </row>
        <row r="417">
          <cell r="EE417" t="str">
            <v>EPS</v>
          </cell>
          <cell r="EF417">
            <v>0.84556367789523579</v>
          </cell>
          <cell r="EG417">
            <v>1.2337954724556632</v>
          </cell>
        </row>
        <row r="419">
          <cell r="EE419" t="str">
            <v>Consolidated Capex</v>
          </cell>
          <cell r="EF419">
            <v>7188.7943408695301</v>
          </cell>
          <cell r="EG419">
            <v>6681.8628973580071</v>
          </cell>
        </row>
        <row r="421">
          <cell r="EE421" t="str">
            <v>Retail Net Adds</v>
          </cell>
          <cell r="EF421">
            <v>330.02489207803819</v>
          </cell>
          <cell r="EG421">
            <v>1521.7777618928328</v>
          </cell>
        </row>
        <row r="422">
          <cell r="EE422" t="str">
            <v>Postpaid</v>
          </cell>
          <cell r="EF422">
            <v>-514.51853779235717</v>
          </cell>
          <cell r="EG422">
            <v>722.43081249380657</v>
          </cell>
        </row>
        <row r="423">
          <cell r="EE423" t="str">
            <v>Prepaid</v>
          </cell>
          <cell r="EF423">
            <v>844.54342987039536</v>
          </cell>
          <cell r="EG423">
            <v>799.34694939902624</v>
          </cell>
        </row>
        <row r="425">
          <cell r="EE425" t="str">
            <v>Blended ARPU</v>
          </cell>
          <cell r="EF425">
            <v>57.242768815991752</v>
          </cell>
          <cell r="EG425">
            <v>57.67594790928181</v>
          </cell>
        </row>
        <row r="427">
          <cell r="EE427" t="str">
            <v>Blended Churn</v>
          </cell>
          <cell r="EF427">
            <v>2.596912709989933E-2</v>
          </cell>
          <cell r="EG427">
            <v>2.4884242928658224E-2</v>
          </cell>
        </row>
      </sheetData>
      <sheetData sheetId="7" refreshError="1"/>
      <sheetData sheetId="8" refreshError="1"/>
      <sheetData sheetId="9" refreshError="1"/>
      <sheetData sheetId="10" refreshError="1"/>
      <sheetData sheetId="11" refreshError="1"/>
      <sheetData sheetId="12" refreshError="1">
        <row r="1">
          <cell r="B1">
            <v>1999</v>
          </cell>
          <cell r="C1">
            <v>2000</v>
          </cell>
          <cell r="D1">
            <v>2001</v>
          </cell>
          <cell r="E1">
            <v>2002</v>
          </cell>
          <cell r="F1">
            <v>2003</v>
          </cell>
          <cell r="G1">
            <v>2004</v>
          </cell>
          <cell r="AK1" t="str">
            <v>1Q03</v>
          </cell>
          <cell r="AL1" t="str">
            <v>2Q03</v>
          </cell>
          <cell r="AM1" t="str">
            <v>3Q03</v>
          </cell>
          <cell r="AN1" t="str">
            <v>4Q03</v>
          </cell>
          <cell r="AO1" t="str">
            <v>1Q04</v>
          </cell>
          <cell r="AP1" t="str">
            <v>2Q04</v>
          </cell>
          <cell r="AQ1" t="str">
            <v>3Q04</v>
          </cell>
          <cell r="AR1" t="str">
            <v>4Q04</v>
          </cell>
          <cell r="AS1" t="str">
            <v>1Q05</v>
          </cell>
          <cell r="AT1" t="str">
            <v>2Q05</v>
          </cell>
          <cell r="AU1" t="str">
            <v>3Q05</v>
          </cell>
          <cell r="AV1" t="str">
            <v>4Q05</v>
          </cell>
          <cell r="AW1" t="str">
            <v>1Q06</v>
          </cell>
          <cell r="AX1" t="str">
            <v>2Q06</v>
          </cell>
          <cell r="AY1" t="str">
            <v>3Q06</v>
          </cell>
          <cell r="AZ1" t="str">
            <v>4Q06</v>
          </cell>
          <cell r="BA1" t="str">
            <v>1Q07</v>
          </cell>
          <cell r="BB1" t="str">
            <v>2Q07</v>
          </cell>
        </row>
        <row r="4">
          <cell r="A4" t="str">
            <v>Global markets division</v>
          </cell>
        </row>
        <row r="6">
          <cell r="A6" t="str">
            <v>Net operating revenues</v>
          </cell>
          <cell r="AC6" t="str">
            <v>Note restatements made in 1Q02, as equip rev now fully booked in Other</v>
          </cell>
        </row>
        <row r="7">
          <cell r="A7" t="str">
            <v>Voice</v>
          </cell>
          <cell r="B7">
            <v>7445</v>
          </cell>
          <cell r="C7">
            <v>7094</v>
          </cell>
          <cell r="D7">
            <v>6644</v>
          </cell>
          <cell r="E7">
            <v>5768</v>
          </cell>
          <cell r="F7">
            <v>4999</v>
          </cell>
          <cell r="G7">
            <v>4560</v>
          </cell>
          <cell r="U7">
            <v>1858</v>
          </cell>
          <cell r="V7">
            <v>1880</v>
          </cell>
          <cell r="W7">
            <v>1903</v>
          </cell>
          <cell r="X7">
            <v>1804</v>
          </cell>
          <cell r="AC7">
            <v>1726</v>
          </cell>
          <cell r="AD7">
            <v>1701</v>
          </cell>
          <cell r="AE7">
            <v>1683</v>
          </cell>
          <cell r="AF7">
            <v>1500</v>
          </cell>
          <cell r="AG7">
            <v>1536</v>
          </cell>
          <cell r="AH7">
            <v>1468</v>
          </cell>
          <cell r="AI7">
            <v>1433</v>
          </cell>
          <cell r="AJ7">
            <v>1331</v>
          </cell>
          <cell r="AK7">
            <v>1293</v>
          </cell>
          <cell r="AL7">
            <v>1244</v>
          </cell>
          <cell r="AM7">
            <v>1243</v>
          </cell>
          <cell r="AN7">
            <v>1219</v>
          </cell>
          <cell r="AO7">
            <v>1186</v>
          </cell>
          <cell r="AP7">
            <v>1164</v>
          </cell>
          <cell r="AQ7">
            <v>1131</v>
          </cell>
          <cell r="AR7">
            <v>1079</v>
          </cell>
          <cell r="AS7">
            <v>1065</v>
          </cell>
          <cell r="AT7">
            <v>1054</v>
          </cell>
          <cell r="AU7">
            <v>1085</v>
          </cell>
          <cell r="AV7">
            <v>1009</v>
          </cell>
          <cell r="AW7">
            <v>1009</v>
          </cell>
          <cell r="AX7">
            <v>1003</v>
          </cell>
          <cell r="AY7">
            <v>989</v>
          </cell>
          <cell r="AZ7">
            <v>978</v>
          </cell>
          <cell r="BA7">
            <v>898</v>
          </cell>
          <cell r="BB7">
            <v>910</v>
          </cell>
        </row>
        <row r="8">
          <cell r="A8" t="str">
            <v>Data</v>
          </cell>
          <cell r="B8">
            <v>1696</v>
          </cell>
          <cell r="C8">
            <v>1937</v>
          </cell>
          <cell r="D8">
            <v>1956</v>
          </cell>
          <cell r="E8">
            <v>1847</v>
          </cell>
          <cell r="F8">
            <v>1853</v>
          </cell>
          <cell r="G8">
            <v>1722</v>
          </cell>
          <cell r="U8">
            <v>390</v>
          </cell>
          <cell r="V8">
            <v>401</v>
          </cell>
          <cell r="W8">
            <v>426</v>
          </cell>
          <cell r="X8">
            <v>479</v>
          </cell>
          <cell r="AC8">
            <v>472</v>
          </cell>
          <cell r="AD8">
            <v>487</v>
          </cell>
          <cell r="AE8">
            <v>473</v>
          </cell>
          <cell r="AF8">
            <v>425</v>
          </cell>
          <cell r="AG8">
            <v>484</v>
          </cell>
          <cell r="AH8">
            <v>467</v>
          </cell>
          <cell r="AI8">
            <v>445</v>
          </cell>
          <cell r="AJ8">
            <v>451</v>
          </cell>
          <cell r="AK8">
            <v>462</v>
          </cell>
          <cell r="AL8">
            <v>466</v>
          </cell>
          <cell r="AM8">
            <v>463</v>
          </cell>
          <cell r="AN8">
            <v>462</v>
          </cell>
          <cell r="AO8">
            <v>452</v>
          </cell>
          <cell r="AP8">
            <v>438</v>
          </cell>
          <cell r="AQ8">
            <v>427</v>
          </cell>
          <cell r="AR8">
            <v>405</v>
          </cell>
          <cell r="AS8">
            <v>412</v>
          </cell>
          <cell r="AT8">
            <v>420</v>
          </cell>
          <cell r="AU8">
            <v>402</v>
          </cell>
          <cell r="AV8">
            <v>398</v>
          </cell>
          <cell r="AW8">
            <v>375</v>
          </cell>
          <cell r="AX8">
            <v>366</v>
          </cell>
          <cell r="AY8">
            <v>346</v>
          </cell>
          <cell r="AZ8">
            <v>353</v>
          </cell>
          <cell r="BA8">
            <v>311</v>
          </cell>
          <cell r="BB8">
            <v>310</v>
          </cell>
        </row>
        <row r="9">
          <cell r="A9" t="str">
            <v>Internet</v>
          </cell>
          <cell r="B9">
            <v>615</v>
          </cell>
          <cell r="C9">
            <v>920</v>
          </cell>
          <cell r="D9">
            <v>1003</v>
          </cell>
          <cell r="E9">
            <v>1009</v>
          </cell>
          <cell r="F9">
            <v>973</v>
          </cell>
          <cell r="G9">
            <v>793</v>
          </cell>
          <cell r="U9">
            <v>118</v>
          </cell>
          <cell r="V9">
            <v>146</v>
          </cell>
          <cell r="W9">
            <v>156</v>
          </cell>
          <cell r="X9">
            <v>195</v>
          </cell>
          <cell r="AC9">
            <v>234</v>
          </cell>
          <cell r="AD9">
            <v>251</v>
          </cell>
          <cell r="AE9">
            <v>241</v>
          </cell>
          <cell r="AF9">
            <v>238</v>
          </cell>
          <cell r="AG9">
            <v>245</v>
          </cell>
          <cell r="AH9">
            <v>247</v>
          </cell>
          <cell r="AI9">
            <v>258</v>
          </cell>
          <cell r="AJ9">
            <v>259</v>
          </cell>
          <cell r="AK9">
            <v>243</v>
          </cell>
          <cell r="AL9">
            <v>245</v>
          </cell>
          <cell r="AM9">
            <v>233</v>
          </cell>
          <cell r="AN9">
            <v>252</v>
          </cell>
          <cell r="AO9">
            <v>223</v>
          </cell>
          <cell r="AP9">
            <v>214</v>
          </cell>
          <cell r="AQ9">
            <v>180</v>
          </cell>
          <cell r="AR9">
            <v>176</v>
          </cell>
          <cell r="AS9">
            <v>178</v>
          </cell>
          <cell r="AT9">
            <v>178</v>
          </cell>
          <cell r="AU9">
            <v>188</v>
          </cell>
          <cell r="AV9">
            <v>192</v>
          </cell>
          <cell r="AW9">
            <v>225</v>
          </cell>
          <cell r="AX9">
            <v>217</v>
          </cell>
          <cell r="AY9">
            <v>237</v>
          </cell>
          <cell r="AZ9">
            <v>254</v>
          </cell>
          <cell r="BA9">
            <v>344</v>
          </cell>
          <cell r="BB9">
            <v>371</v>
          </cell>
        </row>
        <row r="10">
          <cell r="A10" t="str">
            <v>Other</v>
          </cell>
          <cell r="B10">
            <v>552</v>
          </cell>
          <cell r="C10">
            <v>577</v>
          </cell>
          <cell r="D10">
            <v>313</v>
          </cell>
          <cell r="E10">
            <v>319</v>
          </cell>
          <cell r="F10">
            <v>180</v>
          </cell>
          <cell r="G10">
            <v>252</v>
          </cell>
          <cell r="U10">
            <v>150</v>
          </cell>
          <cell r="V10">
            <v>160</v>
          </cell>
          <cell r="W10">
            <v>109</v>
          </cell>
          <cell r="X10">
            <v>133</v>
          </cell>
          <cell r="AC10">
            <v>135</v>
          </cell>
          <cell r="AD10">
            <v>124</v>
          </cell>
          <cell r="AE10">
            <v>108</v>
          </cell>
          <cell r="AF10">
            <v>118</v>
          </cell>
          <cell r="AG10">
            <v>77</v>
          </cell>
          <cell r="AH10">
            <v>93</v>
          </cell>
          <cell r="AI10">
            <v>95</v>
          </cell>
          <cell r="AJ10">
            <v>54</v>
          </cell>
          <cell r="AK10">
            <v>48</v>
          </cell>
          <cell r="AL10">
            <v>50</v>
          </cell>
          <cell r="AM10">
            <v>38</v>
          </cell>
          <cell r="AN10">
            <v>44</v>
          </cell>
          <cell r="AO10">
            <v>51</v>
          </cell>
          <cell r="AP10">
            <v>57</v>
          </cell>
          <cell r="AQ10">
            <v>70</v>
          </cell>
          <cell r="AR10">
            <v>74</v>
          </cell>
          <cell r="AS10">
            <v>60</v>
          </cell>
          <cell r="AT10">
            <v>70</v>
          </cell>
          <cell r="AU10">
            <v>60</v>
          </cell>
          <cell r="AV10">
            <v>63</v>
          </cell>
          <cell r="AW10">
            <v>60</v>
          </cell>
          <cell r="AX10">
            <v>55</v>
          </cell>
          <cell r="AY10">
            <v>54</v>
          </cell>
          <cell r="AZ10">
            <v>50</v>
          </cell>
          <cell r="BA10">
            <v>45</v>
          </cell>
          <cell r="BB10">
            <v>43</v>
          </cell>
        </row>
        <row r="12">
          <cell r="A12" t="str">
            <v>Net operating revenues</v>
          </cell>
          <cell r="B12">
            <v>10308</v>
          </cell>
          <cell r="C12">
            <v>10528</v>
          </cell>
          <cell r="D12">
            <v>9916</v>
          </cell>
          <cell r="E12">
            <v>8943</v>
          </cell>
          <cell r="F12">
            <v>8005</v>
          </cell>
          <cell r="G12">
            <v>7327</v>
          </cell>
          <cell r="U12">
            <v>2516</v>
          </cell>
          <cell r="V12">
            <v>2587</v>
          </cell>
          <cell r="W12">
            <v>2594</v>
          </cell>
          <cell r="X12">
            <v>2611</v>
          </cell>
          <cell r="AC12">
            <v>2567</v>
          </cell>
          <cell r="AD12">
            <v>2563</v>
          </cell>
          <cell r="AE12">
            <v>2505</v>
          </cell>
          <cell r="AF12">
            <v>2281</v>
          </cell>
          <cell r="AG12">
            <v>2342</v>
          </cell>
          <cell r="AH12">
            <v>2275</v>
          </cell>
          <cell r="AI12">
            <v>2231</v>
          </cell>
          <cell r="AJ12">
            <v>2095</v>
          </cell>
          <cell r="AK12">
            <v>2046</v>
          </cell>
          <cell r="AL12">
            <v>2005</v>
          </cell>
          <cell r="AM12">
            <v>1977</v>
          </cell>
          <cell r="AN12">
            <v>1977</v>
          </cell>
          <cell r="AO12">
            <v>1912</v>
          </cell>
          <cell r="AP12">
            <v>1873</v>
          </cell>
          <cell r="AQ12">
            <v>1808</v>
          </cell>
          <cell r="AR12">
            <v>1734</v>
          </cell>
          <cell r="AS12">
            <v>1715</v>
          </cell>
          <cell r="AT12">
            <v>1722</v>
          </cell>
          <cell r="AU12">
            <v>1735</v>
          </cell>
          <cell r="AV12">
            <v>1662</v>
          </cell>
          <cell r="AW12">
            <v>1669</v>
          </cell>
          <cell r="AX12">
            <v>1641</v>
          </cell>
          <cell r="AY12">
            <v>1626</v>
          </cell>
          <cell r="AZ12">
            <v>1635</v>
          </cell>
          <cell r="BA12">
            <v>1598</v>
          </cell>
          <cell r="BB12">
            <v>1634</v>
          </cell>
        </row>
        <row r="14">
          <cell r="A14" t="str">
            <v>Operating expenses</v>
          </cell>
        </row>
        <row r="15">
          <cell r="A15" t="str">
            <v>Costs of services and products</v>
          </cell>
          <cell r="B15">
            <v>4947</v>
          </cell>
          <cell r="C15">
            <v>5558</v>
          </cell>
          <cell r="D15">
            <v>6004</v>
          </cell>
          <cell r="E15">
            <v>5015</v>
          </cell>
          <cell r="F15">
            <v>4252</v>
          </cell>
          <cell r="G15">
            <v>4324</v>
          </cell>
          <cell r="U15">
            <v>1216</v>
          </cell>
          <cell r="V15">
            <v>1244</v>
          </cell>
          <cell r="W15">
            <v>1264</v>
          </cell>
          <cell r="X15">
            <v>1223</v>
          </cell>
          <cell r="AC15">
            <v>1489</v>
          </cell>
          <cell r="AD15">
            <v>1528</v>
          </cell>
          <cell r="AE15">
            <v>1544</v>
          </cell>
          <cell r="AF15">
            <v>1443</v>
          </cell>
          <cell r="AG15">
            <v>1421</v>
          </cell>
          <cell r="AH15">
            <v>1329</v>
          </cell>
          <cell r="AI15">
            <v>1189</v>
          </cell>
          <cell r="AJ15">
            <v>1076</v>
          </cell>
          <cell r="AK15">
            <v>1106</v>
          </cell>
          <cell r="AL15">
            <v>1064</v>
          </cell>
          <cell r="AM15">
            <v>1061</v>
          </cell>
          <cell r="AN15">
            <v>1021</v>
          </cell>
          <cell r="AO15">
            <v>1053</v>
          </cell>
          <cell r="AP15">
            <v>1095</v>
          </cell>
          <cell r="AQ15">
            <v>1085</v>
          </cell>
          <cell r="AR15">
            <v>1091</v>
          </cell>
          <cell r="AS15">
            <v>1086</v>
          </cell>
          <cell r="AT15">
            <v>1123</v>
          </cell>
          <cell r="AU15">
            <v>1107</v>
          </cell>
          <cell r="AV15">
            <v>1096</v>
          </cell>
          <cell r="AW15">
            <v>1098</v>
          </cell>
          <cell r="AX15">
            <v>1085</v>
          </cell>
          <cell r="AY15">
            <v>1141</v>
          </cell>
          <cell r="AZ15">
            <v>1102</v>
          </cell>
          <cell r="BA15">
            <v>1112</v>
          </cell>
          <cell r="BB15">
            <v>1111</v>
          </cell>
        </row>
        <row r="16">
          <cell r="A16" t="str">
            <v>Selling, general, and administrative</v>
          </cell>
          <cell r="B16">
            <v>3141</v>
          </cell>
          <cell r="C16">
            <v>3026</v>
          </cell>
          <cell r="D16">
            <v>2955</v>
          </cell>
          <cell r="E16">
            <v>2452</v>
          </cell>
          <cell r="F16">
            <v>2199</v>
          </cell>
          <cell r="G16">
            <v>1860</v>
          </cell>
          <cell r="U16">
            <v>736</v>
          </cell>
          <cell r="V16">
            <v>785</v>
          </cell>
          <cell r="W16">
            <v>786</v>
          </cell>
          <cell r="X16">
            <v>834</v>
          </cell>
          <cell r="AC16">
            <v>751</v>
          </cell>
          <cell r="AD16">
            <v>748</v>
          </cell>
          <cell r="AE16">
            <v>724</v>
          </cell>
          <cell r="AF16">
            <v>732</v>
          </cell>
          <cell r="AG16">
            <v>639</v>
          </cell>
          <cell r="AH16">
            <v>612</v>
          </cell>
          <cell r="AI16">
            <v>601</v>
          </cell>
          <cell r="AJ16">
            <v>600</v>
          </cell>
          <cell r="AK16">
            <v>575</v>
          </cell>
          <cell r="AL16">
            <v>563</v>
          </cell>
          <cell r="AM16">
            <v>526</v>
          </cell>
          <cell r="AN16">
            <v>535</v>
          </cell>
          <cell r="AO16">
            <v>516</v>
          </cell>
          <cell r="AP16">
            <v>515</v>
          </cell>
          <cell r="AQ16">
            <v>421</v>
          </cell>
          <cell r="AR16">
            <v>408</v>
          </cell>
          <cell r="AS16">
            <v>369</v>
          </cell>
          <cell r="AT16">
            <v>336</v>
          </cell>
          <cell r="AU16">
            <v>357</v>
          </cell>
          <cell r="AV16">
            <v>344</v>
          </cell>
          <cell r="AW16">
            <v>335</v>
          </cell>
          <cell r="AX16">
            <v>281</v>
          </cell>
          <cell r="AY16">
            <v>279</v>
          </cell>
          <cell r="AZ16">
            <v>274</v>
          </cell>
          <cell r="BA16">
            <v>304</v>
          </cell>
          <cell r="BB16">
            <v>264</v>
          </cell>
        </row>
        <row r="17">
          <cell r="A17" t="str">
            <v>Depreciation and amortization</v>
          </cell>
          <cell r="B17">
            <v>1045</v>
          </cell>
          <cell r="C17">
            <v>1121</v>
          </cell>
          <cell r="D17">
            <v>1318</v>
          </cell>
          <cell r="E17">
            <v>1479</v>
          </cell>
          <cell r="F17">
            <v>1432</v>
          </cell>
          <cell r="G17">
            <v>1071</v>
          </cell>
          <cell r="U17">
            <v>243</v>
          </cell>
          <cell r="V17">
            <v>251</v>
          </cell>
          <cell r="W17">
            <v>264</v>
          </cell>
          <cell r="X17">
            <v>287</v>
          </cell>
          <cell r="AC17">
            <v>302</v>
          </cell>
          <cell r="AD17">
            <v>334</v>
          </cell>
          <cell r="AE17">
            <v>356</v>
          </cell>
          <cell r="AF17">
            <v>326</v>
          </cell>
          <cell r="AG17">
            <v>357</v>
          </cell>
          <cell r="AH17">
            <v>364</v>
          </cell>
          <cell r="AI17">
            <v>378</v>
          </cell>
          <cell r="AJ17">
            <v>380</v>
          </cell>
          <cell r="AK17">
            <v>361</v>
          </cell>
          <cell r="AL17">
            <v>363</v>
          </cell>
          <cell r="AM17">
            <v>352</v>
          </cell>
          <cell r="AN17">
            <v>356</v>
          </cell>
          <cell r="AO17">
            <v>320</v>
          </cell>
          <cell r="AP17">
            <v>321</v>
          </cell>
          <cell r="AQ17">
            <v>319</v>
          </cell>
          <cell r="AR17">
            <v>111</v>
          </cell>
          <cell r="AS17">
            <v>117</v>
          </cell>
          <cell r="AT17">
            <v>114</v>
          </cell>
          <cell r="AU17">
            <v>122</v>
          </cell>
          <cell r="AV17">
            <v>136</v>
          </cell>
          <cell r="AW17">
            <v>121</v>
          </cell>
          <cell r="AX17">
            <v>113</v>
          </cell>
          <cell r="AY17">
            <v>124</v>
          </cell>
          <cell r="AZ17">
            <v>147</v>
          </cell>
          <cell r="BA17">
            <v>127</v>
          </cell>
          <cell r="BB17">
            <v>133</v>
          </cell>
        </row>
        <row r="18">
          <cell r="A18" t="str">
            <v>Restructuring and Asset Impairment</v>
          </cell>
          <cell r="B18">
            <v>0</v>
          </cell>
          <cell r="C18">
            <v>238</v>
          </cell>
          <cell r="D18">
            <v>1688</v>
          </cell>
          <cell r="E18">
            <v>194</v>
          </cell>
          <cell r="F18">
            <v>1564</v>
          </cell>
          <cell r="G18">
            <v>3661</v>
          </cell>
          <cell r="U18">
            <v>0</v>
          </cell>
          <cell r="V18">
            <v>0</v>
          </cell>
          <cell r="W18">
            <v>0</v>
          </cell>
          <cell r="X18">
            <v>0</v>
          </cell>
          <cell r="AC18">
            <v>0</v>
          </cell>
          <cell r="AD18">
            <v>0</v>
          </cell>
          <cell r="AE18">
            <v>0</v>
          </cell>
          <cell r="AI18">
            <v>123</v>
          </cell>
          <cell r="AJ18">
            <v>71</v>
          </cell>
          <cell r="AL18">
            <v>348</v>
          </cell>
          <cell r="AM18">
            <v>1223</v>
          </cell>
          <cell r="AN18">
            <v>-7</v>
          </cell>
          <cell r="AO18">
            <v>12</v>
          </cell>
          <cell r="AP18">
            <v>81</v>
          </cell>
          <cell r="AQ18">
            <v>3553</v>
          </cell>
          <cell r="AR18">
            <v>15</v>
          </cell>
          <cell r="AS18">
            <v>-3</v>
          </cell>
          <cell r="AT18">
            <v>13</v>
          </cell>
          <cell r="AU18">
            <v>21</v>
          </cell>
          <cell r="AV18">
            <v>-16</v>
          </cell>
          <cell r="AW18">
            <v>10</v>
          </cell>
          <cell r="AX18">
            <v>7</v>
          </cell>
          <cell r="AY18">
            <v>9</v>
          </cell>
          <cell r="AZ18">
            <v>5</v>
          </cell>
          <cell r="BA18">
            <v>32</v>
          </cell>
          <cell r="BB18">
            <v>0</v>
          </cell>
        </row>
        <row r="20">
          <cell r="A20" t="str">
            <v>Total operating expenses</v>
          </cell>
          <cell r="B20">
            <v>9133</v>
          </cell>
          <cell r="C20">
            <v>9943</v>
          </cell>
          <cell r="D20">
            <v>11965</v>
          </cell>
          <cell r="E20">
            <v>9140</v>
          </cell>
          <cell r="F20">
            <v>9454</v>
          </cell>
          <cell r="G20">
            <v>7255</v>
          </cell>
          <cell r="U20">
            <v>2195</v>
          </cell>
          <cell r="V20">
            <v>2280</v>
          </cell>
          <cell r="W20">
            <v>2314</v>
          </cell>
          <cell r="X20">
            <v>2344</v>
          </cell>
          <cell r="AC20">
            <v>2542</v>
          </cell>
          <cell r="AD20">
            <v>2610</v>
          </cell>
          <cell r="AE20">
            <v>2624</v>
          </cell>
          <cell r="AF20">
            <v>2501</v>
          </cell>
          <cell r="AG20">
            <v>2417</v>
          </cell>
          <cell r="AH20">
            <v>2305</v>
          </cell>
          <cell r="AI20">
            <v>2291</v>
          </cell>
          <cell r="AJ20">
            <v>2127</v>
          </cell>
          <cell r="AK20">
            <v>2042</v>
          </cell>
          <cell r="AL20">
            <v>2338</v>
          </cell>
          <cell r="AM20">
            <v>3162</v>
          </cell>
          <cell r="AN20">
            <v>1912</v>
          </cell>
          <cell r="AO20">
            <v>1889</v>
          </cell>
          <cell r="AP20">
            <v>1931</v>
          </cell>
          <cell r="AQ20">
            <v>1825</v>
          </cell>
          <cell r="AR20">
            <v>1610</v>
          </cell>
          <cell r="AS20">
            <v>1572</v>
          </cell>
          <cell r="AT20">
            <v>1573</v>
          </cell>
          <cell r="AU20">
            <v>1586</v>
          </cell>
          <cell r="AV20">
            <v>1576</v>
          </cell>
          <cell r="AW20">
            <v>1554</v>
          </cell>
          <cell r="AX20">
            <v>1479</v>
          </cell>
          <cell r="AY20">
            <v>1544</v>
          </cell>
          <cell r="AZ20">
            <v>1528</v>
          </cell>
          <cell r="BA20">
            <v>1575</v>
          </cell>
          <cell r="BB20">
            <v>1508</v>
          </cell>
        </row>
        <row r="21">
          <cell r="A21" t="str">
            <v>Adjusted Operating income (loss)</v>
          </cell>
          <cell r="B21">
            <v>1175</v>
          </cell>
          <cell r="C21">
            <v>585</v>
          </cell>
          <cell r="D21">
            <v>-2049</v>
          </cell>
          <cell r="E21">
            <v>-3</v>
          </cell>
          <cell r="F21">
            <v>122</v>
          </cell>
          <cell r="G21">
            <v>72</v>
          </cell>
          <cell r="U21">
            <v>321</v>
          </cell>
          <cell r="V21">
            <v>307</v>
          </cell>
          <cell r="W21">
            <v>280</v>
          </cell>
          <cell r="X21">
            <v>267</v>
          </cell>
          <cell r="AC21">
            <v>25</v>
          </cell>
          <cell r="AD21">
            <v>-47</v>
          </cell>
          <cell r="AE21">
            <v>-119</v>
          </cell>
          <cell r="AF21">
            <v>-220</v>
          </cell>
          <cell r="AG21">
            <v>-75</v>
          </cell>
          <cell r="AH21">
            <v>-30</v>
          </cell>
          <cell r="AI21">
            <v>63</v>
          </cell>
          <cell r="AJ21">
            <v>39</v>
          </cell>
          <cell r="AK21">
            <v>4</v>
          </cell>
          <cell r="AL21">
            <v>15</v>
          </cell>
          <cell r="AM21">
            <v>38</v>
          </cell>
          <cell r="AN21">
            <v>65</v>
          </cell>
          <cell r="AO21">
            <v>23</v>
          </cell>
          <cell r="AP21">
            <v>-58</v>
          </cell>
          <cell r="AQ21">
            <v>-17</v>
          </cell>
          <cell r="AR21">
            <v>124</v>
          </cell>
          <cell r="AS21">
            <v>143</v>
          </cell>
          <cell r="AT21">
            <v>149</v>
          </cell>
          <cell r="AU21">
            <v>149</v>
          </cell>
          <cell r="AV21">
            <v>86</v>
          </cell>
          <cell r="AW21">
            <v>115</v>
          </cell>
          <cell r="AX21">
            <v>162</v>
          </cell>
          <cell r="AY21">
            <v>82</v>
          </cell>
          <cell r="AZ21">
            <v>107</v>
          </cell>
          <cell r="BA21">
            <v>23</v>
          </cell>
          <cell r="BB21">
            <v>126</v>
          </cell>
        </row>
        <row r="22">
          <cell r="A22" t="str">
            <v>Adjusted EBITDA</v>
          </cell>
          <cell r="F22">
            <v>1554</v>
          </cell>
          <cell r="G22">
            <v>1143</v>
          </cell>
          <cell r="U22">
            <v>564</v>
          </cell>
          <cell r="V22">
            <v>558</v>
          </cell>
          <cell r="W22">
            <v>544</v>
          </cell>
          <cell r="X22">
            <v>554</v>
          </cell>
          <cell r="AC22">
            <v>327</v>
          </cell>
          <cell r="AD22">
            <v>287</v>
          </cell>
          <cell r="AE22">
            <v>237</v>
          </cell>
          <cell r="AF22">
            <v>106</v>
          </cell>
          <cell r="AG22">
            <v>282</v>
          </cell>
          <cell r="AH22">
            <v>334</v>
          </cell>
          <cell r="AI22">
            <v>441</v>
          </cell>
          <cell r="AJ22">
            <v>419</v>
          </cell>
          <cell r="AK22">
            <v>365</v>
          </cell>
          <cell r="AL22">
            <v>378</v>
          </cell>
          <cell r="AM22">
            <v>390</v>
          </cell>
          <cell r="AN22">
            <v>421</v>
          </cell>
          <cell r="AO22">
            <v>343</v>
          </cell>
          <cell r="AP22">
            <v>263</v>
          </cell>
          <cell r="AQ22">
            <v>302</v>
          </cell>
          <cell r="AR22">
            <v>235</v>
          </cell>
          <cell r="AS22">
            <v>260</v>
          </cell>
          <cell r="AT22">
            <v>263</v>
          </cell>
          <cell r="AU22">
            <v>271</v>
          </cell>
          <cell r="AV22">
            <v>222</v>
          </cell>
          <cell r="AW22">
            <v>236</v>
          </cell>
          <cell r="AX22">
            <v>275</v>
          </cell>
          <cell r="AY22">
            <v>206</v>
          </cell>
          <cell r="AZ22">
            <v>259</v>
          </cell>
          <cell r="BA22">
            <v>205</v>
          </cell>
          <cell r="BB22">
            <v>259</v>
          </cell>
        </row>
        <row r="24">
          <cell r="A24" t="str">
            <v>Capex</v>
          </cell>
          <cell r="G24">
            <v>282</v>
          </cell>
          <cell r="AC24">
            <v>650</v>
          </cell>
          <cell r="AD24">
            <v>1100</v>
          </cell>
          <cell r="AG24">
            <v>204</v>
          </cell>
          <cell r="AH24">
            <v>220</v>
          </cell>
          <cell r="AK24">
            <v>61</v>
          </cell>
          <cell r="AL24">
            <v>86</v>
          </cell>
          <cell r="AM24">
            <v>75</v>
          </cell>
          <cell r="AN24">
            <v>107</v>
          </cell>
          <cell r="AO24">
            <v>56</v>
          </cell>
          <cell r="AP24">
            <v>64</v>
          </cell>
          <cell r="AQ24">
            <v>71</v>
          </cell>
          <cell r="AR24">
            <v>91</v>
          </cell>
          <cell r="AS24">
            <v>65</v>
          </cell>
          <cell r="AT24">
            <v>70</v>
          </cell>
          <cell r="AU24">
            <v>83</v>
          </cell>
          <cell r="AV24">
            <v>166</v>
          </cell>
          <cell r="AW24">
            <v>92</v>
          </cell>
          <cell r="AX24">
            <v>200</v>
          </cell>
          <cell r="AY24">
            <v>255</v>
          </cell>
          <cell r="AZ24">
            <v>274</v>
          </cell>
          <cell r="BA24">
            <v>144</v>
          </cell>
          <cell r="BB24">
            <v>145</v>
          </cell>
        </row>
        <row r="26">
          <cell r="A26" t="str">
            <v>Local division</v>
          </cell>
        </row>
        <row r="28">
          <cell r="A28" t="str">
            <v>Net operating revenues</v>
          </cell>
        </row>
        <row r="29">
          <cell r="A29" t="str">
            <v>Local service</v>
          </cell>
          <cell r="B29">
            <v>2677</v>
          </cell>
          <cell r="C29">
            <v>2846</v>
          </cell>
          <cell r="D29">
            <v>2939</v>
          </cell>
          <cell r="E29">
            <v>3054</v>
          </cell>
          <cell r="U29">
            <v>641</v>
          </cell>
          <cell r="V29">
            <v>671</v>
          </cell>
          <cell r="W29">
            <v>671</v>
          </cell>
          <cell r="X29">
            <v>694</v>
          </cell>
          <cell r="AC29">
            <v>732</v>
          </cell>
          <cell r="AD29">
            <v>735</v>
          </cell>
          <cell r="AE29">
            <v>732</v>
          </cell>
          <cell r="AF29">
            <v>740</v>
          </cell>
          <cell r="AG29">
            <v>761</v>
          </cell>
          <cell r="AH29">
            <v>763</v>
          </cell>
          <cell r="AI29">
            <v>765</v>
          </cell>
          <cell r="AJ29">
            <v>765</v>
          </cell>
          <cell r="AK29">
            <v>765</v>
          </cell>
          <cell r="AL29">
            <v>762</v>
          </cell>
          <cell r="AM29">
            <v>757</v>
          </cell>
          <cell r="AU29">
            <v>1597</v>
          </cell>
        </row>
        <row r="30">
          <cell r="A30" t="str">
            <v>Network access</v>
          </cell>
          <cell r="B30">
            <v>1918</v>
          </cell>
          <cell r="C30">
            <v>1987</v>
          </cell>
          <cell r="D30">
            <v>2032</v>
          </cell>
          <cell r="E30">
            <v>2068</v>
          </cell>
          <cell r="U30">
            <v>486</v>
          </cell>
          <cell r="V30">
            <v>466</v>
          </cell>
          <cell r="W30">
            <v>480</v>
          </cell>
          <cell r="X30">
            <v>486</v>
          </cell>
          <cell r="AC30">
            <v>505</v>
          </cell>
          <cell r="AD30">
            <v>509</v>
          </cell>
          <cell r="AE30">
            <v>507</v>
          </cell>
          <cell r="AF30">
            <v>511</v>
          </cell>
          <cell r="AG30">
            <v>518</v>
          </cell>
          <cell r="AH30">
            <v>518</v>
          </cell>
          <cell r="AI30">
            <v>526</v>
          </cell>
          <cell r="AJ30">
            <v>506</v>
          </cell>
          <cell r="AK30">
            <v>523</v>
          </cell>
          <cell r="AL30">
            <v>519</v>
          </cell>
          <cell r="AM30">
            <v>525</v>
          </cell>
        </row>
        <row r="31">
          <cell r="A31" t="str">
            <v>Toll service</v>
          </cell>
          <cell r="B31">
            <v>611</v>
          </cell>
          <cell r="C31">
            <v>717</v>
          </cell>
          <cell r="D31">
            <v>731</v>
          </cell>
          <cell r="E31">
            <v>628</v>
          </cell>
          <cell r="U31">
            <v>141</v>
          </cell>
          <cell r="V31">
            <v>141</v>
          </cell>
          <cell r="W31">
            <v>157</v>
          </cell>
          <cell r="X31">
            <v>172</v>
          </cell>
          <cell r="AC31">
            <v>186</v>
          </cell>
          <cell r="AD31">
            <v>177</v>
          </cell>
          <cell r="AE31">
            <v>186</v>
          </cell>
          <cell r="AF31">
            <v>182</v>
          </cell>
          <cell r="AG31">
            <v>168</v>
          </cell>
          <cell r="AH31">
            <v>156</v>
          </cell>
          <cell r="AI31">
            <v>155</v>
          </cell>
          <cell r="AJ31">
            <v>149</v>
          </cell>
          <cell r="AK31">
            <v>144</v>
          </cell>
          <cell r="AL31">
            <v>133</v>
          </cell>
          <cell r="AM31">
            <v>135</v>
          </cell>
        </row>
        <row r="33">
          <cell r="A33" t="str">
            <v xml:space="preserve">Voice </v>
          </cell>
          <cell r="E33">
            <v>4810</v>
          </cell>
          <cell r="F33">
            <v>4654</v>
          </cell>
          <cell r="G33">
            <v>4498</v>
          </cell>
          <cell r="AG33">
            <v>1217</v>
          </cell>
          <cell r="AH33">
            <v>1194</v>
          </cell>
          <cell r="AI33">
            <v>1205</v>
          </cell>
          <cell r="AJ33">
            <v>1194</v>
          </cell>
          <cell r="AK33">
            <v>1183</v>
          </cell>
          <cell r="AL33">
            <v>1165</v>
          </cell>
          <cell r="AM33">
            <v>1152</v>
          </cell>
          <cell r="AN33">
            <v>1154</v>
          </cell>
          <cell r="AO33">
            <v>1147</v>
          </cell>
          <cell r="AP33">
            <v>1136</v>
          </cell>
          <cell r="AQ33">
            <v>1105</v>
          </cell>
          <cell r="AR33">
            <v>1110</v>
          </cell>
          <cell r="AS33">
            <v>1105</v>
          </cell>
          <cell r="AT33">
            <v>1085</v>
          </cell>
          <cell r="AU33">
            <v>1082</v>
          </cell>
          <cell r="AV33">
            <v>1063</v>
          </cell>
          <cell r="AW33">
            <v>1050</v>
          </cell>
        </row>
        <row r="34">
          <cell r="A34" t="str">
            <v xml:space="preserve">Data </v>
          </cell>
          <cell r="E34">
            <v>646</v>
          </cell>
          <cell r="F34">
            <v>730</v>
          </cell>
          <cell r="G34">
            <v>833</v>
          </cell>
          <cell r="AG34">
            <v>154</v>
          </cell>
          <cell r="AH34">
            <v>161</v>
          </cell>
          <cell r="AI34">
            <v>163</v>
          </cell>
          <cell r="AJ34">
            <v>168</v>
          </cell>
          <cell r="AK34">
            <v>173</v>
          </cell>
          <cell r="AL34">
            <v>176</v>
          </cell>
          <cell r="AM34">
            <v>187</v>
          </cell>
          <cell r="AN34">
            <v>194</v>
          </cell>
          <cell r="AO34">
            <v>195</v>
          </cell>
          <cell r="AP34">
            <v>205</v>
          </cell>
          <cell r="AQ34">
            <v>214</v>
          </cell>
          <cell r="AR34">
            <v>219</v>
          </cell>
          <cell r="AS34">
            <v>233</v>
          </cell>
          <cell r="AT34">
            <v>240</v>
          </cell>
          <cell r="AU34">
            <v>251</v>
          </cell>
          <cell r="AV34">
            <v>259</v>
          </cell>
          <cell r="AW34">
            <v>267</v>
          </cell>
        </row>
        <row r="35">
          <cell r="A35" t="str">
            <v>Other</v>
          </cell>
          <cell r="B35">
            <v>752</v>
          </cell>
          <cell r="C35">
            <v>605</v>
          </cell>
          <cell r="D35">
            <v>545</v>
          </cell>
          <cell r="E35">
            <v>801</v>
          </cell>
          <cell r="F35">
            <v>746</v>
          </cell>
          <cell r="G35">
            <v>690</v>
          </cell>
          <cell r="U35">
            <v>171</v>
          </cell>
          <cell r="V35">
            <v>178</v>
          </cell>
          <cell r="W35">
            <v>185</v>
          </cell>
          <cell r="X35">
            <v>218</v>
          </cell>
          <cell r="AC35">
            <v>130</v>
          </cell>
          <cell r="AD35">
            <v>131</v>
          </cell>
          <cell r="AE35">
            <v>139</v>
          </cell>
          <cell r="AF35">
            <v>145</v>
          </cell>
          <cell r="AG35">
            <v>194</v>
          </cell>
          <cell r="AH35">
            <v>193</v>
          </cell>
          <cell r="AI35">
            <v>212</v>
          </cell>
          <cell r="AJ35">
            <v>202</v>
          </cell>
          <cell r="AK35">
            <v>176</v>
          </cell>
          <cell r="AL35">
            <v>185</v>
          </cell>
          <cell r="AM35">
            <v>188</v>
          </cell>
          <cell r="AN35">
            <v>197</v>
          </cell>
          <cell r="AO35">
            <v>164</v>
          </cell>
          <cell r="AP35">
            <v>169</v>
          </cell>
          <cell r="AQ35">
            <v>177</v>
          </cell>
          <cell r="AR35">
            <v>180</v>
          </cell>
          <cell r="AS35">
            <v>259</v>
          </cell>
          <cell r="AT35">
            <v>266</v>
          </cell>
          <cell r="AU35">
            <v>339</v>
          </cell>
          <cell r="AV35">
            <v>345</v>
          </cell>
          <cell r="AW35">
            <v>303</v>
          </cell>
        </row>
        <row r="37">
          <cell r="A37" t="str">
            <v>Net operating revenues</v>
          </cell>
          <cell r="B37">
            <v>5958</v>
          </cell>
          <cell r="C37">
            <v>6155</v>
          </cell>
          <cell r="D37">
            <v>6247</v>
          </cell>
          <cell r="E37">
            <v>6257</v>
          </cell>
          <cell r="F37">
            <v>6130</v>
          </cell>
          <cell r="G37">
            <v>6021</v>
          </cell>
          <cell r="U37">
            <v>1439</v>
          </cell>
          <cell r="V37">
            <v>1456</v>
          </cell>
          <cell r="W37">
            <v>1493</v>
          </cell>
          <cell r="X37">
            <v>1570</v>
          </cell>
          <cell r="AC37">
            <v>1553</v>
          </cell>
          <cell r="AD37">
            <v>1552</v>
          </cell>
          <cell r="AE37">
            <v>1564</v>
          </cell>
          <cell r="AF37">
            <v>1578</v>
          </cell>
          <cell r="AG37">
            <v>1565</v>
          </cell>
          <cell r="AH37">
            <v>1548</v>
          </cell>
          <cell r="AI37">
            <v>1580</v>
          </cell>
          <cell r="AJ37">
            <v>1564</v>
          </cell>
          <cell r="AK37">
            <v>1532</v>
          </cell>
          <cell r="AL37">
            <v>1526</v>
          </cell>
          <cell r="AM37">
            <v>1527</v>
          </cell>
          <cell r="AN37">
            <v>1545</v>
          </cell>
          <cell r="AO37">
            <v>1506</v>
          </cell>
          <cell r="AP37">
            <v>1510</v>
          </cell>
          <cell r="AQ37">
            <v>1496</v>
          </cell>
          <cell r="AR37">
            <v>1509</v>
          </cell>
          <cell r="AS37">
            <v>1597</v>
          </cell>
          <cell r="AT37">
            <v>1591</v>
          </cell>
          <cell r="AU37">
            <v>1672</v>
          </cell>
          <cell r="AV37">
            <v>1667</v>
          </cell>
          <cell r="AW37">
            <v>1620</v>
          </cell>
        </row>
        <row r="39">
          <cell r="A39" t="str">
            <v>Operating expenses</v>
          </cell>
        </row>
        <row r="40">
          <cell r="A40" t="str">
            <v>Costs of services and products</v>
          </cell>
          <cell r="B40">
            <v>2016</v>
          </cell>
          <cell r="C40">
            <v>1965</v>
          </cell>
          <cell r="D40">
            <v>1955</v>
          </cell>
          <cell r="E40">
            <v>1918</v>
          </cell>
          <cell r="F40">
            <v>1943</v>
          </cell>
          <cell r="G40">
            <v>1877</v>
          </cell>
          <cell r="U40">
            <v>484</v>
          </cell>
          <cell r="V40">
            <v>489</v>
          </cell>
          <cell r="W40">
            <v>496</v>
          </cell>
          <cell r="X40">
            <v>547</v>
          </cell>
          <cell r="AC40">
            <v>496</v>
          </cell>
          <cell r="AD40">
            <v>484</v>
          </cell>
          <cell r="AE40">
            <v>496</v>
          </cell>
          <cell r="AF40">
            <v>479</v>
          </cell>
          <cell r="AG40">
            <v>480</v>
          </cell>
          <cell r="AH40">
            <v>474</v>
          </cell>
          <cell r="AI40">
            <v>486</v>
          </cell>
          <cell r="AJ40">
            <v>478</v>
          </cell>
          <cell r="AK40">
            <v>487</v>
          </cell>
          <cell r="AL40">
            <v>489</v>
          </cell>
          <cell r="AM40">
            <v>491</v>
          </cell>
          <cell r="AN40">
            <v>476</v>
          </cell>
          <cell r="AO40">
            <v>451</v>
          </cell>
          <cell r="AP40">
            <v>462</v>
          </cell>
          <cell r="AQ40">
            <v>499</v>
          </cell>
          <cell r="AR40">
            <v>465</v>
          </cell>
          <cell r="AS40">
            <v>564</v>
          </cell>
          <cell r="AT40">
            <v>561</v>
          </cell>
          <cell r="AU40">
            <v>641</v>
          </cell>
          <cell r="AV40">
            <v>641</v>
          </cell>
          <cell r="AW40">
            <v>599</v>
          </cell>
        </row>
        <row r="41">
          <cell r="A41" t="str">
            <v>Selling, general, and administrative</v>
          </cell>
          <cell r="B41">
            <v>1320</v>
          </cell>
          <cell r="C41">
            <v>1288</v>
          </cell>
          <cell r="D41">
            <v>1280</v>
          </cell>
          <cell r="E41">
            <v>1269</v>
          </cell>
          <cell r="F41">
            <v>1220</v>
          </cell>
          <cell r="G41">
            <v>1255</v>
          </cell>
          <cell r="U41">
            <v>322</v>
          </cell>
          <cell r="V41">
            <v>319</v>
          </cell>
          <cell r="W41">
            <v>330</v>
          </cell>
          <cell r="X41">
            <v>349</v>
          </cell>
          <cell r="AC41">
            <v>338</v>
          </cell>
          <cell r="AD41">
            <v>327</v>
          </cell>
          <cell r="AE41">
            <v>307</v>
          </cell>
          <cell r="AF41">
            <v>308</v>
          </cell>
          <cell r="AG41">
            <v>318</v>
          </cell>
          <cell r="AH41">
            <v>305</v>
          </cell>
          <cell r="AI41">
            <v>323</v>
          </cell>
          <cell r="AJ41">
            <v>323</v>
          </cell>
          <cell r="AK41">
            <v>318</v>
          </cell>
          <cell r="AL41">
            <v>313</v>
          </cell>
          <cell r="AM41">
            <v>304</v>
          </cell>
          <cell r="AN41">
            <v>285</v>
          </cell>
          <cell r="AO41">
            <v>327</v>
          </cell>
          <cell r="AP41">
            <v>330</v>
          </cell>
          <cell r="AQ41">
            <v>311</v>
          </cell>
          <cell r="AR41">
            <v>287</v>
          </cell>
          <cell r="AS41">
            <v>321</v>
          </cell>
          <cell r="AT41">
            <v>290</v>
          </cell>
          <cell r="AU41">
            <v>298</v>
          </cell>
          <cell r="AV41">
            <v>281</v>
          </cell>
          <cell r="AW41">
            <v>306</v>
          </cell>
        </row>
        <row r="42">
          <cell r="A42" t="str">
            <v>Depreciation</v>
          </cell>
          <cell r="B42">
            <v>1069</v>
          </cell>
          <cell r="C42">
            <v>1139</v>
          </cell>
          <cell r="D42">
            <v>1120</v>
          </cell>
          <cell r="E42">
            <v>1157</v>
          </cell>
          <cell r="F42">
            <v>1081</v>
          </cell>
          <cell r="G42">
            <v>1084</v>
          </cell>
          <cell r="U42">
            <v>261</v>
          </cell>
          <cell r="V42">
            <v>265</v>
          </cell>
          <cell r="W42">
            <v>271</v>
          </cell>
          <cell r="X42">
            <v>272</v>
          </cell>
          <cell r="AC42">
            <v>281</v>
          </cell>
          <cell r="AD42">
            <v>275</v>
          </cell>
          <cell r="AE42">
            <v>284</v>
          </cell>
          <cell r="AF42">
            <v>280</v>
          </cell>
          <cell r="AG42">
            <v>286</v>
          </cell>
          <cell r="AH42">
            <v>288</v>
          </cell>
          <cell r="AI42">
            <v>291</v>
          </cell>
          <cell r="AJ42">
            <v>292</v>
          </cell>
          <cell r="AK42">
            <v>265</v>
          </cell>
          <cell r="AL42">
            <v>271</v>
          </cell>
          <cell r="AM42">
            <v>269</v>
          </cell>
          <cell r="AN42">
            <v>276</v>
          </cell>
          <cell r="AO42">
            <v>268</v>
          </cell>
          <cell r="AP42">
            <v>271</v>
          </cell>
          <cell r="AQ42">
            <v>272</v>
          </cell>
          <cell r="AR42">
            <v>273</v>
          </cell>
          <cell r="AS42">
            <v>277</v>
          </cell>
          <cell r="AT42">
            <v>278</v>
          </cell>
          <cell r="AU42">
            <v>277</v>
          </cell>
          <cell r="AV42">
            <v>259</v>
          </cell>
          <cell r="AW42">
            <v>263</v>
          </cell>
        </row>
        <row r="43">
          <cell r="A43" t="str">
            <v>Restructuring and Asset Impairment</v>
          </cell>
          <cell r="F43">
            <v>24</v>
          </cell>
          <cell r="G43">
            <v>40</v>
          </cell>
          <cell r="AK43">
            <v>0</v>
          </cell>
          <cell r="AN43">
            <v>24</v>
          </cell>
          <cell r="AO43">
            <v>14</v>
          </cell>
          <cell r="AP43">
            <v>3</v>
          </cell>
          <cell r="AQ43">
            <v>3</v>
          </cell>
          <cell r="AR43">
            <v>20</v>
          </cell>
          <cell r="AS43">
            <v>1</v>
          </cell>
          <cell r="AT43">
            <v>1</v>
          </cell>
          <cell r="AU43">
            <v>1</v>
          </cell>
          <cell r="AV43">
            <v>79</v>
          </cell>
          <cell r="AW43">
            <v>29</v>
          </cell>
        </row>
        <row r="45">
          <cell r="A45" t="str">
            <v>Total operating expenses</v>
          </cell>
          <cell r="B45">
            <v>4405</v>
          </cell>
          <cell r="C45">
            <v>4392</v>
          </cell>
          <cell r="D45">
            <v>4464</v>
          </cell>
          <cell r="E45">
            <v>4344</v>
          </cell>
          <cell r="F45">
            <v>4244</v>
          </cell>
          <cell r="G45">
            <v>4216</v>
          </cell>
          <cell r="U45">
            <v>1067</v>
          </cell>
          <cell r="V45">
            <v>1073</v>
          </cell>
          <cell r="W45">
            <v>1097</v>
          </cell>
          <cell r="X45">
            <v>1168</v>
          </cell>
          <cell r="AC45">
            <v>1115</v>
          </cell>
          <cell r="AD45">
            <v>1086</v>
          </cell>
          <cell r="AE45">
            <v>1087</v>
          </cell>
          <cell r="AF45">
            <v>1067</v>
          </cell>
          <cell r="AG45">
            <v>1084</v>
          </cell>
          <cell r="AH45">
            <v>1067</v>
          </cell>
          <cell r="AI45">
            <v>1100</v>
          </cell>
          <cell r="AJ45">
            <v>1093</v>
          </cell>
          <cell r="AK45">
            <v>1070</v>
          </cell>
          <cell r="AL45">
            <v>1073</v>
          </cell>
          <cell r="AM45">
            <v>1064</v>
          </cell>
          <cell r="AN45">
            <v>1037</v>
          </cell>
          <cell r="AO45">
            <v>1046</v>
          </cell>
          <cell r="AP45">
            <v>1063</v>
          </cell>
          <cell r="AQ45">
            <v>1082</v>
          </cell>
          <cell r="AR45">
            <v>1025</v>
          </cell>
          <cell r="AS45">
            <v>1162</v>
          </cell>
          <cell r="AT45">
            <v>1129</v>
          </cell>
          <cell r="AU45">
            <v>1216</v>
          </cell>
          <cell r="AV45">
            <v>1181</v>
          </cell>
          <cell r="AW45">
            <v>1168</v>
          </cell>
        </row>
        <row r="46">
          <cell r="A46" t="str">
            <v>Operating income</v>
          </cell>
          <cell r="B46">
            <v>1553</v>
          </cell>
          <cell r="C46">
            <v>1763</v>
          </cell>
          <cell r="D46">
            <v>1783</v>
          </cell>
          <cell r="E46">
            <v>1913</v>
          </cell>
          <cell r="F46">
            <v>1886</v>
          </cell>
          <cell r="G46">
            <v>1805</v>
          </cell>
          <cell r="U46">
            <v>372</v>
          </cell>
          <cell r="V46">
            <v>383</v>
          </cell>
          <cell r="W46">
            <v>396</v>
          </cell>
          <cell r="X46">
            <v>402</v>
          </cell>
          <cell r="AC46">
            <v>438</v>
          </cell>
          <cell r="AD46">
            <v>466</v>
          </cell>
          <cell r="AE46">
            <v>477</v>
          </cell>
          <cell r="AF46">
            <v>511</v>
          </cell>
          <cell r="AG46">
            <v>481</v>
          </cell>
          <cell r="AH46">
            <v>481</v>
          </cell>
          <cell r="AI46">
            <v>480</v>
          </cell>
          <cell r="AJ46">
            <v>471</v>
          </cell>
          <cell r="AK46">
            <v>462</v>
          </cell>
          <cell r="AL46">
            <v>453</v>
          </cell>
          <cell r="AM46">
            <v>463</v>
          </cell>
          <cell r="AN46">
            <v>508</v>
          </cell>
          <cell r="AO46">
            <v>460</v>
          </cell>
          <cell r="AP46">
            <v>447</v>
          </cell>
          <cell r="AQ46">
            <v>414</v>
          </cell>
          <cell r="AR46">
            <v>484</v>
          </cell>
          <cell r="AS46">
            <v>435</v>
          </cell>
          <cell r="AT46">
            <v>462</v>
          </cell>
          <cell r="AU46">
            <v>456</v>
          </cell>
          <cell r="AV46">
            <v>486</v>
          </cell>
          <cell r="AW46">
            <v>452</v>
          </cell>
        </row>
        <row r="47">
          <cell r="A47" t="str">
            <v>Adjusted EBITDA</v>
          </cell>
          <cell r="G47">
            <v>2889</v>
          </cell>
          <cell r="U47">
            <v>633</v>
          </cell>
          <cell r="V47">
            <v>648</v>
          </cell>
          <cell r="W47">
            <v>667</v>
          </cell>
          <cell r="X47">
            <v>674</v>
          </cell>
          <cell r="AC47">
            <v>719</v>
          </cell>
          <cell r="AD47">
            <v>741</v>
          </cell>
          <cell r="AE47">
            <v>761</v>
          </cell>
          <cell r="AF47">
            <v>791</v>
          </cell>
          <cell r="AG47">
            <v>767</v>
          </cell>
          <cell r="AH47">
            <v>769</v>
          </cell>
          <cell r="AI47">
            <v>771</v>
          </cell>
          <cell r="AJ47">
            <v>763</v>
          </cell>
          <cell r="AK47">
            <v>727</v>
          </cell>
          <cell r="AL47">
            <v>724</v>
          </cell>
          <cell r="AM47">
            <v>732</v>
          </cell>
          <cell r="AN47">
            <v>784</v>
          </cell>
          <cell r="AO47">
            <v>728</v>
          </cell>
          <cell r="AP47">
            <v>718</v>
          </cell>
          <cell r="AQ47">
            <v>686</v>
          </cell>
          <cell r="AR47">
            <v>757</v>
          </cell>
          <cell r="AS47">
            <v>712</v>
          </cell>
          <cell r="AT47">
            <v>740</v>
          </cell>
          <cell r="AU47">
            <v>733</v>
          </cell>
          <cell r="AV47">
            <v>745</v>
          </cell>
          <cell r="AW47">
            <v>715</v>
          </cell>
        </row>
        <row r="49">
          <cell r="A49" t="str">
            <v>Capex</v>
          </cell>
          <cell r="G49">
            <v>1042</v>
          </cell>
          <cell r="AC49">
            <v>364</v>
          </cell>
          <cell r="AD49">
            <v>325</v>
          </cell>
          <cell r="AG49">
            <v>290</v>
          </cell>
          <cell r="AH49">
            <v>276</v>
          </cell>
          <cell r="AI49">
            <v>305</v>
          </cell>
          <cell r="AJ49">
            <v>419</v>
          </cell>
          <cell r="AK49">
            <v>281</v>
          </cell>
          <cell r="AL49">
            <v>297</v>
          </cell>
          <cell r="AM49">
            <v>269</v>
          </cell>
          <cell r="AN49">
            <v>389</v>
          </cell>
          <cell r="AO49">
            <v>209</v>
          </cell>
          <cell r="AP49">
            <v>247</v>
          </cell>
          <cell r="AQ49">
            <v>257</v>
          </cell>
          <cell r="AR49">
            <v>329</v>
          </cell>
          <cell r="AS49">
            <v>152</v>
          </cell>
          <cell r="AT49">
            <v>197</v>
          </cell>
          <cell r="AU49">
            <v>205</v>
          </cell>
          <cell r="AV49">
            <v>303</v>
          </cell>
          <cell r="AW49">
            <v>179</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2 mth perf"/>
      <sheetName val="3M rate"/>
      <sheetName val="Alliance"/>
      <sheetName val="Beta"/>
      <sheetName val="Cofficient of Var"/>
      <sheetName val="MWare_Cached"/>
      <sheetName val="Coverage Summary"/>
      <sheetName val="Cost to Income"/>
      <sheetName val="Cost Mix"/>
      <sheetName val="Clearing fee"/>
      <sheetName val="Driver of stocks"/>
      <sheetName val="Div Yld 90-05"/>
      <sheetName val="Div Payout vs PE"/>
      <sheetName val="Div yield"/>
      <sheetName val="Derivative Exchanges"/>
      <sheetName val="EPS"/>
      <sheetName val="Fund Raised in China"/>
      <sheetName val="Fund Raised in Region"/>
      <sheetName val="Gordon Model"/>
      <sheetName val="GDP g"/>
      <sheetName val="Gordon"/>
      <sheetName val="IBES"/>
      <sheetName val="Implied Growth Premium"/>
      <sheetName val="Index"/>
      <sheetName val="Index vs Futures"/>
      <sheetName val="Listed co"/>
      <sheetName val="Listed co #"/>
      <sheetName val="Listing fee"/>
      <sheetName val="Mkt Cap to Earnings"/>
      <sheetName val="Mkt cap and Listed co"/>
      <sheetName val="Mkt Cap g vs Index g"/>
      <sheetName val="Mkt Cap to GDP"/>
      <sheetName val="MKt Cap"/>
      <sheetName val="Mkt Cap, Listed co, Turnover"/>
      <sheetName val="PB vs ROE"/>
      <sheetName val="PB vs ROE (individual)"/>
      <sheetName val="PE vs Rev CAGR"/>
      <sheetName val="PE vs Velocity"/>
      <sheetName val="PE Price Band"/>
      <sheetName val="PE vs Div Payout"/>
      <sheetName val="PE"/>
      <sheetName val="Price - Asian"/>
      <sheetName val="Price - Global"/>
      <sheetName val="Price MoM"/>
      <sheetName val="Price g vs Index g"/>
      <sheetName val="Pipeline"/>
      <sheetName val="Revenue mix"/>
      <sheetName val="Rel Perf vs TO (D)"/>
      <sheetName val="Rel Perf vs TO (M)"/>
      <sheetName val="__FDSCACHE__"/>
      <sheetName val="Short Selling"/>
      <sheetName val="Shareholding"/>
      <sheetName val="Summary table"/>
      <sheetName val="SGX vs HKEX vs OCBC"/>
      <sheetName val="Trading Days"/>
      <sheetName val="Trading Hours"/>
      <sheetName val="Turnover"/>
      <sheetName val="Turnover and growth"/>
      <sheetName val="Turnover MoM"/>
      <sheetName val="Turnover Daily"/>
      <sheetName val="Valuation"/>
      <sheetName val="Velocity 04"/>
      <sheetName val="Velocity Nov05"/>
      <sheetName val="Velocity"/>
      <sheetName val="Velocity Apr 06"/>
      <sheetName val="Warrant"/>
      <sheetName val="Warrant2"/>
      <sheetName val="Warrant3"/>
      <sheetName val="World Cup Effect"/>
      <sheetName val="Bull Bear"/>
      <sheetName val="Black box"/>
      <sheetName val="Dealing Cost"/>
      <sheetName val="Futures Ex"/>
      <sheetName val="Margin"/>
      <sheetName val="Stamp duty"/>
      <sheetName val="Trading Spread"/>
      <sheetName val="07 Valuation"/>
      <sheetName val="Assumptions"/>
      <sheetName val="Implied volatility (W)"/>
      <sheetName val="Money Flow"/>
      <sheetName val="#REF"/>
    </sheetNames>
    <sheetDataSet>
      <sheetData sheetId="0" refreshError="1">
        <row r="1">
          <cell r="B1" t="str">
            <v>Absolute Performance</v>
          </cell>
          <cell r="E1" t="str">
            <v>Relative Performance</v>
          </cell>
          <cell r="J1" t="str">
            <v xml:space="preserve">DataStream </v>
          </cell>
          <cell r="K1" t="str">
            <v xml:space="preserve">DataStream </v>
          </cell>
          <cell r="M1" t="str">
            <v xml:space="preserve">Stock </v>
          </cell>
          <cell r="N1">
            <v>39000</v>
          </cell>
          <cell r="O1">
            <v>38997</v>
          </cell>
          <cell r="P1">
            <v>38908</v>
          </cell>
          <cell r="Q1">
            <v>38635</v>
          </cell>
          <cell r="S1" t="str">
            <v>Index</v>
          </cell>
          <cell r="T1">
            <v>39000</v>
          </cell>
          <cell r="U1">
            <v>38997</v>
          </cell>
          <cell r="V1">
            <v>38908</v>
          </cell>
          <cell r="W1">
            <v>38635</v>
          </cell>
        </row>
        <row r="2">
          <cell r="A2" t="str">
            <v>(%)</v>
          </cell>
          <cell r="B2" t="str">
            <v>1M</v>
          </cell>
          <cell r="C2" t="str">
            <v>3M</v>
          </cell>
          <cell r="D2" t="str">
            <v>12M</v>
          </cell>
          <cell r="E2" t="str">
            <v>1M</v>
          </cell>
          <cell r="F2" t="str">
            <v>3M</v>
          </cell>
          <cell r="G2" t="str">
            <v>12M</v>
          </cell>
          <cell r="M2" t="str">
            <v>Factset code</v>
          </cell>
          <cell r="N2" t="str">
            <v>Current</v>
          </cell>
          <cell r="O2" t="str">
            <v>1M Ago</v>
          </cell>
          <cell r="P2" t="str">
            <v>3M ago</v>
          </cell>
          <cell r="Q2" t="str">
            <v>12 M ago</v>
          </cell>
          <cell r="S2" t="str">
            <v>Factset code</v>
          </cell>
          <cell r="T2" t="str">
            <v>Current</v>
          </cell>
          <cell r="U2" t="str">
            <v>1M Ago</v>
          </cell>
          <cell r="V2" t="str">
            <v>3M ago</v>
          </cell>
          <cell r="W2" t="str">
            <v>12 M ago</v>
          </cell>
        </row>
        <row r="3">
          <cell r="A3" t="str">
            <v>Bursa</v>
          </cell>
          <cell r="B3">
            <v>8.6956521739132153E-3</v>
          </cell>
          <cell r="C3">
            <v>-4.1322314049586639E-2</v>
          </cell>
          <cell r="D3">
            <v>0.25541125541125553</v>
          </cell>
          <cell r="E3">
            <v>1.001671050914843E-2</v>
          </cell>
          <cell r="F3">
            <v>-8.5662059143352787E-2</v>
          </cell>
          <cell r="G3">
            <v>0.20255169785441729</v>
          </cell>
          <cell r="J3" t="str">
            <v>L:BURS</v>
          </cell>
          <cell r="K3" t="str">
            <v>KLPCOMP</v>
          </cell>
          <cell r="M3" t="str">
            <v>B06FV3</v>
          </cell>
          <cell r="N3">
            <v>5.8000000000000007</v>
          </cell>
          <cell r="O3">
            <v>5.75</v>
          </cell>
          <cell r="P3">
            <v>6.05</v>
          </cell>
          <cell r="Q3">
            <v>4.62</v>
          </cell>
          <cell r="S3">
            <v>180730</v>
          </cell>
          <cell r="T3">
            <v>969.71</v>
          </cell>
          <cell r="U3">
            <v>970.98</v>
          </cell>
          <cell r="V3">
            <v>924.86</v>
          </cell>
          <cell r="W3">
            <v>928.88</v>
          </cell>
        </row>
        <row r="4">
          <cell r="A4" t="str">
            <v>SGX</v>
          </cell>
          <cell r="B4">
            <v>4.3103448275862988E-3</v>
          </cell>
          <cell r="C4">
            <v>0.26630434782608692</v>
          </cell>
          <cell r="D4">
            <v>0.76515151515151514</v>
          </cell>
          <cell r="E4">
            <v>4.9324295988626421E-3</v>
          </cell>
          <cell r="F4">
            <v>0.16624484902008652</v>
          </cell>
          <cell r="G4">
            <v>0.56229969448150774</v>
          </cell>
          <cell r="J4" t="str">
            <v>T:SISE</v>
          </cell>
          <cell r="K4" t="str">
            <v>SNGPORI</v>
          </cell>
          <cell r="M4">
            <v>630386</v>
          </cell>
          <cell r="N4">
            <v>4.66</v>
          </cell>
          <cell r="O4">
            <v>4.6399999999999997</v>
          </cell>
          <cell r="P4">
            <v>3.68</v>
          </cell>
          <cell r="Q4">
            <v>2.64</v>
          </cell>
          <cell r="S4">
            <v>180469</v>
          </cell>
          <cell r="T4">
            <v>2647.66</v>
          </cell>
          <cell r="U4">
            <v>2649.3</v>
          </cell>
          <cell r="V4">
            <v>2438.4500000000003</v>
          </cell>
          <cell r="W4">
            <v>2343.39</v>
          </cell>
        </row>
        <row r="5">
          <cell r="A5" t="str">
            <v>HKEx</v>
          </cell>
          <cell r="B5">
            <v>-1.0344827586206806E-2</v>
          </cell>
          <cell r="C5">
            <v>0.14342629482071723</v>
          </cell>
          <cell r="D5">
            <v>1.1950286806883366</v>
          </cell>
          <cell r="E5">
            <v>-5.9200661343391525E-3</v>
          </cell>
          <cell r="F5">
            <v>6.5167891526853206E-2</v>
          </cell>
          <cell r="G5">
            <v>0.83481698283627814</v>
          </cell>
          <cell r="J5" t="str">
            <v>HK388</v>
          </cell>
          <cell r="K5" t="str">
            <v>HKGKNGI</v>
          </cell>
          <cell r="M5">
            <v>626735</v>
          </cell>
          <cell r="N5">
            <v>57.400000000000006</v>
          </cell>
          <cell r="O5">
            <v>58</v>
          </cell>
          <cell r="P5">
            <v>50.2</v>
          </cell>
          <cell r="Q5">
            <v>26.150000000000002</v>
          </cell>
          <cell r="S5">
            <v>180458</v>
          </cell>
          <cell r="T5">
            <v>17823.7</v>
          </cell>
          <cell r="U5">
            <v>17903.39</v>
          </cell>
          <cell r="V5">
            <v>16603.810000000001</v>
          </cell>
          <cell r="W5">
            <v>14898.77</v>
          </cell>
        </row>
        <row r="6">
          <cell r="A6" t="str">
            <v>Int'l Securities Ex</v>
          </cell>
          <cell r="B6">
            <v>9.3167701863352548E-3</v>
          </cell>
          <cell r="C6">
            <v>0.27785058977719523</v>
          </cell>
          <cell r="D6">
            <v>1.1168041684759009</v>
          </cell>
          <cell r="E6">
            <v>5.6935439750240846E-3</v>
          </cell>
          <cell r="F6">
            <v>0.20232453888160573</v>
          </cell>
          <cell r="G6">
            <v>0.85914376362113809</v>
          </cell>
          <cell r="J6" t="str">
            <v>N:NZEX</v>
          </cell>
          <cell r="K6" t="str">
            <v>NZ50CAP</v>
          </cell>
          <cell r="M6" t="str">
            <v>ISE</v>
          </cell>
          <cell r="N6">
            <v>48.75</v>
          </cell>
          <cell r="O6">
            <v>48.300000000000004</v>
          </cell>
          <cell r="P6">
            <v>38.15</v>
          </cell>
          <cell r="Q6">
            <v>23.03</v>
          </cell>
          <cell r="S6" t="str">
            <v>SPSUP</v>
          </cell>
          <cell r="T6">
            <v>305.31110000000001</v>
          </cell>
          <cell r="U6">
            <v>304.21510000000001</v>
          </cell>
          <cell r="V6">
            <v>287.26600000000002</v>
          </cell>
          <cell r="W6">
            <v>268.14820000000003</v>
          </cell>
        </row>
        <row r="7">
          <cell r="A7" t="str">
            <v>Chicago Board of Trade</v>
          </cell>
          <cell r="B7">
            <v>-5.1084826935635985E-2</v>
          </cell>
          <cell r="C7">
            <v>0.12732758620689655</v>
          </cell>
          <cell r="D7" t="str">
            <v>NA</v>
          </cell>
          <cell r="E7">
            <v>-5.4491224638433478E-2</v>
          </cell>
          <cell r="F7">
            <v>6.0698043337796603E-2</v>
          </cell>
          <cell r="G7" t="str">
            <v>NA</v>
          </cell>
          <cell r="J7" t="str">
            <v>LSE</v>
          </cell>
          <cell r="K7" t="str">
            <v>FTALLSH</v>
          </cell>
          <cell r="M7" t="str">
            <v>BOT</v>
          </cell>
          <cell r="N7">
            <v>130.77000000000001</v>
          </cell>
          <cell r="O7">
            <v>137.81</v>
          </cell>
          <cell r="P7">
            <v>116</v>
          </cell>
          <cell r="Q7" t="e">
            <v>#N/A</v>
          </cell>
          <cell r="S7" t="str">
            <v>SPSUP</v>
          </cell>
          <cell r="T7">
            <v>305.31110000000001</v>
          </cell>
          <cell r="U7">
            <v>304.21510000000001</v>
          </cell>
          <cell r="V7">
            <v>287.26600000000002</v>
          </cell>
          <cell r="W7">
            <v>268.14820000000003</v>
          </cell>
        </row>
        <row r="8">
          <cell r="A8" t="str">
            <v>Intercontinental</v>
          </cell>
          <cell r="B8">
            <v>2.2599531615924873E-2</v>
          </cell>
          <cell r="C8">
            <v>0.65366407877295951</v>
          </cell>
          <cell r="D8" t="str">
            <v>NA</v>
          </cell>
          <cell r="E8">
            <v>1.8928623199391481E-2</v>
          </cell>
          <cell r="F8">
            <v>0.55592595635334918</v>
          </cell>
          <cell r="G8" t="str">
            <v>NA</v>
          </cell>
          <cell r="J8" t="str">
            <v>D:DB1</v>
          </cell>
          <cell r="K8" t="str">
            <v>DAXINDX</v>
          </cell>
          <cell r="M8" t="str">
            <v>ICE</v>
          </cell>
          <cell r="N8">
            <v>87.33</v>
          </cell>
          <cell r="O8">
            <v>85.4</v>
          </cell>
          <cell r="P8">
            <v>52.81</v>
          </cell>
          <cell r="Q8" t="e">
            <v>#N/A</v>
          </cell>
          <cell r="S8" t="str">
            <v>SPSUP</v>
          </cell>
          <cell r="T8">
            <v>305.31110000000001</v>
          </cell>
          <cell r="U8">
            <v>304.21510000000001</v>
          </cell>
          <cell r="V8">
            <v>287.26600000000002</v>
          </cell>
          <cell r="W8">
            <v>268.14820000000003</v>
          </cell>
        </row>
        <row r="9">
          <cell r="A9" t="str">
            <v>NASDAQ</v>
          </cell>
          <cell r="B9">
            <v>5.5957246149009876E-2</v>
          </cell>
          <cell r="C9">
            <v>0.18441466854724986</v>
          </cell>
          <cell r="D9">
            <v>0.15628227194492261</v>
          </cell>
          <cell r="E9">
            <v>5.2166590841098204E-2</v>
          </cell>
          <cell r="F9">
            <v>0.11441105211993374</v>
          </cell>
          <cell r="G9">
            <v>1.5537954283160849E-2</v>
          </cell>
          <cell r="J9" t="str">
            <v>H:EURN</v>
          </cell>
          <cell r="K9" t="str">
            <v>AMSTEOE</v>
          </cell>
          <cell r="M9" t="str">
            <v>NDAQ</v>
          </cell>
          <cell r="N9">
            <v>33.590000000000003</v>
          </cell>
          <cell r="O9">
            <v>31.810000000000002</v>
          </cell>
          <cell r="P9">
            <v>28.36</v>
          </cell>
          <cell r="Q9">
            <v>29.05</v>
          </cell>
          <cell r="S9" t="str">
            <v>SPSUP</v>
          </cell>
          <cell r="T9">
            <v>305.31110000000001</v>
          </cell>
          <cell r="U9">
            <v>304.21510000000001</v>
          </cell>
          <cell r="V9">
            <v>287.26600000000002</v>
          </cell>
          <cell r="W9">
            <v>268.14820000000003</v>
          </cell>
        </row>
        <row r="10">
          <cell r="A10" t="str">
            <v>New Zealand Ex</v>
          </cell>
          <cell r="B10">
            <v>0</v>
          </cell>
          <cell r="C10">
            <v>8.6750135843767007E-2</v>
          </cell>
          <cell r="D10">
            <v>0.48869883406833359</v>
          </cell>
          <cell r="E10">
            <v>-1.0038652985179253E-3</v>
          </cell>
          <cell r="F10">
            <v>0.10341357748621993</v>
          </cell>
          <cell r="G10">
            <v>0.41333037664766081</v>
          </cell>
          <cell r="J10" t="str">
            <v>N:NZEX</v>
          </cell>
          <cell r="K10" t="str">
            <v>NZ50CAP</v>
          </cell>
          <cell r="M10">
            <v>662315</v>
          </cell>
          <cell r="N10">
            <v>6.21</v>
          </cell>
          <cell r="O10">
            <v>6.21</v>
          </cell>
          <cell r="P10">
            <v>5.7142849999999994</v>
          </cell>
          <cell r="Q10">
            <v>4.1714279999999997</v>
          </cell>
          <cell r="S10">
            <v>140478</v>
          </cell>
          <cell r="T10">
            <v>3596.1000000000004</v>
          </cell>
          <cell r="U10">
            <v>3592.4900000000002</v>
          </cell>
          <cell r="V10">
            <v>3651.2400000000002</v>
          </cell>
          <cell r="W10">
            <v>3414.04</v>
          </cell>
        </row>
        <row r="11">
          <cell r="A11" t="str">
            <v>London SE</v>
          </cell>
          <cell r="B11">
            <v>9.7719869706840434E-3</v>
          </cell>
          <cell r="C11">
            <v>8.4864391951006146E-2</v>
          </cell>
          <cell r="D11">
            <v>1.2280478886551034</v>
          </cell>
          <cell r="E11">
            <v>-2.1170734255818724E-3</v>
          </cell>
          <cell r="F11">
            <v>5.3458401188250404E-2</v>
          </cell>
          <cell r="G11">
            <v>0.97188126822942866</v>
          </cell>
          <cell r="J11" t="str">
            <v>LSE</v>
          </cell>
          <cell r="K11" t="str">
            <v>FTALLSH</v>
          </cell>
          <cell r="M11" t="str">
            <v>B0167W</v>
          </cell>
          <cell r="N11">
            <v>12.4</v>
          </cell>
          <cell r="O11">
            <v>12.280000000000001</v>
          </cell>
          <cell r="P11">
            <v>11.43</v>
          </cell>
          <cell r="Q11">
            <v>5.5654100000000009</v>
          </cell>
          <cell r="S11">
            <v>180555</v>
          </cell>
          <cell r="T11">
            <v>6072.7000000000007</v>
          </cell>
          <cell r="U11">
            <v>6001.2000000000007</v>
          </cell>
          <cell r="V11">
            <v>5896.9000000000005</v>
          </cell>
          <cell r="W11">
            <v>5374.5</v>
          </cell>
        </row>
        <row r="12">
          <cell r="A12" t="str">
            <v>Deutsche Boerse</v>
          </cell>
          <cell r="B12">
            <v>6.0420243643201754E-2</v>
          </cell>
          <cell r="C12">
            <v>0.21385119326158164</v>
          </cell>
          <cell r="D12">
            <v>0.65075728649611819</v>
          </cell>
          <cell r="E12">
            <v>5.4892595804145072E-2</v>
          </cell>
          <cell r="F12">
            <v>0.13222400943704349</v>
          </cell>
          <cell r="G12">
            <v>0.38846674074802423</v>
          </cell>
          <cell r="J12" t="str">
            <v>D:DB1</v>
          </cell>
          <cell r="K12" t="str">
            <v>DAXINDX</v>
          </cell>
          <cell r="M12">
            <v>702196</v>
          </cell>
          <cell r="N12">
            <v>129.70000000000002</v>
          </cell>
          <cell r="O12">
            <v>122.31</v>
          </cell>
          <cell r="P12">
            <v>106.85000000000001</v>
          </cell>
          <cell r="Q12">
            <v>78.570000000000007</v>
          </cell>
          <cell r="S12">
            <v>180596</v>
          </cell>
          <cell r="T12">
            <v>4107.28</v>
          </cell>
          <cell r="U12">
            <v>4085.87</v>
          </cell>
          <cell r="V12">
            <v>3831.08</v>
          </cell>
          <cell r="W12">
            <v>3454.67</v>
          </cell>
        </row>
        <row r="13">
          <cell r="A13" t="str">
            <v>Euronext</v>
          </cell>
          <cell r="B13">
            <v>1.8159048215403928E-2</v>
          </cell>
          <cell r="C13">
            <v>0.11446196024674449</v>
          </cell>
          <cell r="D13">
            <v>1.3063829787234047</v>
          </cell>
          <cell r="E13" t="e">
            <v>#VALUE!</v>
          </cell>
          <cell r="F13" t="e">
            <v>#VALUE!</v>
          </cell>
          <cell r="G13" t="e">
            <v>#VALUE!</v>
          </cell>
          <cell r="J13" t="str">
            <v>H:EURN</v>
          </cell>
          <cell r="K13" t="str">
            <v>AMSTEOE</v>
          </cell>
          <cell r="M13">
            <v>715377</v>
          </cell>
          <cell r="N13">
            <v>81.300000000000011</v>
          </cell>
          <cell r="O13">
            <v>79.850000000000009</v>
          </cell>
          <cell r="P13">
            <v>72.95</v>
          </cell>
          <cell r="Q13">
            <v>35.25</v>
          </cell>
          <cell r="S13">
            <v>181010</v>
          </cell>
          <cell r="T13" t="str">
            <v>#Calc</v>
          </cell>
          <cell r="U13" t="str">
            <v>#Calc</v>
          </cell>
          <cell r="V13" t="str">
            <v>#Calc</v>
          </cell>
          <cell r="W13" t="str">
            <v>#Calc</v>
          </cell>
        </row>
        <row r="14">
          <cell r="A14" t="str">
            <v>ASX</v>
          </cell>
          <cell r="B14">
            <v>2.3042836041359038E-2</v>
          </cell>
          <cell r="C14">
            <v>-5.7720057720045403E-4</v>
          </cell>
          <cell r="D14">
            <v>0.2854491462509281</v>
          </cell>
          <cell r="E14">
            <v>1.6486504954807302E-2</v>
          </cell>
          <cell r="F14">
            <v>-2.1441256562234279E-2</v>
          </cell>
          <cell r="G14">
            <v>9.2127381599954816E-2</v>
          </cell>
          <cell r="J14" t="str">
            <v>D:ASXX</v>
          </cell>
          <cell r="K14" t="str">
            <v>ASXAORD</v>
          </cell>
          <cell r="M14">
            <v>612922</v>
          </cell>
          <cell r="N14">
            <v>34.630000000000003</v>
          </cell>
          <cell r="O14">
            <v>33.85</v>
          </cell>
          <cell r="P14">
            <v>34.65</v>
          </cell>
          <cell r="Q14">
            <v>26.94</v>
          </cell>
          <cell r="S14" t="str">
            <v>ASAOI</v>
          </cell>
          <cell r="T14">
            <v>5211.7000000000007</v>
          </cell>
          <cell r="U14">
            <v>5178.3</v>
          </cell>
          <cell r="V14">
            <v>5102.9000000000005</v>
          </cell>
          <cell r="W14">
            <v>4427.9000000000005</v>
          </cell>
        </row>
        <row r="15">
          <cell r="A15" t="str">
            <v xml:space="preserve">Chicago Mercantile </v>
          </cell>
          <cell r="B15">
            <v>2.4837000814995847E-2</v>
          </cell>
          <cell r="C15">
            <v>2.9662231320368493E-2</v>
          </cell>
          <cell r="D15">
            <v>0.52467414367990295</v>
          </cell>
          <cell r="E15">
            <v>2.1158060373939858E-2</v>
          </cell>
          <cell r="F15">
            <v>-3.1194900734113462E-2</v>
          </cell>
          <cell r="G15">
            <v>0.33908864503880598</v>
          </cell>
          <cell r="J15" t="str">
            <v>U:CME</v>
          </cell>
          <cell r="K15" t="str">
            <v>S&amp;PCOMP</v>
          </cell>
          <cell r="M15" t="str">
            <v>CME</v>
          </cell>
          <cell r="N15">
            <v>502.99</v>
          </cell>
          <cell r="O15">
            <v>490.8</v>
          </cell>
          <cell r="P15">
            <v>488.5</v>
          </cell>
          <cell r="Q15">
            <v>329.90000000000003</v>
          </cell>
          <cell r="S15" t="str">
            <v>SPSUP</v>
          </cell>
          <cell r="T15">
            <v>305.31110000000001</v>
          </cell>
          <cell r="U15">
            <v>304.21510000000001</v>
          </cell>
          <cell r="V15">
            <v>287.26600000000002</v>
          </cell>
          <cell r="W15">
            <v>268.14820000000003</v>
          </cell>
        </row>
        <row r="16">
          <cell r="A16" t="str">
            <v>OMX</v>
          </cell>
          <cell r="B16">
            <v>7.4626865671640896E-3</v>
          </cell>
          <cell r="C16">
            <v>0.1203319502074689</v>
          </cell>
          <cell r="D16">
            <v>0.41361256544502623</v>
          </cell>
          <cell r="E16">
            <v>0.04</v>
          </cell>
          <cell r="F16">
            <v>0.01</v>
          </cell>
          <cell r="G16">
            <v>0.15</v>
          </cell>
          <cell r="J16" t="str">
            <v>W:OMH</v>
          </cell>
          <cell r="K16" t="str">
            <v>AFFGENL</v>
          </cell>
          <cell r="M16">
            <v>543774</v>
          </cell>
          <cell r="N16">
            <v>135</v>
          </cell>
          <cell r="O16">
            <v>134</v>
          </cell>
          <cell r="P16">
            <v>120.5</v>
          </cell>
          <cell r="Q16">
            <v>95.5</v>
          </cell>
          <cell r="S16" t="str">
            <v>NIK2K</v>
          </cell>
          <cell r="T16" t="e">
            <v>#N/A</v>
          </cell>
          <cell r="U16" t="e">
            <v>#N/A</v>
          </cell>
          <cell r="V16" t="e">
            <v>#N/A</v>
          </cell>
          <cell r="W16" t="e">
            <v>#N/A</v>
          </cell>
        </row>
        <row r="17">
          <cell r="A17" t="str">
            <v>NYSE</v>
          </cell>
          <cell r="B17">
            <v>-7.6050528486724112E-3</v>
          </cell>
          <cell r="C17">
            <v>0.16299093655589103</v>
          </cell>
          <cell r="D17" t="str">
            <v>NA</v>
          </cell>
          <cell r="E17">
            <v>-1.1167533420383902E-2</v>
          </cell>
          <cell r="F17">
            <v>9.4253547875149613E-2</v>
          </cell>
          <cell r="G17" t="str">
            <v>NA</v>
          </cell>
          <cell r="M17" t="str">
            <v>NYX</v>
          </cell>
          <cell r="N17">
            <v>76.989999999999995</v>
          </cell>
          <cell r="O17">
            <v>77.58</v>
          </cell>
          <cell r="P17">
            <v>66.2</v>
          </cell>
          <cell r="Q17" t="e">
            <v>#N/A</v>
          </cell>
          <cell r="S17" t="str">
            <v>SPSUP</v>
          </cell>
          <cell r="T17">
            <v>305.31110000000001</v>
          </cell>
          <cell r="U17">
            <v>304.21510000000001</v>
          </cell>
          <cell r="V17">
            <v>287.26600000000002</v>
          </cell>
          <cell r="W17">
            <v>268.14820000000003</v>
          </cell>
        </row>
        <row r="18">
          <cell r="A18" t="str">
            <v>Toronto SE</v>
          </cell>
          <cell r="B18">
            <v>4.6709129511677272E-3</v>
          </cell>
          <cell r="C18">
            <v>5.5778670236501515E-2</v>
          </cell>
          <cell r="D18">
            <v>0.23004938913439044</v>
          </cell>
          <cell r="E18">
            <v>-8.2116097951312472E-4</v>
          </cell>
          <cell r="F18">
            <v>4.6759534447919471E-2</v>
          </cell>
          <cell r="G18">
            <v>0.11044679352475484</v>
          </cell>
          <cell r="J18" t="str">
            <v>C:X</v>
          </cell>
          <cell r="K18" t="str">
            <v>TTOCOMP</v>
          </cell>
          <cell r="M18" t="str">
            <v>*X</v>
          </cell>
          <cell r="N18">
            <v>47.32</v>
          </cell>
          <cell r="O18">
            <v>47.1</v>
          </cell>
          <cell r="P18">
            <v>44.82</v>
          </cell>
          <cell r="Q18">
            <v>38.47</v>
          </cell>
          <cell r="S18">
            <v>168110</v>
          </cell>
          <cell r="T18">
            <v>11755.15</v>
          </cell>
          <cell r="U18">
            <v>11690.89</v>
          </cell>
          <cell r="V18">
            <v>11654.73</v>
          </cell>
          <cell r="W18">
            <v>10612.15</v>
          </cell>
        </row>
        <row r="19">
          <cell r="A19" t="str">
            <v>Osaka</v>
          </cell>
          <cell r="B19">
            <v>-1.498929336188437E-2</v>
          </cell>
          <cell r="C19">
            <v>7.8125926514468036E-2</v>
          </cell>
          <cell r="D19">
            <v>1.421055180058084</v>
          </cell>
          <cell r="E19">
            <v>-1.7451633315846538E-2</v>
          </cell>
          <cell r="F19">
            <v>1.7638660154307262E-2</v>
          </cell>
          <cell r="G19">
            <v>0.94359396169574139</v>
          </cell>
          <cell r="J19" t="str">
            <v>J:OSEX</v>
          </cell>
          <cell r="K19" t="str">
            <v>TOKYOSE</v>
          </cell>
          <cell r="M19">
            <v>8697</v>
          </cell>
          <cell r="N19">
            <v>460000</v>
          </cell>
          <cell r="O19">
            <v>467000</v>
          </cell>
          <cell r="P19">
            <v>426666.30000000005</v>
          </cell>
          <cell r="Q19">
            <v>189999.80000000002</v>
          </cell>
          <cell r="S19" t="str">
            <v>NIK2K</v>
          </cell>
          <cell r="T19">
            <v>16477.25</v>
          </cell>
          <cell r="U19">
            <v>16436.060000000001</v>
          </cell>
          <cell r="V19">
            <v>15552.809000000001</v>
          </cell>
          <cell r="W19">
            <v>13227.737999999999</v>
          </cell>
        </row>
        <row r="20">
          <cell r="A20" t="str">
            <v xml:space="preserve">Asia Ave. </v>
          </cell>
          <cell r="B20">
            <v>2.1429424189534753E-3</v>
          </cell>
          <cell r="C20">
            <v>8.9191410906897015E-2</v>
          </cell>
          <cell r="D20">
            <v>0.7844191555120239</v>
          </cell>
          <cell r="E20">
            <v>1.6127891225265368E-3</v>
          </cell>
          <cell r="F20">
            <v>2.8389616999131985E-2</v>
          </cell>
          <cell r="G20">
            <v>0.52707794369357985</v>
          </cell>
        </row>
        <row r="21">
          <cell r="A21" t="str">
            <v>Global Ave ex Asia</v>
          </cell>
          <cell r="B21">
            <v>1.2875462277464916E-2</v>
          </cell>
          <cell r="C21">
            <v>0.17599569941063586</v>
          </cell>
          <cell r="D21">
            <v>0.67947883629145589</v>
          </cell>
          <cell r="E21" t="e">
            <v>#VALUE!</v>
          </cell>
          <cell r="F21" t="e">
            <v>#VALUE!</v>
          </cell>
          <cell r="G21" t="e">
            <v>#VALUE!</v>
          </cell>
        </row>
        <row r="23">
          <cell r="A23" t="str">
            <v>Sorting</v>
          </cell>
        </row>
        <row r="24">
          <cell r="B24" t="str">
            <v>Absolute Performance</v>
          </cell>
          <cell r="E24" t="str">
            <v>Relative Performance</v>
          </cell>
        </row>
        <row r="25">
          <cell r="A25" t="str">
            <v>(%)</v>
          </cell>
          <cell r="B25" t="str">
            <v>1M</v>
          </cell>
          <cell r="C25" t="str">
            <v>3M</v>
          </cell>
          <cell r="D25" t="str">
            <v>12M</v>
          </cell>
          <cell r="E25" t="str">
            <v>1M</v>
          </cell>
          <cell r="F25" t="str">
            <v>3M</v>
          </cell>
          <cell r="G25" t="str">
            <v>12M</v>
          </cell>
        </row>
        <row r="26">
          <cell r="A26" t="str">
            <v>Sorting</v>
          </cell>
          <cell r="B26">
            <v>9.0440939813324794E-2</v>
          </cell>
          <cell r="C26">
            <v>7.2151898734177156E-2</v>
          </cell>
          <cell r="D26">
            <v>0.26041666666666674</v>
          </cell>
          <cell r="E26">
            <v>5.0848272319271137E-2</v>
          </cell>
          <cell r="F26">
            <v>6.5943456102071973E-2</v>
          </cell>
          <cell r="G26">
            <v>9.3781382253783852E-2</v>
          </cell>
        </row>
        <row r="27">
          <cell r="A27" t="str">
            <v>SGX</v>
          </cell>
          <cell r="B27" t="str">
            <v>Absolute Performance</v>
          </cell>
          <cell r="C27">
            <v>2.4875621890547261E-2</v>
          </cell>
          <cell r="D27">
            <v>0.76068376068376087</v>
          </cell>
          <cell r="E27" t="str">
            <v>Relative Performance
to Local Index</v>
          </cell>
          <cell r="F27">
            <v>-2.0870636104003748E-2</v>
          </cell>
          <cell r="G27">
            <v>0.60777374395554173</v>
          </cell>
        </row>
        <row r="28">
          <cell r="A28" t="str">
            <v>(%)</v>
          </cell>
          <cell r="B28" t="str">
            <v>1M</v>
          </cell>
          <cell r="C28" t="str">
            <v>3M</v>
          </cell>
          <cell r="D28" t="str">
            <v>12M</v>
          </cell>
          <cell r="E28" t="str">
            <v>1M</v>
          </cell>
          <cell r="F28" t="str">
            <v>3M</v>
          </cell>
          <cell r="G28" t="str">
            <v>12M</v>
          </cell>
        </row>
        <row r="29">
          <cell r="A29" t="str">
            <v xml:space="preserve">Chicago Mercantile </v>
          </cell>
          <cell r="B29">
            <v>2.4837000814995847E-2</v>
          </cell>
          <cell r="C29">
            <v>2.9662231320368493E-2</v>
          </cell>
          <cell r="D29">
            <v>0.52467414367990295</v>
          </cell>
          <cell r="E29">
            <v>2.1158060373939858E-2</v>
          </cell>
          <cell r="F29">
            <v>-3.1194900734113462E-2</v>
          </cell>
          <cell r="G29">
            <v>0.33908864503880598</v>
          </cell>
        </row>
        <row r="30">
          <cell r="A30" t="str">
            <v>Deutsche Boerse</v>
          </cell>
          <cell r="B30">
            <v>6.0420243643201754E-2</v>
          </cell>
          <cell r="C30">
            <v>0.21385119326158164</v>
          </cell>
          <cell r="D30">
            <v>0.65075728649611819</v>
          </cell>
          <cell r="E30">
            <v>5.4892595804145072E-2</v>
          </cell>
          <cell r="F30">
            <v>0.13222400943704349</v>
          </cell>
          <cell r="G30">
            <v>0.38846674074802423</v>
          </cell>
        </row>
        <row r="31">
          <cell r="A31" t="str">
            <v>NASDAQ</v>
          </cell>
          <cell r="B31">
            <v>5.5957246149009876E-2</v>
          </cell>
          <cell r="C31">
            <v>0.18441466854724986</v>
          </cell>
          <cell r="D31">
            <v>0.15628227194492261</v>
          </cell>
          <cell r="E31">
            <v>5.2166590841098204E-2</v>
          </cell>
          <cell r="F31">
            <v>0.11441105211993374</v>
          </cell>
          <cell r="G31">
            <v>1.5537954283160849E-2</v>
          </cell>
        </row>
        <row r="32">
          <cell r="A32" t="str">
            <v>Int'l Securities Ex</v>
          </cell>
          <cell r="B32">
            <v>9.3167701863352548E-3</v>
          </cell>
          <cell r="C32">
            <v>0.27785058977719523</v>
          </cell>
          <cell r="D32">
            <v>1.1168041684759009</v>
          </cell>
          <cell r="E32">
            <v>5.6935439750240846E-3</v>
          </cell>
          <cell r="F32">
            <v>0.20232453888160573</v>
          </cell>
          <cell r="G32">
            <v>0.85914376362113809</v>
          </cell>
        </row>
        <row r="33">
          <cell r="A33" t="str">
            <v>Bursa</v>
          </cell>
          <cell r="B33">
            <v>8.6956521739132153E-3</v>
          </cell>
          <cell r="C33">
            <v>-4.1322314049586639E-2</v>
          </cell>
          <cell r="D33">
            <v>0.25541125541125553</v>
          </cell>
          <cell r="E33">
            <v>1.001671050914843E-2</v>
          </cell>
          <cell r="F33">
            <v>-8.5662059143352787E-2</v>
          </cell>
          <cell r="G33">
            <v>0.20255169785441729</v>
          </cell>
        </row>
        <row r="34">
          <cell r="A34" t="str">
            <v>OMX</v>
          </cell>
          <cell r="B34">
            <v>7.4626865671640896E-3</v>
          </cell>
          <cell r="C34">
            <v>0.1203319502074689</v>
          </cell>
          <cell r="D34">
            <v>0.41361256544502623</v>
          </cell>
          <cell r="E34">
            <v>0.04</v>
          </cell>
          <cell r="F34">
            <v>0.01</v>
          </cell>
          <cell r="G34">
            <v>0.15</v>
          </cell>
        </row>
        <row r="35">
          <cell r="A35" t="str">
            <v>Euronext</v>
          </cell>
          <cell r="B35">
            <v>1.8159048215403928E-2</v>
          </cell>
          <cell r="C35">
            <v>0.11446196024674449</v>
          </cell>
          <cell r="D35">
            <v>1.3063829787234047</v>
          </cell>
          <cell r="E35" t="e">
            <v>#VALUE!</v>
          </cell>
          <cell r="F35" t="e">
            <v>#VALUE!</v>
          </cell>
          <cell r="G35" t="e">
            <v>#VALUE!</v>
          </cell>
        </row>
        <row r="36">
          <cell r="A36" t="str">
            <v>New Zealand Ex</v>
          </cell>
          <cell r="B36">
            <v>0</v>
          </cell>
          <cell r="C36">
            <v>8.6750135843767007E-2</v>
          </cell>
          <cell r="D36">
            <v>0.48869883406833359</v>
          </cell>
          <cell r="E36">
            <v>-1.0038652985179253E-3</v>
          </cell>
          <cell r="F36">
            <v>0.10341357748621993</v>
          </cell>
          <cell r="G36">
            <v>0.41333037664766081</v>
          </cell>
        </row>
        <row r="37">
          <cell r="A37" t="str">
            <v>ASX</v>
          </cell>
          <cell r="B37">
            <v>2.3042836041359038E-2</v>
          </cell>
          <cell r="C37">
            <v>-5.7720057720045403E-4</v>
          </cell>
          <cell r="D37">
            <v>0.2854491462509281</v>
          </cell>
          <cell r="E37">
            <v>1.6486504954807302E-2</v>
          </cell>
          <cell r="F37">
            <v>-2.1441256562234279E-2</v>
          </cell>
          <cell r="G37">
            <v>9.2127381599954816E-2</v>
          </cell>
        </row>
        <row r="38">
          <cell r="A38" t="str">
            <v>London SE</v>
          </cell>
          <cell r="B38">
            <v>9.7719869706840434E-3</v>
          </cell>
          <cell r="C38">
            <v>8.4864391951006146E-2</v>
          </cell>
          <cell r="D38">
            <v>1.2280478886551034</v>
          </cell>
          <cell r="E38">
            <v>-2.1170734255818724E-3</v>
          </cell>
          <cell r="F38">
            <v>5.3458401188250404E-2</v>
          </cell>
          <cell r="G38">
            <v>0.97188126822942866</v>
          </cell>
        </row>
        <row r="39">
          <cell r="A39" t="str">
            <v>NYSE</v>
          </cell>
          <cell r="B39">
            <v>-7.6050528486724112E-3</v>
          </cell>
          <cell r="C39">
            <v>0.16299093655589103</v>
          </cell>
          <cell r="D39" t="str">
            <v>NA</v>
          </cell>
          <cell r="E39">
            <v>-1.1167533420383902E-2</v>
          </cell>
          <cell r="F39">
            <v>9.4253547875149613E-2</v>
          </cell>
          <cell r="G39" t="str">
            <v>NA</v>
          </cell>
        </row>
        <row r="40">
          <cell r="A40" t="str">
            <v>Osaka</v>
          </cell>
          <cell r="B40">
            <v>-1.498929336188437E-2</v>
          </cell>
          <cell r="C40">
            <v>7.8125926514468036E-2</v>
          </cell>
          <cell r="D40">
            <v>1.421055180058084</v>
          </cell>
          <cell r="E40">
            <v>-1.7451633315846538E-2</v>
          </cell>
          <cell r="F40">
            <v>1.7638660154307262E-2</v>
          </cell>
          <cell r="G40">
            <v>0.94359396169574139</v>
          </cell>
        </row>
        <row r="41">
          <cell r="A41" t="str">
            <v>Toronto SE</v>
          </cell>
          <cell r="B41">
            <v>4.6709129511677272E-3</v>
          </cell>
          <cell r="C41">
            <v>5.5778670236501515E-2</v>
          </cell>
          <cell r="D41">
            <v>0.23004938913439044</v>
          </cell>
          <cell r="E41">
            <v>-8.2116097951312472E-4</v>
          </cell>
          <cell r="F41">
            <v>4.6759534447919471E-2</v>
          </cell>
          <cell r="G41">
            <v>0.11044679352475484</v>
          </cell>
        </row>
        <row r="42">
          <cell r="A42" t="str">
            <v>Intercontinental</v>
          </cell>
          <cell r="B42">
            <v>2.2599531615924873E-2</v>
          </cell>
          <cell r="C42">
            <v>0.65366407877295951</v>
          </cell>
          <cell r="D42" t="str">
            <v>NA</v>
          </cell>
          <cell r="E42">
            <v>1.8928623199391481E-2</v>
          </cell>
          <cell r="F42">
            <v>0.55592595635334918</v>
          </cell>
          <cell r="G42" t="str">
            <v>NA</v>
          </cell>
        </row>
        <row r="43">
          <cell r="A43" t="str">
            <v>HKEx</v>
          </cell>
          <cell r="B43">
            <v>-1.0344827586206806E-2</v>
          </cell>
          <cell r="C43">
            <v>0.14342629482071723</v>
          </cell>
          <cell r="D43">
            <v>1.1950286806883366</v>
          </cell>
          <cell r="E43">
            <v>-5.9200661343391525E-3</v>
          </cell>
          <cell r="F43">
            <v>6.5167891526853206E-2</v>
          </cell>
          <cell r="G43">
            <v>0.83481698283627814</v>
          </cell>
        </row>
        <row r="44">
          <cell r="A44" t="str">
            <v>SGX</v>
          </cell>
          <cell r="B44">
            <v>4.3103448275862988E-3</v>
          </cell>
          <cell r="C44">
            <v>0.26630434782608692</v>
          </cell>
          <cell r="D44">
            <v>0.76515151515151514</v>
          </cell>
          <cell r="E44">
            <v>4.9324295988626421E-3</v>
          </cell>
          <cell r="F44">
            <v>0.16624484902008652</v>
          </cell>
          <cell r="G44">
            <v>0.56229969448150774</v>
          </cell>
        </row>
        <row r="45">
          <cell r="A45" t="str">
            <v>Chicago Board of Trade</v>
          </cell>
          <cell r="B45">
            <v>-5.1084826935635985E-2</v>
          </cell>
          <cell r="C45">
            <v>0.12732758620689655</v>
          </cell>
          <cell r="D45" t="str">
            <v>NA</v>
          </cell>
          <cell r="E45">
            <v>-5.4491224638433478E-2</v>
          </cell>
          <cell r="F45">
            <v>6.0698043337796603E-2</v>
          </cell>
          <cell r="G45" t="str">
            <v>NA</v>
          </cell>
        </row>
        <row r="46">
          <cell r="A46" t="str">
            <v xml:space="preserve">Asia Ave. </v>
          </cell>
          <cell r="B46">
            <v>2.1429424189534753E-3</v>
          </cell>
          <cell r="C46">
            <v>8.9191410906897015E-2</v>
          </cell>
          <cell r="D46">
            <v>0.7844191555120239</v>
          </cell>
          <cell r="E46">
            <v>1.6127891225265368E-3</v>
          </cell>
          <cell r="F46">
            <v>2.8389616999131985E-2</v>
          </cell>
          <cell r="G46">
            <v>0.52707794369357985</v>
          </cell>
        </row>
        <row r="47">
          <cell r="A47" t="str">
            <v>Global Ave ex Asia</v>
          </cell>
          <cell r="B47">
            <v>1.2875462277464916E-2</v>
          </cell>
          <cell r="C47">
            <v>0.17599569941063586</v>
          </cell>
          <cell r="D47">
            <v>0.67947883629145589</v>
          </cell>
          <cell r="E47" t="e">
            <v>#VALUE!</v>
          </cell>
          <cell r="F47" t="e">
            <v>#VALUE!</v>
          </cell>
          <cell r="G47" t="e">
            <v>#VALUE!</v>
          </cell>
        </row>
      </sheetData>
      <sheetData sheetId="1" refreshError="1">
        <row r="1">
          <cell r="B1" t="str">
            <v>3M Rate</v>
          </cell>
        </row>
        <row r="2">
          <cell r="A2" t="str">
            <v>Australia</v>
          </cell>
          <cell r="B2">
            <v>5.5933000000000002</v>
          </cell>
        </row>
        <row r="3">
          <cell r="A3" t="str">
            <v>Hong Kong</v>
          </cell>
          <cell r="B3">
            <v>4.5057099999999997</v>
          </cell>
        </row>
        <row r="4">
          <cell r="A4" t="str">
            <v>Malaysia</v>
          </cell>
          <cell r="B4">
            <v>3.47</v>
          </cell>
        </row>
        <row r="5">
          <cell r="A5" t="str">
            <v>Singapore</v>
          </cell>
          <cell r="B5">
            <v>3.375</v>
          </cell>
        </row>
      </sheetData>
      <sheetData sheetId="2" refreshError="1">
        <row r="1">
          <cell r="A1" t="str">
            <v>Company</v>
          </cell>
          <cell r="B1" t="str">
            <v>Alliance</v>
          </cell>
        </row>
        <row r="2">
          <cell r="A2" t="str">
            <v>HKEx</v>
          </cell>
          <cell r="B2" t="str">
            <v>China Securities Depository and Clearing Corporation and Hong Kong Securities Clearing Company enter into an MOU on information and personnel exchange on Sep 2004</v>
          </cell>
          <cell r="C2" t="str">
            <v>http://www.hkex.com.hk/publication/newsltr/exchange_oct05.htm</v>
          </cell>
        </row>
        <row r="3">
          <cell r="B3" t="str">
            <v xml:space="preserve">HKEx and FTSE Xinhua Index Limited (FXI), the leading China index provider established by FTSE Group and Xinhua Finance, announced they have signed an agreement that will enable HKEx to introduce futures and options on the FTSE/Xinhua China 25 Index (FXI </v>
          </cell>
          <cell r="C3" t="str">
            <v>http://www.hkex.com.hk/news/hkexnews/2004.htm</v>
          </cell>
        </row>
        <row r="4">
          <cell r="A4" t="str">
            <v>SGX</v>
          </cell>
          <cell r="B4" t="str">
            <v>CBOT and SGX Establish Joint Venture to Launch an Electronic Commodities Derivatives Exchange in Dec 2005.</v>
          </cell>
          <cell r="C4" t="str">
            <v>http://info.sgx.com/webcorannc.nsf/bb9bdd76eab7e9c548256da400176a15/54b116342cec474a482570dc0034853d?OpenDocument</v>
          </cell>
        </row>
        <row r="5">
          <cell r="B5" t="str">
            <v>SGX and Amex formed a joint venture to promote the listing and trading of Exchange Traded Funds (ETFs) in the region</v>
          </cell>
          <cell r="C5" t="str">
            <v>http://info.sgx.com/SGXWeb_CORPCOM.nsf/NEWDOCNAME/Alliances_and_Links</v>
          </cell>
        </row>
        <row r="6">
          <cell r="B6" t="str">
            <v>SGX and ASX formed the world's first securities co-trading linkage on 20 Dec 2001. The facility allows investors in the respective markets to trade selected securities in each other's market directly, through brokers in their own markets.</v>
          </cell>
        </row>
        <row r="7">
          <cell r="B7" t="str">
            <v>SGX's Mutual Offset System (MOS) with CME is the world's 1st and most successful futures trading link.</v>
          </cell>
        </row>
        <row r="8">
          <cell r="B8" t="str">
            <v xml:space="preserve">On 3 April 2002, SGX and TOCOM signed an agreement to co-operate on the launch of the Middle Eastern Crude Oil (MECO) futures on SGX, and the possibility of further co-operation in other products. </v>
          </cell>
        </row>
        <row r="9">
          <cell r="A9" t="str">
            <v>Bursa</v>
          </cell>
          <cell r="B9" t="str">
            <v>Bursa Malaysia and FTSE Group, the award-winning index provider, announced that they have signed a co-operation agreement to create a new series of equity indices for Malaysia in Jan 2006</v>
          </cell>
          <cell r="C9" t="str">
            <v>http://www.klse.com.my/website/mediacentre/mr/int_rel.htm</v>
          </cell>
        </row>
        <row r="10">
          <cell r="B10" t="str">
            <v>Bursa Malaysia and global index provider FTSE Group (FTSE) signed a memorandum of understanding (MOU) to explore the feasibility of creating and promoting new indices for the Malaysian markets in Jun 2005</v>
          </cell>
        </row>
        <row r="11">
          <cell r="A11" t="str">
            <v>ASX</v>
          </cell>
          <cell r="B11" t="str">
            <v>ASX and Shenzhen Stock Exchange Sign MOU to develop closer tiers, marking an upgrading of the relationship between 2 the equities markets in Sep 2003.</v>
          </cell>
          <cell r="C11" t="str">
            <v>http://www.asx.com.au/about/shareholder/announcements/2003.htm</v>
          </cell>
        </row>
        <row r="12">
          <cell r="B12" t="str">
            <v>ASX and Aspect Financial established a Strategic Alliance to deliver enhanced customer service and develop new business opportunities in financial information services</v>
          </cell>
        </row>
        <row r="17">
          <cell r="A17" t="str">
            <v>Exchange</v>
          </cell>
          <cell r="B17" t="str">
            <v>Alliance</v>
          </cell>
          <cell r="C17" t="str">
            <v>Time Frame</v>
          </cell>
          <cell r="D17" t="str">
            <v>Products</v>
          </cell>
        </row>
        <row r="18">
          <cell r="A18" t="str">
            <v>HKEx</v>
          </cell>
          <cell r="B18" t="str">
            <v>China Securities Depository and Clearing Corporation</v>
          </cell>
          <cell r="C18" t="str">
            <v>Active</v>
          </cell>
          <cell r="D18" t="str">
            <v>Information and personnel exchange</v>
          </cell>
        </row>
        <row r="19">
          <cell r="B19" t="str">
            <v>FTSE Xinhua Index Limited</v>
          </cell>
          <cell r="C19" t="str">
            <v>Active</v>
          </cell>
          <cell r="D19" t="str">
            <v>Introduction of  futures and options on the FTSE/Xinhua China 25 Index</v>
          </cell>
        </row>
        <row r="20">
          <cell r="A20" t="str">
            <v>SGX</v>
          </cell>
          <cell r="B20" t="str">
            <v>CBOT</v>
          </cell>
          <cell r="C20" t="str">
            <v>Talks on</v>
          </cell>
          <cell r="D20" t="str">
            <v>Electronic Commodities Derivatives Exchange</v>
          </cell>
        </row>
        <row r="21">
          <cell r="B21" t="str">
            <v>Amex</v>
          </cell>
          <cell r="C21" t="str">
            <v>Active</v>
          </cell>
          <cell r="D21" t="str">
            <v>Promoting the listing and trading of Exchange Traded Funds (ETFs) in the region</v>
          </cell>
        </row>
        <row r="22">
          <cell r="B22" t="str">
            <v>ASX</v>
          </cell>
          <cell r="C22" t="str">
            <v>Active</v>
          </cell>
          <cell r="D22" t="str">
            <v>Formation of the the world's first securities co-trading linkage</v>
          </cell>
        </row>
        <row r="23">
          <cell r="B23" t="str">
            <v>Bursa Malaysia</v>
          </cell>
          <cell r="C23" t="str">
            <v>Talks on</v>
          </cell>
          <cell r="D23" t="str">
            <v>Co-trading linkage</v>
          </cell>
        </row>
        <row r="24">
          <cell r="B24" t="str">
            <v>China Shangdong and Zhejiang Government</v>
          </cell>
          <cell r="C24" t="str">
            <v>Talks on</v>
          </cell>
          <cell r="D24" t="str">
            <v>Strategic MOU for listing</v>
          </cell>
        </row>
        <row r="25">
          <cell r="A25" t="str">
            <v>Bursa</v>
          </cell>
          <cell r="B25" t="str">
            <v>FTSE Group</v>
          </cell>
          <cell r="C25" t="str">
            <v>Talks on</v>
          </cell>
          <cell r="D25" t="str">
            <v>To create a new series of equity indices for Malaysia</v>
          </cell>
        </row>
        <row r="26">
          <cell r="B26" t="str">
            <v>SGX</v>
          </cell>
          <cell r="C26" t="str">
            <v>Talks on</v>
          </cell>
          <cell r="D26" t="str">
            <v>Co-trading linkage</v>
          </cell>
        </row>
        <row r="27">
          <cell r="A27" t="str">
            <v>ASX</v>
          </cell>
          <cell r="B27" t="str">
            <v>Shenzhen Stock Exchange</v>
          </cell>
          <cell r="C27" t="str">
            <v>Active</v>
          </cell>
          <cell r="D27" t="str">
            <v>Developing closer tiers, marking an upgrading of the relationship between 2 the equities markets</v>
          </cell>
        </row>
        <row r="28">
          <cell r="B28" t="str">
            <v>Aspect Financial</v>
          </cell>
          <cell r="C28" t="str">
            <v>Active</v>
          </cell>
          <cell r="D28" t="str">
            <v>Strategic Alliance to deliver enhanced customer service and develop new business opportunities</v>
          </cell>
        </row>
      </sheetData>
      <sheetData sheetId="3"/>
      <sheetData sheetId="4" refreshError="1">
        <row r="4">
          <cell r="C4" t="str">
            <v>Company name</v>
          </cell>
          <cell r="D4" t="str">
            <v>Share price, last close</v>
          </cell>
          <cell r="E4" t="str">
            <v>Close price date</v>
          </cell>
          <cell r="F4" t="str">
            <v>Close price currency</v>
          </cell>
          <cell r="G4" t="str">
            <v>ModelWare EPS</v>
          </cell>
          <cell r="Q4" t="str">
            <v>Standard Dev 01-05</v>
          </cell>
          <cell r="R4" t="str">
            <v>Average01-05</v>
          </cell>
          <cell r="S4" t="str">
            <v>Coefficient Var</v>
          </cell>
        </row>
        <row r="5">
          <cell r="G5">
            <v>2000</v>
          </cell>
          <cell r="H5">
            <v>2001</v>
          </cell>
          <cell r="I5">
            <v>2002</v>
          </cell>
          <cell r="J5">
            <v>2003</v>
          </cell>
          <cell r="K5">
            <v>2004</v>
          </cell>
          <cell r="L5">
            <v>2005</v>
          </cell>
          <cell r="M5">
            <v>2006</v>
          </cell>
          <cell r="N5">
            <v>2007</v>
          </cell>
          <cell r="O5">
            <v>2008</v>
          </cell>
        </row>
        <row r="6">
          <cell r="B6" t="str">
            <v>BMYS.KL</v>
          </cell>
          <cell r="C6" t="str">
            <v>Bursa Malaysia Berhad</v>
          </cell>
          <cell r="D6">
            <v>5.75</v>
          </cell>
          <cell r="E6" t="str">
            <v>10/3/2006</v>
          </cell>
          <cell r="F6" t="str">
            <v>MYR</v>
          </cell>
          <cell r="G6" t="str">
            <v>NA</v>
          </cell>
          <cell r="H6" t="str">
            <v>NA</v>
          </cell>
          <cell r="I6">
            <v>2.0105999999999999E-2</v>
          </cell>
          <cell r="J6">
            <v>0.119728</v>
          </cell>
          <cell r="K6">
            <v>7.0141999999999996E-2</v>
          </cell>
          <cell r="L6" t="str">
            <v>NA</v>
          </cell>
          <cell r="M6" t="str">
            <v>NA</v>
          </cell>
          <cell r="N6" t="str">
            <v>NA</v>
          </cell>
          <cell r="O6" t="str">
            <v>NA</v>
          </cell>
          <cell r="P6" t="str">
            <v>Bursa</v>
          </cell>
          <cell r="Q6">
            <v>4.9811169390007307E-2</v>
          </cell>
          <cell r="R6">
            <v>6.9991999999999999E-2</v>
          </cell>
          <cell r="S6">
            <v>0.71166946779642404</v>
          </cell>
        </row>
        <row r="7">
          <cell r="B7" t="str">
            <v>SGXL.SI</v>
          </cell>
          <cell r="C7" t="str">
            <v>Singapore Exchange Ltd</v>
          </cell>
          <cell r="D7">
            <v>4.28</v>
          </cell>
          <cell r="E7" t="str">
            <v>10/3/2006</v>
          </cell>
          <cell r="F7" t="str">
            <v>SGD</v>
          </cell>
          <cell r="G7">
            <v>0.10087116373468898</v>
          </cell>
          <cell r="H7">
            <v>6.4618556103141891E-2</v>
          </cell>
          <cell r="I7">
            <v>6.0846917642968679E-2</v>
          </cell>
          <cell r="J7">
            <v>1.596837660659273E-2</v>
          </cell>
          <cell r="K7">
            <v>0.12938444981151465</v>
          </cell>
          <cell r="L7" t="str">
            <v>NA</v>
          </cell>
          <cell r="M7" t="str">
            <v>NA</v>
          </cell>
          <cell r="N7" t="str">
            <v>NA</v>
          </cell>
          <cell r="O7" t="str">
            <v>NA</v>
          </cell>
          <cell r="P7" t="str">
            <v>SGX</v>
          </cell>
          <cell r="Q7">
            <v>4.6681874276940837E-2</v>
          </cell>
          <cell r="R7">
            <v>6.7704575041054482E-2</v>
          </cell>
          <cell r="S7">
            <v>0.68949364571942195</v>
          </cell>
        </row>
        <row r="8">
          <cell r="B8" t="str">
            <v>ICE.N</v>
          </cell>
          <cell r="C8" t="str">
            <v>IntercontinentalExchange</v>
          </cell>
          <cell r="D8">
            <v>74.45</v>
          </cell>
          <cell r="E8" t="str">
            <v>10/2/2006</v>
          </cell>
          <cell r="F8" t="str">
            <v>USD</v>
          </cell>
          <cell r="G8" t="str">
            <v>NA</v>
          </cell>
          <cell r="H8" t="str">
            <v>NA</v>
          </cell>
          <cell r="I8" t="str">
            <v>NA</v>
          </cell>
          <cell r="J8" t="str">
            <v>NA</v>
          </cell>
          <cell r="K8">
            <v>0.41365085903744014</v>
          </cell>
          <cell r="L8">
            <v>0.98637786542174266</v>
          </cell>
          <cell r="M8">
            <v>2.2385961964780554</v>
          </cell>
          <cell r="N8">
            <v>3.0218497304390612</v>
          </cell>
          <cell r="O8">
            <v>3.6508662545420938</v>
          </cell>
          <cell r="P8" t="str">
            <v>ICE</v>
          </cell>
          <cell r="Q8">
            <v>0.40497914998301165</v>
          </cell>
          <cell r="R8">
            <v>0.70001436222959135</v>
          </cell>
          <cell r="S8">
            <v>0.57852977286512619</v>
          </cell>
        </row>
        <row r="9">
          <cell r="B9" t="str">
            <v>CME.N</v>
          </cell>
          <cell r="C9" t="str">
            <v>Chicago Mercantile Exch.</v>
          </cell>
          <cell r="D9">
            <v>466.85</v>
          </cell>
          <cell r="E9" t="str">
            <v>10/2/2006</v>
          </cell>
          <cell r="F9" t="str">
            <v>USD</v>
          </cell>
          <cell r="G9" t="str">
            <v>NA</v>
          </cell>
          <cell r="H9">
            <v>2.5686524971781592</v>
          </cell>
          <cell r="I9">
            <v>3.3368016581562303</v>
          </cell>
          <cell r="J9">
            <v>3.5990025389157694</v>
          </cell>
          <cell r="K9">
            <v>6.3803948053638848</v>
          </cell>
          <cell r="L9">
            <v>8.8079766960346735</v>
          </cell>
          <cell r="M9">
            <v>11.230615670438015</v>
          </cell>
          <cell r="N9">
            <v>14.431811452434541</v>
          </cell>
          <cell r="O9">
            <v>18.295068680956447</v>
          </cell>
          <cell r="P9" t="str">
            <v>CME</v>
          </cell>
          <cell r="Q9">
            <v>2.5994123721764235</v>
          </cell>
          <cell r="R9">
            <v>4.9385656391297434</v>
          </cell>
          <cell r="S9">
            <v>0.52634966549406492</v>
          </cell>
        </row>
        <row r="10">
          <cell r="B10" t="str">
            <v>0388.HK</v>
          </cell>
          <cell r="C10" t="str">
            <v>HK Exchanges &amp; Clearing</v>
          </cell>
          <cell r="D10">
            <v>56.6</v>
          </cell>
          <cell r="E10" t="str">
            <v>10/3/2006</v>
          </cell>
          <cell r="F10" t="str">
            <v>HKD</v>
          </cell>
          <cell r="G10">
            <v>0.84456654597449321</v>
          </cell>
          <cell r="H10">
            <v>0.71115595272412802</v>
          </cell>
          <cell r="I10">
            <v>0.56567694820793701</v>
          </cell>
          <cell r="J10">
            <v>0.66493706159315846</v>
          </cell>
          <cell r="K10">
            <v>1.0002592242194892</v>
          </cell>
          <cell r="L10" t="str">
            <v>NA</v>
          </cell>
          <cell r="M10" t="str">
            <v>NA</v>
          </cell>
          <cell r="N10" t="str">
            <v>NA</v>
          </cell>
          <cell r="O10" t="str">
            <v>NA</v>
          </cell>
          <cell r="P10" t="str">
            <v>HKEx</v>
          </cell>
          <cell r="Q10">
            <v>0.18664500746130019</v>
          </cell>
          <cell r="R10">
            <v>0.7355072966861782</v>
          </cell>
          <cell r="S10">
            <v>0.25376363810696057</v>
          </cell>
        </row>
        <row r="11">
          <cell r="B11" t="str">
            <v>ASX.AX</v>
          </cell>
          <cell r="C11" t="str">
            <v>Australian Stock Exchange</v>
          </cell>
          <cell r="D11">
            <v>32.950000000000003</v>
          </cell>
          <cell r="E11" t="str">
            <v>10/3/2006</v>
          </cell>
          <cell r="F11" t="str">
            <v>AUD</v>
          </cell>
          <cell r="G11">
            <v>0.58636695353064094</v>
          </cell>
          <cell r="H11">
            <v>0.54175512094148126</v>
          </cell>
          <cell r="I11">
            <v>0.60235685832029018</v>
          </cell>
          <cell r="J11">
            <v>0.62506384553136596</v>
          </cell>
          <cell r="K11">
            <v>0.82811080005108106</v>
          </cell>
          <cell r="L11" t="str">
            <v>NA</v>
          </cell>
          <cell r="M11" t="str">
            <v>NA</v>
          </cell>
          <cell r="N11" t="str">
            <v>NA</v>
          </cell>
          <cell r="O11" t="str">
            <v>NA</v>
          </cell>
          <cell r="P11" t="str">
            <v>ASX</v>
          </cell>
          <cell r="Q11">
            <v>0.12427154552945978</v>
          </cell>
          <cell r="R11">
            <v>0.64932165621105464</v>
          </cell>
          <cell r="S11">
            <v>0.19138672542452015</v>
          </cell>
        </row>
        <row r="12">
          <cell r="B12" t="str">
            <v>DB1Gn.DE</v>
          </cell>
          <cell r="C12" t="str">
            <v>Deutsche Boerse</v>
          </cell>
          <cell r="D12">
            <v>118.4</v>
          </cell>
          <cell r="E12" t="str">
            <v>10/2/2006</v>
          </cell>
          <cell r="F12" t="str">
            <v>EUR</v>
          </cell>
          <cell r="G12">
            <v>2.0591008174386922</v>
          </cell>
          <cell r="H12">
            <v>2.1219086263773064</v>
          </cell>
          <cell r="I12">
            <v>2.8569941005838144</v>
          </cell>
          <cell r="J12">
            <v>2.8875843635882461</v>
          </cell>
          <cell r="K12">
            <v>3.0323985436028815</v>
          </cell>
          <cell r="L12" t="str">
            <v>NA</v>
          </cell>
          <cell r="M12" t="str">
            <v>++</v>
          </cell>
          <cell r="N12" t="str">
            <v>++</v>
          </cell>
          <cell r="O12" t="str">
            <v>++</v>
          </cell>
          <cell r="P12" t="str">
            <v>Deutsche</v>
          </cell>
          <cell r="Q12">
            <v>0.40909203404890149</v>
          </cell>
          <cell r="R12">
            <v>2.7247214085380618</v>
          </cell>
          <cell r="S12">
            <v>0.15014086679356997</v>
          </cell>
        </row>
        <row r="13">
          <cell r="B13" t="str">
            <v>ISE.N</v>
          </cell>
          <cell r="C13" t="str">
            <v>International Securities Exchange Inc.</v>
          </cell>
          <cell r="D13">
            <v>46.55</v>
          </cell>
          <cell r="E13" t="str">
            <v>10/2/2006</v>
          </cell>
          <cell r="F13" t="str">
            <v>USD</v>
          </cell>
          <cell r="G13" t="str">
            <v>NA</v>
          </cell>
          <cell r="H13" t="str">
            <v>NA</v>
          </cell>
          <cell r="I13" t="str">
            <v>NA</v>
          </cell>
          <cell r="J13" t="str">
            <v>NA</v>
          </cell>
          <cell r="K13">
            <v>0.77134328358208959</v>
          </cell>
          <cell r="L13">
            <v>0.93274311763192441</v>
          </cell>
          <cell r="M13">
            <v>1.3188363480096101</v>
          </cell>
          <cell r="N13">
            <v>1.5881386326932381</v>
          </cell>
          <cell r="O13">
            <v>1.9548134116272127</v>
          </cell>
          <cell r="P13" t="str">
            <v>ISE</v>
          </cell>
          <cell r="Q13">
            <v>0.11412691713902212</v>
          </cell>
          <cell r="R13">
            <v>0.852043200607007</v>
          </cell>
          <cell r="S13">
            <v>0.13394498900726698</v>
          </cell>
        </row>
        <row r="23">
          <cell r="B23" t="str">
            <v>ENXT.PA</v>
          </cell>
          <cell r="C23" t="str">
            <v>NA</v>
          </cell>
          <cell r="D23" t="str">
            <v>NA</v>
          </cell>
          <cell r="E23" t="str">
            <v>NA</v>
          </cell>
          <cell r="F23" t="str">
            <v>NA</v>
          </cell>
          <cell r="G23" t="str">
            <v>NA</v>
          </cell>
          <cell r="H23" t="str">
            <v>NA</v>
          </cell>
          <cell r="I23" t="str">
            <v>NA</v>
          </cell>
          <cell r="J23" t="str">
            <v>NA</v>
          </cell>
          <cell r="K23" t="str">
            <v>NA</v>
          </cell>
          <cell r="L23" t="str">
            <v>NA</v>
          </cell>
          <cell r="M23" t="str">
            <v>NA</v>
          </cell>
          <cell r="N23" t="str">
            <v>NA</v>
          </cell>
          <cell r="O23" t="str">
            <v>NA</v>
          </cell>
        </row>
        <row r="24">
          <cell r="B24" t="str">
            <v>LSE.L</v>
          </cell>
          <cell r="C24" t="str">
            <v>London Stock Exchange</v>
          </cell>
          <cell r="D24">
            <v>1229</v>
          </cell>
          <cell r="E24" t="str">
            <v>10/2/2006</v>
          </cell>
          <cell r="F24" t="str">
            <v>GBp</v>
          </cell>
          <cell r="G24">
            <v>17.195945945945944</v>
          </cell>
          <cell r="H24">
            <v>18.203470568220485</v>
          </cell>
          <cell r="I24">
            <v>20.677781558353178</v>
          </cell>
          <cell r="J24">
            <v>21.944066719276794</v>
          </cell>
          <cell r="K24">
            <v>23.953675389462266</v>
          </cell>
          <cell r="L24">
            <v>36.392877443488686</v>
          </cell>
          <cell r="M24">
            <v>46.73983983989779</v>
          </cell>
          <cell r="N24">
            <v>56.648833390235396</v>
          </cell>
          <cell r="O24" t="str">
            <v>NA</v>
          </cell>
        </row>
      </sheetData>
      <sheetData sheetId="5"/>
      <sheetData sheetId="6"/>
      <sheetData sheetId="7" refreshError="1">
        <row r="1">
          <cell r="B1">
            <v>2000</v>
          </cell>
          <cell r="C1">
            <v>2001</v>
          </cell>
          <cell r="D1">
            <v>2002</v>
          </cell>
          <cell r="E1">
            <v>2003</v>
          </cell>
          <cell r="F1">
            <v>2004</v>
          </cell>
          <cell r="G1" t="str">
            <v>2005E</v>
          </cell>
          <cell r="H1" t="str">
            <v>2006E</v>
          </cell>
          <cell r="I1" t="str">
            <v>2007E</v>
          </cell>
        </row>
        <row r="2">
          <cell r="A2" t="str">
            <v>HKEx</v>
          </cell>
          <cell r="B2">
            <v>0.57445776333551535</v>
          </cell>
          <cell r="C2">
            <v>0.59927508295303855</v>
          </cell>
          <cell r="D2">
            <v>0.66290134158117309</v>
          </cell>
          <cell r="E2">
            <v>0.63783924843423789</v>
          </cell>
          <cell r="F2">
            <v>0.49211571903677315</v>
          </cell>
          <cell r="G2">
            <v>0.43030759155274684</v>
          </cell>
          <cell r="H2">
            <v>0.33622684552408261</v>
          </cell>
          <cell r="I2">
            <v>0.34549227200573962</v>
          </cell>
        </row>
        <row r="3">
          <cell r="A3" t="str">
            <v>SGX</v>
          </cell>
          <cell r="B3">
            <v>0.47104924896250316</v>
          </cell>
          <cell r="C3">
            <v>0.66789028951378293</v>
          </cell>
          <cell r="D3">
            <v>0.75097652828866701</v>
          </cell>
          <cell r="E3">
            <v>0.76157873540072507</v>
          </cell>
          <cell r="F3">
            <v>0.47386724331980218</v>
          </cell>
          <cell r="G3">
            <v>0.52094905974941208</v>
          </cell>
          <cell r="H3">
            <v>0.4506134066149769</v>
          </cell>
          <cell r="I3">
            <v>0.45595187094068784</v>
          </cell>
        </row>
        <row r="4">
          <cell r="A4" t="str">
            <v>Bursa</v>
          </cell>
          <cell r="C4">
            <v>0.93305926892819813</v>
          </cell>
          <cell r="D4">
            <v>0.91395143157607583</v>
          </cell>
          <cell r="E4">
            <v>0.66199196196082866</v>
          </cell>
          <cell r="F4">
            <v>0.77835584295870064</v>
          </cell>
          <cell r="G4">
            <v>0.54298939742553332</v>
          </cell>
          <cell r="H4">
            <v>0.47285492085811903</v>
          </cell>
          <cell r="I4">
            <v>0.434565820786117</v>
          </cell>
        </row>
        <row r="5">
          <cell r="A5" t="str">
            <v>ASX</v>
          </cell>
          <cell r="B5" t="str">
            <v>ASX.AX</v>
          </cell>
          <cell r="C5">
            <v>0.5954922586473661</v>
          </cell>
          <cell r="D5">
            <v>0.59591793159672346</v>
          </cell>
          <cell r="E5">
            <v>0.61568961182136428</v>
          </cell>
          <cell r="F5">
            <v>0.55182476910577194</v>
          </cell>
          <cell r="G5">
            <v>0.49819703799098519</v>
          </cell>
          <cell r="H5">
            <v>0.42768567324649659</v>
          </cell>
          <cell r="I5">
            <v>0.36302608330682684</v>
          </cell>
        </row>
        <row r="6">
          <cell r="E6">
            <v>0.66927488940428903</v>
          </cell>
          <cell r="F6">
            <v>0.574040893605262</v>
          </cell>
          <cell r="G6">
            <v>0.49811077167966938</v>
          </cell>
          <cell r="H6">
            <v>0.42184521156091881</v>
          </cell>
          <cell r="I6">
            <v>0.3997590117598428</v>
          </cell>
        </row>
        <row r="8">
          <cell r="B8" t="str">
            <v>e=Morgan Stanley Estimates.  All other values are actual.</v>
          </cell>
        </row>
        <row r="10">
          <cell r="B10" t="str">
            <v>ND = Not Disclosed, NA = Not Available, and NM = Non Meaningful</v>
          </cell>
        </row>
        <row r="12">
          <cell r="B12" t="str">
            <v>Consensus EPS provided by Thomson Financial/First Call</v>
          </cell>
        </row>
        <row r="14">
          <cell r="B14" t="str">
            <v>Ratios for companies are based on the currency reported by the companies unless explicitly noted.</v>
          </cell>
        </row>
        <row r="16">
          <cell r="B16" t="str">
            <v xml:space="preserve">Although the information provided to you on this site is obtained or compiled from sources we believe to be reliable, </v>
          </cell>
        </row>
        <row r="17">
          <cell r="B17" t="str">
            <v xml:space="preserve">Morgan Stanley cannot and does not guarantee the accuracy, validity, timeliness or completeness of any information or </v>
          </cell>
        </row>
        <row r="18">
          <cell r="B18" t="str">
            <v>data made available to you for any particular purpose.</v>
          </cell>
        </row>
        <row r="39">
          <cell r="C39" t="str">
            <v>FY06E</v>
          </cell>
          <cell r="D39" t="str">
            <v>FY07E</v>
          </cell>
          <cell r="E39" t="str">
            <v>2006E</v>
          </cell>
        </row>
        <row r="40">
          <cell r="A40" t="str">
            <v>Deutsche Boerse</v>
          </cell>
          <cell r="B40" t="str">
            <v>DB1Gn.DE</v>
          </cell>
          <cell r="C40" t="str">
            <v>++</v>
          </cell>
          <cell r="E40" t="e">
            <v>#DIV/0!</v>
          </cell>
        </row>
        <row r="41">
          <cell r="A41" t="str">
            <v>Euronext</v>
          </cell>
          <cell r="B41" t="str">
            <v>ENXT.PA</v>
          </cell>
          <cell r="C41" t="str">
            <v>NA</v>
          </cell>
          <cell r="E41" t="e">
            <v>#DIV/0!</v>
          </cell>
        </row>
        <row r="42">
          <cell r="A42" t="str">
            <v>NASDAQ</v>
          </cell>
          <cell r="B42" t="str">
            <v>NDAQ.N</v>
          </cell>
          <cell r="C42" t="str">
            <v>NA</v>
          </cell>
          <cell r="E42" t="e">
            <v>#DIV/0!</v>
          </cell>
        </row>
        <row r="43">
          <cell r="A43" t="str">
            <v>CBOT</v>
          </cell>
          <cell r="B43" t="str">
            <v>BOT.N</v>
          </cell>
          <cell r="C43">
            <v>0.52916194910910308</v>
          </cell>
          <cell r="E43">
            <v>0.52916194910910308</v>
          </cell>
        </row>
        <row r="44">
          <cell r="A44" t="str">
            <v>ISE</v>
          </cell>
          <cell r="B44" t="str">
            <v>ISE.N</v>
          </cell>
          <cell r="C44">
            <v>0.52202937485365009</v>
          </cell>
          <cell r="E44">
            <v>0.52202937485365009</v>
          </cell>
        </row>
        <row r="45">
          <cell r="A45" t="str">
            <v>LSE</v>
          </cell>
          <cell r="B45" t="str">
            <v>LSE.L</v>
          </cell>
          <cell r="C45">
            <v>0.51108980864819409</v>
          </cell>
          <cell r="E45">
            <v>0.51108980864819409</v>
          </cell>
        </row>
        <row r="46">
          <cell r="A46" t="str">
            <v>Bursa</v>
          </cell>
          <cell r="B46" t="str">
            <v>BMYS.KL</v>
          </cell>
          <cell r="C46">
            <v>0.4728549208581192</v>
          </cell>
          <cell r="E46">
            <v>0.4728549208581192</v>
          </cell>
        </row>
        <row r="47">
          <cell r="A47" t="str">
            <v>*SGX</v>
          </cell>
          <cell r="B47" t="str">
            <v>SGXL.SI</v>
          </cell>
          <cell r="C47">
            <v>0.43650693673629942</v>
          </cell>
          <cell r="D47">
            <v>0.44655504397897966</v>
          </cell>
          <cell r="E47">
            <v>0.44153099035763954</v>
          </cell>
        </row>
        <row r="48">
          <cell r="A48" t="str">
            <v>CME</v>
          </cell>
          <cell r="B48" t="str">
            <v>CME.N</v>
          </cell>
          <cell r="C48">
            <v>0.41789255281603216</v>
          </cell>
          <cell r="E48">
            <v>0.41789255281603216</v>
          </cell>
        </row>
        <row r="49">
          <cell r="A49" t="str">
            <v>*ASX</v>
          </cell>
          <cell r="B49" t="str">
            <v>ASX.AX</v>
          </cell>
          <cell r="C49">
            <v>0.42768567324649659</v>
          </cell>
          <cell r="D49">
            <v>0.36302608330682684</v>
          </cell>
          <cell r="E49">
            <v>0.39535587827666174</v>
          </cell>
        </row>
        <row r="50">
          <cell r="A50" t="str">
            <v>ICE</v>
          </cell>
          <cell r="B50" t="str">
            <v>ICE.N</v>
          </cell>
          <cell r="C50">
            <v>0.34741479822497823</v>
          </cell>
          <cell r="E50">
            <v>0.34741479822497823</v>
          </cell>
        </row>
        <row r="51">
          <cell r="A51" t="str">
            <v>HKEx</v>
          </cell>
          <cell r="B51" t="str">
            <v>0388.HK</v>
          </cell>
          <cell r="C51">
            <v>0.33397708221980882</v>
          </cell>
          <cell r="E51">
            <v>0.33397708221980882</v>
          </cell>
        </row>
        <row r="53">
          <cell r="B53" t="str">
            <v>e=Morgan Stanley Estimates.  All other values are actual.</v>
          </cell>
        </row>
        <row r="55">
          <cell r="B55" t="str">
            <v xml:space="preserve">ASX.AX : </v>
          </cell>
        </row>
        <row r="56">
          <cell r="B56" t="str">
            <v xml:space="preserve">BMYS.KL : </v>
          </cell>
        </row>
        <row r="57">
          <cell r="B57" t="str">
            <v xml:space="preserve">BOT.N : </v>
          </cell>
        </row>
        <row r="58">
          <cell r="B58" t="str">
            <v xml:space="preserve">CME.N : </v>
          </cell>
        </row>
        <row r="59">
          <cell r="B59" t="str">
            <v xml:space="preserve">ICE.N : </v>
          </cell>
        </row>
        <row r="60">
          <cell r="B60" t="str">
            <v xml:space="preserve">ISE.N : </v>
          </cell>
        </row>
        <row r="62">
          <cell r="B62" t="str">
            <v>ND = Not Disclosed, NA = Not Available, and NM = Non Meaningful</v>
          </cell>
        </row>
        <row r="64">
          <cell r="B64" t="str">
            <v>Consensus EPS provided by Thomson Financial/First Call</v>
          </cell>
        </row>
        <row r="66">
          <cell r="B66" t="str">
            <v>Ratios for companies are based on the currency reported by the companies unless explicitly noted.</v>
          </cell>
        </row>
        <row r="68">
          <cell r="B68" t="str">
            <v xml:space="preserve">Although the information provided to you on this site is obtained or compiled from sources we believe to be reliable, </v>
          </cell>
        </row>
        <row r="69">
          <cell r="B69" t="str">
            <v xml:space="preserve">Morgan Stanley cannot and does not guarantee the accuracy, validity, timeliness or completeness of any information or </v>
          </cell>
        </row>
        <row r="70">
          <cell r="B70" t="str">
            <v>data made available to you for any particular purpose.</v>
          </cell>
        </row>
      </sheetData>
      <sheetData sheetId="8" refreshError="1">
        <row r="1">
          <cell r="B1" t="str">
            <v>2005E</v>
          </cell>
          <cell r="C1" t="str">
            <v>2005E</v>
          </cell>
          <cell r="D1" t="str">
            <v>2005E</v>
          </cell>
          <cell r="E1" t="str">
            <v>2005E</v>
          </cell>
          <cell r="G1" t="str">
            <v>2005E</v>
          </cell>
          <cell r="H1" t="str">
            <v>2006E</v>
          </cell>
        </row>
        <row r="2">
          <cell r="A2" t="str">
            <v>(local ccy mn)</v>
          </cell>
          <cell r="B2" t="str">
            <v>*SGX</v>
          </cell>
          <cell r="C2" t="str">
            <v>HKEx</v>
          </cell>
          <cell r="D2" t="str">
            <v>Bursa</v>
          </cell>
          <cell r="E2" t="str">
            <v>*ASX</v>
          </cell>
        </row>
        <row r="3">
          <cell r="A3" t="str">
            <v>Staff</v>
          </cell>
          <cell r="B3">
            <v>70.729000000000013</v>
          </cell>
          <cell r="C3">
            <v>586.03300000000002</v>
          </cell>
          <cell r="D3">
            <v>66.796000000000006</v>
          </cell>
          <cell r="E3">
            <v>69.391500000000008</v>
          </cell>
          <cell r="G3">
            <v>70.783000000000001</v>
          </cell>
          <cell r="H3">
            <v>68</v>
          </cell>
        </row>
        <row r="4">
          <cell r="A4" t="str">
            <v>Depreciation</v>
          </cell>
          <cell r="B4">
            <v>14.736000000000001</v>
          </cell>
          <cell r="C4">
            <v>150.995</v>
          </cell>
          <cell r="D4">
            <v>13.263</v>
          </cell>
          <cell r="E4">
            <v>14.3</v>
          </cell>
          <cell r="G4">
            <v>15.9</v>
          </cell>
          <cell r="H4">
            <v>12.7</v>
          </cell>
        </row>
        <row r="5">
          <cell r="A5" t="str">
            <v>Equipment</v>
          </cell>
          <cell r="B5">
            <v>22.6325</v>
          </cell>
          <cell r="C5" t="str">
            <v>NA</v>
          </cell>
          <cell r="D5">
            <v>23.981999999999999</v>
          </cell>
        </row>
        <row r="6">
          <cell r="A6" t="str">
            <v>Others</v>
          </cell>
          <cell r="B6">
            <v>54.602499999999978</v>
          </cell>
          <cell r="C6">
            <v>402.31150826557501</v>
          </cell>
          <cell r="D6">
            <v>35.667999999999999</v>
          </cell>
          <cell r="E6">
            <v>36.608499999999992</v>
          </cell>
          <cell r="G6">
            <v>34.916999999999994</v>
          </cell>
          <cell r="H6">
            <v>38.299999999999997</v>
          </cell>
        </row>
        <row r="7">
          <cell r="A7" t="str">
            <v>Total</v>
          </cell>
          <cell r="B7">
            <v>163.38200000000001</v>
          </cell>
          <cell r="C7">
            <v>1145.482</v>
          </cell>
          <cell r="D7">
            <v>139.709</v>
          </cell>
          <cell r="E7">
            <v>120.3</v>
          </cell>
          <cell r="G7">
            <v>121.6</v>
          </cell>
          <cell r="H7">
            <v>119</v>
          </cell>
        </row>
        <row r="8">
          <cell r="A8" t="str">
            <v>* Average of 2005E and 2006E</v>
          </cell>
        </row>
        <row r="11">
          <cell r="B11" t="str">
            <v>2005E</v>
          </cell>
          <cell r="C11" t="str">
            <v>2005E</v>
          </cell>
          <cell r="D11" t="str">
            <v>2005E</v>
          </cell>
        </row>
        <row r="12">
          <cell r="A12" t="str">
            <v>(%)</v>
          </cell>
          <cell r="B12" t="str">
            <v>*SGX</v>
          </cell>
          <cell r="C12" t="str">
            <v>HKEx</v>
          </cell>
          <cell r="D12" t="str">
            <v>Bursa</v>
          </cell>
        </row>
        <row r="13">
          <cell r="A13" t="str">
            <v>Staff</v>
          </cell>
          <cell r="B13">
            <v>0.43290570564688896</v>
          </cell>
          <cell r="C13">
            <v>0.51160384886013055</v>
          </cell>
          <cell r="D13">
            <v>0.47810806748312568</v>
          </cell>
        </row>
        <row r="14">
          <cell r="A14" t="str">
            <v>Depreciation</v>
          </cell>
          <cell r="B14">
            <v>9.0193534171450956E-2</v>
          </cell>
          <cell r="C14">
            <v>0.13181787230179087</v>
          </cell>
          <cell r="D14">
            <v>9.4933039389015733E-2</v>
          </cell>
        </row>
        <row r="15">
          <cell r="A15" t="str">
            <v>Equipment</v>
          </cell>
          <cell r="B15">
            <v>0.13852505171928364</v>
          </cell>
          <cell r="C15" t="str">
            <v>NA</v>
          </cell>
          <cell r="D15">
            <v>0.17165680092191626</v>
          </cell>
        </row>
        <row r="16">
          <cell r="A16" t="str">
            <v>Others</v>
          </cell>
          <cell r="B16">
            <v>0.33420144201931656</v>
          </cell>
          <cell r="C16">
            <v>0.35121591458056522</v>
          </cell>
          <cell r="D16">
            <v>0.25530209220594235</v>
          </cell>
        </row>
        <row r="17">
          <cell r="A17" t="str">
            <v>Total</v>
          </cell>
          <cell r="B17">
            <v>1</v>
          </cell>
          <cell r="C17">
            <v>1</v>
          </cell>
          <cell r="D17">
            <v>1</v>
          </cell>
        </row>
        <row r="21">
          <cell r="B21" t="str">
            <v>2005E</v>
          </cell>
          <cell r="C21" t="str">
            <v>2005E</v>
          </cell>
          <cell r="D21" t="str">
            <v>2005E</v>
          </cell>
          <cell r="E21" t="str">
            <v>2005E</v>
          </cell>
        </row>
        <row r="22">
          <cell r="A22" t="str">
            <v>(%)</v>
          </cell>
          <cell r="B22" t="str">
            <v>*SGX</v>
          </cell>
          <cell r="C22" t="str">
            <v>HKEx</v>
          </cell>
          <cell r="D22" t="str">
            <v>Bursa</v>
          </cell>
          <cell r="E22" t="str">
            <v>*ASX</v>
          </cell>
        </row>
        <row r="23">
          <cell r="A23" t="str">
            <v>Staff</v>
          </cell>
          <cell r="B23">
            <v>0.43290570564688896</v>
          </cell>
          <cell r="C23">
            <v>0.51160384886013055</v>
          </cell>
          <cell r="D23">
            <v>0.47810806748312568</v>
          </cell>
          <cell r="E23">
            <v>0.57682044887780559</v>
          </cell>
        </row>
        <row r="24">
          <cell r="A24" t="str">
            <v>Depreciation</v>
          </cell>
          <cell r="B24">
            <v>9.0193534171450956E-2</v>
          </cell>
          <cell r="C24">
            <v>0.13181787230179087</v>
          </cell>
          <cell r="D24">
            <v>9.4933039389015733E-2</v>
          </cell>
          <cell r="E24">
            <v>0.11886949293433084</v>
          </cell>
        </row>
        <row r="25">
          <cell r="A25" t="str">
            <v>Others</v>
          </cell>
          <cell r="B25">
            <v>0.47272649373860021</v>
          </cell>
          <cell r="C25">
            <v>0.35121591458056522</v>
          </cell>
          <cell r="D25">
            <v>0.42695889312785862</v>
          </cell>
          <cell r="E25">
            <v>0.30431005818786361</v>
          </cell>
        </row>
        <row r="26">
          <cell r="A26" t="str">
            <v>Total</v>
          </cell>
          <cell r="B26">
            <v>0.99582573355694015</v>
          </cell>
          <cell r="C26">
            <v>0.99463763574248665</v>
          </cell>
          <cell r="D26">
            <v>1</v>
          </cell>
          <cell r="E26">
            <v>1</v>
          </cell>
        </row>
        <row r="28">
          <cell r="B28" t="str">
            <v>e=Morgan Stanley Estimates.  All other values are actual.</v>
          </cell>
        </row>
        <row r="30">
          <cell r="B30" t="str">
            <v>ND = Not Disclosed, NA = Not Available, and NM = Non Meaningful</v>
          </cell>
        </row>
        <row r="32">
          <cell r="B32" t="str">
            <v>Consensus EPS provided by Thomson Financial/First Call</v>
          </cell>
        </row>
        <row r="34">
          <cell r="B34" t="str">
            <v>Ratios for companies are based on the currency reported by the companies unless explicitly noted.</v>
          </cell>
        </row>
        <row r="36">
          <cell r="B36" t="str">
            <v xml:space="preserve">Although the information provided to you on this site is obtained or compiled from sources we believe to be reliable, </v>
          </cell>
        </row>
        <row r="37">
          <cell r="B37" t="str">
            <v xml:space="preserve">Morgan Stanley cannot and does not guarantee the accuracy, validity, timeliness or completeness of any information or </v>
          </cell>
        </row>
        <row r="38">
          <cell r="B38" t="str">
            <v>data made available to you for any particular purpose.</v>
          </cell>
        </row>
      </sheetData>
      <sheetData sheetId="9"/>
      <sheetData sheetId="10"/>
      <sheetData sheetId="11"/>
      <sheetData sheetId="12" refreshError="1">
        <row r="4">
          <cell r="C4" t="str">
            <v>Company name</v>
          </cell>
          <cell r="E4" t="str">
            <v>P/E</v>
          </cell>
          <cell r="G4" t="str">
            <v xml:space="preserve">Div Payout </v>
          </cell>
        </row>
        <row r="5">
          <cell r="E5">
            <v>2005</v>
          </cell>
          <cell r="F5" t="str">
            <v>2006E</v>
          </cell>
          <cell r="G5" t="str">
            <v>2006E</v>
          </cell>
        </row>
        <row r="6">
          <cell r="B6" t="str">
            <v>ASX.AX</v>
          </cell>
          <cell r="C6" t="str">
            <v>Australian Stock Exchange</v>
          </cell>
          <cell r="D6" t="str">
            <v>ASX</v>
          </cell>
          <cell r="E6">
            <v>21.286650554185432</v>
          </cell>
          <cell r="F6">
            <v>24.096650547237235</v>
          </cell>
          <cell r="G6">
            <v>0.8027915189189978</v>
          </cell>
        </row>
        <row r="7">
          <cell r="B7" t="str">
            <v>SGX</v>
          </cell>
          <cell r="C7" t="str">
            <v>Singapore Exchange</v>
          </cell>
          <cell r="D7" t="str">
            <v>SGX</v>
          </cell>
          <cell r="E7">
            <v>35.349635151613981</v>
          </cell>
          <cell r="F7">
            <v>25.29888981309152</v>
          </cell>
          <cell r="G7">
            <v>0.90568555118487959</v>
          </cell>
        </row>
        <row r="8">
          <cell r="B8" t="str">
            <v>CME.N</v>
          </cell>
          <cell r="C8" t="str">
            <v>Chicago Mercantile Exch.</v>
          </cell>
          <cell r="D8" t="str">
            <v>CME</v>
          </cell>
          <cell r="E8">
            <v>41.722408298995951</v>
          </cell>
          <cell r="F8">
            <v>30.814496543994021</v>
          </cell>
          <cell r="G8">
            <v>0.20409116383336448</v>
          </cell>
        </row>
        <row r="9">
          <cell r="B9" t="str">
            <v>DB1Gn.DE</v>
          </cell>
          <cell r="C9" t="str">
            <v>Deutsche Boerse</v>
          </cell>
          <cell r="D9" t="str">
            <v>DB</v>
          </cell>
          <cell r="E9">
            <v>21.346397150065879</v>
          </cell>
          <cell r="F9" t="str">
            <v>++</v>
          </cell>
          <cell r="G9" t="str">
            <v>++</v>
          </cell>
        </row>
        <row r="10">
          <cell r="B10" t="str">
            <v>0388.HK</v>
          </cell>
          <cell r="C10" t="str">
            <v>HK Exchanges &amp; Clearing</v>
          </cell>
          <cell r="D10" t="str">
            <v>HKEx</v>
          </cell>
          <cell r="E10">
            <v>25.506792776369345</v>
          </cell>
          <cell r="F10">
            <v>32.935304561875327</v>
          </cell>
          <cell r="G10">
            <v>0.89999999999999758</v>
          </cell>
        </row>
        <row r="11">
          <cell r="B11" t="str">
            <v>ENXT.PA</v>
          </cell>
          <cell r="C11" t="str">
            <v>NA</v>
          </cell>
          <cell r="D11" t="str">
            <v>ENXT</v>
          </cell>
          <cell r="E11" t="str">
            <v>NA</v>
          </cell>
          <cell r="F11">
            <v>18.917025862068964</v>
          </cell>
          <cell r="G11">
            <v>0.46120689655172409</v>
          </cell>
          <cell r="H11" t="str">
            <v>per IBES</v>
          </cell>
        </row>
        <row r="12">
          <cell r="B12" t="str">
            <v>LSE.L</v>
          </cell>
          <cell r="C12" t="str">
            <v>London Stock Exchange</v>
          </cell>
          <cell r="D12" t="str">
            <v>LSE</v>
          </cell>
          <cell r="E12">
            <v>33.770344263335772</v>
          </cell>
          <cell r="F12">
            <v>18.738558828424029</v>
          </cell>
          <cell r="G12">
            <v>0.31972041937094359</v>
          </cell>
          <cell r="H12" t="str">
            <v>per IBES</v>
          </cell>
        </row>
        <row r="14">
          <cell r="B14" t="str">
            <v>e=Morgan Stanley Estimates.  All other values are actual.</v>
          </cell>
        </row>
        <row r="16">
          <cell r="B16" t="str">
            <v>ND = Not Disclosed, NA = Not Available, and NM = Non Meaningful</v>
          </cell>
        </row>
        <row r="18">
          <cell r="B18" t="str">
            <v>++ Stock Rating, Price Target or Estimates are not available or have been removed due to applicable law and/or Morgan Stanley policy.</v>
          </cell>
        </row>
        <row r="20">
          <cell r="B20" t="str">
            <v>Consensus EPS provided by Thomson Financial/First Call</v>
          </cell>
        </row>
        <row r="22">
          <cell r="B22" t="str">
            <v>Ratios for companies are based on the currency reported by the companies unless explicitly noted.</v>
          </cell>
        </row>
        <row r="24">
          <cell r="B24" t="str">
            <v xml:space="preserve">Although the information provided to you on this site is obtained or compiled from sources we believe to be reliable, </v>
          </cell>
        </row>
        <row r="25">
          <cell r="B25" t="str">
            <v xml:space="preserve">Morgan Stanley cannot and does not guarantee the accuracy, validity, timeliness or completeness of any information or </v>
          </cell>
        </row>
        <row r="26">
          <cell r="B26" t="str">
            <v>data made available to you for any particular purpose.</v>
          </cell>
        </row>
      </sheetData>
      <sheetData sheetId="13" refreshError="1">
        <row r="4">
          <cell r="C4" t="str">
            <v>Company name</v>
          </cell>
        </row>
        <row r="5">
          <cell r="D5">
            <v>2006</v>
          </cell>
        </row>
        <row r="6">
          <cell r="A6" t="str">
            <v>SGX</v>
          </cell>
          <cell r="B6" t="str">
            <v>SGX</v>
          </cell>
          <cell r="C6" t="str">
            <v>NA</v>
          </cell>
          <cell r="D6">
            <v>4.3092726763807945E-2</v>
          </cell>
        </row>
        <row r="7">
          <cell r="A7" t="str">
            <v>ASX</v>
          </cell>
          <cell r="B7" t="str">
            <v>ASX.AX</v>
          </cell>
          <cell r="C7" t="str">
            <v>Australian Stock Exchange</v>
          </cell>
          <cell r="D7">
            <v>3.7496420341328399E-2</v>
          </cell>
        </row>
        <row r="8">
          <cell r="A8" t="str">
            <v>HKEx</v>
          </cell>
          <cell r="B8" t="str">
            <v>0388.HK</v>
          </cell>
          <cell r="C8" t="str">
            <v>HK Exchanges &amp; Clearing</v>
          </cell>
          <cell r="D8">
            <v>2.7326299603793729E-2</v>
          </cell>
        </row>
        <row r="9">
          <cell r="A9" t="str">
            <v>DB</v>
          </cell>
          <cell r="B9" t="str">
            <v>DB1Gn.DE</v>
          </cell>
          <cell r="C9" t="str">
            <v>Deutsche Boerse</v>
          </cell>
          <cell r="D9" t="str">
            <v>++</v>
          </cell>
        </row>
        <row r="10">
          <cell r="A10" t="str">
            <v>ENXT</v>
          </cell>
          <cell r="B10" t="str">
            <v>ENXT.PA</v>
          </cell>
          <cell r="C10" t="str">
            <v>NA</v>
          </cell>
          <cell r="D10">
            <v>2.1260583254938851E-2</v>
          </cell>
          <cell r="E10" t="str">
            <v>per IBES</v>
          </cell>
        </row>
        <row r="11">
          <cell r="A11" t="str">
            <v>LSE</v>
          </cell>
          <cell r="B11" t="str">
            <v>LSE.L</v>
          </cell>
          <cell r="C11" t="str">
            <v>London Stock Exchange</v>
          </cell>
          <cell r="D11">
            <v>1.6207434052757794E-2</v>
          </cell>
          <cell r="E11" t="str">
            <v>per IBES</v>
          </cell>
        </row>
        <row r="12">
          <cell r="A12" t="str">
            <v>CME</v>
          </cell>
          <cell r="B12" t="str">
            <v>CME.N</v>
          </cell>
          <cell r="C12" t="str">
            <v>Chicago Mercantile Exch.</v>
          </cell>
          <cell r="D12">
            <v>5.1409686237708597E-3</v>
          </cell>
        </row>
        <row r="42">
          <cell r="C42" t="str">
            <v>Company name</v>
          </cell>
        </row>
        <row r="43">
          <cell r="D43">
            <v>2006</v>
          </cell>
        </row>
        <row r="44">
          <cell r="A44" t="str">
            <v>SGX</v>
          </cell>
          <cell r="B44" t="str">
            <v>SGXL.SI</v>
          </cell>
          <cell r="C44" t="str">
            <v>Singapore Exchange Ltd</v>
          </cell>
          <cell r="D44">
            <v>4.6022727272727271E-2</v>
          </cell>
        </row>
        <row r="45">
          <cell r="A45" t="str">
            <v>HKEx</v>
          </cell>
          <cell r="B45" t="str">
            <v>0388.HK</v>
          </cell>
          <cell r="C45" t="str">
            <v>HK Exchanges &amp; Clearing</v>
          </cell>
          <cell r="D45">
            <v>2.7326299603793729E-2</v>
          </cell>
        </row>
        <row r="46">
          <cell r="A46" t="str">
            <v>ASX</v>
          </cell>
          <cell r="B46" t="str">
            <v>ASX.AX</v>
          </cell>
          <cell r="C46" t="str">
            <v>Australian Stock Exchange</v>
          </cell>
          <cell r="D46">
            <v>3.7496420341328399E-2</v>
          </cell>
        </row>
        <row r="47">
          <cell r="A47" t="str">
            <v>DB1</v>
          </cell>
          <cell r="B47" t="str">
            <v>DB1Gn.DE</v>
          </cell>
          <cell r="C47" t="str">
            <v>Deutsche Boerse</v>
          </cell>
          <cell r="D47" t="str">
            <v>++</v>
          </cell>
        </row>
        <row r="48">
          <cell r="A48" t="str">
            <v>Bursa</v>
          </cell>
          <cell r="D48">
            <v>3.3423655837515429E-2</v>
          </cell>
        </row>
        <row r="49">
          <cell r="A49" t="str">
            <v>ENXT</v>
          </cell>
          <cell r="B49" t="str">
            <v>ENXT.PA</v>
          </cell>
          <cell r="C49" t="str">
            <v>NA</v>
          </cell>
          <cell r="D49">
            <v>2.4462521789657174E-2</v>
          </cell>
          <cell r="E49" t="str">
            <v>per IBES</v>
          </cell>
        </row>
        <row r="50">
          <cell r="A50" t="str">
            <v>LSE</v>
          </cell>
          <cell r="B50" t="str">
            <v>LSE.L</v>
          </cell>
          <cell r="C50" t="str">
            <v>London Stock Exchange</v>
          </cell>
          <cell r="D50">
            <v>1.7513651877133107E-2</v>
          </cell>
          <cell r="E50" t="str">
            <v>per IBES</v>
          </cell>
        </row>
        <row r="51">
          <cell r="A51" t="str">
            <v>CME</v>
          </cell>
          <cell r="B51" t="str">
            <v>CME.N</v>
          </cell>
          <cell r="C51" t="str">
            <v>Chicago Mercantile Exch.</v>
          </cell>
          <cell r="D51">
            <v>5.1409686237708597E-3</v>
          </cell>
        </row>
        <row r="56">
          <cell r="A56" t="str">
            <v>MayBank</v>
          </cell>
          <cell r="B56" t="str">
            <v>MBBM.KL</v>
          </cell>
          <cell r="C56" t="str">
            <v>Maybank</v>
          </cell>
          <cell r="D56">
            <v>7.9439252336448607E-2</v>
          </cell>
        </row>
        <row r="57">
          <cell r="A57" t="str">
            <v>Public</v>
          </cell>
          <cell r="B57" t="str">
            <v>PUBMe.KL</v>
          </cell>
          <cell r="C57" t="str">
            <v>Public Bank</v>
          </cell>
          <cell r="D57">
            <v>6.6176470588235295E-2</v>
          </cell>
        </row>
        <row r="58">
          <cell r="A58" t="str">
            <v>HLB</v>
          </cell>
          <cell r="B58" t="str">
            <v>HLBB.KL</v>
          </cell>
          <cell r="C58" t="str">
            <v>Hong Leong Bank</v>
          </cell>
          <cell r="D58">
            <v>0.05</v>
          </cell>
        </row>
        <row r="59">
          <cell r="A59" t="str">
            <v>ICBCA</v>
          </cell>
          <cell r="B59" t="str">
            <v>0349.HK</v>
          </cell>
          <cell r="C59" t="str">
            <v>ICBC (Asia)</v>
          </cell>
          <cell r="D59">
            <v>4.084033857297651E-2</v>
          </cell>
        </row>
        <row r="60">
          <cell r="A60" t="str">
            <v>HSB</v>
          </cell>
          <cell r="B60" t="str">
            <v>0011.HK</v>
          </cell>
          <cell r="C60" t="str">
            <v>Hang Seng Bank</v>
          </cell>
          <cell r="D60">
            <v>5.432308167998208E-2</v>
          </cell>
        </row>
        <row r="61">
          <cell r="A61" t="str">
            <v>WLB</v>
          </cell>
          <cell r="B61" t="str">
            <v>0096.HK</v>
          </cell>
          <cell r="C61" t="str">
            <v>Wing Lung Bank</v>
          </cell>
          <cell r="D61">
            <v>3.876290839746515E-2</v>
          </cell>
        </row>
        <row r="62">
          <cell r="A62" t="str">
            <v>SGX</v>
          </cell>
          <cell r="B62" t="str">
            <v>SGXL.SI</v>
          </cell>
          <cell r="C62" t="str">
            <v>Singapore Exchange Ltd</v>
          </cell>
          <cell r="D62">
            <v>4.6022727272727271E-2</v>
          </cell>
        </row>
        <row r="63">
          <cell r="A63" t="str">
            <v>HKEx</v>
          </cell>
          <cell r="B63" t="str">
            <v>0388.HK</v>
          </cell>
          <cell r="C63" t="str">
            <v>HK Exchanges &amp; Clearing</v>
          </cell>
          <cell r="D63">
            <v>2.7326299603793729E-2</v>
          </cell>
        </row>
        <row r="64">
          <cell r="A64" t="str">
            <v>BEA</v>
          </cell>
          <cell r="B64" t="str">
            <v>0023.HK</v>
          </cell>
          <cell r="C64" t="str">
            <v>Bank of East Asia</v>
          </cell>
          <cell r="D64">
            <v>4.1712202475501552E-2</v>
          </cell>
        </row>
        <row r="65">
          <cell r="A65" t="str">
            <v>DSF</v>
          </cell>
          <cell r="B65" t="str">
            <v>0440.HK</v>
          </cell>
          <cell r="C65" t="str">
            <v>Dah Sing Financial</v>
          </cell>
          <cell r="D65">
            <v>3.7275222890802553E-2</v>
          </cell>
        </row>
        <row r="66">
          <cell r="A66" t="str">
            <v>BOCHK</v>
          </cell>
          <cell r="B66" t="str">
            <v>2388.HK</v>
          </cell>
          <cell r="C66" t="str">
            <v>BOC Hong Kong</v>
          </cell>
          <cell r="D66">
            <v>4.8281579045093545E-2</v>
          </cell>
        </row>
        <row r="67">
          <cell r="A67" t="str">
            <v>UOB</v>
          </cell>
          <cell r="B67" t="str">
            <v>UOBH.SI</v>
          </cell>
          <cell r="C67" t="str">
            <v>UOB</v>
          </cell>
          <cell r="D67">
            <v>4.9101796407185629E-2</v>
          </cell>
        </row>
        <row r="68">
          <cell r="A68" t="str">
            <v>CIFH</v>
          </cell>
          <cell r="B68" t="str">
            <v>0183.HK</v>
          </cell>
          <cell r="C68" t="str">
            <v>CITIC Int'l Financial Hlds.</v>
          </cell>
          <cell r="D68">
            <v>3.1906030695910491E-2</v>
          </cell>
        </row>
        <row r="69">
          <cell r="A69" t="str">
            <v>WHB</v>
          </cell>
          <cell r="B69" t="str">
            <v>0302.HK</v>
          </cell>
          <cell r="C69" t="str">
            <v>Wing Hang Bank</v>
          </cell>
          <cell r="D69">
            <v>3.5700689616470174E-2</v>
          </cell>
        </row>
        <row r="70">
          <cell r="A70" t="str">
            <v>DBS</v>
          </cell>
          <cell r="B70" t="str">
            <v>DBSM.SI</v>
          </cell>
          <cell r="C70" t="str">
            <v>DBS Group Holdings</v>
          </cell>
          <cell r="D70">
            <v>3.553299492385787E-2</v>
          </cell>
        </row>
        <row r="71">
          <cell r="A71" t="str">
            <v>OCBC</v>
          </cell>
          <cell r="B71" t="str">
            <v>OCBC.SI</v>
          </cell>
          <cell r="C71" t="str">
            <v>OCBC</v>
          </cell>
          <cell r="D71">
            <v>3.4328358208955224E-2</v>
          </cell>
        </row>
        <row r="72">
          <cell r="A72" t="str">
            <v>COMM</v>
          </cell>
          <cell r="B72" t="str">
            <v>COMM.KL</v>
          </cell>
          <cell r="C72" t="str">
            <v>NA</v>
          </cell>
          <cell r="D72" t="str">
            <v>NA</v>
          </cell>
        </row>
        <row r="73">
          <cell r="A73" t="str">
            <v>Bursa</v>
          </cell>
          <cell r="D73">
            <v>3.3423655837515429E-2</v>
          </cell>
        </row>
        <row r="75">
          <cell r="B75" t="str">
            <v>e=Morgan Stanley Estimates.  All other values are actual.</v>
          </cell>
        </row>
        <row r="77">
          <cell r="B77" t="str">
            <v>ND = Not Disclosed, NA = Not Available, and NM = Non Meaningful</v>
          </cell>
        </row>
        <row r="79">
          <cell r="B79" t="str">
            <v>Consensus EPS provided by Thomson Financial/First Call</v>
          </cell>
        </row>
        <row r="81">
          <cell r="B81" t="str">
            <v>Ratios for companies are based on the currency reported by the companies unless explicitly noted.</v>
          </cell>
        </row>
        <row r="83">
          <cell r="B83" t="str">
            <v xml:space="preserve">Although the information provided to you on this site is obtained or compiled from sources we believe to be reliable, </v>
          </cell>
        </row>
        <row r="84">
          <cell r="B84" t="str">
            <v xml:space="preserve">Morgan Stanley cannot and does not guarantee the accuracy, validity, timeliness or completeness of any information or </v>
          </cell>
        </row>
        <row r="85">
          <cell r="B85" t="str">
            <v>data made available to you for any particular purpose.</v>
          </cell>
        </row>
      </sheetData>
      <sheetData sheetId="14" refreshError="1">
        <row r="1">
          <cell r="A1" t="str">
            <v>2006E</v>
          </cell>
          <cell r="B1" t="str">
            <v>CBOT</v>
          </cell>
          <cell r="C1" t="str">
            <v>CME</v>
          </cell>
          <cell r="D1" t="str">
            <v>*SGX</v>
          </cell>
        </row>
        <row r="2">
          <cell r="A2" t="str">
            <v>Revenue Growth YoY (%)</v>
          </cell>
          <cell r="B2">
            <v>25.240674924950813</v>
          </cell>
          <cell r="C2">
            <v>19.586010458454272</v>
          </cell>
          <cell r="D2">
            <v>22.522554574848218</v>
          </cell>
        </row>
        <row r="3">
          <cell r="A3" t="str">
            <v>Net Profit Growth YoY (%)</v>
          </cell>
          <cell r="B3">
            <v>69.254965399478735</v>
          </cell>
          <cell r="C3">
            <v>26.587852437762717</v>
          </cell>
          <cell r="D3">
            <v>29.748286420219848</v>
          </cell>
        </row>
        <row r="4">
          <cell r="A4" t="str">
            <v>ROE (%)</v>
          </cell>
          <cell r="B4">
            <v>23.64</v>
          </cell>
          <cell r="C4">
            <v>30.742999999999999</v>
          </cell>
          <cell r="D4">
            <v>33.467819720013935</v>
          </cell>
        </row>
        <row r="5">
          <cell r="A5" t="str">
            <v>PE 06E</v>
          </cell>
          <cell r="B5">
            <v>44.998030720756198</v>
          </cell>
          <cell r="C5">
            <v>40.748702067583572</v>
          </cell>
          <cell r="D5">
            <v>25.29888981309152</v>
          </cell>
        </row>
        <row r="6">
          <cell r="A6" t="str">
            <v>PB 06E</v>
          </cell>
          <cell r="B6">
            <v>8.9397496087636945</v>
          </cell>
          <cell r="C6">
            <v>10.984850344979989</v>
          </cell>
          <cell r="D6">
            <v>7.9215603034661779</v>
          </cell>
        </row>
        <row r="7">
          <cell r="A7" t="str">
            <v>* Average of FY06E and FY07E</v>
          </cell>
        </row>
      </sheetData>
      <sheetData sheetId="15"/>
      <sheetData sheetId="16"/>
      <sheetData sheetId="17"/>
      <sheetData sheetId="18" refreshError="1">
        <row r="3">
          <cell r="M3" t="str">
            <v>10/3/2006</v>
          </cell>
        </row>
        <row r="4">
          <cell r="G4">
            <v>2007</v>
          </cell>
          <cell r="H4">
            <v>2007</v>
          </cell>
          <cell r="I4">
            <v>2007</v>
          </cell>
          <cell r="J4">
            <v>2007</v>
          </cell>
          <cell r="K4">
            <v>2007</v>
          </cell>
          <cell r="L4">
            <v>2007</v>
          </cell>
        </row>
        <row r="5">
          <cell r="C5" t="str">
            <v>Company name</v>
          </cell>
          <cell r="D5" t="str">
            <v>Close price date</v>
          </cell>
          <cell r="E5" t="str">
            <v>Close price currency</v>
          </cell>
          <cell r="G5" t="str">
            <v>DPS 07E</v>
          </cell>
          <cell r="H5" t="str">
            <v>ROE 07E</v>
          </cell>
          <cell r="I5" t="str">
            <v xml:space="preserve">Implied Perpetual Growth Rate </v>
          </cell>
          <cell r="J5" t="str">
            <v>Cost of Equity</v>
          </cell>
          <cell r="K5" t="str">
            <v>Div Payout 07E</v>
          </cell>
          <cell r="L5" t="str">
            <v>Implied Value</v>
          </cell>
          <cell r="M5" t="str">
            <v>Current Price</v>
          </cell>
          <cell r="N5" t="str">
            <v>% Upside</v>
          </cell>
        </row>
        <row r="6">
          <cell r="B6" t="str">
            <v>SGXL.SI</v>
          </cell>
          <cell r="C6" t="str">
            <v>Singapore Exchange Ltd</v>
          </cell>
          <cell r="E6" t="str">
            <v>SGD</v>
          </cell>
          <cell r="F6" t="str">
            <v>SGX</v>
          </cell>
          <cell r="G6">
            <v>0.2292819590153761</v>
          </cell>
          <cell r="H6">
            <v>0.31584395643934315</v>
          </cell>
          <cell r="I6">
            <v>3.4577132767867405E-2</v>
          </cell>
          <cell r="J6">
            <v>0.09</v>
          </cell>
          <cell r="K6">
            <v>0.9</v>
          </cell>
          <cell r="L6">
            <v>4.28</v>
          </cell>
          <cell r="M6">
            <v>4.28</v>
          </cell>
          <cell r="N6">
            <v>0</v>
          </cell>
        </row>
        <row r="7">
          <cell r="B7" t="str">
            <v>ASX.AX</v>
          </cell>
          <cell r="C7" t="str">
            <v>Australian Stock Exchange</v>
          </cell>
          <cell r="D7" t="str">
            <v>10/3/2006</v>
          </cell>
          <cell r="E7" t="str">
            <v>AUD</v>
          </cell>
          <cell r="F7" t="str">
            <v>ASX</v>
          </cell>
          <cell r="G7">
            <v>1.3432229743519599</v>
          </cell>
          <cell r="H7">
            <v>0.69453000852907909</v>
          </cell>
          <cell r="I7">
            <v>5.6914365474128294E-2</v>
          </cell>
          <cell r="J7">
            <v>0.1</v>
          </cell>
          <cell r="K7">
            <v>0.69302261868195669</v>
          </cell>
          <cell r="L7">
            <v>32.949999999999996</v>
          </cell>
          <cell r="M7">
            <v>32.950000000000003</v>
          </cell>
          <cell r="N7">
            <v>0</v>
          </cell>
        </row>
        <row r="8">
          <cell r="B8" t="str">
            <v>0388.HK</v>
          </cell>
          <cell r="C8" t="str">
            <v>HK Exchanges &amp; Clearing</v>
          </cell>
          <cell r="D8" t="str">
            <v>10/3/2006</v>
          </cell>
          <cell r="E8" t="str">
            <v>HKD</v>
          </cell>
          <cell r="F8" t="str">
            <v>HKEx</v>
          </cell>
          <cell r="G8">
            <v>1.6932485122742222</v>
          </cell>
          <cell r="H8">
            <v>0.43255884012865192</v>
          </cell>
          <cell r="I8">
            <v>6.6466250833527626E-2</v>
          </cell>
          <cell r="J8">
            <v>0.1</v>
          </cell>
          <cell r="K8">
            <v>0.9</v>
          </cell>
          <cell r="L8">
            <v>53.850000000000023</v>
          </cell>
          <cell r="M8">
            <v>53.85</v>
          </cell>
          <cell r="N8">
            <v>0</v>
          </cell>
        </row>
        <row r="9">
          <cell r="B9" t="str">
            <v>BMYS.KL</v>
          </cell>
          <cell r="C9" t="str">
            <v>Bursa Malaysia Berhad</v>
          </cell>
          <cell r="D9" t="str">
            <v>10/3/2006</v>
          </cell>
          <cell r="E9" t="str">
            <v>MYR</v>
          </cell>
          <cell r="F9" t="str">
            <v>Bursa</v>
          </cell>
          <cell r="G9">
            <v>1.1170191559499798</v>
          </cell>
          <cell r="H9">
            <v>0.15841920915922425</v>
          </cell>
          <cell r="I9">
            <v>-7.8930776751997722E-2</v>
          </cell>
          <cell r="J9">
            <v>0.1</v>
          </cell>
          <cell r="K9">
            <v>4.0143565242805108</v>
          </cell>
          <cell r="L9">
            <v>5.75</v>
          </cell>
          <cell r="M9">
            <v>5.75</v>
          </cell>
          <cell r="N9">
            <v>0</v>
          </cell>
        </row>
        <row r="10">
          <cell r="B10" t="str">
            <v>DB1Gn.DE</v>
          </cell>
          <cell r="C10" t="str">
            <v>Deutsche Boerse</v>
          </cell>
          <cell r="D10" t="str">
            <v>10/2/2006</v>
          </cell>
          <cell r="E10" t="str">
            <v>EUR</v>
          </cell>
          <cell r="F10" t="str">
            <v>Deutsche</v>
          </cell>
          <cell r="G10" t="str">
            <v>++</v>
          </cell>
          <cell r="H10" t="str">
            <v>++</v>
          </cell>
          <cell r="I10" t="e">
            <v>#VALUE!</v>
          </cell>
          <cell r="J10">
            <v>0.1</v>
          </cell>
          <cell r="K10" t="str">
            <v>++</v>
          </cell>
          <cell r="L10" t="e">
            <v>#VALUE!</v>
          </cell>
          <cell r="M10">
            <v>118.4</v>
          </cell>
          <cell r="N10" t="e">
            <v>#VALUE!</v>
          </cell>
        </row>
        <row r="11">
          <cell r="B11" t="str">
            <v>ISE.N</v>
          </cell>
          <cell r="C11" t="str">
            <v>International Securities Exchange Inc.</v>
          </cell>
          <cell r="D11" t="str">
            <v>10/2/2006</v>
          </cell>
          <cell r="E11" t="str">
            <v>USD</v>
          </cell>
          <cell r="F11" t="str">
            <v>ISE</v>
          </cell>
          <cell r="G11">
            <v>0</v>
          </cell>
          <cell r="H11">
            <v>0.2838922691403532</v>
          </cell>
          <cell r="I11">
            <v>0.2838922691403532</v>
          </cell>
          <cell r="J11">
            <v>0.1</v>
          </cell>
          <cell r="K11">
            <v>0</v>
          </cell>
          <cell r="L11">
            <v>0</v>
          </cell>
          <cell r="M11">
            <v>46.55</v>
          </cell>
          <cell r="N11">
            <v>-1</v>
          </cell>
        </row>
        <row r="12">
          <cell r="B12" t="str">
            <v>CME.N</v>
          </cell>
          <cell r="C12" t="str">
            <v>Chicago Mercantile Exch.</v>
          </cell>
          <cell r="D12" t="str">
            <v>10/2/2006</v>
          </cell>
          <cell r="E12" t="str">
            <v>USD</v>
          </cell>
          <cell r="F12" t="str">
            <v>CME</v>
          </cell>
          <cell r="G12">
            <v>2.8863622904869</v>
          </cell>
          <cell r="H12">
            <v>0.3533780143166308</v>
          </cell>
          <cell r="I12">
            <v>0.28329166372318276</v>
          </cell>
          <cell r="J12">
            <v>0.1</v>
          </cell>
          <cell r="K12">
            <v>0.19833251575931332</v>
          </cell>
          <cell r="L12">
            <v>-20.208473154899419</v>
          </cell>
          <cell r="M12">
            <v>466.85</v>
          </cell>
          <cell r="N12">
            <v>-1.0432868654919127</v>
          </cell>
        </row>
        <row r="13">
          <cell r="B13" t="str">
            <v>ICE.N</v>
          </cell>
          <cell r="C13" t="str">
            <v>IntercontinentalExchange</v>
          </cell>
          <cell r="D13" t="str">
            <v>10/2/2006</v>
          </cell>
          <cell r="E13" t="str">
            <v>USD</v>
          </cell>
          <cell r="F13" t="str">
            <v>Intercontinental</v>
          </cell>
          <cell r="G13">
            <v>0</v>
          </cell>
          <cell r="H13">
            <v>0.49063120907571695</v>
          </cell>
          <cell r="I13">
            <v>0.49063120907571695</v>
          </cell>
          <cell r="J13">
            <v>0.1</v>
          </cell>
          <cell r="K13">
            <v>0</v>
          </cell>
          <cell r="L13">
            <v>0</v>
          </cell>
          <cell r="M13">
            <v>74.45</v>
          </cell>
          <cell r="N13">
            <v>-1</v>
          </cell>
        </row>
        <row r="14">
          <cell r="B14" t="str">
            <v>ENXT.PA</v>
          </cell>
          <cell r="C14" t="str">
            <v>NA</v>
          </cell>
          <cell r="D14" t="str">
            <v>NA</v>
          </cell>
          <cell r="E14" t="str">
            <v>NA</v>
          </cell>
          <cell r="F14" t="str">
            <v>Euronext</v>
          </cell>
          <cell r="G14" t="str">
            <v>NA</v>
          </cell>
          <cell r="H14" t="str">
            <v>NA</v>
          </cell>
          <cell r="J14">
            <v>0.1</v>
          </cell>
          <cell r="K14" t="str">
            <v>NA</v>
          </cell>
          <cell r="M14" t="str">
            <v>NA</v>
          </cell>
          <cell r="N14" t="e">
            <v>#VALUE!</v>
          </cell>
        </row>
        <row r="15">
          <cell r="B15" t="str">
            <v>LSE.L</v>
          </cell>
          <cell r="C15" t="str">
            <v>London Stock Exchange</v>
          </cell>
          <cell r="D15" t="str">
            <v>10/2/2006</v>
          </cell>
          <cell r="E15" t="str">
            <v>GBp</v>
          </cell>
          <cell r="F15" t="str">
            <v>LSE</v>
          </cell>
          <cell r="G15">
            <v>18</v>
          </cell>
          <cell r="H15" t="str">
            <v>NM</v>
          </cell>
          <cell r="J15">
            <v>0.1</v>
          </cell>
          <cell r="K15">
            <v>0.31197082021747824</v>
          </cell>
          <cell r="M15">
            <v>1229</v>
          </cell>
          <cell r="N15">
            <v>-1</v>
          </cell>
        </row>
        <row r="18">
          <cell r="F18" t="str">
            <v>For HKEx only:</v>
          </cell>
        </row>
        <row r="19">
          <cell r="F19" t="str">
            <v>(HK$)</v>
          </cell>
          <cell r="G19" t="str">
            <v>DPS</v>
          </cell>
          <cell r="H19" t="str">
            <v>ROE</v>
          </cell>
          <cell r="I19" t="str">
            <v xml:space="preserve">Implied Perpetual Growth Rate </v>
          </cell>
          <cell r="J19" t="str">
            <v>Cost of Equity</v>
          </cell>
          <cell r="K19" t="str">
            <v>Div Payout</v>
          </cell>
          <cell r="M19" t="str">
            <v>Current Price</v>
          </cell>
        </row>
        <row r="20">
          <cell r="F20">
            <v>2000</v>
          </cell>
          <cell r="G20">
            <v>0.32938095293005248</v>
          </cell>
          <cell r="H20">
            <v>0.19730534785582057</v>
          </cell>
          <cell r="I20">
            <v>8.012444585152953E-2</v>
          </cell>
          <cell r="J20">
            <v>0.1</v>
          </cell>
          <cell r="K20">
            <v>0.39</v>
          </cell>
          <cell r="M20">
            <v>17.899999999999999</v>
          </cell>
        </row>
        <row r="21">
          <cell r="F21">
            <v>2001</v>
          </cell>
          <cell r="G21">
            <v>0.33</v>
          </cell>
          <cell r="H21">
            <v>0.148136359629125</v>
          </cell>
          <cell r="I21">
            <v>7.0197044334975367E-2</v>
          </cell>
          <cell r="J21">
            <v>0.1</v>
          </cell>
          <cell r="K21">
            <v>0.4640332387515203</v>
          </cell>
          <cell r="M21">
            <v>11.85</v>
          </cell>
        </row>
        <row r="22">
          <cell r="F22">
            <v>2002</v>
          </cell>
          <cell r="G22">
            <v>0.50910925338714319</v>
          </cell>
          <cell r="H22">
            <v>0.10971950424005217</v>
          </cell>
          <cell r="I22">
            <v>4.5677151637338778E-2</v>
          </cell>
          <cell r="J22">
            <v>0.1</v>
          </cell>
          <cell r="K22">
            <v>0.9</v>
          </cell>
          <cell r="M22">
            <v>9.8000000000000007</v>
          </cell>
        </row>
        <row r="23">
          <cell r="F23">
            <v>2003</v>
          </cell>
          <cell r="G23">
            <v>2.2799999999999998</v>
          </cell>
          <cell r="H23">
            <v>0.12457245724572459</v>
          </cell>
          <cell r="I23">
            <v>-3.1102979613172998E-2</v>
          </cell>
          <cell r="J23">
            <v>0.1</v>
          </cell>
          <cell r="K23">
            <v>3.4288959537572246</v>
          </cell>
          <cell r="M23">
            <v>16.850000000000001</v>
          </cell>
        </row>
        <row r="24">
          <cell r="F24">
            <v>2004</v>
          </cell>
          <cell r="G24">
            <v>0.90023330179754013</v>
          </cell>
          <cell r="H24">
            <v>0.21921501140369062</v>
          </cell>
          <cell r="I24">
            <v>5.4366544441931591E-2</v>
          </cell>
          <cell r="J24">
            <v>0.1</v>
          </cell>
          <cell r="K24">
            <v>0.9</v>
          </cell>
          <cell r="M24">
            <v>20.8</v>
          </cell>
        </row>
        <row r="25">
          <cell r="F25">
            <v>2005</v>
          </cell>
          <cell r="G25">
            <v>1.1298276648898382</v>
          </cell>
          <cell r="H25">
            <v>0.31895940336370471</v>
          </cell>
          <cell r="I25">
            <v>6.2655743175918405E-2</v>
          </cell>
          <cell r="J25">
            <v>0.1</v>
          </cell>
          <cell r="K25">
            <v>0.9</v>
          </cell>
          <cell r="M25">
            <v>32.15</v>
          </cell>
        </row>
        <row r="26">
          <cell r="F26" t="str">
            <v>2006E</v>
          </cell>
          <cell r="G26">
            <v>1.6996958353559704</v>
          </cell>
          <cell r="H26">
            <v>0.4528348191144802</v>
          </cell>
          <cell r="I26">
            <v>6.6342472433457103E-2</v>
          </cell>
          <cell r="J26">
            <v>0.1</v>
          </cell>
          <cell r="K26">
            <v>0.9</v>
          </cell>
          <cell r="M26">
            <v>53.85</v>
          </cell>
        </row>
        <row r="27">
          <cell r="F27" t="str">
            <v>2007E</v>
          </cell>
          <cell r="G27">
            <v>1.6932485122742222</v>
          </cell>
          <cell r="H27">
            <v>0.43255884012865192</v>
          </cell>
          <cell r="I27">
            <v>6.6466250833527626E-2</v>
          </cell>
          <cell r="J27">
            <v>0.1</v>
          </cell>
          <cell r="K27">
            <v>0.9</v>
          </cell>
          <cell r="M27">
            <v>53.85</v>
          </cell>
        </row>
        <row r="30">
          <cell r="G30" t="str">
            <v>2006E</v>
          </cell>
          <cell r="H30" t="str">
            <v>2007E</v>
          </cell>
        </row>
        <row r="31">
          <cell r="F31" t="str">
            <v>DPS</v>
          </cell>
          <cell r="G31">
            <v>1.6996958353559704</v>
          </cell>
          <cell r="H31">
            <v>1.6932485122742222</v>
          </cell>
        </row>
        <row r="32">
          <cell r="F32" t="str">
            <v>EPS</v>
          </cell>
          <cell r="G32">
            <v>1.8885509281733004</v>
          </cell>
          <cell r="H32">
            <v>1.881387235860247</v>
          </cell>
        </row>
        <row r="33">
          <cell r="F33" t="str">
            <v>ROE</v>
          </cell>
          <cell r="G33">
            <v>0.4528348191144802</v>
          </cell>
          <cell r="H33">
            <v>0.43255884012865192</v>
          </cell>
        </row>
        <row r="34">
          <cell r="F34" t="str">
            <v>r</v>
          </cell>
          <cell r="G34">
            <v>0.1</v>
          </cell>
          <cell r="H34">
            <v>0.1</v>
          </cell>
        </row>
        <row r="35">
          <cell r="F35" t="str">
            <v>g</v>
          </cell>
          <cell r="G35">
            <v>6.6466250833527626E-2</v>
          </cell>
          <cell r="H35">
            <v>6.6466250833527626E-2</v>
          </cell>
        </row>
        <row r="36">
          <cell r="F36" t="str">
            <v>b</v>
          </cell>
          <cell r="G36">
            <v>9.9999999999999978E-2</v>
          </cell>
          <cell r="H36">
            <v>0.10000000000000009</v>
          </cell>
        </row>
        <row r="37">
          <cell r="F37" t="str">
            <v>Net Profit</v>
          </cell>
          <cell r="G37">
            <v>2007.066941670816</v>
          </cell>
          <cell r="H37">
            <v>1999.453691846657</v>
          </cell>
        </row>
        <row r="38">
          <cell r="F38" t="str">
            <v>Sales</v>
          </cell>
          <cell r="G38">
            <v>3561.9876484999995</v>
          </cell>
          <cell r="H38">
            <v>3599.4621509999997</v>
          </cell>
        </row>
        <row r="40">
          <cell r="H40" t="str">
            <v>Stock Value</v>
          </cell>
          <cell r="I40">
            <v>50.686125995579268</v>
          </cell>
        </row>
        <row r="43">
          <cell r="F43" t="str">
            <v xml:space="preserve">Justified Price to Earnings Ratio 
</v>
          </cell>
          <cell r="H43" t="str">
            <v>PE 06E</v>
          </cell>
          <cell r="I43">
            <v>26.83863338787765</v>
          </cell>
        </row>
        <row r="47">
          <cell r="F47" t="str">
            <v>Justified Price to Book</v>
          </cell>
          <cell r="H47" t="str">
            <v>PB 06E</v>
          </cell>
          <cell r="I47">
            <v>11.52178261854629</v>
          </cell>
          <cell r="N47">
            <v>1.6932485122742222</v>
          </cell>
        </row>
        <row r="50">
          <cell r="F50" t="str">
            <v>Justified Price to Sales</v>
          </cell>
          <cell r="H50" t="str">
            <v>P/Sales 06E</v>
          </cell>
          <cell r="I50">
            <v>16.127868099813078</v>
          </cell>
        </row>
      </sheetData>
      <sheetData sheetId="19" refreshError="1">
        <row r="1">
          <cell r="A1" t="str">
            <v>Exhibit 12</v>
          </cell>
          <cell r="B1" t="str">
            <v>2006E</v>
          </cell>
          <cell r="C1" t="str">
            <v>2007E</v>
          </cell>
          <cell r="D1" t="str">
            <v>07E Chg</v>
          </cell>
        </row>
        <row r="2">
          <cell r="A2" t="str">
            <v>Thailand</v>
          </cell>
          <cell r="B2">
            <v>3.9E-2</v>
          </cell>
          <cell r="C2">
            <v>0.04</v>
          </cell>
          <cell r="D2">
            <v>1.0000000000000009E-3</v>
          </cell>
        </row>
        <row r="3">
          <cell r="A3" t="str">
            <v>Indonesia</v>
          </cell>
          <cell r="B3">
            <v>5.2999999999999999E-2</v>
          </cell>
          <cell r="C3" t="str">
            <v>Real</v>
          </cell>
          <cell r="D3">
            <v>0</v>
          </cell>
          <cell r="F3" t="str">
            <v>Nominal</v>
          </cell>
          <cell r="G3" t="str">
            <v>2005E</v>
          </cell>
        </row>
        <row r="4">
          <cell r="A4" t="str">
            <v>Malaysia</v>
          </cell>
          <cell r="B4">
            <v>5.5E-2</v>
          </cell>
          <cell r="C4">
            <v>0.05</v>
          </cell>
          <cell r="D4">
            <v>-4.9999999999999975E-3</v>
          </cell>
          <cell r="E4">
            <v>2004</v>
          </cell>
          <cell r="F4" t="str">
            <v>2005E</v>
          </cell>
          <cell r="G4" t="str">
            <v>Diff.</v>
          </cell>
        </row>
        <row r="5">
          <cell r="A5" t="str">
            <v>Taiwan</v>
          </cell>
          <cell r="B5">
            <v>0.04</v>
          </cell>
          <cell r="C5">
            <v>3.5000000000000003E-2</v>
          </cell>
          <cell r="D5">
            <v>-4.9999999999999975E-3</v>
          </cell>
        </row>
        <row r="6">
          <cell r="A6" t="str">
            <v>Korea</v>
          </cell>
          <cell r="B6">
            <v>5.0999999999999997E-2</v>
          </cell>
          <cell r="C6">
            <v>4.2999999999999997E-2</v>
          </cell>
          <cell r="D6">
            <v>-8.0000000000000002E-3</v>
          </cell>
          <cell r="E6">
            <v>11.2</v>
          </cell>
          <cell r="F6">
            <v>12.8</v>
          </cell>
          <cell r="G6">
            <v>1.6</v>
          </cell>
        </row>
        <row r="7">
          <cell r="A7" t="str">
            <v>HK</v>
          </cell>
          <cell r="B7">
            <v>5.6000000000000001E-2</v>
          </cell>
          <cell r="C7">
            <v>4.4999999999999998E-2</v>
          </cell>
          <cell r="D7">
            <v>-1.1000000000000003E-2</v>
          </cell>
          <cell r="E7">
            <v>13.4</v>
          </cell>
          <cell r="F7">
            <v>13</v>
          </cell>
          <cell r="G7">
            <v>-0.4</v>
          </cell>
        </row>
        <row r="8">
          <cell r="A8" t="str">
            <v>India</v>
          </cell>
          <cell r="B8">
            <v>8.4000000000000005E-2</v>
          </cell>
          <cell r="C8">
            <v>6.8000000000000005E-2</v>
          </cell>
          <cell r="D8">
            <v>-1.6E-2</v>
          </cell>
          <cell r="E8">
            <v>10.9</v>
          </cell>
          <cell r="F8">
            <v>10.5</v>
          </cell>
          <cell r="G8">
            <v>-0.4</v>
          </cell>
        </row>
        <row r="9">
          <cell r="A9" t="str">
            <v>China</v>
          </cell>
          <cell r="B9">
            <v>0.105</v>
          </cell>
          <cell r="C9">
            <v>8.5000000000000006E-2</v>
          </cell>
          <cell r="D9">
            <v>-1.999999999999999E-2</v>
          </cell>
          <cell r="E9">
            <v>8.9</v>
          </cell>
          <cell r="F9">
            <v>8.4</v>
          </cell>
          <cell r="G9">
            <v>-0.5</v>
          </cell>
        </row>
        <row r="10">
          <cell r="A10" t="str">
            <v>Singapore</v>
          </cell>
          <cell r="B10">
            <v>7.4999999999999997E-2</v>
          </cell>
          <cell r="C10">
            <v>0.05</v>
          </cell>
          <cell r="D10">
            <v>-2.4999999999999994E-2</v>
          </cell>
          <cell r="E10">
            <v>8.5</v>
          </cell>
          <cell r="F10">
            <v>7.4</v>
          </cell>
          <cell r="G10">
            <v>-1.1000000000000001</v>
          </cell>
        </row>
        <row r="11">
          <cell r="A11" t="str">
            <v>KO</v>
          </cell>
          <cell r="B11">
            <v>4.5999999999999996</v>
          </cell>
          <cell r="C11">
            <v>3.8</v>
          </cell>
          <cell r="D11">
            <v>-0.8</v>
          </cell>
          <cell r="E11">
            <v>8.1999999999999993</v>
          </cell>
          <cell r="F11">
            <v>6.8</v>
          </cell>
          <cell r="G11">
            <v>-1.4</v>
          </cell>
        </row>
        <row r="12">
          <cell r="A12" t="str">
            <v>HK</v>
          </cell>
          <cell r="B12">
            <v>8.1</v>
          </cell>
          <cell r="C12">
            <v>4.5</v>
          </cell>
          <cell r="D12">
            <v>-3.6</v>
          </cell>
          <cell r="E12">
            <v>7.7</v>
          </cell>
          <cell r="F12">
            <v>5.7</v>
          </cell>
          <cell r="G12">
            <v>-2</v>
          </cell>
        </row>
        <row r="13">
          <cell r="A13" t="str">
            <v>TW</v>
          </cell>
          <cell r="B13">
            <v>5.7</v>
          </cell>
          <cell r="C13">
            <v>4</v>
          </cell>
          <cell r="D13">
            <v>-1.7</v>
          </cell>
          <cell r="E13">
            <v>7.3</v>
          </cell>
          <cell r="F13">
            <v>5</v>
          </cell>
          <cell r="G13">
            <v>-2.2999999999999998</v>
          </cell>
        </row>
        <row r="35">
          <cell r="A35" t="str">
            <v>GNP/GDP Growth (as of 13 Feb 2006)</v>
          </cell>
        </row>
        <row r="36">
          <cell r="A36" t="str">
            <v>(%)</v>
          </cell>
          <cell r="B36">
            <v>2004</v>
          </cell>
          <cell r="C36" t="str">
            <v>2005E</v>
          </cell>
          <cell r="D36" t="str">
            <v>2006E</v>
          </cell>
          <cell r="E36" t="str">
            <v>05/06 Chg</v>
          </cell>
        </row>
        <row r="37">
          <cell r="A37" t="str">
            <v>Thailand</v>
          </cell>
          <cell r="B37">
            <v>6.1</v>
          </cell>
          <cell r="C37">
            <v>4.5999999999999996</v>
          </cell>
          <cell r="D37">
            <v>5.4</v>
          </cell>
          <cell r="E37">
            <v>0.80000000000000071</v>
          </cell>
        </row>
        <row r="38">
          <cell r="A38" t="str">
            <v>Korea</v>
          </cell>
          <cell r="B38">
            <v>4.5999999999999996</v>
          </cell>
          <cell r="C38">
            <v>4</v>
          </cell>
          <cell r="D38">
            <v>4.5</v>
          </cell>
          <cell r="E38">
            <v>0.5</v>
          </cell>
        </row>
        <row r="39">
          <cell r="A39" t="str">
            <v>Singapore</v>
          </cell>
          <cell r="B39">
            <v>8.4</v>
          </cell>
          <cell r="C39">
            <v>6.4</v>
          </cell>
          <cell r="D39">
            <v>6.9</v>
          </cell>
          <cell r="E39">
            <v>0.5</v>
          </cell>
        </row>
        <row r="40">
          <cell r="A40" t="str">
            <v>Japan</v>
          </cell>
          <cell r="B40">
            <v>2.2999999999999998</v>
          </cell>
          <cell r="C40">
            <v>2.5</v>
          </cell>
          <cell r="D40">
            <v>2.7</v>
          </cell>
          <cell r="E40">
            <v>0.20000000000000018</v>
          </cell>
        </row>
        <row r="41">
          <cell r="A41" t="str">
            <v>Philippines</v>
          </cell>
          <cell r="B41">
            <v>6</v>
          </cell>
          <cell r="C41">
            <v>4.5</v>
          </cell>
          <cell r="D41">
            <v>4.5</v>
          </cell>
          <cell r="E41">
            <v>0</v>
          </cell>
        </row>
        <row r="42">
          <cell r="A42" t="str">
            <v>Taiwan</v>
          </cell>
          <cell r="B42">
            <v>6.1</v>
          </cell>
          <cell r="C42">
            <v>3.7</v>
          </cell>
          <cell r="D42">
            <v>3.6</v>
          </cell>
          <cell r="E42">
            <v>-0.10000000000000009</v>
          </cell>
        </row>
        <row r="43">
          <cell r="A43" t="str">
            <v>Indonesia</v>
          </cell>
          <cell r="B43">
            <v>5.0999999999999996</v>
          </cell>
          <cell r="C43">
            <v>5.3</v>
          </cell>
          <cell r="D43">
            <v>5.0999999999999996</v>
          </cell>
          <cell r="E43">
            <v>-0.20000000000000018</v>
          </cell>
        </row>
        <row r="44">
          <cell r="A44" t="str">
            <v>Malaysia</v>
          </cell>
          <cell r="B44">
            <v>7.1</v>
          </cell>
          <cell r="C44">
            <v>5.3</v>
          </cell>
          <cell r="D44">
            <v>5</v>
          </cell>
          <cell r="E44">
            <v>-0.29999999999999982</v>
          </cell>
        </row>
        <row r="45">
          <cell r="A45" t="str">
            <v>Asia ex-Japan</v>
          </cell>
          <cell r="B45">
            <v>7.9</v>
          </cell>
          <cell r="C45">
            <v>7.3</v>
          </cell>
          <cell r="D45">
            <v>6.3</v>
          </cell>
          <cell r="E45">
            <v>-1</v>
          </cell>
        </row>
        <row r="46">
          <cell r="A46" t="str">
            <v>India</v>
          </cell>
          <cell r="B46">
            <v>7.2</v>
          </cell>
          <cell r="C46">
            <v>7.5</v>
          </cell>
          <cell r="D46">
            <v>6.5</v>
          </cell>
          <cell r="E46">
            <v>-1</v>
          </cell>
        </row>
        <row r="47">
          <cell r="A47" t="str">
            <v>China</v>
          </cell>
          <cell r="B47">
            <v>10.1</v>
          </cell>
          <cell r="C47">
            <v>9.9</v>
          </cell>
          <cell r="D47">
            <v>7.8</v>
          </cell>
          <cell r="E47">
            <v>-2.1000000000000005</v>
          </cell>
        </row>
        <row r="48">
          <cell r="A48" t="str">
            <v>Hong Kong</v>
          </cell>
          <cell r="B48">
            <v>8.1999999999999993</v>
          </cell>
          <cell r="C48">
            <v>7.4</v>
          </cell>
          <cell r="D48">
            <v>5</v>
          </cell>
          <cell r="E48">
            <v>-2.4000000000000004</v>
          </cell>
        </row>
      </sheetData>
      <sheetData sheetId="20"/>
      <sheetData sheetId="21" refreshError="1">
        <row r="1">
          <cell r="B1" t="str">
            <v>2006E</v>
          </cell>
          <cell r="F1" t="str">
            <v>2007E</v>
          </cell>
        </row>
        <row r="2">
          <cell r="A2" t="str">
            <v>(Local Curr.)</v>
          </cell>
          <cell r="B2" t="str">
            <v>MS</v>
          </cell>
          <cell r="C2" t="str">
            <v>IBES</v>
          </cell>
          <cell r="D2" t="str">
            <v>Var%</v>
          </cell>
          <cell r="F2" t="str">
            <v>MS</v>
          </cell>
          <cell r="G2" t="str">
            <v>IBES</v>
          </cell>
          <cell r="H2" t="str">
            <v>Var%</v>
          </cell>
        </row>
        <row r="3">
          <cell r="A3" t="str">
            <v>SGX*</v>
          </cell>
          <cell r="B3">
            <v>0.18118771988414628</v>
          </cell>
          <cell r="C3">
            <v>0.18199999630451202</v>
          </cell>
          <cell r="D3">
            <v>-4.4630573453786626E-3</v>
          </cell>
          <cell r="F3">
            <v>0.22425541466722423</v>
          </cell>
          <cell r="G3">
            <v>0.19900000095367432</v>
          </cell>
          <cell r="H3">
            <v>0.12691162609305295</v>
          </cell>
          <cell r="I3" t="str">
            <v>SGXL.SI</v>
          </cell>
        </row>
        <row r="4">
          <cell r="A4" t="str">
            <v>Bursa</v>
          </cell>
          <cell r="B4" t="str">
            <v>NA</v>
          </cell>
          <cell r="C4">
            <v>0.20000000298023224</v>
          </cell>
          <cell r="D4" t="e">
            <v>#VALUE!</v>
          </cell>
          <cell r="F4" t="str">
            <v>NA</v>
          </cell>
          <cell r="G4">
            <v>0.23600000143051147</v>
          </cell>
          <cell r="H4" t="e">
            <v>#VALUE!</v>
          </cell>
          <cell r="I4" t="str">
            <v>BMYS.KL</v>
          </cell>
        </row>
        <row r="5">
          <cell r="A5" t="str">
            <v>ASX</v>
          </cell>
          <cell r="B5" t="str">
            <v>NA</v>
          </cell>
          <cell r="C5">
            <v>1.3339999914169312</v>
          </cell>
          <cell r="D5" t="e">
            <v>#VALUE!</v>
          </cell>
          <cell r="F5" t="str">
            <v>NA</v>
          </cell>
          <cell r="G5">
            <v>1.4939999580383301</v>
          </cell>
          <cell r="H5" t="e">
            <v>#VALUE!</v>
          </cell>
          <cell r="I5" t="str">
            <v>ASX.AX</v>
          </cell>
        </row>
        <row r="6">
          <cell r="A6" t="str">
            <v>HKEx</v>
          </cell>
          <cell r="B6" t="str">
            <v>NA</v>
          </cell>
          <cell r="C6">
            <v>1.9110000133514404</v>
          </cell>
          <cell r="D6" t="e">
            <v>#VALUE!</v>
          </cell>
          <cell r="F6" t="str">
            <v>NA</v>
          </cell>
          <cell r="G6">
            <v>2.0810000896453857</v>
          </cell>
          <cell r="H6" t="e">
            <v>#VALUE!</v>
          </cell>
          <cell r="I6" t="str">
            <v>0388.HK</v>
          </cell>
        </row>
        <row r="8">
          <cell r="A8" t="str">
            <v>* SGX FY2007E and FY2008E respectively</v>
          </cell>
        </row>
        <row r="28">
          <cell r="N28">
            <v>-0.16666666666666663</v>
          </cell>
        </row>
        <row r="29">
          <cell r="N29">
            <v>-0.16938775510204074</v>
          </cell>
        </row>
        <row r="31">
          <cell r="B31" t="str">
            <v>e=Morgan Stanley Estimates.  All other values are actual.</v>
          </cell>
        </row>
        <row r="33">
          <cell r="B33" t="str">
            <v>ND = Not Disclosed, NA = Not Available, and NM = Non Meaningful</v>
          </cell>
        </row>
        <row r="35">
          <cell r="B35" t="str">
            <v>Consensus EPS provided by Thomson Financial/First Call</v>
          </cell>
        </row>
        <row r="37">
          <cell r="B37" t="str">
            <v>Ratios for companies are based on the currency reported by the companies unless explicitly noted.</v>
          </cell>
        </row>
        <row r="39">
          <cell r="B39" t="str">
            <v xml:space="preserve">Although the information provided to you on this site is obtained or compiled from sources we believe to be reliable, </v>
          </cell>
        </row>
        <row r="40">
          <cell r="B40" t="str">
            <v xml:space="preserve">Morgan Stanley cannot and does not guarantee the accuracy, validity, timeliness or completeness of any information or </v>
          </cell>
        </row>
        <row r="41">
          <cell r="B41" t="str">
            <v>data made available to you for any particular purpose.</v>
          </cell>
        </row>
      </sheetData>
      <sheetData sheetId="22" refreshError="1">
        <row r="1">
          <cell r="C1" t="str">
            <v>Rating</v>
          </cell>
          <cell r="D1" t="str">
            <v>ROE 06E</v>
          </cell>
          <cell r="E1" t="str">
            <v>COE</v>
          </cell>
          <cell r="F1" t="str">
            <v>Implied P/B</v>
          </cell>
          <cell r="G1" t="str">
            <v>P/B 06E</v>
          </cell>
          <cell r="H1" t="str">
            <v>Prem for Future Growth</v>
          </cell>
        </row>
        <row r="2">
          <cell r="A2" t="str">
            <v>DB1Gn.DE</v>
          </cell>
          <cell r="B2" t="str">
            <v>DB</v>
          </cell>
          <cell r="C2" t="str">
            <v>++</v>
          </cell>
          <cell r="D2" t="str">
            <v>++</v>
          </cell>
          <cell r="E2">
            <v>0.1</v>
          </cell>
          <cell r="F2" t="e">
            <v>#VALUE!</v>
          </cell>
          <cell r="G2" t="str">
            <v>++</v>
          </cell>
          <cell r="H2" t="e">
            <v>#VALUE!</v>
          </cell>
        </row>
        <row r="3">
          <cell r="A3" t="str">
            <v>SGXL.SI</v>
          </cell>
          <cell r="B3" t="str">
            <v>SGX</v>
          </cell>
          <cell r="C3" t="str">
            <v>Equal-Weight</v>
          </cell>
          <cell r="D3">
            <v>0.33467819720013936</v>
          </cell>
          <cell r="E3">
            <v>0.1</v>
          </cell>
          <cell r="F3">
            <v>3.3467819720013936</v>
          </cell>
          <cell r="G3">
            <v>6.9046665583928073</v>
          </cell>
          <cell r="H3">
            <v>1.0630762972180645</v>
          </cell>
        </row>
        <row r="4">
          <cell r="A4" t="str">
            <v>ASX.AX</v>
          </cell>
          <cell r="B4" t="str">
            <v>ASX</v>
          </cell>
          <cell r="C4" t="str">
            <v>Underweight</v>
          </cell>
          <cell r="D4">
            <v>0.42294933236229876</v>
          </cell>
          <cell r="E4">
            <v>0.1</v>
          </cell>
          <cell r="F4">
            <v>4.2294933236229877</v>
          </cell>
          <cell r="G4">
            <v>9.1543920014109119</v>
          </cell>
          <cell r="H4">
            <v>1.1644181231545843</v>
          </cell>
        </row>
        <row r="5">
          <cell r="A5" t="str">
            <v>BMYS.KL</v>
          </cell>
          <cell r="B5" t="str">
            <v>Bursa</v>
          </cell>
          <cell r="C5" t="str">
            <v>Equal-Weight</v>
          </cell>
          <cell r="D5">
            <v>0.10207353521858417</v>
          </cell>
          <cell r="E5">
            <v>0.09</v>
          </cell>
          <cell r="F5">
            <v>1.1341503913176019</v>
          </cell>
          <cell r="G5">
            <v>2.8602222571805886</v>
          </cell>
          <cell r="H5">
            <v>1.5219073934786715</v>
          </cell>
        </row>
        <row r="6">
          <cell r="A6" t="str">
            <v>0388.HK</v>
          </cell>
          <cell r="B6" t="str">
            <v>HKEx</v>
          </cell>
          <cell r="C6" t="str">
            <v>Underweight</v>
          </cell>
          <cell r="D6">
            <v>0.4528348191144802</v>
          </cell>
          <cell r="E6">
            <v>0.1</v>
          </cell>
          <cell r="F6">
            <v>4.5283481911448016</v>
          </cell>
          <cell r="G6">
            <v>13.435196429376452</v>
          </cell>
          <cell r="H6">
            <v>1.9669088732286575</v>
          </cell>
        </row>
        <row r="10">
          <cell r="B10" t="str">
            <v>CME</v>
          </cell>
          <cell r="C10" t="str">
            <v>NA</v>
          </cell>
          <cell r="D10" t="str">
            <v>NA</v>
          </cell>
          <cell r="E10">
            <v>0.1</v>
          </cell>
          <cell r="F10" t="e">
            <v>#VALUE!</v>
          </cell>
          <cell r="G10" t="str">
            <v>NA</v>
          </cell>
          <cell r="H10" t="e">
            <v>#VALUE!</v>
          </cell>
        </row>
        <row r="11">
          <cell r="A11" t="str">
            <v>ENXT.PA</v>
          </cell>
          <cell r="C11" t="str">
            <v>NA</v>
          </cell>
          <cell r="D11" t="str">
            <v>NA</v>
          </cell>
          <cell r="E11">
            <v>0.1</v>
          </cell>
          <cell r="F11" t="e">
            <v>#VALUE!</v>
          </cell>
          <cell r="G11" t="str">
            <v>NA</v>
          </cell>
          <cell r="H11" t="e">
            <v>#VALUE!</v>
          </cell>
        </row>
        <row r="13">
          <cell r="B13" t="str">
            <v>e=Morgan Stanley Estimates.  All other values are actual.</v>
          </cell>
        </row>
        <row r="15">
          <cell r="B15" t="str">
            <v>ND = Not Disclosed, NA = Not Available, and NM = Non Meaningful</v>
          </cell>
        </row>
        <row r="17">
          <cell r="B17" t="str">
            <v>Consensus EPS provided by Thomson Financial/First Call</v>
          </cell>
        </row>
        <row r="19">
          <cell r="B19" t="str">
            <v>Ratios for companies are based on the currency reported by the companies unless explicitly noted.</v>
          </cell>
        </row>
        <row r="21">
          <cell r="B21" t="str">
            <v xml:space="preserve">Although the information provided to you on this site is obtained or compiled from sources we believe to be reliable, </v>
          </cell>
        </row>
        <row r="22">
          <cell r="B22" t="str">
            <v xml:space="preserve">Morgan Stanley cannot and does not guarantee the accuracy, validity, timeliness or completeness of any information or </v>
          </cell>
        </row>
        <row r="23">
          <cell r="B23" t="str">
            <v>data made available to you for any particular purpose.</v>
          </cell>
        </row>
      </sheetData>
      <sheetData sheetId="23" refreshError="1">
        <row r="1">
          <cell r="B1" t="str">
            <v>AU: ASX Index: All Ordinaries</v>
          </cell>
          <cell r="C1" t="str">
            <v>HK: Index: Hang Seng</v>
          </cell>
          <cell r="D1" t="str">
            <v>MY: KLSE: Index: Composite</v>
          </cell>
          <cell r="E1" t="str">
            <v>SG: Index: SGX Strait Times</v>
          </cell>
        </row>
        <row r="2">
          <cell r="B2" t="str">
            <v>AZDA</v>
          </cell>
          <cell r="C2" t="str">
            <v>HZIA</v>
          </cell>
          <cell r="D2" t="str">
            <v>MZEB</v>
          </cell>
          <cell r="E2" t="str">
            <v>SZIO</v>
          </cell>
        </row>
        <row r="3">
          <cell r="B3" t="str">
            <v>01/1982=500</v>
          </cell>
          <cell r="C3" t="str">
            <v>31/07/64=100</v>
          </cell>
          <cell r="D3" t="str">
            <v>1984=100</v>
          </cell>
          <cell r="E3" t="str">
            <v>28/8/98=885.26</v>
          </cell>
        </row>
        <row r="4">
          <cell r="B4" t="str">
            <v>M:   Mar-1984:   Jul-2005</v>
          </cell>
          <cell r="C4" t="str">
            <v>M:   Jul-1964:   Aug-2005</v>
          </cell>
          <cell r="D4" t="str">
            <v>M:   Jan-1974:   Aug-2005</v>
          </cell>
          <cell r="E4" t="str">
            <v>M:   Jan-1985:   Aug-2005</v>
          </cell>
          <cell r="G4" t="str">
            <v>Relative</v>
          </cell>
        </row>
        <row r="5">
          <cell r="B5" t="str">
            <v>Australia</v>
          </cell>
          <cell r="C5" t="str">
            <v>HK</v>
          </cell>
          <cell r="D5" t="str">
            <v>Malaysia</v>
          </cell>
          <cell r="E5" t="str">
            <v>Singapore</v>
          </cell>
          <cell r="G5" t="str">
            <v>Australia</v>
          </cell>
          <cell r="H5" t="str">
            <v>HK</v>
          </cell>
          <cell r="I5" t="str">
            <v>Malaysia</v>
          </cell>
          <cell r="J5" t="str">
            <v>Singapore</v>
          </cell>
        </row>
        <row r="6">
          <cell r="A6">
            <v>35431</v>
          </cell>
          <cell r="B6">
            <v>2423.6999999999998</v>
          </cell>
          <cell r="C6">
            <v>13321.79</v>
          </cell>
          <cell r="D6">
            <v>1216.72</v>
          </cell>
          <cell r="E6">
            <v>2055.44</v>
          </cell>
          <cell r="G6">
            <v>100</v>
          </cell>
          <cell r="H6">
            <v>100</v>
          </cell>
          <cell r="I6">
            <v>100</v>
          </cell>
          <cell r="J6">
            <v>100</v>
          </cell>
        </row>
        <row r="7">
          <cell r="A7">
            <v>35462</v>
          </cell>
          <cell r="B7">
            <v>2449.9</v>
          </cell>
          <cell r="C7">
            <v>13398.72</v>
          </cell>
          <cell r="D7">
            <v>1270.67</v>
          </cell>
          <cell r="E7">
            <v>2057.61</v>
          </cell>
          <cell r="G7">
            <v>101.08099187193136</v>
          </cell>
          <cell r="H7">
            <v>100.57747494893702</v>
          </cell>
          <cell r="I7">
            <v>104.4340522059307</v>
          </cell>
          <cell r="J7">
            <v>100.10557350251041</v>
          </cell>
        </row>
        <row r="8">
          <cell r="A8">
            <v>35490</v>
          </cell>
          <cell r="B8">
            <v>2422.3000000000002</v>
          </cell>
          <cell r="C8">
            <v>12534.32</v>
          </cell>
          <cell r="D8">
            <v>1203.0999999999999</v>
          </cell>
          <cell r="E8">
            <v>1894.82</v>
          </cell>
          <cell r="G8">
            <v>99.942237075545677</v>
          </cell>
          <cell r="H8">
            <v>94.088857428318562</v>
          </cell>
          <cell r="I8">
            <v>98.880597014925371</v>
          </cell>
          <cell r="J8">
            <v>92.185614758883744</v>
          </cell>
        </row>
        <row r="9">
          <cell r="A9">
            <v>35521</v>
          </cell>
          <cell r="B9">
            <v>2488</v>
          </cell>
          <cell r="C9">
            <v>12903.3</v>
          </cell>
          <cell r="D9">
            <v>1080.17</v>
          </cell>
          <cell r="E9">
            <v>1822.28</v>
          </cell>
          <cell r="G9">
            <v>102.65296860172464</v>
          </cell>
          <cell r="H9">
            <v>96.858605337570992</v>
          </cell>
          <cell r="I9">
            <v>88.777204286935373</v>
          </cell>
          <cell r="J9">
            <v>88.656443389249986</v>
          </cell>
        </row>
        <row r="10">
          <cell r="A10">
            <v>35551</v>
          </cell>
          <cell r="B10">
            <v>2610.5</v>
          </cell>
          <cell r="C10">
            <v>14757.81</v>
          </cell>
          <cell r="D10">
            <v>1104.83</v>
          </cell>
          <cell r="E10">
            <v>1959.5</v>
          </cell>
          <cell r="G10">
            <v>107.70722449147998</v>
          </cell>
          <cell r="H10">
            <v>110.7794823368331</v>
          </cell>
          <cell r="I10">
            <v>90.803964757709238</v>
          </cell>
          <cell r="J10">
            <v>95.332386253065039</v>
          </cell>
        </row>
        <row r="11">
          <cell r="A11">
            <v>35582</v>
          </cell>
          <cell r="B11">
            <v>2725.9</v>
          </cell>
          <cell r="C11">
            <v>15196.79</v>
          </cell>
          <cell r="D11">
            <v>1077.3</v>
          </cell>
          <cell r="E11">
            <v>1921.48</v>
          </cell>
          <cell r="G11">
            <v>112.46853983578826</v>
          </cell>
          <cell r="H11">
            <v>114.07468515867612</v>
          </cell>
          <cell r="I11">
            <v>88.541324215924774</v>
          </cell>
          <cell r="J11">
            <v>93.482660646868794</v>
          </cell>
        </row>
        <row r="12">
          <cell r="A12">
            <v>35612</v>
          </cell>
          <cell r="B12">
            <v>2735.1</v>
          </cell>
          <cell r="C12">
            <v>16365.71</v>
          </cell>
          <cell r="D12">
            <v>1012.84</v>
          </cell>
          <cell r="E12">
            <v>1950.18</v>
          </cell>
          <cell r="G12">
            <v>112.84812476791683</v>
          </cell>
          <cell r="H12">
            <v>122.84918167903862</v>
          </cell>
          <cell r="I12">
            <v>83.24347425866263</v>
          </cell>
          <cell r="J12">
            <v>94.878955357490369</v>
          </cell>
        </row>
        <row r="13">
          <cell r="A13">
            <v>35643</v>
          </cell>
          <cell r="B13">
            <v>2593</v>
          </cell>
          <cell r="C13">
            <v>14135.25</v>
          </cell>
          <cell r="D13">
            <v>804.4</v>
          </cell>
          <cell r="E13">
            <v>1743.96</v>
          </cell>
          <cell r="G13">
            <v>106.98518793580065</v>
          </cell>
          <cell r="H13">
            <v>106.10623647422757</v>
          </cell>
          <cell r="I13">
            <v>66.112170425406006</v>
          </cell>
          <cell r="J13">
            <v>84.846067022146116</v>
          </cell>
        </row>
        <row r="14">
          <cell r="A14">
            <v>35674</v>
          </cell>
          <cell r="B14">
            <v>2766.9</v>
          </cell>
          <cell r="C14">
            <v>15049.3</v>
          </cell>
          <cell r="D14">
            <v>814.57</v>
          </cell>
          <cell r="E14">
            <v>1861.05</v>
          </cell>
          <cell r="G14">
            <v>114.16016833766555</v>
          </cell>
          <cell r="H14">
            <v>112.96755165784778</v>
          </cell>
          <cell r="I14">
            <v>66.948024196199611</v>
          </cell>
          <cell r="J14">
            <v>90.542657533180233</v>
          </cell>
        </row>
        <row r="15">
          <cell r="A15">
            <v>35704</v>
          </cell>
          <cell r="B15">
            <v>2464.8000000000002</v>
          </cell>
          <cell r="C15">
            <v>10623.78</v>
          </cell>
          <cell r="D15">
            <v>664.69</v>
          </cell>
          <cell r="E15">
            <v>1507.51</v>
          </cell>
          <cell r="G15">
            <v>101.69575442505263</v>
          </cell>
          <cell r="H15">
            <v>79.747391304021448</v>
          </cell>
          <cell r="I15">
            <v>54.629660069695575</v>
          </cell>
          <cell r="J15">
            <v>73.342447359202893</v>
          </cell>
        </row>
        <row r="16">
          <cell r="A16">
            <v>35735</v>
          </cell>
          <cell r="B16">
            <v>2465.1</v>
          </cell>
          <cell r="C16">
            <v>10526.92</v>
          </cell>
          <cell r="D16">
            <v>545.44000000000005</v>
          </cell>
          <cell r="E16">
            <v>1583.79</v>
          </cell>
          <cell r="G16">
            <v>101.70813219457855</v>
          </cell>
          <cell r="H16">
            <v>79.020311834971125</v>
          </cell>
          <cell r="I16">
            <v>44.82871983693866</v>
          </cell>
          <cell r="J16">
            <v>77.053574903670253</v>
          </cell>
        </row>
        <row r="17">
          <cell r="A17">
            <v>35765</v>
          </cell>
          <cell r="B17">
            <v>2616.5</v>
          </cell>
          <cell r="C17">
            <v>10722.76</v>
          </cell>
          <cell r="D17">
            <v>594.44000000000005</v>
          </cell>
          <cell r="E17">
            <v>1507.65</v>
          </cell>
          <cell r="G17">
            <v>107.9547798819986</v>
          </cell>
          <cell r="H17">
            <v>80.490384550424537</v>
          </cell>
          <cell r="I17">
            <v>48.855940561509634</v>
          </cell>
          <cell r="J17">
            <v>73.349258552913241</v>
          </cell>
        </row>
        <row r="18">
          <cell r="A18">
            <v>35796</v>
          </cell>
          <cell r="B18">
            <v>2656.7</v>
          </cell>
          <cell r="C18">
            <v>9252.36</v>
          </cell>
          <cell r="D18">
            <v>569.51</v>
          </cell>
          <cell r="E18">
            <v>1274.24</v>
          </cell>
          <cell r="G18">
            <v>109.61340099847341</v>
          </cell>
          <cell r="H18">
            <v>69.452828786521934</v>
          </cell>
          <cell r="I18">
            <v>46.806989282661583</v>
          </cell>
          <cell r="J18">
            <v>61.993539096251894</v>
          </cell>
        </row>
        <row r="19">
          <cell r="A19">
            <v>35827</v>
          </cell>
          <cell r="B19">
            <v>2697.4</v>
          </cell>
          <cell r="C19">
            <v>11480.69</v>
          </cell>
          <cell r="D19">
            <v>745.36</v>
          </cell>
          <cell r="E19">
            <v>1507.85</v>
          </cell>
          <cell r="G19">
            <v>111.29265173082479</v>
          </cell>
          <cell r="H19">
            <v>86.179785148992735</v>
          </cell>
          <cell r="I19">
            <v>61.259780393188244</v>
          </cell>
          <cell r="J19">
            <v>73.358988829642314</v>
          </cell>
        </row>
        <row r="20">
          <cell r="A20">
            <v>35855</v>
          </cell>
          <cell r="B20">
            <v>2744.2</v>
          </cell>
          <cell r="C20">
            <v>11518.68</v>
          </cell>
          <cell r="D20">
            <v>719.52</v>
          </cell>
          <cell r="E20">
            <v>1484.39</v>
          </cell>
          <cell r="G20">
            <v>113.22358377687007</v>
          </cell>
          <cell r="H20">
            <v>86.464957036554395</v>
          </cell>
          <cell r="I20">
            <v>59.136037872312443</v>
          </cell>
          <cell r="J20">
            <v>72.217627369322386</v>
          </cell>
        </row>
        <row r="21">
          <cell r="A21">
            <v>35886</v>
          </cell>
          <cell r="B21">
            <v>2762.1</v>
          </cell>
          <cell r="C21">
            <v>10383.68</v>
          </cell>
          <cell r="D21">
            <v>625.97</v>
          </cell>
          <cell r="E21">
            <v>1354.06</v>
          </cell>
          <cell r="G21">
            <v>113.96212402525066</v>
          </cell>
          <cell r="H21">
            <v>77.94508095383577</v>
          </cell>
          <cell r="I21">
            <v>51.447333815503981</v>
          </cell>
          <cell r="J21">
            <v>65.876892538823796</v>
          </cell>
        </row>
        <row r="22">
          <cell r="A22">
            <v>35916</v>
          </cell>
          <cell r="B22">
            <v>2715.7</v>
          </cell>
          <cell r="C22">
            <v>8934.56</v>
          </cell>
          <cell r="D22">
            <v>538.24</v>
          </cell>
          <cell r="E22">
            <v>1167.52</v>
          </cell>
          <cell r="G22">
            <v>112.0476956719066</v>
          </cell>
          <cell r="H22">
            <v>67.067263483360705</v>
          </cell>
          <cell r="I22">
            <v>44.236964954960875</v>
          </cell>
          <cell r="J22">
            <v>56.80146343362005</v>
          </cell>
        </row>
        <row r="23">
          <cell r="A23">
            <v>35947</v>
          </cell>
          <cell r="B23">
            <v>2668.4</v>
          </cell>
          <cell r="C23">
            <v>8543.1</v>
          </cell>
          <cell r="D23">
            <v>455.64</v>
          </cell>
          <cell r="E23">
            <v>1009.2</v>
          </cell>
          <cell r="G23">
            <v>110.09613400998475</v>
          </cell>
          <cell r="H23">
            <v>64.128769482179194</v>
          </cell>
          <cell r="I23">
            <v>37.448221447826938</v>
          </cell>
          <cell r="J23">
            <v>49.098976374888103</v>
          </cell>
        </row>
        <row r="24">
          <cell r="A24">
            <v>35977</v>
          </cell>
          <cell r="B24">
            <v>2704.6</v>
          </cell>
          <cell r="C24">
            <v>7936.2</v>
          </cell>
          <cell r="D24">
            <v>402.65</v>
          </cell>
          <cell r="E24">
            <v>1014.96</v>
          </cell>
          <cell r="G24">
            <v>111.58971819944713</v>
          </cell>
          <cell r="H24">
            <v>59.5730753900189</v>
          </cell>
          <cell r="I24">
            <v>33.093069892826612</v>
          </cell>
          <cell r="J24">
            <v>49.379208344685324</v>
          </cell>
        </row>
        <row r="25">
          <cell r="A25">
            <v>36008</v>
          </cell>
          <cell r="B25">
            <v>2480.6999999999998</v>
          </cell>
          <cell r="C25">
            <v>7275.04</v>
          </cell>
          <cell r="D25">
            <v>302.91000000000003</v>
          </cell>
          <cell r="E25">
            <v>856.43</v>
          </cell>
          <cell r="G25">
            <v>102.35177620992697</v>
          </cell>
          <cell r="H25">
            <v>54.610078675613408</v>
          </cell>
          <cell r="I25">
            <v>24.895621013873363</v>
          </cell>
          <cell r="J25">
            <v>41.666504495387848</v>
          </cell>
        </row>
        <row r="26">
          <cell r="A26">
            <v>36039</v>
          </cell>
          <cell r="B26">
            <v>2587</v>
          </cell>
          <cell r="C26">
            <v>7883.46</v>
          </cell>
          <cell r="D26">
            <v>373.52</v>
          </cell>
          <cell r="E26">
            <v>939.65</v>
          </cell>
          <cell r="G26">
            <v>106.73763254528201</v>
          </cell>
          <cell r="H26">
            <v>59.177182645875661</v>
          </cell>
          <cell r="I26">
            <v>30.698928266158195</v>
          </cell>
          <cell r="J26">
            <v>45.715272642353945</v>
          </cell>
        </row>
        <row r="27">
          <cell r="A27">
            <v>36069</v>
          </cell>
          <cell r="B27">
            <v>2647.3</v>
          </cell>
          <cell r="C27">
            <v>10154.94</v>
          </cell>
          <cell r="D27">
            <v>405.33</v>
          </cell>
          <cell r="E27">
            <v>1204.6199999999999</v>
          </cell>
          <cell r="G27">
            <v>109.22556421999423</v>
          </cell>
          <cell r="H27">
            <v>76.228044429464802</v>
          </cell>
          <cell r="I27">
            <v>33.313334210007227</v>
          </cell>
          <cell r="J27">
            <v>58.606429766862568</v>
          </cell>
        </row>
        <row r="28">
          <cell r="A28">
            <v>36100</v>
          </cell>
          <cell r="B28">
            <v>2773.3</v>
          </cell>
          <cell r="C28">
            <v>10402.32</v>
          </cell>
          <cell r="D28">
            <v>501.47</v>
          </cell>
          <cell r="E28">
            <v>1416.55</v>
          </cell>
          <cell r="G28">
            <v>114.42422742088544</v>
          </cell>
          <cell r="H28">
            <v>78.085002090559897</v>
          </cell>
          <cell r="I28">
            <v>41.214905647971598</v>
          </cell>
          <cell r="J28">
            <v>68.917117502821782</v>
          </cell>
        </row>
        <row r="29">
          <cell r="A29">
            <v>36130</v>
          </cell>
          <cell r="B29">
            <v>2813.4</v>
          </cell>
          <cell r="C29">
            <v>10048.58</v>
          </cell>
          <cell r="D29">
            <v>586.13</v>
          </cell>
          <cell r="E29">
            <v>1392.73</v>
          </cell>
          <cell r="G29">
            <v>116.07872261418493</v>
          </cell>
          <cell r="H29">
            <v>75.429653222277182</v>
          </cell>
          <cell r="I29">
            <v>48.172956801893612</v>
          </cell>
          <cell r="J29">
            <v>67.75824154438952</v>
          </cell>
        </row>
        <row r="30">
          <cell r="A30">
            <v>36161</v>
          </cell>
          <cell r="B30">
            <v>2893.8</v>
          </cell>
          <cell r="C30">
            <v>9506.9</v>
          </cell>
          <cell r="D30">
            <v>591.42999999999995</v>
          </cell>
          <cell r="E30">
            <v>1428.14</v>
          </cell>
          <cell r="G30">
            <v>119.39596484713458</v>
          </cell>
          <cell r="H30">
            <v>71.363532978676275</v>
          </cell>
          <cell r="I30">
            <v>48.608554145571695</v>
          </cell>
          <cell r="J30">
            <v>69.480987039271398</v>
          </cell>
        </row>
        <row r="31">
          <cell r="A31">
            <v>36192</v>
          </cell>
          <cell r="B31">
            <v>2879.9</v>
          </cell>
          <cell r="C31">
            <v>9858.49</v>
          </cell>
          <cell r="D31">
            <v>542.23</v>
          </cell>
          <cell r="E31">
            <v>1411.91</v>
          </cell>
          <cell r="G31">
            <v>118.82246152576641</v>
          </cell>
          <cell r="H31">
            <v>74.002742874643715</v>
          </cell>
          <cell r="I31">
            <v>44.564895785390227</v>
          </cell>
          <cell r="J31">
            <v>68.691375082707353</v>
          </cell>
        </row>
        <row r="32">
          <cell r="A32">
            <v>36220</v>
          </cell>
          <cell r="B32">
            <v>2967.2</v>
          </cell>
          <cell r="C32">
            <v>10942.2</v>
          </cell>
          <cell r="D32">
            <v>502.82</v>
          </cell>
          <cell r="E32">
            <v>1518.31</v>
          </cell>
          <cell r="G32">
            <v>122.42439245781244</v>
          </cell>
          <cell r="H32">
            <v>82.137610636408482</v>
          </cell>
          <cell r="I32">
            <v>41.325859688342426</v>
          </cell>
          <cell r="J32">
            <v>73.867882302572681</v>
          </cell>
        </row>
        <row r="33">
          <cell r="A33">
            <v>36251</v>
          </cell>
          <cell r="B33">
            <v>3101.1</v>
          </cell>
          <cell r="C33">
            <v>13333.2</v>
          </cell>
          <cell r="D33">
            <v>674.96</v>
          </cell>
          <cell r="E33">
            <v>1886.19</v>
          </cell>
          <cell r="G33">
            <v>127.94900358955317</v>
          </cell>
          <cell r="H33">
            <v>100.08564915075226</v>
          </cell>
          <cell r="I33">
            <v>55.473732658294431</v>
          </cell>
          <cell r="J33">
            <v>91.765753318024366</v>
          </cell>
        </row>
        <row r="34">
          <cell r="A34">
            <v>36281</v>
          </cell>
          <cell r="B34">
            <v>2900.2</v>
          </cell>
          <cell r="C34">
            <v>12147.12</v>
          </cell>
          <cell r="D34">
            <v>743.04</v>
          </cell>
          <cell r="E34">
            <v>1903.86</v>
          </cell>
          <cell r="G34">
            <v>119.66002393035441</v>
          </cell>
          <cell r="H34">
            <v>91.18234111181755</v>
          </cell>
          <cell r="I34">
            <v>61.069103820106506</v>
          </cell>
          <cell r="J34">
            <v>92.625423267037704</v>
          </cell>
        </row>
        <row r="35">
          <cell r="A35">
            <v>36312</v>
          </cell>
          <cell r="B35">
            <v>2968.9</v>
          </cell>
          <cell r="C35">
            <v>13532.14</v>
          </cell>
          <cell r="D35">
            <v>811.1</v>
          </cell>
          <cell r="E35">
            <v>2167.6999999999998</v>
          </cell>
          <cell r="G35">
            <v>122.49453315179272</v>
          </cell>
          <cell r="H35">
            <v>101.57899201233467</v>
          </cell>
          <cell r="I35">
            <v>66.662831218357553</v>
          </cell>
          <cell r="J35">
            <v>105.46160432802706</v>
          </cell>
        </row>
        <row r="36">
          <cell r="A36">
            <v>36342</v>
          </cell>
          <cell r="B36">
            <v>3019.9</v>
          </cell>
          <cell r="C36">
            <v>13186.86</v>
          </cell>
          <cell r="D36">
            <v>768.69</v>
          </cell>
          <cell r="E36">
            <v>2145.77</v>
          </cell>
          <cell r="G36">
            <v>124.59875397120106</v>
          </cell>
          <cell r="H36">
            <v>98.987148123487913</v>
          </cell>
          <cell r="I36">
            <v>63.177230587152344</v>
          </cell>
          <cell r="J36">
            <v>104.39467948468454</v>
          </cell>
        </row>
        <row r="37">
          <cell r="A37">
            <v>36373</v>
          </cell>
          <cell r="B37">
            <v>2951.9</v>
          </cell>
          <cell r="C37">
            <v>13482.77</v>
          </cell>
          <cell r="D37">
            <v>767.06</v>
          </cell>
          <cell r="E37">
            <v>2117.17</v>
          </cell>
          <cell r="G37">
            <v>121.79312621198994</v>
          </cell>
          <cell r="H37">
            <v>101.2083961689833</v>
          </cell>
          <cell r="I37">
            <v>63.043263856926814</v>
          </cell>
          <cell r="J37">
            <v>103.00324991242751</v>
          </cell>
        </row>
        <row r="38">
          <cell r="A38">
            <v>36404</v>
          </cell>
          <cell r="B38">
            <v>2881.1</v>
          </cell>
          <cell r="C38">
            <v>12733.24</v>
          </cell>
          <cell r="D38">
            <v>675.45</v>
          </cell>
          <cell r="E38">
            <v>2021.93</v>
          </cell>
          <cell r="G38">
            <v>118.87197260387012</v>
          </cell>
          <cell r="H38">
            <v>95.582050159925942</v>
          </cell>
          <cell r="I38">
            <v>55.514004865540144</v>
          </cell>
          <cell r="J38">
            <v>98.3696921340443</v>
          </cell>
        </row>
        <row r="39">
          <cell r="A39">
            <v>36434</v>
          </cell>
          <cell r="B39">
            <v>2885.1</v>
          </cell>
          <cell r="C39">
            <v>13256.95</v>
          </cell>
          <cell r="D39">
            <v>742.87</v>
          </cell>
          <cell r="E39">
            <v>2047.15</v>
          </cell>
          <cell r="G39">
            <v>119.03700953088254</v>
          </cell>
          <cell r="H39">
            <v>99.513278620966105</v>
          </cell>
          <cell r="I39">
            <v>61.055131829837592</v>
          </cell>
          <cell r="J39">
            <v>99.596680029580043</v>
          </cell>
        </row>
        <row r="40">
          <cell r="A40">
            <v>36465</v>
          </cell>
          <cell r="B40">
            <v>3044</v>
          </cell>
          <cell r="C40">
            <v>15377.19</v>
          </cell>
          <cell r="D40">
            <v>734.66</v>
          </cell>
          <cell r="E40">
            <v>2237.13</v>
          </cell>
          <cell r="G40">
            <v>125.59310145645088</v>
          </cell>
          <cell r="H40">
            <v>115.42885753340954</v>
          </cell>
          <cell r="I40">
            <v>60.380366888026828</v>
          </cell>
          <cell r="J40">
            <v>108.8394698945238</v>
          </cell>
        </row>
        <row r="41">
          <cell r="A41">
            <v>36495</v>
          </cell>
          <cell r="B41">
            <v>3152.5</v>
          </cell>
          <cell r="C41">
            <v>16962.099999999999</v>
          </cell>
          <cell r="D41">
            <v>812.33</v>
          </cell>
          <cell r="E41">
            <v>2479.58</v>
          </cell>
          <cell r="G41">
            <v>130.06972810166275</v>
          </cell>
          <cell r="H41">
            <v>127.32598246932281</v>
          </cell>
          <cell r="I41">
            <v>66.763922677362089</v>
          </cell>
          <cell r="J41">
            <v>120.63499785933911</v>
          </cell>
        </row>
        <row r="42">
          <cell r="A42">
            <v>36526</v>
          </cell>
          <cell r="B42">
            <v>3096</v>
          </cell>
          <cell r="C42">
            <v>15532.34</v>
          </cell>
          <cell r="D42">
            <v>922.1</v>
          </cell>
          <cell r="E42">
            <v>2230.2800000000002</v>
          </cell>
          <cell r="G42">
            <v>127.73858150761235</v>
          </cell>
          <cell r="H42">
            <v>116.5934908146728</v>
          </cell>
          <cell r="I42">
            <v>75.785718982181606</v>
          </cell>
          <cell r="J42">
            <v>108.50620791655314</v>
          </cell>
        </row>
        <row r="43">
          <cell r="A43">
            <v>36557</v>
          </cell>
          <cell r="B43">
            <v>3135.7</v>
          </cell>
          <cell r="C43">
            <v>17169.439999999999</v>
          </cell>
          <cell r="D43">
            <v>982.24</v>
          </cell>
          <cell r="E43">
            <v>2120.5</v>
          </cell>
          <cell r="G43">
            <v>129.37657300821058</v>
          </cell>
          <cell r="H43">
            <v>128.8823799204161</v>
          </cell>
          <cell r="I43">
            <v>80.728516010257081</v>
          </cell>
          <cell r="J43">
            <v>103.16525901996651</v>
          </cell>
        </row>
        <row r="44">
          <cell r="A44">
            <v>36586</v>
          </cell>
          <cell r="B44">
            <v>3133.3</v>
          </cell>
          <cell r="C44">
            <v>17406.54</v>
          </cell>
          <cell r="D44">
            <v>974.38</v>
          </cell>
          <cell r="E44">
            <v>2132.59</v>
          </cell>
          <cell r="G44">
            <v>129.27755085200315</v>
          </cell>
          <cell r="H44">
            <v>130.66217077434789</v>
          </cell>
          <cell r="I44">
            <v>80.082516930764683</v>
          </cell>
          <cell r="J44">
            <v>103.75345424823882</v>
          </cell>
        </row>
        <row r="45">
          <cell r="A45">
            <v>36617</v>
          </cell>
          <cell r="B45">
            <v>3085.1</v>
          </cell>
          <cell r="C45">
            <v>15519.3</v>
          </cell>
          <cell r="D45">
            <v>898.35</v>
          </cell>
          <cell r="E45">
            <v>2164.11</v>
          </cell>
          <cell r="G45">
            <v>127.28885588150349</v>
          </cell>
          <cell r="H45">
            <v>116.49560607095593</v>
          </cell>
          <cell r="I45">
            <v>73.833749753435455</v>
          </cell>
          <cell r="J45">
            <v>105.28694586074027</v>
          </cell>
        </row>
        <row r="46">
          <cell r="A46">
            <v>36647</v>
          </cell>
          <cell r="B46">
            <v>3040.6</v>
          </cell>
          <cell r="C46">
            <v>14713.86</v>
          </cell>
          <cell r="D46">
            <v>911.51</v>
          </cell>
          <cell r="E46">
            <v>1795.13</v>
          </cell>
          <cell r="G46">
            <v>125.45282006849033</v>
          </cell>
          <cell r="H46">
            <v>110.44957171671375</v>
          </cell>
          <cell r="I46">
            <v>74.915346176605951</v>
          </cell>
          <cell r="J46">
            <v>87.335558323278718</v>
          </cell>
        </row>
        <row r="47">
          <cell r="A47">
            <v>36678</v>
          </cell>
          <cell r="B47">
            <v>3257.6</v>
          </cell>
          <cell r="C47">
            <v>16155.78</v>
          </cell>
          <cell r="D47">
            <v>833.37</v>
          </cell>
          <cell r="E47">
            <v>2037.97</v>
          </cell>
          <cell r="G47">
            <v>134.40607335891406</v>
          </cell>
          <cell r="H47">
            <v>121.27334239617949</v>
          </cell>
          <cell r="I47">
            <v>68.493161943586031</v>
          </cell>
          <cell r="J47">
            <v>99.150060327715721</v>
          </cell>
        </row>
        <row r="48">
          <cell r="A48">
            <v>36708</v>
          </cell>
          <cell r="B48">
            <v>3213.6</v>
          </cell>
          <cell r="C48">
            <v>16840.98</v>
          </cell>
          <cell r="D48">
            <v>798.83</v>
          </cell>
          <cell r="E48">
            <v>2051.21</v>
          </cell>
          <cell r="G48">
            <v>132.59066716177745</v>
          </cell>
          <cell r="H48">
            <v>126.4167953405661</v>
          </cell>
          <cell r="I48">
            <v>65.654382273653752</v>
          </cell>
          <cell r="J48">
            <v>99.794204647180166</v>
          </cell>
        </row>
        <row r="49">
          <cell r="A49">
            <v>36739</v>
          </cell>
          <cell r="B49">
            <v>3261.7</v>
          </cell>
          <cell r="C49">
            <v>17097.509999999998</v>
          </cell>
          <cell r="D49">
            <v>795.84</v>
          </cell>
          <cell r="E49">
            <v>2147.77</v>
          </cell>
          <cell r="G49">
            <v>134.5752362091018</v>
          </cell>
          <cell r="H49">
            <v>128.34243746523549</v>
          </cell>
          <cell r="I49">
            <v>65.408639621276876</v>
          </cell>
          <cell r="J49">
            <v>104.49198225197524</v>
          </cell>
        </row>
        <row r="50">
          <cell r="A50">
            <v>36770</v>
          </cell>
          <cell r="B50">
            <v>3246.1</v>
          </cell>
          <cell r="C50">
            <v>15648.98</v>
          </cell>
          <cell r="D50">
            <v>713.51</v>
          </cell>
          <cell r="E50">
            <v>1997.03</v>
          </cell>
          <cell r="G50">
            <v>133.93159219375337</v>
          </cell>
          <cell r="H50">
            <v>117.46904882902372</v>
          </cell>
          <cell r="I50">
            <v>58.642086922217104</v>
          </cell>
          <cell r="J50">
            <v>97.158272681275051</v>
          </cell>
        </row>
        <row r="51">
          <cell r="A51">
            <v>36800</v>
          </cell>
          <cell r="B51">
            <v>3203.9</v>
          </cell>
          <cell r="C51">
            <v>14895.34</v>
          </cell>
          <cell r="D51">
            <v>752.36</v>
          </cell>
          <cell r="E51">
            <v>1976.54</v>
          </cell>
          <cell r="G51">
            <v>132.19045261377232</v>
          </cell>
          <cell r="H51">
            <v>111.81185111009857</v>
          </cell>
          <cell r="I51">
            <v>61.835097639555528</v>
          </cell>
          <cell r="J51">
            <v>96.16140583038181</v>
          </cell>
        </row>
        <row r="52">
          <cell r="A52">
            <v>36831</v>
          </cell>
          <cell r="B52">
            <v>3222</v>
          </cell>
          <cell r="C52">
            <v>13984.39</v>
          </cell>
          <cell r="D52">
            <v>729.95</v>
          </cell>
          <cell r="E52">
            <v>1952.23</v>
          </cell>
          <cell r="G52">
            <v>132.93724470850356</v>
          </cell>
          <cell r="H52">
            <v>104.97380607260736</v>
          </cell>
          <cell r="I52">
            <v>59.993260569399695</v>
          </cell>
          <cell r="J52">
            <v>94.97869069396333</v>
          </cell>
        </row>
        <row r="53">
          <cell r="A53">
            <v>36861</v>
          </cell>
          <cell r="B53">
            <v>3154.7</v>
          </cell>
          <cell r="C53">
            <v>15095.53</v>
          </cell>
          <cell r="D53">
            <v>679.64</v>
          </cell>
          <cell r="E53">
            <v>1926.83</v>
          </cell>
          <cell r="G53">
            <v>130.16049841151957</v>
          </cell>
          <cell r="H53">
            <v>113.3145770951201</v>
          </cell>
          <cell r="I53">
            <v>55.858373331579983</v>
          </cell>
          <cell r="J53">
            <v>93.742945549371413</v>
          </cell>
        </row>
        <row r="54">
          <cell r="A54">
            <v>36892</v>
          </cell>
          <cell r="B54">
            <v>3291.5</v>
          </cell>
          <cell r="C54">
            <v>16102.35</v>
          </cell>
          <cell r="D54">
            <v>727.73</v>
          </cell>
          <cell r="E54">
            <v>1991.29</v>
          </cell>
          <cell r="G54">
            <v>135.80476131534431</v>
          </cell>
          <cell r="H54">
            <v>120.87227016789785</v>
          </cell>
          <cell r="I54">
            <v>59.810802814123221</v>
          </cell>
          <cell r="J54">
            <v>96.879013739150736</v>
          </cell>
        </row>
        <row r="55">
          <cell r="A55">
            <v>36923</v>
          </cell>
          <cell r="B55">
            <v>3274.1</v>
          </cell>
          <cell r="C55">
            <v>14787.87</v>
          </cell>
          <cell r="D55">
            <v>709.39</v>
          </cell>
          <cell r="E55">
            <v>1947.4</v>
          </cell>
          <cell r="G55">
            <v>135.08685068284029</v>
          </cell>
          <cell r="H55">
            <v>111.005127689297</v>
          </cell>
          <cell r="I55">
            <v>58.303471628640935</v>
          </cell>
          <cell r="J55">
            <v>94.743704510956292</v>
          </cell>
        </row>
        <row r="56">
          <cell r="A56">
            <v>36951</v>
          </cell>
          <cell r="B56">
            <v>3096.9</v>
          </cell>
          <cell r="C56">
            <v>12760.64</v>
          </cell>
          <cell r="D56">
            <v>647.48</v>
          </cell>
          <cell r="E56">
            <v>1674.19</v>
          </cell>
          <cell r="G56">
            <v>127.77571481619015</v>
          </cell>
          <cell r="H56">
            <v>95.787728225711405</v>
          </cell>
          <cell r="I56">
            <v>53.215201525412581</v>
          </cell>
          <cell r="J56">
            <v>81.451659985209972</v>
          </cell>
        </row>
        <row r="57">
          <cell r="A57">
            <v>36982</v>
          </cell>
          <cell r="B57">
            <v>3270.3</v>
          </cell>
          <cell r="C57">
            <v>13386.04</v>
          </cell>
          <cell r="D57">
            <v>584.5</v>
          </cell>
          <cell r="E57">
            <v>1722.72</v>
          </cell>
          <cell r="G57">
            <v>134.9300656021785</v>
          </cell>
          <cell r="H57">
            <v>100.48229254477063</v>
          </cell>
          <cell r="I57">
            <v>48.038990071668088</v>
          </cell>
          <cell r="J57">
            <v>83.812711633518859</v>
          </cell>
        </row>
        <row r="58">
          <cell r="A58">
            <v>37012</v>
          </cell>
          <cell r="B58">
            <v>3317.2</v>
          </cell>
          <cell r="C58">
            <v>13174.41</v>
          </cell>
          <cell r="D58">
            <v>572.88</v>
          </cell>
          <cell r="E58">
            <v>1657.05</v>
          </cell>
          <cell r="G58">
            <v>136.8651235713991</v>
          </cell>
          <cell r="H58">
            <v>98.893692214034289</v>
          </cell>
          <cell r="I58">
            <v>47.083963442698398</v>
          </cell>
          <cell r="J58">
            <v>80.617775269528664</v>
          </cell>
        </row>
        <row r="59">
          <cell r="A59">
            <v>37043</v>
          </cell>
          <cell r="B59">
            <v>3425.2</v>
          </cell>
          <cell r="C59">
            <v>13042.53</v>
          </cell>
          <cell r="D59">
            <v>592.99</v>
          </cell>
          <cell r="E59">
            <v>1726.5</v>
          </cell>
          <cell r="G59">
            <v>141.32112060073442</v>
          </cell>
          <cell r="H59">
            <v>97.903735158713658</v>
          </cell>
          <cell r="I59">
            <v>48.736767703333548</v>
          </cell>
          <cell r="J59">
            <v>83.996613863698272</v>
          </cell>
        </row>
        <row r="60">
          <cell r="A60">
            <v>37073</v>
          </cell>
          <cell r="B60">
            <v>3270.8</v>
          </cell>
          <cell r="C60">
            <v>12316.69</v>
          </cell>
          <cell r="D60">
            <v>659.4</v>
          </cell>
          <cell r="E60">
            <v>1666.03</v>
          </cell>
          <cell r="G60">
            <v>134.95069521805505</v>
          </cell>
          <cell r="H60">
            <v>92.455218105074465</v>
          </cell>
          <cell r="I60">
            <v>54.194884607798009</v>
          </cell>
          <cell r="J60">
            <v>81.054664694663913</v>
          </cell>
        </row>
        <row r="61">
          <cell r="A61">
            <v>37104</v>
          </cell>
          <cell r="B61">
            <v>3217.8</v>
          </cell>
          <cell r="C61">
            <v>11090.48</v>
          </cell>
          <cell r="D61">
            <v>687.16</v>
          </cell>
          <cell r="E61">
            <v>1619.12</v>
          </cell>
          <cell r="G61">
            <v>132.7639559351405</v>
          </cell>
          <cell r="H61">
            <v>83.250674271250318</v>
          </cell>
          <cell r="I61">
            <v>56.476428430534554</v>
          </cell>
          <cell r="J61">
            <v>78.772428287860492</v>
          </cell>
        </row>
        <row r="62">
          <cell r="A62">
            <v>37135</v>
          </cell>
          <cell r="B62">
            <v>2987.9</v>
          </cell>
          <cell r="C62">
            <v>9950.7000000000007</v>
          </cell>
          <cell r="D62">
            <v>615.34</v>
          </cell>
          <cell r="E62">
            <v>1319.53</v>
          </cell>
          <cell r="G62">
            <v>123.27845855510171</v>
          </cell>
          <cell r="H62">
            <v>74.694917124500535</v>
          </cell>
          <cell r="I62">
            <v>50.573673482806235</v>
          </cell>
          <cell r="J62">
            <v>64.196960261549833</v>
          </cell>
        </row>
        <row r="63">
          <cell r="A63">
            <v>37165</v>
          </cell>
          <cell r="B63">
            <v>3185.3</v>
          </cell>
          <cell r="C63">
            <v>10073.969999999999</v>
          </cell>
          <cell r="D63">
            <v>600.07000000000005</v>
          </cell>
          <cell r="E63">
            <v>1367.84</v>
          </cell>
          <cell r="G63">
            <v>131.4230309031646</v>
          </cell>
          <cell r="H63">
            <v>75.620243225572523</v>
          </cell>
          <cell r="I63">
            <v>49.318660003945034</v>
          </cell>
          <cell r="J63">
            <v>66.547308605456735</v>
          </cell>
        </row>
        <row r="64">
          <cell r="A64">
            <v>37196</v>
          </cell>
          <cell r="B64">
            <v>3276.9</v>
          </cell>
          <cell r="C64">
            <v>11279.25</v>
          </cell>
          <cell r="D64">
            <v>638.02</v>
          </cell>
          <cell r="E64">
            <v>1478.54</v>
          </cell>
          <cell r="G64">
            <v>135.202376531749</v>
          </cell>
          <cell r="H64">
            <v>84.667676040532086</v>
          </cell>
          <cell r="I64">
            <v>52.437701361036225</v>
          </cell>
          <cell r="J64">
            <v>71.933016774997071</v>
          </cell>
        </row>
        <row r="65">
          <cell r="A65">
            <v>37226</v>
          </cell>
          <cell r="B65">
            <v>3359.9</v>
          </cell>
          <cell r="C65">
            <v>11397.21</v>
          </cell>
          <cell r="D65">
            <v>696.09</v>
          </cell>
          <cell r="E65">
            <v>1623.6</v>
          </cell>
          <cell r="G65">
            <v>138.62689276725669</v>
          </cell>
          <cell r="H65">
            <v>85.553142633234714</v>
          </cell>
          <cell r="I65">
            <v>57.210368860543106</v>
          </cell>
          <cell r="J65">
            <v>78.990386486591674</v>
          </cell>
        </row>
        <row r="66">
          <cell r="A66">
            <v>37257</v>
          </cell>
          <cell r="B66">
            <v>3404</v>
          </cell>
          <cell r="C66">
            <v>10725.3</v>
          </cell>
          <cell r="D66">
            <v>718.82</v>
          </cell>
          <cell r="E66">
            <v>1786.89</v>
          </cell>
          <cell r="G66">
            <v>140.44642488756861</v>
          </cell>
          <cell r="H66">
            <v>80.509451057252804</v>
          </cell>
          <cell r="I66">
            <v>59.078506147675725</v>
          </cell>
          <cell r="J66">
            <v>86.934670922041022</v>
          </cell>
        </row>
        <row r="67">
          <cell r="A67">
            <v>37288</v>
          </cell>
          <cell r="B67">
            <v>3358.6</v>
          </cell>
          <cell r="C67">
            <v>10482.549999999999</v>
          </cell>
          <cell r="D67">
            <v>708.91</v>
          </cell>
          <cell r="E67">
            <v>1715.58</v>
          </cell>
          <cell r="G67">
            <v>138.57325576597765</v>
          </cell>
          <cell r="H67">
            <v>78.687248485376202</v>
          </cell>
          <cell r="I67">
            <v>58.264021303175753</v>
          </cell>
          <cell r="J67">
            <v>83.465340754291049</v>
          </cell>
        </row>
        <row r="68">
          <cell r="A68">
            <v>37316</v>
          </cell>
          <cell r="B68">
            <v>3363.3</v>
          </cell>
          <cell r="C68">
            <v>11032.92</v>
          </cell>
          <cell r="D68">
            <v>756.1</v>
          </cell>
          <cell r="E68">
            <v>1803.22</v>
          </cell>
          <cell r="G68">
            <v>138.76717415521725</v>
          </cell>
          <cell r="H68">
            <v>82.818600203125854</v>
          </cell>
          <cell r="I68">
            <v>62.142481425471765</v>
          </cell>
          <cell r="J68">
            <v>87.729148016969603</v>
          </cell>
        </row>
        <row r="69">
          <cell r="A69">
            <v>37347</v>
          </cell>
          <cell r="B69">
            <v>3299.5</v>
          </cell>
          <cell r="C69">
            <v>11497.58</v>
          </cell>
          <cell r="D69">
            <v>793.99</v>
          </cell>
          <cell r="E69">
            <v>1725.37</v>
          </cell>
          <cell r="G69">
            <v>136.13483516936915</v>
          </cell>
          <cell r="H69">
            <v>86.306569912902091</v>
          </cell>
          <cell r="I69">
            <v>65.256591491879817</v>
          </cell>
          <cell r="J69">
            <v>83.941637800179024</v>
          </cell>
        </row>
        <row r="70">
          <cell r="A70">
            <v>37377</v>
          </cell>
          <cell r="B70">
            <v>3325.1</v>
          </cell>
          <cell r="C70">
            <v>11301.94</v>
          </cell>
          <cell r="D70">
            <v>741.76</v>
          </cell>
          <cell r="E70">
            <v>1671.84</v>
          </cell>
          <cell r="G70">
            <v>137.19107150224863</v>
          </cell>
          <cell r="H70">
            <v>84.837998497198953</v>
          </cell>
          <cell r="I70">
            <v>60.963902952199355</v>
          </cell>
          <cell r="J70">
            <v>81.337329233643402</v>
          </cell>
        </row>
        <row r="71">
          <cell r="A71">
            <v>37408</v>
          </cell>
          <cell r="B71">
            <v>3163.2</v>
          </cell>
          <cell r="C71">
            <v>10598.55</v>
          </cell>
          <cell r="D71">
            <v>725.44</v>
          </cell>
          <cell r="E71">
            <v>1552.98</v>
          </cell>
          <cell r="G71">
            <v>130.51120188142099</v>
          </cell>
          <cell r="H71">
            <v>79.558002340526301</v>
          </cell>
          <cell r="I71">
            <v>59.62259188638307</v>
          </cell>
          <cell r="J71">
            <v>75.554625773556992</v>
          </cell>
        </row>
        <row r="72">
          <cell r="A72">
            <v>37438</v>
          </cell>
          <cell r="B72">
            <v>3032.6</v>
          </cell>
          <cell r="C72">
            <v>10267.36</v>
          </cell>
          <cell r="D72">
            <v>721.59</v>
          </cell>
          <cell r="E72">
            <v>1508.36</v>
          </cell>
          <cell r="G72">
            <v>125.12274621446548</v>
          </cell>
          <cell r="H72">
            <v>77.07192501908527</v>
          </cell>
          <cell r="I72">
            <v>59.306167400881058</v>
          </cell>
          <cell r="J72">
            <v>73.383801035301431</v>
          </cell>
        </row>
        <row r="73">
          <cell r="A73">
            <v>37469</v>
          </cell>
          <cell r="B73">
            <v>3073.6</v>
          </cell>
          <cell r="C73">
            <v>10043.870000000001</v>
          </cell>
          <cell r="D73">
            <v>711.36</v>
          </cell>
          <cell r="E73">
            <v>1488.5</v>
          </cell>
          <cell r="G73">
            <v>126.81437471634278</v>
          </cell>
          <cell r="H73">
            <v>75.394297613158585</v>
          </cell>
          <cell r="I73">
            <v>58.4653823394043</v>
          </cell>
          <cell r="J73">
            <v>72.417584556104771</v>
          </cell>
        </row>
        <row r="74">
          <cell r="A74">
            <v>37500</v>
          </cell>
          <cell r="B74">
            <v>2928.3</v>
          </cell>
          <cell r="C74">
            <v>9072.2099999999991</v>
          </cell>
          <cell r="D74">
            <v>638.01</v>
          </cell>
          <cell r="E74">
            <v>1352.3</v>
          </cell>
          <cell r="G74">
            <v>120.81940834261668</v>
          </cell>
          <cell r="H74">
            <v>68.100533036476321</v>
          </cell>
          <cell r="I74">
            <v>52.436879479255708</v>
          </cell>
          <cell r="J74">
            <v>65.791266103607981</v>
          </cell>
        </row>
        <row r="75">
          <cell r="A75">
            <v>37530</v>
          </cell>
          <cell r="B75">
            <v>2995</v>
          </cell>
          <cell r="C75">
            <v>9441.25</v>
          </cell>
          <cell r="D75">
            <v>659.57</v>
          </cell>
          <cell r="E75">
            <v>1463.37</v>
          </cell>
          <cell r="G75">
            <v>123.57139910054875</v>
          </cell>
          <cell r="H75">
            <v>70.870731335653829</v>
          </cell>
          <cell r="I75">
            <v>54.208856598066937</v>
          </cell>
          <cell r="J75">
            <v>71.194975285097101</v>
          </cell>
        </row>
        <row r="76">
          <cell r="A76">
            <v>37561</v>
          </cell>
          <cell r="B76">
            <v>3025.2</v>
          </cell>
          <cell r="C76">
            <v>10069.870000000001</v>
          </cell>
          <cell r="D76">
            <v>629.22</v>
          </cell>
          <cell r="E76">
            <v>1391.53</v>
          </cell>
          <cell r="G76">
            <v>124.8174278994925</v>
          </cell>
          <cell r="H76">
            <v>75.589466580692232</v>
          </cell>
          <cell r="I76">
            <v>51.714445394174504</v>
          </cell>
          <cell r="J76">
            <v>67.699859884015098</v>
          </cell>
        </row>
        <row r="77">
          <cell r="A77">
            <v>37591</v>
          </cell>
          <cell r="B77">
            <v>2975.5</v>
          </cell>
          <cell r="C77">
            <v>9321.2900000000009</v>
          </cell>
          <cell r="D77">
            <v>646.32000000000005</v>
          </cell>
          <cell r="E77">
            <v>1341.07</v>
          </cell>
          <cell r="G77">
            <v>122.76684408136322</v>
          </cell>
          <cell r="H77">
            <v>69.970251745448621</v>
          </cell>
          <cell r="I77">
            <v>53.119863238871723</v>
          </cell>
          <cell r="J77">
            <v>65.244911065270699</v>
          </cell>
        </row>
        <row r="78">
          <cell r="A78">
            <v>37622</v>
          </cell>
          <cell r="B78">
            <v>2935.4</v>
          </cell>
          <cell r="C78">
            <v>9258.9500000000007</v>
          </cell>
          <cell r="D78">
            <v>664.77</v>
          </cell>
          <cell r="E78">
            <v>1291.6099999999999</v>
          </cell>
          <cell r="G78">
            <v>121.11234888806372</v>
          </cell>
          <cell r="H78">
            <v>69.502296613292955</v>
          </cell>
          <cell r="I78">
            <v>54.63623512393977</v>
          </cell>
          <cell r="J78">
            <v>62.838613630171636</v>
          </cell>
        </row>
        <row r="79">
          <cell r="A79">
            <v>37653</v>
          </cell>
          <cell r="B79">
            <v>2774.7</v>
          </cell>
          <cell r="C79">
            <v>9122.66</v>
          </cell>
          <cell r="D79">
            <v>646.79999999999995</v>
          </cell>
          <cell r="E79">
            <v>1273.8499999999999</v>
          </cell>
          <cell r="G79">
            <v>114.48199034533977</v>
          </cell>
          <cell r="H79">
            <v>68.479235898479104</v>
          </cell>
          <cell r="I79">
            <v>53.159313564336898</v>
          </cell>
          <cell r="J79">
            <v>61.974565056630205</v>
          </cell>
        </row>
        <row r="80">
          <cell r="A80">
            <v>37681</v>
          </cell>
          <cell r="B80">
            <v>2848.6</v>
          </cell>
          <cell r="C80">
            <v>8634.4500000000007</v>
          </cell>
          <cell r="D80">
            <v>635.72</v>
          </cell>
          <cell r="E80">
            <v>1267.82</v>
          </cell>
          <cell r="G80">
            <v>117.53104757189421</v>
          </cell>
          <cell r="H80">
            <v>64.814488143109898</v>
          </cell>
          <cell r="I80">
            <v>52.24866855151555</v>
          </cell>
          <cell r="J80">
            <v>61.681197213248737</v>
          </cell>
        </row>
        <row r="81">
          <cell r="A81">
            <v>37712</v>
          </cell>
          <cell r="B81">
            <v>2970.9</v>
          </cell>
          <cell r="C81">
            <v>8717.2199999999993</v>
          </cell>
          <cell r="D81">
            <v>630.37</v>
          </cell>
          <cell r="E81">
            <v>1281.33</v>
          </cell>
          <cell r="G81">
            <v>122.57705161529893</v>
          </cell>
          <cell r="H81">
            <v>65.435801044754484</v>
          </cell>
          <cell r="I81">
            <v>51.808961798934838</v>
          </cell>
          <cell r="J81">
            <v>62.338477406297429</v>
          </cell>
        </row>
        <row r="82">
          <cell r="A82">
            <v>37742</v>
          </cell>
          <cell r="B82">
            <v>2979.8</v>
          </cell>
          <cell r="C82">
            <v>9487.3799999999992</v>
          </cell>
          <cell r="D82">
            <v>671.46</v>
          </cell>
          <cell r="E82">
            <v>1349</v>
          </cell>
          <cell r="G82">
            <v>122.94425877790158</v>
          </cell>
          <cell r="H82">
            <v>71.217006123051021</v>
          </cell>
          <cell r="I82">
            <v>55.186074035110785</v>
          </cell>
          <cell r="J82">
            <v>65.630716537578323</v>
          </cell>
        </row>
        <row r="83">
          <cell r="A83">
            <v>37773</v>
          </cell>
          <cell r="B83">
            <v>2998.9</v>
          </cell>
          <cell r="C83">
            <v>9577.1200000000008</v>
          </cell>
          <cell r="D83">
            <v>691.96</v>
          </cell>
          <cell r="E83">
            <v>1447.89</v>
          </cell>
          <cell r="G83">
            <v>123.73231010438587</v>
          </cell>
          <cell r="H83">
            <v>71.89063932099215</v>
          </cell>
          <cell r="I83">
            <v>56.870931685186413</v>
          </cell>
          <cell r="J83">
            <v>70.441851866267086</v>
          </cell>
        </row>
        <row r="84">
          <cell r="A84">
            <v>37803</v>
          </cell>
          <cell r="B84">
            <v>3106.7</v>
          </cell>
          <cell r="C84">
            <v>10134.83</v>
          </cell>
          <cell r="D84">
            <v>720.56</v>
          </cell>
          <cell r="E84">
            <v>1558.87</v>
          </cell>
          <cell r="G84">
            <v>128.18005528737055</v>
          </cell>
          <cell r="H84">
            <v>76.077088739576283</v>
          </cell>
          <cell r="I84">
            <v>59.221513577487009</v>
          </cell>
          <cell r="J84">
            <v>75.841182423228105</v>
          </cell>
        </row>
        <row r="85">
          <cell r="A85">
            <v>37834</v>
          </cell>
          <cell r="B85">
            <v>3202.9</v>
          </cell>
          <cell r="C85">
            <v>10908.99</v>
          </cell>
          <cell r="D85">
            <v>743.3</v>
          </cell>
          <cell r="E85">
            <v>1599.25</v>
          </cell>
          <cell r="G85">
            <v>132.14919338201923</v>
          </cell>
          <cell r="H85">
            <v>81.888319812877995</v>
          </cell>
          <cell r="I85">
            <v>61.090472746400145</v>
          </cell>
          <cell r="J85">
            <v>77.805725294827383</v>
          </cell>
        </row>
        <row r="86">
          <cell r="A86">
            <v>37865</v>
          </cell>
          <cell r="B86">
            <v>3176.2</v>
          </cell>
          <cell r="C86">
            <v>11229.87</v>
          </cell>
          <cell r="D86">
            <v>733.45</v>
          </cell>
          <cell r="E86">
            <v>1630.8</v>
          </cell>
          <cell r="G86">
            <v>131.04757189421133</v>
          </cell>
          <cell r="H86">
            <v>84.297005132193192</v>
          </cell>
          <cell r="I86">
            <v>60.28091919258334</v>
          </cell>
          <cell r="J86">
            <v>79.340676448838195</v>
          </cell>
        </row>
        <row r="87">
          <cell r="A87">
            <v>37895</v>
          </cell>
          <cell r="B87">
            <v>3282.4</v>
          </cell>
          <cell r="C87">
            <v>12190.1</v>
          </cell>
          <cell r="D87">
            <v>817.12</v>
          </cell>
          <cell r="E87">
            <v>1723.71</v>
          </cell>
          <cell r="G87">
            <v>135.42930230639107</v>
          </cell>
          <cell r="H87">
            <v>91.50497042814817</v>
          </cell>
          <cell r="I87">
            <v>67.157604050233417</v>
          </cell>
          <cell r="J87">
            <v>83.860876503327759</v>
          </cell>
        </row>
        <row r="88">
          <cell r="A88">
            <v>37926</v>
          </cell>
          <cell r="B88">
            <v>3195.7</v>
          </cell>
          <cell r="C88">
            <v>12317.47</v>
          </cell>
          <cell r="D88">
            <v>779.28</v>
          </cell>
          <cell r="E88">
            <v>1714</v>
          </cell>
          <cell r="G88">
            <v>131.85212691339686</v>
          </cell>
          <cell r="H88">
            <v>92.461073174100463</v>
          </cell>
          <cell r="I88">
            <v>64.047603392727979</v>
          </cell>
          <cell r="J88">
            <v>83.388471568131393</v>
          </cell>
        </row>
        <row r="89">
          <cell r="A89">
            <v>37956</v>
          </cell>
          <cell r="B89">
            <v>3306</v>
          </cell>
          <cell r="C89">
            <v>12575.94</v>
          </cell>
          <cell r="D89">
            <v>793.94</v>
          </cell>
          <cell r="E89">
            <v>1764.52</v>
          </cell>
          <cell r="G89">
            <v>136.40302017576434</v>
          </cell>
          <cell r="H89">
            <v>94.401277906347417</v>
          </cell>
          <cell r="I89">
            <v>65.252482082977195</v>
          </cell>
          <cell r="J89">
            <v>85.846339469894517</v>
          </cell>
        </row>
        <row r="90">
          <cell r="A90">
            <v>37987</v>
          </cell>
          <cell r="B90">
            <v>3283.6</v>
          </cell>
          <cell r="C90">
            <v>13289.37</v>
          </cell>
          <cell r="D90">
            <v>818.94</v>
          </cell>
          <cell r="E90">
            <v>1848.36</v>
          </cell>
          <cell r="G90">
            <v>135.4788133844948</v>
          </cell>
          <cell r="H90">
            <v>99.756639310483052</v>
          </cell>
          <cell r="I90">
            <v>67.307186534288917</v>
          </cell>
          <cell r="J90">
            <v>89.925271474720731</v>
          </cell>
        </row>
        <row r="91">
          <cell r="A91">
            <v>38018</v>
          </cell>
          <cell r="B91">
            <v>3372.5</v>
          </cell>
          <cell r="C91">
            <v>13907.03</v>
          </cell>
          <cell r="D91">
            <v>879.24</v>
          </cell>
          <cell r="E91">
            <v>1888.63</v>
          </cell>
          <cell r="G91">
            <v>139.1467590873458</v>
          </cell>
          <cell r="H91">
            <v>104.39310332920726</v>
          </cell>
          <cell r="I91">
            <v>72.263133670852781</v>
          </cell>
          <cell r="J91">
            <v>91.884462694119023</v>
          </cell>
        </row>
        <row r="92">
          <cell r="A92">
            <v>38047</v>
          </cell>
          <cell r="B92">
            <v>3416.5</v>
          </cell>
          <cell r="C92">
            <v>12681.67</v>
          </cell>
          <cell r="D92">
            <v>901.85</v>
          </cell>
          <cell r="E92">
            <v>1858.92</v>
          </cell>
          <cell r="G92">
            <v>140.96216528448241</v>
          </cell>
          <cell r="H92">
            <v>95.19494001932172</v>
          </cell>
          <cell r="I92">
            <v>74.121408376619101</v>
          </cell>
          <cell r="J92">
            <v>90.439030086015649</v>
          </cell>
        </row>
        <row r="93">
          <cell r="A93">
            <v>38078</v>
          </cell>
          <cell r="B93">
            <v>3407.7</v>
          </cell>
          <cell r="C93">
            <v>11942.96</v>
          </cell>
          <cell r="D93">
            <v>838.21</v>
          </cell>
          <cell r="E93">
            <v>1842.03</v>
          </cell>
          <cell r="G93">
            <v>140.59908404505506</v>
          </cell>
          <cell r="H93">
            <v>89.649814326753372</v>
          </cell>
          <cell r="I93">
            <v>68.890952725359995</v>
          </cell>
          <cell r="J93">
            <v>89.617308216245661</v>
          </cell>
        </row>
        <row r="94">
          <cell r="A94">
            <v>38108</v>
          </cell>
          <cell r="B94">
            <v>3456.9</v>
          </cell>
          <cell r="C94">
            <v>12198.24</v>
          </cell>
          <cell r="D94">
            <v>810.67</v>
          </cell>
          <cell r="E94">
            <v>1788.66</v>
          </cell>
          <cell r="G94">
            <v>142.62903824730785</v>
          </cell>
          <cell r="H94">
            <v>91.566073327983702</v>
          </cell>
          <cell r="I94">
            <v>66.627490301794992</v>
          </cell>
          <cell r="J94">
            <v>87.0207838710933</v>
          </cell>
        </row>
        <row r="95">
          <cell r="A95">
            <v>38139</v>
          </cell>
          <cell r="B95">
            <v>3530.3</v>
          </cell>
          <cell r="C95">
            <v>12285.75</v>
          </cell>
          <cell r="D95">
            <v>819.86</v>
          </cell>
          <cell r="E95">
            <v>1838</v>
          </cell>
          <cell r="G95">
            <v>145.65746585798573</v>
          </cell>
          <cell r="H95">
            <v>92.222967033709423</v>
          </cell>
          <cell r="I95">
            <v>67.382799658097184</v>
          </cell>
          <cell r="J95">
            <v>89.4212431401549</v>
          </cell>
        </row>
        <row r="96">
          <cell r="A96">
            <v>38169</v>
          </cell>
          <cell r="B96">
            <v>3546.1</v>
          </cell>
          <cell r="C96">
            <v>12238.03</v>
          </cell>
          <cell r="D96">
            <v>833.98</v>
          </cell>
          <cell r="E96">
            <v>1891.71</v>
          </cell>
          <cell r="G96">
            <v>146.30936171968477</v>
          </cell>
          <cell r="H96">
            <v>91.864756913297683</v>
          </cell>
          <cell r="I96">
            <v>68.543296732198044</v>
          </cell>
          <cell r="J96">
            <v>92.034308955746695</v>
          </cell>
        </row>
        <row r="97">
          <cell r="A97">
            <v>38200</v>
          </cell>
          <cell r="B97">
            <v>3561.9</v>
          </cell>
          <cell r="C97">
            <v>12850.28</v>
          </cell>
          <cell r="D97">
            <v>827.98</v>
          </cell>
          <cell r="E97">
            <v>1918.34</v>
          </cell>
          <cell r="G97">
            <v>146.96125758138385</v>
          </cell>
          <cell r="H97">
            <v>96.460610773777404</v>
          </cell>
          <cell r="I97">
            <v>68.050167663883229</v>
          </cell>
          <cell r="J97">
            <v>93.329895302222383</v>
          </cell>
        </row>
        <row r="98">
          <cell r="A98">
            <v>38231</v>
          </cell>
          <cell r="B98">
            <v>3674.7</v>
          </cell>
          <cell r="C98">
            <v>13120.03</v>
          </cell>
          <cell r="D98">
            <v>849.96</v>
          </cell>
          <cell r="E98">
            <v>1984.74</v>
          </cell>
          <cell r="G98">
            <v>151.61529892313405</v>
          </cell>
          <cell r="H98">
            <v>98.485488811938936</v>
          </cell>
          <cell r="I98">
            <v>69.856663817476488</v>
          </cell>
          <cell r="J98">
            <v>96.56034717627368</v>
          </cell>
        </row>
        <row r="99">
          <cell r="A99">
            <v>38261</v>
          </cell>
          <cell r="B99">
            <v>3786.3</v>
          </cell>
          <cell r="C99">
            <v>13054.66</v>
          </cell>
          <cell r="D99">
            <v>861.14</v>
          </cell>
          <cell r="E99">
            <v>1980.69</v>
          </cell>
          <cell r="G99">
            <v>156.21982918678057</v>
          </cell>
          <cell r="H99">
            <v>97.994788988566839</v>
          </cell>
          <cell r="I99">
            <v>70.775527648103093</v>
          </cell>
          <cell r="J99">
            <v>96.36330907251002</v>
          </cell>
        </row>
        <row r="100">
          <cell r="A100">
            <v>38292</v>
          </cell>
          <cell r="B100">
            <v>3942.8</v>
          </cell>
          <cell r="C100">
            <v>14060.05</v>
          </cell>
          <cell r="D100">
            <v>917.19</v>
          </cell>
          <cell r="E100">
            <v>2027.66</v>
          </cell>
          <cell r="G100">
            <v>162.67689895614146</v>
          </cell>
          <cell r="H100">
            <v>105.54174776813025</v>
          </cell>
          <cell r="I100">
            <v>75.382175027943987</v>
          </cell>
          <cell r="J100">
            <v>98.648464562332151</v>
          </cell>
        </row>
        <row r="101">
          <cell r="A101">
            <v>38322</v>
          </cell>
          <cell r="B101">
            <v>4053.1</v>
          </cell>
          <cell r="C101">
            <v>14230.14</v>
          </cell>
          <cell r="D101">
            <v>907.43</v>
          </cell>
          <cell r="E101">
            <v>2066.14</v>
          </cell>
          <cell r="G101">
            <v>167.22779221850891</v>
          </cell>
          <cell r="H101">
            <v>106.81852814073783</v>
          </cell>
          <cell r="I101">
            <v>74.580018410151879</v>
          </cell>
          <cell r="J101">
            <v>100.52056980500525</v>
          </cell>
        </row>
        <row r="102">
          <cell r="A102">
            <v>38353</v>
          </cell>
          <cell r="B102">
            <v>4106.7</v>
          </cell>
          <cell r="C102">
            <v>13721.69</v>
          </cell>
          <cell r="D102">
            <v>916.27</v>
          </cell>
          <cell r="E102">
            <v>2096.3200000000002</v>
          </cell>
          <cell r="G102">
            <v>169.43928704047531</v>
          </cell>
          <cell r="H102">
            <v>103.00184885064243</v>
          </cell>
          <cell r="I102">
            <v>75.306561904135705</v>
          </cell>
          <cell r="J102">
            <v>101.98886856342196</v>
          </cell>
        </row>
        <row r="103">
          <cell r="A103">
            <v>38384</v>
          </cell>
          <cell r="B103">
            <v>4156.5</v>
          </cell>
          <cell r="C103">
            <v>14195.35</v>
          </cell>
          <cell r="D103">
            <v>907.38</v>
          </cell>
          <cell r="E103">
            <v>2119.4</v>
          </cell>
          <cell r="G103">
            <v>171.49399678177994</v>
          </cell>
          <cell r="H103">
            <v>106.55737704918032</v>
          </cell>
          <cell r="I103">
            <v>74.575909001249258</v>
          </cell>
          <cell r="J103">
            <v>103.11174249795666</v>
          </cell>
        </row>
        <row r="104">
          <cell r="A104">
            <v>38412</v>
          </cell>
          <cell r="B104">
            <v>4100.7</v>
          </cell>
          <cell r="C104">
            <v>13516.88</v>
          </cell>
          <cell r="D104">
            <v>871.35</v>
          </cell>
          <cell r="E104">
            <v>2141.4299999999998</v>
          </cell>
          <cell r="G104">
            <v>169.19173164995669</v>
          </cell>
          <cell r="H104">
            <v>101.46444284138991</v>
          </cell>
          <cell r="I104">
            <v>71.614668946018796</v>
          </cell>
          <cell r="J104">
            <v>104.18353247966373</v>
          </cell>
        </row>
        <row r="105">
          <cell r="A105">
            <v>38443</v>
          </cell>
          <cell r="B105">
            <v>3943.1</v>
          </cell>
          <cell r="C105">
            <v>13908.97</v>
          </cell>
          <cell r="D105">
            <v>878.96</v>
          </cell>
          <cell r="E105">
            <v>2125.25</v>
          </cell>
          <cell r="G105">
            <v>162.68927672566738</v>
          </cell>
          <cell r="H105">
            <v>104.40766593678477</v>
          </cell>
          <cell r="I105">
            <v>72.240120980998086</v>
          </cell>
          <cell r="J105">
            <v>103.39635309228194</v>
          </cell>
        </row>
        <row r="106">
          <cell r="A106">
            <v>38473</v>
          </cell>
          <cell r="B106">
            <v>4070.4</v>
          </cell>
          <cell r="C106">
            <v>13867.07</v>
          </cell>
          <cell r="D106">
            <v>860.73</v>
          </cell>
          <cell r="E106">
            <v>2161.77</v>
          </cell>
          <cell r="G106">
            <v>167.94157692783762</v>
          </cell>
          <cell r="H106">
            <v>104.09314363910556</v>
          </cell>
          <cell r="I106">
            <v>70.741830495101581</v>
          </cell>
          <cell r="J106">
            <v>105.17310162301014</v>
          </cell>
        </row>
        <row r="107">
          <cell r="A107">
            <v>38504</v>
          </cell>
          <cell r="B107">
            <v>4229.8999999999996</v>
          </cell>
          <cell r="C107">
            <v>14201.06</v>
          </cell>
          <cell r="D107">
            <v>888.32</v>
          </cell>
          <cell r="E107">
            <v>2212.66</v>
          </cell>
          <cell r="G107">
            <v>174.52242439245782</v>
          </cell>
          <cell r="H107">
            <v>106.60023915705021</v>
          </cell>
          <cell r="I107">
            <v>73.009402327569205</v>
          </cell>
          <cell r="J107">
            <v>107.64897053672205</v>
          </cell>
        </row>
        <row r="108">
          <cell r="A108">
            <v>38534</v>
          </cell>
          <cell r="B108">
            <v>4346.7</v>
          </cell>
          <cell r="C108">
            <v>14880.98</v>
          </cell>
          <cell r="D108">
            <v>937.39</v>
          </cell>
          <cell r="E108">
            <v>2352.56</v>
          </cell>
          <cell r="G108">
            <v>179.34150266122046</v>
          </cell>
          <cell r="H108">
            <v>111.70405778802998</v>
          </cell>
          <cell r="I108">
            <v>77.042376224603842</v>
          </cell>
          <cell r="J108">
            <v>114.45529910870664</v>
          </cell>
        </row>
        <row r="109">
          <cell r="A109">
            <v>38565</v>
          </cell>
          <cell r="B109">
            <v>4413.5</v>
          </cell>
          <cell r="C109">
            <v>14903.55</v>
          </cell>
          <cell r="D109">
            <v>913.56</v>
          </cell>
          <cell r="E109">
            <v>2275.4299999999998</v>
          </cell>
          <cell r="G109">
            <v>182.09761934232787</v>
          </cell>
          <cell r="H109">
            <v>111.87347946484667</v>
          </cell>
          <cell r="I109">
            <v>75.083831941613511</v>
          </cell>
          <cell r="J109">
            <v>110.70281788814074</v>
          </cell>
        </row>
        <row r="110">
          <cell r="A110">
            <v>38596</v>
          </cell>
          <cell r="B110">
            <v>4592.6000000000004</v>
          </cell>
          <cell r="C110">
            <v>15428.52</v>
          </cell>
          <cell r="D110">
            <v>927.54</v>
          </cell>
          <cell r="E110">
            <v>2305.14</v>
          </cell>
          <cell r="G110">
            <v>189.48714774930892</v>
          </cell>
          <cell r="H110">
            <v>115.81416611431345</v>
          </cell>
          <cell r="I110">
            <v>76.23282267078703</v>
          </cell>
          <cell r="J110">
            <v>112.1482504962441</v>
          </cell>
        </row>
        <row r="111">
          <cell r="A111">
            <v>38626</v>
          </cell>
          <cell r="B111">
            <v>4412.7</v>
          </cell>
          <cell r="C111">
            <v>14386.37</v>
          </cell>
          <cell r="D111">
            <v>910.76</v>
          </cell>
          <cell r="E111">
            <v>2216.77</v>
          </cell>
          <cell r="G111">
            <v>182.06461195692535</v>
          </cell>
          <cell r="H111">
            <v>107.9912684406525</v>
          </cell>
          <cell r="I111">
            <v>74.853705043066597</v>
          </cell>
          <cell r="J111">
            <v>107.84892772350445</v>
          </cell>
        </row>
        <row r="112">
          <cell r="A112">
            <v>38657</v>
          </cell>
          <cell r="B112">
            <v>4583.6000000000004</v>
          </cell>
          <cell r="C112">
            <v>14937.14</v>
          </cell>
          <cell r="D112">
            <v>896.13</v>
          </cell>
          <cell r="E112">
            <v>2300.25</v>
          </cell>
          <cell r="G112">
            <v>189.11581466353101</v>
          </cell>
          <cell r="H112">
            <v>112.12562275790263</v>
          </cell>
          <cell r="I112">
            <v>73.651291998158982</v>
          </cell>
          <cell r="J112">
            <v>111.91034523021834</v>
          </cell>
        </row>
        <row r="113">
          <cell r="A113">
            <v>38687</v>
          </cell>
          <cell r="B113">
            <v>4708.8</v>
          </cell>
          <cell r="C113">
            <v>14876.43</v>
          </cell>
          <cell r="D113">
            <v>899.79</v>
          </cell>
          <cell r="E113">
            <v>2347.34</v>
          </cell>
          <cell r="G113">
            <v>194.2814704790197</v>
          </cell>
          <cell r="H113">
            <v>111.6699032187116</v>
          </cell>
          <cell r="I113">
            <v>73.952100729831017</v>
          </cell>
          <cell r="J113">
            <v>114.20133888607793</v>
          </cell>
        </row>
        <row r="114">
          <cell r="A114">
            <v>38718</v>
          </cell>
          <cell r="B114">
            <v>4880.2</v>
          </cell>
          <cell r="C114">
            <v>15753.14</v>
          </cell>
          <cell r="D114">
            <v>914.01</v>
          </cell>
          <cell r="E114">
            <v>2412.08</v>
          </cell>
          <cell r="G114">
            <v>201.35330280150185</v>
          </cell>
          <cell r="H114">
            <v>118.2509257389585</v>
          </cell>
          <cell r="I114">
            <v>75.120816621737134</v>
          </cell>
          <cell r="J114">
            <v>117.35102946327794</v>
          </cell>
        </row>
        <row r="115">
          <cell r="A115">
            <v>38749</v>
          </cell>
          <cell r="B115">
            <v>4878.3999999999996</v>
          </cell>
          <cell r="C115">
            <v>15918.48</v>
          </cell>
          <cell r="D115">
            <v>928.94</v>
          </cell>
          <cell r="E115">
            <v>2481.96</v>
          </cell>
          <cell r="G115">
            <v>201.27903618434627</v>
          </cell>
          <cell r="H115">
            <v>119.49205024249743</v>
          </cell>
          <cell r="I115">
            <v>76.347886120060494</v>
          </cell>
          <cell r="J115">
            <v>120.75078815241504</v>
          </cell>
          <cell r="N115" t="str">
            <v>AU: ASX Index: All Ordinaries</v>
          </cell>
        </row>
        <row r="116">
          <cell r="A116">
            <v>38777</v>
          </cell>
          <cell r="B116">
            <v>5087.2</v>
          </cell>
          <cell r="C116">
            <v>15805.04</v>
          </cell>
          <cell r="D116">
            <v>926.63</v>
          </cell>
          <cell r="E116">
            <v>2533.4</v>
          </cell>
          <cell r="G116">
            <v>209.89396377439454</v>
          </cell>
          <cell r="H116">
            <v>118.64051302415066</v>
          </cell>
          <cell r="I116">
            <v>76.158031428759287</v>
          </cell>
          <cell r="J116">
            <v>123.2534153271319</v>
          </cell>
          <cell r="N116" t="str">
            <v>AZDA</v>
          </cell>
        </row>
        <row r="117">
          <cell r="A117">
            <v>38808</v>
          </cell>
          <cell r="B117">
            <v>5186.7</v>
          </cell>
          <cell r="C117">
            <v>16471.78</v>
          </cell>
          <cell r="D117">
            <v>943.71</v>
          </cell>
          <cell r="E117">
            <v>2552.0500000000002</v>
          </cell>
          <cell r="G117">
            <v>213.99925733382847</v>
          </cell>
          <cell r="H117">
            <v>123.64539600158835</v>
          </cell>
          <cell r="I117">
            <v>77.56180550989545</v>
          </cell>
          <cell r="J117">
            <v>124.16076363211769</v>
          </cell>
          <cell r="N117" t="str">
            <v>01/1982=500</v>
          </cell>
        </row>
        <row r="118">
          <cell r="A118">
            <v>38838</v>
          </cell>
          <cell r="N118" t="str">
            <v>M:   Mar-1984:   Feb-2006</v>
          </cell>
        </row>
        <row r="119">
          <cell r="A119">
            <v>38869</v>
          </cell>
          <cell r="M119">
            <v>38596</v>
          </cell>
          <cell r="N119">
            <v>4592.6000000000004</v>
          </cell>
        </row>
        <row r="120">
          <cell r="A120">
            <v>38899</v>
          </cell>
          <cell r="M120">
            <v>38626</v>
          </cell>
          <cell r="N120">
            <v>4412.7</v>
          </cell>
        </row>
        <row r="121">
          <cell r="A121">
            <v>38930</v>
          </cell>
          <cell r="M121">
            <v>38657</v>
          </cell>
          <cell r="N121">
            <v>4583.6000000000004</v>
          </cell>
        </row>
        <row r="122">
          <cell r="A122">
            <v>38961</v>
          </cell>
          <cell r="M122">
            <v>38687</v>
          </cell>
          <cell r="N122">
            <v>4708.8</v>
          </cell>
        </row>
        <row r="123">
          <cell r="A123">
            <v>38991</v>
          </cell>
          <cell r="M123">
            <v>38718</v>
          </cell>
          <cell r="N123">
            <v>4880.2</v>
          </cell>
        </row>
        <row r="124">
          <cell r="A124">
            <v>39022</v>
          </cell>
          <cell r="M124">
            <v>38749</v>
          </cell>
          <cell r="N124">
            <v>4878.3999999999996</v>
          </cell>
        </row>
        <row r="125">
          <cell r="A125">
            <v>39052</v>
          </cell>
        </row>
        <row r="128">
          <cell r="N128" t="str">
            <v>HK: Index: Hang Seng</v>
          </cell>
        </row>
        <row r="129">
          <cell r="N129" t="str">
            <v>HZIA</v>
          </cell>
        </row>
        <row r="130">
          <cell r="N130" t="str">
            <v>31/07/64=100</v>
          </cell>
        </row>
        <row r="131">
          <cell r="N131" t="str">
            <v>M:   Jul-1964:   Feb-2006</v>
          </cell>
        </row>
        <row r="132">
          <cell r="M132">
            <v>38596</v>
          </cell>
          <cell r="N132">
            <v>15428.52</v>
          </cell>
        </row>
        <row r="133">
          <cell r="M133">
            <v>38626</v>
          </cell>
          <cell r="N133">
            <v>14386.37</v>
          </cell>
        </row>
        <row r="134">
          <cell r="M134">
            <v>38657</v>
          </cell>
          <cell r="N134">
            <v>14937.14</v>
          </cell>
        </row>
        <row r="135">
          <cell r="M135">
            <v>38687</v>
          </cell>
          <cell r="N135">
            <v>14876.43</v>
          </cell>
        </row>
        <row r="136">
          <cell r="M136">
            <v>38718</v>
          </cell>
          <cell r="N136">
            <v>15753.14</v>
          </cell>
        </row>
        <row r="137">
          <cell r="M137">
            <v>38749</v>
          </cell>
          <cell r="N137">
            <v>15918.48</v>
          </cell>
        </row>
        <row r="141">
          <cell r="N141" t="str">
            <v>MY: KLSE: Index: Composite</v>
          </cell>
        </row>
        <row r="142">
          <cell r="N142" t="str">
            <v>MZEB</v>
          </cell>
        </row>
        <row r="143">
          <cell r="N143" t="str">
            <v>1984=100</v>
          </cell>
        </row>
        <row r="144">
          <cell r="N144" t="str">
            <v>M:   Jan-1974:   Feb-2006</v>
          </cell>
        </row>
        <row r="145">
          <cell r="M145">
            <v>38596</v>
          </cell>
          <cell r="N145">
            <v>927.54</v>
          </cell>
        </row>
        <row r="146">
          <cell r="M146">
            <v>38626</v>
          </cell>
          <cell r="N146">
            <v>910.76</v>
          </cell>
        </row>
        <row r="147">
          <cell r="M147">
            <v>38657</v>
          </cell>
          <cell r="N147">
            <v>896.13</v>
          </cell>
        </row>
        <row r="148">
          <cell r="M148">
            <v>38687</v>
          </cell>
          <cell r="N148">
            <v>899.79</v>
          </cell>
        </row>
        <row r="149">
          <cell r="M149">
            <v>38718</v>
          </cell>
          <cell r="N149">
            <v>914.01</v>
          </cell>
        </row>
        <row r="150">
          <cell r="M150">
            <v>38749</v>
          </cell>
          <cell r="N150">
            <v>928.94</v>
          </cell>
        </row>
        <row r="154">
          <cell r="N154" t="str">
            <v>SG: Index: SGX Strait Times</v>
          </cell>
        </row>
        <row r="155">
          <cell r="N155" t="str">
            <v>SZIO</v>
          </cell>
        </row>
        <row r="156">
          <cell r="N156" t="str">
            <v>28/8/98=885.26</v>
          </cell>
        </row>
        <row r="157">
          <cell r="N157" t="str">
            <v>M:   Jan-1985:   Feb-2006</v>
          </cell>
        </row>
        <row r="158">
          <cell r="M158">
            <v>38596</v>
          </cell>
          <cell r="N158">
            <v>2305.14</v>
          </cell>
        </row>
        <row r="159">
          <cell r="M159">
            <v>38626</v>
          </cell>
          <cell r="N159">
            <v>2216.77</v>
          </cell>
        </row>
        <row r="160">
          <cell r="M160">
            <v>38657</v>
          </cell>
          <cell r="N160">
            <v>2300.25</v>
          </cell>
        </row>
        <row r="161">
          <cell r="M161">
            <v>38687</v>
          </cell>
          <cell r="N161">
            <v>2347.34</v>
          </cell>
        </row>
        <row r="162">
          <cell r="M162">
            <v>38718</v>
          </cell>
          <cell r="N162">
            <v>2412.08</v>
          </cell>
        </row>
        <row r="163">
          <cell r="M163">
            <v>38749</v>
          </cell>
          <cell r="N163">
            <v>2481.96</v>
          </cell>
        </row>
      </sheetData>
      <sheetData sheetId="24"/>
      <sheetData sheetId="25" refreshError="1">
        <row r="1">
          <cell r="C1" t="str">
            <v>Important Notice : When using these data, please always mention World Federation of Exchanges as the source of information.</v>
          </cell>
        </row>
        <row r="9">
          <cell r="B9" t="str">
            <v xml:space="preserve">Total, excluding investment funds </v>
          </cell>
        </row>
        <row r="11">
          <cell r="B11" t="str">
            <v>Exchange</v>
          </cell>
          <cell r="C11" t="str">
            <v>End 1990</v>
          </cell>
          <cell r="D11" t="str">
            <v>End 1991</v>
          </cell>
          <cell r="E11" t="str">
            <v>End 1992</v>
          </cell>
          <cell r="F11" t="str">
            <v>End 1993</v>
          </cell>
          <cell r="G11" t="str">
            <v>End 1994</v>
          </cell>
          <cell r="H11" t="str">
            <v>End 1995</v>
          </cell>
          <cell r="I11" t="str">
            <v>End 1996</v>
          </cell>
          <cell r="J11" t="str">
            <v>End 1997</v>
          </cell>
          <cell r="K11" t="str">
            <v>End 1998</v>
          </cell>
          <cell r="L11" t="str">
            <v>End 1999</v>
          </cell>
          <cell r="M11" t="str">
            <v>End 2000</v>
          </cell>
          <cell r="N11" t="str">
            <v>End 2001</v>
          </cell>
          <cell r="O11" t="str">
            <v>End 2002</v>
          </cell>
          <cell r="P11" t="str">
            <v>End 2003</v>
          </cell>
          <cell r="Q11" t="str">
            <v>End 2004</v>
          </cell>
          <cell r="R11" t="str">
            <v>End 2005</v>
          </cell>
        </row>
        <row r="14">
          <cell r="B14" t="str">
            <v>Americas</v>
          </cell>
        </row>
        <row r="15">
          <cell r="B15" t="str">
            <v xml:space="preserve">Amex </v>
          </cell>
          <cell r="C15">
            <v>859</v>
          </cell>
          <cell r="D15">
            <v>860</v>
          </cell>
          <cell r="E15">
            <v>843</v>
          </cell>
          <cell r="F15">
            <v>889</v>
          </cell>
          <cell r="G15">
            <v>824</v>
          </cell>
          <cell r="H15">
            <v>791</v>
          </cell>
          <cell r="I15">
            <v>751</v>
          </cell>
          <cell r="J15">
            <v>710</v>
          </cell>
          <cell r="K15">
            <v>711</v>
          </cell>
          <cell r="L15">
            <v>650</v>
          </cell>
          <cell r="M15">
            <v>649</v>
          </cell>
          <cell r="N15">
            <v>606</v>
          </cell>
          <cell r="O15">
            <v>571</v>
          </cell>
          <cell r="P15">
            <v>557</v>
          </cell>
        </row>
        <row r="16">
          <cell r="B16" t="str">
            <v>Bermuda</v>
          </cell>
          <cell r="C16" t="str">
            <v>NA</v>
          </cell>
          <cell r="D16" t="str">
            <v>NA</v>
          </cell>
          <cell r="E16" t="str">
            <v>NA</v>
          </cell>
          <cell r="F16" t="str">
            <v>NA</v>
          </cell>
          <cell r="G16" t="str">
            <v>NA</v>
          </cell>
          <cell r="H16" t="str">
            <v>NA</v>
          </cell>
          <cell r="I16" t="str">
            <v>NA</v>
          </cell>
          <cell r="J16" t="str">
            <v>NA</v>
          </cell>
          <cell r="K16">
            <v>62</v>
          </cell>
          <cell r="L16">
            <v>45</v>
          </cell>
          <cell r="M16">
            <v>47</v>
          </cell>
          <cell r="N16">
            <v>50</v>
          </cell>
          <cell r="O16">
            <v>54</v>
          </cell>
          <cell r="P16">
            <v>55</v>
          </cell>
        </row>
        <row r="17">
          <cell r="B17" t="str">
            <v>Buenos Aires</v>
          </cell>
          <cell r="C17">
            <v>179</v>
          </cell>
          <cell r="D17">
            <v>170</v>
          </cell>
          <cell r="E17">
            <v>170</v>
          </cell>
          <cell r="F17">
            <v>165</v>
          </cell>
          <cell r="G17">
            <v>156</v>
          </cell>
          <cell r="H17">
            <v>149</v>
          </cell>
          <cell r="I17">
            <v>147</v>
          </cell>
          <cell r="J17">
            <v>136</v>
          </cell>
          <cell r="K17">
            <v>131</v>
          </cell>
          <cell r="L17">
            <v>125</v>
          </cell>
          <cell r="M17">
            <v>125</v>
          </cell>
          <cell r="N17">
            <v>119</v>
          </cell>
          <cell r="O17">
            <v>114</v>
          </cell>
          <cell r="P17">
            <v>110</v>
          </cell>
        </row>
        <row r="18">
          <cell r="B18" t="str">
            <v>Lima</v>
          </cell>
          <cell r="C18" t="str">
            <v>NA</v>
          </cell>
          <cell r="D18" t="str">
            <v>NA</v>
          </cell>
          <cell r="E18" t="str">
            <v>NA</v>
          </cell>
          <cell r="F18">
            <v>235</v>
          </cell>
          <cell r="G18">
            <v>220</v>
          </cell>
          <cell r="H18">
            <v>243</v>
          </cell>
          <cell r="I18">
            <v>238</v>
          </cell>
          <cell r="J18">
            <v>248</v>
          </cell>
          <cell r="K18">
            <v>249</v>
          </cell>
          <cell r="L18">
            <v>239</v>
          </cell>
          <cell r="M18">
            <v>227</v>
          </cell>
          <cell r="N18">
            <v>227</v>
          </cell>
          <cell r="O18">
            <v>230</v>
          </cell>
          <cell r="P18">
            <v>227</v>
          </cell>
        </row>
        <row r="19">
          <cell r="B19" t="str">
            <v xml:space="preserve">Mexico </v>
          </cell>
          <cell r="C19">
            <v>390</v>
          </cell>
          <cell r="D19">
            <v>207</v>
          </cell>
          <cell r="E19">
            <v>199</v>
          </cell>
          <cell r="F19">
            <v>190</v>
          </cell>
          <cell r="G19">
            <v>206</v>
          </cell>
          <cell r="H19">
            <v>185</v>
          </cell>
          <cell r="I19">
            <v>193</v>
          </cell>
          <cell r="J19">
            <v>198</v>
          </cell>
          <cell r="K19">
            <v>195</v>
          </cell>
          <cell r="L19">
            <v>190</v>
          </cell>
          <cell r="M19">
            <v>177</v>
          </cell>
          <cell r="N19">
            <v>172</v>
          </cell>
          <cell r="O19">
            <v>169</v>
          </cell>
          <cell r="P19">
            <v>237</v>
          </cell>
        </row>
        <row r="20">
          <cell r="B20" t="str">
            <v>Nasdaq</v>
          </cell>
          <cell r="C20">
            <v>4132</v>
          </cell>
          <cell r="D20">
            <v>4094</v>
          </cell>
          <cell r="E20">
            <v>4113</v>
          </cell>
          <cell r="F20">
            <v>4611</v>
          </cell>
          <cell r="G20">
            <v>4902</v>
          </cell>
          <cell r="H20">
            <v>5127</v>
          </cell>
          <cell r="I20">
            <v>5556</v>
          </cell>
          <cell r="J20">
            <v>5487</v>
          </cell>
          <cell r="K20">
            <v>5068</v>
          </cell>
          <cell r="L20">
            <v>4829</v>
          </cell>
          <cell r="M20">
            <v>4734</v>
          </cell>
          <cell r="N20">
            <v>4063</v>
          </cell>
          <cell r="O20">
            <v>3649</v>
          </cell>
          <cell r="P20">
            <v>3294</v>
          </cell>
        </row>
        <row r="21">
          <cell r="B21" t="str">
            <v>NYSE</v>
          </cell>
          <cell r="C21">
            <v>1774</v>
          </cell>
          <cell r="D21">
            <v>1989</v>
          </cell>
          <cell r="E21">
            <v>1750</v>
          </cell>
          <cell r="F21">
            <v>1945</v>
          </cell>
          <cell r="G21">
            <v>2128</v>
          </cell>
          <cell r="H21">
            <v>2242</v>
          </cell>
          <cell r="I21">
            <v>2476</v>
          </cell>
          <cell r="J21">
            <v>2626</v>
          </cell>
          <cell r="K21">
            <v>2670</v>
          </cell>
          <cell r="L21">
            <v>3025</v>
          </cell>
          <cell r="M21">
            <v>2468</v>
          </cell>
          <cell r="N21">
            <v>2400</v>
          </cell>
          <cell r="O21">
            <v>2366</v>
          </cell>
          <cell r="P21">
            <v>2308</v>
          </cell>
        </row>
        <row r="22">
          <cell r="B22" t="str">
            <v>Santiago</v>
          </cell>
          <cell r="C22">
            <v>216</v>
          </cell>
          <cell r="D22">
            <v>223</v>
          </cell>
          <cell r="E22">
            <v>244</v>
          </cell>
          <cell r="F22">
            <v>263</v>
          </cell>
          <cell r="G22">
            <v>277</v>
          </cell>
          <cell r="H22">
            <v>282</v>
          </cell>
          <cell r="I22">
            <v>290</v>
          </cell>
          <cell r="J22">
            <v>294</v>
          </cell>
          <cell r="K22">
            <v>287</v>
          </cell>
          <cell r="L22">
            <v>282</v>
          </cell>
          <cell r="M22">
            <v>261</v>
          </cell>
          <cell r="N22">
            <v>249</v>
          </cell>
          <cell r="O22">
            <v>246</v>
          </cell>
          <cell r="P22">
            <v>241</v>
          </cell>
        </row>
        <row r="23">
          <cell r="B23" t="str">
            <v>Sao Paulo</v>
          </cell>
          <cell r="C23">
            <v>579</v>
          </cell>
          <cell r="D23">
            <v>570</v>
          </cell>
          <cell r="E23">
            <v>565</v>
          </cell>
          <cell r="F23">
            <v>551</v>
          </cell>
          <cell r="G23">
            <v>549</v>
          </cell>
          <cell r="H23">
            <v>544</v>
          </cell>
          <cell r="I23">
            <v>551</v>
          </cell>
          <cell r="J23">
            <v>545</v>
          </cell>
          <cell r="K23">
            <v>535</v>
          </cell>
          <cell r="L23">
            <v>487</v>
          </cell>
          <cell r="M23">
            <v>467</v>
          </cell>
          <cell r="N23">
            <v>441</v>
          </cell>
          <cell r="O23">
            <v>412</v>
          </cell>
          <cell r="P23">
            <v>391</v>
          </cell>
        </row>
        <row r="24">
          <cell r="B24" t="str">
            <v>TSX Group *</v>
          </cell>
          <cell r="C24">
            <v>1193</v>
          </cell>
          <cell r="D24">
            <v>1138</v>
          </cell>
          <cell r="E24">
            <v>1119</v>
          </cell>
          <cell r="F24">
            <v>1193</v>
          </cell>
          <cell r="G24">
            <v>1251</v>
          </cell>
          <cell r="H24">
            <v>1258</v>
          </cell>
          <cell r="I24">
            <v>1323</v>
          </cell>
          <cell r="J24">
            <v>1420</v>
          </cell>
          <cell r="K24">
            <v>1433</v>
          </cell>
          <cell r="L24">
            <v>1456</v>
          </cell>
          <cell r="M24">
            <v>1394</v>
          </cell>
          <cell r="N24">
            <v>1299</v>
          </cell>
          <cell r="O24">
            <v>3791</v>
          </cell>
          <cell r="P24">
            <v>3599</v>
          </cell>
        </row>
        <row r="26">
          <cell r="B26" t="str">
            <v>Europe - Africa - Middle East</v>
          </cell>
        </row>
        <row r="27">
          <cell r="B27" t="str">
            <v>Athens</v>
          </cell>
          <cell r="C27">
            <v>140</v>
          </cell>
          <cell r="D27">
            <v>151</v>
          </cell>
          <cell r="E27">
            <v>156</v>
          </cell>
          <cell r="F27">
            <v>145</v>
          </cell>
          <cell r="G27">
            <v>173</v>
          </cell>
          <cell r="H27">
            <v>186</v>
          </cell>
          <cell r="I27">
            <v>200</v>
          </cell>
          <cell r="J27">
            <v>210</v>
          </cell>
          <cell r="K27">
            <v>229</v>
          </cell>
          <cell r="L27">
            <v>262</v>
          </cell>
          <cell r="M27">
            <v>310</v>
          </cell>
          <cell r="N27">
            <v>314</v>
          </cell>
          <cell r="O27">
            <v>324</v>
          </cell>
          <cell r="P27">
            <v>332</v>
          </cell>
        </row>
        <row r="28">
          <cell r="B28" t="str">
            <v>Borsa Italiana</v>
          </cell>
          <cell r="C28">
            <v>220</v>
          </cell>
          <cell r="D28">
            <v>267</v>
          </cell>
          <cell r="E28">
            <v>258</v>
          </cell>
          <cell r="F28">
            <v>259</v>
          </cell>
          <cell r="G28">
            <v>260</v>
          </cell>
          <cell r="H28">
            <v>254</v>
          </cell>
          <cell r="I28">
            <v>248</v>
          </cell>
          <cell r="J28">
            <v>239</v>
          </cell>
          <cell r="K28">
            <v>243</v>
          </cell>
          <cell r="L28">
            <v>270</v>
          </cell>
          <cell r="M28">
            <v>297</v>
          </cell>
          <cell r="N28">
            <v>294</v>
          </cell>
          <cell r="O28">
            <v>295</v>
          </cell>
          <cell r="P28">
            <v>279</v>
          </cell>
        </row>
        <row r="29">
          <cell r="B29" t="str">
            <v>Budapest</v>
          </cell>
          <cell r="C29" t="str">
            <v>NA</v>
          </cell>
          <cell r="D29" t="str">
            <v>NA</v>
          </cell>
          <cell r="E29" t="str">
            <v>NA</v>
          </cell>
          <cell r="F29" t="str">
            <v>NA</v>
          </cell>
          <cell r="G29" t="str">
            <v>NA</v>
          </cell>
          <cell r="H29" t="str">
            <v>NA</v>
          </cell>
          <cell r="I29" t="str">
            <v>NA</v>
          </cell>
          <cell r="J29" t="str">
            <v>NA</v>
          </cell>
          <cell r="K29" t="str">
            <v>NA</v>
          </cell>
          <cell r="L29" t="str">
            <v>NA</v>
          </cell>
          <cell r="M29">
            <v>59</v>
          </cell>
          <cell r="N29">
            <v>56</v>
          </cell>
          <cell r="O29">
            <v>48</v>
          </cell>
          <cell r="P29">
            <v>49</v>
          </cell>
        </row>
        <row r="30">
          <cell r="B30" t="str">
            <v>Copenhagen</v>
          </cell>
          <cell r="C30">
            <v>284</v>
          </cell>
          <cell r="D30">
            <v>271</v>
          </cell>
          <cell r="E30">
            <v>219</v>
          </cell>
          <cell r="F30">
            <v>257</v>
          </cell>
          <cell r="G30">
            <v>251</v>
          </cell>
          <cell r="H30">
            <v>252</v>
          </cell>
          <cell r="I30">
            <v>249</v>
          </cell>
          <cell r="J30">
            <v>249</v>
          </cell>
          <cell r="K30">
            <v>254</v>
          </cell>
          <cell r="L30">
            <v>242</v>
          </cell>
          <cell r="M30">
            <v>235</v>
          </cell>
          <cell r="N30">
            <v>217</v>
          </cell>
          <cell r="O30">
            <v>201</v>
          </cell>
          <cell r="P30">
            <v>194</v>
          </cell>
        </row>
        <row r="31">
          <cell r="B31" t="str">
            <v>Deutsche Börse **</v>
          </cell>
          <cell r="C31" t="str">
            <v>NA</v>
          </cell>
          <cell r="D31" t="str">
            <v>NA</v>
          </cell>
          <cell r="E31" t="str">
            <v>NA</v>
          </cell>
          <cell r="F31" t="str">
            <v>NA</v>
          </cell>
          <cell r="G31" t="str">
            <v>NA</v>
          </cell>
          <cell r="H31" t="str">
            <v>NA</v>
          </cell>
          <cell r="I31" t="str">
            <v>NA</v>
          </cell>
          <cell r="J31" t="str">
            <v>NA</v>
          </cell>
          <cell r="K31">
            <v>662</v>
          </cell>
          <cell r="L31">
            <v>851</v>
          </cell>
          <cell r="M31">
            <v>983</v>
          </cell>
          <cell r="N31">
            <v>983</v>
          </cell>
          <cell r="O31">
            <v>934</v>
          </cell>
          <cell r="P31">
            <v>866</v>
          </cell>
        </row>
        <row r="32">
          <cell r="B32" t="str">
            <v>Euronext</v>
          </cell>
          <cell r="C32" t="str">
            <v>NA</v>
          </cell>
          <cell r="D32" t="str">
            <v>NA</v>
          </cell>
          <cell r="E32" t="str">
            <v>NA</v>
          </cell>
          <cell r="F32" t="str">
            <v>NA</v>
          </cell>
          <cell r="G32" t="str">
            <v>NA</v>
          </cell>
          <cell r="H32" t="str">
            <v>NA</v>
          </cell>
          <cell r="I32" t="str">
            <v>NA</v>
          </cell>
          <cell r="J32" t="str">
            <v>NA</v>
          </cell>
          <cell r="K32" t="str">
            <v>NA</v>
          </cell>
          <cell r="L32" t="str">
            <v>NA</v>
          </cell>
          <cell r="M32">
            <v>1216</v>
          </cell>
          <cell r="N32">
            <v>1195</v>
          </cell>
          <cell r="O32">
            <v>1114</v>
          </cell>
          <cell r="P32">
            <v>1392</v>
          </cell>
        </row>
        <row r="33">
          <cell r="B33" t="str">
            <v>Helsinki</v>
          </cell>
          <cell r="C33">
            <v>77</v>
          </cell>
          <cell r="D33">
            <v>65</v>
          </cell>
          <cell r="E33">
            <v>62</v>
          </cell>
          <cell r="F33">
            <v>58</v>
          </cell>
          <cell r="G33">
            <v>65</v>
          </cell>
          <cell r="H33">
            <v>73</v>
          </cell>
          <cell r="I33">
            <v>71</v>
          </cell>
          <cell r="J33">
            <v>126</v>
          </cell>
          <cell r="K33">
            <v>131</v>
          </cell>
          <cell r="L33">
            <v>150</v>
          </cell>
          <cell r="M33">
            <v>158</v>
          </cell>
          <cell r="N33">
            <v>155</v>
          </cell>
          <cell r="O33">
            <v>149</v>
          </cell>
          <cell r="P33">
            <v>145</v>
          </cell>
        </row>
        <row r="34">
          <cell r="B34" t="str">
            <v>Irish</v>
          </cell>
          <cell r="C34" t="str">
            <v>NA</v>
          </cell>
          <cell r="D34" t="str">
            <v>NA</v>
          </cell>
          <cell r="E34" t="str">
            <v>NA</v>
          </cell>
          <cell r="F34" t="str">
            <v>NA</v>
          </cell>
          <cell r="G34" t="str">
            <v>NA</v>
          </cell>
          <cell r="H34">
            <v>89</v>
          </cell>
          <cell r="I34">
            <v>86</v>
          </cell>
          <cell r="J34">
            <v>102</v>
          </cell>
          <cell r="K34">
            <v>100</v>
          </cell>
          <cell r="L34">
            <v>101</v>
          </cell>
          <cell r="M34">
            <v>96</v>
          </cell>
          <cell r="N34">
            <v>87</v>
          </cell>
          <cell r="O34">
            <v>76</v>
          </cell>
          <cell r="P34">
            <v>66</v>
          </cell>
        </row>
        <row r="35">
          <cell r="B35" t="str">
            <v xml:space="preserve">Istanbul </v>
          </cell>
          <cell r="C35">
            <v>110</v>
          </cell>
          <cell r="D35">
            <v>134</v>
          </cell>
          <cell r="E35">
            <v>145</v>
          </cell>
          <cell r="F35">
            <v>160</v>
          </cell>
          <cell r="G35">
            <v>176</v>
          </cell>
          <cell r="H35">
            <v>205</v>
          </cell>
          <cell r="I35">
            <v>228</v>
          </cell>
          <cell r="J35">
            <v>259</v>
          </cell>
          <cell r="K35">
            <v>278</v>
          </cell>
          <cell r="L35">
            <v>286</v>
          </cell>
          <cell r="M35">
            <v>316</v>
          </cell>
          <cell r="N35">
            <v>311</v>
          </cell>
          <cell r="O35">
            <v>289</v>
          </cell>
          <cell r="P35">
            <v>285</v>
          </cell>
        </row>
        <row r="36">
          <cell r="B36" t="str">
            <v>JSE South Africa</v>
          </cell>
          <cell r="C36">
            <v>769</v>
          </cell>
          <cell r="D36">
            <v>728</v>
          </cell>
          <cell r="E36">
            <v>671</v>
          </cell>
          <cell r="F36">
            <v>631</v>
          </cell>
          <cell r="G36">
            <v>624</v>
          </cell>
          <cell r="H36">
            <v>638</v>
          </cell>
          <cell r="I36">
            <v>626</v>
          </cell>
          <cell r="J36">
            <v>642</v>
          </cell>
          <cell r="K36">
            <v>669</v>
          </cell>
          <cell r="L36">
            <v>658</v>
          </cell>
          <cell r="M36">
            <v>606</v>
          </cell>
          <cell r="N36">
            <v>532</v>
          </cell>
          <cell r="O36">
            <v>451</v>
          </cell>
          <cell r="P36">
            <v>411</v>
          </cell>
        </row>
        <row r="37">
          <cell r="B37" t="str">
            <v>Ljubljana</v>
          </cell>
          <cell r="C37" t="str">
            <v>NA</v>
          </cell>
          <cell r="D37" t="str">
            <v>NA</v>
          </cell>
          <cell r="E37" t="str">
            <v>NA</v>
          </cell>
          <cell r="F37">
            <v>16</v>
          </cell>
          <cell r="G37">
            <v>17</v>
          </cell>
          <cell r="H37">
            <v>17</v>
          </cell>
          <cell r="I37">
            <v>45</v>
          </cell>
          <cell r="J37">
            <v>78</v>
          </cell>
          <cell r="K37">
            <v>90</v>
          </cell>
          <cell r="L37">
            <v>130</v>
          </cell>
          <cell r="M37">
            <v>149</v>
          </cell>
          <cell r="N37">
            <v>151</v>
          </cell>
          <cell r="O37">
            <v>135</v>
          </cell>
          <cell r="P37">
            <v>134</v>
          </cell>
        </row>
        <row r="38">
          <cell r="B38" t="str">
            <v>London</v>
          </cell>
          <cell r="C38">
            <v>2559</v>
          </cell>
          <cell r="D38">
            <v>2572</v>
          </cell>
          <cell r="E38">
            <v>2440</v>
          </cell>
          <cell r="F38">
            <v>2412</v>
          </cell>
          <cell r="G38">
            <v>2416</v>
          </cell>
          <cell r="H38">
            <v>2502</v>
          </cell>
          <cell r="I38">
            <v>2623</v>
          </cell>
          <cell r="J38">
            <v>2513</v>
          </cell>
          <cell r="K38">
            <v>2423</v>
          </cell>
          <cell r="L38">
            <v>2274</v>
          </cell>
          <cell r="M38">
            <v>2374</v>
          </cell>
          <cell r="N38">
            <v>2332</v>
          </cell>
          <cell r="O38">
            <v>2824</v>
          </cell>
          <cell r="P38">
            <v>2692</v>
          </cell>
        </row>
        <row r="39">
          <cell r="B39" t="str">
            <v xml:space="preserve">Luxembourg </v>
          </cell>
          <cell r="C39">
            <v>732</v>
          </cell>
          <cell r="D39">
            <v>218</v>
          </cell>
          <cell r="E39">
            <v>221</v>
          </cell>
          <cell r="F39">
            <v>217</v>
          </cell>
          <cell r="G39">
            <v>272</v>
          </cell>
          <cell r="H39">
            <v>283</v>
          </cell>
          <cell r="I39">
            <v>278</v>
          </cell>
          <cell r="J39">
            <v>284</v>
          </cell>
          <cell r="K39">
            <v>276</v>
          </cell>
          <cell r="L39">
            <v>277</v>
          </cell>
          <cell r="M39">
            <v>270</v>
          </cell>
          <cell r="N39">
            <v>257</v>
          </cell>
          <cell r="O39">
            <v>245</v>
          </cell>
          <cell r="P39">
            <v>242</v>
          </cell>
        </row>
        <row r="40">
          <cell r="B40" t="str">
            <v>Malta</v>
          </cell>
          <cell r="C40" t="str">
            <v>NA</v>
          </cell>
          <cell r="D40" t="str">
            <v>NA</v>
          </cell>
          <cell r="E40" t="str">
            <v>NA</v>
          </cell>
          <cell r="F40" t="str">
            <v>NA</v>
          </cell>
          <cell r="G40" t="str">
            <v>NA</v>
          </cell>
          <cell r="H40">
            <v>5</v>
          </cell>
          <cell r="I40">
            <v>6</v>
          </cell>
          <cell r="J40">
            <v>6</v>
          </cell>
          <cell r="K40">
            <v>7</v>
          </cell>
          <cell r="L40">
            <v>9</v>
          </cell>
          <cell r="M40">
            <v>10</v>
          </cell>
          <cell r="N40">
            <v>12</v>
          </cell>
          <cell r="O40">
            <v>13</v>
          </cell>
          <cell r="P40">
            <v>13</v>
          </cell>
        </row>
        <row r="41">
          <cell r="B41" t="str">
            <v xml:space="preserve">Oslo </v>
          </cell>
          <cell r="C41">
            <v>121</v>
          </cell>
          <cell r="D41">
            <v>112</v>
          </cell>
          <cell r="E41">
            <v>123</v>
          </cell>
          <cell r="F41">
            <v>135</v>
          </cell>
          <cell r="G41">
            <v>146</v>
          </cell>
          <cell r="H41">
            <v>165</v>
          </cell>
          <cell r="I41">
            <v>172</v>
          </cell>
          <cell r="J41">
            <v>217</v>
          </cell>
          <cell r="K41">
            <v>235</v>
          </cell>
          <cell r="L41">
            <v>215</v>
          </cell>
          <cell r="M41">
            <v>214</v>
          </cell>
          <cell r="N41">
            <v>212</v>
          </cell>
          <cell r="O41">
            <v>203</v>
          </cell>
          <cell r="P41">
            <v>178</v>
          </cell>
        </row>
        <row r="42">
          <cell r="B42" t="str">
            <v>Spanish Exchanges (BME)</v>
          </cell>
          <cell r="C42" t="str">
            <v>NA</v>
          </cell>
          <cell r="D42" t="str">
            <v>NA</v>
          </cell>
          <cell r="E42" t="str">
            <v>NA</v>
          </cell>
          <cell r="F42" t="str">
            <v>NA</v>
          </cell>
          <cell r="G42" t="str">
            <v>NA</v>
          </cell>
          <cell r="H42" t="str">
            <v>NA</v>
          </cell>
          <cell r="I42" t="str">
            <v>NA</v>
          </cell>
          <cell r="J42" t="str">
            <v>NA</v>
          </cell>
          <cell r="K42" t="str">
            <v>NA</v>
          </cell>
          <cell r="L42" t="str">
            <v>-</v>
          </cell>
          <cell r="M42" t="str">
            <v>-</v>
          </cell>
          <cell r="N42" t="str">
            <v>-</v>
          </cell>
          <cell r="O42">
            <v>3015</v>
          </cell>
          <cell r="P42">
            <v>3223</v>
          </cell>
        </row>
        <row r="43">
          <cell r="B43" t="str">
            <v>Stockholmsbörsen</v>
          </cell>
          <cell r="C43">
            <v>132</v>
          </cell>
          <cell r="D43">
            <v>127</v>
          </cell>
          <cell r="E43">
            <v>205</v>
          </cell>
          <cell r="F43">
            <v>205</v>
          </cell>
          <cell r="G43">
            <v>228</v>
          </cell>
          <cell r="H43">
            <v>223</v>
          </cell>
          <cell r="I43">
            <v>229</v>
          </cell>
          <cell r="J43">
            <v>261</v>
          </cell>
          <cell r="K43">
            <v>276</v>
          </cell>
          <cell r="L43">
            <v>300</v>
          </cell>
          <cell r="M43">
            <v>311</v>
          </cell>
          <cell r="N43">
            <v>305</v>
          </cell>
          <cell r="O43">
            <v>297</v>
          </cell>
          <cell r="P43">
            <v>282</v>
          </cell>
        </row>
        <row r="44">
          <cell r="B44" t="str">
            <v>Swiss Exchange</v>
          </cell>
          <cell r="C44">
            <v>422</v>
          </cell>
          <cell r="D44">
            <v>424</v>
          </cell>
          <cell r="E44">
            <v>470</v>
          </cell>
          <cell r="F44">
            <v>464</v>
          </cell>
          <cell r="G44">
            <v>457</v>
          </cell>
          <cell r="H44">
            <v>449</v>
          </cell>
          <cell r="I44">
            <v>436</v>
          </cell>
          <cell r="J44">
            <v>428</v>
          </cell>
          <cell r="K44">
            <v>424</v>
          </cell>
          <cell r="L44">
            <v>412</v>
          </cell>
          <cell r="M44">
            <v>416</v>
          </cell>
          <cell r="N44">
            <v>412</v>
          </cell>
          <cell r="O44">
            <v>398</v>
          </cell>
          <cell r="P44">
            <v>419</v>
          </cell>
        </row>
        <row r="45">
          <cell r="B45" t="str">
            <v>Tehran</v>
          </cell>
          <cell r="C45" t="str">
            <v>NA</v>
          </cell>
          <cell r="D45">
            <v>97</v>
          </cell>
          <cell r="E45">
            <v>114</v>
          </cell>
          <cell r="F45">
            <v>119</v>
          </cell>
          <cell r="G45">
            <v>142</v>
          </cell>
          <cell r="H45">
            <v>169</v>
          </cell>
          <cell r="I45">
            <v>221</v>
          </cell>
          <cell r="J45">
            <v>250</v>
          </cell>
          <cell r="K45">
            <v>261</v>
          </cell>
          <cell r="L45">
            <v>277</v>
          </cell>
          <cell r="M45">
            <v>285</v>
          </cell>
          <cell r="N45">
            <v>297</v>
          </cell>
          <cell r="O45">
            <v>307</v>
          </cell>
          <cell r="P45">
            <v>345</v>
          </cell>
        </row>
        <row r="46">
          <cell r="B46" t="str">
            <v xml:space="preserve">Tel-Aviv  </v>
          </cell>
          <cell r="C46">
            <v>216</v>
          </cell>
          <cell r="D46">
            <v>286</v>
          </cell>
          <cell r="E46">
            <v>378</v>
          </cell>
          <cell r="F46">
            <v>558</v>
          </cell>
          <cell r="G46">
            <v>638</v>
          </cell>
          <cell r="H46">
            <v>654</v>
          </cell>
          <cell r="I46">
            <v>655</v>
          </cell>
          <cell r="J46">
            <v>659</v>
          </cell>
          <cell r="K46">
            <v>662</v>
          </cell>
          <cell r="L46">
            <v>654</v>
          </cell>
          <cell r="M46">
            <v>665</v>
          </cell>
          <cell r="N46">
            <v>649</v>
          </cell>
          <cell r="O46">
            <v>624</v>
          </cell>
          <cell r="P46">
            <v>577</v>
          </cell>
        </row>
        <row r="47">
          <cell r="B47" t="str">
            <v xml:space="preserve">Warsaw </v>
          </cell>
          <cell r="C47" t="str">
            <v>NA</v>
          </cell>
          <cell r="D47">
            <v>9</v>
          </cell>
          <cell r="E47">
            <v>16</v>
          </cell>
          <cell r="F47">
            <v>22</v>
          </cell>
          <cell r="G47">
            <v>44</v>
          </cell>
          <cell r="H47">
            <v>65</v>
          </cell>
          <cell r="I47">
            <v>83</v>
          </cell>
          <cell r="J47">
            <v>143</v>
          </cell>
          <cell r="K47">
            <v>198</v>
          </cell>
          <cell r="L47">
            <v>221</v>
          </cell>
          <cell r="M47">
            <v>225</v>
          </cell>
          <cell r="N47">
            <v>230</v>
          </cell>
          <cell r="O47">
            <v>216</v>
          </cell>
          <cell r="P47">
            <v>203</v>
          </cell>
        </row>
        <row r="48">
          <cell r="B48" t="str">
            <v>Wiener Börse</v>
          </cell>
          <cell r="C48">
            <v>151</v>
          </cell>
          <cell r="D48">
            <v>151</v>
          </cell>
          <cell r="E48">
            <v>160</v>
          </cell>
          <cell r="F48">
            <v>155</v>
          </cell>
          <cell r="G48">
            <v>153</v>
          </cell>
          <cell r="H48">
            <v>148</v>
          </cell>
          <cell r="I48">
            <v>142</v>
          </cell>
          <cell r="J48">
            <v>138</v>
          </cell>
          <cell r="K48">
            <v>128</v>
          </cell>
          <cell r="L48">
            <v>114</v>
          </cell>
          <cell r="M48">
            <v>111</v>
          </cell>
          <cell r="N48">
            <v>111</v>
          </cell>
          <cell r="O48">
            <v>129</v>
          </cell>
          <cell r="P48">
            <v>125</v>
          </cell>
        </row>
        <row r="50">
          <cell r="B50" t="str">
            <v>Asia - Pacific</v>
          </cell>
          <cell r="C50">
            <v>1990</v>
          </cell>
          <cell r="D50">
            <v>1991</v>
          </cell>
          <cell r="E50">
            <v>1992</v>
          </cell>
          <cell r="F50">
            <v>1993</v>
          </cell>
          <cell r="G50">
            <v>1994</v>
          </cell>
          <cell r="H50">
            <v>1995</v>
          </cell>
          <cell r="I50">
            <v>1996</v>
          </cell>
          <cell r="J50">
            <v>1997</v>
          </cell>
          <cell r="K50">
            <v>1998</v>
          </cell>
          <cell r="L50">
            <v>1999</v>
          </cell>
          <cell r="M50">
            <v>2000</v>
          </cell>
          <cell r="N50">
            <v>2001</v>
          </cell>
          <cell r="O50">
            <v>2002</v>
          </cell>
          <cell r="P50">
            <v>2003</v>
          </cell>
          <cell r="Q50">
            <v>2004</v>
          </cell>
          <cell r="R50">
            <v>2005</v>
          </cell>
        </row>
        <row r="51">
          <cell r="B51" t="str">
            <v>Australia</v>
          </cell>
          <cell r="C51">
            <v>1136</v>
          </cell>
          <cell r="D51">
            <v>1005</v>
          </cell>
          <cell r="E51">
            <v>1073</v>
          </cell>
          <cell r="F51">
            <v>1107</v>
          </cell>
          <cell r="G51">
            <v>1185</v>
          </cell>
          <cell r="H51">
            <v>1178</v>
          </cell>
          <cell r="I51">
            <v>1190</v>
          </cell>
          <cell r="J51">
            <v>1219</v>
          </cell>
          <cell r="K51">
            <v>1222</v>
          </cell>
          <cell r="L51">
            <v>1287</v>
          </cell>
          <cell r="M51">
            <v>1406</v>
          </cell>
          <cell r="N51">
            <v>1410</v>
          </cell>
          <cell r="O51">
            <v>1421</v>
          </cell>
          <cell r="P51">
            <v>1471</v>
          </cell>
          <cell r="Q51">
            <v>1582</v>
          </cell>
          <cell r="R51">
            <v>1714</v>
          </cell>
        </row>
        <row r="52">
          <cell r="B52" t="str">
            <v>Malaysia</v>
          </cell>
          <cell r="C52">
            <v>271</v>
          </cell>
          <cell r="D52">
            <v>321</v>
          </cell>
          <cell r="E52">
            <v>366</v>
          </cell>
          <cell r="F52">
            <v>410</v>
          </cell>
          <cell r="G52">
            <v>475</v>
          </cell>
          <cell r="H52">
            <v>526</v>
          </cell>
          <cell r="I52">
            <v>618</v>
          </cell>
          <cell r="J52">
            <v>703</v>
          </cell>
          <cell r="K52">
            <v>731</v>
          </cell>
          <cell r="L52">
            <v>752</v>
          </cell>
          <cell r="M52">
            <v>790</v>
          </cell>
          <cell r="N52">
            <v>807</v>
          </cell>
          <cell r="O52">
            <v>861</v>
          </cell>
          <cell r="P52">
            <v>902</v>
          </cell>
          <cell r="Q52">
            <v>959</v>
          </cell>
          <cell r="R52">
            <v>1019</v>
          </cell>
        </row>
        <row r="53">
          <cell r="B53" t="str">
            <v>Colombo</v>
          </cell>
          <cell r="C53" t="str">
            <v>NA</v>
          </cell>
          <cell r="D53" t="str">
            <v>NA</v>
          </cell>
          <cell r="E53" t="str">
            <v>NA</v>
          </cell>
          <cell r="F53">
            <v>197</v>
          </cell>
          <cell r="G53">
            <v>211</v>
          </cell>
          <cell r="H53">
            <v>222</v>
          </cell>
          <cell r="I53">
            <v>235</v>
          </cell>
          <cell r="J53">
            <v>239</v>
          </cell>
          <cell r="K53">
            <v>240</v>
          </cell>
          <cell r="L53">
            <v>237</v>
          </cell>
          <cell r="M53">
            <v>239</v>
          </cell>
          <cell r="N53">
            <v>238</v>
          </cell>
          <cell r="O53">
            <v>238</v>
          </cell>
          <cell r="P53">
            <v>244</v>
          </cell>
        </row>
        <row r="54">
          <cell r="B54" t="str">
            <v xml:space="preserve">Hong Kong </v>
          </cell>
          <cell r="C54">
            <v>299</v>
          </cell>
          <cell r="D54">
            <v>357</v>
          </cell>
          <cell r="E54">
            <v>413</v>
          </cell>
          <cell r="F54">
            <v>477</v>
          </cell>
          <cell r="G54">
            <v>529</v>
          </cell>
          <cell r="H54">
            <v>542</v>
          </cell>
          <cell r="I54">
            <v>583</v>
          </cell>
          <cell r="J54">
            <v>658</v>
          </cell>
          <cell r="K54">
            <v>680</v>
          </cell>
          <cell r="L54">
            <v>708</v>
          </cell>
          <cell r="M54">
            <v>790</v>
          </cell>
          <cell r="N54">
            <v>867</v>
          </cell>
          <cell r="O54">
            <v>978</v>
          </cell>
          <cell r="P54">
            <v>1037</v>
          </cell>
          <cell r="Q54">
            <v>1096</v>
          </cell>
          <cell r="R54">
            <v>1135</v>
          </cell>
        </row>
        <row r="55">
          <cell r="B55" t="str">
            <v>Jakarta</v>
          </cell>
          <cell r="C55">
            <v>123</v>
          </cell>
          <cell r="D55">
            <v>139</v>
          </cell>
          <cell r="E55">
            <v>153</v>
          </cell>
          <cell r="F55">
            <v>172</v>
          </cell>
          <cell r="G55">
            <v>217</v>
          </cell>
          <cell r="H55">
            <v>237</v>
          </cell>
          <cell r="I55">
            <v>252</v>
          </cell>
          <cell r="J55">
            <v>281</v>
          </cell>
          <cell r="K55">
            <v>287</v>
          </cell>
          <cell r="L55">
            <v>276</v>
          </cell>
          <cell r="M55">
            <v>286</v>
          </cell>
          <cell r="N55">
            <v>315</v>
          </cell>
          <cell r="O55">
            <v>331</v>
          </cell>
          <cell r="P55">
            <v>333</v>
          </cell>
        </row>
        <row r="56">
          <cell r="B56" t="str">
            <v xml:space="preserve">Korea </v>
          </cell>
          <cell r="C56">
            <v>677</v>
          </cell>
          <cell r="D56">
            <v>686</v>
          </cell>
          <cell r="E56">
            <v>688</v>
          </cell>
          <cell r="F56">
            <v>693</v>
          </cell>
          <cell r="G56">
            <v>699</v>
          </cell>
          <cell r="H56">
            <v>721</v>
          </cell>
          <cell r="I56">
            <v>760</v>
          </cell>
          <cell r="J56">
            <v>776</v>
          </cell>
          <cell r="K56">
            <v>748</v>
          </cell>
          <cell r="L56">
            <v>712</v>
          </cell>
          <cell r="M56">
            <v>702</v>
          </cell>
          <cell r="N56">
            <v>688</v>
          </cell>
          <cell r="O56">
            <v>683</v>
          </cell>
          <cell r="P56">
            <v>684</v>
          </cell>
        </row>
        <row r="57">
          <cell r="B57" t="str">
            <v>Mumbai</v>
          </cell>
          <cell r="C57" t="str">
            <v>NA</v>
          </cell>
          <cell r="D57" t="str">
            <v>NA</v>
          </cell>
          <cell r="E57" t="str">
            <v>NA</v>
          </cell>
          <cell r="F57" t="str">
            <v>NA</v>
          </cell>
          <cell r="G57" t="str">
            <v>NA</v>
          </cell>
          <cell r="H57" t="str">
            <v>NA</v>
          </cell>
          <cell r="I57" t="str">
            <v>NA</v>
          </cell>
          <cell r="J57" t="str">
            <v>NA</v>
          </cell>
          <cell r="K57" t="str">
            <v>NA</v>
          </cell>
          <cell r="L57" t="str">
            <v>NA</v>
          </cell>
          <cell r="M57" t="str">
            <v>NA</v>
          </cell>
          <cell r="N57">
            <v>5795</v>
          </cell>
          <cell r="O57">
            <v>5650</v>
          </cell>
          <cell r="P57">
            <v>5644</v>
          </cell>
        </row>
        <row r="58">
          <cell r="B58" t="str">
            <v>National Stock Exchange India</v>
          </cell>
          <cell r="C58" t="str">
            <v>NA</v>
          </cell>
          <cell r="D58" t="str">
            <v>NA</v>
          </cell>
          <cell r="E58" t="str">
            <v>NA</v>
          </cell>
          <cell r="F58" t="str">
            <v>NA</v>
          </cell>
          <cell r="G58" t="str">
            <v>NA</v>
          </cell>
          <cell r="H58" t="str">
            <v>NA</v>
          </cell>
          <cell r="I58" t="str">
            <v>NA</v>
          </cell>
          <cell r="J58" t="str">
            <v>NA</v>
          </cell>
          <cell r="K58" t="str">
            <v>NA</v>
          </cell>
          <cell r="L58" t="str">
            <v>NA</v>
          </cell>
          <cell r="M58" t="str">
            <v>NA</v>
          </cell>
          <cell r="N58">
            <v>1041</v>
          </cell>
          <cell r="O58">
            <v>916</v>
          </cell>
          <cell r="P58">
            <v>911</v>
          </cell>
        </row>
        <row r="59">
          <cell r="B59" t="str">
            <v>New Zealand</v>
          </cell>
          <cell r="C59">
            <v>245</v>
          </cell>
          <cell r="D59">
            <v>196</v>
          </cell>
          <cell r="E59">
            <v>167</v>
          </cell>
          <cell r="F59">
            <v>180</v>
          </cell>
          <cell r="G59">
            <v>187</v>
          </cell>
          <cell r="H59">
            <v>175</v>
          </cell>
          <cell r="I59">
            <v>170</v>
          </cell>
          <cell r="J59">
            <v>180</v>
          </cell>
          <cell r="K59">
            <v>182</v>
          </cell>
          <cell r="L59">
            <v>189</v>
          </cell>
          <cell r="M59">
            <v>203</v>
          </cell>
          <cell r="N59">
            <v>195</v>
          </cell>
          <cell r="O59">
            <v>196</v>
          </cell>
          <cell r="P59">
            <v>196</v>
          </cell>
        </row>
        <row r="60">
          <cell r="B60" t="str">
            <v xml:space="preserve">Osaka </v>
          </cell>
          <cell r="C60">
            <v>1138</v>
          </cell>
          <cell r="D60">
            <v>1158</v>
          </cell>
          <cell r="E60">
            <v>1163</v>
          </cell>
          <cell r="F60">
            <v>1178</v>
          </cell>
          <cell r="G60">
            <v>1199</v>
          </cell>
          <cell r="H60">
            <v>1222</v>
          </cell>
          <cell r="I60">
            <v>1256</v>
          </cell>
          <cell r="J60">
            <v>1275</v>
          </cell>
          <cell r="K60">
            <v>1272</v>
          </cell>
          <cell r="L60">
            <v>1281</v>
          </cell>
          <cell r="M60">
            <v>1310</v>
          </cell>
          <cell r="N60">
            <v>1335</v>
          </cell>
          <cell r="O60">
            <v>1312</v>
          </cell>
          <cell r="P60">
            <v>1140</v>
          </cell>
        </row>
        <row r="61">
          <cell r="B61" t="str">
            <v xml:space="preserve">Philippine </v>
          </cell>
          <cell r="C61">
            <v>153</v>
          </cell>
          <cell r="D61">
            <v>161</v>
          </cell>
          <cell r="E61">
            <v>169</v>
          </cell>
          <cell r="F61">
            <v>178</v>
          </cell>
          <cell r="G61">
            <v>189</v>
          </cell>
          <cell r="H61">
            <v>205</v>
          </cell>
          <cell r="I61">
            <v>216</v>
          </cell>
          <cell r="J61">
            <v>221</v>
          </cell>
          <cell r="K61">
            <v>222</v>
          </cell>
          <cell r="L61">
            <v>226</v>
          </cell>
          <cell r="M61">
            <v>230</v>
          </cell>
          <cell r="N61">
            <v>232</v>
          </cell>
          <cell r="O61">
            <v>234</v>
          </cell>
          <cell r="P61">
            <v>236</v>
          </cell>
        </row>
        <row r="62">
          <cell r="B62" t="str">
            <v>Shanghai</v>
          </cell>
          <cell r="C62" t="str">
            <v>NA</v>
          </cell>
          <cell r="D62" t="str">
            <v>NA</v>
          </cell>
          <cell r="E62" t="str">
            <v>NA</v>
          </cell>
          <cell r="F62" t="str">
            <v>NA</v>
          </cell>
          <cell r="G62" t="str">
            <v>NA</v>
          </cell>
          <cell r="H62" t="str">
            <v>NA</v>
          </cell>
          <cell r="I62" t="str">
            <v>NA</v>
          </cell>
          <cell r="J62" t="str">
            <v>NA</v>
          </cell>
          <cell r="K62" t="str">
            <v>NA</v>
          </cell>
          <cell r="L62" t="str">
            <v>NA</v>
          </cell>
          <cell r="M62" t="str">
            <v>NA</v>
          </cell>
          <cell r="N62">
            <v>646</v>
          </cell>
          <cell r="O62">
            <v>715</v>
          </cell>
          <cell r="P62">
            <v>780</v>
          </cell>
        </row>
        <row r="63">
          <cell r="B63" t="str">
            <v>Shenzhen</v>
          </cell>
          <cell r="C63" t="str">
            <v>NA</v>
          </cell>
          <cell r="D63" t="str">
            <v>NA</v>
          </cell>
          <cell r="E63" t="str">
            <v>NA</v>
          </cell>
          <cell r="F63" t="str">
            <v>NA</v>
          </cell>
          <cell r="G63" t="str">
            <v>NA</v>
          </cell>
          <cell r="H63" t="str">
            <v>NA</v>
          </cell>
          <cell r="I63" t="str">
            <v>NA</v>
          </cell>
          <cell r="J63" t="str">
            <v>NA</v>
          </cell>
          <cell r="K63" t="str">
            <v>NA</v>
          </cell>
          <cell r="L63" t="str">
            <v>NA</v>
          </cell>
          <cell r="M63" t="str">
            <v>NA</v>
          </cell>
          <cell r="N63">
            <v>508</v>
          </cell>
          <cell r="O63">
            <v>508</v>
          </cell>
          <cell r="P63">
            <v>505</v>
          </cell>
        </row>
        <row r="64">
          <cell r="B64" t="str">
            <v>Singapore</v>
          </cell>
          <cell r="C64">
            <v>172</v>
          </cell>
          <cell r="D64">
            <v>182</v>
          </cell>
          <cell r="E64">
            <v>195</v>
          </cell>
          <cell r="F64">
            <v>216</v>
          </cell>
          <cell r="G64">
            <v>251</v>
          </cell>
          <cell r="H64">
            <v>272</v>
          </cell>
          <cell r="I64">
            <v>296</v>
          </cell>
          <cell r="J64">
            <v>334</v>
          </cell>
          <cell r="K64">
            <v>358</v>
          </cell>
          <cell r="L64">
            <v>408</v>
          </cell>
          <cell r="M64">
            <v>480</v>
          </cell>
          <cell r="N64">
            <v>492</v>
          </cell>
          <cell r="O64">
            <v>501</v>
          </cell>
          <cell r="P64">
            <v>551</v>
          </cell>
          <cell r="Q64">
            <v>632</v>
          </cell>
          <cell r="R64">
            <v>682</v>
          </cell>
        </row>
        <row r="65">
          <cell r="B65" t="str">
            <v>Taiwan</v>
          </cell>
          <cell r="C65">
            <v>205</v>
          </cell>
          <cell r="D65">
            <v>221</v>
          </cell>
          <cell r="E65">
            <v>256</v>
          </cell>
          <cell r="F65">
            <v>285</v>
          </cell>
          <cell r="G65">
            <v>313</v>
          </cell>
          <cell r="H65">
            <v>347</v>
          </cell>
          <cell r="I65">
            <v>382</v>
          </cell>
          <cell r="J65">
            <v>404</v>
          </cell>
          <cell r="K65">
            <v>437</v>
          </cell>
          <cell r="L65">
            <v>462</v>
          </cell>
          <cell r="M65">
            <v>532</v>
          </cell>
          <cell r="N65">
            <v>586</v>
          </cell>
          <cell r="O65">
            <v>641</v>
          </cell>
          <cell r="P65">
            <v>674</v>
          </cell>
        </row>
        <row r="66">
          <cell r="B66" t="str">
            <v>Thailand</v>
          </cell>
          <cell r="C66">
            <v>159</v>
          </cell>
          <cell r="D66">
            <v>270</v>
          </cell>
          <cell r="E66">
            <v>305</v>
          </cell>
          <cell r="F66">
            <v>347</v>
          </cell>
          <cell r="G66">
            <v>389</v>
          </cell>
          <cell r="H66">
            <v>416</v>
          </cell>
          <cell r="I66">
            <v>454</v>
          </cell>
          <cell r="J66">
            <v>431</v>
          </cell>
          <cell r="K66">
            <v>418</v>
          </cell>
          <cell r="L66">
            <v>392</v>
          </cell>
          <cell r="M66">
            <v>381</v>
          </cell>
          <cell r="N66">
            <v>385</v>
          </cell>
          <cell r="O66">
            <v>398</v>
          </cell>
          <cell r="P66">
            <v>418</v>
          </cell>
        </row>
        <row r="67">
          <cell r="B67" t="str">
            <v>Tokyo</v>
          </cell>
          <cell r="C67">
            <v>1752</v>
          </cell>
          <cell r="D67">
            <v>1764</v>
          </cell>
          <cell r="E67">
            <v>1768</v>
          </cell>
          <cell r="F67">
            <v>1775</v>
          </cell>
          <cell r="G67">
            <v>1782</v>
          </cell>
          <cell r="H67">
            <v>1791</v>
          </cell>
          <cell r="I67">
            <v>1833</v>
          </cell>
          <cell r="J67">
            <v>1865</v>
          </cell>
          <cell r="K67">
            <v>1890</v>
          </cell>
          <cell r="L67">
            <v>1935</v>
          </cell>
          <cell r="M67">
            <v>2096</v>
          </cell>
          <cell r="N67">
            <v>2141</v>
          </cell>
          <cell r="O67">
            <v>2153</v>
          </cell>
          <cell r="P67">
            <v>2206</v>
          </cell>
        </row>
        <row r="69">
          <cell r="B69" t="str">
            <v xml:space="preserve">NA : Not Available </v>
          </cell>
        </row>
        <row r="70">
          <cell r="B70" t="str">
            <v>* TSX Group : as from 2002, data include Toronto Exchange and TSX Venture</v>
          </cell>
        </row>
        <row r="71">
          <cell r="B71" t="str">
            <v>** Deutsche Börse : excluding market segment "Freiverkehr" (unofficial regulated market)</v>
          </cell>
        </row>
        <row r="74">
          <cell r="B74" t="str">
            <v>Australia</v>
          </cell>
          <cell r="C74">
            <v>100</v>
          </cell>
          <cell r="D74">
            <v>88.468309859154928</v>
          </cell>
          <cell r="E74">
            <v>94.454225352112672</v>
          </cell>
          <cell r="F74">
            <v>97.447183098591552</v>
          </cell>
          <cell r="G74">
            <v>104.31338028169014</v>
          </cell>
          <cell r="H74">
            <v>103.69718309859155</v>
          </cell>
          <cell r="I74">
            <v>104.75352112676057</v>
          </cell>
          <cell r="J74">
            <v>107.30633802816902</v>
          </cell>
          <cell r="K74">
            <v>107.57042253521128</v>
          </cell>
          <cell r="L74">
            <v>113.29225352112675</v>
          </cell>
          <cell r="M74">
            <v>123.76760563380283</v>
          </cell>
          <cell r="N74">
            <v>124.11971830985915</v>
          </cell>
          <cell r="O74">
            <v>125.08802816901408</v>
          </cell>
          <cell r="P74">
            <v>129.4894366197183</v>
          </cell>
          <cell r="Q74">
            <v>139.2605633802817</v>
          </cell>
          <cell r="R74">
            <v>150.88028169014086</v>
          </cell>
        </row>
        <row r="75">
          <cell r="B75" t="str">
            <v>Malaysia</v>
          </cell>
          <cell r="C75">
            <v>100</v>
          </cell>
          <cell r="D75">
            <v>118.45018450184502</v>
          </cell>
          <cell r="E75">
            <v>135.05535055350552</v>
          </cell>
          <cell r="F75">
            <v>151.29151291512915</v>
          </cell>
          <cell r="G75">
            <v>175.27675276752768</v>
          </cell>
          <cell r="H75">
            <v>194.09594095940957</v>
          </cell>
          <cell r="I75">
            <v>228.04428044280445</v>
          </cell>
          <cell r="J75">
            <v>259.40959409594097</v>
          </cell>
          <cell r="K75">
            <v>269.7416974169742</v>
          </cell>
          <cell r="L75">
            <v>277.49077490774908</v>
          </cell>
          <cell r="M75">
            <v>291.51291512915128</v>
          </cell>
          <cell r="N75">
            <v>297.7859778597786</v>
          </cell>
          <cell r="O75">
            <v>317.71217712177122</v>
          </cell>
          <cell r="P75">
            <v>332.84132841328415</v>
          </cell>
          <cell r="Q75">
            <v>353.87453874538744</v>
          </cell>
          <cell r="R75">
            <v>376.01476014760146</v>
          </cell>
        </row>
        <row r="76">
          <cell r="B76" t="str">
            <v xml:space="preserve">Hong Kong </v>
          </cell>
          <cell r="C76">
            <v>100</v>
          </cell>
          <cell r="D76">
            <v>119.3979933110368</v>
          </cell>
          <cell r="E76">
            <v>138.12709030100334</v>
          </cell>
          <cell r="F76">
            <v>159.53177257525084</v>
          </cell>
          <cell r="G76">
            <v>176.92307692307691</v>
          </cell>
          <cell r="H76">
            <v>181.27090301003344</v>
          </cell>
          <cell r="I76">
            <v>194.98327759197323</v>
          </cell>
          <cell r="J76">
            <v>220.06688963210701</v>
          </cell>
          <cell r="K76">
            <v>227.42474916387957</v>
          </cell>
          <cell r="L76">
            <v>236.78929765886289</v>
          </cell>
          <cell r="M76">
            <v>264.21404682274249</v>
          </cell>
          <cell r="N76">
            <v>289.96655518394647</v>
          </cell>
          <cell r="O76">
            <v>327.09030100334451</v>
          </cell>
          <cell r="P76">
            <v>346.82274247491642</v>
          </cell>
          <cell r="Q76">
            <v>366.55518394648828</v>
          </cell>
          <cell r="R76">
            <v>379.59866220735785</v>
          </cell>
        </row>
        <row r="77">
          <cell r="B77" t="str">
            <v>Singapore</v>
          </cell>
          <cell r="C77">
            <v>100</v>
          </cell>
          <cell r="D77">
            <v>105.81395348837211</v>
          </cell>
          <cell r="E77">
            <v>113.37209302325581</v>
          </cell>
          <cell r="F77">
            <v>125.58139534883721</v>
          </cell>
          <cell r="G77">
            <v>145.93023255813952</v>
          </cell>
          <cell r="H77">
            <v>158.13953488372093</v>
          </cell>
          <cell r="I77">
            <v>172.09302325581396</v>
          </cell>
          <cell r="J77">
            <v>194.18604651162789</v>
          </cell>
          <cell r="K77">
            <v>208.13953488372096</v>
          </cell>
          <cell r="L77">
            <v>237.2093023255814</v>
          </cell>
          <cell r="M77">
            <v>279.06976744186045</v>
          </cell>
          <cell r="N77">
            <v>286.04651162790702</v>
          </cell>
          <cell r="O77">
            <v>291.27906976744185</v>
          </cell>
          <cell r="P77">
            <v>320.3488372093023</v>
          </cell>
          <cell r="Q77">
            <v>367.44186046511629</v>
          </cell>
          <cell r="R77">
            <v>396.51162790697674</v>
          </cell>
        </row>
        <row r="84">
          <cell r="F84" t="str">
            <v>Absolute Number of Listed Companies</v>
          </cell>
          <cell r="O84" t="str">
            <v>Relative Number of Listed Companies</v>
          </cell>
        </row>
        <row r="115">
          <cell r="F115" t="str">
            <v>Sep 06</v>
          </cell>
        </row>
        <row r="116">
          <cell r="C116">
            <v>1999</v>
          </cell>
          <cell r="D116">
            <v>2005</v>
          </cell>
          <cell r="E116" t="str">
            <v>99-05 CAGR</v>
          </cell>
          <cell r="F116" t="str">
            <v>% of Foreign Listed Firms</v>
          </cell>
        </row>
        <row r="117">
          <cell r="B117" t="str">
            <v>Singapore</v>
          </cell>
          <cell r="C117">
            <v>408</v>
          </cell>
          <cell r="D117">
            <v>682</v>
          </cell>
          <cell r="E117">
            <v>8.9399994123536386E-2</v>
          </cell>
          <cell r="F117">
            <v>0.33381294964028779</v>
          </cell>
        </row>
        <row r="118">
          <cell r="B118" t="str">
            <v xml:space="preserve">Hong Kong </v>
          </cell>
          <cell r="C118">
            <v>708</v>
          </cell>
          <cell r="D118">
            <v>1135</v>
          </cell>
          <cell r="E118">
            <v>8.1833520721690256E-2</v>
          </cell>
          <cell r="F118">
            <v>0.18134171907756813</v>
          </cell>
          <cell r="G118" t="str">
            <v>red chips and h-share</v>
          </cell>
        </row>
        <row r="119">
          <cell r="B119" t="str">
            <v>Australia</v>
          </cell>
          <cell r="C119">
            <v>1287</v>
          </cell>
          <cell r="D119">
            <v>1714</v>
          </cell>
          <cell r="E119">
            <v>4.8911173580232337E-2</v>
          </cell>
          <cell r="F119">
            <v>4.2003231017770599E-2</v>
          </cell>
        </row>
        <row r="120">
          <cell r="B120" t="str">
            <v>Malaysia</v>
          </cell>
          <cell r="C120">
            <v>752</v>
          </cell>
          <cell r="D120">
            <v>1019</v>
          </cell>
          <cell r="E120">
            <v>5.1944249576544754E-2</v>
          </cell>
          <cell r="F120">
            <v>0</v>
          </cell>
        </row>
      </sheetData>
      <sheetData sheetId="26" refreshError="1"/>
      <sheetData sheetId="27" refreshError="1">
        <row r="1">
          <cell r="B1" t="str">
            <v xml:space="preserve">2005 Listing Fee </v>
          </cell>
          <cell r="E1" t="str">
            <v>Listing Fee</v>
          </cell>
          <cell r="F1" t="str">
            <v>Listing Fee</v>
          </cell>
          <cell r="G1" t="str">
            <v>Current Mkt Cap</v>
          </cell>
        </row>
        <row r="2">
          <cell r="A2" t="str">
            <v>(bps)</v>
          </cell>
          <cell r="B2" t="str">
            <v>to current mkt cap</v>
          </cell>
          <cell r="D2" t="str">
            <v>(local ccy mn)</v>
          </cell>
          <cell r="E2" t="str">
            <v>FY2005</v>
          </cell>
          <cell r="F2" t="str">
            <v>FY2006</v>
          </cell>
        </row>
        <row r="3">
          <cell r="A3" t="str">
            <v>Bursa</v>
          </cell>
          <cell r="B3">
            <v>0.16839916839916838</v>
          </cell>
          <cell r="D3" t="str">
            <v>BMYS.KL</v>
          </cell>
          <cell r="E3">
            <v>12.555</v>
          </cell>
          <cell r="F3">
            <v>11.859752500000001</v>
          </cell>
          <cell r="G3">
            <v>745550</v>
          </cell>
        </row>
        <row r="4">
          <cell r="A4" t="str">
            <v>SGX</v>
          </cell>
          <cell r="B4">
            <v>0.45978812505582556</v>
          </cell>
          <cell r="D4" t="str">
            <v>SGXL.SI</v>
          </cell>
          <cell r="E4">
            <v>22.425999999999998</v>
          </cell>
          <cell r="F4">
            <v>33.088000000000001</v>
          </cell>
          <cell r="G4">
            <v>487746.39400000003</v>
          </cell>
        </row>
        <row r="5">
          <cell r="A5" t="str">
            <v>HKEx</v>
          </cell>
          <cell r="B5">
            <v>0.42207460398569241</v>
          </cell>
          <cell r="D5" t="str">
            <v>0388.HK</v>
          </cell>
          <cell r="E5">
            <v>413</v>
          </cell>
          <cell r="F5">
            <v>446.04</v>
          </cell>
          <cell r="G5">
            <v>9785000</v>
          </cell>
        </row>
        <row r="6">
          <cell r="A6" t="str">
            <v>ASX</v>
          </cell>
          <cell r="B6">
            <v>0.5786114361267416</v>
          </cell>
          <cell r="D6" t="str">
            <v>ASX.AX</v>
          </cell>
          <cell r="E6">
            <v>71.507000000000005</v>
          </cell>
          <cell r="F6">
            <v>76.981999999999999</v>
          </cell>
          <cell r="G6">
            <v>1235838</v>
          </cell>
        </row>
        <row r="18">
          <cell r="E18" t="str">
            <v>Annualised</v>
          </cell>
        </row>
        <row r="19">
          <cell r="E19" t="str">
            <v>Listing &amp; Info</v>
          </cell>
        </row>
        <row r="20">
          <cell r="B20" t="str">
            <v>2005/Jan-Sep</v>
          </cell>
          <cell r="C20" t="str">
            <v>2005/Jan-Sep</v>
          </cell>
          <cell r="D20" t="str">
            <v>2005 Oct</v>
          </cell>
          <cell r="E20" t="str">
            <v>Fees to Stock</v>
          </cell>
        </row>
        <row r="21">
          <cell r="A21" t="str">
            <v>(US$mn)</v>
          </cell>
          <cell r="B21" t="str">
            <v>Listing Fee</v>
          </cell>
          <cell r="C21" t="str">
            <v>Info Fee</v>
          </cell>
          <cell r="D21" t="str">
            <v>Stock Mkt Cap</v>
          </cell>
          <cell r="E21" t="str">
            <v xml:space="preserve"> Market Cap (bps)</v>
          </cell>
          <cell r="G21" t="str">
            <v>(Local ccy mn)</v>
          </cell>
          <cell r="H21" t="str">
            <v>Listing Fee</v>
          </cell>
          <cell r="I21" t="str">
            <v>Info Fee</v>
          </cell>
          <cell r="J21" t="str">
            <v>Stock Mkt Cap</v>
          </cell>
        </row>
        <row r="22">
          <cell r="A22" t="str">
            <v>SGX</v>
          </cell>
          <cell r="B22">
            <v>10.602514156429338</v>
          </cell>
          <cell r="C22">
            <v>7.5982370399557668</v>
          </cell>
          <cell r="D22">
            <v>300223.77279169235</v>
          </cell>
          <cell r="E22">
            <v>0.80831934247541148</v>
          </cell>
          <cell r="G22" t="str">
            <v>SGX</v>
          </cell>
          <cell r="H22">
            <v>17.561</v>
          </cell>
          <cell r="I22">
            <v>12.584999999999999</v>
          </cell>
          <cell r="J22">
            <v>497262.21500000003</v>
          </cell>
          <cell r="L22">
            <v>1.6563052631578947</v>
          </cell>
          <cell r="M22" t="str">
            <v>SGD/USD</v>
          </cell>
        </row>
        <row r="23">
          <cell r="A23" t="str">
            <v>HKEx</v>
          </cell>
          <cell r="B23">
            <v>38.918076923076924</v>
          </cell>
          <cell r="C23">
            <v>31.264102564102565</v>
          </cell>
          <cell r="D23">
            <v>966840.8974358975</v>
          </cell>
          <cell r="E23">
            <v>0.96785561682803678</v>
          </cell>
          <cell r="G23" t="str">
            <v>HKEx</v>
          </cell>
          <cell r="H23">
            <v>303.56099999999998</v>
          </cell>
          <cell r="I23">
            <v>243.86</v>
          </cell>
          <cell r="J23">
            <v>7541359</v>
          </cell>
          <cell r="L23">
            <v>7.8</v>
          </cell>
        </row>
        <row r="29">
          <cell r="A29" t="str">
            <v>(Per financial statements)</v>
          </cell>
        </row>
        <row r="30">
          <cell r="B30" t="str">
            <v>Annualized</v>
          </cell>
          <cell r="D30" t="str">
            <v>Annualized Listing</v>
          </cell>
        </row>
        <row r="31">
          <cell r="B31" t="str">
            <v>2005 Jan-Sep</v>
          </cell>
          <cell r="C31" t="str">
            <v>2005 Oct</v>
          </cell>
          <cell r="D31" t="str">
            <v>Fees to Stock</v>
          </cell>
        </row>
        <row r="32">
          <cell r="A32" t="str">
            <v>(US$mn)</v>
          </cell>
          <cell r="B32" t="str">
            <v>Listing Fee</v>
          </cell>
          <cell r="C32" t="str">
            <v>Stock Mkt Cap</v>
          </cell>
          <cell r="D32" t="str">
            <v xml:space="preserve"> Market Cap (bps)</v>
          </cell>
        </row>
        <row r="33">
          <cell r="A33" t="str">
            <v>SGX</v>
          </cell>
          <cell r="B33">
            <v>14.136685541905784</v>
          </cell>
          <cell r="C33">
            <v>300223.77279169235</v>
          </cell>
          <cell r="D33">
            <v>0.4708716238708518</v>
          </cell>
        </row>
        <row r="34">
          <cell r="A34" t="str">
            <v>HKEx</v>
          </cell>
          <cell r="B34">
            <v>51.89076923076923</v>
          </cell>
          <cell r="C34">
            <v>966840.8974358975</v>
          </cell>
          <cell r="D34">
            <v>0.53670432610355767</v>
          </cell>
        </row>
        <row r="37">
          <cell r="A37" t="str">
            <v>(Per Model)</v>
          </cell>
        </row>
        <row r="39">
          <cell r="B39" t="str">
            <v>2006E</v>
          </cell>
          <cell r="C39" t="str">
            <v>2005 Oct</v>
          </cell>
          <cell r="D39" t="str">
            <v>ListingFees to Stock</v>
          </cell>
        </row>
        <row r="40">
          <cell r="A40" t="str">
            <v>(US$mn)</v>
          </cell>
          <cell r="B40" t="str">
            <v>Listing Fee</v>
          </cell>
          <cell r="C40" t="str">
            <v>Stock Mkt Cap</v>
          </cell>
          <cell r="D40" t="str">
            <v xml:space="preserve"> Market Cap (bps)</v>
          </cell>
        </row>
        <row r="41">
          <cell r="A41" t="str">
            <v>SGX</v>
          </cell>
          <cell r="B41">
            <v>19.976993816293717</v>
          </cell>
          <cell r="C41">
            <v>300223.77279169235</v>
          </cell>
          <cell r="D41">
            <v>0.66540346324121979</v>
          </cell>
        </row>
        <row r="42">
          <cell r="A42" t="str">
            <v>HKEx</v>
          </cell>
          <cell r="B42">
            <v>57.184615384615391</v>
          </cell>
          <cell r="C42">
            <v>966840.8974358975</v>
          </cell>
          <cell r="D42">
            <v>0.59145838303149345</v>
          </cell>
        </row>
        <row r="46">
          <cell r="A46" t="str">
            <v>(Per financial statements)</v>
          </cell>
        </row>
        <row r="47">
          <cell r="B47" t="str">
            <v>Annualized</v>
          </cell>
          <cell r="D47" t="str">
            <v>Annualized Info</v>
          </cell>
        </row>
        <row r="48">
          <cell r="B48" t="str">
            <v>2005 Jan-Sep</v>
          </cell>
          <cell r="C48" t="str">
            <v>2005 Oct</v>
          </cell>
          <cell r="D48" t="str">
            <v>Fees to Stock</v>
          </cell>
        </row>
        <row r="49">
          <cell r="A49" t="str">
            <v>(US$mn)</v>
          </cell>
          <cell r="B49" t="str">
            <v>Info Fee</v>
          </cell>
          <cell r="C49" t="str">
            <v>Stock Mkt Cap</v>
          </cell>
          <cell r="D49" t="str">
            <v xml:space="preserve"> Market Cap (bps)</v>
          </cell>
        </row>
        <row r="50">
          <cell r="A50" t="str">
            <v>SGX</v>
          </cell>
          <cell r="B50">
            <v>10.130982719941022</v>
          </cell>
          <cell r="C50">
            <v>300223.77279169235</v>
          </cell>
          <cell r="D50">
            <v>0.33744771860455958</v>
          </cell>
        </row>
        <row r="51">
          <cell r="A51" t="str">
            <v>HKEx</v>
          </cell>
          <cell r="B51">
            <v>41.685470085470087</v>
          </cell>
          <cell r="C51">
            <v>966840.8974358975</v>
          </cell>
          <cell r="D51">
            <v>0.43115129072447905</v>
          </cell>
        </row>
        <row r="61">
          <cell r="A61" t="str">
            <v>Exhibit 14</v>
          </cell>
        </row>
        <row r="62">
          <cell r="A62" t="str">
            <v>Global Exchanges: Listing and Information Fees as a Percentage to Stock Market Capitalization, 2004</v>
          </cell>
        </row>
        <row r="63">
          <cell r="E63" t="str">
            <v>Listing &amp; Info</v>
          </cell>
        </row>
        <row r="64">
          <cell r="B64">
            <v>2004</v>
          </cell>
          <cell r="C64">
            <v>2004</v>
          </cell>
          <cell r="D64">
            <v>2004</v>
          </cell>
          <cell r="E64" t="str">
            <v>Fees to Stock</v>
          </cell>
        </row>
        <row r="65">
          <cell r="A65" t="str">
            <v>(US$mn)</v>
          </cell>
          <cell r="B65" t="str">
            <v xml:space="preserve">Listing Fee </v>
          </cell>
          <cell r="C65" t="str">
            <v>Info Fee</v>
          </cell>
          <cell r="D65" t="str">
            <v xml:space="preserve">Stock Mkt Cap  </v>
          </cell>
          <cell r="E65" t="str">
            <v xml:space="preserve"> Market Cap (bps)  </v>
          </cell>
          <cell r="L65" t="str">
            <v>US: FX Spot Rate: FRB: Singapore Dollar</v>
          </cell>
        </row>
        <row r="66">
          <cell r="L66" t="str">
            <v>UDXCF</v>
          </cell>
        </row>
        <row r="67">
          <cell r="A67" t="str">
            <v>HKEx</v>
          </cell>
          <cell r="B67">
            <v>48</v>
          </cell>
          <cell r="C67">
            <v>39</v>
          </cell>
          <cell r="D67">
            <v>849894</v>
          </cell>
          <cell r="E67">
            <v>1.03</v>
          </cell>
          <cell r="L67" t="str">
            <v>SGD/USD</v>
          </cell>
        </row>
        <row r="68">
          <cell r="A68" t="str">
            <v>SGX</v>
          </cell>
          <cell r="B68">
            <v>13</v>
          </cell>
          <cell r="C68">
            <v>9</v>
          </cell>
          <cell r="D68">
            <v>245679</v>
          </cell>
          <cell r="E68">
            <v>0.9</v>
          </cell>
          <cell r="L68" t="str">
            <v>D: 1-Jan-1985: 9-Nov-2005</v>
          </cell>
        </row>
        <row r="69">
          <cell r="K69">
            <v>38352</v>
          </cell>
          <cell r="L69">
            <v>1.6318999999999999</v>
          </cell>
        </row>
        <row r="70">
          <cell r="K70">
            <v>38355</v>
          </cell>
          <cell r="L70">
            <v>1.639</v>
          </cell>
        </row>
        <row r="71">
          <cell r="C71" t="str">
            <v>SG: SGX Market Cap: Mainboard</v>
          </cell>
          <cell r="D71" t="str">
            <v>SG: SGX Market Cap: Sesdaq</v>
          </cell>
          <cell r="G71" t="str">
            <v>HK: Market Capitalisation: Total</v>
          </cell>
          <cell r="K71">
            <v>38356</v>
          </cell>
          <cell r="L71">
            <v>1.6458999999999999</v>
          </cell>
        </row>
        <row r="72">
          <cell r="C72" t="str">
            <v>SZAK</v>
          </cell>
          <cell r="D72" t="str">
            <v>SZAG</v>
          </cell>
          <cell r="G72" t="str">
            <v>HZAA</v>
          </cell>
          <cell r="K72">
            <v>38357</v>
          </cell>
          <cell r="L72">
            <v>1.6448</v>
          </cell>
        </row>
        <row r="73">
          <cell r="C73" t="str">
            <v>SGD mn</v>
          </cell>
          <cell r="D73" t="str">
            <v>SGD mn</v>
          </cell>
          <cell r="G73" t="str">
            <v>HKD mn</v>
          </cell>
          <cell r="K73">
            <v>38358</v>
          </cell>
          <cell r="L73">
            <v>1.6496</v>
          </cell>
        </row>
        <row r="74">
          <cell r="C74" t="str">
            <v>M:   Jan-1990:   Oct-2005</v>
          </cell>
          <cell r="D74" t="str">
            <v>M:   Dec-1989:   Oct-2005</v>
          </cell>
          <cell r="G74" t="str">
            <v>M:   Mar-1985:   Oct-2005</v>
          </cell>
          <cell r="K74">
            <v>38359</v>
          </cell>
          <cell r="L74">
            <v>1.6480999999999999</v>
          </cell>
        </row>
        <row r="75">
          <cell r="B75">
            <v>38565</v>
          </cell>
          <cell r="C75">
            <v>506902.56800000003</v>
          </cell>
          <cell r="D75">
            <v>5517.5690000000004</v>
          </cell>
          <cell r="F75">
            <v>38596</v>
          </cell>
          <cell r="G75">
            <v>7543892.6600000001</v>
          </cell>
          <cell r="K75">
            <v>38362</v>
          </cell>
          <cell r="L75">
            <v>1.6439999999999999</v>
          </cell>
        </row>
        <row r="76">
          <cell r="B76">
            <v>38596</v>
          </cell>
          <cell r="C76">
            <v>511223.03700000001</v>
          </cell>
          <cell r="D76">
            <v>6042.2380000000003</v>
          </cell>
          <cell r="F76">
            <v>38626</v>
          </cell>
          <cell r="G76">
            <v>7541359</v>
          </cell>
          <cell r="K76">
            <v>38363</v>
          </cell>
          <cell r="L76">
            <v>1.6363000000000001</v>
          </cell>
        </row>
        <row r="77">
          <cell r="B77">
            <v>38626</v>
          </cell>
          <cell r="C77">
            <v>491340.902</v>
          </cell>
          <cell r="D77">
            <v>5921.3130000000001</v>
          </cell>
          <cell r="K77">
            <v>38364</v>
          </cell>
          <cell r="L77">
            <v>1.6313</v>
          </cell>
        </row>
        <row r="78">
          <cell r="K78">
            <v>38365</v>
          </cell>
          <cell r="L78">
            <v>1.631</v>
          </cell>
        </row>
        <row r="79">
          <cell r="K79">
            <v>38366</v>
          </cell>
          <cell r="L79">
            <v>1.6374</v>
          </cell>
        </row>
        <row r="80">
          <cell r="K80">
            <v>38369</v>
          </cell>
          <cell r="L80" t="str">
            <v>.</v>
          </cell>
        </row>
        <row r="81">
          <cell r="K81">
            <v>38370</v>
          </cell>
          <cell r="L81">
            <v>1.6347</v>
          </cell>
        </row>
        <row r="82">
          <cell r="K82">
            <v>38371</v>
          </cell>
          <cell r="L82">
            <v>1.6303000000000001</v>
          </cell>
        </row>
        <row r="83">
          <cell r="K83">
            <v>38372</v>
          </cell>
          <cell r="L83">
            <v>1.6392</v>
          </cell>
        </row>
        <row r="84">
          <cell r="K84">
            <v>38373</v>
          </cell>
          <cell r="L84">
            <v>1.635</v>
          </cell>
        </row>
        <row r="85">
          <cell r="K85">
            <v>38376</v>
          </cell>
          <cell r="L85">
            <v>1.6331</v>
          </cell>
        </row>
        <row r="86">
          <cell r="K86">
            <v>38377</v>
          </cell>
          <cell r="L86">
            <v>1.6404000000000001</v>
          </cell>
        </row>
        <row r="87">
          <cell r="K87">
            <v>38378</v>
          </cell>
          <cell r="L87">
            <v>1.6303000000000001</v>
          </cell>
        </row>
        <row r="88">
          <cell r="K88">
            <v>38379</v>
          </cell>
          <cell r="L88">
            <v>1.6333</v>
          </cell>
        </row>
        <row r="89">
          <cell r="K89">
            <v>38380</v>
          </cell>
          <cell r="L89">
            <v>1.6341000000000001</v>
          </cell>
        </row>
        <row r="90">
          <cell r="K90">
            <v>38383</v>
          </cell>
          <cell r="L90">
            <v>1.6362000000000001</v>
          </cell>
        </row>
        <row r="91">
          <cell r="K91">
            <v>38384</v>
          </cell>
          <cell r="L91">
            <v>1.6416999999999999</v>
          </cell>
        </row>
        <row r="92">
          <cell r="K92">
            <v>38385</v>
          </cell>
          <cell r="L92">
            <v>1.6373</v>
          </cell>
        </row>
        <row r="93">
          <cell r="K93">
            <v>38386</v>
          </cell>
          <cell r="L93">
            <v>1.6387</v>
          </cell>
        </row>
        <row r="94">
          <cell r="K94">
            <v>38387</v>
          </cell>
          <cell r="L94">
            <v>1.633</v>
          </cell>
        </row>
        <row r="95">
          <cell r="K95">
            <v>38390</v>
          </cell>
          <cell r="L95">
            <v>1.6408</v>
          </cell>
        </row>
        <row r="96">
          <cell r="K96">
            <v>38391</v>
          </cell>
          <cell r="L96">
            <v>1.6479999999999999</v>
          </cell>
        </row>
        <row r="97">
          <cell r="K97">
            <v>38392</v>
          </cell>
          <cell r="L97">
            <v>1.6491</v>
          </cell>
        </row>
        <row r="98">
          <cell r="K98">
            <v>38393</v>
          </cell>
          <cell r="L98">
            <v>1.6517999999999999</v>
          </cell>
        </row>
        <row r="99">
          <cell r="K99">
            <v>38394</v>
          </cell>
          <cell r="L99">
            <v>1.6483000000000001</v>
          </cell>
        </row>
        <row r="100">
          <cell r="K100">
            <v>38397</v>
          </cell>
          <cell r="L100">
            <v>1.6383000000000001</v>
          </cell>
        </row>
        <row r="101">
          <cell r="K101">
            <v>38398</v>
          </cell>
          <cell r="L101">
            <v>1.6382000000000001</v>
          </cell>
        </row>
        <row r="102">
          <cell r="K102">
            <v>38399</v>
          </cell>
          <cell r="L102">
            <v>1.6416999999999999</v>
          </cell>
        </row>
        <row r="103">
          <cell r="K103">
            <v>38400</v>
          </cell>
          <cell r="L103">
            <v>1.6396999999999999</v>
          </cell>
        </row>
        <row r="104">
          <cell r="K104">
            <v>38401</v>
          </cell>
          <cell r="L104">
            <v>1.6383000000000001</v>
          </cell>
        </row>
        <row r="105">
          <cell r="K105">
            <v>38404</v>
          </cell>
          <cell r="L105" t="str">
            <v>.</v>
          </cell>
        </row>
        <row r="106">
          <cell r="K106">
            <v>38405</v>
          </cell>
          <cell r="L106">
            <v>1.6266</v>
          </cell>
        </row>
        <row r="107">
          <cell r="K107">
            <v>38406</v>
          </cell>
          <cell r="L107">
            <v>1.6274</v>
          </cell>
        </row>
        <row r="108">
          <cell r="K108">
            <v>38407</v>
          </cell>
          <cell r="L108">
            <v>1.63</v>
          </cell>
        </row>
        <row r="109">
          <cell r="K109">
            <v>38408</v>
          </cell>
          <cell r="L109">
            <v>1.6316999999999999</v>
          </cell>
        </row>
        <row r="110">
          <cell r="K110">
            <v>38411</v>
          </cell>
          <cell r="L110">
            <v>1.6240000000000001</v>
          </cell>
        </row>
        <row r="111">
          <cell r="K111">
            <v>38412</v>
          </cell>
          <cell r="L111">
            <v>1.6221000000000001</v>
          </cell>
        </row>
        <row r="112">
          <cell r="K112">
            <v>38413</v>
          </cell>
          <cell r="L112">
            <v>1.6254999999999999</v>
          </cell>
        </row>
        <row r="113">
          <cell r="K113">
            <v>38414</v>
          </cell>
          <cell r="L113">
            <v>1.6268</v>
          </cell>
        </row>
        <row r="114">
          <cell r="K114">
            <v>38415</v>
          </cell>
          <cell r="L114">
            <v>1.625</v>
          </cell>
        </row>
        <row r="115">
          <cell r="K115">
            <v>38418</v>
          </cell>
          <cell r="L115">
            <v>1.6246</v>
          </cell>
        </row>
        <row r="116">
          <cell r="K116">
            <v>38419</v>
          </cell>
          <cell r="L116">
            <v>1.6203000000000001</v>
          </cell>
        </row>
        <row r="117">
          <cell r="K117">
            <v>38420</v>
          </cell>
          <cell r="L117">
            <v>1.6180000000000001</v>
          </cell>
        </row>
        <row r="118">
          <cell r="K118">
            <v>38421</v>
          </cell>
          <cell r="L118">
            <v>1.6187</v>
          </cell>
        </row>
        <row r="119">
          <cell r="K119">
            <v>38422</v>
          </cell>
          <cell r="L119">
            <v>1.6184000000000001</v>
          </cell>
        </row>
        <row r="120">
          <cell r="K120">
            <v>38425</v>
          </cell>
          <cell r="L120">
            <v>1.6233</v>
          </cell>
        </row>
        <row r="121">
          <cell r="K121">
            <v>38426</v>
          </cell>
          <cell r="L121">
            <v>1.6233</v>
          </cell>
        </row>
        <row r="122">
          <cell r="K122">
            <v>38427</v>
          </cell>
          <cell r="L122">
            <v>1.6195999999999999</v>
          </cell>
        </row>
        <row r="123">
          <cell r="K123">
            <v>38428</v>
          </cell>
          <cell r="L123">
            <v>1.623</v>
          </cell>
        </row>
        <row r="124">
          <cell r="K124">
            <v>38429</v>
          </cell>
          <cell r="L124">
            <v>1.6248</v>
          </cell>
        </row>
        <row r="125">
          <cell r="K125">
            <v>38432</v>
          </cell>
          <cell r="L125">
            <v>1.6293</v>
          </cell>
        </row>
        <row r="126">
          <cell r="K126">
            <v>38433</v>
          </cell>
          <cell r="L126">
            <v>1.6348</v>
          </cell>
        </row>
        <row r="127">
          <cell r="K127">
            <v>38434</v>
          </cell>
          <cell r="L127">
            <v>1.6395</v>
          </cell>
        </row>
        <row r="128">
          <cell r="K128">
            <v>38435</v>
          </cell>
          <cell r="L128">
            <v>1.6442000000000001</v>
          </cell>
        </row>
        <row r="129">
          <cell r="K129">
            <v>38436</v>
          </cell>
          <cell r="L129">
            <v>1.6427</v>
          </cell>
        </row>
        <row r="130">
          <cell r="K130">
            <v>38439</v>
          </cell>
          <cell r="L130">
            <v>1.651</v>
          </cell>
        </row>
        <row r="131">
          <cell r="K131">
            <v>38440</v>
          </cell>
          <cell r="L131">
            <v>1.6512</v>
          </cell>
        </row>
        <row r="132">
          <cell r="K132">
            <v>38441</v>
          </cell>
          <cell r="L132">
            <v>1.6504000000000001</v>
          </cell>
        </row>
        <row r="133">
          <cell r="K133">
            <v>38442</v>
          </cell>
          <cell r="L133">
            <v>1.6508</v>
          </cell>
        </row>
        <row r="134">
          <cell r="K134">
            <v>38443</v>
          </cell>
          <cell r="L134">
            <v>1.6588000000000001</v>
          </cell>
        </row>
        <row r="135">
          <cell r="K135">
            <v>38446</v>
          </cell>
          <cell r="L135">
            <v>1.6662999999999999</v>
          </cell>
        </row>
        <row r="136">
          <cell r="K136">
            <v>38447</v>
          </cell>
          <cell r="L136">
            <v>1.6615</v>
          </cell>
        </row>
        <row r="137">
          <cell r="K137">
            <v>38448</v>
          </cell>
          <cell r="L137">
            <v>1.66</v>
          </cell>
        </row>
        <row r="138">
          <cell r="K138">
            <v>38449</v>
          </cell>
          <cell r="L138">
            <v>1.6568000000000001</v>
          </cell>
        </row>
        <row r="139">
          <cell r="K139">
            <v>38450</v>
          </cell>
          <cell r="L139">
            <v>1.6541999999999999</v>
          </cell>
        </row>
        <row r="140">
          <cell r="K140">
            <v>38453</v>
          </cell>
          <cell r="L140">
            <v>1.649</v>
          </cell>
        </row>
        <row r="141">
          <cell r="K141">
            <v>38454</v>
          </cell>
          <cell r="L141">
            <v>1.6497999999999999</v>
          </cell>
        </row>
        <row r="142">
          <cell r="K142">
            <v>38455</v>
          </cell>
          <cell r="L142">
            <v>1.6439999999999999</v>
          </cell>
        </row>
        <row r="143">
          <cell r="K143">
            <v>38456</v>
          </cell>
          <cell r="L143">
            <v>1.6557999999999999</v>
          </cell>
        </row>
        <row r="144">
          <cell r="K144">
            <v>38457</v>
          </cell>
          <cell r="L144">
            <v>1.6554</v>
          </cell>
        </row>
        <row r="145">
          <cell r="K145">
            <v>38460</v>
          </cell>
          <cell r="L145">
            <v>1.6545000000000001</v>
          </cell>
        </row>
        <row r="146">
          <cell r="K146">
            <v>38461</v>
          </cell>
          <cell r="L146">
            <v>1.6498999999999999</v>
          </cell>
        </row>
        <row r="147">
          <cell r="K147">
            <v>38462</v>
          </cell>
          <cell r="L147">
            <v>1.6459999999999999</v>
          </cell>
        </row>
        <row r="148">
          <cell r="K148">
            <v>38463</v>
          </cell>
          <cell r="L148">
            <v>1.647</v>
          </cell>
        </row>
        <row r="149">
          <cell r="K149">
            <v>38464</v>
          </cell>
          <cell r="L149">
            <v>1.6455</v>
          </cell>
        </row>
        <row r="150">
          <cell r="K150">
            <v>38467</v>
          </cell>
          <cell r="L150">
            <v>1.6457999999999999</v>
          </cell>
        </row>
        <row r="151">
          <cell r="K151">
            <v>38468</v>
          </cell>
          <cell r="L151">
            <v>1.6476999999999999</v>
          </cell>
        </row>
        <row r="152">
          <cell r="K152">
            <v>38469</v>
          </cell>
          <cell r="L152">
            <v>1.6465000000000001</v>
          </cell>
        </row>
        <row r="153">
          <cell r="K153">
            <v>38470</v>
          </cell>
          <cell r="L153">
            <v>1.6448</v>
          </cell>
        </row>
        <row r="154">
          <cell r="K154">
            <v>38471</v>
          </cell>
          <cell r="L154">
            <v>1.6336999999999999</v>
          </cell>
        </row>
        <row r="155">
          <cell r="K155">
            <v>38474</v>
          </cell>
          <cell r="L155">
            <v>1.6374</v>
          </cell>
        </row>
        <row r="156">
          <cell r="K156">
            <v>38475</v>
          </cell>
          <cell r="L156">
            <v>1.6385000000000001</v>
          </cell>
        </row>
        <row r="157">
          <cell r="K157">
            <v>38476</v>
          </cell>
          <cell r="L157">
            <v>1.6365000000000001</v>
          </cell>
        </row>
        <row r="158">
          <cell r="K158">
            <v>38477</v>
          </cell>
          <cell r="L158">
            <v>1.6364000000000001</v>
          </cell>
        </row>
        <row r="159">
          <cell r="K159">
            <v>38478</v>
          </cell>
          <cell r="L159">
            <v>1.6412</v>
          </cell>
        </row>
        <row r="160">
          <cell r="K160">
            <v>38481</v>
          </cell>
          <cell r="L160">
            <v>1.6443000000000001</v>
          </cell>
        </row>
        <row r="161">
          <cell r="K161">
            <v>38482</v>
          </cell>
          <cell r="L161">
            <v>1.6435999999999999</v>
          </cell>
        </row>
        <row r="162">
          <cell r="K162">
            <v>38483</v>
          </cell>
          <cell r="L162">
            <v>1.6440999999999999</v>
          </cell>
        </row>
        <row r="163">
          <cell r="K163">
            <v>38484</v>
          </cell>
          <cell r="L163">
            <v>1.6539999999999999</v>
          </cell>
        </row>
        <row r="164">
          <cell r="K164">
            <v>38485</v>
          </cell>
          <cell r="L164">
            <v>1.6575</v>
          </cell>
        </row>
        <row r="165">
          <cell r="K165">
            <v>38488</v>
          </cell>
          <cell r="L165">
            <v>1.6565000000000001</v>
          </cell>
        </row>
        <row r="166">
          <cell r="K166">
            <v>38489</v>
          </cell>
          <cell r="L166">
            <v>1.6536999999999999</v>
          </cell>
        </row>
        <row r="167">
          <cell r="K167">
            <v>38490</v>
          </cell>
          <cell r="L167">
            <v>1.6512</v>
          </cell>
        </row>
        <row r="168">
          <cell r="K168">
            <v>38491</v>
          </cell>
          <cell r="L168">
            <v>1.6554</v>
          </cell>
        </row>
        <row r="169">
          <cell r="K169">
            <v>38492</v>
          </cell>
          <cell r="L169">
            <v>1.6635</v>
          </cell>
        </row>
        <row r="170">
          <cell r="K170">
            <v>38495</v>
          </cell>
          <cell r="L170">
            <v>1.6595</v>
          </cell>
        </row>
        <row r="171">
          <cell r="K171">
            <v>38496</v>
          </cell>
          <cell r="L171">
            <v>1.6539999999999999</v>
          </cell>
        </row>
        <row r="172">
          <cell r="K172">
            <v>38497</v>
          </cell>
          <cell r="L172">
            <v>1.6568000000000001</v>
          </cell>
        </row>
        <row r="173">
          <cell r="K173">
            <v>38498</v>
          </cell>
          <cell r="L173">
            <v>1.659</v>
          </cell>
        </row>
        <row r="174">
          <cell r="K174">
            <v>38499</v>
          </cell>
          <cell r="L174">
            <v>1.6591</v>
          </cell>
        </row>
        <row r="175">
          <cell r="K175">
            <v>38502</v>
          </cell>
          <cell r="L175" t="str">
            <v>.</v>
          </cell>
        </row>
        <row r="176">
          <cell r="K176">
            <v>38503</v>
          </cell>
          <cell r="L176">
            <v>1.663</v>
          </cell>
        </row>
        <row r="177">
          <cell r="K177">
            <v>38504</v>
          </cell>
          <cell r="L177">
            <v>1.6741999999999999</v>
          </cell>
        </row>
        <row r="178">
          <cell r="K178">
            <v>38505</v>
          </cell>
          <cell r="L178">
            <v>1.6713</v>
          </cell>
        </row>
        <row r="179">
          <cell r="K179">
            <v>38506</v>
          </cell>
          <cell r="L179">
            <v>1.6679999999999999</v>
          </cell>
        </row>
        <row r="180">
          <cell r="K180">
            <v>38509</v>
          </cell>
          <cell r="L180">
            <v>1.6624000000000001</v>
          </cell>
        </row>
        <row r="181">
          <cell r="K181">
            <v>38510</v>
          </cell>
          <cell r="L181">
            <v>1.6612</v>
          </cell>
        </row>
        <row r="182">
          <cell r="K182">
            <v>38511</v>
          </cell>
          <cell r="L182">
            <v>1.6584000000000001</v>
          </cell>
        </row>
        <row r="183">
          <cell r="K183">
            <v>38512</v>
          </cell>
          <cell r="L183">
            <v>1.6636</v>
          </cell>
        </row>
        <row r="184">
          <cell r="K184">
            <v>38513</v>
          </cell>
          <cell r="L184">
            <v>1.6693</v>
          </cell>
        </row>
        <row r="185">
          <cell r="K185">
            <v>38516</v>
          </cell>
          <cell r="L185">
            <v>1.6793</v>
          </cell>
        </row>
        <row r="186">
          <cell r="K186">
            <v>38517</v>
          </cell>
          <cell r="L186">
            <v>1.6758</v>
          </cell>
        </row>
        <row r="187">
          <cell r="K187">
            <v>38518</v>
          </cell>
          <cell r="L187">
            <v>1.6736</v>
          </cell>
        </row>
        <row r="188">
          <cell r="K188">
            <v>38519</v>
          </cell>
          <cell r="L188">
            <v>1.6748000000000001</v>
          </cell>
        </row>
        <row r="189">
          <cell r="K189">
            <v>38520</v>
          </cell>
          <cell r="L189">
            <v>1.67</v>
          </cell>
        </row>
        <row r="190">
          <cell r="K190">
            <v>38523</v>
          </cell>
          <cell r="L190">
            <v>1.6745000000000001</v>
          </cell>
        </row>
        <row r="191">
          <cell r="K191">
            <v>38524</v>
          </cell>
          <cell r="L191">
            <v>1.6698</v>
          </cell>
        </row>
        <row r="192">
          <cell r="K192">
            <v>38525</v>
          </cell>
          <cell r="L192">
            <v>1.6722999999999999</v>
          </cell>
        </row>
        <row r="193">
          <cell r="K193">
            <v>38526</v>
          </cell>
          <cell r="L193">
            <v>1.6704000000000001</v>
          </cell>
        </row>
        <row r="194">
          <cell r="K194">
            <v>38527</v>
          </cell>
          <cell r="L194">
            <v>1.6733</v>
          </cell>
        </row>
        <row r="195">
          <cell r="K195">
            <v>38530</v>
          </cell>
          <cell r="L195">
            <v>1.6756</v>
          </cell>
        </row>
        <row r="196">
          <cell r="K196">
            <v>38531</v>
          </cell>
          <cell r="L196">
            <v>1.6821999999999999</v>
          </cell>
        </row>
        <row r="197">
          <cell r="K197">
            <v>38532</v>
          </cell>
          <cell r="L197">
            <v>1.6846000000000001</v>
          </cell>
        </row>
        <row r="198">
          <cell r="K198">
            <v>38533</v>
          </cell>
          <cell r="L198">
            <v>1.6853</v>
          </cell>
        </row>
        <row r="199">
          <cell r="K199">
            <v>38534</v>
          </cell>
          <cell r="L199">
            <v>1.6914</v>
          </cell>
        </row>
        <row r="200">
          <cell r="K200">
            <v>38537</v>
          </cell>
          <cell r="L200" t="str">
            <v>.</v>
          </cell>
        </row>
        <row r="201">
          <cell r="K201">
            <v>38538</v>
          </cell>
          <cell r="L201">
            <v>1.6946000000000001</v>
          </cell>
        </row>
        <row r="202">
          <cell r="K202">
            <v>38539</v>
          </cell>
          <cell r="L202">
            <v>1.6968000000000001</v>
          </cell>
        </row>
        <row r="203">
          <cell r="K203">
            <v>38540</v>
          </cell>
          <cell r="L203">
            <v>1.6984999999999999</v>
          </cell>
        </row>
        <row r="204">
          <cell r="K204">
            <v>38541</v>
          </cell>
          <cell r="L204">
            <v>1.7015</v>
          </cell>
        </row>
        <row r="205">
          <cell r="K205">
            <v>38544</v>
          </cell>
          <cell r="L205">
            <v>1.6949000000000001</v>
          </cell>
        </row>
        <row r="206">
          <cell r="K206">
            <v>38545</v>
          </cell>
          <cell r="L206">
            <v>1.6859999999999999</v>
          </cell>
        </row>
        <row r="207">
          <cell r="K207">
            <v>38546</v>
          </cell>
          <cell r="L207">
            <v>1.6923999999999999</v>
          </cell>
        </row>
        <row r="208">
          <cell r="K208">
            <v>38547</v>
          </cell>
          <cell r="L208">
            <v>1.6890000000000001</v>
          </cell>
        </row>
        <row r="209">
          <cell r="K209">
            <v>38548</v>
          </cell>
          <cell r="L209">
            <v>1.6875</v>
          </cell>
        </row>
        <row r="210">
          <cell r="K210">
            <v>38551</v>
          </cell>
          <cell r="L210">
            <v>1.6848000000000001</v>
          </cell>
        </row>
        <row r="211">
          <cell r="K211">
            <v>38552</v>
          </cell>
          <cell r="L211">
            <v>1.6910000000000001</v>
          </cell>
        </row>
        <row r="212">
          <cell r="K212">
            <v>38553</v>
          </cell>
          <cell r="L212">
            <v>1.6890000000000001</v>
          </cell>
        </row>
        <row r="213">
          <cell r="K213">
            <v>38554</v>
          </cell>
          <cell r="L213">
            <v>1.6535</v>
          </cell>
        </row>
        <row r="214">
          <cell r="K214">
            <v>38555</v>
          </cell>
          <cell r="L214">
            <v>1.6584000000000001</v>
          </cell>
        </row>
        <row r="215">
          <cell r="K215">
            <v>38558</v>
          </cell>
          <cell r="L215">
            <v>1.6617999999999999</v>
          </cell>
        </row>
        <row r="216">
          <cell r="K216">
            <v>38559</v>
          </cell>
          <cell r="L216">
            <v>1.6681999999999999</v>
          </cell>
        </row>
        <row r="217">
          <cell r="K217">
            <v>38560</v>
          </cell>
          <cell r="L217">
            <v>1.6641999999999999</v>
          </cell>
        </row>
        <row r="218">
          <cell r="K218">
            <v>38561</v>
          </cell>
          <cell r="L218">
            <v>1.6651</v>
          </cell>
        </row>
        <row r="219">
          <cell r="K219">
            <v>38562</v>
          </cell>
          <cell r="L219">
            <v>1.661</v>
          </cell>
        </row>
        <row r="220">
          <cell r="K220">
            <v>38565</v>
          </cell>
          <cell r="L220">
            <v>1.6601999999999999</v>
          </cell>
        </row>
        <row r="221">
          <cell r="K221">
            <v>38566</v>
          </cell>
          <cell r="L221">
            <v>1.6545000000000001</v>
          </cell>
        </row>
        <row r="222">
          <cell r="K222">
            <v>38567</v>
          </cell>
          <cell r="L222">
            <v>1.6511</v>
          </cell>
        </row>
        <row r="223">
          <cell r="K223">
            <v>38568</v>
          </cell>
          <cell r="L223">
            <v>1.6519999999999999</v>
          </cell>
        </row>
        <row r="224">
          <cell r="K224">
            <v>38569</v>
          </cell>
          <cell r="L224">
            <v>1.6541999999999999</v>
          </cell>
        </row>
        <row r="225">
          <cell r="K225">
            <v>38572</v>
          </cell>
          <cell r="L225">
            <v>1.6532</v>
          </cell>
        </row>
        <row r="226">
          <cell r="K226">
            <v>38573</v>
          </cell>
          <cell r="L226">
            <v>1.6537999999999999</v>
          </cell>
        </row>
        <row r="227">
          <cell r="K227">
            <v>38574</v>
          </cell>
          <cell r="L227">
            <v>1.6462000000000001</v>
          </cell>
        </row>
        <row r="228">
          <cell r="K228">
            <v>38575</v>
          </cell>
          <cell r="L228">
            <v>1.6478999999999999</v>
          </cell>
        </row>
        <row r="229">
          <cell r="K229">
            <v>38576</v>
          </cell>
          <cell r="L229">
            <v>1.651</v>
          </cell>
        </row>
        <row r="230">
          <cell r="K230">
            <v>38579</v>
          </cell>
          <cell r="L230">
            <v>1.66</v>
          </cell>
        </row>
        <row r="231">
          <cell r="K231">
            <v>38580</v>
          </cell>
          <cell r="L231">
            <v>1.6561999999999999</v>
          </cell>
        </row>
        <row r="232">
          <cell r="K232">
            <v>38581</v>
          </cell>
          <cell r="L232">
            <v>1.6575</v>
          </cell>
        </row>
        <row r="233">
          <cell r="K233">
            <v>38582</v>
          </cell>
          <cell r="L233">
            <v>1.6654</v>
          </cell>
        </row>
        <row r="234">
          <cell r="K234">
            <v>38583</v>
          </cell>
          <cell r="L234">
            <v>1.6712</v>
          </cell>
        </row>
        <row r="235">
          <cell r="K235">
            <v>38586</v>
          </cell>
          <cell r="L235">
            <v>1.6672</v>
          </cell>
        </row>
        <row r="236">
          <cell r="K236">
            <v>38587</v>
          </cell>
          <cell r="L236">
            <v>1.6679999999999999</v>
          </cell>
        </row>
        <row r="237">
          <cell r="K237">
            <v>38588</v>
          </cell>
          <cell r="L237">
            <v>1.6697</v>
          </cell>
        </row>
        <row r="238">
          <cell r="K238">
            <v>38589</v>
          </cell>
          <cell r="L238">
            <v>1.6708000000000001</v>
          </cell>
        </row>
        <row r="239">
          <cell r="K239">
            <v>38590</v>
          </cell>
          <cell r="L239">
            <v>1.6732</v>
          </cell>
        </row>
        <row r="240">
          <cell r="K240">
            <v>38593</v>
          </cell>
          <cell r="L240">
            <v>1.6806000000000001</v>
          </cell>
        </row>
        <row r="241">
          <cell r="K241">
            <v>38594</v>
          </cell>
          <cell r="L241">
            <v>1.6859999999999999</v>
          </cell>
        </row>
        <row r="242">
          <cell r="K242">
            <v>38595</v>
          </cell>
          <cell r="L242">
            <v>1.6830000000000001</v>
          </cell>
        </row>
        <row r="243">
          <cell r="K243">
            <v>38596</v>
          </cell>
          <cell r="L243">
            <v>1.6771</v>
          </cell>
        </row>
        <row r="244">
          <cell r="K244">
            <v>38597</v>
          </cell>
          <cell r="L244">
            <v>1.6747000000000001</v>
          </cell>
        </row>
        <row r="245">
          <cell r="K245">
            <v>38600</v>
          </cell>
          <cell r="L245" t="str">
            <v>.</v>
          </cell>
        </row>
        <row r="246">
          <cell r="K246">
            <v>38601</v>
          </cell>
          <cell r="L246">
            <v>1.6758</v>
          </cell>
        </row>
        <row r="247">
          <cell r="K247">
            <v>38602</v>
          </cell>
          <cell r="L247">
            <v>1.6780999999999999</v>
          </cell>
        </row>
        <row r="248">
          <cell r="K248">
            <v>38603</v>
          </cell>
          <cell r="L248">
            <v>1.6778</v>
          </cell>
        </row>
        <row r="249">
          <cell r="K249">
            <v>38604</v>
          </cell>
          <cell r="L249">
            <v>1.6738</v>
          </cell>
        </row>
        <row r="250">
          <cell r="K250">
            <v>38607</v>
          </cell>
          <cell r="L250">
            <v>1.6771</v>
          </cell>
        </row>
        <row r="251">
          <cell r="K251">
            <v>38608</v>
          </cell>
          <cell r="L251">
            <v>1.6827000000000001</v>
          </cell>
        </row>
        <row r="252">
          <cell r="K252">
            <v>38609</v>
          </cell>
          <cell r="L252">
            <v>1.6787000000000001</v>
          </cell>
        </row>
        <row r="253">
          <cell r="K253">
            <v>38610</v>
          </cell>
          <cell r="L253">
            <v>1.679</v>
          </cell>
        </row>
        <row r="254">
          <cell r="K254">
            <v>38611</v>
          </cell>
          <cell r="L254">
            <v>1.6819999999999999</v>
          </cell>
        </row>
        <row r="255">
          <cell r="K255">
            <v>38614</v>
          </cell>
          <cell r="L255">
            <v>1.6828000000000001</v>
          </cell>
        </row>
        <row r="256">
          <cell r="K256">
            <v>38615</v>
          </cell>
          <cell r="L256">
            <v>1.6815</v>
          </cell>
        </row>
        <row r="257">
          <cell r="K257">
            <v>38616</v>
          </cell>
          <cell r="L257">
            <v>1.6794</v>
          </cell>
        </row>
        <row r="258">
          <cell r="K258">
            <v>38617</v>
          </cell>
          <cell r="L258">
            <v>1.681</v>
          </cell>
        </row>
        <row r="259">
          <cell r="K259">
            <v>38618</v>
          </cell>
          <cell r="L259">
            <v>1.6846000000000001</v>
          </cell>
        </row>
        <row r="260">
          <cell r="K260">
            <v>38621</v>
          </cell>
          <cell r="L260">
            <v>1.6881999999999999</v>
          </cell>
        </row>
        <row r="261">
          <cell r="K261">
            <v>38622</v>
          </cell>
          <cell r="L261">
            <v>1.6935</v>
          </cell>
        </row>
        <row r="262">
          <cell r="K262">
            <v>38623</v>
          </cell>
          <cell r="L262">
            <v>1.6930000000000001</v>
          </cell>
        </row>
        <row r="263">
          <cell r="K263">
            <v>38624</v>
          </cell>
          <cell r="L263">
            <v>1.6908000000000001</v>
          </cell>
        </row>
        <row r="264">
          <cell r="K264">
            <v>38625</v>
          </cell>
          <cell r="L264">
            <v>1.6899</v>
          </cell>
        </row>
        <row r="265">
          <cell r="K265">
            <v>38628</v>
          </cell>
          <cell r="L265">
            <v>1.6952</v>
          </cell>
        </row>
        <row r="266">
          <cell r="K266">
            <v>38629</v>
          </cell>
          <cell r="L266">
            <v>1.6941999999999999</v>
          </cell>
        </row>
        <row r="267">
          <cell r="K267">
            <v>38630</v>
          </cell>
          <cell r="L267">
            <v>1.6915</v>
          </cell>
        </row>
        <row r="268">
          <cell r="K268">
            <v>38631</v>
          </cell>
          <cell r="L268">
            <v>1.6825000000000001</v>
          </cell>
        </row>
        <row r="269">
          <cell r="K269">
            <v>38632</v>
          </cell>
          <cell r="L269">
            <v>1.6841999999999999</v>
          </cell>
        </row>
        <row r="270">
          <cell r="K270">
            <v>38635</v>
          </cell>
          <cell r="L270" t="str">
            <v>.</v>
          </cell>
        </row>
        <row r="271">
          <cell r="K271">
            <v>38636</v>
          </cell>
          <cell r="L271">
            <v>1.6901999999999999</v>
          </cell>
        </row>
        <row r="272">
          <cell r="K272">
            <v>38637</v>
          </cell>
          <cell r="L272">
            <v>1.6910000000000001</v>
          </cell>
        </row>
        <row r="273">
          <cell r="K273">
            <v>38638</v>
          </cell>
          <cell r="L273">
            <v>1.6944999999999999</v>
          </cell>
        </row>
        <row r="274">
          <cell r="K274">
            <v>38639</v>
          </cell>
          <cell r="L274">
            <v>1.6880999999999999</v>
          </cell>
        </row>
        <row r="275">
          <cell r="K275">
            <v>38642</v>
          </cell>
          <cell r="L275">
            <v>1.6918</v>
          </cell>
        </row>
        <row r="276">
          <cell r="K276">
            <v>38643</v>
          </cell>
          <cell r="L276">
            <v>1.6941999999999999</v>
          </cell>
        </row>
        <row r="277">
          <cell r="K277">
            <v>38644</v>
          </cell>
          <cell r="L277">
            <v>1.6946000000000001</v>
          </cell>
        </row>
        <row r="278">
          <cell r="K278">
            <v>38645</v>
          </cell>
          <cell r="L278">
            <v>1.6937</v>
          </cell>
        </row>
        <row r="279">
          <cell r="K279">
            <v>38646</v>
          </cell>
          <cell r="L279">
            <v>1.6959</v>
          </cell>
        </row>
        <row r="280">
          <cell r="K280">
            <v>38649</v>
          </cell>
          <cell r="L280">
            <v>1.6935</v>
          </cell>
        </row>
        <row r="281">
          <cell r="K281">
            <v>38650</v>
          </cell>
          <cell r="L281">
            <v>1.6887000000000001</v>
          </cell>
        </row>
        <row r="282">
          <cell r="K282">
            <v>38651</v>
          </cell>
          <cell r="L282">
            <v>1.6927000000000001</v>
          </cell>
        </row>
        <row r="283">
          <cell r="K283">
            <v>38652</v>
          </cell>
          <cell r="L283">
            <v>1.6865000000000001</v>
          </cell>
        </row>
        <row r="284">
          <cell r="K284">
            <v>38653</v>
          </cell>
          <cell r="L284">
            <v>1.6923999999999999</v>
          </cell>
        </row>
        <row r="285">
          <cell r="K285">
            <v>38656</v>
          </cell>
          <cell r="L285">
            <v>1.6955</v>
          </cell>
        </row>
        <row r="286">
          <cell r="K286">
            <v>38657</v>
          </cell>
          <cell r="L286">
            <v>1.6951000000000001</v>
          </cell>
        </row>
        <row r="288">
          <cell r="B288" t="str">
            <v>e=Morgan Stanley Estimates.  All other values are actual.</v>
          </cell>
        </row>
        <row r="290">
          <cell r="B290" t="str">
            <v xml:space="preserve">From MYR to USD : @0.27654867256637 for Current (Last Close), @0.26319252533228 for 2004FY, @0.26462026991268 for 2005FY, @0.27654867256637 for 2006FY, @0.27654867256637 for 2007FY  </v>
          </cell>
        </row>
        <row r="291">
          <cell r="B291" t="str">
            <v xml:space="preserve">From SGD to USD : @0.63151247237133 for Current (Last Close), @0.58220773171868 for 2004FY, @0.59354226020893 for 2005FY, @0.63151247237133 for 2006FY, @0.63151247237133 for 2007FY  </v>
          </cell>
        </row>
        <row r="292">
          <cell r="B292" t="str">
            <v xml:space="preserve">From HKD to USD : @0.12896070567298 for Current (Last Close), @0.12866204341057 for 2004FY, @0.12897567518766 for 2005FY, @0.12896070567298 for 2006FY, @0.12896070567298 for 2007FY  </v>
          </cell>
        </row>
        <row r="293">
          <cell r="B293" t="str">
            <v xml:space="preserve">From AUD to USD : @0.7582 for Current (Last Close), @0.6984 for 2004FY, @0.7624 for 2005FY, @0.7582 for 2006FY, @0.7582 for 2007FY  </v>
          </cell>
        </row>
        <row r="295">
          <cell r="B295" t="str">
            <v>ND = Not Disclosed, NA = Not Available, and NM = Non Meaningful</v>
          </cell>
        </row>
        <row r="297">
          <cell r="B297" t="str">
            <v>Consensus EPS provided by Thomson Financial/First Call</v>
          </cell>
        </row>
        <row r="299">
          <cell r="B299" t="str">
            <v>Ratios for companies are based on the currency reported by the companies unless explicitly noted.</v>
          </cell>
        </row>
        <row r="301">
          <cell r="B301" t="str">
            <v xml:space="preserve">Although the information provided to you on this site is obtained or compiled from sources we believe to be reliable, </v>
          </cell>
        </row>
        <row r="302">
          <cell r="B302" t="str">
            <v xml:space="preserve">Morgan Stanley cannot and does not guarantee the accuracy, validity, timeliness or completeness of any information or </v>
          </cell>
        </row>
        <row r="303">
          <cell r="B303" t="str">
            <v>data made available to you for any particular purpose.</v>
          </cell>
        </row>
      </sheetData>
      <sheetData sheetId="28"/>
      <sheetData sheetId="29"/>
      <sheetData sheetId="30" refreshError="1">
        <row r="2">
          <cell r="C2" t="str">
            <v>2001 Dec</v>
          </cell>
          <cell r="D2" t="str">
            <v>2006 Sep</v>
          </cell>
          <cell r="E2" t="str">
            <v>2001-06 Mkt</v>
          </cell>
          <cell r="F2" t="str">
            <v xml:space="preserve">2001-06 Stock </v>
          </cell>
          <cell r="G2" t="str">
            <v>Underlying Mkt</v>
          </cell>
          <cell r="I2" t="str">
            <v>2001 Dec</v>
          </cell>
          <cell r="J2" t="str">
            <v>2006 Sep</v>
          </cell>
        </row>
        <row r="3">
          <cell r="B3" t="str">
            <v>(US$mn)</v>
          </cell>
          <cell r="C3" t="str">
            <v>Mkt Cap</v>
          </cell>
          <cell r="D3" t="str">
            <v>Mkt Cap</v>
          </cell>
          <cell r="E3" t="str">
            <v>Cap CAGR</v>
          </cell>
          <cell r="F3" t="str">
            <v>Index CAGR</v>
          </cell>
          <cell r="G3" t="str">
            <v>Cap CAGR</v>
          </cell>
          <cell r="I3" t="str">
            <v>Index</v>
          </cell>
          <cell r="J3" t="str">
            <v>Index</v>
          </cell>
          <cell r="L3" t="str">
            <v>CEIC source</v>
          </cell>
        </row>
        <row r="4">
          <cell r="B4" t="str">
            <v>Germany</v>
          </cell>
          <cell r="C4">
            <v>1071748.7311904549</v>
          </cell>
          <cell r="E4">
            <v>-1</v>
          </cell>
          <cell r="F4">
            <v>1.1812081939166275E-2</v>
          </cell>
          <cell r="G4">
            <v>-1.0118120819391663</v>
          </cell>
          <cell r="I4">
            <v>5160.1000000000004</v>
          </cell>
          <cell r="J4">
            <v>5408.26</v>
          </cell>
          <cell r="K4">
            <v>5193.3999999999996</v>
          </cell>
          <cell r="L4" t="str">
            <v>EZIA</v>
          </cell>
        </row>
        <row r="5">
          <cell r="B5" t="str">
            <v>London</v>
          </cell>
          <cell r="C5">
            <v>2164716.1985154999</v>
          </cell>
          <cell r="E5">
            <v>-1</v>
          </cell>
          <cell r="F5">
            <v>1.8703099496513165E-2</v>
          </cell>
          <cell r="G5">
            <v>-1.0187030994965132</v>
          </cell>
          <cell r="I5">
            <v>5217.3500000000004</v>
          </cell>
          <cell r="J5">
            <v>5618.76</v>
          </cell>
          <cell r="K5">
            <v>5423.17</v>
          </cell>
          <cell r="L5" t="str">
            <v>GZHSEG</v>
          </cell>
        </row>
        <row r="6">
          <cell r="B6" t="str">
            <v>Malaysia</v>
          </cell>
          <cell r="C6">
            <v>122365.51263157895</v>
          </cell>
          <cell r="D6">
            <v>202293.08005427409</v>
          </cell>
          <cell r="E6">
            <v>0.13391499434480814</v>
          </cell>
          <cell r="F6">
            <v>8.5805421108614777E-2</v>
          </cell>
          <cell r="G6">
            <v>4.8109573236193359E-2</v>
          </cell>
          <cell r="I6">
            <v>696.09</v>
          </cell>
          <cell r="J6">
            <v>967.55</v>
          </cell>
          <cell r="L6" t="str">
            <v>MZEB</v>
          </cell>
        </row>
        <row r="7">
          <cell r="B7" t="str">
            <v>Australia</v>
          </cell>
          <cell r="C7">
            <v>375130.79088814947</v>
          </cell>
          <cell r="D7">
            <v>933016.05504587153</v>
          </cell>
          <cell r="E7">
            <v>0.25581770345897437</v>
          </cell>
          <cell r="F7">
            <v>0.11067593019965605</v>
          </cell>
          <cell r="G7">
            <v>0.14514177325931832</v>
          </cell>
          <cell r="I7">
            <v>3359.9</v>
          </cell>
          <cell r="J7">
            <v>5113</v>
          </cell>
          <cell r="L7" t="str">
            <v>AZDA</v>
          </cell>
        </row>
        <row r="8">
          <cell r="B8" t="str">
            <v>Singapore</v>
          </cell>
          <cell r="C8">
            <v>117338.01787164906</v>
          </cell>
          <cell r="D8">
            <v>313533.26313134498</v>
          </cell>
          <cell r="E8">
            <v>0.27853087063894133</v>
          </cell>
          <cell r="F8">
            <v>0.12154150042715806</v>
          </cell>
          <cell r="G8">
            <v>0.15698937021178327</v>
          </cell>
          <cell r="I8">
            <v>1623.6</v>
          </cell>
          <cell r="J8">
            <v>2568.86</v>
          </cell>
          <cell r="L8" t="str">
            <v>SZIO</v>
          </cell>
        </row>
        <row r="9">
          <cell r="B9" t="str">
            <v>Hong Kong</v>
          </cell>
          <cell r="C9">
            <v>506072.91706741555</v>
          </cell>
          <cell r="D9">
            <v>1350994.0574743624</v>
          </cell>
          <cell r="E9">
            <v>0.27823317694880489</v>
          </cell>
          <cell r="F9">
            <v>0.11384902293863464</v>
          </cell>
          <cell r="G9">
            <v>0.16438415401017026</v>
          </cell>
          <cell r="I9">
            <v>11397.21</v>
          </cell>
          <cell r="J9">
            <v>17543</v>
          </cell>
          <cell r="L9" t="str">
            <v>HZIA</v>
          </cell>
        </row>
        <row r="12">
          <cell r="D12">
            <v>183794.15427361737</v>
          </cell>
        </row>
        <row r="13">
          <cell r="D13">
            <v>1054999.319017218</v>
          </cell>
        </row>
        <row r="14">
          <cell r="D14">
            <v>804014.81807511742</v>
          </cell>
          <cell r="H14" t="str">
            <v>MY: KLSE: Market Cap: Main Board</v>
          </cell>
          <cell r="I14" t="str">
            <v>MY: KLSE: Market Cap: Second Board</v>
          </cell>
          <cell r="J14" t="str">
            <v>MY: KLSE: Market Cap: MESDAQ</v>
          </cell>
        </row>
        <row r="15">
          <cell r="D15">
            <v>316578.40991099353</v>
          </cell>
          <cell r="H15" t="str">
            <v>MZAA</v>
          </cell>
          <cell r="I15" t="str">
            <v>MZAB</v>
          </cell>
          <cell r="J15" t="str">
            <v>MZAZAA</v>
          </cell>
        </row>
        <row r="16">
          <cell r="D16" t="str">
            <v>SG: SGX Market Cap: Mainboard</v>
          </cell>
          <cell r="E16" t="str">
            <v>SG: SGX Market Cap: Sesdaq</v>
          </cell>
          <cell r="H16" t="str">
            <v>RM bn</v>
          </cell>
          <cell r="I16" t="str">
            <v>RM bn</v>
          </cell>
          <cell r="J16" t="str">
            <v>RM bn</v>
          </cell>
        </row>
        <row r="17">
          <cell r="D17" t="str">
            <v>SZAK</v>
          </cell>
          <cell r="E17" t="str">
            <v>SZAG</v>
          </cell>
          <cell r="H17" t="str">
            <v>M:   Dec-1979:   Mar-2006</v>
          </cell>
          <cell r="I17" t="str">
            <v>M:   Apr-1989:   Mar-2006</v>
          </cell>
          <cell r="J17" t="str">
            <v>M:   Mar-2002:   Mar-2006</v>
          </cell>
        </row>
        <row r="18">
          <cell r="D18" t="str">
            <v>US: FX Spot Rate: FRB: Hong Kong Dollar: MONTHLY</v>
          </cell>
          <cell r="E18" t="str">
            <v>US: FX Spot Rate: FRB: Malaysian Ringgit: MONTHLY</v>
          </cell>
          <cell r="F18" t="str">
            <v>US: FX Spot Rate: FRB: Singapore Dollar: MONTHLY</v>
          </cell>
          <cell r="G18">
            <v>38777</v>
          </cell>
          <cell r="H18">
            <v>705.13</v>
          </cell>
          <cell r="I18">
            <v>16.649999999999999</v>
          </cell>
          <cell r="J18">
            <v>10.49</v>
          </cell>
        </row>
        <row r="19">
          <cell r="D19" t="str">
            <v>s1</v>
          </cell>
          <cell r="E19" t="str">
            <v>s2</v>
          </cell>
          <cell r="F19" t="str">
            <v>s3</v>
          </cell>
        </row>
        <row r="20">
          <cell r="C20">
            <v>38838</v>
          </cell>
          <cell r="D20" t="str">
            <v>HKD/USD</v>
          </cell>
          <cell r="E20" t="str">
            <v>MYR/USD</v>
          </cell>
          <cell r="F20" t="str">
            <v>SGD/USD</v>
          </cell>
        </row>
        <row r="21">
          <cell r="C21">
            <v>38869</v>
          </cell>
          <cell r="D21" t="str">
            <v>M:   Jan-1985:   Sep-2006</v>
          </cell>
          <cell r="E21" t="str">
            <v>M:   Jan-1985:   Sep-2006</v>
          </cell>
          <cell r="F21" t="str">
            <v>M:   Jan-1985:   Sep-2006</v>
          </cell>
        </row>
        <row r="22">
          <cell r="C22">
            <v>38961</v>
          </cell>
          <cell r="D22">
            <v>7.7912999999999997</v>
          </cell>
          <cell r="E22" t="str">
            <v>SGD mn</v>
          </cell>
          <cell r="F22" t="str">
            <v>SGD mn</v>
          </cell>
          <cell r="L22" t="str">
            <v>SG: SGX Market Cap: Mainboard</v>
          </cell>
          <cell r="M22" t="str">
            <v>SG: SGX Market Cap: Sesdaq</v>
          </cell>
        </row>
        <row r="23">
          <cell r="E23" t="str">
            <v>M:   Jan-1990:   Dec-2005</v>
          </cell>
          <cell r="F23" t="str">
            <v>M:   Dec-1989:   Dec-2005</v>
          </cell>
          <cell r="L23" t="str">
            <v>SZAK</v>
          </cell>
          <cell r="M23" t="str">
            <v>SZAG</v>
          </cell>
        </row>
        <row r="24">
          <cell r="D24">
            <v>38687</v>
          </cell>
          <cell r="E24">
            <v>520530.39500000002</v>
          </cell>
          <cell r="F24">
            <v>5876.1850000000004</v>
          </cell>
          <cell r="G24">
            <v>1.6628000000000001</v>
          </cell>
          <cell r="L24" t="str">
            <v>SGD mn</v>
          </cell>
          <cell r="M24" t="str">
            <v>SGD mn</v>
          </cell>
        </row>
        <row r="25">
          <cell r="G25">
            <v>316578.40991099353</v>
          </cell>
          <cell r="L25" t="str">
            <v>M:   Jan-1990:   Feb-2006</v>
          </cell>
          <cell r="M25" t="str">
            <v>M:   Dec-1989:   Feb-2006</v>
          </cell>
        </row>
        <row r="26">
          <cell r="K26">
            <v>38749</v>
          </cell>
          <cell r="L26">
            <v>450968.00599999999</v>
          </cell>
          <cell r="M26">
            <v>6192.6840000000002</v>
          </cell>
        </row>
        <row r="27">
          <cell r="L27">
            <v>457160.69</v>
          </cell>
        </row>
        <row r="32">
          <cell r="E32" t="str">
            <v>MY: KLSE: Market Cap: Main Board</v>
          </cell>
          <cell r="F32" t="str">
            <v>MY: KLSE: Market Cap: Second Board</v>
          </cell>
          <cell r="G32" t="str">
            <v>MY: KLSE: Market Cap: MESDAQ</v>
          </cell>
        </row>
        <row r="33">
          <cell r="E33" t="str">
            <v>MZAA</v>
          </cell>
          <cell r="F33" t="str">
            <v>MZAB</v>
          </cell>
          <cell r="G33" t="str">
            <v>MZAZAA</v>
          </cell>
        </row>
        <row r="34">
          <cell r="E34" t="str">
            <v>RM bn</v>
          </cell>
          <cell r="F34" t="str">
            <v>RM bn</v>
          </cell>
          <cell r="G34" t="str">
            <v>RM bn</v>
          </cell>
        </row>
        <row r="35">
          <cell r="E35" t="str">
            <v>M:   Dec-1979:   Jan-2006</v>
          </cell>
          <cell r="F35" t="str">
            <v>M:   Apr-1989:   Jan-2006</v>
          </cell>
          <cell r="G35" t="str">
            <v>M:   Mar-2002:   Jan-2006</v>
          </cell>
        </row>
        <row r="36">
          <cell r="D36">
            <v>38687</v>
          </cell>
          <cell r="E36">
            <v>671.62214800000004</v>
          </cell>
          <cell r="F36">
            <v>15.117829</v>
          </cell>
          <cell r="G36">
            <v>7.8181320000000003</v>
          </cell>
          <cell r="H36">
            <v>3.7789999999999999</v>
          </cell>
        </row>
        <row r="37">
          <cell r="H37">
            <v>183794.15427361737</v>
          </cell>
        </row>
      </sheetData>
      <sheetData sheetId="31" refreshError="1">
        <row r="1">
          <cell r="C1" t="str">
            <v>Mkt Cap</v>
          </cell>
          <cell r="D1" t="str">
            <v>GDP</v>
          </cell>
          <cell r="E1" t="str">
            <v>%</v>
          </cell>
        </row>
        <row r="2">
          <cell r="B2" t="str">
            <v>HK</v>
          </cell>
          <cell r="C2">
            <v>6695893</v>
          </cell>
          <cell r="D2">
            <v>1290808</v>
          </cell>
          <cell r="E2">
            <v>5.1873655880657701</v>
          </cell>
        </row>
        <row r="3">
          <cell r="B3" t="str">
            <v>SG</v>
          </cell>
          <cell r="C3">
            <v>355239.26</v>
          </cell>
          <cell r="D3">
            <v>180554.4</v>
          </cell>
          <cell r="E3">
            <v>1.9674915704075893</v>
          </cell>
        </row>
        <row r="4">
          <cell r="B4" t="str">
            <v>MY</v>
          </cell>
          <cell r="C4">
            <v>690170.42</v>
          </cell>
          <cell r="D4">
            <v>449610</v>
          </cell>
          <cell r="E4">
            <v>1.5350424145370434</v>
          </cell>
        </row>
        <row r="5">
          <cell r="B5" t="str">
            <v>UK</v>
          </cell>
          <cell r="C5">
            <v>1492505.17</v>
          </cell>
          <cell r="D5">
            <v>1164439</v>
          </cell>
          <cell r="E5">
            <v>1.2817375319789186</v>
          </cell>
        </row>
        <row r="6">
          <cell r="B6" t="str">
            <v>AU</v>
          </cell>
          <cell r="C6">
            <v>990457</v>
          </cell>
          <cell r="D6">
            <v>804330.81137490226</v>
          </cell>
          <cell r="E6">
            <v>1.2314050214077197</v>
          </cell>
        </row>
        <row r="24">
          <cell r="B24" t="str">
            <v>Country</v>
          </cell>
          <cell r="C24" t="str">
            <v>Subject Description</v>
          </cell>
          <cell r="D24" t="str">
            <v>Units</v>
          </cell>
          <cell r="E24" t="str">
            <v>2005 GDP (US$bn)</v>
          </cell>
          <cell r="F24" t="str">
            <v>2006 GDP (US$bn)</v>
          </cell>
          <cell r="G24" t="str">
            <v>Current Mkt Cap (US$mn)</v>
          </cell>
          <cell r="H24" t="str">
            <v>Mkt Cap/GDP 05</v>
          </cell>
          <cell r="I24" t="str">
            <v>Mkt Cap/GDP 06</v>
          </cell>
        </row>
        <row r="25">
          <cell r="B25" t="str">
            <v>HK</v>
          </cell>
          <cell r="C25" t="str">
            <v>Gross domestic product, current prices</v>
          </cell>
          <cell r="D25" t="str">
            <v>US dollars</v>
          </cell>
          <cell r="E25">
            <v>173.55600000000001</v>
          </cell>
          <cell r="F25">
            <v>183.65299999999999</v>
          </cell>
          <cell r="G25">
            <v>1228774.1935483871</v>
          </cell>
          <cell r="H25">
            <v>7.0799868258567091</v>
          </cell>
          <cell r="I25">
            <v>6.6907384771737304</v>
          </cell>
        </row>
        <row r="26">
          <cell r="B26" t="str">
            <v>Swiss</v>
          </cell>
          <cell r="C26" t="str">
            <v>Gross domestic product, current prices</v>
          </cell>
          <cell r="D26" t="str">
            <v>US dollars</v>
          </cell>
          <cell r="E26">
            <v>364.84800000000001</v>
          </cell>
          <cell r="F26">
            <v>359.28300000000002</v>
          </cell>
          <cell r="G26">
            <v>992216.68381742749</v>
          </cell>
          <cell r="H26">
            <v>2.7195343919041011</v>
          </cell>
          <cell r="I26">
            <v>2.7616577567472644</v>
          </cell>
        </row>
        <row r="27">
          <cell r="B27" t="str">
            <v>Singapore</v>
          </cell>
          <cell r="C27" t="str">
            <v>Gross domestic product, current prices</v>
          </cell>
          <cell r="D27" t="str">
            <v>US dollars</v>
          </cell>
          <cell r="E27">
            <v>115.324</v>
          </cell>
          <cell r="F27">
            <v>124.43300000000001</v>
          </cell>
          <cell r="G27">
            <v>285725.43124999997</v>
          </cell>
          <cell r="H27">
            <v>2.4775886307273418</v>
          </cell>
          <cell r="I27">
            <v>2.2962190998368595</v>
          </cell>
        </row>
        <row r="28">
          <cell r="B28" t="str">
            <v>Luxembourg</v>
          </cell>
          <cell r="C28" t="str">
            <v>Gross domestic product, current prices</v>
          </cell>
          <cell r="D28" t="str">
            <v>US dollars</v>
          </cell>
          <cell r="E28">
            <v>33.578000000000003</v>
          </cell>
          <cell r="F28">
            <v>34.511000000000003</v>
          </cell>
          <cell r="G28">
            <v>59311.423423423425</v>
          </cell>
          <cell r="H28">
            <v>1.7663774919120681</v>
          </cell>
          <cell r="I28">
            <v>1.7186237264473188</v>
          </cell>
        </row>
        <row r="29">
          <cell r="B29" t="str">
            <v>Japan</v>
          </cell>
          <cell r="C29" t="str">
            <v>Gross domestic product, current prices</v>
          </cell>
          <cell r="D29" t="str">
            <v>US dollars</v>
          </cell>
          <cell r="E29">
            <v>4672.2910000000002</v>
          </cell>
          <cell r="F29">
            <v>4651.9880000000003</v>
          </cell>
          <cell r="G29">
            <v>7705969.74942075</v>
          </cell>
          <cell r="H29">
            <v>1.6492914823628815</v>
          </cell>
          <cell r="I29">
            <v>1.6564896017403203</v>
          </cell>
        </row>
        <row r="30">
          <cell r="B30" t="str">
            <v>UK</v>
          </cell>
          <cell r="C30" t="str">
            <v>Gross domestic product, current prices</v>
          </cell>
          <cell r="D30" t="str">
            <v>US dollars</v>
          </cell>
          <cell r="E30">
            <v>2196.837</v>
          </cell>
          <cell r="F30">
            <v>2211.7240000000002</v>
          </cell>
          <cell r="G30">
            <v>3250410.8340105079</v>
          </cell>
          <cell r="H30">
            <v>1.4795867121732327</v>
          </cell>
          <cell r="I30">
            <v>1.4696276904399046</v>
          </cell>
        </row>
        <row r="31">
          <cell r="B31" t="str">
            <v>Taiwan</v>
          </cell>
          <cell r="C31" t="str">
            <v>Gross domestic product, current prices</v>
          </cell>
          <cell r="D31" t="str">
            <v>US dollars</v>
          </cell>
          <cell r="E31">
            <v>330.74</v>
          </cell>
          <cell r="F31">
            <v>352.755</v>
          </cell>
          <cell r="G31">
            <v>484659.54622626945</v>
          </cell>
          <cell r="H31">
            <v>1.4653792895515192</v>
          </cell>
          <cell r="I31">
            <v>1.3739267940249449</v>
          </cell>
        </row>
        <row r="32">
          <cell r="B32" t="str">
            <v>Malaysia</v>
          </cell>
          <cell r="C32" t="str">
            <v>Gross domestic product, current prices</v>
          </cell>
          <cell r="D32" t="str">
            <v>US dollars</v>
          </cell>
          <cell r="E32">
            <v>132.62100000000001</v>
          </cell>
          <cell r="F32">
            <v>143.607</v>
          </cell>
          <cell r="G32">
            <v>192566.0099851572</v>
          </cell>
          <cell r="H32">
            <v>1.4520023976983825</v>
          </cell>
          <cell r="I32">
            <v>1.3409235621185402</v>
          </cell>
        </row>
        <row r="33">
          <cell r="B33" t="str">
            <v>Canada</v>
          </cell>
          <cell r="C33" t="str">
            <v>Gross domestic product, current prices</v>
          </cell>
          <cell r="D33" t="str">
            <v>US dollars</v>
          </cell>
          <cell r="E33">
            <v>1106.213</v>
          </cell>
          <cell r="F33">
            <v>1181.1949999999999</v>
          </cell>
          <cell r="G33">
            <v>1601314.5622525297</v>
          </cell>
          <cell r="H33">
            <v>1.4475644041902687</v>
          </cell>
          <cell r="I33">
            <v>1.3556733327287447</v>
          </cell>
        </row>
        <row r="34">
          <cell r="B34" t="str">
            <v>US</v>
          </cell>
          <cell r="C34" t="str">
            <v>Gross domestic product, current prices</v>
          </cell>
          <cell r="D34" t="str">
            <v>US dollars</v>
          </cell>
          <cell r="E34">
            <v>12452.416999999999</v>
          </cell>
          <cell r="F34">
            <v>13123.529</v>
          </cell>
          <cell r="G34">
            <v>17654951.169999998</v>
          </cell>
          <cell r="H34">
            <v>1.4177931216084394</v>
          </cell>
          <cell r="I34">
            <v>1.3452899117302972</v>
          </cell>
        </row>
        <row r="35">
          <cell r="B35" t="str">
            <v>Australia</v>
          </cell>
          <cell r="C35" t="str">
            <v>Gross domestic product, current prices</v>
          </cell>
          <cell r="D35" t="str">
            <v>US dollars</v>
          </cell>
          <cell r="E35">
            <v>683.75900000000001</v>
          </cell>
          <cell r="F35">
            <v>708.79100000000005</v>
          </cell>
          <cell r="G35">
            <v>854031.52650754701</v>
          </cell>
          <cell r="H35">
            <v>1.2490241832393387</v>
          </cell>
          <cell r="I35">
            <v>1.2049130512486006</v>
          </cell>
        </row>
        <row r="36">
          <cell r="B36" t="str">
            <v>Israel</v>
          </cell>
          <cell r="C36" t="str">
            <v>Gross domestic product, current prices</v>
          </cell>
          <cell r="D36" t="str">
            <v>US dollars</v>
          </cell>
          <cell r="E36">
            <v>124.072</v>
          </cell>
          <cell r="F36">
            <v>125.422</v>
          </cell>
          <cell r="G36">
            <v>129345.38878842676</v>
          </cell>
          <cell r="H36">
            <v>1.0425026499808721</v>
          </cell>
          <cell r="I36">
            <v>1.0312815039500784</v>
          </cell>
        </row>
        <row r="37">
          <cell r="B37" t="str">
            <v>Spain</v>
          </cell>
          <cell r="C37" t="str">
            <v>Gross domestic product, current prices</v>
          </cell>
          <cell r="D37" t="str">
            <v>US dollars</v>
          </cell>
          <cell r="E37">
            <v>1124.463</v>
          </cell>
          <cell r="F37">
            <v>1164.5999999999999</v>
          </cell>
          <cell r="G37">
            <v>1084932.5525525524</v>
          </cell>
          <cell r="H37">
            <v>0.96484504385875969</v>
          </cell>
          <cell r="I37">
            <v>0.93159243736265884</v>
          </cell>
        </row>
        <row r="38">
          <cell r="B38" t="str">
            <v>Egypt</v>
          </cell>
          <cell r="C38" t="str">
            <v>Gross domestic product, current prices</v>
          </cell>
          <cell r="D38" t="str">
            <v>US dollars</v>
          </cell>
          <cell r="E38">
            <v>90.706999999999994</v>
          </cell>
          <cell r="F38">
            <v>102.20099999999999</v>
          </cell>
          <cell r="G38">
            <v>86312.632936992217</v>
          </cell>
          <cell r="H38">
            <v>0.95155426744344118</v>
          </cell>
          <cell r="I38">
            <v>0.84453804695641155</v>
          </cell>
        </row>
        <row r="39">
          <cell r="B39" t="str">
            <v>Korea</v>
          </cell>
          <cell r="C39" t="str">
            <v>Gross domestic product, current prices</v>
          </cell>
          <cell r="D39" t="str">
            <v>US dollars</v>
          </cell>
          <cell r="E39">
            <v>799.74699999999996</v>
          </cell>
          <cell r="F39">
            <v>852.73500000000001</v>
          </cell>
          <cell r="G39">
            <v>758716.37477477477</v>
          </cell>
          <cell r="H39">
            <v>0.94869549341826198</v>
          </cell>
          <cell r="I39">
            <v>0.8897446155895733</v>
          </cell>
        </row>
        <row r="40">
          <cell r="B40" t="str">
            <v>Thailand</v>
          </cell>
          <cell r="C40" t="str">
            <v>Gross domestic product, current prices</v>
          </cell>
          <cell r="D40" t="str">
            <v>US dollars</v>
          </cell>
          <cell r="E40">
            <v>167.85300000000001</v>
          </cell>
          <cell r="F40">
            <v>178.80500000000001</v>
          </cell>
          <cell r="G40">
            <v>137242.72540192926</v>
          </cell>
          <cell r="H40">
            <v>0.8176364163996428</v>
          </cell>
          <cell r="I40">
            <v>0.76755529991851035</v>
          </cell>
        </row>
        <row r="41">
          <cell r="B41" t="str">
            <v>India</v>
          </cell>
          <cell r="C41" t="str">
            <v>Gross domestic product, current prices</v>
          </cell>
          <cell r="D41" t="str">
            <v>US dollars</v>
          </cell>
          <cell r="E41">
            <v>746.12</v>
          </cell>
          <cell r="F41">
            <v>808.94799999999998</v>
          </cell>
          <cell r="G41">
            <v>609506.68174109666</v>
          </cell>
          <cell r="H41">
            <v>0.81690168034779476</v>
          </cell>
          <cell r="I41">
            <v>0.75345594740464983</v>
          </cell>
        </row>
        <row r="42">
          <cell r="B42" t="str">
            <v>Greece</v>
          </cell>
          <cell r="C42" t="str">
            <v>Gross domestic product, current prices</v>
          </cell>
          <cell r="D42" t="str">
            <v>US dollars</v>
          </cell>
          <cell r="E42">
            <v>219.58699999999999</v>
          </cell>
          <cell r="F42">
            <v>226.03399999999999</v>
          </cell>
          <cell r="G42">
            <v>172306.46246246246</v>
          </cell>
          <cell r="H42">
            <v>0.78468425937083008</v>
          </cell>
          <cell r="I42">
            <v>0.76230329270137442</v>
          </cell>
        </row>
        <row r="43">
          <cell r="B43" t="str">
            <v>China+HK</v>
          </cell>
          <cell r="H43">
            <v>0.77</v>
          </cell>
        </row>
        <row r="44">
          <cell r="B44" t="str">
            <v>Norway</v>
          </cell>
          <cell r="C44" t="str">
            <v>Gross domestic product, current prices</v>
          </cell>
          <cell r="D44" t="str">
            <v>US dollars</v>
          </cell>
          <cell r="E44">
            <v>294.572</v>
          </cell>
          <cell r="F44">
            <v>313.70600000000002</v>
          </cell>
          <cell r="G44">
            <v>215232.91626294464</v>
          </cell>
          <cell r="H44">
            <v>0.73066318680303843</v>
          </cell>
          <cell r="I44">
            <v>0.68609754439808168</v>
          </cell>
        </row>
        <row r="45">
          <cell r="B45" t="str">
            <v>Turkey</v>
          </cell>
          <cell r="C45" t="str">
            <v>Gross domestic product, current prices</v>
          </cell>
          <cell r="D45" t="str">
            <v>US dollars</v>
          </cell>
          <cell r="E45">
            <v>353.20499999999998</v>
          </cell>
          <cell r="F45">
            <v>372.71899999999999</v>
          </cell>
          <cell r="G45">
            <v>198894.66442439993</v>
          </cell>
          <cell r="H45">
            <v>0.56311395485454607</v>
          </cell>
          <cell r="I45">
            <v>0.533631675402649</v>
          </cell>
        </row>
        <row r="46">
          <cell r="B46" t="str">
            <v>Colombia</v>
          </cell>
          <cell r="C46" t="str">
            <v>Gross domestic product, current prices</v>
          </cell>
          <cell r="D46" t="str">
            <v>US dollars</v>
          </cell>
          <cell r="E46">
            <v>112.27</v>
          </cell>
          <cell r="F46">
            <v>111.15600000000001</v>
          </cell>
          <cell r="G46">
            <v>57969.232507753652</v>
          </cell>
          <cell r="H46">
            <v>0.5163376904583028</v>
          </cell>
          <cell r="I46">
            <v>0.52151240155955281</v>
          </cell>
        </row>
        <row r="47">
          <cell r="B47" t="str">
            <v>Italy</v>
          </cell>
          <cell r="C47" t="str">
            <v>Gross domestic product, current prices</v>
          </cell>
          <cell r="D47" t="str">
            <v>US dollars</v>
          </cell>
          <cell r="E47">
            <v>1718.903</v>
          </cell>
          <cell r="F47">
            <v>1723.3240000000001</v>
          </cell>
          <cell r="G47">
            <v>879300.74474474473</v>
          </cell>
          <cell r="H47">
            <v>0.51154762353939964</v>
          </cell>
          <cell r="I47">
            <v>0.51023530383418592</v>
          </cell>
        </row>
        <row r="48">
          <cell r="B48" t="str">
            <v>Germany</v>
          </cell>
          <cell r="C48" t="str">
            <v>Gross domestic product, current prices</v>
          </cell>
          <cell r="D48" t="str">
            <v>US dollars</v>
          </cell>
          <cell r="E48">
            <v>2799.7570000000001</v>
          </cell>
          <cell r="F48">
            <v>2770.221</v>
          </cell>
          <cell r="G48">
            <v>1379995.1951951953</v>
          </cell>
          <cell r="H48">
            <v>0.49289820337807722</v>
          </cell>
          <cell r="I48">
            <v>0.49815346688773038</v>
          </cell>
        </row>
        <row r="49">
          <cell r="B49" t="str">
            <v>Poland</v>
          </cell>
          <cell r="C49" t="str">
            <v>Gross domestic product, current prices</v>
          </cell>
          <cell r="D49" t="str">
            <v>US dollars</v>
          </cell>
          <cell r="E49">
            <v>285.71199999999999</v>
          </cell>
          <cell r="F49">
            <v>302.916</v>
          </cell>
          <cell r="G49">
            <v>105955.93806068643</v>
          </cell>
          <cell r="H49">
            <v>0.37084875000240253</v>
          </cell>
          <cell r="I49">
            <v>0.34978653508129787</v>
          </cell>
        </row>
        <row r="50">
          <cell r="B50" t="str">
            <v>New Zealand</v>
          </cell>
          <cell r="C50" t="str">
            <v>Gross domestic product, current prices</v>
          </cell>
          <cell r="D50" t="str">
            <v>US dollars</v>
          </cell>
          <cell r="E50">
            <v>107.099</v>
          </cell>
          <cell r="F50">
            <v>108.62</v>
          </cell>
          <cell r="G50">
            <v>39478.457853768872</v>
          </cell>
          <cell r="H50">
            <v>0.36861649365324484</v>
          </cell>
          <cell r="I50">
            <v>0.36345477677931198</v>
          </cell>
        </row>
        <row r="51">
          <cell r="B51" t="str">
            <v>Indonesia</v>
          </cell>
          <cell r="C51" t="str">
            <v>Gross domestic product, current prices</v>
          </cell>
          <cell r="D51" t="str">
            <v>US dollars</v>
          </cell>
          <cell r="E51">
            <v>270.209</v>
          </cell>
          <cell r="F51">
            <v>292.89</v>
          </cell>
          <cell r="G51">
            <v>92646.331824714202</v>
          </cell>
          <cell r="H51">
            <v>0.34286915618915059</v>
          </cell>
          <cell r="I51">
            <v>0.31631783886344433</v>
          </cell>
        </row>
        <row r="52">
          <cell r="B52" t="str">
            <v>Mexico</v>
          </cell>
          <cell r="C52" t="str">
            <v>Gross domestic product, current prices</v>
          </cell>
          <cell r="D52" t="str">
            <v>US dollars</v>
          </cell>
          <cell r="E52">
            <v>758.05399999999997</v>
          </cell>
          <cell r="F52">
            <v>824.36400000000003</v>
          </cell>
          <cell r="G52">
            <v>253355.10343066315</v>
          </cell>
          <cell r="H52">
            <v>0.33421775154627925</v>
          </cell>
          <cell r="I52">
            <v>0.30733402165871282</v>
          </cell>
        </row>
        <row r="53">
          <cell r="B53" t="str">
            <v>China</v>
          </cell>
          <cell r="C53" t="str">
            <v>Gross domestic product, current prices</v>
          </cell>
          <cell r="D53" t="str">
            <v>US dollars</v>
          </cell>
          <cell r="E53">
            <v>1909.6590000000001</v>
          </cell>
          <cell r="F53">
            <v>2172.1109999999999</v>
          </cell>
          <cell r="G53">
            <v>601359.39687869186</v>
          </cell>
          <cell r="H53">
            <v>0.31490407286258532</v>
          </cell>
          <cell r="I53">
            <v>0.27685481859752648</v>
          </cell>
        </row>
        <row r="54">
          <cell r="B54" t="str">
            <v>Iran</v>
          </cell>
          <cell r="C54" t="str">
            <v>Gross domestic product, current prices</v>
          </cell>
          <cell r="D54" t="str">
            <v>US dollars</v>
          </cell>
          <cell r="E54">
            <v>203.31</v>
          </cell>
          <cell r="F54">
            <v>242.214</v>
          </cell>
          <cell r="G54">
            <v>34947.235483517688</v>
          </cell>
          <cell r="H54">
            <v>0.17189137515871175</v>
          </cell>
          <cell r="I54">
            <v>0.14428247534625449</v>
          </cell>
        </row>
        <row r="55">
          <cell r="B55" t="str">
            <v>Austria</v>
          </cell>
          <cell r="C55" t="str">
            <v>Gross domestic product, current prices</v>
          </cell>
          <cell r="D55" t="str">
            <v>US dollars</v>
          </cell>
          <cell r="E55">
            <v>306.83300000000003</v>
          </cell>
          <cell r="F55">
            <v>309.85599999999999</v>
          </cell>
          <cell r="G55">
            <v>36436.941887362511</v>
          </cell>
          <cell r="H55">
            <v>0.11875170495794946</v>
          </cell>
          <cell r="I55">
            <v>0.11759314613033962</v>
          </cell>
        </row>
        <row r="66">
          <cell r="C66" t="str">
            <v>SZAK</v>
          </cell>
          <cell r="D66" t="str">
            <v>SZAG</v>
          </cell>
        </row>
        <row r="67">
          <cell r="C67" t="str">
            <v>SGD mn</v>
          </cell>
          <cell r="D67" t="str">
            <v>SGD mn</v>
          </cell>
        </row>
        <row r="68">
          <cell r="C68" t="str">
            <v>M:   Jan-1990:   Feb-2006</v>
          </cell>
          <cell r="D68" t="str">
            <v>M:   Dec-1989:   Feb-2006</v>
          </cell>
        </row>
        <row r="69">
          <cell r="B69">
            <v>38749</v>
          </cell>
          <cell r="C69">
            <v>450968.00599999999</v>
          </cell>
          <cell r="D69">
            <v>6192.6840000000002</v>
          </cell>
        </row>
        <row r="70">
          <cell r="C70">
            <v>285725.43124999997</v>
          </cell>
        </row>
        <row r="74">
          <cell r="C74" t="str">
            <v>CN: Market Capitalization: Shenzhen Stock Exchange</v>
          </cell>
          <cell r="D74" t="str">
            <v>CN: Market Capitalization: Shanghai Stock Exchange: Stocks</v>
          </cell>
        </row>
        <row r="75">
          <cell r="C75" t="str">
            <v>CZEA</v>
          </cell>
          <cell r="D75" t="str">
            <v>CZNA</v>
          </cell>
        </row>
        <row r="76">
          <cell r="C76" t="str">
            <v>RMB mn</v>
          </cell>
          <cell r="D76" t="str">
            <v>RMB mn</v>
          </cell>
        </row>
        <row r="77">
          <cell r="C77" t="str">
            <v>M:   May-1994:   Mar-2006</v>
          </cell>
          <cell r="D77" t="str">
            <v>M:   Jul-1995:   Mar-2006</v>
          </cell>
        </row>
        <row r="78">
          <cell r="B78">
            <v>38777</v>
          </cell>
          <cell r="C78">
            <v>2322574.59</v>
          </cell>
          <cell r="D78">
            <v>2513257</v>
          </cell>
        </row>
        <row r="79">
          <cell r="C79">
            <v>601359.39687869186</v>
          </cell>
        </row>
      </sheetData>
      <sheetData sheetId="32" refreshError="1">
        <row r="2">
          <cell r="C2" t="str">
            <v>Important Notice : When using these data, please always mention World Federation of Exchanges as the source of information.</v>
          </cell>
        </row>
        <row r="8">
          <cell r="O8" t="str">
            <v>USD Million</v>
          </cell>
        </row>
        <row r="12">
          <cell r="C12" t="str">
            <v>Exchange</v>
          </cell>
          <cell r="D12" t="str">
            <v>End 1990</v>
          </cell>
          <cell r="E12" t="str">
            <v>End 1991</v>
          </cell>
          <cell r="F12" t="str">
            <v>End 1992</v>
          </cell>
          <cell r="G12" t="str">
            <v>End 1993</v>
          </cell>
          <cell r="H12" t="str">
            <v>End 1994</v>
          </cell>
          <cell r="I12" t="str">
            <v>End 1995</v>
          </cell>
          <cell r="J12" t="str">
            <v>End 1996</v>
          </cell>
          <cell r="K12" t="str">
            <v>End 1997</v>
          </cell>
          <cell r="L12" t="str">
            <v>End 1998</v>
          </cell>
          <cell r="M12" t="str">
            <v>End 1999</v>
          </cell>
          <cell r="N12" t="str">
            <v>End 2000</v>
          </cell>
          <cell r="O12" t="str">
            <v>End 2001</v>
          </cell>
          <cell r="P12" t="str">
            <v>End 2002</v>
          </cell>
          <cell r="Q12" t="str">
            <v>End 2003</v>
          </cell>
          <cell r="R12" t="str">
            <v>End 2004</v>
          </cell>
          <cell r="S12" t="str">
            <v>End 2005</v>
          </cell>
          <cell r="T12" t="str">
            <v>YTD</v>
          </cell>
        </row>
        <row r="15">
          <cell r="C15" t="str">
            <v>Americas</v>
          </cell>
        </row>
        <row r="16">
          <cell r="C16" t="str">
            <v xml:space="preserve">Amex </v>
          </cell>
          <cell r="D16">
            <v>102301.5</v>
          </cell>
          <cell r="E16">
            <v>124454.2</v>
          </cell>
          <cell r="F16">
            <v>88796.800000000003</v>
          </cell>
          <cell r="G16">
            <v>105115.8</v>
          </cell>
          <cell r="H16">
            <v>86036.457083000001</v>
          </cell>
          <cell r="I16">
            <v>103147.033646</v>
          </cell>
          <cell r="J16">
            <v>97910.8</v>
          </cell>
          <cell r="K16">
            <v>124606.2</v>
          </cell>
          <cell r="L16">
            <v>126307</v>
          </cell>
          <cell r="M16">
            <v>90745.2</v>
          </cell>
          <cell r="N16">
            <v>82717.399999999994</v>
          </cell>
          <cell r="O16">
            <v>60223.3</v>
          </cell>
          <cell r="P16">
            <v>45690.6</v>
          </cell>
          <cell r="Q16">
            <v>92877.2</v>
          </cell>
        </row>
        <row r="17">
          <cell r="C17" t="str">
            <v>Bermuda</v>
          </cell>
          <cell r="D17" t="str">
            <v>NA</v>
          </cell>
          <cell r="E17" t="str">
            <v>NA</v>
          </cell>
          <cell r="F17" t="str">
            <v>NA</v>
          </cell>
          <cell r="G17" t="str">
            <v>NA</v>
          </cell>
          <cell r="H17" t="str">
            <v>NA</v>
          </cell>
          <cell r="I17" t="str">
            <v>NA</v>
          </cell>
          <cell r="J17" t="str">
            <v>NA</v>
          </cell>
          <cell r="K17" t="str">
            <v>NA</v>
          </cell>
          <cell r="L17">
            <v>1500</v>
          </cell>
          <cell r="M17">
            <v>1323.3</v>
          </cell>
          <cell r="N17">
            <v>2159.6999999999998</v>
          </cell>
          <cell r="O17">
            <v>2468.6</v>
          </cell>
          <cell r="P17">
            <v>2175.1</v>
          </cell>
          <cell r="Q17">
            <v>2901</v>
          </cell>
        </row>
        <row r="18">
          <cell r="C18" t="str">
            <v>Buenos Aires</v>
          </cell>
          <cell r="D18">
            <v>3615.3</v>
          </cell>
          <cell r="E18">
            <v>18639.5</v>
          </cell>
          <cell r="F18">
            <v>18622.900000000001</v>
          </cell>
          <cell r="G18">
            <v>44055.1</v>
          </cell>
          <cell r="H18">
            <v>36867</v>
          </cell>
          <cell r="I18">
            <v>37783.778377837785</v>
          </cell>
          <cell r="J18">
            <v>44692.346173086538</v>
          </cell>
          <cell r="K18">
            <v>59251.850370074011</v>
          </cell>
          <cell r="L18">
            <v>45332.800000000003</v>
          </cell>
          <cell r="M18">
            <v>55847.6</v>
          </cell>
          <cell r="N18">
            <v>45839.3</v>
          </cell>
          <cell r="O18">
            <v>33384.04</v>
          </cell>
          <cell r="P18">
            <v>16548.579970104634</v>
          </cell>
          <cell r="Q18">
            <v>34994.714407502128</v>
          </cell>
        </row>
        <row r="19">
          <cell r="C19" t="str">
            <v>Lima</v>
          </cell>
          <cell r="D19">
            <v>812</v>
          </cell>
          <cell r="E19">
            <v>1118</v>
          </cell>
          <cell r="F19">
            <v>2630</v>
          </cell>
          <cell r="G19">
            <v>5113</v>
          </cell>
          <cell r="H19">
            <v>8178</v>
          </cell>
          <cell r="I19">
            <v>10907</v>
          </cell>
          <cell r="J19">
            <v>12583</v>
          </cell>
          <cell r="K19">
            <v>15484.5</v>
          </cell>
          <cell r="L19">
            <v>9868.5</v>
          </cell>
          <cell r="M19">
            <v>12091.9</v>
          </cell>
          <cell r="N19">
            <v>9749.7999999999993</v>
          </cell>
          <cell r="O19">
            <v>9790.3702628139981</v>
          </cell>
          <cell r="P19">
            <v>11441.369941369941</v>
          </cell>
          <cell r="Q19">
            <v>14125.032477842893</v>
          </cell>
        </row>
        <row r="20">
          <cell r="C20" t="str">
            <v>Mexico</v>
          </cell>
          <cell r="D20">
            <v>41053.800000000003</v>
          </cell>
          <cell r="E20">
            <v>102763.7</v>
          </cell>
          <cell r="F20">
            <v>138744.6</v>
          </cell>
          <cell r="G20">
            <v>200865.2</v>
          </cell>
          <cell r="H20">
            <v>130245.8456852792</v>
          </cell>
          <cell r="I20">
            <v>90693.956262167412</v>
          </cell>
          <cell r="J20">
            <v>106770.49026098027</v>
          </cell>
          <cell r="K20">
            <v>156594.964028777</v>
          </cell>
          <cell r="L20">
            <v>91745.8</v>
          </cell>
          <cell r="M20">
            <v>154043.79999999999</v>
          </cell>
          <cell r="N20">
            <v>125203.9</v>
          </cell>
          <cell r="O20">
            <v>126258.4337677919</v>
          </cell>
          <cell r="P20">
            <v>103941.15968409901</v>
          </cell>
          <cell r="Q20">
            <v>122532.96185882605</v>
          </cell>
        </row>
        <row r="21">
          <cell r="C21" t="str">
            <v>Nasdaq</v>
          </cell>
          <cell r="D21">
            <v>310800</v>
          </cell>
          <cell r="E21">
            <v>490684.7</v>
          </cell>
          <cell r="F21">
            <v>618774</v>
          </cell>
          <cell r="G21">
            <v>791706</v>
          </cell>
          <cell r="H21">
            <v>793668.7</v>
          </cell>
          <cell r="I21">
            <v>1159939.8</v>
          </cell>
          <cell r="J21">
            <v>1511824.4</v>
          </cell>
          <cell r="K21">
            <v>1726390.4</v>
          </cell>
          <cell r="L21">
            <v>2243734</v>
          </cell>
          <cell r="M21">
            <v>5204620.4000000004</v>
          </cell>
          <cell r="N21">
            <v>3597085.9</v>
          </cell>
          <cell r="O21">
            <v>2739674.7</v>
          </cell>
          <cell r="P21">
            <v>1994494.03</v>
          </cell>
          <cell r="Q21">
            <v>2844192.55</v>
          </cell>
        </row>
        <row r="22">
          <cell r="C22" t="str">
            <v>NYSE</v>
          </cell>
          <cell r="D22">
            <v>2692123</v>
          </cell>
          <cell r="E22">
            <v>3484340.3</v>
          </cell>
          <cell r="F22">
            <v>3798238.1</v>
          </cell>
          <cell r="G22">
            <v>4212956</v>
          </cell>
          <cell r="H22">
            <v>4147936.7</v>
          </cell>
          <cell r="I22">
            <v>5654815.4000000004</v>
          </cell>
          <cell r="J22">
            <v>6841987.5999999996</v>
          </cell>
          <cell r="K22">
            <v>8879630.5999999996</v>
          </cell>
          <cell r="L22">
            <v>10277899.800000001</v>
          </cell>
          <cell r="M22">
            <v>11437597.300000001</v>
          </cell>
          <cell r="N22">
            <v>11534612.9</v>
          </cell>
          <cell r="O22">
            <v>11026586.5</v>
          </cell>
          <cell r="P22">
            <v>9015270.5</v>
          </cell>
          <cell r="Q22">
            <v>11328953.1</v>
          </cell>
        </row>
        <row r="23">
          <cell r="C23" t="str">
            <v>Santiago</v>
          </cell>
          <cell r="D23">
            <v>13636.1</v>
          </cell>
          <cell r="E23">
            <v>27989.599999999999</v>
          </cell>
          <cell r="F23">
            <v>29595.200000000001</v>
          </cell>
          <cell r="G23">
            <v>44886.7</v>
          </cell>
          <cell r="H23">
            <v>68194.601670614633</v>
          </cell>
          <cell r="I23">
            <v>72927.718972089031</v>
          </cell>
          <cell r="J23">
            <v>65971.29788989744</v>
          </cell>
          <cell r="K23">
            <v>72046.1755986317</v>
          </cell>
          <cell r="L23">
            <v>51866.2</v>
          </cell>
          <cell r="M23">
            <v>68227.5</v>
          </cell>
          <cell r="N23">
            <v>60400.800000000003</v>
          </cell>
          <cell r="O23">
            <v>56309.723965817138</v>
          </cell>
          <cell r="P23">
            <v>49827.722310226396</v>
          </cell>
          <cell r="Q23">
            <v>87508.392815796149</v>
          </cell>
        </row>
        <row r="24">
          <cell r="C24" t="str">
            <v>Sao Paulo</v>
          </cell>
          <cell r="D24">
            <v>11201.2</v>
          </cell>
          <cell r="E24">
            <v>32152.1</v>
          </cell>
          <cell r="F24">
            <v>45416.4</v>
          </cell>
          <cell r="G24">
            <v>96779.1</v>
          </cell>
          <cell r="H24">
            <v>189303.34159877201</v>
          </cell>
          <cell r="I24">
            <v>147635.80246913582</v>
          </cell>
          <cell r="J24">
            <v>216906.20490620489</v>
          </cell>
          <cell r="K24">
            <v>255478.00376310365</v>
          </cell>
          <cell r="L24">
            <v>160886.39999999999</v>
          </cell>
          <cell r="M24">
            <v>227962.1</v>
          </cell>
          <cell r="N24">
            <v>226152.3</v>
          </cell>
          <cell r="O24">
            <v>186237.6</v>
          </cell>
          <cell r="P24">
            <v>121640.49168474331</v>
          </cell>
          <cell r="Q24">
            <v>226357.71230502601</v>
          </cell>
        </row>
        <row r="25">
          <cell r="C25" t="str">
            <v>TSX Group</v>
          </cell>
          <cell r="D25">
            <v>241924.1</v>
          </cell>
          <cell r="E25">
            <v>265696.90000000002</v>
          </cell>
          <cell r="F25">
            <v>241875.4</v>
          </cell>
          <cell r="G25">
            <v>326548.90000000002</v>
          </cell>
          <cell r="H25">
            <v>315054.00317196635</v>
          </cell>
          <cell r="I25">
            <v>366344.64670723665</v>
          </cell>
          <cell r="J25">
            <v>486977.93307518086</v>
          </cell>
          <cell r="K25">
            <v>567635.13590944035</v>
          </cell>
          <cell r="L25">
            <v>543394</v>
          </cell>
          <cell r="M25">
            <v>789179.5</v>
          </cell>
          <cell r="N25">
            <v>766204.3</v>
          </cell>
          <cell r="O25">
            <v>611492.80000000005</v>
          </cell>
          <cell r="P25">
            <v>570223.48553547473</v>
          </cell>
          <cell r="Q25">
            <v>888677.73487076303</v>
          </cell>
        </row>
        <row r="27">
          <cell r="C27" t="str">
            <v>Europe - Africa - Middle East</v>
          </cell>
        </row>
        <row r="28">
          <cell r="C28" t="str">
            <v>Athens</v>
          </cell>
          <cell r="D28">
            <v>15308.81</v>
          </cell>
          <cell r="E28">
            <v>12921.49</v>
          </cell>
          <cell r="F28">
            <v>10724.47</v>
          </cell>
          <cell r="G28">
            <v>13596.51</v>
          </cell>
          <cell r="H28">
            <v>12819.347464671655</v>
          </cell>
          <cell r="I28">
            <v>16526.908276270184</v>
          </cell>
          <cell r="J28">
            <v>23558.149601521098</v>
          </cell>
          <cell r="K28">
            <v>33783.669944661808</v>
          </cell>
          <cell r="L28">
            <v>80125.8</v>
          </cell>
          <cell r="M28">
            <v>196846.9</v>
          </cell>
          <cell r="N28">
            <v>107502.5</v>
          </cell>
          <cell r="O28">
            <v>83481.3</v>
          </cell>
          <cell r="P28">
            <v>66040.03125</v>
          </cell>
          <cell r="Q28">
            <v>103764.48032290615</v>
          </cell>
        </row>
        <row r="29">
          <cell r="C29" t="str">
            <v>Borsa Italiana</v>
          </cell>
          <cell r="D29">
            <v>148765.5</v>
          </cell>
          <cell r="E29">
            <v>158811.1</v>
          </cell>
          <cell r="F29">
            <v>123659.4</v>
          </cell>
          <cell r="G29">
            <v>145299.6</v>
          </cell>
          <cell r="H29">
            <v>185970.71967945754</v>
          </cell>
          <cell r="I29">
            <v>209521.88849317658</v>
          </cell>
          <cell r="J29">
            <v>256595.33735995085</v>
          </cell>
          <cell r="K29">
            <v>344664.97101326322</v>
          </cell>
          <cell r="L29">
            <v>565974.5</v>
          </cell>
          <cell r="M29">
            <v>728240.4</v>
          </cell>
          <cell r="N29">
            <v>768363.4</v>
          </cell>
          <cell r="O29">
            <v>527467.30000000005</v>
          </cell>
          <cell r="P29">
            <v>477075.4291666667</v>
          </cell>
          <cell r="Q29">
            <v>614841.57921291632</v>
          </cell>
        </row>
        <row r="30">
          <cell r="C30" t="str">
            <v>Budapest</v>
          </cell>
          <cell r="D30" t="str">
            <v>NA</v>
          </cell>
          <cell r="E30" t="str">
            <v>NA</v>
          </cell>
          <cell r="F30" t="str">
            <v>NA</v>
          </cell>
          <cell r="G30" t="str">
            <v>NA</v>
          </cell>
          <cell r="H30" t="str">
            <v>NA</v>
          </cell>
          <cell r="I30" t="str">
            <v>NA</v>
          </cell>
          <cell r="J30" t="str">
            <v>NA</v>
          </cell>
          <cell r="K30" t="str">
            <v>NA</v>
          </cell>
          <cell r="L30" t="str">
            <v>NA</v>
          </cell>
          <cell r="M30" t="str">
            <v>NA</v>
          </cell>
          <cell r="N30">
            <v>11908.5</v>
          </cell>
          <cell r="O30">
            <v>10367.000855182954</v>
          </cell>
          <cell r="P30">
            <v>12988.880393975533</v>
          </cell>
          <cell r="Q30">
            <v>18868.159890462208</v>
          </cell>
        </row>
        <row r="31">
          <cell r="C31" t="str">
            <v>Copenhagen</v>
          </cell>
          <cell r="D31">
            <v>39062.5</v>
          </cell>
          <cell r="E31">
            <v>44792.5</v>
          </cell>
          <cell r="F31">
            <v>30140.2</v>
          </cell>
          <cell r="G31">
            <v>41650.5</v>
          </cell>
          <cell r="H31">
            <v>48784.372689179196</v>
          </cell>
          <cell r="I31">
            <v>57691.681703356189</v>
          </cell>
          <cell r="J31">
            <v>71074.321825943727</v>
          </cell>
          <cell r="K31">
            <v>93766.393083506147</v>
          </cell>
          <cell r="L31">
            <v>98881</v>
          </cell>
          <cell r="M31">
            <v>105292.7</v>
          </cell>
          <cell r="N31">
            <v>107665</v>
          </cell>
          <cell r="O31">
            <v>85145</v>
          </cell>
          <cell r="P31">
            <v>76749.870286491569</v>
          </cell>
          <cell r="Q31">
            <v>118167.0958124407</v>
          </cell>
        </row>
        <row r="32">
          <cell r="C32" t="str">
            <v>Deutsche Börse</v>
          </cell>
          <cell r="D32">
            <v>355310.8</v>
          </cell>
          <cell r="E32">
            <v>392470.1</v>
          </cell>
          <cell r="F32">
            <v>346891</v>
          </cell>
          <cell r="G32">
            <v>460753.6</v>
          </cell>
          <cell r="H32">
            <v>499278.41935483873</v>
          </cell>
          <cell r="I32">
            <v>577364.79424299591</v>
          </cell>
          <cell r="J32">
            <v>664913.1944444445</v>
          </cell>
          <cell r="K32">
            <v>825232.74567599129</v>
          </cell>
          <cell r="L32">
            <v>1086748.5</v>
          </cell>
          <cell r="M32">
            <v>1432167</v>
          </cell>
          <cell r="N32">
            <v>1270243.2</v>
          </cell>
          <cell r="O32">
            <v>1071748.7311904549</v>
          </cell>
          <cell r="P32">
            <v>686013.54166666674</v>
          </cell>
          <cell r="Q32">
            <v>1079026.2361251262</v>
          </cell>
        </row>
        <row r="33">
          <cell r="C33" t="str">
            <v xml:space="preserve">Euronext </v>
          </cell>
          <cell r="D33" t="str">
            <v>NA</v>
          </cell>
          <cell r="E33" t="str">
            <v>NA</v>
          </cell>
          <cell r="F33" t="str">
            <v>NA</v>
          </cell>
          <cell r="G33" t="str">
            <v>NA</v>
          </cell>
          <cell r="H33">
            <v>761000</v>
          </cell>
          <cell r="I33">
            <v>906500</v>
          </cell>
          <cell r="J33">
            <v>1105700</v>
          </cell>
          <cell r="K33">
            <v>1322700</v>
          </cell>
          <cell r="L33">
            <v>1903268</v>
          </cell>
          <cell r="M33">
            <v>2444300</v>
          </cell>
          <cell r="N33">
            <v>2271727.5</v>
          </cell>
          <cell r="O33">
            <v>1889455.0796901435</v>
          </cell>
          <cell r="P33">
            <v>1538684.375</v>
          </cell>
          <cell r="Q33">
            <v>2076410.19172553</v>
          </cell>
        </row>
        <row r="34">
          <cell r="C34" t="str">
            <v>Helsinki</v>
          </cell>
          <cell r="D34">
            <v>22721.3</v>
          </cell>
          <cell r="E34">
            <v>14236.7</v>
          </cell>
          <cell r="F34">
            <v>12205.4</v>
          </cell>
          <cell r="G34">
            <v>23595.200000000001</v>
          </cell>
          <cell r="H34">
            <v>38307.613672328305</v>
          </cell>
          <cell r="I34">
            <v>44137.489751738744</v>
          </cell>
          <cell r="J34">
            <v>62579.340463074543</v>
          </cell>
          <cell r="K34">
            <v>73322.18282314486</v>
          </cell>
          <cell r="L34">
            <v>153811</v>
          </cell>
          <cell r="M34">
            <v>349393.6</v>
          </cell>
          <cell r="N34">
            <v>293634.7</v>
          </cell>
          <cell r="O34">
            <v>190455.81871605376</v>
          </cell>
          <cell r="P34">
            <v>138832.63645833335</v>
          </cell>
          <cell r="Q34">
            <v>170283.37916246217</v>
          </cell>
        </row>
        <row r="35">
          <cell r="C35" t="str">
            <v>Irish</v>
          </cell>
          <cell r="D35" t="str">
            <v>NA</v>
          </cell>
          <cell r="E35" t="str">
            <v>NA</v>
          </cell>
          <cell r="F35" t="str">
            <v>NA</v>
          </cell>
          <cell r="G35" t="str">
            <v>NA</v>
          </cell>
          <cell r="H35" t="str">
            <v>NA</v>
          </cell>
          <cell r="I35">
            <v>25835.9</v>
          </cell>
          <cell r="J35">
            <v>34737.599999999999</v>
          </cell>
          <cell r="K35">
            <v>49371.4</v>
          </cell>
          <cell r="L35">
            <v>66596.2</v>
          </cell>
          <cell r="M35">
            <v>68773.2</v>
          </cell>
          <cell r="N35">
            <v>81882.5</v>
          </cell>
          <cell r="O35">
            <v>75297.8</v>
          </cell>
          <cell r="P35">
            <v>59937.5</v>
          </cell>
          <cell r="Q35">
            <v>85070.63572149344</v>
          </cell>
        </row>
        <row r="36">
          <cell r="C36" t="str">
            <v>Istanbul</v>
          </cell>
          <cell r="D36">
            <v>19065</v>
          </cell>
          <cell r="E36">
            <v>15508</v>
          </cell>
          <cell r="F36">
            <v>9755.9</v>
          </cell>
          <cell r="G36">
            <v>36612.699999999997</v>
          </cell>
          <cell r="H36">
            <v>21605.0553099346</v>
          </cell>
          <cell r="I36">
            <v>20771.720853858784</v>
          </cell>
          <cell r="J36">
            <v>30311.797121569718</v>
          </cell>
          <cell r="K36">
            <v>61095.029899818946</v>
          </cell>
          <cell r="L36">
            <v>33645.599999999999</v>
          </cell>
          <cell r="M36">
            <v>112715.8</v>
          </cell>
          <cell r="N36">
            <v>69658.899999999994</v>
          </cell>
          <cell r="O36">
            <v>47149.856357388315</v>
          </cell>
          <cell r="P36">
            <v>34216.666363167322</v>
          </cell>
          <cell r="Q36">
            <v>68379.198576512455</v>
          </cell>
        </row>
        <row r="37">
          <cell r="C37" t="str">
            <v xml:space="preserve">JSE South Africa  </v>
          </cell>
          <cell r="D37">
            <v>136868.70000000001</v>
          </cell>
          <cell r="E37">
            <v>167958</v>
          </cell>
          <cell r="F37">
            <v>148675</v>
          </cell>
          <cell r="G37">
            <v>215882.8</v>
          </cell>
          <cell r="H37">
            <v>240025.95790305288</v>
          </cell>
          <cell r="I37">
            <v>277108.76422987244</v>
          </cell>
          <cell r="J37">
            <v>239578.83484767503</v>
          </cell>
          <cell r="K37">
            <v>211598.68488646869</v>
          </cell>
          <cell r="L37">
            <v>150670</v>
          </cell>
          <cell r="M37">
            <v>180462.9</v>
          </cell>
          <cell r="N37">
            <v>131321</v>
          </cell>
          <cell r="O37">
            <v>84343.5</v>
          </cell>
          <cell r="P37">
            <v>116544.4172779136</v>
          </cell>
          <cell r="Q37">
            <v>168263.11610486894</v>
          </cell>
        </row>
        <row r="38">
          <cell r="C38" t="str">
            <v>Ljubljana</v>
          </cell>
          <cell r="D38" t="str">
            <v>NA</v>
          </cell>
          <cell r="E38" t="str">
            <v>NA</v>
          </cell>
          <cell r="F38" t="str">
            <v>NA</v>
          </cell>
          <cell r="G38" t="str">
            <v>NA</v>
          </cell>
          <cell r="H38">
            <v>215.9</v>
          </cell>
          <cell r="I38">
            <v>296.7</v>
          </cell>
          <cell r="J38">
            <v>890.8</v>
          </cell>
          <cell r="K38">
            <v>1875.5</v>
          </cell>
          <cell r="L38">
            <v>2984.9</v>
          </cell>
          <cell r="M38">
            <v>2854</v>
          </cell>
          <cell r="N38">
            <v>3099.6</v>
          </cell>
          <cell r="O38">
            <v>3461.288593883618</v>
          </cell>
          <cell r="P38">
            <v>5577.9039942099789</v>
          </cell>
          <cell r="Q38">
            <v>7134.1319061692893</v>
          </cell>
        </row>
        <row r="39">
          <cell r="C39" t="str">
            <v>London</v>
          </cell>
          <cell r="D39">
            <v>850011.8</v>
          </cell>
          <cell r="E39">
            <v>986107.2</v>
          </cell>
          <cell r="F39">
            <v>928392.6</v>
          </cell>
          <cell r="G39">
            <v>1150557.3</v>
          </cell>
          <cell r="H39">
            <v>1145290.4083867939</v>
          </cell>
          <cell r="I39">
            <v>1346640.739015681</v>
          </cell>
          <cell r="J39">
            <v>1642582.3748308525</v>
          </cell>
          <cell r="K39">
            <v>1996225.0740375125</v>
          </cell>
          <cell r="L39">
            <v>2372738.1</v>
          </cell>
          <cell r="M39">
            <v>2855351.2</v>
          </cell>
          <cell r="N39">
            <v>2612230.2000000002</v>
          </cell>
          <cell r="O39">
            <v>2164716.2000000002</v>
          </cell>
          <cell r="P39">
            <v>1856194.4061548323</v>
          </cell>
          <cell r="Q39">
            <v>2460063.9634801289</v>
          </cell>
        </row>
        <row r="40">
          <cell r="C40" t="str">
            <v>Luxembourg</v>
          </cell>
          <cell r="D40">
            <v>10455.5</v>
          </cell>
          <cell r="E40">
            <v>11275.8</v>
          </cell>
          <cell r="F40">
            <v>11920.9</v>
          </cell>
          <cell r="G40">
            <v>19314.400000000001</v>
          </cell>
          <cell r="H40">
            <v>28518.412818096134</v>
          </cell>
          <cell r="I40">
            <v>30443.322460074753</v>
          </cell>
          <cell r="J40">
            <v>32410.557428214732</v>
          </cell>
          <cell r="K40">
            <v>33892.156756902645</v>
          </cell>
          <cell r="L40">
            <v>37930.699999999997</v>
          </cell>
          <cell r="M40">
            <v>35938.699999999997</v>
          </cell>
          <cell r="N40">
            <v>34016.400000000001</v>
          </cell>
          <cell r="O40">
            <v>23782.799999999999</v>
          </cell>
          <cell r="P40">
            <v>24550.53125</v>
          </cell>
          <cell r="Q40">
            <v>37333.2492431887</v>
          </cell>
        </row>
        <row r="41">
          <cell r="C41" t="str">
            <v>Malta</v>
          </cell>
          <cell r="D41" t="str">
            <v>NA</v>
          </cell>
          <cell r="E41" t="str">
            <v>NA</v>
          </cell>
          <cell r="F41" t="str">
            <v>NA</v>
          </cell>
          <cell r="G41">
            <v>7.2</v>
          </cell>
          <cell r="H41">
            <v>19</v>
          </cell>
          <cell r="I41">
            <v>376.6</v>
          </cell>
          <cell r="J41">
            <v>409.4</v>
          </cell>
          <cell r="K41">
            <v>422.2</v>
          </cell>
          <cell r="L41">
            <v>788</v>
          </cell>
          <cell r="M41">
            <v>3861.6</v>
          </cell>
          <cell r="N41">
            <v>2024.3</v>
          </cell>
          <cell r="O41">
            <v>1356.8731956473464</v>
          </cell>
          <cell r="P41">
            <v>1373.7222637746197</v>
          </cell>
          <cell r="Q41">
            <v>1844.6522501461134</v>
          </cell>
        </row>
        <row r="42">
          <cell r="C42" t="str">
            <v>Oslo</v>
          </cell>
          <cell r="D42">
            <v>26129.8</v>
          </cell>
          <cell r="E42">
            <v>21997.200000000001</v>
          </cell>
          <cell r="F42">
            <v>17840.400000000001</v>
          </cell>
          <cell r="G42">
            <v>27541.7</v>
          </cell>
          <cell r="H42">
            <v>36458.63645771733</v>
          </cell>
          <cell r="I42">
            <v>44586.969183773603</v>
          </cell>
          <cell r="J42">
            <v>56879.081672225235</v>
          </cell>
          <cell r="K42">
            <v>66502.631436167329</v>
          </cell>
          <cell r="L42">
            <v>46272.6</v>
          </cell>
          <cell r="M42">
            <v>63695.3</v>
          </cell>
          <cell r="N42">
            <v>65266.7</v>
          </cell>
          <cell r="O42">
            <v>69444.800000000003</v>
          </cell>
          <cell r="P42">
            <v>68103.061664510562</v>
          </cell>
          <cell r="Q42">
            <v>95919.913419913413</v>
          </cell>
        </row>
        <row r="43">
          <cell r="C43" t="str">
            <v>Spanish Exchanges (BME)</v>
          </cell>
          <cell r="D43">
            <v>111449</v>
          </cell>
          <cell r="E43">
            <v>127297.1</v>
          </cell>
          <cell r="F43">
            <v>98846.7</v>
          </cell>
          <cell r="G43">
            <v>118869.1</v>
          </cell>
          <cell r="H43">
            <v>123616.47040948113</v>
          </cell>
          <cell r="I43">
            <v>150914.22683811409</v>
          </cell>
          <cell r="J43">
            <v>241028.1</v>
          </cell>
          <cell r="K43">
            <v>290354.8</v>
          </cell>
          <cell r="L43">
            <v>399847.6</v>
          </cell>
          <cell r="M43">
            <v>431649.2</v>
          </cell>
          <cell r="N43">
            <v>504221.9</v>
          </cell>
          <cell r="O43">
            <v>468203.20541358739</v>
          </cell>
          <cell r="P43">
            <v>461559.57291666669</v>
          </cell>
          <cell r="Q43">
            <v>726243.36528758833</v>
          </cell>
        </row>
        <row r="44">
          <cell r="C44" t="str">
            <v>Stockholmsbörsen</v>
          </cell>
          <cell r="D44">
            <v>92014.7</v>
          </cell>
          <cell r="E44">
            <v>97055.3</v>
          </cell>
          <cell r="F44">
            <v>78079.3</v>
          </cell>
          <cell r="G44">
            <v>106968</v>
          </cell>
          <cell r="H44">
            <v>130602.63653483993</v>
          </cell>
          <cell r="I44">
            <v>172550.32139300479</v>
          </cell>
          <cell r="J44">
            <v>240382.13218683959</v>
          </cell>
          <cell r="K44">
            <v>264710.63443651854</v>
          </cell>
          <cell r="L44">
            <v>278707.59999999998</v>
          </cell>
          <cell r="M44">
            <v>373277.7</v>
          </cell>
          <cell r="N44">
            <v>328339</v>
          </cell>
          <cell r="O44">
            <v>236514.36170719852</v>
          </cell>
          <cell r="P44">
            <v>179117.36723254508</v>
          </cell>
          <cell r="Q44">
            <v>293016.83043097577</v>
          </cell>
        </row>
        <row r="45">
          <cell r="C45" t="str">
            <v>Swiss Exchange</v>
          </cell>
          <cell r="D45">
            <v>157634.6</v>
          </cell>
          <cell r="E45">
            <v>173765.7</v>
          </cell>
          <cell r="F45">
            <v>189117.1</v>
          </cell>
          <cell r="G45">
            <v>270879.09999999998</v>
          </cell>
          <cell r="H45">
            <v>284721.30521167658</v>
          </cell>
          <cell r="I45">
            <v>398088.12027461542</v>
          </cell>
          <cell r="J45">
            <v>400285.41774779448</v>
          </cell>
          <cell r="K45">
            <v>575338.68092691631</v>
          </cell>
          <cell r="L45">
            <v>701576.3</v>
          </cell>
          <cell r="M45">
            <v>693133</v>
          </cell>
          <cell r="N45">
            <v>792316.4</v>
          </cell>
          <cell r="O45">
            <v>625908.71529241698</v>
          </cell>
          <cell r="P45">
            <v>547020.37938439508</v>
          </cell>
          <cell r="Q45">
            <v>727103.00776196644</v>
          </cell>
        </row>
        <row r="46">
          <cell r="C46" t="str">
            <v>Tehran</v>
          </cell>
          <cell r="D46" t="str">
            <v>NA</v>
          </cell>
          <cell r="E46" t="str">
            <v>NA</v>
          </cell>
          <cell r="F46">
            <v>1332.6</v>
          </cell>
          <cell r="G46">
            <v>1148.9000000000001</v>
          </cell>
          <cell r="H46">
            <v>2359.9103110489154</v>
          </cell>
          <cell r="I46">
            <v>6534.8845207439199</v>
          </cell>
          <cell r="J46">
            <v>12868.561716738199</v>
          </cell>
          <cell r="K46">
            <v>11476</v>
          </cell>
          <cell r="L46">
            <v>11115.1</v>
          </cell>
          <cell r="M46">
            <v>17242.5</v>
          </cell>
          <cell r="N46">
            <v>5892.5</v>
          </cell>
          <cell r="O46">
            <v>7385</v>
          </cell>
          <cell r="P46">
            <v>11760.557579937304</v>
          </cell>
          <cell r="Q46">
            <v>27544.166726900374</v>
          </cell>
        </row>
        <row r="47">
          <cell r="C47" t="str">
            <v>Tel-Aviv</v>
          </cell>
          <cell r="D47">
            <v>8273.9</v>
          </cell>
          <cell r="E47">
            <v>13228.4</v>
          </cell>
          <cell r="F47">
            <v>27884.2</v>
          </cell>
          <cell r="G47">
            <v>47517.8</v>
          </cell>
          <cell r="H47">
            <v>31130.443428116923</v>
          </cell>
          <cell r="I47">
            <v>35115.908293740635</v>
          </cell>
          <cell r="J47">
            <v>34462.505750651741</v>
          </cell>
          <cell r="K47">
            <v>44370.724260756491</v>
          </cell>
          <cell r="L47">
            <v>39230.1</v>
          </cell>
          <cell r="M47">
            <v>63472.3</v>
          </cell>
          <cell r="N47">
            <v>65337.5</v>
          </cell>
          <cell r="O47">
            <v>58228.92112420671</v>
          </cell>
          <cell r="P47">
            <v>40774.207011686143</v>
          </cell>
          <cell r="Q47">
            <v>68904.436860068265</v>
          </cell>
        </row>
        <row r="48">
          <cell r="C48" t="str">
            <v>Warsaw</v>
          </cell>
          <cell r="D48" t="str">
            <v>NA</v>
          </cell>
          <cell r="E48">
            <v>145.76400000000001</v>
          </cell>
          <cell r="F48">
            <v>227.07</v>
          </cell>
          <cell r="G48">
            <v>2718.7</v>
          </cell>
          <cell r="H48">
            <v>3057.1399261386955</v>
          </cell>
          <cell r="I48">
            <v>4564.083022539322</v>
          </cell>
          <cell r="J48">
            <v>8413.3984647592461</v>
          </cell>
          <cell r="K48">
            <v>12134.808510638297</v>
          </cell>
          <cell r="L48">
            <v>20461.099999999999</v>
          </cell>
          <cell r="M48">
            <v>29576.799999999999</v>
          </cell>
          <cell r="N48">
            <v>31428.6</v>
          </cell>
          <cell r="O48">
            <v>26155</v>
          </cell>
          <cell r="P48">
            <v>28849.208088714939</v>
          </cell>
          <cell r="Q48">
            <v>37404.539261000828</v>
          </cell>
        </row>
        <row r="49">
          <cell r="C49" t="str">
            <v>Wiener Börse</v>
          </cell>
          <cell r="D49">
            <v>26319.8</v>
          </cell>
          <cell r="E49">
            <v>26039.7</v>
          </cell>
          <cell r="F49">
            <v>21679.9</v>
          </cell>
          <cell r="G49">
            <v>28321.5</v>
          </cell>
          <cell r="H49">
            <v>30792.115516846206</v>
          </cell>
          <cell r="I49">
            <v>32513.157110797765</v>
          </cell>
          <cell r="J49">
            <v>33629.178164805642</v>
          </cell>
          <cell r="K49">
            <v>37280.495130896677</v>
          </cell>
          <cell r="L49">
            <v>35543.5</v>
          </cell>
          <cell r="M49">
            <v>33023</v>
          </cell>
          <cell r="N49">
            <v>29935.200000000001</v>
          </cell>
          <cell r="O49">
            <v>25204.345116196244</v>
          </cell>
          <cell r="P49">
            <v>33578.125</v>
          </cell>
          <cell r="Q49">
            <v>56522.45206861756</v>
          </cell>
        </row>
        <row r="51">
          <cell r="C51" t="str">
            <v>Asia - Pacific</v>
          </cell>
        </row>
        <row r="52">
          <cell r="C52" t="str">
            <v>Australian</v>
          </cell>
          <cell r="D52">
            <v>107936</v>
          </cell>
          <cell r="E52">
            <v>142404.1</v>
          </cell>
          <cell r="F52">
            <v>133555</v>
          </cell>
          <cell r="G52">
            <v>202013.8</v>
          </cell>
          <cell r="H52">
            <v>216825.93856655291</v>
          </cell>
          <cell r="I52">
            <v>243474.67083240347</v>
          </cell>
          <cell r="J52">
            <v>311864.75735879078</v>
          </cell>
          <cell r="K52">
            <v>295765.59999999998</v>
          </cell>
          <cell r="L52">
            <v>328853.7</v>
          </cell>
          <cell r="M52">
            <v>427655.4</v>
          </cell>
          <cell r="N52">
            <v>372794.4</v>
          </cell>
          <cell r="O52">
            <v>375598.15715382644</v>
          </cell>
          <cell r="P52">
            <v>380087.00073442177</v>
          </cell>
          <cell r="Q52">
            <v>585430.98251959018</v>
          </cell>
          <cell r="R52">
            <v>776402.75926942064</v>
          </cell>
          <cell r="S52">
            <v>804014.81807511742</v>
          </cell>
        </row>
        <row r="53">
          <cell r="C53" t="str">
            <v>Colombo</v>
          </cell>
          <cell r="D53">
            <v>917</v>
          </cell>
          <cell r="E53">
            <v>1936</v>
          </cell>
          <cell r="F53">
            <v>1439</v>
          </cell>
          <cell r="G53">
            <v>2501.4</v>
          </cell>
          <cell r="H53">
            <v>2856.6</v>
          </cell>
          <cell r="I53">
            <v>1998.1</v>
          </cell>
          <cell r="J53">
            <v>1865.2</v>
          </cell>
          <cell r="K53">
            <v>2096</v>
          </cell>
          <cell r="L53">
            <v>1704.6</v>
          </cell>
          <cell r="M53">
            <v>1584</v>
          </cell>
          <cell r="N53">
            <v>1074.0999999999999</v>
          </cell>
          <cell r="O53">
            <v>1331.5254401030486</v>
          </cell>
          <cell r="P53">
            <v>1680.4081442819495</v>
          </cell>
          <cell r="Q53">
            <v>2711.0716864363076</v>
          </cell>
        </row>
        <row r="54">
          <cell r="C54" t="str">
            <v>Hong Kong</v>
          </cell>
          <cell r="D54">
            <v>83385.899999999994</v>
          </cell>
          <cell r="E54">
            <v>121880.9</v>
          </cell>
          <cell r="F54">
            <v>171983.5</v>
          </cell>
          <cell r="G54">
            <v>385042.7</v>
          </cell>
          <cell r="H54">
            <v>269507.82732325193</v>
          </cell>
          <cell r="I54">
            <v>303705.27792866202</v>
          </cell>
          <cell r="J54">
            <v>449218.77019307815</v>
          </cell>
          <cell r="K54">
            <v>413322.57856359298</v>
          </cell>
          <cell r="L54">
            <v>343566.5</v>
          </cell>
          <cell r="M54">
            <v>609090.4</v>
          </cell>
          <cell r="N54">
            <v>623397.69999999995</v>
          </cell>
          <cell r="O54">
            <v>506072.93886815681</v>
          </cell>
          <cell r="P54">
            <v>463054.91800125659</v>
          </cell>
          <cell r="Q54">
            <v>714597.35174403619</v>
          </cell>
          <cell r="R54">
            <v>861462.94080564019</v>
          </cell>
          <cell r="S54">
            <v>1054999.319017218</v>
          </cell>
        </row>
        <row r="55">
          <cell r="C55" t="str">
            <v>Jakarta</v>
          </cell>
          <cell r="D55">
            <v>8081</v>
          </cell>
          <cell r="E55">
            <v>6823</v>
          </cell>
          <cell r="F55">
            <v>12038</v>
          </cell>
          <cell r="G55">
            <v>32824</v>
          </cell>
          <cell r="H55">
            <v>47240.764331210194</v>
          </cell>
          <cell r="I55">
            <v>66453.750273343539</v>
          </cell>
          <cell r="J55">
            <v>90857.42619551417</v>
          </cell>
          <cell r="K55">
            <v>29050.019945404911</v>
          </cell>
          <cell r="L55">
            <v>22077.9</v>
          </cell>
          <cell r="M55">
            <v>64044.7</v>
          </cell>
          <cell r="N55">
            <v>26812.5</v>
          </cell>
          <cell r="O55">
            <v>22997.858764423079</v>
          </cell>
          <cell r="P55">
            <v>30066.959014281714</v>
          </cell>
          <cell r="Q55">
            <v>54659.063604576433</v>
          </cell>
        </row>
        <row r="56">
          <cell r="C56" t="str">
            <v>Japan (Tokyo)</v>
          </cell>
          <cell r="D56">
            <v>2928533.7</v>
          </cell>
          <cell r="E56">
            <v>3117297.3</v>
          </cell>
          <cell r="F56">
            <v>2318928.6</v>
          </cell>
          <cell r="G56">
            <v>2906298.7</v>
          </cell>
          <cell r="H56">
            <v>3592193.9103816985</v>
          </cell>
          <cell r="I56">
            <v>3545306.5096214432</v>
          </cell>
          <cell r="J56">
            <v>3011161.4051806289</v>
          </cell>
          <cell r="K56">
            <v>2160584.8106133435</v>
          </cell>
          <cell r="L56">
            <v>2439548.7999999998</v>
          </cell>
          <cell r="M56">
            <v>4463297.8</v>
          </cell>
          <cell r="N56">
            <v>3157221.8</v>
          </cell>
          <cell r="O56">
            <v>2264527.9032504195</v>
          </cell>
          <cell r="P56">
            <v>2069299.1273167473</v>
          </cell>
          <cell r="Q56">
            <v>2953098.2924325839</v>
          </cell>
        </row>
        <row r="57">
          <cell r="C57" t="str">
            <v>Korea</v>
          </cell>
          <cell r="D57">
            <v>110301.1</v>
          </cell>
          <cell r="E57">
            <v>96466</v>
          </cell>
          <cell r="F57">
            <v>107661.1</v>
          </cell>
          <cell r="G57">
            <v>139583.9</v>
          </cell>
          <cell r="H57">
            <v>191778.10934925891</v>
          </cell>
          <cell r="I57">
            <v>181954.75217531421</v>
          </cell>
          <cell r="J57">
            <v>139121.65945593553</v>
          </cell>
          <cell r="K57">
            <v>41881.355162241889</v>
          </cell>
          <cell r="L57">
            <v>114593.3</v>
          </cell>
          <cell r="M57">
            <v>306127.5</v>
          </cell>
          <cell r="N57">
            <v>148361.20000000001</v>
          </cell>
          <cell r="O57">
            <v>194470.13627712219</v>
          </cell>
          <cell r="P57">
            <v>216116.59300722671</v>
          </cell>
          <cell r="Q57">
            <v>298248.11162400333</v>
          </cell>
        </row>
        <row r="58">
          <cell r="C58" t="str">
            <v>Bursa Malaysia</v>
          </cell>
          <cell r="D58">
            <v>47868.800000000003</v>
          </cell>
          <cell r="E58">
            <v>56721.599999999999</v>
          </cell>
          <cell r="F58">
            <v>91471.2</v>
          </cell>
          <cell r="G58">
            <v>219758.7</v>
          </cell>
          <cell r="H58">
            <v>190162.5220285882</v>
          </cell>
          <cell r="I58">
            <v>213757.38479716424</v>
          </cell>
          <cell r="J58">
            <v>306164.97943688708</v>
          </cell>
          <cell r="K58">
            <v>93174.1</v>
          </cell>
          <cell r="L58">
            <v>95560.6</v>
          </cell>
          <cell r="M58">
            <v>139907.9</v>
          </cell>
          <cell r="N58">
            <v>113155.3</v>
          </cell>
          <cell r="O58">
            <v>118980.68421052632</v>
          </cell>
          <cell r="P58">
            <v>122892.35263157895</v>
          </cell>
          <cell r="Q58">
            <v>160970.34473684212</v>
          </cell>
          <cell r="R58">
            <v>181623.79473684213</v>
          </cell>
          <cell r="S58">
            <v>180517.54464876308</v>
          </cell>
        </row>
        <row r="59">
          <cell r="C59" t="str">
            <v>Mumbai</v>
          </cell>
          <cell r="D59" t="str">
            <v>NA</v>
          </cell>
          <cell r="E59" t="str">
            <v>NA</v>
          </cell>
          <cell r="F59" t="str">
            <v>NA</v>
          </cell>
          <cell r="G59" t="str">
            <v>NA</v>
          </cell>
          <cell r="H59" t="str">
            <v>NA</v>
          </cell>
          <cell r="I59" t="str">
            <v>NA</v>
          </cell>
          <cell r="J59" t="str">
            <v>NA</v>
          </cell>
          <cell r="K59" t="str">
            <v>NA</v>
          </cell>
          <cell r="L59" t="str">
            <v>NA</v>
          </cell>
          <cell r="M59" t="str">
            <v>NA</v>
          </cell>
          <cell r="N59" t="str">
            <v>NA</v>
          </cell>
          <cell r="O59" t="str">
            <v>NA</v>
          </cell>
          <cell r="P59">
            <v>130390.18340975407</v>
          </cell>
          <cell r="Q59">
            <v>278662.8383561644</v>
          </cell>
        </row>
        <row r="60">
          <cell r="C60" t="str">
            <v>National Stock Exchange India</v>
          </cell>
          <cell r="D60" t="str">
            <v>NA</v>
          </cell>
          <cell r="E60" t="str">
            <v>NA</v>
          </cell>
          <cell r="F60" t="str">
            <v>NA</v>
          </cell>
          <cell r="G60" t="str">
            <v>NA</v>
          </cell>
          <cell r="H60" t="str">
            <v>NA</v>
          </cell>
          <cell r="I60" t="str">
            <v>NA</v>
          </cell>
          <cell r="J60" t="str">
            <v>NA</v>
          </cell>
          <cell r="K60" t="str">
            <v>NA</v>
          </cell>
          <cell r="L60" t="str">
            <v>NA</v>
          </cell>
          <cell r="M60" t="str">
            <v>NA</v>
          </cell>
          <cell r="N60" t="str">
            <v>NA</v>
          </cell>
          <cell r="O60" t="str">
            <v>NA</v>
          </cell>
          <cell r="P60">
            <v>112453.85577323886</v>
          </cell>
          <cell r="Q60">
            <v>252893.36986301371</v>
          </cell>
        </row>
        <row r="61">
          <cell r="C61" t="str">
            <v>New Zealand</v>
          </cell>
          <cell r="D61">
            <v>8823.7999999999993</v>
          </cell>
          <cell r="E61">
            <v>14284.9</v>
          </cell>
          <cell r="F61">
            <v>14680.3</v>
          </cell>
          <cell r="G61">
            <v>24595.3</v>
          </cell>
          <cell r="H61">
            <v>27117.662121503105</v>
          </cell>
          <cell r="I61">
            <v>31949.833278849292</v>
          </cell>
          <cell r="J61">
            <v>36879.251642993426</v>
          </cell>
          <cell r="K61">
            <v>29889.153989083734</v>
          </cell>
          <cell r="L61">
            <v>24458.400000000001</v>
          </cell>
          <cell r="M61">
            <v>27827.1</v>
          </cell>
          <cell r="N61">
            <v>18489.5</v>
          </cell>
          <cell r="O61">
            <v>17736.456381428274</v>
          </cell>
          <cell r="P61">
            <v>21714.631203441404</v>
          </cell>
          <cell r="Q61">
            <v>33049.760357166306</v>
          </cell>
        </row>
        <row r="62">
          <cell r="C62" t="str">
            <v>Philippine</v>
          </cell>
          <cell r="D62">
            <v>6631.51</v>
          </cell>
          <cell r="E62">
            <v>10835.3</v>
          </cell>
          <cell r="F62">
            <v>15335.16</v>
          </cell>
          <cell r="G62">
            <v>40148.22</v>
          </cell>
          <cell r="H62">
            <v>56647.950819672136</v>
          </cell>
          <cell r="I62">
            <v>58779.641631719402</v>
          </cell>
          <cell r="J62">
            <v>80464</v>
          </cell>
          <cell r="K62">
            <v>31211.4</v>
          </cell>
          <cell r="L62">
            <v>34910.9</v>
          </cell>
          <cell r="M62">
            <v>41536.1</v>
          </cell>
          <cell r="N62">
            <v>25261.4</v>
          </cell>
          <cell r="O62">
            <v>20606.236240310078</v>
          </cell>
          <cell r="P62">
            <v>18197.645079899074</v>
          </cell>
          <cell r="Q62">
            <v>23190.473162824208</v>
          </cell>
        </row>
        <row r="63">
          <cell r="C63" t="str">
            <v>Shanghai</v>
          </cell>
          <cell r="D63" t="str">
            <v>NA</v>
          </cell>
          <cell r="E63" t="str">
            <v>NA</v>
          </cell>
          <cell r="F63" t="str">
            <v>NA</v>
          </cell>
          <cell r="G63" t="str">
            <v>NA</v>
          </cell>
          <cell r="H63" t="str">
            <v>NA</v>
          </cell>
          <cell r="I63" t="str">
            <v>NA</v>
          </cell>
          <cell r="J63" t="str">
            <v>NA</v>
          </cell>
          <cell r="K63" t="str">
            <v>NA</v>
          </cell>
          <cell r="L63" t="str">
            <v>NA</v>
          </cell>
          <cell r="M63" t="str">
            <v>NA</v>
          </cell>
          <cell r="N63" t="str">
            <v>NA</v>
          </cell>
          <cell r="O63" t="str">
            <v>NA</v>
          </cell>
          <cell r="P63">
            <v>306443.58206069982</v>
          </cell>
          <cell r="Q63">
            <v>360106.32256817329</v>
          </cell>
        </row>
        <row r="64">
          <cell r="C64" t="str">
            <v>Shenzhen</v>
          </cell>
          <cell r="D64" t="str">
            <v>NA</v>
          </cell>
          <cell r="E64" t="str">
            <v>NA</v>
          </cell>
          <cell r="F64" t="str">
            <v>NA</v>
          </cell>
          <cell r="G64" t="str">
            <v>NA</v>
          </cell>
          <cell r="H64" t="str">
            <v>NA</v>
          </cell>
          <cell r="I64" t="str">
            <v>NA</v>
          </cell>
          <cell r="J64" t="str">
            <v>NA</v>
          </cell>
          <cell r="K64" t="str">
            <v>NA</v>
          </cell>
          <cell r="L64" t="str">
            <v>NA</v>
          </cell>
          <cell r="M64" t="str">
            <v>NA</v>
          </cell>
          <cell r="N64" t="str">
            <v>NA</v>
          </cell>
          <cell r="O64" t="str">
            <v>NA</v>
          </cell>
          <cell r="P64">
            <v>156647.56910883434</v>
          </cell>
          <cell r="Q64">
            <v>152872.44916452208</v>
          </cell>
        </row>
        <row r="65">
          <cell r="C65" t="str">
            <v xml:space="preserve">Singapore </v>
          </cell>
          <cell r="D65">
            <v>34268.5</v>
          </cell>
          <cell r="E65">
            <v>47593.5</v>
          </cell>
          <cell r="F65">
            <v>48933.7</v>
          </cell>
          <cell r="G65">
            <v>135050.20000000001</v>
          </cell>
          <cell r="H65">
            <v>136302.8328417587</v>
          </cell>
          <cell r="I65">
            <v>150958.64262990456</v>
          </cell>
          <cell r="J65">
            <v>153106.68380462725</v>
          </cell>
          <cell r="K65">
            <v>106317.03264094956</v>
          </cell>
          <cell r="L65">
            <v>96472.7</v>
          </cell>
          <cell r="M65">
            <v>198039.5</v>
          </cell>
          <cell r="N65">
            <v>155125.6</v>
          </cell>
          <cell r="O65">
            <v>117338</v>
          </cell>
          <cell r="P65">
            <v>101553.74204278259</v>
          </cell>
          <cell r="Q65">
            <v>148502.63793204969</v>
          </cell>
          <cell r="R65">
            <v>217617.77750551334</v>
          </cell>
          <cell r="S65">
            <v>245891.61385845425</v>
          </cell>
        </row>
        <row r="66">
          <cell r="C66" t="str">
            <v>Taiwan</v>
          </cell>
          <cell r="D66">
            <v>98927</v>
          </cell>
          <cell r="E66">
            <v>123459.8</v>
          </cell>
          <cell r="F66">
            <v>100166.39999999999</v>
          </cell>
          <cell r="G66">
            <v>193251.5</v>
          </cell>
          <cell r="H66">
            <v>247325.09129640899</v>
          </cell>
          <cell r="I66">
            <v>187205.9955290065</v>
          </cell>
          <cell r="J66">
            <v>273776.40000000002</v>
          </cell>
          <cell r="K66">
            <v>287813.09999999998</v>
          </cell>
          <cell r="L66">
            <v>260498.4</v>
          </cell>
          <cell r="M66">
            <v>376507.9</v>
          </cell>
          <cell r="N66">
            <v>247596.9</v>
          </cell>
          <cell r="O66">
            <v>292872.22063446697</v>
          </cell>
          <cell r="P66">
            <v>261311.1909208447</v>
          </cell>
          <cell r="Q66">
            <v>379060.41237113398</v>
          </cell>
        </row>
        <row r="67">
          <cell r="C67" t="str">
            <v>Thailand</v>
          </cell>
          <cell r="D67">
            <v>20777.099999999999</v>
          </cell>
          <cell r="E67">
            <v>37525.699999999997</v>
          </cell>
          <cell r="F67">
            <v>57278.3</v>
          </cell>
          <cell r="G67">
            <v>127473.7</v>
          </cell>
          <cell r="H67">
            <v>125599.25393347938</v>
          </cell>
          <cell r="I67">
            <v>135774.22111949185</v>
          </cell>
          <cell r="J67">
            <v>95900.549746390941</v>
          </cell>
          <cell r="K67">
            <v>22792.020353063344</v>
          </cell>
          <cell r="L67">
            <v>34117.800000000003</v>
          </cell>
          <cell r="M67">
            <v>57176.6</v>
          </cell>
          <cell r="N67">
            <v>29217.4</v>
          </cell>
          <cell r="O67">
            <v>35950.400000000001</v>
          </cell>
          <cell r="P67">
            <v>45405.912144102273</v>
          </cell>
          <cell r="Q67">
            <v>119017.19528045933</v>
          </cell>
        </row>
        <row r="74">
          <cell r="C74" t="str">
            <v>(US$bn)</v>
          </cell>
          <cell r="D74">
            <v>1990</v>
          </cell>
          <cell r="E74">
            <v>1991</v>
          </cell>
          <cell r="F74">
            <v>1992</v>
          </cell>
          <cell r="G74">
            <v>1993</v>
          </cell>
          <cell r="H74">
            <v>1994</v>
          </cell>
          <cell r="I74">
            <v>1995</v>
          </cell>
          <cell r="J74">
            <v>1996</v>
          </cell>
          <cell r="K74">
            <v>1997</v>
          </cell>
          <cell r="L74">
            <v>1998</v>
          </cell>
          <cell r="M74">
            <v>1999</v>
          </cell>
          <cell r="N74">
            <v>2000</v>
          </cell>
          <cell r="O74">
            <v>2001</v>
          </cell>
          <cell r="P74">
            <v>2002</v>
          </cell>
          <cell r="Q74">
            <v>2003</v>
          </cell>
          <cell r="R74">
            <v>2004</v>
          </cell>
          <cell r="S74">
            <v>2005</v>
          </cell>
        </row>
        <row r="75">
          <cell r="C75" t="str">
            <v>Australia</v>
          </cell>
          <cell r="D75">
            <v>107.93600000000001</v>
          </cell>
          <cell r="E75">
            <v>142.4041</v>
          </cell>
          <cell r="F75">
            <v>133.55500000000001</v>
          </cell>
          <cell r="G75">
            <v>202.01379999999997</v>
          </cell>
          <cell r="H75">
            <v>216.82593856655291</v>
          </cell>
          <cell r="I75">
            <v>243.47467083240346</v>
          </cell>
          <cell r="J75">
            <v>311.86475735879077</v>
          </cell>
          <cell r="K75">
            <v>295.76559999999995</v>
          </cell>
          <cell r="L75">
            <v>328.8537</v>
          </cell>
          <cell r="M75">
            <v>427.65540000000004</v>
          </cell>
          <cell r="N75">
            <v>372.7944</v>
          </cell>
          <cell r="O75">
            <v>375.59815715382643</v>
          </cell>
          <cell r="P75">
            <v>380.08700073442179</v>
          </cell>
          <cell r="Q75">
            <v>585.4309825195902</v>
          </cell>
          <cell r="R75">
            <v>776.40275926942059</v>
          </cell>
          <cell r="S75">
            <v>804.01481807511743</v>
          </cell>
        </row>
        <row r="76">
          <cell r="C76" t="str">
            <v>Hong Kong</v>
          </cell>
          <cell r="D76">
            <v>83.385899999999992</v>
          </cell>
          <cell r="E76">
            <v>121.8809</v>
          </cell>
          <cell r="F76">
            <v>171.98349999999999</v>
          </cell>
          <cell r="G76">
            <v>385.04270000000002</v>
          </cell>
          <cell r="H76">
            <v>269.50782732325195</v>
          </cell>
          <cell r="I76">
            <v>303.70527792866204</v>
          </cell>
          <cell r="J76">
            <v>449.21877019307817</v>
          </cell>
          <cell r="K76">
            <v>413.32257856359297</v>
          </cell>
          <cell r="L76">
            <v>343.56650000000002</v>
          </cell>
          <cell r="M76">
            <v>609.09040000000005</v>
          </cell>
          <cell r="N76">
            <v>623.39769999999999</v>
          </cell>
          <cell r="O76">
            <v>506.07293886815683</v>
          </cell>
          <cell r="P76">
            <v>463.05491800125657</v>
          </cell>
          <cell r="Q76">
            <v>714.59735174403625</v>
          </cell>
          <cell r="R76">
            <v>861.46294080564019</v>
          </cell>
          <cell r="S76">
            <v>1054.9993190172179</v>
          </cell>
        </row>
        <row r="77">
          <cell r="C77" t="str">
            <v>Malaysia</v>
          </cell>
          <cell r="D77">
            <v>47.8688</v>
          </cell>
          <cell r="E77">
            <v>56.721599999999995</v>
          </cell>
          <cell r="F77">
            <v>91.471199999999996</v>
          </cell>
          <cell r="G77">
            <v>219.7587</v>
          </cell>
          <cell r="H77">
            <v>190.1625220285882</v>
          </cell>
          <cell r="I77">
            <v>213.75738479716424</v>
          </cell>
          <cell r="J77">
            <v>306.16497943688705</v>
          </cell>
          <cell r="K77">
            <v>93.17410000000001</v>
          </cell>
          <cell r="L77">
            <v>95.560600000000008</v>
          </cell>
          <cell r="M77">
            <v>139.90789999999998</v>
          </cell>
          <cell r="N77">
            <v>113.1553</v>
          </cell>
          <cell r="O77">
            <v>118.98068421052632</v>
          </cell>
          <cell r="P77">
            <v>122.89235263157894</v>
          </cell>
          <cell r="Q77">
            <v>160.97034473684212</v>
          </cell>
          <cell r="R77">
            <v>181.62379473684214</v>
          </cell>
          <cell r="S77">
            <v>180.51754464876308</v>
          </cell>
        </row>
        <row r="78">
          <cell r="C78" t="str">
            <v xml:space="preserve">Singapore </v>
          </cell>
          <cell r="D78">
            <v>34.268500000000003</v>
          </cell>
          <cell r="E78">
            <v>47.593499999999999</v>
          </cell>
          <cell r="F78">
            <v>48.933699999999995</v>
          </cell>
          <cell r="G78">
            <v>135.05020000000002</v>
          </cell>
          <cell r="H78">
            <v>136.30283284175871</v>
          </cell>
          <cell r="I78">
            <v>150.95864262990455</v>
          </cell>
          <cell r="J78">
            <v>153.10668380462724</v>
          </cell>
          <cell r="K78">
            <v>106.31703264094956</v>
          </cell>
          <cell r="L78">
            <v>96.472700000000003</v>
          </cell>
          <cell r="M78">
            <v>198.0395</v>
          </cell>
          <cell r="N78">
            <v>155.12560000000002</v>
          </cell>
          <cell r="O78">
            <v>117.33799999999999</v>
          </cell>
          <cell r="P78">
            <v>101.55374204278259</v>
          </cell>
          <cell r="Q78">
            <v>148.50263793204968</v>
          </cell>
          <cell r="R78">
            <v>217.61777750551335</v>
          </cell>
          <cell r="S78">
            <v>245.89161385845426</v>
          </cell>
        </row>
        <row r="80">
          <cell r="C80" t="str">
            <v>Relative term</v>
          </cell>
          <cell r="D80">
            <v>1990</v>
          </cell>
          <cell r="E80">
            <v>1991</v>
          </cell>
          <cell r="F80">
            <v>1992</v>
          </cell>
          <cell r="G80">
            <v>1993</v>
          </cell>
          <cell r="H80">
            <v>1994</v>
          </cell>
          <cell r="I80">
            <v>1995</v>
          </cell>
          <cell r="J80">
            <v>1996</v>
          </cell>
          <cell r="K80">
            <v>1997</v>
          </cell>
          <cell r="L80">
            <v>1998</v>
          </cell>
          <cell r="M80">
            <v>1999</v>
          </cell>
          <cell r="N80">
            <v>2000</v>
          </cell>
          <cell r="O80">
            <v>2001</v>
          </cell>
          <cell r="P80">
            <v>2002</v>
          </cell>
          <cell r="Q80">
            <v>2003</v>
          </cell>
          <cell r="R80">
            <v>2004</v>
          </cell>
          <cell r="S80">
            <v>2005</v>
          </cell>
        </row>
        <row r="81">
          <cell r="C81" t="str">
            <v>Australia</v>
          </cell>
          <cell r="D81">
            <v>100</v>
          </cell>
          <cell r="E81">
            <v>131.93383115920545</v>
          </cell>
          <cell r="F81">
            <v>123.73536169581973</v>
          </cell>
          <cell r="G81">
            <v>187.16072487399938</v>
          </cell>
          <cell r="H81">
            <v>200.88380018395426</v>
          </cell>
          <cell r="I81">
            <v>225.57318302735271</v>
          </cell>
          <cell r="J81">
            <v>288.9348848936321</v>
          </cell>
          <cell r="K81">
            <v>274.01941891491248</v>
          </cell>
          <cell r="L81">
            <v>304.67471464571594</v>
          </cell>
          <cell r="M81">
            <v>396.21201452712722</v>
          </cell>
          <cell r="N81">
            <v>345.38467239845835</v>
          </cell>
          <cell r="O81">
            <v>347.98228316208349</v>
          </cell>
          <cell r="P81">
            <v>352.14108428552271</v>
          </cell>
          <cell r="Q81">
            <v>542.38713915615756</v>
          </cell>
          <cell r="R81">
            <v>719.31770611234492</v>
          </cell>
          <cell r="S81">
            <v>744.89958686176749</v>
          </cell>
          <cell r="T81">
            <v>0.14324641684908368</v>
          </cell>
        </row>
        <row r="82">
          <cell r="C82" t="str">
            <v>Hong Kong</v>
          </cell>
          <cell r="D82">
            <v>100</v>
          </cell>
          <cell r="E82">
            <v>146.1648791942043</v>
          </cell>
          <cell r="F82">
            <v>206.25009743853576</v>
          </cell>
          <cell r="G82">
            <v>461.7599618160865</v>
          </cell>
          <cell r="H82">
            <v>323.20551474919858</v>
          </cell>
          <cell r="I82">
            <v>364.21658569213986</v>
          </cell>
          <cell r="J82">
            <v>538.72269795382465</v>
          </cell>
          <cell r="K82">
            <v>495.67442285037754</v>
          </cell>
          <cell r="L82">
            <v>412.01989784843727</v>
          </cell>
          <cell r="M82">
            <v>730.4477135822724</v>
          </cell>
          <cell r="N82">
            <v>747.60565035575564</v>
          </cell>
          <cell r="O82">
            <v>606.90469116260294</v>
          </cell>
          <cell r="P82">
            <v>555.31560851565621</v>
          </cell>
          <cell r="Q82">
            <v>856.97624147971828</v>
          </cell>
          <cell r="R82">
            <v>1033.1038470600429</v>
          </cell>
          <cell r="S82">
            <v>1265.2010939705849</v>
          </cell>
          <cell r="T82">
            <v>0.18434247204332643</v>
          </cell>
        </row>
        <row r="83">
          <cell r="C83" t="str">
            <v>Malaysia</v>
          </cell>
          <cell r="D83">
            <v>100</v>
          </cell>
          <cell r="E83">
            <v>118.49388328096796</v>
          </cell>
          <cell r="F83">
            <v>191.0873053011565</v>
          </cell>
          <cell r="G83">
            <v>459.08545858680395</v>
          </cell>
          <cell r="H83">
            <v>397.25775876685481</v>
          </cell>
          <cell r="I83">
            <v>446.54845075950152</v>
          </cell>
          <cell r="J83">
            <v>639.59192508875731</v>
          </cell>
          <cell r="K83">
            <v>194.6447372819039</v>
          </cell>
          <cell r="L83">
            <v>199.63023932081023</v>
          </cell>
          <cell r="M83">
            <v>292.27367303964166</v>
          </cell>
          <cell r="N83">
            <v>236.38633097132163</v>
          </cell>
          <cell r="O83">
            <v>248.55581132287904</v>
          </cell>
          <cell r="P83">
            <v>256.72745636318217</v>
          </cell>
          <cell r="Q83">
            <v>336.27403389439911</v>
          </cell>
          <cell r="R83">
            <v>379.41998699955326</v>
          </cell>
          <cell r="S83">
            <v>377.10898257061609</v>
          </cell>
          <cell r="T83">
            <v>9.2524349788068339E-2</v>
          </cell>
        </row>
        <row r="84">
          <cell r="C84" t="str">
            <v xml:space="preserve">Singapore </v>
          </cell>
          <cell r="D84">
            <v>100</v>
          </cell>
          <cell r="E84">
            <v>138.88410639508587</v>
          </cell>
          <cell r="F84">
            <v>142.79498664954693</v>
          </cell>
          <cell r="G84">
            <v>394.09428483884619</v>
          </cell>
          <cell r="H84">
            <v>397.74963258315569</v>
          </cell>
          <cell r="I84">
            <v>440.51721735676938</v>
          </cell>
          <cell r="J84">
            <v>446.78548464224355</v>
          </cell>
          <cell r="K84">
            <v>310.24711510848022</v>
          </cell>
          <cell r="L84">
            <v>281.52005486087808</v>
          </cell>
          <cell r="M84">
            <v>577.90536498533629</v>
          </cell>
          <cell r="N84">
            <v>452.67694821775103</v>
          </cell>
          <cell r="O84">
            <v>342.40775055809263</v>
          </cell>
          <cell r="P84">
            <v>296.34720528410224</v>
          </cell>
          <cell r="Q84">
            <v>433.35027191750345</v>
          </cell>
          <cell r="R84">
            <v>635.0373593986119</v>
          </cell>
          <cell r="S84">
            <v>717.54414070780524</v>
          </cell>
          <cell r="T84">
            <v>0.14039833570586024</v>
          </cell>
        </row>
      </sheetData>
      <sheetData sheetId="33" refreshError="1">
        <row r="1">
          <cell r="A1" t="str">
            <v>Global Exchange Comparisons</v>
          </cell>
          <cell r="M1" t="str">
            <v>Per CEIC Singapore</v>
          </cell>
          <cell r="N1">
            <v>316578.06110175606</v>
          </cell>
          <cell r="P1">
            <v>102779.12463768115</v>
          </cell>
          <cell r="Q1">
            <v>77828.633245971112</v>
          </cell>
          <cell r="S1">
            <v>134133.67449966946</v>
          </cell>
        </row>
        <row r="3">
          <cell r="K3" t="str">
            <v>Source</v>
          </cell>
        </row>
        <row r="5">
          <cell r="K5" t="str">
            <v>1995</v>
          </cell>
          <cell r="L5" t="str">
            <v>2001</v>
          </cell>
          <cell r="M5" t="str">
            <v>2004</v>
          </cell>
          <cell r="N5" t="str">
            <v>2005 Dec</v>
          </cell>
          <cell r="O5" t="str">
            <v>1995</v>
          </cell>
          <cell r="P5" t="str">
            <v>2000</v>
          </cell>
          <cell r="Q5" t="str">
            <v>2001</v>
          </cell>
          <cell r="R5" t="str">
            <v>2004</v>
          </cell>
          <cell r="S5" t="str">
            <v>2005</v>
          </cell>
          <cell r="T5" t="str">
            <v>1995 Dec</v>
          </cell>
          <cell r="U5" t="str">
            <v>2005 Dec</v>
          </cell>
        </row>
        <row r="6">
          <cell r="D6">
            <v>2005</v>
          </cell>
          <cell r="K6" t="str">
            <v>Market</v>
          </cell>
          <cell r="L6" t="str">
            <v>Market</v>
          </cell>
          <cell r="M6" t="str">
            <v>Market</v>
          </cell>
          <cell r="N6" t="str">
            <v>Market</v>
          </cell>
          <cell r="O6" t="str">
            <v>Dollar</v>
          </cell>
          <cell r="P6" t="str">
            <v>Dollar</v>
          </cell>
          <cell r="Q6" t="str">
            <v>Dollar</v>
          </cell>
          <cell r="R6" t="str">
            <v>Dollar</v>
          </cell>
          <cell r="S6" t="str">
            <v>Dollar</v>
          </cell>
          <cell r="T6" t="str">
            <v>Local</v>
          </cell>
          <cell r="U6" t="str">
            <v>Local</v>
          </cell>
        </row>
        <row r="7">
          <cell r="B7" t="str">
            <v>Market</v>
          </cell>
          <cell r="C7" t="str">
            <v>Listed</v>
          </cell>
          <cell r="D7" t="str">
            <v>Dollar</v>
          </cell>
          <cell r="E7" t="str">
            <v>4-yr CAGR</v>
          </cell>
          <cell r="F7" t="str">
            <v>10-yr CAGR</v>
          </cell>
          <cell r="G7" t="str">
            <v>10-yr CAGR</v>
          </cell>
          <cell r="H7" t="str">
            <v>10-yr Underlying</v>
          </cell>
          <cell r="K7" t="str">
            <v>Capitalization</v>
          </cell>
          <cell r="L7" t="str">
            <v>Capitalization</v>
          </cell>
          <cell r="M7" t="str">
            <v>Capitalization</v>
          </cell>
          <cell r="N7" t="str">
            <v>Capitalization</v>
          </cell>
          <cell r="O7" t="str">
            <v>Turnover</v>
          </cell>
          <cell r="P7" t="str">
            <v>Turnover</v>
          </cell>
          <cell r="Q7" t="str">
            <v>Turnover</v>
          </cell>
          <cell r="R7" t="str">
            <v>Turnover</v>
          </cell>
          <cell r="S7" t="str">
            <v>Turnover</v>
          </cell>
          <cell r="T7" t="str">
            <v>Index</v>
          </cell>
          <cell r="U7" t="str">
            <v>Index</v>
          </cell>
        </row>
        <row r="8">
          <cell r="A8" t="str">
            <v>(US$BN)</v>
          </cell>
          <cell r="B8" t="str">
            <v>Capitalization</v>
          </cell>
          <cell r="C8" t="str">
            <v>Companies</v>
          </cell>
          <cell r="D8" t="str">
            <v>Turnover</v>
          </cell>
          <cell r="E8" t="str">
            <v>in Mkt Cap %</v>
          </cell>
          <cell r="F8" t="str">
            <v>in Mkt Cap %</v>
          </cell>
          <cell r="G8" t="str">
            <v>in Index %</v>
          </cell>
          <cell r="H8" t="str">
            <v>Gr. in Mkt Cap</v>
          </cell>
          <cell r="I8" t="str">
            <v>Rank</v>
          </cell>
          <cell r="K8" t="str">
            <v>(US$M)</v>
          </cell>
          <cell r="L8" t="str">
            <v>(US$M)</v>
          </cell>
          <cell r="M8" t="str">
            <v>(US$M)</v>
          </cell>
          <cell r="N8" t="str">
            <v>(US$M)</v>
          </cell>
          <cell r="O8" t="str">
            <v>(US$M)</v>
          </cell>
          <cell r="P8" t="str">
            <v>(US$M)</v>
          </cell>
          <cell r="Q8" t="str">
            <v>(US$M)</v>
          </cell>
          <cell r="R8" t="str">
            <v>(US$M)</v>
          </cell>
          <cell r="S8" t="str">
            <v>(US$M)</v>
          </cell>
        </row>
        <row r="9">
          <cell r="A9" t="str">
            <v>Korea</v>
          </cell>
          <cell r="B9">
            <v>718.01070880941779</v>
          </cell>
          <cell r="C9">
            <v>1619</v>
          </cell>
          <cell r="D9">
            <v>1204.3367922235473</v>
          </cell>
          <cell r="E9">
            <v>0.38617959231564547</v>
          </cell>
          <cell r="F9">
            <v>0.14714086718830011</v>
          </cell>
          <cell r="G9">
            <v>4.5622592603814072E-2</v>
          </cell>
          <cell r="H9">
            <v>0.10151827458448603</v>
          </cell>
          <cell r="I9">
            <v>1</v>
          </cell>
          <cell r="K9">
            <v>181954.75217531421</v>
          </cell>
          <cell r="L9">
            <v>194470.13627712219</v>
          </cell>
          <cell r="M9">
            <v>389473.36263523955</v>
          </cell>
          <cell r="N9">
            <v>718010.70880941779</v>
          </cell>
          <cell r="O9">
            <v>185427.51558716429</v>
          </cell>
          <cell r="P9">
            <v>556246.30000000005</v>
          </cell>
          <cell r="Q9">
            <v>379623.3</v>
          </cell>
          <cell r="R9">
            <v>488408.32337434095</v>
          </cell>
          <cell r="S9">
            <v>1204336.7922235474</v>
          </cell>
          <cell r="T9">
            <v>882.94</v>
          </cell>
          <cell r="U9">
            <v>1379.37</v>
          </cell>
        </row>
        <row r="10">
          <cell r="A10" t="str">
            <v>Hong Kong</v>
          </cell>
          <cell r="B10">
            <v>1054.9993190172179</v>
          </cell>
          <cell r="C10">
            <v>1135</v>
          </cell>
          <cell r="D10">
            <v>464.28512579283631</v>
          </cell>
          <cell r="E10">
            <v>0.20159953878433856</v>
          </cell>
          <cell r="F10">
            <v>0.1326089365657892</v>
          </cell>
          <cell r="G10">
            <v>3.9758088379977075E-2</v>
          </cell>
          <cell r="H10">
            <v>9.2850848185812129E-2</v>
          </cell>
          <cell r="I10">
            <v>2</v>
          </cell>
          <cell r="K10">
            <v>303705.27792866202</v>
          </cell>
          <cell r="L10">
            <v>506073</v>
          </cell>
          <cell r="M10">
            <v>861462.94080564019</v>
          </cell>
          <cell r="N10">
            <v>1054999.319017218</v>
          </cell>
          <cell r="O10">
            <v>95832.029339598128</v>
          </cell>
          <cell r="P10">
            <v>376664.1</v>
          </cell>
          <cell r="Q10">
            <v>241012.6</v>
          </cell>
          <cell r="R10">
            <v>439463.77365152218</v>
          </cell>
          <cell r="S10">
            <v>464285.1257928363</v>
          </cell>
          <cell r="T10">
            <v>10073.39</v>
          </cell>
          <cell r="U10">
            <v>14876.43</v>
          </cell>
        </row>
        <row r="11">
          <cell r="A11" t="str">
            <v>Taiwan</v>
          </cell>
          <cell r="B11">
            <v>476.01796425417893</v>
          </cell>
          <cell r="C11">
            <v>696</v>
          </cell>
          <cell r="D11">
            <v>584.50622345289719</v>
          </cell>
          <cell r="E11">
            <v>0.12911009586077093</v>
          </cell>
          <cell r="F11">
            <v>9.781802945833995E-2</v>
          </cell>
          <cell r="G11">
            <v>2.3841539848032722E-2</v>
          </cell>
          <cell r="H11">
            <v>7.3976489610307228E-2</v>
          </cell>
          <cell r="I11">
            <v>3</v>
          </cell>
          <cell r="K11">
            <v>187205.9955290065</v>
          </cell>
          <cell r="L11">
            <v>292872.22063446697</v>
          </cell>
          <cell r="M11">
            <v>441435.78415904066</v>
          </cell>
          <cell r="N11">
            <v>476017.96425417892</v>
          </cell>
          <cell r="O11">
            <v>389272.66102470324</v>
          </cell>
          <cell r="P11">
            <v>985863.5</v>
          </cell>
          <cell r="Q11">
            <v>541901.69999999995</v>
          </cell>
          <cell r="R11">
            <v>718804.40850103425</v>
          </cell>
          <cell r="S11">
            <v>584506.22345289716</v>
          </cell>
          <cell r="T11">
            <v>5173.7299999999996</v>
          </cell>
          <cell r="U11">
            <v>6548.34</v>
          </cell>
        </row>
        <row r="12">
          <cell r="A12" t="str">
            <v>Australia</v>
          </cell>
          <cell r="B12">
            <v>804.01481807511743</v>
          </cell>
          <cell r="C12">
            <v>1714</v>
          </cell>
          <cell r="D12">
            <v>672.51759532143205</v>
          </cell>
          <cell r="E12">
            <v>0.20995794195229345</v>
          </cell>
          <cell r="F12">
            <v>0.12688870669292629</v>
          </cell>
          <cell r="G12">
            <v>7.8920822423420134E-2</v>
          </cell>
          <cell r="H12">
            <v>4.7967884269506156E-2</v>
          </cell>
          <cell r="I12">
            <v>4</v>
          </cell>
          <cell r="K12">
            <v>243474.67083240347</v>
          </cell>
          <cell r="L12">
            <v>375131</v>
          </cell>
          <cell r="M12">
            <v>776402.75926942064</v>
          </cell>
          <cell r="N12">
            <v>804014.81807511742</v>
          </cell>
          <cell r="O12">
            <v>98310.287610078027</v>
          </cell>
          <cell r="P12">
            <v>226484.9</v>
          </cell>
          <cell r="Q12">
            <v>244462.5</v>
          </cell>
          <cell r="R12">
            <v>523668.45986237132</v>
          </cell>
          <cell r="S12">
            <v>672517.59532143211</v>
          </cell>
          <cell r="T12">
            <v>2203</v>
          </cell>
          <cell r="U12">
            <v>4708.8</v>
          </cell>
        </row>
        <row r="13">
          <cell r="A13" t="str">
            <v>Japan</v>
          </cell>
          <cell r="B13">
            <v>4572.9010316868589</v>
          </cell>
          <cell r="C13">
            <v>2351</v>
          </cell>
          <cell r="D13">
            <v>4426.6219888707574</v>
          </cell>
          <cell r="E13">
            <v>0.19207486651170513</v>
          </cell>
          <cell r="F13">
            <v>2.5778994300099001E-2</v>
          </cell>
          <cell r="G13">
            <v>-2.0740787632091084E-2</v>
          </cell>
          <cell r="H13">
            <v>4.6519781932190085E-2</v>
          </cell>
          <cell r="I13">
            <v>5</v>
          </cell>
          <cell r="K13">
            <v>3545306.5096214432</v>
          </cell>
          <cell r="L13">
            <v>2264527.9032504195</v>
          </cell>
          <cell r="M13">
            <v>3557674.4217819851</v>
          </cell>
          <cell r="N13">
            <v>4572901.0316868592</v>
          </cell>
          <cell r="O13">
            <v>884000.4013220499</v>
          </cell>
          <cell r="P13">
            <v>2315501.7999999998</v>
          </cell>
          <cell r="Q13">
            <v>1659908.7</v>
          </cell>
          <cell r="R13">
            <v>3218112.8312323838</v>
          </cell>
          <cell r="S13">
            <v>4426621.9888707576</v>
          </cell>
          <cell r="T13">
            <v>19868.150000000001</v>
          </cell>
          <cell r="U13">
            <v>16111.43</v>
          </cell>
        </row>
        <row r="14">
          <cell r="A14" t="str">
            <v>US - NASDAQ</v>
          </cell>
          <cell r="B14">
            <v>3603.9848700000002</v>
          </cell>
          <cell r="C14">
            <v>3164</v>
          </cell>
          <cell r="D14">
            <v>10086.739960000001</v>
          </cell>
          <cell r="E14">
            <v>7.0954425913464014E-2</v>
          </cell>
          <cell r="F14">
            <v>0.12004314114027914</v>
          </cell>
          <cell r="G14">
            <v>7.6811805959228652E-2</v>
          </cell>
          <cell r="H14">
            <v>4.323133518105049E-2</v>
          </cell>
          <cell r="I14">
            <v>6</v>
          </cell>
          <cell r="K14">
            <v>1159939.8</v>
          </cell>
          <cell r="L14">
            <v>2739674.7</v>
          </cell>
          <cell r="M14">
            <v>3532912.03</v>
          </cell>
          <cell r="N14">
            <v>3603984.87</v>
          </cell>
          <cell r="O14">
            <v>2398213</v>
          </cell>
          <cell r="P14">
            <v>19798799.300000001</v>
          </cell>
          <cell r="Q14">
            <v>10934572.5</v>
          </cell>
          <cell r="R14">
            <v>8767121.2100000009</v>
          </cell>
          <cell r="S14">
            <v>10086739.960000001</v>
          </cell>
          <cell r="T14">
            <v>1052.1400000000001</v>
          </cell>
          <cell r="U14">
            <v>2205.3200000000002</v>
          </cell>
        </row>
        <row r="15">
          <cell r="A15" t="str">
            <v>Singapore</v>
          </cell>
          <cell r="B15">
            <v>257.33975823911476</v>
          </cell>
          <cell r="C15">
            <v>686</v>
          </cell>
          <cell r="D15">
            <v>116.35052702417566</v>
          </cell>
          <cell r="E15">
            <v>0.21693407488989269</v>
          </cell>
          <cell r="F15">
            <v>5.4787296475977021E-2</v>
          </cell>
          <cell r="G15">
            <v>2.0449547637815702E-2</v>
          </cell>
          <cell r="H15">
            <v>3.4337748838161319E-2</v>
          </cell>
          <cell r="I15">
            <v>7</v>
          </cell>
          <cell r="K15">
            <v>150958.64262990456</v>
          </cell>
          <cell r="L15">
            <v>117338</v>
          </cell>
          <cell r="M15">
            <v>217617.77750551334</v>
          </cell>
          <cell r="N15">
            <v>257339.75823911474</v>
          </cell>
          <cell r="O15">
            <v>63983.190173621704</v>
          </cell>
          <cell r="P15">
            <v>95153.1</v>
          </cell>
          <cell r="Q15">
            <v>71093.600000000006</v>
          </cell>
          <cell r="R15">
            <v>107247.35201260875</v>
          </cell>
          <cell r="S15">
            <v>116350.52702417567</v>
          </cell>
          <cell r="T15">
            <v>1917.17</v>
          </cell>
          <cell r="U15">
            <v>2347.34</v>
          </cell>
        </row>
        <row r="16">
          <cell r="A16" t="str">
            <v>US - NYSE</v>
          </cell>
          <cell r="B16">
            <v>13310.5916</v>
          </cell>
          <cell r="C16">
            <v>2270</v>
          </cell>
          <cell r="D16">
            <v>14125.294099999997</v>
          </cell>
          <cell r="E16">
            <v>4.8187720003313395E-2</v>
          </cell>
          <cell r="F16">
            <v>8.9376224558876949E-2</v>
          </cell>
          <cell r="G16">
            <v>7.6729939169358996E-2</v>
          </cell>
          <cell r="H16">
            <v>1.2646285389517953E-2</v>
          </cell>
          <cell r="I16">
            <v>8</v>
          </cell>
          <cell r="K16">
            <v>5654815.4000000004</v>
          </cell>
          <cell r="L16">
            <v>11026586.5</v>
          </cell>
          <cell r="M16">
            <v>12707578.300000001</v>
          </cell>
          <cell r="N16">
            <v>13310591.6</v>
          </cell>
          <cell r="O16">
            <v>3082916.1</v>
          </cell>
          <cell r="P16">
            <v>11060046</v>
          </cell>
          <cell r="Q16">
            <v>10489030.6</v>
          </cell>
          <cell r="R16">
            <v>11618150.699999999</v>
          </cell>
          <cell r="S16">
            <v>14125294.099999998</v>
          </cell>
          <cell r="T16">
            <v>5117.12</v>
          </cell>
          <cell r="U16">
            <v>10717.5</v>
          </cell>
        </row>
        <row r="17">
          <cell r="A17" t="str">
            <v>Malaysia</v>
          </cell>
          <cell r="B17">
            <v>180.51754464876308</v>
          </cell>
          <cell r="C17">
            <v>1019</v>
          </cell>
          <cell r="D17">
            <v>51.58769491539951</v>
          </cell>
          <cell r="E17">
            <v>0.10984093442466336</v>
          </cell>
          <cell r="F17">
            <v>-1.675934141635782E-2</v>
          </cell>
          <cell r="G17">
            <v>-1.0024632431664293E-2</v>
          </cell>
          <cell r="H17">
            <v>-6.7347089846935271E-3</v>
          </cell>
          <cell r="I17">
            <v>9</v>
          </cell>
          <cell r="K17">
            <v>213757.38479716424</v>
          </cell>
          <cell r="L17">
            <v>118980.68421052632</v>
          </cell>
          <cell r="M17">
            <v>181623.79473684213</v>
          </cell>
          <cell r="N17">
            <v>180517.54464876308</v>
          </cell>
          <cell r="O17">
            <v>60792.419464173567</v>
          </cell>
          <cell r="P17">
            <v>52868.7</v>
          </cell>
          <cell r="Q17">
            <v>23879.9</v>
          </cell>
          <cell r="R17">
            <v>61636.415789473685</v>
          </cell>
          <cell r="S17">
            <v>51587.694915399508</v>
          </cell>
          <cell r="T17">
            <v>995.17</v>
          </cell>
          <cell r="U17">
            <v>899.79</v>
          </cell>
        </row>
        <row r="18">
          <cell r="A18" t="str">
            <v>Average</v>
          </cell>
          <cell r="E18">
            <v>0.17387102118400966</v>
          </cell>
          <cell r="F18">
            <v>8.6409206107136649E-2</v>
          </cell>
          <cell r="G18">
            <v>3.6818768439765774E-2</v>
          </cell>
          <cell r="H18">
            <v>4.9590437667370875E-2</v>
          </cell>
        </row>
        <row r="26">
          <cell r="B26">
            <v>13310.5916</v>
          </cell>
        </row>
        <row r="29">
          <cell r="B29">
            <v>2005</v>
          </cell>
        </row>
        <row r="30">
          <cell r="A30" t="str">
            <v>(US$bn)</v>
          </cell>
          <cell r="B30" t="str">
            <v>Market Cap (in US$bn)</v>
          </cell>
          <cell r="C30" t="str">
            <v>No. of Listed Companies</v>
          </cell>
          <cell r="D30" t="str">
            <v>Average Mkt Cap per co.</v>
          </cell>
        </row>
        <row r="31">
          <cell r="A31" t="str">
            <v>US</v>
          </cell>
          <cell r="B31">
            <v>4900</v>
          </cell>
          <cell r="C31">
            <v>2351</v>
          </cell>
          <cell r="D31">
            <v>2.0842194810718842</v>
          </cell>
        </row>
        <row r="32">
          <cell r="A32" t="str">
            <v>UK</v>
          </cell>
          <cell r="B32">
            <v>3058.1824144703869</v>
          </cell>
          <cell r="C32">
            <v>3091</v>
          </cell>
          <cell r="D32">
            <v>0.98938285812694493</v>
          </cell>
        </row>
        <row r="33">
          <cell r="A33" t="str">
            <v>HK</v>
          </cell>
          <cell r="B33">
            <v>3603.9848700000002</v>
          </cell>
          <cell r="C33">
            <v>3164</v>
          </cell>
          <cell r="D33">
            <v>1.1390596934260431</v>
          </cell>
        </row>
        <row r="34">
          <cell r="A34" t="str">
            <v>TW</v>
          </cell>
          <cell r="B34">
            <v>1054.9993190172179</v>
          </cell>
          <cell r="C34">
            <v>1135</v>
          </cell>
          <cell r="D34">
            <v>0.92951481851737261</v>
          </cell>
        </row>
        <row r="35">
          <cell r="A35" t="str">
            <v>AU</v>
          </cell>
          <cell r="B35">
            <v>180.51754464876308</v>
          </cell>
          <cell r="C35">
            <v>1019</v>
          </cell>
          <cell r="D35">
            <v>0.17715166305079791</v>
          </cell>
        </row>
        <row r="36">
          <cell r="A36" t="str">
            <v>KO</v>
          </cell>
          <cell r="B36">
            <v>13310.5916</v>
          </cell>
          <cell r="C36">
            <v>2270</v>
          </cell>
          <cell r="D36">
            <v>5.8636967400881055</v>
          </cell>
        </row>
        <row r="37">
          <cell r="A37" t="str">
            <v>SG</v>
          </cell>
          <cell r="B37">
            <v>476.01796425417893</v>
          </cell>
          <cell r="C37">
            <v>696</v>
          </cell>
          <cell r="D37">
            <v>0.45</v>
          </cell>
        </row>
        <row r="38">
          <cell r="A38" t="str">
            <v>MY</v>
          </cell>
          <cell r="B38">
            <v>718.01070880941779</v>
          </cell>
          <cell r="C38">
            <v>1619</v>
          </cell>
          <cell r="D38">
            <v>0.44349024633070894</v>
          </cell>
        </row>
        <row r="55">
          <cell r="B55">
            <v>2005</v>
          </cell>
        </row>
        <row r="56">
          <cell r="A56" t="str">
            <v>(US$bn)</v>
          </cell>
          <cell r="B56" t="str">
            <v>Turnover (LS)</v>
          </cell>
          <cell r="C56" t="str">
            <v>4 yr Turnover CAGR (RS)</v>
          </cell>
        </row>
        <row r="57">
          <cell r="A57" t="str">
            <v>Taiwan</v>
          </cell>
          <cell r="B57">
            <v>464.28512579283631</v>
          </cell>
          <cell r="C57">
            <v>0.20159953878433856</v>
          </cell>
        </row>
        <row r="58">
          <cell r="A58" t="str">
            <v>Australia</v>
          </cell>
          <cell r="B58">
            <v>0</v>
          </cell>
          <cell r="C58">
            <v>0.17387102118400966</v>
          </cell>
        </row>
        <row r="59">
          <cell r="A59" t="str">
            <v>Hong Kong</v>
          </cell>
          <cell r="B59">
            <v>10086.739960000001</v>
          </cell>
          <cell r="C59">
            <v>7.0954425913464014E-2</v>
          </cell>
        </row>
        <row r="60">
          <cell r="A60" t="str">
            <v>Korea</v>
          </cell>
          <cell r="B60">
            <v>14125.294099999997</v>
          </cell>
          <cell r="C60">
            <v>4.8187720003313395E-2</v>
          </cell>
        </row>
        <row r="61">
          <cell r="A61" t="str">
            <v>Singapore</v>
          </cell>
          <cell r="B61">
            <v>584.50622345289719</v>
          </cell>
          <cell r="C61">
            <v>0.12911009586077093</v>
          </cell>
        </row>
        <row r="62">
          <cell r="A62" t="str">
            <v>Malaysia</v>
          </cell>
          <cell r="B62">
            <v>1204.3367922235473</v>
          </cell>
          <cell r="C62">
            <v>0.38617959231564547</v>
          </cell>
        </row>
      </sheetData>
      <sheetData sheetId="34" refreshError="1">
        <row r="4">
          <cell r="C4" t="str">
            <v>Company name</v>
          </cell>
        </row>
        <row r="5">
          <cell r="E5" t="str">
            <v>P/B 06E</v>
          </cell>
          <cell r="F5" t="str">
            <v>ROE 06/E</v>
          </cell>
        </row>
        <row r="6">
          <cell r="B6" t="str">
            <v>ASX.AX</v>
          </cell>
          <cell r="C6" t="str">
            <v>Australian Stock Exchange</v>
          </cell>
          <cell r="D6" t="str">
            <v>ASX</v>
          </cell>
          <cell r="E6">
            <v>9.1543920014109119</v>
          </cell>
          <cell r="F6">
            <v>0.39666823916208183</v>
          </cell>
        </row>
        <row r="7">
          <cell r="B7" t="str">
            <v>SGX</v>
          </cell>
          <cell r="C7" t="str">
            <v>NA</v>
          </cell>
          <cell r="D7" t="str">
            <v>SGX</v>
          </cell>
          <cell r="E7">
            <v>8.1652138929453226</v>
          </cell>
          <cell r="F7">
            <v>0.35351243796093562</v>
          </cell>
        </row>
        <row r="8">
          <cell r="C8" t="str">
            <v>Bursa</v>
          </cell>
          <cell r="D8" t="str">
            <v>Bursa</v>
          </cell>
          <cell r="E8">
            <v>2.7925670900723056</v>
          </cell>
          <cell r="F8">
            <v>0.10207353521858417</v>
          </cell>
        </row>
        <row r="9">
          <cell r="B9" t="str">
            <v>DB1Gn.DE</v>
          </cell>
          <cell r="C9" t="str">
            <v>Deutsche Boerse</v>
          </cell>
          <cell r="D9" t="str">
            <v>DB</v>
          </cell>
          <cell r="E9" t="str">
            <v>++</v>
          </cell>
          <cell r="F9" t="str">
            <v>++</v>
          </cell>
        </row>
        <row r="10">
          <cell r="B10" t="str">
            <v>0388.HK</v>
          </cell>
          <cell r="C10" t="str">
            <v>HK Exchanges &amp; Clearing</v>
          </cell>
          <cell r="D10" t="str">
            <v>HKEx</v>
          </cell>
          <cell r="E10">
            <v>13.376114650883144</v>
          </cell>
          <cell r="F10">
            <v>0.4528348191144802</v>
          </cell>
        </row>
        <row r="11">
          <cell r="B11" t="str">
            <v>ENXT.PA</v>
          </cell>
          <cell r="C11" t="str">
            <v>NA</v>
          </cell>
          <cell r="D11" t="str">
            <v>ENXT</v>
          </cell>
          <cell r="E11">
            <v>2.9374427830332621</v>
          </cell>
          <cell r="F11">
            <v>0.13505</v>
          </cell>
          <cell r="G11">
            <v>38737</v>
          </cell>
        </row>
        <row r="12">
          <cell r="B12" t="str">
            <v>LSE.L</v>
          </cell>
          <cell r="C12" t="str">
            <v>London Stock Exchange</v>
          </cell>
          <cell r="D12" t="str">
            <v>LSE</v>
          </cell>
          <cell r="E12">
            <v>4.9192322445906207</v>
          </cell>
          <cell r="F12">
            <v>0.28087000000000001</v>
          </cell>
          <cell r="G12">
            <v>38737</v>
          </cell>
        </row>
        <row r="21">
          <cell r="B21" t="str">
            <v>CME.N</v>
          </cell>
          <cell r="C21" t="str">
            <v>Chicago Mercantile Exch.</v>
          </cell>
          <cell r="D21" t="str">
            <v>CME</v>
          </cell>
        </row>
      </sheetData>
      <sheetData sheetId="35"/>
      <sheetData sheetId="36" refreshError="1">
        <row r="4">
          <cell r="C4" t="str">
            <v>Company name</v>
          </cell>
          <cell r="E4" t="str">
            <v>Operating revenue</v>
          </cell>
          <cell r="I4" t="str">
            <v>PE</v>
          </cell>
        </row>
        <row r="5">
          <cell r="E5" t="str">
            <v>2004/1-12</v>
          </cell>
          <cell r="F5" t="str">
            <v>2005/1-12</v>
          </cell>
          <cell r="G5" t="str">
            <v>2006/1-12</v>
          </cell>
          <cell r="H5" t="str">
            <v>04-06 CAGR</v>
          </cell>
          <cell r="I5" t="str">
            <v>PE 06E</v>
          </cell>
        </row>
        <row r="6">
          <cell r="B6" t="str">
            <v>ASX.AX</v>
          </cell>
          <cell r="C6" t="str">
            <v>Australian Stock Exchange</v>
          </cell>
          <cell r="D6" t="str">
            <v>ASX</v>
          </cell>
          <cell r="E6">
            <v>241236000</v>
          </cell>
          <cell r="F6">
            <v>279540000</v>
          </cell>
          <cell r="G6">
            <v>305631000</v>
          </cell>
          <cell r="H6">
            <v>0.12558330232907133</v>
          </cell>
          <cell r="I6">
            <v>24.096650547237235</v>
          </cell>
        </row>
        <row r="7">
          <cell r="B7" t="str">
            <v>SGX</v>
          </cell>
          <cell r="C7" t="str">
            <v>Singapore Exchange</v>
          </cell>
          <cell r="D7" t="str">
            <v>SGX</v>
          </cell>
          <cell r="E7">
            <v>295.51100000000002</v>
          </cell>
          <cell r="F7">
            <v>341.137</v>
          </cell>
          <cell r="G7">
            <v>417.96976699999999</v>
          </cell>
          <cell r="H7">
            <v>0.18928408932994012</v>
          </cell>
          <cell r="I7">
            <v>25.29888981309152</v>
          </cell>
        </row>
        <row r="8">
          <cell r="C8" t="str">
            <v>Bursa</v>
          </cell>
          <cell r="D8" t="str">
            <v>Bursa</v>
          </cell>
          <cell r="E8">
            <v>218.38599999999997</v>
          </cell>
          <cell r="F8">
            <v>193.07499999999999</v>
          </cell>
          <cell r="G8">
            <v>254.48139399999997</v>
          </cell>
          <cell r="H8">
            <v>7.9482536025675676E-2</v>
          </cell>
          <cell r="I8">
            <v>27.498013503917665</v>
          </cell>
        </row>
        <row r="9">
          <cell r="B9" t="str">
            <v>DB1Gn.DE</v>
          </cell>
          <cell r="C9" t="str">
            <v>Deutsche Boerse</v>
          </cell>
          <cell r="D9" t="str">
            <v>DB</v>
          </cell>
          <cell r="E9">
            <v>1636263884.2873836</v>
          </cell>
          <cell r="F9">
            <v>1851243703.462353</v>
          </cell>
          <cell r="G9" t="str">
            <v>++</v>
          </cell>
          <cell r="H9" t="e">
            <v>#VALUE!</v>
          </cell>
          <cell r="I9" t="str">
            <v>++</v>
          </cell>
        </row>
        <row r="10">
          <cell r="B10" t="str">
            <v>0388.HK</v>
          </cell>
          <cell r="C10" t="str">
            <v>HK Exchanges &amp; Clearing</v>
          </cell>
          <cell r="D10" t="str">
            <v>HKEx</v>
          </cell>
          <cell r="E10">
            <v>2394274000</v>
          </cell>
          <cell r="F10">
            <v>2694057000</v>
          </cell>
          <cell r="G10">
            <v>3561987648.5</v>
          </cell>
          <cell r="H10">
            <v>0.21971757000733705</v>
          </cell>
          <cell r="I10">
            <v>32.935304561875327</v>
          </cell>
        </row>
        <row r="11">
          <cell r="B11" t="str">
            <v>CME.N</v>
          </cell>
          <cell r="C11" t="str">
            <v>Chicago Mercantile Exch.</v>
          </cell>
          <cell r="D11" t="str">
            <v>CME</v>
          </cell>
          <cell r="E11">
            <v>733789000</v>
          </cell>
          <cell r="F11">
            <v>920518000</v>
          </cell>
          <cell r="G11">
            <v>1109382680.0690002</v>
          </cell>
        </row>
        <row r="17">
          <cell r="B17" t="str">
            <v>Consensus EPS provided by Thomson Financial/First Call</v>
          </cell>
        </row>
        <row r="19">
          <cell r="B19" t="str">
            <v>Ratios for companies are based on the currency reported by the companies unless explicitly noted.</v>
          </cell>
        </row>
        <row r="21">
          <cell r="B21" t="str">
            <v xml:space="preserve">Although the information provided to you on this site is obtained or compiled from sources we believe to be reliable, </v>
          </cell>
        </row>
        <row r="22">
          <cell r="B22" t="str">
            <v xml:space="preserve">Morgan Stanley cannot and does not guarantee the accuracy, validity, timeliness or completeness of any information or </v>
          </cell>
        </row>
        <row r="23">
          <cell r="B23" t="str">
            <v>data made available to you for any particular purpose.</v>
          </cell>
        </row>
      </sheetData>
      <sheetData sheetId="37" refreshError="1">
        <row r="31">
          <cell r="B31" t="e">
            <v>#REF!</v>
          </cell>
          <cell r="C31">
            <v>0.56830660370964592</v>
          </cell>
          <cell r="D31">
            <v>0.63828963851511222</v>
          </cell>
          <cell r="E31">
            <v>-0.51880151073805592</v>
          </cell>
        </row>
        <row r="34">
          <cell r="G34" t="str">
            <v>(Per World Federation of Exchanges, except SGX, HKEx)</v>
          </cell>
        </row>
        <row r="35">
          <cell r="B35" t="str">
            <v>HKEx P/E (LS)</v>
          </cell>
          <cell r="C35" t="str">
            <v>SGX P/E (LS)</v>
          </cell>
          <cell r="D35" t="str">
            <v>Bursa P/E (LS)</v>
          </cell>
          <cell r="E35" t="str">
            <v>ASX P/E (LS)</v>
          </cell>
          <cell r="G35" t="str">
            <v>Turnover Velocity (RS)</v>
          </cell>
          <cell r="H35" t="str">
            <v>Turnover Velocity (RS)</v>
          </cell>
          <cell r="I35" t="str">
            <v>Turnover Velocity (RS)</v>
          </cell>
          <cell r="J35" t="str">
            <v>Turnover Velocity (RS)</v>
          </cell>
        </row>
        <row r="36">
          <cell r="B36" t="str">
            <v>HKEx</v>
          </cell>
          <cell r="C36" t="str">
            <v>SGX</v>
          </cell>
          <cell r="D36" t="str">
            <v>Bursa</v>
          </cell>
          <cell r="E36" t="str">
            <v>ASX</v>
          </cell>
          <cell r="G36" t="str">
            <v>HKEx</v>
          </cell>
          <cell r="H36" t="str">
            <v>SGX</v>
          </cell>
          <cell r="I36" t="str">
            <v>Bursa</v>
          </cell>
          <cell r="J36" t="str">
            <v>ASX</v>
          </cell>
        </row>
        <row r="37">
          <cell r="A37">
            <v>36526</v>
          </cell>
          <cell r="B37" t="e">
            <v>#N/A</v>
          </cell>
          <cell r="C37" t="e">
            <v>#N/A</v>
          </cell>
          <cell r="D37" t="e">
            <v>#N/A</v>
          </cell>
          <cell r="E37">
            <v>28.056380000000001</v>
          </cell>
          <cell r="G37" t="e">
            <v>#REF!</v>
          </cell>
          <cell r="H37">
            <v>0.49588477903756201</v>
          </cell>
          <cell r="I37">
            <v>0.66607237781541972</v>
          </cell>
          <cell r="J37">
            <v>0.53052222510275149</v>
          </cell>
        </row>
        <row r="38">
          <cell r="A38">
            <v>36557</v>
          </cell>
          <cell r="B38" t="e">
            <v>#N/A</v>
          </cell>
          <cell r="C38" t="e">
            <v>#N/A</v>
          </cell>
          <cell r="D38" t="e">
            <v>#N/A</v>
          </cell>
          <cell r="E38">
            <v>33.552780000000006</v>
          </cell>
          <cell r="G38" t="e">
            <v>#REF!</v>
          </cell>
          <cell r="H38">
            <v>0.53865277313285287</v>
          </cell>
          <cell r="I38">
            <v>0.95669564940598906</v>
          </cell>
          <cell r="J38">
            <v>0.54334782669442849</v>
          </cell>
        </row>
        <row r="39">
          <cell r="A39">
            <v>36586</v>
          </cell>
          <cell r="B39" t="e">
            <v>#N/A</v>
          </cell>
          <cell r="C39" t="e">
            <v>#N/A</v>
          </cell>
          <cell r="D39" t="e">
            <v>#N/A</v>
          </cell>
          <cell r="E39">
            <v>28.058480000000003</v>
          </cell>
          <cell r="G39" t="e">
            <v>#REF!</v>
          </cell>
          <cell r="H39">
            <v>0.47754550010721042</v>
          </cell>
          <cell r="I39">
            <v>0.60253159749514662</v>
          </cell>
          <cell r="J39">
            <v>0.5557768753844442</v>
          </cell>
        </row>
        <row r="40">
          <cell r="A40">
            <v>36617</v>
          </cell>
          <cell r="B40" t="e">
            <v>#N/A</v>
          </cell>
          <cell r="C40" t="e">
            <v>#N/A</v>
          </cell>
          <cell r="D40" t="e">
            <v>#N/A</v>
          </cell>
          <cell r="E40">
            <v>25.821930000000002</v>
          </cell>
          <cell r="G40" t="e">
            <v>#REF!</v>
          </cell>
          <cell r="H40">
            <v>0.37797345253466214</v>
          </cell>
          <cell r="I40">
            <v>0.4014585933641876</v>
          </cell>
          <cell r="J40">
            <v>0.55198191296464083</v>
          </cell>
        </row>
        <row r="41">
          <cell r="A41">
            <v>36647</v>
          </cell>
          <cell r="B41" t="e">
            <v>#N/A</v>
          </cell>
          <cell r="C41" t="e">
            <v>#N/A</v>
          </cell>
          <cell r="D41" t="e">
            <v>#N/A</v>
          </cell>
          <cell r="E41">
            <v>20.128910000000001</v>
          </cell>
          <cell r="G41" t="e">
            <v>#REF!</v>
          </cell>
          <cell r="H41">
            <v>0.43454891086758468</v>
          </cell>
          <cell r="I41">
            <v>0.33345051391154512</v>
          </cell>
          <cell r="J41">
            <v>0.55568571367447739</v>
          </cell>
        </row>
        <row r="42">
          <cell r="A42">
            <v>36678</v>
          </cell>
          <cell r="B42">
            <v>13.525641</v>
          </cell>
          <cell r="C42" t="e">
            <v>#N/A</v>
          </cell>
          <cell r="D42" t="e">
            <v>#N/A</v>
          </cell>
          <cell r="E42">
            <v>21.563090000000003</v>
          </cell>
          <cell r="G42" t="e">
            <v>#REF!</v>
          </cell>
          <cell r="H42">
            <v>0.40314551916198571</v>
          </cell>
          <cell r="I42">
            <v>0.2496116768836949</v>
          </cell>
          <cell r="J42">
            <v>0.56315931292771071</v>
          </cell>
        </row>
        <row r="43">
          <cell r="A43">
            <v>36708</v>
          </cell>
          <cell r="B43">
            <v>21.217950000000002</v>
          </cell>
          <cell r="C43" t="e">
            <v>#N/A</v>
          </cell>
          <cell r="D43" t="e">
            <v>#N/A</v>
          </cell>
          <cell r="E43">
            <v>20.621470000000002</v>
          </cell>
          <cell r="G43" t="e">
            <v>#REF!</v>
          </cell>
          <cell r="H43">
            <v>0.39364861185837152</v>
          </cell>
          <cell r="I43">
            <v>0.20605441285289289</v>
          </cell>
          <cell r="J43">
            <v>0.55800466875639876</v>
          </cell>
        </row>
        <row r="44">
          <cell r="A44">
            <v>36739</v>
          </cell>
          <cell r="B44">
            <v>20.70513</v>
          </cell>
          <cell r="C44" t="e">
            <v>#N/A</v>
          </cell>
          <cell r="D44" t="e">
            <v>#N/A</v>
          </cell>
          <cell r="E44">
            <v>22.994350000000001</v>
          </cell>
          <cell r="G44" t="e">
            <v>#REF!</v>
          </cell>
          <cell r="H44">
            <v>0.37106562726683845</v>
          </cell>
          <cell r="I44">
            <v>0.16043942558544197</v>
          </cell>
          <cell r="J44">
            <v>0.56620268574686905</v>
          </cell>
        </row>
        <row r="45">
          <cell r="A45">
            <v>36770</v>
          </cell>
          <cell r="B45">
            <v>19.320990000000002</v>
          </cell>
          <cell r="C45" t="e">
            <v>#N/A</v>
          </cell>
          <cell r="D45" t="e">
            <v>#N/A</v>
          </cell>
          <cell r="E45">
            <v>19.857220000000002</v>
          </cell>
          <cell r="G45" t="e">
            <v>#REF!</v>
          </cell>
          <cell r="H45">
            <v>0.29625375851323449</v>
          </cell>
          <cell r="I45">
            <v>0.16555882329923804</v>
          </cell>
          <cell r="J45">
            <v>0.56637584851237877</v>
          </cell>
        </row>
        <row r="46">
          <cell r="A46">
            <v>36800</v>
          </cell>
          <cell r="B46">
            <v>16.790120000000002</v>
          </cell>
          <cell r="C46" t="e">
            <v>#N/A</v>
          </cell>
          <cell r="D46" t="e">
            <v>#N/A</v>
          </cell>
          <cell r="E46">
            <v>22.149160000000002</v>
          </cell>
          <cell r="G46" t="e">
            <v>#REF!</v>
          </cell>
          <cell r="H46">
            <v>0.35233804510962269</v>
          </cell>
          <cell r="I46">
            <v>0.25454473564525265</v>
          </cell>
          <cell r="J46">
            <v>0.57250753924765507</v>
          </cell>
        </row>
        <row r="47">
          <cell r="A47">
            <v>36831</v>
          </cell>
          <cell r="B47">
            <v>20.246910000000003</v>
          </cell>
          <cell r="C47">
            <v>15.714286999999999</v>
          </cell>
          <cell r="D47" t="e">
            <v>#N/A</v>
          </cell>
          <cell r="E47">
            <v>25.643430000000002</v>
          </cell>
          <cell r="G47" t="e">
            <v>#REF!</v>
          </cell>
          <cell r="H47">
            <v>0.48822193288364674</v>
          </cell>
          <cell r="I47">
            <v>0.14724954174838709</v>
          </cell>
          <cell r="J47">
            <v>0.57376497133339455</v>
          </cell>
        </row>
        <row r="48">
          <cell r="A48">
            <v>36861</v>
          </cell>
          <cell r="B48">
            <v>21.309520000000003</v>
          </cell>
          <cell r="C48">
            <v>19.117650000000001</v>
          </cell>
          <cell r="D48" t="e">
            <v>#N/A</v>
          </cell>
          <cell r="E48">
            <v>23.718140000000002</v>
          </cell>
          <cell r="G48" t="e">
            <v>#REF!</v>
          </cell>
          <cell r="H48">
            <v>0.32410356922966527</v>
          </cell>
          <cell r="I48">
            <v>0.12291011881393762</v>
          </cell>
          <cell r="J48">
            <v>0.57377908256825538</v>
          </cell>
        </row>
        <row r="49">
          <cell r="A49">
            <v>36892</v>
          </cell>
          <cell r="B49">
            <v>22.559520000000003</v>
          </cell>
          <cell r="C49">
            <v>20.441180000000003</v>
          </cell>
          <cell r="D49" t="e">
            <v>#N/A</v>
          </cell>
          <cell r="E49">
            <v>24.494</v>
          </cell>
          <cell r="G49" t="e">
            <v>#REF!</v>
          </cell>
          <cell r="H49">
            <v>0.36025124878440917</v>
          </cell>
          <cell r="I49">
            <v>0.15151113761494461</v>
          </cell>
          <cell r="J49">
            <v>0.57145327586504635</v>
          </cell>
        </row>
        <row r="50">
          <cell r="A50">
            <v>36923</v>
          </cell>
          <cell r="B50">
            <v>19.58333</v>
          </cell>
          <cell r="C50">
            <v>19.264710000000001</v>
          </cell>
          <cell r="D50" t="e">
            <v>#N/A</v>
          </cell>
          <cell r="E50">
            <v>24.456520000000001</v>
          </cell>
          <cell r="G50" t="e">
            <v>#REF!</v>
          </cell>
          <cell r="H50">
            <v>0.33529268107078053</v>
          </cell>
          <cell r="I50">
            <v>0.12956444217235538</v>
          </cell>
          <cell r="J50">
            <v>0.56067750622360979</v>
          </cell>
        </row>
        <row r="51">
          <cell r="A51">
            <v>36951</v>
          </cell>
          <cell r="B51">
            <v>16.733330000000002</v>
          </cell>
          <cell r="C51">
            <v>17.030900000000003</v>
          </cell>
          <cell r="D51" t="e">
            <v>#N/A</v>
          </cell>
          <cell r="E51">
            <v>23.611730000000001</v>
          </cell>
          <cell r="G51" t="e">
            <v>#REF!</v>
          </cell>
          <cell r="H51">
            <v>0.41197028765749627</v>
          </cell>
          <cell r="I51">
            <v>0.10990607351986759</v>
          </cell>
          <cell r="J51">
            <v>0.56488864691463647</v>
          </cell>
        </row>
        <row r="52">
          <cell r="A52">
            <v>36982</v>
          </cell>
          <cell r="B52">
            <v>18.600000000000001</v>
          </cell>
          <cell r="C52">
            <v>18.387340000000002</v>
          </cell>
          <cell r="D52" t="e">
            <v>#N/A</v>
          </cell>
          <cell r="E52">
            <v>23.515350000000002</v>
          </cell>
          <cell r="G52" t="e">
            <v>#REF!</v>
          </cell>
          <cell r="H52">
            <v>0.33693048555450195</v>
          </cell>
          <cell r="I52">
            <v>0.14070097449258703</v>
          </cell>
          <cell r="J52">
            <v>0.57559269811025027</v>
          </cell>
        </row>
        <row r="53">
          <cell r="A53">
            <v>37012</v>
          </cell>
          <cell r="B53">
            <v>18.8</v>
          </cell>
          <cell r="C53">
            <v>17.784480000000002</v>
          </cell>
          <cell r="D53" t="e">
            <v>#N/A</v>
          </cell>
          <cell r="E53">
            <v>24.132150000000003</v>
          </cell>
          <cell r="G53" t="e">
            <v>#REF!</v>
          </cell>
          <cell r="H53">
            <v>0.34811636836752152</v>
          </cell>
          <cell r="I53">
            <v>0.15333211612057818</v>
          </cell>
          <cell r="J53">
            <v>0.58551161367060856</v>
          </cell>
        </row>
        <row r="54">
          <cell r="A54">
            <v>37043</v>
          </cell>
          <cell r="B54">
            <v>21.060600000000001</v>
          </cell>
          <cell r="C54">
            <v>17.928900000000002</v>
          </cell>
          <cell r="D54" t="e">
            <v>#N/A</v>
          </cell>
          <cell r="E54">
            <v>28.277780000000003</v>
          </cell>
          <cell r="G54" t="e">
            <v>#REF!</v>
          </cell>
          <cell r="H54">
            <v>0.49720322776938103</v>
          </cell>
          <cell r="I54">
            <v>0.12824117252389325</v>
          </cell>
          <cell r="J54">
            <v>0.59407449867366202</v>
          </cell>
        </row>
        <row r="55">
          <cell r="A55">
            <v>37073</v>
          </cell>
          <cell r="B55">
            <v>17.5</v>
          </cell>
          <cell r="C55">
            <v>16.074190000000002</v>
          </cell>
          <cell r="D55" t="e">
            <v>#N/A</v>
          </cell>
          <cell r="E55">
            <v>25.793650000000003</v>
          </cell>
          <cell r="G55" t="e">
            <v>#REF!</v>
          </cell>
          <cell r="H55">
            <v>0.33061247478017308</v>
          </cell>
          <cell r="I55">
            <v>0.29216582882126191</v>
          </cell>
          <cell r="J55">
            <v>0.60678708916698521</v>
          </cell>
        </row>
        <row r="56">
          <cell r="A56">
            <v>37104</v>
          </cell>
          <cell r="B56">
            <v>14.848485</v>
          </cell>
          <cell r="C56">
            <v>16.383310000000002</v>
          </cell>
          <cell r="D56" t="e">
            <v>#N/A</v>
          </cell>
          <cell r="E56">
            <v>25.238100000000003</v>
          </cell>
          <cell r="G56" t="e">
            <v>#REF!</v>
          </cell>
          <cell r="H56">
            <v>0.31053859946180473</v>
          </cell>
          <cell r="I56">
            <v>0.24947151020932104</v>
          </cell>
          <cell r="J56">
            <v>0.61491598543225479</v>
          </cell>
        </row>
        <row r="57">
          <cell r="A57">
            <v>37135</v>
          </cell>
          <cell r="B57">
            <v>13.722626999999999</v>
          </cell>
          <cell r="C57">
            <v>15.176558</v>
          </cell>
          <cell r="D57" t="e">
            <v>#N/A</v>
          </cell>
          <cell r="E57">
            <v>21.355530000000002</v>
          </cell>
          <cell r="G57" t="e">
            <v>#REF!</v>
          </cell>
          <cell r="H57">
            <v>0.49407644626884772</v>
          </cell>
          <cell r="I57">
            <v>0.2884823299799672</v>
          </cell>
          <cell r="J57">
            <v>0.64089582055753602</v>
          </cell>
        </row>
        <row r="58">
          <cell r="A58">
            <v>37165</v>
          </cell>
          <cell r="B58">
            <v>15.255474</v>
          </cell>
          <cell r="C58">
            <v>15.627346999999999</v>
          </cell>
          <cell r="D58" t="e">
            <v>#N/A</v>
          </cell>
          <cell r="E58">
            <v>22.205430000000003</v>
          </cell>
          <cell r="G58" t="e">
            <v>#REF!</v>
          </cell>
          <cell r="H58">
            <v>0.33083267067501049</v>
          </cell>
          <cell r="I58">
            <v>0.1825350823433366</v>
          </cell>
          <cell r="J58">
            <v>0.65177378331652613</v>
          </cell>
        </row>
        <row r="59">
          <cell r="A59">
            <v>37196</v>
          </cell>
          <cell r="B59">
            <v>16.350360000000002</v>
          </cell>
          <cell r="C59">
            <v>18.332080000000001</v>
          </cell>
          <cell r="D59" t="e">
            <v>#N/A</v>
          </cell>
          <cell r="E59">
            <v>21.830530000000003</v>
          </cell>
          <cell r="G59" t="e">
            <v>#REF!</v>
          </cell>
          <cell r="H59">
            <v>0.41922788743143291</v>
          </cell>
          <cell r="I59">
            <v>0.24796871770889081</v>
          </cell>
          <cell r="J59">
            <v>0.66386271449642276</v>
          </cell>
        </row>
        <row r="60">
          <cell r="A60">
            <v>37226</v>
          </cell>
          <cell r="B60">
            <v>16.690140000000003</v>
          </cell>
          <cell r="C60">
            <v>18.12865</v>
          </cell>
          <cell r="D60" t="e">
            <v>#N/A</v>
          </cell>
          <cell r="E60">
            <v>21.945160000000001</v>
          </cell>
          <cell r="G60" t="e">
            <v>#REF!</v>
          </cell>
          <cell r="H60">
            <v>0.39329642135780241</v>
          </cell>
          <cell r="I60">
            <v>0.27059476691046003</v>
          </cell>
          <cell r="J60">
            <v>0.67151383584986712</v>
          </cell>
        </row>
        <row r="61">
          <cell r="A61">
            <v>37257</v>
          </cell>
          <cell r="B61">
            <v>16.056340000000002</v>
          </cell>
          <cell r="C61">
            <v>21.052630000000001</v>
          </cell>
          <cell r="D61" t="e">
            <v>#N/A</v>
          </cell>
          <cell r="E61">
            <v>22.624870000000001</v>
          </cell>
          <cell r="G61" t="e">
            <v>#REF!</v>
          </cell>
          <cell r="H61">
            <v>0.60689286909268603</v>
          </cell>
          <cell r="I61">
            <v>0.34483082924611069</v>
          </cell>
          <cell r="J61">
            <v>0.66771147472153924</v>
          </cell>
        </row>
        <row r="62">
          <cell r="A62">
            <v>37288</v>
          </cell>
          <cell r="B62">
            <v>15.422535</v>
          </cell>
          <cell r="C62">
            <v>18.859650000000002</v>
          </cell>
          <cell r="D62" t="e">
            <v>#N/A</v>
          </cell>
          <cell r="E62">
            <v>25.149540000000002</v>
          </cell>
          <cell r="G62" t="e">
            <v>#REF!</v>
          </cell>
          <cell r="H62">
            <v>0.35602093713260685</v>
          </cell>
          <cell r="I62">
            <v>0.24593159356055108</v>
          </cell>
          <cell r="J62">
            <v>0.79123261167976311</v>
          </cell>
        </row>
        <row r="63">
          <cell r="A63">
            <v>37316</v>
          </cell>
          <cell r="B63">
            <v>17.925930000000001</v>
          </cell>
          <cell r="C63">
            <v>20.108280000000001</v>
          </cell>
          <cell r="D63" t="e">
            <v>#N/A</v>
          </cell>
          <cell r="E63">
            <v>23.662930000000003</v>
          </cell>
          <cell r="G63" t="e">
            <v>#REF!</v>
          </cell>
          <cell r="H63">
            <v>0.46374073092838808</v>
          </cell>
          <cell r="I63">
            <v>0.30417382304724483</v>
          </cell>
          <cell r="J63">
            <v>0.73696473220957914</v>
          </cell>
        </row>
        <row r="64">
          <cell r="A64">
            <v>37347</v>
          </cell>
          <cell r="B64">
            <v>20.592590000000001</v>
          </cell>
          <cell r="C64">
            <v>19.64424</v>
          </cell>
          <cell r="D64" t="e">
            <v>#N/A</v>
          </cell>
          <cell r="E64">
            <v>24.555520000000001</v>
          </cell>
          <cell r="G64" t="e">
            <v>#REF!</v>
          </cell>
          <cell r="H64">
            <v>0.39261364348037808</v>
          </cell>
          <cell r="I64">
            <v>0.44022210419281405</v>
          </cell>
          <cell r="J64">
            <v>0.69910123048288686</v>
          </cell>
        </row>
        <row r="65">
          <cell r="A65">
            <v>37377</v>
          </cell>
          <cell r="B65">
            <v>20.88889</v>
          </cell>
          <cell r="C65">
            <v>19.953600000000002</v>
          </cell>
          <cell r="D65" t="e">
            <v>#N/A</v>
          </cell>
          <cell r="E65">
            <v>25.284180000000003</v>
          </cell>
          <cell r="G65" t="e">
            <v>#REF!</v>
          </cell>
          <cell r="H65">
            <v>0.35172689821643993</v>
          </cell>
          <cell r="I65">
            <v>0.25594685026751962</v>
          </cell>
          <cell r="J65">
            <v>0.827233222506359</v>
          </cell>
        </row>
        <row r="66">
          <cell r="A66">
            <v>37408</v>
          </cell>
          <cell r="B66">
            <v>20.078130000000002</v>
          </cell>
          <cell r="C66">
            <v>19.047620000000002</v>
          </cell>
          <cell r="D66" t="e">
            <v>#N/A</v>
          </cell>
          <cell r="E66">
            <v>22.984560000000002</v>
          </cell>
          <cell r="G66" t="e">
            <v>#REF!</v>
          </cell>
          <cell r="H66">
            <v>0.26995387271817223</v>
          </cell>
          <cell r="I66">
            <v>0.20428102999555581</v>
          </cell>
          <cell r="J66">
            <v>0.78474258098014926</v>
          </cell>
        </row>
        <row r="67">
          <cell r="A67">
            <v>37438</v>
          </cell>
          <cell r="B67">
            <v>17.65625</v>
          </cell>
          <cell r="C67">
            <v>18.71921</v>
          </cell>
          <cell r="D67" t="e">
            <v>#N/A</v>
          </cell>
          <cell r="E67">
            <v>21.818180000000002</v>
          </cell>
          <cell r="G67" t="e">
            <v>#REF!</v>
          </cell>
          <cell r="H67">
            <v>0.42751191498182756</v>
          </cell>
          <cell r="I67">
            <v>0.21482203548694895</v>
          </cell>
          <cell r="J67">
            <v>0.93342124607399823</v>
          </cell>
        </row>
        <row r="68">
          <cell r="A68">
            <v>37469</v>
          </cell>
          <cell r="B68">
            <v>16.09375</v>
          </cell>
          <cell r="C68">
            <v>20.03284</v>
          </cell>
          <cell r="D68" t="e">
            <v>#N/A</v>
          </cell>
          <cell r="E68">
            <v>21.852490000000003</v>
          </cell>
          <cell r="G68" t="e">
            <v>#REF!</v>
          </cell>
          <cell r="H68">
            <v>0.33207725162007434</v>
          </cell>
          <cell r="I68">
            <v>0.1591868925853166</v>
          </cell>
          <cell r="J68">
            <v>0.74844626823793492</v>
          </cell>
        </row>
        <row r="69">
          <cell r="A69">
            <v>37500</v>
          </cell>
          <cell r="B69">
            <v>15.537189</v>
          </cell>
          <cell r="C69">
            <v>16.751640000000002</v>
          </cell>
          <cell r="D69" t="e">
            <v>#N/A</v>
          </cell>
          <cell r="E69">
            <v>19.129710000000003</v>
          </cell>
          <cell r="G69" t="e">
            <v>#REF!</v>
          </cell>
          <cell r="H69">
            <v>0.27887563163437312</v>
          </cell>
          <cell r="I69">
            <v>0.16292080570023904</v>
          </cell>
          <cell r="J69">
            <v>0.83695345945425104</v>
          </cell>
        </row>
        <row r="70">
          <cell r="A70">
            <v>37530</v>
          </cell>
          <cell r="B70">
            <v>17.10744</v>
          </cell>
          <cell r="C70">
            <v>16.897300000000001</v>
          </cell>
          <cell r="D70" t="e">
            <v>#N/A</v>
          </cell>
          <cell r="E70">
            <v>19.246860000000002</v>
          </cell>
          <cell r="G70" t="e">
            <v>#REF!</v>
          </cell>
          <cell r="H70">
            <v>0.3325366720344991</v>
          </cell>
          <cell r="I70">
            <v>0.15092297187926071</v>
          </cell>
          <cell r="J70">
            <v>0.83678985674590456</v>
          </cell>
        </row>
        <row r="71">
          <cell r="A71">
            <v>37561</v>
          </cell>
          <cell r="B71">
            <v>17.272730000000003</v>
          </cell>
          <cell r="C71">
            <v>17.479970000000002</v>
          </cell>
          <cell r="D71" t="e">
            <v>#N/A</v>
          </cell>
          <cell r="E71">
            <v>19.31381</v>
          </cell>
          <cell r="G71" t="e">
            <v>#REF!</v>
          </cell>
          <cell r="H71">
            <v>0.27388974496064084</v>
          </cell>
          <cell r="I71">
            <v>0.15068400773470325</v>
          </cell>
          <cell r="J71">
            <v>0.83743231972888177</v>
          </cell>
        </row>
        <row r="72">
          <cell r="A72">
            <v>37591</v>
          </cell>
          <cell r="B72">
            <v>17.192980000000002</v>
          </cell>
          <cell r="C72">
            <v>17.521370000000001</v>
          </cell>
          <cell r="D72" t="e">
            <v>#N/A</v>
          </cell>
          <cell r="E72">
            <v>18.643790000000003</v>
          </cell>
          <cell r="G72" t="e">
            <v>#REF!</v>
          </cell>
          <cell r="H72">
            <v>0.22108119288596106</v>
          </cell>
          <cell r="I72">
            <v>0.12392336890858903</v>
          </cell>
          <cell r="J72">
            <v>0.58838511754004208</v>
          </cell>
        </row>
        <row r="73">
          <cell r="A73">
            <v>37622</v>
          </cell>
          <cell r="B73">
            <v>16.31579</v>
          </cell>
          <cell r="C73">
            <v>17.663820000000001</v>
          </cell>
          <cell r="D73" t="e">
            <v>#N/A</v>
          </cell>
          <cell r="E73">
            <v>19.16667</v>
          </cell>
          <cell r="G73" t="e">
            <v>#REF!</v>
          </cell>
          <cell r="H73">
            <v>0.29273658694665095</v>
          </cell>
          <cell r="I73">
            <v>0.22446321195373387</v>
          </cell>
          <cell r="J73">
            <v>0.76536838844801436</v>
          </cell>
        </row>
        <row r="74">
          <cell r="A74">
            <v>37653</v>
          </cell>
          <cell r="B74">
            <v>15.964912999999999</v>
          </cell>
          <cell r="C74">
            <v>17.663820000000001</v>
          </cell>
          <cell r="D74" t="e">
            <v>#N/A</v>
          </cell>
          <cell r="E74">
            <v>18.137260000000001</v>
          </cell>
          <cell r="G74" t="e">
            <v>#REF!</v>
          </cell>
          <cell r="H74">
            <v>0.21744329483183159</v>
          </cell>
          <cell r="I74">
            <v>0.12789796328039479</v>
          </cell>
          <cell r="J74">
            <v>0.76466743949064397</v>
          </cell>
        </row>
        <row r="75">
          <cell r="A75">
            <v>37681</v>
          </cell>
          <cell r="B75">
            <v>16.242660000000001</v>
          </cell>
          <cell r="C75">
            <v>19.623230000000003</v>
          </cell>
          <cell r="D75" t="e">
            <v>#N/A</v>
          </cell>
          <cell r="E75">
            <v>18.726660000000003</v>
          </cell>
          <cell r="G75" t="e">
            <v>#REF!</v>
          </cell>
          <cell r="H75">
            <v>0.33999986047099534</v>
          </cell>
          <cell r="I75">
            <v>0.17049805463034914</v>
          </cell>
          <cell r="J75">
            <v>0.77721494393581203</v>
          </cell>
        </row>
        <row r="76">
          <cell r="A76">
            <v>37712</v>
          </cell>
          <cell r="B76">
            <v>17.808220000000002</v>
          </cell>
          <cell r="C76">
            <v>19.152280000000001</v>
          </cell>
          <cell r="D76" t="e">
            <v>#N/A</v>
          </cell>
          <cell r="E76">
            <v>19.524620000000002</v>
          </cell>
          <cell r="G76" t="e">
            <v>#REF!</v>
          </cell>
          <cell r="H76">
            <v>0.34675782945957567</v>
          </cell>
          <cell r="I76">
            <v>0.17601566214934483</v>
          </cell>
          <cell r="J76">
            <v>0.77883716168300687</v>
          </cell>
        </row>
        <row r="77">
          <cell r="A77">
            <v>37742</v>
          </cell>
          <cell r="B77">
            <v>20.156560000000002</v>
          </cell>
          <cell r="C77">
            <v>20.251180000000002</v>
          </cell>
          <cell r="D77" t="e">
            <v>#N/A</v>
          </cell>
          <cell r="E77">
            <v>20.882850000000001</v>
          </cell>
          <cell r="G77" t="e">
            <v>#REF!</v>
          </cell>
          <cell r="H77">
            <v>0.42556545753443314</v>
          </cell>
          <cell r="I77">
            <v>0.18002213189963256</v>
          </cell>
          <cell r="J77">
            <v>0.7823882105301716</v>
          </cell>
        </row>
        <row r="78">
          <cell r="A78">
            <v>37773</v>
          </cell>
          <cell r="B78">
            <v>22.580640000000002</v>
          </cell>
          <cell r="C78">
            <v>85.625</v>
          </cell>
          <cell r="D78" t="e">
            <v>#N/A</v>
          </cell>
          <cell r="E78">
            <v>22.120140000000003</v>
          </cell>
          <cell r="G78" t="e">
            <v>#REF!</v>
          </cell>
          <cell r="H78">
            <v>0.56868191588131789</v>
          </cell>
          <cell r="I78">
            <v>0.30938578361953334</v>
          </cell>
          <cell r="J78">
            <v>0.79084866877547089</v>
          </cell>
        </row>
        <row r="79">
          <cell r="A79">
            <v>37803</v>
          </cell>
          <cell r="B79">
            <v>25.907260000000001</v>
          </cell>
          <cell r="C79">
            <v>94.374990000000011</v>
          </cell>
          <cell r="D79" t="e">
            <v>#N/A</v>
          </cell>
          <cell r="E79">
            <v>23.81625</v>
          </cell>
          <cell r="G79" t="e">
            <v>#REF!</v>
          </cell>
          <cell r="H79">
            <v>0.64036171340379122</v>
          </cell>
          <cell r="I79">
            <v>0.49953243955993909</v>
          </cell>
          <cell r="J79">
            <v>0.78356022584518692</v>
          </cell>
        </row>
        <row r="80">
          <cell r="A80">
            <v>37834</v>
          </cell>
          <cell r="B80">
            <v>28.225810000000003</v>
          </cell>
          <cell r="C80">
            <v>103.12499000000001</v>
          </cell>
          <cell r="D80" t="e">
            <v>#N/A</v>
          </cell>
          <cell r="E80">
            <v>24.558300000000003</v>
          </cell>
          <cell r="G80" t="e">
            <v>#REF!</v>
          </cell>
          <cell r="H80">
            <v>0.57667134181877711</v>
          </cell>
          <cell r="I80">
            <v>0.39614411325133719</v>
          </cell>
          <cell r="J80">
            <v>0.78986727787443478</v>
          </cell>
        </row>
        <row r="81">
          <cell r="A81">
            <v>37865</v>
          </cell>
          <cell r="B81">
            <v>31.015040000000003</v>
          </cell>
          <cell r="C81">
            <v>60.869570000000003</v>
          </cell>
          <cell r="D81" t="e">
            <v>#N/A</v>
          </cell>
          <cell r="E81">
            <v>22.8871</v>
          </cell>
          <cell r="G81" t="e">
            <v>#REF!</v>
          </cell>
          <cell r="H81">
            <v>0.69728667448781123</v>
          </cell>
          <cell r="I81">
            <v>0.41425577327111773</v>
          </cell>
          <cell r="J81">
            <v>0.79633966572870463</v>
          </cell>
        </row>
        <row r="82">
          <cell r="A82">
            <v>37895</v>
          </cell>
          <cell r="B82">
            <v>31.766920000000002</v>
          </cell>
          <cell r="C82">
            <v>55.5184</v>
          </cell>
          <cell r="D82" t="e">
            <v>#N/A</v>
          </cell>
          <cell r="E82">
            <v>25.806450000000002</v>
          </cell>
          <cell r="G82" t="e">
            <v>#REF!</v>
          </cell>
          <cell r="H82">
            <v>0.81276956459142957</v>
          </cell>
          <cell r="I82">
            <v>0.60021467989582722</v>
          </cell>
          <cell r="J82">
            <v>0.80044592227210709</v>
          </cell>
        </row>
        <row r="83">
          <cell r="A83">
            <v>37926</v>
          </cell>
          <cell r="B83">
            <v>29.887220000000003</v>
          </cell>
          <cell r="C83">
            <v>55.183950000000003</v>
          </cell>
          <cell r="D83" t="e">
            <v>#N/A</v>
          </cell>
          <cell r="E83">
            <v>25.01613</v>
          </cell>
          <cell r="G83" t="e">
            <v>#REF!</v>
          </cell>
          <cell r="H83">
            <v>0.48610610826057826</v>
          </cell>
          <cell r="I83">
            <v>0.40172592473215463</v>
          </cell>
          <cell r="J83">
            <v>0.79190020452388221</v>
          </cell>
        </row>
        <row r="84">
          <cell r="A84">
            <v>37956</v>
          </cell>
          <cell r="B84">
            <v>25.5303</v>
          </cell>
          <cell r="C84">
            <v>37.224670000000003</v>
          </cell>
          <cell r="D84" t="e">
            <v>#N/A</v>
          </cell>
          <cell r="E84">
            <v>25.341249999999999</v>
          </cell>
          <cell r="G84" t="e">
            <v>#REF!</v>
          </cell>
          <cell r="H84">
            <v>0.33735589839248398</v>
          </cell>
          <cell r="I84">
            <v>0.34622242251449614</v>
          </cell>
          <cell r="J84">
            <v>0.7993216405451623</v>
          </cell>
        </row>
        <row r="85">
          <cell r="A85">
            <v>37987</v>
          </cell>
          <cell r="B85">
            <v>29.393940000000004</v>
          </cell>
          <cell r="C85">
            <v>38.986780000000003</v>
          </cell>
          <cell r="D85" t="e">
            <v>#N/A</v>
          </cell>
          <cell r="E85">
            <v>24.465870000000002</v>
          </cell>
          <cell r="G85" t="e">
            <v>#REF!</v>
          </cell>
          <cell r="H85">
            <v>0.65079230422615753</v>
          </cell>
          <cell r="I85">
            <v>0.36513823879079566</v>
          </cell>
          <cell r="J85">
            <v>0.80467130507127882</v>
          </cell>
        </row>
        <row r="86">
          <cell r="A86">
            <v>38018</v>
          </cell>
          <cell r="B86">
            <v>31.212120000000002</v>
          </cell>
          <cell r="C86">
            <v>38.76652</v>
          </cell>
          <cell r="D86" t="e">
            <v>#N/A</v>
          </cell>
          <cell r="E86">
            <v>24.955490000000001</v>
          </cell>
          <cell r="G86" t="e">
            <v>#REF!</v>
          </cell>
          <cell r="H86">
            <v>0.57446865566277794</v>
          </cell>
          <cell r="I86">
            <v>0.42857718218682772</v>
          </cell>
          <cell r="J86">
            <v>0.80038834984563489</v>
          </cell>
        </row>
        <row r="87">
          <cell r="A87">
            <v>38047</v>
          </cell>
          <cell r="B87">
            <v>18.998860000000001</v>
          </cell>
          <cell r="C87">
            <v>24.163030000000003</v>
          </cell>
          <cell r="D87" t="e">
            <v>#N/A</v>
          </cell>
          <cell r="E87">
            <v>22.303030000000003</v>
          </cell>
          <cell r="G87" t="e">
            <v>#REF!</v>
          </cell>
          <cell r="H87">
            <v>0.50984680864642762</v>
          </cell>
          <cell r="I87">
            <v>0.52197783280712251</v>
          </cell>
          <cell r="J87">
            <v>0.80299890786766026</v>
          </cell>
        </row>
        <row r="88">
          <cell r="A88">
            <v>38078</v>
          </cell>
          <cell r="B88">
            <v>17.747440000000001</v>
          </cell>
          <cell r="C88">
            <v>23.726350000000004</v>
          </cell>
          <cell r="D88" t="e">
            <v>#N/A</v>
          </cell>
          <cell r="E88">
            <v>21.670030000000001</v>
          </cell>
          <cell r="G88" t="e">
            <v>#REF!</v>
          </cell>
          <cell r="H88">
            <v>0.46421304324185686</v>
          </cell>
          <cell r="I88">
            <v>0.30293450930067378</v>
          </cell>
          <cell r="J88">
            <v>0.80829639953041033</v>
          </cell>
        </row>
        <row r="89">
          <cell r="A89">
            <v>38108</v>
          </cell>
          <cell r="B89">
            <v>18.25938</v>
          </cell>
          <cell r="C89">
            <v>23.144110000000001</v>
          </cell>
          <cell r="D89" t="e">
            <v>#N/A</v>
          </cell>
          <cell r="E89">
            <v>20.80808</v>
          </cell>
          <cell r="G89" t="e">
            <v>#REF!</v>
          </cell>
          <cell r="H89">
            <v>0.43736722358884617</v>
          </cell>
          <cell r="I89">
            <v>0.28690949730823662</v>
          </cell>
          <cell r="J89">
            <v>0.80161546401899386</v>
          </cell>
        </row>
        <row r="90">
          <cell r="A90">
            <v>38139</v>
          </cell>
          <cell r="B90">
            <v>17.13062</v>
          </cell>
          <cell r="C90">
            <v>12.903226999999999</v>
          </cell>
          <cell r="D90" t="e">
            <v>#N/A</v>
          </cell>
          <cell r="E90">
            <v>19.161530000000003</v>
          </cell>
          <cell r="G90" t="e">
            <v>#REF!</v>
          </cell>
          <cell r="H90">
            <v>0.30787114332979942</v>
          </cell>
          <cell r="I90">
            <v>0.22358933961526845</v>
          </cell>
          <cell r="J90">
            <v>0.7990136683870418</v>
          </cell>
        </row>
        <row r="91">
          <cell r="A91">
            <v>38169</v>
          </cell>
          <cell r="B91">
            <v>17.237690000000001</v>
          </cell>
          <cell r="C91">
            <v>13.364056</v>
          </cell>
          <cell r="D91" t="e">
            <v>#N/A</v>
          </cell>
          <cell r="E91">
            <v>19.420470000000002</v>
          </cell>
          <cell r="G91" t="e">
            <v>#REF!</v>
          </cell>
          <cell r="H91">
            <v>0.36495905148111207</v>
          </cell>
          <cell r="I91">
            <v>0.24294019136570705</v>
          </cell>
          <cell r="J91">
            <v>0.79970558680123605</v>
          </cell>
        </row>
        <row r="92">
          <cell r="A92">
            <v>38200</v>
          </cell>
          <cell r="B92">
            <v>18.254820000000002</v>
          </cell>
          <cell r="C92">
            <v>13.671275</v>
          </cell>
          <cell r="D92" t="e">
            <v>#N/A</v>
          </cell>
          <cell r="E92">
            <v>19.210850000000001</v>
          </cell>
          <cell r="G92" t="e">
            <v>#REF!</v>
          </cell>
          <cell r="H92">
            <v>0.38836314806054179</v>
          </cell>
          <cell r="I92">
            <v>0.22623423482999122</v>
          </cell>
          <cell r="J92">
            <v>0.79553613679120494</v>
          </cell>
        </row>
        <row r="93">
          <cell r="A93">
            <v>38231</v>
          </cell>
          <cell r="B93">
            <v>17.929290000000002</v>
          </cell>
          <cell r="C93">
            <v>14.496314</v>
          </cell>
          <cell r="D93" t="e">
            <v>#N/A</v>
          </cell>
          <cell r="E93">
            <v>19.199060000000003</v>
          </cell>
          <cell r="G93" t="e">
            <v>#REF!</v>
          </cell>
          <cell r="H93">
            <v>0.40660531470519201</v>
          </cell>
          <cell r="I93">
            <v>0.30583729080737015</v>
          </cell>
          <cell r="J93">
            <v>0.78466188515419788</v>
          </cell>
        </row>
        <row r="94">
          <cell r="A94">
            <v>38261</v>
          </cell>
          <cell r="B94">
            <v>17.878790000000002</v>
          </cell>
          <cell r="C94">
            <v>14.414413999999999</v>
          </cell>
          <cell r="D94" t="e">
            <v>#N/A</v>
          </cell>
          <cell r="E94">
            <v>21.802120000000002</v>
          </cell>
          <cell r="G94" t="e">
            <v>#REF!</v>
          </cell>
          <cell r="H94">
            <v>0.3870544242864804</v>
          </cell>
          <cell r="I94">
            <v>0.24422860687770004</v>
          </cell>
          <cell r="J94">
            <v>0.78797094643444099</v>
          </cell>
        </row>
        <row r="95">
          <cell r="A95">
            <v>38292</v>
          </cell>
          <cell r="B95">
            <v>19.797980000000003</v>
          </cell>
          <cell r="C95">
            <v>14.086813999999999</v>
          </cell>
          <cell r="D95" t="e">
            <v>#N/A</v>
          </cell>
          <cell r="E95">
            <v>22.061250000000001</v>
          </cell>
          <cell r="G95" t="e">
            <v>#REF!</v>
          </cell>
          <cell r="H95">
            <v>0.39905762819406188</v>
          </cell>
          <cell r="I95">
            <v>0.33241938036388063</v>
          </cell>
          <cell r="J95">
            <v>0.80410762316761986</v>
          </cell>
        </row>
        <row r="96">
          <cell r="A96">
            <v>38322</v>
          </cell>
          <cell r="B96">
            <v>20.8</v>
          </cell>
          <cell r="C96">
            <v>14.842454999999999</v>
          </cell>
          <cell r="D96" t="e">
            <v>#N/A</v>
          </cell>
          <cell r="E96">
            <v>22.99887</v>
          </cell>
          <cell r="G96" t="e">
            <v>#REF!</v>
          </cell>
          <cell r="H96">
            <v>0.34229179812229305</v>
          </cell>
          <cell r="I96">
            <v>0.30130862628765903</v>
          </cell>
          <cell r="J96">
            <v>0.81081733403026046</v>
          </cell>
        </row>
        <row r="97">
          <cell r="A97">
            <v>38353</v>
          </cell>
          <cell r="B97">
            <v>19.45</v>
          </cell>
          <cell r="C97">
            <v>15.588723</v>
          </cell>
          <cell r="D97" t="e">
            <v>#N/A</v>
          </cell>
          <cell r="E97">
            <v>23.585120000000003</v>
          </cell>
          <cell r="G97" t="e">
            <v>#REF!</v>
          </cell>
          <cell r="H97">
            <v>0.40970721378125458</v>
          </cell>
          <cell r="I97">
            <v>0.33953578481732161</v>
          </cell>
          <cell r="J97">
            <v>0.8005817296206944</v>
          </cell>
        </row>
        <row r="98">
          <cell r="A98">
            <v>38384</v>
          </cell>
          <cell r="B98">
            <v>19.850000000000001</v>
          </cell>
          <cell r="C98">
            <v>15.837480000000001</v>
          </cell>
          <cell r="D98" t="e">
            <v>#N/A</v>
          </cell>
          <cell r="E98">
            <v>23.348360000000003</v>
          </cell>
          <cell r="G98" t="e">
            <v>#REF!</v>
          </cell>
          <cell r="H98">
            <v>0.38997450935746231</v>
          </cell>
          <cell r="I98">
            <v>0.25814685014055083</v>
          </cell>
          <cell r="J98">
            <v>0.8143582855645265</v>
          </cell>
        </row>
        <row r="99">
          <cell r="A99">
            <v>38412</v>
          </cell>
          <cell r="B99">
            <v>21.666670000000003</v>
          </cell>
          <cell r="C99">
            <v>18.935980000000001</v>
          </cell>
          <cell r="D99">
            <v>35.62294</v>
          </cell>
          <cell r="E99">
            <v>16.220980000000001</v>
          </cell>
          <cell r="G99" t="e">
            <v>#REF!</v>
          </cell>
          <cell r="H99">
            <v>0.40810846134583662</v>
          </cell>
          <cell r="I99">
            <v>0.34657614664838821</v>
          </cell>
          <cell r="J99">
            <v>0.81296679843735342</v>
          </cell>
        </row>
        <row r="100">
          <cell r="A100">
            <v>38443</v>
          </cell>
          <cell r="B100">
            <v>20.430110000000003</v>
          </cell>
          <cell r="C100">
            <v>16.77187</v>
          </cell>
          <cell r="D100">
            <v>34.892220000000002</v>
          </cell>
          <cell r="E100">
            <v>15.948760000000002</v>
          </cell>
          <cell r="G100" t="e">
            <v>#REF!</v>
          </cell>
          <cell r="H100">
            <v>0.33888115409511743</v>
          </cell>
          <cell r="I100">
            <v>0.23491779570843727</v>
          </cell>
          <cell r="J100">
            <v>0.818845057358912</v>
          </cell>
        </row>
        <row r="101">
          <cell r="A101">
            <v>38473</v>
          </cell>
          <cell r="B101">
            <v>20.53763</v>
          </cell>
          <cell r="C101">
            <v>17.132550000000002</v>
          </cell>
          <cell r="D101">
            <v>35.805630000000001</v>
          </cell>
          <cell r="E101">
            <v>18.32666</v>
          </cell>
          <cell r="G101" t="e">
            <v>#REF!</v>
          </cell>
          <cell r="H101">
            <v>0.35109876151226316</v>
          </cell>
          <cell r="I101">
            <v>0.22943663865965583</v>
          </cell>
          <cell r="J101">
            <v>0.83051512022297447</v>
          </cell>
        </row>
        <row r="102">
          <cell r="A102">
            <v>38504</v>
          </cell>
          <cell r="B102">
            <v>18.96227</v>
          </cell>
          <cell r="C102">
            <v>19.943290000000001</v>
          </cell>
          <cell r="D102">
            <v>29.104760000000002</v>
          </cell>
          <cell r="E102">
            <v>14.357541999999999</v>
          </cell>
          <cell r="G102" t="e">
            <v>#REF!</v>
          </cell>
          <cell r="H102">
            <v>0.40515989727597135</v>
          </cell>
          <cell r="I102">
            <v>0.24882000715583047</v>
          </cell>
          <cell r="J102">
            <v>0.83541158500242707</v>
          </cell>
        </row>
        <row r="103">
          <cell r="A103">
            <v>38534</v>
          </cell>
          <cell r="B103">
            <v>22.78302</v>
          </cell>
          <cell r="C103">
            <v>20.604920000000003</v>
          </cell>
          <cell r="D103">
            <v>33.523810000000005</v>
          </cell>
          <cell r="E103">
            <v>15.952826</v>
          </cell>
          <cell r="G103" t="e">
            <v>#REF!</v>
          </cell>
          <cell r="H103">
            <v>0.50804546711207221</v>
          </cell>
          <cell r="I103">
            <v>0.27011776332395504</v>
          </cell>
          <cell r="J103">
            <v>0.82815970243467263</v>
          </cell>
        </row>
        <row r="104">
          <cell r="A104">
            <v>38565</v>
          </cell>
          <cell r="B104">
            <v>22.547170000000001</v>
          </cell>
          <cell r="C104">
            <v>22.022680000000001</v>
          </cell>
          <cell r="D104">
            <v>32.457150000000006</v>
          </cell>
          <cell r="E104">
            <v>16.480450000000001</v>
          </cell>
          <cell r="G104" t="e">
            <v>#REF!</v>
          </cell>
          <cell r="H104">
            <v>0.54352889726501907</v>
          </cell>
          <cell r="I104">
            <v>0.23911079135228699</v>
          </cell>
          <cell r="J104">
            <v>0.84570810918145956</v>
          </cell>
        </row>
        <row r="105">
          <cell r="A105">
            <v>38596</v>
          </cell>
          <cell r="B105">
            <v>22.254820000000002</v>
          </cell>
          <cell r="C105">
            <v>20.17614</v>
          </cell>
          <cell r="D105">
            <v>29.644010000000002</v>
          </cell>
          <cell r="E105">
            <v>15.850380999999999</v>
          </cell>
          <cell r="G105" t="e">
            <v>#REF!</v>
          </cell>
          <cell r="H105">
            <v>0.43590899853078285</v>
          </cell>
          <cell r="I105">
            <v>0.25265891776770333</v>
          </cell>
          <cell r="J105">
            <v>0.85822456190662566</v>
          </cell>
        </row>
        <row r="106">
          <cell r="A106">
            <v>38626</v>
          </cell>
          <cell r="B106">
            <v>21.709980000000002</v>
          </cell>
          <cell r="C106">
            <v>21.617290000000001</v>
          </cell>
          <cell r="D106">
            <v>29.385110000000001</v>
          </cell>
          <cell r="E106">
            <v>16.814730000000001</v>
          </cell>
          <cell r="G106" t="e">
            <v>#REF!</v>
          </cell>
          <cell r="H106">
            <v>0.50177496796131982</v>
          </cell>
          <cell r="I106">
            <v>0.22503067964430534</v>
          </cell>
          <cell r="J106">
            <v>0.85211071330129595</v>
          </cell>
        </row>
        <row r="107">
          <cell r="A107">
            <v>38657</v>
          </cell>
          <cell r="B107">
            <v>23.637890000000002</v>
          </cell>
          <cell r="C107">
            <v>22.017610000000001</v>
          </cell>
          <cell r="D107">
            <v>29.902910000000002</v>
          </cell>
          <cell r="E107">
            <v>17.82583</v>
          </cell>
          <cell r="G107" t="e">
            <v>#REF!</v>
          </cell>
          <cell r="H107">
            <v>0.36879355936453806</v>
          </cell>
          <cell r="I107">
            <v>0.19380155082696301</v>
          </cell>
          <cell r="J107">
            <v>0.84507966602417772</v>
          </cell>
        </row>
        <row r="108">
          <cell r="A108">
            <v>38687</v>
          </cell>
          <cell r="B108">
            <v>25.515870000000003</v>
          </cell>
          <cell r="C108">
            <v>21.64179</v>
          </cell>
          <cell r="D108">
            <v>21.785720000000001</v>
          </cell>
          <cell r="E108">
            <v>17.945890000000002</v>
          </cell>
          <cell r="G108" t="e">
            <v>#REF!</v>
          </cell>
          <cell r="H108">
            <v>0.30604324892747353</v>
          </cell>
          <cell r="I108">
            <v>0.18878175101689007</v>
          </cell>
          <cell r="J108">
            <v>0.83996791139907323</v>
          </cell>
        </row>
        <row r="109">
          <cell r="A109">
            <v>38718</v>
          </cell>
          <cell r="B109">
            <v>30.039680000000004</v>
          </cell>
          <cell r="C109">
            <v>23.582090000000001</v>
          </cell>
          <cell r="D109">
            <v>62.7</v>
          </cell>
          <cell r="E109">
            <v>19.287690000000001</v>
          </cell>
          <cell r="G109" t="e">
            <v>#REF!</v>
          </cell>
          <cell r="H109">
            <v>0.56860206993272489</v>
          </cell>
          <cell r="I109">
            <v>0.22773357549503001</v>
          </cell>
          <cell r="J109">
            <v>0.84693080016253353</v>
          </cell>
        </row>
        <row r="110">
          <cell r="A110">
            <v>38749</v>
          </cell>
          <cell r="B110">
            <v>31.626980000000003</v>
          </cell>
          <cell r="C110">
            <v>28.507460000000002</v>
          </cell>
          <cell r="D110">
            <v>71.883330000000001</v>
          </cell>
          <cell r="E110">
            <v>17.9238</v>
          </cell>
          <cell r="G110" t="e">
            <v>#REF!</v>
          </cell>
          <cell r="H110">
            <v>0.6404781915960448</v>
          </cell>
          <cell r="I110">
            <v>0.31077684714686438</v>
          </cell>
          <cell r="J110">
            <v>0.85174451816462871</v>
          </cell>
        </row>
        <row r="111">
          <cell r="A111">
            <v>38777</v>
          </cell>
          <cell r="B111">
            <v>37.1</v>
          </cell>
          <cell r="C111">
            <v>25.8</v>
          </cell>
          <cell r="D111">
            <v>93.4</v>
          </cell>
          <cell r="E111">
            <v>18.100000000000001</v>
          </cell>
          <cell r="G111" t="e">
            <v>#REF!</v>
          </cell>
          <cell r="H111">
            <v>0.76634613003852781</v>
          </cell>
          <cell r="I111">
            <v>0.34973238158183145</v>
          </cell>
        </row>
        <row r="112">
          <cell r="A112">
            <v>38808</v>
          </cell>
          <cell r="B112">
            <v>44.6</v>
          </cell>
          <cell r="C112">
            <v>26.9</v>
          </cell>
          <cell r="D112">
            <v>100.5</v>
          </cell>
          <cell r="E112">
            <v>18.100000000000001</v>
          </cell>
        </row>
      </sheetData>
      <sheetData sheetId="38"/>
      <sheetData sheetId="39" refreshError="1">
        <row r="4">
          <cell r="C4" t="str">
            <v>Company name</v>
          </cell>
          <cell r="E4" t="str">
            <v>Share price, last close</v>
          </cell>
          <cell r="F4" t="str">
            <v>Close price date</v>
          </cell>
          <cell r="G4" t="str">
            <v>Close price currency</v>
          </cell>
          <cell r="H4" t="str">
            <v>Div Payout</v>
          </cell>
          <cell r="I4" t="str">
            <v>Div Payout</v>
          </cell>
          <cell r="J4" t="str">
            <v>Div Payout</v>
          </cell>
          <cell r="K4" t="str">
            <v>Div Payout</v>
          </cell>
          <cell r="L4" t="str">
            <v>PE</v>
          </cell>
          <cell r="M4" t="str">
            <v>PE</v>
          </cell>
          <cell r="N4" t="str">
            <v>PE</v>
          </cell>
          <cell r="O4" t="str">
            <v>PE</v>
          </cell>
        </row>
        <row r="5">
          <cell r="H5">
            <v>2005</v>
          </cell>
          <cell r="I5">
            <v>2006</v>
          </cell>
          <cell r="J5">
            <v>2007</v>
          </cell>
          <cell r="K5">
            <v>2008</v>
          </cell>
          <cell r="L5">
            <v>2005</v>
          </cell>
          <cell r="M5">
            <v>2006</v>
          </cell>
          <cell r="N5">
            <v>2007</v>
          </cell>
          <cell r="O5">
            <v>2008</v>
          </cell>
        </row>
        <row r="6">
          <cell r="B6" t="str">
            <v>ICE.N</v>
          </cell>
          <cell r="C6" t="str">
            <v>IntercontinentalExchange</v>
          </cell>
          <cell r="D6" t="str">
            <v>Intercontinental</v>
          </cell>
          <cell r="E6">
            <v>74.45</v>
          </cell>
          <cell r="F6" t="str">
            <v>10/2/2006</v>
          </cell>
          <cell r="G6" t="str">
            <v>USD</v>
          </cell>
          <cell r="H6">
            <v>0</v>
          </cell>
          <cell r="I6">
            <v>0</v>
          </cell>
          <cell r="J6">
            <v>0</v>
          </cell>
          <cell r="K6">
            <v>0</v>
          </cell>
          <cell r="L6">
            <v>36.852002943575727</v>
          </cell>
          <cell r="M6">
            <v>36.531822991865646</v>
          </cell>
          <cell r="N6">
            <v>27.062894351175341</v>
          </cell>
          <cell r="O6">
            <v>22.400163221059209</v>
          </cell>
        </row>
        <row r="7">
          <cell r="B7" t="str">
            <v>ISE.N</v>
          </cell>
          <cell r="C7" t="str">
            <v>International Securities Exchange Inc.</v>
          </cell>
          <cell r="D7" t="str">
            <v>ISE</v>
          </cell>
          <cell r="E7">
            <v>46.55</v>
          </cell>
          <cell r="F7" t="str">
            <v>10/2/2006</v>
          </cell>
          <cell r="G7" t="str">
            <v>USD</v>
          </cell>
          <cell r="H7">
            <v>0.34292372041859565</v>
          </cell>
          <cell r="I7">
            <v>0.14189124830887506</v>
          </cell>
          <cell r="J7">
            <v>0</v>
          </cell>
          <cell r="K7">
            <v>0</v>
          </cell>
          <cell r="L7">
            <v>29.504372082496392</v>
          </cell>
          <cell r="M7">
            <v>37.790890488587614</v>
          </cell>
          <cell r="N7">
            <v>31.382650717008914</v>
          </cell>
          <cell r="O7">
            <v>25.496039521497107</v>
          </cell>
        </row>
        <row r="8">
          <cell r="B8" t="str">
            <v>CME.N</v>
          </cell>
          <cell r="C8" t="str">
            <v>Chicago Mercantile Exch.</v>
          </cell>
          <cell r="D8" t="str">
            <v>CME</v>
          </cell>
          <cell r="E8">
            <v>466.85</v>
          </cell>
          <cell r="F8" t="str">
            <v>10/2/2006</v>
          </cell>
          <cell r="G8" t="str">
            <v>USD</v>
          </cell>
          <cell r="H8">
            <v>0.20576624473288863</v>
          </cell>
          <cell r="I8">
            <v>0.22315579488528089</v>
          </cell>
          <cell r="J8">
            <v>0.19833251575931332</v>
          </cell>
          <cell r="K8">
            <v>0.19828332743362737</v>
          </cell>
          <cell r="L8">
            <v>41.722408298995951</v>
          </cell>
          <cell r="M8">
            <v>43.646761173591301</v>
          </cell>
          <cell r="N8">
            <v>33.965244184042483</v>
          </cell>
          <cell r="O8">
            <v>26.793012289165887</v>
          </cell>
        </row>
        <row r="9">
          <cell r="B9" t="str">
            <v>DB1Gn.DE</v>
          </cell>
          <cell r="C9" t="str">
            <v>Deutsche Boerse</v>
          </cell>
          <cell r="D9" t="str">
            <v>DB</v>
          </cell>
          <cell r="E9">
            <v>118.4</v>
          </cell>
          <cell r="F9" t="str">
            <v>10/2/2006</v>
          </cell>
          <cell r="G9" t="str">
            <v>EUR</v>
          </cell>
          <cell r="H9">
            <v>0.180598037140839</v>
          </cell>
          <cell r="I9" t="str">
            <v>++</v>
          </cell>
          <cell r="J9" t="str">
            <v>++</v>
          </cell>
          <cell r="K9" t="str">
            <v>++</v>
          </cell>
          <cell r="L9">
            <v>21.346397150065879</v>
          </cell>
          <cell r="M9" t="str">
            <v>++</v>
          </cell>
          <cell r="N9" t="str">
            <v>++</v>
          </cell>
          <cell r="O9" t="str">
            <v>++</v>
          </cell>
        </row>
        <row r="10">
          <cell r="B10" t="str">
            <v>ASX.AX</v>
          </cell>
          <cell r="C10" t="str">
            <v>Australian Stock Exchange</v>
          </cell>
          <cell r="D10" t="str">
            <v>ASX</v>
          </cell>
          <cell r="E10">
            <v>32.950000000000003</v>
          </cell>
          <cell r="F10" t="str">
            <v>10/3/2006</v>
          </cell>
          <cell r="G10" t="str">
            <v>AUD</v>
          </cell>
          <cell r="H10">
            <v>0.89329794775780269</v>
          </cell>
          <cell r="I10">
            <v>0.8027915189189978</v>
          </cell>
          <cell r="J10">
            <v>0.69302261868195669</v>
          </cell>
          <cell r="K10">
            <v>0.84335574175928696</v>
          </cell>
          <cell r="L10">
            <v>21.286650554185432</v>
          </cell>
          <cell r="M10">
            <v>24.096650547237235</v>
          </cell>
          <cell r="N10">
            <v>24.305000334869771</v>
          </cell>
          <cell r="O10">
            <v>21.347440338027337</v>
          </cell>
        </row>
        <row r="11">
          <cell r="B11" t="str">
            <v>SGXL.SI</v>
          </cell>
          <cell r="C11" t="str">
            <v>Singapore Exchange Ltd</v>
          </cell>
          <cell r="D11" t="str">
            <v>SGX*</v>
          </cell>
          <cell r="E11">
            <v>4.28</v>
          </cell>
          <cell r="F11" t="str">
            <v>10/3/2006</v>
          </cell>
          <cell r="G11" t="str">
            <v>SGD</v>
          </cell>
          <cell r="H11">
            <v>2.3374930539587644</v>
          </cell>
          <cell r="I11">
            <v>0.90568555118487959</v>
          </cell>
          <cell r="J11">
            <v>1.2654387348214431</v>
          </cell>
          <cell r="K11">
            <v>0.89999999999999858</v>
          </cell>
          <cell r="L11">
            <v>20.987703590863799</v>
          </cell>
          <cell r="M11">
            <v>25.29888981309152</v>
          </cell>
          <cell r="N11">
            <v>24.725737499564371</v>
          </cell>
          <cell r="O11">
            <v>19.977221092511581</v>
          </cell>
        </row>
        <row r="12">
          <cell r="B12" t="str">
            <v>0388.HK</v>
          </cell>
          <cell r="C12" t="str">
            <v>HK Exchanges &amp; Clearing</v>
          </cell>
          <cell r="D12" t="str">
            <v>HKEx</v>
          </cell>
          <cell r="E12">
            <v>56.6</v>
          </cell>
          <cell r="F12" t="str">
            <v>10/3/2006</v>
          </cell>
          <cell r="G12" t="str">
            <v>HKD</v>
          </cell>
          <cell r="H12">
            <v>0.89636952165954487</v>
          </cell>
          <cell r="I12">
            <v>0.9</v>
          </cell>
          <cell r="J12">
            <v>0.89999999999999936</v>
          </cell>
          <cell r="K12" t="str">
            <v>NA</v>
          </cell>
          <cell r="L12">
            <v>25.506792776369345</v>
          </cell>
          <cell r="M12">
            <v>30.42014866687682</v>
          </cell>
          <cell r="N12">
            <v>33.060711168033208</v>
          </cell>
          <cell r="O12" t="str">
            <v>NA</v>
          </cell>
        </row>
        <row r="13">
          <cell r="B13" t="str">
            <v>BMYS.KL</v>
          </cell>
          <cell r="C13" t="str">
            <v>Bursa Malaysia Berhad</v>
          </cell>
          <cell r="D13" t="str">
            <v>Bursa</v>
          </cell>
          <cell r="E13">
            <v>5.75</v>
          </cell>
          <cell r="F13" t="str">
            <v>10/3/2006</v>
          </cell>
          <cell r="G13" t="str">
            <v>MYR</v>
          </cell>
          <cell r="H13">
            <v>6.0141383592126774</v>
          </cell>
          <cell r="I13">
            <v>0.9</v>
          </cell>
          <cell r="J13">
            <v>4.0143565242805082</v>
          </cell>
          <cell r="K13">
            <v>0.89999999999999925</v>
          </cell>
          <cell r="L13">
            <v>22.270568362040351</v>
          </cell>
          <cell r="M13">
            <v>27.498013503917665</v>
          </cell>
          <cell r="N13">
            <v>21.836601443268396</v>
          </cell>
          <cell r="O13">
            <v>18.259693076966823</v>
          </cell>
        </row>
        <row r="14">
          <cell r="B14" t="str">
            <v>ENXT.PA</v>
          </cell>
          <cell r="C14" t="str">
            <v>NA</v>
          </cell>
          <cell r="E14" t="str">
            <v>NA</v>
          </cell>
          <cell r="F14" t="str">
            <v>NA</v>
          </cell>
          <cell r="G14" t="str">
            <v>NA</v>
          </cell>
          <cell r="H14" t="str">
            <v>NA</v>
          </cell>
          <cell r="I14" t="str">
            <v>NA</v>
          </cell>
          <cell r="J14" t="str">
            <v>NA</v>
          </cell>
          <cell r="K14" t="str">
            <v>NA</v>
          </cell>
          <cell r="L14" t="str">
            <v>NA</v>
          </cell>
          <cell r="M14" t="str">
            <v>NA</v>
          </cell>
          <cell r="N14" t="str">
            <v>NA</v>
          </cell>
          <cell r="O14" t="str">
            <v>NA</v>
          </cell>
        </row>
        <row r="15">
          <cell r="B15" t="str">
            <v>LSE.L</v>
          </cell>
          <cell r="C15" t="str">
            <v>London Stock Exchange</v>
          </cell>
          <cell r="E15">
            <v>1229</v>
          </cell>
          <cell r="F15" t="str">
            <v>10/2/2006</v>
          </cell>
          <cell r="G15" t="str">
            <v>GBp</v>
          </cell>
          <cell r="H15">
            <v>0.35243678217908309</v>
          </cell>
          <cell r="I15">
            <v>5.1546025747831381</v>
          </cell>
          <cell r="J15">
            <v>0.31197082021747824</v>
          </cell>
          <cell r="K15" t="str">
            <v>NA</v>
          </cell>
          <cell r="L15">
            <v>33.770344263335772</v>
          </cell>
          <cell r="M15">
            <v>26.936335347159229</v>
          </cell>
          <cell r="N15">
            <v>22.224641261844852</v>
          </cell>
          <cell r="O15" t="str">
            <v>NA</v>
          </cell>
        </row>
        <row r="16">
          <cell r="D16" t="str">
            <v>* Ave of Fy 06 and Fy07</v>
          </cell>
        </row>
        <row r="18">
          <cell r="B18" t="str">
            <v>e=Morgan Stanley Estimates.  All other values are actual.</v>
          </cell>
        </row>
        <row r="20">
          <cell r="B20" t="str">
            <v>ND = Not Disclosed, NA = Not Available, and NM = Non Meaningful</v>
          </cell>
        </row>
        <row r="22">
          <cell r="B22" t="str">
            <v>Consensus EPS provided by Thomson Financial/First Call</v>
          </cell>
        </row>
        <row r="24">
          <cell r="B24" t="str">
            <v>Ratios for companies are based on the currency reported by the companies unless explicitly noted.</v>
          </cell>
        </row>
        <row r="26">
          <cell r="B26" t="str">
            <v xml:space="preserve">Although the information provided to you on this site is obtained or compiled from sources we believe to be reliable, </v>
          </cell>
        </row>
        <row r="27">
          <cell r="B27" t="str">
            <v xml:space="preserve">Morgan Stanley cannot and does not guarantee the accuracy, validity, timeliness or completeness of any information or </v>
          </cell>
        </row>
        <row r="28">
          <cell r="B28" t="str">
            <v>data made available to you for any particular purpose.</v>
          </cell>
        </row>
      </sheetData>
      <sheetData sheetId="40" refreshError="1">
        <row r="1">
          <cell r="A1" t="str">
            <v>Price to Earnings</v>
          </cell>
          <cell r="P1" t="str">
            <v>388 HK Equity</v>
          </cell>
          <cell r="Q1">
            <v>24.809966666666671</v>
          </cell>
          <cell r="S1" t="str">
            <v>SGX SP Equity</v>
          </cell>
          <cell r="T1">
            <v>28.570335555555559</v>
          </cell>
          <cell r="V1" t="str">
            <v>BURSA MK Equity</v>
          </cell>
          <cell r="W1">
            <v>40.847636842105274</v>
          </cell>
        </row>
        <row r="2">
          <cell r="P2" t="str">
            <v>Date</v>
          </cell>
          <cell r="Q2" t="str">
            <v>Pe Ratio</v>
          </cell>
          <cell r="S2" t="str">
            <v>Date</v>
          </cell>
          <cell r="T2" t="str">
            <v>Pe Ratio</v>
          </cell>
          <cell r="V2" t="str">
            <v>Date</v>
          </cell>
          <cell r="W2" t="str">
            <v>Pe Ratio</v>
          </cell>
        </row>
        <row r="3">
          <cell r="A3" t="str">
            <v>Date</v>
          </cell>
          <cell r="B3" t="str">
            <v>CHICAGO MERC EXCH HLDGS</v>
          </cell>
          <cell r="C3" t="str">
            <v>DEUTSCHE BOERSE AG</v>
          </cell>
          <cell r="D3" t="str">
            <v>HONG KONG EXCHANGE</v>
          </cell>
          <cell r="E3" t="str">
            <v>LONDON STOCK EXCH</v>
          </cell>
          <cell r="F3" t="str">
            <v>AUST STK EXCHANGE</v>
          </cell>
          <cell r="G3" t="str">
            <v>SINGAPORE EXCHANGE</v>
          </cell>
          <cell r="H3" t="str">
            <v>SFE CORPORATION</v>
          </cell>
          <cell r="I3" t="str">
            <v>BURSA MALAYSIA BHD</v>
          </cell>
          <cell r="J3" t="str">
            <v>OMX AB</v>
          </cell>
          <cell r="K3" t="str">
            <v>TSX GROUP INC</v>
          </cell>
          <cell r="L3" t="str">
            <v>INTL SECURITIES EXCHANGE</v>
          </cell>
          <cell r="M3" t="str">
            <v>OSAKA SECURITIES E</v>
          </cell>
          <cell r="N3" t="str">
            <v>NEW ZEALAND EXCHAN</v>
          </cell>
          <cell r="P3">
            <v>37622</v>
          </cell>
          <cell r="Q3">
            <v>16.431100000000001</v>
          </cell>
          <cell r="S3">
            <v>37622</v>
          </cell>
          <cell r="T3">
            <v>17.714300000000001</v>
          </cell>
          <cell r="V3">
            <v>38412</v>
          </cell>
          <cell r="W3">
            <v>46.922600000000003</v>
          </cell>
        </row>
        <row r="4">
          <cell r="A4" t="str">
            <v xml:space="preserve"> </v>
          </cell>
          <cell r="P4">
            <v>37653</v>
          </cell>
          <cell r="Q4">
            <v>16.0777</v>
          </cell>
          <cell r="S4">
            <v>37653</v>
          </cell>
          <cell r="T4">
            <v>17.714300000000001</v>
          </cell>
          <cell r="V4">
            <v>38443</v>
          </cell>
          <cell r="W4">
            <v>45.960099999999997</v>
          </cell>
        </row>
        <row r="5">
          <cell r="A5" t="str">
            <v>31/01/2000</v>
          </cell>
          <cell r="F5">
            <v>28.056380000000001</v>
          </cell>
          <cell r="J5">
            <v>52.830180000000006</v>
          </cell>
          <cell r="P5">
            <v>37681</v>
          </cell>
          <cell r="Q5">
            <v>14.664300000000001</v>
          </cell>
          <cell r="S5">
            <v>37681</v>
          </cell>
          <cell r="T5">
            <v>18.939399999999999</v>
          </cell>
          <cell r="V5">
            <v>38473</v>
          </cell>
          <cell r="W5">
            <v>47.163200000000003</v>
          </cell>
        </row>
        <row r="6">
          <cell r="A6" t="str">
            <v>29/02/2000</v>
          </cell>
          <cell r="F6">
            <v>33.552780000000006</v>
          </cell>
          <cell r="J6">
            <v>83.77358000000001</v>
          </cell>
          <cell r="P6">
            <v>37712</v>
          </cell>
          <cell r="Q6">
            <v>16.0777</v>
          </cell>
          <cell r="S6">
            <v>37712</v>
          </cell>
          <cell r="T6">
            <v>18.4848</v>
          </cell>
          <cell r="V6">
            <v>38504</v>
          </cell>
          <cell r="W6">
            <v>45.960099999999997</v>
          </cell>
        </row>
        <row r="7">
          <cell r="A7" t="str">
            <v>31/03/2000</v>
          </cell>
          <cell r="F7">
            <v>28.058480000000003</v>
          </cell>
          <cell r="J7">
            <v>50.991500000000002</v>
          </cell>
          <cell r="P7">
            <v>37742</v>
          </cell>
          <cell r="Q7">
            <v>18.197900000000001</v>
          </cell>
          <cell r="S7">
            <v>37742</v>
          </cell>
          <cell r="T7">
            <v>19.545500000000001</v>
          </cell>
          <cell r="V7">
            <v>38534</v>
          </cell>
          <cell r="W7">
            <v>52.938299999999998</v>
          </cell>
        </row>
        <row r="8">
          <cell r="A8" t="str">
            <v>28/04/2000</v>
          </cell>
          <cell r="F8">
            <v>25.821930000000002</v>
          </cell>
          <cell r="J8">
            <v>52.691220000000001</v>
          </cell>
          <cell r="P8">
            <v>37773</v>
          </cell>
          <cell r="Q8">
            <v>22.810600000000001</v>
          </cell>
          <cell r="S8">
            <v>37773</v>
          </cell>
          <cell r="T8">
            <v>85.625</v>
          </cell>
          <cell r="V8">
            <v>38565</v>
          </cell>
          <cell r="W8">
            <v>51.253900000000002</v>
          </cell>
        </row>
        <row r="9">
          <cell r="A9" t="str">
            <v>31/05/2000</v>
          </cell>
          <cell r="F9">
            <v>20.128910000000001</v>
          </cell>
          <cell r="J9">
            <v>51.416430000000005</v>
          </cell>
          <cell r="P9">
            <v>37803</v>
          </cell>
          <cell r="Q9">
            <v>26.171099999999999</v>
          </cell>
          <cell r="S9">
            <v>37803</v>
          </cell>
          <cell r="T9">
            <v>94.375</v>
          </cell>
          <cell r="V9">
            <v>38596</v>
          </cell>
          <cell r="W9">
            <v>55.103900000000003</v>
          </cell>
        </row>
        <row r="10">
          <cell r="A10" t="str">
            <v>30/06/2000</v>
          </cell>
          <cell r="D10">
            <v>13.525641</v>
          </cell>
          <cell r="F10">
            <v>21.563090000000003</v>
          </cell>
          <cell r="J10">
            <v>48.883370000000006</v>
          </cell>
          <cell r="P10">
            <v>37834</v>
          </cell>
          <cell r="Q10">
            <v>28.513200000000001</v>
          </cell>
          <cell r="S10">
            <v>37834</v>
          </cell>
          <cell r="T10">
            <v>103.125</v>
          </cell>
          <cell r="V10">
            <v>38626</v>
          </cell>
          <cell r="W10">
            <v>54.622700000000002</v>
          </cell>
        </row>
        <row r="11">
          <cell r="A11" t="str">
            <v>31/07/2000</v>
          </cell>
          <cell r="D11">
            <v>21.217950000000002</v>
          </cell>
          <cell r="F11">
            <v>20.621470000000002</v>
          </cell>
          <cell r="J11">
            <v>52.729530000000004</v>
          </cell>
          <cell r="P11">
            <v>37865</v>
          </cell>
          <cell r="Q11">
            <v>33.604900000000001</v>
          </cell>
          <cell r="S11">
            <v>37865</v>
          </cell>
          <cell r="T11">
            <v>60.666699999999999</v>
          </cell>
          <cell r="V11">
            <v>38657</v>
          </cell>
          <cell r="W11">
            <v>55.5852</v>
          </cell>
        </row>
        <row r="12">
          <cell r="A12" t="str">
            <v>31/08/2000</v>
          </cell>
          <cell r="D12">
            <v>20.70513</v>
          </cell>
          <cell r="F12">
            <v>22.994350000000001</v>
          </cell>
          <cell r="J12">
            <v>58.684860000000008</v>
          </cell>
          <cell r="P12">
            <v>37895</v>
          </cell>
          <cell r="Q12">
            <v>34.419600000000003</v>
          </cell>
          <cell r="S12">
            <v>37895</v>
          </cell>
          <cell r="T12">
            <v>55.333300000000001</v>
          </cell>
          <cell r="V12">
            <v>38687</v>
          </cell>
          <cell r="W12">
            <v>21.785699999999999</v>
          </cell>
        </row>
        <row r="13">
          <cell r="A13" t="str">
            <v>29/09/2000</v>
          </cell>
          <cell r="D13">
            <v>19.320990000000002</v>
          </cell>
          <cell r="F13">
            <v>19.857220000000002</v>
          </cell>
          <cell r="J13">
            <v>49.580840000000002</v>
          </cell>
          <cell r="P13">
            <v>37926</v>
          </cell>
          <cell r="Q13">
            <v>32.382899999999999</v>
          </cell>
          <cell r="S13">
            <v>37926</v>
          </cell>
          <cell r="T13">
            <v>55</v>
          </cell>
          <cell r="V13">
            <v>38718</v>
          </cell>
          <cell r="W13">
            <v>23.571400000000001</v>
          </cell>
        </row>
        <row r="14">
          <cell r="A14" t="str">
            <v>31/10/2000</v>
          </cell>
          <cell r="D14">
            <v>16.790120000000002</v>
          </cell>
          <cell r="F14">
            <v>22.149160000000002</v>
          </cell>
          <cell r="J14">
            <v>42.754490000000004</v>
          </cell>
          <cell r="P14">
            <v>37956</v>
          </cell>
          <cell r="Q14">
            <v>25.527200000000001</v>
          </cell>
          <cell r="S14">
            <v>37956</v>
          </cell>
          <cell r="T14">
            <v>36.739100000000001</v>
          </cell>
          <cell r="V14">
            <v>38749</v>
          </cell>
          <cell r="W14">
            <v>27.023800000000001</v>
          </cell>
        </row>
        <row r="15">
          <cell r="A15" t="str">
            <v>30/11/2000</v>
          </cell>
          <cell r="D15">
            <v>20.246910000000003</v>
          </cell>
          <cell r="F15">
            <v>25.643430000000002</v>
          </cell>
          <cell r="G15">
            <v>15.714286999999999</v>
          </cell>
          <cell r="J15">
            <v>30.898200000000003</v>
          </cell>
          <cell r="P15">
            <v>37987</v>
          </cell>
          <cell r="Q15">
            <v>29.3904</v>
          </cell>
          <cell r="S15">
            <v>37987</v>
          </cell>
          <cell r="T15">
            <v>38.478299999999997</v>
          </cell>
          <cell r="V15">
            <v>38777</v>
          </cell>
          <cell r="W15">
            <v>35.119</v>
          </cell>
        </row>
        <row r="16">
          <cell r="A16" t="str">
            <v>29/12/2000</v>
          </cell>
          <cell r="D16">
            <v>21.309520000000003</v>
          </cell>
          <cell r="F16">
            <v>23.718140000000002</v>
          </cell>
          <cell r="G16">
            <v>19.117650000000001</v>
          </cell>
          <cell r="J16">
            <v>26.812430000000003</v>
          </cell>
          <cell r="P16">
            <v>38018</v>
          </cell>
          <cell r="Q16">
            <v>31.208300000000001</v>
          </cell>
          <cell r="S16">
            <v>38018</v>
          </cell>
          <cell r="T16">
            <v>38.260899999999999</v>
          </cell>
          <cell r="V16">
            <v>38808</v>
          </cell>
          <cell r="W16">
            <v>38.988100000000003</v>
          </cell>
        </row>
        <row r="17">
          <cell r="A17" t="str">
            <v>31/01/2001</v>
          </cell>
          <cell r="D17">
            <v>22.559520000000003</v>
          </cell>
          <cell r="F17">
            <v>24.494</v>
          </cell>
          <cell r="G17">
            <v>20.441180000000003</v>
          </cell>
          <cell r="J17">
            <v>27.733030000000003</v>
          </cell>
          <cell r="P17">
            <v>38047</v>
          </cell>
          <cell r="Q17">
            <v>25.299900000000001</v>
          </cell>
          <cell r="S17">
            <v>38047</v>
          </cell>
          <cell r="T17">
            <v>24.058</v>
          </cell>
          <cell r="V17">
            <v>38838</v>
          </cell>
          <cell r="W17">
            <v>34.821399999999997</v>
          </cell>
        </row>
        <row r="18">
          <cell r="A18" t="str">
            <v>28/02/2001</v>
          </cell>
          <cell r="C18">
            <v>12.587529</v>
          </cell>
          <cell r="D18">
            <v>19.58333</v>
          </cell>
          <cell r="F18">
            <v>24.456520000000001</v>
          </cell>
          <cell r="G18">
            <v>19.264710000000001</v>
          </cell>
          <cell r="J18">
            <v>25.949370000000002</v>
          </cell>
          <cell r="P18">
            <v>38078</v>
          </cell>
          <cell r="Q18">
            <v>23.633500000000002</v>
          </cell>
          <cell r="S18">
            <v>38078</v>
          </cell>
          <cell r="T18">
            <v>23.623200000000001</v>
          </cell>
          <cell r="V18">
            <v>38869</v>
          </cell>
          <cell r="W18">
            <v>34.226199999999999</v>
          </cell>
        </row>
        <row r="19">
          <cell r="A19" t="str">
            <v>30/03/2001</v>
          </cell>
          <cell r="C19">
            <v>10.709776</v>
          </cell>
          <cell r="D19">
            <v>16.733330000000002</v>
          </cell>
          <cell r="F19">
            <v>23.611730000000001</v>
          </cell>
          <cell r="G19">
            <v>17.030900000000003</v>
          </cell>
          <cell r="J19">
            <v>28.593550000000004</v>
          </cell>
          <cell r="P19">
            <v>38108</v>
          </cell>
          <cell r="Q19">
            <v>24.315200000000001</v>
          </cell>
          <cell r="S19">
            <v>38108</v>
          </cell>
          <cell r="T19">
            <v>23.043500000000002</v>
          </cell>
          <cell r="V19">
            <v>38899</v>
          </cell>
          <cell r="W19">
            <v>35.416699999999999</v>
          </cell>
        </row>
        <row r="20">
          <cell r="A20" t="str">
            <v>30/04/2001</v>
          </cell>
          <cell r="C20">
            <v>12.174792</v>
          </cell>
          <cell r="D20">
            <v>18.600000000000001</v>
          </cell>
          <cell r="F20">
            <v>23.515350000000002</v>
          </cell>
          <cell r="G20">
            <v>18.387340000000002</v>
          </cell>
          <cell r="J20">
            <v>26.275160000000003</v>
          </cell>
          <cell r="P20">
            <v>38139</v>
          </cell>
          <cell r="Q20">
            <v>17.2958</v>
          </cell>
          <cell r="S20">
            <v>38139</v>
          </cell>
          <cell r="T20">
            <v>12.883100000000001</v>
          </cell>
          <cell r="V20">
            <v>38930</v>
          </cell>
          <cell r="W20">
            <v>35.119</v>
          </cell>
        </row>
        <row r="21">
          <cell r="A21" t="str">
            <v>31/05/2001</v>
          </cell>
          <cell r="C21">
            <v>13.521934</v>
          </cell>
          <cell r="D21">
            <v>18.8</v>
          </cell>
          <cell r="F21">
            <v>24.132150000000003</v>
          </cell>
          <cell r="G21">
            <v>17.784480000000002</v>
          </cell>
          <cell r="J21">
            <v>29.752750000000002</v>
          </cell>
          <cell r="P21">
            <v>38169</v>
          </cell>
          <cell r="Q21">
            <v>17.4039</v>
          </cell>
          <cell r="S21">
            <v>38169</v>
          </cell>
          <cell r="T21">
            <v>13.3432</v>
          </cell>
          <cell r="V21">
            <v>38961</v>
          </cell>
          <cell r="W21">
            <v>34.523800000000001</v>
          </cell>
        </row>
        <row r="22">
          <cell r="A22" t="str">
            <v>29/06/2001</v>
          </cell>
          <cell r="C22">
            <v>15.390293</v>
          </cell>
          <cell r="D22">
            <v>21.060600000000001</v>
          </cell>
          <cell r="F22">
            <v>28.277780000000003</v>
          </cell>
          <cell r="G22">
            <v>17.928900000000002</v>
          </cell>
          <cell r="J22">
            <v>31.797230000000003</v>
          </cell>
          <cell r="P22">
            <v>38200</v>
          </cell>
          <cell r="Q22">
            <v>18.430800000000001</v>
          </cell>
          <cell r="S22">
            <v>38200</v>
          </cell>
          <cell r="T22">
            <v>13.649900000000001</v>
          </cell>
        </row>
        <row r="23">
          <cell r="A23" t="str">
            <v>31/07/2001</v>
          </cell>
          <cell r="C23">
            <v>14.334747</v>
          </cell>
          <cell r="D23">
            <v>17.5</v>
          </cell>
          <cell r="E23">
            <v>8.0776079999999997</v>
          </cell>
          <cell r="F23">
            <v>25.793650000000003</v>
          </cell>
          <cell r="G23">
            <v>16.074190000000002</v>
          </cell>
          <cell r="J23">
            <v>29.953920000000004</v>
          </cell>
          <cell r="P23">
            <v>38231</v>
          </cell>
          <cell r="Q23">
            <v>19.1875</v>
          </cell>
          <cell r="S23">
            <v>38231</v>
          </cell>
          <cell r="T23">
            <v>14.579499999999999</v>
          </cell>
        </row>
        <row r="24">
          <cell r="A24" t="str">
            <v>31/08/2001</v>
          </cell>
          <cell r="C24">
            <v>14.434398</v>
          </cell>
          <cell r="D24">
            <v>14.848485</v>
          </cell>
          <cell r="E24">
            <v>8.4667479999999991</v>
          </cell>
          <cell r="F24">
            <v>25.238100000000003</v>
          </cell>
          <cell r="G24">
            <v>16.383310000000002</v>
          </cell>
          <cell r="J24">
            <v>21.428570000000001</v>
          </cell>
          <cell r="P24">
            <v>38261</v>
          </cell>
          <cell r="Q24">
            <v>19.133500000000002</v>
          </cell>
          <cell r="S24">
            <v>38261</v>
          </cell>
          <cell r="T24">
            <v>14.4971</v>
          </cell>
        </row>
        <row r="25">
          <cell r="A25" t="str">
            <v>28/09/2001</v>
          </cell>
          <cell r="C25">
            <v>15.870480000000001</v>
          </cell>
          <cell r="D25">
            <v>13.722626999999999</v>
          </cell>
          <cell r="E25">
            <v>10.119408999999999</v>
          </cell>
          <cell r="F25">
            <v>21.355530000000002</v>
          </cell>
          <cell r="G25">
            <v>15.176558</v>
          </cell>
          <cell r="J25">
            <v>104.86111000000001</v>
          </cell>
          <cell r="P25">
            <v>38292</v>
          </cell>
          <cell r="Q25">
            <v>21.1873</v>
          </cell>
          <cell r="S25">
            <v>38292</v>
          </cell>
          <cell r="T25">
            <v>14.1676</v>
          </cell>
        </row>
        <row r="26">
          <cell r="A26" t="str">
            <v>31/10/2001</v>
          </cell>
          <cell r="C26">
            <v>15.657342999999999</v>
          </cell>
          <cell r="D26">
            <v>15.255474</v>
          </cell>
          <cell r="E26">
            <v>10.403830000000001</v>
          </cell>
          <cell r="F26">
            <v>22.205430000000003</v>
          </cell>
          <cell r="G26">
            <v>15.627346999999999</v>
          </cell>
          <cell r="J26">
            <v>159.02780000000001</v>
          </cell>
          <cell r="P26">
            <v>38322</v>
          </cell>
          <cell r="Q26">
            <v>20.8</v>
          </cell>
          <cell r="S26">
            <v>38322</v>
          </cell>
          <cell r="T26">
            <v>15.117800000000001</v>
          </cell>
        </row>
        <row r="27">
          <cell r="A27" t="str">
            <v>30/11/2001</v>
          </cell>
          <cell r="C27">
            <v>16.292650000000002</v>
          </cell>
          <cell r="D27">
            <v>16.350360000000002</v>
          </cell>
          <cell r="E27">
            <v>11.017581999999999</v>
          </cell>
          <cell r="F27">
            <v>21.830530000000003</v>
          </cell>
          <cell r="G27">
            <v>18.332080000000001</v>
          </cell>
          <cell r="J27">
            <v>191.66670000000002</v>
          </cell>
          <cell r="P27">
            <v>38353</v>
          </cell>
          <cell r="Q27">
            <v>19.45</v>
          </cell>
          <cell r="S27">
            <v>38353</v>
          </cell>
          <cell r="T27">
            <v>15.8779</v>
          </cell>
        </row>
        <row r="28">
          <cell r="A28" t="str">
            <v>31/12/2001</v>
          </cell>
          <cell r="C28">
            <v>21.181370000000001</v>
          </cell>
          <cell r="D28">
            <v>16.690140000000003</v>
          </cell>
          <cell r="E28">
            <v>16.71191</v>
          </cell>
          <cell r="F28">
            <v>21.945160000000001</v>
          </cell>
          <cell r="G28">
            <v>18.12865</v>
          </cell>
          <cell r="P28">
            <v>38384</v>
          </cell>
          <cell r="Q28">
            <v>19.850000000000001</v>
          </cell>
          <cell r="S28">
            <v>38384</v>
          </cell>
          <cell r="T28">
            <v>16.1313</v>
          </cell>
        </row>
        <row r="29">
          <cell r="A29" t="str">
            <v>31/01/2002</v>
          </cell>
          <cell r="C29">
            <v>20.43627</v>
          </cell>
          <cell r="D29">
            <v>16.056340000000002</v>
          </cell>
          <cell r="E29">
            <v>16.236690000000003</v>
          </cell>
          <cell r="F29">
            <v>22.624870000000001</v>
          </cell>
          <cell r="G29">
            <v>21.052630000000001</v>
          </cell>
          <cell r="P29">
            <v>38412</v>
          </cell>
          <cell r="Q29">
            <v>20.149999999999999</v>
          </cell>
          <cell r="S29">
            <v>38412</v>
          </cell>
          <cell r="T29">
            <v>19.498000000000001</v>
          </cell>
        </row>
        <row r="30">
          <cell r="A30" t="str">
            <v>28/02/2002</v>
          </cell>
          <cell r="C30">
            <v>22.892160000000001</v>
          </cell>
          <cell r="D30">
            <v>15.422535</v>
          </cell>
          <cell r="E30">
            <v>16.315899999999999</v>
          </cell>
          <cell r="F30">
            <v>25.149540000000002</v>
          </cell>
          <cell r="G30">
            <v>18.859650000000002</v>
          </cell>
          <cell r="P30">
            <v>38443</v>
          </cell>
          <cell r="Q30">
            <v>19</v>
          </cell>
          <cell r="S30">
            <v>38443</v>
          </cell>
          <cell r="T30">
            <v>17.269600000000001</v>
          </cell>
        </row>
        <row r="31">
          <cell r="A31" t="str">
            <v>28/03/2002</v>
          </cell>
          <cell r="C31">
            <v>24.304120000000001</v>
          </cell>
          <cell r="D31">
            <v>17.925930000000001</v>
          </cell>
          <cell r="E31">
            <v>25.319080000000003</v>
          </cell>
          <cell r="F31">
            <v>23.662930000000003</v>
          </cell>
          <cell r="G31">
            <v>20.108280000000001</v>
          </cell>
          <cell r="P31">
            <v>38473</v>
          </cell>
          <cell r="Q31">
            <v>19.100000000000001</v>
          </cell>
          <cell r="S31">
            <v>38473</v>
          </cell>
          <cell r="T31">
            <v>17.640999999999998</v>
          </cell>
        </row>
        <row r="32">
          <cell r="A32" t="str">
            <v>30/04/2002</v>
          </cell>
          <cell r="C32">
            <v>25.463920000000002</v>
          </cell>
          <cell r="D32">
            <v>20.592590000000001</v>
          </cell>
          <cell r="E32">
            <v>26.663980000000002</v>
          </cell>
          <cell r="F32">
            <v>24.555520000000001</v>
          </cell>
          <cell r="G32">
            <v>19.64424</v>
          </cell>
          <cell r="H32">
            <v>20.085590000000003</v>
          </cell>
          <cell r="P32">
            <v>38504</v>
          </cell>
          <cell r="Q32">
            <v>18.785</v>
          </cell>
          <cell r="S32">
            <v>38504</v>
          </cell>
          <cell r="T32">
            <v>20.849799999999998</v>
          </cell>
        </row>
        <row r="33">
          <cell r="A33" t="str">
            <v>31/05/2002</v>
          </cell>
          <cell r="C33">
            <v>25.309280000000001</v>
          </cell>
          <cell r="D33">
            <v>20.88889</v>
          </cell>
          <cell r="E33">
            <v>27.482610000000001</v>
          </cell>
          <cell r="F33">
            <v>25.284180000000003</v>
          </cell>
          <cell r="G33">
            <v>19.953600000000002</v>
          </cell>
          <cell r="H33">
            <v>19.115550000000002</v>
          </cell>
          <cell r="P33">
            <v>38534</v>
          </cell>
          <cell r="Q33">
            <v>22.5701</v>
          </cell>
          <cell r="S33">
            <v>38534</v>
          </cell>
          <cell r="T33">
            <v>21.541499999999999</v>
          </cell>
        </row>
        <row r="34">
          <cell r="A34" t="str">
            <v>28/06/2002</v>
          </cell>
          <cell r="C34">
            <v>21.336630000000003</v>
          </cell>
          <cell r="D34">
            <v>20.078130000000002</v>
          </cell>
          <cell r="E34">
            <v>21.886620000000001</v>
          </cell>
          <cell r="F34">
            <v>22.984560000000002</v>
          </cell>
          <cell r="G34">
            <v>19.047620000000002</v>
          </cell>
          <cell r="H34">
            <v>18.43666</v>
          </cell>
          <cell r="P34">
            <v>38565</v>
          </cell>
          <cell r="Q34">
            <v>22.336400000000001</v>
          </cell>
          <cell r="S34">
            <v>38565</v>
          </cell>
          <cell r="T34">
            <v>23.023700000000002</v>
          </cell>
        </row>
        <row r="35">
          <cell r="A35" t="str">
            <v>31/07/2002</v>
          </cell>
          <cell r="C35">
            <v>18.66337</v>
          </cell>
          <cell r="D35">
            <v>17.65625</v>
          </cell>
          <cell r="E35">
            <v>19.59956</v>
          </cell>
          <cell r="F35">
            <v>21.818180000000002</v>
          </cell>
          <cell r="G35">
            <v>18.71921</v>
          </cell>
          <cell r="H35">
            <v>18.0593</v>
          </cell>
          <cell r="P35">
            <v>38596</v>
          </cell>
          <cell r="Q35">
            <v>24.813099999999999</v>
          </cell>
          <cell r="S35">
            <v>38596</v>
          </cell>
          <cell r="T35">
            <v>20.792100000000001</v>
          </cell>
        </row>
        <row r="36">
          <cell r="A36" t="str">
            <v>30/08/2002</v>
          </cell>
          <cell r="C36">
            <v>19.059410000000003</v>
          </cell>
          <cell r="D36">
            <v>16.09375</v>
          </cell>
          <cell r="E36">
            <v>19.413410000000002</v>
          </cell>
          <cell r="F36">
            <v>21.852490000000003</v>
          </cell>
          <cell r="G36">
            <v>20.03284</v>
          </cell>
          <cell r="H36">
            <v>18.113210000000002</v>
          </cell>
          <cell r="P36">
            <v>38626</v>
          </cell>
          <cell r="Q36">
            <v>24.2056</v>
          </cell>
          <cell r="S36">
            <v>38626</v>
          </cell>
          <cell r="T36">
            <v>22.277200000000001</v>
          </cell>
        </row>
        <row r="37">
          <cell r="A37" t="str">
            <v>30/09/2002</v>
          </cell>
          <cell r="C37">
            <v>17.978720000000003</v>
          </cell>
          <cell r="D37">
            <v>15.537189</v>
          </cell>
          <cell r="E37">
            <v>16.681990000000003</v>
          </cell>
          <cell r="F37">
            <v>19.129710000000003</v>
          </cell>
          <cell r="G37">
            <v>16.751640000000002</v>
          </cell>
          <cell r="H37">
            <v>15.172414</v>
          </cell>
          <cell r="J37">
            <v>26.016260000000003</v>
          </cell>
          <cell r="P37">
            <v>38657</v>
          </cell>
          <cell r="Q37">
            <v>26.3551</v>
          </cell>
          <cell r="S37">
            <v>38657</v>
          </cell>
          <cell r="T37">
            <v>22.689799999999998</v>
          </cell>
        </row>
        <row r="38">
          <cell r="A38" t="str">
            <v>31/10/2002</v>
          </cell>
          <cell r="C38">
            <v>19.377660000000002</v>
          </cell>
          <cell r="D38">
            <v>17.10744</v>
          </cell>
          <cell r="E38">
            <v>16.169820000000001</v>
          </cell>
          <cell r="F38">
            <v>19.246860000000002</v>
          </cell>
          <cell r="G38">
            <v>16.897300000000001</v>
          </cell>
          <cell r="H38">
            <v>11.902937</v>
          </cell>
          <cell r="J38">
            <v>40.406510000000004</v>
          </cell>
          <cell r="P38">
            <v>38687</v>
          </cell>
          <cell r="Q38">
            <v>25.4391</v>
          </cell>
          <cell r="S38">
            <v>38687</v>
          </cell>
          <cell r="T38">
            <v>22.0197</v>
          </cell>
        </row>
        <row r="39">
          <cell r="A39" t="str">
            <v>29/11/2002</v>
          </cell>
          <cell r="C39">
            <v>21.329790000000003</v>
          </cell>
          <cell r="D39">
            <v>17.272730000000003</v>
          </cell>
          <cell r="E39">
            <v>15.608877999999999</v>
          </cell>
          <cell r="F39">
            <v>19.31381</v>
          </cell>
          <cell r="G39">
            <v>17.479970000000002</v>
          </cell>
          <cell r="H39">
            <v>12.515965</v>
          </cell>
          <cell r="J39">
            <v>52.439020000000006</v>
          </cell>
          <cell r="K39">
            <v>1.241067E-3</v>
          </cell>
          <cell r="P39">
            <v>38718</v>
          </cell>
          <cell r="Q39">
            <v>29.949300000000001</v>
          </cell>
          <cell r="S39">
            <v>38718</v>
          </cell>
          <cell r="T39">
            <v>23.9939</v>
          </cell>
        </row>
        <row r="40">
          <cell r="A40" t="str">
            <v>31/12/2002</v>
          </cell>
          <cell r="B40">
            <v>13.475308999999999</v>
          </cell>
          <cell r="C40">
            <v>17.50459</v>
          </cell>
          <cell r="D40">
            <v>17.192980000000002</v>
          </cell>
          <cell r="E40">
            <v>16.35913</v>
          </cell>
          <cell r="F40">
            <v>18.643790000000003</v>
          </cell>
          <cell r="G40">
            <v>17.521370000000001</v>
          </cell>
          <cell r="H40">
            <v>11.747572999999999</v>
          </cell>
          <cell r="K40">
            <v>13.364778999999999</v>
          </cell>
          <cell r="P40">
            <v>38749</v>
          </cell>
          <cell r="Q40">
            <v>31.5318</v>
          </cell>
          <cell r="S40">
            <v>38749</v>
          </cell>
          <cell r="T40">
            <v>29.005299999999998</v>
          </cell>
        </row>
        <row r="41">
          <cell r="A41" t="str">
            <v>31/01/2003</v>
          </cell>
          <cell r="B41">
            <v>13.117284999999999</v>
          </cell>
          <cell r="C41">
            <v>15.903668</v>
          </cell>
          <cell r="D41">
            <v>16.31579</v>
          </cell>
          <cell r="E41">
            <v>17.084470000000003</v>
          </cell>
          <cell r="F41">
            <v>19.16667</v>
          </cell>
          <cell r="G41">
            <v>17.663820000000001</v>
          </cell>
          <cell r="H41">
            <v>10.970874</v>
          </cell>
          <cell r="K41">
            <v>14.088050000000001</v>
          </cell>
          <cell r="N41">
            <v>24.353450000000002</v>
          </cell>
          <cell r="P41">
            <v>38777</v>
          </cell>
          <cell r="Q41">
            <v>37.031100000000002</v>
          </cell>
          <cell r="S41">
            <v>38777</v>
          </cell>
          <cell r="T41">
            <v>25.906700000000001</v>
          </cell>
        </row>
        <row r="42">
          <cell r="A42" t="str">
            <v>28/02/2003</v>
          </cell>
          <cell r="B42">
            <v>13.287037999999999</v>
          </cell>
          <cell r="C42">
            <v>16.477060000000002</v>
          </cell>
          <cell r="D42">
            <v>15.964912999999999</v>
          </cell>
          <cell r="E42">
            <v>16.553410000000003</v>
          </cell>
          <cell r="F42">
            <v>18.137260000000001</v>
          </cell>
          <cell r="G42">
            <v>17.663820000000001</v>
          </cell>
          <cell r="H42">
            <v>10.728154999999999</v>
          </cell>
          <cell r="K42">
            <v>13.647798999999999</v>
          </cell>
          <cell r="N42">
            <v>24.353450000000002</v>
          </cell>
          <cell r="P42">
            <v>38808</v>
          </cell>
          <cell r="Q42">
            <v>44.112900000000003</v>
          </cell>
          <cell r="S42">
            <v>38808</v>
          </cell>
          <cell r="T42">
            <v>27.849699999999999</v>
          </cell>
        </row>
        <row r="43">
          <cell r="A43" t="str">
            <v>31/03/2003</v>
          </cell>
          <cell r="B43">
            <v>14.245562999999999</v>
          </cell>
          <cell r="C43">
            <v>16.206420000000001</v>
          </cell>
          <cell r="D43">
            <v>16.242660000000001</v>
          </cell>
          <cell r="E43">
            <v>15.468627</v>
          </cell>
          <cell r="F43">
            <v>18.726660000000003</v>
          </cell>
          <cell r="G43">
            <v>19.623230000000003</v>
          </cell>
          <cell r="H43">
            <v>12.266667</v>
          </cell>
          <cell r="K43">
            <v>1.8183780000000001E-3</v>
          </cell>
          <cell r="N43">
            <v>24.353450000000002</v>
          </cell>
          <cell r="P43">
            <v>38838</v>
          </cell>
          <cell r="Q43">
            <v>41.422600000000003</v>
          </cell>
          <cell r="S43">
            <v>38838</v>
          </cell>
          <cell r="T43">
            <v>25</v>
          </cell>
        </row>
        <row r="44">
          <cell r="A44" t="str">
            <v>30/04/2003</v>
          </cell>
          <cell r="B44">
            <v>16.727810000000002</v>
          </cell>
          <cell r="C44">
            <v>19.26605</v>
          </cell>
          <cell r="D44">
            <v>17.808220000000002</v>
          </cell>
          <cell r="E44">
            <v>17.954660000000001</v>
          </cell>
          <cell r="F44">
            <v>19.524620000000002</v>
          </cell>
          <cell r="G44">
            <v>19.152280000000001</v>
          </cell>
          <cell r="H44">
            <v>13.066668</v>
          </cell>
          <cell r="K44">
            <v>2.0472590000000001E-3</v>
          </cell>
          <cell r="N44">
            <v>24.353450000000002</v>
          </cell>
          <cell r="P44">
            <v>38869</v>
          </cell>
          <cell r="Q44">
            <v>28.319500000000001</v>
          </cell>
          <cell r="S44">
            <v>38869</v>
          </cell>
          <cell r="T44">
            <v>19.555599999999998</v>
          </cell>
        </row>
        <row r="45">
          <cell r="A45" t="str">
            <v>30/05/2003</v>
          </cell>
          <cell r="B45">
            <v>18.189350000000001</v>
          </cell>
          <cell r="C45">
            <v>20.527520000000003</v>
          </cell>
          <cell r="D45">
            <v>20.156560000000002</v>
          </cell>
          <cell r="E45">
            <v>18.866199999999999</v>
          </cell>
          <cell r="F45">
            <v>20.882850000000001</v>
          </cell>
          <cell r="G45">
            <v>20.251180000000002</v>
          </cell>
          <cell r="H45">
            <v>14.8</v>
          </cell>
          <cell r="K45">
            <v>2.2526180000000001E-3</v>
          </cell>
          <cell r="N45">
            <v>24.353450000000002</v>
          </cell>
          <cell r="P45">
            <v>38899</v>
          </cell>
          <cell r="Q45">
            <v>28.6313</v>
          </cell>
          <cell r="S45">
            <v>38899</v>
          </cell>
          <cell r="T45">
            <v>20.555599999999998</v>
          </cell>
        </row>
        <row r="46">
          <cell r="A46" t="str">
            <v>30/06/2003</v>
          </cell>
          <cell r="B46">
            <v>18.667560000000002</v>
          </cell>
          <cell r="C46">
            <v>20.502220000000001</v>
          </cell>
          <cell r="D46">
            <v>22.580640000000002</v>
          </cell>
          <cell r="E46">
            <v>18.577480000000001</v>
          </cell>
          <cell r="F46">
            <v>22.120140000000003</v>
          </cell>
          <cell r="G46">
            <v>85.625</v>
          </cell>
          <cell r="H46">
            <v>13.729507</v>
          </cell>
          <cell r="K46">
            <v>5.5317630000000003E-3</v>
          </cell>
          <cell r="N46">
            <v>19.18103</v>
          </cell>
          <cell r="P46">
            <v>38930</v>
          </cell>
          <cell r="Q46">
            <v>29.935300000000002</v>
          </cell>
          <cell r="S46">
            <v>38930</v>
          </cell>
          <cell r="T46">
            <v>22.1111</v>
          </cell>
        </row>
        <row r="47">
          <cell r="A47" t="str">
            <v>31/07/2003</v>
          </cell>
          <cell r="B47">
            <v>19.74531</v>
          </cell>
          <cell r="C47">
            <v>20.884450000000001</v>
          </cell>
          <cell r="D47">
            <v>25.907260000000001</v>
          </cell>
          <cell r="E47">
            <v>17.97645</v>
          </cell>
          <cell r="F47">
            <v>23.81625</v>
          </cell>
          <cell r="G47">
            <v>94.374990000000011</v>
          </cell>
          <cell r="H47">
            <v>14.918032999999999</v>
          </cell>
          <cell r="K47">
            <v>6.0346510000000003E-3</v>
          </cell>
          <cell r="N47">
            <v>21.034480000000002</v>
          </cell>
          <cell r="P47">
            <v>38961</v>
          </cell>
          <cell r="Q47">
            <v>31.295999999999999</v>
          </cell>
          <cell r="S47">
            <v>38961</v>
          </cell>
          <cell r="T47">
            <v>23.1111</v>
          </cell>
        </row>
        <row r="48">
          <cell r="A48" t="str">
            <v>29/08/2003</v>
          </cell>
          <cell r="B48">
            <v>18.871320000000001</v>
          </cell>
          <cell r="C48">
            <v>19.568890000000003</v>
          </cell>
          <cell r="D48">
            <v>28.225810000000003</v>
          </cell>
          <cell r="E48">
            <v>18.97362</v>
          </cell>
          <cell r="F48">
            <v>24.558300000000003</v>
          </cell>
          <cell r="G48">
            <v>103.12499000000001</v>
          </cell>
          <cell r="H48">
            <v>16.47541</v>
          </cell>
          <cell r="K48">
            <v>6.1654020000000004E-3</v>
          </cell>
          <cell r="N48">
            <v>20.431040000000003</v>
          </cell>
        </row>
        <row r="49">
          <cell r="A49" t="str">
            <v>30/09/2003</v>
          </cell>
          <cell r="B49">
            <v>17.643590000000003</v>
          </cell>
          <cell r="C49">
            <v>18.25</v>
          </cell>
          <cell r="D49">
            <v>31.015040000000003</v>
          </cell>
          <cell r="E49">
            <v>18.443660000000001</v>
          </cell>
          <cell r="F49">
            <v>22.8871</v>
          </cell>
          <cell r="G49">
            <v>60.869570000000003</v>
          </cell>
          <cell r="H49">
            <v>15.896488</v>
          </cell>
          <cell r="K49">
            <v>17.663040000000002</v>
          </cell>
          <cell r="N49">
            <v>19.56897</v>
          </cell>
        </row>
        <row r="50">
          <cell r="A50" t="str">
            <v>31/10/2003</v>
          </cell>
          <cell r="B50">
            <v>17.423080000000002</v>
          </cell>
          <cell r="C50">
            <v>19.925000000000001</v>
          </cell>
          <cell r="D50">
            <v>31.766920000000002</v>
          </cell>
          <cell r="E50">
            <v>20.673110000000001</v>
          </cell>
          <cell r="F50">
            <v>25.806450000000002</v>
          </cell>
          <cell r="G50">
            <v>55.5184</v>
          </cell>
          <cell r="H50">
            <v>16.857670000000002</v>
          </cell>
          <cell r="K50">
            <v>22.016300000000001</v>
          </cell>
          <cell r="N50">
            <v>20.905170000000002</v>
          </cell>
        </row>
        <row r="51">
          <cell r="A51" t="str">
            <v>28/11/2003</v>
          </cell>
          <cell r="B51">
            <v>17.556410000000003</v>
          </cell>
          <cell r="C51">
            <v>17.504170000000002</v>
          </cell>
          <cell r="D51">
            <v>29.887220000000003</v>
          </cell>
          <cell r="E51">
            <v>19.038180000000001</v>
          </cell>
          <cell r="F51">
            <v>25.01613</v>
          </cell>
          <cell r="G51">
            <v>55.183950000000003</v>
          </cell>
          <cell r="H51">
            <v>17.63401</v>
          </cell>
          <cell r="K51">
            <v>21.44022</v>
          </cell>
          <cell r="N51">
            <v>22.844830000000002</v>
          </cell>
        </row>
        <row r="52">
          <cell r="A52" t="str">
            <v>31/12/2003</v>
          </cell>
          <cell r="B52">
            <v>19.3476</v>
          </cell>
          <cell r="C52">
            <v>19.704540000000001</v>
          </cell>
          <cell r="D52">
            <v>25.5303</v>
          </cell>
          <cell r="E52">
            <v>16.665240000000001</v>
          </cell>
          <cell r="F52">
            <v>25.341249999999999</v>
          </cell>
          <cell r="G52">
            <v>37.224670000000003</v>
          </cell>
          <cell r="H52">
            <v>17.47475</v>
          </cell>
          <cell r="K52">
            <v>18.982320000000001</v>
          </cell>
          <cell r="N52">
            <v>24.353450000000002</v>
          </cell>
        </row>
        <row r="53">
          <cell r="A53" t="str">
            <v>30/01/2004</v>
          </cell>
          <cell r="B53">
            <v>23.37433</v>
          </cell>
          <cell r="C53">
            <v>21.704540000000001</v>
          </cell>
          <cell r="D53">
            <v>29.393940000000004</v>
          </cell>
          <cell r="E53">
            <v>18.083020000000001</v>
          </cell>
          <cell r="F53">
            <v>24.465870000000002</v>
          </cell>
          <cell r="G53">
            <v>38.986780000000003</v>
          </cell>
          <cell r="H53">
            <v>17.542090000000002</v>
          </cell>
          <cell r="K53">
            <v>20.774350000000002</v>
          </cell>
          <cell r="N53">
            <v>26.681040000000003</v>
          </cell>
        </row>
        <row r="54">
          <cell r="A54" t="str">
            <v>27/02/2004</v>
          </cell>
          <cell r="B54">
            <v>24.933160000000001</v>
          </cell>
          <cell r="C54">
            <v>21.04091</v>
          </cell>
          <cell r="D54">
            <v>31.212120000000002</v>
          </cell>
          <cell r="E54">
            <v>17.4985</v>
          </cell>
          <cell r="F54">
            <v>24.955490000000001</v>
          </cell>
          <cell r="G54">
            <v>38.76652</v>
          </cell>
          <cell r="H54">
            <v>18.41751</v>
          </cell>
          <cell r="K54">
            <v>23.769930000000002</v>
          </cell>
          <cell r="N54">
            <v>31.034480000000002</v>
          </cell>
        </row>
        <row r="55">
          <cell r="A55" t="str">
            <v>31/03/2004</v>
          </cell>
          <cell r="B55">
            <v>22.341800000000003</v>
          </cell>
          <cell r="C55">
            <v>20.339210000000001</v>
          </cell>
          <cell r="D55">
            <v>18.998860000000001</v>
          </cell>
          <cell r="E55">
            <v>16.151220000000002</v>
          </cell>
          <cell r="F55">
            <v>22.303030000000003</v>
          </cell>
          <cell r="G55">
            <v>24.163030000000003</v>
          </cell>
          <cell r="H55">
            <v>17.835370000000001</v>
          </cell>
          <cell r="K55">
            <v>20.307700000000001</v>
          </cell>
          <cell r="N55">
            <v>34.891270000000006</v>
          </cell>
        </row>
        <row r="56">
          <cell r="A56" t="str">
            <v>30/04/2004</v>
          </cell>
          <cell r="B56">
            <v>27.090070000000001</v>
          </cell>
          <cell r="C56">
            <v>20.211450000000003</v>
          </cell>
          <cell r="D56">
            <v>17.747440000000001</v>
          </cell>
          <cell r="E56">
            <v>16.07057</v>
          </cell>
          <cell r="F56">
            <v>21.670030000000001</v>
          </cell>
          <cell r="G56">
            <v>23.726350000000004</v>
          </cell>
          <cell r="H56">
            <v>18.932930000000002</v>
          </cell>
          <cell r="K56">
            <v>19.230780000000003</v>
          </cell>
          <cell r="M56">
            <v>18.887490000000003</v>
          </cell>
          <cell r="N56">
            <v>37.244399999999999</v>
          </cell>
        </row>
        <row r="57">
          <cell r="A57" t="str">
            <v>28/05/2004</v>
          </cell>
          <cell r="B57">
            <v>29.838340000000002</v>
          </cell>
          <cell r="C57">
            <v>19.273130000000002</v>
          </cell>
          <cell r="D57">
            <v>18.25938</v>
          </cell>
          <cell r="E57">
            <v>17.349310000000003</v>
          </cell>
          <cell r="F57">
            <v>20.80808</v>
          </cell>
          <cell r="G57">
            <v>23.144110000000001</v>
          </cell>
          <cell r="H57">
            <v>19.908540000000002</v>
          </cell>
          <cell r="K57">
            <v>20.442320000000002</v>
          </cell>
          <cell r="M57">
            <v>15.519955</v>
          </cell>
          <cell r="N57">
            <v>34.931840000000001</v>
          </cell>
        </row>
        <row r="58">
          <cell r="A58" t="str">
            <v>30/06/2004</v>
          </cell>
          <cell r="B58">
            <v>28.989960000000004</v>
          </cell>
          <cell r="C58">
            <v>18.73094</v>
          </cell>
          <cell r="D58">
            <v>17.13062</v>
          </cell>
          <cell r="E58">
            <v>17.281140000000001</v>
          </cell>
          <cell r="F58">
            <v>19.161530000000003</v>
          </cell>
          <cell r="G58">
            <v>12.903226999999999</v>
          </cell>
          <cell r="H58">
            <v>17.883010000000002</v>
          </cell>
          <cell r="J58">
            <v>35.116730000000004</v>
          </cell>
          <cell r="K58">
            <v>20.000010000000003</v>
          </cell>
          <cell r="M58">
            <v>14.293821999999999</v>
          </cell>
          <cell r="N58">
            <v>33.146840000000005</v>
          </cell>
        </row>
        <row r="59">
          <cell r="A59" t="str">
            <v>30/07/2004</v>
          </cell>
          <cell r="B59">
            <v>25.200810000000001</v>
          </cell>
          <cell r="C59">
            <v>18.152470000000001</v>
          </cell>
          <cell r="D59">
            <v>17.237690000000001</v>
          </cell>
          <cell r="E59">
            <v>14.407705</v>
          </cell>
          <cell r="F59">
            <v>19.420470000000002</v>
          </cell>
          <cell r="G59">
            <v>13.364056</v>
          </cell>
          <cell r="H59">
            <v>17.103060000000003</v>
          </cell>
          <cell r="J59">
            <v>32.198440000000005</v>
          </cell>
          <cell r="K59">
            <v>20.063030000000001</v>
          </cell>
          <cell r="M59">
            <v>14.546810000000001</v>
          </cell>
          <cell r="N59">
            <v>32.572040000000001</v>
          </cell>
        </row>
        <row r="60">
          <cell r="A60" t="str">
            <v>31/08/2004</v>
          </cell>
          <cell r="B60">
            <v>26.732930000000003</v>
          </cell>
          <cell r="C60">
            <v>17.789240000000003</v>
          </cell>
          <cell r="D60">
            <v>18.254820000000002</v>
          </cell>
          <cell r="E60">
            <v>14.448176</v>
          </cell>
          <cell r="F60">
            <v>19.210850000000001</v>
          </cell>
          <cell r="G60">
            <v>13.671275</v>
          </cell>
          <cell r="H60">
            <v>18.88579</v>
          </cell>
          <cell r="J60">
            <v>30.933850000000003</v>
          </cell>
          <cell r="K60">
            <v>19.747910000000001</v>
          </cell>
          <cell r="M60">
            <v>14.293821999999999</v>
          </cell>
          <cell r="N60">
            <v>31.997240000000001</v>
          </cell>
        </row>
        <row r="61">
          <cell r="A61" t="str">
            <v>30/09/2004</v>
          </cell>
          <cell r="B61">
            <v>27.906580000000002</v>
          </cell>
          <cell r="C61">
            <v>17.401710000000001</v>
          </cell>
          <cell r="D61">
            <v>17.929290000000002</v>
          </cell>
          <cell r="E61">
            <v>14.315353</v>
          </cell>
          <cell r="F61">
            <v>19.199060000000003</v>
          </cell>
          <cell r="G61">
            <v>14.496314</v>
          </cell>
          <cell r="H61">
            <v>19.36759</v>
          </cell>
          <cell r="J61">
            <v>30.034720000000004</v>
          </cell>
          <cell r="K61">
            <v>20.21931</v>
          </cell>
          <cell r="M61">
            <v>14.043191</v>
          </cell>
          <cell r="N61">
            <v>28.318330000000003</v>
          </cell>
        </row>
        <row r="62">
          <cell r="A62" t="str">
            <v>29/10/2004</v>
          </cell>
          <cell r="B62">
            <v>30.403110000000002</v>
          </cell>
          <cell r="C62">
            <v>16.73077</v>
          </cell>
          <cell r="D62">
            <v>17.878790000000002</v>
          </cell>
          <cell r="E62">
            <v>15.145227999999999</v>
          </cell>
          <cell r="F62">
            <v>21.802120000000002</v>
          </cell>
          <cell r="G62">
            <v>14.414413999999999</v>
          </cell>
          <cell r="H62">
            <v>21.818180000000002</v>
          </cell>
          <cell r="J62">
            <v>29.079860000000004</v>
          </cell>
          <cell r="K62">
            <v>22.434220000000003</v>
          </cell>
          <cell r="M62">
            <v>14.226761999999999</v>
          </cell>
          <cell r="N62">
            <v>26.902410000000003</v>
          </cell>
        </row>
        <row r="63">
          <cell r="A63" t="str">
            <v>30/11/2004</v>
          </cell>
          <cell r="B63">
            <v>33.859860000000005</v>
          </cell>
          <cell r="C63">
            <v>19.038460000000001</v>
          </cell>
          <cell r="D63">
            <v>19.797980000000003</v>
          </cell>
          <cell r="E63">
            <v>16.96058</v>
          </cell>
          <cell r="F63">
            <v>22.061250000000001</v>
          </cell>
          <cell r="G63">
            <v>14.086813999999999</v>
          </cell>
          <cell r="H63">
            <v>21.633730000000003</v>
          </cell>
          <cell r="J63">
            <v>29.513890000000004</v>
          </cell>
          <cell r="K63">
            <v>23.815799999999999</v>
          </cell>
          <cell r="M63">
            <v>13.905512</v>
          </cell>
          <cell r="N63">
            <v>30.859710000000003</v>
          </cell>
        </row>
        <row r="64">
          <cell r="A64" t="str">
            <v>31/12/2004</v>
          </cell>
          <cell r="B64">
            <v>34.916030000000006</v>
          </cell>
          <cell r="C64">
            <v>18.605040000000002</v>
          </cell>
          <cell r="D64">
            <v>20.8</v>
          </cell>
          <cell r="E64">
            <v>24.661020000000001</v>
          </cell>
          <cell r="F64">
            <v>22.99887</v>
          </cell>
          <cell r="G64">
            <v>14.842454999999999</v>
          </cell>
          <cell r="H64">
            <v>21.95</v>
          </cell>
          <cell r="J64">
            <v>35.56485</v>
          </cell>
          <cell r="K64">
            <v>18.45017</v>
          </cell>
          <cell r="M64">
            <v>13.662910000000002</v>
          </cell>
          <cell r="N64">
            <v>31.732890000000001</v>
          </cell>
        </row>
        <row r="65">
          <cell r="A65" t="str">
            <v>31/01/2005</v>
          </cell>
          <cell r="B65">
            <v>32.748090000000005</v>
          </cell>
          <cell r="C65">
            <v>20.042020000000001</v>
          </cell>
          <cell r="D65">
            <v>19.45</v>
          </cell>
          <cell r="E65">
            <v>24.258470000000003</v>
          </cell>
          <cell r="F65">
            <v>23.585120000000003</v>
          </cell>
          <cell r="G65">
            <v>15.588723</v>
          </cell>
          <cell r="H65">
            <v>26.524999999999999</v>
          </cell>
          <cell r="J65">
            <v>34.623430000000006</v>
          </cell>
          <cell r="K65">
            <v>19.96564</v>
          </cell>
          <cell r="M65">
            <v>16.709690000000002</v>
          </cell>
          <cell r="N65">
            <v>32.250280000000004</v>
          </cell>
        </row>
        <row r="66">
          <cell r="A66" t="str">
            <v>28/02/2005</v>
          </cell>
          <cell r="B66">
            <v>31.545040000000004</v>
          </cell>
          <cell r="C66">
            <v>23.571430000000003</v>
          </cell>
          <cell r="D66">
            <v>19.850000000000001</v>
          </cell>
          <cell r="E66">
            <v>22.838980000000003</v>
          </cell>
          <cell r="F66">
            <v>23.348360000000003</v>
          </cell>
          <cell r="G66">
            <v>15.837480000000001</v>
          </cell>
          <cell r="H66">
            <v>24</v>
          </cell>
          <cell r="J66">
            <v>35.251050000000006</v>
          </cell>
          <cell r="K66">
            <v>20.274920000000002</v>
          </cell>
          <cell r="M66">
            <v>17.13814</v>
          </cell>
          <cell r="N66">
            <v>34.492280000000001</v>
          </cell>
        </row>
        <row r="67">
          <cell r="A67" t="str">
            <v>31/03/2005</v>
          </cell>
          <cell r="B67">
            <v>26.911230000000003</v>
          </cell>
          <cell r="C67">
            <v>21.804510000000001</v>
          </cell>
          <cell r="D67">
            <v>21.666670000000003</v>
          </cell>
          <cell r="E67">
            <v>19.642860000000002</v>
          </cell>
          <cell r="F67">
            <v>16.220980000000001</v>
          </cell>
          <cell r="G67">
            <v>18.935980000000001</v>
          </cell>
          <cell r="H67">
            <v>21.227860000000003</v>
          </cell>
          <cell r="I67">
            <v>37.608490000000003</v>
          </cell>
          <cell r="J67">
            <v>43.041240000000002</v>
          </cell>
          <cell r="K67">
            <v>25.781910000000003</v>
          </cell>
          <cell r="L67">
            <v>30.232560000000003</v>
          </cell>
          <cell r="M67">
            <v>18.458170000000003</v>
          </cell>
          <cell r="N67">
            <v>33.959250000000004</v>
          </cell>
        </row>
        <row r="68">
          <cell r="A68" t="str">
            <v>29/04/2005</v>
          </cell>
          <cell r="B68">
            <v>27.117890000000003</v>
          </cell>
          <cell r="C68">
            <v>21.954890000000002</v>
          </cell>
          <cell r="D68">
            <v>20.430110000000003</v>
          </cell>
          <cell r="E68">
            <v>19.978360000000002</v>
          </cell>
          <cell r="F68">
            <v>15.948760000000002</v>
          </cell>
          <cell r="G68">
            <v>16.77187</v>
          </cell>
          <cell r="H68">
            <v>21.4876</v>
          </cell>
          <cell r="I68">
            <v>36.837030000000006</v>
          </cell>
          <cell r="J68">
            <v>42.654640000000001</v>
          </cell>
          <cell r="K68">
            <v>25.514420000000001</v>
          </cell>
          <cell r="L68">
            <v>30.604650000000003</v>
          </cell>
          <cell r="M68">
            <v>20.349010000000003</v>
          </cell>
          <cell r="N68">
            <v>30.508840000000003</v>
          </cell>
        </row>
        <row r="69">
          <cell r="A69" t="str">
            <v>31/05/2005</v>
          </cell>
          <cell r="B69">
            <v>29.984740000000002</v>
          </cell>
          <cell r="C69">
            <v>22.462410000000002</v>
          </cell>
          <cell r="D69">
            <v>20.53763</v>
          </cell>
          <cell r="E69">
            <v>20.779220000000002</v>
          </cell>
          <cell r="F69">
            <v>18.32666</v>
          </cell>
          <cell r="G69">
            <v>17.132550000000002</v>
          </cell>
          <cell r="H69">
            <v>23.801650000000002</v>
          </cell>
          <cell r="I69">
            <v>37.801350000000006</v>
          </cell>
          <cell r="J69">
            <v>46.262890000000006</v>
          </cell>
          <cell r="K69">
            <v>28.024710000000002</v>
          </cell>
          <cell r="L69">
            <v>29.860460000000003</v>
          </cell>
          <cell r="M69">
            <v>18.32311</v>
          </cell>
          <cell r="N69">
            <v>31.598440000000004</v>
          </cell>
        </row>
        <row r="70">
          <cell r="A70" t="str">
            <v>30/06/2005</v>
          </cell>
          <cell r="B70">
            <v>37.405060000000006</v>
          </cell>
          <cell r="C70">
            <v>21.019480000000001</v>
          </cell>
          <cell r="D70">
            <v>18.96227</v>
          </cell>
          <cell r="E70">
            <v>22.545870000000001</v>
          </cell>
          <cell r="F70">
            <v>14.357541999999999</v>
          </cell>
          <cell r="G70">
            <v>19.943290000000001</v>
          </cell>
          <cell r="H70">
            <v>23.825500000000002</v>
          </cell>
          <cell r="I70">
            <v>29.797190000000004</v>
          </cell>
          <cell r="J70">
            <v>48.369560000000007</v>
          </cell>
          <cell r="K70">
            <v>27.451130000000003</v>
          </cell>
          <cell r="L70">
            <v>29.197670000000002</v>
          </cell>
          <cell r="M70">
            <v>19.157690000000002</v>
          </cell>
          <cell r="N70">
            <v>29.991560000000003</v>
          </cell>
        </row>
        <row r="71">
          <cell r="A71" t="str">
            <v>29/07/2005</v>
          </cell>
          <cell r="B71">
            <v>38.107590000000002</v>
          </cell>
          <cell r="C71">
            <v>23.519480000000001</v>
          </cell>
          <cell r="D71">
            <v>22.78302</v>
          </cell>
          <cell r="E71">
            <v>24.782110000000003</v>
          </cell>
          <cell r="F71">
            <v>15.952826</v>
          </cell>
          <cell r="G71">
            <v>20.604920000000003</v>
          </cell>
          <cell r="H71">
            <v>24.7651</v>
          </cell>
          <cell r="I71">
            <v>34.321380000000005</v>
          </cell>
          <cell r="J71">
            <v>50.543480000000002</v>
          </cell>
          <cell r="K71">
            <v>28.180450000000004</v>
          </cell>
          <cell r="L71">
            <v>27.813950000000002</v>
          </cell>
          <cell r="M71">
            <v>21.638550000000002</v>
          </cell>
          <cell r="N71">
            <v>30.298380000000002</v>
          </cell>
        </row>
        <row r="72">
          <cell r="A72" t="str">
            <v>31/08/2005</v>
          </cell>
          <cell r="B72">
            <v>35.139240000000001</v>
          </cell>
          <cell r="C72">
            <v>24.071430000000003</v>
          </cell>
          <cell r="D72">
            <v>22.547170000000001</v>
          </cell>
          <cell r="E72">
            <v>26.009170000000001</v>
          </cell>
          <cell r="F72">
            <v>16.480450000000001</v>
          </cell>
          <cell r="G72">
            <v>22.022680000000001</v>
          </cell>
          <cell r="H72">
            <v>25.906040000000001</v>
          </cell>
          <cell r="I72">
            <v>33.229330000000004</v>
          </cell>
          <cell r="J72">
            <v>52.989130000000003</v>
          </cell>
          <cell r="K72">
            <v>28.375940000000003</v>
          </cell>
          <cell r="L72">
            <v>25.406980000000001</v>
          </cell>
          <cell r="M72">
            <v>21.133190000000003</v>
          </cell>
          <cell r="N72">
            <v>27.421950000000002</v>
          </cell>
        </row>
        <row r="73">
          <cell r="A73" t="str">
            <v>30/09/2005</v>
          </cell>
          <cell r="B73">
            <v>40.154760000000003</v>
          </cell>
          <cell r="C73">
            <v>22.521249999999998</v>
          </cell>
          <cell r="D73">
            <v>22.254820000000002</v>
          </cell>
          <cell r="E73">
            <v>27.804880000000001</v>
          </cell>
          <cell r="F73">
            <v>16.83426</v>
          </cell>
          <cell r="G73">
            <v>20.17614</v>
          </cell>
          <cell r="H73">
            <v>28.053690000000003</v>
          </cell>
          <cell r="I73">
            <v>78.802080000000004</v>
          </cell>
          <cell r="J73">
            <v>40.744680000000002</v>
          </cell>
          <cell r="K73">
            <v>26.519750000000002</v>
          </cell>
          <cell r="L73">
            <v>26</v>
          </cell>
          <cell r="M73">
            <v>20.808150000000001</v>
          </cell>
          <cell r="N73">
            <v>27.997240000000001</v>
          </cell>
        </row>
        <row r="74">
          <cell r="A74" t="str">
            <v>31/10/2005</v>
          </cell>
          <cell r="B74">
            <v>43.470240000000004</v>
          </cell>
          <cell r="C74">
            <v>22.237960000000001</v>
          </cell>
          <cell r="D74">
            <v>21.709980000000002</v>
          </cell>
          <cell r="E74">
            <v>27.634150000000002</v>
          </cell>
          <cell r="F74">
            <v>17.858470000000001</v>
          </cell>
          <cell r="G74">
            <v>21.617290000000001</v>
          </cell>
          <cell r="H74">
            <v>27.852350000000001</v>
          </cell>
          <cell r="I74">
            <v>78.113849999999999</v>
          </cell>
          <cell r="J74">
            <v>41.382980000000003</v>
          </cell>
          <cell r="K74">
            <v>23.868430000000004</v>
          </cell>
          <cell r="L74">
            <v>27.344450000000002</v>
          </cell>
          <cell r="M74">
            <v>22.437260000000002</v>
          </cell>
          <cell r="N74">
            <v>26.079620000000002</v>
          </cell>
        </row>
        <row r="75">
          <cell r="A75" t="str">
            <v>30/11/2005</v>
          </cell>
          <cell r="B75">
            <v>42.160720000000005</v>
          </cell>
          <cell r="C75">
            <v>23.654390000000003</v>
          </cell>
          <cell r="D75">
            <v>23.637890000000002</v>
          </cell>
          <cell r="E75">
            <v>29.2439</v>
          </cell>
          <cell r="F75">
            <v>18.93234</v>
          </cell>
          <cell r="G75">
            <v>22.017610000000001</v>
          </cell>
          <cell r="H75">
            <v>29.843400000000003</v>
          </cell>
          <cell r="I75">
            <v>79.490300000000005</v>
          </cell>
          <cell r="J75">
            <v>44.680850000000007</v>
          </cell>
          <cell r="K75">
            <v>27.901330000000002</v>
          </cell>
          <cell r="L75">
            <v>32.888890000000004</v>
          </cell>
          <cell r="M75">
            <v>22.585360000000001</v>
          </cell>
          <cell r="N75">
            <v>26.846670000000003</v>
          </cell>
        </row>
        <row r="76">
          <cell r="A76" t="str">
            <v>30/12/2005</v>
          </cell>
          <cell r="B76">
            <v>43.748810000000006</v>
          </cell>
          <cell r="C76">
            <v>24.521249999999998</v>
          </cell>
          <cell r="D76">
            <v>26.948870000000003</v>
          </cell>
          <cell r="E76">
            <v>30.2439</v>
          </cell>
          <cell r="F76">
            <v>20.173810000000003</v>
          </cell>
          <cell r="G76">
            <v>21.64179</v>
          </cell>
          <cell r="H76">
            <v>30.961970000000001</v>
          </cell>
          <cell r="I76">
            <v>62.972840000000005</v>
          </cell>
          <cell r="J76">
            <v>47.021280000000004</v>
          </cell>
          <cell r="K76">
            <v>30.809220000000003</v>
          </cell>
          <cell r="L76">
            <v>30.577780000000004</v>
          </cell>
          <cell r="M76">
            <v>27.398630000000001</v>
          </cell>
          <cell r="N76">
            <v>27.575360000000003</v>
          </cell>
        </row>
        <row r="77">
          <cell r="A77" t="str">
            <v>MTD</v>
          </cell>
          <cell r="B77">
            <v>45.770240000000001</v>
          </cell>
          <cell r="C77">
            <v>26.572240000000001</v>
          </cell>
          <cell r="D77">
            <v>29.337800000000001</v>
          </cell>
          <cell r="E77">
            <v>34.682930000000006</v>
          </cell>
          <cell r="F77">
            <v>20.794540000000001</v>
          </cell>
          <cell r="G77">
            <v>22.686570000000003</v>
          </cell>
          <cell r="H77">
            <v>29.776290000000003</v>
          </cell>
          <cell r="I77">
            <v>66.75809000000001</v>
          </cell>
          <cell r="J77">
            <v>48.085110000000007</v>
          </cell>
          <cell r="K77">
            <v>31.065800000000003</v>
          </cell>
          <cell r="L77">
            <v>37.466670000000001</v>
          </cell>
          <cell r="M77">
            <v>28.250210000000003</v>
          </cell>
          <cell r="N77">
            <v>25.312570000000001</v>
          </cell>
        </row>
      </sheetData>
      <sheetData sheetId="41"/>
      <sheetData sheetId="42"/>
      <sheetData sheetId="43"/>
      <sheetData sheetId="44" refreshError="1">
        <row r="1">
          <cell r="B1" t="str">
            <v>HKEx</v>
          </cell>
          <cell r="E1" t="str">
            <v>ASX</v>
          </cell>
          <cell r="H1" t="str">
            <v>SGX</v>
          </cell>
          <cell r="K1" t="str">
            <v>Osaka</v>
          </cell>
          <cell r="O1" t="str">
            <v>Bursa</v>
          </cell>
        </row>
        <row r="2">
          <cell r="C2">
            <v>0.71153169786100479</v>
          </cell>
          <cell r="F2">
            <v>0.93857109796802329</v>
          </cell>
          <cell r="I2">
            <v>0.82644638414911786</v>
          </cell>
          <cell r="M2">
            <v>0.936894353739263</v>
          </cell>
          <cell r="P2">
            <v>0.60902242699390241</v>
          </cell>
        </row>
        <row r="3">
          <cell r="A3" t="str">
            <v xml:space="preserve"> </v>
          </cell>
          <cell r="B3" t="str">
            <v>HKEx Price (LS)</v>
          </cell>
          <cell r="C3" t="str">
            <v>Hang Seng Index (RS)</v>
          </cell>
          <cell r="E3" t="str">
            <v>ASX Price (LS)</v>
          </cell>
          <cell r="F3" t="str">
            <v>ASX100 (RS)</v>
          </cell>
          <cell r="H3" t="str">
            <v>SGX Price (LS)</v>
          </cell>
          <cell r="I3" t="str">
            <v>Strait Times Index (RS)</v>
          </cell>
          <cell r="L3" t="str">
            <v>Osaka Price (LS)</v>
          </cell>
          <cell r="M3" t="str">
            <v>Nikkei 225 (RS)</v>
          </cell>
          <cell r="O3" t="str">
            <v>Bursa Price (LS)</v>
          </cell>
          <cell r="P3" t="str">
            <v>KLSE Composite (RS)</v>
          </cell>
        </row>
        <row r="4">
          <cell r="A4">
            <v>36526</v>
          </cell>
          <cell r="B4" t="e">
            <v>#N/A</v>
          </cell>
          <cell r="C4">
            <v>15532.34</v>
          </cell>
          <cell r="E4">
            <v>12.7</v>
          </cell>
          <cell r="F4">
            <v>2478.1999999999998</v>
          </cell>
          <cell r="H4" t="e">
            <v>#N/A</v>
          </cell>
          <cell r="I4">
            <v>2230.2800000000002</v>
          </cell>
          <cell r="K4" t="e">
            <v>#N/A</v>
          </cell>
          <cell r="M4">
            <v>19539.7</v>
          </cell>
          <cell r="O4" t="e">
            <v>#N/A</v>
          </cell>
          <cell r="P4">
            <v>922.1</v>
          </cell>
        </row>
        <row r="5">
          <cell r="A5">
            <v>36557</v>
          </cell>
          <cell r="B5" t="e">
            <v>#N/A</v>
          </cell>
          <cell r="C5">
            <v>17169.439999999999</v>
          </cell>
          <cell r="E5">
            <v>15.188000000000001</v>
          </cell>
          <cell r="F5">
            <v>2508.5</v>
          </cell>
          <cell r="H5" t="e">
            <v>#N/A</v>
          </cell>
          <cell r="I5">
            <v>2120.5</v>
          </cell>
          <cell r="K5" t="e">
            <v>#N/A</v>
          </cell>
          <cell r="M5">
            <v>19959.52</v>
          </cell>
          <cell r="O5" t="e">
            <v>#N/A</v>
          </cell>
          <cell r="P5">
            <v>982.24</v>
          </cell>
        </row>
        <row r="6">
          <cell r="A6">
            <v>36586</v>
          </cell>
          <cell r="B6" t="e">
            <v>#N/A</v>
          </cell>
          <cell r="C6">
            <v>17406.54</v>
          </cell>
          <cell r="E6">
            <v>13.8</v>
          </cell>
          <cell r="F6">
            <v>2511.4</v>
          </cell>
          <cell r="H6" t="e">
            <v>#N/A</v>
          </cell>
          <cell r="I6">
            <v>2132.59</v>
          </cell>
          <cell r="K6" t="e">
            <v>#N/A</v>
          </cell>
          <cell r="M6">
            <v>20337.32</v>
          </cell>
          <cell r="O6" t="e">
            <v>#N/A</v>
          </cell>
          <cell r="P6">
            <v>974.38</v>
          </cell>
        </row>
        <row r="7">
          <cell r="A7">
            <v>36617</v>
          </cell>
          <cell r="B7" t="e">
            <v>#N/A</v>
          </cell>
          <cell r="C7">
            <v>15519.3</v>
          </cell>
          <cell r="E7">
            <v>12.7</v>
          </cell>
          <cell r="F7">
            <v>2517.1999999999998</v>
          </cell>
          <cell r="H7" t="e">
            <v>#N/A</v>
          </cell>
          <cell r="I7">
            <v>2164.11</v>
          </cell>
          <cell r="K7" t="e">
            <v>#N/A</v>
          </cell>
          <cell r="M7">
            <v>17973.7</v>
          </cell>
          <cell r="O7" t="e">
            <v>#N/A</v>
          </cell>
          <cell r="P7">
            <v>898.35</v>
          </cell>
        </row>
        <row r="8">
          <cell r="A8">
            <v>36647</v>
          </cell>
          <cell r="B8" t="e">
            <v>#N/A</v>
          </cell>
          <cell r="C8">
            <v>14713.86</v>
          </cell>
          <cell r="E8">
            <v>9.9</v>
          </cell>
          <cell r="F8">
            <v>2493.6</v>
          </cell>
          <cell r="H8" t="e">
            <v>#N/A</v>
          </cell>
          <cell r="I8">
            <v>1795.13</v>
          </cell>
          <cell r="K8" t="e">
            <v>#N/A</v>
          </cell>
          <cell r="M8">
            <v>16332.45</v>
          </cell>
          <cell r="O8" t="e">
            <v>#N/A</v>
          </cell>
          <cell r="P8">
            <v>911.51</v>
          </cell>
        </row>
        <row r="9">
          <cell r="A9">
            <v>36678</v>
          </cell>
          <cell r="B9">
            <v>10.55</v>
          </cell>
          <cell r="C9">
            <v>16155.78</v>
          </cell>
          <cell r="E9">
            <v>11.45</v>
          </cell>
          <cell r="F9">
            <v>2680.5</v>
          </cell>
          <cell r="H9" t="e">
            <v>#N/A</v>
          </cell>
          <cell r="I9">
            <v>2037.97</v>
          </cell>
          <cell r="K9" t="e">
            <v>#N/A</v>
          </cell>
          <cell r="M9">
            <v>17411.05</v>
          </cell>
          <cell r="O9" t="e">
            <v>#N/A</v>
          </cell>
          <cell r="P9">
            <v>833.37</v>
          </cell>
        </row>
        <row r="10">
          <cell r="A10">
            <v>36708</v>
          </cell>
          <cell r="B10">
            <v>16.55</v>
          </cell>
          <cell r="C10">
            <v>16840.98</v>
          </cell>
          <cell r="E10">
            <v>10.95</v>
          </cell>
          <cell r="F10">
            <v>2622.9</v>
          </cell>
          <cell r="H10" t="e">
            <v>#N/A</v>
          </cell>
          <cell r="I10">
            <v>2051.21</v>
          </cell>
          <cell r="K10" t="e">
            <v>#N/A</v>
          </cell>
          <cell r="M10">
            <v>15727.49</v>
          </cell>
          <cell r="O10" t="e">
            <v>#N/A</v>
          </cell>
          <cell r="P10">
            <v>798.83</v>
          </cell>
        </row>
        <row r="11">
          <cell r="A11">
            <v>36739</v>
          </cell>
          <cell r="B11">
            <v>16.149999999999999</v>
          </cell>
          <cell r="C11">
            <v>17097.509999999998</v>
          </cell>
          <cell r="E11">
            <v>12.21</v>
          </cell>
          <cell r="F11">
            <v>2658.2</v>
          </cell>
          <cell r="H11" t="e">
            <v>#N/A</v>
          </cell>
          <cell r="I11">
            <v>2147.77</v>
          </cell>
          <cell r="K11" t="e">
            <v>#N/A</v>
          </cell>
          <cell r="M11">
            <v>16861.259999999998</v>
          </cell>
          <cell r="O11" t="e">
            <v>#N/A</v>
          </cell>
          <cell r="P11">
            <v>795.84</v>
          </cell>
        </row>
        <row r="12">
          <cell r="A12">
            <v>36770</v>
          </cell>
          <cell r="B12">
            <v>15.65</v>
          </cell>
          <cell r="C12">
            <v>15648.98</v>
          </cell>
          <cell r="E12">
            <v>10.57</v>
          </cell>
          <cell r="F12">
            <v>2669.1</v>
          </cell>
          <cell r="H12" t="e">
            <v>#N/A</v>
          </cell>
          <cell r="I12">
            <v>1997.03</v>
          </cell>
          <cell r="K12" t="e">
            <v>#N/A</v>
          </cell>
          <cell r="M12">
            <v>15747.26</v>
          </cell>
          <cell r="O12" t="e">
            <v>#N/A</v>
          </cell>
          <cell r="P12">
            <v>713.51</v>
          </cell>
        </row>
        <row r="13">
          <cell r="A13">
            <v>36800</v>
          </cell>
          <cell r="B13">
            <v>13.6</v>
          </cell>
          <cell r="C13">
            <v>14895.34</v>
          </cell>
          <cell r="E13">
            <v>11.79</v>
          </cell>
          <cell r="F13">
            <v>2633.5</v>
          </cell>
          <cell r="H13" t="e">
            <v>#N/A</v>
          </cell>
          <cell r="I13">
            <v>1976.54</v>
          </cell>
          <cell r="K13" t="e">
            <v>#N/A</v>
          </cell>
          <cell r="M13">
            <v>14539.6</v>
          </cell>
          <cell r="O13" t="e">
            <v>#N/A</v>
          </cell>
          <cell r="P13">
            <v>752.36</v>
          </cell>
        </row>
        <row r="14">
          <cell r="A14">
            <v>36831</v>
          </cell>
          <cell r="B14">
            <v>16.399999999999999</v>
          </cell>
          <cell r="C14">
            <v>13984.39</v>
          </cell>
          <cell r="E14">
            <v>13.65</v>
          </cell>
          <cell r="F14">
            <v>2653.5</v>
          </cell>
          <cell r="H14">
            <v>1.32</v>
          </cell>
          <cell r="I14">
            <v>1952.23</v>
          </cell>
          <cell r="K14" t="e">
            <v>#N/A</v>
          </cell>
          <cell r="M14">
            <v>14648.51</v>
          </cell>
          <cell r="O14" t="e">
            <v>#N/A</v>
          </cell>
          <cell r="P14">
            <v>729.95</v>
          </cell>
        </row>
        <row r="15">
          <cell r="A15">
            <v>36861</v>
          </cell>
          <cell r="B15">
            <v>17.899999999999999</v>
          </cell>
          <cell r="C15">
            <v>15095.53</v>
          </cell>
          <cell r="E15">
            <v>12.656000000000001</v>
          </cell>
          <cell r="F15">
            <v>2598.9</v>
          </cell>
          <cell r="H15">
            <v>1.3</v>
          </cell>
          <cell r="I15">
            <v>1926.83</v>
          </cell>
          <cell r="K15" t="e">
            <v>#N/A</v>
          </cell>
          <cell r="M15">
            <v>13785.69</v>
          </cell>
          <cell r="O15" t="e">
            <v>#N/A</v>
          </cell>
          <cell r="P15">
            <v>679.64</v>
          </cell>
        </row>
        <row r="16">
          <cell r="A16">
            <v>36892</v>
          </cell>
          <cell r="B16">
            <v>18.95</v>
          </cell>
          <cell r="C16">
            <v>16102.35</v>
          </cell>
          <cell r="E16">
            <v>13.07</v>
          </cell>
          <cell r="F16">
            <v>2711.8</v>
          </cell>
          <cell r="H16">
            <v>1.39</v>
          </cell>
          <cell r="I16">
            <v>1991.29</v>
          </cell>
          <cell r="K16" t="e">
            <v>#N/A</v>
          </cell>
          <cell r="M16">
            <v>13843.55</v>
          </cell>
          <cell r="O16" t="e">
            <v>#N/A</v>
          </cell>
          <cell r="P16">
            <v>727.73</v>
          </cell>
        </row>
        <row r="17">
          <cell r="A17">
            <v>36923</v>
          </cell>
          <cell r="B17">
            <v>16.45</v>
          </cell>
          <cell r="C17">
            <v>14787.87</v>
          </cell>
          <cell r="E17">
            <v>13.05</v>
          </cell>
          <cell r="F17">
            <v>2702.9</v>
          </cell>
          <cell r="H17">
            <v>1.31</v>
          </cell>
          <cell r="I17">
            <v>1947.4</v>
          </cell>
          <cell r="K17" t="e">
            <v>#N/A</v>
          </cell>
          <cell r="M17">
            <v>12883.54</v>
          </cell>
          <cell r="O17" t="e">
            <v>#N/A</v>
          </cell>
          <cell r="P17">
            <v>709.39</v>
          </cell>
        </row>
        <row r="18">
          <cell r="A18">
            <v>36951</v>
          </cell>
          <cell r="B18">
            <v>12.55</v>
          </cell>
          <cell r="C18">
            <v>12760.64</v>
          </cell>
          <cell r="E18">
            <v>12.25</v>
          </cell>
          <cell r="F18">
            <v>2565.6</v>
          </cell>
          <cell r="H18">
            <v>1.1299999999999999</v>
          </cell>
          <cell r="I18">
            <v>1674.19</v>
          </cell>
          <cell r="K18" t="e">
            <v>#N/A</v>
          </cell>
          <cell r="M18">
            <v>12999.7</v>
          </cell>
          <cell r="O18" t="e">
            <v>#N/A</v>
          </cell>
          <cell r="P18">
            <v>647.48</v>
          </cell>
        </row>
        <row r="19">
          <cell r="A19">
            <v>36982</v>
          </cell>
          <cell r="B19">
            <v>13.95</v>
          </cell>
          <cell r="C19">
            <v>13386.04</v>
          </cell>
          <cell r="E19">
            <v>12.2</v>
          </cell>
          <cell r="F19">
            <v>2716.2</v>
          </cell>
          <cell r="H19">
            <v>1.22</v>
          </cell>
          <cell r="I19">
            <v>1722.72</v>
          </cell>
          <cell r="K19" t="e">
            <v>#N/A</v>
          </cell>
          <cell r="M19">
            <v>13934.32</v>
          </cell>
          <cell r="O19" t="e">
            <v>#N/A</v>
          </cell>
          <cell r="P19">
            <v>584.5</v>
          </cell>
        </row>
        <row r="20">
          <cell r="A20">
            <v>37012</v>
          </cell>
          <cell r="B20">
            <v>14.1</v>
          </cell>
          <cell r="C20">
            <v>13174.41</v>
          </cell>
          <cell r="E20">
            <v>12.52</v>
          </cell>
          <cell r="F20">
            <v>2760.3</v>
          </cell>
          <cell r="H20">
            <v>1.18</v>
          </cell>
          <cell r="I20">
            <v>1657.05</v>
          </cell>
          <cell r="K20" t="e">
            <v>#N/A</v>
          </cell>
          <cell r="M20">
            <v>13262.14</v>
          </cell>
          <cell r="O20" t="e">
            <v>#N/A</v>
          </cell>
          <cell r="P20">
            <v>572.88</v>
          </cell>
        </row>
        <row r="21">
          <cell r="A21">
            <v>37043</v>
          </cell>
          <cell r="B21">
            <v>13.9</v>
          </cell>
          <cell r="C21">
            <v>13042.53</v>
          </cell>
          <cell r="E21">
            <v>14.252000000000001</v>
          </cell>
          <cell r="F21">
            <v>2858.1</v>
          </cell>
          <cell r="H21">
            <v>1.1599999999999999</v>
          </cell>
          <cell r="I21">
            <v>1726.5</v>
          </cell>
          <cell r="K21" t="e">
            <v>#N/A</v>
          </cell>
          <cell r="M21">
            <v>12969.05</v>
          </cell>
          <cell r="O21" t="e">
            <v>#N/A</v>
          </cell>
          <cell r="P21">
            <v>592.99</v>
          </cell>
        </row>
        <row r="22">
          <cell r="A22">
            <v>37073</v>
          </cell>
          <cell r="B22">
            <v>11.55</v>
          </cell>
          <cell r="C22">
            <v>12316.69</v>
          </cell>
          <cell r="E22">
            <v>13</v>
          </cell>
          <cell r="F22">
            <v>2720.2</v>
          </cell>
          <cell r="H22">
            <v>1.04</v>
          </cell>
          <cell r="I22">
            <v>1666.03</v>
          </cell>
          <cell r="K22" t="e">
            <v>#N/A</v>
          </cell>
          <cell r="M22">
            <v>11860.77</v>
          </cell>
          <cell r="O22" t="e">
            <v>#N/A</v>
          </cell>
          <cell r="P22">
            <v>659.4</v>
          </cell>
        </row>
        <row r="23">
          <cell r="A23">
            <v>37104</v>
          </cell>
          <cell r="B23">
            <v>9.8000000000000007</v>
          </cell>
          <cell r="C23">
            <v>11090.48</v>
          </cell>
          <cell r="E23">
            <v>12.72</v>
          </cell>
          <cell r="F23">
            <v>2676.4</v>
          </cell>
          <cell r="H23">
            <v>1.06</v>
          </cell>
          <cell r="I23">
            <v>1619.12</v>
          </cell>
          <cell r="K23" t="e">
            <v>#N/A</v>
          </cell>
          <cell r="M23">
            <v>10713.51</v>
          </cell>
          <cell r="O23" t="e">
            <v>#N/A</v>
          </cell>
          <cell r="P23">
            <v>687.16</v>
          </cell>
        </row>
        <row r="24">
          <cell r="A24">
            <v>37135</v>
          </cell>
          <cell r="B24">
            <v>9.4</v>
          </cell>
          <cell r="C24">
            <v>9950.7000000000007</v>
          </cell>
          <cell r="E24">
            <v>10.88</v>
          </cell>
          <cell r="F24">
            <v>2497.3000000000002</v>
          </cell>
          <cell r="H24">
            <v>1.01</v>
          </cell>
          <cell r="I24">
            <v>1319.53</v>
          </cell>
          <cell r="K24" t="e">
            <v>#N/A</v>
          </cell>
          <cell r="M24">
            <v>9774.68</v>
          </cell>
          <cell r="O24" t="e">
            <v>#N/A</v>
          </cell>
          <cell r="P24">
            <v>615.34</v>
          </cell>
        </row>
        <row r="25">
          <cell r="A25">
            <v>37165</v>
          </cell>
          <cell r="B25">
            <v>10.45</v>
          </cell>
          <cell r="C25">
            <v>10073.969999999999</v>
          </cell>
          <cell r="E25">
            <v>11.313000000000001</v>
          </cell>
          <cell r="F25">
            <v>2657</v>
          </cell>
          <cell r="H25">
            <v>1.04</v>
          </cell>
          <cell r="I25">
            <v>1367.84</v>
          </cell>
          <cell r="K25" t="e">
            <v>#N/A</v>
          </cell>
          <cell r="M25">
            <v>10366.34</v>
          </cell>
          <cell r="O25" t="e">
            <v>#N/A</v>
          </cell>
          <cell r="P25">
            <v>600.07000000000005</v>
          </cell>
        </row>
        <row r="26">
          <cell r="A26">
            <v>37196</v>
          </cell>
          <cell r="B26">
            <v>11.2</v>
          </cell>
          <cell r="C26">
            <v>11279.25</v>
          </cell>
          <cell r="E26">
            <v>11.122</v>
          </cell>
          <cell r="F26">
            <v>2727.8</v>
          </cell>
          <cell r="H26">
            <v>1.22</v>
          </cell>
          <cell r="I26">
            <v>1478.54</v>
          </cell>
          <cell r="K26" t="e">
            <v>#N/A</v>
          </cell>
          <cell r="M26">
            <v>10697.44</v>
          </cell>
          <cell r="O26" t="e">
            <v>#N/A</v>
          </cell>
          <cell r="P26">
            <v>638.02</v>
          </cell>
        </row>
        <row r="27">
          <cell r="A27">
            <v>37226</v>
          </cell>
          <cell r="B27">
            <v>11.85</v>
          </cell>
          <cell r="C27">
            <v>11397.21</v>
          </cell>
          <cell r="E27">
            <v>11.3</v>
          </cell>
          <cell r="F27">
            <v>2799.2</v>
          </cell>
          <cell r="H27">
            <v>1.24</v>
          </cell>
          <cell r="I27">
            <v>1623.6</v>
          </cell>
          <cell r="K27" t="e">
            <v>#N/A</v>
          </cell>
          <cell r="M27">
            <v>10542.62</v>
          </cell>
          <cell r="O27" t="e">
            <v>#N/A</v>
          </cell>
          <cell r="P27">
            <v>696.09</v>
          </cell>
        </row>
        <row r="28">
          <cell r="A28">
            <v>37257</v>
          </cell>
          <cell r="B28">
            <v>11.4</v>
          </cell>
          <cell r="C28">
            <v>10725.3</v>
          </cell>
          <cell r="E28">
            <v>11.65</v>
          </cell>
          <cell r="F28">
            <v>2830.3</v>
          </cell>
          <cell r="H28">
            <v>1.44</v>
          </cell>
          <cell r="I28">
            <v>1786.89</v>
          </cell>
          <cell r="K28" t="e">
            <v>#N/A</v>
          </cell>
          <cell r="M28">
            <v>9997.7999999999993</v>
          </cell>
          <cell r="O28" t="e">
            <v>#N/A</v>
          </cell>
          <cell r="P28">
            <v>718.82</v>
          </cell>
        </row>
        <row r="29">
          <cell r="A29">
            <v>37288</v>
          </cell>
          <cell r="B29">
            <v>10.95</v>
          </cell>
          <cell r="C29">
            <v>10482.549999999999</v>
          </cell>
          <cell r="E29">
            <v>12.95</v>
          </cell>
          <cell r="F29">
            <v>2790.3</v>
          </cell>
          <cell r="H29">
            <v>1.29</v>
          </cell>
          <cell r="I29">
            <v>1715.58</v>
          </cell>
          <cell r="K29" t="e">
            <v>#N/A</v>
          </cell>
          <cell r="M29">
            <v>10587.83</v>
          </cell>
          <cell r="O29" t="e">
            <v>#N/A</v>
          </cell>
          <cell r="P29">
            <v>708.91</v>
          </cell>
        </row>
        <row r="30">
          <cell r="A30">
            <v>37316</v>
          </cell>
          <cell r="B30">
            <v>12.1</v>
          </cell>
          <cell r="C30">
            <v>11032.92</v>
          </cell>
          <cell r="E30">
            <v>12.99</v>
          </cell>
          <cell r="F30">
            <v>2789.2</v>
          </cell>
          <cell r="H30">
            <v>1.3</v>
          </cell>
          <cell r="I30">
            <v>1803.22</v>
          </cell>
          <cell r="K30" t="e">
            <v>#N/A</v>
          </cell>
          <cell r="M30">
            <v>11024.94</v>
          </cell>
          <cell r="O30" t="e">
            <v>#N/A</v>
          </cell>
          <cell r="P30">
            <v>756.1</v>
          </cell>
        </row>
        <row r="31">
          <cell r="A31">
            <v>37347</v>
          </cell>
          <cell r="B31">
            <v>13.9</v>
          </cell>
          <cell r="C31">
            <v>11497.58</v>
          </cell>
          <cell r="E31">
            <v>13.48</v>
          </cell>
          <cell r="F31">
            <v>2739.2</v>
          </cell>
          <cell r="H31">
            <v>1.27</v>
          </cell>
          <cell r="I31">
            <v>1725.37</v>
          </cell>
          <cell r="K31" t="e">
            <v>#N/A</v>
          </cell>
          <cell r="M31">
            <v>11492.54</v>
          </cell>
          <cell r="O31" t="e">
            <v>#N/A</v>
          </cell>
          <cell r="P31">
            <v>793.99</v>
          </cell>
        </row>
        <row r="32">
          <cell r="A32">
            <v>37377</v>
          </cell>
          <cell r="B32">
            <v>14.1</v>
          </cell>
          <cell r="C32">
            <v>11301.94</v>
          </cell>
          <cell r="E32">
            <v>13.88</v>
          </cell>
          <cell r="F32">
            <v>2759.9</v>
          </cell>
          <cell r="H32">
            <v>1.29</v>
          </cell>
          <cell r="I32">
            <v>1671.84</v>
          </cell>
          <cell r="K32" t="e">
            <v>#N/A</v>
          </cell>
          <cell r="M32">
            <v>11763.7</v>
          </cell>
          <cell r="O32" t="e">
            <v>#N/A</v>
          </cell>
          <cell r="P32">
            <v>741.76</v>
          </cell>
        </row>
        <row r="33">
          <cell r="A33">
            <v>37408</v>
          </cell>
          <cell r="B33">
            <v>12.85</v>
          </cell>
          <cell r="C33">
            <v>10598.55</v>
          </cell>
          <cell r="E33">
            <v>13.4</v>
          </cell>
          <cell r="F33">
            <v>2632.9</v>
          </cell>
          <cell r="H33">
            <v>1.1599999999999999</v>
          </cell>
          <cell r="I33">
            <v>1552.98</v>
          </cell>
          <cell r="K33" t="e">
            <v>#N/A</v>
          </cell>
          <cell r="M33">
            <v>10621.84</v>
          </cell>
          <cell r="O33" t="e">
            <v>#N/A</v>
          </cell>
          <cell r="P33">
            <v>725.44</v>
          </cell>
        </row>
        <row r="34">
          <cell r="A34">
            <v>37438</v>
          </cell>
          <cell r="B34">
            <v>11.3</v>
          </cell>
          <cell r="C34">
            <v>10267.36</v>
          </cell>
          <cell r="E34">
            <v>12.72</v>
          </cell>
          <cell r="F34">
            <v>2525.8000000000002</v>
          </cell>
          <cell r="H34">
            <v>1.1399999999999999</v>
          </cell>
          <cell r="I34">
            <v>1508.36</v>
          </cell>
          <cell r="K34" t="e">
            <v>#N/A</v>
          </cell>
          <cell r="M34">
            <v>9877.94</v>
          </cell>
          <cell r="O34" t="e">
            <v>#N/A</v>
          </cell>
          <cell r="P34">
            <v>721.59</v>
          </cell>
        </row>
        <row r="35">
          <cell r="A35">
            <v>37469</v>
          </cell>
          <cell r="B35">
            <v>10.3</v>
          </cell>
          <cell r="C35">
            <v>10043.870000000001</v>
          </cell>
          <cell r="E35">
            <v>12.74</v>
          </cell>
          <cell r="F35">
            <v>2550.4</v>
          </cell>
          <cell r="H35">
            <v>1.22</v>
          </cell>
          <cell r="I35">
            <v>1488.5</v>
          </cell>
          <cell r="K35" t="e">
            <v>#N/A</v>
          </cell>
          <cell r="M35">
            <v>9619.2999999999993</v>
          </cell>
          <cell r="O35" t="e">
            <v>#N/A</v>
          </cell>
          <cell r="P35">
            <v>711.36</v>
          </cell>
        </row>
        <row r="36">
          <cell r="A36">
            <v>37500</v>
          </cell>
          <cell r="B36">
            <v>9.4</v>
          </cell>
          <cell r="C36">
            <v>9072.2099999999991</v>
          </cell>
          <cell r="E36">
            <v>11.43</v>
          </cell>
          <cell r="F36">
            <v>2428.6</v>
          </cell>
          <cell r="H36">
            <v>1.1499999999999999</v>
          </cell>
          <cell r="I36">
            <v>1352.3</v>
          </cell>
          <cell r="K36" t="e">
            <v>#N/A</v>
          </cell>
          <cell r="M36">
            <v>9383.2900000000009</v>
          </cell>
          <cell r="O36" t="e">
            <v>#N/A</v>
          </cell>
          <cell r="P36">
            <v>638.01</v>
          </cell>
        </row>
        <row r="37">
          <cell r="A37">
            <v>37530</v>
          </cell>
          <cell r="B37">
            <v>10.35</v>
          </cell>
          <cell r="C37">
            <v>9441.25</v>
          </cell>
          <cell r="E37">
            <v>11.5</v>
          </cell>
          <cell r="F37">
            <v>2493.1999999999998</v>
          </cell>
          <cell r="H37">
            <v>1.1599999999999999</v>
          </cell>
          <cell r="I37">
            <v>1463.37</v>
          </cell>
          <cell r="K37" t="e">
            <v>#N/A</v>
          </cell>
          <cell r="M37">
            <v>8640.48</v>
          </cell>
          <cell r="O37" t="e">
            <v>#N/A</v>
          </cell>
          <cell r="P37">
            <v>659.57</v>
          </cell>
        </row>
        <row r="38">
          <cell r="A38">
            <v>37561</v>
          </cell>
          <cell r="B38">
            <v>10.45</v>
          </cell>
          <cell r="C38">
            <v>10069.870000000001</v>
          </cell>
          <cell r="E38">
            <v>11.54</v>
          </cell>
          <cell r="F38">
            <v>2512.8000000000002</v>
          </cell>
          <cell r="H38">
            <v>1.2</v>
          </cell>
          <cell r="I38">
            <v>1391.53</v>
          </cell>
          <cell r="K38" t="e">
            <v>#N/A</v>
          </cell>
          <cell r="M38">
            <v>9215.56</v>
          </cell>
          <cell r="O38" t="e">
            <v>#N/A</v>
          </cell>
          <cell r="P38">
            <v>629.22</v>
          </cell>
        </row>
        <row r="39">
          <cell r="A39">
            <v>37591</v>
          </cell>
          <cell r="B39">
            <v>9.8000000000000007</v>
          </cell>
          <cell r="C39">
            <v>9321.2900000000009</v>
          </cell>
          <cell r="E39">
            <v>11.41</v>
          </cell>
          <cell r="F39">
            <v>2499.1</v>
          </cell>
          <cell r="H39">
            <v>1.23</v>
          </cell>
          <cell r="I39">
            <v>1341.07</v>
          </cell>
          <cell r="K39" t="e">
            <v>#N/A</v>
          </cell>
          <cell r="M39">
            <v>8578.9500000000007</v>
          </cell>
          <cell r="O39" t="e">
            <v>#N/A</v>
          </cell>
          <cell r="P39">
            <v>646.32000000000005</v>
          </cell>
        </row>
        <row r="40">
          <cell r="A40">
            <v>37622</v>
          </cell>
          <cell r="B40">
            <v>9.3000000000000007</v>
          </cell>
          <cell r="C40">
            <v>9258.9500000000007</v>
          </cell>
          <cell r="E40">
            <v>11.73</v>
          </cell>
          <cell r="F40">
            <v>2418.3000000000002</v>
          </cell>
          <cell r="H40">
            <v>1.24</v>
          </cell>
          <cell r="I40">
            <v>1291.6099999999999</v>
          </cell>
          <cell r="K40" t="e">
            <v>#N/A</v>
          </cell>
          <cell r="M40">
            <v>8339.94</v>
          </cell>
          <cell r="O40" t="e">
            <v>#N/A</v>
          </cell>
          <cell r="P40">
            <v>664.77</v>
          </cell>
        </row>
        <row r="41">
          <cell r="A41">
            <v>37653</v>
          </cell>
          <cell r="B41">
            <v>9.1</v>
          </cell>
          <cell r="C41">
            <v>9122.66</v>
          </cell>
          <cell r="E41">
            <v>11.1</v>
          </cell>
          <cell r="F41">
            <v>2284.4</v>
          </cell>
          <cell r="H41">
            <v>1.24</v>
          </cell>
          <cell r="I41">
            <v>1273.8499999999999</v>
          </cell>
          <cell r="K41" t="e">
            <v>#N/A</v>
          </cell>
          <cell r="M41">
            <v>8363.0400000000009</v>
          </cell>
          <cell r="O41" t="e">
            <v>#N/A</v>
          </cell>
          <cell r="P41">
            <v>646.79999999999995</v>
          </cell>
        </row>
        <row r="42">
          <cell r="A42">
            <v>37681</v>
          </cell>
          <cell r="B42">
            <v>8.3000000000000007</v>
          </cell>
          <cell r="C42">
            <v>8634.4500000000007</v>
          </cell>
          <cell r="E42">
            <v>11.03</v>
          </cell>
          <cell r="F42">
            <v>2362.1999999999998</v>
          </cell>
          <cell r="H42">
            <v>1.25</v>
          </cell>
          <cell r="I42">
            <v>1267.82</v>
          </cell>
          <cell r="K42" t="e">
            <v>#N/A</v>
          </cell>
          <cell r="M42">
            <v>7972.71</v>
          </cell>
          <cell r="O42" t="e">
            <v>#N/A</v>
          </cell>
          <cell r="P42">
            <v>635.72</v>
          </cell>
        </row>
        <row r="43">
          <cell r="A43">
            <v>37712</v>
          </cell>
          <cell r="B43">
            <v>9.1</v>
          </cell>
          <cell r="C43">
            <v>8717.2199999999993</v>
          </cell>
          <cell r="E43">
            <v>11.5</v>
          </cell>
          <cell r="F43">
            <v>2462.3000000000002</v>
          </cell>
          <cell r="H43">
            <v>1.22</v>
          </cell>
          <cell r="I43">
            <v>1281.33</v>
          </cell>
          <cell r="K43" t="e">
            <v>#N/A</v>
          </cell>
          <cell r="M43">
            <v>7831.42</v>
          </cell>
          <cell r="O43" t="e">
            <v>#N/A</v>
          </cell>
          <cell r="P43">
            <v>630.37</v>
          </cell>
        </row>
        <row r="44">
          <cell r="A44">
            <v>37742</v>
          </cell>
          <cell r="B44">
            <v>10.3</v>
          </cell>
          <cell r="C44">
            <v>9487.3799999999992</v>
          </cell>
          <cell r="E44">
            <v>12.3</v>
          </cell>
          <cell r="F44">
            <v>2461.3000000000002</v>
          </cell>
          <cell r="H44">
            <v>1.29</v>
          </cell>
          <cell r="I44">
            <v>1349</v>
          </cell>
          <cell r="K44" t="e">
            <v>#N/A</v>
          </cell>
          <cell r="M44">
            <v>8424.51</v>
          </cell>
          <cell r="O44" t="e">
            <v>#N/A</v>
          </cell>
          <cell r="P44">
            <v>671.46</v>
          </cell>
        </row>
        <row r="45">
          <cell r="A45">
            <v>37773</v>
          </cell>
          <cell r="B45">
            <v>11.2</v>
          </cell>
          <cell r="C45">
            <v>9577.1200000000008</v>
          </cell>
          <cell r="E45">
            <v>12.52</v>
          </cell>
          <cell r="F45">
            <v>2470.4</v>
          </cell>
          <cell r="H45">
            <v>1.37</v>
          </cell>
          <cell r="I45">
            <v>1447.89</v>
          </cell>
          <cell r="K45" t="e">
            <v>#N/A</v>
          </cell>
          <cell r="M45">
            <v>9083.11</v>
          </cell>
          <cell r="O45" t="e">
            <v>#N/A</v>
          </cell>
          <cell r="P45">
            <v>691.96</v>
          </cell>
        </row>
        <row r="46">
          <cell r="A46">
            <v>37803</v>
          </cell>
          <cell r="B46">
            <v>12.85</v>
          </cell>
          <cell r="C46">
            <v>10134.83</v>
          </cell>
          <cell r="E46">
            <v>13.48</v>
          </cell>
          <cell r="F46">
            <v>2545.1999999999998</v>
          </cell>
          <cell r="H46">
            <v>1.51</v>
          </cell>
          <cell r="I46">
            <v>1558.87</v>
          </cell>
          <cell r="K46" t="e">
            <v>#N/A</v>
          </cell>
          <cell r="M46">
            <v>9563.2099999999991</v>
          </cell>
          <cell r="O46" t="e">
            <v>#N/A</v>
          </cell>
          <cell r="P46">
            <v>720.56</v>
          </cell>
        </row>
        <row r="47">
          <cell r="A47">
            <v>37834</v>
          </cell>
          <cell r="B47">
            <v>14</v>
          </cell>
          <cell r="C47">
            <v>10908.99</v>
          </cell>
          <cell r="E47">
            <v>13.9</v>
          </cell>
          <cell r="F47">
            <v>2606</v>
          </cell>
          <cell r="H47">
            <v>1.65</v>
          </cell>
          <cell r="I47">
            <v>1599.25</v>
          </cell>
          <cell r="K47" t="e">
            <v>#N/A</v>
          </cell>
          <cell r="M47">
            <v>10343.549999999999</v>
          </cell>
          <cell r="O47" t="e">
            <v>#N/A</v>
          </cell>
          <cell r="P47">
            <v>743.3</v>
          </cell>
        </row>
        <row r="48">
          <cell r="A48">
            <v>37865</v>
          </cell>
          <cell r="B48">
            <v>16.5</v>
          </cell>
          <cell r="C48">
            <v>11229.87</v>
          </cell>
          <cell r="E48">
            <v>14.19</v>
          </cell>
          <cell r="F48">
            <v>2576.6</v>
          </cell>
          <cell r="H48">
            <v>1.82</v>
          </cell>
          <cell r="I48">
            <v>1630.8</v>
          </cell>
          <cell r="K48" t="e">
            <v>#N/A</v>
          </cell>
          <cell r="M48">
            <v>10219.049999999999</v>
          </cell>
          <cell r="O48" t="e">
            <v>#N/A</v>
          </cell>
          <cell r="P48">
            <v>733.45</v>
          </cell>
        </row>
        <row r="49">
          <cell r="A49">
            <v>37895</v>
          </cell>
          <cell r="B49">
            <v>16.899999999999999</v>
          </cell>
          <cell r="C49">
            <v>12190.1</v>
          </cell>
          <cell r="E49">
            <v>16</v>
          </cell>
          <cell r="F49">
            <v>2661.1</v>
          </cell>
          <cell r="H49">
            <v>1.66</v>
          </cell>
          <cell r="I49">
            <v>1723.71</v>
          </cell>
          <cell r="K49" t="e">
            <v>#N/A</v>
          </cell>
          <cell r="M49">
            <v>10559.59</v>
          </cell>
          <cell r="O49" t="e">
            <v>#N/A</v>
          </cell>
          <cell r="P49">
            <v>817.12</v>
          </cell>
        </row>
        <row r="50">
          <cell r="A50">
            <v>37926</v>
          </cell>
          <cell r="B50">
            <v>15.9</v>
          </cell>
          <cell r="C50">
            <v>12317.47</v>
          </cell>
          <cell r="E50">
            <v>15.51</v>
          </cell>
          <cell r="F50">
            <v>2591.5</v>
          </cell>
          <cell r="H50">
            <v>1.65</v>
          </cell>
          <cell r="I50">
            <v>1714</v>
          </cell>
          <cell r="K50" t="e">
            <v>#N/A</v>
          </cell>
          <cell r="M50">
            <v>10100.57</v>
          </cell>
          <cell r="O50" t="e">
            <v>#N/A</v>
          </cell>
          <cell r="P50">
            <v>779.28</v>
          </cell>
        </row>
        <row r="51">
          <cell r="A51">
            <v>37956</v>
          </cell>
          <cell r="B51">
            <v>16.850000000000001</v>
          </cell>
          <cell r="C51">
            <v>12575.94</v>
          </cell>
          <cell r="E51">
            <v>17.079999999999998</v>
          </cell>
          <cell r="F51">
            <v>2684.3</v>
          </cell>
          <cell r="H51">
            <v>1.69</v>
          </cell>
          <cell r="I51">
            <v>1764.52</v>
          </cell>
          <cell r="K51" t="e">
            <v>#N/A</v>
          </cell>
          <cell r="M51">
            <v>10676.64</v>
          </cell>
          <cell r="O51" t="e">
            <v>#N/A</v>
          </cell>
          <cell r="P51">
            <v>793.94</v>
          </cell>
        </row>
        <row r="52">
          <cell r="A52">
            <v>37987</v>
          </cell>
          <cell r="B52">
            <v>19.399999999999999</v>
          </cell>
          <cell r="C52">
            <v>13289.37</v>
          </cell>
          <cell r="E52">
            <v>16.489999999999998</v>
          </cell>
          <cell r="F52">
            <v>2660.9</v>
          </cell>
          <cell r="H52">
            <v>1.77</v>
          </cell>
          <cell r="I52">
            <v>1848.36</v>
          </cell>
          <cell r="K52" t="e">
            <v>#N/A</v>
          </cell>
          <cell r="M52">
            <v>10779.44</v>
          </cell>
          <cell r="O52" t="e">
            <v>#N/A</v>
          </cell>
          <cell r="P52">
            <v>818.94</v>
          </cell>
        </row>
        <row r="53">
          <cell r="A53">
            <v>38018</v>
          </cell>
          <cell r="B53">
            <v>20.6</v>
          </cell>
          <cell r="C53">
            <v>13907.03</v>
          </cell>
          <cell r="E53">
            <v>16.82</v>
          </cell>
          <cell r="F53">
            <v>2734.8</v>
          </cell>
          <cell r="H53">
            <v>1.76</v>
          </cell>
          <cell r="I53">
            <v>1888.63</v>
          </cell>
          <cell r="K53" t="e">
            <v>#N/A</v>
          </cell>
          <cell r="M53">
            <v>11041.92</v>
          </cell>
          <cell r="O53" t="e">
            <v>#N/A</v>
          </cell>
          <cell r="P53">
            <v>879.24</v>
          </cell>
        </row>
        <row r="54">
          <cell r="A54">
            <v>38047</v>
          </cell>
          <cell r="B54">
            <v>16.7</v>
          </cell>
          <cell r="C54">
            <v>12681.67</v>
          </cell>
          <cell r="E54">
            <v>16.559999999999999</v>
          </cell>
          <cell r="F54">
            <v>2782.2</v>
          </cell>
          <cell r="H54">
            <v>1.66</v>
          </cell>
          <cell r="I54">
            <v>1858.92</v>
          </cell>
          <cell r="K54" t="e">
            <v>#N/A</v>
          </cell>
          <cell r="M54">
            <v>11693.68</v>
          </cell>
          <cell r="O54" t="e">
            <v>#N/A</v>
          </cell>
          <cell r="P54">
            <v>901.85</v>
          </cell>
        </row>
        <row r="55">
          <cell r="A55">
            <v>38078</v>
          </cell>
          <cell r="B55">
            <v>15.6</v>
          </cell>
          <cell r="C55">
            <v>11942.96</v>
          </cell>
          <cell r="E55">
            <v>16.09</v>
          </cell>
          <cell r="F55">
            <v>2770.1</v>
          </cell>
          <cell r="H55">
            <v>1.63</v>
          </cell>
          <cell r="I55">
            <v>1842.03</v>
          </cell>
          <cell r="K55">
            <v>387000</v>
          </cell>
          <cell r="L55">
            <v>387</v>
          </cell>
          <cell r="M55">
            <v>11761.79</v>
          </cell>
          <cell r="O55" t="e">
            <v>#N/A</v>
          </cell>
          <cell r="P55">
            <v>838.21</v>
          </cell>
        </row>
        <row r="56">
          <cell r="A56">
            <v>38108</v>
          </cell>
          <cell r="B56">
            <v>16.05</v>
          </cell>
          <cell r="C56">
            <v>12198.24</v>
          </cell>
          <cell r="E56">
            <v>15.45</v>
          </cell>
          <cell r="F56">
            <v>2818.7</v>
          </cell>
          <cell r="H56">
            <v>1.59</v>
          </cell>
          <cell r="I56">
            <v>1788.66</v>
          </cell>
          <cell r="K56">
            <v>318000</v>
          </cell>
          <cell r="L56">
            <v>318</v>
          </cell>
          <cell r="M56">
            <v>11236.37</v>
          </cell>
          <cell r="O56" t="e">
            <v>#N/A</v>
          </cell>
          <cell r="P56">
            <v>810.67</v>
          </cell>
        </row>
        <row r="57">
          <cell r="A57">
            <v>38139</v>
          </cell>
          <cell r="B57">
            <v>16</v>
          </cell>
          <cell r="C57">
            <v>12285.75</v>
          </cell>
          <cell r="E57">
            <v>15.54</v>
          </cell>
          <cell r="F57">
            <v>2880.5</v>
          </cell>
          <cell r="H57">
            <v>1.68</v>
          </cell>
          <cell r="I57">
            <v>1838</v>
          </cell>
          <cell r="K57">
            <v>339000</v>
          </cell>
          <cell r="L57">
            <v>339</v>
          </cell>
          <cell r="M57">
            <v>11858.87</v>
          </cell>
          <cell r="O57" t="e">
            <v>#N/A</v>
          </cell>
          <cell r="P57">
            <v>819.86</v>
          </cell>
        </row>
        <row r="58">
          <cell r="A58">
            <v>38169</v>
          </cell>
          <cell r="B58">
            <v>16.100000000000001</v>
          </cell>
          <cell r="C58">
            <v>12238.03</v>
          </cell>
          <cell r="E58">
            <v>15.75</v>
          </cell>
          <cell r="F58">
            <v>2872.7</v>
          </cell>
          <cell r="H58">
            <v>1.74</v>
          </cell>
          <cell r="I58">
            <v>1891.71</v>
          </cell>
          <cell r="K58">
            <v>345000</v>
          </cell>
          <cell r="L58">
            <v>345</v>
          </cell>
          <cell r="M58">
            <v>11325.78</v>
          </cell>
          <cell r="O58" t="e">
            <v>#N/A</v>
          </cell>
          <cell r="P58">
            <v>833.98</v>
          </cell>
        </row>
        <row r="59">
          <cell r="A59">
            <v>38200</v>
          </cell>
          <cell r="B59">
            <v>17.05</v>
          </cell>
          <cell r="C59">
            <v>12850.28</v>
          </cell>
          <cell r="E59">
            <v>15.58</v>
          </cell>
          <cell r="F59">
            <v>2884.7</v>
          </cell>
          <cell r="H59">
            <v>1.78</v>
          </cell>
          <cell r="I59">
            <v>1918.34</v>
          </cell>
          <cell r="K59">
            <v>339000</v>
          </cell>
          <cell r="L59">
            <v>339</v>
          </cell>
          <cell r="M59">
            <v>11081.79</v>
          </cell>
          <cell r="O59" t="e">
            <v>#N/A</v>
          </cell>
          <cell r="P59">
            <v>827.98</v>
          </cell>
        </row>
        <row r="60">
          <cell r="A60">
            <v>38231</v>
          </cell>
          <cell r="B60">
            <v>17.75</v>
          </cell>
          <cell r="C60">
            <v>13120.03</v>
          </cell>
          <cell r="E60">
            <v>16.3</v>
          </cell>
          <cell r="F60">
            <v>2977.7</v>
          </cell>
          <cell r="H60">
            <v>1.77</v>
          </cell>
          <cell r="I60">
            <v>1984.74</v>
          </cell>
          <cell r="K60">
            <v>306000</v>
          </cell>
          <cell r="L60">
            <v>306</v>
          </cell>
          <cell r="M60">
            <v>10823.57</v>
          </cell>
          <cell r="O60" t="e">
            <v>#N/A</v>
          </cell>
          <cell r="P60">
            <v>849.96</v>
          </cell>
        </row>
        <row r="61">
          <cell r="A61">
            <v>38261</v>
          </cell>
          <cell r="B61">
            <v>17.7</v>
          </cell>
          <cell r="C61">
            <v>13054.66</v>
          </cell>
          <cell r="E61">
            <v>18.510000000000002</v>
          </cell>
          <cell r="F61">
            <v>3063.6</v>
          </cell>
          <cell r="H61">
            <v>1.76</v>
          </cell>
          <cell r="I61">
            <v>1980.69</v>
          </cell>
          <cell r="K61">
            <v>310000</v>
          </cell>
          <cell r="L61">
            <v>310</v>
          </cell>
          <cell r="M61">
            <v>10771.42</v>
          </cell>
          <cell r="O61" t="e">
            <v>#N/A</v>
          </cell>
          <cell r="P61">
            <v>861.14</v>
          </cell>
        </row>
        <row r="62">
          <cell r="A62">
            <v>38292</v>
          </cell>
          <cell r="B62">
            <v>19.600000000000001</v>
          </cell>
          <cell r="C62">
            <v>14060.05</v>
          </cell>
          <cell r="E62">
            <v>18.73</v>
          </cell>
          <cell r="F62">
            <v>3190.9</v>
          </cell>
          <cell r="H62">
            <v>1.72</v>
          </cell>
          <cell r="I62">
            <v>2027.66</v>
          </cell>
          <cell r="K62">
            <v>303000</v>
          </cell>
          <cell r="L62">
            <v>303</v>
          </cell>
          <cell r="M62">
            <v>10899.25</v>
          </cell>
          <cell r="O62" t="e">
            <v>#N/A</v>
          </cell>
          <cell r="P62">
            <v>917.19</v>
          </cell>
        </row>
        <row r="63">
          <cell r="A63">
            <v>38322</v>
          </cell>
          <cell r="B63">
            <v>20.8</v>
          </cell>
          <cell r="C63">
            <v>14230.14</v>
          </cell>
          <cell r="E63">
            <v>20.399999999999999</v>
          </cell>
          <cell r="F63">
            <v>3296</v>
          </cell>
          <cell r="H63">
            <v>1.79</v>
          </cell>
          <cell r="I63">
            <v>2066.14</v>
          </cell>
          <cell r="K63">
            <v>287000</v>
          </cell>
          <cell r="L63">
            <v>287</v>
          </cell>
          <cell r="M63">
            <v>11488.76</v>
          </cell>
          <cell r="O63" t="e">
            <v>#N/A</v>
          </cell>
          <cell r="P63">
            <v>907.43</v>
          </cell>
        </row>
        <row r="64">
          <cell r="A64">
            <v>38353</v>
          </cell>
          <cell r="B64">
            <v>19.45</v>
          </cell>
          <cell r="C64">
            <v>13721.69</v>
          </cell>
          <cell r="E64">
            <v>20.92</v>
          </cell>
          <cell r="F64">
            <v>3333.4</v>
          </cell>
          <cell r="H64">
            <v>1.88</v>
          </cell>
          <cell r="I64">
            <v>2096.3200000000002</v>
          </cell>
          <cell r="K64">
            <v>351000</v>
          </cell>
          <cell r="L64">
            <v>351</v>
          </cell>
          <cell r="M64">
            <v>11387.59</v>
          </cell>
          <cell r="O64" t="e">
            <v>#N/A</v>
          </cell>
          <cell r="P64">
            <v>916.27</v>
          </cell>
        </row>
        <row r="65">
          <cell r="A65">
            <v>38384</v>
          </cell>
          <cell r="B65">
            <v>19.850000000000001</v>
          </cell>
          <cell r="C65">
            <v>14195.35</v>
          </cell>
          <cell r="E65">
            <v>20.71</v>
          </cell>
          <cell r="F65">
            <v>3394.3</v>
          </cell>
          <cell r="H65">
            <v>1.91</v>
          </cell>
          <cell r="I65">
            <v>2119.4</v>
          </cell>
          <cell r="K65">
            <v>360000</v>
          </cell>
          <cell r="L65">
            <v>360</v>
          </cell>
          <cell r="M65">
            <v>11740.6</v>
          </cell>
          <cell r="O65" t="e">
            <v>#N/A</v>
          </cell>
          <cell r="P65">
            <v>907.38</v>
          </cell>
        </row>
        <row r="66">
          <cell r="A66">
            <v>38412</v>
          </cell>
          <cell r="B66">
            <v>20.149999999999999</v>
          </cell>
          <cell r="C66">
            <v>13516.88</v>
          </cell>
          <cell r="E66">
            <v>20.260000000000002</v>
          </cell>
          <cell r="F66">
            <v>3340.6</v>
          </cell>
          <cell r="H66">
            <v>2.1</v>
          </cell>
          <cell r="I66">
            <v>2141.4299999999998</v>
          </cell>
          <cell r="K66">
            <v>410000</v>
          </cell>
          <cell r="L66">
            <v>410</v>
          </cell>
          <cell r="M66">
            <v>11668.95</v>
          </cell>
          <cell r="O66">
            <v>3.9</v>
          </cell>
          <cell r="P66">
            <v>871.35</v>
          </cell>
        </row>
        <row r="67">
          <cell r="A67">
            <v>38443</v>
          </cell>
          <cell r="B67">
            <v>19</v>
          </cell>
          <cell r="C67">
            <v>13908.97</v>
          </cell>
          <cell r="E67">
            <v>19.920000000000002</v>
          </cell>
          <cell r="F67">
            <v>3244.1</v>
          </cell>
          <cell r="H67">
            <v>1.86</v>
          </cell>
          <cell r="I67">
            <v>2125.25</v>
          </cell>
          <cell r="K67">
            <v>452000</v>
          </cell>
          <cell r="L67">
            <v>452</v>
          </cell>
          <cell r="M67">
            <v>11008.9</v>
          </cell>
          <cell r="O67">
            <v>3.82</v>
          </cell>
          <cell r="P67">
            <v>878.96</v>
          </cell>
        </row>
        <row r="68">
          <cell r="A68">
            <v>38473</v>
          </cell>
          <cell r="B68">
            <v>19.100000000000001</v>
          </cell>
          <cell r="C68">
            <v>13867.07</v>
          </cell>
          <cell r="E68">
            <v>22.89</v>
          </cell>
          <cell r="F68">
            <v>3341.2</v>
          </cell>
          <cell r="H68">
            <v>1.9</v>
          </cell>
          <cell r="I68">
            <v>2161.77</v>
          </cell>
          <cell r="K68">
            <v>407000</v>
          </cell>
          <cell r="L68">
            <v>407</v>
          </cell>
          <cell r="M68">
            <v>11276.59</v>
          </cell>
          <cell r="O68">
            <v>3.92</v>
          </cell>
          <cell r="P68">
            <v>860.73</v>
          </cell>
        </row>
        <row r="69">
          <cell r="A69">
            <v>38504</v>
          </cell>
          <cell r="B69">
            <v>20.100000000000001</v>
          </cell>
          <cell r="C69">
            <v>14201.06</v>
          </cell>
          <cell r="E69">
            <v>23.13</v>
          </cell>
          <cell r="F69">
            <v>3476.1</v>
          </cell>
          <cell r="H69">
            <v>2.11</v>
          </cell>
          <cell r="I69">
            <v>2212.66</v>
          </cell>
          <cell r="K69">
            <v>417000</v>
          </cell>
          <cell r="L69">
            <v>417</v>
          </cell>
          <cell r="M69">
            <v>11584.01</v>
          </cell>
          <cell r="O69">
            <v>3.82</v>
          </cell>
          <cell r="P69">
            <v>888.32</v>
          </cell>
        </row>
        <row r="70">
          <cell r="A70">
            <v>38534</v>
          </cell>
          <cell r="B70">
            <v>24.15</v>
          </cell>
          <cell r="C70">
            <v>14880.98</v>
          </cell>
          <cell r="E70">
            <v>25.7</v>
          </cell>
          <cell r="F70">
            <v>3564.3</v>
          </cell>
          <cell r="H70">
            <v>2.1800000000000002</v>
          </cell>
          <cell r="I70">
            <v>2352.56</v>
          </cell>
          <cell r="K70">
            <v>471000</v>
          </cell>
          <cell r="L70">
            <v>471</v>
          </cell>
          <cell r="M70">
            <v>11899.6</v>
          </cell>
          <cell r="O70">
            <v>4.4000000000000004</v>
          </cell>
          <cell r="P70">
            <v>937.39</v>
          </cell>
        </row>
        <row r="71">
          <cell r="A71">
            <v>38565</v>
          </cell>
          <cell r="B71">
            <v>23.9</v>
          </cell>
          <cell r="C71">
            <v>14903.55</v>
          </cell>
          <cell r="E71">
            <v>26.55</v>
          </cell>
          <cell r="F71">
            <v>3602.5</v>
          </cell>
          <cell r="H71">
            <v>2.33</v>
          </cell>
          <cell r="I71">
            <v>2275.4299999999998</v>
          </cell>
          <cell r="K71">
            <v>460000</v>
          </cell>
          <cell r="L71">
            <v>460</v>
          </cell>
          <cell r="M71">
            <v>12413.6</v>
          </cell>
          <cell r="O71">
            <v>4.26</v>
          </cell>
          <cell r="P71">
            <v>913.56</v>
          </cell>
        </row>
        <row r="72">
          <cell r="A72">
            <v>38596</v>
          </cell>
          <cell r="B72">
            <v>26.55</v>
          </cell>
          <cell r="C72">
            <v>15428.52</v>
          </cell>
          <cell r="E72">
            <v>27.12</v>
          </cell>
          <cell r="F72">
            <v>3764.1</v>
          </cell>
          <cell r="H72">
            <v>2.52</v>
          </cell>
          <cell r="I72">
            <v>2305.14</v>
          </cell>
          <cell r="K72">
            <v>562000</v>
          </cell>
          <cell r="L72">
            <v>562</v>
          </cell>
          <cell r="M72">
            <v>13574.3</v>
          </cell>
          <cell r="O72">
            <v>4.58</v>
          </cell>
          <cell r="P72">
            <v>927.54</v>
          </cell>
        </row>
        <row r="73">
          <cell r="A73">
            <v>38626</v>
          </cell>
          <cell r="B73">
            <v>25.9</v>
          </cell>
          <cell r="C73">
            <v>14386.37</v>
          </cell>
          <cell r="E73">
            <v>28.77</v>
          </cell>
          <cell r="F73">
            <v>3617.2</v>
          </cell>
          <cell r="H73">
            <v>2.7</v>
          </cell>
          <cell r="I73">
            <v>2216.77</v>
          </cell>
          <cell r="K73">
            <v>606000</v>
          </cell>
          <cell r="L73">
            <v>606</v>
          </cell>
          <cell r="M73">
            <v>13606.5</v>
          </cell>
          <cell r="O73">
            <v>4.54</v>
          </cell>
          <cell r="P73">
            <v>910.76</v>
          </cell>
        </row>
        <row r="74">
          <cell r="A74">
            <v>38657</v>
          </cell>
          <cell r="B74">
            <v>28.2</v>
          </cell>
          <cell r="C74">
            <v>14937.14</v>
          </cell>
          <cell r="E74">
            <v>30.5</v>
          </cell>
          <cell r="F74">
            <v>3761.5</v>
          </cell>
          <cell r="H74">
            <v>2.75</v>
          </cell>
          <cell r="I74">
            <v>2300.25</v>
          </cell>
          <cell r="K74">
            <v>610000</v>
          </cell>
          <cell r="L74">
            <v>610</v>
          </cell>
          <cell r="M74">
            <v>14872.15</v>
          </cell>
          <cell r="O74">
            <v>4.62</v>
          </cell>
          <cell r="P74">
            <v>896.13</v>
          </cell>
        </row>
        <row r="75">
          <cell r="A75">
            <v>38687</v>
          </cell>
          <cell r="B75">
            <v>32.15</v>
          </cell>
          <cell r="C75">
            <v>14876.43</v>
          </cell>
          <cell r="E75">
            <v>32.5</v>
          </cell>
          <cell r="F75">
            <v>3873.9</v>
          </cell>
          <cell r="H75">
            <v>2.9</v>
          </cell>
          <cell r="I75">
            <v>2347.34</v>
          </cell>
          <cell r="K75">
            <v>740000</v>
          </cell>
          <cell r="L75">
            <v>740</v>
          </cell>
          <cell r="M75">
            <v>16111.43</v>
          </cell>
          <cell r="O75">
            <v>3.66</v>
          </cell>
          <cell r="P75">
            <v>899.79</v>
          </cell>
        </row>
        <row r="76">
          <cell r="A76" t="str">
            <v>MTD</v>
          </cell>
          <cell r="B76">
            <v>36.049999999999997</v>
          </cell>
          <cell r="C76">
            <v>15530.57</v>
          </cell>
          <cell r="E76">
            <v>33.81</v>
          </cell>
          <cell r="F76">
            <v>3914.9</v>
          </cell>
          <cell r="H76">
            <v>3.1</v>
          </cell>
          <cell r="I76">
            <v>2368.3000000000002</v>
          </cell>
          <cell r="K76">
            <v>861000</v>
          </cell>
          <cell r="L76">
            <v>861</v>
          </cell>
          <cell r="M76">
            <v>15696.2</v>
          </cell>
          <cell r="O76">
            <v>3.92</v>
          </cell>
          <cell r="P76">
            <v>906.98</v>
          </cell>
        </row>
      </sheetData>
      <sheetData sheetId="45" refreshError="1">
        <row r="1">
          <cell r="A1" t="str">
            <v>Country</v>
          </cell>
          <cell r="B1" t="str">
            <v>Issuer</v>
          </cell>
          <cell r="C1" t="str">
            <v>Amount (US$mn)</v>
          </cell>
          <cell r="D1" t="str">
            <v>Status</v>
          </cell>
          <cell r="E1" t="str">
            <v>Currency</v>
          </cell>
          <cell r="F1" t="str">
            <v>Amount (m)</v>
          </cell>
          <cell r="G1" t="str">
            <v>Type of Issue</v>
          </cell>
          <cell r="H1" t="str">
            <v>Timing</v>
          </cell>
          <cell r="I1" t="str">
            <v>Bookrunner(s)</v>
          </cell>
          <cell r="J1" t="str">
            <v>IFR Ref</v>
          </cell>
          <cell r="K1" t="str">
            <v>Sector</v>
          </cell>
        </row>
        <row r="2">
          <cell r="A2" t="str">
            <v>China</v>
          </cell>
          <cell r="B2" t="str">
            <v>Advanced Semiconductor Manufacturing</v>
          </cell>
          <cell r="C2">
            <v>84</v>
          </cell>
          <cell r="D2" t="str">
            <v>Priced</v>
          </cell>
          <cell r="E2" t="str">
            <v>HK$</v>
          </cell>
          <cell r="F2">
            <v>651</v>
          </cell>
          <cell r="G2" t="str">
            <v>IPO</v>
          </cell>
          <cell r="H2">
            <v>38777</v>
          </cell>
          <cell r="I2" t="str">
            <v>BOCI, Goldman Sachs</v>
          </cell>
          <cell r="J2">
            <v>446</v>
          </cell>
          <cell r="K2" t="str">
            <v>Technology</v>
          </cell>
        </row>
        <row r="3">
          <cell r="A3" t="str">
            <v>China</v>
          </cell>
          <cell r="B3" t="str">
            <v>allyes.com</v>
          </cell>
          <cell r="C3">
            <v>100</v>
          </cell>
          <cell r="D3" t="str">
            <v>Mandated</v>
          </cell>
          <cell r="E3" t="str">
            <v>US$</v>
          </cell>
          <cell r="F3">
            <v>100</v>
          </cell>
          <cell r="G3" t="str">
            <v>IPO</v>
          </cell>
          <cell r="H3">
            <v>2006</v>
          </cell>
          <cell r="I3" t="str">
            <v>Morgan Stanley</v>
          </cell>
          <cell r="J3">
            <v>418</v>
          </cell>
          <cell r="K3" t="str">
            <v>Technology</v>
          </cell>
        </row>
        <row r="4">
          <cell r="A4" t="str">
            <v>China</v>
          </cell>
          <cell r="B4" t="str">
            <v>ARA Asset Management</v>
          </cell>
          <cell r="C4">
            <v>225</v>
          </cell>
          <cell r="D4" t="str">
            <v>Announced</v>
          </cell>
          <cell r="E4" t="str">
            <v>US$</v>
          </cell>
          <cell r="F4" t="str">
            <v>200-250</v>
          </cell>
          <cell r="G4" t="str">
            <v>REIT IPO</v>
          </cell>
          <cell r="H4">
            <v>2006</v>
          </cell>
          <cell r="I4" t="str">
            <v>Credit Suisse</v>
          </cell>
          <cell r="J4">
            <v>383</v>
          </cell>
          <cell r="K4" t="str">
            <v>Real Estate</v>
          </cell>
        </row>
        <row r="5">
          <cell r="A5" t="str">
            <v>China</v>
          </cell>
          <cell r="B5" t="str">
            <v>Austar PharmMedTech</v>
          </cell>
          <cell r="C5">
            <v>40</v>
          </cell>
          <cell r="D5" t="str">
            <v>Mandated</v>
          </cell>
          <cell r="E5" t="str">
            <v>US$</v>
          </cell>
          <cell r="F5">
            <v>40</v>
          </cell>
          <cell r="G5" t="str">
            <v>IPO</v>
          </cell>
          <cell r="H5" t="str">
            <v>June-July 2006</v>
          </cell>
          <cell r="I5" t="str">
            <v>CLSA, UOB</v>
          </cell>
          <cell r="J5">
            <v>445</v>
          </cell>
          <cell r="K5" t="str">
            <v>Healthcare</v>
          </cell>
        </row>
        <row r="6">
          <cell r="A6" t="str">
            <v>China</v>
          </cell>
          <cell r="B6" t="str">
            <v>Bank of China</v>
          </cell>
          <cell r="C6">
            <v>8000</v>
          </cell>
          <cell r="D6" t="str">
            <v>Announced</v>
          </cell>
          <cell r="E6" t="str">
            <v>US$</v>
          </cell>
          <cell r="F6" t="str">
            <v>8,000-10,000</v>
          </cell>
          <cell r="G6" t="str">
            <v>IPO</v>
          </cell>
          <cell r="H6" t="str">
            <v>1H 2006</v>
          </cell>
          <cell r="I6" t="str">
            <v>BOCI, Goldman Sachs, UBS</v>
          </cell>
          <cell r="J6">
            <v>446</v>
          </cell>
          <cell r="K6" t="str">
            <v>Financials</v>
          </cell>
        </row>
        <row r="7">
          <cell r="A7" t="str">
            <v>China</v>
          </cell>
          <cell r="B7" t="str">
            <v>Beijing Capital Group</v>
          </cell>
          <cell r="C7">
            <v>1000</v>
          </cell>
          <cell r="D7" t="str">
            <v>Mandated</v>
          </cell>
          <cell r="E7" t="str">
            <v>US$</v>
          </cell>
          <cell r="F7">
            <v>1000</v>
          </cell>
          <cell r="G7" t="str">
            <v>IPO</v>
          </cell>
          <cell r="H7">
            <v>2006</v>
          </cell>
          <cell r="I7" t="str">
            <v>CLSA, Deutsche, Nomura</v>
          </cell>
          <cell r="J7">
            <v>404</v>
          </cell>
          <cell r="K7" t="str">
            <v>Conglomerate</v>
          </cell>
        </row>
        <row r="8">
          <cell r="A8" t="str">
            <v>China</v>
          </cell>
          <cell r="B8" t="str">
            <v>Beijing Capital Land</v>
          </cell>
          <cell r="C8">
            <v>129.03225806451613</v>
          </cell>
          <cell r="D8" t="str">
            <v>Announced</v>
          </cell>
          <cell r="E8" t="str">
            <v>HK$</v>
          </cell>
          <cell r="F8">
            <v>1000</v>
          </cell>
          <cell r="G8" t="str">
            <v>Follow-on</v>
          </cell>
          <cell r="J8">
            <v>444</v>
          </cell>
          <cell r="K8" t="str">
            <v>Real Estate</v>
          </cell>
        </row>
        <row r="9">
          <cell r="A9" t="str">
            <v>China</v>
          </cell>
          <cell r="B9" t="str">
            <v>BOE Technology</v>
          </cell>
          <cell r="C9">
            <v>322.58064516129031</v>
          </cell>
          <cell r="D9" t="str">
            <v>Announced</v>
          </cell>
          <cell r="E9" t="str">
            <v>HK$</v>
          </cell>
          <cell r="F9">
            <v>2500</v>
          </cell>
          <cell r="G9" t="str">
            <v>IPO</v>
          </cell>
          <cell r="J9">
            <v>411</v>
          </cell>
          <cell r="K9" t="str">
            <v>Technology</v>
          </cell>
        </row>
        <row r="10">
          <cell r="A10" t="str">
            <v>China</v>
          </cell>
          <cell r="B10" t="str">
            <v>Canal Scientific and Technological</v>
          </cell>
          <cell r="C10">
            <v>74.818564979923693</v>
          </cell>
          <cell r="D10" t="str">
            <v>Announced</v>
          </cell>
          <cell r="E10" t="str">
            <v>Rmb</v>
          </cell>
          <cell r="F10">
            <v>600</v>
          </cell>
          <cell r="G10" t="str">
            <v>CB</v>
          </cell>
          <cell r="J10">
            <v>426</v>
          </cell>
          <cell r="K10" t="str">
            <v>Consumer Staples</v>
          </cell>
        </row>
        <row r="11">
          <cell r="A11" t="str">
            <v>China</v>
          </cell>
          <cell r="B11" t="str">
            <v>Cellon</v>
          </cell>
          <cell r="C11">
            <v>100</v>
          </cell>
          <cell r="D11" t="str">
            <v>Mandated</v>
          </cell>
          <cell r="E11" t="str">
            <v>US$</v>
          </cell>
          <cell r="F11">
            <v>100</v>
          </cell>
          <cell r="G11" t="str">
            <v>IPO</v>
          </cell>
          <cell r="H11">
            <v>2006</v>
          </cell>
          <cell r="I11" t="str">
            <v>Morgan Stanley</v>
          </cell>
          <cell r="J11">
            <v>382</v>
          </cell>
          <cell r="K11" t="str">
            <v>Technology</v>
          </cell>
        </row>
        <row r="12">
          <cell r="A12" t="str">
            <v>China</v>
          </cell>
          <cell r="B12" t="str">
            <v>Changan Motor</v>
          </cell>
          <cell r="C12">
            <v>500</v>
          </cell>
          <cell r="D12" t="str">
            <v>Mandated</v>
          </cell>
          <cell r="E12" t="str">
            <v>US$</v>
          </cell>
          <cell r="F12">
            <v>500</v>
          </cell>
          <cell r="G12" t="str">
            <v>IPO</v>
          </cell>
          <cell r="H12">
            <v>2006</v>
          </cell>
          <cell r="I12" t="str">
            <v>BOCI, Goldman Sachs</v>
          </cell>
          <cell r="J12">
            <v>385</v>
          </cell>
          <cell r="K12" t="str">
            <v>Industrials</v>
          </cell>
        </row>
        <row r="13">
          <cell r="A13" t="str">
            <v>China</v>
          </cell>
          <cell r="B13" t="str">
            <v>China Citic Bank</v>
          </cell>
          <cell r="C13">
            <v>1250</v>
          </cell>
          <cell r="D13" t="str">
            <v>Announced</v>
          </cell>
          <cell r="E13" t="str">
            <v>US$</v>
          </cell>
          <cell r="F13">
            <v>1250</v>
          </cell>
          <cell r="G13" t="str">
            <v>IPO</v>
          </cell>
          <cell r="H13">
            <v>2006</v>
          </cell>
          <cell r="I13" t="str">
            <v>JPMorgan</v>
          </cell>
          <cell r="J13">
            <v>446</v>
          </cell>
          <cell r="K13" t="str">
            <v>Financials</v>
          </cell>
        </row>
        <row r="14">
          <cell r="A14" t="str">
            <v>China</v>
          </cell>
          <cell r="B14" t="str">
            <v>China Communications Construction</v>
          </cell>
          <cell r="C14">
            <v>1000</v>
          </cell>
          <cell r="D14" t="str">
            <v>Mandated</v>
          </cell>
          <cell r="E14" t="str">
            <v>US$</v>
          </cell>
          <cell r="F14">
            <v>1000</v>
          </cell>
          <cell r="G14" t="str">
            <v>IPO</v>
          </cell>
          <cell r="H14" t="str">
            <v>2H 2006 - 2007</v>
          </cell>
          <cell r="I14" t="str">
            <v>Merrill Lynch, UBS</v>
          </cell>
          <cell r="J14">
            <v>444</v>
          </cell>
          <cell r="K14" t="str">
            <v>Infrastructure</v>
          </cell>
        </row>
        <row r="15">
          <cell r="A15" t="str">
            <v>China</v>
          </cell>
          <cell r="B15" t="str">
            <v>China Coal</v>
          </cell>
          <cell r="C15">
            <v>1000</v>
          </cell>
          <cell r="D15" t="str">
            <v>Mandated</v>
          </cell>
          <cell r="E15" t="str">
            <v>US$</v>
          </cell>
          <cell r="F15">
            <v>1000</v>
          </cell>
          <cell r="G15" t="str">
            <v>IPO</v>
          </cell>
          <cell r="H15">
            <v>2006</v>
          </cell>
          <cell r="I15" t="str">
            <v>CICC, Citigroup, Morgan Stanley</v>
          </cell>
          <cell r="J15">
            <v>417</v>
          </cell>
          <cell r="K15" t="str">
            <v>Energy and Power</v>
          </cell>
        </row>
        <row r="16">
          <cell r="A16" t="str">
            <v>China</v>
          </cell>
          <cell r="B16" t="str">
            <v>ChinaEdu</v>
          </cell>
          <cell r="C16">
            <v>100</v>
          </cell>
          <cell r="D16" t="str">
            <v>Mandated</v>
          </cell>
          <cell r="E16" t="str">
            <v>US$</v>
          </cell>
          <cell r="F16">
            <v>100</v>
          </cell>
          <cell r="G16" t="str">
            <v>IPO</v>
          </cell>
          <cell r="H16">
            <v>2006</v>
          </cell>
          <cell r="I16" t="str">
            <v>Credit Suisse</v>
          </cell>
          <cell r="J16">
            <v>440</v>
          </cell>
          <cell r="K16" t="str">
            <v>Technology</v>
          </cell>
        </row>
        <row r="18">
          <cell r="A18" t="str">
            <v>China</v>
          </cell>
          <cell r="B18" t="str">
            <v>China Guodian</v>
          </cell>
          <cell r="C18">
            <v>500</v>
          </cell>
          <cell r="D18" t="str">
            <v>Announced</v>
          </cell>
          <cell r="E18" t="str">
            <v>US$</v>
          </cell>
          <cell r="F18">
            <v>500</v>
          </cell>
          <cell r="G18" t="str">
            <v>IPO</v>
          </cell>
          <cell r="H18">
            <v>2006</v>
          </cell>
          <cell r="I18" t="str">
            <v>CICC, HSBC, Morgan Stanley</v>
          </cell>
          <cell r="J18">
            <v>411</v>
          </cell>
          <cell r="K18" t="str">
            <v>Energy and Power</v>
          </cell>
        </row>
        <row r="19">
          <cell r="A19" t="str">
            <v>China</v>
          </cell>
          <cell r="B19" t="str">
            <v>China Harbour Engineering</v>
          </cell>
          <cell r="C19">
            <v>500</v>
          </cell>
          <cell r="D19" t="str">
            <v>Cancelled</v>
          </cell>
          <cell r="E19" t="str">
            <v>US$</v>
          </cell>
          <cell r="F19">
            <v>500</v>
          </cell>
          <cell r="G19" t="str">
            <v>IPO</v>
          </cell>
          <cell r="H19">
            <v>2006</v>
          </cell>
          <cell r="I19" t="str">
            <v>BOCI, UBS</v>
          </cell>
          <cell r="J19">
            <v>444</v>
          </cell>
          <cell r="K19" t="str">
            <v>Materials</v>
          </cell>
        </row>
        <row r="20">
          <cell r="A20" t="str">
            <v>China</v>
          </cell>
          <cell r="B20" t="str">
            <v>China Life Insruance</v>
          </cell>
          <cell r="C20">
            <v>125.16129032258064</v>
          </cell>
          <cell r="D20" t="str">
            <v>Priced</v>
          </cell>
          <cell r="E20" t="str">
            <v>HK$</v>
          </cell>
          <cell r="F20">
            <v>970</v>
          </cell>
          <cell r="G20" t="str">
            <v>Follow-on</v>
          </cell>
          <cell r="H20">
            <v>38777</v>
          </cell>
          <cell r="I20" t="str">
            <v>Citigroup</v>
          </cell>
          <cell r="J20">
            <v>446</v>
          </cell>
          <cell r="K20" t="str">
            <v>Financials</v>
          </cell>
        </row>
        <row r="21">
          <cell r="A21" t="str">
            <v>China</v>
          </cell>
          <cell r="B21" t="str">
            <v>China Merchants Bank</v>
          </cell>
          <cell r="C21">
            <v>1750</v>
          </cell>
          <cell r="D21" t="str">
            <v>Mandated</v>
          </cell>
          <cell r="E21" t="str">
            <v>US$</v>
          </cell>
          <cell r="F21" t="str">
            <v>1,500-2,000</v>
          </cell>
          <cell r="G21" t="str">
            <v>IPO</v>
          </cell>
          <cell r="H21" t="str">
            <v>Q2-Q3 2006</v>
          </cell>
          <cell r="I21" t="str">
            <v>CICC, Merrill Lynch, UBS</v>
          </cell>
          <cell r="J21">
            <v>444</v>
          </cell>
          <cell r="K21" t="str">
            <v>Financials</v>
          </cell>
        </row>
        <row r="22">
          <cell r="A22" t="str">
            <v>China</v>
          </cell>
          <cell r="B22" t="str">
            <v>China Minsheng Banking</v>
          </cell>
          <cell r="C22">
            <v>900</v>
          </cell>
          <cell r="D22" t="str">
            <v>Mandated</v>
          </cell>
          <cell r="E22" t="str">
            <v>US$</v>
          </cell>
          <cell r="F22" t="str">
            <v>800-1,000</v>
          </cell>
          <cell r="G22" t="str">
            <v>IPO</v>
          </cell>
          <cell r="H22" t="str">
            <v>2H 2006</v>
          </cell>
          <cell r="I22" t="str">
            <v>Citigroup, Deutsche Bank, Goldman Sachs</v>
          </cell>
          <cell r="J22">
            <v>437</v>
          </cell>
          <cell r="K22" t="str">
            <v>Financials</v>
          </cell>
        </row>
        <row r="23">
          <cell r="A23" t="str">
            <v>China</v>
          </cell>
          <cell r="B23" t="str">
            <v>China National Blue Star</v>
          </cell>
          <cell r="C23">
            <v>300</v>
          </cell>
          <cell r="D23" t="str">
            <v>Mandated</v>
          </cell>
          <cell r="E23" t="str">
            <v>US$</v>
          </cell>
          <cell r="F23">
            <v>300</v>
          </cell>
          <cell r="G23" t="str">
            <v>IPO</v>
          </cell>
          <cell r="H23" t="str">
            <v>2H 2006 - 2007</v>
          </cell>
          <cell r="I23" t="str">
            <v>ABN AMRO Rothschild, Credit Suisse</v>
          </cell>
          <cell r="J23">
            <v>441</v>
          </cell>
          <cell r="K23" t="str">
            <v>Industrials</v>
          </cell>
        </row>
        <row r="24">
          <cell r="A24" t="str">
            <v>China</v>
          </cell>
          <cell r="B24" t="str">
            <v>China Overseas Property Group</v>
          </cell>
          <cell r="C24">
            <v>150</v>
          </cell>
          <cell r="D24" t="str">
            <v>Mandated</v>
          </cell>
          <cell r="E24" t="str">
            <v>US$</v>
          </cell>
          <cell r="F24" t="str">
            <v>100-200</v>
          </cell>
          <cell r="G24" t="str">
            <v>IPO</v>
          </cell>
          <cell r="H24" t="str">
            <v>2H 2006</v>
          </cell>
          <cell r="I24" t="str">
            <v>CLSA</v>
          </cell>
          <cell r="J24">
            <v>445</v>
          </cell>
          <cell r="K24" t="str">
            <v>Real Estate</v>
          </cell>
        </row>
        <row r="25">
          <cell r="A25" t="str">
            <v>China</v>
          </cell>
          <cell r="B25" t="str">
            <v>China Pacific Insurance (Group)</v>
          </cell>
          <cell r="C25">
            <v>1000</v>
          </cell>
          <cell r="D25" t="str">
            <v>Announced</v>
          </cell>
          <cell r="E25" t="str">
            <v>US$</v>
          </cell>
          <cell r="F25">
            <v>1000</v>
          </cell>
          <cell r="G25" t="str">
            <v>IPO</v>
          </cell>
          <cell r="J25">
            <v>440</v>
          </cell>
          <cell r="K25" t="str">
            <v>Financials</v>
          </cell>
        </row>
        <row r="26">
          <cell r="A26" t="str">
            <v>China</v>
          </cell>
          <cell r="B26" t="str">
            <v>China Properties Group</v>
          </cell>
          <cell r="C26">
            <v>350</v>
          </cell>
          <cell r="D26" t="str">
            <v>Mandated</v>
          </cell>
          <cell r="E26" t="str">
            <v>US$</v>
          </cell>
          <cell r="F26" t="str">
            <v>300-400</v>
          </cell>
          <cell r="G26" t="str">
            <v>IPO</v>
          </cell>
          <cell r="H26" t="str">
            <v>1H 2006</v>
          </cell>
          <cell r="I26" t="str">
            <v>Cazenove, Merrill Lynch</v>
          </cell>
          <cell r="J26">
            <v>442</v>
          </cell>
          <cell r="K26" t="str">
            <v>Real Estate</v>
          </cell>
        </row>
        <row r="27">
          <cell r="A27" t="str">
            <v>China</v>
          </cell>
          <cell r="B27" t="str">
            <v>Chingqing Fuling Electric Power</v>
          </cell>
          <cell r="C27">
            <v>31.673192508167695</v>
          </cell>
          <cell r="D27" t="str">
            <v>Mandated</v>
          </cell>
          <cell r="E27" t="str">
            <v>Rmb</v>
          </cell>
          <cell r="F27">
            <v>254</v>
          </cell>
          <cell r="G27" t="str">
            <v>IPO</v>
          </cell>
          <cell r="H27">
            <v>2006</v>
          </cell>
          <cell r="I27" t="str">
            <v>Tiantong Securities</v>
          </cell>
          <cell r="J27">
            <v>341</v>
          </cell>
          <cell r="K27" t="str">
            <v>Energy and Power</v>
          </cell>
        </row>
        <row r="28">
          <cell r="A28" t="str">
            <v>China</v>
          </cell>
          <cell r="B28" t="str">
            <v>Co-Prosperity Holdings</v>
          </cell>
          <cell r="C28">
            <v>29.93548387096774</v>
          </cell>
          <cell r="D28" t="str">
            <v>Priced</v>
          </cell>
          <cell r="E28" t="str">
            <v>HK$</v>
          </cell>
          <cell r="F28">
            <v>232</v>
          </cell>
          <cell r="G28" t="str">
            <v>IPO</v>
          </cell>
          <cell r="H28">
            <v>38777</v>
          </cell>
          <cell r="I28" t="str">
            <v>TIS Securities</v>
          </cell>
          <cell r="J28">
            <v>446</v>
          </cell>
          <cell r="K28" t="str">
            <v>Industrials</v>
          </cell>
        </row>
        <row r="29">
          <cell r="A29" t="str">
            <v>China</v>
          </cell>
          <cell r="B29" t="str">
            <v>Datang International Power Generation</v>
          </cell>
          <cell r="C29">
            <v>399.03234655959301</v>
          </cell>
          <cell r="D29" t="str">
            <v>Announced</v>
          </cell>
          <cell r="E29" t="str">
            <v>Rmb</v>
          </cell>
          <cell r="F29">
            <v>3200</v>
          </cell>
          <cell r="G29" t="str">
            <v>IPO</v>
          </cell>
          <cell r="H29">
            <v>2006</v>
          </cell>
          <cell r="J29">
            <v>397</v>
          </cell>
          <cell r="K29" t="str">
            <v>Energy and Power</v>
          </cell>
        </row>
        <row r="30">
          <cell r="A30" t="str">
            <v>China</v>
          </cell>
          <cell r="B30" t="str">
            <v>Dalian Port Group</v>
          </cell>
          <cell r="C30">
            <v>225</v>
          </cell>
          <cell r="D30" t="str">
            <v>Announced</v>
          </cell>
          <cell r="E30" t="str">
            <v>US$</v>
          </cell>
          <cell r="F30" t="str">
            <v>200-250</v>
          </cell>
          <cell r="G30" t="str">
            <v>IPO</v>
          </cell>
          <cell r="H30">
            <v>38808</v>
          </cell>
          <cell r="I30" t="str">
            <v>BNP Paribas Peregrine, UBS</v>
          </cell>
          <cell r="J30">
            <v>446</v>
          </cell>
          <cell r="K30" t="str">
            <v>Infrastructure</v>
          </cell>
        </row>
        <row r="31">
          <cell r="A31" t="str">
            <v>China</v>
          </cell>
          <cell r="B31" t="str">
            <v>Five Star Appliance</v>
          </cell>
          <cell r="C31">
            <v>100</v>
          </cell>
          <cell r="D31" t="str">
            <v>Mandated</v>
          </cell>
          <cell r="E31" t="str">
            <v>US$</v>
          </cell>
          <cell r="F31">
            <v>100</v>
          </cell>
          <cell r="G31" t="str">
            <v>IPO</v>
          </cell>
          <cell r="H31">
            <v>2006</v>
          </cell>
          <cell r="I31" t="str">
            <v>CLSA</v>
          </cell>
          <cell r="J31">
            <v>416</v>
          </cell>
          <cell r="K31" t="str">
            <v>Retail</v>
          </cell>
        </row>
        <row r="32">
          <cell r="A32" t="str">
            <v>China</v>
          </cell>
          <cell r="B32" t="str">
            <v>Gateway</v>
          </cell>
          <cell r="C32">
            <v>150</v>
          </cell>
          <cell r="D32" t="str">
            <v>Mandated</v>
          </cell>
          <cell r="E32" t="str">
            <v>US$</v>
          </cell>
          <cell r="F32" t="str">
            <v>100-200</v>
          </cell>
          <cell r="G32" t="str">
            <v>REIT IPO</v>
          </cell>
          <cell r="H32">
            <v>2006</v>
          </cell>
          <cell r="I32" t="str">
            <v>HSBC</v>
          </cell>
          <cell r="J32">
            <v>422</v>
          </cell>
          <cell r="K32" t="str">
            <v>Real Estate</v>
          </cell>
        </row>
        <row r="33">
          <cell r="A33" t="str">
            <v>China</v>
          </cell>
          <cell r="B33" t="str">
            <v>Greentown China Holdings</v>
          </cell>
          <cell r="C33">
            <v>575</v>
          </cell>
          <cell r="D33" t="str">
            <v>Mandated</v>
          </cell>
          <cell r="E33" t="str">
            <v>US$</v>
          </cell>
          <cell r="F33" t="str">
            <v>550-600</v>
          </cell>
          <cell r="G33" t="str">
            <v>IPO</v>
          </cell>
          <cell r="H33" t="str">
            <v>1H 2006</v>
          </cell>
          <cell r="I33" t="str">
            <v>JPMorgan, UBS</v>
          </cell>
          <cell r="J33">
            <v>444</v>
          </cell>
          <cell r="K33" t="str">
            <v>Real Estate</v>
          </cell>
        </row>
        <row r="34">
          <cell r="A34" t="str">
            <v>China</v>
          </cell>
          <cell r="B34" t="str">
            <v>Guangzhou Baiyun International Airport</v>
          </cell>
          <cell r="C34">
            <v>349.15330323964389</v>
          </cell>
          <cell r="D34" t="str">
            <v>Mandated</v>
          </cell>
          <cell r="E34" t="str">
            <v>Rmb</v>
          </cell>
          <cell r="F34">
            <v>2800</v>
          </cell>
          <cell r="G34" t="str">
            <v>CB</v>
          </cell>
          <cell r="H34">
            <v>2006</v>
          </cell>
          <cell r="I34" t="str">
            <v>Galaxy Securities</v>
          </cell>
          <cell r="J34">
            <v>404</v>
          </cell>
          <cell r="K34" t="str">
            <v>Infrastructure</v>
          </cell>
        </row>
        <row r="35">
          <cell r="A35" t="str">
            <v>China</v>
          </cell>
          <cell r="B35" t="str">
            <v>Guotai Junan Securities</v>
          </cell>
          <cell r="C35">
            <v>32.258064516129032</v>
          </cell>
          <cell r="D35" t="str">
            <v>Announced</v>
          </cell>
          <cell r="E35" t="str">
            <v>HK$</v>
          </cell>
          <cell r="F35">
            <v>250</v>
          </cell>
          <cell r="G35" t="str">
            <v>IPO</v>
          </cell>
          <cell r="H35">
            <v>2006</v>
          </cell>
          <cell r="I35" t="str">
            <v>Guotai Junan</v>
          </cell>
          <cell r="J35">
            <v>424</v>
          </cell>
          <cell r="K35" t="str">
            <v>Financials</v>
          </cell>
        </row>
        <row r="36">
          <cell r="A36" t="str">
            <v>China</v>
          </cell>
          <cell r="B36" t="str">
            <v>Hainan Airlines</v>
          </cell>
          <cell r="C36">
            <v>935.23206224904618</v>
          </cell>
          <cell r="D36" t="str">
            <v>Announced</v>
          </cell>
          <cell r="E36" t="str">
            <v>Rmb</v>
          </cell>
          <cell r="F36" t="str">
            <v>7,000-8,000</v>
          </cell>
          <cell r="G36" t="str">
            <v>Follow-on (legal person shares)</v>
          </cell>
          <cell r="J36">
            <v>401</v>
          </cell>
          <cell r="K36" t="str">
            <v>Transportation</v>
          </cell>
        </row>
        <row r="37">
          <cell r="A37" t="str">
            <v>China</v>
          </cell>
          <cell r="B37" t="str">
            <v>Harbour Networks</v>
          </cell>
          <cell r="C37">
            <v>125</v>
          </cell>
          <cell r="D37" t="str">
            <v>Mandated</v>
          </cell>
          <cell r="E37" t="str">
            <v>US$</v>
          </cell>
          <cell r="F37">
            <v>125</v>
          </cell>
          <cell r="G37" t="str">
            <v>IPO</v>
          </cell>
          <cell r="H37">
            <v>2006</v>
          </cell>
          <cell r="I37" t="str">
            <v>Credit Suisse, Goldman Sachs</v>
          </cell>
          <cell r="J37">
            <v>402</v>
          </cell>
          <cell r="K37" t="str">
            <v>Media and Entertainment</v>
          </cell>
        </row>
        <row r="38">
          <cell r="A38" t="str">
            <v>China</v>
          </cell>
          <cell r="B38" t="str">
            <v>Heilongjiang Longmei Mining</v>
          </cell>
          <cell r="C38">
            <v>150</v>
          </cell>
          <cell r="D38" t="str">
            <v>Announced</v>
          </cell>
          <cell r="E38" t="str">
            <v>US$</v>
          </cell>
          <cell r="F38" t="str">
            <v>100-200</v>
          </cell>
          <cell r="G38" t="str">
            <v>IPO</v>
          </cell>
          <cell r="H38">
            <v>2006</v>
          </cell>
          <cell r="J38">
            <v>420</v>
          </cell>
          <cell r="K38" t="str">
            <v>Materials</v>
          </cell>
        </row>
        <row r="39">
          <cell r="A39" t="str">
            <v>China</v>
          </cell>
          <cell r="B39" t="str">
            <v>Henan Zhongfu Industry</v>
          </cell>
          <cell r="C39">
            <v>37.409282489961846</v>
          </cell>
          <cell r="D39" t="str">
            <v>Mandated</v>
          </cell>
          <cell r="E39" t="str">
            <v>Rmb</v>
          </cell>
          <cell r="F39">
            <v>300</v>
          </cell>
          <cell r="G39" t="str">
            <v>Follow-on</v>
          </cell>
          <cell r="H39">
            <v>2006</v>
          </cell>
          <cell r="I39" t="str">
            <v>Golden Sun Securities</v>
          </cell>
          <cell r="J39">
            <v>405</v>
          </cell>
          <cell r="K39" t="str">
            <v>Materials</v>
          </cell>
        </row>
        <row r="40">
          <cell r="A40" t="str">
            <v>China</v>
          </cell>
          <cell r="B40" t="str">
            <v>Home World</v>
          </cell>
          <cell r="C40">
            <v>125</v>
          </cell>
          <cell r="D40" t="str">
            <v>Mandated</v>
          </cell>
          <cell r="E40" t="str">
            <v>US$</v>
          </cell>
          <cell r="F40" t="str">
            <v>100-150</v>
          </cell>
          <cell r="G40" t="str">
            <v>IPO</v>
          </cell>
          <cell r="H40">
            <v>2006</v>
          </cell>
          <cell r="I40" t="str">
            <v>Citigroup</v>
          </cell>
          <cell r="J40">
            <v>385</v>
          </cell>
          <cell r="K40" t="str">
            <v>Consumer Staples</v>
          </cell>
        </row>
        <row r="41">
          <cell r="A41" t="str">
            <v>China</v>
          </cell>
          <cell r="B41" t="str">
            <v>Hsufuchi</v>
          </cell>
          <cell r="C41">
            <v>70</v>
          </cell>
          <cell r="D41" t="str">
            <v>Mandated</v>
          </cell>
          <cell r="E41" t="str">
            <v>US$</v>
          </cell>
          <cell r="F41">
            <v>70</v>
          </cell>
          <cell r="G41" t="str">
            <v>IPO</v>
          </cell>
          <cell r="H41">
            <v>2006</v>
          </cell>
          <cell r="I41" t="str">
            <v>BNP Paribas Peregrine</v>
          </cell>
          <cell r="J41">
            <v>343</v>
          </cell>
          <cell r="K41" t="str">
            <v>Consumer Products and Services</v>
          </cell>
        </row>
        <row r="42">
          <cell r="A42" t="str">
            <v>China</v>
          </cell>
          <cell r="B42" t="str">
            <v>Hunan Nonferrous Metals</v>
          </cell>
          <cell r="C42">
            <v>228.38709677419354</v>
          </cell>
          <cell r="D42" t="str">
            <v>Priced</v>
          </cell>
          <cell r="E42" t="str">
            <v>HK$</v>
          </cell>
          <cell r="F42">
            <v>1770</v>
          </cell>
          <cell r="G42" t="str">
            <v>IPO</v>
          </cell>
          <cell r="H42">
            <v>38777</v>
          </cell>
          <cell r="I42" t="str">
            <v>BOCI, Morgan Stanley</v>
          </cell>
          <cell r="J42">
            <v>446</v>
          </cell>
          <cell r="K42" t="str">
            <v>Industrials</v>
          </cell>
        </row>
        <row r="43">
          <cell r="A43" t="str">
            <v>China</v>
          </cell>
          <cell r="B43" t="str">
            <v>Industrial &amp; Commercial Bank of China</v>
          </cell>
          <cell r="C43">
            <v>12500</v>
          </cell>
          <cell r="D43" t="str">
            <v>Mandated</v>
          </cell>
          <cell r="E43" t="str">
            <v>US$</v>
          </cell>
          <cell r="F43" t="str">
            <v>10,000-15,000</v>
          </cell>
          <cell r="G43" t="str">
            <v>IPO</v>
          </cell>
          <cell r="H43" t="str">
            <v>2H 2006</v>
          </cell>
          <cell r="I43" t="str">
            <v>CICC, Credit Suisse, Deutsche Bank, ICEA, Merrill Lynch</v>
          </cell>
          <cell r="J43">
            <v>443</v>
          </cell>
          <cell r="K43" t="str">
            <v>Financials</v>
          </cell>
        </row>
        <row r="44">
          <cell r="A44" t="str">
            <v>China</v>
          </cell>
          <cell r="B44" t="str">
            <v>Jiangsu Xinda Steel Cord</v>
          </cell>
          <cell r="C44">
            <v>175</v>
          </cell>
          <cell r="D44" t="str">
            <v>Mandated</v>
          </cell>
          <cell r="E44" t="str">
            <v>US$</v>
          </cell>
          <cell r="F44" t="str">
            <v>150-200</v>
          </cell>
          <cell r="G44" t="str">
            <v>IPO</v>
          </cell>
          <cell r="H44" t="str">
            <v>1H 2006</v>
          </cell>
          <cell r="I44" t="str">
            <v>BNP Paribas Peregrine</v>
          </cell>
          <cell r="J44">
            <v>441</v>
          </cell>
          <cell r="K44" t="str">
            <v>Industrials</v>
          </cell>
        </row>
        <row r="45">
          <cell r="A45" t="str">
            <v>China</v>
          </cell>
          <cell r="B45" t="str">
            <v>Jianlong Iron &amp; Steel</v>
          </cell>
          <cell r="C45">
            <v>500</v>
          </cell>
          <cell r="D45" t="str">
            <v>Mandated</v>
          </cell>
          <cell r="E45" t="str">
            <v>US$</v>
          </cell>
          <cell r="F45">
            <v>500</v>
          </cell>
          <cell r="G45" t="str">
            <v>IPO</v>
          </cell>
          <cell r="H45">
            <v>2006</v>
          </cell>
          <cell r="I45" t="str">
            <v>Goldman Sachs</v>
          </cell>
          <cell r="J45">
            <v>353</v>
          </cell>
          <cell r="K45" t="str">
            <v>Materials</v>
          </cell>
        </row>
        <row r="46">
          <cell r="A46" t="str">
            <v>China</v>
          </cell>
          <cell r="B46" t="str">
            <v>Jilin Qifeng Chemical Fiber</v>
          </cell>
          <cell r="C46">
            <v>58.064516129032256</v>
          </cell>
          <cell r="D46" t="str">
            <v>Mandated</v>
          </cell>
          <cell r="E46" t="str">
            <v>HK$</v>
          </cell>
          <cell r="F46">
            <v>450</v>
          </cell>
          <cell r="G46" t="str">
            <v>IPO</v>
          </cell>
          <cell r="H46" t="str">
            <v>Q2 2006</v>
          </cell>
          <cell r="I46" t="str">
            <v>BOCI, SBI-E2 Capital</v>
          </cell>
          <cell r="J46">
            <v>440</v>
          </cell>
          <cell r="K46" t="str">
            <v>Industrials</v>
          </cell>
        </row>
        <row r="47">
          <cell r="A47" t="str">
            <v>China</v>
          </cell>
          <cell r="B47" t="str">
            <v>Jingkelong Supermarket</v>
          </cell>
          <cell r="C47">
            <v>75</v>
          </cell>
          <cell r="D47" t="str">
            <v>Mandated</v>
          </cell>
          <cell r="E47" t="str">
            <v>US$</v>
          </cell>
          <cell r="F47" t="str">
            <v>70-80</v>
          </cell>
          <cell r="G47" t="str">
            <v>IPO</v>
          </cell>
          <cell r="H47">
            <v>38808</v>
          </cell>
          <cell r="I47" t="str">
            <v>DBS</v>
          </cell>
          <cell r="J47">
            <v>446</v>
          </cell>
          <cell r="K47" t="str">
            <v>Consumer Staples</v>
          </cell>
        </row>
        <row r="48">
          <cell r="A48" t="str">
            <v>China</v>
          </cell>
          <cell r="B48" t="str">
            <v>Kam Kiu Aluminium</v>
          </cell>
          <cell r="C48">
            <v>58.064516129032256</v>
          </cell>
          <cell r="D48" t="str">
            <v>Mandated</v>
          </cell>
          <cell r="E48" t="str">
            <v>HK$</v>
          </cell>
          <cell r="F48" t="str">
            <v>400-500</v>
          </cell>
          <cell r="G48" t="str">
            <v>IPO</v>
          </cell>
          <cell r="H48" t="str">
            <v>2H 2006</v>
          </cell>
          <cell r="I48" t="str">
            <v>CLSA</v>
          </cell>
          <cell r="J48">
            <v>442</v>
          </cell>
          <cell r="K48" t="str">
            <v>Materials</v>
          </cell>
        </row>
        <row r="49">
          <cell r="A49" t="str">
            <v>China</v>
          </cell>
          <cell r="B49" t="str">
            <v>Kingsoft International</v>
          </cell>
          <cell r="C49">
            <v>200</v>
          </cell>
          <cell r="D49" t="str">
            <v>Mandated</v>
          </cell>
          <cell r="E49" t="str">
            <v>US$</v>
          </cell>
          <cell r="F49">
            <v>200</v>
          </cell>
          <cell r="G49" t="str">
            <v>IPO</v>
          </cell>
          <cell r="H49">
            <v>2006</v>
          </cell>
          <cell r="I49" t="str">
            <v>Deutsche Bank, Lehman Brothers</v>
          </cell>
          <cell r="J49">
            <v>409</v>
          </cell>
          <cell r="K49" t="str">
            <v>Technology</v>
          </cell>
        </row>
        <row r="50">
          <cell r="A50" t="str">
            <v>China</v>
          </cell>
          <cell r="B50" t="str">
            <v>Lotus</v>
          </cell>
          <cell r="C50">
            <v>125</v>
          </cell>
          <cell r="D50" t="str">
            <v>Mandated</v>
          </cell>
          <cell r="E50" t="str">
            <v>US$</v>
          </cell>
          <cell r="F50" t="str">
            <v>100-150</v>
          </cell>
          <cell r="G50" t="str">
            <v>IPO</v>
          </cell>
          <cell r="H50">
            <v>2006</v>
          </cell>
          <cell r="I50" t="str">
            <v>JPMorgan</v>
          </cell>
          <cell r="J50">
            <v>385</v>
          </cell>
          <cell r="K50" t="str">
            <v>Consumer Staples</v>
          </cell>
        </row>
        <row r="51">
          <cell r="A51" t="str">
            <v>China</v>
          </cell>
          <cell r="B51" t="str">
            <v>Macquarie Wanda</v>
          </cell>
          <cell r="C51">
            <v>100</v>
          </cell>
          <cell r="D51" t="str">
            <v>Mandated</v>
          </cell>
          <cell r="E51" t="str">
            <v>US$</v>
          </cell>
          <cell r="F51">
            <v>100</v>
          </cell>
          <cell r="G51" t="str">
            <v>REIT IPO</v>
          </cell>
          <cell r="H51">
            <v>2006</v>
          </cell>
          <cell r="I51" t="str">
            <v>Citigroup, Macquarie</v>
          </cell>
          <cell r="J51">
            <v>439</v>
          </cell>
          <cell r="K51" t="str">
            <v>Real Estate</v>
          </cell>
        </row>
        <row r="52">
          <cell r="A52" t="str">
            <v>China</v>
          </cell>
          <cell r="B52" t="str">
            <v>MicroPort Medical</v>
          </cell>
          <cell r="C52">
            <v>100</v>
          </cell>
          <cell r="D52" t="str">
            <v>Mandated</v>
          </cell>
          <cell r="E52" t="str">
            <v>US$</v>
          </cell>
          <cell r="F52">
            <v>100</v>
          </cell>
          <cell r="G52" t="str">
            <v>IPO</v>
          </cell>
          <cell r="H52" t="str">
            <v>1H 2006</v>
          </cell>
          <cell r="I52" t="str">
            <v>Morgan Stanley, UBS</v>
          </cell>
          <cell r="J52">
            <v>440</v>
          </cell>
          <cell r="K52" t="str">
            <v>Technology</v>
          </cell>
        </row>
        <row r="53">
          <cell r="A53" t="str">
            <v>China</v>
          </cell>
          <cell r="B53" t="str">
            <v>MPC Holdings</v>
          </cell>
          <cell r="C53">
            <v>250</v>
          </cell>
          <cell r="D53" t="str">
            <v>Postponed</v>
          </cell>
          <cell r="E53" t="str">
            <v>US$</v>
          </cell>
          <cell r="F53" t="str">
            <v>200-300</v>
          </cell>
          <cell r="G53" t="str">
            <v>IPO</v>
          </cell>
          <cell r="H53">
            <v>2006</v>
          </cell>
          <cell r="I53" t="str">
            <v>DBS, UBS</v>
          </cell>
          <cell r="J53">
            <v>425</v>
          </cell>
          <cell r="K53" t="str">
            <v>Energy and Power</v>
          </cell>
        </row>
        <row r="54">
          <cell r="A54" t="str">
            <v>China</v>
          </cell>
          <cell r="B54" t="str">
            <v>Ningbo Port Group</v>
          </cell>
          <cell r="C54">
            <v>375</v>
          </cell>
          <cell r="D54" t="str">
            <v>Announced</v>
          </cell>
          <cell r="E54" t="str">
            <v>US$</v>
          </cell>
          <cell r="F54" t="str">
            <v>250-500</v>
          </cell>
          <cell r="G54" t="str">
            <v>IPO</v>
          </cell>
          <cell r="H54">
            <v>2006</v>
          </cell>
          <cell r="J54">
            <v>439</v>
          </cell>
          <cell r="K54" t="str">
            <v>Infrastructure</v>
          </cell>
        </row>
        <row r="55">
          <cell r="A55" t="str">
            <v>China</v>
          </cell>
          <cell r="B55" t="str">
            <v>North China Lines</v>
          </cell>
          <cell r="C55">
            <v>300</v>
          </cell>
          <cell r="D55" t="str">
            <v>Mandated</v>
          </cell>
          <cell r="E55" t="str">
            <v>US$</v>
          </cell>
          <cell r="F55">
            <v>300</v>
          </cell>
          <cell r="G55" t="str">
            <v>IPO</v>
          </cell>
          <cell r="H55">
            <v>2006</v>
          </cell>
          <cell r="I55" t="str">
            <v>Goldman Sachs, JPMorgan</v>
          </cell>
          <cell r="J55">
            <v>412</v>
          </cell>
          <cell r="K55" t="str">
            <v>Transportation</v>
          </cell>
        </row>
        <row r="56">
          <cell r="A56" t="str">
            <v>China</v>
          </cell>
          <cell r="B56" t="str">
            <v>NVC</v>
          </cell>
          <cell r="C56">
            <v>75</v>
          </cell>
          <cell r="D56" t="str">
            <v>Announced</v>
          </cell>
          <cell r="E56" t="str">
            <v>US$</v>
          </cell>
          <cell r="F56" t="str">
            <v>50-100</v>
          </cell>
          <cell r="G56" t="str">
            <v>IPO</v>
          </cell>
          <cell r="H56">
            <v>2006</v>
          </cell>
          <cell r="J56">
            <v>417</v>
          </cell>
          <cell r="K56" t="str">
            <v>Industrials</v>
          </cell>
        </row>
        <row r="57">
          <cell r="A57" t="str">
            <v>China</v>
          </cell>
          <cell r="B57" t="str">
            <v>Rizhao Port</v>
          </cell>
          <cell r="C57">
            <v>155.87201037484104</v>
          </cell>
          <cell r="D57" t="str">
            <v>Mandated</v>
          </cell>
          <cell r="E57" t="str">
            <v>Rmb</v>
          </cell>
          <cell r="F57" t="str">
            <v>1,000-1,500</v>
          </cell>
          <cell r="G57" t="str">
            <v>IPO</v>
          </cell>
          <cell r="H57">
            <v>2006</v>
          </cell>
          <cell r="I57" t="str">
            <v>China Merchants</v>
          </cell>
          <cell r="J57">
            <v>399</v>
          </cell>
          <cell r="K57" t="str">
            <v>Materials</v>
          </cell>
        </row>
        <row r="58">
          <cell r="A58" t="str">
            <v>China</v>
          </cell>
          <cell r="B58" t="str">
            <v>SDIC Huajing Power</v>
          </cell>
          <cell r="C58">
            <v>249.39521659974565</v>
          </cell>
          <cell r="D58" t="str">
            <v>Mandated</v>
          </cell>
          <cell r="E58" t="str">
            <v>Rmb</v>
          </cell>
          <cell r="F58">
            <v>2000</v>
          </cell>
          <cell r="G58" t="str">
            <v>Follow-on</v>
          </cell>
          <cell r="H58">
            <v>2006</v>
          </cell>
          <cell r="I58" t="str">
            <v>Guotai Junan</v>
          </cell>
          <cell r="J58">
            <v>405</v>
          </cell>
          <cell r="K58" t="str">
            <v>Energy and Power</v>
          </cell>
        </row>
        <row r="59">
          <cell r="A59" t="str">
            <v>China</v>
          </cell>
          <cell r="B59" t="str">
            <v>Shandong Fufeng Fermentation</v>
          </cell>
          <cell r="C59">
            <v>45.161290322580648</v>
          </cell>
          <cell r="D59" t="str">
            <v>Mandated</v>
          </cell>
          <cell r="E59" t="str">
            <v>HK$</v>
          </cell>
          <cell r="F59" t="str">
            <v>300-400</v>
          </cell>
          <cell r="G59" t="str">
            <v>IPO</v>
          </cell>
          <cell r="H59" t="str">
            <v>1H 2006</v>
          </cell>
          <cell r="I59" t="str">
            <v>Goldbond Securities</v>
          </cell>
          <cell r="J59">
            <v>435</v>
          </cell>
          <cell r="K59" t="str">
            <v>Industrials</v>
          </cell>
        </row>
        <row r="60">
          <cell r="A60" t="str">
            <v>China</v>
          </cell>
          <cell r="B60" t="str">
            <v>Shandong Foton Heavy Industries</v>
          </cell>
          <cell r="C60">
            <v>100</v>
          </cell>
          <cell r="D60" t="str">
            <v>Mandated</v>
          </cell>
          <cell r="E60" t="str">
            <v>US$</v>
          </cell>
          <cell r="F60">
            <v>100</v>
          </cell>
          <cell r="G60" t="str">
            <v>IPO</v>
          </cell>
          <cell r="H60">
            <v>2006</v>
          </cell>
          <cell r="I60" t="str">
            <v>DBS</v>
          </cell>
          <cell r="J60">
            <v>406</v>
          </cell>
          <cell r="K60" t="str">
            <v>Industrials</v>
          </cell>
        </row>
        <row r="61">
          <cell r="A61" t="str">
            <v>China</v>
          </cell>
          <cell r="B61" t="str">
            <v>Shandong Zhaojin Mining</v>
          </cell>
          <cell r="C61">
            <v>100</v>
          </cell>
          <cell r="D61" t="str">
            <v>Mandated</v>
          </cell>
          <cell r="E61" t="str">
            <v>US$</v>
          </cell>
          <cell r="F61">
            <v>100</v>
          </cell>
          <cell r="G61" t="str">
            <v>IPO</v>
          </cell>
          <cell r="H61">
            <v>2006</v>
          </cell>
          <cell r="I61" t="str">
            <v>Cazenove, UBS</v>
          </cell>
          <cell r="J61">
            <v>444</v>
          </cell>
          <cell r="K61" t="str">
            <v>Materials</v>
          </cell>
        </row>
        <row r="62">
          <cell r="A62" t="str">
            <v>China</v>
          </cell>
          <cell r="B62" t="str">
            <v>Shanghai Airlines</v>
          </cell>
          <cell r="C62">
            <v>74.818564979923693</v>
          </cell>
          <cell r="D62" t="str">
            <v>Postponed</v>
          </cell>
          <cell r="E62" t="str">
            <v>Rmb</v>
          </cell>
          <cell r="F62">
            <v>600</v>
          </cell>
          <cell r="G62" t="str">
            <v>Follow-on</v>
          </cell>
          <cell r="H62">
            <v>2006</v>
          </cell>
          <cell r="I62" t="str">
            <v>Guotai Junan</v>
          </cell>
          <cell r="J62">
            <v>405</v>
          </cell>
          <cell r="K62" t="str">
            <v>Transportation</v>
          </cell>
        </row>
        <row r="63">
          <cell r="A63" t="str">
            <v>China</v>
          </cell>
          <cell r="B63" t="str">
            <v>Shanghai Automotive Industry</v>
          </cell>
          <cell r="C63">
            <v>900</v>
          </cell>
          <cell r="D63" t="str">
            <v>Mandated</v>
          </cell>
          <cell r="E63" t="str">
            <v>US$</v>
          </cell>
          <cell r="F63" t="str">
            <v>800-1,000</v>
          </cell>
          <cell r="G63" t="str">
            <v>IPO</v>
          </cell>
          <cell r="H63">
            <v>2006</v>
          </cell>
          <cell r="I63" t="str">
            <v>BOCI, Deutsche Bank, Merrill Lynch, Morgan Stanley</v>
          </cell>
          <cell r="J63">
            <v>423</v>
          </cell>
          <cell r="K63" t="str">
            <v>Materials</v>
          </cell>
        </row>
        <row r="64">
          <cell r="A64" t="str">
            <v>China</v>
          </cell>
          <cell r="B64" t="str">
            <v>Shanghai Fosun High Technology (Group)</v>
          </cell>
          <cell r="C64">
            <v>450</v>
          </cell>
          <cell r="D64" t="str">
            <v>Mandated</v>
          </cell>
          <cell r="E64" t="str">
            <v>US$</v>
          </cell>
          <cell r="F64" t="str">
            <v>400-500</v>
          </cell>
          <cell r="G64" t="str">
            <v>IPO</v>
          </cell>
          <cell r="H64" t="str">
            <v>1H 2006</v>
          </cell>
          <cell r="I64" t="str">
            <v>Morgan Stanley, UBS</v>
          </cell>
          <cell r="J64">
            <v>424</v>
          </cell>
          <cell r="K64" t="str">
            <v>Conglomerate</v>
          </cell>
        </row>
        <row r="65">
          <cell r="A65" t="str">
            <v>China</v>
          </cell>
          <cell r="B65" t="str">
            <v>Shanghai International Airport</v>
          </cell>
          <cell r="C65">
            <v>436.44162904955488</v>
          </cell>
          <cell r="D65" t="str">
            <v>Mandated</v>
          </cell>
          <cell r="E65" t="str">
            <v>Rmb</v>
          </cell>
          <cell r="F65">
            <v>3500</v>
          </cell>
          <cell r="G65" t="str">
            <v>CB</v>
          </cell>
          <cell r="H65">
            <v>2006</v>
          </cell>
          <cell r="I65" t="str">
            <v>Guotai Junan</v>
          </cell>
          <cell r="J65">
            <v>404</v>
          </cell>
          <cell r="K65" t="str">
            <v>Infrastructure</v>
          </cell>
        </row>
        <row r="66">
          <cell r="A66" t="str">
            <v>China</v>
          </cell>
          <cell r="B66" t="str">
            <v>Shanghai International Port Group</v>
          </cell>
          <cell r="C66">
            <v>800</v>
          </cell>
          <cell r="D66" t="str">
            <v>Announced</v>
          </cell>
          <cell r="E66" t="str">
            <v>US$</v>
          </cell>
          <cell r="F66">
            <v>800</v>
          </cell>
          <cell r="G66" t="str">
            <v>IPO</v>
          </cell>
          <cell r="H66" t="str">
            <v>2H 2006</v>
          </cell>
          <cell r="J66">
            <v>436</v>
          </cell>
          <cell r="K66" t="str">
            <v>Infrastructure</v>
          </cell>
        </row>
        <row r="67">
          <cell r="A67" t="str">
            <v>China</v>
          </cell>
          <cell r="B67" t="str">
            <v>Shanghai Port Container</v>
          </cell>
          <cell r="C67">
            <v>436.44162904955488</v>
          </cell>
          <cell r="D67" t="str">
            <v>Mandated</v>
          </cell>
          <cell r="E67" t="str">
            <v>Rmb</v>
          </cell>
          <cell r="F67">
            <v>3500</v>
          </cell>
          <cell r="G67" t="str">
            <v>Follow-on</v>
          </cell>
          <cell r="H67">
            <v>2006</v>
          </cell>
          <cell r="I67" t="str">
            <v>Guotai Junan</v>
          </cell>
          <cell r="J67">
            <v>400</v>
          </cell>
          <cell r="K67" t="str">
            <v>Infrastructure</v>
          </cell>
        </row>
        <row r="68">
          <cell r="A68" t="str">
            <v>China</v>
          </cell>
          <cell r="B68" t="str">
            <v>Shanghai Prime Machinery</v>
          </cell>
          <cell r="C68">
            <v>150</v>
          </cell>
          <cell r="D68" t="str">
            <v>Mandated</v>
          </cell>
          <cell r="E68" t="str">
            <v>US$</v>
          </cell>
          <cell r="F68">
            <v>150</v>
          </cell>
          <cell r="G68" t="str">
            <v>IPO</v>
          </cell>
          <cell r="H68">
            <v>38808</v>
          </cell>
          <cell r="I68" t="str">
            <v>Credit Suisse</v>
          </cell>
          <cell r="J68">
            <v>445</v>
          </cell>
          <cell r="K68" t="str">
            <v>Industrials</v>
          </cell>
        </row>
        <row r="69">
          <cell r="A69" t="str">
            <v>China</v>
          </cell>
          <cell r="B69" t="str">
            <v>Shanghai Pudong Development Bank</v>
          </cell>
          <cell r="C69">
            <v>498.7904331994913</v>
          </cell>
          <cell r="D69" t="str">
            <v>Postponed</v>
          </cell>
          <cell r="E69" t="str">
            <v>Rmb</v>
          </cell>
          <cell r="F69">
            <v>4000</v>
          </cell>
          <cell r="G69" t="str">
            <v>Follow-on</v>
          </cell>
          <cell r="I69" t="str">
            <v>Galaxy Securities, Shenyin Wanguo</v>
          </cell>
          <cell r="J69">
            <v>405</v>
          </cell>
          <cell r="K69" t="str">
            <v>Financials</v>
          </cell>
        </row>
        <row r="70">
          <cell r="A70" t="str">
            <v>China</v>
          </cell>
          <cell r="B70" t="str">
            <v>Shenzhen Energy Group</v>
          </cell>
          <cell r="C70">
            <v>400</v>
          </cell>
          <cell r="D70" t="str">
            <v>Mandated</v>
          </cell>
          <cell r="E70" t="str">
            <v>US$</v>
          </cell>
          <cell r="F70">
            <v>400</v>
          </cell>
          <cell r="G70" t="str">
            <v>IPO</v>
          </cell>
          <cell r="H70">
            <v>2006</v>
          </cell>
          <cell r="I70" t="str">
            <v>JPMorgan</v>
          </cell>
          <cell r="J70">
            <v>375</v>
          </cell>
          <cell r="K70" t="str">
            <v>Energy and Power</v>
          </cell>
        </row>
        <row r="71">
          <cell r="A71" t="str">
            <v>China</v>
          </cell>
          <cell r="B71" t="str">
            <v>Shimao Property</v>
          </cell>
          <cell r="C71">
            <v>400</v>
          </cell>
          <cell r="D71" t="str">
            <v>Mandated</v>
          </cell>
          <cell r="E71" t="str">
            <v>US$</v>
          </cell>
          <cell r="F71">
            <v>400</v>
          </cell>
          <cell r="G71" t="str">
            <v>IPO</v>
          </cell>
          <cell r="H71" t="str">
            <v>June-July 2006</v>
          </cell>
          <cell r="I71" t="str">
            <v>Goldman Sachs, Morgan Stanley</v>
          </cell>
          <cell r="J71">
            <v>446</v>
          </cell>
          <cell r="K71" t="str">
            <v>Real Estate</v>
          </cell>
        </row>
        <row r="72">
          <cell r="A72" t="str">
            <v>China</v>
          </cell>
          <cell r="B72" t="str">
            <v>Shui On Land</v>
          </cell>
          <cell r="C72">
            <v>1000</v>
          </cell>
          <cell r="D72" t="str">
            <v>Mandated</v>
          </cell>
          <cell r="E72" t="str">
            <v>US$</v>
          </cell>
          <cell r="F72">
            <v>1000</v>
          </cell>
          <cell r="G72" t="str">
            <v>IPO</v>
          </cell>
          <cell r="H72" t="str">
            <v>Q2 2006</v>
          </cell>
          <cell r="I72" t="str">
            <v>Deutsche Bank, HSBC, JPMorgan</v>
          </cell>
          <cell r="J72">
            <v>437</v>
          </cell>
          <cell r="K72" t="str">
            <v>Real Estate</v>
          </cell>
        </row>
        <row r="73">
          <cell r="A73" t="str">
            <v>China</v>
          </cell>
          <cell r="B73" t="str">
            <v>Sichuan Hongda</v>
          </cell>
          <cell r="C73">
            <v>81.053445394917333</v>
          </cell>
          <cell r="D73" t="str">
            <v>Announced</v>
          </cell>
          <cell r="E73" t="str">
            <v>Rmb</v>
          </cell>
          <cell r="F73">
            <v>650</v>
          </cell>
          <cell r="G73" t="str">
            <v>CB</v>
          </cell>
          <cell r="J73">
            <v>408</v>
          </cell>
          <cell r="K73" t="str">
            <v>Industrials</v>
          </cell>
        </row>
        <row r="74">
          <cell r="A74" t="str">
            <v>China</v>
          </cell>
          <cell r="B74" t="str">
            <v>SIM-BCD</v>
          </cell>
          <cell r="C74">
            <v>125</v>
          </cell>
          <cell r="D74" t="str">
            <v>Mandated</v>
          </cell>
          <cell r="E74" t="str">
            <v>US$</v>
          </cell>
          <cell r="F74" t="str">
            <v>100-150</v>
          </cell>
          <cell r="G74" t="str">
            <v>IPO</v>
          </cell>
          <cell r="H74">
            <v>2006</v>
          </cell>
          <cell r="I74" t="str">
            <v>Credit Suisse</v>
          </cell>
          <cell r="J74">
            <v>375</v>
          </cell>
          <cell r="K74" t="str">
            <v>Technology</v>
          </cell>
        </row>
        <row r="75">
          <cell r="A75" t="str">
            <v>China</v>
          </cell>
          <cell r="B75" t="str">
            <v>Sim Technologies</v>
          </cell>
          <cell r="C75">
            <v>51.741935483870968</v>
          </cell>
          <cell r="D75" t="str">
            <v>Priced</v>
          </cell>
          <cell r="E75" t="str">
            <v>HK$</v>
          </cell>
          <cell r="F75">
            <v>401</v>
          </cell>
          <cell r="G75" t="str">
            <v>Follow-on</v>
          </cell>
          <cell r="H75">
            <v>38777</v>
          </cell>
          <cell r="I75" t="str">
            <v>CLSA</v>
          </cell>
          <cell r="J75">
            <v>446</v>
          </cell>
          <cell r="K75" t="str">
            <v>Telecommunications</v>
          </cell>
        </row>
        <row r="76">
          <cell r="A76" t="str">
            <v>China</v>
          </cell>
          <cell r="B76" t="str">
            <v>Sinotrans (spin-off)</v>
          </cell>
          <cell r="C76">
            <v>550</v>
          </cell>
          <cell r="D76" t="str">
            <v>Mandated</v>
          </cell>
          <cell r="E76" t="str">
            <v>US$</v>
          </cell>
          <cell r="F76" t="str">
            <v>500-600</v>
          </cell>
          <cell r="G76" t="str">
            <v>IPO</v>
          </cell>
          <cell r="H76">
            <v>2006</v>
          </cell>
          <cell r="I76" t="str">
            <v>BOCI, Citigroup</v>
          </cell>
          <cell r="J76">
            <v>415</v>
          </cell>
          <cell r="K76" t="str">
            <v>Industrials</v>
          </cell>
        </row>
        <row r="77">
          <cell r="A77" t="str">
            <v>China</v>
          </cell>
          <cell r="B77" t="str">
            <v>Soufun</v>
          </cell>
          <cell r="C77">
            <v>70</v>
          </cell>
          <cell r="D77" t="str">
            <v>Mandated</v>
          </cell>
          <cell r="E77" t="str">
            <v>US$</v>
          </cell>
          <cell r="F77">
            <v>70</v>
          </cell>
          <cell r="G77" t="str">
            <v>IPO</v>
          </cell>
          <cell r="H77">
            <v>2006</v>
          </cell>
          <cell r="I77" t="str">
            <v>Deutsche Bank</v>
          </cell>
          <cell r="J77">
            <v>372</v>
          </cell>
          <cell r="K77" t="str">
            <v>Real Estate</v>
          </cell>
        </row>
        <row r="78">
          <cell r="A78" t="str">
            <v>China</v>
          </cell>
          <cell r="B78" t="str">
            <v>Tianjin Port Development</v>
          </cell>
          <cell r="C78">
            <v>75</v>
          </cell>
          <cell r="D78" t="str">
            <v>Mandated</v>
          </cell>
          <cell r="E78" t="str">
            <v>US$</v>
          </cell>
          <cell r="F78" t="str">
            <v>70-80</v>
          </cell>
          <cell r="G78" t="str">
            <v>IPO</v>
          </cell>
          <cell r="H78" t="str">
            <v>April-May 2006</v>
          </cell>
          <cell r="I78" t="str">
            <v>CLSA</v>
          </cell>
          <cell r="J78">
            <v>446</v>
          </cell>
          <cell r="K78" t="str">
            <v>Infrastructure</v>
          </cell>
        </row>
        <row r="79">
          <cell r="A79" t="str">
            <v>China</v>
          </cell>
          <cell r="B79" t="str">
            <v>Topsec</v>
          </cell>
          <cell r="C79">
            <v>100</v>
          </cell>
          <cell r="D79" t="str">
            <v>Mandated</v>
          </cell>
          <cell r="E79" t="str">
            <v>US$</v>
          </cell>
          <cell r="F79">
            <v>100</v>
          </cell>
          <cell r="G79" t="str">
            <v>IPO</v>
          </cell>
          <cell r="I79" t="str">
            <v>Deutsche Bank</v>
          </cell>
          <cell r="J79">
            <v>402</v>
          </cell>
          <cell r="K79" t="str">
            <v>Technology</v>
          </cell>
        </row>
        <row r="80">
          <cell r="A80" t="str">
            <v>China</v>
          </cell>
          <cell r="B80" t="str">
            <v>Xinjiang Gold Cattle Bio</v>
          </cell>
          <cell r="C80">
            <v>45.161290322580648</v>
          </cell>
          <cell r="D80" t="str">
            <v>Mandated</v>
          </cell>
          <cell r="E80" t="str">
            <v>HK$</v>
          </cell>
          <cell r="F80" t="str">
            <v>300-400</v>
          </cell>
          <cell r="G80" t="str">
            <v>IPO</v>
          </cell>
          <cell r="H80" t="str">
            <v>1H 2006</v>
          </cell>
          <cell r="I80" t="str">
            <v>China Everbright</v>
          </cell>
          <cell r="J80">
            <v>427</v>
          </cell>
          <cell r="K80" t="str">
            <v>Consumer Staples</v>
          </cell>
        </row>
        <row r="81">
          <cell r="A81" t="str">
            <v>China</v>
          </cell>
          <cell r="B81" t="str">
            <v>Xintai Precision Steel Wire Rod Group</v>
          </cell>
          <cell r="C81">
            <v>129.03225806451613</v>
          </cell>
          <cell r="D81" t="str">
            <v>Mandated</v>
          </cell>
          <cell r="E81" t="str">
            <v>HK$</v>
          </cell>
          <cell r="F81">
            <v>1000</v>
          </cell>
          <cell r="G81" t="str">
            <v>IPO</v>
          </cell>
          <cell r="H81" t="str">
            <v>2H 2006</v>
          </cell>
          <cell r="I81" t="str">
            <v>Macquarie</v>
          </cell>
          <cell r="J81">
            <v>438</v>
          </cell>
          <cell r="K81" t="str">
            <v>Industrials</v>
          </cell>
        </row>
        <row r="82">
          <cell r="A82" t="str">
            <v>China</v>
          </cell>
          <cell r="B82" t="str">
            <v>Yanlord Holdings</v>
          </cell>
          <cell r="C82">
            <v>300</v>
          </cell>
          <cell r="D82" t="str">
            <v>Mandated</v>
          </cell>
          <cell r="E82" t="str">
            <v>US$</v>
          </cell>
          <cell r="F82">
            <v>300</v>
          </cell>
          <cell r="G82" t="str">
            <v>IPO</v>
          </cell>
          <cell r="H82" t="str">
            <v>1H 2006</v>
          </cell>
          <cell r="I82" t="str">
            <v>CLSA</v>
          </cell>
          <cell r="J82">
            <v>446</v>
          </cell>
          <cell r="K82" t="str">
            <v>Real Estate</v>
          </cell>
        </row>
        <row r="83">
          <cell r="A83" t="str">
            <v>China</v>
          </cell>
          <cell r="B83" t="str">
            <v>Yuhua Teltech</v>
          </cell>
          <cell r="C83">
            <v>200</v>
          </cell>
          <cell r="D83" t="str">
            <v>Mandated</v>
          </cell>
          <cell r="E83" t="str">
            <v>US$</v>
          </cell>
          <cell r="F83">
            <v>200</v>
          </cell>
          <cell r="G83" t="str">
            <v>IPO</v>
          </cell>
          <cell r="I83" t="str">
            <v>Citigroup, UBS</v>
          </cell>
          <cell r="J83">
            <v>402</v>
          </cell>
          <cell r="K83" t="str">
            <v>Technology</v>
          </cell>
        </row>
        <row r="84">
          <cell r="A84" t="str">
            <v>China</v>
          </cell>
          <cell r="B84" t="str">
            <v>Yunnan Copper</v>
          </cell>
          <cell r="C84">
            <v>64.516129032258064</v>
          </cell>
          <cell r="D84" t="str">
            <v>Mandated</v>
          </cell>
          <cell r="E84" t="str">
            <v>HK$</v>
          </cell>
          <cell r="F84">
            <v>500</v>
          </cell>
          <cell r="G84" t="str">
            <v>IPO</v>
          </cell>
          <cell r="H84">
            <v>2006</v>
          </cell>
          <cell r="I84" t="str">
            <v>China Everbright</v>
          </cell>
          <cell r="J84">
            <v>397</v>
          </cell>
          <cell r="K84" t="str">
            <v>Materials</v>
          </cell>
        </row>
        <row r="85">
          <cell r="A85" t="str">
            <v>China</v>
          </cell>
          <cell r="B85" t="str">
            <v>ZJS Express</v>
          </cell>
          <cell r="C85">
            <v>100</v>
          </cell>
          <cell r="D85" t="str">
            <v>Mandated</v>
          </cell>
          <cell r="E85" t="str">
            <v>US$</v>
          </cell>
          <cell r="F85">
            <v>100</v>
          </cell>
          <cell r="G85" t="str">
            <v>IPO</v>
          </cell>
          <cell r="H85">
            <v>2006</v>
          </cell>
          <cell r="I85" t="str">
            <v>Cazenove</v>
          </cell>
          <cell r="J85">
            <v>415</v>
          </cell>
          <cell r="K85" t="str">
            <v>Retail</v>
          </cell>
        </row>
        <row r="86">
          <cell r="A86" t="str">
            <v>Hong Kong</v>
          </cell>
          <cell r="B86" t="str">
            <v>Airport Authority</v>
          </cell>
          <cell r="C86">
            <v>1000</v>
          </cell>
          <cell r="D86" t="str">
            <v>Announced</v>
          </cell>
          <cell r="E86" t="str">
            <v>US$</v>
          </cell>
          <cell r="F86">
            <v>1000</v>
          </cell>
          <cell r="G86" t="str">
            <v>IPO</v>
          </cell>
          <cell r="H86">
            <v>2006</v>
          </cell>
          <cell r="J86">
            <v>318</v>
          </cell>
          <cell r="K86" t="str">
            <v>Government</v>
          </cell>
        </row>
        <row r="87">
          <cell r="A87" t="str">
            <v>Hong Kong</v>
          </cell>
          <cell r="B87" t="str">
            <v>Chinese Estates</v>
          </cell>
          <cell r="C87">
            <v>450</v>
          </cell>
          <cell r="D87" t="str">
            <v>Mandated</v>
          </cell>
          <cell r="E87" t="str">
            <v>US$</v>
          </cell>
          <cell r="F87" t="str">
            <v>400-500</v>
          </cell>
          <cell r="G87" t="str">
            <v>REIT IPO</v>
          </cell>
          <cell r="H87">
            <v>2006</v>
          </cell>
          <cell r="I87" t="str">
            <v>Citigroup, Deutsche Bank</v>
          </cell>
          <cell r="J87">
            <v>439</v>
          </cell>
          <cell r="K87" t="str">
            <v>Real Estate</v>
          </cell>
        </row>
        <row r="88">
          <cell r="A88" t="str">
            <v>Hong Kong</v>
          </cell>
          <cell r="B88" t="str">
            <v>Great Eagle</v>
          </cell>
          <cell r="C88">
            <v>800</v>
          </cell>
          <cell r="D88" t="str">
            <v>Mandated</v>
          </cell>
          <cell r="E88" t="str">
            <v>US$</v>
          </cell>
          <cell r="F88">
            <v>800</v>
          </cell>
          <cell r="G88" t="str">
            <v>REIT IPO</v>
          </cell>
          <cell r="H88" t="str">
            <v>1H 2006</v>
          </cell>
          <cell r="I88" t="str">
            <v>Citigroup, JPMorgan, Merrill Lynch</v>
          </cell>
          <cell r="J88">
            <v>445</v>
          </cell>
          <cell r="K88" t="str">
            <v>Real Estate</v>
          </cell>
        </row>
        <row r="89">
          <cell r="A89" t="str">
            <v>Hong Kong</v>
          </cell>
          <cell r="B89" t="str">
            <v>Macquarie Goodman Asia</v>
          </cell>
          <cell r="C89">
            <v>350</v>
          </cell>
          <cell r="D89" t="str">
            <v>Mandated</v>
          </cell>
          <cell r="E89" t="str">
            <v>US$</v>
          </cell>
          <cell r="F89" t="str">
            <v>300-400</v>
          </cell>
          <cell r="G89" t="str">
            <v>REIT IPO</v>
          </cell>
          <cell r="H89">
            <v>2006</v>
          </cell>
          <cell r="I89" t="str">
            <v>Macquarie</v>
          </cell>
          <cell r="J89">
            <v>437</v>
          </cell>
          <cell r="K89" t="str">
            <v>Real Estate</v>
          </cell>
        </row>
        <row r="90">
          <cell r="A90" t="str">
            <v>Hong Kong</v>
          </cell>
          <cell r="B90" t="str">
            <v>Sun Hung Kai Properties</v>
          </cell>
          <cell r="C90">
            <v>500</v>
          </cell>
          <cell r="D90" t="str">
            <v>Mandated</v>
          </cell>
          <cell r="E90" t="str">
            <v>US$</v>
          </cell>
          <cell r="F90">
            <v>500</v>
          </cell>
          <cell r="G90" t="str">
            <v>REIT IPO</v>
          </cell>
          <cell r="H90">
            <v>38869</v>
          </cell>
          <cell r="I90" t="str">
            <v>HSBC, Morgan Stanley</v>
          </cell>
          <cell r="J90">
            <v>445</v>
          </cell>
          <cell r="K90" t="str">
            <v>Real Estate</v>
          </cell>
        </row>
        <row r="91">
          <cell r="A91" t="str">
            <v>Hong Kong</v>
          </cell>
          <cell r="B91" t="str">
            <v>Sunlight REIT</v>
          </cell>
          <cell r="C91">
            <v>450</v>
          </cell>
          <cell r="D91" t="str">
            <v>Mandated</v>
          </cell>
          <cell r="E91" t="str">
            <v>US$</v>
          </cell>
          <cell r="F91" t="str">
            <v>400-500</v>
          </cell>
          <cell r="G91" t="str">
            <v>REIT IPO</v>
          </cell>
          <cell r="H91" t="str">
            <v>Q2 2006</v>
          </cell>
          <cell r="I91" t="str">
            <v>Deutsche Bank, HSBC, Macquarie</v>
          </cell>
          <cell r="J91">
            <v>446</v>
          </cell>
          <cell r="K91" t="str">
            <v>Real Estate</v>
          </cell>
        </row>
        <row r="92">
          <cell r="A92" t="str">
            <v xml:space="preserve">Total </v>
          </cell>
          <cell r="C92">
            <v>49593.228454867931</v>
          </cell>
        </row>
        <row r="93">
          <cell r="A93" t="str">
            <v>Average</v>
          </cell>
          <cell r="C93">
            <v>557.22728600975199</v>
          </cell>
        </row>
        <row r="94">
          <cell r="A94" t="str">
            <v>Country</v>
          </cell>
          <cell r="B94" t="str">
            <v>Issuer</v>
          </cell>
          <cell r="C94" t="str">
            <v>Amount (US$mn)</v>
          </cell>
          <cell r="D94" t="str">
            <v>Status</v>
          </cell>
        </row>
        <row r="95">
          <cell r="A95" t="str">
            <v>Malaysia</v>
          </cell>
          <cell r="B95" t="str">
            <v>Alam Maritim</v>
          </cell>
          <cell r="C95">
            <v>100</v>
          </cell>
          <cell r="D95" t="str">
            <v>Mandated</v>
          </cell>
          <cell r="E95" t="str">
            <v>US$</v>
          </cell>
          <cell r="F95">
            <v>100</v>
          </cell>
          <cell r="G95" t="str">
            <v>IPO</v>
          </cell>
          <cell r="H95" t="str">
            <v>1H 2006</v>
          </cell>
          <cell r="I95" t="str">
            <v>CIMB</v>
          </cell>
          <cell r="J95">
            <v>422</v>
          </cell>
          <cell r="K95" t="str">
            <v>Transportation</v>
          </cell>
        </row>
        <row r="96">
          <cell r="A96" t="str">
            <v>Malaysia</v>
          </cell>
          <cell r="B96" t="str">
            <v>Amanah Raya</v>
          </cell>
          <cell r="C96">
            <v>190.59028534088432</v>
          </cell>
          <cell r="D96" t="str">
            <v>Mandated</v>
          </cell>
          <cell r="E96" t="str">
            <v>M$</v>
          </cell>
          <cell r="F96">
            <v>700</v>
          </cell>
          <cell r="G96" t="str">
            <v>REIT IPO</v>
          </cell>
          <cell r="H96" t="str">
            <v>Q2 2006</v>
          </cell>
          <cell r="I96" t="str">
            <v>ECM Libra</v>
          </cell>
          <cell r="J96">
            <v>443</v>
          </cell>
          <cell r="K96" t="str">
            <v>Real Estate</v>
          </cell>
        </row>
        <row r="97">
          <cell r="A97" t="str">
            <v>Malaysia</v>
          </cell>
          <cell r="B97" t="str">
            <v>Aurora Tankers</v>
          </cell>
          <cell r="C97">
            <v>108.90873448050533</v>
          </cell>
          <cell r="D97" t="str">
            <v>Mandated</v>
          </cell>
          <cell r="E97" t="str">
            <v>M$</v>
          </cell>
          <cell r="F97" t="str">
            <v>300-500</v>
          </cell>
          <cell r="G97" t="str">
            <v>IPO</v>
          </cell>
          <cell r="H97">
            <v>2006</v>
          </cell>
          <cell r="I97" t="str">
            <v>CIMB</v>
          </cell>
          <cell r="J97">
            <v>422</v>
          </cell>
          <cell r="K97" t="str">
            <v>Transportation</v>
          </cell>
        </row>
        <row r="98">
          <cell r="A98" t="str">
            <v>Malaysia</v>
          </cell>
          <cell r="B98" t="str">
            <v>Berjaya Land</v>
          </cell>
          <cell r="C98">
            <v>245.044652581137</v>
          </cell>
          <cell r="D98" t="str">
            <v>Mandated</v>
          </cell>
          <cell r="E98" t="str">
            <v>M$</v>
          </cell>
          <cell r="F98">
            <v>900</v>
          </cell>
          <cell r="G98" t="str">
            <v>CB</v>
          </cell>
          <cell r="H98">
            <v>2006</v>
          </cell>
          <cell r="I98" t="str">
            <v>AmMerchant Bank, Merrill Lynch</v>
          </cell>
          <cell r="J98">
            <v>438</v>
          </cell>
          <cell r="K98" t="str">
            <v>Real Estate</v>
          </cell>
        </row>
        <row r="99">
          <cell r="A99" t="str">
            <v>Malaysia</v>
          </cell>
          <cell r="B99" t="str">
            <v>Celcom</v>
          </cell>
          <cell r="C99">
            <v>816.81550860379002</v>
          </cell>
          <cell r="D99" t="str">
            <v>Announced</v>
          </cell>
          <cell r="E99" t="str">
            <v>M$</v>
          </cell>
          <cell r="F99">
            <v>3000</v>
          </cell>
          <cell r="G99" t="str">
            <v>IPO</v>
          </cell>
          <cell r="J99">
            <v>337</v>
          </cell>
          <cell r="K99" t="str">
            <v>Telecommunications</v>
          </cell>
        </row>
        <row r="100">
          <cell r="A100" t="str">
            <v>Malaysia</v>
          </cell>
          <cell r="B100" t="str">
            <v>Felda</v>
          </cell>
          <cell r="C100">
            <v>925.72424308429538</v>
          </cell>
          <cell r="D100" t="str">
            <v>Postponed</v>
          </cell>
          <cell r="E100" t="str">
            <v>M$</v>
          </cell>
          <cell r="F100" t="str">
            <v>2940-3800</v>
          </cell>
          <cell r="G100" t="str">
            <v>IPO</v>
          </cell>
          <cell r="H100">
            <v>2006</v>
          </cell>
          <cell r="I100" t="str">
            <v>JPMorgan</v>
          </cell>
          <cell r="J100">
            <v>405</v>
          </cell>
          <cell r="K100" t="str">
            <v>Consumer Staples</v>
          </cell>
        </row>
        <row r="101">
          <cell r="A101" t="str">
            <v>Malaysia</v>
          </cell>
          <cell r="B101" t="str">
            <v>Genting Bhd</v>
          </cell>
          <cell r="C101">
            <v>272.27183620126334</v>
          </cell>
          <cell r="D101" t="str">
            <v>Mandated</v>
          </cell>
          <cell r="E101" t="str">
            <v>M$</v>
          </cell>
          <cell r="F101">
            <v>1000</v>
          </cell>
          <cell r="G101" t="str">
            <v>CB</v>
          </cell>
          <cell r="H101">
            <v>2006</v>
          </cell>
          <cell r="I101" t="str">
            <v>CIMB, ECM Libra</v>
          </cell>
          <cell r="J101">
            <v>446</v>
          </cell>
          <cell r="K101" t="str">
            <v>Media and Entertainment</v>
          </cell>
        </row>
        <row r="102">
          <cell r="A102" t="str">
            <v>Malaysia</v>
          </cell>
          <cell r="B102" t="str">
            <v>Genting Sanyen Power</v>
          </cell>
          <cell r="C102">
            <v>279.07863210629495</v>
          </cell>
          <cell r="D102" t="str">
            <v>Rumoured</v>
          </cell>
          <cell r="E102" t="str">
            <v>M$</v>
          </cell>
          <cell r="F102" t="str">
            <v>800-1,250</v>
          </cell>
          <cell r="G102" t="str">
            <v>IPO</v>
          </cell>
          <cell r="H102">
            <v>2006</v>
          </cell>
          <cell r="J102">
            <v>421</v>
          </cell>
          <cell r="K102" t="str">
            <v>Energy and Power</v>
          </cell>
        </row>
        <row r="103">
          <cell r="A103" t="str">
            <v>Malaysia</v>
          </cell>
          <cell r="B103" t="str">
            <v>Help University</v>
          </cell>
          <cell r="C103">
            <v>50</v>
          </cell>
          <cell r="D103" t="str">
            <v>Mandated</v>
          </cell>
          <cell r="E103" t="str">
            <v>US$</v>
          </cell>
          <cell r="F103">
            <v>50</v>
          </cell>
          <cell r="G103" t="str">
            <v>IPO</v>
          </cell>
          <cell r="H103">
            <v>2006</v>
          </cell>
          <cell r="I103" t="str">
            <v>CIMB</v>
          </cell>
          <cell r="J103">
            <v>410</v>
          </cell>
          <cell r="K103" t="str">
            <v>Education</v>
          </cell>
        </row>
        <row r="104">
          <cell r="A104" t="str">
            <v>Malaysia</v>
          </cell>
          <cell r="B104" t="str">
            <v>JCG Holdings</v>
          </cell>
          <cell r="C104">
            <v>353.54838709677421</v>
          </cell>
          <cell r="D104" t="str">
            <v>Mandated</v>
          </cell>
          <cell r="E104" t="str">
            <v>HK$</v>
          </cell>
          <cell r="F104" t="str">
            <v>2,660-2,820</v>
          </cell>
          <cell r="G104" t="str">
            <v>Rights</v>
          </cell>
          <cell r="H104" t="str">
            <v>1H 2006</v>
          </cell>
          <cell r="I104" t="str">
            <v>Public Bank</v>
          </cell>
          <cell r="J104">
            <v>441</v>
          </cell>
          <cell r="K104" t="str">
            <v>Financials</v>
          </cell>
        </row>
        <row r="105">
          <cell r="A105" t="str">
            <v>Malaysia</v>
          </cell>
          <cell r="B105" t="str">
            <v>JCY International</v>
          </cell>
          <cell r="C105">
            <v>500</v>
          </cell>
          <cell r="D105" t="str">
            <v>Mandated</v>
          </cell>
          <cell r="E105" t="str">
            <v>US$</v>
          </cell>
          <cell r="F105">
            <v>500</v>
          </cell>
          <cell r="G105" t="str">
            <v>IPO</v>
          </cell>
          <cell r="H105" t="str">
            <v>Q2 2006</v>
          </cell>
          <cell r="I105" t="str">
            <v>ABN AMRO Rothschild, CIMB, UBS</v>
          </cell>
          <cell r="J105">
            <v>446</v>
          </cell>
          <cell r="K105" t="str">
            <v>Technology</v>
          </cell>
        </row>
        <row r="106">
          <cell r="A106" t="str">
            <v>Malaysia</v>
          </cell>
          <cell r="B106" t="str">
            <v>Jikang</v>
          </cell>
          <cell r="C106">
            <v>25</v>
          </cell>
          <cell r="D106" t="str">
            <v>Mandated</v>
          </cell>
          <cell r="E106" t="str">
            <v>US$</v>
          </cell>
          <cell r="F106">
            <v>25</v>
          </cell>
          <cell r="G106" t="str">
            <v>IPO</v>
          </cell>
          <cell r="H106">
            <v>2006</v>
          </cell>
          <cell r="I106" t="str">
            <v>CIMB</v>
          </cell>
          <cell r="J106">
            <v>416</v>
          </cell>
          <cell r="K106" t="str">
            <v>Materials</v>
          </cell>
        </row>
        <row r="107">
          <cell r="A107" t="str">
            <v>Malaysia</v>
          </cell>
          <cell r="B107" t="str">
            <v>Khazanah Nasional</v>
          </cell>
          <cell r="C107">
            <v>500</v>
          </cell>
          <cell r="D107" t="str">
            <v>Mandated</v>
          </cell>
          <cell r="E107" t="str">
            <v>US$</v>
          </cell>
          <cell r="F107">
            <v>500</v>
          </cell>
          <cell r="G107" t="str">
            <v>Sharia EB</v>
          </cell>
          <cell r="H107">
            <v>2006</v>
          </cell>
          <cell r="I107" t="str">
            <v>CIMB, HSBC, UBS</v>
          </cell>
          <cell r="J107">
            <v>419</v>
          </cell>
          <cell r="K107" t="str">
            <v>Government</v>
          </cell>
        </row>
        <row r="108">
          <cell r="A108" t="str">
            <v>Malaysia</v>
          </cell>
          <cell r="B108" t="str">
            <v>Khazanah Nasional</v>
          </cell>
          <cell r="C108">
            <v>500</v>
          </cell>
          <cell r="D108" t="str">
            <v>Mandated</v>
          </cell>
          <cell r="E108" t="str">
            <v>US$</v>
          </cell>
          <cell r="F108">
            <v>500</v>
          </cell>
          <cell r="G108" t="str">
            <v>EB</v>
          </cell>
          <cell r="H108">
            <v>2006</v>
          </cell>
          <cell r="I108" t="str">
            <v>CIMB</v>
          </cell>
          <cell r="J108">
            <v>444</v>
          </cell>
          <cell r="K108" t="str">
            <v>Government</v>
          </cell>
        </row>
        <row r="109">
          <cell r="A109" t="str">
            <v>Malaysia</v>
          </cell>
          <cell r="B109" t="str">
            <v>KPJ Healthcare</v>
          </cell>
          <cell r="C109">
            <v>27.227183620126333</v>
          </cell>
          <cell r="D109" t="str">
            <v>Mandated</v>
          </cell>
          <cell r="E109" t="str">
            <v>M$</v>
          </cell>
          <cell r="F109">
            <v>100</v>
          </cell>
          <cell r="G109" t="str">
            <v>REIT IPO</v>
          </cell>
          <cell r="H109">
            <v>2006</v>
          </cell>
          <cell r="I109" t="str">
            <v>AmMerchant</v>
          </cell>
          <cell r="J109">
            <v>431</v>
          </cell>
          <cell r="K109" t="str">
            <v>Healthcare</v>
          </cell>
        </row>
        <row r="110">
          <cell r="A110" t="str">
            <v>Malaysia</v>
          </cell>
          <cell r="B110" t="str">
            <v>Landmarks</v>
          </cell>
          <cell r="C110" t="str">
            <v>NA</v>
          </cell>
          <cell r="D110" t="str">
            <v>Mandated</v>
          </cell>
          <cell r="G110" t="str">
            <v>REIT IPO</v>
          </cell>
          <cell r="H110" t="str">
            <v>1H 2006</v>
          </cell>
          <cell r="I110" t="str">
            <v>AmMerchant Bank</v>
          </cell>
          <cell r="J110">
            <v>439</v>
          </cell>
          <cell r="K110" t="str">
            <v>Real Estate</v>
          </cell>
        </row>
        <row r="111">
          <cell r="A111" t="str">
            <v>Malaysia</v>
          </cell>
          <cell r="B111" t="str">
            <v>Malayan Banking</v>
          </cell>
          <cell r="C111" t="str">
            <v>NA</v>
          </cell>
          <cell r="D111" t="str">
            <v>Rumoured</v>
          </cell>
          <cell r="G111" t="str">
            <v>Follow-on (old shares)</v>
          </cell>
          <cell r="H111">
            <v>2006</v>
          </cell>
          <cell r="I111" t="str">
            <v>ECM Libra</v>
          </cell>
          <cell r="J111">
            <v>405</v>
          </cell>
          <cell r="K111" t="str">
            <v>Financials</v>
          </cell>
        </row>
        <row r="112">
          <cell r="A112" t="str">
            <v>Malaysia</v>
          </cell>
          <cell r="B112" t="str">
            <v>Malaysia International Shipping Corp</v>
          </cell>
          <cell r="C112" t="str">
            <v>NA</v>
          </cell>
          <cell r="D112" t="str">
            <v>Rumoured</v>
          </cell>
          <cell r="G112" t="str">
            <v>Follow-on (old shares)</v>
          </cell>
          <cell r="H112">
            <v>2006</v>
          </cell>
          <cell r="I112" t="str">
            <v>ECM Libra</v>
          </cell>
          <cell r="J112">
            <v>405</v>
          </cell>
          <cell r="K112" t="str">
            <v>Transportation</v>
          </cell>
        </row>
        <row r="113">
          <cell r="A113" t="str">
            <v>Malaysia</v>
          </cell>
          <cell r="B113" t="str">
            <v>Naza Group</v>
          </cell>
          <cell r="C113">
            <v>23.959921585711175</v>
          </cell>
          <cell r="D113" t="str">
            <v>Announced</v>
          </cell>
          <cell r="E113" t="str">
            <v>M$</v>
          </cell>
          <cell r="F113">
            <v>88</v>
          </cell>
          <cell r="G113" t="str">
            <v>IPO</v>
          </cell>
          <cell r="H113" t="str">
            <v>1H 2006</v>
          </cell>
          <cell r="J113">
            <v>421</v>
          </cell>
          <cell r="K113" t="str">
            <v>Industrials</v>
          </cell>
        </row>
        <row r="114">
          <cell r="A114" t="str">
            <v>Malaysia</v>
          </cell>
          <cell r="B114" t="str">
            <v>Sunway City</v>
          </cell>
          <cell r="C114">
            <v>136.13591810063167</v>
          </cell>
          <cell r="D114" t="str">
            <v>Postponed</v>
          </cell>
          <cell r="E114" t="str">
            <v>M$</v>
          </cell>
          <cell r="F114">
            <v>500</v>
          </cell>
          <cell r="G114" t="str">
            <v>REIT IPO</v>
          </cell>
          <cell r="H114">
            <v>2006</v>
          </cell>
          <cell r="I114" t="str">
            <v>CIMB, UBS</v>
          </cell>
          <cell r="J114">
            <v>441</v>
          </cell>
          <cell r="K114" t="str">
            <v>Real Estate</v>
          </cell>
        </row>
        <row r="115">
          <cell r="A115" t="str">
            <v>Malaysia</v>
          </cell>
          <cell r="B115" t="str">
            <v>Tenaga Nasional</v>
          </cell>
          <cell r="C115" t="str">
            <v>NA</v>
          </cell>
          <cell r="D115" t="str">
            <v>Postponed</v>
          </cell>
          <cell r="G115" t="str">
            <v>Follow-on/CB</v>
          </cell>
          <cell r="J115">
            <v>422</v>
          </cell>
          <cell r="K115" t="str">
            <v>Energy and Power</v>
          </cell>
        </row>
        <row r="116">
          <cell r="A116" t="str">
            <v>Malaysia</v>
          </cell>
          <cell r="B116" t="str">
            <v>Tower Reit</v>
          </cell>
          <cell r="C116">
            <v>58.810716619472878</v>
          </cell>
          <cell r="D116" t="str">
            <v>Priced</v>
          </cell>
          <cell r="E116" t="str">
            <v>M$</v>
          </cell>
          <cell r="F116">
            <v>216</v>
          </cell>
          <cell r="G116" t="str">
            <v>REIT IPO</v>
          </cell>
          <cell r="H116">
            <v>38777</v>
          </cell>
          <cell r="I116" t="str">
            <v>CIMB</v>
          </cell>
          <cell r="J116">
            <v>443</v>
          </cell>
          <cell r="K116" t="str">
            <v>Real Estate</v>
          </cell>
        </row>
        <row r="117">
          <cell r="A117" t="str">
            <v xml:space="preserve">Total </v>
          </cell>
          <cell r="C117">
            <v>5113.1160194208878</v>
          </cell>
        </row>
        <row r="118">
          <cell r="A118" t="str">
            <v>Average</v>
          </cell>
          <cell r="C118">
            <v>538.22273888640927</v>
          </cell>
        </row>
        <row r="119">
          <cell r="A119" t="str">
            <v>Country</v>
          </cell>
          <cell r="B119" t="str">
            <v>Issuer</v>
          </cell>
          <cell r="C119" t="str">
            <v>Amount (US$mn)</v>
          </cell>
          <cell r="D119" t="str">
            <v>Status</v>
          </cell>
        </row>
        <row r="120">
          <cell r="A120" t="str">
            <v>Singapore</v>
          </cell>
          <cell r="B120" t="str">
            <v>Annaly Mortgage Management</v>
          </cell>
          <cell r="C120">
            <v>400</v>
          </cell>
          <cell r="D120" t="str">
            <v>Mandated</v>
          </cell>
          <cell r="E120" t="str">
            <v>US$</v>
          </cell>
          <cell r="F120" t="str">
            <v>300-500</v>
          </cell>
          <cell r="G120" t="str">
            <v>IPO</v>
          </cell>
          <cell r="H120" t="str">
            <v>1H 2006</v>
          </cell>
          <cell r="I120" t="str">
            <v>Macquarie, UBS</v>
          </cell>
          <cell r="J120">
            <v>424</v>
          </cell>
          <cell r="K120" t="str">
            <v>Real Estate</v>
          </cell>
        </row>
        <row r="121">
          <cell r="A121" t="str">
            <v>Singapore</v>
          </cell>
          <cell r="B121" t="str">
            <v>Ascott Residence Trust</v>
          </cell>
          <cell r="C121">
            <v>142.85714285714286</v>
          </cell>
          <cell r="D121" t="str">
            <v>Priced</v>
          </cell>
          <cell r="E121" t="str">
            <v>S$</v>
          </cell>
          <cell r="F121">
            <v>230</v>
          </cell>
          <cell r="G121" t="str">
            <v>REIT IPO</v>
          </cell>
          <cell r="H121" t="str">
            <v>Q1 2006</v>
          </cell>
          <cell r="I121" t="str">
            <v>JPMorgan</v>
          </cell>
          <cell r="J121">
            <v>440</v>
          </cell>
          <cell r="K121" t="str">
            <v>Real Estate</v>
          </cell>
        </row>
        <row r="122">
          <cell r="A122" t="str">
            <v>Singapore</v>
          </cell>
          <cell r="B122" t="str">
            <v>Asia Land</v>
          </cell>
          <cell r="C122">
            <v>155.27950310559007</v>
          </cell>
          <cell r="D122" t="str">
            <v>Announced</v>
          </cell>
          <cell r="E122" t="str">
            <v>S$</v>
          </cell>
          <cell r="F122">
            <v>250</v>
          </cell>
          <cell r="G122" t="str">
            <v>IPO</v>
          </cell>
          <cell r="H122">
            <v>2006</v>
          </cell>
          <cell r="I122" t="str">
            <v>Deutsche Bank</v>
          </cell>
          <cell r="J122">
            <v>382</v>
          </cell>
          <cell r="K122" t="str">
            <v>Real Estate</v>
          </cell>
        </row>
        <row r="123">
          <cell r="A123" t="str">
            <v>Singapore</v>
          </cell>
          <cell r="B123" t="str">
            <v>Banyan Tree Holdings</v>
          </cell>
          <cell r="C123">
            <v>250</v>
          </cell>
          <cell r="D123" t="str">
            <v>Mandated</v>
          </cell>
          <cell r="E123" t="str">
            <v>US$</v>
          </cell>
          <cell r="F123" t="str">
            <v>200-300</v>
          </cell>
          <cell r="G123" t="str">
            <v>IPO</v>
          </cell>
          <cell r="H123" t="str">
            <v>1H 2006</v>
          </cell>
          <cell r="I123" t="str">
            <v>DBS, UBS</v>
          </cell>
          <cell r="J123">
            <v>446</v>
          </cell>
          <cell r="K123" t="str">
            <v>Media and Entertainment</v>
          </cell>
        </row>
        <row r="124">
          <cell r="A124" t="str">
            <v>Singapore</v>
          </cell>
          <cell r="B124" t="str">
            <v>BW Tankers</v>
          </cell>
          <cell r="C124">
            <v>250</v>
          </cell>
          <cell r="D124" t="str">
            <v>Postponed</v>
          </cell>
          <cell r="E124" t="str">
            <v>US$</v>
          </cell>
          <cell r="F124" t="str">
            <v>200-300</v>
          </cell>
          <cell r="G124" t="str">
            <v>IPO</v>
          </cell>
          <cell r="H124">
            <v>2006</v>
          </cell>
          <cell r="I124" t="str">
            <v>DBS, Morgan Stanley</v>
          </cell>
          <cell r="J124">
            <v>425</v>
          </cell>
          <cell r="K124" t="str">
            <v>Transportation</v>
          </cell>
        </row>
        <row r="125">
          <cell r="A125" t="str">
            <v>Singapore</v>
          </cell>
          <cell r="B125" t="str">
            <v>Cambridge Industrial Trust</v>
          </cell>
          <cell r="C125">
            <v>155.27950310559007</v>
          </cell>
          <cell r="D125" t="str">
            <v>Mandated</v>
          </cell>
          <cell r="E125" t="str">
            <v>S$</v>
          </cell>
          <cell r="F125" t="str">
            <v>200-300</v>
          </cell>
          <cell r="G125" t="str">
            <v>REIT IPO</v>
          </cell>
          <cell r="H125">
            <v>38808</v>
          </cell>
          <cell r="I125" t="str">
            <v>ABN AMRO Rothschild, CLSA</v>
          </cell>
          <cell r="J125">
            <v>446</v>
          </cell>
          <cell r="K125" t="str">
            <v>Real Estate</v>
          </cell>
        </row>
        <row r="126">
          <cell r="A126" t="str">
            <v>Singapore</v>
          </cell>
          <cell r="B126" t="str">
            <v>CapitaCommercial Trust</v>
          </cell>
          <cell r="C126">
            <v>547.82608695652175</v>
          </cell>
          <cell r="D126" t="str">
            <v>Announced</v>
          </cell>
          <cell r="E126" t="str">
            <v>S$</v>
          </cell>
          <cell r="F126">
            <v>882</v>
          </cell>
          <cell r="G126" t="str">
            <v>Follow-on</v>
          </cell>
          <cell r="H126">
            <v>2006</v>
          </cell>
          <cell r="J126">
            <v>445</v>
          </cell>
          <cell r="K126" t="str">
            <v>Real Estate</v>
          </cell>
        </row>
        <row r="127">
          <cell r="A127" t="str">
            <v>Singapore</v>
          </cell>
          <cell r="B127" t="str">
            <v>CapitaLand</v>
          </cell>
          <cell r="C127" t="str">
            <v>NA</v>
          </cell>
          <cell r="D127" t="str">
            <v>Rumoured</v>
          </cell>
          <cell r="G127" t="str">
            <v>REIT IPO</v>
          </cell>
          <cell r="H127">
            <v>2006</v>
          </cell>
          <cell r="J127">
            <v>412</v>
          </cell>
          <cell r="K127" t="str">
            <v>Real Estate</v>
          </cell>
        </row>
        <row r="128">
          <cell r="A128" t="str">
            <v>Singapore</v>
          </cell>
          <cell r="B128" t="str">
            <v>CapitaMall Trust</v>
          </cell>
          <cell r="C128">
            <v>354.65838509316768</v>
          </cell>
          <cell r="D128" t="str">
            <v>Announced</v>
          </cell>
          <cell r="E128" t="str">
            <v>S$</v>
          </cell>
          <cell r="F128">
            <v>571</v>
          </cell>
          <cell r="G128" t="str">
            <v>Follow-on</v>
          </cell>
          <cell r="H128">
            <v>2006</v>
          </cell>
          <cell r="J128">
            <v>445</v>
          </cell>
          <cell r="K128" t="str">
            <v>Real Estate</v>
          </cell>
        </row>
        <row r="129">
          <cell r="A129" t="str">
            <v>Singapore</v>
          </cell>
          <cell r="B129" t="str">
            <v>Frasers Centrepoint</v>
          </cell>
          <cell r="C129" t="str">
            <v>NA</v>
          </cell>
          <cell r="D129" t="str">
            <v>Mandated</v>
          </cell>
          <cell r="G129" t="str">
            <v>REIT IPO</v>
          </cell>
          <cell r="H129" t="str">
            <v>1H 2006</v>
          </cell>
          <cell r="I129" t="str">
            <v>DBS, UBS</v>
          </cell>
          <cell r="J129">
            <v>443</v>
          </cell>
          <cell r="K129" t="str">
            <v>Real Estate</v>
          </cell>
        </row>
        <row r="130">
          <cell r="A130" t="str">
            <v>Singapore</v>
          </cell>
          <cell r="B130" t="str">
            <v>IMC Shipping</v>
          </cell>
          <cell r="C130">
            <v>124.22360248447204</v>
          </cell>
          <cell r="D130" t="str">
            <v>Postponed</v>
          </cell>
          <cell r="E130" t="str">
            <v>S$</v>
          </cell>
          <cell r="F130">
            <v>200</v>
          </cell>
          <cell r="G130" t="str">
            <v>IPO</v>
          </cell>
          <cell r="H130">
            <v>2006</v>
          </cell>
          <cell r="I130" t="str">
            <v>BNP Paribas Peregrine, Goldman Sachs</v>
          </cell>
          <cell r="J130">
            <v>398</v>
          </cell>
          <cell r="K130" t="str">
            <v>Industrials</v>
          </cell>
        </row>
        <row r="131">
          <cell r="A131" t="str">
            <v>Singapore</v>
          </cell>
          <cell r="B131" t="str">
            <v>Jurong Town Corp</v>
          </cell>
          <cell r="C131">
            <v>621.11801242236027</v>
          </cell>
          <cell r="D131" t="str">
            <v>Rumoured</v>
          </cell>
          <cell r="E131" t="str">
            <v>S$</v>
          </cell>
          <cell r="F131">
            <v>1000</v>
          </cell>
          <cell r="G131" t="str">
            <v>REIT IPO</v>
          </cell>
          <cell r="H131">
            <v>2006</v>
          </cell>
          <cell r="I131" t="str">
            <v>JPMorgan, UBS</v>
          </cell>
          <cell r="J131">
            <v>443</v>
          </cell>
          <cell r="K131" t="str">
            <v>Real Estate</v>
          </cell>
        </row>
        <row r="132">
          <cell r="A132" t="str">
            <v>Singapore</v>
          </cell>
          <cell r="B132" t="str">
            <v>M W Zander</v>
          </cell>
          <cell r="C132">
            <v>120.49689440993788</v>
          </cell>
          <cell r="D132" t="str">
            <v>Postponed</v>
          </cell>
          <cell r="E132" t="str">
            <v>S$</v>
          </cell>
          <cell r="F132" t="str">
            <v>176.15–211.38</v>
          </cell>
          <cell r="G132" t="str">
            <v>IPO</v>
          </cell>
          <cell r="H132">
            <v>2006</v>
          </cell>
          <cell r="I132" t="str">
            <v>DBS, Macquarie</v>
          </cell>
          <cell r="J132">
            <v>406</v>
          </cell>
          <cell r="K132" t="str">
            <v>Industrials</v>
          </cell>
        </row>
        <row r="133">
          <cell r="A133" t="str">
            <v>Singapore</v>
          </cell>
          <cell r="B133" t="str">
            <v>Macquarie International Real Estate Fund</v>
          </cell>
          <cell r="C133">
            <v>419.87577639751549</v>
          </cell>
          <cell r="D133" t="str">
            <v>Postponed</v>
          </cell>
          <cell r="E133" t="str">
            <v>S$</v>
          </cell>
          <cell r="F133">
            <v>676</v>
          </cell>
          <cell r="G133" t="str">
            <v>IPO</v>
          </cell>
          <cell r="H133">
            <v>2006</v>
          </cell>
          <cell r="I133" t="str">
            <v>DBS, Macquarie</v>
          </cell>
          <cell r="J133">
            <v>434</v>
          </cell>
          <cell r="K133" t="str">
            <v>Real Estate</v>
          </cell>
        </row>
        <row r="134">
          <cell r="A134" t="str">
            <v>Singapore</v>
          </cell>
          <cell r="B134" t="str">
            <v>Millennium &amp; Copthorne Hotels</v>
          </cell>
          <cell r="C134" t="str">
            <v>NA</v>
          </cell>
          <cell r="D134" t="str">
            <v>Mandated</v>
          </cell>
          <cell r="G134" t="str">
            <v>REIT IPO</v>
          </cell>
          <cell r="H134">
            <v>2006</v>
          </cell>
          <cell r="I134" t="str">
            <v>DBS, HSBC</v>
          </cell>
          <cell r="J134">
            <v>446</v>
          </cell>
          <cell r="K134" t="str">
            <v>Real Estate</v>
          </cell>
        </row>
        <row r="135">
          <cell r="A135" t="str">
            <v>Singapore</v>
          </cell>
          <cell r="B135" t="str">
            <v>Pacific Shipping Trust</v>
          </cell>
          <cell r="C135">
            <v>100</v>
          </cell>
          <cell r="D135" t="str">
            <v>Mandated</v>
          </cell>
          <cell r="E135" t="str">
            <v>US$</v>
          </cell>
          <cell r="F135">
            <v>100</v>
          </cell>
          <cell r="G135" t="str">
            <v>IPO</v>
          </cell>
          <cell r="H135" t="str">
            <v>Q2 2006</v>
          </cell>
          <cell r="I135" t="str">
            <v>DBS</v>
          </cell>
          <cell r="J135">
            <v>446</v>
          </cell>
          <cell r="K135" t="str">
            <v>Transportation</v>
          </cell>
        </row>
        <row r="136">
          <cell r="A136" t="str">
            <v>Singapore</v>
          </cell>
          <cell r="B136" t="str">
            <v>Parkway Holdings</v>
          </cell>
          <cell r="C136">
            <v>139.75155279503105</v>
          </cell>
          <cell r="D136" t="str">
            <v>Announced</v>
          </cell>
          <cell r="E136" t="str">
            <v>S$</v>
          </cell>
          <cell r="F136" t="str">
            <v>200-250</v>
          </cell>
          <cell r="G136" t="str">
            <v>REIT IPO</v>
          </cell>
          <cell r="H136">
            <v>2006</v>
          </cell>
          <cell r="I136" t="str">
            <v>Citigroup</v>
          </cell>
          <cell r="J136">
            <v>436</v>
          </cell>
          <cell r="K136" t="str">
            <v>Healthcare</v>
          </cell>
        </row>
        <row r="137">
          <cell r="A137" t="str">
            <v>Singapore</v>
          </cell>
          <cell r="B137" t="str">
            <v>PowerSeraya</v>
          </cell>
          <cell r="C137" t="str">
            <v>NA</v>
          </cell>
          <cell r="D137" t="str">
            <v>Rumoured</v>
          </cell>
          <cell r="G137" t="str">
            <v>IPO</v>
          </cell>
          <cell r="H137">
            <v>2006</v>
          </cell>
          <cell r="J137">
            <v>431</v>
          </cell>
          <cell r="K137" t="str">
            <v>Energy and Power</v>
          </cell>
        </row>
        <row r="138">
          <cell r="A138" t="str">
            <v>Singapore</v>
          </cell>
          <cell r="B138" t="str">
            <v>SATS</v>
          </cell>
          <cell r="C138">
            <v>372.6708074534161</v>
          </cell>
          <cell r="D138" t="str">
            <v>Rumoured</v>
          </cell>
          <cell r="E138" t="str">
            <v>S$</v>
          </cell>
          <cell r="F138">
            <v>600</v>
          </cell>
          <cell r="G138" t="str">
            <v>Spin-off IPO</v>
          </cell>
          <cell r="J138">
            <v>439</v>
          </cell>
          <cell r="K138" t="str">
            <v>Industrials</v>
          </cell>
        </row>
        <row r="139">
          <cell r="A139" t="str">
            <v>Singapore</v>
          </cell>
          <cell r="B139" t="str">
            <v>SIA Engineering</v>
          </cell>
          <cell r="C139">
            <v>496.89440993788816</v>
          </cell>
          <cell r="D139" t="str">
            <v>Rumoured</v>
          </cell>
          <cell r="E139" t="str">
            <v>S$</v>
          </cell>
          <cell r="F139">
            <v>800</v>
          </cell>
          <cell r="G139" t="str">
            <v>Spin-off IPO</v>
          </cell>
          <cell r="J139">
            <v>439</v>
          </cell>
          <cell r="K139" t="str">
            <v>Industrials</v>
          </cell>
        </row>
        <row r="140">
          <cell r="A140" t="str">
            <v>Singapore</v>
          </cell>
          <cell r="B140" t="str">
            <v>STATS ChipPAC</v>
          </cell>
          <cell r="C140">
            <v>125</v>
          </cell>
          <cell r="D140" t="str">
            <v>Mandated</v>
          </cell>
          <cell r="E140" t="str">
            <v>US$</v>
          </cell>
          <cell r="F140">
            <v>125</v>
          </cell>
          <cell r="G140" t="str">
            <v>CB</v>
          </cell>
          <cell r="H140">
            <v>2006</v>
          </cell>
          <cell r="I140" t="str">
            <v>Credit Suisse, Deutsche Bank</v>
          </cell>
          <cell r="J140">
            <v>402</v>
          </cell>
          <cell r="K140" t="str">
            <v>Technology</v>
          </cell>
        </row>
        <row r="141">
          <cell r="A141" t="str">
            <v>Singapore</v>
          </cell>
          <cell r="B141" t="str">
            <v>Suntec Reit</v>
          </cell>
          <cell r="C141">
            <v>700</v>
          </cell>
          <cell r="D141" t="str">
            <v>Mandated</v>
          </cell>
          <cell r="E141" t="str">
            <v>US$</v>
          </cell>
          <cell r="F141" t="str">
            <v>500-900</v>
          </cell>
          <cell r="G141" t="str">
            <v>Follow-on</v>
          </cell>
          <cell r="H141">
            <v>2006</v>
          </cell>
          <cell r="I141" t="str">
            <v>Citigroup, DBS</v>
          </cell>
          <cell r="J141">
            <v>411</v>
          </cell>
          <cell r="K141" t="str">
            <v>Real Estate</v>
          </cell>
        </row>
        <row r="142">
          <cell r="A142" t="str">
            <v>Singapore</v>
          </cell>
          <cell r="B142" t="str">
            <v>Tuas Power</v>
          </cell>
          <cell r="C142" t="str">
            <v>NA</v>
          </cell>
          <cell r="D142" t="str">
            <v>Rumoured</v>
          </cell>
          <cell r="G142" t="str">
            <v>Backdoor listing</v>
          </cell>
          <cell r="H142">
            <v>2006</v>
          </cell>
          <cell r="J142">
            <v>431</v>
          </cell>
          <cell r="K142" t="str">
            <v>Energy and Power</v>
          </cell>
        </row>
        <row r="143">
          <cell r="A143" t="str">
            <v>Singapore</v>
          </cell>
          <cell r="B143" t="str">
            <v>Unza</v>
          </cell>
          <cell r="C143">
            <v>23.602484472049689</v>
          </cell>
          <cell r="D143" t="str">
            <v>Postponed</v>
          </cell>
          <cell r="E143" t="str">
            <v>S$</v>
          </cell>
          <cell r="F143">
            <v>38</v>
          </cell>
          <cell r="G143" t="str">
            <v>IPO</v>
          </cell>
          <cell r="H143">
            <v>38749</v>
          </cell>
          <cell r="I143" t="str">
            <v>CLSA</v>
          </cell>
          <cell r="J143">
            <v>441</v>
          </cell>
          <cell r="K143" t="str">
            <v>Consumer Staples</v>
          </cell>
        </row>
        <row r="144">
          <cell r="A144" t="str">
            <v xml:space="preserve">Total </v>
          </cell>
          <cell r="C144">
            <v>5499.534161490682</v>
          </cell>
        </row>
        <row r="145">
          <cell r="A145" t="str">
            <v>Average</v>
          </cell>
          <cell r="C145">
            <v>289.44916639424645</v>
          </cell>
        </row>
        <row r="153">
          <cell r="A153" t="str">
            <v>China</v>
          </cell>
          <cell r="B153" t="str">
            <v>Beijing Automotive Industry</v>
          </cell>
          <cell r="C153">
            <v>600</v>
          </cell>
          <cell r="D153" t="str">
            <v>Rumoured</v>
          </cell>
          <cell r="E153" t="str">
            <v>US$</v>
          </cell>
          <cell r="F153">
            <v>600</v>
          </cell>
          <cell r="G153" t="str">
            <v>IPO</v>
          </cell>
          <cell r="H153">
            <v>2006</v>
          </cell>
          <cell r="I153" t="str">
            <v>Credit Suisse</v>
          </cell>
          <cell r="J153">
            <v>423</v>
          </cell>
          <cell r="K153" t="str">
            <v>Industrials</v>
          </cell>
        </row>
        <row r="154">
          <cell r="A154" t="str">
            <v>China</v>
          </cell>
          <cell r="B154" t="str">
            <v>China Huiyuan Juice</v>
          </cell>
          <cell r="C154" t="str">
            <v>NA</v>
          </cell>
          <cell r="D154" t="str">
            <v>Rumoured</v>
          </cell>
          <cell r="G154" t="str">
            <v>IPO</v>
          </cell>
          <cell r="H154">
            <v>2007</v>
          </cell>
          <cell r="J154">
            <v>435</v>
          </cell>
          <cell r="K154" t="str">
            <v>Consumer Staples</v>
          </cell>
        </row>
        <row r="155">
          <cell r="A155" t="str">
            <v>China</v>
          </cell>
          <cell r="B155" t="str">
            <v>China Shipping</v>
          </cell>
          <cell r="C155" t="str">
            <v>NA</v>
          </cell>
          <cell r="D155" t="str">
            <v>Rumoured</v>
          </cell>
          <cell r="G155" t="str">
            <v>IPO</v>
          </cell>
          <cell r="H155">
            <v>2006</v>
          </cell>
          <cell r="I155" t="str">
            <v>BNP Paribas Peregrine</v>
          </cell>
          <cell r="J155">
            <v>410</v>
          </cell>
          <cell r="K155" t="str">
            <v>Infrastructure</v>
          </cell>
        </row>
        <row r="156">
          <cell r="A156" t="str">
            <v>China</v>
          </cell>
          <cell r="B156" t="str">
            <v>China Telecom spin-off</v>
          </cell>
          <cell r="C156">
            <v>500</v>
          </cell>
          <cell r="D156" t="str">
            <v>Rumoured</v>
          </cell>
          <cell r="E156" t="str">
            <v>US$</v>
          </cell>
          <cell r="F156">
            <v>500</v>
          </cell>
          <cell r="G156" t="str">
            <v>IPO</v>
          </cell>
          <cell r="H156">
            <v>2006</v>
          </cell>
          <cell r="I156" t="str">
            <v>CICC, Goldman Sachs</v>
          </cell>
          <cell r="J156">
            <v>439</v>
          </cell>
          <cell r="K156" t="str">
            <v>Telecommunications</v>
          </cell>
        </row>
        <row r="157">
          <cell r="A157" t="str">
            <v>China</v>
          </cell>
          <cell r="B157" t="str">
            <v>China Tianjin City Commercial Bank</v>
          </cell>
          <cell r="C157" t="str">
            <v>NA</v>
          </cell>
          <cell r="D157" t="str">
            <v>Rumoured</v>
          </cell>
          <cell r="G157" t="str">
            <v>IPO</v>
          </cell>
          <cell r="J157">
            <v>433</v>
          </cell>
          <cell r="K157" t="str">
            <v>Financials</v>
          </cell>
        </row>
        <row r="158">
          <cell r="A158" t="str">
            <v>China</v>
          </cell>
          <cell r="B158" t="str">
            <v>Datang Coal</v>
          </cell>
          <cell r="C158">
            <v>400</v>
          </cell>
          <cell r="D158" t="str">
            <v>Rumoured</v>
          </cell>
          <cell r="E158" t="str">
            <v>US$</v>
          </cell>
          <cell r="F158" t="str">
            <v>300-500</v>
          </cell>
          <cell r="G158" t="str">
            <v>IPO</v>
          </cell>
          <cell r="H158">
            <v>2006</v>
          </cell>
          <cell r="I158" t="str">
            <v>HSBC</v>
          </cell>
          <cell r="J158">
            <v>439</v>
          </cell>
          <cell r="K158" t="str">
            <v>Energy and Power</v>
          </cell>
        </row>
        <row r="159">
          <cell r="A159" t="str">
            <v>China</v>
          </cell>
          <cell r="B159" t="str">
            <v>Guangdong Chigo Air-Conditioning</v>
          </cell>
          <cell r="C159">
            <v>125</v>
          </cell>
          <cell r="D159" t="str">
            <v>Rumoured</v>
          </cell>
          <cell r="E159" t="str">
            <v>US$</v>
          </cell>
          <cell r="F159" t="str">
            <v>100-150</v>
          </cell>
          <cell r="G159" t="str">
            <v>IPO</v>
          </cell>
          <cell r="H159">
            <v>2006</v>
          </cell>
          <cell r="I159" t="str">
            <v>BNP Paribas Peregrine</v>
          </cell>
          <cell r="J159">
            <v>444</v>
          </cell>
          <cell r="K159" t="str">
            <v>Industrials</v>
          </cell>
        </row>
        <row r="160">
          <cell r="A160" t="str">
            <v>China</v>
          </cell>
          <cell r="B160" t="str">
            <v>Guangdong Development Bank</v>
          </cell>
          <cell r="C160">
            <v>700</v>
          </cell>
          <cell r="D160" t="str">
            <v>Rumoured</v>
          </cell>
          <cell r="E160" t="str">
            <v>US$</v>
          </cell>
          <cell r="F160">
            <v>700</v>
          </cell>
          <cell r="G160" t="str">
            <v>IPO</v>
          </cell>
          <cell r="J160">
            <v>429</v>
          </cell>
          <cell r="K160" t="str">
            <v>Financials</v>
          </cell>
        </row>
        <row r="161">
          <cell r="A161" t="str">
            <v>China</v>
          </cell>
          <cell r="B161" t="str">
            <v>New World Department Stores</v>
          </cell>
          <cell r="C161" t="str">
            <v>NA</v>
          </cell>
          <cell r="D161" t="str">
            <v>Rumoured</v>
          </cell>
          <cell r="G161" t="str">
            <v>IPO</v>
          </cell>
          <cell r="J161">
            <v>443</v>
          </cell>
          <cell r="K161" t="str">
            <v>Consumer Staples</v>
          </cell>
        </row>
        <row r="162">
          <cell r="A162" t="str">
            <v>China</v>
          </cell>
          <cell r="B162" t="str">
            <v>Qingdao Port Group</v>
          </cell>
          <cell r="C162">
            <v>500</v>
          </cell>
          <cell r="D162" t="str">
            <v>Rumoured</v>
          </cell>
          <cell r="E162" t="str">
            <v>US$</v>
          </cell>
          <cell r="F162">
            <v>500</v>
          </cell>
          <cell r="G162" t="str">
            <v>IPO</v>
          </cell>
          <cell r="H162" t="str">
            <v>2H 2006</v>
          </cell>
          <cell r="J162">
            <v>421</v>
          </cell>
          <cell r="K162" t="str">
            <v>Infrastructure</v>
          </cell>
        </row>
        <row r="163">
          <cell r="A163" t="str">
            <v>China</v>
          </cell>
          <cell r="B163" t="str">
            <v>Trust-Mart</v>
          </cell>
          <cell r="C163">
            <v>125</v>
          </cell>
          <cell r="D163" t="str">
            <v>Rumoured</v>
          </cell>
          <cell r="E163" t="str">
            <v>US$</v>
          </cell>
          <cell r="F163" t="str">
            <v>100-150</v>
          </cell>
          <cell r="G163" t="str">
            <v>IPO</v>
          </cell>
          <cell r="H163" t="str">
            <v>1H 2006</v>
          </cell>
          <cell r="I163" t="str">
            <v>UBS</v>
          </cell>
          <cell r="J163">
            <v>436</v>
          </cell>
          <cell r="K163" t="str">
            <v>Consumer Staples</v>
          </cell>
        </row>
        <row r="164">
          <cell r="A164" t="str">
            <v>Hong Kong</v>
          </cell>
          <cell r="B164" t="str">
            <v>ATV</v>
          </cell>
          <cell r="C164">
            <v>129.03225806451613</v>
          </cell>
          <cell r="D164" t="str">
            <v>Rumoured</v>
          </cell>
          <cell r="E164" t="str">
            <v>HK$</v>
          </cell>
          <cell r="F164">
            <v>1000</v>
          </cell>
          <cell r="G164" t="str">
            <v>IPO</v>
          </cell>
          <cell r="H164">
            <v>2006</v>
          </cell>
          <cell r="I164" t="str">
            <v>JPMorgan</v>
          </cell>
          <cell r="J164">
            <v>399</v>
          </cell>
          <cell r="K164" t="str">
            <v>Media and Entertainment</v>
          </cell>
        </row>
        <row r="165">
          <cell r="A165" t="str">
            <v>Hong Kong</v>
          </cell>
          <cell r="B165" t="str">
            <v>Emperor Group (spin-off)</v>
          </cell>
          <cell r="C165" t="str">
            <v>NA</v>
          </cell>
          <cell r="D165" t="str">
            <v>Rumoured</v>
          </cell>
          <cell r="G165" t="str">
            <v>IPO</v>
          </cell>
          <cell r="H165">
            <v>2006</v>
          </cell>
          <cell r="J165">
            <v>413</v>
          </cell>
          <cell r="K165" t="str">
            <v>Retail</v>
          </cell>
        </row>
        <row r="166">
          <cell r="A166" t="str">
            <v>Hong Kong</v>
          </cell>
          <cell r="B166" t="str">
            <v>Glorious Sun</v>
          </cell>
          <cell r="C166" t="str">
            <v>NA</v>
          </cell>
          <cell r="D166" t="str">
            <v>Rumoured</v>
          </cell>
          <cell r="G166" t="str">
            <v>REIT IPO</v>
          </cell>
          <cell r="J166">
            <v>439</v>
          </cell>
          <cell r="K166" t="str">
            <v>Real Estate</v>
          </cell>
        </row>
        <row r="167">
          <cell r="A167" t="str">
            <v>Hong Kong</v>
          </cell>
          <cell r="B167" t="str">
            <v>Hongkong Land</v>
          </cell>
          <cell r="C167" t="str">
            <v>NA</v>
          </cell>
          <cell r="D167" t="str">
            <v>Rumoured</v>
          </cell>
          <cell r="G167" t="str">
            <v>REIT IPO</v>
          </cell>
          <cell r="J167">
            <v>439</v>
          </cell>
          <cell r="K167" t="str">
            <v>Real Estate</v>
          </cell>
        </row>
        <row r="168">
          <cell r="A168" t="str">
            <v>Hong Kong</v>
          </cell>
          <cell r="B168" t="str">
            <v>Hutchison Whampoa</v>
          </cell>
          <cell r="C168" t="str">
            <v>NA</v>
          </cell>
          <cell r="D168" t="str">
            <v>Rumoured</v>
          </cell>
          <cell r="G168" t="str">
            <v>REIT IPO</v>
          </cell>
          <cell r="H168">
            <v>2006</v>
          </cell>
          <cell r="J168">
            <v>439</v>
          </cell>
          <cell r="K168" t="str">
            <v>Real Estate</v>
          </cell>
        </row>
        <row r="169">
          <cell r="A169" t="str">
            <v>Hong Kong</v>
          </cell>
          <cell r="B169" t="str">
            <v>Regal Hotels International</v>
          </cell>
          <cell r="C169">
            <v>129.03225806451613</v>
          </cell>
          <cell r="D169" t="str">
            <v>Rumoured</v>
          </cell>
          <cell r="E169" t="str">
            <v>HK$</v>
          </cell>
          <cell r="F169">
            <v>1000</v>
          </cell>
          <cell r="G169" t="str">
            <v>CB</v>
          </cell>
          <cell r="J169">
            <v>414</v>
          </cell>
          <cell r="K169" t="str">
            <v>Media and Entertainment</v>
          </cell>
        </row>
        <row r="170">
          <cell r="A170" t="str">
            <v>Hong Kong</v>
          </cell>
          <cell r="B170" t="str">
            <v>Regal Hotels International</v>
          </cell>
          <cell r="C170">
            <v>600</v>
          </cell>
          <cell r="D170" t="str">
            <v>Rumoured</v>
          </cell>
          <cell r="E170" t="str">
            <v>US$</v>
          </cell>
          <cell r="F170">
            <v>600</v>
          </cell>
          <cell r="G170" t="str">
            <v>REIT IPO</v>
          </cell>
          <cell r="H170">
            <v>38899</v>
          </cell>
          <cell r="I170" t="str">
            <v>Deutsche Bank, Merrill Lynch</v>
          </cell>
          <cell r="J170">
            <v>445</v>
          </cell>
          <cell r="K170" t="str">
            <v>Media and Entertainment</v>
          </cell>
        </row>
        <row r="171">
          <cell r="A171" t="str">
            <v>China</v>
          </cell>
          <cell r="B171" t="str">
            <v>China Life Insruance</v>
          </cell>
          <cell r="C171">
            <v>125.16129032258064</v>
          </cell>
          <cell r="D171" t="str">
            <v>Priced</v>
          </cell>
          <cell r="E171" t="str">
            <v>HK$</v>
          </cell>
          <cell r="F171">
            <v>970</v>
          </cell>
          <cell r="G171" t="str">
            <v>Follow-on</v>
          </cell>
          <cell r="H171">
            <v>38777</v>
          </cell>
          <cell r="I171" t="str">
            <v>Citigroup</v>
          </cell>
          <cell r="J171">
            <v>446</v>
          </cell>
          <cell r="K171" t="str">
            <v>Financials</v>
          </cell>
        </row>
      </sheetData>
      <sheetData sheetId="46" refreshError="1">
        <row r="1">
          <cell r="A1" t="str">
            <v>Global Exchanges: Revenue Mix</v>
          </cell>
        </row>
        <row r="4">
          <cell r="B4" t="str">
            <v>DB1</v>
          </cell>
          <cell r="C4" t="str">
            <v>ENXT</v>
          </cell>
          <cell r="D4" t="str">
            <v>LSE</v>
          </cell>
          <cell r="E4" t="str">
            <v>HKEx</v>
          </cell>
          <cell r="F4" t="str">
            <v>SGX</v>
          </cell>
        </row>
        <row r="5">
          <cell r="B5">
            <v>2004</v>
          </cell>
          <cell r="C5">
            <v>2004</v>
          </cell>
          <cell r="D5">
            <v>2004</v>
          </cell>
          <cell r="E5">
            <v>2004</v>
          </cell>
          <cell r="F5">
            <v>2004</v>
          </cell>
        </row>
        <row r="6">
          <cell r="A6" t="str">
            <v xml:space="preserve">Cash </v>
          </cell>
          <cell r="B6">
            <v>0.13</v>
          </cell>
          <cell r="C6">
            <v>0.2</v>
          </cell>
          <cell r="D6">
            <v>0.38</v>
          </cell>
          <cell r="E6">
            <v>0.18</v>
          </cell>
          <cell r="F6">
            <v>0.45</v>
          </cell>
        </row>
        <row r="7">
          <cell r="A7" t="str">
            <v>Derivative</v>
          </cell>
          <cell r="B7">
            <v>0.27</v>
          </cell>
          <cell r="C7">
            <v>0.4</v>
          </cell>
          <cell r="D7">
            <v>0.03</v>
          </cell>
          <cell r="E7">
            <v>0.11</v>
          </cell>
          <cell r="F7">
            <v>0.16</v>
          </cell>
        </row>
        <row r="8">
          <cell r="A8" t="str">
            <v>Stable</v>
          </cell>
          <cell r="B8">
            <v>0.6</v>
          </cell>
          <cell r="C8">
            <v>0.4</v>
          </cell>
          <cell r="D8">
            <v>0.59</v>
          </cell>
          <cell r="E8">
            <v>0.71</v>
          </cell>
          <cell r="F8">
            <v>0.39</v>
          </cell>
        </row>
        <row r="9">
          <cell r="A9" t="str">
            <v>Total</v>
          </cell>
          <cell r="B9">
            <v>1</v>
          </cell>
          <cell r="C9">
            <v>1</v>
          </cell>
          <cell r="D9">
            <v>1</v>
          </cell>
          <cell r="E9">
            <v>1</v>
          </cell>
          <cell r="F9">
            <v>1</v>
          </cell>
        </row>
        <row r="11">
          <cell r="A11" t="str">
            <v>Listing</v>
          </cell>
          <cell r="B11">
            <v>0.01</v>
          </cell>
          <cell r="C11">
            <v>0.06</v>
          </cell>
          <cell r="D11">
            <v>0.13</v>
          </cell>
          <cell r="E11">
            <v>0.16</v>
          </cell>
          <cell r="F11">
            <v>7.0000000000000007E-2</v>
          </cell>
        </row>
        <row r="12">
          <cell r="A12" t="str">
            <v>Information Products</v>
          </cell>
          <cell r="B12">
            <v>0.08</v>
          </cell>
          <cell r="C12">
            <v>0.11</v>
          </cell>
          <cell r="D12">
            <v>0.43</v>
          </cell>
          <cell r="E12">
            <v>0.13</v>
          </cell>
          <cell r="F12">
            <v>0.04</v>
          </cell>
        </row>
        <row r="15">
          <cell r="E15" t="str">
            <v>1H05</v>
          </cell>
          <cell r="F15" t="str">
            <v>1H05</v>
          </cell>
          <cell r="G15" t="str">
            <v>2H05</v>
          </cell>
          <cell r="H15" t="str">
            <v>1H05</v>
          </cell>
          <cell r="L15" t="str">
            <v>1H05</v>
          </cell>
          <cell r="M15" t="str">
            <v>1H05</v>
          </cell>
          <cell r="N15" t="str">
            <v>2H05</v>
          </cell>
          <cell r="O15" t="str">
            <v>1H05</v>
          </cell>
        </row>
        <row r="16">
          <cell r="A16" t="str">
            <v>(local ccy)</v>
          </cell>
          <cell r="B16" t="str">
            <v>1H05</v>
          </cell>
          <cell r="C16" t="str">
            <v>1H05</v>
          </cell>
          <cell r="D16" t="str">
            <v>1H05</v>
          </cell>
          <cell r="E16" t="str">
            <v>HKEx</v>
          </cell>
          <cell r="F16" t="str">
            <v>SGX</v>
          </cell>
          <cell r="G16" t="str">
            <v>*Bursa</v>
          </cell>
          <cell r="H16" t="str">
            <v>ASX</v>
          </cell>
          <cell r="K16" t="str">
            <v>(%)</v>
          </cell>
          <cell r="L16" t="str">
            <v>HKEx</v>
          </cell>
          <cell r="M16" t="str">
            <v>SGX</v>
          </cell>
          <cell r="N16" t="str">
            <v>*Bursa</v>
          </cell>
          <cell r="O16" t="str">
            <v>Bursa</v>
          </cell>
        </row>
        <row r="17">
          <cell r="A17" t="str">
            <v xml:space="preserve">Cash </v>
          </cell>
          <cell r="E17">
            <v>530.10699999999997</v>
          </cell>
          <cell r="F17">
            <v>53.368318595127036</v>
          </cell>
          <cell r="G17">
            <v>27.254000000000001</v>
          </cell>
          <cell r="H17">
            <v>58.396000000000001</v>
          </cell>
          <cell r="K17" t="str">
            <v xml:space="preserve">Cash </v>
          </cell>
          <cell r="L17">
            <v>0.42803551170198595</v>
          </cell>
          <cell r="M17">
            <v>0.51193449327467877</v>
          </cell>
          <cell r="N17">
            <v>0.56501368272659425</v>
          </cell>
          <cell r="O17">
            <v>0.4261579665618227</v>
          </cell>
        </row>
        <row r="18">
          <cell r="A18" t="str">
            <v>Derivative</v>
          </cell>
          <cell r="E18">
            <v>197.041</v>
          </cell>
          <cell r="F18">
            <v>24.250091436340533</v>
          </cell>
          <cell r="G18">
            <v>3.6</v>
          </cell>
          <cell r="H18">
            <v>20.943999999999999</v>
          </cell>
          <cell r="K18" t="str">
            <v>Derivative</v>
          </cell>
          <cell r="L18">
            <v>0.1591009838792376</v>
          </cell>
          <cell r="M18">
            <v>0.23261850097824066</v>
          </cell>
          <cell r="N18">
            <v>7.4633054150427064E-2</v>
          </cell>
          <cell r="O18">
            <v>0.15284355866276481</v>
          </cell>
        </row>
        <row r="19">
          <cell r="A19" t="str">
            <v>Stable</v>
          </cell>
          <cell r="E19">
            <v>511.31700000000001</v>
          </cell>
          <cell r="F19">
            <v>26.629925050912259</v>
          </cell>
          <cell r="G19">
            <v>17.381999999999998</v>
          </cell>
          <cell r="H19">
            <v>57.689</v>
          </cell>
          <cell r="K19" t="str">
            <v>Stable</v>
          </cell>
          <cell r="L19">
            <v>0.41286350441877651</v>
          </cell>
          <cell r="M19">
            <v>0.25544700574708057</v>
          </cell>
          <cell r="N19">
            <v>0.36035326312297861</v>
          </cell>
          <cell r="O19">
            <v>0.42099847477541252</v>
          </cell>
        </row>
        <row r="20">
          <cell r="A20" t="str">
            <v>Total</v>
          </cell>
          <cell r="E20">
            <v>1238.4649999999999</v>
          </cell>
          <cell r="F20">
            <v>104.24833508237982</v>
          </cell>
          <cell r="G20">
            <v>48.236000000000004</v>
          </cell>
          <cell r="H20">
            <v>137.029</v>
          </cell>
          <cell r="K20" t="str">
            <v>Total</v>
          </cell>
          <cell r="L20">
            <v>1</v>
          </cell>
          <cell r="M20">
            <v>1</v>
          </cell>
          <cell r="N20">
            <v>1</v>
          </cell>
          <cell r="O20">
            <v>1</v>
          </cell>
        </row>
        <row r="22">
          <cell r="A22" t="str">
            <v>Listing</v>
          </cell>
          <cell r="E22">
            <v>195.572</v>
          </cell>
          <cell r="F22">
            <v>10.648467992462889</v>
          </cell>
          <cell r="G22">
            <v>3.1880000000000002</v>
          </cell>
          <cell r="H22">
            <v>34.856000000000002</v>
          </cell>
          <cell r="K22" t="str">
            <v>Listing</v>
          </cell>
          <cell r="L22">
            <v>0.15791483812622886</v>
          </cell>
          <cell r="M22">
            <v>0.10214520916855108</v>
          </cell>
          <cell r="N22">
            <v>6.6091715730989306E-2</v>
          </cell>
          <cell r="O22">
            <v>0.25436951302279082</v>
          </cell>
        </row>
        <row r="23">
          <cell r="A23" t="str">
            <v>Information Products</v>
          </cell>
          <cell r="E23">
            <v>163.25</v>
          </cell>
          <cell r="F23">
            <v>5.1281581731146506</v>
          </cell>
          <cell r="G23">
            <v>3.2149999999999999</v>
          </cell>
          <cell r="H23">
            <v>15.702999999999999</v>
          </cell>
          <cell r="K23" t="str">
            <v>Information Products</v>
          </cell>
          <cell r="L23">
            <v>0.13181640175539883</v>
          </cell>
          <cell r="M23">
            <v>4.9191751302908031E-2</v>
          </cell>
          <cell r="N23">
            <v>6.6651463637117492E-2</v>
          </cell>
          <cell r="O23">
            <v>0.11459618037057849</v>
          </cell>
        </row>
        <row r="26">
          <cell r="E26" t="str">
            <v>2006E</v>
          </cell>
          <cell r="F26" t="str">
            <v>2006E</v>
          </cell>
          <cell r="G26" t="str">
            <v>2006E</v>
          </cell>
          <cell r="H26" t="str">
            <v>2006E</v>
          </cell>
          <cell r="L26" t="str">
            <v>2006E</v>
          </cell>
          <cell r="M26" t="str">
            <v>2006E</v>
          </cell>
          <cell r="N26" t="str">
            <v>2006E</v>
          </cell>
          <cell r="O26" t="str">
            <v>2006E</v>
          </cell>
        </row>
        <row r="27">
          <cell r="A27" t="str">
            <v>(local ccy)</v>
          </cell>
          <cell r="B27" t="str">
            <v>1H05</v>
          </cell>
          <cell r="C27" t="str">
            <v>1H05</v>
          </cell>
          <cell r="D27" t="str">
            <v>1H05</v>
          </cell>
          <cell r="E27" t="str">
            <v>HKEx</v>
          </cell>
          <cell r="F27" t="str">
            <v>SGX</v>
          </cell>
          <cell r="G27" t="str">
            <v>Bursa</v>
          </cell>
          <cell r="H27" t="str">
            <v>ASX</v>
          </cell>
          <cell r="K27" t="str">
            <v>(%)</v>
          </cell>
          <cell r="L27" t="str">
            <v>HKEx</v>
          </cell>
          <cell r="M27" t="str">
            <v>SGX</v>
          </cell>
          <cell r="N27" t="str">
            <v>Bursa</v>
          </cell>
          <cell r="O27" t="str">
            <v>ASX</v>
          </cell>
        </row>
        <row r="28">
          <cell r="A28" t="str">
            <v xml:space="preserve">Cash </v>
          </cell>
          <cell r="E28">
            <v>1150.9646561549998</v>
          </cell>
          <cell r="F28" t="e">
            <v>#REF!</v>
          </cell>
          <cell r="G28">
            <v>132.70445999999998</v>
          </cell>
          <cell r="H28">
            <v>133.6</v>
          </cell>
          <cell r="K28" t="str">
            <v xml:space="preserve">Cash </v>
          </cell>
          <cell r="M28" t="e">
            <v>#REF!</v>
          </cell>
          <cell r="N28">
            <v>0.52147018653945287</v>
          </cell>
          <cell r="O28">
            <v>0.43390711269892823</v>
          </cell>
        </row>
        <row r="29">
          <cell r="A29" t="str">
            <v>Derivative</v>
          </cell>
          <cell r="E29">
            <v>264.60000000000002</v>
          </cell>
          <cell r="F29" t="e">
            <v>#REF!</v>
          </cell>
          <cell r="G29">
            <v>19.5</v>
          </cell>
          <cell r="H29">
            <v>46.8</v>
          </cell>
          <cell r="K29" t="str">
            <v>Derivative</v>
          </cell>
          <cell r="M29" t="e">
            <v>#REF!</v>
          </cell>
          <cell r="N29">
            <v>7.6626427156399501E-2</v>
          </cell>
          <cell r="O29">
            <v>0.15199740175381618</v>
          </cell>
        </row>
        <row r="30">
          <cell r="A30" t="str">
            <v>Stable</v>
          </cell>
          <cell r="E30">
            <v>1201.941</v>
          </cell>
          <cell r="F30" t="e">
            <v>#REF!</v>
          </cell>
          <cell r="G30">
            <v>102.276934</v>
          </cell>
          <cell r="H30">
            <v>127.49999999999999</v>
          </cell>
          <cell r="K30" t="str">
            <v>Stable</v>
          </cell>
          <cell r="M30" t="e">
            <v>#REF!</v>
          </cell>
          <cell r="N30">
            <v>0.40190338630414768</v>
          </cell>
          <cell r="O30">
            <v>0.41409548554725556</v>
          </cell>
        </row>
        <row r="31">
          <cell r="A31" t="str">
            <v>Total</v>
          </cell>
          <cell r="E31">
            <v>2617.505656155</v>
          </cell>
          <cell r="F31" t="e">
            <v>#REF!</v>
          </cell>
          <cell r="G31">
            <v>254.48139399999997</v>
          </cell>
          <cell r="H31">
            <v>307.89999999999998</v>
          </cell>
          <cell r="K31" t="str">
            <v>Total</v>
          </cell>
          <cell r="M31" t="e">
            <v>#REF!</v>
          </cell>
          <cell r="N31">
            <v>1</v>
          </cell>
          <cell r="O31">
            <v>1</v>
          </cell>
        </row>
        <row r="33">
          <cell r="A33" t="str">
            <v>Listing</v>
          </cell>
          <cell r="E33">
            <v>400.68</v>
          </cell>
          <cell r="F33" t="e">
            <v>#REF!</v>
          </cell>
          <cell r="G33">
            <v>11.859752499999999</v>
          </cell>
          <cell r="H33">
            <v>78</v>
          </cell>
          <cell r="K33" t="str">
            <v>Listing</v>
          </cell>
          <cell r="L33">
            <v>0.15307703311273116</v>
          </cell>
          <cell r="M33" t="e">
            <v>#REF!</v>
          </cell>
          <cell r="N33">
            <v>4.6603613386368044E-2</v>
          </cell>
          <cell r="O33">
            <v>0.25332900292302696</v>
          </cell>
        </row>
        <row r="34">
          <cell r="A34" t="str">
            <v>Information Products</v>
          </cell>
          <cell r="E34">
            <v>332.64</v>
          </cell>
          <cell r="F34" t="e">
            <v>#REF!</v>
          </cell>
          <cell r="G34">
            <v>19.538063999999999</v>
          </cell>
          <cell r="H34">
            <v>34.799999999999997</v>
          </cell>
          <cell r="K34" t="str">
            <v>Information Products</v>
          </cell>
          <cell r="L34">
            <v>0.12708281994264473</v>
          </cell>
          <cell r="M34" t="e">
            <v>#REF!</v>
          </cell>
          <cell r="N34">
            <v>7.6776001942208794E-2</v>
          </cell>
          <cell r="O34">
            <v>0.11302370899642741</v>
          </cell>
        </row>
        <row r="40">
          <cell r="A40" t="str">
            <v>2005E-2007E CAGR</v>
          </cell>
          <cell r="J40" t="str">
            <v>*SGX</v>
          </cell>
          <cell r="K40" t="str">
            <v>*SGX</v>
          </cell>
          <cell r="L40" t="str">
            <v>*SGX</v>
          </cell>
          <cell r="N40" t="str">
            <v>HKEX</v>
          </cell>
          <cell r="O40" t="str">
            <v>HKEX</v>
          </cell>
          <cell r="P40" t="str">
            <v>HKEX</v>
          </cell>
          <cell r="R40" t="str">
            <v>Bursa</v>
          </cell>
          <cell r="S40" t="str">
            <v>Bursa</v>
          </cell>
          <cell r="T40" t="str">
            <v>Bursa</v>
          </cell>
          <cell r="V40" t="str">
            <v>ASX</v>
          </cell>
          <cell r="W40" t="str">
            <v>ASX</v>
          </cell>
        </row>
        <row r="41">
          <cell r="A41" t="str">
            <v>(%)</v>
          </cell>
          <cell r="E41" t="str">
            <v>*SGX</v>
          </cell>
          <cell r="F41" t="str">
            <v>*ASX</v>
          </cell>
          <cell r="G41" t="str">
            <v>HKEx</v>
          </cell>
          <cell r="H41" t="str">
            <v>Bursa</v>
          </cell>
          <cell r="J41" t="str">
            <v>2005E</v>
          </cell>
          <cell r="K41" t="str">
            <v>2006E</v>
          </cell>
          <cell r="L41" t="str">
            <v>2007E</v>
          </cell>
          <cell r="N41" t="str">
            <v>2005E</v>
          </cell>
          <cell r="O41" t="str">
            <v>2006E</v>
          </cell>
          <cell r="P41" t="str">
            <v>2007E</v>
          </cell>
          <cell r="R41" t="str">
            <v>2005E</v>
          </cell>
          <cell r="S41" t="str">
            <v>2006E</v>
          </cell>
          <cell r="T41" t="str">
            <v>2007E</v>
          </cell>
          <cell r="V41" t="str">
            <v>2005E</v>
          </cell>
          <cell r="W41" t="str">
            <v>2007E</v>
          </cell>
        </row>
        <row r="42">
          <cell r="A42" t="str">
            <v>Listing fees</v>
          </cell>
          <cell r="E42">
            <v>0.32671453360825065</v>
          </cell>
          <cell r="F42">
            <v>0.26500358187653372</v>
          </cell>
          <cell r="G42">
            <v>5.4703749874816854E-2</v>
          </cell>
          <cell r="H42">
            <v>0.19035111734174892</v>
          </cell>
          <cell r="J42">
            <v>27.756999999999998</v>
          </cell>
          <cell r="K42">
            <v>39.589792000000003</v>
          </cell>
          <cell r="L42">
            <v>48.857079040000002</v>
          </cell>
          <cell r="N42">
            <v>413</v>
          </cell>
          <cell r="O42">
            <v>446.04</v>
          </cell>
          <cell r="P42">
            <v>459.42120000000006</v>
          </cell>
          <cell r="R42">
            <v>12.555</v>
          </cell>
          <cell r="S42">
            <v>11.859752499999999</v>
          </cell>
          <cell r="T42">
            <v>17.789628749999999</v>
          </cell>
          <cell r="V42">
            <v>71507000</v>
          </cell>
          <cell r="W42">
            <v>90456611.129245296</v>
          </cell>
        </row>
        <row r="43">
          <cell r="A43" t="str">
            <v>Information fees</v>
          </cell>
          <cell r="E43">
            <v>0.14017466252698663</v>
          </cell>
          <cell r="F43">
            <v>0.17396310187926556</v>
          </cell>
          <cell r="G43">
            <v>8.8347371017176712E-2</v>
          </cell>
          <cell r="H43">
            <v>7.9643069340695982E-2</v>
          </cell>
          <cell r="J43">
            <v>17.481999999999999</v>
          </cell>
          <cell r="K43">
            <v>20.291580000000003</v>
          </cell>
          <cell r="L43">
            <v>22.726569600000005</v>
          </cell>
          <cell r="N43">
            <v>322.71300000000002</v>
          </cell>
          <cell r="O43">
            <v>371.11995000000002</v>
          </cell>
          <cell r="P43">
            <v>382.25354850000002</v>
          </cell>
          <cell r="R43">
            <v>18.437999999999999</v>
          </cell>
          <cell r="S43">
            <v>19.538063999999999</v>
          </cell>
          <cell r="T43">
            <v>21.4918704</v>
          </cell>
          <cell r="V43">
            <v>32087000</v>
          </cell>
          <cell r="W43">
            <v>37668954.049999997</v>
          </cell>
        </row>
        <row r="49">
          <cell r="A49" t="str">
            <v>As % of Mkt Cap</v>
          </cell>
        </row>
        <row r="50">
          <cell r="J50" t="str">
            <v>(HK$mn)</v>
          </cell>
          <cell r="K50" t="str">
            <v>(S$mn)</v>
          </cell>
          <cell r="L50" t="str">
            <v>(RMmn)</v>
          </cell>
          <cell r="M50" t="str">
            <v>(A$mn)</v>
          </cell>
          <cell r="O50" t="str">
            <v>(HK$mn)</v>
          </cell>
          <cell r="P50" t="str">
            <v>(S$mn)</v>
          </cell>
          <cell r="Q50" t="str">
            <v>(RMmn)</v>
          </cell>
          <cell r="R50" t="str">
            <v>(A$mn)</v>
          </cell>
        </row>
        <row r="51">
          <cell r="J51" t="str">
            <v>2006E</v>
          </cell>
          <cell r="K51" t="str">
            <v>2006E</v>
          </cell>
          <cell r="L51" t="str">
            <v>2006E</v>
          </cell>
          <cell r="M51" t="str">
            <v>2006E</v>
          </cell>
          <cell r="O51" t="str">
            <v>Mkt Cap</v>
          </cell>
          <cell r="P51" t="str">
            <v>Mkt Cap</v>
          </cell>
          <cell r="Q51" t="str">
            <v>Mkt Cap</v>
          </cell>
          <cell r="R51" t="str">
            <v>Mkt Cap</v>
          </cell>
        </row>
        <row r="52">
          <cell r="A52" t="str">
            <v>(bps)</v>
          </cell>
          <cell r="E52" t="str">
            <v>HKEx</v>
          </cell>
          <cell r="F52" t="str">
            <v>SGX</v>
          </cell>
          <cell r="G52" t="str">
            <v>Bursa</v>
          </cell>
          <cell r="H52" t="str">
            <v>ASX</v>
          </cell>
          <cell r="J52" t="str">
            <v>HKEx</v>
          </cell>
          <cell r="K52" t="str">
            <v>SGX</v>
          </cell>
          <cell r="L52" t="str">
            <v>Bursa</v>
          </cell>
          <cell r="M52" t="str">
            <v>ASX</v>
          </cell>
          <cell r="O52" t="str">
            <v>HKEx</v>
          </cell>
          <cell r="P52" t="str">
            <v>SGX</v>
          </cell>
          <cell r="Q52" t="str">
            <v>Bursa</v>
          </cell>
          <cell r="R52" t="str">
            <v>ASX</v>
          </cell>
        </row>
        <row r="53">
          <cell r="A53" t="str">
            <v>Listing fees</v>
          </cell>
          <cell r="E53">
            <v>0.41345578371685071</v>
          </cell>
          <cell r="F53" t="e">
            <v>#REF!</v>
          </cell>
          <cell r="G53">
            <v>0.16036661302972116</v>
          </cell>
          <cell r="H53">
            <v>0.67910059221054209</v>
          </cell>
          <cell r="J53">
            <v>400.68</v>
          </cell>
          <cell r="K53" t="e">
            <v>#REF!</v>
          </cell>
          <cell r="L53">
            <v>11.859752499999999</v>
          </cell>
          <cell r="M53">
            <v>78</v>
          </cell>
          <cell r="O53">
            <v>9691000</v>
          </cell>
          <cell r="P53">
            <v>475687.91399999999</v>
          </cell>
          <cell r="Q53">
            <v>739540</v>
          </cell>
          <cell r="R53">
            <v>1148578</v>
          </cell>
        </row>
        <row r="54">
          <cell r="A54" t="str">
            <v>Information fees</v>
          </cell>
          <cell r="E54">
            <v>0.34324631101021563</v>
          </cell>
          <cell r="F54" t="e">
            <v>#REF!</v>
          </cell>
          <cell r="G54">
            <v>0.26419211942558884</v>
          </cell>
          <cell r="H54">
            <v>0.30298334114008801</v>
          </cell>
          <cell r="J54">
            <v>332.64</v>
          </cell>
          <cell r="K54" t="e">
            <v>#REF!</v>
          </cell>
          <cell r="L54">
            <v>19.538063999999999</v>
          </cell>
          <cell r="M54">
            <v>34.799999999999997</v>
          </cell>
        </row>
        <row r="55">
          <cell r="A55" t="str">
            <v>Total</v>
          </cell>
          <cell r="E55">
            <v>0.7567020947270664</v>
          </cell>
          <cell r="F55" t="e">
            <v>#REF!</v>
          </cell>
          <cell r="G55">
            <v>0.42455873245531001</v>
          </cell>
          <cell r="H55">
            <v>0.98208393335063016</v>
          </cell>
        </row>
        <row r="56">
          <cell r="A56" t="str">
            <v>Rank</v>
          </cell>
          <cell r="E56">
            <v>2</v>
          </cell>
          <cell r="F56">
            <v>4</v>
          </cell>
          <cell r="G56">
            <v>1</v>
          </cell>
          <cell r="H56">
            <v>3</v>
          </cell>
        </row>
        <row r="59">
          <cell r="A59" t="str">
            <v>2006E</v>
          </cell>
        </row>
        <row r="60">
          <cell r="A60" t="str">
            <v>(bps)</v>
          </cell>
          <cell r="E60" t="str">
            <v>Bursa</v>
          </cell>
          <cell r="F60" t="str">
            <v>ASX</v>
          </cell>
          <cell r="G60" t="str">
            <v>HKEx</v>
          </cell>
          <cell r="H60" t="str">
            <v>SGX</v>
          </cell>
        </row>
        <row r="61">
          <cell r="A61" t="str">
            <v>Pricing Leverage</v>
          </cell>
        </row>
        <row r="62">
          <cell r="A62" t="str">
            <v>Listing fees</v>
          </cell>
          <cell r="E62">
            <v>0.16036661302972116</v>
          </cell>
          <cell r="F62">
            <v>0.67910059221054209</v>
          </cell>
          <cell r="G62">
            <v>0.41345578371685071</v>
          </cell>
          <cell r="H62" t="e">
            <v>#REF!</v>
          </cell>
        </row>
        <row r="63">
          <cell r="A63" t="str">
            <v>Information fees</v>
          </cell>
          <cell r="E63">
            <v>0.26419211942558884</v>
          </cell>
          <cell r="F63">
            <v>0.30298334114008801</v>
          </cell>
          <cell r="G63">
            <v>0.34324631101021563</v>
          </cell>
          <cell r="H63" t="e">
            <v>#REF!</v>
          </cell>
        </row>
        <row r="64">
          <cell r="A64" t="str">
            <v>Pricing Rank</v>
          </cell>
          <cell r="E64">
            <v>0.42455873245531001</v>
          </cell>
          <cell r="F64">
            <v>0.98208393335063016</v>
          </cell>
          <cell r="G64">
            <v>0.7567020947270664</v>
          </cell>
          <cell r="H64" t="e">
            <v>#REF!</v>
          </cell>
        </row>
        <row r="65">
          <cell r="A65" t="str">
            <v>Rank</v>
          </cell>
          <cell r="E65">
            <v>1</v>
          </cell>
          <cell r="F65">
            <v>3</v>
          </cell>
          <cell r="G65">
            <v>2</v>
          </cell>
          <cell r="H65">
            <v>4</v>
          </cell>
        </row>
        <row r="66">
          <cell r="A66" t="str">
            <v>Cost Leverage</v>
          </cell>
          <cell r="P66" t="str">
            <v>2006E</v>
          </cell>
          <cell r="Q66" t="str">
            <v>2007E</v>
          </cell>
        </row>
        <row r="67">
          <cell r="A67" t="str">
            <v>Cost to Income Ratios</v>
          </cell>
          <cell r="E67">
            <v>0.47285492085811903</v>
          </cell>
          <cell r="F67">
            <v>0.42768567324649659</v>
          </cell>
          <cell r="G67">
            <v>0.33622684552408261</v>
          </cell>
          <cell r="H67">
            <v>0.4506134066149769</v>
          </cell>
          <cell r="O67" t="str">
            <v>HKEx</v>
          </cell>
          <cell r="P67">
            <v>0.33622684552408261</v>
          </cell>
          <cell r="Q67">
            <v>0.34549227200573962</v>
          </cell>
        </row>
        <row r="68">
          <cell r="A68" t="str">
            <v>Cost Rank</v>
          </cell>
          <cell r="E68">
            <v>1</v>
          </cell>
          <cell r="F68">
            <v>2</v>
          </cell>
          <cell r="G68">
            <v>4</v>
          </cell>
          <cell r="H68">
            <v>3</v>
          </cell>
          <cell r="O68" t="str">
            <v>SGX</v>
          </cell>
          <cell r="P68">
            <v>0.4506134066149769</v>
          </cell>
          <cell r="Q68">
            <v>0.45595187094068784</v>
          </cell>
        </row>
        <row r="69">
          <cell r="A69" t="str">
            <v>Total Operating Leverage Rank</v>
          </cell>
          <cell r="E69">
            <v>1</v>
          </cell>
          <cell r="F69">
            <v>2</v>
          </cell>
          <cell r="G69">
            <v>3</v>
          </cell>
          <cell r="H69">
            <v>4</v>
          </cell>
          <cell r="O69" t="str">
            <v>Bursa</v>
          </cell>
          <cell r="P69">
            <v>0.47285492085811903</v>
          </cell>
          <cell r="Q69">
            <v>0.434565820786117</v>
          </cell>
        </row>
        <row r="70">
          <cell r="O70" t="str">
            <v>ASX</v>
          </cell>
          <cell r="P70">
            <v>0.42768567324649659</v>
          </cell>
          <cell r="Q70">
            <v>0.36302608330682684</v>
          </cell>
        </row>
        <row r="72">
          <cell r="A72" t="str">
            <v>Revenue</v>
          </cell>
          <cell r="B72" t="str">
            <v>e=Morgan Stanley Estimates.  All other values are actual.</v>
          </cell>
        </row>
        <row r="73">
          <cell r="B73" t="str">
            <v>e=Morgan Stanley Estimates.  All other values are actual.</v>
          </cell>
          <cell r="E73" t="str">
            <v>FY3Q06+ FY4Q06</v>
          </cell>
          <cell r="F73" t="str">
            <v>1H06</v>
          </cell>
          <cell r="G73" t="str">
            <v>1H06</v>
          </cell>
          <cell r="H73" t="str">
            <v>FY2H06</v>
          </cell>
          <cell r="L73" t="str">
            <v>FY2006</v>
          </cell>
          <cell r="M73" t="str">
            <v>FY1H06</v>
          </cell>
        </row>
        <row r="74">
          <cell r="B74" t="str">
            <v>ND = Not Disclosed, NA = Not Available, and NM = Non Meaningful</v>
          </cell>
          <cell r="E74" t="str">
            <v>Jan- Jun 06</v>
          </cell>
        </row>
        <row r="75">
          <cell r="A75" t="str">
            <v>(Local ccy mn)</v>
          </cell>
          <cell r="B75" t="str">
            <v>ND = Not Disclosed, NA = Not Available, and NM = Non Meaningful</v>
          </cell>
          <cell r="E75" t="str">
            <v>SGX</v>
          </cell>
          <cell r="F75" t="str">
            <v>HKEx</v>
          </cell>
          <cell r="G75" t="str">
            <v>Bursa</v>
          </cell>
          <cell r="H75" t="str">
            <v>ASX</v>
          </cell>
          <cell r="L75" t="str">
            <v>ASX</v>
          </cell>
          <cell r="M75" t="str">
            <v>ASX</v>
          </cell>
        </row>
        <row r="76">
          <cell r="A76" t="str">
            <v>Cash Revenue</v>
          </cell>
          <cell r="B76" t="str">
            <v>Consensus EPS provided by Thomson Financial/First Call</v>
          </cell>
          <cell r="E76">
            <v>118.83</v>
          </cell>
          <cell r="F76">
            <v>878.08400000000006</v>
          </cell>
          <cell r="G76">
            <v>79.775000000000006</v>
          </cell>
          <cell r="H76">
            <v>68.524000000000001</v>
          </cell>
          <cell r="L76">
            <v>130.87700000000001</v>
          </cell>
          <cell r="M76">
            <v>62.353000000000002</v>
          </cell>
        </row>
        <row r="77">
          <cell r="A77" t="str">
            <v>Derivative</v>
          </cell>
          <cell r="B77" t="str">
            <v>Consensus EPS provided by Thomson Financial/First Call</v>
          </cell>
          <cell r="E77">
            <v>54.537000000000006</v>
          </cell>
          <cell r="F77">
            <v>279.01299999999998</v>
          </cell>
          <cell r="G77">
            <v>10</v>
          </cell>
          <cell r="H77">
            <v>24.85</v>
          </cell>
          <cell r="L77">
            <v>48.372</v>
          </cell>
          <cell r="M77">
            <v>23.521999999999998</v>
          </cell>
        </row>
        <row r="78">
          <cell r="A78" t="str">
            <v>Stable</v>
          </cell>
          <cell r="B78" t="str">
            <v>Ratios for companies are based on the currency reported by the companies unless explicitly noted.</v>
          </cell>
          <cell r="E78">
            <v>56.537999999999997</v>
          </cell>
          <cell r="F78">
            <v>738.15100000000007</v>
          </cell>
          <cell r="G78">
            <v>38.286000000000001</v>
          </cell>
          <cell r="H78">
            <v>63.422999999999966</v>
          </cell>
          <cell r="L78">
            <v>126.38199999999996</v>
          </cell>
          <cell r="M78">
            <v>62.958999999999996</v>
          </cell>
        </row>
        <row r="79">
          <cell r="A79" t="str">
            <v>Total</v>
          </cell>
          <cell r="B79" t="str">
            <v>Ratios for companies are based on the currency reported by the companies unless explicitly noted.</v>
          </cell>
          <cell r="E79">
            <v>229.90500000000003</v>
          </cell>
          <cell r="F79">
            <v>1895.248</v>
          </cell>
          <cell r="G79">
            <v>128.06100000000001</v>
          </cell>
          <cell r="H79">
            <v>156.79699999999997</v>
          </cell>
          <cell r="L79">
            <v>305.63099999999997</v>
          </cell>
          <cell r="M79">
            <v>148.834</v>
          </cell>
        </row>
        <row r="80">
          <cell r="B80" t="str">
            <v xml:space="preserve">Although the information provided to you on this site is obtained or compiled from sources we believe to be reliable, </v>
          </cell>
        </row>
        <row r="81">
          <cell r="B81" t="str">
            <v xml:space="preserve">Although the information provided to you on this site is obtained or compiled from sources we believe to be reliable, </v>
          </cell>
        </row>
        <row r="82">
          <cell r="A82" t="str">
            <v>(Mix%)</v>
          </cell>
          <cell r="B82" t="str">
            <v>ND = Not Disclosed, NA = Not Available, and NM = Non Meaningful</v>
          </cell>
          <cell r="E82" t="str">
            <v>SGX</v>
          </cell>
          <cell r="F82" t="str">
            <v>HKEx</v>
          </cell>
          <cell r="G82" t="str">
            <v>Bursa</v>
          </cell>
          <cell r="H82" t="str">
            <v>ASX</v>
          </cell>
        </row>
        <row r="83">
          <cell r="A83" t="str">
            <v>Cash Revenue</v>
          </cell>
          <cell r="B83" t="str">
            <v>data made available to you for any particular purpose.</v>
          </cell>
          <cell r="E83">
            <v>0.51686566190382977</v>
          </cell>
          <cell r="F83">
            <v>0.46330823195697873</v>
          </cell>
          <cell r="G83">
            <v>0.62294531512326157</v>
          </cell>
          <cell r="H83">
            <v>0.43702366754465977</v>
          </cell>
        </row>
        <row r="84">
          <cell r="A84" t="str">
            <v>Derivative</v>
          </cell>
          <cell r="E84">
            <v>0.23721537156651659</v>
          </cell>
          <cell r="F84">
            <v>0.1472171451968291</v>
          </cell>
          <cell r="G84">
            <v>7.8087786289346484E-2</v>
          </cell>
          <cell r="H84">
            <v>0.15848517509901341</v>
          </cell>
        </row>
        <row r="85">
          <cell r="A85" t="str">
            <v>Stable</v>
          </cell>
          <cell r="E85">
            <v>0.2459189665296535</v>
          </cell>
          <cell r="F85">
            <v>0.38947462284619216</v>
          </cell>
          <cell r="G85">
            <v>0.29896689858739195</v>
          </cell>
          <cell r="H85">
            <v>0.40449115735632685</v>
          </cell>
        </row>
        <row r="86">
          <cell r="A86" t="str">
            <v>Total</v>
          </cell>
          <cell r="E86">
            <v>0.99999999999999989</v>
          </cell>
          <cell r="F86">
            <v>1</v>
          </cell>
          <cell r="G86">
            <v>1</v>
          </cell>
          <cell r="H86">
            <v>1</v>
          </cell>
        </row>
        <row r="91">
          <cell r="A91" t="str">
            <v>Listing Fee</v>
          </cell>
        </row>
        <row r="92">
          <cell r="E92" t="str">
            <v>FY3Q06+ FY4Q06</v>
          </cell>
          <cell r="F92" t="str">
            <v>1H06</v>
          </cell>
          <cell r="G92" t="str">
            <v>1H06</v>
          </cell>
          <cell r="H92" t="str">
            <v>FY2H06</v>
          </cell>
          <cell r="L92" t="str">
            <v>FY3Q06+ FY4Q06</v>
          </cell>
          <cell r="M92" t="str">
            <v>1H06</v>
          </cell>
          <cell r="N92" t="str">
            <v>1H06</v>
          </cell>
          <cell r="O92" t="str">
            <v>FY2H06</v>
          </cell>
          <cell r="P92" t="str">
            <v>FY2006</v>
          </cell>
          <cell r="Q92" t="str">
            <v>FY1H06</v>
          </cell>
        </row>
        <row r="93">
          <cell r="E93" t="str">
            <v>Jan- Jun 06</v>
          </cell>
          <cell r="L93" t="str">
            <v>Jan- Jun 06 (Local ccy)</v>
          </cell>
          <cell r="S93" t="str">
            <v>FX Rate to USD</v>
          </cell>
        </row>
        <row r="94">
          <cell r="A94" t="str">
            <v>(US$mn)</v>
          </cell>
          <cell r="E94" t="str">
            <v>SGX</v>
          </cell>
          <cell r="F94" t="str">
            <v>HKEx</v>
          </cell>
          <cell r="G94" t="str">
            <v>Bursa</v>
          </cell>
          <cell r="H94" t="str">
            <v>ASX</v>
          </cell>
          <cell r="L94" t="str">
            <v>SGX</v>
          </cell>
          <cell r="M94" t="str">
            <v>HKEx</v>
          </cell>
          <cell r="N94" t="str">
            <v>Bursa</v>
          </cell>
          <cell r="O94" t="str">
            <v>ASX</v>
          </cell>
          <cell r="P94" t="str">
            <v>ASX</v>
          </cell>
          <cell r="Q94" t="str">
            <v>ASX</v>
          </cell>
          <cell r="S94" t="str">
            <v>SGD/USD</v>
          </cell>
          <cell r="T94" t="str">
            <v>HKD/USD</v>
          </cell>
          <cell r="U94" t="str">
            <v>RM/USD</v>
          </cell>
          <cell r="V94" t="str">
            <v>USD/AUD</v>
          </cell>
        </row>
        <row r="95">
          <cell r="A95" t="str">
            <v>Listing Fee</v>
          </cell>
          <cell r="E95">
            <v>11.913027248973499</v>
          </cell>
          <cell r="F95">
            <v>27.50893955135956</v>
          </cell>
          <cell r="G95">
            <v>1.8313795723434276</v>
          </cell>
          <cell r="H95">
            <v>28.739392499999997</v>
          </cell>
          <cell r="L95">
            <v>19.149000000000001</v>
          </cell>
          <cell r="M95">
            <v>213.405</v>
          </cell>
          <cell r="N95">
            <v>6.7489999999999997</v>
          </cell>
          <cell r="O95">
            <v>38.674999999999997</v>
          </cell>
          <cell r="P95">
            <v>77</v>
          </cell>
          <cell r="Q95">
            <v>38.325000000000003</v>
          </cell>
          <cell r="S95">
            <v>1.6073999999999999</v>
          </cell>
          <cell r="T95">
            <v>7.7576599999999996</v>
          </cell>
          <cell r="U95">
            <v>3.6852</v>
          </cell>
          <cell r="V95">
            <v>0.74309999999999998</v>
          </cell>
        </row>
        <row r="96">
          <cell r="A96" t="str">
            <v>Current Mkt Cap</v>
          </cell>
          <cell r="E96">
            <v>304989.56778370147</v>
          </cell>
          <cell r="F96">
            <v>1318270.179948586</v>
          </cell>
          <cell r="G96">
            <v>201591.28065395096</v>
          </cell>
          <cell r="H96">
            <v>896942.94610000006</v>
          </cell>
          <cell r="L96">
            <v>480541.56299999997</v>
          </cell>
          <cell r="M96">
            <v>10256142</v>
          </cell>
          <cell r="N96">
            <v>739840</v>
          </cell>
          <cell r="O96">
            <v>1190053</v>
          </cell>
          <cell r="S96">
            <v>1.5755999999999999</v>
          </cell>
          <cell r="T96">
            <v>7.78</v>
          </cell>
          <cell r="U96">
            <v>3.67</v>
          </cell>
          <cell r="V96">
            <v>0.75370000000000004</v>
          </cell>
        </row>
        <row r="97">
          <cell r="A97" t="str">
            <v>Annualized Listing Fee to Mkt Cap (bps)</v>
          </cell>
          <cell r="E97">
            <v>0.78120883514430339</v>
          </cell>
          <cell r="F97">
            <v>0.41734903769775689</v>
          </cell>
          <cell r="G97">
            <v>0.18169233970859588</v>
          </cell>
          <cell r="H97">
            <v>0.64082989057357165</v>
          </cell>
          <cell r="L97">
            <v>0.7969758070645806</v>
          </cell>
          <cell r="M97">
            <v>0.41615063441984324</v>
          </cell>
          <cell r="N97">
            <v>0.18244485294117646</v>
          </cell>
          <cell r="O97">
            <v>0.64997105170946157</v>
          </cell>
        </row>
        <row r="99">
          <cell r="F99">
            <v>0.61312925447187727</v>
          </cell>
        </row>
        <row r="100">
          <cell r="A100" t="str">
            <v>Info Fee</v>
          </cell>
        </row>
        <row r="101">
          <cell r="E101" t="str">
            <v>FY3Q06+ FY4Q06</v>
          </cell>
          <cell r="F101" t="str">
            <v>1H06</v>
          </cell>
          <cell r="G101" t="str">
            <v>1H06</v>
          </cell>
          <cell r="H101" t="str">
            <v>FY2H06</v>
          </cell>
          <cell r="L101" t="str">
            <v>FY3Q06+ FY4Q06</v>
          </cell>
          <cell r="M101" t="str">
            <v>1H06</v>
          </cell>
          <cell r="N101" t="str">
            <v>1H06</v>
          </cell>
          <cell r="O101" t="str">
            <v>FY2H06</v>
          </cell>
        </row>
        <row r="102">
          <cell r="E102" t="str">
            <v>Jan- Jun 06 (Local ccy)</v>
          </cell>
          <cell r="L102" t="str">
            <v>Jan- Jun 06 (Local ccy)</v>
          </cell>
          <cell r="P102" t="str">
            <v>FY2006</v>
          </cell>
          <cell r="Q102" t="str">
            <v>FY1H06</v>
          </cell>
        </row>
        <row r="103">
          <cell r="A103" t="str">
            <v>(US$mn)</v>
          </cell>
          <cell r="E103" t="str">
            <v>SGX</v>
          </cell>
          <cell r="F103" t="str">
            <v>HKEx</v>
          </cell>
          <cell r="G103" t="str">
            <v>Bursa</v>
          </cell>
          <cell r="H103" t="str">
            <v>ASX</v>
          </cell>
          <cell r="L103" t="str">
            <v>SGX</v>
          </cell>
          <cell r="M103" t="str">
            <v>HKEx</v>
          </cell>
          <cell r="N103" t="str">
            <v>Bursa</v>
          </cell>
          <cell r="O103" t="str">
            <v>ASX</v>
          </cell>
          <cell r="P103" t="str">
            <v>ASX</v>
          </cell>
          <cell r="Q103" t="str">
            <v>ASX</v>
          </cell>
        </row>
        <row r="104">
          <cell r="A104" t="str">
            <v>Information Fee</v>
          </cell>
          <cell r="E104">
            <v>6.483762597984323</v>
          </cell>
          <cell r="F104">
            <v>23.700059038421379</v>
          </cell>
          <cell r="G104">
            <v>3.5</v>
          </cell>
          <cell r="H104">
            <v>13.667838300000003</v>
          </cell>
          <cell r="L104">
            <v>10.422000000000001</v>
          </cell>
          <cell r="M104">
            <v>183.857</v>
          </cell>
          <cell r="N104">
            <v>9.4379999999999988</v>
          </cell>
          <cell r="O104">
            <v>18.393000000000004</v>
          </cell>
          <cell r="P104">
            <v>35.700000000000003</v>
          </cell>
          <cell r="Q104">
            <v>17.306999999999999</v>
          </cell>
        </row>
        <row r="105">
          <cell r="A105" t="str">
            <v>Current Mkt Cap</v>
          </cell>
          <cell r="E105">
            <v>304989.56778370147</v>
          </cell>
          <cell r="F105">
            <v>1318270.179948586</v>
          </cell>
          <cell r="G105">
            <v>201591.28065395096</v>
          </cell>
          <cell r="H105">
            <v>896942.94610000006</v>
          </cell>
          <cell r="L105">
            <v>480541.56299999997</v>
          </cell>
          <cell r="M105">
            <v>10256142</v>
          </cell>
          <cell r="N105">
            <v>739840</v>
          </cell>
          <cell r="O105">
            <v>1190053</v>
          </cell>
        </row>
        <row r="106">
          <cell r="A106" t="str">
            <v>Annualized Information Fee to Mkt Cap (bps)</v>
          </cell>
          <cell r="E106">
            <v>0.425179303351294</v>
          </cell>
          <cell r="F106">
            <v>0.35956300004215691</v>
          </cell>
          <cell r="G106">
            <v>0.34723724048442905</v>
          </cell>
          <cell r="H106">
            <v>0.30476494317568725</v>
          </cell>
          <cell r="L106">
            <v>0.43376060688427909</v>
          </cell>
          <cell r="M106">
            <v>0.35853052736594326</v>
          </cell>
          <cell r="N106">
            <v>0.25513624567474047</v>
          </cell>
          <cell r="O106">
            <v>0.30911228323444423</v>
          </cell>
        </row>
        <row r="109">
          <cell r="F109">
            <v>0.36316908218971272</v>
          </cell>
        </row>
        <row r="112">
          <cell r="G112">
            <v>7</v>
          </cell>
        </row>
        <row r="113">
          <cell r="G113">
            <v>12</v>
          </cell>
        </row>
        <row r="114">
          <cell r="G114">
            <v>19</v>
          </cell>
        </row>
      </sheetData>
      <sheetData sheetId="47"/>
      <sheetData sheetId="48"/>
      <sheetData sheetId="49"/>
      <sheetData sheetId="50" refreshError="1">
        <row r="1">
          <cell r="B1" t="str">
            <v>HK: Turnover Value: Total</v>
          </cell>
          <cell r="C1" t="str">
            <v>HK: Short Selling Transactions: Value</v>
          </cell>
        </row>
        <row r="2">
          <cell r="B2" t="str">
            <v>HZGA</v>
          </cell>
          <cell r="C2" t="str">
            <v>HZGV</v>
          </cell>
        </row>
        <row r="3">
          <cell r="B3" t="str">
            <v>HKD mn</v>
          </cell>
          <cell r="C3" t="str">
            <v>HKD mn</v>
          </cell>
        </row>
        <row r="4">
          <cell r="B4" t="str">
            <v>M:   Feb-1981:   Feb-2006</v>
          </cell>
          <cell r="C4" t="str">
            <v>M:   Jul-1995:   Feb-2006</v>
          </cell>
        </row>
        <row r="5">
          <cell r="A5">
            <v>34700</v>
          </cell>
          <cell r="B5">
            <v>57117.4</v>
          </cell>
        </row>
        <row r="6">
          <cell r="A6">
            <v>34731</v>
          </cell>
          <cell r="B6">
            <v>64380</v>
          </cell>
        </row>
        <row r="7">
          <cell r="A7">
            <v>34759</v>
          </cell>
          <cell r="B7">
            <v>74528.5</v>
          </cell>
        </row>
        <row r="8">
          <cell r="A8">
            <v>34790</v>
          </cell>
          <cell r="B8">
            <v>39504.800000000003</v>
          </cell>
        </row>
        <row r="9">
          <cell r="A9">
            <v>34820</v>
          </cell>
          <cell r="B9">
            <v>94148.2</v>
          </cell>
        </row>
        <row r="10">
          <cell r="A10">
            <v>34851</v>
          </cell>
          <cell r="B10">
            <v>65753.899999999994</v>
          </cell>
        </row>
        <row r="11">
          <cell r="A11">
            <v>34881</v>
          </cell>
          <cell r="B11">
            <v>78565.5</v>
          </cell>
          <cell r="C11">
            <v>0</v>
          </cell>
        </row>
        <row r="12">
          <cell r="A12">
            <v>34912</v>
          </cell>
          <cell r="B12">
            <v>64096.800000000003</v>
          </cell>
          <cell r="C12">
            <v>0</v>
          </cell>
        </row>
        <row r="13">
          <cell r="A13">
            <v>34943</v>
          </cell>
          <cell r="B13">
            <v>76860.2</v>
          </cell>
          <cell r="C13">
            <v>70.843199999999996</v>
          </cell>
          <cell r="D13">
            <v>9.2171500984905065E-4</v>
          </cell>
        </row>
        <row r="14">
          <cell r="A14">
            <v>34973</v>
          </cell>
          <cell r="B14">
            <v>79521</v>
          </cell>
          <cell r="C14">
            <v>102.9151</v>
          </cell>
          <cell r="D14">
            <v>1.2941876988468454E-3</v>
          </cell>
        </row>
        <row r="15">
          <cell r="A15">
            <v>35004</v>
          </cell>
          <cell r="B15">
            <v>68322.600000000006</v>
          </cell>
          <cell r="C15">
            <v>16.989999999999998</v>
          </cell>
          <cell r="D15">
            <v>2.4867320623044199E-4</v>
          </cell>
        </row>
        <row r="16">
          <cell r="A16">
            <v>35034</v>
          </cell>
          <cell r="B16">
            <v>64001.7</v>
          </cell>
          <cell r="C16">
            <v>17.3246</v>
          </cell>
          <cell r="D16">
            <v>2.706896848052474E-4</v>
          </cell>
        </row>
        <row r="17">
          <cell r="A17">
            <v>35065</v>
          </cell>
          <cell r="B17">
            <v>155896.29999999999</v>
          </cell>
          <cell r="C17">
            <v>55.517099999999999</v>
          </cell>
          <cell r="D17">
            <v>3.5611557169733986E-4</v>
          </cell>
        </row>
        <row r="18">
          <cell r="A18">
            <v>35096</v>
          </cell>
          <cell r="B18">
            <v>113148.1</v>
          </cell>
          <cell r="C18">
            <v>102.66330000000001</v>
          </cell>
          <cell r="D18">
            <v>9.0733560704952187E-4</v>
          </cell>
        </row>
        <row r="19">
          <cell r="A19">
            <v>35125</v>
          </cell>
          <cell r="B19">
            <v>104794.7</v>
          </cell>
          <cell r="C19">
            <v>191.4649</v>
          </cell>
          <cell r="D19">
            <v>1.8270475510688995E-3</v>
          </cell>
        </row>
        <row r="20">
          <cell r="A20">
            <v>35156</v>
          </cell>
          <cell r="B20">
            <v>71885.399999999994</v>
          </cell>
          <cell r="C20">
            <v>143.55600000000001</v>
          </cell>
          <cell r="D20">
            <v>1.9970119106244109E-3</v>
          </cell>
        </row>
        <row r="21">
          <cell r="A21">
            <v>35186</v>
          </cell>
          <cell r="B21">
            <v>86565</v>
          </cell>
          <cell r="C21">
            <v>259.35980000000001</v>
          </cell>
          <cell r="D21">
            <v>2.9961277652630972E-3</v>
          </cell>
        </row>
        <row r="22">
          <cell r="A22">
            <v>35217</v>
          </cell>
          <cell r="B22">
            <v>68896.899999999994</v>
          </cell>
          <cell r="C22">
            <v>222.9502</v>
          </cell>
          <cell r="D22">
            <v>3.2359975557681117E-3</v>
          </cell>
        </row>
        <row r="23">
          <cell r="A23">
            <v>35247</v>
          </cell>
          <cell r="B23">
            <v>97814.3</v>
          </cell>
          <cell r="C23">
            <v>759.48680000000002</v>
          </cell>
          <cell r="D23">
            <v>7.7645783898673305E-3</v>
          </cell>
        </row>
        <row r="24">
          <cell r="A24">
            <v>35278</v>
          </cell>
          <cell r="B24">
            <v>94011.8</v>
          </cell>
          <cell r="C24">
            <v>765.74929999999995</v>
          </cell>
          <cell r="D24">
            <v>8.1452466605255926E-3</v>
          </cell>
        </row>
        <row r="25">
          <cell r="A25">
            <v>35309</v>
          </cell>
          <cell r="B25">
            <v>106764</v>
          </cell>
          <cell r="C25">
            <v>1704.2049</v>
          </cell>
          <cell r="D25">
            <v>1.5962355288299427E-2</v>
          </cell>
        </row>
        <row r="26">
          <cell r="A26">
            <v>35339</v>
          </cell>
          <cell r="B26">
            <v>154151</v>
          </cell>
          <cell r="C26">
            <v>1036.3076000000001</v>
          </cell>
          <cell r="D26">
            <v>6.7226784127251858E-3</v>
          </cell>
        </row>
        <row r="27">
          <cell r="A27">
            <v>35370</v>
          </cell>
          <cell r="B27">
            <v>198299</v>
          </cell>
          <cell r="C27">
            <v>2219.9616999999998</v>
          </cell>
          <cell r="D27">
            <v>1.1195022163500571E-2</v>
          </cell>
        </row>
        <row r="28">
          <cell r="A28">
            <v>35400</v>
          </cell>
          <cell r="B28">
            <v>160014.79999999999</v>
          </cell>
          <cell r="C28">
            <v>1285.4289000000001</v>
          </cell>
          <cell r="D28">
            <v>8.0331875551511497E-3</v>
          </cell>
        </row>
        <row r="29">
          <cell r="A29">
            <v>35431</v>
          </cell>
          <cell r="B29">
            <v>246158</v>
          </cell>
          <cell r="C29">
            <v>5139.6752999999999</v>
          </cell>
          <cell r="D29">
            <v>2.0879578563361742E-2</v>
          </cell>
        </row>
        <row r="30">
          <cell r="A30">
            <v>35462</v>
          </cell>
          <cell r="B30">
            <v>156559.9</v>
          </cell>
          <cell r="C30">
            <v>2201.7622000000001</v>
          </cell>
          <cell r="D30">
            <v>1.4063385324083627E-2</v>
          </cell>
        </row>
        <row r="31">
          <cell r="A31">
            <v>35490</v>
          </cell>
          <cell r="B31">
            <v>194531.8</v>
          </cell>
          <cell r="C31">
            <v>3277.8834000000002</v>
          </cell>
          <cell r="D31">
            <v>1.685011602216193E-2</v>
          </cell>
        </row>
        <row r="32">
          <cell r="A32">
            <v>35521</v>
          </cell>
          <cell r="B32">
            <v>200237.9</v>
          </cell>
          <cell r="C32">
            <v>3527.3649</v>
          </cell>
          <cell r="D32">
            <v>1.7615870422132873E-2</v>
          </cell>
        </row>
        <row r="33">
          <cell r="A33">
            <v>35551</v>
          </cell>
          <cell r="B33">
            <v>343830.8</v>
          </cell>
          <cell r="C33">
            <v>2589.3029999999999</v>
          </cell>
          <cell r="D33">
            <v>7.5307476817085611E-3</v>
          </cell>
        </row>
        <row r="34">
          <cell r="A34">
            <v>35582</v>
          </cell>
          <cell r="B34">
            <v>398969.7</v>
          </cell>
          <cell r="C34">
            <v>3149.3636000000001</v>
          </cell>
          <cell r="D34">
            <v>7.8937413041642018E-3</v>
          </cell>
        </row>
        <row r="35">
          <cell r="A35">
            <v>35612</v>
          </cell>
          <cell r="B35">
            <v>409601.3</v>
          </cell>
          <cell r="C35">
            <v>2858.3083999999999</v>
          </cell>
          <cell r="D35">
            <v>6.978269844358404E-3</v>
          </cell>
        </row>
        <row r="36">
          <cell r="A36">
            <v>35643</v>
          </cell>
          <cell r="B36">
            <v>637007.4</v>
          </cell>
          <cell r="C36">
            <v>4590.0164999999997</v>
          </cell>
          <cell r="D36">
            <v>7.205593686980716E-3</v>
          </cell>
        </row>
        <row r="37">
          <cell r="A37">
            <v>35674</v>
          </cell>
          <cell r="B37">
            <v>424605.3</v>
          </cell>
          <cell r="C37">
            <v>3607.3584000000001</v>
          </cell>
          <cell r="D37">
            <v>8.4957922098475927E-3</v>
          </cell>
        </row>
        <row r="38">
          <cell r="A38">
            <v>35704</v>
          </cell>
          <cell r="B38">
            <v>375729</v>
          </cell>
          <cell r="C38">
            <v>5417.4533000000001</v>
          </cell>
          <cell r="D38">
            <v>1.441851254494596E-2</v>
          </cell>
        </row>
        <row r="39">
          <cell r="A39">
            <v>35735</v>
          </cell>
          <cell r="B39">
            <v>229284.2</v>
          </cell>
          <cell r="C39">
            <v>4691.8445000000002</v>
          </cell>
          <cell r="D39">
            <v>2.0463008353824641E-2</v>
          </cell>
        </row>
        <row r="40">
          <cell r="A40">
            <v>35765</v>
          </cell>
          <cell r="B40">
            <v>172444.6</v>
          </cell>
          <cell r="C40">
            <v>4488.3382000000001</v>
          </cell>
          <cell r="D40">
            <v>2.6027710928611277E-2</v>
          </cell>
        </row>
        <row r="41">
          <cell r="A41">
            <v>35796</v>
          </cell>
          <cell r="B41">
            <v>159477.70000000001</v>
          </cell>
          <cell r="C41">
            <v>5710.9250000000002</v>
          </cell>
          <cell r="D41">
            <v>3.5810179103410694E-2</v>
          </cell>
        </row>
        <row r="42">
          <cell r="A42">
            <v>35827</v>
          </cell>
          <cell r="B42">
            <v>212814.5</v>
          </cell>
          <cell r="C42">
            <v>2708.6235000000001</v>
          </cell>
          <cell r="D42">
            <v>1.2727626641981633E-2</v>
          </cell>
        </row>
        <row r="43">
          <cell r="A43">
            <v>35855</v>
          </cell>
          <cell r="B43">
            <v>174219.9</v>
          </cell>
          <cell r="C43">
            <v>3010.4611</v>
          </cell>
          <cell r="D43">
            <v>1.7279662656217804E-2</v>
          </cell>
        </row>
        <row r="44">
          <cell r="A44">
            <v>35886</v>
          </cell>
          <cell r="B44">
            <v>116324.7</v>
          </cell>
          <cell r="C44">
            <v>7465.4372999999996</v>
          </cell>
          <cell r="D44">
            <v>6.4177576215541501E-2</v>
          </cell>
        </row>
        <row r="45">
          <cell r="A45">
            <v>35916</v>
          </cell>
          <cell r="B45">
            <v>115664.7</v>
          </cell>
          <cell r="C45">
            <v>8546.6551999999992</v>
          </cell>
          <cell r="D45">
            <v>7.389164714904374E-2</v>
          </cell>
        </row>
        <row r="46">
          <cell r="A46">
            <v>35947</v>
          </cell>
          <cell r="B46">
            <v>128658.1</v>
          </cell>
          <cell r="C46">
            <v>7373.4580999999998</v>
          </cell>
          <cell r="D46">
            <v>5.7310484920887216E-2</v>
          </cell>
        </row>
        <row r="47">
          <cell r="A47">
            <v>35977</v>
          </cell>
          <cell r="B47">
            <v>89016.3</v>
          </cell>
          <cell r="C47">
            <v>6124.9749000000002</v>
          </cell>
          <cell r="D47">
            <v>6.8807340902733549E-2</v>
          </cell>
        </row>
        <row r="48">
          <cell r="A48">
            <v>36008</v>
          </cell>
          <cell r="B48">
            <v>214328.5</v>
          </cell>
          <cell r="C48">
            <v>17105.036</v>
          </cell>
          <cell r="D48">
            <v>7.9807566422570961E-2</v>
          </cell>
        </row>
        <row r="49">
          <cell r="A49">
            <v>36039</v>
          </cell>
          <cell r="B49">
            <v>114436.2</v>
          </cell>
          <cell r="C49">
            <v>5157.5985000000001</v>
          </cell>
          <cell r="D49">
            <v>4.506964142465409E-2</v>
          </cell>
        </row>
        <row r="50">
          <cell r="A50">
            <v>36069</v>
          </cell>
          <cell r="B50">
            <v>132910.1</v>
          </cell>
          <cell r="C50">
            <v>5078.2897000000003</v>
          </cell>
          <cell r="D50">
            <v>3.8208455941271584E-2</v>
          </cell>
        </row>
        <row r="51">
          <cell r="A51">
            <v>36100</v>
          </cell>
          <cell r="B51">
            <v>164457.29999999999</v>
          </cell>
          <cell r="C51">
            <v>3641.2118999999998</v>
          </cell>
          <cell r="D51">
            <v>2.2140773927335544E-2</v>
          </cell>
        </row>
        <row r="52">
          <cell r="A52">
            <v>36130</v>
          </cell>
          <cell r="B52">
            <v>78804.100000000006</v>
          </cell>
          <cell r="C52">
            <v>2269.1522</v>
          </cell>
          <cell r="D52">
            <v>2.8794849506561204E-2</v>
          </cell>
        </row>
        <row r="53">
          <cell r="A53">
            <v>36161</v>
          </cell>
          <cell r="B53">
            <v>104448</v>
          </cell>
          <cell r="C53">
            <v>5640.5342000000001</v>
          </cell>
          <cell r="D53">
            <v>5.4003276271446077E-2</v>
          </cell>
        </row>
        <row r="54">
          <cell r="A54">
            <v>36192</v>
          </cell>
          <cell r="B54">
            <v>53605.7</v>
          </cell>
          <cell r="C54">
            <v>5013.4350999999997</v>
          </cell>
          <cell r="D54">
            <v>9.3524291260071224E-2</v>
          </cell>
        </row>
        <row r="55">
          <cell r="A55">
            <v>36220</v>
          </cell>
          <cell r="B55">
            <v>118403.9</v>
          </cell>
          <cell r="C55">
            <v>7023.9830000000002</v>
          </cell>
          <cell r="D55">
            <v>5.9322226717194289E-2</v>
          </cell>
        </row>
        <row r="56">
          <cell r="A56">
            <v>36251</v>
          </cell>
          <cell r="B56">
            <v>170603.2</v>
          </cell>
          <cell r="C56">
            <v>6627.7572</v>
          </cell>
          <cell r="D56">
            <v>3.8848961801419897E-2</v>
          </cell>
        </row>
        <row r="57">
          <cell r="A57">
            <v>36281</v>
          </cell>
          <cell r="B57">
            <v>154372.4</v>
          </cell>
          <cell r="C57">
            <v>5095.2093999999997</v>
          </cell>
          <cell r="D57">
            <v>3.3005960910110876E-2</v>
          </cell>
        </row>
        <row r="58">
          <cell r="A58">
            <v>36312</v>
          </cell>
          <cell r="B58">
            <v>165639.70000000001</v>
          </cell>
          <cell r="C58">
            <v>6602.1805000000004</v>
          </cell>
          <cell r="D58">
            <v>3.9858684240553444E-2</v>
          </cell>
        </row>
        <row r="59">
          <cell r="A59">
            <v>36342</v>
          </cell>
          <cell r="B59">
            <v>184176.1</v>
          </cell>
          <cell r="C59">
            <v>7109.0659999999998</v>
          </cell>
          <cell r="D59">
            <v>3.8599286226605946E-2</v>
          </cell>
        </row>
        <row r="60">
          <cell r="A60">
            <v>36373</v>
          </cell>
          <cell r="B60">
            <v>128208.8</v>
          </cell>
          <cell r="C60">
            <v>5316.2503999999999</v>
          </cell>
          <cell r="D60">
            <v>4.1465565546202753E-2</v>
          </cell>
        </row>
        <row r="61">
          <cell r="A61">
            <v>36404</v>
          </cell>
          <cell r="B61">
            <v>181937.4</v>
          </cell>
          <cell r="C61">
            <v>4076.4137000000001</v>
          </cell>
          <cell r="D61">
            <v>2.2405584008565585E-2</v>
          </cell>
        </row>
        <row r="62">
          <cell r="A62">
            <v>36434</v>
          </cell>
          <cell r="B62">
            <v>149497.20000000001</v>
          </cell>
          <cell r="C62">
            <v>5193.1063999999997</v>
          </cell>
          <cell r="D62">
            <v>3.4737148254281681E-2</v>
          </cell>
        </row>
        <row r="63">
          <cell r="A63">
            <v>36465</v>
          </cell>
          <cell r="B63">
            <v>239400.5</v>
          </cell>
          <cell r="C63">
            <v>3568.2928999999999</v>
          </cell>
          <cell r="D63">
            <v>1.4905118828072623E-2</v>
          </cell>
        </row>
        <row r="64">
          <cell r="A64">
            <v>36495</v>
          </cell>
          <cell r="B64">
            <v>265647.7</v>
          </cell>
          <cell r="C64">
            <v>2693.5770000000002</v>
          </cell>
          <cell r="D64">
            <v>1.0139658653171098E-2</v>
          </cell>
        </row>
        <row r="65">
          <cell r="A65">
            <v>36526</v>
          </cell>
          <cell r="B65">
            <v>367324.7</v>
          </cell>
          <cell r="C65">
            <v>4919.6157000000003</v>
          </cell>
          <cell r="D65">
            <v>1.3393097986604223E-2</v>
          </cell>
        </row>
        <row r="66">
          <cell r="A66">
            <v>36557</v>
          </cell>
          <cell r="B66">
            <v>419666.3</v>
          </cell>
          <cell r="C66">
            <v>6607.2566999999999</v>
          </cell>
          <cell r="D66">
            <v>1.5744072611977661E-2</v>
          </cell>
        </row>
        <row r="67">
          <cell r="A67">
            <v>36586</v>
          </cell>
          <cell r="B67">
            <v>345796.8</v>
          </cell>
          <cell r="C67">
            <v>8264.0741999999991</v>
          </cell>
          <cell r="D67">
            <v>2.3898642786746433E-2</v>
          </cell>
        </row>
        <row r="68">
          <cell r="A68">
            <v>36617</v>
          </cell>
          <cell r="B68">
            <v>187948.3</v>
          </cell>
          <cell r="C68">
            <v>5830.2048000000004</v>
          </cell>
          <cell r="D68">
            <v>3.1020258230587884E-2</v>
          </cell>
        </row>
        <row r="69">
          <cell r="A69">
            <v>36647</v>
          </cell>
          <cell r="B69">
            <v>219009.8</v>
          </cell>
          <cell r="C69">
            <v>7372.8995999999997</v>
          </cell>
          <cell r="D69">
            <v>3.3664701762204249E-2</v>
          </cell>
        </row>
        <row r="70">
          <cell r="A70">
            <v>36678</v>
          </cell>
          <cell r="B70">
            <v>216897.6</v>
          </cell>
          <cell r="C70">
            <v>6859.6288000000004</v>
          </cell>
          <cell r="D70">
            <v>3.1626116655970378E-2</v>
          </cell>
        </row>
        <row r="71">
          <cell r="A71">
            <v>36708</v>
          </cell>
          <cell r="B71">
            <v>286840.59999999998</v>
          </cell>
          <cell r="C71">
            <v>7869.9156999999996</v>
          </cell>
          <cell r="D71">
            <v>2.7436547336743822E-2</v>
          </cell>
        </row>
        <row r="72">
          <cell r="A72">
            <v>36739</v>
          </cell>
          <cell r="B72">
            <v>266780.5</v>
          </cell>
          <cell r="C72">
            <v>6771.7085999999999</v>
          </cell>
          <cell r="D72">
            <v>2.5383071851203517E-2</v>
          </cell>
        </row>
        <row r="73">
          <cell r="A73">
            <v>36770</v>
          </cell>
          <cell r="B73">
            <v>201877.5</v>
          </cell>
          <cell r="C73">
            <v>5771.7118</v>
          </cell>
          <cell r="D73">
            <v>2.8590168790479376E-2</v>
          </cell>
        </row>
        <row r="74">
          <cell r="A74">
            <v>36800</v>
          </cell>
          <cell r="B74">
            <v>176897.1</v>
          </cell>
          <cell r="C74">
            <v>5969.0146999999997</v>
          </cell>
          <cell r="D74">
            <v>3.3742863506524411E-2</v>
          </cell>
        </row>
        <row r="75">
          <cell r="A75">
            <v>36831</v>
          </cell>
          <cell r="B75">
            <v>197556.3</v>
          </cell>
          <cell r="C75">
            <v>6055.5006999999996</v>
          </cell>
          <cell r="D75">
            <v>3.0652025270770916E-2</v>
          </cell>
        </row>
        <row r="76">
          <cell r="A76">
            <v>36861</v>
          </cell>
          <cell r="B76">
            <v>160969.79999999999</v>
          </cell>
          <cell r="C76">
            <v>4906.8131000000003</v>
          </cell>
          <cell r="D76">
            <v>3.048281789503373E-2</v>
          </cell>
        </row>
        <row r="77">
          <cell r="A77">
            <v>36892</v>
          </cell>
          <cell r="B77">
            <v>178672.3</v>
          </cell>
          <cell r="C77">
            <v>4496.3797000000004</v>
          </cell>
          <cell r="D77">
            <v>2.5165510826244474E-2</v>
          </cell>
        </row>
        <row r="78">
          <cell r="A78">
            <v>36923</v>
          </cell>
          <cell r="B78">
            <v>181516</v>
          </cell>
          <cell r="C78">
            <v>5687.7156000000004</v>
          </cell>
          <cell r="D78">
            <v>3.1334513761872233E-2</v>
          </cell>
        </row>
        <row r="79">
          <cell r="A79">
            <v>36951</v>
          </cell>
          <cell r="B79">
            <v>184205</v>
          </cell>
          <cell r="C79">
            <v>7017.6796999999997</v>
          </cell>
          <cell r="D79">
            <v>3.8097118427838549E-2</v>
          </cell>
        </row>
        <row r="80">
          <cell r="A80">
            <v>36982</v>
          </cell>
          <cell r="B80">
            <v>146894.79999999999</v>
          </cell>
          <cell r="C80">
            <v>4815.1098000000002</v>
          </cell>
          <cell r="D80">
            <v>3.2779307368266272E-2</v>
          </cell>
        </row>
        <row r="81">
          <cell r="A81">
            <v>37012</v>
          </cell>
          <cell r="B81">
            <v>212034</v>
          </cell>
          <cell r="C81">
            <v>6171.9007000000001</v>
          </cell>
          <cell r="D81">
            <v>2.9108070875425641E-2</v>
          </cell>
        </row>
        <row r="82">
          <cell r="A82">
            <v>37043</v>
          </cell>
          <cell r="B82">
            <v>213708</v>
          </cell>
          <cell r="C82">
            <v>4978.8555999999999</v>
          </cell>
          <cell r="D82">
            <v>2.3297469444288468E-2</v>
          </cell>
        </row>
        <row r="83">
          <cell r="A83">
            <v>37073</v>
          </cell>
          <cell r="B83">
            <v>130367</v>
          </cell>
          <cell r="C83">
            <v>4377.5325999999995</v>
          </cell>
          <cell r="D83">
            <v>3.3578532910936043E-2</v>
          </cell>
        </row>
        <row r="84">
          <cell r="A84">
            <v>37104</v>
          </cell>
          <cell r="B84">
            <v>144231</v>
          </cell>
          <cell r="C84">
            <v>4560.2572</v>
          </cell>
          <cell r="D84">
            <v>3.1617732664961068E-2</v>
          </cell>
        </row>
        <row r="85">
          <cell r="A85">
            <v>37135</v>
          </cell>
          <cell r="B85">
            <v>137211</v>
          </cell>
          <cell r="C85">
            <v>6310.1102000000001</v>
          </cell>
          <cell r="D85">
            <v>4.5988369737120199E-2</v>
          </cell>
        </row>
        <row r="86">
          <cell r="A86">
            <v>37165</v>
          </cell>
          <cell r="B86">
            <v>139296</v>
          </cell>
          <cell r="C86">
            <v>6215.2713999999996</v>
          </cell>
          <cell r="D86">
            <v>4.4619166379508385E-2</v>
          </cell>
        </row>
        <row r="87">
          <cell r="A87">
            <v>37196</v>
          </cell>
          <cell r="B87">
            <v>160059</v>
          </cell>
          <cell r="C87">
            <v>6573.5029999999997</v>
          </cell>
          <cell r="D87">
            <v>4.1069249464260049E-2</v>
          </cell>
        </row>
        <row r="88">
          <cell r="A88">
            <v>37226</v>
          </cell>
          <cell r="B88">
            <v>121892</v>
          </cell>
          <cell r="C88">
            <v>4423.0244000000002</v>
          </cell>
          <cell r="D88">
            <v>3.6286420765923935E-2</v>
          </cell>
        </row>
        <row r="89">
          <cell r="A89">
            <v>37257</v>
          </cell>
          <cell r="B89">
            <v>151892.29999999999</v>
          </cell>
          <cell r="C89">
            <v>6704.1661999999997</v>
          </cell>
          <cell r="D89">
            <v>4.4137630413128251E-2</v>
          </cell>
        </row>
        <row r="90">
          <cell r="A90">
            <v>37288</v>
          </cell>
          <cell r="B90">
            <v>110189</v>
          </cell>
          <cell r="C90">
            <v>4812.41</v>
          </cell>
          <cell r="D90">
            <v>4.3674141701984769E-2</v>
          </cell>
        </row>
        <row r="91">
          <cell r="A91">
            <v>37316</v>
          </cell>
          <cell r="B91">
            <v>142584</v>
          </cell>
          <cell r="C91">
            <v>4461.4251000000004</v>
          </cell>
          <cell r="D91">
            <v>3.1289801801043599E-2</v>
          </cell>
        </row>
        <row r="92">
          <cell r="A92">
            <v>37347</v>
          </cell>
          <cell r="B92">
            <v>145596.5</v>
          </cell>
          <cell r="C92">
            <v>5005.8613999999998</v>
          </cell>
          <cell r="D92">
            <v>3.4381742692990561E-2</v>
          </cell>
        </row>
        <row r="93">
          <cell r="A93">
            <v>37377</v>
          </cell>
          <cell r="B93">
            <v>198471</v>
          </cell>
          <cell r="C93">
            <v>6634.1616000000004</v>
          </cell>
          <cell r="D93">
            <v>3.3426352464591809E-2</v>
          </cell>
        </row>
        <row r="94">
          <cell r="A94">
            <v>37408</v>
          </cell>
          <cell r="B94">
            <v>132237</v>
          </cell>
          <cell r="C94">
            <v>4729.8428000000004</v>
          </cell>
          <cell r="D94">
            <v>3.5767922744768865E-2</v>
          </cell>
        </row>
        <row r="95">
          <cell r="A95">
            <v>37438</v>
          </cell>
          <cell r="B95">
            <v>147848</v>
          </cell>
          <cell r="C95">
            <v>8402.5231000000003</v>
          </cell>
          <cell r="D95">
            <v>5.6832172907310213E-2</v>
          </cell>
        </row>
        <row r="96">
          <cell r="A96">
            <v>37469</v>
          </cell>
          <cell r="B96">
            <v>116159</v>
          </cell>
          <cell r="C96">
            <v>5181.5042999999996</v>
          </cell>
          <cell r="D96">
            <v>4.4606998166306526E-2</v>
          </cell>
        </row>
        <row r="97">
          <cell r="A97">
            <v>37500</v>
          </cell>
          <cell r="B97">
            <v>109955.3</v>
          </cell>
          <cell r="C97">
            <v>8352.8685000000005</v>
          </cell>
          <cell r="D97">
            <v>7.5966038017267021E-2</v>
          </cell>
        </row>
        <row r="98">
          <cell r="A98">
            <v>37530</v>
          </cell>
          <cell r="B98">
            <v>119788</v>
          </cell>
          <cell r="C98">
            <v>6320.7695000000003</v>
          </cell>
          <cell r="D98">
            <v>5.2766299629345176E-2</v>
          </cell>
        </row>
        <row r="99">
          <cell r="A99">
            <v>37561</v>
          </cell>
          <cell r="B99">
            <v>127678</v>
          </cell>
          <cell r="C99">
            <v>5404.3886000000002</v>
          </cell>
          <cell r="D99">
            <v>4.2328267986653928E-2</v>
          </cell>
        </row>
        <row r="100">
          <cell r="A100">
            <v>37591</v>
          </cell>
          <cell r="B100">
            <v>96667</v>
          </cell>
          <cell r="C100">
            <v>4591.0990000000002</v>
          </cell>
          <cell r="D100">
            <v>4.7493963813917885E-2</v>
          </cell>
        </row>
        <row r="101">
          <cell r="A101">
            <v>37622</v>
          </cell>
          <cell r="B101">
            <v>122838</v>
          </cell>
          <cell r="C101">
            <v>5888.3980000000001</v>
          </cell>
          <cell r="D101">
            <v>4.7936290073104418E-2</v>
          </cell>
        </row>
        <row r="102">
          <cell r="A102">
            <v>37653</v>
          </cell>
          <cell r="B102">
            <v>107672.9</v>
          </cell>
          <cell r="C102">
            <v>6320.2199000000001</v>
          </cell>
          <cell r="D102">
            <v>5.8698334492708941E-2</v>
          </cell>
        </row>
        <row r="103">
          <cell r="A103">
            <v>37681</v>
          </cell>
          <cell r="B103">
            <v>134486</v>
          </cell>
          <cell r="C103">
            <v>7550.1341000000002</v>
          </cell>
          <cell r="D103">
            <v>5.6140669660782537E-2</v>
          </cell>
        </row>
        <row r="104">
          <cell r="A104">
            <v>37712</v>
          </cell>
          <cell r="B104">
            <v>144276</v>
          </cell>
          <cell r="C104">
            <v>8479.0977000000003</v>
          </cell>
          <cell r="D104">
            <v>5.8769980454129588E-2</v>
          </cell>
        </row>
        <row r="105">
          <cell r="A105">
            <v>37742</v>
          </cell>
          <cell r="B105">
            <v>159051</v>
          </cell>
          <cell r="C105">
            <v>5472.0465999999997</v>
          </cell>
          <cell r="D105">
            <v>3.4404352063174701E-2</v>
          </cell>
        </row>
        <row r="106">
          <cell r="A106">
            <v>37773</v>
          </cell>
          <cell r="B106">
            <v>173304</v>
          </cell>
          <cell r="C106">
            <v>5165.8095999999996</v>
          </cell>
          <cell r="D106">
            <v>2.9807792087891794E-2</v>
          </cell>
        </row>
        <row r="107">
          <cell r="A107">
            <v>37803</v>
          </cell>
          <cell r="B107">
            <v>210920.7</v>
          </cell>
          <cell r="C107">
            <v>5260.5253000000002</v>
          </cell>
          <cell r="D107">
            <v>2.4940773001417119E-2</v>
          </cell>
        </row>
        <row r="108">
          <cell r="A108">
            <v>37834</v>
          </cell>
          <cell r="B108">
            <v>252390</v>
          </cell>
          <cell r="C108">
            <v>6485.0898999999999</v>
          </cell>
          <cell r="D108">
            <v>2.5694718095011688E-2</v>
          </cell>
        </row>
        <row r="109">
          <cell r="A109">
            <v>37865</v>
          </cell>
          <cell r="B109">
            <v>289292</v>
          </cell>
          <cell r="C109">
            <v>8076.7934999999998</v>
          </cell>
          <cell r="D109">
            <v>2.7919173361171411E-2</v>
          </cell>
        </row>
        <row r="110">
          <cell r="A110">
            <v>37895</v>
          </cell>
          <cell r="B110">
            <v>372282</v>
          </cell>
          <cell r="C110">
            <v>9577.9459999999999</v>
          </cell>
          <cell r="D110">
            <v>2.572766343793146E-2</v>
          </cell>
        </row>
        <row r="111">
          <cell r="A111">
            <v>37926</v>
          </cell>
          <cell r="B111">
            <v>252003</v>
          </cell>
          <cell r="C111">
            <v>8082.0406000000003</v>
          </cell>
          <cell r="D111">
            <v>3.2071207882445843E-2</v>
          </cell>
        </row>
        <row r="112">
          <cell r="A112">
            <v>37956</v>
          </cell>
          <cell r="B112">
            <v>327153</v>
          </cell>
          <cell r="C112">
            <v>8625.4822999999997</v>
          </cell>
          <cell r="D112">
            <v>2.6365285661448922E-2</v>
          </cell>
        </row>
        <row r="113">
          <cell r="A113">
            <v>37987</v>
          </cell>
          <cell r="B113">
            <v>442617</v>
          </cell>
          <cell r="C113">
            <v>15659.697899999999</v>
          </cell>
          <cell r="D113">
            <v>3.5379793139441097E-2</v>
          </cell>
        </row>
        <row r="114">
          <cell r="A114">
            <v>38018</v>
          </cell>
          <cell r="B114">
            <v>377991</v>
          </cell>
          <cell r="C114">
            <v>12553.4355</v>
          </cell>
          <cell r="D114">
            <v>3.3210937562005445E-2</v>
          </cell>
        </row>
        <row r="115">
          <cell r="A115">
            <v>38047</v>
          </cell>
          <cell r="B115">
            <v>389093</v>
          </cell>
          <cell r="C115">
            <v>14253.7196</v>
          </cell>
          <cell r="D115">
            <v>3.663319463470173E-2</v>
          </cell>
        </row>
        <row r="116">
          <cell r="A116">
            <v>38078</v>
          </cell>
          <cell r="B116">
            <v>288924</v>
          </cell>
          <cell r="C116">
            <v>11651.812</v>
          </cell>
          <cell r="D116">
            <v>4.0328293945812742E-2</v>
          </cell>
        </row>
        <row r="117">
          <cell r="A117">
            <v>38108</v>
          </cell>
          <cell r="B117">
            <v>274080</v>
          </cell>
          <cell r="C117">
            <v>11152.634899999999</v>
          </cell>
          <cell r="D117">
            <v>4.0691166447752475E-2</v>
          </cell>
        </row>
        <row r="118">
          <cell r="A118">
            <v>38139</v>
          </cell>
          <cell r="B118">
            <v>263233</v>
          </cell>
          <cell r="C118">
            <v>9086.6898000000001</v>
          </cell>
          <cell r="D118">
            <v>3.4519569354906111E-2</v>
          </cell>
        </row>
        <row r="119">
          <cell r="A119">
            <v>38169</v>
          </cell>
          <cell r="B119">
            <v>224761</v>
          </cell>
          <cell r="C119">
            <v>7699.2746999999999</v>
          </cell>
          <cell r="D119">
            <v>3.4255385498373828E-2</v>
          </cell>
        </row>
        <row r="120">
          <cell r="A120">
            <v>38200</v>
          </cell>
          <cell r="B120">
            <v>249929</v>
          </cell>
          <cell r="C120">
            <v>11292.5875</v>
          </cell>
          <cell r="D120">
            <v>4.5183182023694729E-2</v>
          </cell>
        </row>
        <row r="121">
          <cell r="A121">
            <v>38231</v>
          </cell>
          <cell r="B121">
            <v>307213.40000000002</v>
          </cell>
          <cell r="C121">
            <v>8930.6065999999992</v>
          </cell>
          <cell r="D121">
            <v>2.9069717011041833E-2</v>
          </cell>
        </row>
        <row r="122">
          <cell r="A122">
            <v>38261</v>
          </cell>
          <cell r="B122">
            <v>288593</v>
          </cell>
          <cell r="C122">
            <v>8311.2032999999992</v>
          </cell>
          <cell r="D122">
            <v>2.8799046754425781E-2</v>
          </cell>
        </row>
        <row r="123">
          <cell r="A123">
            <v>38292</v>
          </cell>
          <cell r="B123">
            <v>437928</v>
          </cell>
          <cell r="C123">
            <v>9368.5185999999994</v>
          </cell>
          <cell r="D123">
            <v>2.1392828501488829E-2</v>
          </cell>
        </row>
        <row r="124">
          <cell r="A124">
            <v>38322</v>
          </cell>
          <cell r="B124">
            <v>403972</v>
          </cell>
          <cell r="C124">
            <v>10708.713599999999</v>
          </cell>
          <cell r="D124">
            <v>2.6508554058202051E-2</v>
          </cell>
        </row>
        <row r="125">
          <cell r="A125">
            <v>38353</v>
          </cell>
          <cell r="B125">
            <v>403067</v>
          </cell>
          <cell r="C125">
            <v>11510.0486</v>
          </cell>
          <cell r="D125">
            <v>2.8556167088846271E-2</v>
          </cell>
        </row>
        <row r="126">
          <cell r="A126">
            <v>38384</v>
          </cell>
          <cell r="B126">
            <v>286588</v>
          </cell>
          <cell r="C126">
            <v>7823.9346999999998</v>
          </cell>
          <cell r="D126">
            <v>2.7300287171828547E-2</v>
          </cell>
        </row>
        <row r="127">
          <cell r="A127">
            <v>38412</v>
          </cell>
          <cell r="B127">
            <v>391298</v>
          </cell>
          <cell r="C127">
            <v>12148.9493</v>
          </cell>
          <cell r="D127">
            <v>3.1047818542389687E-2</v>
          </cell>
        </row>
        <row r="128">
          <cell r="A128">
            <v>38443</v>
          </cell>
          <cell r="B128">
            <v>298525</v>
          </cell>
          <cell r="C128">
            <v>11565.966</v>
          </cell>
          <cell r="D128">
            <v>3.8743709907042963E-2</v>
          </cell>
        </row>
        <row r="129">
          <cell r="A129">
            <v>38473</v>
          </cell>
          <cell r="B129">
            <v>272445</v>
          </cell>
          <cell r="C129">
            <v>9657.5085999999992</v>
          </cell>
          <cell r="D129">
            <v>3.544755308410872E-2</v>
          </cell>
        </row>
        <row r="130">
          <cell r="A130">
            <v>38504</v>
          </cell>
          <cell r="B130">
            <v>377716</v>
          </cell>
          <cell r="C130">
            <v>14732.0484</v>
          </cell>
          <cell r="D130">
            <v>3.9002976839742028E-2</v>
          </cell>
        </row>
        <row r="131">
          <cell r="A131">
            <v>38534</v>
          </cell>
          <cell r="B131">
            <v>416389</v>
          </cell>
          <cell r="C131">
            <v>16622.9293</v>
          </cell>
          <cell r="D131">
            <v>3.9921634096962214E-2</v>
          </cell>
        </row>
        <row r="132">
          <cell r="A132">
            <v>38565</v>
          </cell>
          <cell r="B132">
            <v>517757</v>
          </cell>
          <cell r="C132">
            <v>16506.634099999999</v>
          </cell>
          <cell r="D132">
            <v>3.1881044775831133E-2</v>
          </cell>
        </row>
        <row r="133">
          <cell r="A133">
            <v>38596</v>
          </cell>
          <cell r="B133">
            <v>379599.4</v>
          </cell>
          <cell r="C133">
            <v>12907.7127</v>
          </cell>
          <cell r="D133">
            <v>3.4003511860134658E-2</v>
          </cell>
        </row>
        <row r="134">
          <cell r="A134">
            <v>38626</v>
          </cell>
          <cell r="B134">
            <v>381029.9</v>
          </cell>
          <cell r="C134">
            <v>13217.409100000001</v>
          </cell>
          <cell r="D134">
            <v>3.4688640182830799E-2</v>
          </cell>
        </row>
        <row r="135">
          <cell r="A135">
            <v>38657</v>
          </cell>
          <cell r="B135">
            <v>394178.5</v>
          </cell>
          <cell r="C135">
            <v>11090.345499999999</v>
          </cell>
          <cell r="D135">
            <v>2.8135338431700359E-2</v>
          </cell>
        </row>
        <row r="136">
          <cell r="A136">
            <v>38687</v>
          </cell>
          <cell r="B136">
            <v>379554.4</v>
          </cell>
          <cell r="C136">
            <v>9889.1389999999992</v>
          </cell>
          <cell r="D136">
            <v>2.6054602449609329E-2</v>
          </cell>
        </row>
        <row r="137">
          <cell r="A137">
            <v>38718</v>
          </cell>
          <cell r="B137">
            <v>575917.25105900003</v>
          </cell>
          <cell r="C137">
            <v>22433.182100000002</v>
          </cell>
          <cell r="D137">
            <v>3.8952092611828755E-2</v>
          </cell>
        </row>
        <row r="138">
          <cell r="A138">
            <v>38749</v>
          </cell>
          <cell r="B138">
            <v>652329.26099600003</v>
          </cell>
          <cell r="C138">
            <v>21045.418300000001</v>
          </cell>
          <cell r="D138">
            <v>3.2261956589019314E-2</v>
          </cell>
        </row>
        <row r="139">
          <cell r="A139">
            <v>38777</v>
          </cell>
          <cell r="B139">
            <v>692011</v>
          </cell>
          <cell r="C139">
            <v>26736.5455</v>
          </cell>
          <cell r="D139">
            <v>3.8636012288821998E-2</v>
          </cell>
        </row>
        <row r="140">
          <cell r="A140">
            <v>38808</v>
          </cell>
          <cell r="B140">
            <v>640816.19719700003</v>
          </cell>
          <cell r="C140">
            <v>27647.3878</v>
          </cell>
          <cell r="D140">
            <v>4.3144021516517049E-2</v>
          </cell>
        </row>
        <row r="141">
          <cell r="A141">
            <v>38838</v>
          </cell>
          <cell r="B141">
            <v>709112.594468</v>
          </cell>
          <cell r="C141">
            <v>41990.0936</v>
          </cell>
          <cell r="D141">
            <v>5.9214987757342505E-2</v>
          </cell>
        </row>
      </sheetData>
      <sheetData sheetId="51" refreshError="1">
        <row r="1">
          <cell r="A1" t="str">
            <v>Company</v>
          </cell>
          <cell r="B1" t="str">
            <v>Major Shareholders</v>
          </cell>
          <cell r="C1" t="str">
            <v>% Holding</v>
          </cell>
        </row>
        <row r="2">
          <cell r="A2" t="str">
            <v>HKEx</v>
          </cell>
          <cell r="B2" t="str">
            <v>Newton Investment</v>
          </cell>
          <cell r="C2">
            <v>4.9070000000000003E-2</v>
          </cell>
        </row>
        <row r="3">
          <cell r="B3" t="str">
            <v>Thornburg Management</v>
          </cell>
          <cell r="C3">
            <v>2.9659999999999999E-2</v>
          </cell>
        </row>
        <row r="4">
          <cell r="B4" t="str">
            <v xml:space="preserve">Fidelity </v>
          </cell>
          <cell r="C4">
            <v>1.38E-2</v>
          </cell>
        </row>
        <row r="5">
          <cell r="A5" t="str">
            <v>SGX</v>
          </cell>
          <cell r="B5" t="str">
            <v>Temasek</v>
          </cell>
          <cell r="C5">
            <v>0.24</v>
          </cell>
        </row>
        <row r="6">
          <cell r="B6" t="str">
            <v>Capital Group</v>
          </cell>
          <cell r="C6">
            <v>5.1810000000000002E-2</v>
          </cell>
        </row>
        <row r="7">
          <cell r="B7" t="str">
            <v>Capital Research Management</v>
          </cell>
          <cell r="C7">
            <v>3.1759999999999997E-2</v>
          </cell>
        </row>
        <row r="8">
          <cell r="B8" t="str">
            <v>Matthews International</v>
          </cell>
          <cell r="C8">
            <v>1.244E-2</v>
          </cell>
        </row>
        <row r="9">
          <cell r="A9" t="str">
            <v>Bursa</v>
          </cell>
          <cell r="B9" t="str">
            <v>Capital Research Management</v>
          </cell>
          <cell r="C9">
            <v>2.3869999999999999E-2</v>
          </cell>
        </row>
        <row r="10">
          <cell r="B10" t="str">
            <v>T Rowe Price Int</v>
          </cell>
          <cell r="C10">
            <v>1.695E-2</v>
          </cell>
        </row>
        <row r="11">
          <cell r="B11" t="str">
            <v>Newton Investment</v>
          </cell>
          <cell r="C11">
            <v>1.52E-2</v>
          </cell>
        </row>
        <row r="12">
          <cell r="A12" t="str">
            <v>ASX</v>
          </cell>
          <cell r="B12" t="str">
            <v>Barclays Group</v>
          </cell>
          <cell r="C12">
            <v>8.6059999999999998E-2</v>
          </cell>
        </row>
        <row r="13">
          <cell r="B13" t="str">
            <v>Commonwealth Bank</v>
          </cell>
          <cell r="C13">
            <v>6.3219999999999998E-2</v>
          </cell>
        </row>
        <row r="14">
          <cell r="B14" t="str">
            <v xml:space="preserve">Fidelity </v>
          </cell>
          <cell r="C14">
            <v>5.8799999999999998E-3</v>
          </cell>
        </row>
        <row r="15">
          <cell r="A15" t="str">
            <v>Osaka</v>
          </cell>
          <cell r="B15" t="str">
            <v xml:space="preserve">Fidelity </v>
          </cell>
          <cell r="C15">
            <v>8.4760000000000002E-2</v>
          </cell>
        </row>
        <row r="16">
          <cell r="B16" t="str">
            <v>Morgan Stanley</v>
          </cell>
          <cell r="C16">
            <v>8.1629999999999994E-2</v>
          </cell>
        </row>
        <row r="17">
          <cell r="B17" t="str">
            <v>Indus Capital</v>
          </cell>
          <cell r="C17">
            <v>7.2319999999999995E-2</v>
          </cell>
        </row>
        <row r="18">
          <cell r="B18" t="str">
            <v>CSK Holdings</v>
          </cell>
          <cell r="C18">
            <v>5.4769999999999999E-2</v>
          </cell>
        </row>
        <row r="19">
          <cell r="B19" t="str">
            <v>Master Trust</v>
          </cell>
          <cell r="C19">
            <v>4.6519999999999999E-2</v>
          </cell>
        </row>
      </sheetData>
      <sheetData sheetId="52"/>
      <sheetData sheetId="53"/>
      <sheetData sheetId="54"/>
      <sheetData sheetId="55" refreshError="1">
        <row r="1">
          <cell r="B1" t="str">
            <v>Trading Hours</v>
          </cell>
          <cell r="C1" t="str">
            <v>Effective Trading Hours</v>
          </cell>
        </row>
        <row r="2">
          <cell r="A2" t="str">
            <v>HKEx</v>
          </cell>
          <cell r="B2" t="str">
            <v>10:00am - 12:30pm; 2:30pm to 4:00pm</v>
          </cell>
          <cell r="C2">
            <v>4</v>
          </cell>
        </row>
        <row r="3">
          <cell r="A3" t="str">
            <v>Bursa Malaysia</v>
          </cell>
          <cell r="B3" t="str">
            <v>9.00am - 12.30pm; 2.30pm - 5.00pm</v>
          </cell>
          <cell r="C3">
            <v>6</v>
          </cell>
          <cell r="D3" t="str">
            <v>http://www.klse.com.my/website/trading/tradingsession.htm</v>
          </cell>
        </row>
        <row r="4">
          <cell r="A4" t="str">
            <v>ASX</v>
          </cell>
          <cell r="B4" t="str">
            <v>10am - 4pm</v>
          </cell>
          <cell r="C4">
            <v>6</v>
          </cell>
          <cell r="D4" t="str">
            <v>http://www.asx.com.au/investor/education/basics/trading_hours.htm</v>
          </cell>
        </row>
        <row r="5">
          <cell r="A5" t="str">
            <v>SGX</v>
          </cell>
          <cell r="B5" t="str">
            <v>9.00am-12.30pm and 2.00pm-5.00pm</v>
          </cell>
          <cell r="C5">
            <v>6.5</v>
          </cell>
          <cell r="D5" t="str">
            <v>http://info.sgx.com/SGXWeb_ST.nsf/NEWDOCNAME/ST_Trading_Calendar?opendocument&amp;sidenav=Intermediaries</v>
          </cell>
        </row>
        <row r="6">
          <cell r="A6" t="str">
            <v>NYSE</v>
          </cell>
          <cell r="B6" t="str">
            <v>9:00am - 4:00pm</v>
          </cell>
          <cell r="C6">
            <v>7</v>
          </cell>
          <cell r="D6" t="str">
            <v>http://dynamic.nasdaq.com/dynamic/afterhourmanyse.stm</v>
          </cell>
        </row>
        <row r="7">
          <cell r="A7" t="str">
            <v>LSE</v>
          </cell>
          <cell r="B7" t="str">
            <v>8:00am to 4:30pm</v>
          </cell>
          <cell r="C7">
            <v>8.5</v>
          </cell>
          <cell r="D7" t="str">
            <v>http://webapp.ms.com/funding/gnmMain/webapp/</v>
          </cell>
        </row>
        <row r="8">
          <cell r="A8" t="str">
            <v>CBOT</v>
          </cell>
          <cell r="B8" t="str">
            <v>6:00pm - 4:00pm (the following day)</v>
          </cell>
          <cell r="C8">
            <v>22</v>
          </cell>
          <cell r="D8" t="str">
            <v>http://www.cbot.com/cbot/pub/cont_detail/0,3206,1236+29297,00.html</v>
          </cell>
        </row>
      </sheetData>
      <sheetData sheetId="56" refreshError="1">
        <row r="1">
          <cell r="B1" t="str">
            <v>Important Notice : When using these data, please always mention World Federation of Exchanges as the source of information.</v>
          </cell>
        </row>
        <row r="9">
          <cell r="I9" t="str">
            <v>(USD millions)</v>
          </cell>
        </row>
        <row r="11">
          <cell r="B11" t="str">
            <v>Exchange</v>
          </cell>
          <cell r="C11">
            <v>1990</v>
          </cell>
          <cell r="D11">
            <v>1991</v>
          </cell>
          <cell r="E11">
            <v>1992</v>
          </cell>
          <cell r="F11">
            <v>1993</v>
          </cell>
          <cell r="G11">
            <v>1994</v>
          </cell>
          <cell r="H11">
            <v>1995</v>
          </cell>
          <cell r="I11">
            <v>1996</v>
          </cell>
          <cell r="J11">
            <v>1997</v>
          </cell>
          <cell r="K11">
            <v>1998</v>
          </cell>
          <cell r="L11">
            <v>1999</v>
          </cell>
          <cell r="M11">
            <v>2000</v>
          </cell>
          <cell r="N11">
            <v>2001</v>
          </cell>
          <cell r="O11">
            <v>2002</v>
          </cell>
          <cell r="P11">
            <v>2003</v>
          </cell>
          <cell r="Q11">
            <v>2004</v>
          </cell>
          <cell r="R11">
            <v>2005</v>
          </cell>
          <cell r="S11" t="str">
            <v>2006 Annualised</v>
          </cell>
          <cell r="T11" t="str">
            <v>2006/1-2</v>
          </cell>
          <cell r="V11" t="str">
            <v>05/06E Chg</v>
          </cell>
        </row>
        <row r="13">
          <cell r="Q13" t="str">
            <v>Stock exchanges use different definitions and calculation methods</v>
          </cell>
        </row>
        <row r="14">
          <cell r="B14" t="str">
            <v>Americas</v>
          </cell>
          <cell r="Q14" t="str">
            <v>to compile turnover statistics.</v>
          </cell>
        </row>
        <row r="15">
          <cell r="B15" t="str">
            <v xml:space="preserve">Amex </v>
          </cell>
          <cell r="C15">
            <v>37715</v>
          </cell>
          <cell r="D15">
            <v>40919.300000000003</v>
          </cell>
          <cell r="E15">
            <v>42236.3</v>
          </cell>
          <cell r="F15">
            <v>42236.3</v>
          </cell>
          <cell r="G15">
            <v>58511.093000000001</v>
          </cell>
          <cell r="H15">
            <v>72716.797999999981</v>
          </cell>
          <cell r="I15">
            <v>91330.1</v>
          </cell>
          <cell r="J15">
            <v>143230.1</v>
          </cell>
          <cell r="K15">
            <v>287928.8</v>
          </cell>
          <cell r="L15">
            <v>477821.7</v>
          </cell>
          <cell r="M15">
            <v>945390.7</v>
          </cell>
          <cell r="N15">
            <v>817041.6</v>
          </cell>
          <cell r="O15">
            <v>642181</v>
          </cell>
          <cell r="P15">
            <v>563433.69999999995</v>
          </cell>
          <cell r="Q15" t="str">
            <v>Therefore, comparisons are not valid between stock exchanges.</v>
          </cell>
        </row>
        <row r="16">
          <cell r="B16" t="str">
            <v xml:space="preserve">Bermuda </v>
          </cell>
          <cell r="C16" t="str">
            <v>NA</v>
          </cell>
          <cell r="D16" t="str">
            <v>NA</v>
          </cell>
          <cell r="E16" t="str">
            <v>NA</v>
          </cell>
          <cell r="F16" t="str">
            <v>NA</v>
          </cell>
          <cell r="G16" t="str">
            <v>NA</v>
          </cell>
          <cell r="H16" t="str">
            <v>NA</v>
          </cell>
          <cell r="I16">
            <v>3410.4</v>
          </cell>
          <cell r="J16">
            <v>11170.2</v>
          </cell>
          <cell r="K16">
            <v>27934.1</v>
          </cell>
          <cell r="L16">
            <v>87150.9</v>
          </cell>
          <cell r="M16">
            <v>252849.7</v>
          </cell>
          <cell r="N16">
            <v>436474.2</v>
          </cell>
          <cell r="O16">
            <v>413743.5</v>
          </cell>
          <cell r="P16">
            <v>364948.73</v>
          </cell>
        </row>
        <row r="17">
          <cell r="B17" t="str">
            <v xml:space="preserve">Buenos Aires </v>
          </cell>
          <cell r="C17">
            <v>779.5</v>
          </cell>
          <cell r="D17">
            <v>4584</v>
          </cell>
          <cell r="E17">
            <v>15846.4</v>
          </cell>
          <cell r="F17">
            <v>49690.3</v>
          </cell>
          <cell r="G17">
            <v>112986.57233804183</v>
          </cell>
          <cell r="H17">
            <v>31932.608797059889</v>
          </cell>
          <cell r="I17">
            <v>31325.658781571557</v>
          </cell>
          <cell r="J17">
            <v>38424</v>
          </cell>
          <cell r="K17">
            <v>26055.8</v>
          </cell>
          <cell r="L17">
            <v>11874.8</v>
          </cell>
          <cell r="M17">
            <v>9700.7999999999993</v>
          </cell>
          <cell r="N17">
            <v>7564.1</v>
          </cell>
          <cell r="O17">
            <v>1277.4000000000001</v>
          </cell>
          <cell r="P17">
            <v>3078.176843886617</v>
          </cell>
        </row>
        <row r="18">
          <cell r="B18" t="str">
            <v xml:space="preserve">Lima </v>
          </cell>
          <cell r="C18">
            <v>99</v>
          </cell>
          <cell r="D18">
            <v>130</v>
          </cell>
          <cell r="E18">
            <v>417</v>
          </cell>
          <cell r="F18">
            <v>1672</v>
          </cell>
          <cell r="G18">
            <v>3091.4</v>
          </cell>
          <cell r="H18">
            <v>3811.9</v>
          </cell>
          <cell r="I18">
            <v>3830.1</v>
          </cell>
          <cell r="J18">
            <v>4278.6000000000004</v>
          </cell>
          <cell r="K18">
            <v>3050.3</v>
          </cell>
          <cell r="L18">
            <v>2728.6572131615508</v>
          </cell>
          <cell r="M18">
            <v>2517.9</v>
          </cell>
          <cell r="N18">
            <v>934.2</v>
          </cell>
          <cell r="O18">
            <v>1186.5999999999999</v>
          </cell>
          <cell r="P18">
            <v>1139.8441095260009</v>
          </cell>
        </row>
        <row r="19">
          <cell r="B19" t="str">
            <v xml:space="preserve">Mexico </v>
          </cell>
          <cell r="C19">
            <v>12168.9</v>
          </cell>
          <cell r="D19">
            <v>39550.699999999997</v>
          </cell>
          <cell r="E19">
            <v>51397.599999999999</v>
          </cell>
          <cell r="F19">
            <v>63739.5</v>
          </cell>
          <cell r="G19">
            <v>86333.524185752191</v>
          </cell>
          <cell r="H19">
            <v>35037.198354188746</v>
          </cell>
          <cell r="I19">
            <v>43583.7</v>
          </cell>
          <cell r="J19">
            <v>54961.921999589911</v>
          </cell>
          <cell r="K19">
            <v>31192.400000000001</v>
          </cell>
          <cell r="L19">
            <v>35172.300000000003</v>
          </cell>
          <cell r="M19">
            <v>45768.4</v>
          </cell>
          <cell r="N19">
            <v>38468.9</v>
          </cell>
          <cell r="O19">
            <v>32285.599999999999</v>
          </cell>
          <cell r="P19">
            <v>25867.988906217586</v>
          </cell>
        </row>
        <row r="20">
          <cell r="B20" t="str">
            <v xml:space="preserve">Nasdaq </v>
          </cell>
          <cell r="C20">
            <v>452430</v>
          </cell>
          <cell r="D20">
            <v>693851.9</v>
          </cell>
          <cell r="E20">
            <v>891055</v>
          </cell>
          <cell r="F20">
            <v>1350103.8</v>
          </cell>
          <cell r="G20">
            <v>1449300.6</v>
          </cell>
          <cell r="H20">
            <v>2398213</v>
          </cell>
          <cell r="I20">
            <v>3301776.1</v>
          </cell>
          <cell r="J20">
            <v>4481682.0999999996</v>
          </cell>
          <cell r="K20">
            <v>5518946.2999999998</v>
          </cell>
          <cell r="L20">
            <v>10467369.300000001</v>
          </cell>
          <cell r="M20">
            <v>19798799.300000001</v>
          </cell>
          <cell r="N20">
            <v>10934572.5</v>
          </cell>
          <cell r="O20">
            <v>7254594.2999999998</v>
          </cell>
          <cell r="P20">
            <v>7068213.1599999983</v>
          </cell>
          <cell r="Q20">
            <v>8767121.2100000009</v>
          </cell>
          <cell r="R20">
            <v>10086739.960000001</v>
          </cell>
          <cell r="S20">
            <v>12244172.459999999</v>
          </cell>
          <cell r="T20">
            <v>2040695.41</v>
          </cell>
          <cell r="V20">
            <v>0.21388798646098905</v>
          </cell>
        </row>
        <row r="21">
          <cell r="B21" t="str">
            <v xml:space="preserve">NYSE </v>
          </cell>
          <cell r="C21">
            <v>1325332.3999999999</v>
          </cell>
          <cell r="D21">
            <v>1520164</v>
          </cell>
          <cell r="E21">
            <v>1745466.4</v>
          </cell>
          <cell r="F21">
            <v>2283389.6</v>
          </cell>
          <cell r="G21">
            <v>2454241.6</v>
          </cell>
          <cell r="H21">
            <v>3082916.1</v>
          </cell>
          <cell r="I21">
            <v>4063654.6</v>
          </cell>
          <cell r="J21">
            <v>5777601.5</v>
          </cell>
          <cell r="K21">
            <v>7317948.5</v>
          </cell>
          <cell r="L21">
            <v>8945205.1999999993</v>
          </cell>
          <cell r="M21">
            <v>11060046</v>
          </cell>
          <cell r="N21">
            <v>10489030.6</v>
          </cell>
          <cell r="O21">
            <v>10310055.199999999</v>
          </cell>
          <cell r="P21">
            <v>9691335.3000000007</v>
          </cell>
          <cell r="Q21">
            <v>11618150.699999999</v>
          </cell>
          <cell r="R21">
            <v>14125294.099999998</v>
          </cell>
          <cell r="S21">
            <v>15849245.399999999</v>
          </cell>
          <cell r="T21">
            <v>2641540.9</v>
          </cell>
          <cell r="V21">
            <v>0.1220471083855168</v>
          </cell>
        </row>
        <row r="22">
          <cell r="B22" t="str">
            <v xml:space="preserve">Santiago </v>
          </cell>
          <cell r="C22">
            <v>758.6</v>
          </cell>
          <cell r="D22">
            <v>1879.8</v>
          </cell>
          <cell r="E22">
            <v>2055.1999999999998</v>
          </cell>
          <cell r="F22">
            <v>2809.1</v>
          </cell>
          <cell r="G22">
            <v>5370.4788103472638</v>
          </cell>
          <cell r="H22">
            <v>11411.640830404725</v>
          </cell>
          <cell r="I22">
            <v>8488.27</v>
          </cell>
          <cell r="J22">
            <v>7443.7712804234634</v>
          </cell>
          <cell r="K22">
            <v>4411.5</v>
          </cell>
          <cell r="L22">
            <v>6859.3859200975367</v>
          </cell>
          <cell r="M22">
            <v>6083.3</v>
          </cell>
          <cell r="N22">
            <v>4450.3999999999996</v>
          </cell>
          <cell r="O22">
            <v>3011.2</v>
          </cell>
          <cell r="P22">
            <v>6647.2999623086571</v>
          </cell>
          <cell r="S22">
            <v>0</v>
          </cell>
        </row>
        <row r="23">
          <cell r="B23" t="str">
            <v xml:space="preserve">Sao Paulo </v>
          </cell>
          <cell r="C23">
            <v>3966.7</v>
          </cell>
          <cell r="D23">
            <v>6940.7</v>
          </cell>
          <cell r="E23">
            <v>14782.1</v>
          </cell>
          <cell r="F23">
            <v>27081.200000000001</v>
          </cell>
          <cell r="G23">
            <v>66359.997899581882</v>
          </cell>
          <cell r="H23">
            <v>57024.532556861523</v>
          </cell>
          <cell r="I23">
            <v>97510.399999999994</v>
          </cell>
          <cell r="J23">
            <v>190657.49332626784</v>
          </cell>
          <cell r="K23">
            <v>139583.29999999999</v>
          </cell>
          <cell r="L23">
            <v>83771.740390634324</v>
          </cell>
          <cell r="M23">
            <v>101537.4</v>
          </cell>
          <cell r="N23">
            <v>63475.4</v>
          </cell>
          <cell r="O23">
            <v>46300.2</v>
          </cell>
          <cell r="P23">
            <v>66427.52101869235</v>
          </cell>
          <cell r="S23">
            <v>0</v>
          </cell>
        </row>
        <row r="24">
          <cell r="B24" t="str">
            <v>TSX Group</v>
          </cell>
          <cell r="C24">
            <v>54776.3</v>
          </cell>
          <cell r="D24">
            <v>59132.4</v>
          </cell>
          <cell r="E24">
            <v>62735.199999999997</v>
          </cell>
          <cell r="F24">
            <v>113795</v>
          </cell>
          <cell r="G24">
            <v>133421.25442519839</v>
          </cell>
          <cell r="H24">
            <v>151559.13853965382</v>
          </cell>
          <cell r="I24">
            <v>221215.92</v>
          </cell>
          <cell r="J24">
            <v>305154.94579163211</v>
          </cell>
          <cell r="K24">
            <v>331847.7</v>
          </cell>
          <cell r="L24">
            <v>357442.5</v>
          </cell>
          <cell r="M24">
            <v>636533.30000000005</v>
          </cell>
          <cell r="N24">
            <v>461556.5</v>
          </cell>
          <cell r="O24">
            <v>408164.9</v>
          </cell>
          <cell r="P24">
            <v>471543.89079480834</v>
          </cell>
          <cell r="S24">
            <v>0</v>
          </cell>
        </row>
        <row r="25">
          <cell r="S25">
            <v>0</v>
          </cell>
        </row>
        <row r="26">
          <cell r="B26" t="str">
            <v>Europe - Africa - Middle East</v>
          </cell>
          <cell r="S26">
            <v>0</v>
          </cell>
        </row>
        <row r="27">
          <cell r="B27" t="str">
            <v xml:space="preserve">Athens </v>
          </cell>
          <cell r="C27">
            <v>3840.06</v>
          </cell>
          <cell r="D27">
            <v>2400.56</v>
          </cell>
          <cell r="E27">
            <v>1612.06</v>
          </cell>
          <cell r="F27">
            <v>2778.96</v>
          </cell>
          <cell r="G27">
            <v>5186.8244341908876</v>
          </cell>
          <cell r="H27">
            <v>6076.8607618878477</v>
          </cell>
          <cell r="I27">
            <v>8234.39</v>
          </cell>
          <cell r="J27">
            <v>21136.6</v>
          </cell>
          <cell r="K27">
            <v>50019.5</v>
          </cell>
          <cell r="L27">
            <v>189280.00923497704</v>
          </cell>
          <cell r="M27">
            <v>94162.7</v>
          </cell>
          <cell r="N27">
            <v>37811.599999999999</v>
          </cell>
          <cell r="O27">
            <v>23461.5</v>
          </cell>
          <cell r="P27">
            <v>39672.198320792973</v>
          </cell>
          <cell r="S27">
            <v>0</v>
          </cell>
        </row>
        <row r="28">
          <cell r="B28" t="str">
            <v>Borsa Italiana</v>
          </cell>
          <cell r="C28">
            <v>42172</v>
          </cell>
          <cell r="D28">
            <v>23448.2</v>
          </cell>
          <cell r="E28">
            <v>27659.5</v>
          </cell>
          <cell r="F28">
            <v>66040</v>
          </cell>
          <cell r="G28">
            <v>119389.34953647613</v>
          </cell>
          <cell r="H28">
            <v>87117.58383336266</v>
          </cell>
          <cell r="I28">
            <v>102568</v>
          </cell>
          <cell r="J28">
            <v>203279.9539628888</v>
          </cell>
          <cell r="K28">
            <v>486506.7</v>
          </cell>
          <cell r="L28">
            <v>539449.19564242591</v>
          </cell>
          <cell r="M28">
            <v>1019625.3</v>
          </cell>
          <cell r="N28">
            <v>633936.5</v>
          </cell>
          <cell r="O28">
            <v>634496.19999999995</v>
          </cell>
          <cell r="P28">
            <v>820641.6617705588</v>
          </cell>
          <cell r="S28">
            <v>0</v>
          </cell>
        </row>
        <row r="29">
          <cell r="B29" t="str">
            <v xml:space="preserve">Budapest </v>
          </cell>
          <cell r="C29" t="str">
            <v>NA</v>
          </cell>
          <cell r="D29" t="str">
            <v>NA</v>
          </cell>
          <cell r="E29" t="str">
            <v>NA</v>
          </cell>
          <cell r="F29" t="str">
            <v>NA</v>
          </cell>
          <cell r="G29" t="str">
            <v>NA</v>
          </cell>
          <cell r="H29" t="str">
            <v>NA</v>
          </cell>
          <cell r="I29" t="str">
            <v>NA</v>
          </cell>
          <cell r="J29" t="str">
            <v>NA</v>
          </cell>
          <cell r="K29" t="str">
            <v>NA</v>
          </cell>
          <cell r="L29" t="str">
            <v>NA</v>
          </cell>
          <cell r="M29">
            <v>12162.4</v>
          </cell>
          <cell r="N29">
            <v>4815.2</v>
          </cell>
          <cell r="O29">
            <v>5908.1</v>
          </cell>
          <cell r="P29">
            <v>8269.896581462448</v>
          </cell>
          <cell r="S29">
            <v>0</v>
          </cell>
        </row>
        <row r="30">
          <cell r="B30" t="str">
            <v xml:space="preserve">Copenhagen </v>
          </cell>
          <cell r="C30">
            <v>11349.4</v>
          </cell>
          <cell r="D30">
            <v>10499.4</v>
          </cell>
          <cell r="E30">
            <v>22435.1</v>
          </cell>
          <cell r="F30">
            <v>23674.9</v>
          </cell>
          <cell r="G30">
            <v>27404.519773733511</v>
          </cell>
          <cell r="H30">
            <v>28336.374170123345</v>
          </cell>
          <cell r="I30">
            <v>36439.599999999999</v>
          </cell>
          <cell r="J30">
            <v>46731.5</v>
          </cell>
          <cell r="K30">
            <v>64954.1</v>
          </cell>
          <cell r="L30">
            <v>66605</v>
          </cell>
          <cell r="M30">
            <v>102636.1</v>
          </cell>
          <cell r="N30">
            <v>70771.5</v>
          </cell>
          <cell r="O30">
            <v>53262.2</v>
          </cell>
          <cell r="P30">
            <v>67958.777076486964</v>
          </cell>
          <cell r="S30">
            <v>0</v>
          </cell>
        </row>
        <row r="31">
          <cell r="B31" t="str">
            <v xml:space="preserve">Deutsche Börse </v>
          </cell>
          <cell r="C31">
            <v>508706.7</v>
          </cell>
          <cell r="D31">
            <v>404648.8</v>
          </cell>
          <cell r="E31">
            <v>454205.5</v>
          </cell>
          <cell r="F31">
            <v>563961.5</v>
          </cell>
          <cell r="G31">
            <v>592103.91471113486</v>
          </cell>
          <cell r="H31">
            <v>593936.19639226445</v>
          </cell>
          <cell r="I31">
            <v>811626</v>
          </cell>
          <cell r="J31">
            <v>1067688.3178671156</v>
          </cell>
          <cell r="K31">
            <v>1491795.7</v>
          </cell>
          <cell r="L31">
            <v>1551467.4</v>
          </cell>
          <cell r="M31">
            <v>2119784.7000000002</v>
          </cell>
          <cell r="N31">
            <v>1423370.8</v>
          </cell>
          <cell r="O31">
            <v>1212301.6000000001</v>
          </cell>
          <cell r="P31">
            <v>1299327.4453689137</v>
          </cell>
          <cell r="S31">
            <v>0</v>
          </cell>
        </row>
        <row r="32">
          <cell r="B32" t="str">
            <v xml:space="preserve">Euronext </v>
          </cell>
          <cell r="C32" t="str">
            <v>-</v>
          </cell>
          <cell r="D32" t="str">
            <v>-</v>
          </cell>
          <cell r="E32" t="str">
            <v>-</v>
          </cell>
          <cell r="F32" t="str">
            <v>-</v>
          </cell>
          <cell r="G32" t="str">
            <v>-</v>
          </cell>
          <cell r="H32" t="str">
            <v>-</v>
          </cell>
          <cell r="I32" t="str">
            <v>-</v>
          </cell>
          <cell r="J32" t="str">
            <v>-</v>
          </cell>
          <cell r="K32" t="str">
            <v>-</v>
          </cell>
          <cell r="L32" t="str">
            <v>-</v>
          </cell>
          <cell r="M32" t="str">
            <v>-</v>
          </cell>
          <cell r="N32">
            <v>2092540.4</v>
          </cell>
          <cell r="O32">
            <v>1974133.7</v>
          </cell>
          <cell r="P32">
            <v>1936572.9772757422</v>
          </cell>
          <cell r="S32">
            <v>0</v>
          </cell>
        </row>
        <row r="33">
          <cell r="B33" t="str">
            <v xml:space="preserve">Euronext Amsterdam </v>
          </cell>
          <cell r="C33">
            <v>40822.5</v>
          </cell>
          <cell r="D33">
            <v>38915.599999999999</v>
          </cell>
          <cell r="E33">
            <v>45727.7</v>
          </cell>
          <cell r="F33">
            <v>66368.100000000006</v>
          </cell>
          <cell r="G33">
            <v>85262.859238753299</v>
          </cell>
          <cell r="H33">
            <v>124324.14166278015</v>
          </cell>
          <cell r="I33">
            <v>191101.91161786477</v>
          </cell>
          <cell r="J33">
            <v>279688.09999999998</v>
          </cell>
          <cell r="K33">
            <v>409520.4</v>
          </cell>
          <cell r="L33">
            <v>471226.3</v>
          </cell>
          <cell r="M33">
            <v>678763.7</v>
          </cell>
          <cell r="N33" t="str">
            <v>-</v>
          </cell>
          <cell r="O33" t="str">
            <v>-</v>
          </cell>
          <cell r="P33" t="str">
            <v>-</v>
          </cell>
          <cell r="S33">
            <v>0</v>
          </cell>
        </row>
        <row r="34">
          <cell r="B34" t="str">
            <v xml:space="preserve">Euronext Brussels </v>
          </cell>
          <cell r="C34">
            <v>9110.1</v>
          </cell>
          <cell r="D34">
            <v>8225.5</v>
          </cell>
          <cell r="E34">
            <v>9753.7000000000007</v>
          </cell>
          <cell r="F34">
            <v>13960.9</v>
          </cell>
          <cell r="G34">
            <v>16112.529510480712</v>
          </cell>
          <cell r="H34">
            <v>18342.945808303961</v>
          </cell>
          <cell r="I34">
            <v>25414.799999999999</v>
          </cell>
          <cell r="J34">
            <v>33867.383781986893</v>
          </cell>
          <cell r="K34">
            <v>60928.4</v>
          </cell>
          <cell r="L34">
            <v>58628.6</v>
          </cell>
          <cell r="M34">
            <v>43787.1</v>
          </cell>
          <cell r="N34" t="str">
            <v>-</v>
          </cell>
          <cell r="O34" t="str">
            <v>-</v>
          </cell>
          <cell r="P34" t="str">
            <v>-</v>
          </cell>
          <cell r="S34">
            <v>0</v>
          </cell>
        </row>
        <row r="35">
          <cell r="B35" t="str">
            <v xml:space="preserve">Euronext Lisbon </v>
          </cell>
          <cell r="C35" t="str">
            <v>-</v>
          </cell>
          <cell r="D35" t="str">
            <v>-</v>
          </cell>
          <cell r="E35" t="str">
            <v>-</v>
          </cell>
          <cell r="F35">
            <v>2438.9</v>
          </cell>
          <cell r="G35">
            <v>5176.8999999999996</v>
          </cell>
          <cell r="H35">
            <v>4240.8999999999996</v>
          </cell>
          <cell r="I35">
            <v>7244.6</v>
          </cell>
          <cell r="J35">
            <v>20808.099999999999</v>
          </cell>
          <cell r="K35">
            <v>50076.800000000003</v>
          </cell>
          <cell r="L35">
            <v>40479.29</v>
          </cell>
          <cell r="M35">
            <v>54896.6</v>
          </cell>
          <cell r="N35">
            <v>27601.725138488346</v>
          </cell>
          <cell r="O35" t="str">
            <v>-</v>
          </cell>
          <cell r="P35" t="str">
            <v>-</v>
          </cell>
          <cell r="S35">
            <v>0</v>
          </cell>
        </row>
        <row r="36">
          <cell r="B36" t="str">
            <v xml:space="preserve">Euronext Paris </v>
          </cell>
          <cell r="C36">
            <v>121063.7</v>
          </cell>
          <cell r="D36">
            <v>116649</v>
          </cell>
          <cell r="E36">
            <v>124879.1</v>
          </cell>
          <cell r="F36">
            <v>170361.5</v>
          </cell>
          <cell r="G36">
            <v>202069.60673028973</v>
          </cell>
          <cell r="H36">
            <v>213160.9809936228</v>
          </cell>
          <cell r="I36">
            <v>282014.40000000002</v>
          </cell>
          <cell r="J36">
            <v>414320.8538180457</v>
          </cell>
          <cell r="K36">
            <v>587853.80000000005</v>
          </cell>
          <cell r="L36">
            <v>770075.55562705174</v>
          </cell>
          <cell r="M36">
            <v>1064866</v>
          </cell>
          <cell r="N36" t="str">
            <v>-</v>
          </cell>
          <cell r="O36" t="str">
            <v>-</v>
          </cell>
          <cell r="P36" t="str">
            <v>-</v>
          </cell>
          <cell r="S36">
            <v>0</v>
          </cell>
        </row>
        <row r="37">
          <cell r="B37" t="str">
            <v xml:space="preserve">Helsinki </v>
          </cell>
          <cell r="C37">
            <v>3975.1</v>
          </cell>
          <cell r="D37">
            <v>1552.8</v>
          </cell>
          <cell r="E37">
            <v>2181.9</v>
          </cell>
          <cell r="F37">
            <v>7859.2</v>
          </cell>
          <cell r="G37">
            <v>13297.934961377176</v>
          </cell>
          <cell r="H37">
            <v>19206.512548651026</v>
          </cell>
          <cell r="I37">
            <v>21961.200000000001</v>
          </cell>
          <cell r="J37">
            <v>36251.877795567678</v>
          </cell>
          <cell r="K37">
            <v>61116.9</v>
          </cell>
          <cell r="L37">
            <v>109901.63096363517</v>
          </cell>
          <cell r="M37">
            <v>208326.1</v>
          </cell>
          <cell r="N37">
            <v>180927</v>
          </cell>
          <cell r="O37">
            <v>178202.4</v>
          </cell>
          <cell r="P37">
            <v>165622.27697439489</v>
          </cell>
          <cell r="S37">
            <v>0</v>
          </cell>
        </row>
        <row r="38">
          <cell r="B38" t="str">
            <v xml:space="preserve">Irish </v>
          </cell>
          <cell r="C38" t="str">
            <v>-</v>
          </cell>
          <cell r="D38" t="str">
            <v>-</v>
          </cell>
          <cell r="E38" t="str">
            <v>-</v>
          </cell>
          <cell r="F38" t="str">
            <v>-</v>
          </cell>
          <cell r="G38" t="str">
            <v>-</v>
          </cell>
          <cell r="H38" t="str">
            <v>-</v>
          </cell>
          <cell r="I38">
            <v>11794.4</v>
          </cell>
          <cell r="J38">
            <v>17300.900000000001</v>
          </cell>
          <cell r="K38">
            <v>39865.4</v>
          </cell>
          <cell r="L38">
            <v>47611.194807440188</v>
          </cell>
          <cell r="M38">
            <v>14380.8</v>
          </cell>
          <cell r="N38">
            <v>22788.6</v>
          </cell>
          <cell r="O38">
            <v>33270.300000000003</v>
          </cell>
          <cell r="P38">
            <v>44073.657676781069</v>
          </cell>
          <cell r="S38">
            <v>0</v>
          </cell>
        </row>
        <row r="39">
          <cell r="B39" t="str">
            <v xml:space="preserve">Istanbul </v>
          </cell>
          <cell r="C39">
            <v>5870.23</v>
          </cell>
          <cell r="D39">
            <v>8277.4</v>
          </cell>
          <cell r="E39">
            <v>8346.2999999999993</v>
          </cell>
          <cell r="F39">
            <v>21125.7</v>
          </cell>
          <cell r="G39">
            <v>21667.00012500909</v>
          </cell>
          <cell r="H39">
            <v>50888.664225700268</v>
          </cell>
          <cell r="I39">
            <v>36232.800000000003</v>
          </cell>
          <cell r="J39">
            <v>56087.9</v>
          </cell>
          <cell r="K39">
            <v>68485.100000000006</v>
          </cell>
          <cell r="L39">
            <v>81098.9218839846</v>
          </cell>
          <cell r="M39">
            <v>178997.6</v>
          </cell>
          <cell r="N39">
            <v>74530.399999999994</v>
          </cell>
          <cell r="O39">
            <v>69936.7</v>
          </cell>
          <cell r="P39">
            <v>98160.33944131399</v>
          </cell>
          <cell r="S39">
            <v>0</v>
          </cell>
        </row>
        <row r="40">
          <cell r="B40" t="str">
            <v>JSE South Africa</v>
          </cell>
          <cell r="C40">
            <v>10468.9</v>
          </cell>
          <cell r="D40">
            <v>8702.7999999999993</v>
          </cell>
          <cell r="E40">
            <v>7753.6</v>
          </cell>
          <cell r="F40">
            <v>10363.200000000001</v>
          </cell>
          <cell r="G40">
            <v>17630.920234919344</v>
          </cell>
          <cell r="H40">
            <v>17425.353412632339</v>
          </cell>
          <cell r="I40">
            <v>26997.5</v>
          </cell>
          <cell r="J40">
            <v>44696.356867752293</v>
          </cell>
          <cell r="K40">
            <v>61836.9</v>
          </cell>
          <cell r="L40">
            <v>86838.090213551797</v>
          </cell>
          <cell r="M40">
            <v>77446.100000000006</v>
          </cell>
          <cell r="N40">
            <v>69278.399999999994</v>
          </cell>
          <cell r="O40">
            <v>78391.8</v>
          </cell>
          <cell r="P40">
            <v>101126.93627890304</v>
          </cell>
          <cell r="S40">
            <v>0</v>
          </cell>
        </row>
        <row r="41">
          <cell r="B41" t="str">
            <v xml:space="preserve">Ljubljana </v>
          </cell>
          <cell r="C41" t="str">
            <v>-</v>
          </cell>
          <cell r="D41" t="str">
            <v>-</v>
          </cell>
          <cell r="E41" t="str">
            <v>-</v>
          </cell>
          <cell r="F41" t="str">
            <v>-</v>
          </cell>
          <cell r="G41">
            <v>416.6</v>
          </cell>
          <cell r="H41">
            <v>348.1</v>
          </cell>
          <cell r="I41">
            <v>494.1</v>
          </cell>
          <cell r="J41">
            <v>543.5</v>
          </cell>
          <cell r="K41">
            <v>851.5</v>
          </cell>
          <cell r="L41">
            <v>1203.1145155870129</v>
          </cell>
          <cell r="M41">
            <v>924.5</v>
          </cell>
          <cell r="N41">
            <v>1197.0999999999999</v>
          </cell>
          <cell r="O41">
            <v>1525.8</v>
          </cell>
          <cell r="P41">
            <v>1021.1039341195903</v>
          </cell>
          <cell r="S41">
            <v>0</v>
          </cell>
        </row>
        <row r="42">
          <cell r="B42" t="str">
            <v xml:space="preserve">London </v>
          </cell>
          <cell r="C42">
            <v>543392.5</v>
          </cell>
          <cell r="D42">
            <v>553922</v>
          </cell>
          <cell r="E42">
            <v>662990.9</v>
          </cell>
          <cell r="F42">
            <v>865906.7</v>
          </cell>
          <cell r="G42">
            <v>1029278.3164457507</v>
          </cell>
          <cell r="H42">
            <v>1153221.3107423985</v>
          </cell>
          <cell r="I42">
            <v>1413236.33</v>
          </cell>
          <cell r="J42">
            <v>1989489.2945794039</v>
          </cell>
          <cell r="K42">
            <v>2887989.7</v>
          </cell>
          <cell r="L42">
            <v>3399381.0576778762</v>
          </cell>
          <cell r="M42">
            <v>4558662.9000000004</v>
          </cell>
          <cell r="N42">
            <v>4520183.2</v>
          </cell>
          <cell r="O42">
            <v>4001339.9</v>
          </cell>
          <cell r="P42">
            <v>3609718.2251447816</v>
          </cell>
          <cell r="Q42">
            <v>5169023.5625600386</v>
          </cell>
          <cell r="R42">
            <v>5673877.0929480623</v>
          </cell>
          <cell r="S42">
            <v>7207275.8191691665</v>
          </cell>
          <cell r="T42">
            <v>1201212.6365281944</v>
          </cell>
          <cell r="V42">
            <v>0.27025589400357863</v>
          </cell>
        </row>
        <row r="43">
          <cell r="B43" t="str">
            <v xml:space="preserve">Luxembourg </v>
          </cell>
          <cell r="C43">
            <v>108</v>
          </cell>
          <cell r="D43">
            <v>235.5</v>
          </cell>
          <cell r="E43">
            <v>291.60000000000002</v>
          </cell>
          <cell r="F43">
            <v>1100.5999999999999</v>
          </cell>
          <cell r="G43">
            <v>1030.6563029436504</v>
          </cell>
          <cell r="H43">
            <v>486.52021891771608</v>
          </cell>
          <cell r="I43">
            <v>785.58620327487426</v>
          </cell>
          <cell r="J43">
            <v>1048.0999999999999</v>
          </cell>
          <cell r="K43">
            <v>1672.5</v>
          </cell>
          <cell r="L43">
            <v>1421.1</v>
          </cell>
          <cell r="M43">
            <v>1660.8</v>
          </cell>
          <cell r="N43">
            <v>702.7</v>
          </cell>
          <cell r="O43">
            <v>495.5</v>
          </cell>
          <cell r="P43">
            <v>413.92642571498959</v>
          </cell>
          <cell r="S43">
            <v>0</v>
          </cell>
        </row>
        <row r="44">
          <cell r="B44" t="str">
            <v xml:space="preserve">Malta </v>
          </cell>
          <cell r="C44" t="str">
            <v>-</v>
          </cell>
          <cell r="D44" t="str">
            <v>-</v>
          </cell>
          <cell r="E44" t="str">
            <v>-</v>
          </cell>
          <cell r="F44" t="str">
            <v>-</v>
          </cell>
          <cell r="G44" t="str">
            <v>-</v>
          </cell>
          <cell r="H44">
            <v>131.1</v>
          </cell>
          <cell r="I44">
            <v>11.7</v>
          </cell>
          <cell r="J44">
            <v>20.5</v>
          </cell>
          <cell r="K44">
            <v>354.2</v>
          </cell>
          <cell r="L44">
            <v>52.7</v>
          </cell>
          <cell r="M44">
            <v>188.1</v>
          </cell>
          <cell r="N44">
            <v>46.1</v>
          </cell>
          <cell r="O44">
            <v>47.9</v>
          </cell>
          <cell r="P44">
            <v>46.603827432153089</v>
          </cell>
          <cell r="S44">
            <v>0</v>
          </cell>
        </row>
        <row r="45">
          <cell r="B45" t="str">
            <v xml:space="preserve">Oslo </v>
          </cell>
          <cell r="C45">
            <v>14065.2</v>
          </cell>
          <cell r="D45">
            <v>11639.2</v>
          </cell>
          <cell r="E45">
            <v>10133.200000000001</v>
          </cell>
          <cell r="F45">
            <v>17576.400000000001</v>
          </cell>
          <cell r="G45">
            <v>17693.608438836534</v>
          </cell>
          <cell r="H45">
            <v>24926.161073476145</v>
          </cell>
          <cell r="I45">
            <v>36345.699999999997</v>
          </cell>
          <cell r="J45">
            <v>49601.232684417235</v>
          </cell>
          <cell r="K45">
            <v>42944</v>
          </cell>
          <cell r="L45">
            <v>56719.170119831775</v>
          </cell>
          <cell r="M45">
            <v>69238.7</v>
          </cell>
          <cell r="N45">
            <v>62829.1</v>
          </cell>
          <cell r="O45">
            <v>56126.8</v>
          </cell>
          <cell r="P45">
            <v>78201.576854857834</v>
          </cell>
          <cell r="S45">
            <v>0</v>
          </cell>
        </row>
        <row r="46">
          <cell r="B46" t="str">
            <v>Spanish Exchanges (BME)</v>
          </cell>
          <cell r="C46" t="str">
            <v>-</v>
          </cell>
          <cell r="D46" t="str">
            <v>-</v>
          </cell>
          <cell r="E46" t="str">
            <v>-</v>
          </cell>
          <cell r="F46" t="str">
            <v>-</v>
          </cell>
          <cell r="G46" t="str">
            <v>-</v>
          </cell>
          <cell r="H46" t="str">
            <v>-</v>
          </cell>
          <cell r="I46" t="str">
            <v>-</v>
          </cell>
          <cell r="J46" t="str">
            <v>-</v>
          </cell>
          <cell r="K46" t="str">
            <v>-</v>
          </cell>
          <cell r="L46" t="str">
            <v>-</v>
          </cell>
          <cell r="M46" t="str">
            <v>-</v>
          </cell>
          <cell r="N46" t="str">
            <v>-</v>
          </cell>
          <cell r="O46">
            <v>653220.80000000005</v>
          </cell>
          <cell r="P46">
            <v>933059.87150086206</v>
          </cell>
          <cell r="S46">
            <v>0</v>
          </cell>
        </row>
        <row r="47">
          <cell r="B47" t="str">
            <v xml:space="preserve">Stockholmsbörsen </v>
          </cell>
          <cell r="C47">
            <v>15738</v>
          </cell>
          <cell r="D47">
            <v>20568.2</v>
          </cell>
          <cell r="E47">
            <v>28650.400000000001</v>
          </cell>
          <cell r="F47">
            <v>42746.3</v>
          </cell>
          <cell r="G47">
            <v>86086.9748725237</v>
          </cell>
          <cell r="H47">
            <v>94209.897145940806</v>
          </cell>
          <cell r="I47">
            <v>136740.97029801173</v>
          </cell>
          <cell r="J47">
            <v>175821.78837475245</v>
          </cell>
          <cell r="K47">
            <v>229960.6</v>
          </cell>
          <cell r="L47">
            <v>313677.8741886394</v>
          </cell>
          <cell r="M47">
            <v>485288.3</v>
          </cell>
          <cell r="N47">
            <v>384396.4</v>
          </cell>
          <cell r="O47">
            <v>279943.5</v>
          </cell>
          <cell r="P47">
            <v>303291.49298718752</v>
          </cell>
          <cell r="S47">
            <v>0</v>
          </cell>
        </row>
        <row r="48">
          <cell r="B48" t="str">
            <v xml:space="preserve">Swiss Exchange </v>
          </cell>
          <cell r="C48" t="str">
            <v>NA</v>
          </cell>
          <cell r="D48">
            <v>83080</v>
          </cell>
          <cell r="E48">
            <v>117752.3</v>
          </cell>
          <cell r="F48">
            <v>209884.5</v>
          </cell>
          <cell r="G48">
            <v>261607.6562545613</v>
          </cell>
          <cell r="H48">
            <v>340114.441711639</v>
          </cell>
          <cell r="I48">
            <v>443030.52</v>
          </cell>
          <cell r="J48">
            <v>568882.4</v>
          </cell>
          <cell r="K48">
            <v>689169.9</v>
          </cell>
          <cell r="L48">
            <v>561894.0623503566</v>
          </cell>
          <cell r="M48">
            <v>638706.80000000005</v>
          </cell>
          <cell r="N48">
            <v>591064.9</v>
          </cell>
          <cell r="O48">
            <v>599749.1</v>
          </cell>
          <cell r="P48">
            <v>610361.80615511071</v>
          </cell>
          <cell r="S48">
            <v>0</v>
          </cell>
        </row>
        <row r="49">
          <cell r="B49" t="str">
            <v xml:space="preserve">Tehran </v>
          </cell>
          <cell r="C49" t="str">
            <v>-</v>
          </cell>
          <cell r="D49">
            <v>5658.9</v>
          </cell>
          <cell r="E49">
            <v>6331.5</v>
          </cell>
          <cell r="F49">
            <v>242.8</v>
          </cell>
          <cell r="G49">
            <v>454.01633285956433</v>
          </cell>
          <cell r="H49">
            <v>742.21797969413137</v>
          </cell>
          <cell r="I49">
            <v>2615.96</v>
          </cell>
          <cell r="J49">
            <v>1211.6338769670958</v>
          </cell>
          <cell r="K49">
            <v>1362.3</v>
          </cell>
          <cell r="L49">
            <v>2273.23982832618</v>
          </cell>
          <cell r="M49">
            <v>1043.3</v>
          </cell>
          <cell r="N49">
            <v>1086.5219931302181</v>
          </cell>
          <cell r="O49">
            <v>2071.1999999999998</v>
          </cell>
          <cell r="P49">
            <v>4667.8114525820074</v>
          </cell>
          <cell r="S49">
            <v>0</v>
          </cell>
        </row>
        <row r="50">
          <cell r="B50" t="str">
            <v xml:space="preserve">Tel-Aviv </v>
          </cell>
          <cell r="C50">
            <v>3358.2</v>
          </cell>
          <cell r="D50">
            <v>8220.9</v>
          </cell>
          <cell r="E50">
            <v>14380.2</v>
          </cell>
          <cell r="F50">
            <v>29979.599999999999</v>
          </cell>
          <cell r="G50">
            <v>25136.002047505666</v>
          </cell>
          <cell r="H50">
            <v>9158.9876334807504</v>
          </cell>
          <cell r="I50">
            <v>8100.1</v>
          </cell>
          <cell r="J50">
            <v>14158.175665769235</v>
          </cell>
          <cell r="K50">
            <v>15079</v>
          </cell>
          <cell r="L50">
            <v>20957.641746040717</v>
          </cell>
          <cell r="M50">
            <v>28538.5</v>
          </cell>
          <cell r="N50">
            <v>15673.7</v>
          </cell>
          <cell r="O50">
            <v>12676.2</v>
          </cell>
          <cell r="P50">
            <v>19114.807302231235</v>
          </cell>
          <cell r="S50">
            <v>0</v>
          </cell>
        </row>
        <row r="51">
          <cell r="B51" t="str">
            <v xml:space="preserve">Warsaw </v>
          </cell>
          <cell r="C51" t="str">
            <v>-</v>
          </cell>
          <cell r="D51">
            <v>26.29</v>
          </cell>
          <cell r="E51">
            <v>163.02000000000001</v>
          </cell>
          <cell r="F51">
            <v>1975.1</v>
          </cell>
          <cell r="G51">
            <v>5206.7033016937139</v>
          </cell>
          <cell r="H51">
            <v>2760.7221074802069</v>
          </cell>
          <cell r="I51">
            <v>5543.8</v>
          </cell>
          <cell r="J51">
            <v>7952.8685373421258</v>
          </cell>
          <cell r="K51">
            <v>8913.4</v>
          </cell>
          <cell r="L51">
            <v>11139.374852599929</v>
          </cell>
          <cell r="M51">
            <v>19305.400000000001</v>
          </cell>
          <cell r="N51">
            <v>9876</v>
          </cell>
          <cell r="O51">
            <v>7811.2</v>
          </cell>
          <cell r="P51">
            <v>9662.7066880721559</v>
          </cell>
          <cell r="S51">
            <v>0</v>
          </cell>
        </row>
        <row r="52">
          <cell r="B52" t="str">
            <v>Wiener Börse</v>
          </cell>
          <cell r="C52">
            <v>11222.7</v>
          </cell>
          <cell r="D52">
            <v>7233.3</v>
          </cell>
          <cell r="E52">
            <v>5155.3</v>
          </cell>
          <cell r="F52">
            <v>7296.8</v>
          </cell>
          <cell r="G52">
            <v>8741.9485644619435</v>
          </cell>
          <cell r="H52">
            <v>13357.495286597399</v>
          </cell>
          <cell r="I52">
            <v>10692.413813736437</v>
          </cell>
          <cell r="J52">
            <v>12723.83001211249</v>
          </cell>
          <cell r="K52">
            <v>18677.2</v>
          </cell>
          <cell r="L52">
            <v>12733.861944276643</v>
          </cell>
          <cell r="M52">
            <v>9641.6</v>
          </cell>
          <cell r="N52">
            <v>7692.7</v>
          </cell>
          <cell r="O52">
            <v>6108.9</v>
          </cell>
          <cell r="P52">
            <v>11134.961999886282</v>
          </cell>
          <cell r="S52">
            <v>0</v>
          </cell>
        </row>
        <row r="53">
          <cell r="S53">
            <v>0</v>
          </cell>
        </row>
        <row r="54">
          <cell r="B54" t="str">
            <v>Asia - Pacific</v>
          </cell>
          <cell r="S54">
            <v>0</v>
          </cell>
        </row>
        <row r="55">
          <cell r="B55" t="str">
            <v xml:space="preserve">Australian </v>
          </cell>
          <cell r="C55">
            <v>40186.1</v>
          </cell>
          <cell r="D55">
            <v>46696.6</v>
          </cell>
          <cell r="E55">
            <v>45577.1</v>
          </cell>
          <cell r="F55">
            <v>67791.8</v>
          </cell>
          <cell r="G55">
            <v>94908.756834535074</v>
          </cell>
          <cell r="H55">
            <v>98310.287610078027</v>
          </cell>
          <cell r="I55">
            <v>146235.5</v>
          </cell>
          <cell r="J55">
            <v>168999.3</v>
          </cell>
          <cell r="K55">
            <v>161000.9</v>
          </cell>
          <cell r="L55">
            <v>198195.13164774529</v>
          </cell>
          <cell r="M55">
            <v>226484.9</v>
          </cell>
          <cell r="N55">
            <v>244462.5</v>
          </cell>
          <cell r="O55">
            <v>295399.40000000002</v>
          </cell>
          <cell r="P55">
            <v>371970.36794230924</v>
          </cell>
          <cell r="Q55">
            <v>523668.45986237132</v>
          </cell>
          <cell r="R55">
            <v>672517.59532143211</v>
          </cell>
          <cell r="S55">
            <v>728710.80584113486</v>
          </cell>
          <cell r="T55">
            <v>121451.80097352248</v>
          </cell>
          <cell r="V55">
            <v>8.3556491176777437E-2</v>
          </cell>
        </row>
        <row r="56">
          <cell r="B56" t="str">
            <v>Bursa Malaysia</v>
          </cell>
          <cell r="C56">
            <v>10697.9</v>
          </cell>
          <cell r="D56">
            <v>10714</v>
          </cell>
          <cell r="E56">
            <v>19731.7</v>
          </cell>
          <cell r="F56">
            <v>148555.6</v>
          </cell>
          <cell r="G56">
            <v>120858.93152289573</v>
          </cell>
          <cell r="H56">
            <v>60792.419464173567</v>
          </cell>
          <cell r="I56">
            <v>178011.4</v>
          </cell>
          <cell r="J56">
            <v>145687.76521120741</v>
          </cell>
          <cell r="K56">
            <v>26839.5</v>
          </cell>
          <cell r="L56">
            <v>42431.297368421059</v>
          </cell>
          <cell r="M56">
            <v>52868.7</v>
          </cell>
          <cell r="N56">
            <v>23879.9</v>
          </cell>
          <cell r="O56">
            <v>32923.199999999997</v>
          </cell>
          <cell r="P56">
            <v>52233.392105263156</v>
          </cell>
          <cell r="Q56">
            <v>61636.418421052636</v>
          </cell>
          <cell r="R56">
            <v>51587.694915399508</v>
          </cell>
          <cell r="S56">
            <v>54800.337728607861</v>
          </cell>
          <cell r="T56">
            <v>9133.3896214346441</v>
          </cell>
          <cell r="V56">
            <v>6.2275370482764991E-2</v>
          </cell>
        </row>
        <row r="57">
          <cell r="B57" t="str">
            <v xml:space="preserve">Colombo </v>
          </cell>
          <cell r="C57">
            <v>39</v>
          </cell>
          <cell r="D57">
            <v>104</v>
          </cell>
          <cell r="E57">
            <v>114</v>
          </cell>
          <cell r="F57">
            <v>377.5</v>
          </cell>
          <cell r="G57">
            <v>695.1</v>
          </cell>
          <cell r="H57">
            <v>210.3</v>
          </cell>
          <cell r="I57">
            <v>130.19999999999999</v>
          </cell>
          <cell r="J57">
            <v>309.2</v>
          </cell>
          <cell r="K57">
            <v>281.60000000000002</v>
          </cell>
          <cell r="L57">
            <v>208.90836912006631</v>
          </cell>
          <cell r="M57">
            <v>142.9</v>
          </cell>
          <cell r="N57">
            <v>156.1</v>
          </cell>
          <cell r="O57">
            <v>318.5</v>
          </cell>
          <cell r="P57">
            <v>764.63399163779286</v>
          </cell>
          <cell r="S57">
            <v>0</v>
          </cell>
        </row>
        <row r="58">
          <cell r="B58" t="str">
            <v xml:space="preserve">Hong Kong </v>
          </cell>
          <cell r="C58">
            <v>34676.1</v>
          </cell>
          <cell r="D58">
            <v>38596.699999999997</v>
          </cell>
          <cell r="E58">
            <v>78644.5</v>
          </cell>
          <cell r="F58">
            <v>132286.5</v>
          </cell>
          <cell r="G58">
            <v>126057.06245769888</v>
          </cell>
          <cell r="H58">
            <v>95832.029339598128</v>
          </cell>
          <cell r="I58">
            <v>166428.54</v>
          </cell>
          <cell r="J58">
            <v>453657.10717663955</v>
          </cell>
          <cell r="K58">
            <v>206152.6</v>
          </cell>
          <cell r="L58">
            <v>230032.21543544842</v>
          </cell>
          <cell r="M58">
            <v>376664.1</v>
          </cell>
          <cell r="N58">
            <v>241012.6</v>
          </cell>
          <cell r="O58">
            <v>194003.6</v>
          </cell>
          <cell r="P58">
            <v>296155.87020737404</v>
          </cell>
          <cell r="Q58">
            <v>439463.77365152218</v>
          </cell>
          <cell r="R58">
            <v>464285.1257928363</v>
          </cell>
          <cell r="S58">
            <v>754908.42352686217</v>
          </cell>
          <cell r="T58">
            <v>125818.07058781036</v>
          </cell>
          <cell r="V58">
            <v>0.625958665459599</v>
          </cell>
        </row>
        <row r="59">
          <cell r="B59" t="str">
            <v xml:space="preserve">Jakarta </v>
          </cell>
          <cell r="C59">
            <v>3967.49</v>
          </cell>
          <cell r="D59">
            <v>2962.75</v>
          </cell>
          <cell r="E59">
            <v>3918.07</v>
          </cell>
          <cell r="F59">
            <v>9088.4</v>
          </cell>
          <cell r="G59">
            <v>11787.538725194347</v>
          </cell>
          <cell r="H59">
            <v>14403.209229397538</v>
          </cell>
          <cell r="I59">
            <v>32452.323098919638</v>
          </cell>
          <cell r="J59">
            <v>42604.86582146414</v>
          </cell>
          <cell r="K59">
            <v>10636.6</v>
          </cell>
          <cell r="L59">
            <v>17241.313660849086</v>
          </cell>
          <cell r="M59">
            <v>15109.3</v>
          </cell>
          <cell r="N59">
            <v>9410.2999999999993</v>
          </cell>
          <cell r="O59">
            <v>13049.8</v>
          </cell>
          <cell r="P59">
            <v>14652.429078840656</v>
          </cell>
          <cell r="S59">
            <v>0</v>
          </cell>
        </row>
        <row r="60">
          <cell r="B60" t="str">
            <v xml:space="preserve">Korea </v>
          </cell>
          <cell r="C60">
            <v>75625.100000000006</v>
          </cell>
          <cell r="D60">
            <v>85091.8</v>
          </cell>
          <cell r="E60">
            <v>116138.2</v>
          </cell>
          <cell r="F60">
            <v>211968.4</v>
          </cell>
          <cell r="G60">
            <v>286829.44875861553</v>
          </cell>
          <cell r="H60">
            <v>185427.51558716429</v>
          </cell>
          <cell r="I60">
            <v>177506.3</v>
          </cell>
          <cell r="J60">
            <v>170825.87158159708</v>
          </cell>
          <cell r="K60">
            <v>145061.4</v>
          </cell>
          <cell r="L60">
            <v>733422.65141439915</v>
          </cell>
          <cell r="M60">
            <v>556246.30000000005</v>
          </cell>
          <cell r="N60">
            <v>379623.3</v>
          </cell>
          <cell r="O60">
            <v>596631.6</v>
          </cell>
          <cell r="P60">
            <v>459035.07549134002</v>
          </cell>
          <cell r="Q60">
            <v>488408.32337434095</v>
          </cell>
          <cell r="R60">
            <v>1204336.7922235474</v>
          </cell>
          <cell r="S60">
            <v>1914122.1705232463</v>
          </cell>
          <cell r="T60">
            <v>319020.3617538744</v>
          </cell>
          <cell r="V60">
            <v>0.5893578796918042</v>
          </cell>
        </row>
        <row r="61">
          <cell r="B61" t="str">
            <v>Mumbai</v>
          </cell>
          <cell r="C61" t="str">
            <v>-</v>
          </cell>
          <cell r="D61" t="str">
            <v>-</v>
          </cell>
          <cell r="E61" t="str">
            <v>-</v>
          </cell>
          <cell r="F61" t="str">
            <v>-</v>
          </cell>
          <cell r="G61" t="str">
            <v>-</v>
          </cell>
          <cell r="H61" t="str">
            <v>-</v>
          </cell>
          <cell r="I61" t="str">
            <v>-</v>
          </cell>
          <cell r="J61" t="str">
            <v>-</v>
          </cell>
          <cell r="K61" t="str">
            <v>-</v>
          </cell>
          <cell r="L61" t="str">
            <v>-</v>
          </cell>
          <cell r="M61" t="str">
            <v>-</v>
          </cell>
          <cell r="N61">
            <v>100638.39999999999</v>
          </cell>
          <cell r="O61">
            <v>68538.600000000006</v>
          </cell>
          <cell r="P61">
            <v>89110.271860270645</v>
          </cell>
          <cell r="S61">
            <v>0</v>
          </cell>
        </row>
        <row r="62">
          <cell r="B62" t="str">
            <v>National Stock Exchange India</v>
          </cell>
          <cell r="C62" t="str">
            <v>-</v>
          </cell>
          <cell r="D62" t="str">
            <v>-</v>
          </cell>
          <cell r="E62" t="str">
            <v>-</v>
          </cell>
          <cell r="F62" t="str">
            <v>-</v>
          </cell>
          <cell r="G62" t="str">
            <v>-</v>
          </cell>
          <cell r="H62" t="str">
            <v>-</v>
          </cell>
          <cell r="I62" t="str">
            <v>-</v>
          </cell>
          <cell r="J62" t="str">
            <v>-</v>
          </cell>
          <cell r="K62" t="str">
            <v>-</v>
          </cell>
          <cell r="L62" t="str">
            <v>-</v>
          </cell>
          <cell r="M62" t="str">
            <v>-</v>
          </cell>
          <cell r="N62">
            <v>147244.29999999999</v>
          </cell>
          <cell r="O62">
            <v>128534.6</v>
          </cell>
          <cell r="P62">
            <v>202865.1668777341</v>
          </cell>
          <cell r="S62">
            <v>0</v>
          </cell>
        </row>
        <row r="63">
          <cell r="B63" t="str">
            <v>New Zealand</v>
          </cell>
          <cell r="C63">
            <v>2071.6999999999998</v>
          </cell>
          <cell r="D63">
            <v>3106.9</v>
          </cell>
          <cell r="E63">
            <v>3275.6</v>
          </cell>
          <cell r="F63">
            <v>6801.5</v>
          </cell>
          <cell r="G63">
            <v>7188.0367583016859</v>
          </cell>
          <cell r="H63">
            <v>8718.7278035048585</v>
          </cell>
          <cell r="I63">
            <v>10139.200000000001</v>
          </cell>
          <cell r="J63">
            <v>10724.843232024023</v>
          </cell>
          <cell r="K63">
            <v>14273.9</v>
          </cell>
          <cell r="L63">
            <v>13687.212310524741</v>
          </cell>
          <cell r="M63">
            <v>12315.3</v>
          </cell>
          <cell r="N63">
            <v>9932.9</v>
          </cell>
          <cell r="O63">
            <v>8878.2999999999993</v>
          </cell>
          <cell r="P63">
            <v>11912.821412900397</v>
          </cell>
          <cell r="S63">
            <v>0</v>
          </cell>
        </row>
        <row r="64">
          <cell r="B64" t="str">
            <v xml:space="preserve">Osaka </v>
          </cell>
          <cell r="C64">
            <v>243822.9</v>
          </cell>
          <cell r="D64">
            <v>138548.70000000001</v>
          </cell>
          <cell r="E64">
            <v>120936.3</v>
          </cell>
          <cell r="F64">
            <v>131998.79999999999</v>
          </cell>
          <cell r="G64">
            <v>191182.85908815949</v>
          </cell>
          <cell r="H64">
            <v>262053.92184932259</v>
          </cell>
          <cell r="I64">
            <v>253118.7</v>
          </cell>
          <cell r="J64">
            <v>221989.9322964579</v>
          </cell>
          <cell r="K64">
            <v>182093.3</v>
          </cell>
          <cell r="L64">
            <v>216028.5</v>
          </cell>
          <cell r="M64">
            <v>325566.3</v>
          </cell>
          <cell r="N64">
            <v>174509.5</v>
          </cell>
          <cell r="O64">
            <v>124017.4</v>
          </cell>
          <cell r="P64">
            <v>112522.04698131391</v>
          </cell>
          <cell r="S64">
            <v>0</v>
          </cell>
        </row>
        <row r="65">
          <cell r="B65" t="str">
            <v xml:space="preserve">Philippine </v>
          </cell>
          <cell r="C65">
            <v>1175.1300000000001</v>
          </cell>
          <cell r="D65">
            <v>1434.08</v>
          </cell>
          <cell r="E65">
            <v>3019.43</v>
          </cell>
          <cell r="F65">
            <v>9853.27</v>
          </cell>
          <cell r="G65">
            <v>13934.442582317441</v>
          </cell>
          <cell r="H65">
            <v>14666.768478169379</v>
          </cell>
          <cell r="I65">
            <v>25510.400000000001</v>
          </cell>
          <cell r="J65">
            <v>20350</v>
          </cell>
          <cell r="K65">
            <v>10148.299999999999</v>
          </cell>
          <cell r="L65">
            <v>19949.7</v>
          </cell>
          <cell r="M65">
            <v>8186.7</v>
          </cell>
          <cell r="N65">
            <v>3128.9</v>
          </cell>
          <cell r="O65">
            <v>3092.7</v>
          </cell>
          <cell r="P65">
            <v>2672.6059036689171</v>
          </cell>
          <cell r="S65">
            <v>0</v>
          </cell>
        </row>
        <row r="66">
          <cell r="B66" t="str">
            <v>Shanghai</v>
          </cell>
          <cell r="C66" t="str">
            <v>-</v>
          </cell>
          <cell r="D66" t="str">
            <v>-</v>
          </cell>
          <cell r="E66" t="str">
            <v>-</v>
          </cell>
          <cell r="F66" t="str">
            <v>-</v>
          </cell>
          <cell r="G66" t="str">
            <v>-</v>
          </cell>
          <cell r="H66" t="str">
            <v>-</v>
          </cell>
          <cell r="I66" t="str">
            <v>-</v>
          </cell>
          <cell r="J66" t="str">
            <v>-</v>
          </cell>
          <cell r="K66" t="str">
            <v>-</v>
          </cell>
          <cell r="L66" t="str">
            <v>-</v>
          </cell>
          <cell r="M66" t="str">
            <v>-</v>
          </cell>
          <cell r="N66">
            <v>290657.5</v>
          </cell>
          <cell r="O66">
            <v>211643.9</v>
          </cell>
          <cell r="P66">
            <v>255964.74300373322</v>
          </cell>
          <cell r="S66">
            <v>0</v>
          </cell>
        </row>
        <row r="67">
          <cell r="B67" t="str">
            <v>Shenzhen</v>
          </cell>
          <cell r="C67" t="str">
            <v>-</v>
          </cell>
          <cell r="D67" t="str">
            <v>-</v>
          </cell>
          <cell r="E67" t="str">
            <v>-</v>
          </cell>
          <cell r="F67" t="str">
            <v>-</v>
          </cell>
          <cell r="G67" t="str">
            <v>-</v>
          </cell>
          <cell r="H67" t="str">
            <v>-</v>
          </cell>
          <cell r="I67" t="str">
            <v>-</v>
          </cell>
          <cell r="J67" t="str">
            <v>-</v>
          </cell>
          <cell r="K67" t="str">
            <v>-</v>
          </cell>
          <cell r="L67" t="str">
            <v>-</v>
          </cell>
          <cell r="M67" t="str">
            <v>-</v>
          </cell>
          <cell r="N67">
            <v>203073</v>
          </cell>
          <cell r="O67">
            <v>140660.6</v>
          </cell>
          <cell r="P67">
            <v>140287.30986545098</v>
          </cell>
          <cell r="S67">
            <v>0</v>
          </cell>
        </row>
        <row r="68">
          <cell r="B68" t="str">
            <v xml:space="preserve">Singapore </v>
          </cell>
          <cell r="C68">
            <v>21069.599999999999</v>
          </cell>
          <cell r="D68">
            <v>18083.7</v>
          </cell>
          <cell r="E68">
            <v>18905.900000000001</v>
          </cell>
          <cell r="F68">
            <v>83529.399999999994</v>
          </cell>
          <cell r="G68">
            <v>84821.920305084772</v>
          </cell>
          <cell r="H68">
            <v>63983.190173621704</v>
          </cell>
          <cell r="I68">
            <v>60254.8</v>
          </cell>
          <cell r="J68">
            <v>74137.270623146513</v>
          </cell>
          <cell r="K68">
            <v>58509.599999999999</v>
          </cell>
          <cell r="L68">
            <v>107406.50470587269</v>
          </cell>
          <cell r="M68">
            <v>95153.1</v>
          </cell>
          <cell r="N68">
            <v>71093.600000000006</v>
          </cell>
          <cell r="O68">
            <v>63047.8</v>
          </cell>
          <cell r="P68">
            <v>91928.153585004882</v>
          </cell>
          <cell r="Q68">
            <v>107247.35201260875</v>
          </cell>
          <cell r="R68">
            <v>116350.52702417567</v>
          </cell>
          <cell r="S68">
            <v>159420.5922732795</v>
          </cell>
          <cell r="T68">
            <v>26570.09871221325</v>
          </cell>
          <cell r="V68">
            <v>0.37017507656114534</v>
          </cell>
        </row>
        <row r="69">
          <cell r="B69" t="str">
            <v xml:space="preserve">Taiwan </v>
          </cell>
          <cell r="C69">
            <v>711737</v>
          </cell>
          <cell r="D69">
            <v>386031.2</v>
          </cell>
          <cell r="E69">
            <v>250330.8</v>
          </cell>
          <cell r="F69">
            <v>352624.4</v>
          </cell>
          <cell r="G69">
            <v>736708.36538134597</v>
          </cell>
          <cell r="H69">
            <v>389272.66102470324</v>
          </cell>
          <cell r="I69">
            <v>478355.7</v>
          </cell>
          <cell r="J69">
            <v>1308633.4525272259</v>
          </cell>
          <cell r="K69">
            <v>895985.4</v>
          </cell>
          <cell r="L69">
            <v>913609.94748655311</v>
          </cell>
          <cell r="M69">
            <v>985863.5</v>
          </cell>
          <cell r="N69">
            <v>541901.69999999995</v>
          </cell>
          <cell r="O69">
            <v>633632.30000000005</v>
          </cell>
          <cell r="P69">
            <v>591717.59028789669</v>
          </cell>
          <cell r="Q69">
            <v>718804.40850103425</v>
          </cell>
          <cell r="R69">
            <v>584506.22345289716</v>
          </cell>
          <cell r="S69">
            <v>697164.06405623758</v>
          </cell>
          <cell r="T69">
            <v>116194.0106760396</v>
          </cell>
          <cell r="V69">
            <v>0.19274019006646048</v>
          </cell>
        </row>
        <row r="70">
          <cell r="B70" t="str">
            <v xml:space="preserve">Thailand </v>
          </cell>
          <cell r="C70">
            <v>15736.5</v>
          </cell>
          <cell r="D70">
            <v>19678.099999999999</v>
          </cell>
          <cell r="E70">
            <v>72103.8</v>
          </cell>
          <cell r="F70">
            <v>88797.5</v>
          </cell>
          <cell r="G70">
            <v>81961.40830385295</v>
          </cell>
          <cell r="H70">
            <v>59303.260121113221</v>
          </cell>
          <cell r="I70">
            <v>51396.9</v>
          </cell>
          <cell r="J70">
            <v>24598.7</v>
          </cell>
          <cell r="K70">
            <v>20975.8</v>
          </cell>
          <cell r="L70">
            <v>37245.75711339456</v>
          </cell>
          <cell r="M70">
            <v>21117</v>
          </cell>
          <cell r="N70">
            <v>30810.9</v>
          </cell>
          <cell r="O70">
            <v>41288.9</v>
          </cell>
          <cell r="P70">
            <v>102420.75036582974</v>
          </cell>
        </row>
        <row r="71">
          <cell r="B71" t="str">
            <v xml:space="preserve">Tokyo </v>
          </cell>
          <cell r="C71">
            <v>1287694.2</v>
          </cell>
          <cell r="D71">
            <v>822973.5</v>
          </cell>
          <cell r="E71">
            <v>476976.7</v>
          </cell>
          <cell r="F71">
            <v>792976.6</v>
          </cell>
          <cell r="G71">
            <v>859896.39614780282</v>
          </cell>
          <cell r="H71">
            <v>884000.4013220499</v>
          </cell>
          <cell r="I71">
            <v>938822.06124304631</v>
          </cell>
          <cell r="J71">
            <v>896054.94877785642</v>
          </cell>
          <cell r="K71">
            <v>750825.2</v>
          </cell>
          <cell r="L71">
            <v>1675640.599558664</v>
          </cell>
          <cell r="M71">
            <v>2315501.7999999998</v>
          </cell>
          <cell r="N71">
            <v>1659908.7</v>
          </cell>
          <cell r="O71">
            <v>1564243.9</v>
          </cell>
          <cell r="P71">
            <v>2108732.1321978797</v>
          </cell>
        </row>
        <row r="74">
          <cell r="B74" t="str">
            <v>(US$bn)</v>
          </cell>
        </row>
        <row r="75">
          <cell r="B75" t="str">
            <v>Australia</v>
          </cell>
          <cell r="C75">
            <v>40.186099999999996</v>
          </cell>
          <cell r="D75">
            <v>46.696599999999997</v>
          </cell>
          <cell r="E75">
            <v>45.577100000000002</v>
          </cell>
          <cell r="F75">
            <v>67.791800000000009</v>
          </cell>
          <cell r="G75">
            <v>94.908756834535069</v>
          </cell>
          <cell r="H75">
            <v>98.310287610078021</v>
          </cell>
          <cell r="I75">
            <v>146.2355</v>
          </cell>
          <cell r="J75">
            <v>168.99929999999998</v>
          </cell>
          <cell r="K75">
            <v>161.0009</v>
          </cell>
          <cell r="L75">
            <v>198.19513164774528</v>
          </cell>
          <cell r="M75">
            <v>226.48489999999998</v>
          </cell>
          <cell r="N75">
            <v>244.46250000000001</v>
          </cell>
          <cell r="O75">
            <v>295.39940000000001</v>
          </cell>
          <cell r="P75">
            <v>371.97036794230922</v>
          </cell>
          <cell r="Q75">
            <v>523.66845986237138</v>
          </cell>
          <cell r="R75">
            <v>672.51759532143205</v>
          </cell>
        </row>
        <row r="76">
          <cell r="B76" t="str">
            <v>Malaysia</v>
          </cell>
          <cell r="C76">
            <v>106.979</v>
          </cell>
          <cell r="D76">
            <v>107.14</v>
          </cell>
          <cell r="E76">
            <v>197.31700000000001</v>
          </cell>
          <cell r="F76">
            <v>1485.556</v>
          </cell>
          <cell r="G76">
            <v>1208.5893152289573</v>
          </cell>
          <cell r="H76">
            <v>607.92419464173565</v>
          </cell>
          <cell r="I76">
            <v>1780.114</v>
          </cell>
          <cell r="J76">
            <v>1456.8776521120742</v>
          </cell>
          <cell r="K76">
            <v>268.39499999999998</v>
          </cell>
          <cell r="L76">
            <v>424.31297368421059</v>
          </cell>
          <cell r="M76">
            <v>528.68700000000001</v>
          </cell>
          <cell r="N76">
            <v>238.79900000000001</v>
          </cell>
          <cell r="O76">
            <v>329.23199999999997</v>
          </cell>
          <cell r="P76">
            <v>522.33392105263158</v>
          </cell>
          <cell r="Q76">
            <v>616.36418421052633</v>
          </cell>
          <cell r="R76">
            <v>515.87694915399504</v>
          </cell>
        </row>
        <row r="77">
          <cell r="B77" t="str">
            <v xml:space="preserve">Hong Kong </v>
          </cell>
          <cell r="C77">
            <v>34.676099999999998</v>
          </cell>
          <cell r="D77">
            <v>38.596699999999998</v>
          </cell>
          <cell r="E77">
            <v>78.644499999999994</v>
          </cell>
          <cell r="F77">
            <v>132.28649999999999</v>
          </cell>
          <cell r="G77">
            <v>126.05706245769888</v>
          </cell>
          <cell r="H77">
            <v>95.832029339598122</v>
          </cell>
          <cell r="I77">
            <v>166.42854</v>
          </cell>
          <cell r="J77">
            <v>453.65710717663956</v>
          </cell>
          <cell r="K77">
            <v>206.15260000000001</v>
          </cell>
          <cell r="L77">
            <v>230.03221543544842</v>
          </cell>
          <cell r="M77">
            <v>376.66409999999996</v>
          </cell>
          <cell r="N77">
            <v>241.01259999999999</v>
          </cell>
          <cell r="O77">
            <v>194.00360000000001</v>
          </cell>
          <cell r="P77">
            <v>296.15587020737405</v>
          </cell>
          <cell r="Q77">
            <v>439.46377365152216</v>
          </cell>
          <cell r="R77">
            <v>464.28512579283631</v>
          </cell>
        </row>
        <row r="78">
          <cell r="B78" t="str">
            <v xml:space="preserve">Singapore </v>
          </cell>
          <cell r="C78">
            <v>21.069599999999998</v>
          </cell>
          <cell r="D78">
            <v>18.0837</v>
          </cell>
          <cell r="E78">
            <v>18.905900000000003</v>
          </cell>
          <cell r="F78">
            <v>83.529399999999995</v>
          </cell>
          <cell r="G78">
            <v>84.821920305084774</v>
          </cell>
          <cell r="H78">
            <v>63.983190173621708</v>
          </cell>
          <cell r="I78">
            <v>60.254800000000003</v>
          </cell>
          <cell r="J78">
            <v>74.137270623146506</v>
          </cell>
          <cell r="K78">
            <v>58.509599999999999</v>
          </cell>
          <cell r="L78">
            <v>107.40650470587269</v>
          </cell>
          <cell r="M78">
            <v>95.153100000000009</v>
          </cell>
          <cell r="N78">
            <v>71.093600000000009</v>
          </cell>
          <cell r="O78">
            <v>63.047800000000002</v>
          </cell>
          <cell r="P78">
            <v>91.928153585004878</v>
          </cell>
          <cell r="Q78">
            <v>107.24735201260876</v>
          </cell>
          <cell r="R78">
            <v>116.35052702417566</v>
          </cell>
        </row>
        <row r="109">
          <cell r="C109" t="str">
            <v>05/06E chg</v>
          </cell>
        </row>
        <row r="110">
          <cell r="B110" t="str">
            <v>HK</v>
          </cell>
          <cell r="C110">
            <v>0.625958665459599</v>
          </cell>
        </row>
        <row r="111">
          <cell r="B111" t="str">
            <v>Korea</v>
          </cell>
          <cell r="C111">
            <v>0.5893578796918042</v>
          </cell>
        </row>
        <row r="112">
          <cell r="B112" t="str">
            <v>Singapore</v>
          </cell>
          <cell r="C112">
            <v>0.37017507656114534</v>
          </cell>
        </row>
        <row r="113">
          <cell r="B113" t="str">
            <v>London</v>
          </cell>
          <cell r="C113">
            <v>0.27025589400357863</v>
          </cell>
        </row>
        <row r="114">
          <cell r="B114" t="str">
            <v>Nasdaq</v>
          </cell>
          <cell r="C114">
            <v>0.21388798646098905</v>
          </cell>
        </row>
        <row r="115">
          <cell r="B115" t="str">
            <v>Taiwan</v>
          </cell>
          <cell r="C115">
            <v>0.19274019006646048</v>
          </cell>
        </row>
        <row r="116">
          <cell r="B116" t="str">
            <v>NYSE</v>
          </cell>
          <cell r="C116">
            <v>0.1220471083855168</v>
          </cell>
        </row>
        <row r="117">
          <cell r="B117" t="str">
            <v>Australian</v>
          </cell>
          <cell r="C117">
            <v>8.3556491176777437E-2</v>
          </cell>
        </row>
        <row r="118">
          <cell r="B118" t="str">
            <v>Malaysia</v>
          </cell>
          <cell r="C118">
            <v>6.2275370482764991E-2</v>
          </cell>
        </row>
        <row r="120">
          <cell r="J120" t="str">
            <v>HK: Turnover Value: Total</v>
          </cell>
          <cell r="N120" t="str">
            <v>SG: SGX Turnover: Value: Mainboard &amp; Clob</v>
          </cell>
          <cell r="O120" t="str">
            <v>SG: SGX Turnover: Share: Sesdaq</v>
          </cell>
        </row>
        <row r="121">
          <cell r="J121" t="str">
            <v>HZGA</v>
          </cell>
          <cell r="N121" t="str">
            <v>SZGR</v>
          </cell>
          <cell r="O121" t="str">
            <v>SZGSC</v>
          </cell>
        </row>
        <row r="122">
          <cell r="J122" t="str">
            <v>HKD mn</v>
          </cell>
          <cell r="N122" t="str">
            <v>SGD mn</v>
          </cell>
          <cell r="O122" t="str">
            <v>mn</v>
          </cell>
        </row>
        <row r="123">
          <cell r="J123" t="str">
            <v>M:   Feb-1981:   Feb-2006</v>
          </cell>
          <cell r="N123" t="str">
            <v>M:   Dec-1995:   Feb-2006</v>
          </cell>
          <cell r="O123" t="str">
            <v>M:   Aug-1998:   Feb-2006</v>
          </cell>
        </row>
        <row r="124">
          <cell r="I124">
            <v>38047</v>
          </cell>
          <cell r="J124">
            <v>389093</v>
          </cell>
          <cell r="M124">
            <v>38353</v>
          </cell>
          <cell r="N124">
            <v>15234.356</v>
          </cell>
          <cell r="O124">
            <v>2360.509</v>
          </cell>
          <cell r="P124">
            <v>17594.864999999998</v>
          </cell>
        </row>
        <row r="125">
          <cell r="I125">
            <v>38078</v>
          </cell>
          <cell r="J125">
            <v>288924</v>
          </cell>
          <cell r="M125">
            <v>38384</v>
          </cell>
          <cell r="N125">
            <v>14820.376</v>
          </cell>
          <cell r="O125">
            <v>1847.204</v>
          </cell>
          <cell r="P125">
            <v>16667.580000000002</v>
          </cell>
        </row>
        <row r="126">
          <cell r="I126">
            <v>38108</v>
          </cell>
          <cell r="J126">
            <v>274080</v>
          </cell>
          <cell r="M126">
            <v>38412</v>
          </cell>
          <cell r="N126">
            <v>15663.126</v>
          </cell>
          <cell r="O126">
            <v>1621.423</v>
          </cell>
          <cell r="P126">
            <v>17284.548999999999</v>
          </cell>
        </row>
        <row r="127">
          <cell r="I127">
            <v>38139</v>
          </cell>
          <cell r="J127">
            <v>263233</v>
          </cell>
          <cell r="M127">
            <v>38443</v>
          </cell>
          <cell r="N127">
            <v>12977.285</v>
          </cell>
          <cell r="O127">
            <v>1582.91</v>
          </cell>
          <cell r="P127">
            <v>14560.195</v>
          </cell>
        </row>
        <row r="128">
          <cell r="I128">
            <v>38169</v>
          </cell>
          <cell r="J128">
            <v>224761</v>
          </cell>
          <cell r="M128">
            <v>38473</v>
          </cell>
          <cell r="N128">
            <v>13771.915999999999</v>
          </cell>
          <cell r="O128">
            <v>1123.8489999999999</v>
          </cell>
          <cell r="P128">
            <v>14895.764999999999</v>
          </cell>
        </row>
        <row r="129">
          <cell r="I129">
            <v>38200</v>
          </cell>
          <cell r="J129">
            <v>249929</v>
          </cell>
          <cell r="M129">
            <v>38504</v>
          </cell>
          <cell r="N129">
            <v>16603.642</v>
          </cell>
          <cell r="O129">
            <v>1479.492</v>
          </cell>
          <cell r="P129">
            <v>18083.133999999998</v>
          </cell>
        </row>
        <row r="130">
          <cell r="I130">
            <v>38231</v>
          </cell>
          <cell r="J130">
            <v>307213.40000000002</v>
          </cell>
          <cell r="M130">
            <v>38534</v>
          </cell>
          <cell r="N130">
            <v>21844.902999999998</v>
          </cell>
          <cell r="O130">
            <v>1454.82</v>
          </cell>
          <cell r="P130">
            <v>23299.722999999998</v>
          </cell>
        </row>
        <row r="131">
          <cell r="I131">
            <v>38261</v>
          </cell>
          <cell r="J131">
            <v>288593</v>
          </cell>
          <cell r="M131">
            <v>38565</v>
          </cell>
          <cell r="N131">
            <v>22875.351999999999</v>
          </cell>
          <cell r="O131">
            <v>1993.0440000000001</v>
          </cell>
          <cell r="P131">
            <v>24868.396000000001</v>
          </cell>
        </row>
        <row r="132">
          <cell r="I132">
            <v>38292</v>
          </cell>
          <cell r="J132">
            <v>437928</v>
          </cell>
          <cell r="M132">
            <v>38596</v>
          </cell>
          <cell r="N132">
            <v>18307.261999999999</v>
          </cell>
          <cell r="O132">
            <v>2769.8110000000001</v>
          </cell>
          <cell r="P132">
            <v>21077.073</v>
          </cell>
        </row>
        <row r="133">
          <cell r="I133">
            <v>38322</v>
          </cell>
          <cell r="J133">
            <v>403972</v>
          </cell>
          <cell r="M133">
            <v>38626</v>
          </cell>
          <cell r="N133">
            <v>20178.116999999998</v>
          </cell>
          <cell r="O133">
            <v>3417.5880000000002</v>
          </cell>
          <cell r="P133">
            <v>23595.704999999998</v>
          </cell>
        </row>
        <row r="134">
          <cell r="I134">
            <v>38353</v>
          </cell>
          <cell r="J134">
            <v>403067</v>
          </cell>
          <cell r="M134">
            <v>38657</v>
          </cell>
          <cell r="N134">
            <v>15317.01</v>
          </cell>
          <cell r="O134">
            <v>1500.2729999999999</v>
          </cell>
          <cell r="P134">
            <v>16817.282999999999</v>
          </cell>
        </row>
        <row r="135">
          <cell r="I135">
            <v>38384</v>
          </cell>
          <cell r="J135">
            <v>286588</v>
          </cell>
          <cell r="M135">
            <v>38687</v>
          </cell>
          <cell r="N135">
            <v>13202.165000000001</v>
          </cell>
          <cell r="O135">
            <v>1238.588</v>
          </cell>
          <cell r="P135">
            <v>14440.753000000001</v>
          </cell>
        </row>
        <row r="136">
          <cell r="I136">
            <v>38412</v>
          </cell>
          <cell r="J136">
            <v>391298</v>
          </cell>
          <cell r="M136">
            <v>38718</v>
          </cell>
          <cell r="N136">
            <v>20536.151000000002</v>
          </cell>
          <cell r="O136">
            <v>2067.9360000000001</v>
          </cell>
          <cell r="P136">
            <v>22604.087000000003</v>
          </cell>
        </row>
        <row r="137">
          <cell r="I137">
            <v>38443</v>
          </cell>
          <cell r="J137">
            <v>298525</v>
          </cell>
          <cell r="M137">
            <v>38749</v>
          </cell>
          <cell r="N137">
            <v>23844.579000000002</v>
          </cell>
          <cell r="O137">
            <v>2914.8319999999999</v>
          </cell>
          <cell r="P137">
            <v>26759.411</v>
          </cell>
        </row>
        <row r="138">
          <cell r="I138">
            <v>38473</v>
          </cell>
          <cell r="J138">
            <v>272445</v>
          </cell>
        </row>
        <row r="139">
          <cell r="I139">
            <v>38504</v>
          </cell>
          <cell r="J139">
            <v>377716</v>
          </cell>
        </row>
        <row r="140">
          <cell r="I140">
            <v>38534</v>
          </cell>
          <cell r="J140">
            <v>416389</v>
          </cell>
          <cell r="N140">
            <v>2005</v>
          </cell>
          <cell r="O140" t="str">
            <v>2006 Annualised</v>
          </cell>
        </row>
        <row r="141">
          <cell r="I141">
            <v>38565</v>
          </cell>
          <cell r="J141">
            <v>517757</v>
          </cell>
          <cell r="N141">
            <v>223185.02099999998</v>
          </cell>
          <cell r="O141">
            <v>296180.98800000001</v>
          </cell>
        </row>
        <row r="142">
          <cell r="I142">
            <v>38596</v>
          </cell>
          <cell r="J142">
            <v>379599.4</v>
          </cell>
          <cell r="O142">
            <v>0.32706481229311546</v>
          </cell>
        </row>
        <row r="143">
          <cell r="I143">
            <v>38626</v>
          </cell>
          <cell r="J143">
            <v>381029.9</v>
          </cell>
        </row>
        <row r="144">
          <cell r="I144">
            <v>38657</v>
          </cell>
          <cell r="J144">
            <v>394178.5</v>
          </cell>
        </row>
        <row r="145">
          <cell r="I145">
            <v>38687</v>
          </cell>
          <cell r="J145">
            <v>379554.4</v>
          </cell>
        </row>
        <row r="146">
          <cell r="I146">
            <v>38718</v>
          </cell>
          <cell r="J146">
            <v>575917.25105900003</v>
          </cell>
        </row>
        <row r="147">
          <cell r="I147">
            <v>38749</v>
          </cell>
          <cell r="J147">
            <v>652329.26099600003</v>
          </cell>
        </row>
        <row r="148">
          <cell r="I148">
            <v>2005</v>
          </cell>
          <cell r="J148" t="str">
            <v>2006 Annualised</v>
          </cell>
        </row>
        <row r="149">
          <cell r="I149">
            <v>4498147.2</v>
          </cell>
          <cell r="J149">
            <v>7369479.0723299999</v>
          </cell>
        </row>
        <row r="160">
          <cell r="B160" t="str">
            <v>(US$mn)</v>
          </cell>
          <cell r="C160">
            <v>1995</v>
          </cell>
          <cell r="D160">
            <v>2005</v>
          </cell>
          <cell r="E160" t="str">
            <v>10 Yr CAGR</v>
          </cell>
        </row>
        <row r="161">
          <cell r="B161" t="str">
            <v>Australia</v>
          </cell>
          <cell r="C161">
            <v>98310.287610078027</v>
          </cell>
          <cell r="D161">
            <v>672517.59532143211</v>
          </cell>
          <cell r="E161">
            <v>0.21202190367914153</v>
          </cell>
        </row>
        <row r="162">
          <cell r="B162" t="str">
            <v xml:space="preserve">Korea </v>
          </cell>
          <cell r="C162">
            <v>185427.51558716429</v>
          </cell>
          <cell r="D162">
            <v>1204336.7922235474</v>
          </cell>
          <cell r="E162">
            <v>0.20575029670022871</v>
          </cell>
        </row>
        <row r="163">
          <cell r="B163" t="str">
            <v xml:space="preserve">London </v>
          </cell>
          <cell r="C163">
            <v>1153221.3107423985</v>
          </cell>
          <cell r="D163">
            <v>5673877.0929480623</v>
          </cell>
          <cell r="E163">
            <v>0.17272646621276522</v>
          </cell>
        </row>
        <row r="164">
          <cell r="B164" t="str">
            <v xml:space="preserve">Hong Kong </v>
          </cell>
          <cell r="C164">
            <v>95832.029339598128</v>
          </cell>
          <cell r="D164">
            <v>464285.1257928363</v>
          </cell>
          <cell r="E164">
            <v>0.17092049742012372</v>
          </cell>
        </row>
        <row r="165">
          <cell r="B165" t="str">
            <v xml:space="preserve">NYSE </v>
          </cell>
          <cell r="C165">
            <v>3082916.1</v>
          </cell>
          <cell r="D165">
            <v>14125294.099999998</v>
          </cell>
          <cell r="E165">
            <v>0.16440370680116545</v>
          </cell>
        </row>
        <row r="166">
          <cell r="B166" t="str">
            <v xml:space="preserve">Nasdaq </v>
          </cell>
          <cell r="C166">
            <v>2398213</v>
          </cell>
          <cell r="D166">
            <v>10086739.960000001</v>
          </cell>
          <cell r="E166">
            <v>0.15447971690841888</v>
          </cell>
        </row>
        <row r="167">
          <cell r="B167" t="str">
            <v xml:space="preserve">Singapore </v>
          </cell>
          <cell r="C167">
            <v>59181.548232305417</v>
          </cell>
          <cell r="D167">
            <v>120677.63086723963</v>
          </cell>
          <cell r="E167">
            <v>7.3851047997348429E-2</v>
          </cell>
        </row>
        <row r="168">
          <cell r="B168" t="str">
            <v>Malaysia</v>
          </cell>
          <cell r="C168">
            <v>60792.419464173567</v>
          </cell>
          <cell r="D168">
            <v>51587.694915399508</v>
          </cell>
          <cell r="E168">
            <v>-1.6284148853344949E-2</v>
          </cell>
        </row>
        <row r="170">
          <cell r="C170">
            <v>83866.172000000006</v>
          </cell>
          <cell r="D170">
            <v>200795.51</v>
          </cell>
        </row>
        <row r="171">
          <cell r="C171">
            <v>1.4171</v>
          </cell>
          <cell r="D171">
            <v>1.6638999999999999</v>
          </cell>
        </row>
      </sheetData>
      <sheetData sheetId="57"/>
      <sheetData sheetId="58" refreshError="1">
        <row r="1">
          <cell r="B1" t="str">
            <v>HK: Turnover Value: Total</v>
          </cell>
          <cell r="C1" t="str">
            <v>MY: KLSE: Turnover: Value</v>
          </cell>
          <cell r="D1" t="str">
            <v>SG: SGX Turnover: Value: Mainboard &amp; Clob</v>
          </cell>
          <cell r="E1" t="str">
            <v>JP: Turnover: Value</v>
          </cell>
          <cell r="F1" t="str">
            <v>ASX</v>
          </cell>
          <cell r="G1" t="str">
            <v>AU: ASX Turnover: Value: Industrial</v>
          </cell>
          <cell r="H1" t="str">
            <v>AU: ASX Turnover: Value: Mining</v>
          </cell>
        </row>
        <row r="2">
          <cell r="B2" t="str">
            <v>HZGA</v>
          </cell>
          <cell r="C2" t="str">
            <v>MZGA</v>
          </cell>
          <cell r="D2" t="str">
            <v>SZGR</v>
          </cell>
          <cell r="E2" t="str">
            <v>JZGA</v>
          </cell>
          <cell r="G2" t="str">
            <v>AZDAAADB</v>
          </cell>
          <cell r="H2" t="str">
            <v>AZDAAADC</v>
          </cell>
        </row>
        <row r="3">
          <cell r="B3" t="str">
            <v>HKD mn</v>
          </cell>
          <cell r="C3" t="str">
            <v>RM mn</v>
          </cell>
          <cell r="D3" t="str">
            <v>SGD mn</v>
          </cell>
          <cell r="E3" t="str">
            <v>JPY bn</v>
          </cell>
          <cell r="G3" t="str">
            <v>AUD mn</v>
          </cell>
          <cell r="H3" t="str">
            <v>AUD mn</v>
          </cell>
          <cell r="J3" t="str">
            <v>MoM</v>
          </cell>
          <cell r="K3" t="str">
            <v>MoM</v>
          </cell>
          <cell r="L3" t="str">
            <v>MoM</v>
          </cell>
          <cell r="M3" t="str">
            <v>MoM</v>
          </cell>
          <cell r="N3" t="str">
            <v>MoM</v>
          </cell>
          <cell r="P3" t="str">
            <v>3MMA</v>
          </cell>
          <cell r="Q3" t="str">
            <v>3MMA</v>
          </cell>
          <cell r="R3" t="str">
            <v>3MMA</v>
          </cell>
          <cell r="S3" t="str">
            <v>3MMA</v>
          </cell>
          <cell r="T3" t="str">
            <v>3MMA</v>
          </cell>
        </row>
        <row r="4">
          <cell r="B4" t="str">
            <v>M:   Feb-1981:   Oct-2005</v>
          </cell>
          <cell r="C4" t="str">
            <v>M:   Jul-1987:   Sep-2005</v>
          </cell>
          <cell r="D4" t="str">
            <v>M:   Dec-1995:   Oct-2005</v>
          </cell>
          <cell r="E4" t="str">
            <v>M:   Dec-1987:   Feb-2006</v>
          </cell>
          <cell r="G4" t="str">
            <v>M:   May-1999:   Mar-2006</v>
          </cell>
          <cell r="H4" t="str">
            <v>M:   May-1999:   Mar-2006</v>
          </cell>
          <cell r="J4" t="str">
            <v>HK</v>
          </cell>
          <cell r="K4" t="str">
            <v>Malaysia</v>
          </cell>
          <cell r="L4" t="str">
            <v>Singapore</v>
          </cell>
          <cell r="M4" t="str">
            <v>Japan</v>
          </cell>
          <cell r="N4" t="str">
            <v>Australia</v>
          </cell>
          <cell r="P4" t="str">
            <v>HK</v>
          </cell>
          <cell r="Q4" t="str">
            <v>Malaysia</v>
          </cell>
          <cell r="R4" t="str">
            <v>Singapore</v>
          </cell>
          <cell r="S4" t="str">
            <v>Japan</v>
          </cell>
          <cell r="T4" t="str">
            <v>Australia</v>
          </cell>
        </row>
        <row r="5">
          <cell r="A5">
            <v>35034</v>
          </cell>
          <cell r="B5">
            <v>64001.71</v>
          </cell>
          <cell r="C5">
            <v>16882.088</v>
          </cell>
          <cell r="D5">
            <v>7887.8729999999996</v>
          </cell>
          <cell r="E5">
            <v>15781.26</v>
          </cell>
        </row>
        <row r="6">
          <cell r="A6">
            <v>35065</v>
          </cell>
          <cell r="B6">
            <v>155896.28</v>
          </cell>
          <cell r="C6">
            <v>49894.99</v>
          </cell>
          <cell r="D6">
            <v>15380.816000000001</v>
          </cell>
          <cell r="E6">
            <v>14071.84</v>
          </cell>
        </row>
        <row r="7">
          <cell r="A7">
            <v>35096</v>
          </cell>
          <cell r="B7">
            <v>113148.09</v>
          </cell>
          <cell r="C7">
            <v>22870.152999999998</v>
          </cell>
          <cell r="D7">
            <v>8174.58</v>
          </cell>
          <cell r="E7">
            <v>13993.7</v>
          </cell>
        </row>
        <row r="8">
          <cell r="A8">
            <v>35125</v>
          </cell>
          <cell r="B8">
            <v>104794.74</v>
          </cell>
          <cell r="C8">
            <v>42595.214</v>
          </cell>
          <cell r="D8">
            <v>7477.1580000000004</v>
          </cell>
          <cell r="E8">
            <v>17204.57</v>
          </cell>
        </row>
        <row r="9">
          <cell r="A9">
            <v>35156</v>
          </cell>
          <cell r="B9">
            <v>71885.42</v>
          </cell>
          <cell r="C9">
            <v>52646.362999999998</v>
          </cell>
          <cell r="D9">
            <v>6946.098</v>
          </cell>
          <cell r="E9">
            <v>16025.21</v>
          </cell>
        </row>
        <row r="10">
          <cell r="A10">
            <v>35186</v>
          </cell>
          <cell r="B10">
            <v>86564.96</v>
          </cell>
          <cell r="C10">
            <v>33434.807999999997</v>
          </cell>
          <cell r="D10">
            <v>8644.473</v>
          </cell>
          <cell r="E10">
            <v>11582.36</v>
          </cell>
        </row>
        <row r="11">
          <cell r="A11">
            <v>35217</v>
          </cell>
          <cell r="B11">
            <v>68896.89</v>
          </cell>
          <cell r="C11">
            <v>25993.287</v>
          </cell>
          <cell r="D11">
            <v>5979.2759999999998</v>
          </cell>
          <cell r="E11">
            <v>11038.79</v>
          </cell>
        </row>
        <row r="12">
          <cell r="A12">
            <v>35247</v>
          </cell>
          <cell r="B12">
            <v>97814.25</v>
          </cell>
          <cell r="C12">
            <v>38805.233</v>
          </cell>
          <cell r="D12">
            <v>5944.6819999999998</v>
          </cell>
          <cell r="E12">
            <v>8487.07</v>
          </cell>
        </row>
        <row r="13">
          <cell r="A13">
            <v>35278</v>
          </cell>
          <cell r="B13">
            <v>94011.8</v>
          </cell>
          <cell r="C13">
            <v>29941.255000000001</v>
          </cell>
          <cell r="D13">
            <v>5367.2579999999998</v>
          </cell>
          <cell r="E13">
            <v>8200.3700000000008</v>
          </cell>
        </row>
        <row r="14">
          <cell r="A14">
            <v>35309</v>
          </cell>
          <cell r="B14">
            <v>106764</v>
          </cell>
          <cell r="C14">
            <v>50444.69</v>
          </cell>
          <cell r="D14">
            <v>5385.6490000000003</v>
          </cell>
          <cell r="E14">
            <v>10836.37</v>
          </cell>
        </row>
        <row r="15">
          <cell r="A15">
            <v>35339</v>
          </cell>
          <cell r="B15">
            <v>154151</v>
          </cell>
          <cell r="C15">
            <v>50101.296000000002</v>
          </cell>
          <cell r="D15">
            <v>5472.9620000000004</v>
          </cell>
          <cell r="E15">
            <v>7227.77</v>
          </cell>
        </row>
        <row r="16">
          <cell r="A16">
            <v>35370</v>
          </cell>
          <cell r="B16">
            <v>198299</v>
          </cell>
          <cell r="C16">
            <v>44210.606</v>
          </cell>
          <cell r="D16">
            <v>7091.6629999999996</v>
          </cell>
          <cell r="E16">
            <v>8162.9</v>
          </cell>
        </row>
        <row r="17">
          <cell r="A17">
            <v>35400</v>
          </cell>
          <cell r="B17">
            <v>160014.76</v>
          </cell>
          <cell r="C17">
            <v>24220.565999999999</v>
          </cell>
          <cell r="D17">
            <v>4907.7359999999999</v>
          </cell>
          <cell r="E17">
            <v>9338.92</v>
          </cell>
        </row>
        <row r="18">
          <cell r="A18">
            <v>35431</v>
          </cell>
          <cell r="B18">
            <v>246158.03</v>
          </cell>
          <cell r="C18">
            <v>42297.400999999998</v>
          </cell>
          <cell r="D18">
            <v>9877.7970000000005</v>
          </cell>
          <cell r="E18">
            <v>10294.32</v>
          </cell>
        </row>
        <row r="19">
          <cell r="A19">
            <v>35462</v>
          </cell>
          <cell r="B19">
            <v>156559.85999999999</v>
          </cell>
          <cell r="C19">
            <v>49546.735000000001</v>
          </cell>
          <cell r="D19">
            <v>13231.22</v>
          </cell>
          <cell r="E19">
            <v>12707.04</v>
          </cell>
        </row>
        <row r="20">
          <cell r="A20">
            <v>35490</v>
          </cell>
          <cell r="B20">
            <v>194531.77</v>
          </cell>
          <cell r="C20">
            <v>57699.014000000003</v>
          </cell>
          <cell r="D20">
            <v>8464.1440000000002</v>
          </cell>
          <cell r="E20">
            <v>20178.28</v>
          </cell>
        </row>
        <row r="21">
          <cell r="A21">
            <v>35521</v>
          </cell>
          <cell r="B21">
            <v>200237.86</v>
          </cell>
          <cell r="C21">
            <v>38833.743999999999</v>
          </cell>
          <cell r="D21">
            <v>7331.8429999999998</v>
          </cell>
          <cell r="E21">
            <v>10660.95</v>
          </cell>
        </row>
        <row r="22">
          <cell r="A22">
            <v>35551</v>
          </cell>
          <cell r="B22">
            <v>343830.78</v>
          </cell>
          <cell r="C22">
            <v>33052.747000000003</v>
          </cell>
          <cell r="D22">
            <v>7869.8289999999997</v>
          </cell>
          <cell r="E22">
            <v>13557.52</v>
          </cell>
        </row>
        <row r="23">
          <cell r="A23">
            <v>35582</v>
          </cell>
          <cell r="B23">
            <v>398969.72</v>
          </cell>
          <cell r="C23">
            <v>34363.773000000001</v>
          </cell>
          <cell r="D23">
            <v>7233.46</v>
          </cell>
          <cell r="E23">
            <v>10923.57</v>
          </cell>
        </row>
        <row r="24">
          <cell r="A24">
            <v>35612</v>
          </cell>
          <cell r="B24">
            <v>409601.31</v>
          </cell>
          <cell r="C24">
            <v>38412.993999999999</v>
          </cell>
          <cell r="D24">
            <v>9318.3729999999996</v>
          </cell>
          <cell r="E24">
            <v>11337.26</v>
          </cell>
        </row>
        <row r="25">
          <cell r="A25">
            <v>35643</v>
          </cell>
          <cell r="B25">
            <v>637007.43999999994</v>
          </cell>
          <cell r="C25">
            <v>30368.235000000001</v>
          </cell>
          <cell r="D25">
            <v>11801.091</v>
          </cell>
          <cell r="E25">
            <v>12657.2</v>
          </cell>
        </row>
        <row r="26">
          <cell r="A26">
            <v>35674</v>
          </cell>
          <cell r="B26">
            <v>424605.25</v>
          </cell>
          <cell r="C26">
            <v>32150.927</v>
          </cell>
          <cell r="D26">
            <v>10928.194</v>
          </cell>
          <cell r="E26">
            <v>22622.95</v>
          </cell>
        </row>
        <row r="27">
          <cell r="A27">
            <v>35704</v>
          </cell>
          <cell r="B27">
            <v>375728.99</v>
          </cell>
          <cell r="C27">
            <v>23383.053</v>
          </cell>
          <cell r="D27">
            <v>9514.0300000000007</v>
          </cell>
          <cell r="E27">
            <v>9513.86</v>
          </cell>
        </row>
        <row r="28">
          <cell r="A28">
            <v>35735</v>
          </cell>
          <cell r="B28">
            <v>229284.21</v>
          </cell>
          <cell r="C28">
            <v>17171.191999999999</v>
          </cell>
          <cell r="D28">
            <v>7505.1170000000002</v>
          </cell>
          <cell r="E28">
            <v>8302.57</v>
          </cell>
        </row>
        <row r="29">
          <cell r="A29">
            <v>35765</v>
          </cell>
          <cell r="B29">
            <v>172444.58</v>
          </cell>
          <cell r="C29">
            <v>11246.855</v>
          </cell>
          <cell r="D29">
            <v>7373.6909999999998</v>
          </cell>
          <cell r="E29">
            <v>8689.56</v>
          </cell>
        </row>
        <row r="30">
          <cell r="A30">
            <v>35796</v>
          </cell>
          <cell r="B30">
            <v>159477.74</v>
          </cell>
          <cell r="C30">
            <v>8652.7720000000008</v>
          </cell>
          <cell r="D30">
            <v>8738.9130000000005</v>
          </cell>
          <cell r="E30">
            <v>8617.98</v>
          </cell>
        </row>
        <row r="31">
          <cell r="A31">
            <v>35827</v>
          </cell>
          <cell r="B31">
            <v>212814.51</v>
          </cell>
          <cell r="C31">
            <v>27967.702000000001</v>
          </cell>
          <cell r="D31">
            <v>14712.812</v>
          </cell>
          <cell r="E31">
            <v>8304.93</v>
          </cell>
        </row>
        <row r="32">
          <cell r="A32">
            <v>35855</v>
          </cell>
          <cell r="B32">
            <v>174219.88</v>
          </cell>
          <cell r="C32">
            <v>12227.138000000001</v>
          </cell>
          <cell r="D32">
            <v>9275.5820000000003</v>
          </cell>
          <cell r="E32">
            <v>21698.43</v>
          </cell>
        </row>
        <row r="33">
          <cell r="A33">
            <v>35886</v>
          </cell>
          <cell r="B33">
            <v>116324.67</v>
          </cell>
          <cell r="C33">
            <v>6744.616</v>
          </cell>
          <cell r="D33">
            <v>6011.8010000000004</v>
          </cell>
          <cell r="E33">
            <v>8099.53</v>
          </cell>
        </row>
        <row r="34">
          <cell r="A34">
            <v>35916</v>
          </cell>
          <cell r="B34">
            <v>115664.69</v>
          </cell>
          <cell r="C34">
            <v>5605.9629999999997</v>
          </cell>
          <cell r="D34">
            <v>5492.5919999999996</v>
          </cell>
          <cell r="E34">
            <v>7095.52</v>
          </cell>
        </row>
        <row r="35">
          <cell r="A35">
            <v>35947</v>
          </cell>
          <cell r="B35">
            <v>128658.06</v>
          </cell>
          <cell r="C35">
            <v>5445.3</v>
          </cell>
          <cell r="D35">
            <v>5888.2250000000004</v>
          </cell>
          <cell r="E35">
            <v>8816.51</v>
          </cell>
        </row>
        <row r="36">
          <cell r="A36">
            <v>35977</v>
          </cell>
          <cell r="B36">
            <v>89016.320000000007</v>
          </cell>
          <cell r="C36">
            <v>4710.5569999999998</v>
          </cell>
          <cell r="D36">
            <v>5136.3599999999997</v>
          </cell>
          <cell r="E36">
            <v>11609.82</v>
          </cell>
        </row>
        <row r="37">
          <cell r="A37">
            <v>36008</v>
          </cell>
          <cell r="B37">
            <v>214328.5</v>
          </cell>
          <cell r="C37">
            <v>3856.1439999999998</v>
          </cell>
          <cell r="D37">
            <v>4862.0529999999999</v>
          </cell>
          <cell r="E37">
            <v>9523.57</v>
          </cell>
        </row>
        <row r="38">
          <cell r="A38">
            <v>36039</v>
          </cell>
          <cell r="B38">
            <v>114436.24</v>
          </cell>
          <cell r="C38">
            <v>8539.1919999999991</v>
          </cell>
          <cell r="D38">
            <v>5113.9560000000001</v>
          </cell>
          <cell r="E38">
            <v>14067.57</v>
          </cell>
        </row>
        <row r="39">
          <cell r="A39">
            <v>36069</v>
          </cell>
          <cell r="B39">
            <v>132910.04999999999</v>
          </cell>
          <cell r="C39">
            <v>5106.0460000000003</v>
          </cell>
          <cell r="D39">
            <v>9658.9369999999999</v>
          </cell>
          <cell r="E39">
            <v>9741.44</v>
          </cell>
        </row>
        <row r="40">
          <cell r="A40">
            <v>36100</v>
          </cell>
          <cell r="B40">
            <v>164457.29</v>
          </cell>
          <cell r="C40">
            <v>10820.804</v>
          </cell>
          <cell r="D40">
            <v>14137.54</v>
          </cell>
          <cell r="E40">
            <v>8385.81</v>
          </cell>
        </row>
        <row r="41">
          <cell r="A41">
            <v>36130</v>
          </cell>
          <cell r="B41">
            <v>78804.06</v>
          </cell>
          <cell r="C41">
            <v>15504.646000000001</v>
          </cell>
          <cell r="D41">
            <v>7846.8649999999998</v>
          </cell>
          <cell r="E41">
            <v>8140.62</v>
          </cell>
        </row>
        <row r="42">
          <cell r="A42">
            <v>36161</v>
          </cell>
          <cell r="B42">
            <v>104447.96</v>
          </cell>
          <cell r="C42">
            <v>7735.4769999999999</v>
          </cell>
          <cell r="D42">
            <v>11367.896000000001</v>
          </cell>
          <cell r="E42">
            <v>8297.5</v>
          </cell>
        </row>
        <row r="43">
          <cell r="A43">
            <v>36192</v>
          </cell>
          <cell r="B43">
            <v>53605.71</v>
          </cell>
          <cell r="C43">
            <v>5287.6059999999998</v>
          </cell>
          <cell r="D43">
            <v>5829.2049999999999</v>
          </cell>
          <cell r="E43">
            <v>9420.9699999999993</v>
          </cell>
        </row>
        <row r="44">
          <cell r="A44">
            <v>36220</v>
          </cell>
          <cell r="B44">
            <v>118403.88</v>
          </cell>
          <cell r="C44">
            <v>3720.8359999999998</v>
          </cell>
          <cell r="D44">
            <v>8347.9570000000003</v>
          </cell>
          <cell r="E44">
            <v>20177.12</v>
          </cell>
        </row>
        <row r="45">
          <cell r="A45">
            <v>36251</v>
          </cell>
          <cell r="B45">
            <v>170603.24</v>
          </cell>
          <cell r="C45">
            <v>13496.072</v>
          </cell>
          <cell r="D45">
            <v>18763.833999999999</v>
          </cell>
          <cell r="E45">
            <v>15599.9</v>
          </cell>
        </row>
        <row r="46">
          <cell r="A46">
            <v>36281</v>
          </cell>
          <cell r="B46">
            <v>154372.38</v>
          </cell>
          <cell r="C46">
            <v>23942.482</v>
          </cell>
          <cell r="D46">
            <v>21481.704000000002</v>
          </cell>
          <cell r="E46">
            <v>11446.16</v>
          </cell>
          <cell r="F46">
            <v>25523.747599999999</v>
          </cell>
          <cell r="G46">
            <v>22783.368999999999</v>
          </cell>
          <cell r="H46">
            <v>2740.3786</v>
          </cell>
        </row>
        <row r="47">
          <cell r="A47">
            <v>36312</v>
          </cell>
          <cell r="B47">
            <v>165639.67000000001</v>
          </cell>
          <cell r="C47">
            <v>24896.291000000001</v>
          </cell>
          <cell r="D47">
            <v>32934.112000000001</v>
          </cell>
          <cell r="E47">
            <v>17171.810000000001</v>
          </cell>
          <cell r="F47">
            <v>25193.445400000001</v>
          </cell>
          <cell r="G47">
            <v>22602.916000000001</v>
          </cell>
          <cell r="H47">
            <v>2590.5293999999999</v>
          </cell>
        </row>
        <row r="48">
          <cell r="A48">
            <v>36342</v>
          </cell>
          <cell r="B48">
            <v>184176.11</v>
          </cell>
          <cell r="C48">
            <v>45980.123</v>
          </cell>
          <cell r="D48">
            <v>23024.67</v>
          </cell>
          <cell r="E48">
            <v>19523.849999999999</v>
          </cell>
          <cell r="F48">
            <v>28711.623299999999</v>
          </cell>
          <cell r="G48">
            <v>25697.809000000001</v>
          </cell>
          <cell r="H48">
            <v>3013.8143</v>
          </cell>
        </row>
        <row r="49">
          <cell r="A49">
            <v>36373</v>
          </cell>
          <cell r="B49">
            <v>128208.83</v>
          </cell>
          <cell r="C49">
            <v>19048.092000000001</v>
          </cell>
          <cell r="D49">
            <v>11713.196</v>
          </cell>
          <cell r="E49">
            <v>17008.38</v>
          </cell>
          <cell r="F49">
            <v>23793.330400000003</v>
          </cell>
          <cell r="G49">
            <v>20770.544000000002</v>
          </cell>
          <cell r="H49">
            <v>3022.7864</v>
          </cell>
        </row>
        <row r="50">
          <cell r="A50">
            <v>36404</v>
          </cell>
          <cell r="B50">
            <v>181937.37</v>
          </cell>
          <cell r="C50">
            <v>9629.2659999999996</v>
          </cell>
          <cell r="D50">
            <v>11199.864</v>
          </cell>
          <cell r="E50">
            <v>22314.11</v>
          </cell>
          <cell r="F50">
            <v>23082.541499999999</v>
          </cell>
          <cell r="G50">
            <v>19375.733</v>
          </cell>
          <cell r="H50">
            <v>3706.8085000000001</v>
          </cell>
        </row>
        <row r="51">
          <cell r="A51">
            <v>36434</v>
          </cell>
          <cell r="B51">
            <v>149497.23000000001</v>
          </cell>
          <cell r="C51">
            <v>10945.643</v>
          </cell>
          <cell r="D51">
            <v>8877.3909999999996</v>
          </cell>
          <cell r="E51">
            <v>18581.28</v>
          </cell>
          <cell r="F51">
            <v>22640.718100000002</v>
          </cell>
          <cell r="G51">
            <v>19940.878000000001</v>
          </cell>
          <cell r="H51">
            <v>2699.8400999999999</v>
          </cell>
        </row>
        <row r="52">
          <cell r="A52">
            <v>36465</v>
          </cell>
          <cell r="B52">
            <v>239400.47</v>
          </cell>
          <cell r="C52">
            <v>8411.6919999999991</v>
          </cell>
          <cell r="D52">
            <v>15389.544</v>
          </cell>
          <cell r="E52">
            <v>26952.91</v>
          </cell>
          <cell r="F52">
            <v>29146.068799999997</v>
          </cell>
          <cell r="G52">
            <v>26273.152999999998</v>
          </cell>
          <cell r="H52">
            <v>2872.9158000000002</v>
          </cell>
        </row>
        <row r="53">
          <cell r="A53">
            <v>36495</v>
          </cell>
          <cell r="B53">
            <v>265647.74</v>
          </cell>
          <cell r="C53">
            <v>12155.929</v>
          </cell>
          <cell r="D53">
            <v>13065.843000000001</v>
          </cell>
          <cell r="E53">
            <v>23742.35</v>
          </cell>
          <cell r="F53">
            <v>25183.748100000001</v>
          </cell>
          <cell r="G53">
            <v>22161.024000000001</v>
          </cell>
          <cell r="H53">
            <v>3022.7240999999999</v>
          </cell>
        </row>
        <row r="54">
          <cell r="A54">
            <v>36526</v>
          </cell>
          <cell r="B54">
            <v>367324.72</v>
          </cell>
          <cell r="C54">
            <v>35088.851000000002</v>
          </cell>
          <cell r="D54">
            <v>16952.488000000001</v>
          </cell>
          <cell r="E54">
            <v>23500.06</v>
          </cell>
          <cell r="F54">
            <v>31093.711600000002</v>
          </cell>
          <cell r="G54">
            <v>27629.33</v>
          </cell>
          <cell r="H54">
            <v>3464.3816000000002</v>
          </cell>
        </row>
        <row r="55">
          <cell r="A55">
            <v>36557</v>
          </cell>
          <cell r="B55">
            <v>419666.29</v>
          </cell>
          <cell r="C55">
            <v>55777.718999999997</v>
          </cell>
          <cell r="D55">
            <v>17498.028999999999</v>
          </cell>
          <cell r="E55">
            <v>34984.75</v>
          </cell>
          <cell r="F55">
            <v>37709.3825</v>
          </cell>
          <cell r="G55">
            <v>33349.644</v>
          </cell>
          <cell r="H55">
            <v>4359.7385000000004</v>
          </cell>
        </row>
        <row r="56">
          <cell r="A56">
            <v>36586</v>
          </cell>
          <cell r="B56">
            <v>345796.78</v>
          </cell>
          <cell r="C56">
            <v>35516.292999999998</v>
          </cell>
          <cell r="D56">
            <v>16215.37</v>
          </cell>
          <cell r="E56">
            <v>46072.09</v>
          </cell>
          <cell r="F56">
            <v>41031.0789</v>
          </cell>
          <cell r="G56">
            <v>36229.875</v>
          </cell>
          <cell r="H56">
            <v>4801.2039000000004</v>
          </cell>
        </row>
        <row r="57">
          <cell r="A57">
            <v>36617</v>
          </cell>
          <cell r="B57">
            <v>187948.34</v>
          </cell>
          <cell r="C57">
            <v>21446.993999999999</v>
          </cell>
          <cell r="D57">
            <v>12844.620999999999</v>
          </cell>
          <cell r="E57">
            <v>27096.1</v>
          </cell>
          <cell r="F57">
            <v>26486.674999999999</v>
          </cell>
          <cell r="G57">
            <v>24239.742999999999</v>
          </cell>
          <cell r="H57">
            <v>2246.9319999999998</v>
          </cell>
        </row>
        <row r="58">
          <cell r="A58">
            <v>36647</v>
          </cell>
          <cell r="B58">
            <v>219009.82</v>
          </cell>
          <cell r="C58">
            <v>17675.838</v>
          </cell>
          <cell r="D58">
            <v>13144.266</v>
          </cell>
          <cell r="E58">
            <v>20591.45</v>
          </cell>
          <cell r="F58">
            <v>30758.559499999999</v>
          </cell>
          <cell r="G58">
            <v>28023.717000000001</v>
          </cell>
          <cell r="H58">
            <v>2734.8425000000002</v>
          </cell>
        </row>
        <row r="59">
          <cell r="A59">
            <v>36678</v>
          </cell>
          <cell r="B59">
            <v>216897.64</v>
          </cell>
          <cell r="C59">
            <v>11904.661</v>
          </cell>
          <cell r="D59">
            <v>13490.882</v>
          </cell>
          <cell r="E59">
            <v>22094.05</v>
          </cell>
          <cell r="F59">
            <v>34439.961499999998</v>
          </cell>
          <cell r="G59">
            <v>30705.056</v>
          </cell>
          <cell r="H59">
            <v>3734.9054999999998</v>
          </cell>
        </row>
        <row r="60">
          <cell r="A60">
            <v>36708</v>
          </cell>
          <cell r="B60">
            <v>286840.64</v>
          </cell>
          <cell r="C60">
            <v>9586.527</v>
          </cell>
          <cell r="D60">
            <v>12948.625</v>
          </cell>
          <cell r="E60">
            <v>19497.400000000001</v>
          </cell>
          <cell r="F60">
            <v>29772.945400000001</v>
          </cell>
          <cell r="G60">
            <v>26234.06</v>
          </cell>
          <cell r="H60">
            <v>3538.8854000000001</v>
          </cell>
        </row>
        <row r="61">
          <cell r="A61">
            <v>36739</v>
          </cell>
          <cell r="B61">
            <v>266780.45</v>
          </cell>
          <cell r="C61">
            <v>7395.6930000000002</v>
          </cell>
          <cell r="D61">
            <v>12965.004999999999</v>
          </cell>
          <cell r="E61">
            <v>22284.71</v>
          </cell>
          <cell r="F61">
            <v>19794.331900000001</v>
          </cell>
          <cell r="G61">
            <v>17084.633000000002</v>
          </cell>
          <cell r="H61">
            <v>2709.6988999999999</v>
          </cell>
        </row>
        <row r="62">
          <cell r="A62">
            <v>36770</v>
          </cell>
          <cell r="B62">
            <v>201877.48</v>
          </cell>
          <cell r="C62">
            <v>6741.4650000000001</v>
          </cell>
          <cell r="D62">
            <v>9900.5329999999994</v>
          </cell>
          <cell r="E62">
            <v>21868.25</v>
          </cell>
          <cell r="F62">
            <v>21358.360399999998</v>
          </cell>
          <cell r="G62">
            <v>19352.241999999998</v>
          </cell>
          <cell r="H62">
            <v>2006.1184000000001</v>
          </cell>
        </row>
        <row r="63">
          <cell r="A63">
            <v>36800</v>
          </cell>
          <cell r="B63">
            <v>176897.06</v>
          </cell>
          <cell r="C63">
            <v>10649.08</v>
          </cell>
          <cell r="D63">
            <v>11791.779</v>
          </cell>
          <cell r="E63">
            <v>18209.349999999999</v>
          </cell>
          <cell r="F63">
            <v>30827.017100000001</v>
          </cell>
          <cell r="G63">
            <v>28104.728999999999</v>
          </cell>
          <cell r="H63">
            <v>2722.2881000000002</v>
          </cell>
        </row>
        <row r="64">
          <cell r="A64">
            <v>36831</v>
          </cell>
          <cell r="B64">
            <v>197556.33</v>
          </cell>
          <cell r="C64">
            <v>5976.4520000000002</v>
          </cell>
          <cell r="D64">
            <v>16138.772000000001</v>
          </cell>
          <cell r="E64">
            <v>16103.39</v>
          </cell>
          <cell r="F64">
            <v>31151.273699999998</v>
          </cell>
          <cell r="G64">
            <v>28723.332999999999</v>
          </cell>
          <cell r="H64">
            <v>2427.9407000000001</v>
          </cell>
        </row>
        <row r="65">
          <cell r="A65">
            <v>36861</v>
          </cell>
          <cell r="B65">
            <v>160969.79</v>
          </cell>
          <cell r="C65">
            <v>4551.2839999999997</v>
          </cell>
          <cell r="D65">
            <v>10532.594999999999</v>
          </cell>
          <cell r="E65">
            <v>18023.66</v>
          </cell>
          <cell r="F65">
            <v>25495.620999999999</v>
          </cell>
          <cell r="G65">
            <v>23324.143</v>
          </cell>
          <cell r="H65">
            <v>2171.4780000000001</v>
          </cell>
        </row>
        <row r="66">
          <cell r="A66">
            <v>36892</v>
          </cell>
          <cell r="B66">
            <v>178672.34</v>
          </cell>
          <cell r="C66">
            <v>6009.6229999999996</v>
          </cell>
          <cell r="D66">
            <v>11836.918</v>
          </cell>
          <cell r="E66">
            <v>16861.02</v>
          </cell>
          <cell r="F66">
            <v>29239.161799999998</v>
          </cell>
          <cell r="G66">
            <v>26911.744999999999</v>
          </cell>
          <cell r="H66">
            <v>2327.4168</v>
          </cell>
        </row>
        <row r="67">
          <cell r="A67">
            <v>36923</v>
          </cell>
          <cell r="B67">
            <v>181516</v>
          </cell>
          <cell r="C67">
            <v>4958.67</v>
          </cell>
          <cell r="D67">
            <v>10488.465</v>
          </cell>
          <cell r="E67">
            <v>17135.72</v>
          </cell>
          <cell r="F67">
            <v>31696.737000000001</v>
          </cell>
          <cell r="G67">
            <v>28726.363000000001</v>
          </cell>
          <cell r="H67">
            <v>2970.3739999999998</v>
          </cell>
        </row>
        <row r="68">
          <cell r="A68">
            <v>36951</v>
          </cell>
          <cell r="B68">
            <v>184205</v>
          </cell>
          <cell r="C68">
            <v>3830.4720000000002</v>
          </cell>
          <cell r="D68">
            <v>11658.65</v>
          </cell>
          <cell r="E68">
            <v>23946.13</v>
          </cell>
          <cell r="F68">
            <v>42687.559500000003</v>
          </cell>
          <cell r="G68">
            <v>38466.671000000002</v>
          </cell>
          <cell r="H68">
            <v>4220.8885</v>
          </cell>
        </row>
        <row r="69">
          <cell r="A69">
            <v>36982</v>
          </cell>
          <cell r="B69">
            <v>146894.76</v>
          </cell>
          <cell r="C69">
            <v>4625.3829999999998</v>
          </cell>
          <cell r="D69">
            <v>9778.2360000000008</v>
          </cell>
          <cell r="E69">
            <v>20492.55</v>
          </cell>
          <cell r="F69">
            <v>18323.426100000001</v>
          </cell>
          <cell r="G69">
            <v>16118.242</v>
          </cell>
          <cell r="H69">
            <v>2205.1840999999999</v>
          </cell>
        </row>
        <row r="70">
          <cell r="A70">
            <v>37012</v>
          </cell>
          <cell r="B70">
            <v>212034</v>
          </cell>
          <cell r="C70">
            <v>5048.2420000000002</v>
          </cell>
          <cell r="D70">
            <v>9864.8040000000001</v>
          </cell>
          <cell r="E70">
            <v>21919.53</v>
          </cell>
          <cell r="F70">
            <v>41598.5317</v>
          </cell>
          <cell r="G70">
            <v>36525.597999999998</v>
          </cell>
          <cell r="H70">
            <v>5072.9336999999996</v>
          </cell>
        </row>
        <row r="71">
          <cell r="A71">
            <v>37043</v>
          </cell>
          <cell r="B71">
            <v>213708</v>
          </cell>
          <cell r="C71">
            <v>4312.0529999999999</v>
          </cell>
          <cell r="D71">
            <v>14449.27</v>
          </cell>
          <cell r="E71">
            <v>19760.47</v>
          </cell>
          <cell r="F71">
            <v>45894.786600000007</v>
          </cell>
          <cell r="G71">
            <v>40045.264000000003</v>
          </cell>
          <cell r="H71">
            <v>5849.5226000000002</v>
          </cell>
        </row>
        <row r="72">
          <cell r="A72">
            <v>37073</v>
          </cell>
          <cell r="B72">
            <v>130367</v>
          </cell>
          <cell r="C72">
            <v>10995.436</v>
          </cell>
          <cell r="D72">
            <v>9337.143</v>
          </cell>
          <cell r="E72">
            <v>16542.8</v>
          </cell>
          <cell r="F72">
            <v>41161.107900000003</v>
          </cell>
          <cell r="G72">
            <v>36794.542000000001</v>
          </cell>
          <cell r="H72">
            <v>4366.5658999999996</v>
          </cell>
        </row>
        <row r="73">
          <cell r="A73">
            <v>37104</v>
          </cell>
          <cell r="B73">
            <v>144231</v>
          </cell>
          <cell r="C73">
            <v>9690.1020000000008</v>
          </cell>
          <cell r="D73">
            <v>8680.36</v>
          </cell>
          <cell r="E73">
            <v>18846.27</v>
          </cell>
          <cell r="F73">
            <v>41385.774600000004</v>
          </cell>
          <cell r="G73">
            <v>37550.913</v>
          </cell>
          <cell r="H73">
            <v>3834.8616000000002</v>
          </cell>
        </row>
        <row r="74">
          <cell r="A74">
            <v>37135</v>
          </cell>
          <cell r="B74">
            <v>137211</v>
          </cell>
          <cell r="C74">
            <v>9888.8729999999996</v>
          </cell>
          <cell r="D74">
            <v>12575.348</v>
          </cell>
          <cell r="E74">
            <v>16674.89</v>
          </cell>
          <cell r="F74">
            <v>42374</v>
          </cell>
          <cell r="G74">
            <v>37684.767</v>
          </cell>
          <cell r="H74">
            <v>4689.2330000000002</v>
          </cell>
        </row>
        <row r="75">
          <cell r="A75">
            <v>37165</v>
          </cell>
          <cell r="B75">
            <v>139296</v>
          </cell>
          <cell r="C75">
            <v>6158.6689999999999</v>
          </cell>
          <cell r="D75">
            <v>8314.6209999999992</v>
          </cell>
          <cell r="E75">
            <v>18546.46</v>
          </cell>
          <cell r="F75">
            <v>39135.972199999997</v>
          </cell>
          <cell r="G75">
            <v>34512.576999999997</v>
          </cell>
          <cell r="H75">
            <v>4623.3951999999999</v>
          </cell>
        </row>
        <row r="76">
          <cell r="A76">
            <v>37196</v>
          </cell>
          <cell r="B76">
            <v>160059</v>
          </cell>
          <cell r="C76">
            <v>9009.2189999999991</v>
          </cell>
          <cell r="D76">
            <v>11096.905000000001</v>
          </cell>
          <cell r="E76">
            <v>18019.14</v>
          </cell>
          <cell r="F76">
            <v>40232.606899999999</v>
          </cell>
          <cell r="G76">
            <v>35423.224000000002</v>
          </cell>
          <cell r="H76">
            <v>4809.3828999999996</v>
          </cell>
        </row>
        <row r="77">
          <cell r="A77">
            <v>37226</v>
          </cell>
          <cell r="B77">
            <v>121892</v>
          </cell>
          <cell r="C77">
            <v>10485.298000000001</v>
          </cell>
          <cell r="D77">
            <v>10830.632</v>
          </cell>
          <cell r="E77">
            <v>16493.73</v>
          </cell>
          <cell r="F77">
            <v>35015.790999999997</v>
          </cell>
          <cell r="G77">
            <v>30644.154999999999</v>
          </cell>
          <cell r="H77">
            <v>4371.6360000000004</v>
          </cell>
        </row>
        <row r="78">
          <cell r="A78">
            <v>37257</v>
          </cell>
          <cell r="B78">
            <v>151892.26999999999</v>
          </cell>
          <cell r="C78">
            <v>13962.166999999999</v>
          </cell>
          <cell r="D78">
            <v>17234.811000000002</v>
          </cell>
          <cell r="E78">
            <v>14709.78</v>
          </cell>
          <cell r="F78">
            <v>41588.715799999998</v>
          </cell>
          <cell r="G78">
            <v>35778.387999999999</v>
          </cell>
          <cell r="H78">
            <v>5810.3278</v>
          </cell>
        </row>
        <row r="79">
          <cell r="A79">
            <v>37288</v>
          </cell>
          <cell r="B79">
            <v>110189</v>
          </cell>
          <cell r="C79">
            <v>9821.1409999999996</v>
          </cell>
          <cell r="D79">
            <v>9856.7919999999995</v>
          </cell>
          <cell r="E79">
            <v>16050.72</v>
          </cell>
          <cell r="F79">
            <v>49126.022400000002</v>
          </cell>
          <cell r="G79">
            <v>42866.053</v>
          </cell>
          <cell r="H79">
            <v>6259.9694</v>
          </cell>
        </row>
        <row r="80">
          <cell r="A80">
            <v>37316</v>
          </cell>
          <cell r="B80">
            <v>142584</v>
          </cell>
          <cell r="C80">
            <v>13111.763000000001</v>
          </cell>
          <cell r="D80">
            <v>13135.718000000001</v>
          </cell>
          <cell r="E80">
            <v>22740.43</v>
          </cell>
          <cell r="F80">
            <v>45875.286099999998</v>
          </cell>
          <cell r="G80">
            <v>40167.084999999999</v>
          </cell>
          <cell r="H80">
            <v>5708.2011000000002</v>
          </cell>
        </row>
        <row r="81">
          <cell r="A81">
            <v>37347</v>
          </cell>
          <cell r="B81">
            <v>145596.53</v>
          </cell>
          <cell r="C81">
            <v>20243.928</v>
          </cell>
          <cell r="D81">
            <v>10533.596</v>
          </cell>
          <cell r="E81">
            <v>18983.3</v>
          </cell>
          <cell r="F81">
            <v>38353.433700000001</v>
          </cell>
          <cell r="G81">
            <v>33688.432000000001</v>
          </cell>
          <cell r="H81">
            <v>4665.0016999999998</v>
          </cell>
        </row>
        <row r="82">
          <cell r="A82">
            <v>37377</v>
          </cell>
          <cell r="B82">
            <v>198471</v>
          </cell>
          <cell r="C82">
            <v>11057.088</v>
          </cell>
          <cell r="D82">
            <v>9102.7350000000006</v>
          </cell>
          <cell r="E82">
            <v>20898.599999999999</v>
          </cell>
          <cell r="F82">
            <v>50981.052499999998</v>
          </cell>
          <cell r="G82">
            <v>45549.201999999997</v>
          </cell>
          <cell r="H82">
            <v>5431.8504999999996</v>
          </cell>
        </row>
        <row r="83">
          <cell r="A83">
            <v>37408</v>
          </cell>
          <cell r="B83">
            <v>132237</v>
          </cell>
          <cell r="C83">
            <v>8612.0560000000005</v>
          </cell>
          <cell r="D83">
            <v>7046.7619999999997</v>
          </cell>
          <cell r="E83">
            <v>19343.22</v>
          </cell>
          <cell r="F83">
            <v>46165.487500000003</v>
          </cell>
          <cell r="G83">
            <v>41199.851000000002</v>
          </cell>
          <cell r="H83">
            <v>4965.6364999999996</v>
          </cell>
          <cell r="J83">
            <v>-0.33372129933340389</v>
          </cell>
          <cell r="K83">
            <v>-0.22112802213385652</v>
          </cell>
          <cell r="L83">
            <v>-0.22586321583568025</v>
          </cell>
          <cell r="M83">
            <v>-7.4425081105911284E-2</v>
          </cell>
          <cell r="N83">
            <v>-9.4457936112637086E-2</v>
          </cell>
        </row>
        <row r="84">
          <cell r="A84">
            <v>37438</v>
          </cell>
          <cell r="B84">
            <v>147848</v>
          </cell>
          <cell r="C84">
            <v>9553.7909999999993</v>
          </cell>
          <cell r="D84">
            <v>10483.927</v>
          </cell>
          <cell r="E84">
            <v>19044.150000000001</v>
          </cell>
          <cell r="F84">
            <v>52706.086200000005</v>
          </cell>
          <cell r="G84">
            <v>47629.853000000003</v>
          </cell>
          <cell r="H84">
            <v>5076.2331999999997</v>
          </cell>
          <cell r="J84">
            <v>0.11805319237429757</v>
          </cell>
          <cell r="K84">
            <v>0.10935077523880454</v>
          </cell>
          <cell r="L84">
            <v>0.48776516079299959</v>
          </cell>
          <cell r="M84">
            <v>-1.5461231377195683E-2</v>
          </cell>
          <cell r="N84">
            <v>0.14167723670198429</v>
          </cell>
        </row>
        <row r="85">
          <cell r="A85">
            <v>37469</v>
          </cell>
          <cell r="B85">
            <v>116159</v>
          </cell>
          <cell r="C85">
            <v>7024.4939999999997</v>
          </cell>
          <cell r="D85">
            <v>8457.9809999999998</v>
          </cell>
          <cell r="E85">
            <v>15732.05</v>
          </cell>
          <cell r="F85">
            <v>43002.041400000002</v>
          </cell>
          <cell r="G85">
            <v>38774.47</v>
          </cell>
          <cell r="H85">
            <v>4227.5713999999998</v>
          </cell>
          <cell r="J85">
            <v>-0.21433499269520051</v>
          </cell>
          <cell r="K85">
            <v>-0.26474276022994425</v>
          </cell>
          <cell r="L85">
            <v>-0.19324304719023699</v>
          </cell>
          <cell r="M85">
            <v>-0.1739169246198965</v>
          </cell>
          <cell r="N85">
            <v>-0.18411620933447348</v>
          </cell>
        </row>
        <row r="86">
          <cell r="A86">
            <v>37500</v>
          </cell>
          <cell r="B86">
            <v>109955.3</v>
          </cell>
          <cell r="C86">
            <v>6467.2160000000003</v>
          </cell>
          <cell r="D86">
            <v>6575.42</v>
          </cell>
          <cell r="E86">
            <v>15929.72</v>
          </cell>
          <cell r="F86">
            <v>45860.708899999998</v>
          </cell>
          <cell r="G86">
            <v>40761.425999999999</v>
          </cell>
          <cell r="H86">
            <v>5099.2829000000002</v>
          </cell>
          <cell r="J86">
            <v>-5.340696803519307E-2</v>
          </cell>
          <cell r="K86">
            <v>-7.9333543455229583E-2</v>
          </cell>
          <cell r="L86">
            <v>-0.22257805970479239</v>
          </cell>
          <cell r="M86">
            <v>1.2564796069170825E-2</v>
          </cell>
          <cell r="N86">
            <v>6.6477483555001493E-2</v>
          </cell>
        </row>
        <row r="87">
          <cell r="A87">
            <v>37530</v>
          </cell>
          <cell r="B87">
            <v>119788</v>
          </cell>
          <cell r="C87">
            <v>6161.9409999999998</v>
          </cell>
          <cell r="D87">
            <v>8249.83</v>
          </cell>
          <cell r="E87">
            <v>15353.65</v>
          </cell>
          <cell r="F87">
            <v>47157.068999999996</v>
          </cell>
          <cell r="G87">
            <v>42624.877999999997</v>
          </cell>
          <cell r="H87">
            <v>4532.1909999999998</v>
          </cell>
          <cell r="J87">
            <v>8.9424520691590015E-2</v>
          </cell>
          <cell r="K87">
            <v>-4.720346436550138E-2</v>
          </cell>
          <cell r="L87">
            <v>0.25464685145587662</v>
          </cell>
          <cell r="M87">
            <v>-3.616322195242605E-2</v>
          </cell>
          <cell r="N87">
            <v>2.82673367048627E-2</v>
          </cell>
        </row>
        <row r="88">
          <cell r="A88">
            <v>37561</v>
          </cell>
          <cell r="B88">
            <v>127678</v>
          </cell>
          <cell r="C88">
            <v>5962.192</v>
          </cell>
          <cell r="D88">
            <v>6653.1369999999997</v>
          </cell>
          <cell r="E88">
            <v>15441.4</v>
          </cell>
          <cell r="F88">
            <v>47804.006300000001</v>
          </cell>
          <cell r="G88">
            <v>43660.864000000001</v>
          </cell>
          <cell r="H88">
            <v>4143.1423000000004</v>
          </cell>
          <cell r="J88">
            <v>6.5866363909573566E-2</v>
          </cell>
          <cell r="K88">
            <v>-3.241657133685627E-2</v>
          </cell>
          <cell r="L88">
            <v>-0.19354253360372276</v>
          </cell>
          <cell r="M88">
            <v>5.7152533762330204E-3</v>
          </cell>
          <cell r="N88">
            <v>1.3718776711928449E-2</v>
          </cell>
        </row>
        <row r="89">
          <cell r="A89">
            <v>37591</v>
          </cell>
          <cell r="B89">
            <v>96667</v>
          </cell>
          <cell r="C89">
            <v>4973.6350000000002</v>
          </cell>
          <cell r="D89">
            <v>5241.2110000000002</v>
          </cell>
          <cell r="E89">
            <v>15002.39</v>
          </cell>
          <cell r="F89">
            <v>33154.427300000003</v>
          </cell>
          <cell r="G89">
            <v>29146.378000000001</v>
          </cell>
          <cell r="H89">
            <v>4008.0493000000001</v>
          </cell>
          <cell r="J89">
            <v>-0.24288444367862905</v>
          </cell>
          <cell r="K89">
            <v>-0.16580428808733427</v>
          </cell>
          <cell r="L89">
            <v>-0.21221958904498728</v>
          </cell>
          <cell r="M89">
            <v>-2.8430712241118039E-2</v>
          </cell>
          <cell r="N89">
            <v>-0.30645086330348004</v>
          </cell>
        </row>
        <row r="90">
          <cell r="A90">
            <v>37622</v>
          </cell>
          <cell r="B90">
            <v>122838</v>
          </cell>
          <cell r="C90">
            <v>9322.1029999999992</v>
          </cell>
          <cell r="D90">
            <v>6707.7539999999999</v>
          </cell>
          <cell r="E90">
            <v>12810.57</v>
          </cell>
          <cell r="F90">
            <v>38966.228199999998</v>
          </cell>
          <cell r="G90">
            <v>34423.805</v>
          </cell>
          <cell r="H90">
            <v>4542.4232000000002</v>
          </cell>
          <cell r="J90">
            <v>0.27073354919465786</v>
          </cell>
          <cell r="K90">
            <v>0.87430380395827179</v>
          </cell>
          <cell r="L90">
            <v>0.27980995231827133</v>
          </cell>
          <cell r="M90">
            <v>-0.14609805504322981</v>
          </cell>
          <cell r="N90">
            <v>0.17529486627567215</v>
          </cell>
          <cell r="P90">
            <v>3.1238489808534126E-2</v>
          </cell>
          <cell r="Q90">
            <v>0.22536098151136041</v>
          </cell>
          <cell r="R90">
            <v>-4.1984056776812904E-2</v>
          </cell>
          <cell r="S90">
            <v>-5.6271171302704946E-2</v>
          </cell>
          <cell r="T90">
            <v>-3.9145740105293148E-2</v>
          </cell>
        </row>
        <row r="91">
          <cell r="A91">
            <v>37653</v>
          </cell>
          <cell r="B91">
            <v>107672.89</v>
          </cell>
          <cell r="C91">
            <v>5177.3549999999996</v>
          </cell>
          <cell r="D91">
            <v>5115.5959999999995</v>
          </cell>
          <cell r="E91">
            <v>13759.66</v>
          </cell>
          <cell r="F91">
            <v>41174.272100000002</v>
          </cell>
          <cell r="G91">
            <v>37339.455999999998</v>
          </cell>
          <cell r="H91">
            <v>3834.8161</v>
          </cell>
          <cell r="J91">
            <v>-0.12345617805565057</v>
          </cell>
          <cell r="K91">
            <v>-0.44461512600751141</v>
          </cell>
          <cell r="L91">
            <v>-0.23736082152088467</v>
          </cell>
          <cell r="M91">
            <v>7.4086477026393149E-2</v>
          </cell>
          <cell r="N91">
            <v>5.6665579451695702E-2</v>
          </cell>
          <cell r="P91">
            <v>-3.1869024179873917E-2</v>
          </cell>
          <cell r="Q91">
            <v>8.7961463287808697E-2</v>
          </cell>
          <cell r="R91">
            <v>-5.6590152749200207E-2</v>
          </cell>
          <cell r="S91">
            <v>-3.3480763419318237E-2</v>
          </cell>
          <cell r="T91">
            <v>-2.4830139192037397E-2</v>
          </cell>
        </row>
        <row r="92">
          <cell r="A92">
            <v>37681</v>
          </cell>
          <cell r="B92">
            <v>134486</v>
          </cell>
          <cell r="C92">
            <v>6794.393</v>
          </cell>
          <cell r="D92">
            <v>7925.9129999999996</v>
          </cell>
          <cell r="E92">
            <v>14289.87</v>
          </cell>
          <cell r="F92">
            <v>48156.074099999998</v>
          </cell>
          <cell r="G92">
            <v>43572.760999999999</v>
          </cell>
          <cell r="H92">
            <v>4583.3131000000003</v>
          </cell>
          <cell r="J92">
            <v>0.24902377933758446</v>
          </cell>
          <cell r="K92">
            <v>0.31232897879322552</v>
          </cell>
          <cell r="L92">
            <v>0.54936257671637878</v>
          </cell>
          <cell r="M92">
            <v>3.8533655628118835E-2</v>
          </cell>
          <cell r="N92">
            <v>0.16956710207391845</v>
          </cell>
          <cell r="P92">
            <v>0.13210038349219724</v>
          </cell>
          <cell r="Q92">
            <v>0.24733921891466196</v>
          </cell>
          <cell r="R92">
            <v>0.19727056917125516</v>
          </cell>
          <cell r="S92">
            <v>-1.1159307462905943E-2</v>
          </cell>
          <cell r="T92">
            <v>0.13384251593376209</v>
          </cell>
        </row>
        <row r="93">
          <cell r="A93">
            <v>37712</v>
          </cell>
          <cell r="B93">
            <v>144276</v>
          </cell>
          <cell r="C93">
            <v>6986.2259999999997</v>
          </cell>
          <cell r="D93">
            <v>8241.8510000000006</v>
          </cell>
          <cell r="E93">
            <v>15609.67</v>
          </cell>
          <cell r="F93">
            <v>40314.01</v>
          </cell>
          <cell r="G93">
            <v>35415.071000000004</v>
          </cell>
          <cell r="H93">
            <v>4898.9390000000003</v>
          </cell>
          <cell r="J93">
            <v>7.279568133486003E-2</v>
          </cell>
          <cell r="K93">
            <v>2.8234015901052567E-2</v>
          </cell>
          <cell r="L93">
            <v>3.9861401456210865E-2</v>
          </cell>
          <cell r="M93">
            <v>9.2359132728289328E-2</v>
          </cell>
          <cell r="N93">
            <v>-0.16284683181845994</v>
          </cell>
          <cell r="P93">
            <v>6.6121094205597974E-2</v>
          </cell>
          <cell r="Q93">
            <v>-3.4684043771077776E-2</v>
          </cell>
          <cell r="R93">
            <v>0.11728771888390166</v>
          </cell>
          <cell r="S93">
            <v>6.8326421794267109E-2</v>
          </cell>
          <cell r="T93">
            <v>2.1128616569051406E-2</v>
          </cell>
        </row>
        <row r="94">
          <cell r="A94">
            <v>37742</v>
          </cell>
          <cell r="B94">
            <v>159051</v>
          </cell>
          <cell r="C94">
            <v>7636.3339999999998</v>
          </cell>
          <cell r="D94">
            <v>10488.464</v>
          </cell>
          <cell r="E94">
            <v>16606.259999999998</v>
          </cell>
          <cell r="F94">
            <v>49195.158199999998</v>
          </cell>
          <cell r="G94">
            <v>43278.663</v>
          </cell>
          <cell r="H94">
            <v>5916.4952000000003</v>
          </cell>
          <cell r="J94">
            <v>0.10240788488729935</v>
          </cell>
          <cell r="K94">
            <v>9.305567841635809E-2</v>
          </cell>
          <cell r="L94">
            <v>0.27258597613570057</v>
          </cell>
          <cell r="M94">
            <v>6.3844399016763198E-2</v>
          </cell>
          <cell r="N94">
            <v>0.22029930041690204</v>
          </cell>
          <cell r="P94">
            <v>0.14140911518658128</v>
          </cell>
          <cell r="Q94">
            <v>0.1445395577035454</v>
          </cell>
          <cell r="R94">
            <v>0.28726998476943005</v>
          </cell>
          <cell r="S94">
            <v>6.491239579105712E-2</v>
          </cell>
          <cell r="T94">
            <v>7.5673190224120182E-2</v>
          </cell>
        </row>
        <row r="95">
          <cell r="A95">
            <v>37773</v>
          </cell>
          <cell r="B95">
            <v>173304</v>
          </cell>
          <cell r="C95">
            <v>13725.955</v>
          </cell>
          <cell r="D95">
            <v>14580.243</v>
          </cell>
          <cell r="E95">
            <v>20950.560000000001</v>
          </cell>
          <cell r="F95">
            <v>50525.455000000002</v>
          </cell>
          <cell r="G95">
            <v>44535.06</v>
          </cell>
          <cell r="H95">
            <v>5990.3950000000004</v>
          </cell>
          <cell r="J95">
            <v>8.9612765716656995E-2</v>
          </cell>
          <cell r="K95">
            <v>0.79745346392653871</v>
          </cell>
          <cell r="L95">
            <v>0.39012185196993587</v>
          </cell>
          <cell r="M95">
            <v>0.2616061653858246</v>
          </cell>
          <cell r="N95">
            <v>2.7041213986786383E-2</v>
          </cell>
          <cell r="P95">
            <v>8.827211064627212E-2</v>
          </cell>
          <cell r="Q95">
            <v>0.30624771941464979</v>
          </cell>
          <cell r="R95">
            <v>0.23418974318728245</v>
          </cell>
          <cell r="S95">
            <v>0.13926989904362572</v>
          </cell>
          <cell r="T95">
            <v>2.8164560861742832E-2</v>
          </cell>
        </row>
        <row r="96">
          <cell r="A96">
            <v>37803</v>
          </cell>
          <cell r="B96">
            <v>210920.75</v>
          </cell>
          <cell r="C96">
            <v>23420.991999999998</v>
          </cell>
          <cell r="D96">
            <v>16844.897000000001</v>
          </cell>
          <cell r="E96">
            <v>27055.46</v>
          </cell>
          <cell r="F96">
            <v>50116.633700000006</v>
          </cell>
          <cell r="G96">
            <v>44540.942000000003</v>
          </cell>
          <cell r="H96">
            <v>5575.6917000000003</v>
          </cell>
          <cell r="J96">
            <v>0.21705644416747449</v>
          </cell>
          <cell r="K96">
            <v>0.70632877639479363</v>
          </cell>
          <cell r="L96">
            <v>0.15532347437556426</v>
          </cell>
          <cell r="M96">
            <v>0.29139555219526336</v>
          </cell>
          <cell r="N96">
            <v>-8.091392744508652E-3</v>
          </cell>
          <cell r="P96">
            <v>0.13635903159047694</v>
          </cell>
          <cell r="Q96">
            <v>0.53227930624589681</v>
          </cell>
          <cell r="R96">
            <v>0.27267710082706692</v>
          </cell>
          <cell r="S96">
            <v>0.20561537219928372</v>
          </cell>
          <cell r="T96">
            <v>7.9749707219726587E-2</v>
          </cell>
        </row>
        <row r="97">
          <cell r="A97">
            <v>37834</v>
          </cell>
          <cell r="B97">
            <v>252390</v>
          </cell>
          <cell r="C97">
            <v>19113.781999999999</v>
          </cell>
          <cell r="D97">
            <v>15530.302</v>
          </cell>
          <cell r="E97">
            <v>23573.73</v>
          </cell>
          <cell r="F97">
            <v>50654.328800000003</v>
          </cell>
          <cell r="G97">
            <v>45918.406000000003</v>
          </cell>
          <cell r="H97">
            <v>4735.9228000000003</v>
          </cell>
          <cell r="J97">
            <v>0.19661057529901638</v>
          </cell>
          <cell r="K97">
            <v>-0.18390382439821507</v>
          </cell>
          <cell r="L97">
            <v>-7.8041142074065539E-2</v>
          </cell>
          <cell r="M97">
            <v>-0.12868862699063333</v>
          </cell>
          <cell r="N97">
            <v>1.0728875032163243E-2</v>
          </cell>
          <cell r="P97">
            <v>0.16775992839438261</v>
          </cell>
          <cell r="Q97">
            <v>0.43995947197437246</v>
          </cell>
          <cell r="R97">
            <v>0.15580139475714486</v>
          </cell>
          <cell r="S97">
            <v>0.14143769686348487</v>
          </cell>
          <cell r="T97">
            <v>9.892898758146992E-3</v>
          </cell>
        </row>
        <row r="98">
          <cell r="A98">
            <v>37865</v>
          </cell>
          <cell r="B98">
            <v>289292</v>
          </cell>
          <cell r="C98">
            <v>19739.154999999999</v>
          </cell>
          <cell r="D98">
            <v>19567.663</v>
          </cell>
          <cell r="E98">
            <v>30890.36</v>
          </cell>
          <cell r="F98">
            <v>55759.736499999999</v>
          </cell>
          <cell r="G98">
            <v>49150.775999999998</v>
          </cell>
          <cell r="H98">
            <v>6608.9605000000001</v>
          </cell>
          <cell r="J98">
            <v>0.14621023019929469</v>
          </cell>
          <cell r="K98">
            <v>3.2718433222687082E-2</v>
          </cell>
          <cell r="L98">
            <v>0.25996667675876495</v>
          </cell>
          <cell r="M98">
            <v>0.31037218123733501</v>
          </cell>
          <cell r="N98">
            <v>0.10078916888145595</v>
          </cell>
          <cell r="P98">
            <v>0.18662574988859518</v>
          </cell>
          <cell r="Q98">
            <v>0.18504779507308855</v>
          </cell>
          <cell r="R98">
            <v>0.11241633635342123</v>
          </cell>
          <cell r="S98">
            <v>0.15769303548065502</v>
          </cell>
          <cell r="T98">
            <v>3.4475550389703513E-2</v>
          </cell>
        </row>
        <row r="99">
          <cell r="A99">
            <v>37895</v>
          </cell>
          <cell r="B99">
            <v>372282</v>
          </cell>
          <cell r="C99">
            <v>32477.395</v>
          </cell>
          <cell r="D99">
            <v>24120.887999999999</v>
          </cell>
          <cell r="E99">
            <v>34729.120000000003</v>
          </cell>
          <cell r="F99">
            <v>55904.092199999999</v>
          </cell>
          <cell r="G99">
            <v>48210.885000000002</v>
          </cell>
          <cell r="H99">
            <v>7693.2071999999998</v>
          </cell>
          <cell r="J99">
            <v>0.28687277906060316</v>
          </cell>
          <cell r="K99">
            <v>0.64532853609994967</v>
          </cell>
          <cell r="L99">
            <v>0.23269130299310636</v>
          </cell>
          <cell r="M99">
            <v>0.12427048438412513</v>
          </cell>
          <cell r="N99">
            <v>2.5888877720934289E-3</v>
          </cell>
          <cell r="P99">
            <v>0.20989786151963807</v>
          </cell>
          <cell r="Q99">
            <v>0.16471438164147389</v>
          </cell>
          <cell r="R99">
            <v>0.13820561255926858</v>
          </cell>
          <cell r="S99">
            <v>0.10198467954360894</v>
          </cell>
          <cell r="T99">
            <v>3.8035643895237538E-2</v>
          </cell>
        </row>
        <row r="100">
          <cell r="A100">
            <v>37926</v>
          </cell>
          <cell r="B100">
            <v>252003</v>
          </cell>
          <cell r="C100">
            <v>21047.352999999999</v>
          </cell>
          <cell r="D100">
            <v>14887.088</v>
          </cell>
          <cell r="E100">
            <v>22849.5</v>
          </cell>
          <cell r="F100">
            <v>45665.128400000001</v>
          </cell>
          <cell r="G100">
            <v>40592.587</v>
          </cell>
          <cell r="H100">
            <v>5072.5414000000001</v>
          </cell>
          <cell r="J100">
            <v>-0.32308572533724433</v>
          </cell>
          <cell r="K100">
            <v>-0.35193838668403055</v>
          </cell>
          <cell r="L100">
            <v>-0.38281343539259416</v>
          </cell>
          <cell r="M100">
            <v>-0.34206510271495516</v>
          </cell>
          <cell r="N100">
            <v>-0.18315231313245428</v>
          </cell>
          <cell r="P100">
            <v>3.666576130755117E-2</v>
          </cell>
          <cell r="Q100">
            <v>0.1087028608795354</v>
          </cell>
          <cell r="R100">
            <v>3.6614848119759048E-2</v>
          </cell>
          <cell r="S100">
            <v>3.0859187635501661E-2</v>
          </cell>
          <cell r="T100">
            <v>-2.6591418826301633E-2</v>
          </cell>
        </row>
        <row r="101">
          <cell r="A101">
            <v>37956</v>
          </cell>
          <cell r="B101">
            <v>327153</v>
          </cell>
          <cell r="C101">
            <v>18444.845000000001</v>
          </cell>
          <cell r="D101">
            <v>10429.092000000001</v>
          </cell>
          <cell r="E101">
            <v>22217.39</v>
          </cell>
          <cell r="F101">
            <v>44121.368499999997</v>
          </cell>
          <cell r="G101">
            <v>38482.875999999997</v>
          </cell>
          <cell r="H101">
            <v>5638.4925000000003</v>
          </cell>
          <cell r="J101">
            <v>0.29821073558648115</v>
          </cell>
          <cell r="K101">
            <v>-0.12365013310699913</v>
          </cell>
          <cell r="L101">
            <v>-0.29945386230000115</v>
          </cell>
          <cell r="M101">
            <v>-2.7664062670955669E-2</v>
          </cell>
          <cell r="N101">
            <v>-3.380610006124507E-2</v>
          </cell>
          <cell r="P101">
            <v>8.7332596436613327E-2</v>
          </cell>
          <cell r="Q101">
            <v>5.6580005436306667E-2</v>
          </cell>
          <cell r="R101">
            <v>-0.14985866489982966</v>
          </cell>
          <cell r="S101">
            <v>-8.1819560333928565E-2</v>
          </cell>
          <cell r="T101">
            <v>-7.1456508473868641E-2</v>
          </cell>
        </row>
        <row r="102">
          <cell r="A102">
            <v>37987</v>
          </cell>
          <cell r="B102">
            <v>442617</v>
          </cell>
          <cell r="C102">
            <v>20173.756000000001</v>
          </cell>
          <cell r="D102">
            <v>20971.424999999999</v>
          </cell>
          <cell r="E102">
            <v>25333.07</v>
          </cell>
          <cell r="F102">
            <v>50137.759000000005</v>
          </cell>
          <cell r="G102">
            <v>43455.33</v>
          </cell>
          <cell r="H102">
            <v>6682.4290000000001</v>
          </cell>
          <cell r="J102">
            <v>0.35293578234037293</v>
          </cell>
          <cell r="K102">
            <v>9.3734102943125786E-2</v>
          </cell>
          <cell r="L102">
            <v>1.0108581840106501</v>
          </cell>
          <cell r="M102">
            <v>0.14023609433871398</v>
          </cell>
          <cell r="N102">
            <v>0.13636001566905187</v>
          </cell>
          <cell r="P102">
            <v>0.10935359752986991</v>
          </cell>
          <cell r="Q102">
            <v>-0.12728480561596797</v>
          </cell>
          <cell r="R102">
            <v>0.1095302954393516</v>
          </cell>
          <cell r="S102">
            <v>-7.6497690349065617E-2</v>
          </cell>
          <cell r="T102">
            <v>-2.6866132508215828E-2</v>
          </cell>
        </row>
        <row r="103">
          <cell r="A103">
            <v>38018</v>
          </cell>
          <cell r="B103">
            <v>377991</v>
          </cell>
          <cell r="C103">
            <v>25424.462</v>
          </cell>
          <cell r="D103">
            <v>18945.332999999999</v>
          </cell>
          <cell r="E103">
            <v>24296.74</v>
          </cell>
          <cell r="F103">
            <v>46769.040300000001</v>
          </cell>
          <cell r="G103">
            <v>41381.46</v>
          </cell>
          <cell r="H103">
            <v>5387.5802999999996</v>
          </cell>
          <cell r="J103">
            <v>-0.14600885189678658</v>
          </cell>
          <cell r="K103">
            <v>0.26027409075434438</v>
          </cell>
          <cell r="L103">
            <v>-9.661203280177677E-2</v>
          </cell>
          <cell r="M103">
            <v>-4.0908188387747679E-2</v>
          </cell>
          <cell r="N103">
            <v>-6.7189255507012269E-2</v>
          </cell>
          <cell r="P103">
            <v>0.16837922201002251</v>
          </cell>
          <cell r="Q103">
            <v>7.6786020196823679E-2</v>
          </cell>
          <cell r="R103">
            <v>0.20493076296962406</v>
          </cell>
          <cell r="S103">
            <v>2.3887947760003542E-2</v>
          </cell>
          <cell r="T103">
            <v>1.1788220033598177E-2</v>
          </cell>
        </row>
        <row r="104">
          <cell r="A104">
            <v>38047</v>
          </cell>
          <cell r="B104">
            <v>389093</v>
          </cell>
          <cell r="C104">
            <v>31437.488000000001</v>
          </cell>
          <cell r="D104">
            <v>16768.269</v>
          </cell>
          <cell r="E104">
            <v>40399.01</v>
          </cell>
          <cell r="F104">
            <v>62333.497900000002</v>
          </cell>
          <cell r="G104">
            <v>53728.241000000002</v>
          </cell>
          <cell r="H104">
            <v>8605.2569000000003</v>
          </cell>
          <cell r="J104">
            <v>2.937106968155323E-2</v>
          </cell>
          <cell r="K104">
            <v>0.23650553549569708</v>
          </cell>
          <cell r="L104">
            <v>-0.11491294452306533</v>
          </cell>
          <cell r="M104">
            <v>0.66273376592909172</v>
          </cell>
          <cell r="N104">
            <v>0.33279403426202014</v>
          </cell>
          <cell r="P104">
            <v>7.8766000041713191E-2</v>
          </cell>
          <cell r="Q104">
            <v>0.19683790973105575</v>
          </cell>
          <cell r="R104">
            <v>0.26644440222860266</v>
          </cell>
          <cell r="S104">
            <v>0.25402055729335266</v>
          </cell>
          <cell r="T104">
            <v>0.13398826480801992</v>
          </cell>
        </row>
        <row r="105">
          <cell r="A105">
            <v>38078</v>
          </cell>
          <cell r="B105">
            <v>288924</v>
          </cell>
          <cell r="C105">
            <v>17272.600999999999</v>
          </cell>
          <cell r="D105">
            <v>15012.659</v>
          </cell>
          <cell r="E105">
            <v>41568.99</v>
          </cell>
          <cell r="F105">
            <v>53210.158000000003</v>
          </cell>
          <cell r="G105">
            <v>46218.25</v>
          </cell>
          <cell r="H105">
            <v>6991.9080000000004</v>
          </cell>
          <cell r="J105">
            <v>-0.25744230813712921</v>
          </cell>
          <cell r="K105">
            <v>-0.45057311831021618</v>
          </cell>
          <cell r="L105">
            <v>-0.10469834423577062</v>
          </cell>
          <cell r="M105">
            <v>2.8960610668429698E-2</v>
          </cell>
          <cell r="N105">
            <v>-0.14636335529631805</v>
          </cell>
          <cell r="P105">
            <v>-0.12469336345078752</v>
          </cell>
          <cell r="Q105">
            <v>1.5402169313275094E-2</v>
          </cell>
          <cell r="R105">
            <v>-0.10540777385353757</v>
          </cell>
          <cell r="S105">
            <v>0.21692872940325791</v>
          </cell>
          <cell r="T105">
            <v>3.9747141152896605E-2</v>
          </cell>
        </row>
        <row r="106">
          <cell r="A106">
            <v>38108</v>
          </cell>
          <cell r="B106">
            <v>274080</v>
          </cell>
          <cell r="C106">
            <v>15584.434999999999</v>
          </cell>
          <cell r="D106">
            <v>14226.415000000001</v>
          </cell>
          <cell r="E106">
            <v>29362.31</v>
          </cell>
          <cell r="F106">
            <v>54351.207000000002</v>
          </cell>
          <cell r="G106">
            <v>47449.01</v>
          </cell>
          <cell r="H106">
            <v>6902.1970000000001</v>
          </cell>
          <cell r="J106">
            <v>-5.1376832661876426E-2</v>
          </cell>
          <cell r="K106">
            <v>-9.7736640822074228E-2</v>
          </cell>
          <cell r="L106">
            <v>-5.2372068132633842E-2</v>
          </cell>
          <cell r="M106">
            <v>-0.29364870303560409</v>
          </cell>
          <cell r="N106">
            <v>2.1444194922330517E-2</v>
          </cell>
          <cell r="P106">
            <v>-9.3149357039150796E-2</v>
          </cell>
          <cell r="Q106">
            <v>-0.10393474121219777</v>
          </cell>
          <cell r="R106">
            <v>-9.066111896382327E-2</v>
          </cell>
          <cell r="S106">
            <v>0.13268189118730578</v>
          </cell>
          <cell r="T106">
            <v>6.9291624629344198E-2</v>
          </cell>
        </row>
        <row r="107">
          <cell r="A107">
            <v>38139</v>
          </cell>
          <cell r="B107">
            <v>263233</v>
          </cell>
          <cell r="C107">
            <v>12162.424000000001</v>
          </cell>
          <cell r="D107">
            <v>10312.048000000001</v>
          </cell>
          <cell r="E107">
            <v>34121.58</v>
          </cell>
          <cell r="F107">
            <v>43916.52865800001</v>
          </cell>
          <cell r="J107">
            <v>-3.9576036193812003E-2</v>
          </cell>
          <cell r="K107">
            <v>-0.21957876560812106</v>
          </cell>
          <cell r="L107">
            <v>-0.27514781482193507</v>
          </cell>
          <cell r="M107">
            <v>0.16208772402443805</v>
          </cell>
          <cell r="N107">
            <v>-0.19198613826552169</v>
          </cell>
          <cell r="P107">
            <v>-0.11613172566427254</v>
          </cell>
          <cell r="Q107">
            <v>-0.25596284158013716</v>
          </cell>
          <cell r="R107">
            <v>-0.14407274239677983</v>
          </cell>
          <cell r="S107">
            <v>-3.4200122780912112E-2</v>
          </cell>
          <cell r="T107">
            <v>-0.10563509954650308</v>
          </cell>
        </row>
        <row r="108">
          <cell r="A108">
            <v>38169</v>
          </cell>
          <cell r="B108">
            <v>224761</v>
          </cell>
          <cell r="C108">
            <v>13431.008</v>
          </cell>
          <cell r="D108">
            <v>12404.02</v>
          </cell>
          <cell r="E108">
            <v>28563.02</v>
          </cell>
          <cell r="F108">
            <v>39635.417664000001</v>
          </cell>
          <cell r="J108">
            <v>-0.14615188825109315</v>
          </cell>
          <cell r="K108">
            <v>0.10430355001601654</v>
          </cell>
          <cell r="L108">
            <v>0.20286678262164792</v>
          </cell>
          <cell r="M108">
            <v>-0.16290453138453731</v>
          </cell>
          <cell r="N108">
            <v>-9.7482909620183467E-2</v>
          </cell>
          <cell r="P108">
            <v>-7.9034919035593856E-2</v>
          </cell>
          <cell r="Q108">
            <v>-7.1003952138059587E-2</v>
          </cell>
          <cell r="R108">
            <v>-4.1551033444306995E-2</v>
          </cell>
          <cell r="S108">
            <v>-9.8155170131901115E-2</v>
          </cell>
          <cell r="T108">
            <v>-8.9341617654458208E-2</v>
          </cell>
        </row>
        <row r="109">
          <cell r="A109">
            <v>38200</v>
          </cell>
          <cell r="B109">
            <v>249929</v>
          </cell>
          <cell r="C109">
            <v>12311.411</v>
          </cell>
          <cell r="D109">
            <v>13413.995000000001</v>
          </cell>
          <cell r="E109">
            <v>26263.26</v>
          </cell>
          <cell r="F109">
            <v>44767.611167999989</v>
          </cell>
          <cell r="J109">
            <v>0.11197672194019415</v>
          </cell>
          <cell r="K109">
            <v>-8.3359119434669338E-2</v>
          </cell>
          <cell r="L109">
            <v>8.1423199898097653E-2</v>
          </cell>
          <cell r="M109">
            <v>-8.0515295651510277E-2</v>
          </cell>
          <cell r="N109">
            <v>0.12948503652735432</v>
          </cell>
          <cell r="P109">
            <v>-2.4583734168237004E-2</v>
          </cell>
          <cell r="Q109">
            <v>-6.6211445008924619E-2</v>
          </cell>
          <cell r="R109">
            <v>3.0473892326035035E-3</v>
          </cell>
          <cell r="S109">
            <v>-2.7110701003869846E-2</v>
          </cell>
          <cell r="T109">
            <v>-5.3328003786116941E-2</v>
          </cell>
        </row>
        <row r="110">
          <cell r="A110">
            <v>38231</v>
          </cell>
          <cell r="B110">
            <v>307213.44</v>
          </cell>
          <cell r="C110">
            <v>17109.328000000001</v>
          </cell>
          <cell r="D110">
            <v>14167.338</v>
          </cell>
          <cell r="E110">
            <v>27009.75</v>
          </cell>
          <cell r="F110">
            <v>57353.99</v>
          </cell>
          <cell r="G110">
            <v>46379.34</v>
          </cell>
          <cell r="H110">
            <v>10974.65</v>
          </cell>
          <cell r="J110">
            <v>0.22920285361042536</v>
          </cell>
          <cell r="K110">
            <v>0.38971300690067134</v>
          </cell>
          <cell r="L110">
            <v>5.6160972178683544E-2</v>
          </cell>
          <cell r="M110">
            <v>2.8423356430237634E-2</v>
          </cell>
          <cell r="N110">
            <v>0.28114921711518059</v>
          </cell>
          <cell r="P110">
            <v>6.5009229099842122E-2</v>
          </cell>
          <cell r="Q110">
            <v>0.13688581249400619</v>
          </cell>
          <cell r="R110">
            <v>0.11348365156614304</v>
          </cell>
          <cell r="S110">
            <v>-7.1665490201936646E-2</v>
          </cell>
          <cell r="T110">
            <v>0.10438378134078381</v>
          </cell>
        </row>
        <row r="111">
          <cell r="A111">
            <v>38261</v>
          </cell>
          <cell r="B111">
            <v>288593</v>
          </cell>
          <cell r="C111">
            <v>13695.904</v>
          </cell>
          <cell r="D111">
            <v>13572.567999999999</v>
          </cell>
          <cell r="E111">
            <v>25922.87</v>
          </cell>
          <cell r="F111">
            <v>69164.11</v>
          </cell>
          <cell r="G111">
            <v>54524.29</v>
          </cell>
          <cell r="H111">
            <v>14639.82</v>
          </cell>
          <cell r="J111">
            <v>-6.0610759737594777E-2</v>
          </cell>
          <cell r="K111">
            <v>-0.19950660832500267</v>
          </cell>
          <cell r="L111">
            <v>-4.198177526363811E-2</v>
          </cell>
          <cell r="M111">
            <v>-4.0240283601292171E-2</v>
          </cell>
          <cell r="N111">
            <v>0.20591627539775348</v>
          </cell>
          <cell r="P111">
            <v>9.3522938604341577E-2</v>
          </cell>
          <cell r="Q111">
            <v>3.5615759713666449E-2</v>
          </cell>
          <cell r="R111">
            <v>3.1867465604381029E-2</v>
          </cell>
          <cell r="S111">
            <v>-3.0777407607521606E-2</v>
          </cell>
          <cell r="T111">
            <v>0.20551684301342946</v>
          </cell>
        </row>
        <row r="112">
          <cell r="A112">
            <v>38292</v>
          </cell>
          <cell r="B112">
            <v>437928</v>
          </cell>
          <cell r="C112">
            <v>19984.833999999999</v>
          </cell>
          <cell r="D112">
            <v>14425.727999999999</v>
          </cell>
          <cell r="E112">
            <v>26684.52</v>
          </cell>
          <cell r="F112">
            <v>74029.919999999998</v>
          </cell>
          <cell r="G112">
            <v>58216.02</v>
          </cell>
          <cell r="H112">
            <v>15813.9</v>
          </cell>
          <cell r="J112">
            <v>0.51745884342309068</v>
          </cell>
          <cell r="K112">
            <v>0.4591832711444237</v>
          </cell>
          <cell r="L112">
            <v>6.2859143531275752E-2</v>
          </cell>
          <cell r="M112">
            <v>2.9381391798053214E-2</v>
          </cell>
          <cell r="N112">
            <v>7.0351660709578878E-2</v>
          </cell>
          <cell r="P112">
            <v>0.22868364576530709</v>
          </cell>
          <cell r="Q112">
            <v>0.21646322324003078</v>
          </cell>
          <cell r="R112">
            <v>2.5679446815440394E-2</v>
          </cell>
          <cell r="S112">
            <v>5.8548215423328926E-3</v>
          </cell>
          <cell r="T112">
            <v>0.18580571774083765</v>
          </cell>
        </row>
        <row r="113">
          <cell r="A113">
            <v>38322</v>
          </cell>
          <cell r="B113">
            <v>403972</v>
          </cell>
          <cell r="C113">
            <v>18090.3</v>
          </cell>
          <cell r="D113">
            <v>12565.144</v>
          </cell>
          <cell r="E113">
            <v>27760.828000000001</v>
          </cell>
          <cell r="F113">
            <v>62403.8</v>
          </cell>
          <cell r="G113">
            <v>49436.97</v>
          </cell>
          <cell r="H113">
            <v>12966.83</v>
          </cell>
          <cell r="J113">
            <v>-7.7537860104857415E-2</v>
          </cell>
          <cell r="K113">
            <v>-9.4798585767587595E-2</v>
          </cell>
          <cell r="L113">
            <v>-0.12897678370200794</v>
          </cell>
          <cell r="M113">
            <v>4.03345460214386E-2</v>
          </cell>
          <cell r="N113">
            <v>-0.15704623211804081</v>
          </cell>
          <cell r="P113">
            <v>0.12643674119354617</v>
          </cell>
          <cell r="Q113">
            <v>5.495935901727781E-2</v>
          </cell>
          <cell r="R113">
            <v>-3.6033138478123429E-2</v>
          </cell>
          <cell r="S113">
            <v>9.8252180727332137E-3</v>
          </cell>
          <cell r="T113">
            <v>3.9740567996430519E-2</v>
          </cell>
        </row>
        <row r="114">
          <cell r="A114">
            <v>38353</v>
          </cell>
          <cell r="B114">
            <v>403067</v>
          </cell>
          <cell r="C114">
            <v>20660.923999999999</v>
          </cell>
          <cell r="D114">
            <v>15234.356</v>
          </cell>
          <cell r="E114">
            <v>27452.142</v>
          </cell>
          <cell r="F114">
            <v>52951.435471999997</v>
          </cell>
          <cell r="G114">
            <v>40455.436479999997</v>
          </cell>
          <cell r="H114">
            <v>12495.998992000001</v>
          </cell>
          <cell r="J114">
            <v>-2.2402542750488141E-3</v>
          </cell>
          <cell r="K114">
            <v>0.14209957822700559</v>
          </cell>
          <cell r="L114">
            <v>0.21242987744509723</v>
          </cell>
          <cell r="M114">
            <v>-1.1119481018361577E-2</v>
          </cell>
          <cell r="N114">
            <v>-0.15147097657514452</v>
          </cell>
          <cell r="P114">
            <v>0.14589357634772815</v>
          </cell>
          <cell r="Q114">
            <v>0.16882808786794723</v>
          </cell>
          <cell r="R114">
            <v>4.8770745758121681E-2</v>
          </cell>
          <cell r="S114">
            <v>1.9532152267043412E-2</v>
          </cell>
          <cell r="T114">
            <v>-7.9388515994535488E-2</v>
          </cell>
        </row>
        <row r="115">
          <cell r="A115">
            <v>38384</v>
          </cell>
          <cell r="B115">
            <v>286588</v>
          </cell>
          <cell r="C115">
            <v>15568.18</v>
          </cell>
          <cell r="D115">
            <v>14820.376</v>
          </cell>
          <cell r="E115">
            <v>30760.241999999998</v>
          </cell>
          <cell r="F115">
            <v>74122.350336000003</v>
          </cell>
          <cell r="G115">
            <v>54622.549504000002</v>
          </cell>
          <cell r="H115">
            <v>19499.800832000001</v>
          </cell>
          <cell r="J115">
            <v>-0.2889817325655536</v>
          </cell>
          <cell r="K115">
            <v>-0.24649158963074447</v>
          </cell>
          <cell r="L115">
            <v>-2.7174105685858985E-2</v>
          </cell>
          <cell r="M115">
            <v>0.12050425791910868</v>
          </cell>
          <cell r="N115">
            <v>0.39981758143638801</v>
          </cell>
          <cell r="P115">
            <v>-0.12291994898181995</v>
          </cell>
          <cell r="Q115">
            <v>-6.6396865723775497E-2</v>
          </cell>
          <cell r="R115">
            <v>1.8759662685743434E-2</v>
          </cell>
          <cell r="S115">
            <v>4.9906440974061904E-2</v>
          </cell>
          <cell r="T115">
            <v>3.0433457581067563E-2</v>
          </cell>
        </row>
        <row r="116">
          <cell r="A116">
            <v>38412</v>
          </cell>
          <cell r="B116">
            <v>391298</v>
          </cell>
          <cell r="C116">
            <v>20031.550999999999</v>
          </cell>
          <cell r="D116">
            <v>15663.126</v>
          </cell>
          <cell r="E116">
            <v>39161.212</v>
          </cell>
          <cell r="F116">
            <v>75453.331520000007</v>
          </cell>
          <cell r="G116">
            <v>54111.164543999999</v>
          </cell>
          <cell r="H116">
            <v>21342.166976</v>
          </cell>
          <cell r="J116">
            <v>0.36536770555640841</v>
          </cell>
          <cell r="K116">
            <v>0.28669831669469392</v>
          </cell>
          <cell r="L116">
            <v>5.6864279286841235E-2</v>
          </cell>
          <cell r="M116">
            <v>0.27311131037265568</v>
          </cell>
          <cell r="N116">
            <v>1.7956543174448836E-2</v>
          </cell>
          <cell r="P116">
            <v>2.4715239571935332E-2</v>
          </cell>
          <cell r="Q116">
            <v>6.0768768430318344E-2</v>
          </cell>
          <cell r="R116">
            <v>8.0706683682026492E-2</v>
          </cell>
          <cell r="S116">
            <v>0.12749869575780093</v>
          </cell>
          <cell r="T116">
            <v>8.8767716011897438E-2</v>
          </cell>
        </row>
        <row r="117">
          <cell r="A117">
            <v>38443</v>
          </cell>
          <cell r="B117">
            <v>298525</v>
          </cell>
          <cell r="C117">
            <v>13463.058999999999</v>
          </cell>
          <cell r="D117">
            <v>12977.285</v>
          </cell>
          <cell r="E117">
            <v>30925.418000000001</v>
          </cell>
          <cell r="F117">
            <v>66503.115072000001</v>
          </cell>
          <cell r="G117">
            <v>48277.116928000003</v>
          </cell>
          <cell r="H117">
            <v>18225.998144000001</v>
          </cell>
          <cell r="J117">
            <v>-0.23709040168873852</v>
          </cell>
          <cell r="K117">
            <v>-0.32790730982338812</v>
          </cell>
          <cell r="L117">
            <v>-0.17147541301781011</v>
          </cell>
          <cell r="M117">
            <v>-0.21030488024732219</v>
          </cell>
          <cell r="N117">
            <v>-0.11861923479982617</v>
          </cell>
          <cell r="P117">
            <v>-5.3568142899294569E-2</v>
          </cell>
          <cell r="Q117">
            <v>-9.590019425314622E-2</v>
          </cell>
          <cell r="R117">
            <v>-4.7261746472275955E-2</v>
          </cell>
          <cell r="S117">
            <v>6.1103562681480726E-2</v>
          </cell>
          <cell r="T117">
            <v>9.9718296603670223E-2</v>
          </cell>
        </row>
        <row r="118">
          <cell r="A118">
            <v>38473</v>
          </cell>
          <cell r="B118">
            <v>272445</v>
          </cell>
          <cell r="C118">
            <v>12707.566999999999</v>
          </cell>
          <cell r="D118">
            <v>13771.915999999999</v>
          </cell>
          <cell r="E118">
            <v>27985.829000000002</v>
          </cell>
          <cell r="F118">
            <v>70619.356224000003</v>
          </cell>
          <cell r="G118">
            <v>53804.641408000003</v>
          </cell>
          <cell r="H118">
            <v>16814.714816</v>
          </cell>
          <cell r="J118">
            <v>-8.7362867431538427E-2</v>
          </cell>
          <cell r="K118">
            <v>-5.6115924322993727E-2</v>
          </cell>
          <cell r="L118">
            <v>6.1232453475438042E-2</v>
          </cell>
          <cell r="M118">
            <v>-9.5054139607749222E-2</v>
          </cell>
          <cell r="N118">
            <v>6.1895463807124296E-2</v>
          </cell>
          <cell r="P118">
            <v>1.3638145478710487E-2</v>
          </cell>
          <cell r="Q118">
            <v>-3.244163915056264E-2</v>
          </cell>
          <cell r="R118">
            <v>-1.7792893418510276E-2</v>
          </cell>
          <cell r="S118">
            <v>-1.0749236494138578E-2</v>
          </cell>
          <cell r="T118">
            <v>-1.2922409272751012E-2</v>
          </cell>
        </row>
        <row r="119">
          <cell r="A119">
            <v>38504</v>
          </cell>
          <cell r="B119">
            <v>377716</v>
          </cell>
          <cell r="C119">
            <v>14252.724</v>
          </cell>
          <cell r="D119">
            <v>16603.642</v>
          </cell>
          <cell r="E119">
            <v>32609.958999999999</v>
          </cell>
          <cell r="F119">
            <v>77228.848383999997</v>
          </cell>
          <cell r="G119">
            <v>59416.389375999999</v>
          </cell>
          <cell r="H119">
            <v>17812.459008000002</v>
          </cell>
          <cell r="J119">
            <v>0.38639358402613366</v>
          </cell>
          <cell r="K119">
            <v>0.12159345687494705</v>
          </cell>
          <cell r="L119">
            <v>0.20561597965018086</v>
          </cell>
          <cell r="M119">
            <v>0.16523112465240875</v>
          </cell>
          <cell r="N119">
            <v>9.3593208907698289E-2</v>
          </cell>
          <cell r="P119">
            <v>2.0646771635285572E-2</v>
          </cell>
          <cell r="Q119">
            <v>-8.7476592423811603E-2</v>
          </cell>
          <cell r="R119">
            <v>3.1791006702602931E-2</v>
          </cell>
          <cell r="S119">
            <v>-4.6709298400887556E-2</v>
          </cell>
          <cell r="T119">
            <v>1.228981263833214E-2</v>
          </cell>
        </row>
        <row r="120">
          <cell r="A120">
            <v>38534</v>
          </cell>
          <cell r="B120">
            <v>416389</v>
          </cell>
          <cell r="C120">
            <v>16288.184999999999</v>
          </cell>
          <cell r="D120">
            <v>21844.902999999998</v>
          </cell>
          <cell r="E120">
            <v>30452.786</v>
          </cell>
          <cell r="F120">
            <v>65349.766528</v>
          </cell>
          <cell r="G120">
            <v>50427.368576000001</v>
          </cell>
          <cell r="H120">
            <v>14922.397951999999</v>
          </cell>
          <cell r="J120">
            <v>0.10238644907814343</v>
          </cell>
          <cell r="K120">
            <v>0.1428120687666441</v>
          </cell>
          <cell r="L120">
            <v>0.31566935736147528</v>
          </cell>
          <cell r="M120">
            <v>-6.615074247716779E-2</v>
          </cell>
          <cell r="N120">
            <v>-0.15381663853038974</v>
          </cell>
          <cell r="P120">
            <v>0.13380572189091289</v>
          </cell>
          <cell r="Q120">
            <v>6.9429867106199139E-2</v>
          </cell>
          <cell r="R120">
            <v>0.1941725968290314</v>
          </cell>
          <cell r="S120">
            <v>1.3420808558305779E-3</v>
          </cell>
          <cell r="T120">
            <v>5.5734472814428226E-4</v>
          </cell>
        </row>
        <row r="121">
          <cell r="A121">
            <v>38565</v>
          </cell>
          <cell r="B121">
            <v>517756.84</v>
          </cell>
          <cell r="C121">
            <v>14049.380999999999</v>
          </cell>
          <cell r="D121">
            <v>22875.351999999999</v>
          </cell>
          <cell r="E121">
            <v>46807.633999999998</v>
          </cell>
          <cell r="F121">
            <v>85431.854944000006</v>
          </cell>
          <cell r="G121">
            <v>63700.630656000001</v>
          </cell>
          <cell r="H121">
            <v>21731.224288000001</v>
          </cell>
          <cell r="J121">
            <v>0.24344504777984044</v>
          </cell>
          <cell r="K121">
            <v>-0.13744956850625167</v>
          </cell>
          <cell r="L121">
            <v>4.717114102085973E-2</v>
          </cell>
          <cell r="M121">
            <v>0.53705588710339991</v>
          </cell>
          <cell r="N121">
            <v>0.30730160921685257</v>
          </cell>
          <cell r="P121">
            <v>0.24407502696137251</v>
          </cell>
          <cell r="Q121">
            <v>4.2318652378446488E-2</v>
          </cell>
          <cell r="R121">
            <v>0.18948549267750528</v>
          </cell>
          <cell r="S121">
            <v>0.2120454230928803</v>
          </cell>
          <cell r="T121">
            <v>8.2359393198053701E-2</v>
          </cell>
        </row>
        <row r="122">
          <cell r="A122">
            <v>38596</v>
          </cell>
          <cell r="B122">
            <v>379616.202039</v>
          </cell>
          <cell r="C122">
            <v>15036.155000000001</v>
          </cell>
          <cell r="D122">
            <v>18307.261999999999</v>
          </cell>
          <cell r="E122">
            <v>53252.455999999998</v>
          </cell>
          <cell r="F122">
            <v>85587.248255999992</v>
          </cell>
          <cell r="G122">
            <v>64776.715775999997</v>
          </cell>
          <cell r="H122">
            <v>20810.532480000002</v>
          </cell>
          <cell r="J122">
            <v>-0.26680601256952974</v>
          </cell>
          <cell r="K122">
            <v>7.0236119299490918E-2</v>
          </cell>
          <cell r="L122">
            <v>-0.19969485059727166</v>
          </cell>
          <cell r="M122">
            <v>0.13768741227125481</v>
          </cell>
          <cell r="N122">
            <v>1.8189153460597129E-3</v>
          </cell>
          <cell r="P122">
            <v>2.6341828096151376E-2</v>
          </cell>
          <cell r="Q122">
            <v>2.5199539853294445E-2</v>
          </cell>
          <cell r="R122">
            <v>5.4381882595021115E-2</v>
          </cell>
          <cell r="S122">
            <v>0.20286418563249564</v>
          </cell>
          <cell r="T122">
            <v>5.176796201084085E-2</v>
          </cell>
        </row>
        <row r="123">
          <cell r="A123">
            <v>38626</v>
          </cell>
          <cell r="B123">
            <v>381029.9</v>
          </cell>
          <cell r="C123">
            <v>13156.159</v>
          </cell>
          <cell r="D123">
            <v>20178.116999999998</v>
          </cell>
          <cell r="E123">
            <v>55394.161999999997</v>
          </cell>
          <cell r="F123">
            <v>76480.222368000002</v>
          </cell>
          <cell r="G123">
            <v>56006.444671999998</v>
          </cell>
          <cell r="H123">
            <v>20473.777696000001</v>
          </cell>
          <cell r="J123">
            <v>3.724019031344783E-3</v>
          </cell>
          <cell r="K123">
            <v>-0.12503169859581797</v>
          </cell>
          <cell r="L123">
            <v>0.1021919607639854</v>
          </cell>
          <cell r="M123">
            <v>4.0217976049780724E-2</v>
          </cell>
          <cell r="N123">
            <v>-0.10640634058896214</v>
          </cell>
          <cell r="P123">
            <v>-6.5456485861148384E-3</v>
          </cell>
          <cell r="Q123">
            <v>-6.4081715934192915E-2</v>
          </cell>
          <cell r="R123">
            <v>-1.6777249604142175E-2</v>
          </cell>
          <cell r="S123">
            <v>0.23832042514147847</v>
          </cell>
          <cell r="T123">
            <v>6.7571394657983383E-2</v>
          </cell>
        </row>
        <row r="124">
          <cell r="A124">
            <v>38657</v>
          </cell>
          <cell r="B124">
            <v>394178.5</v>
          </cell>
          <cell r="C124">
            <v>11180.522999999999</v>
          </cell>
          <cell r="D124">
            <v>15317.01</v>
          </cell>
          <cell r="E124">
            <v>64882.313000000002</v>
          </cell>
          <cell r="F124">
            <v>79840.070208000005</v>
          </cell>
          <cell r="G124">
            <v>61480.465792000003</v>
          </cell>
          <cell r="H124">
            <v>18359.604415999998</v>
          </cell>
          <cell r="J124">
            <v>3.450805304255633E-2</v>
          </cell>
          <cell r="K124">
            <v>-0.15016814558109248</v>
          </cell>
          <cell r="L124">
            <v>-0.24090984307405883</v>
          </cell>
          <cell r="M124">
            <v>0.17128431331807148</v>
          </cell>
          <cell r="N124">
            <v>4.3930937122978131E-2</v>
          </cell>
          <cell r="P124">
            <v>-7.619131349854287E-2</v>
          </cell>
          <cell r="Q124">
            <v>-6.8321241625806509E-2</v>
          </cell>
          <cell r="R124">
            <v>-0.11280424430244836</v>
          </cell>
          <cell r="S124">
            <v>0.11639656721303566</v>
          </cell>
          <cell r="T124">
            <v>-2.02188293733081E-2</v>
          </cell>
        </row>
        <row r="125">
          <cell r="A125">
            <v>38687</v>
          </cell>
          <cell r="B125">
            <v>379554.4</v>
          </cell>
          <cell r="C125">
            <v>10926.657999999999</v>
          </cell>
          <cell r="D125">
            <v>13202.165000000001</v>
          </cell>
          <cell r="E125">
            <v>75550.597999999998</v>
          </cell>
          <cell r="F125">
            <v>64306.981184000004</v>
          </cell>
          <cell r="G125">
            <v>45033.715199999999</v>
          </cell>
          <cell r="H125">
            <v>19273.265984000001</v>
          </cell>
          <cell r="J125">
            <v>-3.7100196991971868E-2</v>
          </cell>
          <cell r="K125">
            <v>-2.2706004003569369E-2</v>
          </cell>
          <cell r="L125">
            <v>-0.13807166019999983</v>
          </cell>
          <cell r="M125">
            <v>0.16442516468239954</v>
          </cell>
          <cell r="N125">
            <v>-0.19455254715499459</v>
          </cell>
          <cell r="P125">
            <v>3.7729169397641521E-4</v>
          </cell>
          <cell r="Q125">
            <v>-9.930194939349328E-2</v>
          </cell>
          <cell r="R125">
            <v>-9.2263180836691092E-2</v>
          </cell>
          <cell r="S125">
            <v>0.12530915135008391</v>
          </cell>
          <cell r="T125">
            <v>-8.5675983540326198E-2</v>
          </cell>
        </row>
        <row r="126">
          <cell r="A126">
            <v>38718</v>
          </cell>
          <cell r="B126">
            <v>575917.25105900003</v>
          </cell>
          <cell r="C126">
            <v>13521.393</v>
          </cell>
          <cell r="D126">
            <v>20536.151000000002</v>
          </cell>
          <cell r="E126">
            <v>69996.807000000001</v>
          </cell>
          <cell r="F126">
            <v>70049.215616000001</v>
          </cell>
          <cell r="G126">
            <v>47714.297983999997</v>
          </cell>
          <cell r="H126">
            <v>22334.917632000001</v>
          </cell>
          <cell r="J126">
            <v>0.51735100702033754</v>
          </cell>
          <cell r="K126">
            <v>0.23746830915729222</v>
          </cell>
          <cell r="L126">
            <v>0.55551388730560491</v>
          </cell>
          <cell r="M126">
            <v>-7.3510880747760576E-2</v>
          </cell>
          <cell r="N126">
            <v>8.9294106584942634E-2</v>
          </cell>
          <cell r="P126">
            <v>0.17158628769030734</v>
          </cell>
          <cell r="Q126">
            <v>2.1531386524210123E-2</v>
          </cell>
          <cell r="R126">
            <v>5.8844128010515417E-2</v>
          </cell>
          <cell r="S126">
            <v>8.7399532417570147E-2</v>
          </cell>
          <cell r="T126">
            <v>-2.044250114902461E-2</v>
          </cell>
        </row>
        <row r="127">
          <cell r="A127">
            <v>38749</v>
          </cell>
          <cell r="B127">
            <v>652329.26099600003</v>
          </cell>
          <cell r="C127">
            <v>18807.736000000001</v>
          </cell>
          <cell r="D127">
            <v>23844.579000000002</v>
          </cell>
          <cell r="E127">
            <v>69110.766000000003</v>
          </cell>
          <cell r="F127">
            <v>92270.83980799999</v>
          </cell>
          <cell r="G127">
            <v>64642.781695999998</v>
          </cell>
          <cell r="H127">
            <v>27628.058111999999</v>
          </cell>
          <cell r="J127">
            <v>0.13267880029030765</v>
          </cell>
          <cell r="K127">
            <v>0.39096141943363394</v>
          </cell>
          <cell r="L127">
            <v>0.16110263310783024</v>
          </cell>
          <cell r="M127">
            <v>-1.2658305971013806E-2</v>
          </cell>
          <cell r="N127">
            <v>0.31722873691856623</v>
          </cell>
          <cell r="P127">
            <v>0.20430987010622445</v>
          </cell>
          <cell r="Q127">
            <v>0.20190790819578561</v>
          </cell>
          <cell r="R127">
            <v>0.19284828673781176</v>
          </cell>
          <cell r="S127">
            <v>2.6085325987875052E-2</v>
          </cell>
          <cell r="T127">
            <v>7.0656765449504763E-2</v>
          </cell>
        </row>
        <row r="128">
          <cell r="A128">
            <v>38777</v>
          </cell>
          <cell r="B128">
            <v>692034.61280300003</v>
          </cell>
          <cell r="C128">
            <v>21260</v>
          </cell>
          <cell r="D128">
            <v>28675</v>
          </cell>
          <cell r="E128">
            <v>59605.33066</v>
          </cell>
          <cell r="F128">
            <v>100380.64748799999</v>
          </cell>
          <cell r="G128">
            <v>72997.996799999994</v>
          </cell>
          <cell r="H128">
            <v>27382.650688000002</v>
          </cell>
          <cell r="J128">
            <v>6.0867040896458446E-2</v>
          </cell>
          <cell r="K128">
            <v>0.13038592204824639</v>
          </cell>
          <cell r="L128">
            <v>0.20257942067251422</v>
          </cell>
          <cell r="M128">
            <v>-0.13753914028387415</v>
          </cell>
          <cell r="N128">
            <v>8.7891339201801255E-2</v>
          </cell>
          <cell r="P128">
            <v>0.23696561606903455</v>
          </cell>
          <cell r="Q128">
            <v>0.2529385502130575</v>
          </cell>
          <cell r="R128">
            <v>0.30639864702864977</v>
          </cell>
          <cell r="S128">
            <v>-7.4569442334216182E-2</v>
          </cell>
          <cell r="T128">
            <v>0.1648047275684367</v>
          </cell>
        </row>
        <row r="129">
          <cell r="A129" t="str">
            <v>MTD</v>
          </cell>
          <cell r="B129">
            <v>760699.02232500003</v>
          </cell>
          <cell r="C129">
            <v>24919.61</v>
          </cell>
          <cell r="D129">
            <v>26163.070000000003</v>
          </cell>
          <cell r="E129">
            <v>68930.791800000006</v>
          </cell>
          <cell r="F129">
            <v>95904.400896000006</v>
          </cell>
          <cell r="J129">
            <v>9.9221062431954721E-2</v>
          </cell>
          <cell r="K129">
            <v>0.17213593603010358</v>
          </cell>
          <cell r="L129">
            <v>-8.75999999999999E-2</v>
          </cell>
          <cell r="M129">
            <v>0.15645347549859578</v>
          </cell>
          <cell r="N129">
            <v>-4.4592724833091957E-2</v>
          </cell>
          <cell r="P129">
            <v>9.758896787290694E-2</v>
          </cell>
          <cell r="Q129">
            <v>0.23116109250399464</v>
          </cell>
          <cell r="R129">
            <v>9.2027351260114854E-2</v>
          </cell>
          <cell r="S129">
            <v>2.0853430812359428E-3</v>
          </cell>
          <cell r="T129">
            <v>0.12017578376242517</v>
          </cell>
        </row>
        <row r="142">
          <cell r="B142" t="str">
            <v>Stock Turnover Growth MoM</v>
          </cell>
          <cell r="K142" t="str">
            <v>Stock Turnover Growth MoM 3MMA</v>
          </cell>
        </row>
        <row r="168">
          <cell r="B168" t="str">
            <v>SG: SGX: Turnover: Value: Total</v>
          </cell>
          <cell r="F168" t="str">
            <v>HK: HKEX: Turnover: Value</v>
          </cell>
          <cell r="K168" t="str">
            <v>MY: KLSE: Turnover: Value</v>
          </cell>
        </row>
        <row r="169">
          <cell r="B169" t="str">
            <v>SDIGE</v>
          </cell>
          <cell r="F169" t="str">
            <v>HDINAB</v>
          </cell>
          <cell r="K169" t="str">
            <v>MDIFBA</v>
          </cell>
        </row>
        <row r="170">
          <cell r="B170" t="str">
            <v>SGD mn</v>
          </cell>
          <cell r="F170" t="str">
            <v>HKD mn</v>
          </cell>
          <cell r="K170" t="str">
            <v>RM mn</v>
          </cell>
        </row>
        <row r="171">
          <cell r="B171" t="str">
            <v>D:31-Aug-1998: 6-Apr-2006</v>
          </cell>
          <cell r="F171" t="str">
            <v>D: 4-Oct-1993: 7-Apr-2006</v>
          </cell>
          <cell r="K171" t="str">
            <v>D:31-Mar-1998: 6-Apr-2006</v>
          </cell>
        </row>
        <row r="172">
          <cell r="A172">
            <v>38810</v>
          </cell>
          <cell r="B172">
            <v>1335.9390000000001</v>
          </cell>
          <cell r="E172">
            <v>38807</v>
          </cell>
          <cell r="F172">
            <v>33422.860898999999</v>
          </cell>
          <cell r="J172">
            <v>38810</v>
          </cell>
          <cell r="K172">
            <v>940.07</v>
          </cell>
        </row>
        <row r="173">
          <cell r="A173">
            <v>38811</v>
          </cell>
          <cell r="B173">
            <v>1183.482</v>
          </cell>
          <cell r="E173">
            <v>38810</v>
          </cell>
          <cell r="F173">
            <v>31717.103378</v>
          </cell>
          <cell r="J173">
            <v>38811</v>
          </cell>
          <cell r="K173">
            <v>1265.6610000000001</v>
          </cell>
        </row>
        <row r="174">
          <cell r="A174">
            <v>38812</v>
          </cell>
          <cell r="B174">
            <v>1354.3989999999999</v>
          </cell>
          <cell r="E174">
            <v>38811</v>
          </cell>
          <cell r="F174">
            <v>32185.441349000001</v>
          </cell>
          <cell r="J174">
            <v>38812</v>
          </cell>
          <cell r="K174">
            <v>1536.912</v>
          </cell>
        </row>
        <row r="175">
          <cell r="A175">
            <v>38813</v>
          </cell>
          <cell r="B175">
            <v>1358.7940000000001</v>
          </cell>
          <cell r="E175">
            <v>38812</v>
          </cell>
          <cell r="F175" t="str">
            <v>.</v>
          </cell>
          <cell r="J175">
            <v>38813</v>
          </cell>
          <cell r="K175">
            <v>1241.279</v>
          </cell>
        </row>
        <row r="176">
          <cell r="E176">
            <v>38813</v>
          </cell>
          <cell r="F176">
            <v>45687.759738000001</v>
          </cell>
        </row>
        <row r="177">
          <cell r="E177">
            <v>38814</v>
          </cell>
          <cell r="F177">
            <v>42549.5</v>
          </cell>
        </row>
      </sheetData>
      <sheetData sheetId="59" refreshError="1">
        <row r="1">
          <cell r="B1" t="str">
            <v>HK: HKEX: Turnover: Value</v>
          </cell>
          <cell r="C1" t="str">
            <v>MY: KLSE: Turnover: Value</v>
          </cell>
          <cell r="D1" t="str">
            <v>SG: SGX: Turnover: Value: Total</v>
          </cell>
          <cell r="E1" t="str">
            <v>AU: ASX: Turnover: Value: Industrial: MONTHLY</v>
          </cell>
          <cell r="F1" t="str">
            <v>AU: ASX: Turnover: Value: Mining: MONTHLY</v>
          </cell>
          <cell r="G1" t="str">
            <v>Total AU</v>
          </cell>
          <cell r="AC1" t="str">
            <v>HK: HKEX: Turnover: Value</v>
          </cell>
          <cell r="AD1" t="str">
            <v>SG: SGX: Turnover: Value: Total</v>
          </cell>
          <cell r="AS1" t="str">
            <v>HK: HKEX: Turnover: Value: WEEKLYN</v>
          </cell>
          <cell r="AT1" t="str">
            <v>SG: SGX: Turnover: Value: Total: WEEKLYN</v>
          </cell>
          <cell r="BR1" t="str">
            <v>10 Days Moving Average</v>
          </cell>
        </row>
        <row r="2">
          <cell r="B2" t="str">
            <v>HK: HKEX: Turnover: Value</v>
          </cell>
          <cell r="C2" t="str">
            <v>MY: KLSE: Turnover: Value</v>
          </cell>
          <cell r="D2" t="str">
            <v>SG: SGX: Turnover: Value: Total</v>
          </cell>
          <cell r="E2" t="str">
            <v>AU: ASX: Turnover: Value: Industrial: MONTHLY</v>
          </cell>
          <cell r="F2" t="str">
            <v>AU: ASX: Turnover: Value: Mining: MONTHLY</v>
          </cell>
          <cell r="G2" t="str">
            <v>Total AU</v>
          </cell>
          <cell r="M2">
            <v>0.87553126772851575</v>
          </cell>
          <cell r="AC2" t="str">
            <v>HDINAB</v>
          </cell>
          <cell r="AD2" t="str">
            <v>SDIGE</v>
          </cell>
          <cell r="AH2" t="str">
            <v>HK: HKEX: Turnover: Value</v>
          </cell>
          <cell r="AI2" t="str">
            <v>SG: SGX: Turnover: Value: Total</v>
          </cell>
          <cell r="AS2" t="str">
            <v>s1</v>
          </cell>
          <cell r="AT2" t="str">
            <v>s2</v>
          </cell>
          <cell r="AX2" t="str">
            <v>HK: HKEX: Turnover: Value: WEEKLYN</v>
          </cell>
          <cell r="AY2" t="str">
            <v>SG: SGX: Turnover: Value: Total: WEEKLYN</v>
          </cell>
          <cell r="BN2" t="str">
            <v>HK: HKEX: Turnover: Value</v>
          </cell>
          <cell r="BO2" t="str">
            <v>SG: SGX: Turnover: Value: Total</v>
          </cell>
          <cell r="BP2" t="str">
            <v>HKEx 10 Days Moving Average</v>
          </cell>
          <cell r="BQ2" t="str">
            <v>SGX 10 Days Moving Average</v>
          </cell>
          <cell r="BR2" t="str">
            <v>HKEx</v>
          </cell>
          <cell r="BS2" t="str">
            <v>SGX</v>
          </cell>
        </row>
        <row r="3">
          <cell r="B3" t="str">
            <v>HDINAB</v>
          </cell>
          <cell r="C3" t="str">
            <v>MDIFBA</v>
          </cell>
          <cell r="D3" t="str">
            <v>SDIGE</v>
          </cell>
          <cell r="E3" t="str">
            <v>ADICBA</v>
          </cell>
          <cell r="F3" t="str">
            <v>ADICBB</v>
          </cell>
          <cell r="H3" t="str">
            <v>Hong Kong</v>
          </cell>
          <cell r="I3" t="str">
            <v>Malaysia</v>
          </cell>
          <cell r="J3" t="str">
            <v>Singapore</v>
          </cell>
          <cell r="K3" t="str">
            <v>Australia</v>
          </cell>
          <cell r="M3" t="str">
            <v>Hong Kong</v>
          </cell>
          <cell r="N3" t="str">
            <v>Singapore</v>
          </cell>
          <cell r="R3">
            <v>0.87347701490245377</v>
          </cell>
          <cell r="AC3" t="str">
            <v>HKD mn</v>
          </cell>
          <cell r="AD3" t="str">
            <v>SGD mn</v>
          </cell>
          <cell r="AH3" t="str">
            <v>HDINAB</v>
          </cell>
          <cell r="AI3" t="str">
            <v>SDIGE</v>
          </cell>
          <cell r="AS3" t="str">
            <v>HKD mn</v>
          </cell>
          <cell r="AT3" t="str">
            <v>SGD mn</v>
          </cell>
          <cell r="AW3">
            <v>0.77412732878795432</v>
          </cell>
          <cell r="AX3" t="str">
            <v>s1</v>
          </cell>
          <cell r="AY3" t="str">
            <v>s2</v>
          </cell>
          <cell r="BN3" t="str">
            <v>HDINAB</v>
          </cell>
          <cell r="BO3" t="str">
            <v>SDIGE</v>
          </cell>
        </row>
        <row r="4">
          <cell r="B4" t="str">
            <v>HKD mn</v>
          </cell>
          <cell r="C4" t="str">
            <v>RM mn</v>
          </cell>
          <cell r="D4" t="str">
            <v>SGD mn</v>
          </cell>
          <cell r="E4" t="str">
            <v>AUD Mn</v>
          </cell>
          <cell r="F4" t="str">
            <v>AUD Mn</v>
          </cell>
          <cell r="H4" t="str">
            <v>Hong Kong</v>
          </cell>
          <cell r="I4" t="str">
            <v>Malaysia</v>
          </cell>
          <cell r="J4" t="str">
            <v>Singapore</v>
          </cell>
          <cell r="K4" t="str">
            <v>Australia</v>
          </cell>
          <cell r="M4" t="str">
            <v>Hong Kong</v>
          </cell>
          <cell r="N4" t="str">
            <v>Malaysia</v>
          </cell>
          <cell r="O4" t="str">
            <v>Singapore</v>
          </cell>
          <cell r="P4" t="str">
            <v>Australia</v>
          </cell>
          <cell r="R4" t="str">
            <v>Hong Kong</v>
          </cell>
          <cell r="S4" t="str">
            <v>Singapore</v>
          </cell>
          <cell r="AC4" t="str">
            <v>D: 4-Oct-1993:19-Jun-2006</v>
          </cell>
          <cell r="AD4" t="str">
            <v>D:31-Aug-1998:16-Jun-2006</v>
          </cell>
          <cell r="AF4" t="str">
            <v>HKEx</v>
          </cell>
          <cell r="AG4" t="str">
            <v>SGX</v>
          </cell>
          <cell r="AH4" t="str">
            <v>HKD mn</v>
          </cell>
          <cell r="AI4" t="str">
            <v>SGD mn</v>
          </cell>
          <cell r="AS4" t="str">
            <v>W: 8-Oct-1993: 9-Jun-2006</v>
          </cell>
          <cell r="AT4" t="str">
            <v>W: 4-Sep-1998: 9-Jun-2006</v>
          </cell>
          <cell r="AV4" t="str">
            <v>HKEx Weekly Relative Turnover</v>
          </cell>
          <cell r="AW4" t="str">
            <v>SGX Weekly Relative Turnover</v>
          </cell>
          <cell r="AX4" t="str">
            <v>HKD mn</v>
          </cell>
          <cell r="AY4" t="str">
            <v>SGD mn</v>
          </cell>
          <cell r="BB4">
            <v>0.77412732878795432</v>
          </cell>
          <cell r="BD4">
            <v>0.84094685607791897</v>
          </cell>
          <cell r="BN4" t="str">
            <v>HKD mn</v>
          </cell>
          <cell r="BO4" t="str">
            <v>SGD mn</v>
          </cell>
        </row>
        <row r="5">
          <cell r="B5" t="str">
            <v>D: 4-Oct-1993:11-Jan-2006</v>
          </cell>
          <cell r="C5" t="str">
            <v>D:31-Mar-1998:10-Jan-2006</v>
          </cell>
          <cell r="D5" t="str">
            <v>D:31-Aug-1998:10-Jan-2006</v>
          </cell>
          <cell r="E5" t="str">
            <v>M:   May-1999:   Dec-2005</v>
          </cell>
          <cell r="F5" t="str">
            <v>M:   May-1999:   Dec-2005</v>
          </cell>
          <cell r="AB5">
            <v>38716</v>
          </cell>
          <cell r="AC5">
            <v>18500.212186000001</v>
          </cell>
          <cell r="AD5">
            <v>629.71299999999997</v>
          </cell>
          <cell r="AF5">
            <v>100</v>
          </cell>
          <cell r="AG5">
            <v>100</v>
          </cell>
          <cell r="AH5" t="str">
            <v>D: 4-Oct-1993:19-Jun-2006</v>
          </cell>
          <cell r="AI5" t="str">
            <v>D:31-Aug-1998:16-Jun-2006</v>
          </cell>
          <cell r="AK5" t="str">
            <v>HKEx</v>
          </cell>
          <cell r="AL5" t="str">
            <v>SGX</v>
          </cell>
          <cell r="AR5">
            <v>38674</v>
          </cell>
          <cell r="AS5">
            <v>18365.735806000001</v>
          </cell>
          <cell r="AT5">
            <v>826.11199999999997</v>
          </cell>
          <cell r="AX5" t="str">
            <v>W: 8-Oct-1993: 9-Jun-2006</v>
          </cell>
          <cell r="AY5" t="str">
            <v>W: 4-Sep-1998: 9-Jun-2006</v>
          </cell>
          <cell r="BA5" t="str">
            <v>HKEx Weekly Relative Turnover</v>
          </cell>
          <cell r="BB5" t="str">
            <v>SGX Weekly Relative Turnover</v>
          </cell>
          <cell r="BC5" t="str">
            <v>HKEx Weekly Relative Turnover</v>
          </cell>
          <cell r="BD5" t="str">
            <v>SGX Weekly Relative Turnover</v>
          </cell>
          <cell r="BN5" t="str">
            <v>D: 4-Oct-1993:21-Aug-2006</v>
          </cell>
          <cell r="BO5" t="str">
            <v>D:31-Aug-1998:18-Aug-2006</v>
          </cell>
        </row>
        <row r="6">
          <cell r="M6" t="str">
            <v>Hong Kong</v>
          </cell>
          <cell r="N6" t="str">
            <v>Singapore</v>
          </cell>
          <cell r="AB6">
            <v>38720</v>
          </cell>
          <cell r="AC6">
            <v>16834.993921000001</v>
          </cell>
          <cell r="AD6">
            <v>853.06600000000003</v>
          </cell>
          <cell r="AF6">
            <v>90.998923427158587</v>
          </cell>
          <cell r="AG6">
            <v>38716</v>
          </cell>
          <cell r="AH6">
            <v>18500.212186000001</v>
          </cell>
          <cell r="AI6">
            <v>629.71299999999997</v>
          </cell>
          <cell r="AK6">
            <v>100</v>
          </cell>
          <cell r="AL6">
            <v>100</v>
          </cell>
          <cell r="AR6">
            <v>38681</v>
          </cell>
          <cell r="AS6">
            <v>19572.139396999999</v>
          </cell>
          <cell r="AT6">
            <v>687.16</v>
          </cell>
          <cell r="AW6">
            <v>38674</v>
          </cell>
          <cell r="AX6">
            <v>18365.735806000001</v>
          </cell>
          <cell r="AY6">
            <v>826.11199999999997</v>
          </cell>
        </row>
        <row r="7">
          <cell r="A7">
            <v>36526</v>
          </cell>
          <cell r="B7">
            <v>17491.103235999999</v>
          </cell>
          <cell r="C7">
            <v>1670.0558599999999</v>
          </cell>
          <cell r="D7">
            <v>891.83</v>
          </cell>
          <cell r="E7">
            <v>1454.1752630000001</v>
          </cell>
          <cell r="F7">
            <v>182.33587399999999</v>
          </cell>
          <cell r="G7">
            <v>1636.511137</v>
          </cell>
          <cell r="M7">
            <v>100</v>
          </cell>
          <cell r="N7">
            <v>100</v>
          </cell>
          <cell r="R7" t="str">
            <v>Hong Kong</v>
          </cell>
          <cell r="S7" t="str">
            <v>Singapore</v>
          </cell>
          <cell r="AB7">
            <v>38721</v>
          </cell>
          <cell r="AC7">
            <v>34511.026442000002</v>
          </cell>
          <cell r="AD7">
            <v>1253.5360000000001</v>
          </cell>
          <cell r="AF7">
            <v>186.54394930732823</v>
          </cell>
          <cell r="AG7">
            <v>38720</v>
          </cell>
          <cell r="AH7">
            <v>16834.993921000001</v>
          </cell>
          <cell r="AI7">
            <v>853.06600000000003</v>
          </cell>
          <cell r="AK7">
            <v>90.998923427158587</v>
          </cell>
          <cell r="AL7">
            <v>135.46901524980427</v>
          </cell>
          <cell r="AR7">
            <v>38688</v>
          </cell>
          <cell r="AS7">
            <v>21363.803308999999</v>
          </cell>
          <cell r="AT7">
            <v>782.05700000000002</v>
          </cell>
          <cell r="AW7">
            <v>38681</v>
          </cell>
          <cell r="AX7">
            <v>19572.139396999999</v>
          </cell>
          <cell r="AY7">
            <v>687.16</v>
          </cell>
        </row>
        <row r="8">
          <cell r="A8">
            <v>36526</v>
          </cell>
          <cell r="B8">
            <v>17491.103235999999</v>
          </cell>
          <cell r="C8">
            <v>1670.0558599999999</v>
          </cell>
          <cell r="D8">
            <v>891.83</v>
          </cell>
          <cell r="E8">
            <v>1454.1752630000001</v>
          </cell>
          <cell r="F8">
            <v>182.33587399999999</v>
          </cell>
          <cell r="G8">
            <v>1636.511137</v>
          </cell>
          <cell r="M8">
            <v>126.25079310920601</v>
          </cell>
          <cell r="N8">
            <v>102.55867149568863</v>
          </cell>
          <cell r="R8">
            <v>100</v>
          </cell>
          <cell r="S8">
            <v>100</v>
          </cell>
          <cell r="AB8">
            <v>38722</v>
          </cell>
          <cell r="AC8">
            <v>33052.776026</v>
          </cell>
          <cell r="AD8">
            <v>1392.6479999999999</v>
          </cell>
          <cell r="AF8">
            <v>178.66160503290132</v>
          </cell>
          <cell r="AG8">
            <v>38721</v>
          </cell>
          <cell r="AH8">
            <v>34511.026442000002</v>
          </cell>
          <cell r="AI8">
            <v>1253.5360000000001</v>
          </cell>
          <cell r="AK8">
            <v>186.54394930732823</v>
          </cell>
          <cell r="AL8">
            <v>199.06465326267681</v>
          </cell>
          <cell r="AR8">
            <v>38695</v>
          </cell>
          <cell r="AS8">
            <v>18840.352664999999</v>
          </cell>
          <cell r="AT8">
            <v>687.17899999999997</v>
          </cell>
          <cell r="AW8">
            <v>38688</v>
          </cell>
          <cell r="AX8">
            <v>21363.803308999999</v>
          </cell>
          <cell r="AY8">
            <v>782.05700000000002</v>
          </cell>
          <cell r="BM8">
            <v>38701</v>
          </cell>
          <cell r="BN8">
            <v>22363.117000999999</v>
          </cell>
          <cell r="BO8">
            <v>731.78899999999999</v>
          </cell>
        </row>
        <row r="9">
          <cell r="A9">
            <v>36557</v>
          </cell>
          <cell r="B9">
            <v>22082.656558999999</v>
          </cell>
          <cell r="C9">
            <v>2721.2986999999998</v>
          </cell>
          <cell r="D9">
            <v>914.649</v>
          </cell>
          <cell r="E9">
            <v>1588.0782859999999</v>
          </cell>
          <cell r="F9">
            <v>207.606595</v>
          </cell>
          <cell r="G9">
            <v>1795.6848809999999</v>
          </cell>
          <cell r="M9">
            <v>85.950040418593986</v>
          </cell>
          <cell r="N9">
            <v>85.398001861341285</v>
          </cell>
          <cell r="R9">
            <v>126.25079310920601</v>
          </cell>
          <cell r="S9">
            <v>102.55867149568863</v>
          </cell>
          <cell r="AB9">
            <v>38723</v>
          </cell>
          <cell r="AC9">
            <v>27577.396508999998</v>
          </cell>
          <cell r="AD9">
            <v>1210.96</v>
          </cell>
          <cell r="AF9">
            <v>149.06529845030175</v>
          </cell>
          <cell r="AG9">
            <v>38722</v>
          </cell>
          <cell r="AH9">
            <v>33052.776026</v>
          </cell>
          <cell r="AI9">
            <v>1392.6479999999999</v>
          </cell>
          <cell r="AK9">
            <v>178.66160503290132</v>
          </cell>
          <cell r="AL9">
            <v>221.15598693373011</v>
          </cell>
          <cell r="AR9">
            <v>38702</v>
          </cell>
          <cell r="AS9">
            <v>19157.399513</v>
          </cell>
          <cell r="AT9">
            <v>570.79</v>
          </cell>
          <cell r="AW9">
            <v>38695</v>
          </cell>
          <cell r="AX9">
            <v>18840.352664999999</v>
          </cell>
          <cell r="AY9">
            <v>687.17899999999997</v>
          </cell>
          <cell r="BM9">
            <v>38702</v>
          </cell>
          <cell r="BN9">
            <v>21718.735431000001</v>
          </cell>
          <cell r="BO9">
            <v>656.29100000000005</v>
          </cell>
        </row>
        <row r="10">
          <cell r="A10">
            <v>36586</v>
          </cell>
          <cell r="B10">
            <v>15033.610301000001</v>
          </cell>
          <cell r="C10">
            <v>1440.39625</v>
          </cell>
          <cell r="D10">
            <v>761.60500000000002</v>
          </cell>
          <cell r="E10">
            <v>1575.211957</v>
          </cell>
          <cell r="F10">
            <v>208.747996</v>
          </cell>
          <cell r="G10">
            <v>1783.959953</v>
          </cell>
          <cell r="M10">
            <v>63.207279351284029</v>
          </cell>
          <cell r="N10">
            <v>77.040579482636829</v>
          </cell>
          <cell r="R10">
            <v>85.950040418593986</v>
          </cell>
          <cell r="S10">
            <v>85.398001861341285</v>
          </cell>
          <cell r="AB10">
            <v>38726</v>
          </cell>
          <cell r="AC10">
            <v>40824.134939000003</v>
          </cell>
          <cell r="AD10">
            <v>1099.1099999999999</v>
          </cell>
          <cell r="AF10">
            <v>220.66846871028639</v>
          </cell>
          <cell r="AG10">
            <v>38723</v>
          </cell>
          <cell r="AH10">
            <v>27577.396508999998</v>
          </cell>
          <cell r="AI10">
            <v>1210.96</v>
          </cell>
          <cell r="AK10">
            <v>149.06529845030175</v>
          </cell>
          <cell r="AL10">
            <v>192.30347793359834</v>
          </cell>
          <cell r="AR10">
            <v>38709</v>
          </cell>
          <cell r="AS10">
            <v>13983.649734000001</v>
          </cell>
          <cell r="AT10">
            <v>421.16699999999997</v>
          </cell>
          <cell r="AW10">
            <v>38702</v>
          </cell>
          <cell r="AX10">
            <v>19157.399513</v>
          </cell>
          <cell r="AY10">
            <v>570.79</v>
          </cell>
          <cell r="BM10">
            <v>38705</v>
          </cell>
          <cell r="BN10">
            <v>21076.482727999999</v>
          </cell>
          <cell r="BO10">
            <v>526.67600000000004</v>
          </cell>
        </row>
        <row r="11">
          <cell r="A11">
            <v>36617</v>
          </cell>
          <cell r="B11">
            <v>11055.650484</v>
          </cell>
          <cell r="C11">
            <v>1036.00884</v>
          </cell>
          <cell r="D11">
            <v>687.07100000000003</v>
          </cell>
          <cell r="E11">
            <v>1425.8672349999999</v>
          </cell>
          <cell r="F11">
            <v>132.172471</v>
          </cell>
          <cell r="G11">
            <v>1558.039706</v>
          </cell>
          <cell r="M11">
            <v>59.618650192043262</v>
          </cell>
          <cell r="N11">
            <v>74.063891100321811</v>
          </cell>
          <cell r="R11">
            <v>63.207279351284029</v>
          </cell>
          <cell r="S11">
            <v>77.040579482636829</v>
          </cell>
          <cell r="AB11">
            <v>38728</v>
          </cell>
          <cell r="AC11">
            <v>31155.661962999999</v>
          </cell>
          <cell r="AD11">
            <v>1458.046</v>
          </cell>
          <cell r="AF11">
            <v>168.40705203682467</v>
          </cell>
          <cell r="AG11">
            <v>38726</v>
          </cell>
          <cell r="AH11">
            <v>40824.134939000003</v>
          </cell>
          <cell r="AI11">
            <v>1099.1099999999999</v>
          </cell>
          <cell r="AK11">
            <v>220.66846871028639</v>
          </cell>
          <cell r="AL11">
            <v>174.54141807458319</v>
          </cell>
          <cell r="AR11">
            <v>38716</v>
          </cell>
          <cell r="AS11">
            <v>25724.752143999998</v>
          </cell>
          <cell r="AT11">
            <v>1032.241</v>
          </cell>
          <cell r="AU11">
            <v>19813.991472999998</v>
          </cell>
          <cell r="AV11">
            <v>100</v>
          </cell>
          <cell r="AW11">
            <v>38709</v>
          </cell>
          <cell r="AX11">
            <v>13983.649734000001</v>
          </cell>
          <cell r="AY11">
            <v>421.16699999999997</v>
          </cell>
          <cell r="BC11">
            <v>100</v>
          </cell>
          <cell r="BD11">
            <v>100</v>
          </cell>
          <cell r="BM11">
            <v>38706</v>
          </cell>
          <cell r="BN11">
            <v>17860.107217000001</v>
          </cell>
          <cell r="BO11">
            <v>519.01</v>
          </cell>
        </row>
        <row r="12">
          <cell r="A12">
            <v>36647</v>
          </cell>
          <cell r="B12">
            <v>10427.959653</v>
          </cell>
          <cell r="C12">
            <v>802.77791000000002</v>
          </cell>
          <cell r="D12">
            <v>660.524</v>
          </cell>
          <cell r="E12">
            <v>1218.422478</v>
          </cell>
          <cell r="F12">
            <v>118.90619599999999</v>
          </cell>
          <cell r="G12">
            <v>1337.3286739999999</v>
          </cell>
          <cell r="M12">
            <v>59.033547916794191</v>
          </cell>
          <cell r="N12">
            <v>71.927161006021322</v>
          </cell>
          <cell r="R12">
            <v>59.618650192043262</v>
          </cell>
          <cell r="S12">
            <v>74.063891100321811</v>
          </cell>
          <cell r="AB12">
            <v>38729</v>
          </cell>
          <cell r="AC12">
            <v>31382.211758000001</v>
          </cell>
          <cell r="AD12">
            <v>1160.721</v>
          </cell>
          <cell r="AF12">
            <v>169.6316314779807</v>
          </cell>
          <cell r="AG12">
            <v>38728</v>
          </cell>
          <cell r="AH12">
            <v>31155.661962999999</v>
          </cell>
          <cell r="AI12">
            <v>1458.046</v>
          </cell>
          <cell r="AK12">
            <v>168.40705203682467</v>
          </cell>
          <cell r="AL12">
            <v>231.54135296555737</v>
          </cell>
          <cell r="AR12">
            <v>38723</v>
          </cell>
          <cell r="AS12">
            <v>33795.637254000001</v>
          </cell>
          <cell r="AT12">
            <v>1232.2090000000001</v>
          </cell>
          <cell r="AV12">
            <v>131.37400533471202</v>
          </cell>
          <cell r="AW12">
            <v>38716</v>
          </cell>
          <cell r="AX12">
            <v>25724.752143999998</v>
          </cell>
          <cell r="AY12">
            <v>1032.241</v>
          </cell>
          <cell r="AZ12">
            <v>19813.991472999998</v>
          </cell>
          <cell r="BA12">
            <v>100</v>
          </cell>
          <cell r="BB12">
            <v>100</v>
          </cell>
          <cell r="BC12">
            <v>183.96307568726175</v>
          </cell>
          <cell r="BD12">
            <v>245.09066474818778</v>
          </cell>
          <cell r="BM12">
            <v>38707</v>
          </cell>
          <cell r="BN12">
            <v>19867.889652999998</v>
          </cell>
          <cell r="BO12">
            <v>555.09299999999996</v>
          </cell>
        </row>
        <row r="13">
          <cell r="A13">
            <v>36678</v>
          </cell>
          <cell r="B13">
            <v>10325.61881</v>
          </cell>
          <cell r="C13">
            <v>544.81917999999996</v>
          </cell>
          <cell r="D13">
            <v>641.46799999999996</v>
          </cell>
          <cell r="E13">
            <v>1535.2528</v>
          </cell>
          <cell r="F13">
            <v>186.74527499999999</v>
          </cell>
          <cell r="G13">
            <v>1721.998075</v>
          </cell>
          <cell r="M13">
            <v>78.097726653884365</v>
          </cell>
          <cell r="N13">
            <v>73.047778163999865</v>
          </cell>
          <cell r="R13">
            <v>59.033547916794191</v>
          </cell>
          <cell r="S13">
            <v>71.927161006021322</v>
          </cell>
          <cell r="AB13">
            <v>38730</v>
          </cell>
          <cell r="AC13">
            <v>27724.138397999999</v>
          </cell>
          <cell r="AD13">
            <v>1038.3720000000001</v>
          </cell>
          <cell r="AF13">
            <v>149.85848875279487</v>
          </cell>
          <cell r="AG13">
            <v>38729</v>
          </cell>
          <cell r="AH13">
            <v>31382.211758000001</v>
          </cell>
          <cell r="AI13">
            <v>1160.721</v>
          </cell>
          <cell r="AK13">
            <v>169.6316314779807</v>
          </cell>
          <cell r="AL13">
            <v>184.32539903098714</v>
          </cell>
          <cell r="AR13">
            <v>38730</v>
          </cell>
          <cell r="AS13">
            <v>31115.985927999998</v>
          </cell>
          <cell r="AT13">
            <v>1124.3900000000001</v>
          </cell>
          <cell r="AV13">
            <v>120.95737892369721</v>
          </cell>
          <cell r="AW13">
            <v>38723</v>
          </cell>
          <cell r="AX13">
            <v>33795.637254000001</v>
          </cell>
          <cell r="AY13">
            <v>1232.2090000000001</v>
          </cell>
          <cell r="BA13">
            <v>131.37400533471202</v>
          </cell>
          <cell r="BB13">
            <v>119.37222024701597</v>
          </cell>
          <cell r="BC13">
            <v>241.67966086728353</v>
          </cell>
          <cell r="BD13">
            <v>292.57016812808223</v>
          </cell>
          <cell r="BM13">
            <v>38708</v>
          </cell>
          <cell r="BN13">
            <v>15263.782536000001</v>
          </cell>
          <cell r="BO13">
            <v>596.87800000000004</v>
          </cell>
        </row>
        <row r="14">
          <cell r="A14">
            <v>36708</v>
          </cell>
          <cell r="B14">
            <v>13660.153994</v>
          </cell>
          <cell r="C14">
            <v>426.51432999999997</v>
          </cell>
          <cell r="D14">
            <v>651.46199999999999</v>
          </cell>
          <cell r="E14">
            <v>1249.2409520000001</v>
          </cell>
          <cell r="F14">
            <v>168.51835199999999</v>
          </cell>
          <cell r="G14">
            <v>1417.7593040000002</v>
          </cell>
          <cell r="M14">
            <v>66.297595906545595</v>
          </cell>
          <cell r="N14">
            <v>66.868573607077593</v>
          </cell>
          <cell r="R14">
            <v>78.097726653884365</v>
          </cell>
          <cell r="S14">
            <v>73.047778163999865</v>
          </cell>
          <cell r="AB14">
            <v>38733</v>
          </cell>
          <cell r="AC14">
            <v>27424.798562</v>
          </cell>
          <cell r="AD14">
            <v>946.81799999999998</v>
          </cell>
          <cell r="AF14">
            <v>148.24045414329714</v>
          </cell>
          <cell r="AG14">
            <v>38730</v>
          </cell>
          <cell r="AH14">
            <v>27724.138397999999</v>
          </cell>
          <cell r="AI14">
            <v>1038.3720000000001</v>
          </cell>
          <cell r="AK14">
            <v>149.85848875279487</v>
          </cell>
          <cell r="AL14">
            <v>164.89607170250576</v>
          </cell>
          <cell r="AR14">
            <v>38737</v>
          </cell>
          <cell r="AS14">
            <v>26554.564769000001</v>
          </cell>
          <cell r="AT14">
            <v>1063.0630000000001</v>
          </cell>
          <cell r="AV14">
            <v>103.225736132869</v>
          </cell>
          <cell r="AW14">
            <v>38730</v>
          </cell>
          <cell r="AX14">
            <v>31115.985927999998</v>
          </cell>
          <cell r="AY14">
            <v>1124.3900000000001</v>
          </cell>
          <cell r="BA14">
            <v>120.95737892369721</v>
          </cell>
          <cell r="BB14">
            <v>108.92708195082351</v>
          </cell>
          <cell r="BC14">
            <v>222.51691453872908</v>
          </cell>
          <cell r="BD14">
            <v>266.97010924407658</v>
          </cell>
          <cell r="BM14">
            <v>38709</v>
          </cell>
          <cell r="BN14">
            <v>11005.520785999999</v>
          </cell>
          <cell r="BO14">
            <v>486.137</v>
          </cell>
        </row>
        <row r="15">
          <cell r="A15">
            <v>36739</v>
          </cell>
          <cell r="B15">
            <v>11596.180942999999</v>
          </cell>
          <cell r="C15">
            <v>316.69078999999999</v>
          </cell>
          <cell r="D15">
            <v>596.35400000000004</v>
          </cell>
          <cell r="E15">
            <v>1314.202538</v>
          </cell>
          <cell r="F15">
            <v>208.438377</v>
          </cell>
          <cell r="G15">
            <v>1522.6409149999999</v>
          </cell>
          <cell r="M15">
            <v>57.702717923630011</v>
          </cell>
          <cell r="N15">
            <v>53.883475550273033</v>
          </cell>
          <cell r="R15">
            <v>66.297595906545595</v>
          </cell>
          <cell r="S15">
            <v>66.868573607077593</v>
          </cell>
          <cell r="AB15">
            <v>38734</v>
          </cell>
          <cell r="AC15">
            <v>35325.930184999997</v>
          </cell>
          <cell r="AD15">
            <v>1316.6780000000001</v>
          </cell>
          <cell r="AF15">
            <v>190.94878388331583</v>
          </cell>
          <cell r="AG15">
            <v>38733</v>
          </cell>
          <cell r="AH15">
            <v>27424.798562</v>
          </cell>
          <cell r="AI15">
            <v>946.81799999999998</v>
          </cell>
          <cell r="AK15">
            <v>148.24045414329714</v>
          </cell>
          <cell r="AL15">
            <v>150.35706742595437</v>
          </cell>
          <cell r="AR15">
            <v>38744</v>
          </cell>
          <cell r="AS15">
            <v>33818.995424000001</v>
          </cell>
          <cell r="AT15">
            <v>1463.5940000000001</v>
          </cell>
          <cell r="AV15">
            <v>131.46480570421312</v>
          </cell>
          <cell r="AW15">
            <v>38737</v>
          </cell>
          <cell r="AX15">
            <v>26554.564769000001</v>
          </cell>
          <cell r="AY15">
            <v>1063.0630000000001</v>
          </cell>
          <cell r="BA15">
            <v>103.225736132869</v>
          </cell>
          <cell r="BB15">
            <v>102.98593061116543</v>
          </cell>
          <cell r="BC15">
            <v>189.8972390908429</v>
          </cell>
          <cell r="BD15">
            <v>252.40890193201278</v>
          </cell>
          <cell r="BM15">
            <v>38714</v>
          </cell>
          <cell r="BN15">
            <v>13588.147648</v>
          </cell>
          <cell r="BO15">
            <v>383.92599999999999</v>
          </cell>
        </row>
        <row r="16">
          <cell r="A16">
            <v>36770</v>
          </cell>
          <cell r="B16">
            <v>10092.841962</v>
          </cell>
          <cell r="C16">
            <v>308.8426</v>
          </cell>
          <cell r="D16">
            <v>480.54899999999998</v>
          </cell>
          <cell r="E16">
            <v>1138.367176</v>
          </cell>
          <cell r="F16">
            <v>118.00696499999999</v>
          </cell>
          <cell r="G16">
            <v>1256.374141</v>
          </cell>
          <cell r="M16">
            <v>50.567555526147032</v>
          </cell>
          <cell r="N16">
            <v>63.48339930255765</v>
          </cell>
          <cell r="R16">
            <v>57.702717923630011</v>
          </cell>
          <cell r="S16">
            <v>53.883475550273033</v>
          </cell>
          <cell r="AB16">
            <v>38735</v>
          </cell>
          <cell r="AC16">
            <v>33092.978501999998</v>
          </cell>
          <cell r="AD16">
            <v>1266.3710000000001</v>
          </cell>
          <cell r="AF16">
            <v>178.87891322156318</v>
          </cell>
          <cell r="AG16">
            <v>38734</v>
          </cell>
          <cell r="AH16">
            <v>35325.930184999997</v>
          </cell>
          <cell r="AI16">
            <v>1316.6780000000001</v>
          </cell>
          <cell r="AK16">
            <v>190.94878388331583</v>
          </cell>
          <cell r="AL16">
            <v>209.09176084978398</v>
          </cell>
          <cell r="AR16">
            <v>38751</v>
          </cell>
          <cell r="AS16">
            <v>32536.681721000001</v>
          </cell>
          <cell r="AT16">
            <v>1313.665</v>
          </cell>
          <cell r="AV16">
            <v>126.48005912309171</v>
          </cell>
          <cell r="AW16">
            <v>38744</v>
          </cell>
          <cell r="AX16">
            <v>33818.995424000001</v>
          </cell>
          <cell r="AY16">
            <v>1463.5940000000001</v>
          </cell>
          <cell r="BA16">
            <v>131.46480570421312</v>
          </cell>
          <cell r="BB16">
            <v>141.78801268308467</v>
          </cell>
          <cell r="BC16">
            <v>241.84670001975323</v>
          </cell>
          <cell r="BD16">
            <v>347.50918281821703</v>
          </cell>
          <cell r="BM16">
            <v>38715</v>
          </cell>
          <cell r="BN16">
            <v>17357.280767</v>
          </cell>
          <cell r="BO16">
            <v>502.815</v>
          </cell>
        </row>
        <row r="17">
          <cell r="A17">
            <v>36800</v>
          </cell>
          <cell r="B17">
            <v>8844.8233409999993</v>
          </cell>
          <cell r="C17">
            <v>476.34003999999999</v>
          </cell>
          <cell r="D17">
            <v>566.16399999999999</v>
          </cell>
          <cell r="E17">
            <v>1277.4876819999999</v>
          </cell>
          <cell r="F17">
            <v>123.740368</v>
          </cell>
          <cell r="G17">
            <v>1401.2280499999999</v>
          </cell>
          <cell r="M17">
            <v>51.353316224861146</v>
          </cell>
          <cell r="N17">
            <v>83.169662379601476</v>
          </cell>
          <cell r="R17">
            <v>50.567555526147032</v>
          </cell>
          <cell r="S17">
            <v>63.48339930255765</v>
          </cell>
          <cell r="AB17">
            <v>38736</v>
          </cell>
          <cell r="AC17">
            <v>32012.083991</v>
          </cell>
          <cell r="AD17">
            <v>1053.712</v>
          </cell>
          <cell r="AF17">
            <v>173.03630720097948</v>
          </cell>
          <cell r="AG17">
            <v>38735</v>
          </cell>
          <cell r="AH17">
            <v>33092.978501999998</v>
          </cell>
          <cell r="AI17">
            <v>1266.3710000000001</v>
          </cell>
          <cell r="AK17">
            <v>178.87891322156318</v>
          </cell>
          <cell r="AL17">
            <v>201.10288337703054</v>
          </cell>
          <cell r="AR17">
            <v>38758</v>
          </cell>
          <cell r="AS17">
            <v>32716.783931000002</v>
          </cell>
          <cell r="AT17">
            <v>1204.7629999999999</v>
          </cell>
          <cell r="AV17">
            <v>127.18017164115152</v>
          </cell>
          <cell r="AW17">
            <v>38751</v>
          </cell>
          <cell r="AX17">
            <v>32536.681721000001</v>
          </cell>
          <cell r="AY17">
            <v>1313.665</v>
          </cell>
          <cell r="BA17">
            <v>126.48005912309171</v>
          </cell>
          <cell r="BB17">
            <v>127.26340069809279</v>
          </cell>
          <cell r="BC17">
            <v>232.67660689390661</v>
          </cell>
          <cell r="BD17">
            <v>311.91071475210543</v>
          </cell>
          <cell r="BM17">
            <v>38716</v>
          </cell>
          <cell r="BN17">
            <v>18500.212186000001</v>
          </cell>
          <cell r="BO17">
            <v>629.71299999999997</v>
          </cell>
        </row>
        <row r="18">
          <cell r="A18">
            <v>36831</v>
          </cell>
          <cell r="B18">
            <v>8982.2615559999995</v>
          </cell>
          <cell r="C18">
            <v>256.92703999999998</v>
          </cell>
          <cell r="D18">
            <v>741.73199999999997</v>
          </cell>
          <cell r="E18">
            <v>1367.7777619999999</v>
          </cell>
          <cell r="F18">
            <v>115.616224</v>
          </cell>
          <cell r="G18">
            <v>1483.393986</v>
          </cell>
          <cell r="M18">
            <v>48.438590634821182</v>
          </cell>
          <cell r="N18">
            <v>61.628673626139516</v>
          </cell>
          <cell r="R18">
            <v>51.353316224861146</v>
          </cell>
          <cell r="S18">
            <v>83.169662379601476</v>
          </cell>
          <cell r="AB18">
            <v>38737</v>
          </cell>
          <cell r="AC18">
            <v>33527.020767000002</v>
          </cell>
          <cell r="AD18">
            <v>1074.9929999999999</v>
          </cell>
          <cell r="AF18">
            <v>181.22506071779821</v>
          </cell>
          <cell r="AG18">
            <v>38736</v>
          </cell>
          <cell r="AH18">
            <v>32012.083991</v>
          </cell>
          <cell r="AI18">
            <v>1053.712</v>
          </cell>
          <cell r="AK18">
            <v>173.03630720097948</v>
          </cell>
          <cell r="AL18">
            <v>167.33210208460045</v>
          </cell>
          <cell r="AR18">
            <v>38765</v>
          </cell>
          <cell r="AS18">
            <v>31042.754216000001</v>
          </cell>
          <cell r="AT18">
            <v>1008.965</v>
          </cell>
          <cell r="AV18">
            <v>120.67270480287355</v>
          </cell>
          <cell r="AW18">
            <v>38758</v>
          </cell>
          <cell r="AX18">
            <v>32716.783931000002</v>
          </cell>
          <cell r="AY18">
            <v>1204.7629999999999</v>
          </cell>
          <cell r="BA18">
            <v>127.18017164115152</v>
          </cell>
          <cell r="BB18">
            <v>116.71334504248523</v>
          </cell>
          <cell r="BC18">
            <v>233.96455541540098</v>
          </cell>
          <cell r="BD18">
            <v>286.05351321447313</v>
          </cell>
          <cell r="BM18">
            <v>38720</v>
          </cell>
          <cell r="BN18">
            <v>16834.993921000001</v>
          </cell>
          <cell r="BO18">
            <v>853.06600000000003</v>
          </cell>
          <cell r="BP18">
            <v>17307.315287299996</v>
          </cell>
          <cell r="BQ18">
            <v>570.96049999999991</v>
          </cell>
          <cell r="BR18">
            <v>100</v>
          </cell>
          <cell r="BS18">
            <v>100</v>
          </cell>
        </row>
        <row r="19">
          <cell r="A19">
            <v>36861</v>
          </cell>
          <cell r="B19">
            <v>8472.443894</v>
          </cell>
          <cell r="C19">
            <v>256.01053999999999</v>
          </cell>
          <cell r="D19">
            <v>549.62300000000005</v>
          </cell>
          <cell r="E19">
            <v>1227.586474</v>
          </cell>
          <cell r="F19">
            <v>114.28831599999999</v>
          </cell>
          <cell r="G19">
            <v>1341.8747899999998</v>
          </cell>
          <cell r="M19">
            <v>51.763356929740098</v>
          </cell>
          <cell r="N19">
            <v>67.144859446307024</v>
          </cell>
          <cell r="R19">
            <v>48.438590634821182</v>
          </cell>
          <cell r="S19">
            <v>61.628673626139516</v>
          </cell>
          <cell r="AB19">
            <v>38740</v>
          </cell>
          <cell r="AC19">
            <v>29008.105575000001</v>
          </cell>
          <cell r="AD19">
            <v>995.58500000000004</v>
          </cell>
          <cell r="AF19">
            <v>156.79877227003823</v>
          </cell>
          <cell r="AG19">
            <v>38737</v>
          </cell>
          <cell r="AH19">
            <v>33527.020767000002</v>
          </cell>
          <cell r="AI19">
            <v>1074.9929999999999</v>
          </cell>
          <cell r="AK19">
            <v>181.22506071779821</v>
          </cell>
          <cell r="AL19">
            <v>170.71157813162506</v>
          </cell>
          <cell r="AR19">
            <v>38772</v>
          </cell>
          <cell r="AS19">
            <v>32077.015296000001</v>
          </cell>
          <cell r="AT19">
            <v>1274.6579999999999</v>
          </cell>
          <cell r="AV19">
            <v>124.69319477381863</v>
          </cell>
          <cell r="AW19">
            <v>38765</v>
          </cell>
          <cell r="AX19">
            <v>31042.754216000001</v>
          </cell>
          <cell r="AY19">
            <v>1008.965</v>
          </cell>
          <cell r="BA19">
            <v>120.67270480287355</v>
          </cell>
          <cell r="BB19">
            <v>97.74510022368807</v>
          </cell>
          <cell r="BC19">
            <v>221.99321927037624</v>
          </cell>
          <cell r="BD19">
            <v>239.56411589701952</v>
          </cell>
          <cell r="BM19">
            <v>38721</v>
          </cell>
          <cell r="BN19">
            <v>34511.026442000002</v>
          </cell>
          <cell r="BO19">
            <v>1253.5360000000001</v>
          </cell>
          <cell r="BP19">
            <v>18586.544388400001</v>
          </cell>
          <cell r="BQ19">
            <v>630.68500000000006</v>
          </cell>
          <cell r="BR19">
            <v>107.39126247985264</v>
          </cell>
          <cell r="BS19">
            <v>110.46035583897662</v>
          </cell>
        </row>
        <row r="20">
          <cell r="A20">
            <v>36892</v>
          </cell>
          <cell r="B20">
            <v>9053.982199</v>
          </cell>
          <cell r="C20">
            <v>295.63636000000002</v>
          </cell>
          <cell r="D20">
            <v>598.81799999999998</v>
          </cell>
          <cell r="E20">
            <v>1345.58725</v>
          </cell>
          <cell r="F20">
            <v>116.37084</v>
          </cell>
          <cell r="G20">
            <v>1461.9580900000001</v>
          </cell>
          <cell r="M20">
            <v>51.886488596790535</v>
          </cell>
          <cell r="N20">
            <v>61.911126559994621</v>
          </cell>
          <cell r="R20">
            <v>51.763356929740098</v>
          </cell>
          <cell r="S20">
            <v>67.144859446307024</v>
          </cell>
          <cell r="AB20">
            <v>38741</v>
          </cell>
          <cell r="AC20">
            <v>23992.251092999999</v>
          </cell>
          <cell r="AD20">
            <v>1056.6869999999999</v>
          </cell>
          <cell r="AF20">
            <v>129.68635630652977</v>
          </cell>
          <cell r="AG20">
            <v>38740</v>
          </cell>
          <cell r="AH20">
            <v>29008.105575000001</v>
          </cell>
          <cell r="AI20">
            <v>995.58500000000004</v>
          </cell>
          <cell r="AK20">
            <v>156.79877227003823</v>
          </cell>
          <cell r="AL20">
            <v>158.1013890454858</v>
          </cell>
          <cell r="AR20">
            <v>38779</v>
          </cell>
          <cell r="AS20">
            <v>34542.733155000002</v>
          </cell>
          <cell r="AT20">
            <v>1102.4849999999999</v>
          </cell>
          <cell r="AV20">
            <v>134.27819619656353</v>
          </cell>
          <cell r="AW20">
            <v>38772</v>
          </cell>
          <cell r="AX20">
            <v>32077.015296000001</v>
          </cell>
          <cell r="AY20">
            <v>1274.6579999999999</v>
          </cell>
          <cell r="BA20">
            <v>124.69319477381863</v>
          </cell>
          <cell r="BB20">
            <v>123.48453510372093</v>
          </cell>
          <cell r="BC20">
            <v>229.38943627862466</v>
          </cell>
          <cell r="BD20">
            <v>302.64906794691893</v>
          </cell>
          <cell r="BM20">
            <v>38722</v>
          </cell>
          <cell r="BN20">
            <v>33052.776026</v>
          </cell>
          <cell r="BO20">
            <v>1392.6479999999999</v>
          </cell>
          <cell r="BP20">
            <v>19784.173718200003</v>
          </cell>
          <cell r="BQ20">
            <v>717.28219999999999</v>
          </cell>
          <cell r="BR20">
            <v>114.31104934407423</v>
          </cell>
          <cell r="BS20">
            <v>125.62728945347359</v>
          </cell>
        </row>
        <row r="21">
          <cell r="A21">
            <v>36923</v>
          </cell>
          <cell r="B21">
            <v>9075.5192860000006</v>
          </cell>
          <cell r="C21">
            <v>242.76356999999999</v>
          </cell>
          <cell r="D21">
            <v>552.14200000000005</v>
          </cell>
          <cell r="E21">
            <v>1436.3181500000001</v>
          </cell>
          <cell r="F21">
            <v>148.5187</v>
          </cell>
          <cell r="G21">
            <v>1584.8368500000001</v>
          </cell>
          <cell r="M21">
            <v>47.870176792317693</v>
          </cell>
          <cell r="N21">
            <v>63.63152170256663</v>
          </cell>
          <cell r="R21">
            <v>51.886488596790535</v>
          </cell>
          <cell r="S21">
            <v>61.911126559994621</v>
          </cell>
          <cell r="AB21">
            <v>38742</v>
          </cell>
          <cell r="AC21">
            <v>22448.631302000002</v>
          </cell>
          <cell r="AD21">
            <v>1120.5119999999999</v>
          </cell>
          <cell r="AF21">
            <v>121.34256124363785</v>
          </cell>
          <cell r="AG21">
            <v>38741</v>
          </cell>
          <cell r="AH21">
            <v>23992.251092999999</v>
          </cell>
          <cell r="AI21">
            <v>1056.6869999999999</v>
          </cell>
          <cell r="AK21">
            <v>129.68635630652977</v>
          </cell>
          <cell r="AL21">
            <v>167.8045395283248</v>
          </cell>
          <cell r="AR21">
            <v>38786</v>
          </cell>
          <cell r="AS21">
            <v>25111.106076</v>
          </cell>
          <cell r="AT21">
            <v>1052.7070000000001</v>
          </cell>
          <cell r="AV21">
            <v>97.61456956100109</v>
          </cell>
          <cell r="AW21">
            <v>38779</v>
          </cell>
          <cell r="AX21">
            <v>34542.733155000002</v>
          </cell>
          <cell r="AY21">
            <v>1102.4849999999999</v>
          </cell>
          <cell r="BA21">
            <v>134.27819619656353</v>
          </cell>
          <cell r="BB21">
            <v>106.80499999515615</v>
          </cell>
          <cell r="BC21">
            <v>247.022299700574</v>
          </cell>
          <cell r="BD21">
            <v>261.76908447243017</v>
          </cell>
          <cell r="BM21">
            <v>38723</v>
          </cell>
          <cell r="BN21">
            <v>27577.396508999998</v>
          </cell>
          <cell r="BO21">
            <v>1210.96</v>
          </cell>
          <cell r="BP21">
            <v>20755.902647400002</v>
          </cell>
          <cell r="BQ21">
            <v>786.47720000000004</v>
          </cell>
          <cell r="BR21">
            <v>119.925605461354</v>
          </cell>
          <cell r="BS21">
            <v>137.74634147195826</v>
          </cell>
        </row>
        <row r="22">
          <cell r="A22">
            <v>36951</v>
          </cell>
          <cell r="B22">
            <v>8373.0220420000005</v>
          </cell>
          <cell r="C22">
            <v>182.22210999999999</v>
          </cell>
          <cell r="D22">
            <v>567.48500000000001</v>
          </cell>
          <cell r="E22">
            <v>1748.4850449999999</v>
          </cell>
          <cell r="F22">
            <v>191.85856799999999</v>
          </cell>
          <cell r="G22">
            <v>1940.343613</v>
          </cell>
          <cell r="M22">
            <v>49.399206593305593</v>
          </cell>
          <cell r="N22">
            <v>55.959543859255689</v>
          </cell>
          <cell r="R22">
            <v>47.870176792317693</v>
          </cell>
          <cell r="S22">
            <v>63.63152170256663</v>
          </cell>
          <cell r="AB22">
            <v>38743</v>
          </cell>
          <cell r="AC22">
            <v>23796.815105999998</v>
          </cell>
          <cell r="AD22">
            <v>1067.5360000000001</v>
          </cell>
          <cell r="AF22">
            <v>128.62995768236752</v>
          </cell>
          <cell r="AG22">
            <v>38742</v>
          </cell>
          <cell r="AH22">
            <v>22448.631302000002</v>
          </cell>
          <cell r="AI22">
            <v>1120.5119999999999</v>
          </cell>
          <cell r="AK22">
            <v>121.34256124363785</v>
          </cell>
          <cell r="AL22">
            <v>177.94010922436095</v>
          </cell>
          <cell r="AR22">
            <v>38793</v>
          </cell>
          <cell r="AS22">
            <v>29514.888659</v>
          </cell>
          <cell r="AT22">
            <v>1452.4970000000001</v>
          </cell>
          <cell r="AV22">
            <v>114.73342286753191</v>
          </cell>
          <cell r="AW22">
            <v>38786</v>
          </cell>
          <cell r="AX22">
            <v>25111.106076</v>
          </cell>
          <cell r="AY22">
            <v>1052.7070000000001</v>
          </cell>
          <cell r="BA22">
            <v>97.61456956100109</v>
          </cell>
          <cell r="BB22">
            <v>101.98267652612134</v>
          </cell>
          <cell r="BC22">
            <v>179.57476448329922</v>
          </cell>
          <cell r="BD22">
            <v>249.95001982586484</v>
          </cell>
          <cell r="BM22">
            <v>38726</v>
          </cell>
          <cell r="BN22">
            <v>40824.134939000003</v>
          </cell>
          <cell r="BO22">
            <v>1099.1099999999999</v>
          </cell>
          <cell r="BP22">
            <v>22851.527176000003</v>
          </cell>
          <cell r="BQ22">
            <v>840.87890000000004</v>
          </cell>
          <cell r="BR22">
            <v>132.03392205357417</v>
          </cell>
          <cell r="BS22">
            <v>147.27444367867832</v>
          </cell>
        </row>
        <row r="23">
          <cell r="A23">
            <v>36982</v>
          </cell>
          <cell r="B23">
            <v>8640.4662229999994</v>
          </cell>
          <cell r="C23">
            <v>213.99698000000001</v>
          </cell>
          <cell r="D23">
            <v>499.06400000000002</v>
          </cell>
          <cell r="E23">
            <v>1790.915778</v>
          </cell>
          <cell r="F23">
            <v>245.020456</v>
          </cell>
          <cell r="G23">
            <v>2035.936234</v>
          </cell>
          <cell r="M23">
            <v>55.088180625269281</v>
          </cell>
          <cell r="N23">
            <v>54.246997746207235</v>
          </cell>
          <cell r="R23">
            <v>49.399206593305593</v>
          </cell>
          <cell r="S23">
            <v>55.959543859255689</v>
          </cell>
          <cell r="AB23">
            <v>38744</v>
          </cell>
          <cell r="AC23">
            <v>34187.514920000001</v>
          </cell>
          <cell r="AD23">
            <v>1445.89</v>
          </cell>
          <cell r="AF23">
            <v>184.7952584342321</v>
          </cell>
          <cell r="AG23">
            <v>38743</v>
          </cell>
          <cell r="AH23">
            <v>23796.815105999998</v>
          </cell>
          <cell r="AI23">
            <v>1067.5360000000001</v>
          </cell>
          <cell r="AK23">
            <v>128.62995768236752</v>
          </cell>
          <cell r="AL23">
            <v>169.52738787352334</v>
          </cell>
          <cell r="AR23">
            <v>38800</v>
          </cell>
          <cell r="AS23">
            <v>31192.362731000001</v>
          </cell>
          <cell r="AT23">
            <v>1268.268</v>
          </cell>
          <cell r="AV23">
            <v>121.25427897767038</v>
          </cell>
          <cell r="AW23">
            <v>38793</v>
          </cell>
          <cell r="AX23">
            <v>29514.888659</v>
          </cell>
          <cell r="AY23">
            <v>1452.4970000000001</v>
          </cell>
          <cell r="BA23">
            <v>114.73342286753191</v>
          </cell>
          <cell r="BB23">
            <v>140.71297303633551</v>
          </cell>
          <cell r="BC23">
            <v>211.06713354838379</v>
          </cell>
          <cell r="BD23">
            <v>344.87436100169299</v>
          </cell>
          <cell r="BM23">
            <v>38728</v>
          </cell>
          <cell r="BN23">
            <v>31155.661962999999</v>
          </cell>
          <cell r="BO23">
            <v>1458.046</v>
          </cell>
          <cell r="BP23">
            <v>24440.715118700002</v>
          </cell>
          <cell r="BQ23">
            <v>926.99570000000006</v>
          </cell>
          <cell r="BR23">
            <v>141.21609685260921</v>
          </cell>
          <cell r="BS23">
            <v>162.35723837288222</v>
          </cell>
        </row>
        <row r="24">
          <cell r="A24">
            <v>37012</v>
          </cell>
          <cell r="B24">
            <v>9635.5305439999993</v>
          </cell>
          <cell r="C24">
            <v>224.84960000000001</v>
          </cell>
          <cell r="D24">
            <v>483.791</v>
          </cell>
          <cell r="E24">
            <v>1660.254455</v>
          </cell>
          <cell r="F24">
            <v>230.587895</v>
          </cell>
          <cell r="G24">
            <v>1890.8423499999999</v>
          </cell>
          <cell r="M24">
            <v>61.089783702194836</v>
          </cell>
          <cell r="N24">
            <v>79.446643418588735</v>
          </cell>
          <cell r="R24">
            <v>55.088180625269281</v>
          </cell>
          <cell r="S24">
            <v>54.246997746207235</v>
          </cell>
          <cell r="AB24">
            <v>38749</v>
          </cell>
          <cell r="AC24">
            <v>34267.996288000002</v>
          </cell>
          <cell r="AD24">
            <v>1469.9970000000001</v>
          </cell>
          <cell r="AF24">
            <v>185.23028786627776</v>
          </cell>
          <cell r="AG24">
            <v>38744</v>
          </cell>
          <cell r="AH24">
            <v>34187.514920000001</v>
          </cell>
          <cell r="AI24">
            <v>1445.89</v>
          </cell>
          <cell r="AK24">
            <v>184.7952584342321</v>
          </cell>
          <cell r="AL24">
            <v>229.61094975012429</v>
          </cell>
          <cell r="AR24">
            <v>38807</v>
          </cell>
          <cell r="AS24">
            <v>35753.291340999996</v>
          </cell>
          <cell r="AT24">
            <v>1354.0260000000001</v>
          </cell>
          <cell r="AV24">
            <v>138.98400707949693</v>
          </cell>
          <cell r="AW24">
            <v>38800</v>
          </cell>
          <cell r="AX24">
            <v>31192.362731000001</v>
          </cell>
          <cell r="AY24">
            <v>1268.268</v>
          </cell>
          <cell r="BA24">
            <v>121.25427897767038</v>
          </cell>
          <cell r="BB24">
            <v>122.86549362019142</v>
          </cell>
          <cell r="BC24">
            <v>223.06310100973531</v>
          </cell>
          <cell r="BD24">
            <v>301.13185505986939</v>
          </cell>
          <cell r="BM24">
            <v>38729</v>
          </cell>
          <cell r="BN24">
            <v>31382.211758000001</v>
          </cell>
          <cell r="BO24">
            <v>1160.721</v>
          </cell>
          <cell r="BP24">
            <v>26478.384215899998</v>
          </cell>
          <cell r="BQ24">
            <v>994.45409999999993</v>
          </cell>
          <cell r="BR24">
            <v>152.98955254677585</v>
          </cell>
          <cell r="BS24">
            <v>174.17213625110671</v>
          </cell>
        </row>
        <row r="25">
          <cell r="A25">
            <v>37043</v>
          </cell>
          <cell r="B25">
            <v>10685.277134</v>
          </cell>
          <cell r="C25">
            <v>206.03317000000001</v>
          </cell>
          <cell r="D25">
            <v>708.529</v>
          </cell>
          <cell r="E25">
            <v>2002.2632000000001</v>
          </cell>
          <cell r="F25">
            <v>292.47613000000001</v>
          </cell>
          <cell r="G25">
            <v>2294.7393300000003</v>
          </cell>
          <cell r="M25">
            <v>39.226045066606346</v>
          </cell>
          <cell r="N25">
            <v>48.548378054113449</v>
          </cell>
          <cell r="R25">
            <v>61.089783702194836</v>
          </cell>
          <cell r="S25">
            <v>79.446643418588735</v>
          </cell>
          <cell r="AB25">
            <v>38750</v>
          </cell>
          <cell r="AC25">
            <v>33001.475062999998</v>
          </cell>
          <cell r="AD25">
            <v>1474.895</v>
          </cell>
          <cell r="AF25">
            <v>178.38430571068693</v>
          </cell>
          <cell r="AG25">
            <v>38749</v>
          </cell>
          <cell r="AH25">
            <v>34267.996288000002</v>
          </cell>
          <cell r="AI25">
            <v>1469.9970000000001</v>
          </cell>
          <cell r="AK25">
            <v>185.23028786627776</v>
          </cell>
          <cell r="AL25">
            <v>233.43920166806149</v>
          </cell>
          <cell r="AR25">
            <v>38814</v>
          </cell>
          <cell r="AS25">
            <v>33194.259305</v>
          </cell>
          <cell r="AT25">
            <v>1293.1130000000001</v>
          </cell>
          <cell r="AV25">
            <v>129.03626483624714</v>
          </cell>
          <cell r="AW25">
            <v>38807</v>
          </cell>
          <cell r="AX25">
            <v>35753.291340999996</v>
          </cell>
          <cell r="AY25">
            <v>1354.0260000000001</v>
          </cell>
          <cell r="BA25">
            <v>138.98400707949693</v>
          </cell>
          <cell r="BB25">
            <v>131.17343721088389</v>
          </cell>
          <cell r="BC25">
            <v>255.67925413684418</v>
          </cell>
          <cell r="BD25">
            <v>321.49384923320207</v>
          </cell>
          <cell r="BM25">
            <v>38730</v>
          </cell>
          <cell r="BN25">
            <v>27724.138397999999</v>
          </cell>
          <cell r="BO25">
            <v>1038.3720000000001</v>
          </cell>
          <cell r="BP25">
            <v>27891.9832909</v>
          </cell>
          <cell r="BQ25">
            <v>1059.8987</v>
          </cell>
          <cell r="BR25">
            <v>161.15719178795436</v>
          </cell>
          <cell r="BS25">
            <v>185.6343302207421</v>
          </cell>
        </row>
        <row r="26">
          <cell r="A26">
            <v>37073</v>
          </cell>
          <cell r="B26">
            <v>6861.0680380000003</v>
          </cell>
          <cell r="C26">
            <v>468.27503000000002</v>
          </cell>
          <cell r="D26">
            <v>432.96899999999999</v>
          </cell>
          <cell r="E26">
            <v>1672.479182</v>
          </cell>
          <cell r="F26">
            <v>198.480268</v>
          </cell>
          <cell r="G26">
            <v>1870.9594500000001</v>
          </cell>
          <cell r="M26">
            <v>35.849836116077917</v>
          </cell>
          <cell r="N26">
            <v>44.846439343821132</v>
          </cell>
          <cell r="R26">
            <v>39.226045066606346</v>
          </cell>
          <cell r="S26">
            <v>48.548378054113449</v>
          </cell>
          <cell r="AB26">
            <v>38751</v>
          </cell>
          <cell r="AC26">
            <v>32133.988211</v>
          </cell>
          <cell r="AD26">
            <v>1282.6079999999999</v>
          </cell>
          <cell r="AF26">
            <v>173.69524137305481</v>
          </cell>
          <cell r="AG26">
            <v>38750</v>
          </cell>
          <cell r="AH26">
            <v>33001.475062999998</v>
          </cell>
          <cell r="AI26">
            <v>1474.895</v>
          </cell>
          <cell r="AK26">
            <v>178.38430571068693</v>
          </cell>
          <cell r="AL26">
            <v>234.21701632330917</v>
          </cell>
          <cell r="AR26">
            <v>38821</v>
          </cell>
          <cell r="AS26">
            <v>40867.172943999998</v>
          </cell>
          <cell r="AT26">
            <v>1544.3019999999999</v>
          </cell>
          <cell r="AV26">
            <v>158.86323302645229</v>
          </cell>
          <cell r="AW26">
            <v>38814</v>
          </cell>
          <cell r="AX26">
            <v>33194.259305</v>
          </cell>
          <cell r="AY26">
            <v>1293.1130000000001</v>
          </cell>
          <cell r="BA26">
            <v>129.03626483624714</v>
          </cell>
          <cell r="BB26">
            <v>125.27239278424322</v>
          </cell>
          <cell r="BC26">
            <v>237.37908154472086</v>
          </cell>
          <cell r="BD26">
            <v>307.03094022086253</v>
          </cell>
          <cell r="BM26">
            <v>38733</v>
          </cell>
          <cell r="BN26">
            <v>27424.798562</v>
          </cell>
          <cell r="BO26">
            <v>946.81799999999998</v>
          </cell>
          <cell r="BP26">
            <v>28898.735070399998</v>
          </cell>
          <cell r="BQ26">
            <v>1104.2989999999998</v>
          </cell>
          <cell r="BR26">
            <v>166.97410655947152</v>
          </cell>
          <cell r="BS26">
            <v>193.41075258270931</v>
          </cell>
        </row>
        <row r="27">
          <cell r="A27">
            <v>37104</v>
          </cell>
          <cell r="B27">
            <v>6270.5318450000004</v>
          </cell>
          <cell r="C27">
            <v>414.68434999999999</v>
          </cell>
          <cell r="D27">
            <v>399.95400000000001</v>
          </cell>
          <cell r="E27">
            <v>1632.6483909999999</v>
          </cell>
          <cell r="F27">
            <v>166.733113</v>
          </cell>
          <cell r="G27">
            <v>1799.3815039999999</v>
          </cell>
          <cell r="M27">
            <v>39.222172863744916</v>
          </cell>
          <cell r="N27">
            <v>64.266171804043367</v>
          </cell>
          <cell r="R27">
            <v>35.849836116077917</v>
          </cell>
          <cell r="S27">
            <v>44.846439343821132</v>
          </cell>
          <cell r="AB27">
            <v>38754</v>
          </cell>
          <cell r="AC27">
            <v>31252.744977999999</v>
          </cell>
          <cell r="AD27">
            <v>1263.8240000000001</v>
          </cell>
          <cell r="AF27">
            <v>168.93181907205613</v>
          </cell>
          <cell r="AG27">
            <v>38751</v>
          </cell>
          <cell r="AH27">
            <v>32133.988211</v>
          </cell>
          <cell r="AI27">
            <v>1282.6079999999999</v>
          </cell>
          <cell r="AK27">
            <v>173.69524137305481</v>
          </cell>
          <cell r="AL27">
            <v>203.6813596035019</v>
          </cell>
          <cell r="AR27">
            <v>38828</v>
          </cell>
          <cell r="AS27">
            <v>37123.353475000004</v>
          </cell>
          <cell r="AT27">
            <v>1273.0360000000001</v>
          </cell>
          <cell r="AV27">
            <v>144.30985871970236</v>
          </cell>
          <cell r="AW27">
            <v>38821</v>
          </cell>
          <cell r="AX27">
            <v>40867.172943999998</v>
          </cell>
          <cell r="AY27">
            <v>1544.3019999999999</v>
          </cell>
          <cell r="BA27">
            <v>158.86323302645229</v>
          </cell>
          <cell r="BB27">
            <v>149.60672943624598</v>
          </cell>
          <cell r="BC27">
            <v>292.24968961168344</v>
          </cell>
          <cell r="BD27">
            <v>366.67212768331802</v>
          </cell>
          <cell r="BM27">
            <v>38734</v>
          </cell>
          <cell r="BN27">
            <v>35325.930184999997</v>
          </cell>
          <cell r="BO27">
            <v>1316.6780000000001</v>
          </cell>
          <cell r="BP27">
            <v>30581.306870299995</v>
          </cell>
          <cell r="BQ27">
            <v>1172.9954999999998</v>
          </cell>
          <cell r="BR27">
            <v>176.69584428695521</v>
          </cell>
          <cell r="BS27">
            <v>205.4424955841954</v>
          </cell>
        </row>
        <row r="28">
          <cell r="A28">
            <v>37135</v>
          </cell>
          <cell r="B28">
            <v>6860.3907470000004</v>
          </cell>
          <cell r="C28">
            <v>501.60392000000002</v>
          </cell>
          <cell r="D28">
            <v>573.14499999999998</v>
          </cell>
          <cell r="E28">
            <v>1983.4087890000001</v>
          </cell>
          <cell r="F28">
            <v>246.801737</v>
          </cell>
          <cell r="G28">
            <v>2230.2105259999998</v>
          </cell>
          <cell r="M28">
            <v>39.903145746889585</v>
          </cell>
          <cell r="N28">
            <v>40.496507181862015</v>
          </cell>
          <cell r="R28">
            <v>39.222172863744916</v>
          </cell>
          <cell r="S28">
            <v>64.266171804043367</v>
          </cell>
          <cell r="AB28">
            <v>38755</v>
          </cell>
          <cell r="AC28">
            <v>34428.94569</v>
          </cell>
          <cell r="AD28">
            <v>1247.2280000000001</v>
          </cell>
          <cell r="AF28">
            <v>186.10027465552011</v>
          </cell>
          <cell r="AG28">
            <v>38754</v>
          </cell>
          <cell r="AH28">
            <v>31252.744977999999</v>
          </cell>
          <cell r="AI28">
            <v>1263.8240000000001</v>
          </cell>
          <cell r="AK28">
            <v>168.93181907205613</v>
          </cell>
          <cell r="AL28">
            <v>200.69841340420163</v>
          </cell>
          <cell r="AR28">
            <v>38835</v>
          </cell>
          <cell r="AS28">
            <v>40498.296928999996</v>
          </cell>
          <cell r="AT28">
            <v>1650.231</v>
          </cell>
          <cell r="AV28">
            <v>157.42929884144971</v>
          </cell>
          <cell r="AW28">
            <v>38828</v>
          </cell>
          <cell r="AX28">
            <v>37123.353475000004</v>
          </cell>
          <cell r="AY28">
            <v>1273.0360000000001</v>
          </cell>
          <cell r="BA28">
            <v>144.30985871970236</v>
          </cell>
          <cell r="BB28">
            <v>123.32740125610202</v>
          </cell>
          <cell r="BC28">
            <v>265.47685462070655</v>
          </cell>
          <cell r="BD28">
            <v>302.26394755524535</v>
          </cell>
          <cell r="BM28">
            <v>38735</v>
          </cell>
          <cell r="BN28">
            <v>33092.978501999998</v>
          </cell>
          <cell r="BO28">
            <v>1266.3710000000001</v>
          </cell>
          <cell r="BP28">
            <v>32207.105328399997</v>
          </cell>
          <cell r="BQ28">
            <v>1214.3259999999998</v>
          </cell>
          <cell r="BR28">
            <v>186.08955111618829</v>
          </cell>
          <cell r="BS28">
            <v>212.6812625391774</v>
          </cell>
        </row>
        <row r="29">
          <cell r="A29">
            <v>37165</v>
          </cell>
          <cell r="B29">
            <v>6979.5004170000002</v>
          </cell>
          <cell r="C29">
            <v>263.79590999999999</v>
          </cell>
          <cell r="D29">
            <v>361.16</v>
          </cell>
          <cell r="E29">
            <v>1568.7535</v>
          </cell>
          <cell r="F29">
            <v>210.15432699999999</v>
          </cell>
          <cell r="G29">
            <v>1778.907827</v>
          </cell>
          <cell r="M29">
            <v>41.609713605831928</v>
          </cell>
          <cell r="N29">
            <v>59.618873552134367</v>
          </cell>
          <cell r="R29">
            <v>39.903145746889585</v>
          </cell>
          <cell r="S29">
            <v>40.496507181862015</v>
          </cell>
          <cell r="AB29">
            <v>38756</v>
          </cell>
          <cell r="AC29">
            <v>34782.585825000002</v>
          </cell>
          <cell r="AD29">
            <v>1408.038</v>
          </cell>
          <cell r="AF29">
            <v>188.01182102831044</v>
          </cell>
          <cell r="AG29">
            <v>38755</v>
          </cell>
          <cell r="AH29">
            <v>34428.94569</v>
          </cell>
          <cell r="AI29">
            <v>1247.2280000000001</v>
          </cell>
          <cell r="AK29">
            <v>186.10027465552011</v>
          </cell>
          <cell r="AL29">
            <v>198.06292707947907</v>
          </cell>
          <cell r="AR29">
            <v>38842</v>
          </cell>
          <cell r="AS29">
            <v>40422.963279000003</v>
          </cell>
          <cell r="AT29">
            <v>1295.9659999999999</v>
          </cell>
          <cell r="AV29">
            <v>157.13645384306722</v>
          </cell>
          <cell r="AW29">
            <v>38835</v>
          </cell>
          <cell r="AX29">
            <v>40498.296928999996</v>
          </cell>
          <cell r="AY29">
            <v>1650.231</v>
          </cell>
          <cell r="BA29">
            <v>157.42929884144971</v>
          </cell>
          <cell r="BB29">
            <v>159.86877095561988</v>
          </cell>
          <cell r="BC29">
            <v>289.61178018162161</v>
          </cell>
          <cell r="BD29">
            <v>391.82343345988647</v>
          </cell>
          <cell r="BM29">
            <v>38736</v>
          </cell>
          <cell r="BN29">
            <v>32012.083991</v>
          </cell>
          <cell r="BO29">
            <v>1053.712</v>
          </cell>
          <cell r="BP29">
            <v>31957.211083300004</v>
          </cell>
          <cell r="BQ29">
            <v>1194.3436000000002</v>
          </cell>
          <cell r="BR29">
            <v>184.64568624776837</v>
          </cell>
          <cell r="BS29">
            <v>209.18147577634537</v>
          </cell>
        </row>
        <row r="30">
          <cell r="A30">
            <v>37196</v>
          </cell>
          <cell r="B30">
            <v>7277.9979629999998</v>
          </cell>
          <cell r="C30">
            <v>430.52136999999999</v>
          </cell>
          <cell r="D30">
            <v>531.69899999999996</v>
          </cell>
          <cell r="E30">
            <v>1771.1612</v>
          </cell>
          <cell r="F30">
            <v>240.469145</v>
          </cell>
          <cell r="G30">
            <v>2011.630345</v>
          </cell>
          <cell r="M30">
            <v>36.675670198988705</v>
          </cell>
          <cell r="N30">
            <v>63.8931186436877</v>
          </cell>
          <cell r="R30">
            <v>41.609713605831928</v>
          </cell>
          <cell r="S30">
            <v>59.618873552134367</v>
          </cell>
          <cell r="AB30">
            <v>38757</v>
          </cell>
          <cell r="AC30">
            <v>30085.143902</v>
          </cell>
          <cell r="AD30">
            <v>1366.626</v>
          </cell>
          <cell r="AF30">
            <v>162.62053429185463</v>
          </cell>
          <cell r="AG30">
            <v>38756</v>
          </cell>
          <cell r="AH30">
            <v>34782.585825000002</v>
          </cell>
          <cell r="AI30">
            <v>1408.038</v>
          </cell>
          <cell r="AK30">
            <v>188.01182102831044</v>
          </cell>
          <cell r="AL30">
            <v>223.59995744092944</v>
          </cell>
          <cell r="AR30">
            <v>38849</v>
          </cell>
          <cell r="AS30">
            <v>37855.825341000003</v>
          </cell>
          <cell r="AT30">
            <v>1747.597</v>
          </cell>
          <cell r="AV30">
            <v>147.15720147309347</v>
          </cell>
          <cell r="AW30">
            <v>38842</v>
          </cell>
          <cell r="AX30">
            <v>40422.963279000003</v>
          </cell>
          <cell r="AY30">
            <v>1295.9659999999999</v>
          </cell>
          <cell r="BA30">
            <v>157.13645384306722</v>
          </cell>
          <cell r="BB30">
            <v>125.54878172829793</v>
          </cell>
          <cell r="BC30">
            <v>289.07305351560086</v>
          </cell>
          <cell r="BD30">
            <v>307.70834372113677</v>
          </cell>
          <cell r="BM30">
            <v>38737</v>
          </cell>
          <cell r="BN30">
            <v>33527.020767000002</v>
          </cell>
          <cell r="BO30">
            <v>1074.9929999999999</v>
          </cell>
          <cell r="BP30">
            <v>32004.635557399997</v>
          </cell>
          <cell r="BQ30">
            <v>1162.5781000000002</v>
          </cell>
          <cell r="BR30">
            <v>184.91970028930371</v>
          </cell>
          <cell r="BS30">
            <v>203.61795605825628</v>
          </cell>
        </row>
        <row r="31">
          <cell r="A31">
            <v>37226</v>
          </cell>
          <cell r="B31">
            <v>6414.9793369999998</v>
          </cell>
          <cell r="C31">
            <v>596.84752000000003</v>
          </cell>
          <cell r="D31">
            <v>569.81799999999998</v>
          </cell>
          <cell r="E31">
            <v>1612.850263</v>
          </cell>
          <cell r="F31">
            <v>230.086105</v>
          </cell>
          <cell r="G31">
            <v>1842.9363680000001</v>
          </cell>
          <cell r="M31">
            <v>39.468506216299367</v>
          </cell>
          <cell r="N31">
            <v>89.896168552302569</v>
          </cell>
          <cell r="R31">
            <v>36.675670198988705</v>
          </cell>
          <cell r="S31">
            <v>63.8931186436877</v>
          </cell>
          <cell r="AB31">
            <v>38758</v>
          </cell>
          <cell r="AC31">
            <v>29979.590316000002</v>
          </cell>
          <cell r="AD31">
            <v>1258.373</v>
          </cell>
          <cell r="AF31">
            <v>162.04998091150003</v>
          </cell>
          <cell r="AG31">
            <v>38757</v>
          </cell>
          <cell r="AH31">
            <v>30085.143902</v>
          </cell>
          <cell r="AI31">
            <v>1366.626</v>
          </cell>
          <cell r="AK31">
            <v>162.62053429185463</v>
          </cell>
          <cell r="AL31">
            <v>217.02362822428628</v>
          </cell>
          <cell r="AR31">
            <v>38856</v>
          </cell>
          <cell r="AS31">
            <v>35291.756974999997</v>
          </cell>
          <cell r="AT31">
            <v>1464.9069999999999</v>
          </cell>
          <cell r="AV31">
            <v>137.18988147075848</v>
          </cell>
          <cell r="AW31">
            <v>38849</v>
          </cell>
          <cell r="AX31">
            <v>37855.825341000003</v>
          </cell>
          <cell r="AY31">
            <v>1747.597</v>
          </cell>
          <cell r="BA31">
            <v>147.15720147309347</v>
          </cell>
          <cell r="BB31">
            <v>169.30125813642357</v>
          </cell>
          <cell r="BC31">
            <v>270.71491392520318</v>
          </cell>
          <cell r="BD31">
            <v>414.9415789936059</v>
          </cell>
          <cell r="BM31">
            <v>38740</v>
          </cell>
          <cell r="BN31">
            <v>29008.105575000001</v>
          </cell>
          <cell r="BO31">
            <v>995.58500000000004</v>
          </cell>
          <cell r="BP31">
            <v>32147.706463999999</v>
          </cell>
          <cell r="BQ31">
            <v>1141.0405999999998</v>
          </cell>
          <cell r="BR31">
            <v>185.7463502013498</v>
          </cell>
          <cell r="BS31">
            <v>199.84580369395078</v>
          </cell>
        </row>
        <row r="32">
          <cell r="A32">
            <v>37257</v>
          </cell>
          <cell r="B32">
            <v>6903.4771680000003</v>
          </cell>
          <cell r="C32">
            <v>599.83195000000001</v>
          </cell>
          <cell r="D32">
            <v>801.721</v>
          </cell>
          <cell r="E32">
            <v>1703.7327620000001</v>
          </cell>
          <cell r="F32">
            <v>276.682276</v>
          </cell>
          <cell r="G32">
            <v>1980.4150380000001</v>
          </cell>
          <cell r="M32">
            <v>37.053978217111933</v>
          </cell>
          <cell r="N32">
            <v>70.718971104358445</v>
          </cell>
          <cell r="R32">
            <v>39.468506216299367</v>
          </cell>
          <cell r="S32">
            <v>89.896168552302569</v>
          </cell>
          <cell r="AB32">
            <v>38761</v>
          </cell>
          <cell r="AC32">
            <v>31709.561752000001</v>
          </cell>
          <cell r="AD32">
            <v>1096.7550000000001</v>
          </cell>
          <cell r="AF32">
            <v>171.40107061040172</v>
          </cell>
          <cell r="AG32">
            <v>38758</v>
          </cell>
          <cell r="AH32">
            <v>29979.590316000002</v>
          </cell>
          <cell r="AI32">
            <v>1258.373</v>
          </cell>
          <cell r="AK32">
            <v>162.04998091150003</v>
          </cell>
          <cell r="AL32">
            <v>199.83278096529691</v>
          </cell>
          <cell r="AR32">
            <v>38863</v>
          </cell>
          <cell r="AS32">
            <v>32690.857243999999</v>
          </cell>
          <cell r="AT32">
            <v>1144.769</v>
          </cell>
          <cell r="AU32">
            <v>36565.350709749997</v>
          </cell>
          <cell r="AV32">
            <v>127.07938665844351</v>
          </cell>
          <cell r="AW32">
            <v>38856</v>
          </cell>
          <cell r="AX32">
            <v>35291.756974999997</v>
          </cell>
          <cell r="AY32">
            <v>1464.9069999999999</v>
          </cell>
          <cell r="BA32">
            <v>137.18988147075848</v>
          </cell>
          <cell r="BB32">
            <v>141.91521166084274</v>
          </cell>
          <cell r="BC32">
            <v>252.37872548531607</v>
          </cell>
          <cell r="BD32">
            <v>347.82093563835724</v>
          </cell>
          <cell r="BM32">
            <v>38741</v>
          </cell>
          <cell r="BN32">
            <v>23992.251092999999</v>
          </cell>
          <cell r="BO32">
            <v>1056.6869999999999</v>
          </cell>
          <cell r="BP32">
            <v>30464.518079399997</v>
          </cell>
          <cell r="BQ32">
            <v>1136.7983000000002</v>
          </cell>
          <cell r="BR32">
            <v>176.02104990688346</v>
          </cell>
          <cell r="BS32">
            <v>199.10279257496802</v>
          </cell>
        </row>
        <row r="33">
          <cell r="A33">
            <v>37288</v>
          </cell>
          <cell r="B33">
            <v>6481.1495830000003</v>
          </cell>
          <cell r="C33">
            <v>683.27236000000005</v>
          </cell>
          <cell r="D33">
            <v>630.69299999999998</v>
          </cell>
          <cell r="E33">
            <v>2143.3026500000001</v>
          </cell>
          <cell r="F33">
            <v>312.99847</v>
          </cell>
          <cell r="G33">
            <v>2456.3011200000001</v>
          </cell>
          <cell r="M33">
            <v>40.75500243648554</v>
          </cell>
          <cell r="N33">
            <v>77.817969792449233</v>
          </cell>
          <cell r="R33">
            <v>37.053978217111933</v>
          </cell>
          <cell r="S33">
            <v>70.718971104358445</v>
          </cell>
          <cell r="AB33">
            <v>38762</v>
          </cell>
          <cell r="AC33">
            <v>33435.298972999997</v>
          </cell>
          <cell r="AD33">
            <v>1224.923</v>
          </cell>
          <cell r="AF33">
            <v>180.72927292316189</v>
          </cell>
          <cell r="AG33">
            <v>38761</v>
          </cell>
          <cell r="AH33">
            <v>31709.561752000001</v>
          </cell>
          <cell r="AI33">
            <v>1096.7550000000001</v>
          </cell>
          <cell r="AK33">
            <v>171.40107061040172</v>
          </cell>
          <cell r="AL33">
            <v>174.16743818215602</v>
          </cell>
          <cell r="AR33">
            <v>38870</v>
          </cell>
          <cell r="AS33">
            <v>34900.351928999997</v>
          </cell>
          <cell r="AT33">
            <v>1068.4839999999999</v>
          </cell>
          <cell r="AU33">
            <v>0.84543082899660238</v>
          </cell>
          <cell r="AV33">
            <v>135.6683700338007</v>
          </cell>
          <cell r="AW33">
            <v>38863</v>
          </cell>
          <cell r="AX33">
            <v>32690.857243999999</v>
          </cell>
          <cell r="AY33">
            <v>1144.769</v>
          </cell>
          <cell r="AZ33">
            <v>36565.350709749997</v>
          </cell>
          <cell r="BA33">
            <v>127.07938665844351</v>
          </cell>
          <cell r="BB33">
            <v>110.90133021261508</v>
          </cell>
          <cell r="BC33">
            <v>233.77914826138047</v>
          </cell>
          <cell r="BD33">
            <v>271.80880743268114</v>
          </cell>
          <cell r="BM33">
            <v>38742</v>
          </cell>
          <cell r="BN33">
            <v>22448.631302000002</v>
          </cell>
          <cell r="BO33">
            <v>1120.5119999999999</v>
          </cell>
          <cell r="BP33">
            <v>29593.815013299998</v>
          </cell>
          <cell r="BQ33">
            <v>1103.0449000000001</v>
          </cell>
          <cell r="BR33">
            <v>170.99021149176014</v>
          </cell>
          <cell r="BS33">
            <v>193.19110516401753</v>
          </cell>
        </row>
        <row r="34">
          <cell r="A34">
            <v>37316</v>
          </cell>
          <cell r="B34">
            <v>7128.4995500000005</v>
          </cell>
          <cell r="C34">
            <v>625.03489999999999</v>
          </cell>
          <cell r="D34">
            <v>694.00400000000002</v>
          </cell>
          <cell r="E34">
            <v>2008.3542500000001</v>
          </cell>
          <cell r="F34">
            <v>285.410055</v>
          </cell>
          <cell r="G34">
            <v>2293.7643050000001</v>
          </cell>
          <cell r="M34">
            <v>41.62121085087626</v>
          </cell>
          <cell r="N34">
            <v>57.69350661000415</v>
          </cell>
          <cell r="R34">
            <v>40.75500243648554</v>
          </cell>
          <cell r="S34">
            <v>77.817969792449233</v>
          </cell>
          <cell r="AB34">
            <v>38763</v>
          </cell>
          <cell r="AC34">
            <v>36629.335318999998</v>
          </cell>
          <cell r="AD34">
            <v>1362.6320000000001</v>
          </cell>
          <cell r="AF34">
            <v>197.99413623330858</v>
          </cell>
          <cell r="AG34">
            <v>38762</v>
          </cell>
          <cell r="AH34">
            <v>33435.298972999997</v>
          </cell>
          <cell r="AI34">
            <v>1224.923</v>
          </cell>
          <cell r="AK34">
            <v>180.72927292316189</v>
          </cell>
          <cell r="AL34">
            <v>194.52083727031203</v>
          </cell>
          <cell r="AR34">
            <v>38877</v>
          </cell>
          <cell r="AS34">
            <v>30389.853794999999</v>
          </cell>
          <cell r="AT34">
            <v>919.77800000000002</v>
          </cell>
          <cell r="AU34">
            <v>0.27079386658443516</v>
          </cell>
          <cell r="AV34">
            <v>118.13468065653679</v>
          </cell>
          <cell r="AW34">
            <v>38870</v>
          </cell>
          <cell r="AX34">
            <v>34900.351928999997</v>
          </cell>
          <cell r="AY34">
            <v>1068.4839999999999</v>
          </cell>
          <cell r="AZ34">
            <v>0.84543082899660238</v>
          </cell>
          <cell r="BA34">
            <v>135.6683700338007</v>
          </cell>
          <cell r="BB34">
            <v>103.51109866784984</v>
          </cell>
          <cell r="BC34">
            <v>249.57970624895515</v>
          </cell>
          <cell r="BD34">
            <v>253.69603981318573</v>
          </cell>
          <cell r="BM34">
            <v>38743</v>
          </cell>
          <cell r="BN34">
            <v>23796.815105999998</v>
          </cell>
          <cell r="BO34">
            <v>1067.5360000000001</v>
          </cell>
          <cell r="BP34">
            <v>28835.275348100004</v>
          </cell>
          <cell r="BQ34">
            <v>1093.7264</v>
          </cell>
          <cell r="BR34">
            <v>166.6074423989904</v>
          </cell>
          <cell r="BS34">
            <v>191.5590307910968</v>
          </cell>
        </row>
        <row r="35">
          <cell r="A35">
            <v>37347</v>
          </cell>
          <cell r="B35">
            <v>7280.0089580000003</v>
          </cell>
          <cell r="C35">
            <v>920.83362999999997</v>
          </cell>
          <cell r="D35">
            <v>514.52800000000002</v>
          </cell>
          <cell r="E35">
            <v>1871.5795559999999</v>
          </cell>
          <cell r="F35">
            <v>259.16676100000001</v>
          </cell>
          <cell r="G35">
            <v>2130.7463170000001</v>
          </cell>
          <cell r="M35">
            <v>54.026504529173771</v>
          </cell>
          <cell r="N35">
            <v>53.665160400524755</v>
          </cell>
          <cell r="R35">
            <v>41.62121085087626</v>
          </cell>
          <cell r="S35">
            <v>57.69350661000415</v>
          </cell>
          <cell r="AB35">
            <v>38764</v>
          </cell>
          <cell r="AC35">
            <v>31830.133296</v>
          </cell>
          <cell r="AD35">
            <v>1081.133</v>
          </cell>
          <cell r="AF35">
            <v>172.05280121104445</v>
          </cell>
          <cell r="AG35">
            <v>38763</v>
          </cell>
          <cell r="AH35">
            <v>36629.335318999998</v>
          </cell>
          <cell r="AI35">
            <v>1362.6320000000001</v>
          </cell>
          <cell r="AK35">
            <v>197.99413623330858</v>
          </cell>
          <cell r="AL35">
            <v>216.38937103092996</v>
          </cell>
          <cell r="AR35">
            <v>38884</v>
          </cell>
          <cell r="AS35">
            <v>32068.151982750001</v>
          </cell>
          <cell r="AT35">
            <v>984.49874999999997</v>
          </cell>
          <cell r="AV35">
            <v>124.65874035730809</v>
          </cell>
          <cell r="AW35">
            <v>38877</v>
          </cell>
          <cell r="AX35">
            <v>30389.853794999999</v>
          </cell>
          <cell r="AY35">
            <v>919.77800000000002</v>
          </cell>
          <cell r="AZ35">
            <v>0.27079386658443516</v>
          </cell>
          <cell r="BA35">
            <v>118.13468065653679</v>
          </cell>
          <cell r="BB35">
            <v>89.104966766481866</v>
          </cell>
          <cell r="BC35">
            <v>217.32419198908977</v>
          </cell>
          <cell r="BD35">
            <v>218.38795537162218</v>
          </cell>
          <cell r="BM35">
            <v>38744</v>
          </cell>
          <cell r="BN35">
            <v>34187.514920000001</v>
          </cell>
          <cell r="BO35">
            <v>1445.89</v>
          </cell>
          <cell r="BP35">
            <v>29481.613000299996</v>
          </cell>
          <cell r="BQ35">
            <v>1134.4782</v>
          </cell>
          <cell r="BR35">
            <v>170.34191907241342</v>
          </cell>
          <cell r="BS35">
            <v>198.69644222323615</v>
          </cell>
        </row>
        <row r="36">
          <cell r="A36">
            <v>37377</v>
          </cell>
          <cell r="B36">
            <v>9449.831682</v>
          </cell>
          <cell r="C36">
            <v>504.47949999999997</v>
          </cell>
          <cell r="D36">
            <v>478.60199999999998</v>
          </cell>
          <cell r="E36">
            <v>1980.400087</v>
          </cell>
          <cell r="F36">
            <v>236.16741300000001</v>
          </cell>
          <cell r="G36">
            <v>2216.5675000000001</v>
          </cell>
          <cell r="M36">
            <v>37.800707152603998</v>
          </cell>
          <cell r="N36">
            <v>41.401948801901703</v>
          </cell>
          <cell r="R36">
            <v>54.026504529173771</v>
          </cell>
          <cell r="S36">
            <v>53.665160400524755</v>
          </cell>
          <cell r="AB36">
            <v>38765</v>
          </cell>
          <cell r="AC36">
            <v>25448.785516</v>
          </cell>
          <cell r="AD36">
            <v>1171.7760000000001</v>
          </cell>
          <cell r="AF36">
            <v>137.55942504950468</v>
          </cell>
          <cell r="AG36">
            <v>38764</v>
          </cell>
          <cell r="AH36">
            <v>31830.133296</v>
          </cell>
          <cell r="AI36">
            <v>1081.133</v>
          </cell>
          <cell r="AK36">
            <v>172.05280121104445</v>
          </cell>
          <cell r="AL36">
            <v>171.68662549447131</v>
          </cell>
          <cell r="AR36" t="str">
            <v>WTD</v>
          </cell>
          <cell r="AS36">
            <v>16464</v>
          </cell>
          <cell r="AT36">
            <v>511.79</v>
          </cell>
          <cell r="AV36">
            <v>64.000616635056829</v>
          </cell>
          <cell r="AW36">
            <v>38884</v>
          </cell>
          <cell r="AX36">
            <v>32068.151982750001</v>
          </cell>
          <cell r="AY36">
            <v>984.49874999999997</v>
          </cell>
          <cell r="BA36">
            <v>124.65874035730809</v>
          </cell>
          <cell r="BB36">
            <v>95.374893072451101</v>
          </cell>
          <cell r="BC36">
            <v>229.32605287430178</v>
          </cell>
          <cell r="BD36">
            <v>233.7549594341437</v>
          </cell>
          <cell r="BM36">
            <v>38749</v>
          </cell>
          <cell r="BN36">
            <v>34267.996288000002</v>
          </cell>
          <cell r="BO36">
            <v>1469.9970000000001</v>
          </cell>
          <cell r="BP36">
            <v>30165.9327729</v>
          </cell>
          <cell r="BQ36">
            <v>1186.7961</v>
          </cell>
          <cell r="BR36">
            <v>174.29585277755692</v>
          </cell>
          <cell r="BS36">
            <v>207.85958047885978</v>
          </cell>
        </row>
        <row r="37">
          <cell r="A37">
            <v>37408</v>
          </cell>
          <cell r="B37">
            <v>6611.7607120000002</v>
          </cell>
          <cell r="C37">
            <v>415.84321</v>
          </cell>
          <cell r="D37">
            <v>369.23500000000001</v>
          </cell>
          <cell r="E37">
            <v>2168.413211</v>
          </cell>
          <cell r="F37">
            <v>261.349289</v>
          </cell>
          <cell r="G37">
            <v>2429.7624999999998</v>
          </cell>
          <cell r="M37">
            <v>38.421093508661059</v>
          </cell>
          <cell r="N37">
            <v>55.686397631835661</v>
          </cell>
          <cell r="R37">
            <v>37.800707152603998</v>
          </cell>
          <cell r="S37">
            <v>41.401948801901703</v>
          </cell>
          <cell r="AB37">
            <v>38768</v>
          </cell>
          <cell r="AC37">
            <v>27361.725134</v>
          </cell>
          <cell r="AD37">
            <v>926.63900000000001</v>
          </cell>
          <cell r="AF37">
            <v>147.89952060499033</v>
          </cell>
          <cell r="AG37">
            <v>38765</v>
          </cell>
          <cell r="AH37">
            <v>25448.785516</v>
          </cell>
          <cell r="AI37">
            <v>1171.7760000000001</v>
          </cell>
          <cell r="AK37">
            <v>137.55942504950468</v>
          </cell>
          <cell r="AL37">
            <v>186.08096069161667</v>
          </cell>
          <cell r="AW37" t="str">
            <v>WTD</v>
          </cell>
          <cell r="AX37">
            <v>16464</v>
          </cell>
          <cell r="AY37">
            <v>511.79</v>
          </cell>
          <cell r="BA37">
            <v>64.000616635056829</v>
          </cell>
          <cell r="BB37">
            <v>49.580475877241845</v>
          </cell>
          <cell r="BC37">
            <v>117.73750282066382</v>
          </cell>
          <cell r="BD37">
            <v>121.51711791284694</v>
          </cell>
          <cell r="BM37">
            <v>38750</v>
          </cell>
          <cell r="BN37">
            <v>33001.475062999998</v>
          </cell>
          <cell r="BO37">
            <v>1474.895</v>
          </cell>
          <cell r="BP37">
            <v>29933.4872607</v>
          </cell>
          <cell r="BQ37">
            <v>1202.6178</v>
          </cell>
          <cell r="BR37">
            <v>172.95280500647613</v>
          </cell>
          <cell r="BS37">
            <v>210.63064782940327</v>
          </cell>
        </row>
        <row r="38">
          <cell r="A38">
            <v>37438</v>
          </cell>
          <cell r="B38">
            <v>6720.2731299999996</v>
          </cell>
          <cell r="C38">
            <v>405.45967000000002</v>
          </cell>
          <cell r="D38">
            <v>496.62799999999999</v>
          </cell>
          <cell r="E38">
            <v>2070.8631740000001</v>
          </cell>
          <cell r="F38">
            <v>220.705791</v>
          </cell>
          <cell r="G38">
            <v>2291.5689649999999</v>
          </cell>
          <cell r="M38">
            <v>30.186961564166481</v>
          </cell>
          <cell r="N38">
            <v>46.50606057208212</v>
          </cell>
          <cell r="R38">
            <v>38.421093508661059</v>
          </cell>
          <cell r="S38">
            <v>55.686397631835661</v>
          </cell>
          <cell r="AB38">
            <v>38769</v>
          </cell>
          <cell r="AC38">
            <v>29367.589782999999</v>
          </cell>
          <cell r="AD38">
            <v>942.27099999999996</v>
          </cell>
          <cell r="AF38">
            <v>158.74190786429935</v>
          </cell>
          <cell r="AG38">
            <v>38768</v>
          </cell>
          <cell r="AH38">
            <v>27361.725134</v>
          </cell>
          <cell r="AI38">
            <v>926.63900000000001</v>
          </cell>
          <cell r="AK38">
            <v>147.89952060499033</v>
          </cell>
          <cell r="AL38">
            <v>147.15259173623539</v>
          </cell>
          <cell r="BM38">
            <v>38751</v>
          </cell>
          <cell r="BN38">
            <v>32133.988211</v>
          </cell>
          <cell r="BO38">
            <v>1282.6079999999999</v>
          </cell>
          <cell r="BP38">
            <v>29837.588231599999</v>
          </cell>
          <cell r="BQ38">
            <v>1204.2415000000001</v>
          </cell>
          <cell r="BR38">
            <v>172.39870965715082</v>
          </cell>
          <cell r="BS38">
            <v>210.91502827253379</v>
          </cell>
        </row>
        <row r="39">
          <cell r="A39">
            <v>37469</v>
          </cell>
          <cell r="B39">
            <v>5280.0326109999996</v>
          </cell>
          <cell r="C39">
            <v>306.18797999999998</v>
          </cell>
          <cell r="D39">
            <v>414.755</v>
          </cell>
          <cell r="E39">
            <v>1762.475909</v>
          </cell>
          <cell r="F39">
            <v>192.16233600000001</v>
          </cell>
          <cell r="G39">
            <v>1954.6382450000001</v>
          </cell>
          <cell r="M39">
            <v>29.935028101734545</v>
          </cell>
          <cell r="N39">
            <v>35.936221028671383</v>
          </cell>
          <cell r="R39">
            <v>30.186961564166481</v>
          </cell>
          <cell r="S39">
            <v>46.50606057208212</v>
          </cell>
          <cell r="AB39">
            <v>38770</v>
          </cell>
          <cell r="AC39">
            <v>30679.12384</v>
          </cell>
          <cell r="AD39">
            <v>991.07899999999995</v>
          </cell>
          <cell r="AF39">
            <v>165.83119983465039</v>
          </cell>
          <cell r="AG39">
            <v>38769</v>
          </cell>
          <cell r="AH39">
            <v>29367.589782999999</v>
          </cell>
          <cell r="AI39">
            <v>942.27099999999996</v>
          </cell>
          <cell r="AK39">
            <v>158.74190786429935</v>
          </cell>
          <cell r="AL39">
            <v>149.63499244894103</v>
          </cell>
          <cell r="BM39">
            <v>38754</v>
          </cell>
          <cell r="BN39">
            <v>31252.744977999999</v>
          </cell>
          <cell r="BO39">
            <v>1263.8240000000001</v>
          </cell>
          <cell r="BP39">
            <v>29761.6543303</v>
          </cell>
          <cell r="BQ39">
            <v>1225.2527000000002</v>
          </cell>
          <cell r="BR39">
            <v>171.95997089241752</v>
          </cell>
          <cell r="BS39">
            <v>214.59500263153063</v>
          </cell>
        </row>
        <row r="40">
          <cell r="A40">
            <v>37500</v>
          </cell>
          <cell r="B40">
            <v>5235.9666690000004</v>
          </cell>
          <cell r="C40">
            <v>293.80484999999999</v>
          </cell>
          <cell r="D40">
            <v>320.49</v>
          </cell>
          <cell r="E40">
            <v>1941.0202859999999</v>
          </cell>
          <cell r="F40">
            <v>242.82299499999999</v>
          </cell>
          <cell r="G40">
            <v>2183.8432809999999</v>
          </cell>
          <cell r="M40">
            <v>32.611909346345364</v>
          </cell>
          <cell r="N40">
            <v>40.996041846540258</v>
          </cell>
          <cell r="R40">
            <v>29.935028101734545</v>
          </cell>
          <cell r="S40">
            <v>35.936221028671383</v>
          </cell>
          <cell r="AB40">
            <v>38771</v>
          </cell>
          <cell r="AC40">
            <v>42356.546807999999</v>
          </cell>
          <cell r="AD40">
            <v>1013.06</v>
          </cell>
          <cell r="AF40">
            <v>228.95168110586988</v>
          </cell>
          <cell r="AG40">
            <v>38770</v>
          </cell>
          <cell r="AH40">
            <v>30679.12384</v>
          </cell>
          <cell r="AI40">
            <v>991.07899999999995</v>
          </cell>
          <cell r="AK40">
            <v>165.83119983465039</v>
          </cell>
          <cell r="AL40">
            <v>157.38582497105824</v>
          </cell>
          <cell r="BM40">
            <v>38755</v>
          </cell>
          <cell r="BN40">
            <v>34428.94569</v>
          </cell>
          <cell r="BO40">
            <v>1247.2280000000001</v>
          </cell>
          <cell r="BP40">
            <v>29851.846822599997</v>
          </cell>
          <cell r="BQ40">
            <v>1242.4762000000003</v>
          </cell>
          <cell r="BR40">
            <v>172.48109442199336</v>
          </cell>
          <cell r="BS40">
            <v>217.61158609045643</v>
          </cell>
        </row>
        <row r="41">
          <cell r="A41">
            <v>37530</v>
          </cell>
          <cell r="B41">
            <v>5704.1827309999999</v>
          </cell>
          <cell r="C41">
            <v>257.20350000000002</v>
          </cell>
          <cell r="D41">
            <v>365.61500000000001</v>
          </cell>
          <cell r="E41">
            <v>1853.2555649999999</v>
          </cell>
          <cell r="F41">
            <v>197.051783</v>
          </cell>
          <cell r="G41">
            <v>2050.3073479999998</v>
          </cell>
          <cell r="M41">
            <v>34.757934939673461</v>
          </cell>
          <cell r="N41">
            <v>37.464763463888858</v>
          </cell>
          <cell r="R41">
            <v>32.611909346345364</v>
          </cell>
          <cell r="S41">
            <v>40.996041846540258</v>
          </cell>
          <cell r="AB41">
            <v>38772</v>
          </cell>
          <cell r="AC41">
            <v>33057.877026000002</v>
          </cell>
          <cell r="AD41">
            <v>1250.771</v>
          </cell>
          <cell r="AF41">
            <v>178.68917768962936</v>
          </cell>
          <cell r="AG41">
            <v>38771</v>
          </cell>
          <cell r="AH41">
            <v>42356.546807999999</v>
          </cell>
          <cell r="AI41">
            <v>1013.06</v>
          </cell>
          <cell r="AK41">
            <v>228.95168110586988</v>
          </cell>
          <cell r="AL41">
            <v>160.8764627695474</v>
          </cell>
          <cell r="BM41">
            <v>38756</v>
          </cell>
          <cell r="BN41">
            <v>34782.585825000002</v>
          </cell>
          <cell r="BO41">
            <v>1408.038</v>
          </cell>
          <cell r="BP41">
            <v>30429.294847599998</v>
          </cell>
          <cell r="BQ41">
            <v>1283.7215000000001</v>
          </cell>
          <cell r="BR41">
            <v>175.81753346764782</v>
          </cell>
          <cell r="BS41">
            <v>224.83543082227234</v>
          </cell>
        </row>
        <row r="42">
          <cell r="A42">
            <v>37561</v>
          </cell>
          <cell r="B42">
            <v>6079.5462829999997</v>
          </cell>
          <cell r="C42">
            <v>309.65996000000001</v>
          </cell>
          <cell r="D42">
            <v>334.12200000000001</v>
          </cell>
          <cell r="E42">
            <v>2079.0887619999999</v>
          </cell>
          <cell r="F42">
            <v>197.29248999999999</v>
          </cell>
          <cell r="G42">
            <v>2276.3812519999997</v>
          </cell>
          <cell r="M42">
            <v>27.632421201724593</v>
          </cell>
          <cell r="N42">
            <v>29.777536077503559</v>
          </cell>
          <cell r="R42">
            <v>34.757934939673461</v>
          </cell>
          <cell r="S42">
            <v>37.464763463888858</v>
          </cell>
          <cell r="AB42">
            <v>38775</v>
          </cell>
          <cell r="AC42">
            <v>35977.393276000003</v>
          </cell>
          <cell r="AD42">
            <v>1071.6220000000001</v>
          </cell>
          <cell r="AF42">
            <v>194.47016560829405</v>
          </cell>
          <cell r="AG42">
            <v>38772</v>
          </cell>
          <cell r="AH42">
            <v>33057.877026000002</v>
          </cell>
          <cell r="AI42">
            <v>1250.771</v>
          </cell>
          <cell r="AK42">
            <v>178.68917768962936</v>
          </cell>
          <cell r="AL42">
            <v>198.62556434439182</v>
          </cell>
          <cell r="BM42">
            <v>38757</v>
          </cell>
          <cell r="BN42">
            <v>30085.143902</v>
          </cell>
          <cell r="BO42">
            <v>1366.626</v>
          </cell>
          <cell r="BP42">
            <v>31038.584128499999</v>
          </cell>
          <cell r="BQ42">
            <v>1314.7154000000003</v>
          </cell>
          <cell r="BR42">
            <v>179.33794822167437</v>
          </cell>
          <cell r="BS42">
            <v>230.26380984323791</v>
          </cell>
        </row>
        <row r="43">
          <cell r="A43">
            <v>37591</v>
          </cell>
          <cell r="B43">
            <v>4833.2153189999999</v>
          </cell>
          <cell r="C43">
            <v>256.59170999999998</v>
          </cell>
          <cell r="D43">
            <v>265.565</v>
          </cell>
          <cell r="E43">
            <v>1457.3189</v>
          </cell>
          <cell r="F43">
            <v>200.40246500000001</v>
          </cell>
          <cell r="G43">
            <v>1657.7213649999999</v>
          </cell>
          <cell r="M43">
            <v>33.114108348974362</v>
          </cell>
          <cell r="N43">
            <v>42.238767478106809</v>
          </cell>
          <cell r="R43">
            <v>27.632421201724593</v>
          </cell>
          <cell r="S43">
            <v>29.777536077503559</v>
          </cell>
          <cell r="AB43">
            <v>38776</v>
          </cell>
          <cell r="AC43">
            <v>34543.506478000003</v>
          </cell>
          <cell r="AD43">
            <v>1292.8889999999999</v>
          </cell>
          <cell r="AF43">
            <v>186.71951505583669</v>
          </cell>
          <cell r="AG43">
            <v>38775</v>
          </cell>
          <cell r="AH43">
            <v>35977.393276000003</v>
          </cell>
          <cell r="AI43">
            <v>1071.6220000000001</v>
          </cell>
          <cell r="AK43">
            <v>194.47016560829405</v>
          </cell>
          <cell r="AL43">
            <v>170.17625489707217</v>
          </cell>
          <cell r="BM43">
            <v>38758</v>
          </cell>
          <cell r="BN43">
            <v>29979.590316000002</v>
          </cell>
          <cell r="BO43">
            <v>1258.373</v>
          </cell>
          <cell r="BP43">
            <v>31791.680029899995</v>
          </cell>
          <cell r="BQ43">
            <v>1328.5015000000003</v>
          </cell>
          <cell r="BR43">
            <v>183.68926377176788</v>
          </cell>
          <cell r="BS43">
            <v>232.67835515766865</v>
          </cell>
          <cell r="BX43">
            <v>2.5515468752931463E-4</v>
          </cell>
        </row>
        <row r="44">
          <cell r="A44">
            <v>37622</v>
          </cell>
          <cell r="B44">
            <v>5792.0228770000003</v>
          </cell>
          <cell r="C44">
            <v>422.11209000000002</v>
          </cell>
          <cell r="D44">
            <v>376.69799999999998</v>
          </cell>
          <cell r="E44">
            <v>1639.2288100000001</v>
          </cell>
          <cell r="F44">
            <v>216.30586700000001</v>
          </cell>
          <cell r="G44">
            <v>1855.5346770000001</v>
          </cell>
          <cell r="M44">
            <v>32.396272313671687</v>
          </cell>
          <cell r="N44">
            <v>32.210174584842399</v>
          </cell>
          <cell r="R44">
            <v>33.114108348974362</v>
          </cell>
          <cell r="S44">
            <v>42.238767478106809</v>
          </cell>
          <cell r="AB44">
            <v>38777</v>
          </cell>
          <cell r="AC44">
            <v>29911.526706000001</v>
          </cell>
          <cell r="AD44">
            <v>1265.615</v>
          </cell>
          <cell r="AF44">
            <v>161.68207372581105</v>
          </cell>
          <cell r="AG44">
            <v>38776</v>
          </cell>
          <cell r="AH44">
            <v>34543.506478000003</v>
          </cell>
          <cell r="AI44">
            <v>1292.8889999999999</v>
          </cell>
          <cell r="AK44">
            <v>186.71951505583669</v>
          </cell>
          <cell r="AL44">
            <v>205.31400812751204</v>
          </cell>
          <cell r="BM44">
            <v>38761</v>
          </cell>
          <cell r="BN44">
            <v>31709.561752000001</v>
          </cell>
          <cell r="BO44">
            <v>1096.7550000000001</v>
          </cell>
          <cell r="BP44">
            <v>32582.954694499997</v>
          </cell>
          <cell r="BQ44">
            <v>1331.4234000000001</v>
          </cell>
          <cell r="BR44">
            <v>188.26117253673175</v>
          </cell>
          <cell r="BS44">
            <v>233.19010684627051</v>
          </cell>
          <cell r="BX44">
            <v>2.5515468752931461</v>
          </cell>
        </row>
        <row r="45">
          <cell r="A45">
            <v>37653</v>
          </cell>
          <cell r="B45">
            <v>5666.4654350000001</v>
          </cell>
          <cell r="C45">
            <v>299.72122000000002</v>
          </cell>
          <cell r="D45">
            <v>287.26</v>
          </cell>
          <cell r="E45">
            <v>1866.9728</v>
          </cell>
          <cell r="F45">
            <v>191.74080499999999</v>
          </cell>
          <cell r="G45">
            <v>2058.7136049999999</v>
          </cell>
          <cell r="M45">
            <v>36.613093580165298</v>
          </cell>
          <cell r="N45">
            <v>42.930266979132789</v>
          </cell>
          <cell r="R45">
            <v>32.396272313671687</v>
          </cell>
          <cell r="S45">
            <v>32.210174584842399</v>
          </cell>
          <cell r="AB45">
            <v>38778</v>
          </cell>
          <cell r="AC45">
            <v>26894.772994999999</v>
          </cell>
          <cell r="AD45">
            <v>1492.3920000000001</v>
          </cell>
          <cell r="AF45">
            <v>145.37548393824676</v>
          </cell>
          <cell r="AG45">
            <v>38777</v>
          </cell>
          <cell r="AH45">
            <v>29911.526706000001</v>
          </cell>
          <cell r="AI45">
            <v>1265.615</v>
          </cell>
          <cell r="AK45">
            <v>161.68207372581105</v>
          </cell>
          <cell r="AL45">
            <v>200.98282868544879</v>
          </cell>
          <cell r="BM45">
            <v>38762</v>
          </cell>
          <cell r="BN45">
            <v>33435.298972999997</v>
          </cell>
          <cell r="BO45">
            <v>1224.923</v>
          </cell>
          <cell r="BP45">
            <v>32507.7330998</v>
          </cell>
          <cell r="BQ45">
            <v>1309.3267000000001</v>
          </cell>
          <cell r="BR45">
            <v>187.82654941089552</v>
          </cell>
          <cell r="BS45">
            <v>229.32001425667804</v>
          </cell>
        </row>
        <row r="46">
          <cell r="A46">
            <v>37681</v>
          </cell>
          <cell r="B46">
            <v>6404.0339960000001</v>
          </cell>
          <cell r="C46">
            <v>330.74410999999998</v>
          </cell>
          <cell r="D46">
            <v>382.86500000000001</v>
          </cell>
          <cell r="E46">
            <v>2074.8933809999999</v>
          </cell>
          <cell r="F46">
            <v>218.253005</v>
          </cell>
          <cell r="G46">
            <v>2293.1463859999999</v>
          </cell>
          <cell r="M46">
            <v>41.242595190637644</v>
          </cell>
          <cell r="N46">
            <v>44.119731338932304</v>
          </cell>
          <cell r="R46">
            <v>36.613093580165298</v>
          </cell>
          <cell r="S46">
            <v>42.930266979132789</v>
          </cell>
          <cell r="AB46">
            <v>38779</v>
          </cell>
          <cell r="AC46">
            <v>37744.132285</v>
          </cell>
          <cell r="AD46">
            <v>973.64300000000003</v>
          </cell>
          <cell r="AF46">
            <v>204.01999666556688</v>
          </cell>
          <cell r="AG46">
            <v>38778</v>
          </cell>
          <cell r="AH46">
            <v>26894.772994999999</v>
          </cell>
          <cell r="AI46">
            <v>1492.3920000000001</v>
          </cell>
          <cell r="AK46">
            <v>145.37548393824676</v>
          </cell>
          <cell r="AL46">
            <v>236.99558370241681</v>
          </cell>
          <cell r="BM46">
            <v>38763</v>
          </cell>
          <cell r="BN46">
            <v>36629.335318999998</v>
          </cell>
          <cell r="BO46">
            <v>1362.6320000000001</v>
          </cell>
          <cell r="BP46">
            <v>32743.86700290001</v>
          </cell>
          <cell r="BQ46">
            <v>1298.5902000000001</v>
          </cell>
          <cell r="BR46">
            <v>189.19090834918379</v>
          </cell>
          <cell r="BS46">
            <v>227.43958645125196</v>
          </cell>
        </row>
        <row r="47">
          <cell r="A47">
            <v>37712</v>
          </cell>
          <cell r="B47">
            <v>7213.7849020000003</v>
          </cell>
          <cell r="C47">
            <v>308.19132999999999</v>
          </cell>
          <cell r="D47">
            <v>393.47300000000001</v>
          </cell>
          <cell r="E47">
            <v>1863.9511050000001</v>
          </cell>
          <cell r="F47">
            <v>257.83889499999998</v>
          </cell>
          <cell r="G47">
            <v>2121.79</v>
          </cell>
          <cell r="M47">
            <v>45.466345608389737</v>
          </cell>
          <cell r="N47">
            <v>59.652624379085694</v>
          </cell>
          <cell r="R47">
            <v>41.242595190637644</v>
          </cell>
          <cell r="S47">
            <v>44.119731338932304</v>
          </cell>
          <cell r="AB47">
            <v>38782</v>
          </cell>
          <cell r="AC47">
            <v>27976.993981</v>
          </cell>
          <cell r="AD47">
            <v>1178.0889999999999</v>
          </cell>
          <cell r="AF47">
            <v>151.22526001172861</v>
          </cell>
          <cell r="AG47">
            <v>38779</v>
          </cell>
          <cell r="AH47">
            <v>37744.132285</v>
          </cell>
          <cell r="AI47">
            <v>973.64300000000003</v>
          </cell>
          <cell r="AK47">
            <v>204.01999666556688</v>
          </cell>
          <cell r="AL47">
            <v>154.61694454457827</v>
          </cell>
          <cell r="BM47">
            <v>38764</v>
          </cell>
          <cell r="BN47">
            <v>31830.133296</v>
          </cell>
          <cell r="BO47">
            <v>1081.133</v>
          </cell>
          <cell r="BP47">
            <v>32626.732826200001</v>
          </cell>
          <cell r="BQ47">
            <v>1259.2140000000002</v>
          </cell>
          <cell r="BR47">
            <v>188.5141183632409</v>
          </cell>
          <cell r="BS47">
            <v>220.54310236872783</v>
          </cell>
        </row>
        <row r="48">
          <cell r="A48">
            <v>37742</v>
          </cell>
          <cell r="B48">
            <v>7952.5654480000003</v>
          </cell>
          <cell r="C48">
            <v>424.43786999999998</v>
          </cell>
          <cell r="D48">
            <v>532</v>
          </cell>
          <cell r="E48">
            <v>1967.211955</v>
          </cell>
          <cell r="F48">
            <v>268.9316</v>
          </cell>
          <cell r="G48">
            <v>2236.1435550000001</v>
          </cell>
          <cell r="M48">
            <v>49.540601247869738</v>
          </cell>
          <cell r="N48">
            <v>80.517026787616473</v>
          </cell>
          <cell r="R48">
            <v>45.466345608389737</v>
          </cell>
          <cell r="S48">
            <v>59.652624379085694</v>
          </cell>
          <cell r="AB48">
            <v>38783</v>
          </cell>
          <cell r="AC48">
            <v>37867.944415999998</v>
          </cell>
          <cell r="AD48">
            <v>1178.3610000000001</v>
          </cell>
          <cell r="AF48">
            <v>204.68924375179057</v>
          </cell>
          <cell r="AG48">
            <v>38782</v>
          </cell>
          <cell r="AH48">
            <v>27976.993981</v>
          </cell>
          <cell r="AI48">
            <v>1178.0889999999999</v>
          </cell>
          <cell r="AK48">
            <v>151.22526001172861</v>
          </cell>
          <cell r="AL48">
            <v>187.08348088732487</v>
          </cell>
          <cell r="BM48">
            <v>38765</v>
          </cell>
          <cell r="BN48">
            <v>25448.785516</v>
          </cell>
          <cell r="BO48">
            <v>1171.7760000000001</v>
          </cell>
          <cell r="BP48">
            <v>31958.2125567</v>
          </cell>
          <cell r="BQ48">
            <v>1248.1307999999999</v>
          </cell>
          <cell r="BR48">
            <v>184.65147266457177</v>
          </cell>
          <cell r="BS48">
            <v>218.60195232419758</v>
          </cell>
        </row>
        <row r="49">
          <cell r="A49">
            <v>37773</v>
          </cell>
          <cell r="B49">
            <v>8665.1977079999997</v>
          </cell>
          <cell r="C49">
            <v>624.78773000000001</v>
          </cell>
          <cell r="D49">
            <v>718.07500000000005</v>
          </cell>
          <cell r="E49">
            <v>2226.7530000000002</v>
          </cell>
          <cell r="F49">
            <v>299.51974999999999</v>
          </cell>
          <cell r="G49">
            <v>2526.2727500000001</v>
          </cell>
          <cell r="M49">
            <v>54.812475346137745</v>
          </cell>
          <cell r="N49">
            <v>79.248399358622152</v>
          </cell>
          <cell r="R49">
            <v>49.540601247869738</v>
          </cell>
          <cell r="S49">
            <v>80.517026787616473</v>
          </cell>
          <cell r="AB49">
            <v>38784</v>
          </cell>
          <cell r="AC49">
            <v>41180.730237000003</v>
          </cell>
          <cell r="AD49">
            <v>1256.171</v>
          </cell>
          <cell r="AF49">
            <v>222.59598875392058</v>
          </cell>
          <cell r="AG49">
            <v>38783</v>
          </cell>
          <cell r="AH49">
            <v>37867.944415999998</v>
          </cell>
          <cell r="AI49">
            <v>1178.3610000000001</v>
          </cell>
          <cell r="AK49">
            <v>204.68924375179057</v>
          </cell>
          <cell r="AL49">
            <v>187.12667516789395</v>
          </cell>
          <cell r="BM49">
            <v>38768</v>
          </cell>
          <cell r="BN49">
            <v>27361.725134</v>
          </cell>
          <cell r="BO49">
            <v>926.63900000000001</v>
          </cell>
          <cell r="BP49">
            <v>31569.1105723</v>
          </cell>
          <cell r="BQ49">
            <v>1214.4122999999997</v>
          </cell>
          <cell r="BR49">
            <v>182.40327889251097</v>
          </cell>
          <cell r="BS49">
            <v>212.69637742015428</v>
          </cell>
        </row>
        <row r="50">
          <cell r="A50">
            <v>37803</v>
          </cell>
          <cell r="B50">
            <v>9587.3066490000001</v>
          </cell>
          <cell r="C50">
            <v>757.32020999999997</v>
          </cell>
          <cell r="D50">
            <v>706.76099999999997</v>
          </cell>
          <cell r="E50">
            <v>1936.562696</v>
          </cell>
          <cell r="F50">
            <v>242.421378</v>
          </cell>
          <cell r="G50">
            <v>2178.984074</v>
          </cell>
          <cell r="M50">
            <v>68.714783709369911</v>
          </cell>
          <cell r="N50">
            <v>88.141237679826872</v>
          </cell>
          <cell r="R50">
            <v>54.812475346137745</v>
          </cell>
          <cell r="S50">
            <v>79.248399358622152</v>
          </cell>
          <cell r="AB50">
            <v>38785</v>
          </cell>
          <cell r="AC50">
            <v>27943.864855</v>
          </cell>
          <cell r="AD50">
            <v>926.16200000000003</v>
          </cell>
          <cell r="AF50">
            <v>151.046185708867</v>
          </cell>
          <cell r="AG50">
            <v>38784</v>
          </cell>
          <cell r="AH50">
            <v>41180.730237000003</v>
          </cell>
          <cell r="AI50">
            <v>1256.171</v>
          </cell>
          <cell r="AK50">
            <v>222.59598875392058</v>
          </cell>
          <cell r="AL50">
            <v>199.48309785568983</v>
          </cell>
          <cell r="BM50">
            <v>38769</v>
          </cell>
          <cell r="BN50">
            <v>29367.589782999999</v>
          </cell>
          <cell r="BO50">
            <v>942.27099999999996</v>
          </cell>
          <cell r="BP50">
            <v>31062.9749816</v>
          </cell>
          <cell r="BQ50">
            <v>1183.9166</v>
          </cell>
          <cell r="BR50">
            <v>179.47887622058764</v>
          </cell>
          <cell r="BS50">
            <v>207.355254873148</v>
          </cell>
        </row>
        <row r="51">
          <cell r="A51">
            <v>37834</v>
          </cell>
          <cell r="B51">
            <v>12018.973757</v>
          </cell>
          <cell r="C51">
            <v>853.05210999999997</v>
          </cell>
          <cell r="D51">
            <v>786.07</v>
          </cell>
          <cell r="E51">
            <v>2186.5907619999998</v>
          </cell>
          <cell r="F51">
            <v>225.52013299999999</v>
          </cell>
          <cell r="G51">
            <v>2412.1108949999998</v>
          </cell>
          <cell r="M51">
            <v>78.75799661194111</v>
          </cell>
          <cell r="N51">
            <v>105.70478678671944</v>
          </cell>
          <cell r="R51">
            <v>68.714783709369911</v>
          </cell>
          <cell r="S51">
            <v>88.141237679826872</v>
          </cell>
          <cell r="AB51">
            <v>38786</v>
          </cell>
          <cell r="AC51">
            <v>25210.861510999999</v>
          </cell>
          <cell r="AD51">
            <v>826.07500000000005</v>
          </cell>
          <cell r="AF51">
            <v>136.27336409729543</v>
          </cell>
          <cell r="AG51">
            <v>38785</v>
          </cell>
          <cell r="AH51">
            <v>27943.864855</v>
          </cell>
          <cell r="AI51">
            <v>926.16200000000003</v>
          </cell>
          <cell r="AK51">
            <v>151.046185708867</v>
          </cell>
          <cell r="AL51">
            <v>147.07684294273741</v>
          </cell>
          <cell r="BM51">
            <v>38770</v>
          </cell>
          <cell r="BN51">
            <v>30679.12384</v>
          </cell>
          <cell r="BO51">
            <v>991.07899999999995</v>
          </cell>
          <cell r="BP51">
            <v>30652.628783100005</v>
          </cell>
          <cell r="BQ51">
            <v>1142.2206999999999</v>
          </cell>
          <cell r="BR51">
            <v>177.10793542654602</v>
          </cell>
          <cell r="BS51">
            <v>200.05249049627776</v>
          </cell>
        </row>
        <row r="52">
          <cell r="A52">
            <v>37865</v>
          </cell>
          <cell r="B52">
            <v>13775.642494</v>
          </cell>
          <cell r="C52">
            <v>902.71163000000001</v>
          </cell>
          <cell r="D52">
            <v>942.70699999999999</v>
          </cell>
          <cell r="E52">
            <v>2234.126182</v>
          </cell>
          <cell r="F52">
            <v>300.40729499999998</v>
          </cell>
          <cell r="G52">
            <v>2534.5334769999999</v>
          </cell>
          <cell r="M52">
            <v>96.741238278058731</v>
          </cell>
          <cell r="N52">
            <v>129.89280468250675</v>
          </cell>
          <cell r="R52">
            <v>78.75799661194111</v>
          </cell>
          <cell r="S52">
            <v>105.70478678671944</v>
          </cell>
          <cell r="AB52">
            <v>38789</v>
          </cell>
          <cell r="AC52">
            <v>23857.503650999999</v>
          </cell>
          <cell r="AD52">
            <v>1028.693</v>
          </cell>
          <cell r="AF52">
            <v>128.95800010906967</v>
          </cell>
          <cell r="AG52">
            <v>38786</v>
          </cell>
          <cell r="AH52">
            <v>25210.861510999999</v>
          </cell>
          <cell r="AI52">
            <v>826.07500000000005</v>
          </cell>
          <cell r="AK52">
            <v>136.27336409729543</v>
          </cell>
          <cell r="AL52">
            <v>131.1827769158331</v>
          </cell>
          <cell r="BM52">
            <v>38771</v>
          </cell>
          <cell r="BN52">
            <v>42356.546807999999</v>
          </cell>
          <cell r="BO52">
            <v>1013.06</v>
          </cell>
          <cell r="BP52">
            <v>31879.769073700001</v>
          </cell>
          <cell r="BQ52">
            <v>1106.8641</v>
          </cell>
          <cell r="BR52">
            <v>184.19823377859871</v>
          </cell>
          <cell r="BS52">
            <v>193.86001308321684</v>
          </cell>
        </row>
        <row r="53">
          <cell r="A53">
            <v>37895</v>
          </cell>
          <cell r="B53">
            <v>16921.109859</v>
          </cell>
          <cell r="C53">
            <v>1375.1572699999999</v>
          </cell>
          <cell r="D53">
            <v>1158.423</v>
          </cell>
          <cell r="E53">
            <v>2096.1254349999999</v>
          </cell>
          <cell r="F53">
            <v>334.48727000000002</v>
          </cell>
          <cell r="G53">
            <v>2430.612705</v>
          </cell>
          <cell r="M53">
            <v>72.039608559771935</v>
          </cell>
          <cell r="N53">
            <v>90.112128993193778</v>
          </cell>
          <cell r="R53">
            <v>96.741238278058731</v>
          </cell>
          <cell r="S53">
            <v>129.89280468250675</v>
          </cell>
          <cell r="AB53">
            <v>38790</v>
          </cell>
          <cell r="AC53">
            <v>23122.249414999998</v>
          </cell>
          <cell r="AD53">
            <v>1029.9280000000001</v>
          </cell>
          <cell r="AF53">
            <v>124.98369847075439</v>
          </cell>
          <cell r="AG53">
            <v>38789</v>
          </cell>
          <cell r="AH53">
            <v>23857.503650999999</v>
          </cell>
          <cell r="AI53">
            <v>1028.693</v>
          </cell>
          <cell r="AK53">
            <v>128.95800010906967</v>
          </cell>
          <cell r="AL53">
            <v>163.35902228475513</v>
          </cell>
          <cell r="BM53">
            <v>38772</v>
          </cell>
          <cell r="BN53">
            <v>33057.877026000002</v>
          </cell>
          <cell r="BO53">
            <v>1250.771</v>
          </cell>
          <cell r="BP53">
            <v>32187.597744700004</v>
          </cell>
          <cell r="BQ53">
            <v>1106.1039000000001</v>
          </cell>
          <cell r="BR53">
            <v>185.97683817731726</v>
          </cell>
          <cell r="BS53">
            <v>193.72686902158736</v>
          </cell>
        </row>
        <row r="54">
          <cell r="A54">
            <v>37926</v>
          </cell>
          <cell r="B54">
            <v>12600.522304</v>
          </cell>
          <cell r="C54">
            <v>1202.97615</v>
          </cell>
          <cell r="D54">
            <v>803.64700000000005</v>
          </cell>
          <cell r="E54">
            <v>2029.6293499999999</v>
          </cell>
          <cell r="F54">
            <v>253.62707</v>
          </cell>
          <cell r="G54">
            <v>2283.2564199999997</v>
          </cell>
          <cell r="M54">
            <v>89.070321527430508</v>
          </cell>
          <cell r="N54">
            <v>55.357074778825556</v>
          </cell>
          <cell r="R54">
            <v>72.039608559771935</v>
          </cell>
          <cell r="S54">
            <v>90.112128993193778</v>
          </cell>
          <cell r="AB54">
            <v>38791</v>
          </cell>
          <cell r="AC54">
            <v>28894.795739000001</v>
          </cell>
          <cell r="AD54">
            <v>1171.385</v>
          </cell>
          <cell r="AF54">
            <v>156.18629369486951</v>
          </cell>
          <cell r="AG54">
            <v>38790</v>
          </cell>
          <cell r="AH54">
            <v>23122.249414999998</v>
          </cell>
          <cell r="AI54">
            <v>1029.9280000000001</v>
          </cell>
          <cell r="AK54">
            <v>124.98369847075439</v>
          </cell>
          <cell r="AL54">
            <v>163.55514337483905</v>
          </cell>
          <cell r="BM54">
            <v>38775</v>
          </cell>
          <cell r="BN54">
            <v>35977.393276000003</v>
          </cell>
          <cell r="BO54">
            <v>1071.6220000000001</v>
          </cell>
          <cell r="BP54">
            <v>32614.380897100003</v>
          </cell>
          <cell r="BQ54">
            <v>1103.5906</v>
          </cell>
          <cell r="BR54">
            <v>188.44275010713093</v>
          </cell>
          <cell r="BS54">
            <v>193.28668095253528</v>
          </cell>
        </row>
        <row r="55">
          <cell r="A55">
            <v>37956</v>
          </cell>
          <cell r="B55">
            <v>15579.381891000001</v>
          </cell>
          <cell r="C55">
            <v>809.25975000000005</v>
          </cell>
          <cell r="D55">
            <v>493.69099999999997</v>
          </cell>
          <cell r="E55">
            <v>1832.5179049999999</v>
          </cell>
          <cell r="F55">
            <v>268.49964299999999</v>
          </cell>
          <cell r="G55">
            <v>2101.0175479999998</v>
          </cell>
          <cell r="H55">
            <v>100</v>
          </cell>
          <cell r="I55">
            <v>100</v>
          </cell>
          <cell r="J55">
            <v>100</v>
          </cell>
          <cell r="K55">
            <v>100</v>
          </cell>
          <cell r="M55">
            <v>126.53451282848513</v>
          </cell>
          <cell r="N55">
            <v>129.32520771895989</v>
          </cell>
          <cell r="R55">
            <v>89.070321527430508</v>
          </cell>
          <cell r="S55">
            <v>55.357074778825556</v>
          </cell>
          <cell r="AB55">
            <v>38792</v>
          </cell>
          <cell r="AC55">
            <v>24470.120062999998</v>
          </cell>
          <cell r="AD55">
            <v>1207.4549999999999</v>
          </cell>
          <cell r="AF55">
            <v>132.26940219376354</v>
          </cell>
          <cell r="AG55">
            <v>38791</v>
          </cell>
          <cell r="AH55">
            <v>28894.795739000001</v>
          </cell>
          <cell r="AI55">
            <v>1171.385</v>
          </cell>
          <cell r="AK55">
            <v>156.18629369486951</v>
          </cell>
          <cell r="AL55">
            <v>186.0188689132986</v>
          </cell>
          <cell r="BM55">
            <v>38776</v>
          </cell>
          <cell r="BN55">
            <v>34543.506478000003</v>
          </cell>
          <cell r="BO55">
            <v>1292.8889999999999</v>
          </cell>
          <cell r="BP55">
            <v>32725.201647600003</v>
          </cell>
          <cell r="BQ55">
            <v>1110.3871999999999</v>
          </cell>
          <cell r="BR55">
            <v>189.08306172485086</v>
          </cell>
          <cell r="BS55">
            <v>194.47706102261014</v>
          </cell>
        </row>
        <row r="56">
          <cell r="A56">
            <v>37987</v>
          </cell>
          <cell r="B56">
            <v>22132.282267999999</v>
          </cell>
          <cell r="C56">
            <v>1044.91482</v>
          </cell>
          <cell r="D56">
            <v>1153.3610000000001</v>
          </cell>
          <cell r="E56">
            <v>2172.7665499999998</v>
          </cell>
          <cell r="F56">
            <v>334.12143500000002</v>
          </cell>
          <cell r="G56">
            <v>2506.8879849999998</v>
          </cell>
          <cell r="H56">
            <v>100</v>
          </cell>
          <cell r="I56">
            <v>100</v>
          </cell>
          <cell r="J56">
            <v>100</v>
          </cell>
          <cell r="K56">
            <v>100</v>
          </cell>
          <cell r="M56">
            <v>108.05162215326372</v>
          </cell>
          <cell r="N56">
            <v>117.55379388448472</v>
          </cell>
          <cell r="R56">
            <v>126.53451282848513</v>
          </cell>
          <cell r="S56">
            <v>129.32520771895989</v>
          </cell>
          <cell r="AB56">
            <v>38793</v>
          </cell>
          <cell r="AC56">
            <v>30888.422585</v>
          </cell>
          <cell r="AD56">
            <v>1160.8119999999999</v>
          </cell>
          <cell r="AF56">
            <v>166.96253142639495</v>
          </cell>
          <cell r="AG56">
            <v>38792</v>
          </cell>
          <cell r="AH56">
            <v>24470.120062999998</v>
          </cell>
          <cell r="AI56">
            <v>1207.4549999999999</v>
          </cell>
          <cell r="AK56">
            <v>132.26940219376354</v>
          </cell>
          <cell r="AL56">
            <v>191.74687516376508</v>
          </cell>
          <cell r="BM56">
            <v>38777</v>
          </cell>
          <cell r="BN56">
            <v>29911.526706000001</v>
          </cell>
          <cell r="BO56">
            <v>1265.615</v>
          </cell>
          <cell r="BP56">
            <v>32053.420786299997</v>
          </cell>
          <cell r="BQ56">
            <v>1100.6855</v>
          </cell>
          <cell r="BR56">
            <v>185.20157664095137</v>
          </cell>
          <cell r="BS56">
            <v>192.77787167413513</v>
          </cell>
        </row>
        <row r="57">
          <cell r="A57">
            <v>38018</v>
          </cell>
          <cell r="B57">
            <v>18899.420779</v>
          </cell>
          <cell r="C57">
            <v>1446.83124</v>
          </cell>
          <cell r="D57">
            <v>1048.3800000000001</v>
          </cell>
          <cell r="E57">
            <v>2177.9716840000001</v>
          </cell>
          <cell r="F57">
            <v>283.55685799999998</v>
          </cell>
          <cell r="G57">
            <v>2461.528542</v>
          </cell>
          <cell r="H57">
            <v>85.393004436446034</v>
          </cell>
          <cell r="I57">
            <v>138.46403671449508</v>
          </cell>
          <cell r="J57">
            <v>90.897819503173764</v>
          </cell>
          <cell r="K57">
            <v>98.190607507339436</v>
          </cell>
          <cell r="M57">
            <v>96.715622518209003</v>
          </cell>
          <cell r="N57">
            <v>85.415606113272702</v>
          </cell>
          <cell r="R57">
            <v>108.05162215326372</v>
          </cell>
          <cell r="S57">
            <v>117.55379388448472</v>
          </cell>
          <cell r="AB57">
            <v>38796</v>
          </cell>
          <cell r="AC57">
            <v>28356.393177000002</v>
          </cell>
          <cell r="AD57">
            <v>1186.134</v>
          </cell>
          <cell r="AF57">
            <v>153.2760429551108</v>
          </cell>
          <cell r="AG57">
            <v>38793</v>
          </cell>
          <cell r="AH57">
            <v>30888.422585</v>
          </cell>
          <cell r="AI57">
            <v>1160.8119999999999</v>
          </cell>
          <cell r="AK57">
            <v>166.96253142639495</v>
          </cell>
          <cell r="AL57">
            <v>184.33985005867751</v>
          </cell>
          <cell r="BM57">
            <v>38778</v>
          </cell>
          <cell r="BN57">
            <v>26894.772994999999</v>
          </cell>
          <cell r="BO57">
            <v>1492.3920000000001</v>
          </cell>
          <cell r="BP57">
            <v>31559.884756199997</v>
          </cell>
          <cell r="BQ57">
            <v>1141.8113999999998</v>
          </cell>
          <cell r="BR57">
            <v>182.34997301608325</v>
          </cell>
          <cell r="BS57">
            <v>199.98080427630282</v>
          </cell>
        </row>
        <row r="58">
          <cell r="A58">
            <v>38047</v>
          </cell>
          <cell r="B58">
            <v>16916.629379999998</v>
          </cell>
          <cell r="C58">
            <v>1285.78955</v>
          </cell>
          <cell r="D58">
            <v>761.76199999999994</v>
          </cell>
          <cell r="E58">
            <v>2336.0104780000001</v>
          </cell>
          <cell r="F58">
            <v>374.14160399999997</v>
          </cell>
          <cell r="G58">
            <v>2710.1520820000001</v>
          </cell>
          <cell r="H58">
            <v>76.434184125958566</v>
          </cell>
          <cell r="I58">
            <v>123.05209241840403</v>
          </cell>
          <cell r="J58">
            <v>66.047143955795278</v>
          </cell>
          <cell r="K58">
            <v>108.10822414947272</v>
          </cell>
          <cell r="M58">
            <v>86.936716848727883</v>
          </cell>
          <cell r="N58">
            <v>83.608423129968713</v>
          </cell>
          <cell r="R58">
            <v>96.715622518209003</v>
          </cell>
          <cell r="S58">
            <v>85.415606113272702</v>
          </cell>
          <cell r="AB58">
            <v>38797</v>
          </cell>
          <cell r="AC58">
            <v>27047.487112999999</v>
          </cell>
          <cell r="AD58">
            <v>2030.6769999999999</v>
          </cell>
          <cell r="AF58">
            <v>146.20095618940053</v>
          </cell>
          <cell r="AG58">
            <v>38796</v>
          </cell>
          <cell r="AH58">
            <v>28356.393177000002</v>
          </cell>
          <cell r="AI58">
            <v>1186.134</v>
          </cell>
          <cell r="AK58">
            <v>153.2760429551108</v>
          </cell>
          <cell r="AL58">
            <v>188.36104701665681</v>
          </cell>
          <cell r="BM58">
            <v>38779</v>
          </cell>
          <cell r="BN58">
            <v>37744.132285</v>
          </cell>
          <cell r="BO58">
            <v>973.64300000000003</v>
          </cell>
          <cell r="BP58">
            <v>32789.419433099996</v>
          </cell>
          <cell r="BQ58">
            <v>1121.9981</v>
          </cell>
          <cell r="BR58">
            <v>189.45410590145471</v>
          </cell>
          <cell r="BS58">
            <v>196.51063427329916</v>
          </cell>
        </row>
        <row r="59">
          <cell r="A59">
            <v>38078</v>
          </cell>
          <cell r="B59">
            <v>15206.190893999999</v>
          </cell>
          <cell r="C59">
            <v>782.00405000000001</v>
          </cell>
          <cell r="D59">
            <v>745.64499999999998</v>
          </cell>
          <cell r="E59">
            <v>2310.91255</v>
          </cell>
          <cell r="F59">
            <v>349.59537499999999</v>
          </cell>
          <cell r="G59">
            <v>2660.5079249999999</v>
          </cell>
          <cell r="H59">
            <v>68.705932401675071</v>
          </cell>
          <cell r="I59">
            <v>74.839023720612943</v>
          </cell>
          <cell r="J59">
            <v>64.649749731437069</v>
          </cell>
          <cell r="K59">
            <v>106.12791400809239</v>
          </cell>
          <cell r="M59">
            <v>78.345661249060399</v>
          </cell>
          <cell r="N59">
            <v>77.559960979110372</v>
          </cell>
          <cell r="R59">
            <v>86.936716848727883</v>
          </cell>
          <cell r="S59">
            <v>83.608423129968713</v>
          </cell>
          <cell r="AB59">
            <v>38798</v>
          </cell>
          <cell r="AC59">
            <v>33688.246325</v>
          </cell>
          <cell r="AD59">
            <v>1710.9570000000001</v>
          </cell>
          <cell r="AF59">
            <v>182.09654022505489</v>
          </cell>
          <cell r="AG59">
            <v>38797</v>
          </cell>
          <cell r="AH59">
            <v>27047.487112999999</v>
          </cell>
          <cell r="AI59">
            <v>2030.6769999999999</v>
          </cell>
          <cell r="AK59">
            <v>146.20095618940053</v>
          </cell>
          <cell r="AL59">
            <v>322.47658854112905</v>
          </cell>
          <cell r="BM59">
            <v>38782</v>
          </cell>
          <cell r="BN59">
            <v>27976.993981</v>
          </cell>
          <cell r="BO59">
            <v>1178.0889999999999</v>
          </cell>
          <cell r="BP59">
            <v>32850.946317800001</v>
          </cell>
          <cell r="BQ59">
            <v>1147.1431</v>
          </cell>
          <cell r="BR59">
            <v>189.80960231253096</v>
          </cell>
          <cell r="BS59">
            <v>200.91461668539245</v>
          </cell>
        </row>
        <row r="60">
          <cell r="A60">
            <v>38108</v>
          </cell>
          <cell r="B60">
            <v>13703.520490000001</v>
          </cell>
          <cell r="C60">
            <v>775.28416000000004</v>
          </cell>
          <cell r="D60">
            <v>691.70299999999997</v>
          </cell>
          <cell r="E60">
            <v>2259.476619</v>
          </cell>
          <cell r="F60">
            <v>328.67606699999999</v>
          </cell>
          <cell r="G60">
            <v>2588.1526859999999</v>
          </cell>
          <cell r="H60">
            <v>61.916436470780333</v>
          </cell>
          <cell r="I60">
            <v>74.195919625295389</v>
          </cell>
          <cell r="J60">
            <v>59.97280990080295</v>
          </cell>
          <cell r="K60">
            <v>103.24165664705598</v>
          </cell>
          <cell r="M60">
            <v>71.665271337490609</v>
          </cell>
          <cell r="N60">
            <v>56.141865602188759</v>
          </cell>
          <cell r="R60">
            <v>78.345661249060399</v>
          </cell>
          <cell r="S60">
            <v>77.559960979110372</v>
          </cell>
          <cell r="AB60">
            <v>38799</v>
          </cell>
          <cell r="AC60">
            <v>27593.894093999999</v>
          </cell>
          <cell r="AD60">
            <v>1173.9069999999999</v>
          </cell>
          <cell r="AF60">
            <v>149.15447356264175</v>
          </cell>
          <cell r="AG60">
            <v>38798</v>
          </cell>
          <cell r="AH60">
            <v>33688.246325</v>
          </cell>
          <cell r="AI60">
            <v>1710.9570000000001</v>
          </cell>
          <cell r="AK60">
            <v>182.09654022505489</v>
          </cell>
          <cell r="AL60">
            <v>271.70425257220353</v>
          </cell>
          <cell r="BM60">
            <v>38783</v>
          </cell>
          <cell r="BN60">
            <v>37867.944415999998</v>
          </cell>
          <cell r="BO60">
            <v>1178.3610000000001</v>
          </cell>
          <cell r="BP60">
            <v>33700.981781099996</v>
          </cell>
          <cell r="BQ60">
            <v>1170.7521000000002</v>
          </cell>
          <cell r="BR60">
            <v>194.72102531020263</v>
          </cell>
          <cell r="BS60">
            <v>205.04957873618235</v>
          </cell>
        </row>
        <row r="61">
          <cell r="A61">
            <v>38139</v>
          </cell>
          <cell r="B61">
            <v>12535.046593999999</v>
          </cell>
          <cell r="C61">
            <v>548.31195000000002</v>
          </cell>
          <cell r="D61">
            <v>500.69</v>
          </cell>
          <cell r="E61">
            <v>2434.5420191875</v>
          </cell>
          <cell r="F61">
            <v>310.24102193750002</v>
          </cell>
          <cell r="G61">
            <v>2744.7830411250002</v>
          </cell>
          <cell r="H61">
            <v>56.636936228324807</v>
          </cell>
          <cell r="I61">
            <v>52.474320346992499</v>
          </cell>
          <cell r="J61">
            <v>43.411386374257496</v>
          </cell>
          <cell r="K61">
            <v>109.48965640062296</v>
          </cell>
          <cell r="M61">
            <v>61.421289052187035</v>
          </cell>
          <cell r="N61">
            <v>64.422816007535062</v>
          </cell>
          <cell r="R61">
            <v>71.665271337490609</v>
          </cell>
          <cell r="S61">
            <v>56.141865602188759</v>
          </cell>
          <cell r="AB61">
            <v>38800</v>
          </cell>
          <cell r="AC61">
            <v>27278.296883999999</v>
          </cell>
          <cell r="AD61">
            <v>1075.5740000000001</v>
          </cell>
          <cell r="AF61">
            <v>147.44856226374958</v>
          </cell>
          <cell r="AG61">
            <v>38799</v>
          </cell>
          <cell r="AH61">
            <v>27593.894093999999</v>
          </cell>
          <cell r="AI61">
            <v>1173.9069999999999</v>
          </cell>
          <cell r="AK61">
            <v>149.15447356264175</v>
          </cell>
          <cell r="AL61">
            <v>186.41936882357518</v>
          </cell>
          <cell r="BM61">
            <v>38784</v>
          </cell>
          <cell r="BN61">
            <v>41180.730237000003</v>
          </cell>
          <cell r="BO61">
            <v>1256.171</v>
          </cell>
          <cell r="BP61">
            <v>34751.142420799995</v>
          </cell>
          <cell r="BQ61">
            <v>1197.2613000000001</v>
          </cell>
          <cell r="BR61">
            <v>200.78875229308485</v>
          </cell>
          <cell r="BS61">
            <v>209.69249186239685</v>
          </cell>
        </row>
        <row r="62">
          <cell r="A62">
            <v>38169</v>
          </cell>
          <cell r="B62">
            <v>10743.261076999999</v>
          </cell>
          <cell r="C62">
            <v>587.97814000000005</v>
          </cell>
          <cell r="D62">
            <v>574.54200000000003</v>
          </cell>
          <cell r="E62">
            <v>2323.6707200000001</v>
          </cell>
          <cell r="F62">
            <v>318.6904576</v>
          </cell>
          <cell r="G62">
            <v>2642.3611776000002</v>
          </cell>
          <cell r="H62">
            <v>48.54113528333751</v>
          </cell>
          <cell r="I62">
            <v>56.270437431445373</v>
          </cell>
          <cell r="J62">
            <v>49.814585372663025</v>
          </cell>
          <cell r="K62">
            <v>105.40403852946784</v>
          </cell>
          <cell r="M62">
            <v>64.951397734692335</v>
          </cell>
          <cell r="N62">
            <v>72.842245719475684</v>
          </cell>
          <cell r="R62">
            <v>61.421289052187035</v>
          </cell>
          <cell r="S62">
            <v>64.422816007535062</v>
          </cell>
          <cell r="AB62">
            <v>38803</v>
          </cell>
          <cell r="AC62">
            <v>29416.649183000001</v>
          </cell>
          <cell r="AD62">
            <v>1072.1569999999999</v>
          </cell>
          <cell r="AF62">
            <v>159.00709076872639</v>
          </cell>
          <cell r="AG62">
            <v>38800</v>
          </cell>
          <cell r="AH62">
            <v>27278.296883999999</v>
          </cell>
          <cell r="AI62">
            <v>1075.5740000000001</v>
          </cell>
          <cell r="AK62">
            <v>147.44856226374958</v>
          </cell>
          <cell r="AL62">
            <v>170.80384238534066</v>
          </cell>
          <cell r="BM62">
            <v>38785</v>
          </cell>
          <cell r="BN62">
            <v>27943.864855</v>
          </cell>
          <cell r="BO62">
            <v>926.16200000000003</v>
          </cell>
          <cell r="BP62">
            <v>33309.874225499996</v>
          </cell>
          <cell r="BQ62">
            <v>1188.5715000000002</v>
          </cell>
          <cell r="BR62">
            <v>192.46124354100479</v>
          </cell>
          <cell r="BS62">
            <v>208.17053018553827</v>
          </cell>
        </row>
        <row r="63">
          <cell r="A63">
            <v>38200</v>
          </cell>
          <cell r="B63">
            <v>11360.716031</v>
          </cell>
          <cell r="C63">
            <v>588.00557000000003</v>
          </cell>
          <cell r="D63">
            <v>649.62900000000002</v>
          </cell>
          <cell r="E63">
            <v>2001.7029456842099</v>
          </cell>
          <cell r="F63">
            <v>492.32779957894746</v>
          </cell>
          <cell r="G63">
            <v>2494.0307452631573</v>
          </cell>
          <cell r="H63">
            <v>51.330973884360361</v>
          </cell>
          <cell r="I63">
            <v>56.27306252580474</v>
          </cell>
          <cell r="J63">
            <v>56.324862727281399</v>
          </cell>
          <cell r="K63">
            <v>99.487123484823655</v>
          </cell>
          <cell r="M63">
            <v>83.638015993698531</v>
          </cell>
          <cell r="N63">
            <v>73.95355617101913</v>
          </cell>
          <cell r="R63">
            <v>64.951397734692335</v>
          </cell>
          <cell r="S63">
            <v>72.842245719475684</v>
          </cell>
          <cell r="AB63">
            <v>38804</v>
          </cell>
          <cell r="AC63">
            <v>36288.303980999997</v>
          </cell>
          <cell r="AD63">
            <v>1602.731</v>
          </cell>
          <cell r="AF63">
            <v>196.1507447382744</v>
          </cell>
          <cell r="AG63">
            <v>38803</v>
          </cell>
          <cell r="AH63">
            <v>29416.649183000001</v>
          </cell>
          <cell r="AI63">
            <v>1072.1569999999999</v>
          </cell>
          <cell r="AK63">
            <v>159.00709076872639</v>
          </cell>
          <cell r="AL63">
            <v>170.26121423569148</v>
          </cell>
          <cell r="BM63">
            <v>38786</v>
          </cell>
          <cell r="BN63">
            <v>25210.861510999999</v>
          </cell>
          <cell r="BO63">
            <v>826.07500000000005</v>
          </cell>
          <cell r="BP63">
            <v>32525.172674000001</v>
          </cell>
          <cell r="BQ63">
            <v>1146.1019000000001</v>
          </cell>
          <cell r="BR63">
            <v>187.92731359014866</v>
          </cell>
          <cell r="BS63">
            <v>200.73225731026932</v>
          </cell>
        </row>
        <row r="64">
          <cell r="A64">
            <v>38231</v>
          </cell>
          <cell r="B64">
            <v>14629.211722</v>
          </cell>
          <cell r="C64">
            <v>770.30550000000005</v>
          </cell>
          <cell r="D64">
            <v>659.54</v>
          </cell>
          <cell r="E64">
            <v>2108.1518780000001</v>
          </cell>
          <cell r="F64">
            <v>498.847578</v>
          </cell>
          <cell r="G64">
            <v>2606.999456</v>
          </cell>
          <cell r="H64">
            <v>66.098974994330675</v>
          </cell>
          <cell r="I64">
            <v>73.719453993388669</v>
          </cell>
          <cell r="J64">
            <v>57.184177373779754</v>
          </cell>
          <cell r="K64">
            <v>103.9934560937313</v>
          </cell>
          <cell r="M64">
            <v>86.838942598760624</v>
          </cell>
          <cell r="N64">
            <v>74.452978706704187</v>
          </cell>
          <cell r="R64">
            <v>83.638015993698531</v>
          </cell>
          <cell r="S64">
            <v>73.95355617101913</v>
          </cell>
          <cell r="AB64">
            <v>38805</v>
          </cell>
          <cell r="AC64">
            <v>30614.884912000001</v>
          </cell>
          <cell r="AD64">
            <v>1311.835</v>
          </cell>
          <cell r="AF64">
            <v>165.48396636860065</v>
          </cell>
          <cell r="AG64">
            <v>38804</v>
          </cell>
          <cell r="AH64">
            <v>36288.303980999997</v>
          </cell>
          <cell r="AI64">
            <v>1602.731</v>
          </cell>
          <cell r="AK64">
            <v>196.1507447382744</v>
          </cell>
          <cell r="AL64">
            <v>254.51769298077062</v>
          </cell>
          <cell r="BM64">
            <v>38789</v>
          </cell>
          <cell r="BN64">
            <v>23857.503650999999</v>
          </cell>
          <cell r="BO64">
            <v>1028.693</v>
          </cell>
          <cell r="BP64">
            <v>31313.183711500005</v>
          </cell>
          <cell r="BQ64">
            <v>1141.809</v>
          </cell>
          <cell r="BR64">
            <v>180.9245581518783</v>
          </cell>
          <cell r="BS64">
            <v>199.98038393198831</v>
          </cell>
        </row>
        <row r="65">
          <cell r="A65">
            <v>38261</v>
          </cell>
          <cell r="B65">
            <v>15189.089099000001</v>
          </cell>
          <cell r="C65">
            <v>647.91932999999995</v>
          </cell>
          <cell r="D65">
            <v>663.99400000000003</v>
          </cell>
          <cell r="E65">
            <v>2596.3947029999999</v>
          </cell>
          <cell r="F65">
            <v>697.13452299999994</v>
          </cell>
          <cell r="G65">
            <v>3293.5292259999997</v>
          </cell>
          <cell r="H65">
            <v>68.628661586162636</v>
          </cell>
          <cell r="I65">
            <v>62.006904065156235</v>
          </cell>
          <cell r="J65">
            <v>57.570353081125504</v>
          </cell>
          <cell r="K65">
            <v>131.37919387331542</v>
          </cell>
          <cell r="M65">
            <v>113.80660186734033</v>
          </cell>
          <cell r="N65">
            <v>82.807149344606032</v>
          </cell>
          <cell r="R65">
            <v>86.838942598760624</v>
          </cell>
          <cell r="S65">
            <v>74.452978706704187</v>
          </cell>
          <cell r="AB65">
            <v>38806</v>
          </cell>
          <cell r="AC65">
            <v>32363.678694999999</v>
          </cell>
          <cell r="AD65">
            <v>1279.0440000000001</v>
          </cell>
          <cell r="AF65">
            <v>174.93679731679589</v>
          </cell>
          <cell r="AG65">
            <v>38805</v>
          </cell>
          <cell r="AH65">
            <v>30614.884912000001</v>
          </cell>
          <cell r="AI65">
            <v>1311.835</v>
          </cell>
          <cell r="AK65">
            <v>165.48396636860065</v>
          </cell>
          <cell r="AL65">
            <v>208.32268033215132</v>
          </cell>
          <cell r="BM65">
            <v>38790</v>
          </cell>
          <cell r="BN65">
            <v>23122.249414999998</v>
          </cell>
          <cell r="BO65">
            <v>1029.9280000000001</v>
          </cell>
          <cell r="BP65">
            <v>30171.0580052</v>
          </cell>
          <cell r="BQ65">
            <v>1115.5128999999999</v>
          </cell>
          <cell r="BR65">
            <v>174.32546587591978</v>
          </cell>
          <cell r="BS65">
            <v>195.37479387803535</v>
          </cell>
        </row>
        <row r="66">
          <cell r="A66">
            <v>38292</v>
          </cell>
          <cell r="B66">
            <v>19906.030222000001</v>
          </cell>
          <cell r="C66">
            <v>1102.16644</v>
          </cell>
          <cell r="D66">
            <v>738.49900000000002</v>
          </cell>
          <cell r="E66">
            <v>2646.1828070000001</v>
          </cell>
          <cell r="F66">
            <v>718.81349499999999</v>
          </cell>
          <cell r="G66">
            <v>3364.996302</v>
          </cell>
          <cell r="H66">
            <v>89.941154648931857</v>
          </cell>
          <cell r="I66">
            <v>105.47907053323256</v>
          </cell>
          <cell r="J66">
            <v>64.030169218484062</v>
          </cell>
          <cell r="K66">
            <v>134.2300223278624</v>
          </cell>
          <cell r="M66">
            <v>104.98989907168141</v>
          </cell>
          <cell r="N66">
            <v>65.890643262676051</v>
          </cell>
          <cell r="R66">
            <v>113.80660186734033</v>
          </cell>
          <cell r="S66">
            <v>82.807149344606032</v>
          </cell>
          <cell r="AB66">
            <v>38807</v>
          </cell>
          <cell r="AC66">
            <v>33422.860898999999</v>
          </cell>
          <cell r="AD66">
            <v>1537.5170000000001</v>
          </cell>
          <cell r="AF66">
            <v>180.66204086184851</v>
          </cell>
          <cell r="AG66">
            <v>38806</v>
          </cell>
          <cell r="AH66">
            <v>32363.678694999999</v>
          </cell>
          <cell r="AI66">
            <v>1279.0440000000001</v>
          </cell>
          <cell r="AK66">
            <v>174.93679731679589</v>
          </cell>
          <cell r="AL66">
            <v>203.11538748604528</v>
          </cell>
          <cell r="BM66">
            <v>38791</v>
          </cell>
          <cell r="BN66">
            <v>28894.795739000001</v>
          </cell>
          <cell r="BO66">
            <v>1171.385</v>
          </cell>
          <cell r="BP66">
            <v>30069.384908500004</v>
          </cell>
          <cell r="BQ66">
            <v>1106.0898999999999</v>
          </cell>
          <cell r="BR66">
            <v>173.73800852038985</v>
          </cell>
          <cell r="BS66">
            <v>193.72441701308588</v>
          </cell>
        </row>
        <row r="67">
          <cell r="A67">
            <v>38322</v>
          </cell>
          <cell r="B67">
            <v>18363.891634</v>
          </cell>
          <cell r="C67">
            <v>780.44448</v>
          </cell>
          <cell r="D67">
            <v>587.63252380952383</v>
          </cell>
          <cell r="E67">
            <v>2354.1417940000001</v>
          </cell>
          <cell r="F67">
            <v>617.46794899999998</v>
          </cell>
          <cell r="G67">
            <v>2971.609743</v>
          </cell>
          <cell r="H67">
            <v>82.973330141155245</v>
          </cell>
          <cell r="I67">
            <v>74.689770406357141</v>
          </cell>
          <cell r="J67">
            <v>50.949574661317989</v>
          </cell>
          <cell r="K67">
            <v>118.53779509817228</v>
          </cell>
          <cell r="M67">
            <v>109.73302138252843</v>
          </cell>
          <cell r="N67">
            <v>87.415987351849552</v>
          </cell>
          <cell r="R67">
            <v>104.98989907168141</v>
          </cell>
          <cell r="S67">
            <v>65.890643262676051</v>
          </cell>
          <cell r="AB67">
            <v>38810</v>
          </cell>
          <cell r="AC67">
            <v>31717.103378</v>
          </cell>
          <cell r="AD67">
            <v>1335.9390000000001</v>
          </cell>
          <cell r="AF67">
            <v>171.44183568879203</v>
          </cell>
          <cell r="AG67">
            <v>38807</v>
          </cell>
          <cell r="AH67">
            <v>33422.860898999999</v>
          </cell>
          <cell r="AI67">
            <v>1537.5170000000001</v>
          </cell>
          <cell r="AK67">
            <v>180.66204086184851</v>
          </cell>
          <cell r="AL67">
            <v>244.16154660932841</v>
          </cell>
          <cell r="BM67">
            <v>38792</v>
          </cell>
          <cell r="BN67">
            <v>24470.120062999998</v>
          </cell>
          <cell r="BO67">
            <v>1207.4549999999999</v>
          </cell>
          <cell r="BP67">
            <v>29826.919615300001</v>
          </cell>
          <cell r="BQ67">
            <v>1077.5962000000002</v>
          </cell>
          <cell r="BR67">
            <v>172.33706742019552</v>
          </cell>
          <cell r="BS67">
            <v>188.7339316817889</v>
          </cell>
        </row>
        <row r="68">
          <cell r="A68">
            <v>38353</v>
          </cell>
          <cell r="B68">
            <v>19193.516054</v>
          </cell>
          <cell r="C68">
            <v>1027.3289500000001</v>
          </cell>
          <cell r="D68">
            <v>779.60199999999998</v>
          </cell>
          <cell r="E68">
            <v>2129.2334989999999</v>
          </cell>
          <cell r="F68">
            <v>657.68415700000003</v>
          </cell>
          <cell r="G68">
            <v>2786.9176560000001</v>
          </cell>
          <cell r="H68">
            <v>86.721811251029351</v>
          </cell>
          <cell r="I68">
            <v>98.317004442524819</v>
          </cell>
          <cell r="J68">
            <v>67.593927660116819</v>
          </cell>
          <cell r="K68">
            <v>111.17041019285911</v>
          </cell>
          <cell r="M68">
            <v>96.379198884970791</v>
          </cell>
          <cell r="N68">
            <v>94.320890752721937</v>
          </cell>
          <cell r="R68">
            <v>109.73302138252843</v>
          </cell>
          <cell r="S68">
            <v>87.415987351849552</v>
          </cell>
          <cell r="AB68">
            <v>38811</v>
          </cell>
          <cell r="AC68">
            <v>32185.441349000001</v>
          </cell>
          <cell r="AD68">
            <v>1183.482</v>
          </cell>
          <cell r="AF68">
            <v>173.97336325340243</v>
          </cell>
          <cell r="AG68">
            <v>38810</v>
          </cell>
          <cell r="AH68">
            <v>31717.103378</v>
          </cell>
          <cell r="AI68">
            <v>1335.9390000000001</v>
          </cell>
          <cell r="AK68">
            <v>171.44183568879203</v>
          </cell>
          <cell r="AL68">
            <v>212.15045584258229</v>
          </cell>
          <cell r="BM68">
            <v>38793</v>
          </cell>
          <cell r="BN68">
            <v>30888.422585</v>
          </cell>
          <cell r="BO68">
            <v>1160.8119999999999</v>
          </cell>
          <cell r="BP68">
            <v>29141.3486453</v>
          </cell>
          <cell r="BQ68">
            <v>1096.3130999999998</v>
          </cell>
          <cell r="BR68">
            <v>168.37590441704003</v>
          </cell>
          <cell r="BS68">
            <v>192.01207439043506</v>
          </cell>
        </row>
        <row r="69">
          <cell r="A69">
            <v>38384</v>
          </cell>
          <cell r="B69">
            <v>16857.785175000001</v>
          </cell>
          <cell r="C69">
            <v>968.39868999999999</v>
          </cell>
          <cell r="D69">
            <v>841.18200000000002</v>
          </cell>
          <cell r="E69">
            <v>2731.1274749999998</v>
          </cell>
          <cell r="F69">
            <v>974.99004200000002</v>
          </cell>
          <cell r="G69">
            <v>3706.1175169999997</v>
          </cell>
          <cell r="H69">
            <v>76.168309128127561</v>
          </cell>
          <cell r="I69">
            <v>92.67728540781917</v>
          </cell>
          <cell r="J69">
            <v>72.933105939944213</v>
          </cell>
          <cell r="K69">
            <v>147.8373800175998</v>
          </cell>
          <cell r="M69">
            <v>106.36746291513342</v>
          </cell>
          <cell r="N69">
            <v>81.417198344976043</v>
          </cell>
          <cell r="R69">
            <v>96.379198884970791</v>
          </cell>
          <cell r="S69">
            <v>94.320890752721937</v>
          </cell>
          <cell r="AB69">
            <v>38813</v>
          </cell>
          <cell r="AC69">
            <v>45687.759738000001</v>
          </cell>
          <cell r="AD69">
            <v>1358.7940000000001</v>
          </cell>
          <cell r="AF69">
            <v>246.95803096017528</v>
          </cell>
          <cell r="AG69">
            <v>38811</v>
          </cell>
          <cell r="AH69">
            <v>32185.441349000001</v>
          </cell>
          <cell r="AI69">
            <v>1183.482</v>
          </cell>
          <cell r="AK69">
            <v>173.97336325340243</v>
          </cell>
          <cell r="AL69">
            <v>187.9399027811082</v>
          </cell>
          <cell r="BM69">
            <v>38796</v>
          </cell>
          <cell r="BN69">
            <v>28356.393177000002</v>
          </cell>
          <cell r="BO69">
            <v>1186.134</v>
          </cell>
          <cell r="BP69">
            <v>29179.288564900002</v>
          </cell>
          <cell r="BQ69">
            <v>1097.1176</v>
          </cell>
          <cell r="BR69">
            <v>168.59511761660451</v>
          </cell>
          <cell r="BS69">
            <v>192.15297730753707</v>
          </cell>
        </row>
        <row r="70">
          <cell r="A70">
            <v>38412</v>
          </cell>
          <cell r="B70">
            <v>18604.842747999999</v>
          </cell>
          <cell r="C70">
            <v>861.21056999999996</v>
          </cell>
          <cell r="D70">
            <v>726.10299999999995</v>
          </cell>
          <cell r="E70">
            <v>2576.7221209999998</v>
          </cell>
          <cell r="F70">
            <v>1016.293666</v>
          </cell>
          <cell r="G70">
            <v>3593.0157869999998</v>
          </cell>
          <cell r="H70">
            <v>84.062016391774677</v>
          </cell>
          <cell r="I70">
            <v>82.419212888568268</v>
          </cell>
          <cell r="J70">
            <v>62.955397312723413</v>
          </cell>
          <cell r="K70">
            <v>143.3257412576414</v>
          </cell>
          <cell r="M70">
            <v>85.336124254752534</v>
          </cell>
          <cell r="N70">
            <v>70.45501945438032</v>
          </cell>
          <cell r="R70">
            <v>106.36746291513342</v>
          </cell>
          <cell r="S70">
            <v>81.417198344976043</v>
          </cell>
          <cell r="AB70">
            <v>38814</v>
          </cell>
          <cell r="AC70">
            <v>42549.500663999999</v>
          </cell>
          <cell r="AD70">
            <v>1139.8699999999999</v>
          </cell>
          <cell r="AF70">
            <v>229.99466295959161</v>
          </cell>
          <cell r="AG70">
            <v>38813</v>
          </cell>
          <cell r="AH70">
            <v>45687.759738000001</v>
          </cell>
          <cell r="AI70">
            <v>1358.7940000000001</v>
          </cell>
          <cell r="AK70">
            <v>246.95803096017528</v>
          </cell>
          <cell r="AL70">
            <v>215.77988702790006</v>
          </cell>
          <cell r="BM70">
            <v>38797</v>
          </cell>
          <cell r="BN70">
            <v>27047.487112999999</v>
          </cell>
          <cell r="BO70">
            <v>2030.6769999999999</v>
          </cell>
          <cell r="BP70">
            <v>28097.242834599998</v>
          </cell>
          <cell r="BQ70">
            <v>1182.3492000000001</v>
          </cell>
          <cell r="BR70">
            <v>162.34316165267751</v>
          </cell>
          <cell r="BS70">
            <v>207.08073500706269</v>
          </cell>
        </row>
        <row r="71">
          <cell r="A71">
            <v>38443</v>
          </cell>
          <cell r="B71">
            <v>14926.229590999999</v>
          </cell>
          <cell r="C71">
            <v>664.39885000000004</v>
          </cell>
          <cell r="D71">
            <v>628.33900000000006</v>
          </cell>
          <cell r="E71">
            <v>2413.8546489999999</v>
          </cell>
          <cell r="F71">
            <v>911.29988200000003</v>
          </cell>
          <cell r="G71">
            <v>3325.1545310000001</v>
          </cell>
          <cell r="H71">
            <v>67.44098692696106</v>
          </cell>
          <cell r="I71">
            <v>63.584020178793146</v>
          </cell>
          <cell r="J71">
            <v>54.478953250543412</v>
          </cell>
          <cell r="K71">
            <v>132.64073029573359</v>
          </cell>
          <cell r="M71">
            <v>77.876745773041762</v>
          </cell>
          <cell r="N71">
            <v>77.921240595180691</v>
          </cell>
          <cell r="R71">
            <v>85.336124254752534</v>
          </cell>
          <cell r="S71">
            <v>70.45501945438032</v>
          </cell>
          <cell r="AB71">
            <v>38817</v>
          </cell>
          <cell r="AC71">
            <v>31555.148173000001</v>
          </cell>
          <cell r="AD71">
            <v>1085.6120000000001</v>
          </cell>
          <cell r="AF71">
            <v>170.56641218893316</v>
          </cell>
          <cell r="AG71">
            <v>38814</v>
          </cell>
          <cell r="AH71">
            <v>42549.500663999999</v>
          </cell>
          <cell r="AI71">
            <v>1139.8699999999999</v>
          </cell>
          <cell r="AK71">
            <v>229.99466295959161</v>
          </cell>
          <cell r="AL71">
            <v>181.0142080598622</v>
          </cell>
          <cell r="BM71">
            <v>38798</v>
          </cell>
          <cell r="BN71">
            <v>33688.246325</v>
          </cell>
          <cell r="BO71">
            <v>1710.9570000000001</v>
          </cell>
          <cell r="BP71">
            <v>27347.994443399999</v>
          </cell>
          <cell r="BQ71">
            <v>1227.8278</v>
          </cell>
          <cell r="BR71">
            <v>158.01407664577414</v>
          </cell>
          <cell r="BS71">
            <v>215.04601456668198</v>
          </cell>
        </row>
        <row r="72">
          <cell r="A72">
            <v>38473</v>
          </cell>
          <cell r="B72">
            <v>13621.502</v>
          </cell>
          <cell r="C72">
            <v>624.21540000000005</v>
          </cell>
          <cell r="D72">
            <v>694.92499999999995</v>
          </cell>
          <cell r="E72">
            <v>2559.2690910000001</v>
          </cell>
          <cell r="F72">
            <v>795.9135</v>
          </cell>
          <cell r="G72">
            <v>3355.1825910000002</v>
          </cell>
          <cell r="H72">
            <v>61.545853405704456</v>
          </cell>
          <cell r="I72">
            <v>59.738400494692954</v>
          </cell>
          <cell r="J72">
            <v>60.252167361303179</v>
          </cell>
          <cell r="K72">
            <v>133.83855246328449</v>
          </cell>
          <cell r="M72">
            <v>97.756880096662655</v>
          </cell>
          <cell r="N72">
            <v>85.57909018534923</v>
          </cell>
          <cell r="R72">
            <v>77.876745773041762</v>
          </cell>
          <cell r="S72">
            <v>77.921240595180691</v>
          </cell>
          <cell r="AB72">
            <v>38818</v>
          </cell>
          <cell r="AC72">
            <v>29980.363442999998</v>
          </cell>
          <cell r="AD72">
            <v>1545.0809999999999</v>
          </cell>
          <cell r="AF72">
            <v>162.05415992843356</v>
          </cell>
          <cell r="AG72">
            <v>38817</v>
          </cell>
          <cell r="AH72">
            <v>31555.148173000001</v>
          </cell>
          <cell r="AI72">
            <v>1085.6120000000001</v>
          </cell>
          <cell r="AK72">
            <v>170.56641218893316</v>
          </cell>
          <cell r="AL72">
            <v>172.39790190134238</v>
          </cell>
          <cell r="BM72">
            <v>38799</v>
          </cell>
          <cell r="BN72">
            <v>27593.894093999999</v>
          </cell>
          <cell r="BO72">
            <v>1173.9069999999999</v>
          </cell>
          <cell r="BP72">
            <v>27312.997367299999</v>
          </cell>
          <cell r="BQ72">
            <v>1252.6023</v>
          </cell>
          <cell r="BR72">
            <v>157.81186691238076</v>
          </cell>
          <cell r="BS72">
            <v>219.38510632521866</v>
          </cell>
        </row>
        <row r="73">
          <cell r="A73">
            <v>38504</v>
          </cell>
          <cell r="B73">
            <v>17098.756818000002</v>
          </cell>
          <cell r="C73">
            <v>639.50809000000004</v>
          </cell>
          <cell r="D73">
            <v>763.22</v>
          </cell>
          <cell r="E73">
            <v>2829.3514289999998</v>
          </cell>
          <cell r="F73">
            <v>848.21233299999994</v>
          </cell>
          <cell r="G73">
            <v>3677.5637619999998</v>
          </cell>
          <cell r="H73">
            <v>77.25708813465782</v>
          </cell>
          <cell r="I73">
            <v>61.201935101274572</v>
          </cell>
          <cell r="J73">
            <v>66.173557108312139</v>
          </cell>
          <cell r="K73">
            <v>146.69836801663078</v>
          </cell>
          <cell r="M73">
            <v>119.02894985577342</v>
          </cell>
          <cell r="N73">
            <v>117.78724644831414</v>
          </cell>
          <cell r="R73">
            <v>97.756880096662655</v>
          </cell>
          <cell r="S73">
            <v>85.57909018534923</v>
          </cell>
          <cell r="AB73">
            <v>38819</v>
          </cell>
          <cell r="AC73">
            <v>34051.362977999997</v>
          </cell>
          <cell r="AD73">
            <v>1370.2</v>
          </cell>
          <cell r="AF73">
            <v>184.0593104319544</v>
          </cell>
          <cell r="AG73">
            <v>38818</v>
          </cell>
          <cell r="AH73">
            <v>29980.363442999998</v>
          </cell>
          <cell r="AI73">
            <v>1545.0809999999999</v>
          </cell>
          <cell r="AK73">
            <v>162.05415992843356</v>
          </cell>
          <cell r="AL73">
            <v>245.36272873515395</v>
          </cell>
          <cell r="BM73">
            <v>38800</v>
          </cell>
          <cell r="BN73">
            <v>27278.296883999999</v>
          </cell>
          <cell r="BO73">
            <v>1075.5740000000001</v>
          </cell>
          <cell r="BP73">
            <v>27519.740904599999</v>
          </cell>
          <cell r="BQ73">
            <v>1277.5522000000001</v>
          </cell>
          <cell r="BR73">
            <v>159.00641114912733</v>
          </cell>
          <cell r="BS73">
            <v>223.75491824740945</v>
          </cell>
        </row>
        <row r="74">
          <cell r="A74">
            <v>38534</v>
          </cell>
          <cell r="B74">
            <v>20819.476500000001</v>
          </cell>
          <cell r="C74">
            <v>768.06642999999997</v>
          </cell>
          <cell r="D74">
            <v>1050.462</v>
          </cell>
          <cell r="E74">
            <v>2401.303093</v>
          </cell>
          <cell r="F74">
            <v>710.59036600000002</v>
          </cell>
          <cell r="G74">
            <v>3111.8934589999999</v>
          </cell>
          <cell r="H74">
            <v>94.068366957807498</v>
          </cell>
          <cell r="I74">
            <v>73.505171455028261</v>
          </cell>
          <cell r="J74">
            <v>91.078335404092897</v>
          </cell>
          <cell r="K74">
            <v>124.13372586330378</v>
          </cell>
          <cell r="M74">
            <v>128.69996911154246</v>
          </cell>
          <cell r="N74">
            <v>117.88064989964455</v>
          </cell>
          <cell r="R74">
            <v>119.02894985577342</v>
          </cell>
          <cell r="S74">
            <v>117.78724644831414</v>
          </cell>
          <cell r="AB74">
            <v>38820</v>
          </cell>
          <cell r="AC74">
            <v>27834.921267999998</v>
          </cell>
          <cell r="AD74">
            <v>1324.8040000000001</v>
          </cell>
          <cell r="AF74">
            <v>150.45730820895136</v>
          </cell>
          <cell r="AG74">
            <v>38819</v>
          </cell>
          <cell r="AH74">
            <v>34051.362977999997</v>
          </cell>
          <cell r="AI74">
            <v>1370.2</v>
          </cell>
          <cell r="AK74">
            <v>184.0593104319544</v>
          </cell>
          <cell r="AL74">
            <v>217.59118836676393</v>
          </cell>
          <cell r="BM74">
            <v>38803</v>
          </cell>
          <cell r="BN74">
            <v>29416.649183000001</v>
          </cell>
          <cell r="BO74">
            <v>1072.1569999999999</v>
          </cell>
          <cell r="BP74">
            <v>28075.6554578</v>
          </cell>
          <cell r="BQ74">
            <v>1281.8986</v>
          </cell>
          <cell r="BR74">
            <v>162.21843186968314</v>
          </cell>
          <cell r="BS74">
            <v>224.51616180103531</v>
          </cell>
        </row>
        <row r="75">
          <cell r="A75">
            <v>38565</v>
          </cell>
          <cell r="B75">
            <v>22511.044462000002</v>
          </cell>
          <cell r="C75">
            <v>634.72973000000002</v>
          </cell>
          <cell r="D75">
            <v>1051.2950000000001</v>
          </cell>
          <cell r="E75">
            <v>2769.5926370000002</v>
          </cell>
          <cell r="F75">
            <v>944.83583899999996</v>
          </cell>
          <cell r="G75">
            <v>3714.428476</v>
          </cell>
          <cell r="H75">
            <v>101.7113562415912</v>
          </cell>
          <cell r="I75">
            <v>60.744638495987644</v>
          </cell>
          <cell r="J75">
            <v>91.150559105085051</v>
          </cell>
          <cell r="K75">
            <v>148.16890496206196</v>
          </cell>
          <cell r="M75">
            <v>103.34946720109795</v>
          </cell>
          <cell r="N75">
            <v>95.15658813899509</v>
          </cell>
          <cell r="R75">
            <v>128.69996911154246</v>
          </cell>
          <cell r="S75">
            <v>117.88064989964455</v>
          </cell>
          <cell r="AB75">
            <v>38825</v>
          </cell>
          <cell r="AC75">
            <v>35480.765836999999</v>
          </cell>
          <cell r="AD75">
            <v>1480.69</v>
          </cell>
          <cell r="AF75">
            <v>191.78572375429292</v>
          </cell>
          <cell r="AG75">
            <v>38820</v>
          </cell>
          <cell r="AH75">
            <v>27834.921267999998</v>
          </cell>
          <cell r="AI75">
            <v>1324.8040000000001</v>
          </cell>
          <cell r="AK75">
            <v>150.45730820895136</v>
          </cell>
          <cell r="AL75">
            <v>210.38218998178539</v>
          </cell>
          <cell r="BM75">
            <v>38804</v>
          </cell>
          <cell r="BN75">
            <v>36288.303980999997</v>
          </cell>
          <cell r="BO75">
            <v>1602.731</v>
          </cell>
          <cell r="BP75">
            <v>29392.260914399998</v>
          </cell>
          <cell r="BQ75">
            <v>1339.1788999999999</v>
          </cell>
          <cell r="BR75">
            <v>169.82565133003536</v>
          </cell>
          <cell r="BS75">
            <v>234.54843198434921</v>
          </cell>
        </row>
        <row r="76">
          <cell r="A76">
            <v>38596</v>
          </cell>
          <cell r="B76">
            <v>18076.962002</v>
          </cell>
          <cell r="C76">
            <v>667.96</v>
          </cell>
          <cell r="D76">
            <v>848.63499999999999</v>
          </cell>
          <cell r="E76">
            <v>3076.0919760000002</v>
          </cell>
          <cell r="F76">
            <v>982.34727399999997</v>
          </cell>
          <cell r="G76">
            <v>4058.4392500000004</v>
          </cell>
          <cell r="H76">
            <v>81.676899757132631</v>
          </cell>
          <cell r="I76">
            <v>63.924827863002278</v>
          </cell>
          <cell r="J76">
            <v>73.579304311486155</v>
          </cell>
          <cell r="K76">
            <v>161.89152743496038</v>
          </cell>
          <cell r="M76">
            <v>109.0851914402365</v>
          </cell>
          <cell r="N76">
            <v>110.51781169056882</v>
          </cell>
          <cell r="R76">
            <v>103.34946720109795</v>
          </cell>
          <cell r="S76">
            <v>95.15658813899509</v>
          </cell>
          <cell r="AB76">
            <v>38826</v>
          </cell>
          <cell r="AC76">
            <v>47686.362372000003</v>
          </cell>
          <cell r="AD76">
            <v>2076.8009999999999</v>
          </cell>
          <cell r="AF76">
            <v>257.76116453456984</v>
          </cell>
          <cell r="AG76">
            <v>38825</v>
          </cell>
          <cell r="AH76">
            <v>35480.765836999999</v>
          </cell>
          <cell r="AI76">
            <v>1480.69</v>
          </cell>
          <cell r="AK76">
            <v>191.78572375429292</v>
          </cell>
          <cell r="AL76">
            <v>235.13727682293367</v>
          </cell>
          <cell r="BM76">
            <v>38805</v>
          </cell>
          <cell r="BN76">
            <v>30614.884912000001</v>
          </cell>
          <cell r="BO76">
            <v>1311.835</v>
          </cell>
          <cell r="BP76">
            <v>29564.269831699999</v>
          </cell>
          <cell r="BQ76">
            <v>1353.2238999999997</v>
          </cell>
          <cell r="BR76">
            <v>170.81950227944412</v>
          </cell>
          <cell r="BS76">
            <v>237.00832194171051</v>
          </cell>
        </row>
        <row r="77">
          <cell r="A77">
            <v>38626</v>
          </cell>
          <cell r="B77">
            <v>19080.203450000001</v>
          </cell>
          <cell r="C77">
            <v>624.55533000000003</v>
          </cell>
          <cell r="D77">
            <v>985.63099999999997</v>
          </cell>
          <cell r="E77">
            <v>2666.9735559999999</v>
          </cell>
          <cell r="F77">
            <v>974.94179499999996</v>
          </cell>
          <cell r="G77">
            <v>3641.9153509999996</v>
          </cell>
          <cell r="H77">
            <v>86.209832402088722</v>
          </cell>
          <cell r="I77">
            <v>59.770932333029791</v>
          </cell>
          <cell r="J77">
            <v>85.457285273214538</v>
          </cell>
          <cell r="K77">
            <v>145.27634951347858</v>
          </cell>
          <cell r="M77">
            <v>102.436117020469</v>
          </cell>
          <cell r="N77">
            <v>87.263940437078816</v>
          </cell>
          <cell r="R77">
            <v>109.0851914402365</v>
          </cell>
          <cell r="S77">
            <v>110.51781169056882</v>
          </cell>
          <cell r="AB77">
            <v>38827</v>
          </cell>
          <cell r="AC77">
            <v>39434.390621999999</v>
          </cell>
          <cell r="AD77">
            <v>1483.6959999999999</v>
          </cell>
          <cell r="AF77">
            <v>213.15642342654803</v>
          </cell>
          <cell r="AG77">
            <v>38826</v>
          </cell>
          <cell r="AH77">
            <v>47686.362372000003</v>
          </cell>
          <cell r="AI77">
            <v>2076.8009999999999</v>
          </cell>
          <cell r="AK77">
            <v>257.76116453456984</v>
          </cell>
          <cell r="AL77">
            <v>329.80119514763072</v>
          </cell>
          <cell r="BM77">
            <v>38806</v>
          </cell>
          <cell r="BN77">
            <v>32363.678694999999</v>
          </cell>
          <cell r="BO77">
            <v>1279.0440000000001</v>
          </cell>
          <cell r="BP77">
            <v>30353.625694900002</v>
          </cell>
          <cell r="BQ77">
            <v>1360.3827999999999</v>
          </cell>
          <cell r="BR77">
            <v>175.38032439481418</v>
          </cell>
          <cell r="BS77">
            <v>238.26215648893401</v>
          </cell>
        </row>
        <row r="78">
          <cell r="A78">
            <v>38657</v>
          </cell>
          <cell r="B78">
            <v>17917.206978999999</v>
          </cell>
          <cell r="C78">
            <v>585.42605000000003</v>
          </cell>
          <cell r="D78">
            <v>778.24599999999998</v>
          </cell>
          <cell r="E78">
            <v>2794.5666270000002</v>
          </cell>
          <cell r="F78">
            <v>834.52747299999999</v>
          </cell>
          <cell r="G78">
            <v>3629.0941000000003</v>
          </cell>
          <cell r="H78">
            <v>80.955080736999392</v>
          </cell>
          <cell r="I78">
            <v>56.026198384285529</v>
          </cell>
          <cell r="J78">
            <v>67.476358226088777</v>
          </cell>
          <cell r="K78">
            <v>144.76490859243557</v>
          </cell>
          <cell r="M78">
            <v>108.49928655695234</v>
          </cell>
          <cell r="N78">
            <v>70.839285514055362</v>
          </cell>
          <cell r="R78">
            <v>102.436117020469</v>
          </cell>
          <cell r="S78">
            <v>87.263940437078816</v>
          </cell>
          <cell r="AB78">
            <v>38828</v>
          </cell>
          <cell r="AC78">
            <v>40860.504709000001</v>
          </cell>
          <cell r="AD78">
            <v>1347.8810000000001</v>
          </cell>
          <cell r="AF78">
            <v>220.86505980683347</v>
          </cell>
          <cell r="AG78">
            <v>38827</v>
          </cell>
          <cell r="AH78">
            <v>39434.390621999999</v>
          </cell>
          <cell r="AI78">
            <v>1483.6959999999999</v>
          </cell>
          <cell r="AK78">
            <v>213.15642342654803</v>
          </cell>
          <cell r="AL78">
            <v>235.61463714422283</v>
          </cell>
          <cell r="BM78">
            <v>38807</v>
          </cell>
          <cell r="BN78">
            <v>33422.860898999999</v>
          </cell>
          <cell r="BO78">
            <v>1537.5170000000001</v>
          </cell>
          <cell r="BP78">
            <v>30607.069526300002</v>
          </cell>
          <cell r="BQ78">
            <v>1398.0532999999998</v>
          </cell>
          <cell r="BR78">
            <v>176.84469843083801</v>
          </cell>
          <cell r="BS78">
            <v>244.85989836424758</v>
          </cell>
        </row>
        <row r="79">
          <cell r="A79">
            <v>38687</v>
          </cell>
          <cell r="B79">
            <v>18977.722222</v>
          </cell>
          <cell r="C79">
            <v>515.12171000000001</v>
          </cell>
          <cell r="D79">
            <v>631.76599999999996</v>
          </cell>
          <cell r="E79">
            <v>2251.6857599999998</v>
          </cell>
          <cell r="F79">
            <v>963.66329900000005</v>
          </cell>
          <cell r="G79">
            <v>3215.3490590000001</v>
          </cell>
          <cell r="H79">
            <v>85.74679281692957</v>
          </cell>
          <cell r="I79">
            <v>49.297961914254415</v>
          </cell>
          <cell r="J79">
            <v>54.776084851143736</v>
          </cell>
          <cell r="K79">
            <v>128.26057958070274</v>
          </cell>
          <cell r="M79">
            <v>173.29629578546729</v>
          </cell>
          <cell r="N79">
            <v>129.64129935077312</v>
          </cell>
          <cell r="R79">
            <v>108.49928655695234</v>
          </cell>
          <cell r="S79">
            <v>70.839285514055362</v>
          </cell>
          <cell r="AB79">
            <v>38831</v>
          </cell>
          <cell r="AC79">
            <v>41694.976210000001</v>
          </cell>
          <cell r="AD79">
            <v>1238.7650000000001</v>
          </cell>
          <cell r="AF79">
            <v>225.37566483455035</v>
          </cell>
          <cell r="AG79">
            <v>38828</v>
          </cell>
          <cell r="AH79">
            <v>40860.504709000001</v>
          </cell>
          <cell r="AI79">
            <v>1347.8810000000001</v>
          </cell>
          <cell r="AK79">
            <v>220.86505980683347</v>
          </cell>
          <cell r="AL79">
            <v>214.04687532256759</v>
          </cell>
          <cell r="BM79">
            <v>38810</v>
          </cell>
          <cell r="BN79">
            <v>31717.103378</v>
          </cell>
          <cell r="BO79">
            <v>1335.9390000000001</v>
          </cell>
          <cell r="BP79">
            <v>30943.140546400005</v>
          </cell>
          <cell r="BQ79">
            <v>1413.0337999999999</v>
          </cell>
          <cell r="BR79">
            <v>178.78648440122828</v>
          </cell>
          <cell r="BS79">
            <v>247.48363503254603</v>
          </cell>
        </row>
        <row r="80">
          <cell r="A80">
            <v>38718</v>
          </cell>
          <cell r="B80">
            <v>30311.434000000001</v>
          </cell>
          <cell r="C80">
            <v>746.81061</v>
          </cell>
          <cell r="D80">
            <v>1156.18</v>
          </cell>
          <cell r="E80">
            <v>2385.7148990000001</v>
          </cell>
          <cell r="F80">
            <v>1116.7458819999999</v>
          </cell>
          <cell r="G80">
            <v>3502.4607809999998</v>
          </cell>
          <cell r="H80">
            <v>136.95575373998298</v>
          </cell>
          <cell r="I80">
            <v>71.470955881360737</v>
          </cell>
          <cell r="J80">
            <v>100.24441610215709</v>
          </cell>
          <cell r="K80">
            <v>139.71349346109693</v>
          </cell>
          <cell r="M80">
            <v>100</v>
          </cell>
          <cell r="N80">
            <v>100</v>
          </cell>
          <cell r="O80">
            <v>100</v>
          </cell>
          <cell r="P80">
            <v>100</v>
          </cell>
          <cell r="R80">
            <v>173.29629578546729</v>
          </cell>
          <cell r="S80">
            <v>129.64129935077312</v>
          </cell>
          <cell r="AB80">
            <v>38832</v>
          </cell>
          <cell r="AC80">
            <v>40269.516774999996</v>
          </cell>
          <cell r="AD80">
            <v>1266.6389999999999</v>
          </cell>
          <cell r="AF80">
            <v>217.67056707313807</v>
          </cell>
          <cell r="AG80">
            <v>38831</v>
          </cell>
          <cell r="AH80">
            <v>41694.976210000001</v>
          </cell>
          <cell r="AI80">
            <v>1238.7650000000001</v>
          </cell>
          <cell r="AK80">
            <v>225.37566483455035</v>
          </cell>
          <cell r="AL80">
            <v>196.71898150427262</v>
          </cell>
          <cell r="BM80">
            <v>38811</v>
          </cell>
          <cell r="BN80">
            <v>32185.441349000001</v>
          </cell>
          <cell r="BO80">
            <v>1183.482</v>
          </cell>
          <cell r="BP80">
            <v>31456.935970000002</v>
          </cell>
          <cell r="BQ80">
            <v>1328.3143</v>
          </cell>
          <cell r="BR80">
            <v>181.75514484954761</v>
          </cell>
          <cell r="BS80">
            <v>232.64556830113472</v>
          </cell>
        </row>
        <row r="81">
          <cell r="A81">
            <v>38749</v>
          </cell>
          <cell r="B81">
            <v>32616.467000000001</v>
          </cell>
          <cell r="C81">
            <v>1042.9889444444443</v>
          </cell>
          <cell r="D81">
            <v>1209.8569500000001</v>
          </cell>
          <cell r="E81">
            <v>3232.1390849999998</v>
          </cell>
          <cell r="F81">
            <v>1381.402906</v>
          </cell>
          <cell r="G81">
            <v>4613.5419910000001</v>
          </cell>
          <cell r="H81">
            <v>147.37055403978187</v>
          </cell>
          <cell r="I81">
            <v>99.815690665048123</v>
          </cell>
          <cell r="J81">
            <v>104.89837527018861</v>
          </cell>
          <cell r="K81">
            <v>184.03462853566631</v>
          </cell>
          <cell r="M81">
            <v>107.60450000484964</v>
          </cell>
          <cell r="N81">
            <v>139.65909569019706</v>
          </cell>
          <cell r="O81">
            <v>104.64261187704338</v>
          </cell>
          <cell r="P81">
            <v>131.72287370146574</v>
          </cell>
          <cell r="R81">
            <v>186.47461260687743</v>
          </cell>
          <cell r="S81">
            <v>135.66004171198546</v>
          </cell>
          <cell r="AB81">
            <v>38833</v>
          </cell>
          <cell r="AC81">
            <v>32285.905069</v>
          </cell>
          <cell r="AD81">
            <v>1109.682</v>
          </cell>
          <cell r="AF81">
            <v>174.51640416012253</v>
          </cell>
          <cell r="AG81">
            <v>38832</v>
          </cell>
          <cell r="AH81">
            <v>40269.516774999996</v>
          </cell>
          <cell r="AI81">
            <v>1266.6389999999999</v>
          </cell>
          <cell r="AK81">
            <v>217.67056707313807</v>
          </cell>
          <cell r="AL81">
            <v>201.14544244759119</v>
          </cell>
          <cell r="BM81">
            <v>38813</v>
          </cell>
          <cell r="BN81">
            <v>45687.759738000001</v>
          </cell>
          <cell r="BO81">
            <v>1358.7940000000001</v>
          </cell>
          <cell r="BP81">
            <v>32656.887311300001</v>
          </cell>
          <cell r="BQ81">
            <v>1293.098</v>
          </cell>
          <cell r="BR81">
            <v>188.68834807246753</v>
          </cell>
          <cell r="BS81">
            <v>226.47766351612768</v>
          </cell>
        </row>
        <row r="82">
          <cell r="A82">
            <v>38777</v>
          </cell>
          <cell r="B82">
            <v>30088.461465304346</v>
          </cell>
          <cell r="C82">
            <v>924.35</v>
          </cell>
          <cell r="D82">
            <v>1246.7529999999999</v>
          </cell>
          <cell r="E82">
            <v>3173.8259480000002</v>
          </cell>
          <cell r="F82">
            <v>1190.5500300000001</v>
          </cell>
          <cell r="G82">
            <v>4364.375978</v>
          </cell>
          <cell r="H82">
            <v>135.9482998678713</v>
          </cell>
          <cell r="I82">
            <v>88.461756145826314</v>
          </cell>
          <cell r="J82">
            <v>108.09737801087429</v>
          </cell>
          <cell r="K82">
            <v>174.09537259400125</v>
          </cell>
          <cell r="M82">
            <v>99.264394635055353</v>
          </cell>
          <cell r="N82">
            <v>123.77301388366723</v>
          </cell>
          <cell r="O82">
            <v>107.83381480392325</v>
          </cell>
          <cell r="P82">
            <v>124.60884649089239</v>
          </cell>
          <cell r="R82">
            <v>172.02151893641906</v>
          </cell>
          <cell r="S82">
            <v>139.79715865131246</v>
          </cell>
          <cell r="AB82">
            <v>38834</v>
          </cell>
          <cell r="AC82">
            <v>30505.864612000001</v>
          </cell>
          <cell r="AD82">
            <v>1402.2149999999999</v>
          </cell>
          <cell r="AF82">
            <v>164.89467420857613</v>
          </cell>
          <cell r="AG82">
            <v>38833</v>
          </cell>
          <cell r="AH82">
            <v>32285.905069</v>
          </cell>
          <cell r="AI82">
            <v>1109.682</v>
          </cell>
          <cell r="AK82">
            <v>174.51640416012253</v>
          </cell>
          <cell r="AL82">
            <v>176.22027812670217</v>
          </cell>
          <cell r="BM82">
            <v>38814</v>
          </cell>
          <cell r="BN82">
            <v>42549.500663999999</v>
          </cell>
          <cell r="BO82">
            <v>1139.8699999999999</v>
          </cell>
          <cell r="BP82">
            <v>34152.447968300003</v>
          </cell>
          <cell r="BQ82">
            <v>1289.6942999999999</v>
          </cell>
          <cell r="BR82">
            <v>197.32955343663764</v>
          </cell>
          <cell r="BS82">
            <v>225.88152770638251</v>
          </cell>
        </row>
        <row r="83">
          <cell r="A83">
            <v>38808</v>
          </cell>
          <cell r="B83">
            <v>37695.071609999999</v>
          </cell>
          <cell r="C83">
            <v>1181.856</v>
          </cell>
          <cell r="D83">
            <v>1387.241</v>
          </cell>
          <cell r="E83">
            <v>3152.8003840000001</v>
          </cell>
          <cell r="F83">
            <v>1603.9422039999999</v>
          </cell>
          <cell r="G83">
            <v>4756.7425880000001</v>
          </cell>
          <cell r="H83">
            <v>170.31714648109963</v>
          </cell>
          <cell r="I83">
            <v>113.10548739274269</v>
          </cell>
          <cell r="J83">
            <v>120.27812627616157</v>
          </cell>
          <cell r="K83">
            <v>189.74691396113579</v>
          </cell>
          <cell r="M83">
            <v>124.35924875741608</v>
          </cell>
          <cell r="N83">
            <v>158.25377735327032</v>
          </cell>
          <cell r="O83">
            <v>119.98486394852013</v>
          </cell>
          <cell r="P83">
            <v>135.81144473634578</v>
          </cell>
          <cell r="R83">
            <v>215.50997156323683</v>
          </cell>
          <cell r="S83">
            <v>155.54993664711884</v>
          </cell>
          <cell r="AB83">
            <v>38835</v>
          </cell>
          <cell r="AC83">
            <v>57036.330167</v>
          </cell>
          <cell r="AD83">
            <v>2116.9989999999998</v>
          </cell>
          <cell r="AF83">
            <v>308.30095132726171</v>
          </cell>
          <cell r="AG83">
            <v>38834</v>
          </cell>
          <cell r="AH83">
            <v>30505.864612000001</v>
          </cell>
          <cell r="AI83">
            <v>1402.2149999999999</v>
          </cell>
          <cell r="AK83">
            <v>164.89467420857613</v>
          </cell>
          <cell r="AL83">
            <v>222.67525047124641</v>
          </cell>
          <cell r="BM83">
            <v>38817</v>
          </cell>
          <cell r="BN83">
            <v>31555.148173000001</v>
          </cell>
          <cell r="BO83">
            <v>1085.6120000000001</v>
          </cell>
          <cell r="BP83">
            <v>34580.1330972</v>
          </cell>
          <cell r="BQ83">
            <v>1290.6981000000001</v>
          </cell>
          <cell r="BR83">
            <v>199.80067689975402</v>
          </cell>
          <cell r="BS83">
            <v>226.05733671593748</v>
          </cell>
        </row>
        <row r="84">
          <cell r="A84">
            <v>38838</v>
          </cell>
          <cell r="B84">
            <v>35455.629000000001</v>
          </cell>
          <cell r="C84">
            <v>1388.2751500000002</v>
          </cell>
          <cell r="D84">
            <v>1430.3009999999999</v>
          </cell>
          <cell r="E84">
            <v>3149.2338810000001</v>
          </cell>
          <cell r="F84">
            <v>1577.217447</v>
          </cell>
          <cell r="G84">
            <v>4726.4513280000001</v>
          </cell>
          <cell r="H84">
            <v>160.19870237812569</v>
          </cell>
          <cell r="I84">
            <v>132.86012634025042</v>
          </cell>
          <cell r="J84">
            <v>124.01156272840852</v>
          </cell>
          <cell r="K84">
            <v>188.53859272056786</v>
          </cell>
          <cell r="M84">
            <v>116.97113703033648</v>
          </cell>
          <cell r="N84">
            <v>185.89387073651781</v>
          </cell>
          <cell r="O84">
            <v>123.70919752979638</v>
          </cell>
          <cell r="P84">
            <v>134.94658822847788</v>
          </cell>
          <cell r="R84">
            <v>202.70664761171616</v>
          </cell>
          <cell r="S84">
            <v>160.37821109404257</v>
          </cell>
          <cell r="AB84">
            <v>38839</v>
          </cell>
          <cell r="AC84">
            <v>37083.099934999998</v>
          </cell>
          <cell r="AD84">
            <v>1288.547</v>
          </cell>
          <cell r="AF84">
            <v>200.4468898095264</v>
          </cell>
          <cell r="AG84">
            <v>38835</v>
          </cell>
          <cell r="AH84">
            <v>57036.330167</v>
          </cell>
          <cell r="AI84">
            <v>2116.9989999999998</v>
          </cell>
          <cell r="AK84">
            <v>308.30095132726171</v>
          </cell>
          <cell r="AL84">
            <v>336.18473812673392</v>
          </cell>
          <cell r="BM84">
            <v>38818</v>
          </cell>
          <cell r="BN84">
            <v>29980.363442999998</v>
          </cell>
          <cell r="BO84">
            <v>1545.0809999999999</v>
          </cell>
          <cell r="BP84">
            <v>34636.504523199997</v>
          </cell>
          <cell r="BQ84">
            <v>1337.9905000000001</v>
          </cell>
          <cell r="BR84">
            <v>200.12638556724079</v>
          </cell>
          <cell r="BS84">
            <v>234.34029149126783</v>
          </cell>
        </row>
        <row r="85">
          <cell r="A85">
            <v>38869</v>
          </cell>
          <cell r="B85">
            <v>29535.393</v>
          </cell>
          <cell r="C85">
            <v>733.53</v>
          </cell>
          <cell r="D85">
            <v>931.577</v>
          </cell>
          <cell r="E85">
            <v>3143.1192080000001</v>
          </cell>
          <cell r="F85">
            <v>1508.671668</v>
          </cell>
          <cell r="G85">
            <v>4651.790876</v>
          </cell>
          <cell r="H85">
            <v>133.44937789223755</v>
          </cell>
          <cell r="I85">
            <v>70.199980511330097</v>
          </cell>
          <cell r="J85">
            <v>80.770634692867176</v>
          </cell>
          <cell r="K85">
            <v>185.56038019385218</v>
          </cell>
          <cell r="M85">
            <v>97.439774706798758</v>
          </cell>
          <cell r="N85">
            <v>98.221689699882546</v>
          </cell>
          <cell r="O85">
            <v>80.573699596948572</v>
          </cell>
          <cell r="P85">
            <v>132.81493118309382</v>
          </cell>
          <cell r="R85">
            <v>168.85952018858691</v>
          </cell>
          <cell r="S85">
            <v>104.45679109247277</v>
          </cell>
          <cell r="AB85">
            <v>38840</v>
          </cell>
          <cell r="AC85">
            <v>39258.913137000003</v>
          </cell>
          <cell r="AD85">
            <v>1738.6079999999999</v>
          </cell>
          <cell r="AF85">
            <v>212.20790735961995</v>
          </cell>
          <cell r="AG85">
            <v>38839</v>
          </cell>
          <cell r="AH85">
            <v>37083.099934999998</v>
          </cell>
          <cell r="AI85">
            <v>1288.547</v>
          </cell>
          <cell r="AK85">
            <v>200.4468898095264</v>
          </cell>
          <cell r="AL85">
            <v>204.62448766342766</v>
          </cell>
          <cell r="BM85">
            <v>38819</v>
          </cell>
          <cell r="BN85">
            <v>34051.362977999997</v>
          </cell>
          <cell r="BO85">
            <v>1370.2</v>
          </cell>
          <cell r="BP85">
            <v>34412.810422900002</v>
          </cell>
          <cell r="BQ85">
            <v>1314.7374000000002</v>
          </cell>
          <cell r="BR85">
            <v>198.83390261083366</v>
          </cell>
          <cell r="BS85">
            <v>230.2676629994545</v>
          </cell>
        </row>
        <row r="86">
          <cell r="A86">
            <v>38899</v>
          </cell>
          <cell r="B86">
            <v>23130.482</v>
          </cell>
          <cell r="C86">
            <v>917.62381000000005</v>
          </cell>
          <cell r="D86">
            <v>890.673</v>
          </cell>
          <cell r="E86">
            <v>2693.4456140000002</v>
          </cell>
          <cell r="F86">
            <v>1112.868962</v>
          </cell>
          <cell r="G86">
            <v>3806.3145760000002</v>
          </cell>
          <cell r="H86">
            <v>104.51015272583636</v>
          </cell>
          <cell r="I86">
            <v>87.818049130550193</v>
          </cell>
          <cell r="J86">
            <v>77.224130172599899</v>
          </cell>
          <cell r="K86">
            <v>151.83425022478619</v>
          </cell>
          <cell r="M86">
            <v>76.309428316720357</v>
          </cell>
          <cell r="N86">
            <v>122.87235849528169</v>
          </cell>
          <cell r="O86">
            <v>77.035842169904328</v>
          </cell>
          <cell r="P86">
            <v>108.67543747094423</v>
          </cell>
          <cell r="AB86">
            <v>38841</v>
          </cell>
          <cell r="AC86">
            <v>28614.844476999999</v>
          </cell>
          <cell r="AD86">
            <v>1456.771</v>
          </cell>
          <cell r="AF86">
            <v>154.67306098604766</v>
          </cell>
          <cell r="AG86">
            <v>38840</v>
          </cell>
          <cell r="AH86">
            <v>39258.913137000003</v>
          </cell>
          <cell r="AI86">
            <v>1738.6079999999999</v>
          </cell>
          <cell r="AK86">
            <v>212.20790735961995</v>
          </cell>
          <cell r="AL86">
            <v>276.09530055755556</v>
          </cell>
          <cell r="BM86">
            <v>38820</v>
          </cell>
          <cell r="BN86">
            <v>27834.921267999998</v>
          </cell>
          <cell r="BO86">
            <v>1324.8040000000001</v>
          </cell>
          <cell r="BP86">
            <v>34134.8140585</v>
          </cell>
          <cell r="BQ86">
            <v>1316.0343</v>
          </cell>
          <cell r="BR86">
            <v>197.22766640501385</v>
          </cell>
          <cell r="BS86">
            <v>230.4948065584222</v>
          </cell>
        </row>
        <row r="87">
          <cell r="A87">
            <v>38930</v>
          </cell>
          <cell r="B87">
            <v>24460</v>
          </cell>
          <cell r="C87">
            <v>656.89759000000004</v>
          </cell>
          <cell r="D87">
            <v>968.11981818181846</v>
          </cell>
          <cell r="E87">
            <v>3134.4132789999999</v>
          </cell>
          <cell r="F87">
            <v>1129.0237910000001</v>
          </cell>
          <cell r="G87">
            <v>4263.4370699999999</v>
          </cell>
          <cell r="K87">
            <v>170.06890995969252</v>
          </cell>
          <cell r="M87">
            <v>80.695621328901822</v>
          </cell>
          <cell r="N87">
            <v>87.96039868796187</v>
          </cell>
          <cell r="O87">
            <v>83.734350895346608</v>
          </cell>
          <cell r="P87">
            <v>121.72690392789298</v>
          </cell>
          <cell r="AB87">
            <v>38845</v>
          </cell>
          <cell r="AC87">
            <v>41548.279853</v>
          </cell>
          <cell r="AD87">
            <v>1322.444</v>
          </cell>
          <cell r="AF87">
            <v>224.5827206481533</v>
          </cell>
          <cell r="AG87">
            <v>38841</v>
          </cell>
          <cell r="AH87">
            <v>28614.844476999999</v>
          </cell>
          <cell r="AI87">
            <v>1456.771</v>
          </cell>
          <cell r="AK87">
            <v>154.67306098604766</v>
          </cell>
          <cell r="AL87">
            <v>231.33887977538973</v>
          </cell>
          <cell r="BM87">
            <v>38825</v>
          </cell>
          <cell r="BN87">
            <v>35480.765836999999</v>
          </cell>
          <cell r="BO87">
            <v>1480.69</v>
          </cell>
          <cell r="BP87">
            <v>34446.522772699995</v>
          </cell>
          <cell r="BQ87">
            <v>1336.1989000000001</v>
          </cell>
          <cell r="BR87">
            <v>199.02868931946159</v>
          </cell>
          <cell r="BS87">
            <v>234.02650446046621</v>
          </cell>
        </row>
        <row r="88">
          <cell r="A88">
            <v>38961</v>
          </cell>
          <cell r="B88">
            <v>30926.043502095239</v>
          </cell>
          <cell r="C88">
            <v>769.68</v>
          </cell>
          <cell r="D88">
            <v>953.61199999999997</v>
          </cell>
          <cell r="E88">
            <v>3223</v>
          </cell>
          <cell r="F88">
            <v>1373</v>
          </cell>
          <cell r="G88">
            <v>4596</v>
          </cell>
          <cell r="K88">
            <v>183.33487684731952</v>
          </cell>
          <cell r="M88">
            <v>102.02764904522577</v>
          </cell>
          <cell r="N88">
            <v>103.06227438305943</v>
          </cell>
          <cell r="O88">
            <v>82.479544707571478</v>
          </cell>
          <cell r="P88">
            <v>131.22202609468707</v>
          </cell>
          <cell r="AB88">
            <v>38846</v>
          </cell>
          <cell r="AC88">
            <v>35611.121668</v>
          </cell>
          <cell r="AD88">
            <v>1220.1479999999999</v>
          </cell>
          <cell r="AF88">
            <v>192.49034178618041</v>
          </cell>
          <cell r="AG88">
            <v>38845</v>
          </cell>
          <cell r="AH88">
            <v>41548.279853</v>
          </cell>
          <cell r="AI88">
            <v>1322.444</v>
          </cell>
          <cell r="AK88">
            <v>224.5827206481533</v>
          </cell>
          <cell r="AL88">
            <v>210.0074160768477</v>
          </cell>
          <cell r="BM88">
            <v>38826</v>
          </cell>
          <cell r="BN88">
            <v>47686.362372000003</v>
          </cell>
          <cell r="BO88">
            <v>2076.8009999999999</v>
          </cell>
          <cell r="BP88">
            <v>35872.872919999994</v>
          </cell>
          <cell r="BQ88">
            <v>1390.1273000000001</v>
          </cell>
          <cell r="BR88">
            <v>207.27000302769829</v>
          </cell>
          <cell r="BS88">
            <v>243.4717112654904</v>
          </cell>
        </row>
        <row r="89">
          <cell r="A89">
            <v>38991</v>
          </cell>
          <cell r="B89">
            <v>36845.623159421048</v>
          </cell>
          <cell r="C89">
            <v>841.48182352941194</v>
          </cell>
          <cell r="D89">
            <v>1237.7158571428572</v>
          </cell>
          <cell r="E89">
            <v>3193.9364906666669</v>
          </cell>
          <cell r="F89">
            <v>1185.2382275555558</v>
          </cell>
          <cell r="G89">
            <v>4379.1747182222225</v>
          </cell>
          <cell r="M89">
            <v>121.55684603843238</v>
          </cell>
          <cell r="N89">
            <v>112.67673654628607</v>
          </cell>
          <cell r="O89">
            <v>107.05217674954221</v>
          </cell>
          <cell r="P89">
            <v>125.03137057174725</v>
          </cell>
          <cell r="AB89">
            <v>38847</v>
          </cell>
          <cell r="AC89">
            <v>39738.135211000001</v>
          </cell>
          <cell r="AD89">
            <v>1503.8530000000001</v>
          </cell>
          <cell r="AF89">
            <v>214.79826723864147</v>
          </cell>
          <cell r="AG89">
            <v>38846</v>
          </cell>
          <cell r="AH89">
            <v>35611.121668</v>
          </cell>
          <cell r="AI89">
            <v>1220.1479999999999</v>
          </cell>
          <cell r="AK89">
            <v>192.49034178618041</v>
          </cell>
          <cell r="AL89">
            <v>193.76255532282167</v>
          </cell>
          <cell r="BM89">
            <v>38827</v>
          </cell>
          <cell r="BN89">
            <v>39434.390621999999</v>
          </cell>
          <cell r="BO89">
            <v>1483.6959999999999</v>
          </cell>
          <cell r="BP89">
            <v>36644.601644399998</v>
          </cell>
          <cell r="BQ89">
            <v>1404.903</v>
          </cell>
          <cell r="BR89">
            <v>211.72897723363016</v>
          </cell>
          <cell r="BS89">
            <v>246.05957855228166</v>
          </cell>
        </row>
        <row r="90">
          <cell r="A90">
            <v>39022</v>
          </cell>
          <cell r="AB90">
            <v>38848</v>
          </cell>
          <cell r="AC90">
            <v>44794.316383999998</v>
          </cell>
          <cell r="AD90">
            <v>1469.9290000000001</v>
          </cell>
          <cell r="AF90">
            <v>242.12866281554332</v>
          </cell>
          <cell r="AG90">
            <v>38847</v>
          </cell>
          <cell r="AH90">
            <v>39738.135211000001</v>
          </cell>
          <cell r="AI90">
            <v>1503.8530000000001</v>
          </cell>
          <cell r="AK90">
            <v>214.79826723864147</v>
          </cell>
          <cell r="AL90">
            <v>238.81561917889579</v>
          </cell>
          <cell r="BM90">
            <v>38828</v>
          </cell>
          <cell r="BN90">
            <v>40860.504709000001</v>
          </cell>
          <cell r="BO90">
            <v>1347.8810000000001</v>
          </cell>
          <cell r="BP90">
            <v>37512.107980399996</v>
          </cell>
          <cell r="BQ90">
            <v>1421.3428999999999</v>
          </cell>
          <cell r="BR90">
            <v>216.74134525027205</v>
          </cell>
          <cell r="BS90">
            <v>248.93891959251121</v>
          </cell>
        </row>
        <row r="91">
          <cell r="A91">
            <v>39052</v>
          </cell>
          <cell r="AB91">
            <v>38852</v>
          </cell>
          <cell r="AC91">
            <v>37966.808422000002</v>
          </cell>
          <cell r="AD91">
            <v>2104.6190000000001</v>
          </cell>
          <cell r="AF91">
            <v>205.22363765498488</v>
          </cell>
          <cell r="AG91">
            <v>38848</v>
          </cell>
          <cell r="AH91">
            <v>44794.316383999998</v>
          </cell>
          <cell r="AI91">
            <v>1469.9290000000001</v>
          </cell>
          <cell r="AK91">
            <v>242.12866281554332</v>
          </cell>
          <cell r="AL91">
            <v>233.42840309791924</v>
          </cell>
          <cell r="BM91">
            <v>38831</v>
          </cell>
          <cell r="BN91">
            <v>41694.976210000001</v>
          </cell>
          <cell r="BO91">
            <v>1238.7650000000001</v>
          </cell>
          <cell r="BP91">
            <v>37112.829627599996</v>
          </cell>
          <cell r="BQ91">
            <v>1409.3399999999997</v>
          </cell>
          <cell r="BR91">
            <v>214.4343534021892</v>
          </cell>
          <cell r="BS91">
            <v>246.83669010378125</v>
          </cell>
        </row>
        <row r="92">
          <cell r="AB92">
            <v>38853</v>
          </cell>
          <cell r="AC92">
            <v>40724.928678999997</v>
          </cell>
          <cell r="AD92">
            <v>1857.4259999999999</v>
          </cell>
          <cell r="AF92">
            <v>220.13222480668898</v>
          </cell>
          <cell r="AG92">
            <v>38852</v>
          </cell>
          <cell r="AH92">
            <v>37966.808422000002</v>
          </cell>
          <cell r="AI92">
            <v>2104.6190000000001</v>
          </cell>
          <cell r="AK92">
            <v>205.22363765498488</v>
          </cell>
          <cell r="AL92">
            <v>334.21876315083227</v>
          </cell>
          <cell r="BM92">
            <v>38832</v>
          </cell>
          <cell r="BN92">
            <v>40269.516774999996</v>
          </cell>
          <cell r="BO92">
            <v>1266.6389999999999</v>
          </cell>
          <cell r="BP92">
            <v>36884.831238700004</v>
          </cell>
          <cell r="BQ92">
            <v>1422.0168999999999</v>
          </cell>
          <cell r="BR92">
            <v>213.11700068101186</v>
          </cell>
          <cell r="BS92">
            <v>249.05696628751025</v>
          </cell>
        </row>
        <row r="93">
          <cell r="AB93">
            <v>38854</v>
          </cell>
          <cell r="AC93">
            <v>38080.266629999998</v>
          </cell>
          <cell r="AD93">
            <v>1345.9670000000001</v>
          </cell>
          <cell r="AF93">
            <v>205.83691823176582</v>
          </cell>
          <cell r="AG93">
            <v>38853</v>
          </cell>
          <cell r="AH93">
            <v>40724.928678999997</v>
          </cell>
          <cell r="AI93">
            <v>1857.4259999999999</v>
          </cell>
          <cell r="AK93">
            <v>220.13222480668898</v>
          </cell>
          <cell r="AL93">
            <v>294.96389625114932</v>
          </cell>
          <cell r="BM93">
            <v>38833</v>
          </cell>
          <cell r="BN93">
            <v>32285.905069</v>
          </cell>
          <cell r="BO93">
            <v>1109.682</v>
          </cell>
          <cell r="BP93">
            <v>36957.906928299999</v>
          </cell>
          <cell r="BQ93">
            <v>1424.4238999999998</v>
          </cell>
          <cell r="BR93">
            <v>213.53922497395934</v>
          </cell>
          <cell r="BS93">
            <v>249.47853660629761</v>
          </cell>
        </row>
        <row r="94">
          <cell r="AB94">
            <v>38855</v>
          </cell>
          <cell r="AC94">
            <v>37630.318096000003</v>
          </cell>
          <cell r="AD94">
            <v>1682.376</v>
          </cell>
          <cell r="AF94">
            <v>203.40479188923396</v>
          </cell>
          <cell r="AG94">
            <v>38854</v>
          </cell>
          <cell r="AH94">
            <v>38080.266629999998</v>
          </cell>
          <cell r="AI94">
            <v>1345.9670000000001</v>
          </cell>
          <cell r="AK94">
            <v>205.83691823176582</v>
          </cell>
          <cell r="AL94">
            <v>213.7429273335631</v>
          </cell>
          <cell r="BM94">
            <v>38834</v>
          </cell>
          <cell r="BN94">
            <v>30505.864612000001</v>
          </cell>
          <cell r="BO94">
            <v>1402.2149999999999</v>
          </cell>
          <cell r="BP94">
            <v>37010.457045199997</v>
          </cell>
          <cell r="BQ94">
            <v>1410.1372999999999</v>
          </cell>
          <cell r="BR94">
            <v>213.84285448568704</v>
          </cell>
          <cell r="BS94">
            <v>246.97633198793963</v>
          </cell>
        </row>
        <row r="95">
          <cell r="AB95">
            <v>38856</v>
          </cell>
          <cell r="AC95">
            <v>29415.787417</v>
          </cell>
          <cell r="AD95">
            <v>1267.5530000000001</v>
          </cell>
          <cell r="AF95">
            <v>159.00243262755839</v>
          </cell>
          <cell r="AG95">
            <v>38855</v>
          </cell>
          <cell r="AH95">
            <v>37630.318096000003</v>
          </cell>
          <cell r="AI95">
            <v>1682.376</v>
          </cell>
          <cell r="AK95">
            <v>203.40479188923396</v>
          </cell>
          <cell r="AL95">
            <v>267.1655182599057</v>
          </cell>
          <cell r="BM95">
            <v>38835</v>
          </cell>
          <cell r="BN95">
            <v>57036.330167</v>
          </cell>
          <cell r="BO95">
            <v>2116.9989999999998</v>
          </cell>
          <cell r="BP95">
            <v>39308.953764099999</v>
          </cell>
          <cell r="BQ95">
            <v>1484.8172</v>
          </cell>
          <cell r="BR95">
            <v>227.12334704473011</v>
          </cell>
          <cell r="BS95">
            <v>260.05602839425848</v>
          </cell>
        </row>
        <row r="96">
          <cell r="B96" t="str">
            <v>AU: ASX: Turnover: Value: Industrial: MONTHLY</v>
          </cell>
          <cell r="C96" t="str">
            <v>AU: ASX: Turnover: Value: Mining: MONTHLY</v>
          </cell>
          <cell r="R96" t="str">
            <v>AU: ASX: Turnover: Value: Industrial</v>
          </cell>
          <cell r="S96" t="str">
            <v>AU: ASX: Turnover: Value: Mining</v>
          </cell>
          <cell r="AB96">
            <v>38859</v>
          </cell>
          <cell r="AC96">
            <v>39943.673562000004</v>
          </cell>
          <cell r="AD96">
            <v>1833.825</v>
          </cell>
          <cell r="AF96">
            <v>215.9092726094639</v>
          </cell>
          <cell r="AG96">
            <v>38856</v>
          </cell>
          <cell r="AH96">
            <v>29415.787417</v>
          </cell>
          <cell r="AI96">
            <v>1267.5530000000001</v>
          </cell>
          <cell r="AK96">
            <v>159.00243262755839</v>
          </cell>
          <cell r="AL96">
            <v>201.29058793450355</v>
          </cell>
          <cell r="BM96">
            <v>38839</v>
          </cell>
          <cell r="BN96">
            <v>37083.099934999998</v>
          </cell>
          <cell r="BO96">
            <v>1288.547</v>
          </cell>
          <cell r="BP96">
            <v>40233.771630799994</v>
          </cell>
          <cell r="BQ96">
            <v>1481.1915000000001</v>
          </cell>
          <cell r="BR96">
            <v>232.46685556322703</v>
          </cell>
          <cell r="BS96">
            <v>259.42101073541875</v>
          </cell>
        </row>
        <row r="97">
          <cell r="B97" t="str">
            <v>s1</v>
          </cell>
          <cell r="C97" t="str">
            <v>s2</v>
          </cell>
          <cell r="R97" t="str">
            <v>ADICBA</v>
          </cell>
          <cell r="S97" t="str">
            <v>ADICBB</v>
          </cell>
          <cell r="W97" t="str">
            <v>AU: ASX: Turnover: Value: Industrial</v>
          </cell>
          <cell r="X97" t="str">
            <v>AU: ASX: Turnover: Value: Mining</v>
          </cell>
          <cell r="AB97">
            <v>38860</v>
          </cell>
          <cell r="AC97">
            <v>41412.197597999999</v>
          </cell>
          <cell r="AD97">
            <v>1613.364</v>
          </cell>
          <cell r="AF97">
            <v>223.84714932804175</v>
          </cell>
          <cell r="AG97">
            <v>38859</v>
          </cell>
          <cell r="AH97">
            <v>39943.673562000004</v>
          </cell>
          <cell r="AI97">
            <v>1833.825</v>
          </cell>
          <cell r="AK97">
            <v>215.9092726094639</v>
          </cell>
          <cell r="AL97">
            <v>291.2159983992708</v>
          </cell>
          <cell r="BM97">
            <v>38840</v>
          </cell>
          <cell r="BN97">
            <v>39258.913137000003</v>
          </cell>
          <cell r="BO97">
            <v>1738.6079999999999</v>
          </cell>
          <cell r="BP97">
            <v>40611.5863608</v>
          </cell>
          <cell r="BQ97">
            <v>1506.9833000000001</v>
          </cell>
          <cell r="BR97">
            <v>234.64983266700261</v>
          </cell>
          <cell r="BS97">
            <v>263.93827594027965</v>
          </cell>
        </row>
        <row r="98">
          <cell r="B98" t="str">
            <v>AUD Mn</v>
          </cell>
          <cell r="C98" t="str">
            <v>AUD Mn</v>
          </cell>
          <cell r="R98" t="str">
            <v>AUD Mn</v>
          </cell>
          <cell r="S98" t="str">
            <v>AUD Mn</v>
          </cell>
          <cell r="W98" t="str">
            <v>ADICBA</v>
          </cell>
          <cell r="X98" t="str">
            <v>ADICBB</v>
          </cell>
          <cell r="AB98">
            <v>38861</v>
          </cell>
          <cell r="AC98">
            <v>35981.959987000002</v>
          </cell>
          <cell r="AD98">
            <v>1213.491</v>
          </cell>
          <cell r="AF98">
            <v>194.49485024949757</v>
          </cell>
          <cell r="AG98">
            <v>38860</v>
          </cell>
          <cell r="AH98">
            <v>41412.197597999999</v>
          </cell>
          <cell r="AI98">
            <v>1613.364</v>
          </cell>
          <cell r="AK98">
            <v>223.84714932804175</v>
          </cell>
          <cell r="AL98">
            <v>256.20623998551719</v>
          </cell>
          <cell r="BM98">
            <v>38841</v>
          </cell>
          <cell r="BN98">
            <v>28614.844476999999</v>
          </cell>
          <cell r="BO98">
            <v>1456.771</v>
          </cell>
          <cell r="BP98">
            <v>38704.4345713</v>
          </cell>
          <cell r="BQ98">
            <v>1444.9803000000002</v>
          </cell>
          <cell r="BR98">
            <v>223.63049340010051</v>
          </cell>
          <cell r="BS98">
            <v>253.07885571768983</v>
          </cell>
        </row>
        <row r="99">
          <cell r="B99" t="str">
            <v>M:   May-1999:   Aug-2006</v>
          </cell>
          <cell r="C99" t="str">
            <v>M:   May-1999:   Aug-2006</v>
          </cell>
          <cell r="E99" t="str">
            <v>AU: ASX: Turnover: Value: Industrial: MONTHLY</v>
          </cell>
          <cell r="F99" t="str">
            <v>AU: ASX: Turnover: Value: Mining: MONTHLY</v>
          </cell>
          <cell r="R99" t="str">
            <v>D:16-Apr-1999: 6-Apr-2006</v>
          </cell>
          <cell r="S99" t="str">
            <v>D:16-Apr-1999: 6-Apr-2006</v>
          </cell>
          <cell r="W99" t="str">
            <v>AUD Mn</v>
          </cell>
          <cell r="X99" t="str">
            <v>AUD Mn</v>
          </cell>
          <cell r="AB99">
            <v>38862</v>
          </cell>
          <cell r="AC99">
            <v>29705.166312000001</v>
          </cell>
          <cell r="AD99">
            <v>1396.3040000000001</v>
          </cell>
          <cell r="AF99">
            <v>160.5666249302769</v>
          </cell>
          <cell r="AG99">
            <v>38861</v>
          </cell>
          <cell r="AH99">
            <v>35981.959987000002</v>
          </cell>
          <cell r="AI99">
            <v>1213.491</v>
          </cell>
          <cell r="AK99">
            <v>194.49485024949757</v>
          </cell>
          <cell r="AL99">
            <v>192.70540706639375</v>
          </cell>
          <cell r="BM99">
            <v>38845</v>
          </cell>
          <cell r="BN99">
            <v>41548.279853</v>
          </cell>
          <cell r="BO99">
            <v>1322.444</v>
          </cell>
          <cell r="BP99">
            <v>38915.8234944</v>
          </cell>
          <cell r="BQ99">
            <v>1428.8551000000002</v>
          </cell>
          <cell r="BR99">
            <v>224.85187822837082</v>
          </cell>
          <cell r="BS99">
            <v>250.25463232570385</v>
          </cell>
        </row>
        <row r="100">
          <cell r="A100">
            <v>38808</v>
          </cell>
          <cell r="B100">
            <v>3152.8003840000001</v>
          </cell>
          <cell r="C100">
            <v>1603.9422039999999</v>
          </cell>
          <cell r="E100" t="str">
            <v>AU: ASX: Turnover: Value: Industrial</v>
          </cell>
          <cell r="F100" t="str">
            <v>AU: ASX: Turnover: Value: Mining</v>
          </cell>
          <cell r="Q100">
            <v>38810</v>
          </cell>
          <cell r="R100">
            <v>2550.0295679999999</v>
          </cell>
          <cell r="S100">
            <v>2287.1731199999999</v>
          </cell>
          <cell r="W100" t="str">
            <v>D:16-Apr-1999: 6-Apr-2006</v>
          </cell>
          <cell r="X100" t="str">
            <v>D:16-Apr-1999: 6-Apr-2006</v>
          </cell>
          <cell r="AB100">
            <v>38863</v>
          </cell>
          <cell r="AC100">
            <v>28742.02202</v>
          </cell>
          <cell r="AD100">
            <v>1268.146</v>
          </cell>
          <cell r="AF100">
            <v>155.36049927984322</v>
          </cell>
          <cell r="AG100">
            <v>38862</v>
          </cell>
          <cell r="AH100">
            <v>29705.166312000001</v>
          </cell>
          <cell r="AI100">
            <v>1396.3040000000001</v>
          </cell>
          <cell r="AK100">
            <v>160.5666249302769</v>
          </cell>
          <cell r="AL100">
            <v>221.73656888137933</v>
          </cell>
          <cell r="BM100">
            <v>38846</v>
          </cell>
          <cell r="BN100">
            <v>35611.121668</v>
          </cell>
          <cell r="BO100">
            <v>1220.1479999999999</v>
          </cell>
          <cell r="BP100">
            <v>38390.885190300003</v>
          </cell>
          <cell r="BQ100">
            <v>1416.0817999999999</v>
          </cell>
          <cell r="BR100">
            <v>221.81883529024864</v>
          </cell>
          <cell r="BS100">
            <v>248.01747231200761</v>
          </cell>
        </row>
        <row r="101">
          <cell r="A101">
            <v>38838</v>
          </cell>
          <cell r="B101">
            <v>3149.2338810000001</v>
          </cell>
          <cell r="C101">
            <v>1577.217447</v>
          </cell>
          <cell r="E101" t="str">
            <v>ADICBA</v>
          </cell>
          <cell r="F101" t="str">
            <v>ADICBB</v>
          </cell>
          <cell r="Q101">
            <v>38811</v>
          </cell>
          <cell r="R101">
            <v>2884.0842240000002</v>
          </cell>
          <cell r="S101">
            <v>1841.4280960000001</v>
          </cell>
          <cell r="V101">
            <v>38810</v>
          </cell>
          <cell r="W101">
            <v>2550.0295679999999</v>
          </cell>
          <cell r="X101">
            <v>2287.1731199999999</v>
          </cell>
          <cell r="AB101">
            <v>38866</v>
          </cell>
          <cell r="AC101">
            <v>22117.186131999999</v>
          </cell>
          <cell r="AD101">
            <v>941.48900000000003</v>
          </cell>
          <cell r="AF101">
            <v>119.55098627861757</v>
          </cell>
          <cell r="AG101">
            <v>38863</v>
          </cell>
          <cell r="AH101">
            <v>28742.02202</v>
          </cell>
          <cell r="AI101">
            <v>1268.146</v>
          </cell>
          <cell r="AK101">
            <v>155.36049927984322</v>
          </cell>
          <cell r="AL101">
            <v>201.3847578182442</v>
          </cell>
          <cell r="BM101">
            <v>38847</v>
          </cell>
          <cell r="BN101">
            <v>39738.135211000001</v>
          </cell>
          <cell r="BO101">
            <v>1503.8530000000001</v>
          </cell>
          <cell r="BP101">
            <v>38195.201090400005</v>
          </cell>
          <cell r="BQ101">
            <v>1442.5906</v>
          </cell>
          <cell r="BR101">
            <v>220.68819141711376</v>
          </cell>
          <cell r="BS101">
            <v>252.66031538083635</v>
          </cell>
        </row>
        <row r="102">
          <cell r="A102">
            <v>38869</v>
          </cell>
          <cell r="B102">
            <v>3143.1192080000001</v>
          </cell>
          <cell r="C102">
            <v>1508.671668</v>
          </cell>
          <cell r="D102" t="str">
            <v>AU: ASX: Turnover: Value: Industrial</v>
          </cell>
          <cell r="E102" t="str">
            <v>AU: ASX: Turnover: Value: Industrial</v>
          </cell>
          <cell r="F102" t="str">
            <v>AU: ASX: Turnover: Value: Mining</v>
          </cell>
          <cell r="Q102">
            <v>38812</v>
          </cell>
          <cell r="R102">
            <v>3250.4384</v>
          </cell>
          <cell r="S102">
            <v>1742.902656</v>
          </cell>
          <cell r="V102">
            <v>38811</v>
          </cell>
          <cell r="W102">
            <v>2884.0842240000002</v>
          </cell>
          <cell r="X102">
            <v>1841.4280960000001</v>
          </cell>
          <cell r="AB102">
            <v>38867</v>
          </cell>
          <cell r="AC102">
            <v>25866.764068</v>
          </cell>
          <cell r="AD102">
            <v>830.77800000000002</v>
          </cell>
          <cell r="AF102">
            <v>139.81874266055513</v>
          </cell>
          <cell r="AG102">
            <v>38866</v>
          </cell>
          <cell r="AH102">
            <v>22117.186131999999</v>
          </cell>
          <cell r="AI102">
            <v>941.48900000000003</v>
          </cell>
          <cell r="AK102">
            <v>119.55098627861757</v>
          </cell>
          <cell r="AL102">
            <v>149.51080889230494</v>
          </cell>
          <cell r="BM102">
            <v>38848</v>
          </cell>
          <cell r="BN102">
            <v>44794.316383999998</v>
          </cell>
          <cell r="BO102">
            <v>1469.9290000000001</v>
          </cell>
          <cell r="BP102">
            <v>38647.681051300002</v>
          </cell>
          <cell r="BQ102">
            <v>1462.9195999999999</v>
          </cell>
          <cell r="BR102">
            <v>223.30257703030023</v>
          </cell>
          <cell r="BS102">
            <v>256.22080686842617</v>
          </cell>
        </row>
        <row r="103">
          <cell r="A103">
            <v>38899</v>
          </cell>
          <cell r="B103">
            <v>2693.4456140000002</v>
          </cell>
          <cell r="C103">
            <v>1112.868962</v>
          </cell>
          <cell r="D103" t="str">
            <v>ADICBA</v>
          </cell>
          <cell r="E103" t="str">
            <v>ADICBA</v>
          </cell>
          <cell r="F103" t="str">
            <v>ADICBB</v>
          </cell>
          <cell r="Q103">
            <v>38813</v>
          </cell>
          <cell r="R103">
            <v>3300.2099199999998</v>
          </cell>
          <cell r="S103">
            <v>1598.261632</v>
          </cell>
          <cell r="V103">
            <v>38812</v>
          </cell>
          <cell r="W103">
            <v>3250.4384</v>
          </cell>
          <cell r="X103">
            <v>1742.902656</v>
          </cell>
          <cell r="AB103">
            <v>38869</v>
          </cell>
          <cell r="AC103">
            <v>54037.456758</v>
          </cell>
          <cell r="AD103">
            <v>966.21</v>
          </cell>
          <cell r="AF103">
            <v>292.0910107122595</v>
          </cell>
          <cell r="AG103">
            <v>38867</v>
          </cell>
          <cell r="AH103">
            <v>25866.764068</v>
          </cell>
          <cell r="AI103">
            <v>830.77800000000002</v>
          </cell>
          <cell r="AK103">
            <v>139.81874266055513</v>
          </cell>
          <cell r="AL103">
            <v>131.92962508317282</v>
          </cell>
          <cell r="BM103">
            <v>38852</v>
          </cell>
          <cell r="BN103">
            <v>37966.808422000002</v>
          </cell>
          <cell r="BO103">
            <v>2104.6190000000001</v>
          </cell>
          <cell r="BP103">
            <v>39215.771386599998</v>
          </cell>
          <cell r="BQ103">
            <v>1562.4132999999999</v>
          </cell>
          <cell r="BR103">
            <v>226.58494824657348</v>
          </cell>
          <cell r="BS103">
            <v>273.64647817143219</v>
          </cell>
        </row>
        <row r="104">
          <cell r="A104">
            <v>38930</v>
          </cell>
          <cell r="B104">
            <v>3134.4132789999999</v>
          </cell>
          <cell r="C104">
            <v>1129.0237910000001</v>
          </cell>
          <cell r="D104" t="str">
            <v>AUD Mn</v>
          </cell>
          <cell r="E104" t="str">
            <v>AUD Mn</v>
          </cell>
          <cell r="F104">
            <v>1381.402906</v>
          </cell>
          <cell r="V104">
            <v>38813</v>
          </cell>
          <cell r="W104">
            <v>3300.2099199999998</v>
          </cell>
          <cell r="X104">
            <v>1598.261632</v>
          </cell>
          <cell r="AB104">
            <v>38870</v>
          </cell>
          <cell r="AC104">
            <v>39689.741519000003</v>
          </cell>
          <cell r="AD104">
            <v>1113.356</v>
          </cell>
          <cell r="AF104">
            <v>214.53668271456442</v>
          </cell>
          <cell r="AG104">
            <v>38869</v>
          </cell>
          <cell r="AH104">
            <v>54037.456758</v>
          </cell>
          <cell r="AI104">
            <v>966.21</v>
          </cell>
          <cell r="AK104">
            <v>292.0910107122595</v>
          </cell>
          <cell r="AL104">
            <v>153.43656554652677</v>
          </cell>
          <cell r="BM104">
            <v>38853</v>
          </cell>
          <cell r="BN104">
            <v>40724.928678999997</v>
          </cell>
          <cell r="BO104">
            <v>1857.4259999999999</v>
          </cell>
          <cell r="BP104">
            <v>40237.677793299998</v>
          </cell>
          <cell r="BQ104">
            <v>1607.9343999999999</v>
          </cell>
          <cell r="BR104">
            <v>232.48942499375488</v>
          </cell>
          <cell r="BS104">
            <v>281.61920132828806</v>
          </cell>
        </row>
        <row r="105">
          <cell r="D105">
            <v>38883</v>
          </cell>
          <cell r="E105" t="str">
            <v>D:16-Apr-1999:14-Sep-2006</v>
          </cell>
          <cell r="F105" t="str">
            <v>D:16-Apr-1999:14-Sep-2006</v>
          </cell>
          <cell r="AB105">
            <v>38873</v>
          </cell>
          <cell r="AC105">
            <v>31578.064597000001</v>
          </cell>
          <cell r="AD105">
            <v>790.08799999999997</v>
          </cell>
          <cell r="AF105">
            <v>170.69028333035359</v>
          </cell>
          <cell r="AG105">
            <v>38870</v>
          </cell>
          <cell r="AH105">
            <v>39689.741519000003</v>
          </cell>
          <cell r="AI105">
            <v>1113.356</v>
          </cell>
          <cell r="AK105">
            <v>214.53668271456442</v>
          </cell>
          <cell r="AL105">
            <v>176.80371851938901</v>
          </cell>
          <cell r="BM105">
            <v>38854</v>
          </cell>
          <cell r="BN105">
            <v>38080.266629999998</v>
          </cell>
          <cell r="BO105">
            <v>1345.9670000000001</v>
          </cell>
          <cell r="BP105">
            <v>38342.071439600004</v>
          </cell>
          <cell r="BQ105">
            <v>1530.8312000000001</v>
          </cell>
          <cell r="BR105">
            <v>221.53679414238897</v>
          </cell>
          <cell r="BS105">
            <v>268.11507976471233</v>
          </cell>
        </row>
        <row r="106">
          <cell r="C106">
            <v>38901</v>
          </cell>
          <cell r="D106">
            <v>38961</v>
          </cell>
          <cell r="E106">
            <v>2586.9434879999999</v>
          </cell>
          <cell r="F106">
            <v>882.07238400000006</v>
          </cell>
          <cell r="AB106">
            <v>38874</v>
          </cell>
          <cell r="AC106">
            <v>29794.251365</v>
          </cell>
          <cell r="AD106">
            <v>1014.4</v>
          </cell>
          <cell r="AF106">
            <v>161.04816023432824</v>
          </cell>
          <cell r="AG106">
            <v>38873</v>
          </cell>
          <cell r="AH106">
            <v>31578.064597000001</v>
          </cell>
          <cell r="AI106">
            <v>790.08799999999997</v>
          </cell>
          <cell r="AK106">
            <v>170.69028333035359</v>
          </cell>
          <cell r="AL106">
            <v>125.46795127304027</v>
          </cell>
          <cell r="BM106">
            <v>38855</v>
          </cell>
          <cell r="BN106">
            <v>37630.318096000003</v>
          </cell>
          <cell r="BO106">
            <v>1682.376</v>
          </cell>
          <cell r="BP106">
            <v>38396.793255699995</v>
          </cell>
          <cell r="BQ106">
            <v>1570.2141000000001</v>
          </cell>
          <cell r="BR106">
            <v>221.85297152282959</v>
          </cell>
          <cell r="BS106">
            <v>275.01273730844787</v>
          </cell>
        </row>
        <row r="107">
          <cell r="C107">
            <v>38902</v>
          </cell>
          <cell r="D107">
            <v>38964</v>
          </cell>
          <cell r="E107">
            <v>2682.6639359999999</v>
          </cell>
          <cell r="F107">
            <v>1103.50848</v>
          </cell>
          <cell r="AB107">
            <v>38875</v>
          </cell>
          <cell r="AC107">
            <v>28959.092089999998</v>
          </cell>
          <cell r="AD107">
            <v>956.947</v>
          </cell>
          <cell r="AF107">
            <v>156.53383755195378</v>
          </cell>
          <cell r="AG107">
            <v>38874</v>
          </cell>
          <cell r="AH107">
            <v>29794.251365</v>
          </cell>
          <cell r="AI107">
            <v>1014.4</v>
          </cell>
          <cell r="AK107">
            <v>161.04816023432824</v>
          </cell>
          <cell r="AL107">
            <v>161.08925812235097</v>
          </cell>
          <cell r="BM107">
            <v>38856</v>
          </cell>
          <cell r="BN107">
            <v>29415.787417</v>
          </cell>
          <cell r="BO107">
            <v>1267.5530000000001</v>
          </cell>
          <cell r="BP107">
            <v>37412.4806837</v>
          </cell>
          <cell r="BQ107">
            <v>1523.1086</v>
          </cell>
          <cell r="BR107">
            <v>216.16570833000915</v>
          </cell>
          <cell r="BS107">
            <v>266.76251684661202</v>
          </cell>
        </row>
        <row r="108">
          <cell r="C108">
            <v>38903</v>
          </cell>
          <cell r="D108">
            <v>38965</v>
          </cell>
          <cell r="E108">
            <v>2480.123392</v>
          </cell>
          <cell r="F108">
            <v>1015.054016</v>
          </cell>
          <cell r="AB108">
            <v>38876</v>
          </cell>
          <cell r="AC108">
            <v>44480.610074999997</v>
          </cell>
          <cell r="AD108">
            <v>1467.6310000000001</v>
          </cell>
          <cell r="AF108">
            <v>240.4329724859081</v>
          </cell>
          <cell r="AG108">
            <v>38875</v>
          </cell>
          <cell r="AH108">
            <v>28959.092089999998</v>
          </cell>
          <cell r="AI108">
            <v>956.947</v>
          </cell>
          <cell r="AK108">
            <v>156.53383755195378</v>
          </cell>
          <cell r="AL108">
            <v>151.96557796964649</v>
          </cell>
          <cell r="BM108">
            <v>38859</v>
          </cell>
          <cell r="BN108">
            <v>39943.673562000004</v>
          </cell>
          <cell r="BO108">
            <v>1833.825</v>
          </cell>
          <cell r="BP108">
            <v>38545.363592199996</v>
          </cell>
          <cell r="BQ108">
            <v>1560.8140000000001</v>
          </cell>
          <cell r="BR108">
            <v>222.71139661091374</v>
          </cell>
          <cell r="BS108">
            <v>273.36637122883286</v>
          </cell>
        </row>
        <row r="109">
          <cell r="C109">
            <v>38904</v>
          </cell>
          <cell r="D109">
            <v>38966</v>
          </cell>
          <cell r="E109">
            <v>2760.7226879999998</v>
          </cell>
          <cell r="F109">
            <v>1102.333952</v>
          </cell>
          <cell r="AB109">
            <v>38877</v>
          </cell>
          <cell r="AC109">
            <v>33384.699374999997</v>
          </cell>
          <cell r="AD109">
            <v>1199.8589999999999</v>
          </cell>
          <cell r="AF109">
            <v>180.45576471962738</v>
          </cell>
          <cell r="AG109">
            <v>38876</v>
          </cell>
          <cell r="AH109">
            <v>44480.610074999997</v>
          </cell>
          <cell r="AI109">
            <v>1467.6310000000001</v>
          </cell>
          <cell r="AK109">
            <v>240.4329724859081</v>
          </cell>
          <cell r="AL109">
            <v>233.06347494811129</v>
          </cell>
          <cell r="BM109">
            <v>38860</v>
          </cell>
          <cell r="BN109">
            <v>41412.197597999999</v>
          </cell>
          <cell r="BO109">
            <v>1613.364</v>
          </cell>
          <cell r="BP109">
            <v>38531.755366699996</v>
          </cell>
          <cell r="BQ109">
            <v>1589.9060000000002</v>
          </cell>
          <cell r="BR109">
            <v>222.63276959526107</v>
          </cell>
          <cell r="BS109">
            <v>278.46164489487461</v>
          </cell>
        </row>
        <row r="110">
          <cell r="C110">
            <v>38905</v>
          </cell>
          <cell r="D110">
            <v>38967</v>
          </cell>
          <cell r="E110">
            <v>2690.0930560000002</v>
          </cell>
          <cell r="F110">
            <v>1070.037632</v>
          </cell>
          <cell r="AB110">
            <v>38880</v>
          </cell>
          <cell r="AC110">
            <v>23281.700698000001</v>
          </cell>
          <cell r="AD110">
            <v>730.09400000000005</v>
          </cell>
          <cell r="AF110">
            <v>125.84558741233455</v>
          </cell>
          <cell r="AG110">
            <v>38877</v>
          </cell>
          <cell r="AH110">
            <v>33384.699374999997</v>
          </cell>
          <cell r="AI110">
            <v>1199.8589999999999</v>
          </cell>
          <cell r="AK110">
            <v>180.45576471962738</v>
          </cell>
          <cell r="AL110">
            <v>190.54061135787254</v>
          </cell>
          <cell r="BM110">
            <v>38861</v>
          </cell>
          <cell r="BN110">
            <v>35981.959987000002</v>
          </cell>
          <cell r="BO110">
            <v>1213.491</v>
          </cell>
          <cell r="BP110">
            <v>38568.839198599992</v>
          </cell>
          <cell r="BQ110">
            <v>1589.2402999999999</v>
          </cell>
          <cell r="BR110">
            <v>222.84703640258735</v>
          </cell>
          <cell r="BS110">
            <v>278.34505189062997</v>
          </cell>
        </row>
        <row r="111">
          <cell r="C111">
            <v>38908</v>
          </cell>
          <cell r="D111">
            <v>38968</v>
          </cell>
          <cell r="E111">
            <v>2629.1991039999998</v>
          </cell>
          <cell r="F111">
            <v>1294.06528</v>
          </cell>
          <cell r="AB111">
            <v>38881</v>
          </cell>
          <cell r="AC111">
            <v>35608.644952000002</v>
          </cell>
          <cell r="AD111">
            <v>1030.221</v>
          </cell>
          <cell r="AF111">
            <v>192.47695428567448</v>
          </cell>
          <cell r="AG111">
            <v>38880</v>
          </cell>
          <cell r="AH111">
            <v>23281.700698000001</v>
          </cell>
          <cell r="AI111">
            <v>730.09400000000005</v>
          </cell>
          <cell r="AK111">
            <v>125.84558741233455</v>
          </cell>
          <cell r="AL111">
            <v>115.94075396251944</v>
          </cell>
          <cell r="BM111">
            <v>38862</v>
          </cell>
          <cell r="BN111">
            <v>29705.166312000001</v>
          </cell>
          <cell r="BO111">
            <v>1396.3040000000001</v>
          </cell>
          <cell r="BP111">
            <v>37565.542308699994</v>
          </cell>
          <cell r="BQ111">
            <v>1578.4854</v>
          </cell>
          <cell r="BR111">
            <v>217.05008365026646</v>
          </cell>
          <cell r="BS111">
            <v>276.4614014454591</v>
          </cell>
        </row>
        <row r="112">
          <cell r="C112">
            <v>38909</v>
          </cell>
          <cell r="D112">
            <v>38971</v>
          </cell>
          <cell r="E112">
            <v>2627.3433599999998</v>
          </cell>
          <cell r="F112">
            <v>1385.5845119999999</v>
          </cell>
          <cell r="AB112">
            <v>38882</v>
          </cell>
          <cell r="AC112">
            <v>32957.137884999996</v>
          </cell>
          <cell r="AD112">
            <v>902.81600000000003</v>
          </cell>
          <cell r="AF112">
            <v>178.14464803782221</v>
          </cell>
          <cell r="AG112">
            <v>38881</v>
          </cell>
          <cell r="AH112">
            <v>35608.644952000002</v>
          </cell>
          <cell r="AI112">
            <v>1030.221</v>
          </cell>
          <cell r="AK112">
            <v>192.47695428567448</v>
          </cell>
          <cell r="AL112">
            <v>163.60167250795203</v>
          </cell>
          <cell r="BM112">
            <v>38863</v>
          </cell>
          <cell r="BN112">
            <v>28742.02202</v>
          </cell>
          <cell r="BO112">
            <v>1268.146</v>
          </cell>
          <cell r="BP112">
            <v>35960.312872299997</v>
          </cell>
          <cell r="BQ112">
            <v>1558.3071000000002</v>
          </cell>
          <cell r="BR112">
            <v>207.77522264638847</v>
          </cell>
          <cell r="BS112">
            <v>272.9273040779529</v>
          </cell>
        </row>
        <row r="113">
          <cell r="C113">
            <v>38910</v>
          </cell>
          <cell r="D113">
            <v>38972</v>
          </cell>
          <cell r="E113">
            <v>2951.1380479999998</v>
          </cell>
          <cell r="F113">
            <v>2621.02144</v>
          </cell>
          <cell r="AB113">
            <v>38883</v>
          </cell>
          <cell r="AC113">
            <v>26717.086062999999</v>
          </cell>
          <cell r="AD113">
            <v>735.90099999999995</v>
          </cell>
          <cell r="AF113">
            <v>144.41502505154023</v>
          </cell>
          <cell r="AG113">
            <v>38882</v>
          </cell>
          <cell r="AH113">
            <v>32957.137884999996</v>
          </cell>
          <cell r="AI113">
            <v>902.81600000000003</v>
          </cell>
          <cell r="AK113">
            <v>178.14464803782221</v>
          </cell>
          <cell r="AL113">
            <v>143.36943972889239</v>
          </cell>
          <cell r="BM113">
            <v>38866</v>
          </cell>
          <cell r="BN113">
            <v>22117.186131999999</v>
          </cell>
          <cell r="BO113">
            <v>941.48900000000003</v>
          </cell>
          <cell r="BP113">
            <v>34375.3506433</v>
          </cell>
          <cell r="BQ113">
            <v>1441.9941000000001</v>
          </cell>
          <cell r="BR113">
            <v>198.61746361392298</v>
          </cell>
          <cell r="BS113">
            <v>252.55584230432757</v>
          </cell>
        </row>
        <row r="114">
          <cell r="C114">
            <v>38911</v>
          </cell>
          <cell r="D114">
            <v>38973</v>
          </cell>
          <cell r="E114">
            <v>2973.9801600000001</v>
          </cell>
          <cell r="F114">
            <v>1768.614272</v>
          </cell>
          <cell r="AB114">
            <v>38884</v>
          </cell>
          <cell r="AC114">
            <v>32989.739030999997</v>
          </cell>
          <cell r="AD114">
            <v>1269.057</v>
          </cell>
          <cell r="AF114">
            <v>178.32086842747088</v>
          </cell>
          <cell r="AG114">
            <v>38883</v>
          </cell>
          <cell r="AH114">
            <v>26717.086062999999</v>
          </cell>
          <cell r="AI114">
            <v>735.90099999999995</v>
          </cell>
          <cell r="AK114">
            <v>144.41502505154023</v>
          </cell>
          <cell r="AL114">
            <v>116.86292009216896</v>
          </cell>
          <cell r="BM114">
            <v>38867</v>
          </cell>
          <cell r="BN114">
            <v>25866.764068</v>
          </cell>
          <cell r="BO114">
            <v>830.77800000000002</v>
          </cell>
          <cell r="BP114">
            <v>32889.534182199997</v>
          </cell>
          <cell r="BQ114">
            <v>1339.3292999999999</v>
          </cell>
          <cell r="BR114">
            <v>190.03255927471398</v>
          </cell>
          <cell r="BS114">
            <v>234.5747735613935</v>
          </cell>
        </row>
        <row r="115">
          <cell r="C115">
            <v>38912</v>
          </cell>
          <cell r="D115">
            <v>38974</v>
          </cell>
          <cell r="E115">
            <v>3256.6899199999998</v>
          </cell>
          <cell r="F115">
            <v>1327.7972480000001</v>
          </cell>
          <cell r="AB115">
            <v>38887</v>
          </cell>
          <cell r="AC115">
            <v>16464</v>
          </cell>
          <cell r="AD115">
            <v>511.79</v>
          </cell>
          <cell r="AF115">
            <v>88.993573881596348</v>
          </cell>
          <cell r="AG115">
            <v>38884</v>
          </cell>
          <cell r="AH115">
            <v>32989.739030999997</v>
          </cell>
          <cell r="AI115">
            <v>1269.057</v>
          </cell>
          <cell r="AK115">
            <v>178.32086842747088</v>
          </cell>
          <cell r="AL115">
            <v>201.52942689765024</v>
          </cell>
          <cell r="BM115">
            <v>38869</v>
          </cell>
          <cell r="BN115">
            <v>54037.456758</v>
          </cell>
          <cell r="BO115">
            <v>966.21</v>
          </cell>
          <cell r="BP115">
            <v>34485.253195000005</v>
          </cell>
          <cell r="BQ115">
            <v>1301.3535999999999</v>
          </cell>
          <cell r="BR115">
            <v>199.25246996745403</v>
          </cell>
          <cell r="BS115">
            <v>227.92357790074797</v>
          </cell>
        </row>
        <row r="116">
          <cell r="C116">
            <v>38915</v>
          </cell>
          <cell r="D116">
            <v>38898</v>
          </cell>
          <cell r="E116">
            <v>5404.3863039999997</v>
          </cell>
          <cell r="F116">
            <v>3999.9777279999998</v>
          </cell>
          <cell r="AG116">
            <v>38887</v>
          </cell>
          <cell r="AH116">
            <v>16464</v>
          </cell>
          <cell r="AI116">
            <v>511.79</v>
          </cell>
          <cell r="AK116">
            <v>88.993573881596348</v>
          </cell>
          <cell r="AL116">
            <v>81.273532545778806</v>
          </cell>
          <cell r="BM116">
            <v>38870</v>
          </cell>
          <cell r="BN116">
            <v>39689.741519000003</v>
          </cell>
          <cell r="BO116">
            <v>1113.356</v>
          </cell>
          <cell r="BP116">
            <v>34691.195537300002</v>
          </cell>
          <cell r="BQ116">
            <v>1244.4515999999999</v>
          </cell>
          <cell r="BR116">
            <v>200.4423849766936</v>
          </cell>
          <cell r="BS116">
            <v>217.95756449001291</v>
          </cell>
        </row>
        <row r="117">
          <cell r="C117">
            <v>38916</v>
          </cell>
          <cell r="D117">
            <v>38901</v>
          </cell>
          <cell r="E117">
            <v>3126.3595519999999</v>
          </cell>
          <cell r="F117">
            <v>928.95001600000001</v>
          </cell>
          <cell r="BM117">
            <v>38873</v>
          </cell>
          <cell r="BN117">
            <v>31578.064597000001</v>
          </cell>
          <cell r="BO117">
            <v>790.08799999999997</v>
          </cell>
          <cell r="BP117">
            <v>34907.423255300011</v>
          </cell>
          <cell r="BQ117">
            <v>1196.7050999999999</v>
          </cell>
          <cell r="BR117">
            <v>201.69172789563072</v>
          </cell>
          <cell r="BS117">
            <v>209.59507706750293</v>
          </cell>
        </row>
        <row r="118">
          <cell r="C118">
            <v>38917</v>
          </cell>
          <cell r="D118">
            <v>38902</v>
          </cell>
          <cell r="E118">
            <v>2553.695232</v>
          </cell>
          <cell r="F118">
            <v>982.73260800000003</v>
          </cell>
          <cell r="BM118">
            <v>38874</v>
          </cell>
          <cell r="BN118">
            <v>29794.251365</v>
          </cell>
          <cell r="BO118">
            <v>1014.4</v>
          </cell>
          <cell r="BP118">
            <v>33892.481035600002</v>
          </cell>
          <cell r="BQ118">
            <v>1114.7625999999998</v>
          </cell>
          <cell r="BR118">
            <v>195.82748954986741</v>
          </cell>
          <cell r="BS118">
            <v>195.24338373670332</v>
          </cell>
        </row>
        <row r="119">
          <cell r="C119">
            <v>38918</v>
          </cell>
          <cell r="D119">
            <v>38903</v>
          </cell>
          <cell r="E119">
            <v>2065.7831679999999</v>
          </cell>
          <cell r="F119">
            <v>880.64435200000003</v>
          </cell>
          <cell r="BM119">
            <v>38875</v>
          </cell>
          <cell r="BN119">
            <v>28959.092089999998</v>
          </cell>
          <cell r="BO119">
            <v>956.947</v>
          </cell>
          <cell r="BP119">
            <v>32647.170484799997</v>
          </cell>
          <cell r="BQ119">
            <v>1049.1209000000001</v>
          </cell>
          <cell r="BR119">
            <v>188.63220518526228</v>
          </cell>
          <cell r="BS119">
            <v>183.74666899023669</v>
          </cell>
        </row>
        <row r="120">
          <cell r="C120">
            <v>38919</v>
          </cell>
          <cell r="D120">
            <v>38904</v>
          </cell>
          <cell r="E120">
            <v>2738.1916160000001</v>
          </cell>
          <cell r="F120">
            <v>1362.3261440000001</v>
          </cell>
          <cell r="BM120">
            <v>38876</v>
          </cell>
          <cell r="BN120">
            <v>44480.610074999997</v>
          </cell>
          <cell r="BO120">
            <v>1467.6310000000001</v>
          </cell>
          <cell r="BP120">
            <v>33497.0354936</v>
          </cell>
          <cell r="BQ120">
            <v>1074.5348999999999</v>
          </cell>
          <cell r="BR120">
            <v>193.54264331325797</v>
          </cell>
          <cell r="BS120">
            <v>188.19776499425092</v>
          </cell>
        </row>
        <row r="121">
          <cell r="C121">
            <v>38922</v>
          </cell>
          <cell r="D121">
            <v>38905</v>
          </cell>
          <cell r="E121">
            <v>2541.1658240000002</v>
          </cell>
          <cell r="F121">
            <v>1430.3768319999999</v>
          </cell>
          <cell r="BM121">
            <v>38877</v>
          </cell>
          <cell r="BN121">
            <v>33384.699374999997</v>
          </cell>
          <cell r="BO121">
            <v>1199.8589999999999</v>
          </cell>
          <cell r="BP121">
            <v>33864.988799899991</v>
          </cell>
          <cell r="BQ121">
            <v>1054.8904</v>
          </cell>
          <cell r="BR121">
            <v>195.66864206113999</v>
          </cell>
          <cell r="BS121">
            <v>184.75715920803631</v>
          </cell>
        </row>
        <row r="122">
          <cell r="D122">
            <v>38908</v>
          </cell>
          <cell r="E122">
            <v>2360.9031679999998</v>
          </cell>
          <cell r="F122">
            <v>871.38937599999997</v>
          </cell>
          <cell r="BM122">
            <v>38880</v>
          </cell>
          <cell r="BN122">
            <v>23281.700698000001</v>
          </cell>
          <cell r="BO122">
            <v>730.09400000000005</v>
          </cell>
          <cell r="BP122">
            <v>33318.956667700004</v>
          </cell>
          <cell r="BQ122">
            <v>1001.0851999999999</v>
          </cell>
          <cell r="BR122">
            <v>192.51372101685379</v>
          </cell>
          <cell r="BS122">
            <v>175.333530077825</v>
          </cell>
        </row>
        <row r="123">
          <cell r="D123">
            <v>38909</v>
          </cell>
          <cell r="E123">
            <v>2627.0574080000001</v>
          </cell>
          <cell r="F123">
            <v>868.62611200000003</v>
          </cell>
          <cell r="BM123">
            <v>38881</v>
          </cell>
          <cell r="BN123">
            <v>35608.644952000002</v>
          </cell>
          <cell r="BO123">
            <v>1030.221</v>
          </cell>
          <cell r="BP123">
            <v>34668.102549699994</v>
          </cell>
          <cell r="BQ123">
            <v>1009.9584000000001</v>
          </cell>
          <cell r="BR123">
            <v>200.30895591957722</v>
          </cell>
          <cell r="BS123">
            <v>176.88761306605278</v>
          </cell>
        </row>
        <row r="124">
          <cell r="D124">
            <v>38910</v>
          </cell>
          <cell r="E124">
            <v>2645.5848959999998</v>
          </cell>
          <cell r="F124">
            <v>1161.312128</v>
          </cell>
          <cell r="BM124">
            <v>38882</v>
          </cell>
          <cell r="BN124">
            <v>32957.137884999996</v>
          </cell>
          <cell r="BO124">
            <v>902.81600000000003</v>
          </cell>
          <cell r="BP124">
            <v>35377.139931400001</v>
          </cell>
          <cell r="BQ124">
            <v>1017.1622</v>
          </cell>
          <cell r="BR124">
            <v>204.40570558831575</v>
          </cell>
          <cell r="BS124">
            <v>178.14931155482739</v>
          </cell>
        </row>
        <row r="125">
          <cell r="D125">
            <v>38911</v>
          </cell>
          <cell r="E125">
            <v>2893.2126720000001</v>
          </cell>
          <cell r="F125">
            <v>1174.0213759999999</v>
          </cell>
          <cell r="BM125">
            <v>38883</v>
          </cell>
          <cell r="BN125">
            <v>26717.086062999999</v>
          </cell>
          <cell r="BO125">
            <v>735.90099999999995</v>
          </cell>
          <cell r="BP125">
            <v>32645.102861899999</v>
          </cell>
          <cell r="BQ125">
            <v>994.13130000000024</v>
          </cell>
          <cell r="BR125">
            <v>188.6202586593819</v>
          </cell>
          <cell r="BS125">
            <v>174.11559994080156</v>
          </cell>
        </row>
        <row r="126">
          <cell r="D126">
            <v>38912</v>
          </cell>
          <cell r="E126">
            <v>2995.3807360000001</v>
          </cell>
          <cell r="F126">
            <v>1230.9835519999999</v>
          </cell>
          <cell r="BM126">
            <v>38884</v>
          </cell>
          <cell r="BN126">
            <v>32989.739030999997</v>
          </cell>
          <cell r="BO126">
            <v>1269.057</v>
          </cell>
          <cell r="BP126">
            <v>31975.102613100004</v>
          </cell>
          <cell r="BQ126">
            <v>1009.7014000000001</v>
          </cell>
          <cell r="BR126">
            <v>184.74906178292792</v>
          </cell>
          <cell r="BS126">
            <v>176.84260119570448</v>
          </cell>
        </row>
        <row r="127">
          <cell r="D127">
            <v>38915</v>
          </cell>
          <cell r="E127">
            <v>2337.7592319999999</v>
          </cell>
          <cell r="F127">
            <v>1040.834304</v>
          </cell>
          <cell r="BM127">
            <v>38887</v>
          </cell>
          <cell r="BN127">
            <v>16464.093631</v>
          </cell>
          <cell r="BO127">
            <v>511.5</v>
          </cell>
          <cell r="BP127">
            <v>30463.705516500002</v>
          </cell>
          <cell r="BQ127">
            <v>981.84259999999995</v>
          </cell>
          <cell r="BR127">
            <v>176.01635499674572</v>
          </cell>
          <cell r="BS127">
            <v>171.96331444994883</v>
          </cell>
        </row>
        <row r="128">
          <cell r="D128">
            <v>38916</v>
          </cell>
          <cell r="E128">
            <v>2620.9676800000002</v>
          </cell>
          <cell r="F128">
            <v>1247.217024</v>
          </cell>
          <cell r="BM128">
            <v>38888</v>
          </cell>
          <cell r="BN128">
            <v>22800.343056999998</v>
          </cell>
          <cell r="BO128">
            <v>720.298</v>
          </cell>
          <cell r="BP128">
            <v>29764.314685700003</v>
          </cell>
          <cell r="BQ128">
            <v>952.43240000000003</v>
          </cell>
          <cell r="BR128">
            <v>171.97534216956734</v>
          </cell>
          <cell r="BS128">
            <v>166.81231013353818</v>
          </cell>
        </row>
        <row r="129">
          <cell r="D129">
            <v>38917</v>
          </cell>
          <cell r="E129">
            <v>2520.55168</v>
          </cell>
          <cell r="F129">
            <v>1012.9409920000001</v>
          </cell>
          <cell r="BM129">
            <v>38889</v>
          </cell>
          <cell r="BN129">
            <v>21305.352525999999</v>
          </cell>
          <cell r="BO129">
            <v>827.66700000000003</v>
          </cell>
          <cell r="BP129">
            <v>28998.940729300004</v>
          </cell>
          <cell r="BQ129">
            <v>939.50440000000003</v>
          </cell>
          <cell r="BR129">
            <v>167.55308520079512</v>
          </cell>
          <cell r="BS129">
            <v>164.54805542590077</v>
          </cell>
        </row>
        <row r="130">
          <cell r="D130">
            <v>38918</v>
          </cell>
          <cell r="E130">
            <v>2900.536576</v>
          </cell>
          <cell r="F130">
            <v>1473.2622080000001</v>
          </cell>
          <cell r="BM130">
            <v>38890</v>
          </cell>
          <cell r="BN130">
            <v>23645.230794999999</v>
          </cell>
          <cell r="BO130">
            <v>924.61800000000005</v>
          </cell>
          <cell r="BP130">
            <v>26915.402801299999</v>
          </cell>
          <cell r="BQ130">
            <v>885.20309999999995</v>
          </cell>
          <cell r="BR130">
            <v>155.51460382217894</v>
          </cell>
          <cell r="BS130">
            <v>155.03753762300545</v>
          </cell>
        </row>
        <row r="131">
          <cell r="D131">
            <v>38919</v>
          </cell>
          <cell r="E131">
            <v>2150.638336</v>
          </cell>
          <cell r="F131">
            <v>807.42252800000006</v>
          </cell>
          <cell r="BM131">
            <v>38891</v>
          </cell>
          <cell r="BN131">
            <v>18448.877773</v>
          </cell>
          <cell r="BO131">
            <v>696.54700000000003</v>
          </cell>
          <cell r="BP131">
            <v>25421.820641099999</v>
          </cell>
          <cell r="BQ131">
            <v>834.8719000000001</v>
          </cell>
          <cell r="BR131">
            <v>146.88483002187161</v>
          </cell>
          <cell r="BS131">
            <v>146.22235688808601</v>
          </cell>
        </row>
        <row r="132">
          <cell r="D132">
            <v>38922</v>
          </cell>
          <cell r="E132">
            <v>1867.5207680000001</v>
          </cell>
          <cell r="F132">
            <v>1142.0866559999999</v>
          </cell>
          <cell r="BM132">
            <v>38894</v>
          </cell>
          <cell r="BN132">
            <v>20214.716756999998</v>
          </cell>
          <cell r="BO132">
            <v>781.072</v>
          </cell>
          <cell r="BP132">
            <v>25115.122246999999</v>
          </cell>
          <cell r="BQ132">
            <v>839.96969999999999</v>
          </cell>
          <cell r="BR132">
            <v>145.112756254168</v>
          </cell>
          <cell r="BS132">
            <v>147.11520324085467</v>
          </cell>
        </row>
        <row r="133">
          <cell r="D133">
            <v>38923</v>
          </cell>
          <cell r="E133">
            <v>2859.0039040000001</v>
          </cell>
          <cell r="F133">
            <v>1102.9675520000001</v>
          </cell>
          <cell r="BM133">
            <v>38895</v>
          </cell>
          <cell r="BN133">
            <v>23691.855133000001</v>
          </cell>
          <cell r="BO133">
            <v>776.79899999999998</v>
          </cell>
          <cell r="BP133">
            <v>23923.443265100002</v>
          </cell>
          <cell r="BQ133">
            <v>814.62750000000005</v>
          </cell>
          <cell r="BR133">
            <v>138.2273499267381</v>
          </cell>
          <cell r="BS133">
            <v>142.67668253758364</v>
          </cell>
        </row>
        <row r="134">
          <cell r="D134">
            <v>38924</v>
          </cell>
          <cell r="E134">
            <v>2847.7619199999999</v>
          </cell>
          <cell r="F134">
            <v>1098.4139520000001</v>
          </cell>
          <cell r="BM134">
            <v>38896</v>
          </cell>
          <cell r="BN134">
            <v>21319.328479</v>
          </cell>
          <cell r="BO134">
            <v>778.005</v>
          </cell>
          <cell r="BP134">
            <v>22759.662324499997</v>
          </cell>
          <cell r="BQ134">
            <v>802.14639999999997</v>
          </cell>
          <cell r="BR134">
            <v>131.50313579368893</v>
          </cell>
          <cell r="BS134">
            <v>140.49069944418224</v>
          </cell>
        </row>
        <row r="135">
          <cell r="D135">
            <v>38925</v>
          </cell>
          <cell r="E135">
            <v>3527.0297599999999</v>
          </cell>
          <cell r="F135">
            <v>1154.816896</v>
          </cell>
          <cell r="BM135">
            <v>38897</v>
          </cell>
          <cell r="BN135">
            <v>27894.759203000001</v>
          </cell>
          <cell r="BO135">
            <v>849.91</v>
          </cell>
          <cell r="BP135">
            <v>22877.429638499998</v>
          </cell>
          <cell r="BQ135">
            <v>813.54729999999995</v>
          </cell>
          <cell r="BR135">
            <v>132.18358398594216</v>
          </cell>
          <cell r="BS135">
            <v>142.48749256734925</v>
          </cell>
        </row>
        <row r="136">
          <cell r="D136">
            <v>38926</v>
          </cell>
          <cell r="E136">
            <v>3846.3449599999999</v>
          </cell>
          <cell r="F136">
            <v>1474.3486720000001</v>
          </cell>
          <cell r="BM136">
            <v>38898</v>
          </cell>
          <cell r="BN136">
            <v>40515.880439</v>
          </cell>
          <cell r="BO136">
            <v>1451.7080000000001</v>
          </cell>
          <cell r="BP136">
            <v>23630.043779299998</v>
          </cell>
          <cell r="BQ136">
            <v>831.81240000000003</v>
          </cell>
          <cell r="BR136">
            <v>136.53211596971127</v>
          </cell>
          <cell r="BS136">
            <v>145.68650545878396</v>
          </cell>
        </row>
        <row r="137">
          <cell r="D137">
            <v>38929</v>
          </cell>
          <cell r="E137">
            <v>2536.9088000000002</v>
          </cell>
          <cell r="F137">
            <v>924.57491200000004</v>
          </cell>
          <cell r="BM137">
            <v>38901</v>
          </cell>
          <cell r="BN137">
            <v>27406.572773</v>
          </cell>
          <cell r="BO137">
            <v>688.01499999999999</v>
          </cell>
          <cell r="BP137">
            <v>24724.291693499999</v>
          </cell>
          <cell r="BQ137">
            <v>849.46389999999997</v>
          </cell>
          <cell r="BR137">
            <v>142.85457497641204</v>
          </cell>
          <cell r="BS137">
            <v>148.77805032046879</v>
          </cell>
        </row>
        <row r="138">
          <cell r="D138">
            <v>38930</v>
          </cell>
          <cell r="E138">
            <v>2183.9905279999998</v>
          </cell>
          <cell r="F138">
            <v>916.29062399999998</v>
          </cell>
          <cell r="BM138">
            <v>38902</v>
          </cell>
          <cell r="BN138">
            <v>22134.522115</v>
          </cell>
          <cell r="BO138">
            <v>970.81500000000005</v>
          </cell>
          <cell r="BP138">
            <v>24657.7095993</v>
          </cell>
          <cell r="BQ138">
            <v>874.51560000000006</v>
          </cell>
          <cell r="BR138">
            <v>142.46987005196397</v>
          </cell>
          <cell r="BS138">
            <v>153.16569184733447</v>
          </cell>
        </row>
        <row r="139">
          <cell r="D139">
            <v>38931</v>
          </cell>
          <cell r="E139">
            <v>3238.3887359999999</v>
          </cell>
          <cell r="F139">
            <v>1415.9532799999999</v>
          </cell>
          <cell r="BM139">
            <v>38903</v>
          </cell>
          <cell r="BN139">
            <v>22551.846733999999</v>
          </cell>
          <cell r="BO139">
            <v>1024.4100000000001</v>
          </cell>
          <cell r="BP139">
            <v>24782.359020099997</v>
          </cell>
          <cell r="BQ139">
            <v>894.18989999999997</v>
          </cell>
          <cell r="BR139">
            <v>143.19008239414893</v>
          </cell>
          <cell r="BS139">
            <v>156.61151690878793</v>
          </cell>
        </row>
        <row r="140">
          <cell r="D140">
            <v>38932</v>
          </cell>
          <cell r="E140">
            <v>3539.9175679999998</v>
          </cell>
          <cell r="F140">
            <v>1059.2901119999999</v>
          </cell>
          <cell r="BM140">
            <v>38904</v>
          </cell>
          <cell r="BN140">
            <v>24215.153504999998</v>
          </cell>
          <cell r="BO140">
            <v>1000.785</v>
          </cell>
          <cell r="BP140">
            <v>24839.3512911</v>
          </cell>
          <cell r="BQ140">
            <v>901.80660000000012</v>
          </cell>
          <cell r="BR140">
            <v>143.51937824422117</v>
          </cell>
          <cell r="BS140">
            <v>157.94553213400931</v>
          </cell>
        </row>
        <row r="141">
          <cell r="D141">
            <v>38933</v>
          </cell>
          <cell r="E141">
            <v>2767.78496</v>
          </cell>
          <cell r="F141">
            <v>945.88204800000005</v>
          </cell>
          <cell r="BM141">
            <v>38905</v>
          </cell>
          <cell r="BN141">
            <v>21350.088216</v>
          </cell>
          <cell r="BO141">
            <v>940.98800000000006</v>
          </cell>
          <cell r="BP141">
            <v>25129.472335399998</v>
          </cell>
          <cell r="BQ141">
            <v>926.25069999999994</v>
          </cell>
          <cell r="BR141">
            <v>145.19566968217106</v>
          </cell>
          <cell r="BS141">
            <v>162.22675649191146</v>
          </cell>
        </row>
        <row r="142">
          <cell r="D142">
            <v>38936</v>
          </cell>
          <cell r="E142">
            <v>1524.4526080000001</v>
          </cell>
          <cell r="F142">
            <v>800.81049599999994</v>
          </cell>
          <cell r="BM142">
            <v>38908</v>
          </cell>
          <cell r="BN142">
            <v>23527.107458999999</v>
          </cell>
          <cell r="BO142">
            <v>895.67100000000005</v>
          </cell>
          <cell r="BP142">
            <v>25460.711405599999</v>
          </cell>
          <cell r="BQ142">
            <v>937.7106</v>
          </cell>
          <cell r="BR142">
            <v>147.10953711164501</v>
          </cell>
          <cell r="BS142">
            <v>164.23388307947749</v>
          </cell>
        </row>
        <row r="143">
          <cell r="D143">
            <v>38937</v>
          </cell>
          <cell r="E143">
            <v>2848.6801919999998</v>
          </cell>
          <cell r="F143">
            <v>1221.493888</v>
          </cell>
          <cell r="BM143">
            <v>38909</v>
          </cell>
          <cell r="BN143">
            <v>24192.565911999998</v>
          </cell>
          <cell r="BO143">
            <v>839.73900000000003</v>
          </cell>
          <cell r="BP143">
            <v>25510.782483499999</v>
          </cell>
          <cell r="BQ143">
            <v>944.00459999999987</v>
          </cell>
          <cell r="BR143">
            <v>147.39884297491048</v>
          </cell>
          <cell r="BS143">
            <v>165.33623604434985</v>
          </cell>
        </row>
        <row r="144">
          <cell r="D144">
            <v>38938</v>
          </cell>
          <cell r="E144">
            <v>3462.1117439999998</v>
          </cell>
          <cell r="F144">
            <v>1014.814208</v>
          </cell>
          <cell r="BM144">
            <v>38910</v>
          </cell>
          <cell r="BN144">
            <v>20351.164582000001</v>
          </cell>
          <cell r="BO144">
            <v>706.78</v>
          </cell>
          <cell r="BP144">
            <v>25413.966093799994</v>
          </cell>
          <cell r="BQ144">
            <v>936.88210000000015</v>
          </cell>
          <cell r="BR144">
            <v>146.83944720443506</v>
          </cell>
          <cell r="BS144">
            <v>164.0887767192302</v>
          </cell>
        </row>
        <row r="145">
          <cell r="D145">
            <v>38939</v>
          </cell>
          <cell r="E145">
            <v>3075.7424639999999</v>
          </cell>
          <cell r="F145">
            <v>856.33439999999996</v>
          </cell>
          <cell r="BM145">
            <v>38911</v>
          </cell>
          <cell r="BN145">
            <v>26898.422868000001</v>
          </cell>
          <cell r="BO145">
            <v>840.495</v>
          </cell>
          <cell r="BP145">
            <v>25314.332460299996</v>
          </cell>
          <cell r="BQ145">
            <v>935.94060000000025</v>
          </cell>
          <cell r="BR145">
            <v>146.26377367075241</v>
          </cell>
          <cell r="BS145">
            <v>163.92387914750677</v>
          </cell>
        </row>
        <row r="146">
          <cell r="D146">
            <v>38940</v>
          </cell>
          <cell r="E146">
            <v>2748.8394239999998</v>
          </cell>
          <cell r="F146">
            <v>891.12569599999995</v>
          </cell>
          <cell r="BM146">
            <v>38912</v>
          </cell>
          <cell r="BN146">
            <v>28133.725361000001</v>
          </cell>
          <cell r="BO146">
            <v>1075.3699999999999</v>
          </cell>
          <cell r="BP146">
            <v>24076.116952499997</v>
          </cell>
          <cell r="BQ146">
            <v>898.30679999999995</v>
          </cell>
          <cell r="BR146">
            <v>139.10948378092417</v>
          </cell>
          <cell r="BS146">
            <v>157.33256503733622</v>
          </cell>
        </row>
        <row r="147">
          <cell r="D147">
            <v>38943</v>
          </cell>
          <cell r="E147">
            <v>2886.8520960000001</v>
          </cell>
          <cell r="F147">
            <v>1031.946688</v>
          </cell>
          <cell r="BM147">
            <v>38915</v>
          </cell>
          <cell r="BN147">
            <v>18642.105136999999</v>
          </cell>
          <cell r="BO147">
            <v>873.13599999999997</v>
          </cell>
          <cell r="BP147">
            <v>23199.6701889</v>
          </cell>
          <cell r="BQ147">
            <v>916.81889999999999</v>
          </cell>
          <cell r="BR147">
            <v>134.04545883510758</v>
          </cell>
          <cell r="BS147">
            <v>160.57483836447531</v>
          </cell>
        </row>
        <row r="148">
          <cell r="D148">
            <v>38944</v>
          </cell>
          <cell r="E148">
            <v>2566.4035840000001</v>
          </cell>
          <cell r="F148">
            <v>1045.313472</v>
          </cell>
          <cell r="BM148">
            <v>38916</v>
          </cell>
          <cell r="BN148">
            <v>21356.607601</v>
          </cell>
          <cell r="BO148">
            <v>838.34199999999998</v>
          </cell>
          <cell r="BP148">
            <v>23121.878737499999</v>
          </cell>
          <cell r="BQ148">
            <v>903.57159999999999</v>
          </cell>
          <cell r="BR148">
            <v>133.59598732488968</v>
          </cell>
          <cell r="BS148">
            <v>158.25466034865812</v>
          </cell>
        </row>
        <row r="149">
          <cell r="D149">
            <v>38945</v>
          </cell>
          <cell r="E149">
            <v>3030.256128</v>
          </cell>
          <cell r="F149">
            <v>1093.727744</v>
          </cell>
          <cell r="BM149">
            <v>38917</v>
          </cell>
          <cell r="BN149">
            <v>19592.667859000001</v>
          </cell>
          <cell r="BO149">
            <v>642.95399999999995</v>
          </cell>
          <cell r="BP149">
            <v>22825.960849999996</v>
          </cell>
          <cell r="BQ149">
            <v>865.42600000000004</v>
          </cell>
          <cell r="BR149">
            <v>131.88620228551304</v>
          </cell>
          <cell r="BS149">
            <v>151.57370781341268</v>
          </cell>
        </row>
        <row r="150">
          <cell r="D150">
            <v>38946</v>
          </cell>
          <cell r="E150">
            <v>4122.9404160000004</v>
          </cell>
          <cell r="F150">
            <v>1436.5935360000001</v>
          </cell>
          <cell r="BM150">
            <v>38918</v>
          </cell>
          <cell r="BN150">
            <v>26754.771816</v>
          </cell>
          <cell r="BO150">
            <v>1137.271</v>
          </cell>
          <cell r="BP150">
            <v>23079.922681099997</v>
          </cell>
          <cell r="BQ150">
            <v>879.07459999999992</v>
          </cell>
          <cell r="BR150">
            <v>133.35356927388909</v>
          </cell>
          <cell r="BS150">
            <v>153.96417090148969</v>
          </cell>
        </row>
        <row r="151">
          <cell r="D151">
            <v>38947</v>
          </cell>
          <cell r="E151">
            <v>3255.27808</v>
          </cell>
          <cell r="F151">
            <v>984.71846400000004</v>
          </cell>
          <cell r="BM151">
            <v>38919</v>
          </cell>
          <cell r="BN151">
            <v>20075.190279999999</v>
          </cell>
          <cell r="BO151">
            <v>680.40800000000002</v>
          </cell>
          <cell r="BP151">
            <v>22952.432887499999</v>
          </cell>
          <cell r="BQ151">
            <v>853.01659999999993</v>
          </cell>
          <cell r="BR151">
            <v>132.61694553136357</v>
          </cell>
          <cell r="BS151">
            <v>149.40028250640808</v>
          </cell>
        </row>
        <row r="152">
          <cell r="D152">
            <v>38950</v>
          </cell>
          <cell r="E152">
            <v>2453.4548479999999</v>
          </cell>
          <cell r="F152">
            <v>1039.932096</v>
          </cell>
          <cell r="BM152">
            <v>38922</v>
          </cell>
          <cell r="BN152">
            <v>17925.102314</v>
          </cell>
          <cell r="BO152">
            <v>682.798</v>
          </cell>
          <cell r="BP152">
            <v>22392.232372999999</v>
          </cell>
          <cell r="BQ152">
            <v>831.72929999999997</v>
          </cell>
          <cell r="BR152">
            <v>129.3801609394109</v>
          </cell>
          <cell r="BS152">
            <v>145.67195103689312</v>
          </cell>
        </row>
        <row r="153">
          <cell r="D153">
            <v>38951</v>
          </cell>
          <cell r="E153">
            <v>2748.2580480000001</v>
          </cell>
          <cell r="F153">
            <v>1094.933632</v>
          </cell>
          <cell r="BM153">
            <v>38923</v>
          </cell>
          <cell r="BN153">
            <v>22638.018989</v>
          </cell>
          <cell r="BO153">
            <v>847.30700000000002</v>
          </cell>
          <cell r="BP153">
            <v>22236.777680700001</v>
          </cell>
          <cell r="BQ153">
            <v>832.48609999999985</v>
          </cell>
          <cell r="BR153">
            <v>128.48195870688977</v>
          </cell>
          <cell r="BS153">
            <v>145.80449961074365</v>
          </cell>
        </row>
        <row r="154">
          <cell r="D154">
            <v>38952</v>
          </cell>
          <cell r="E154">
            <v>3511.2614400000002</v>
          </cell>
          <cell r="F154">
            <v>1211.170944</v>
          </cell>
          <cell r="BM154">
            <v>38924</v>
          </cell>
          <cell r="BN154">
            <v>19637.450691999999</v>
          </cell>
          <cell r="BO154">
            <v>693.19399999999996</v>
          </cell>
          <cell r="BP154">
            <v>22165.406291699997</v>
          </cell>
          <cell r="BQ154">
            <v>831.12749999999994</v>
          </cell>
          <cell r="BR154">
            <v>128.06958169858291</v>
          </cell>
          <cell r="BS154">
            <v>145.56654970002305</v>
          </cell>
        </row>
        <row r="155">
          <cell r="D155">
            <v>38953</v>
          </cell>
          <cell r="E155">
            <v>5158.5592319999996</v>
          </cell>
          <cell r="F155">
            <v>1521.7148159999999</v>
          </cell>
          <cell r="BM155">
            <v>38925</v>
          </cell>
          <cell r="BN155">
            <v>28887.491450000001</v>
          </cell>
          <cell r="BO155">
            <v>1145.125</v>
          </cell>
          <cell r="BP155">
            <v>22364.313149899997</v>
          </cell>
          <cell r="BQ155">
            <v>861.59049999999991</v>
          </cell>
          <cell r="BR155">
            <v>129.21884635863077</v>
          </cell>
          <cell r="BS155">
            <v>150.90194505574379</v>
          </cell>
        </row>
        <row r="156">
          <cell r="D156">
            <v>38954</v>
          </cell>
          <cell r="E156">
            <v>4636.304384</v>
          </cell>
          <cell r="F156">
            <v>2027.017216</v>
          </cell>
          <cell r="BM156">
            <v>38926</v>
          </cell>
          <cell r="BN156">
            <v>26467.351951000001</v>
          </cell>
          <cell r="BO156">
            <v>725.13400000000001</v>
          </cell>
          <cell r="BP156">
            <v>22197.6758089</v>
          </cell>
          <cell r="BQ156">
            <v>826.56690000000003</v>
          </cell>
          <cell r="BR156">
            <v>128.25603185947921</v>
          </cell>
          <cell r="BS156">
            <v>144.7677904163248</v>
          </cell>
        </row>
        <row r="157">
          <cell r="D157">
            <v>38957</v>
          </cell>
          <cell r="E157">
            <v>2331.6070399999999</v>
          </cell>
          <cell r="F157">
            <v>931.24358400000006</v>
          </cell>
          <cell r="BM157">
            <v>38929</v>
          </cell>
          <cell r="BN157">
            <v>23002.195377</v>
          </cell>
          <cell r="BO157">
            <v>1455.396</v>
          </cell>
          <cell r="BP157">
            <v>22633.684832899999</v>
          </cell>
          <cell r="BQ157">
            <v>884.79290000000003</v>
          </cell>
          <cell r="BR157">
            <v>130.77524998639424</v>
          </cell>
          <cell r="BS157">
            <v>154.96569377391259</v>
          </cell>
        </row>
        <row r="158">
          <cell r="D158">
            <v>38958</v>
          </cell>
          <cell r="E158">
            <v>2801.171456</v>
          </cell>
          <cell r="F158">
            <v>916.28063999999995</v>
          </cell>
          <cell r="BM158">
            <v>38930</v>
          </cell>
          <cell r="BN158">
            <v>20327.959181999999</v>
          </cell>
          <cell r="BO158">
            <v>754.14300000000003</v>
          </cell>
          <cell r="BP158">
            <v>22530.819990999997</v>
          </cell>
          <cell r="BQ158">
            <v>876.37299999999993</v>
          </cell>
          <cell r="BR158">
            <v>130.1809068419351</v>
          </cell>
          <cell r="BS158">
            <v>153.49100331809296</v>
          </cell>
        </row>
        <row r="159">
          <cell r="D159">
            <v>38959</v>
          </cell>
          <cell r="E159">
            <v>3184.7265280000001</v>
          </cell>
          <cell r="F159">
            <v>1060.1651199999999</v>
          </cell>
          <cell r="BM159">
            <v>38931</v>
          </cell>
          <cell r="BN159">
            <v>24468.929670000001</v>
          </cell>
          <cell r="BO159">
            <v>946.64300000000003</v>
          </cell>
          <cell r="BP159">
            <v>23018.446172100001</v>
          </cell>
          <cell r="BQ159">
            <v>906.74189999999976</v>
          </cell>
          <cell r="BR159">
            <v>132.99836392875329</v>
          </cell>
          <cell r="BS159">
            <v>158.80991767381454</v>
          </cell>
        </row>
        <row r="160">
          <cell r="D160">
            <v>38960</v>
          </cell>
          <cell r="E160">
            <v>4014.5239040000001</v>
          </cell>
          <cell r="F160">
            <v>1450.794496</v>
          </cell>
          <cell r="BM160">
            <v>38932</v>
          </cell>
          <cell r="BN160">
            <v>28421.803200999999</v>
          </cell>
          <cell r="BO160">
            <v>984.90899999999999</v>
          </cell>
          <cell r="BP160">
            <v>23185.149310600002</v>
          </cell>
          <cell r="BQ160">
            <v>891.50570000000005</v>
          </cell>
          <cell r="BR160">
            <v>133.96155859951961</v>
          </cell>
          <cell r="BS160">
            <v>156.14139682167158</v>
          </cell>
        </row>
        <row r="161">
          <cell r="D161">
            <v>38961</v>
          </cell>
          <cell r="E161">
            <v>2586.9434879999999</v>
          </cell>
          <cell r="F161">
            <v>882.07238400000006</v>
          </cell>
          <cell r="BM161">
            <v>38933</v>
          </cell>
          <cell r="BN161">
            <v>24712.904811</v>
          </cell>
          <cell r="BO161">
            <v>888.35699999999997</v>
          </cell>
          <cell r="BP161">
            <v>23648.9207637</v>
          </cell>
          <cell r="BQ161">
            <v>912.30059999999992</v>
          </cell>
          <cell r="BR161">
            <v>136.6411853665914</v>
          </cell>
          <cell r="BS161">
            <v>159.78348764932076</v>
          </cell>
        </row>
        <row r="162">
          <cell r="D162">
            <v>38964</v>
          </cell>
          <cell r="E162">
            <v>2682.6639359999999</v>
          </cell>
          <cell r="F162">
            <v>1103.50848</v>
          </cell>
          <cell r="BM162">
            <v>38936</v>
          </cell>
          <cell r="BN162">
            <v>19950.602856000001</v>
          </cell>
          <cell r="BO162">
            <v>831.40800000000002</v>
          </cell>
          <cell r="BP162">
            <v>23851.470817900001</v>
          </cell>
          <cell r="BQ162">
            <v>927.16159999999979</v>
          </cell>
          <cell r="BR162">
            <v>137.81150006206951</v>
          </cell>
          <cell r="BS162">
            <v>162.38629467362452</v>
          </cell>
        </row>
        <row r="163">
          <cell r="D163">
            <v>38965</v>
          </cell>
          <cell r="E163">
            <v>2480.123392</v>
          </cell>
          <cell r="F163">
            <v>1015.054016</v>
          </cell>
          <cell r="BM163">
            <v>38937</v>
          </cell>
          <cell r="BN163">
            <v>20536.163079999998</v>
          </cell>
          <cell r="BO163">
            <v>834.72500000000002</v>
          </cell>
          <cell r="BP163">
            <v>23641.285227</v>
          </cell>
          <cell r="BQ163">
            <v>925.90339999999992</v>
          </cell>
          <cell r="BR163">
            <v>136.59706797129786</v>
          </cell>
          <cell r="BS163">
            <v>162.16592916672872</v>
          </cell>
        </row>
        <row r="164">
          <cell r="BM164">
            <v>38939</v>
          </cell>
          <cell r="BN164">
            <v>26379.479330999999</v>
          </cell>
          <cell r="BO164">
            <v>1027.6600000000001</v>
          </cell>
          <cell r="BP164">
            <v>24315.488090900002</v>
          </cell>
          <cell r="BQ164">
            <v>959.35</v>
          </cell>
          <cell r="BR164">
            <v>140.49254715283635</v>
          </cell>
          <cell r="BS164">
            <v>168.02388256280429</v>
          </cell>
        </row>
        <row r="165">
          <cell r="BM165">
            <v>38940</v>
          </cell>
          <cell r="BN165">
            <v>23754.197479999999</v>
          </cell>
          <cell r="BO165">
            <v>938.01199999999994</v>
          </cell>
          <cell r="BP165">
            <v>23802.158693900004</v>
          </cell>
          <cell r="BQ165">
            <v>938.63870000000009</v>
          </cell>
          <cell r="BR165">
            <v>137.52657936130558</v>
          </cell>
          <cell r="BS165">
            <v>164.39643372877813</v>
          </cell>
        </row>
        <row r="166">
          <cell r="BM166">
            <v>38943</v>
          </cell>
          <cell r="BN166">
            <v>21944.872726000001</v>
          </cell>
          <cell r="BO166">
            <v>1014.271</v>
          </cell>
          <cell r="BP166">
            <v>23349.910771400002</v>
          </cell>
          <cell r="BQ166">
            <v>967.55240000000015</v>
          </cell>
          <cell r="BR166">
            <v>134.91353444363509</v>
          </cell>
          <cell r="BS166">
            <v>169.46047931511904</v>
          </cell>
        </row>
        <row r="167">
          <cell r="BM167">
            <v>38944</v>
          </cell>
          <cell r="BN167">
            <v>21233.242975000001</v>
          </cell>
          <cell r="BO167">
            <v>840.24400000000003</v>
          </cell>
          <cell r="BP167">
            <v>23173.015531200002</v>
          </cell>
          <cell r="BQ167">
            <v>906.0372000000001</v>
          </cell>
          <cell r="BR167">
            <v>133.8914507913554</v>
          </cell>
          <cell r="BS167">
            <v>158.68649407445878</v>
          </cell>
        </row>
        <row r="168">
          <cell r="BM168">
            <v>38945</v>
          </cell>
          <cell r="BN168">
            <v>28541.508651</v>
          </cell>
          <cell r="BO168">
            <v>1356.0050000000001</v>
          </cell>
          <cell r="BP168">
            <v>23994.370478100001</v>
          </cell>
          <cell r="BQ168">
            <v>966.22340000000008</v>
          </cell>
          <cell r="BR168">
            <v>138.63716052891766</v>
          </cell>
          <cell r="BS168">
            <v>169.22771365094437</v>
          </cell>
        </row>
        <row r="169">
          <cell r="BM169">
            <v>38946</v>
          </cell>
          <cell r="BN169">
            <v>27364.939199</v>
          </cell>
          <cell r="BO169">
            <v>1056.3230000000001</v>
          </cell>
          <cell r="BP169">
            <v>24283.971431000002</v>
          </cell>
          <cell r="BQ169">
            <v>977.19140000000004</v>
          </cell>
          <cell r="BR169">
            <v>140.31044692887426</v>
          </cell>
          <cell r="BS169">
            <v>171.14868716837682</v>
          </cell>
        </row>
        <row r="170">
          <cell r="BM170">
            <v>38947</v>
          </cell>
          <cell r="BN170">
            <v>21438.082531</v>
          </cell>
          <cell r="BO170">
            <v>1089.9570000000001</v>
          </cell>
          <cell r="BP170">
            <v>23585.599363999998</v>
          </cell>
          <cell r="BQ170">
            <v>987.69619999999998</v>
          </cell>
          <cell r="BR170">
            <v>136.27532042076433</v>
          </cell>
          <cell r="BS170">
            <v>172.98853423310371</v>
          </cell>
        </row>
        <row r="171">
          <cell r="BM171">
            <v>38950</v>
          </cell>
          <cell r="BN171">
            <v>27948.844791</v>
          </cell>
          <cell r="BO171">
            <v>933.45</v>
          </cell>
          <cell r="BP171">
            <v>23909.184882900001</v>
          </cell>
          <cell r="BQ171">
            <v>998.73388888888883</v>
          </cell>
          <cell r="BR171">
            <v>138.14496636832183</v>
          </cell>
          <cell r="BS171">
            <v>174.92171330396567</v>
          </cell>
        </row>
        <row r="172">
          <cell r="BM172">
            <v>38951</v>
          </cell>
          <cell r="BN172">
            <v>21800.888041999999</v>
          </cell>
          <cell r="BO172">
            <v>1049.3489999999999</v>
          </cell>
          <cell r="BP172">
            <v>24094.221880599998</v>
          </cell>
          <cell r="BQ172">
            <v>1013.9996000000001</v>
          </cell>
          <cell r="BR172">
            <v>139.21409231089811</v>
          </cell>
          <cell r="BS172">
            <v>177.59540283434674</v>
          </cell>
        </row>
        <row r="173">
          <cell r="BM173">
            <v>38952</v>
          </cell>
          <cell r="BN173">
            <v>22134.617998999998</v>
          </cell>
          <cell r="BO173">
            <v>959.73400000000004</v>
          </cell>
          <cell r="BP173">
            <v>24254.067372500002</v>
          </cell>
          <cell r="BQ173">
            <v>1026.5005000000003</v>
          </cell>
          <cell r="BR173">
            <v>140.13766416041136</v>
          </cell>
          <cell r="BS173">
            <v>179.78485376834308</v>
          </cell>
        </row>
        <row r="174">
          <cell r="BM174">
            <v>38953</v>
          </cell>
          <cell r="BN174">
            <v>27808.471461000001</v>
          </cell>
          <cell r="BO174">
            <v>973.98800000000006</v>
          </cell>
          <cell r="BP174">
            <v>24396.966585500002</v>
          </cell>
          <cell r="BQ174">
            <v>1021.1333000000001</v>
          </cell>
          <cell r="BR174">
            <v>140.96332204338097</v>
          </cell>
          <cell r="BS174">
            <v>178.84482376626758</v>
          </cell>
        </row>
        <row r="175">
          <cell r="BM175">
            <v>38954</v>
          </cell>
          <cell r="BN175">
            <v>24135.929665</v>
          </cell>
          <cell r="BO175">
            <v>940.54300000000001</v>
          </cell>
          <cell r="BP175">
            <v>24435.139804000002</v>
          </cell>
          <cell r="BQ175">
            <v>1021.3864</v>
          </cell>
          <cell r="BR175">
            <v>141.18388322150901</v>
          </cell>
          <cell r="BS175">
            <v>178.88915257710474</v>
          </cell>
        </row>
        <row r="176">
          <cell r="BM176">
            <v>38957</v>
          </cell>
          <cell r="BN176">
            <v>20070.944544000002</v>
          </cell>
          <cell r="BO176">
            <v>734.11599999999999</v>
          </cell>
          <cell r="BP176">
            <v>24247.7469858</v>
          </cell>
          <cell r="BQ176">
            <v>993.37090000000012</v>
          </cell>
          <cell r="BR176">
            <v>140.10114557509016</v>
          </cell>
          <cell r="BS176">
            <v>173.9824208504792</v>
          </cell>
        </row>
        <row r="177">
          <cell r="BM177">
            <v>38958</v>
          </cell>
          <cell r="BN177">
            <v>22172.168298000001</v>
          </cell>
          <cell r="BO177">
            <v>879.22500000000002</v>
          </cell>
          <cell r="BP177">
            <v>24341.639518100001</v>
          </cell>
          <cell r="BQ177">
            <v>997.26900000000023</v>
          </cell>
          <cell r="BR177">
            <v>140.6436475792508</v>
          </cell>
          <cell r="BS177">
            <v>174.66514758901891</v>
          </cell>
        </row>
        <row r="178">
          <cell r="BM178">
            <v>38959</v>
          </cell>
          <cell r="BN178">
            <v>29794.394317999999</v>
          </cell>
          <cell r="BO178">
            <v>1004.168</v>
          </cell>
          <cell r="BP178">
            <v>24466.928084799998</v>
          </cell>
          <cell r="BQ178">
            <v>962.08530000000007</v>
          </cell>
          <cell r="BR178">
            <v>141.36755284485793</v>
          </cell>
          <cell r="BS178">
            <v>168.502952480951</v>
          </cell>
        </row>
        <row r="179">
          <cell r="BM179">
            <v>38960</v>
          </cell>
          <cell r="BN179">
            <v>28320.019104999999</v>
          </cell>
          <cell r="BO179">
            <v>1261.4059999999999</v>
          </cell>
          <cell r="BP179">
            <v>24562.436075400001</v>
          </cell>
          <cell r="BQ179">
            <v>982.59360000000015</v>
          </cell>
          <cell r="BR179">
            <v>141.9193888114107</v>
          </cell>
          <cell r="BS179">
            <v>172.09484719170595</v>
          </cell>
        </row>
        <row r="180">
          <cell r="BM180">
            <v>38961</v>
          </cell>
          <cell r="BN180">
            <v>27390.908552000001</v>
          </cell>
          <cell r="BO180">
            <v>776.14300000000003</v>
          </cell>
          <cell r="BP180">
            <v>25157.718677500001</v>
          </cell>
          <cell r="BQ180">
            <v>951.21219999999994</v>
          </cell>
          <cell r="BR180">
            <v>145.35887432501207</v>
          </cell>
          <cell r="BS180">
            <v>166.59860007828914</v>
          </cell>
        </row>
        <row r="181">
          <cell r="BM181">
            <v>38964</v>
          </cell>
          <cell r="BN181">
            <v>28623.473835000001</v>
          </cell>
          <cell r="BO181">
            <v>956.48900000000003</v>
          </cell>
          <cell r="BP181">
            <v>25225.1815819</v>
          </cell>
          <cell r="BQ181">
            <v>953.51609999999982</v>
          </cell>
          <cell r="BR181">
            <v>145.748668485921</v>
          </cell>
          <cell r="BS181">
            <v>167.00211310589785</v>
          </cell>
        </row>
        <row r="182">
          <cell r="BM182">
            <v>38965</v>
          </cell>
          <cell r="BN182">
            <v>31401</v>
          </cell>
          <cell r="BO182">
            <v>897.51099999999997</v>
          </cell>
          <cell r="BP182">
            <v>26185.192777700002</v>
          </cell>
          <cell r="BQ182">
            <v>938.33230000000003</v>
          </cell>
          <cell r="BR182">
            <v>151.29552066873444</v>
          </cell>
          <cell r="BS182">
            <v>164.34276977128894</v>
          </cell>
        </row>
        <row r="183">
          <cell r="BM183">
            <v>38966</v>
          </cell>
          <cell r="BN183">
            <v>29726.799999999999</v>
          </cell>
          <cell r="BO183">
            <v>791.995</v>
          </cell>
          <cell r="BP183">
            <v>26944.410977799998</v>
          </cell>
          <cell r="BQ183">
            <v>921.55840000000012</v>
          </cell>
          <cell r="BR183">
            <v>155.68221027077286</v>
          </cell>
          <cell r="BS183">
            <v>161.40493081395303</v>
          </cell>
        </row>
        <row r="184">
          <cell r="BM184">
            <v>38967</v>
          </cell>
          <cell r="BN184">
            <v>30834.304757000002</v>
          </cell>
          <cell r="BO184">
            <v>731.01</v>
          </cell>
          <cell r="BP184">
            <v>27246.9943074</v>
          </cell>
          <cell r="BQ184">
            <v>897.26060000000018</v>
          </cell>
          <cell r="BR184">
            <v>157.43050759232241</v>
          </cell>
          <cell r="BS184">
            <v>157.14932994489118</v>
          </cell>
        </row>
        <row r="185">
          <cell r="BM185">
            <v>38968</v>
          </cell>
          <cell r="BN185">
            <v>31354.353822000001</v>
          </cell>
          <cell r="BO185">
            <v>856.17499999999995</v>
          </cell>
          <cell r="BP185">
            <v>27968.836723099997</v>
          </cell>
          <cell r="BQ185">
            <v>888.82380000000012</v>
          </cell>
          <cell r="BR185">
            <v>161.60124351362202</v>
          </cell>
          <cell r="BS185">
            <v>155.67167956452334</v>
          </cell>
        </row>
        <row r="186">
          <cell r="BM186">
            <v>38971</v>
          </cell>
          <cell r="BN186">
            <v>26985.266293000001</v>
          </cell>
          <cell r="BO186">
            <v>977.05700000000002</v>
          </cell>
          <cell r="BP186">
            <v>28660.268898000002</v>
          </cell>
          <cell r="BQ186">
            <v>913.11790000000019</v>
          </cell>
          <cell r="BR186">
            <v>165.59627199390502</v>
          </cell>
          <cell r="BS186">
            <v>159.92663240276696</v>
          </cell>
        </row>
        <row r="187">
          <cell r="BM187">
            <v>38972</v>
          </cell>
          <cell r="BN187">
            <v>24995.194581</v>
          </cell>
          <cell r="BO187">
            <v>1173.0630000000001</v>
          </cell>
          <cell r="BP187">
            <v>28942.571526299998</v>
          </cell>
          <cell r="BQ187">
            <v>942.50170000000014</v>
          </cell>
          <cell r="BR187">
            <v>167.22738937758811</v>
          </cell>
          <cell r="BS187">
            <v>165.07301293171776</v>
          </cell>
        </row>
        <row r="188">
          <cell r="BM188">
            <v>38973</v>
          </cell>
          <cell r="BN188">
            <v>28018.290695</v>
          </cell>
          <cell r="BO188">
            <v>913.35699999999997</v>
          </cell>
          <cell r="BP188">
            <v>28764.961163999997</v>
          </cell>
          <cell r="BQ188">
            <v>933.42060000000004</v>
          </cell>
          <cell r="BR188">
            <v>166.20117381872365</v>
          </cell>
          <cell r="BS188">
            <v>163.48251761724327</v>
          </cell>
        </row>
        <row r="189">
          <cell r="BM189">
            <v>38974</v>
          </cell>
          <cell r="BN189">
            <v>22221.011925999999</v>
          </cell>
          <cell r="BO189">
            <v>804.27800000000002</v>
          </cell>
          <cell r="BP189">
            <v>28155.0604461</v>
          </cell>
          <cell r="BQ189">
            <v>887.70779999999991</v>
          </cell>
          <cell r="BR189">
            <v>162.6772262406291</v>
          </cell>
          <cell r="BS189">
            <v>155.47621945826376</v>
          </cell>
        </row>
        <row r="190">
          <cell r="BM190">
            <v>38975</v>
          </cell>
          <cell r="BN190">
            <v>27282.852919000001</v>
          </cell>
          <cell r="BO190">
            <v>1115.0219999999999</v>
          </cell>
          <cell r="BP190">
            <v>28144.254882800004</v>
          </cell>
          <cell r="BQ190">
            <v>921.59570000000008</v>
          </cell>
          <cell r="BR190">
            <v>162.61479273710398</v>
          </cell>
          <cell r="BS190">
            <v>161.41146366517478</v>
          </cell>
        </row>
        <row r="191">
          <cell r="BM191">
            <v>38978</v>
          </cell>
          <cell r="BN191">
            <v>26496.318696999999</v>
          </cell>
          <cell r="BO191">
            <v>977.01800000000003</v>
          </cell>
          <cell r="BP191">
            <v>27931.539368999998</v>
          </cell>
          <cell r="BQ191">
            <v>923.6486000000001</v>
          </cell>
          <cell r="BR191">
            <v>161.38574299559906</v>
          </cell>
          <cell r="BS191">
            <v>161.77101568322158</v>
          </cell>
        </row>
        <row r="192">
          <cell r="BM192">
            <v>38979</v>
          </cell>
          <cell r="BN192">
            <v>33394.948032</v>
          </cell>
          <cell r="BO192">
            <v>1026.8130000000001</v>
          </cell>
          <cell r="BP192">
            <v>28130.934172199999</v>
          </cell>
          <cell r="BQ192">
            <v>936.5788</v>
          </cell>
          <cell r="BR192">
            <v>162.53782695483864</v>
          </cell>
          <cell r="BS192">
            <v>164.03565570648061</v>
          </cell>
        </row>
        <row r="193">
          <cell r="BM193">
            <v>38980</v>
          </cell>
          <cell r="BN193">
            <v>37132.834249</v>
          </cell>
          <cell r="BO193">
            <v>1033.45</v>
          </cell>
          <cell r="BP193">
            <v>28871.537597099999</v>
          </cell>
          <cell r="BQ193">
            <v>960.7243000000002</v>
          </cell>
          <cell r="BR193">
            <v>166.81696217948812</v>
          </cell>
          <cell r="BS193">
            <v>168.26458222591586</v>
          </cell>
        </row>
        <row r="194">
          <cell r="BM194">
            <v>38981</v>
          </cell>
          <cell r="BN194">
            <v>50283.774148999997</v>
          </cell>
          <cell r="BO194">
            <v>940.01300000000003</v>
          </cell>
          <cell r="BP194">
            <v>30816.484536299999</v>
          </cell>
          <cell r="BQ194">
            <v>981.6246000000001</v>
          </cell>
          <cell r="BR194">
            <v>178.0546781794225</v>
          </cell>
          <cell r="BS194">
            <v>171.92513317471179</v>
          </cell>
        </row>
        <row r="195">
          <cell r="BM195">
            <v>38982</v>
          </cell>
          <cell r="BN195">
            <v>35943.479431</v>
          </cell>
          <cell r="BO195">
            <v>871.69399999999996</v>
          </cell>
          <cell r="BP195">
            <v>31275.397097200002</v>
          </cell>
          <cell r="BQ195">
            <v>983.17649999999992</v>
          </cell>
          <cell r="BR195">
            <v>180.70623073556476</v>
          </cell>
          <cell r="BS195">
            <v>172.19693831709901</v>
          </cell>
        </row>
        <row r="196">
          <cell r="BM196">
            <v>38985</v>
          </cell>
          <cell r="BN196">
            <v>34739.548189000001</v>
          </cell>
          <cell r="BO196">
            <v>948.16300000000001</v>
          </cell>
          <cell r="BP196">
            <v>32050.825286800002</v>
          </cell>
          <cell r="BQ196">
            <v>980.28710000000012</v>
          </cell>
          <cell r="BR196">
            <v>185.18658009494231</v>
          </cell>
          <cell r="BS196">
            <v>171.6908787910898</v>
          </cell>
        </row>
        <row r="197">
          <cell r="BM197">
            <v>38986</v>
          </cell>
          <cell r="BN197">
            <v>31834.243379</v>
          </cell>
          <cell r="BO197">
            <v>989.29</v>
          </cell>
          <cell r="BP197">
            <v>32734.730166599998</v>
          </cell>
          <cell r="BQ197">
            <v>961.90980000000013</v>
          </cell>
          <cell r="BR197">
            <v>189.13811658946634</v>
          </cell>
          <cell r="BS197">
            <v>168.4722148029505</v>
          </cell>
        </row>
        <row r="198">
          <cell r="BM198">
            <v>38987</v>
          </cell>
          <cell r="BN198">
            <v>31551.452547000001</v>
          </cell>
          <cell r="BO198">
            <v>1123.537</v>
          </cell>
          <cell r="BP198">
            <v>33088.046351800003</v>
          </cell>
          <cell r="BQ198">
            <v>982.92780000000016</v>
          </cell>
          <cell r="BR198">
            <v>191.17954346206318</v>
          </cell>
          <cell r="BS198">
            <v>172.1533801375052</v>
          </cell>
        </row>
        <row r="199">
          <cell r="BM199">
            <v>38988</v>
          </cell>
          <cell r="BN199">
            <v>34308.339877999999</v>
          </cell>
          <cell r="BO199">
            <v>1238.654</v>
          </cell>
          <cell r="BP199">
            <v>34296.779147000008</v>
          </cell>
          <cell r="BQ199">
            <v>1026.3654000000001</v>
          </cell>
          <cell r="BR199">
            <v>198.16348507943792</v>
          </cell>
          <cell r="BS199">
            <v>179.76119188630392</v>
          </cell>
        </row>
        <row r="200">
          <cell r="BM200">
            <v>38993</v>
          </cell>
          <cell r="BN200">
            <v>39961.583033000003</v>
          </cell>
          <cell r="BO200">
            <v>1205.1780000000001</v>
          </cell>
          <cell r="BP200">
            <v>35564.6521584</v>
          </cell>
          <cell r="BQ200">
            <v>1035.3809999999999</v>
          </cell>
          <cell r="BR200">
            <v>205.48913316727479</v>
          </cell>
          <cell r="BS200">
            <v>181.34021530386079</v>
          </cell>
        </row>
        <row r="201">
          <cell r="BM201">
            <v>38994</v>
          </cell>
          <cell r="BN201">
            <v>43191.098938000003</v>
          </cell>
          <cell r="BO201">
            <v>1158.45</v>
          </cell>
          <cell r="BP201">
            <v>37234.130182499997</v>
          </cell>
          <cell r="BQ201">
            <v>1053.5242000000001</v>
          </cell>
          <cell r="BR201">
            <v>215.13521631990017</v>
          </cell>
          <cell r="BS201">
            <v>184.51787820698632</v>
          </cell>
        </row>
        <row r="202">
          <cell r="BM202">
            <v>38995</v>
          </cell>
          <cell r="BN202">
            <v>43368.91</v>
          </cell>
          <cell r="BO202">
            <v>1523.018</v>
          </cell>
          <cell r="BP202">
            <v>38231.52637929999</v>
          </cell>
          <cell r="BQ202">
            <v>1103.1447000000003</v>
          </cell>
          <cell r="BR202">
            <v>220.89807543607907</v>
          </cell>
          <cell r="BS202">
            <v>193.20858448176369</v>
          </cell>
        </row>
        <row r="203">
          <cell r="BM203">
            <v>38996</v>
          </cell>
          <cell r="BN203">
            <v>37269.479866000001</v>
          </cell>
          <cell r="BO203">
            <v>1591.2329999999999</v>
          </cell>
          <cell r="BP203">
            <v>38245.190940999993</v>
          </cell>
          <cell r="BQ203">
            <v>1158.9230000000002</v>
          </cell>
          <cell r="BR203">
            <v>220.97702795686681</v>
          </cell>
          <cell r="BS203">
            <v>202.97778918156345</v>
          </cell>
        </row>
        <row r="204">
          <cell r="BM204">
            <v>38999</v>
          </cell>
          <cell r="BN204">
            <v>30454.06</v>
          </cell>
          <cell r="BO204">
            <v>978.1</v>
          </cell>
          <cell r="BP204">
            <v>36262.219526100002</v>
          </cell>
          <cell r="BQ204">
            <v>1162.7317</v>
          </cell>
          <cell r="BR204">
            <v>209.51961020037001</v>
          </cell>
          <cell r="BS204">
            <v>203.64485809438659</v>
          </cell>
        </row>
        <row r="205">
          <cell r="BM205">
            <v>39000</v>
          </cell>
          <cell r="BN205">
            <v>29837.62</v>
          </cell>
          <cell r="BO205">
            <v>1157.6199999999999</v>
          </cell>
          <cell r="BP205">
            <v>35651.633583000003</v>
          </cell>
          <cell r="BQ205">
            <v>1191.3242999999998</v>
          </cell>
          <cell r="BR205">
            <v>205.99170345709803</v>
          </cell>
          <cell r="BS205">
            <v>208.65266511431173</v>
          </cell>
        </row>
      </sheetData>
      <sheetData sheetId="60" refreshError="1">
        <row r="4">
          <cell r="C4" t="str">
            <v>Company name</v>
          </cell>
          <cell r="E4" t="str">
            <v>Stock Rating</v>
          </cell>
          <cell r="F4" t="str">
            <v>Close price date</v>
          </cell>
          <cell r="G4" t="str">
            <v>Close price currency</v>
          </cell>
          <cell r="H4" t="str">
            <v>Share price, last close</v>
          </cell>
          <cell r="I4" t="str">
            <v>Return on equity (ROE)</v>
          </cell>
          <cell r="K4" t="str">
            <v>Price to earnings</v>
          </cell>
          <cell r="M4" t="str">
            <v>Price to book value</v>
          </cell>
          <cell r="O4" t="str">
            <v>Dividend yield</v>
          </cell>
          <cell r="Q4" t="str">
            <v>EV/EBITDA</v>
          </cell>
          <cell r="S4" t="str">
            <v>EV/EBIT</v>
          </cell>
          <cell r="U4" t="str">
            <v>EV</v>
          </cell>
          <cell r="W4" t="str">
            <v>EBIT</v>
          </cell>
          <cell r="Y4" t="str">
            <v>EBITDA</v>
          </cell>
          <cell r="AA4" t="str">
            <v>Dep exp</v>
          </cell>
          <cell r="AC4" t="str">
            <v>Amortisation exp</v>
          </cell>
        </row>
        <row r="5">
          <cell r="I5" t="str">
            <v>2005E</v>
          </cell>
          <cell r="J5" t="str">
            <v>2006E</v>
          </cell>
          <cell r="K5" t="str">
            <v>2005E</v>
          </cell>
          <cell r="L5" t="str">
            <v>2006E</v>
          </cell>
          <cell r="M5" t="str">
            <v>2005E</v>
          </cell>
          <cell r="N5" t="str">
            <v>2006E</v>
          </cell>
          <cell r="O5" t="str">
            <v>2005E</v>
          </cell>
          <cell r="P5" t="str">
            <v>2006E</v>
          </cell>
          <cell r="Q5">
            <v>2005</v>
          </cell>
          <cell r="R5">
            <v>2006</v>
          </cell>
          <cell r="S5">
            <v>2005</v>
          </cell>
          <cell r="T5">
            <v>2006</v>
          </cell>
          <cell r="U5">
            <v>2005</v>
          </cell>
          <cell r="V5">
            <v>2006</v>
          </cell>
          <cell r="W5">
            <v>2005</v>
          </cell>
          <cell r="X5">
            <v>2006</v>
          </cell>
          <cell r="Y5">
            <v>2005</v>
          </cell>
          <cell r="Z5">
            <v>2006</v>
          </cell>
          <cell r="AA5">
            <v>2005</v>
          </cell>
          <cell r="AB5">
            <v>2006</v>
          </cell>
          <cell r="AC5">
            <v>2005</v>
          </cell>
          <cell r="AD5">
            <v>2006</v>
          </cell>
        </row>
        <row r="6">
          <cell r="B6" t="str">
            <v>DB1Gn.DE</v>
          </cell>
          <cell r="C6" t="str">
            <v>Deutsche Boerse</v>
          </cell>
          <cell r="D6" t="str">
            <v>DB</v>
          </cell>
          <cell r="E6" t="str">
            <v>++</v>
          </cell>
          <cell r="F6" t="str">
            <v>10/2/2006</v>
          </cell>
          <cell r="G6" t="str">
            <v>EUR</v>
          </cell>
          <cell r="H6">
            <v>118.4</v>
          </cell>
          <cell r="I6">
            <v>0.14928028780144298</v>
          </cell>
          <cell r="J6" t="str">
            <v>++</v>
          </cell>
          <cell r="K6">
            <v>21.346397150065879</v>
          </cell>
          <cell r="L6" t="str">
            <v>++</v>
          </cell>
          <cell r="M6">
            <v>3.6243803871788245</v>
          </cell>
          <cell r="N6" t="str">
            <v>++</v>
          </cell>
          <cell r="O6">
            <v>2.4260628465804068E-2</v>
          </cell>
          <cell r="P6" t="str">
            <v>++</v>
          </cell>
          <cell r="Q6">
            <v>16.214759124364178</v>
          </cell>
          <cell r="R6" t="str">
            <v>++</v>
          </cell>
          <cell r="S6" t="e">
            <v>#DIV/0!</v>
          </cell>
          <cell r="T6" t="e">
            <v>#DIV/0!</v>
          </cell>
        </row>
        <row r="7">
          <cell r="B7" t="str">
            <v>SGXL.SI</v>
          </cell>
          <cell r="C7" t="str">
            <v>Singapore Exchange Ltd</v>
          </cell>
          <cell r="D7" t="str">
            <v>SGX</v>
          </cell>
          <cell r="E7" t="str">
            <v>Equal-Weight</v>
          </cell>
          <cell r="F7" t="str">
            <v>10/3/2006</v>
          </cell>
          <cell r="G7" t="str">
            <v>SGD</v>
          </cell>
          <cell r="H7">
            <v>4.28</v>
          </cell>
          <cell r="I7">
            <v>0.16282850091573092</v>
          </cell>
          <cell r="J7">
            <v>0.39533555710549995</v>
          </cell>
          <cell r="K7">
            <v>20.987703590863799</v>
          </cell>
          <cell r="L7">
            <v>19.802631360133041</v>
          </cell>
          <cell r="M7">
            <v>4.633691878682944</v>
          </cell>
          <cell r="N7">
            <v>6.3950728478662837</v>
          </cell>
          <cell r="O7">
            <v>0.11137440758293839</v>
          </cell>
          <cell r="P7">
            <v>4.6022727272727271E-2</v>
          </cell>
          <cell r="Q7">
            <v>18.969168453410312</v>
          </cell>
          <cell r="R7">
            <v>18.721202732069393</v>
          </cell>
          <cell r="S7" t="e">
            <v>#DIV/0!</v>
          </cell>
          <cell r="T7" t="e">
            <v>#DIV/0!</v>
          </cell>
        </row>
        <row r="8">
          <cell r="B8" t="str">
            <v>ASX.AX</v>
          </cell>
          <cell r="C8" t="str">
            <v>Australian Stock Exchange</v>
          </cell>
          <cell r="D8" t="str">
            <v>ASX</v>
          </cell>
          <cell r="E8" t="str">
            <v>Underweight</v>
          </cell>
          <cell r="F8" t="str">
            <v>10/3/2006</v>
          </cell>
          <cell r="G8" t="str">
            <v>AUD</v>
          </cell>
          <cell r="H8">
            <v>32.950000000000003</v>
          </cell>
          <cell r="I8">
            <v>0.45376224353026084</v>
          </cell>
          <cell r="J8">
            <v>0.42294933236229876</v>
          </cell>
          <cell r="K8">
            <v>21.286650554185432</v>
          </cell>
          <cell r="L8">
            <v>24.096650547237235</v>
          </cell>
          <cell r="M8">
            <v>7.3525331017515558</v>
          </cell>
          <cell r="N8">
            <v>9.1543920014109119</v>
          </cell>
          <cell r="O8">
            <v>4.1115434500648508E-2</v>
          </cell>
          <cell r="P8">
            <v>3.7496420341328399E-2</v>
          </cell>
          <cell r="Q8">
            <v>19.244702477210826</v>
          </cell>
          <cell r="R8">
            <v>23.37864395983858</v>
          </cell>
          <cell r="S8">
            <v>13.615328611232144</v>
          </cell>
          <cell r="T8">
            <v>16.430433097479948</v>
          </cell>
          <cell r="U8">
            <v>2182033409.2218971</v>
          </cell>
          <cell r="V8">
            <v>3083285783.7737947</v>
          </cell>
          <cell r="W8">
            <v>160263000</v>
          </cell>
          <cell r="X8">
            <v>187657000</v>
          </cell>
          <cell r="Y8">
            <v>160263000</v>
          </cell>
          <cell r="Z8">
            <v>187657000</v>
          </cell>
          <cell r="AA8">
            <v>0</v>
          </cell>
          <cell r="AB8">
            <v>0</v>
          </cell>
          <cell r="AC8">
            <v>0</v>
          </cell>
          <cell r="AD8">
            <v>0</v>
          </cell>
        </row>
        <row r="9">
          <cell r="B9" t="str">
            <v>BMYS.KL</v>
          </cell>
          <cell r="C9" t="str">
            <v>Bursa Malaysia Berhad</v>
          </cell>
          <cell r="D9" t="str">
            <v>Bursa</v>
          </cell>
          <cell r="E9" t="str">
            <v>Equal-Weight</v>
          </cell>
          <cell r="F9" t="str">
            <v>10/3/2006</v>
          </cell>
          <cell r="G9" t="str">
            <v>MYR</v>
          </cell>
          <cell r="H9">
            <v>5.75</v>
          </cell>
          <cell r="I9">
            <v>5.2608805324330092E-2</v>
          </cell>
          <cell r="J9">
            <v>0.10988778573748502</v>
          </cell>
          <cell r="K9">
            <v>22.270568362040351</v>
          </cell>
          <cell r="L9">
            <v>27.49801350391769</v>
          </cell>
          <cell r="M9">
            <v>1.8981373070206122</v>
          </cell>
          <cell r="N9">
            <v>2.8602222571805886</v>
          </cell>
          <cell r="O9">
            <v>0.27577498942780876</v>
          </cell>
          <cell r="P9">
            <v>3.3423655837515463E-2</v>
          </cell>
          <cell r="Q9">
            <v>19.091569517375337</v>
          </cell>
          <cell r="R9">
            <v>23.581724906078477</v>
          </cell>
          <cell r="S9">
            <v>12.837822861154882</v>
          </cell>
          <cell r="T9">
            <v>15.838573891624705</v>
          </cell>
          <cell r="U9">
            <v>1850097165.9896135</v>
          </cell>
          <cell r="V9">
            <v>2906447788.0984364</v>
          </cell>
          <cell r="W9">
            <v>144113000</v>
          </cell>
          <cell r="X9">
            <v>183504386.6945205</v>
          </cell>
          <cell r="Y9">
            <v>130850000</v>
          </cell>
          <cell r="Z9">
            <v>169987326.2945205</v>
          </cell>
          <cell r="AA9">
            <v>13263000</v>
          </cell>
          <cell r="AB9">
            <v>13517060.4</v>
          </cell>
          <cell r="AC9">
            <v>0</v>
          </cell>
          <cell r="AD9">
            <v>0</v>
          </cell>
        </row>
        <row r="10">
          <cell r="B10" t="str">
            <v>0388.HK</v>
          </cell>
          <cell r="C10" t="str">
            <v>HK Exchanges &amp; Clearing</v>
          </cell>
          <cell r="D10" t="str">
            <v>HKEx</v>
          </cell>
          <cell r="E10" t="str">
            <v>Underweight</v>
          </cell>
          <cell r="F10" t="str">
            <v>10/3/2006</v>
          </cell>
          <cell r="G10" t="str">
            <v>HKD</v>
          </cell>
          <cell r="H10">
            <v>56.6</v>
          </cell>
          <cell r="I10">
            <v>0.33222916666666669</v>
          </cell>
          <cell r="J10">
            <v>0.45954710857218339</v>
          </cell>
          <cell r="K10">
            <v>25.506792776369345</v>
          </cell>
          <cell r="L10">
            <v>32.935304561875327</v>
          </cell>
          <cell r="M10">
            <v>7.8231618328059902</v>
          </cell>
          <cell r="N10">
            <v>13.435196429376452</v>
          </cell>
          <cell r="O10">
            <v>3.5142384599995025E-2</v>
          </cell>
          <cell r="P10">
            <v>2.7326299603793729E-2</v>
          </cell>
          <cell r="Q10">
            <v>21.97364877140938</v>
          </cell>
          <cell r="R10">
            <v>27.941280765694</v>
          </cell>
          <cell r="S10" t="e">
            <v>#REF!</v>
          </cell>
          <cell r="T10" t="e">
            <v>#REF!</v>
          </cell>
          <cell r="U10" t="e">
            <v>#VALUE!</v>
          </cell>
          <cell r="V10" t="e">
            <v>#VALUE!</v>
          </cell>
          <cell r="W10" t="e">
            <v>#VALUE!</v>
          </cell>
          <cell r="X10" t="e">
            <v>#VALUE!</v>
          </cell>
          <cell r="Y10" t="e">
            <v>#VALUE!</v>
          </cell>
          <cell r="Z10" t="e">
            <v>#VALUE!</v>
          </cell>
          <cell r="AA10" t="e">
            <v>#VALUE!</v>
          </cell>
          <cell r="AB10" t="e">
            <v>#VALUE!</v>
          </cell>
          <cell r="AC10" t="e">
            <v>#VALUE!</v>
          </cell>
          <cell r="AD10" t="e">
            <v>#VALUE!</v>
          </cell>
        </row>
        <row r="11">
          <cell r="B11" t="str">
            <v>ENXT.PA</v>
          </cell>
          <cell r="C11" t="str">
            <v>NA</v>
          </cell>
          <cell r="E11" t="str">
            <v>NA</v>
          </cell>
          <cell r="F11" t="str">
            <v>NA</v>
          </cell>
          <cell r="G11" t="str">
            <v>NA</v>
          </cell>
          <cell r="H11" t="str">
            <v>NA</v>
          </cell>
          <cell r="I11" t="str">
            <v>NA</v>
          </cell>
          <cell r="J11" t="str">
            <v>NA</v>
          </cell>
          <cell r="K11" t="str">
            <v>NA</v>
          </cell>
          <cell r="L11" t="str">
            <v>NA</v>
          </cell>
          <cell r="M11" t="str">
            <v>NA</v>
          </cell>
          <cell r="N11" t="str">
            <v>NA</v>
          </cell>
          <cell r="O11" t="str">
            <v>NA</v>
          </cell>
          <cell r="P11" t="str">
            <v>NA</v>
          </cell>
          <cell r="Q11" t="str">
            <v>++</v>
          </cell>
          <cell r="R11" t="str">
            <v>++</v>
          </cell>
          <cell r="S11" t="str">
            <v>++</v>
          </cell>
          <cell r="T11" t="str">
            <v>++</v>
          </cell>
        </row>
        <row r="12">
          <cell r="B12" t="str">
            <v>LSE.L</v>
          </cell>
          <cell r="C12" t="str">
            <v>London Stock Exchange</v>
          </cell>
          <cell r="E12" t="str">
            <v>Underweight</v>
          </cell>
          <cell r="F12" t="str">
            <v>10/2/2006</v>
          </cell>
          <cell r="G12" t="str">
            <v>GBp</v>
          </cell>
          <cell r="H12">
            <v>1229</v>
          </cell>
          <cell r="I12">
            <v>0.3736859684673548</v>
          </cell>
          <cell r="J12">
            <v>0.37492831149309741</v>
          </cell>
          <cell r="K12">
            <v>33.770344263335772</v>
          </cell>
          <cell r="L12">
            <v>26.936335347159229</v>
          </cell>
          <cell r="M12">
            <v>11.23641510977976</v>
          </cell>
          <cell r="N12" t="str">
            <v>NM</v>
          </cell>
          <cell r="O12">
            <v>1.0547260939274092E-2</v>
          </cell>
          <cell r="P12">
            <v>0.19482389852139725</v>
          </cell>
          <cell r="Q12" t="str">
            <v>NA</v>
          </cell>
          <cell r="R12" t="str">
            <v>NA</v>
          </cell>
          <cell r="S12" t="str">
            <v>NA</v>
          </cell>
          <cell r="T12" t="str">
            <v>NA</v>
          </cell>
        </row>
        <row r="17">
          <cell r="C17" t="str">
            <v>SGXL.SI</v>
          </cell>
          <cell r="D17" t="str">
            <v>0388.HK</v>
          </cell>
          <cell r="E17" t="str">
            <v>ASX.AX</v>
          </cell>
          <cell r="F17" t="str">
            <v>BMYS.KL</v>
          </cell>
        </row>
        <row r="19">
          <cell r="B19" t="str">
            <v>2006E</v>
          </cell>
        </row>
        <row r="20">
          <cell r="B20" t="str">
            <v>US$mn</v>
          </cell>
          <cell r="C20" t="str">
            <v>*SGX</v>
          </cell>
          <cell r="D20" t="str">
            <v>HKEx</v>
          </cell>
          <cell r="E20" t="str">
            <v>ASX</v>
          </cell>
          <cell r="F20" t="str">
            <v>Bursa</v>
          </cell>
        </row>
        <row r="21">
          <cell r="B21" t="str">
            <v>Revenues</v>
          </cell>
          <cell r="C21">
            <v>265.89837578208807</v>
          </cell>
          <cell r="D21">
            <v>456.6650831410256</v>
          </cell>
          <cell r="E21">
            <v>226.83932819999998</v>
          </cell>
          <cell r="F21">
            <v>80.527892430820685</v>
          </cell>
        </row>
        <row r="22">
          <cell r="B22" t="str">
            <v>Growth (%)</v>
          </cell>
          <cell r="C22">
            <v>0.61306619731768608</v>
          </cell>
          <cell r="D22">
            <v>0.32216491651809864</v>
          </cell>
          <cell r="E22">
            <v>6.4367252158601618E-2</v>
          </cell>
          <cell r="F22">
            <v>0.18274246586058851</v>
          </cell>
        </row>
        <row r="23">
          <cell r="B23" t="str">
            <v>Net Profits</v>
          </cell>
          <cell r="C23">
            <v>118.5704354420774</v>
          </cell>
          <cell r="D23">
            <v>257.31627457318154</v>
          </cell>
          <cell r="E23">
            <v>101.72444759999999</v>
          </cell>
          <cell r="F23">
            <v>29.05422918749629</v>
          </cell>
        </row>
        <row r="24">
          <cell r="B24" t="str">
            <v>Growth (%)</v>
          </cell>
          <cell r="C24">
            <v>0.9139214918449734</v>
          </cell>
          <cell r="D24">
            <v>0.49831655280050846</v>
          </cell>
          <cell r="E24">
            <v>0.21268254938272824</v>
          </cell>
          <cell r="F24">
            <v>0.34985593749058275</v>
          </cell>
        </row>
        <row r="25">
          <cell r="B25" t="str">
            <v>ROE (%)</v>
          </cell>
          <cell r="C25">
            <v>0.35351243796093562</v>
          </cell>
          <cell r="D25">
            <v>0.4528348191144802</v>
          </cell>
          <cell r="E25">
            <v>0.42294933236229876</v>
          </cell>
          <cell r="F25">
            <v>0.10207353521858417</v>
          </cell>
        </row>
        <row r="27">
          <cell r="B27" t="str">
            <v>Shares O/S (mn)</v>
          </cell>
          <cell r="C27">
            <v>1055.4690000000001</v>
          </cell>
          <cell r="D27">
            <v>1062.7550000000001</v>
          </cell>
          <cell r="E27">
            <v>103.111682</v>
          </cell>
          <cell r="F27">
            <v>494.93599999999998</v>
          </cell>
        </row>
        <row r="28">
          <cell r="B28" t="str">
            <v>Market Cap</v>
          </cell>
          <cell r="C28">
            <v>2371.867570262239</v>
          </cell>
          <cell r="D28">
            <v>7551.7461538461539</v>
          </cell>
          <cell r="E28">
            <v>2493.4934751169103</v>
          </cell>
          <cell r="F28">
            <v>788.45029519763591</v>
          </cell>
        </row>
        <row r="30">
          <cell r="B30" t="str">
            <v>EPS (Local Curr.)</v>
          </cell>
          <cell r="C30" t="str">
            <v>NA</v>
          </cell>
          <cell r="D30">
            <v>1.8885509281733004</v>
          </cell>
          <cell r="E30" t="str">
            <v>NA</v>
          </cell>
          <cell r="F30" t="str">
            <v>NA</v>
          </cell>
        </row>
        <row r="31">
          <cell r="B31" t="str">
            <v>2 Years CAGR (05E-07E)</v>
          </cell>
          <cell r="C31">
            <v>0.34247316497894609</v>
          </cell>
          <cell r="D31">
            <v>0.22173364772278781</v>
          </cell>
          <cell r="E31" t="e">
            <v>#VALUE!</v>
          </cell>
          <cell r="F31" t="e">
            <v>#VALUE!</v>
          </cell>
        </row>
        <row r="32">
          <cell r="B32" t="str">
            <v>Price (Local Curr.)</v>
          </cell>
          <cell r="C32">
            <v>4.34</v>
          </cell>
          <cell r="D32">
            <v>56.85</v>
          </cell>
          <cell r="E32">
            <v>32.880000000000003</v>
          </cell>
          <cell r="F32">
            <v>5.75</v>
          </cell>
        </row>
        <row r="33">
          <cell r="B33" t="str">
            <v>P/E</v>
          </cell>
          <cell r="C33">
            <v>25.540893856535227</v>
          </cell>
          <cell r="D33">
            <v>30.42014866687682</v>
          </cell>
          <cell r="E33">
            <v>24.096650547237235</v>
          </cell>
          <cell r="F33">
            <v>27.498013503917665</v>
          </cell>
        </row>
        <row r="35">
          <cell r="B35" t="str">
            <v>BV per Share (Local Curr.)</v>
          </cell>
          <cell r="C35">
            <v>0.55601727762729181</v>
          </cell>
          <cell r="D35">
            <v>4.231423060975561</v>
          </cell>
          <cell r="E35">
            <v>3.5589474423837912</v>
          </cell>
          <cell r="F35">
            <v>2.1306560623565689</v>
          </cell>
        </row>
        <row r="36">
          <cell r="B36" t="str">
            <v>P/Book</v>
          </cell>
          <cell r="C36">
            <v>8.1652138929453226</v>
          </cell>
          <cell r="D36">
            <v>13.376114650883144</v>
          </cell>
          <cell r="E36">
            <v>9.1543920014109119</v>
          </cell>
          <cell r="F36">
            <v>2.7925670900723056</v>
          </cell>
        </row>
        <row r="39">
          <cell r="B39" t="str">
            <v>Others:</v>
          </cell>
        </row>
        <row r="40">
          <cell r="B40" t="str">
            <v>Revenue 05 (US$mn)</v>
          </cell>
          <cell r="C40">
            <v>164.84033713200463</v>
          </cell>
          <cell r="D40">
            <v>345.39192307692309</v>
          </cell>
          <cell r="E40">
            <v>213.121296</v>
          </cell>
          <cell r="F40">
            <v>68.085736967452917</v>
          </cell>
        </row>
        <row r="41">
          <cell r="B41" t="str">
            <v>Net Profits 05 (US$mn)</v>
          </cell>
          <cell r="C41">
            <v>61.95156695156728</v>
          </cell>
          <cell r="D41">
            <v>171.73692307692312</v>
          </cell>
          <cell r="E41">
            <v>83.883822399999985</v>
          </cell>
          <cell r="F41">
            <v>21.523948134427481</v>
          </cell>
        </row>
        <row r="42">
          <cell r="B42" t="str">
            <v>EPS 2005E</v>
          </cell>
          <cell r="C42">
            <v>0.10053505810509485</v>
          </cell>
          <cell r="D42">
            <v>1.2604485511712484</v>
          </cell>
          <cell r="E42" t="str">
            <v>NA</v>
          </cell>
          <cell r="F42" t="str">
            <v>NA</v>
          </cell>
        </row>
        <row r="43">
          <cell r="B43" t="str">
            <v>EPS 2007E</v>
          </cell>
          <cell r="C43">
            <v>0.18118771988414628</v>
          </cell>
          <cell r="D43">
            <v>1.881387235860247</v>
          </cell>
          <cell r="E43" t="str">
            <v>NA</v>
          </cell>
          <cell r="F43" t="str">
            <v>NA</v>
          </cell>
        </row>
      </sheetData>
      <sheetData sheetId="61"/>
      <sheetData sheetId="62" refreshError="1">
        <row r="2">
          <cell r="B2" t="str">
            <v>1.4 - Share Turnover Velocity</v>
          </cell>
        </row>
        <row r="6">
          <cell r="B6" t="str">
            <v>Exchange</v>
          </cell>
          <cell r="C6">
            <v>2005</v>
          </cell>
        </row>
        <row r="7">
          <cell r="C7" t="str">
            <v>January</v>
          </cell>
          <cell r="D7" t="str">
            <v>February</v>
          </cell>
          <cell r="E7" t="str">
            <v>March</v>
          </cell>
          <cell r="F7" t="str">
            <v>April</v>
          </cell>
          <cell r="G7" t="str">
            <v>May</v>
          </cell>
          <cell r="H7" t="str">
            <v>June</v>
          </cell>
          <cell r="I7" t="str">
            <v>July</v>
          </cell>
          <cell r="J7" t="str">
            <v>August</v>
          </cell>
          <cell r="K7" t="str">
            <v>September</v>
          </cell>
          <cell r="L7" t="str">
            <v>October</v>
          </cell>
          <cell r="M7" t="str">
            <v>November</v>
          </cell>
        </row>
        <row r="8">
          <cell r="B8" t="str">
            <v>Americas</v>
          </cell>
        </row>
        <row r="9">
          <cell r="B9" t="str">
            <v>Bermuda SE</v>
          </cell>
          <cell r="C9">
            <v>3.2400796105703976E-2</v>
          </cell>
          <cell r="D9">
            <v>3.2189832739835195E-2</v>
          </cell>
          <cell r="E9">
            <v>3.4092816676101027E-2</v>
          </cell>
          <cell r="F9">
            <v>3.3762274028451521E-2</v>
          </cell>
          <cell r="G9">
            <v>3.3106059559819163E-2</v>
          </cell>
          <cell r="H9">
            <v>3.3045148084005632E-2</v>
          </cell>
          <cell r="I9">
            <v>3.3778051435755574E-2</v>
          </cell>
          <cell r="J9">
            <v>3.5051218662416228E-2</v>
          </cell>
          <cell r="K9">
            <v>3.5167847010420715E-2</v>
          </cell>
          <cell r="L9">
            <v>3.3288935487281728E-2</v>
          </cell>
          <cell r="M9">
            <v>3.2305807863638465E-2</v>
          </cell>
        </row>
        <row r="10">
          <cell r="B10" t="str">
            <v>Buenos Aires SE</v>
          </cell>
          <cell r="C10">
            <v>0.11819664836896993</v>
          </cell>
          <cell r="D10">
            <v>0.11975509162467302</v>
          </cell>
          <cell r="E10">
            <v>0.11974629783937472</v>
          </cell>
          <cell r="F10">
            <v>0.11926050953360272</v>
          </cell>
          <cell r="G10">
            <v>0.11829676251409298</v>
          </cell>
          <cell r="H10">
            <v>0.12095851651190204</v>
          </cell>
          <cell r="I10">
            <v>0.12274519370044962</v>
          </cell>
          <cell r="J10">
            <v>0.12650589785268193</v>
          </cell>
          <cell r="K10">
            <v>0.12591541268986906</v>
          </cell>
          <cell r="L10">
            <v>0.12087874842893072</v>
          </cell>
          <cell r="M10">
            <v>0.11616434503630353</v>
          </cell>
        </row>
        <row r="11">
          <cell r="B11" t="str">
            <v>Colombia SE</v>
          </cell>
          <cell r="C11">
            <v>8.1383771127533477E-2</v>
          </cell>
          <cell r="D11">
            <v>0.18421371741644188</v>
          </cell>
          <cell r="E11">
            <v>0.14989147528859978</v>
          </cell>
          <cell r="F11">
            <v>0.22443650500390649</v>
          </cell>
          <cell r="G11">
            <v>9.9504512266264139E-2</v>
          </cell>
          <cell r="H11">
            <v>8.6412845318703899E-2</v>
          </cell>
          <cell r="I11">
            <v>0.10135490307806981</v>
          </cell>
          <cell r="J11">
            <v>0.12396169006062774</v>
          </cell>
          <cell r="K11">
            <v>0.15376893828454047</v>
          </cell>
          <cell r="L11">
            <v>0.17563718044207866</v>
          </cell>
          <cell r="M11">
            <v>0.20482678002048857</v>
          </cell>
        </row>
        <row r="12">
          <cell r="B12" t="str">
            <v>Lima SE</v>
          </cell>
          <cell r="C12">
            <v>7.8203659964349359E-2</v>
          </cell>
          <cell r="D12">
            <v>7.4527384952243023E-2</v>
          </cell>
          <cell r="E12">
            <v>7.3392505254664897E-2</v>
          </cell>
          <cell r="F12">
            <v>7.0023527176560643E-2</v>
          </cell>
          <cell r="G12">
            <v>7.5028108779652922E-2</v>
          </cell>
          <cell r="H12">
            <v>7.2936190514947805E-2</v>
          </cell>
          <cell r="I12">
            <v>7.2946399761136385E-2</v>
          </cell>
          <cell r="J12">
            <v>7.2925101231100797E-2</v>
          </cell>
          <cell r="K12">
            <v>7.5986069814260537E-2</v>
          </cell>
          <cell r="L12">
            <v>9.604971555469799E-2</v>
          </cell>
          <cell r="M12">
            <v>0.1043281753500717</v>
          </cell>
        </row>
        <row r="13">
          <cell r="B13" t="str">
            <v>Mexican Exchange</v>
          </cell>
          <cell r="C13">
            <v>0.29659770750346731</v>
          </cell>
          <cell r="D13">
            <v>0.28463107022297268</v>
          </cell>
          <cell r="E13">
            <v>0.27518278182809924</v>
          </cell>
          <cell r="F13">
            <v>0.27284535977474661</v>
          </cell>
          <cell r="G13">
            <v>0.27110214279189665</v>
          </cell>
          <cell r="H13">
            <v>0.27494090662635212</v>
          </cell>
          <cell r="I13">
            <v>0.27630481414689545</v>
          </cell>
          <cell r="J13">
            <v>0.28287834558925434</v>
          </cell>
          <cell r="K13">
            <v>0.26821317048990306</v>
          </cell>
          <cell r="L13">
            <v>0.28258739201201127</v>
          </cell>
          <cell r="M13">
            <v>0.27760937073320852</v>
          </cell>
        </row>
        <row r="14">
          <cell r="B14" t="str">
            <v>Nasdaq</v>
          </cell>
          <cell r="C14">
            <v>2.6614112098874796</v>
          </cell>
          <cell r="D14">
            <v>2.6498323046225756</v>
          </cell>
          <cell r="E14">
            <v>2.6083871211873895</v>
          </cell>
          <cell r="F14">
            <v>2.5700461244780408</v>
          </cell>
          <cell r="G14">
            <v>2.5551665271120698</v>
          </cell>
          <cell r="H14">
            <v>2.5608772334953822</v>
          </cell>
          <cell r="I14">
            <v>2.5110904454576937</v>
          </cell>
          <cell r="J14">
            <v>2.4945992469997682</v>
          </cell>
          <cell r="K14">
            <v>2.4997079222930787</v>
          </cell>
          <cell r="L14">
            <v>2.5022578346778523</v>
          </cell>
          <cell r="M14">
            <v>2.493421335634324</v>
          </cell>
        </row>
        <row r="15">
          <cell r="B15" t="str">
            <v>NYSE</v>
          </cell>
          <cell r="C15">
            <v>0.89870536452269112</v>
          </cell>
          <cell r="D15">
            <v>0.90315149255549676</v>
          </cell>
          <cell r="E15">
            <v>0.91280367699376475</v>
          </cell>
          <cell r="F15">
            <v>0.92279196971173771</v>
          </cell>
          <cell r="G15">
            <v>0.92331037141847883</v>
          </cell>
          <cell r="H15">
            <v>0.93288268096982085</v>
          </cell>
          <cell r="I15">
            <v>0.93094030157166063</v>
          </cell>
          <cell r="J15">
            <v>0.94833207566840938</v>
          </cell>
          <cell r="K15">
            <v>0.96775522220342713</v>
          </cell>
          <cell r="L15">
            <v>0.98119872180761669</v>
          </cell>
          <cell r="M15">
            <v>0.98805634767447093</v>
          </cell>
        </row>
        <row r="16">
          <cell r="B16" t="str">
            <v>Santiago SE</v>
          </cell>
          <cell r="C16">
            <v>0.13048870685074476</v>
          </cell>
          <cell r="D16">
            <v>0.13014941859948345</v>
          </cell>
          <cell r="E16">
            <v>0.13319515847713789</v>
          </cell>
          <cell r="F16">
            <v>0.13929362924038455</v>
          </cell>
          <cell r="G16">
            <v>0.14025510742892663</v>
          </cell>
          <cell r="H16">
            <v>0.14515753748587404</v>
          </cell>
          <cell r="I16">
            <v>0.15325156498835388</v>
          </cell>
          <cell r="J16">
            <v>0.1488634647627381</v>
          </cell>
          <cell r="K16">
            <v>0.14701475510098247</v>
          </cell>
          <cell r="L16">
            <v>0.1447259885569239</v>
          </cell>
          <cell r="M16">
            <v>0.14581503799695558</v>
          </cell>
        </row>
        <row r="17">
          <cell r="B17" t="str">
            <v>Sao Paulo SE</v>
          </cell>
          <cell r="C17">
            <v>0.41673303891519309</v>
          </cell>
          <cell r="D17">
            <v>0.41971977484513984</v>
          </cell>
          <cell r="E17">
            <v>0.42737298475061197</v>
          </cell>
          <cell r="F17">
            <v>0.42273183926562724</v>
          </cell>
          <cell r="G17">
            <v>0.41685221737493344</v>
          </cell>
          <cell r="H17">
            <v>0.42161246772904676</v>
          </cell>
          <cell r="I17">
            <v>0.41894464374402979</v>
          </cell>
          <cell r="J17">
            <v>0.4222134671269489</v>
          </cell>
          <cell r="K17">
            <v>0.42553882423873318</v>
          </cell>
          <cell r="L17">
            <v>0.42858654187091511</v>
          </cell>
          <cell r="M17">
            <v>0.43127295572714036</v>
          </cell>
        </row>
        <row r="18">
          <cell r="B18" t="str">
            <v xml:space="preserve">TSX Group </v>
          </cell>
          <cell r="C18">
            <v>0.64325488671770392</v>
          </cell>
          <cell r="D18">
            <v>0.64170279426914167</v>
          </cell>
          <cell r="E18">
            <v>0.64159016372441535</v>
          </cell>
          <cell r="F18">
            <v>0.63199449516023498</v>
          </cell>
          <cell r="G18">
            <v>0.63200675890105706</v>
          </cell>
          <cell r="H18">
            <v>0.63999397753257159</v>
          </cell>
          <cell r="I18">
            <v>0.64175072147774526</v>
          </cell>
          <cell r="J18">
            <v>0.65960953166196301</v>
          </cell>
          <cell r="K18">
            <v>0.67297901601160115</v>
          </cell>
          <cell r="L18">
            <v>0.6818978815052773</v>
          </cell>
          <cell r="M18">
            <v>0.68994763508429813</v>
          </cell>
        </row>
        <row r="20">
          <cell r="B20" t="str">
            <v>Europe - Africa - Middle East</v>
          </cell>
        </row>
        <row r="21">
          <cell r="B21" t="str">
            <v>Athens Exchange</v>
          </cell>
          <cell r="C21">
            <v>0.39815914213959586</v>
          </cell>
          <cell r="D21">
            <v>0.40397865712769115</v>
          </cell>
          <cell r="E21">
            <v>0.41007362225145938</v>
          </cell>
          <cell r="F21">
            <v>0.41575817369059509</v>
          </cell>
          <cell r="G21">
            <v>0.41499356996182502</v>
          </cell>
          <cell r="H21">
            <v>0.42314032435315402</v>
          </cell>
          <cell r="I21">
            <v>0.45203797862967821</v>
          </cell>
          <cell r="J21">
            <v>0.46563110089934984</v>
          </cell>
          <cell r="K21">
            <v>0.48972420305885223</v>
          </cell>
          <cell r="L21">
            <v>0.49844616931707825</v>
          </cell>
          <cell r="M21">
            <v>0.48917357406831768</v>
          </cell>
        </row>
        <row r="22">
          <cell r="B22" t="str">
            <v xml:space="preserve">BME Spanish Exchanges </v>
          </cell>
          <cell r="C22">
            <v>1.8495120098730775</v>
          </cell>
          <cell r="D22">
            <v>1.8391653522751776</v>
          </cell>
          <cell r="E22">
            <v>1.7936203136481164</v>
          </cell>
          <cell r="F22">
            <v>1.7659461933620868</v>
          </cell>
          <cell r="G22">
            <v>1.7223577390557345</v>
          </cell>
          <cell r="H22">
            <v>1.6744836589418262</v>
          </cell>
          <cell r="I22">
            <v>1.6466150216735926</v>
          </cell>
          <cell r="J22">
            <v>1.6465241347233102</v>
          </cell>
          <cell r="K22">
            <v>1.6322237260936312</v>
          </cell>
          <cell r="L22">
            <v>1.6396978080431499</v>
          </cell>
          <cell r="M22">
            <v>1.6208323586924032</v>
          </cell>
        </row>
        <row r="23">
          <cell r="B23" t="str">
            <v>Borsa Italiana</v>
          </cell>
          <cell r="C23">
            <v>1.3463830181442697</v>
          </cell>
          <cell r="D23">
            <v>1.3643174991760922</v>
          </cell>
          <cell r="E23">
            <v>1.3343047057702042</v>
          </cell>
          <cell r="F23">
            <v>1.3670921473455524</v>
          </cell>
          <cell r="G23">
            <v>1.3967263191667463</v>
          </cell>
          <cell r="H23">
            <v>1.4381096020116733</v>
          </cell>
          <cell r="I23">
            <v>1.4723291832855059</v>
          </cell>
          <cell r="J23">
            <v>1.4966431134179636</v>
          </cell>
          <cell r="K23">
            <v>1.5370949317810914</v>
          </cell>
          <cell r="L23">
            <v>1.5933470195429564</v>
          </cell>
          <cell r="M23">
            <v>1.6046566885687952</v>
          </cell>
        </row>
        <row r="24">
          <cell r="B24" t="str">
            <v xml:space="preserve">Budapest SE </v>
          </cell>
          <cell r="C24">
            <v>0.64044392111456105</v>
          </cell>
          <cell r="D24">
            <v>0.65484416818069835</v>
          </cell>
          <cell r="E24">
            <v>0.64889625716432453</v>
          </cell>
          <cell r="F24">
            <v>0.64271727838193082</v>
          </cell>
          <cell r="G24">
            <v>0.60790851488902464</v>
          </cell>
          <cell r="H24">
            <v>0.632238523063677</v>
          </cell>
          <cell r="I24">
            <v>0.64989545930522663</v>
          </cell>
          <cell r="J24">
            <v>0.66137142639772639</v>
          </cell>
          <cell r="K24">
            <v>0.68758212955444831</v>
          </cell>
          <cell r="L24">
            <v>0.70941787966441217</v>
          </cell>
          <cell r="M24">
            <v>0.70380243204462467</v>
          </cell>
          <cell r="N24" t="str">
            <v>KO</v>
          </cell>
          <cell r="O24">
            <v>1.9539816598395328</v>
          </cell>
        </row>
        <row r="25">
          <cell r="B25" t="str">
            <v>Deutsche Börse</v>
          </cell>
          <cell r="C25">
            <v>1.32535501398739</v>
          </cell>
          <cell r="D25">
            <v>1.3259798182534628</v>
          </cell>
          <cell r="E25">
            <v>1.2931630009839354</v>
          </cell>
          <cell r="F25">
            <v>1.2970685207297461</v>
          </cell>
          <cell r="G25">
            <v>1.3016976286898623</v>
          </cell>
          <cell r="H25">
            <v>1.3334589118814864</v>
          </cell>
          <cell r="I25">
            <v>1.3637406713730507</v>
          </cell>
          <cell r="J25">
            <v>1.3992951550495791</v>
          </cell>
          <cell r="K25">
            <v>1.4429774089775942</v>
          </cell>
          <cell r="L25">
            <v>1.4617176695296825</v>
          </cell>
          <cell r="M25">
            <v>1.4771665225377284</v>
          </cell>
          <cell r="N25" t="str">
            <v>TW</v>
          </cell>
          <cell r="O25">
            <v>1.2574973653584602</v>
          </cell>
        </row>
        <row r="26">
          <cell r="B26" t="str">
            <v xml:space="preserve">Euronext </v>
          </cell>
          <cell r="C26">
            <v>1.133469213925947</v>
          </cell>
          <cell r="D26">
            <v>1.1336972056994699</v>
          </cell>
          <cell r="E26">
            <v>1.1033513696910899</v>
          </cell>
          <cell r="F26">
            <v>1.1059373045357281</v>
          </cell>
          <cell r="G26">
            <v>1.103293469377153</v>
          </cell>
          <cell r="H26">
            <v>1.1130282106151803</v>
          </cell>
          <cell r="I26">
            <v>1.1349339079414653</v>
          </cell>
          <cell r="J26">
            <v>1.1358248850613937</v>
          </cell>
          <cell r="K26">
            <v>1.1267860097289975</v>
          </cell>
          <cell r="L26">
            <v>1.125867934492307</v>
          </cell>
          <cell r="M26">
            <v>1.1286318977543865</v>
          </cell>
          <cell r="N26" t="str">
            <v>UK</v>
          </cell>
          <cell r="O26">
            <v>1.1078220709183704</v>
          </cell>
        </row>
        <row r="27">
          <cell r="B27" t="str">
            <v>Irish SE</v>
          </cell>
          <cell r="C27">
            <v>0.47141461136236007</v>
          </cell>
          <cell r="D27">
            <v>0.47250089468855155</v>
          </cell>
          <cell r="E27">
            <v>0.47723463180526243</v>
          </cell>
          <cell r="F27">
            <v>0.49518312176330803</v>
          </cell>
          <cell r="G27">
            <v>0.50685147887300896</v>
          </cell>
          <cell r="H27">
            <v>0.53492590207733204</v>
          </cell>
          <cell r="I27">
            <v>0.54602192982240039</v>
          </cell>
          <cell r="J27">
            <v>0.55887301420479119</v>
          </cell>
          <cell r="K27">
            <v>0.56362889466924015</v>
          </cell>
          <cell r="L27">
            <v>0.57314390660149961</v>
          </cell>
          <cell r="M27">
            <v>0.58078736038185108</v>
          </cell>
          <cell r="N27" t="str">
            <v>JP</v>
          </cell>
          <cell r="O27">
            <v>1.0913024706684309</v>
          </cell>
        </row>
        <row r="28">
          <cell r="B28" t="str">
            <v>Istanbul SE</v>
          </cell>
          <cell r="C28">
            <v>1.9112183097390005</v>
          </cell>
          <cell r="D28">
            <v>1.9250079737357277</v>
          </cell>
          <cell r="E28">
            <v>1.8627128178516248</v>
          </cell>
          <cell r="F28">
            <v>1.8027569616306236</v>
          </cell>
          <cell r="G28">
            <v>1.7678223406630169</v>
          </cell>
          <cell r="H28">
            <v>1.7804054718130413</v>
          </cell>
          <cell r="I28">
            <v>1.7847113721837484</v>
          </cell>
          <cell r="J28">
            <v>1.791706185430334</v>
          </cell>
          <cell r="K28">
            <v>1.7568779342570269</v>
          </cell>
          <cell r="L28">
            <v>1.7510751186333426</v>
          </cell>
          <cell r="M28">
            <v>1.7252084774958547</v>
          </cell>
          <cell r="N28" t="str">
            <v>US</v>
          </cell>
          <cell r="O28">
            <v>0.98805634767447093</v>
          </cell>
        </row>
        <row r="29">
          <cell r="B29" t="str">
            <v>JSE 1</v>
          </cell>
          <cell r="C29">
            <v>0.45772618720349806</v>
          </cell>
          <cell r="D29">
            <v>0.45065063723955417</v>
          </cell>
          <cell r="E29">
            <v>0.44199075863516563</v>
          </cell>
          <cell r="F29">
            <v>0.4320522878595352</v>
          </cell>
          <cell r="G29">
            <v>0.43606096315748438</v>
          </cell>
          <cell r="H29">
            <v>0.44303564485601754</v>
          </cell>
          <cell r="I29">
            <v>0.45488850925718421</v>
          </cell>
          <cell r="J29">
            <v>0.45434528903385102</v>
          </cell>
          <cell r="K29">
            <v>0.45818401301504225</v>
          </cell>
          <cell r="L29">
            <v>0.45809849924674556</v>
          </cell>
          <cell r="M29">
            <v>0.44867470800619774</v>
          </cell>
          <cell r="N29" t="str">
            <v>HK</v>
          </cell>
          <cell r="O29">
            <v>0.51813324504289004</v>
          </cell>
        </row>
        <row r="30">
          <cell r="B30" t="str">
            <v>Ljubljana SE</v>
          </cell>
          <cell r="C30">
            <v>0.13842229411949716</v>
          </cell>
          <cell r="D30">
            <v>0.141169606883746</v>
          </cell>
          <cell r="E30">
            <v>0.13979161539850549</v>
          </cell>
          <cell r="F30">
            <v>0.13418762150847266</v>
          </cell>
          <cell r="G30">
            <v>0.12666001992438719</v>
          </cell>
          <cell r="H30">
            <v>0.12455991062466305</v>
          </cell>
          <cell r="I30">
            <v>0.12342112373758174</v>
          </cell>
          <cell r="J30">
            <v>0.11896380678568608</v>
          </cell>
          <cell r="K30">
            <v>0.11822989569159052</v>
          </cell>
          <cell r="L30">
            <v>0.11828396799413736</v>
          </cell>
          <cell r="M30">
            <v>0.14477872934314398</v>
          </cell>
          <cell r="N30" t="str">
            <v>SG</v>
          </cell>
          <cell r="O30">
            <v>0.36879355936453806</v>
          </cell>
        </row>
        <row r="31">
          <cell r="B31" t="str">
            <v>London SE</v>
          </cell>
          <cell r="C31">
            <v>1.1503254969730676</v>
          </cell>
          <cell r="D31">
            <v>1.1409128361242331</v>
          </cell>
          <cell r="E31">
            <v>1.1261110760358573</v>
          </cell>
          <cell r="F31">
            <v>1.1324408626408697</v>
          </cell>
          <cell r="G31">
            <v>1.1189020351383656</v>
          </cell>
          <cell r="H31">
            <v>1.1144627470359736</v>
          </cell>
          <cell r="I31">
            <v>1.1178637869815089</v>
          </cell>
          <cell r="J31">
            <v>1.1178763503281486</v>
          </cell>
          <cell r="K31">
            <v>1.1041403357930426</v>
          </cell>
          <cell r="L31">
            <v>1.1061853049450325</v>
          </cell>
          <cell r="M31">
            <v>1.1078220709183704</v>
          </cell>
          <cell r="N31" t="str">
            <v>MY</v>
          </cell>
          <cell r="O31">
            <v>0.29373692615469377</v>
          </cell>
        </row>
        <row r="32">
          <cell r="B32" t="str">
            <v>Luxembourg SE</v>
          </cell>
          <cell r="C32">
            <v>8.9438046724104377E-3</v>
          </cell>
          <cell r="D32">
            <v>8.1140678889338614E-3</v>
          </cell>
          <cell r="E32">
            <v>7.7775050465032185E-3</v>
          </cell>
          <cell r="F32">
            <v>7.2814162493637603E-3</v>
          </cell>
          <cell r="G32">
            <v>7.127527761481762E-3</v>
          </cell>
          <cell r="H32">
            <v>6.6973550103579171E-3</v>
          </cell>
          <cell r="I32">
            <v>6.348789520180695E-3</v>
          </cell>
          <cell r="J32">
            <v>6.1958487188876685E-3</v>
          </cell>
          <cell r="K32">
            <v>5.991500396357278E-3</v>
          </cell>
          <cell r="L32">
            <v>5.8081146802686128E-3</v>
          </cell>
          <cell r="M32">
            <v>5.2188486037404317E-3</v>
          </cell>
        </row>
        <row r="33">
          <cell r="B33" t="str">
            <v>Malta SE</v>
          </cell>
          <cell r="C33">
            <v>3.8106088311178683E-2</v>
          </cell>
          <cell r="D33">
            <v>3.8208502808670462E-2</v>
          </cell>
          <cell r="E33">
            <v>3.6619388858163612E-2</v>
          </cell>
          <cell r="F33">
            <v>3.6433537813730509E-2</v>
          </cell>
          <cell r="G33">
            <v>3.6829326174642976E-2</v>
          </cell>
          <cell r="H33">
            <v>3.6498460787216552E-2</v>
          </cell>
          <cell r="I33">
            <v>3.4358488727162566E-2</v>
          </cell>
          <cell r="J33">
            <v>3.4897117506220952E-2</v>
          </cell>
          <cell r="K33">
            <v>3.5998659013358046E-2</v>
          </cell>
          <cell r="L33">
            <v>3.5969626030791346E-2</v>
          </cell>
          <cell r="M33">
            <v>4.1949511203808548E-2</v>
          </cell>
        </row>
        <row r="34">
          <cell r="B34" t="str">
            <v>OMX Exchanges 2</v>
          </cell>
          <cell r="C34">
            <v>1.2830336315835595</v>
          </cell>
          <cell r="D34">
            <v>1.2136548415994115</v>
          </cell>
          <cell r="E34">
            <v>1.1555215930493163</v>
          </cell>
          <cell r="F34">
            <v>1.1483998458817797</v>
          </cell>
          <cell r="G34">
            <v>1.1447027381661856</v>
          </cell>
          <cell r="H34">
            <v>1.1567889116455066</v>
          </cell>
          <cell r="I34">
            <v>1.1543551300666526</v>
          </cell>
          <cell r="J34">
            <v>1.1514207538911183</v>
          </cell>
          <cell r="K34">
            <v>1.1474736472278144</v>
          </cell>
          <cell r="L34">
            <v>1.1560887825795105</v>
          </cell>
          <cell r="M34">
            <v>1.1703502875273508</v>
          </cell>
        </row>
        <row r="35">
          <cell r="B35" t="str">
            <v>Oslo Bors</v>
          </cell>
          <cell r="C35">
            <v>1.0276872293060886</v>
          </cell>
          <cell r="D35">
            <v>1.0538470364483488</v>
          </cell>
          <cell r="E35">
            <v>1.0434495781043305</v>
          </cell>
          <cell r="F35">
            <v>1.0624385207595302</v>
          </cell>
          <cell r="G35">
            <v>1.0742620651261332</v>
          </cell>
          <cell r="H35">
            <v>1.095667838839165</v>
          </cell>
          <cell r="I35">
            <v>1.0875731891114191</v>
          </cell>
          <cell r="J35">
            <v>1.1101790846355617</v>
          </cell>
          <cell r="K35">
            <v>1.1262853791945473</v>
          </cell>
          <cell r="L35">
            <v>1.1677106742556356</v>
          </cell>
          <cell r="M35">
            <v>1.1817330269125199</v>
          </cell>
        </row>
        <row r="36">
          <cell r="B36" t="str">
            <v>Swiss Exchange 3</v>
          </cell>
          <cell r="C36">
            <v>1.0076602496192042</v>
          </cell>
          <cell r="D36">
            <v>1.0205014681154359</v>
          </cell>
          <cell r="E36">
            <v>1.0138725359065115</v>
          </cell>
          <cell r="F36">
            <v>1.050029780120187</v>
          </cell>
          <cell r="G36">
            <v>1.0535066381139921</v>
          </cell>
          <cell r="H36">
            <v>1.0594210726069966</v>
          </cell>
          <cell r="I36">
            <v>1.0740600827245699</v>
          </cell>
          <cell r="J36">
            <v>1.0882854199301755</v>
          </cell>
          <cell r="K36">
            <v>1.1077725488483308</v>
          </cell>
          <cell r="L36">
            <v>1.1278510002731557</v>
          </cell>
          <cell r="M36">
            <v>1.1382871122221452</v>
          </cell>
        </row>
        <row r="37">
          <cell r="B37" t="str">
            <v>Tehran SE</v>
          </cell>
          <cell r="C37">
            <v>0.30617192572745805</v>
          </cell>
          <cell r="D37">
            <v>0.27652583720003771</v>
          </cell>
          <cell r="E37">
            <v>0.27882250832686001</v>
          </cell>
          <cell r="F37">
            <v>0.27453637309287632</v>
          </cell>
          <cell r="G37">
            <v>0.2470405697553657</v>
          </cell>
          <cell r="H37">
            <v>0.23730729343794552</v>
          </cell>
          <cell r="I37">
            <v>0.23156582673984785</v>
          </cell>
          <cell r="J37">
            <v>0.22767208822889431</v>
          </cell>
          <cell r="K37">
            <v>0.2323722995704858</v>
          </cell>
          <cell r="L37">
            <v>0.2177181242674846</v>
          </cell>
          <cell r="M37">
            <v>0.20337521304745362</v>
          </cell>
        </row>
        <row r="38">
          <cell r="B38" t="str">
            <v>Tel Aviv SE</v>
          </cell>
          <cell r="C38">
            <v>0.39980485212875888</v>
          </cell>
          <cell r="D38">
            <v>0.41098984478539774</v>
          </cell>
          <cell r="E38">
            <v>0.42152136552537173</v>
          </cell>
          <cell r="F38">
            <v>0.42517648007120096</v>
          </cell>
          <cell r="G38">
            <v>0.42717772579678231</v>
          </cell>
          <cell r="H38">
            <v>0.44040817217636269</v>
          </cell>
          <cell r="I38">
            <v>0.44488732344617116</v>
          </cell>
          <cell r="J38">
            <v>0.45239912417139999</v>
          </cell>
          <cell r="K38">
            <v>0.46331502006286734</v>
          </cell>
          <cell r="L38">
            <v>0.46000841191139186</v>
          </cell>
          <cell r="M38">
            <v>0.4625776327316875</v>
          </cell>
        </row>
        <row r="39">
          <cell r="B39" t="str">
            <v>Warsaw SE</v>
          </cell>
          <cell r="C39">
            <v>0.34169376028975296</v>
          </cell>
          <cell r="D39">
            <v>0.36516595159831677</v>
          </cell>
          <cell r="E39">
            <v>0.36439238146611491</v>
          </cell>
          <cell r="F39">
            <v>0.35591880502691703</v>
          </cell>
          <cell r="G39">
            <v>0.35520214287369201</v>
          </cell>
          <cell r="H39">
            <v>0.36882235420144244</v>
          </cell>
          <cell r="I39">
            <v>0.37848875789302294</v>
          </cell>
          <cell r="J39">
            <v>0.38621304557294261</v>
          </cell>
          <cell r="K39">
            <v>0.40313987307355698</v>
          </cell>
          <cell r="L39">
            <v>0.41020187932549224</v>
          </cell>
          <cell r="M39">
            <v>0.39611872096048112</v>
          </cell>
        </row>
        <row r="40">
          <cell r="B40" t="str">
            <v>Wiener Börse</v>
          </cell>
          <cell r="C40">
            <v>0.35033800280809263</v>
          </cell>
          <cell r="D40">
            <v>0.35756202690891437</v>
          </cell>
          <cell r="E40">
            <v>0.36477195692117359</v>
          </cell>
          <cell r="F40">
            <v>0.37510810031526987</v>
          </cell>
          <cell r="G40">
            <v>0.37696147840300376</v>
          </cell>
          <cell r="H40">
            <v>0.39264093859732824</v>
          </cell>
          <cell r="I40">
            <v>0.39949510465494598</v>
          </cell>
          <cell r="J40">
            <v>0.39486033019597627</v>
          </cell>
          <cell r="K40">
            <v>0.40673453070917992</v>
          </cell>
          <cell r="L40">
            <v>0.42344902933501444</v>
          </cell>
          <cell r="M40">
            <v>0.42174814772345598</v>
          </cell>
        </row>
        <row r="42">
          <cell r="B42" t="str">
            <v>Asia - Pacific</v>
          </cell>
        </row>
        <row r="43">
          <cell r="B43" t="str">
            <v>Australian SE</v>
          </cell>
          <cell r="C43">
            <v>0.8005817296206944</v>
          </cell>
          <cell r="D43">
            <v>0.8143582855645265</v>
          </cell>
          <cell r="E43">
            <v>0.81296679843735342</v>
          </cell>
          <cell r="F43">
            <v>0.818845057358912</v>
          </cell>
          <cell r="G43">
            <v>0.83051512022297447</v>
          </cell>
          <cell r="H43">
            <v>0.83541158500242707</v>
          </cell>
          <cell r="I43">
            <v>0.82815970243467263</v>
          </cell>
          <cell r="J43">
            <v>0.84570810918145956</v>
          </cell>
          <cell r="K43">
            <v>0.85822456190662566</v>
          </cell>
          <cell r="L43">
            <v>0.85211071330129595</v>
          </cell>
          <cell r="M43">
            <v>0.84507966602417772</v>
          </cell>
        </row>
        <row r="44">
          <cell r="B44" t="str">
            <v>Bombay SE</v>
          </cell>
          <cell r="C44">
            <v>0.40276626724046083</v>
          </cell>
          <cell r="D44">
            <v>0.38844867307582587</v>
          </cell>
          <cell r="E44">
            <v>0.38122228259163365</v>
          </cell>
          <cell r="F44">
            <v>0.36860507735899972</v>
          </cell>
          <cell r="G44">
            <v>0.34803969037274984</v>
          </cell>
          <cell r="H44">
            <v>0.34435252176377862</v>
          </cell>
          <cell r="I44">
            <v>0.34076175629264127</v>
          </cell>
          <cell r="J44">
            <v>0.34511573933226042</v>
          </cell>
          <cell r="K44">
            <v>0.350925880736211</v>
          </cell>
          <cell r="L44">
            <v>0.35365354235288393</v>
          </cell>
          <cell r="M44">
            <v>0.35313397191056173</v>
          </cell>
        </row>
        <row r="45">
          <cell r="B45" t="str">
            <v>Bursa Malaysia</v>
          </cell>
          <cell r="C45">
            <v>0.34122936327361469</v>
          </cell>
          <cell r="D45">
            <v>0.32880972509059053</v>
          </cell>
          <cell r="E45">
            <v>0.31130517566289267</v>
          </cell>
          <cell r="F45">
            <v>0.30636287655951561</v>
          </cell>
          <cell r="G45">
            <v>0.30448944447368437</v>
          </cell>
          <cell r="H45">
            <v>0.30862713018721882</v>
          </cell>
          <cell r="I45">
            <v>0.31012411968532433</v>
          </cell>
          <cell r="J45">
            <v>0.31151625162259761</v>
          </cell>
          <cell r="K45">
            <v>0.30732121646705207</v>
          </cell>
          <cell r="L45">
            <v>0.30563669277376293</v>
          </cell>
          <cell r="M45">
            <v>0.29373692615469377</v>
          </cell>
        </row>
        <row r="46">
          <cell r="B46" t="str">
            <v>Colombo SE</v>
          </cell>
          <cell r="C46">
            <v>0.16215536888960369</v>
          </cell>
          <cell r="D46">
            <v>0.16688594568224691</v>
          </cell>
          <cell r="E46">
            <v>0.18153396453362328</v>
          </cell>
          <cell r="F46">
            <v>0.18422321863291116</v>
          </cell>
          <cell r="G46">
            <v>0.19653119963710411</v>
          </cell>
          <cell r="H46">
            <v>0.19064389535547441</v>
          </cell>
          <cell r="I46">
            <v>0.17690568210184862</v>
          </cell>
          <cell r="J46">
            <v>0.17815916652355898</v>
          </cell>
          <cell r="K46">
            <v>0.1807805024894317</v>
          </cell>
          <cell r="L46">
            <v>0.18374204107752909</v>
          </cell>
          <cell r="M46">
            <v>0.19048152068320559</v>
          </cell>
        </row>
        <row r="47">
          <cell r="B47" t="str">
            <v>Hong Kong Exchanges</v>
          </cell>
          <cell r="C47">
            <v>0.56169574666907984</v>
          </cell>
          <cell r="D47">
            <v>0.54422347022042283</v>
          </cell>
          <cell r="E47">
            <v>0.53434989120627696</v>
          </cell>
          <cell r="F47">
            <v>0.5235951493673795</v>
          </cell>
          <cell r="G47">
            <v>0.51254062055602123</v>
          </cell>
          <cell r="H47">
            <v>0.51739480874053367</v>
          </cell>
          <cell r="I47">
            <v>0.52864264510760295</v>
          </cell>
          <cell r="J47">
            <v>0.54513995945635874</v>
          </cell>
          <cell r="K47">
            <v>0.54023351747657999</v>
          </cell>
          <cell r="L47">
            <v>0.53919095435299991</v>
          </cell>
          <cell r="M47">
            <v>0.51813324504289004</v>
          </cell>
        </row>
        <row r="48">
          <cell r="B48" t="str">
            <v>Jakarta SE</v>
          </cell>
          <cell r="C48">
            <v>0.45477973907533414</v>
          </cell>
          <cell r="D48">
            <v>0.45427632807029833</v>
          </cell>
          <cell r="E48">
            <v>0.50800162606355026</v>
          </cell>
          <cell r="F48">
            <v>0.50754175787086875</v>
          </cell>
          <cell r="G48">
            <v>0.54255657803736135</v>
          </cell>
          <cell r="H48">
            <v>0.5491829923584598</v>
          </cell>
          <cell r="I48">
            <v>0.55468767580460121</v>
          </cell>
          <cell r="J48">
            <v>0.58280539998147285</v>
          </cell>
          <cell r="K48">
            <v>0.58715521834227946</v>
          </cell>
          <cell r="L48">
            <v>0.58095858584443072</v>
          </cell>
          <cell r="M48">
            <v>0.56061619121275097</v>
          </cell>
        </row>
        <row r="49">
          <cell r="B49" t="str">
            <v>Korea Exchange</v>
          </cell>
          <cell r="C49">
            <v>1.4526350211997228</v>
          </cell>
          <cell r="D49">
            <v>1.4321281118927587</v>
          </cell>
          <cell r="E49">
            <v>1.4803701167878804</v>
          </cell>
          <cell r="F49">
            <v>1.4636395996405962</v>
          </cell>
          <cell r="G49">
            <v>1.4604309974765022</v>
          </cell>
          <cell r="H49">
            <v>1.5117645610342108</v>
          </cell>
          <cell r="I49">
            <v>1.6052449057619043</v>
          </cell>
          <cell r="J49">
            <v>1.6982209639342212</v>
          </cell>
          <cell r="K49">
            <v>1.7688418180643026</v>
          </cell>
          <cell r="L49">
            <v>1.8442652995108313</v>
          </cell>
          <cell r="M49">
            <v>1.9539816598395328</v>
          </cell>
        </row>
        <row r="50">
          <cell r="B50" t="str">
            <v>National Stock Exchange India</v>
          </cell>
          <cell r="C50">
            <v>0.96272130392671729</v>
          </cell>
          <cell r="D50">
            <v>0.92605085629930717</v>
          </cell>
          <cell r="E50">
            <v>0.90293827824042017</v>
          </cell>
          <cell r="F50">
            <v>0.8705161721605289</v>
          </cell>
          <cell r="G50">
            <v>0.81797384138464302</v>
          </cell>
          <cell r="H50">
            <v>0.79526844454686152</v>
          </cell>
          <cell r="I50">
            <v>0.77325283901789132</v>
          </cell>
          <cell r="J50">
            <v>0.77128730349808716</v>
          </cell>
          <cell r="K50">
            <v>0.76849732878370325</v>
          </cell>
          <cell r="L50">
            <v>0.77084403519831179</v>
          </cell>
          <cell r="M50">
            <v>0.76474353584070165</v>
          </cell>
        </row>
        <row r="51">
          <cell r="B51" t="str">
            <v>New Zealand Exchange</v>
          </cell>
          <cell r="C51">
            <v>0.42370587623083183</v>
          </cell>
          <cell r="D51">
            <v>0.41952252613510538</v>
          </cell>
          <cell r="E51">
            <v>0.42454744417503948</v>
          </cell>
          <cell r="F51">
            <v>0.43080725733041086</v>
          </cell>
          <cell r="G51">
            <v>0.43015209936451299</v>
          </cell>
          <cell r="H51">
            <v>0.42802908509847315</v>
          </cell>
          <cell r="I51">
            <v>0.43253437686783869</v>
          </cell>
          <cell r="J51">
            <v>0.438130485059601</v>
          </cell>
          <cell r="K51">
            <v>0.43163415589218218</v>
          </cell>
          <cell r="L51">
            <v>0.42696024078143296</v>
          </cell>
          <cell r="M51">
            <v>0.42865886940438952</v>
          </cell>
        </row>
        <row r="52">
          <cell r="B52" t="str">
            <v>Osaka SE</v>
          </cell>
          <cell r="C52">
            <v>5.9745423773746413E-2</v>
          </cell>
          <cell r="D52">
            <v>6.1524858259689452E-2</v>
          </cell>
          <cell r="E52">
            <v>6.3801938546908923E-2</v>
          </cell>
          <cell r="F52">
            <v>6.5515028644283935E-2</v>
          </cell>
          <cell r="G52">
            <v>6.8851693813574699E-2</v>
          </cell>
          <cell r="H52">
            <v>7.1368168192292428E-2</v>
          </cell>
          <cell r="I52">
            <v>7.3294830614786213E-2</v>
          </cell>
          <cell r="J52">
            <v>7.6656805129957109E-2</v>
          </cell>
          <cell r="K52">
            <v>7.9108096894002264E-2</v>
          </cell>
          <cell r="L52">
            <v>8.0135994716356587E-2</v>
          </cell>
          <cell r="M52">
            <v>8.1713711280587423E-2</v>
          </cell>
        </row>
        <row r="53">
          <cell r="B53" t="str">
            <v>Philippine SE</v>
          </cell>
          <cell r="C53">
            <v>0.14994402549425578</v>
          </cell>
          <cell r="D53">
            <v>0.16072759486257024</v>
          </cell>
          <cell r="E53">
            <v>0.17644754930758111</v>
          </cell>
          <cell r="F53">
            <v>0.19046321691221305</v>
          </cell>
          <cell r="G53">
            <v>0.19009416849627644</v>
          </cell>
          <cell r="H53">
            <v>0.19383361617146178</v>
          </cell>
          <cell r="I53">
            <v>0.19989017873038237</v>
          </cell>
          <cell r="J53">
            <v>0.21724961357485253</v>
          </cell>
          <cell r="K53">
            <v>0.21471779864076393</v>
          </cell>
          <cell r="L53">
            <v>0.20619578393120175</v>
          </cell>
          <cell r="M53">
            <v>0.19882704113225422</v>
          </cell>
        </row>
        <row r="54">
          <cell r="B54" t="str">
            <v>Shanghai SE</v>
          </cell>
          <cell r="C54">
            <v>0.83584667854647188</v>
          </cell>
          <cell r="D54">
            <v>0.74826748737321225</v>
          </cell>
          <cell r="E54">
            <v>0.72188291661362713</v>
          </cell>
          <cell r="F54">
            <v>0.69557522940352312</v>
          </cell>
          <cell r="G54">
            <v>0.69838730582815944</v>
          </cell>
          <cell r="H54">
            <v>0.72057005960546849</v>
          </cell>
          <cell r="I54">
            <v>0.72422296333629321</v>
          </cell>
          <cell r="J54">
            <v>0.80096363347247956</v>
          </cell>
          <cell r="K54">
            <v>0.82280868506194915</v>
          </cell>
          <cell r="L54">
            <v>0.81683321731101166</v>
          </cell>
          <cell r="M54">
            <v>0.81078053889943114</v>
          </cell>
        </row>
        <row r="55">
          <cell r="B55" t="str">
            <v>Shenzhen SE</v>
          </cell>
          <cell r="C55">
            <v>1.1887555081093708</v>
          </cell>
          <cell r="D55">
            <v>1.0760113545514096</v>
          </cell>
          <cell r="E55">
            <v>1.0472056341564344</v>
          </cell>
          <cell r="F55">
            <v>1.0238778208589945</v>
          </cell>
          <cell r="G55">
            <v>1.038731487435778</v>
          </cell>
          <cell r="H55">
            <v>1.0999166424642961</v>
          </cell>
          <cell r="I55">
            <v>1.1153505518336246</v>
          </cell>
          <cell r="J55">
            <v>1.2421541854698284</v>
          </cell>
          <cell r="K55">
            <v>1.2797509772482176</v>
          </cell>
          <cell r="L55">
            <v>1.2663175641555875</v>
          </cell>
          <cell r="M55">
            <v>1.2641515973693427</v>
          </cell>
        </row>
        <row r="56">
          <cell r="B56" t="str">
            <v>Singapore Exchange 1</v>
          </cell>
          <cell r="C56">
            <v>0.56519607037588027</v>
          </cell>
          <cell r="D56">
            <v>0.5310662822826181</v>
          </cell>
          <cell r="E56">
            <v>0.50584851491700189</v>
          </cell>
          <cell r="F56">
            <v>0.48034078262852198</v>
          </cell>
          <cell r="G56">
            <v>0.45937739726110216</v>
          </cell>
          <cell r="H56">
            <v>0.466913256115777</v>
          </cell>
          <cell r="I56">
            <v>0.47723928058139881</v>
          </cell>
          <cell r="J56">
            <v>0.48890470116664903</v>
          </cell>
          <cell r="K56">
            <v>0.48856124956145336</v>
          </cell>
          <cell r="L56">
            <v>0.494774113106557</v>
          </cell>
          <cell r="M56">
            <v>0.48886517812101166</v>
          </cell>
        </row>
        <row r="57">
          <cell r="B57" t="str">
            <v>Taiwan SE Corp.</v>
          </cell>
          <cell r="C57">
            <v>1.6415133934342558</v>
          </cell>
          <cell r="D57">
            <v>1.5888956498843283</v>
          </cell>
          <cell r="E57">
            <v>1.4501112537241081</v>
          </cell>
          <cell r="F57">
            <v>1.3043103190862464</v>
          </cell>
          <cell r="G57">
            <v>1.2575744868537162</v>
          </cell>
          <cell r="H57">
            <v>1.2683643701023894</v>
          </cell>
          <cell r="I57">
            <v>1.2979123514152626</v>
          </cell>
          <cell r="J57">
            <v>1.3196808896057497</v>
          </cell>
          <cell r="K57">
            <v>1.2799437788820034</v>
          </cell>
          <cell r="L57">
            <v>1.2558932676171493</v>
          </cell>
          <cell r="M57">
            <v>1.2574973653584602</v>
          </cell>
        </row>
        <row r="58">
          <cell r="B58" t="str">
            <v>Thailand SE</v>
          </cell>
          <cell r="C58">
            <v>1.0273554388866954</v>
          </cell>
          <cell r="D58">
            <v>1.0006368124859688</v>
          </cell>
          <cell r="E58">
            <v>0.98887786576244519</v>
          </cell>
          <cell r="F58">
            <v>0.9508522526154225</v>
          </cell>
          <cell r="G58">
            <v>0.93805205116271362</v>
          </cell>
          <cell r="H58">
            <v>0.92966483368432395</v>
          </cell>
          <cell r="I58">
            <v>0.91130222645930281</v>
          </cell>
          <cell r="J58">
            <v>0.91909139970411291</v>
          </cell>
          <cell r="K58">
            <v>0.89666981265705947</v>
          </cell>
          <cell r="L58">
            <v>0.85444177792838893</v>
          </cell>
          <cell r="M58">
            <v>0.82629660649072434</v>
          </cell>
        </row>
        <row r="59">
          <cell r="B59" t="str">
            <v>Tokyo SE</v>
          </cell>
          <cell r="C59">
            <v>0.96651282325920607</v>
          </cell>
          <cell r="D59">
            <v>0.97442483043273709</v>
          </cell>
          <cell r="E59">
            <v>0.96552348714500058</v>
          </cell>
          <cell r="F59">
            <v>0.93708991639661887</v>
          </cell>
          <cell r="G59">
            <v>0.92858122321162162</v>
          </cell>
          <cell r="H59">
            <v>0.92149624255283236</v>
          </cell>
          <cell r="I59">
            <v>0.91864855099413578</v>
          </cell>
          <cell r="J59">
            <v>0.95799163124064257</v>
          </cell>
          <cell r="K59">
            <v>0.99747629332567389</v>
          </cell>
          <cell r="L59">
            <v>1.0393390021854902</v>
          </cell>
          <cell r="M59">
            <v>1.0913024706684309</v>
          </cell>
        </row>
        <row r="61">
          <cell r="B61" t="str">
            <v>Due to different reporting rules &amp; calculation methods, turnover figures are not entirely comparable</v>
          </cell>
        </row>
        <row r="62">
          <cell r="B62" t="str">
            <v>1  JSE and Singapore Exchange ratios are calculated with domestic &amp; foreign market capitalization and turnover</v>
          </cell>
        </row>
        <row r="63">
          <cell r="B63" t="str">
            <v>2  OMX Exchanges include Copenhagen, Helsinki, Stockholm, Tallinn, Riga and Vilnius  Stock Exchanges</v>
          </cell>
        </row>
        <row r="64">
          <cell r="B64" t="str">
            <v>3  Swiss Exchange ratio includes shares traded on virt-x</v>
          </cell>
        </row>
        <row r="66">
          <cell r="B66" t="str">
            <v>Source : World Federation of Exchanges members</v>
          </cell>
        </row>
      </sheetData>
      <sheetData sheetId="63" refreshError="1">
        <row r="1">
          <cell r="B1">
            <v>1990</v>
          </cell>
          <cell r="C1">
            <v>1991</v>
          </cell>
          <cell r="D1">
            <v>1992</v>
          </cell>
          <cell r="E1">
            <v>1993</v>
          </cell>
          <cell r="F1">
            <v>1994</v>
          </cell>
          <cell r="G1">
            <v>1995</v>
          </cell>
          <cell r="H1">
            <v>1996</v>
          </cell>
          <cell r="I1">
            <v>1997</v>
          </cell>
          <cell r="J1">
            <v>1998</v>
          </cell>
          <cell r="K1">
            <v>1999</v>
          </cell>
          <cell r="L1">
            <v>2000</v>
          </cell>
          <cell r="M1">
            <v>2001</v>
          </cell>
          <cell r="N1">
            <v>2002</v>
          </cell>
          <cell r="O1">
            <v>2003</v>
          </cell>
          <cell r="P1">
            <v>2004</v>
          </cell>
          <cell r="Q1">
            <v>2005</v>
          </cell>
          <cell r="R1" t="str">
            <v>2006 annualised</v>
          </cell>
        </row>
        <row r="2">
          <cell r="A2" t="str">
            <v>Value of Shares Tradings (US$mn)</v>
          </cell>
          <cell r="S2" t="str">
            <v xml:space="preserve">Nasdaq </v>
          </cell>
          <cell r="T2">
            <v>10086739.960000001</v>
          </cell>
        </row>
        <row r="3">
          <cell r="A3" t="str">
            <v xml:space="preserve">NYSE </v>
          </cell>
          <cell r="B3">
            <v>1325332.3999999999</v>
          </cell>
          <cell r="C3">
            <v>1520164</v>
          </cell>
          <cell r="D3">
            <v>1745466.4</v>
          </cell>
          <cell r="E3">
            <v>2283389.6</v>
          </cell>
          <cell r="F3">
            <v>2454241.6</v>
          </cell>
          <cell r="G3">
            <v>3082916.1</v>
          </cell>
          <cell r="H3">
            <v>4063654.6</v>
          </cell>
          <cell r="I3">
            <v>5777601.5</v>
          </cell>
          <cell r="J3">
            <v>7317948.5</v>
          </cell>
          <cell r="K3">
            <v>8945205.1999999993</v>
          </cell>
          <cell r="L3">
            <v>11060046</v>
          </cell>
          <cell r="M3">
            <v>10489030.6</v>
          </cell>
          <cell r="N3">
            <v>10310055.199999999</v>
          </cell>
          <cell r="O3">
            <v>9691335.3000000007</v>
          </cell>
          <cell r="P3">
            <v>11618150.699999999</v>
          </cell>
          <cell r="Q3">
            <v>14125294.099999998</v>
          </cell>
          <cell r="S3" t="str">
            <v xml:space="preserve">NYSE </v>
          </cell>
        </row>
        <row r="4">
          <cell r="A4" t="str">
            <v xml:space="preserve">Deutsche Börse </v>
          </cell>
          <cell r="B4">
            <v>508706.7</v>
          </cell>
          <cell r="C4">
            <v>404648.8</v>
          </cell>
          <cell r="D4">
            <v>454205.5</v>
          </cell>
          <cell r="E4">
            <v>563961.5</v>
          </cell>
          <cell r="F4">
            <v>592103.91471113486</v>
          </cell>
          <cell r="G4">
            <v>593936.19639226445</v>
          </cell>
          <cell r="H4">
            <v>811626</v>
          </cell>
          <cell r="I4">
            <v>1067688.3178671156</v>
          </cell>
          <cell r="J4">
            <v>1491795.7</v>
          </cell>
          <cell r="K4">
            <v>1551467.4</v>
          </cell>
          <cell r="L4">
            <v>2119784.7000000002</v>
          </cell>
          <cell r="M4">
            <v>1423370.8</v>
          </cell>
          <cell r="N4">
            <v>1212301.6000000001</v>
          </cell>
          <cell r="O4">
            <v>1299327.4453689137</v>
          </cell>
          <cell r="P4">
            <v>1541122.6664729628</v>
          </cell>
          <cell r="S4" t="str">
            <v xml:space="preserve">London </v>
          </cell>
        </row>
        <row r="5">
          <cell r="A5" t="str">
            <v xml:space="preserve">Euronext </v>
          </cell>
          <cell r="B5" t="str">
            <v>-</v>
          </cell>
          <cell r="C5" t="str">
            <v>-</v>
          </cell>
          <cell r="D5" t="str">
            <v>-</v>
          </cell>
          <cell r="E5" t="str">
            <v>-</v>
          </cell>
          <cell r="F5" t="str">
            <v>-</v>
          </cell>
          <cell r="G5" t="str">
            <v>-</v>
          </cell>
          <cell r="H5" t="str">
            <v>-</v>
          </cell>
          <cell r="I5" t="str">
            <v>-</v>
          </cell>
          <cell r="J5" t="str">
            <v>-</v>
          </cell>
          <cell r="K5" t="str">
            <v>-</v>
          </cell>
          <cell r="L5" t="str">
            <v>-</v>
          </cell>
          <cell r="M5">
            <v>2092540.4</v>
          </cell>
          <cell r="N5">
            <v>1974133.7</v>
          </cell>
          <cell r="O5">
            <v>1936572.9772757422</v>
          </cell>
          <cell r="P5">
            <v>2472131.7463447032</v>
          </cell>
          <cell r="S5" t="str">
            <v xml:space="preserve">Australian </v>
          </cell>
          <cell r="T5">
            <v>672517.59532143211</v>
          </cell>
        </row>
        <row r="6">
          <cell r="A6" t="str">
            <v xml:space="preserve">London </v>
          </cell>
          <cell r="B6">
            <v>543392.5</v>
          </cell>
          <cell r="C6">
            <v>553922</v>
          </cell>
          <cell r="D6">
            <v>662990.9</v>
          </cell>
          <cell r="E6">
            <v>865906.7</v>
          </cell>
          <cell r="F6">
            <v>1029278.3164457507</v>
          </cell>
          <cell r="G6">
            <v>1153221.3107423985</v>
          </cell>
          <cell r="H6">
            <v>1413236.33</v>
          </cell>
          <cell r="I6">
            <v>1989489.2945794039</v>
          </cell>
          <cell r="J6">
            <v>2887989.7</v>
          </cell>
          <cell r="K6">
            <v>3399381.0576778762</v>
          </cell>
          <cell r="L6">
            <v>4558662.9000000004</v>
          </cell>
          <cell r="M6">
            <v>4520183.2</v>
          </cell>
          <cell r="N6">
            <v>4001339.9</v>
          </cell>
          <cell r="O6">
            <v>3609718.2251447816</v>
          </cell>
          <cell r="P6">
            <v>5169023.5625600386</v>
          </cell>
          <cell r="Q6">
            <v>5673877.0929480623</v>
          </cell>
          <cell r="S6" t="str">
            <v>Bursa Malaysia</v>
          </cell>
          <cell r="T6">
            <v>51587.694915399508</v>
          </cell>
        </row>
        <row r="7">
          <cell r="A7" t="str">
            <v xml:space="preserve">Australian </v>
          </cell>
          <cell r="B7">
            <v>40186.1</v>
          </cell>
          <cell r="C7">
            <v>46696.6</v>
          </cell>
          <cell r="D7">
            <v>45577.1</v>
          </cell>
          <cell r="E7">
            <v>67791.8</v>
          </cell>
          <cell r="F7">
            <v>94908.756834535074</v>
          </cell>
          <cell r="G7">
            <v>98310.287610078027</v>
          </cell>
          <cell r="H7">
            <v>146235.5</v>
          </cell>
          <cell r="I7">
            <v>168999.3</v>
          </cell>
          <cell r="J7">
            <v>161000.9</v>
          </cell>
          <cell r="K7">
            <v>198195.13164774529</v>
          </cell>
          <cell r="L7">
            <v>226484.9</v>
          </cell>
          <cell r="M7">
            <v>244462.5</v>
          </cell>
          <cell r="N7">
            <v>295399.40000000002</v>
          </cell>
          <cell r="O7">
            <v>371970.36794230924</v>
          </cell>
          <cell r="P7">
            <v>525169.16167255677</v>
          </cell>
          <cell r="Q7">
            <v>672517.59532143211</v>
          </cell>
          <cell r="S7" t="str">
            <v xml:space="preserve">Hong Kong </v>
          </cell>
          <cell r="T7">
            <v>464285.1257928363</v>
          </cell>
        </row>
        <row r="8">
          <cell r="A8" t="str">
            <v>Bursa Malaysia</v>
          </cell>
          <cell r="B8">
            <v>10697.9</v>
          </cell>
          <cell r="C8">
            <v>10714</v>
          </cell>
          <cell r="D8">
            <v>19731.7</v>
          </cell>
          <cell r="E8">
            <v>148555.6</v>
          </cell>
          <cell r="F8">
            <v>120858.93152289573</v>
          </cell>
          <cell r="G8">
            <v>60792.419464173567</v>
          </cell>
          <cell r="H8">
            <v>178011.4</v>
          </cell>
          <cell r="I8">
            <v>145687.76521120741</v>
          </cell>
          <cell r="J8">
            <v>26839.5</v>
          </cell>
          <cell r="K8">
            <v>42431.297368421059</v>
          </cell>
          <cell r="L8">
            <v>52868.7</v>
          </cell>
          <cell r="M8">
            <v>23879.9</v>
          </cell>
          <cell r="N8">
            <v>32923.199999999997</v>
          </cell>
          <cell r="O8">
            <v>52233.392105263156</v>
          </cell>
          <cell r="P8">
            <v>61636.415789473685</v>
          </cell>
          <cell r="Q8">
            <v>51587.694915399508</v>
          </cell>
          <cell r="S8" t="str">
            <v xml:space="preserve">Korea </v>
          </cell>
          <cell r="T8">
            <v>1204336.7922235474</v>
          </cell>
        </row>
        <row r="9">
          <cell r="A9" t="str">
            <v xml:space="preserve">Hong Kong </v>
          </cell>
          <cell r="B9">
            <v>34676.1</v>
          </cell>
          <cell r="C9">
            <v>38596.699999999997</v>
          </cell>
          <cell r="D9">
            <v>78644.5</v>
          </cell>
          <cell r="E9">
            <v>132286.5</v>
          </cell>
          <cell r="F9">
            <v>126057.06245769888</v>
          </cell>
          <cell r="G9">
            <v>95832.029339598128</v>
          </cell>
          <cell r="H9">
            <v>166428.54</v>
          </cell>
          <cell r="I9">
            <v>453657.10717663955</v>
          </cell>
          <cell r="J9">
            <v>206152.6</v>
          </cell>
          <cell r="K9">
            <v>230032.21543544842</v>
          </cell>
          <cell r="L9">
            <v>376664.1</v>
          </cell>
          <cell r="M9">
            <v>241012.6</v>
          </cell>
          <cell r="N9">
            <v>194003.6</v>
          </cell>
          <cell r="O9">
            <v>296155.87020737404</v>
          </cell>
          <cell r="P9">
            <v>439463.77365152218</v>
          </cell>
          <cell r="Q9">
            <v>464285.1257928363</v>
          </cell>
          <cell r="S9" t="str">
            <v xml:space="preserve">Singapore </v>
          </cell>
          <cell r="T9">
            <v>116350.52702417567</v>
          </cell>
        </row>
        <row r="10">
          <cell r="A10" t="str">
            <v xml:space="preserve">Singapore </v>
          </cell>
          <cell r="B10">
            <v>21069.599999999999</v>
          </cell>
          <cell r="C10">
            <v>18083.7</v>
          </cell>
          <cell r="D10">
            <v>18905.900000000001</v>
          </cell>
          <cell r="E10">
            <v>83529.399999999994</v>
          </cell>
          <cell r="F10">
            <v>84821.920305084772</v>
          </cell>
          <cell r="G10">
            <v>63983.190173621704</v>
          </cell>
          <cell r="H10">
            <v>60254.8</v>
          </cell>
          <cell r="I10">
            <v>74137.270623146513</v>
          </cell>
          <cell r="J10">
            <v>58509.599999999999</v>
          </cell>
          <cell r="K10">
            <v>107406.50470587269</v>
          </cell>
          <cell r="L10">
            <v>95153.1</v>
          </cell>
          <cell r="M10">
            <v>71093.600000000006</v>
          </cell>
          <cell r="N10">
            <v>63047.8</v>
          </cell>
          <cell r="O10">
            <v>91928.153585004882</v>
          </cell>
          <cell r="P10">
            <v>107247.35201260875</v>
          </cell>
          <cell r="Q10">
            <v>116350.52702417567</v>
          </cell>
          <cell r="S10" t="str">
            <v xml:space="preserve">Taiwan </v>
          </cell>
          <cell r="T10">
            <v>584506.22345289716</v>
          </cell>
        </row>
        <row r="11">
          <cell r="A11" t="str">
            <v xml:space="preserve">Tokyo </v>
          </cell>
          <cell r="B11">
            <v>1287694.2</v>
          </cell>
          <cell r="C11">
            <v>822973.5</v>
          </cell>
          <cell r="D11">
            <v>476976.7</v>
          </cell>
          <cell r="E11">
            <v>792976.6</v>
          </cell>
          <cell r="F11">
            <v>859896.39614780282</v>
          </cell>
          <cell r="G11">
            <v>884000.4013220499</v>
          </cell>
          <cell r="H11">
            <v>938822.06124304631</v>
          </cell>
          <cell r="I11">
            <v>896054.94877785642</v>
          </cell>
          <cell r="J11">
            <v>750825.2</v>
          </cell>
          <cell r="K11">
            <v>1675640.599558664</v>
          </cell>
          <cell r="L11">
            <v>2315501.7999999998</v>
          </cell>
          <cell r="M11">
            <v>1659908.7</v>
          </cell>
          <cell r="N11">
            <v>1564243.9</v>
          </cell>
          <cell r="O11">
            <v>2108732.1321978797</v>
          </cell>
          <cell r="P11">
            <v>3218112.8312323838</v>
          </cell>
        </row>
        <row r="12">
          <cell r="A12" t="str">
            <v>Taiwan</v>
          </cell>
          <cell r="B12">
            <v>711737</v>
          </cell>
          <cell r="C12">
            <v>386031.2</v>
          </cell>
          <cell r="D12">
            <v>250330.8</v>
          </cell>
          <cell r="E12">
            <v>352624.4</v>
          </cell>
          <cell r="F12">
            <v>736708.36538134597</v>
          </cell>
          <cell r="G12">
            <v>389272.66102470324</v>
          </cell>
          <cell r="H12">
            <v>478355.7</v>
          </cell>
          <cell r="I12">
            <v>1308633.4525272259</v>
          </cell>
          <cell r="J12">
            <v>895985.4</v>
          </cell>
          <cell r="K12">
            <v>913609.94748655311</v>
          </cell>
          <cell r="L12">
            <v>985863.5</v>
          </cell>
          <cell r="M12">
            <v>541901.69999999995</v>
          </cell>
          <cell r="N12">
            <v>633632.30000000005</v>
          </cell>
          <cell r="O12">
            <v>591717.59028789669</v>
          </cell>
          <cell r="P12">
            <v>718804.40850103425</v>
          </cell>
          <cell r="Q12">
            <v>585378.73497368582</v>
          </cell>
          <cell r="R12">
            <v>493843.22170764976</v>
          </cell>
        </row>
        <row r="13">
          <cell r="A13" t="str">
            <v>NASDAQ</v>
          </cell>
          <cell r="Q13">
            <v>10086739.960000001</v>
          </cell>
        </row>
        <row r="14">
          <cell r="A14" t="str">
            <v>Korea</v>
          </cell>
          <cell r="B14">
            <v>75625.100000000006</v>
          </cell>
          <cell r="C14">
            <v>85091.8</v>
          </cell>
          <cell r="D14">
            <v>116138.2</v>
          </cell>
          <cell r="E14">
            <v>211968.4</v>
          </cell>
          <cell r="F14">
            <v>286829.44875861553</v>
          </cell>
          <cell r="G14">
            <v>185427.51558716429</v>
          </cell>
          <cell r="H14">
            <v>177506.3</v>
          </cell>
          <cell r="I14">
            <v>170825.87158159708</v>
          </cell>
          <cell r="J14">
            <v>145061.4</v>
          </cell>
          <cell r="K14">
            <v>733422.65141439915</v>
          </cell>
          <cell r="L14">
            <v>556246.30000000005</v>
          </cell>
          <cell r="M14">
            <v>379623.3</v>
          </cell>
          <cell r="N14">
            <v>596631.6</v>
          </cell>
          <cell r="O14">
            <v>459035.07549134002</v>
          </cell>
          <cell r="P14">
            <v>625185.69507908612</v>
          </cell>
          <cell r="Q14">
            <v>1210662.4222525849</v>
          </cell>
          <cell r="R14">
            <v>1144716.5607852188</v>
          </cell>
        </row>
        <row r="17">
          <cell r="A17" t="str">
            <v>Mkt Cap (US$mn)</v>
          </cell>
        </row>
        <row r="18">
          <cell r="A18" t="str">
            <v>NYSE</v>
          </cell>
          <cell r="B18">
            <v>2692123</v>
          </cell>
          <cell r="C18">
            <v>3484340.3</v>
          </cell>
          <cell r="D18">
            <v>3798238.1</v>
          </cell>
          <cell r="E18">
            <v>4212956</v>
          </cell>
          <cell r="F18">
            <v>4147936.7</v>
          </cell>
          <cell r="G18">
            <v>5654815.4000000004</v>
          </cell>
          <cell r="H18">
            <v>6841987.5999999996</v>
          </cell>
          <cell r="I18">
            <v>8879630.5999999996</v>
          </cell>
          <cell r="J18">
            <v>10277899.800000001</v>
          </cell>
          <cell r="K18">
            <v>11437597.300000001</v>
          </cell>
          <cell r="L18">
            <v>11534612.9</v>
          </cell>
          <cell r="M18">
            <v>11026586.5</v>
          </cell>
          <cell r="N18">
            <v>9015270.5</v>
          </cell>
          <cell r="O18">
            <v>11328953.1</v>
          </cell>
          <cell r="P18">
            <v>12707578.300000001</v>
          </cell>
        </row>
        <row r="19">
          <cell r="A19" t="str">
            <v>Deutsche Börse</v>
          </cell>
          <cell r="B19">
            <v>355310.8</v>
          </cell>
          <cell r="C19">
            <v>392470.1</v>
          </cell>
          <cell r="D19">
            <v>346891</v>
          </cell>
          <cell r="E19">
            <v>460753.6</v>
          </cell>
          <cell r="F19">
            <v>499278.41935483873</v>
          </cell>
          <cell r="G19">
            <v>577364.79424299591</v>
          </cell>
          <cell r="H19">
            <v>664913.1944444445</v>
          </cell>
          <cell r="I19">
            <v>825232.74567599129</v>
          </cell>
          <cell r="J19">
            <v>1086748.5</v>
          </cell>
          <cell r="K19">
            <v>1432167</v>
          </cell>
          <cell r="L19">
            <v>1270243.2</v>
          </cell>
          <cell r="M19">
            <v>1071748.7311904549</v>
          </cell>
          <cell r="N19">
            <v>686013.54166666674</v>
          </cell>
          <cell r="O19">
            <v>1079026.2361251262</v>
          </cell>
          <cell r="P19">
            <v>1194516.786733723</v>
          </cell>
        </row>
        <row r="20">
          <cell r="A20" t="str">
            <v xml:space="preserve">Euronext </v>
          </cell>
          <cell r="B20" t="str">
            <v>NA</v>
          </cell>
          <cell r="C20" t="str">
            <v>NA</v>
          </cell>
          <cell r="D20" t="str">
            <v>NA</v>
          </cell>
          <cell r="E20" t="str">
            <v>NA</v>
          </cell>
          <cell r="F20">
            <v>761000</v>
          </cell>
          <cell r="G20">
            <v>906500</v>
          </cell>
          <cell r="H20">
            <v>1105700</v>
          </cell>
          <cell r="I20">
            <v>1322700</v>
          </cell>
          <cell r="J20">
            <v>1903268</v>
          </cell>
          <cell r="K20">
            <v>2444300</v>
          </cell>
          <cell r="L20">
            <v>2271727.5</v>
          </cell>
          <cell r="M20">
            <v>1889455.0796901435</v>
          </cell>
          <cell r="N20">
            <v>1538684.375</v>
          </cell>
          <cell r="O20">
            <v>2076410.19172553</v>
          </cell>
          <cell r="P20">
            <v>2441261.3837161884</v>
          </cell>
        </row>
        <row r="21">
          <cell r="A21" t="str">
            <v>London</v>
          </cell>
          <cell r="B21">
            <v>850011.8</v>
          </cell>
          <cell r="C21">
            <v>986107.2</v>
          </cell>
          <cell r="D21">
            <v>928392.6</v>
          </cell>
          <cell r="E21">
            <v>1150557.3</v>
          </cell>
          <cell r="F21">
            <v>1145290.4083867939</v>
          </cell>
          <cell r="G21">
            <v>1346640.739015681</v>
          </cell>
          <cell r="H21">
            <v>1642582.3748308525</v>
          </cell>
          <cell r="I21">
            <v>1996225.0740375125</v>
          </cell>
          <cell r="J21">
            <v>2372738.1</v>
          </cell>
          <cell r="K21">
            <v>2855351.2</v>
          </cell>
          <cell r="L21">
            <v>2612230.2000000002</v>
          </cell>
          <cell r="M21">
            <v>2164716.2000000002</v>
          </cell>
          <cell r="N21">
            <v>1856194.4061548323</v>
          </cell>
          <cell r="O21">
            <v>2460063.9634801289</v>
          </cell>
          <cell r="P21">
            <v>2865243.1752735646</v>
          </cell>
        </row>
        <row r="22">
          <cell r="A22" t="str">
            <v>Australian</v>
          </cell>
          <cell r="B22">
            <v>107936</v>
          </cell>
          <cell r="C22">
            <v>142404.1</v>
          </cell>
          <cell r="D22">
            <v>133555</v>
          </cell>
          <cell r="E22">
            <v>202013.8</v>
          </cell>
          <cell r="F22">
            <v>216825.93856655291</v>
          </cell>
          <cell r="G22">
            <v>243474.67083240347</v>
          </cell>
          <cell r="H22">
            <v>311864.75735879078</v>
          </cell>
          <cell r="I22">
            <v>295765.59999999998</v>
          </cell>
          <cell r="J22">
            <v>328853.7</v>
          </cell>
          <cell r="K22">
            <v>427655.4</v>
          </cell>
          <cell r="L22">
            <v>372794.4</v>
          </cell>
          <cell r="M22">
            <v>375598.15715382644</v>
          </cell>
          <cell r="N22">
            <v>380087.00073442177</v>
          </cell>
          <cell r="O22">
            <v>585430.98251959018</v>
          </cell>
          <cell r="P22">
            <v>776402.75926942064</v>
          </cell>
          <cell r="Q22">
            <v>804014.81807511742</v>
          </cell>
        </row>
        <row r="23">
          <cell r="A23" t="str">
            <v>Bursa Malaysia</v>
          </cell>
          <cell r="B23">
            <v>47868.800000000003</v>
          </cell>
          <cell r="C23">
            <v>56721.599999999999</v>
          </cell>
          <cell r="D23">
            <v>91471.2</v>
          </cell>
          <cell r="E23">
            <v>219758.7</v>
          </cell>
          <cell r="F23">
            <v>190162.5220285882</v>
          </cell>
          <cell r="G23">
            <v>213757.38479716424</v>
          </cell>
          <cell r="H23">
            <v>306164.97943688708</v>
          </cell>
          <cell r="I23">
            <v>93174.1</v>
          </cell>
          <cell r="J23">
            <v>95560.6</v>
          </cell>
          <cell r="K23">
            <v>139907.9</v>
          </cell>
          <cell r="L23">
            <v>113155.3</v>
          </cell>
          <cell r="M23">
            <v>118980.68421052632</v>
          </cell>
          <cell r="N23">
            <v>122892.35263157895</v>
          </cell>
          <cell r="O23">
            <v>160970.34473684212</v>
          </cell>
          <cell r="P23">
            <v>181623.79473684213</v>
          </cell>
          <cell r="Q23">
            <v>180517.54464876308</v>
          </cell>
        </row>
        <row r="24">
          <cell r="A24" t="str">
            <v>Hong Kong</v>
          </cell>
          <cell r="B24">
            <v>83385.899999999994</v>
          </cell>
          <cell r="C24">
            <v>121880.9</v>
          </cell>
          <cell r="D24">
            <v>171983.5</v>
          </cell>
          <cell r="E24">
            <v>385042.7</v>
          </cell>
          <cell r="F24">
            <v>269507.82732325193</v>
          </cell>
          <cell r="G24">
            <v>303705.27792866202</v>
          </cell>
          <cell r="H24">
            <v>449218.77019307815</v>
          </cell>
          <cell r="I24">
            <v>413322.57856359298</v>
          </cell>
          <cell r="J24">
            <v>343566.5</v>
          </cell>
          <cell r="K24">
            <v>609090.4</v>
          </cell>
          <cell r="L24">
            <v>623397.69999999995</v>
          </cell>
          <cell r="M24">
            <v>506072.93886815681</v>
          </cell>
          <cell r="N24">
            <v>463054.91800125659</v>
          </cell>
          <cell r="O24">
            <v>714597.35174403619</v>
          </cell>
          <cell r="P24">
            <v>861462.94080564019</v>
          </cell>
          <cell r="Q24">
            <v>1054999.319017218</v>
          </cell>
        </row>
        <row r="25">
          <cell r="A25" t="str">
            <v xml:space="preserve">Singapore </v>
          </cell>
          <cell r="B25">
            <v>34268.5</v>
          </cell>
          <cell r="C25">
            <v>47593.5</v>
          </cell>
          <cell r="D25">
            <v>48933.7</v>
          </cell>
          <cell r="E25">
            <v>135050.20000000001</v>
          </cell>
          <cell r="F25">
            <v>136302.8328417587</v>
          </cell>
          <cell r="G25">
            <v>150958.64262990456</v>
          </cell>
          <cell r="H25">
            <v>153106.68380462725</v>
          </cell>
          <cell r="I25">
            <v>106317.03264094956</v>
          </cell>
          <cell r="J25">
            <v>96472.7</v>
          </cell>
          <cell r="K25">
            <v>198039.5</v>
          </cell>
          <cell r="L25">
            <v>155125.6</v>
          </cell>
          <cell r="M25">
            <v>117338</v>
          </cell>
          <cell r="N25">
            <v>101553.74204278259</v>
          </cell>
          <cell r="O25">
            <v>148502.63793204969</v>
          </cell>
          <cell r="P25">
            <v>217617.77750551334</v>
          </cell>
          <cell r="Q25">
            <v>245891.61385845425</v>
          </cell>
        </row>
        <row r="26">
          <cell r="A26" t="str">
            <v>Japan (Tokyo)</v>
          </cell>
          <cell r="B26">
            <v>2928533.7</v>
          </cell>
          <cell r="C26">
            <v>3117297.3</v>
          </cell>
          <cell r="D26">
            <v>2318928.6</v>
          </cell>
          <cell r="E26">
            <v>2906298.7</v>
          </cell>
          <cell r="F26">
            <v>3592193.9103816985</v>
          </cell>
          <cell r="G26">
            <v>3545306.5096214432</v>
          </cell>
          <cell r="H26">
            <v>3011161.4051806289</v>
          </cell>
          <cell r="I26">
            <v>2160584.8106133435</v>
          </cell>
          <cell r="J26">
            <v>2439548.7999999998</v>
          </cell>
          <cell r="K26">
            <v>4463297.8</v>
          </cell>
          <cell r="L26">
            <v>3157221.8</v>
          </cell>
          <cell r="M26">
            <v>2264527.9032504195</v>
          </cell>
          <cell r="N26">
            <v>2069299.1273167473</v>
          </cell>
          <cell r="O26">
            <v>2953098.2924325839</v>
          </cell>
          <cell r="P26">
            <v>3557674.4217819851</v>
          </cell>
        </row>
        <row r="27">
          <cell r="A27" t="str">
            <v>Taiwan</v>
          </cell>
          <cell r="B27">
            <v>98927</v>
          </cell>
          <cell r="C27">
            <v>123459.8</v>
          </cell>
          <cell r="D27">
            <v>100166.39999999999</v>
          </cell>
          <cell r="E27">
            <v>193251.5</v>
          </cell>
          <cell r="F27">
            <v>247325.09129640899</v>
          </cell>
          <cell r="G27">
            <v>187205.9955290065</v>
          </cell>
          <cell r="H27">
            <v>273776.40000000002</v>
          </cell>
          <cell r="I27">
            <v>287813.09999999998</v>
          </cell>
          <cell r="J27">
            <v>260498.4</v>
          </cell>
          <cell r="K27">
            <v>376507.9</v>
          </cell>
          <cell r="L27">
            <v>247596.9</v>
          </cell>
          <cell r="M27">
            <v>292872.22063446697</v>
          </cell>
          <cell r="N27">
            <v>261311.1909208447</v>
          </cell>
          <cell r="O27">
            <v>379060.41237113398</v>
          </cell>
          <cell r="P27">
            <v>441435.78415904066</v>
          </cell>
          <cell r="Q27">
            <v>476017.96425417892</v>
          </cell>
          <cell r="R27">
            <v>521911.21641000058</v>
          </cell>
        </row>
        <row r="28">
          <cell r="A28" t="str">
            <v>NASDAQ</v>
          </cell>
        </row>
        <row r="29">
          <cell r="A29" t="str">
            <v>Korea</v>
          </cell>
          <cell r="B29">
            <v>110301.1</v>
          </cell>
          <cell r="C29">
            <v>96466</v>
          </cell>
          <cell r="D29">
            <v>107661.1</v>
          </cell>
          <cell r="E29">
            <v>139583.9</v>
          </cell>
          <cell r="F29">
            <v>191778.10934925891</v>
          </cell>
          <cell r="G29">
            <v>181954.75217531421</v>
          </cell>
          <cell r="H29">
            <v>139121.65945593553</v>
          </cell>
          <cell r="I29">
            <v>41881.355162241889</v>
          </cell>
          <cell r="J29">
            <v>114593.3</v>
          </cell>
          <cell r="K29">
            <v>306127.5</v>
          </cell>
          <cell r="L29">
            <v>148361.20000000001</v>
          </cell>
          <cell r="M29">
            <v>194470.13627712219</v>
          </cell>
          <cell r="N29">
            <v>216116.59300722671</v>
          </cell>
          <cell r="O29">
            <v>298248.11162400333</v>
          </cell>
          <cell r="P29">
            <v>389473.36263523955</v>
          </cell>
          <cell r="Q29">
            <v>718010.70880941779</v>
          </cell>
          <cell r="R29">
            <v>809028.25169635285</v>
          </cell>
        </row>
        <row r="34">
          <cell r="A34" t="str">
            <v>Velocity (%)</v>
          </cell>
        </row>
        <row r="35">
          <cell r="A35" t="str">
            <v>NYSE</v>
          </cell>
          <cell r="B35">
            <v>49.230009178629651</v>
          </cell>
          <cell r="C35">
            <v>43.628459596785078</v>
          </cell>
          <cell r="D35">
            <v>45.954633544432085</v>
          </cell>
          <cell r="E35">
            <v>54.199227335865842</v>
          </cell>
          <cell r="F35">
            <v>59.167768881333217</v>
          </cell>
          <cell r="G35">
            <v>54.518421591622598</v>
          </cell>
          <cell r="H35">
            <v>59.392896298145878</v>
          </cell>
          <cell r="I35">
            <v>65.065786633061066</v>
          </cell>
          <cell r="J35">
            <v>71.2008157542069</v>
          </cell>
          <cell r="K35">
            <v>78.208779041381348</v>
          </cell>
          <cell r="L35">
            <v>95.885714552241268</v>
          </cell>
          <cell r="M35">
            <v>95.124911050214848</v>
          </cell>
          <cell r="N35">
            <v>114.36212812471905</v>
          </cell>
          <cell r="O35">
            <v>85.544844386371423</v>
          </cell>
          <cell r="P35">
            <v>91.426945604576744</v>
          </cell>
          <cell r="Q35" t="e">
            <v>#DIV/0!</v>
          </cell>
        </row>
        <row r="36">
          <cell r="A36" t="str">
            <v>Deutsche Börse</v>
          </cell>
          <cell r="B36">
            <v>143.17231561776339</v>
          </cell>
          <cell r="C36">
            <v>103.10308989143377</v>
          </cell>
          <cell r="D36">
            <v>130.93608655168339</v>
          </cell>
          <cell r="E36">
            <v>122.39980327880238</v>
          </cell>
          <cell r="F36">
            <v>118.59193022527272</v>
          </cell>
          <cell r="G36">
            <v>102.87017883918537</v>
          </cell>
          <cell r="H36">
            <v>122.06495626517662</v>
          </cell>
          <cell r="I36">
            <v>129.38026556284026</v>
          </cell>
          <cell r="J36">
            <v>137.27147541496493</v>
          </cell>
          <cell r="K36">
            <v>108.33006206678411</v>
          </cell>
          <cell r="L36">
            <v>166.88022419643735</v>
          </cell>
          <cell r="M36">
            <v>132.80825613098489</v>
          </cell>
          <cell r="N36">
            <v>176.71686145651279</v>
          </cell>
          <cell r="O36">
            <v>120.41666846164073</v>
          </cell>
          <cell r="P36">
            <v>129.01640927851639</v>
          </cell>
          <cell r="Q36" t="e">
            <v>#DIV/0!</v>
          </cell>
        </row>
        <row r="37">
          <cell r="A37" t="str">
            <v xml:space="preserve">Euronext </v>
          </cell>
          <cell r="B37" t="str">
            <v>NA</v>
          </cell>
          <cell r="C37" t="str">
            <v>NA</v>
          </cell>
          <cell r="D37" t="str">
            <v>NA</v>
          </cell>
          <cell r="E37" t="str">
            <v>NA</v>
          </cell>
          <cell r="F37" t="str">
            <v>NA</v>
          </cell>
          <cell r="G37" t="str">
            <v>NA</v>
          </cell>
          <cell r="H37" t="str">
            <v>NA</v>
          </cell>
          <cell r="I37" t="str">
            <v>NA</v>
          </cell>
          <cell r="J37" t="str">
            <v>NA</v>
          </cell>
          <cell r="K37" t="str">
            <v>NA</v>
          </cell>
          <cell r="L37" t="str">
            <v>NA</v>
          </cell>
          <cell r="M37">
            <v>110.7483539827346</v>
          </cell>
          <cell r="N37">
            <v>128.30010703137219</v>
          </cell>
          <cell r="O37">
            <v>93.265434016504187</v>
          </cell>
          <cell r="P37">
            <v>101.2645250866797</v>
          </cell>
          <cell r="Q37" t="e">
            <v>#DIV/0!</v>
          </cell>
        </row>
        <row r="38">
          <cell r="A38" t="str">
            <v>London</v>
          </cell>
          <cell r="B38">
            <v>63.92764194567652</v>
          </cell>
          <cell r="C38">
            <v>56.172594622572483</v>
          </cell>
          <cell r="D38">
            <v>71.412773001422039</v>
          </cell>
          <cell r="E38">
            <v>75.259763246906516</v>
          </cell>
          <cell r="F38">
            <v>89.870508729357752</v>
          </cell>
          <cell r="G38">
            <v>85.636894631996569</v>
          </cell>
          <cell r="H38">
            <v>86.037470732360092</v>
          </cell>
          <cell r="I38">
            <v>99.662574148290545</v>
          </cell>
          <cell r="J38">
            <v>121.71548558182634</v>
          </cell>
          <cell r="K38">
            <v>119.05299276943151</v>
          </cell>
          <cell r="L38">
            <v>174.51229604496572</v>
          </cell>
          <cell r="M38">
            <v>208.81181560890059</v>
          </cell>
          <cell r="N38">
            <v>215.56685478267909</v>
          </cell>
          <cell r="O38">
            <v>146.73269795953982</v>
          </cell>
          <cell r="P38">
            <v>180.40435824671377</v>
          </cell>
          <cell r="Q38" t="e">
            <v>#DIV/0!</v>
          </cell>
        </row>
        <row r="39">
          <cell r="A39" t="str">
            <v>Australia</v>
          </cell>
          <cell r="B39">
            <v>37.231414912540764</v>
          </cell>
          <cell r="C39">
            <v>32.791612039260102</v>
          </cell>
          <cell r="D39">
            <v>34.126090374751975</v>
          </cell>
          <cell r="E39">
            <v>33.558004453161125</v>
          </cell>
          <cell r="F39">
            <v>43.771864870956669</v>
          </cell>
          <cell r="G39">
            <v>40.378034920006201</v>
          </cell>
          <cell r="H39">
            <v>46.890678266592516</v>
          </cell>
          <cell r="I39">
            <v>57.139606499200724</v>
          </cell>
          <cell r="J39">
            <v>48.9582145495094</v>
          </cell>
          <cell r="K39">
            <v>46.344587639427751</v>
          </cell>
          <cell r="L39">
            <v>60.753299942273806</v>
          </cell>
          <cell r="M39">
            <v>65.08618195905585</v>
          </cell>
          <cell r="N39">
            <v>77.718890524857613</v>
          </cell>
          <cell r="O39">
            <v>63.537868518918373</v>
          </cell>
          <cell r="P39">
            <v>67.641331177999717</v>
          </cell>
          <cell r="Q39">
            <v>83.644925466858766</v>
          </cell>
        </row>
        <row r="40">
          <cell r="A40" t="str">
            <v>Malaysia</v>
          </cell>
          <cell r="B40">
            <v>22.348377231098333</v>
          </cell>
          <cell r="C40">
            <v>18.88874784914389</v>
          </cell>
          <cell r="D40">
            <v>21.57148916817534</v>
          </cell>
          <cell r="E40">
            <v>67.599416996915252</v>
          </cell>
          <cell r="F40">
            <v>63.555599827775907</v>
          </cell>
          <cell r="G40">
            <v>28.439915431160372</v>
          </cell>
          <cell r="H40">
            <v>58.142312790772763</v>
          </cell>
          <cell r="I40">
            <v>156.36079684290743</v>
          </cell>
          <cell r="J40">
            <v>28.086366138345721</v>
          </cell>
          <cell r="K40">
            <v>30.328021054151382</v>
          </cell>
          <cell r="L40">
            <v>46.722248096200531</v>
          </cell>
          <cell r="M40">
            <v>20.070400635574195</v>
          </cell>
          <cell r="N40">
            <v>26.790275631471559</v>
          </cell>
          <cell r="O40">
            <v>32.449077617778272</v>
          </cell>
          <cell r="P40">
            <v>33.936310976642545</v>
          </cell>
          <cell r="Q40">
            <v>28.577662639814211</v>
          </cell>
          <cell r="R40">
            <v>31.415323767181953</v>
          </cell>
        </row>
        <row r="41">
          <cell r="A41" t="str">
            <v>Hong Kong</v>
          </cell>
          <cell r="B41">
            <v>41.585088126409865</v>
          </cell>
          <cell r="C41">
            <v>31.667554145071129</v>
          </cell>
          <cell r="D41">
            <v>45.727933202894469</v>
          </cell>
          <cell r="E41">
            <v>34.356319441973575</v>
          </cell>
          <cell r="F41">
            <v>46.773061736163996</v>
          </cell>
          <cell r="G41">
            <v>31.55428512576206</v>
          </cell>
          <cell r="H41">
            <v>37.048438543310994</v>
          </cell>
          <cell r="I41">
            <v>109.75860761181254</v>
          </cell>
          <cell r="J41">
            <v>60.003696518723451</v>
          </cell>
          <cell r="K41">
            <v>37.766514697235159</v>
          </cell>
          <cell r="L41">
            <v>60.421156510522898</v>
          </cell>
          <cell r="M41">
            <v>47.624083702050925</v>
          </cell>
          <cell r="N41">
            <v>41.896456005132755</v>
          </cell>
          <cell r="O41">
            <v>41.443740238412616</v>
          </cell>
          <cell r="P41">
            <v>51.013659768177099</v>
          </cell>
          <cell r="Q41">
            <v>44.008097201933737</v>
          </cell>
          <cell r="R41">
            <v>77.998772884255672</v>
          </cell>
        </row>
        <row r="42">
          <cell r="A42" t="str">
            <v xml:space="preserve">Singapore </v>
          </cell>
          <cell r="H42">
            <v>29.936617676658173</v>
          </cell>
          <cell r="I42">
            <v>32.215049773331643</v>
          </cell>
          <cell r="J42">
            <v>32.87798826810215</v>
          </cell>
          <cell r="K42">
            <v>54.137690052429491</v>
          </cell>
          <cell r="L42">
            <v>41.278187330860305</v>
          </cell>
          <cell r="M42">
            <v>38.069573326493014</v>
          </cell>
          <cell r="N42">
            <v>35.891011330717063</v>
          </cell>
          <cell r="O42">
            <v>47.847802050663965</v>
          </cell>
          <cell r="P42">
            <v>43.60742119621289</v>
          </cell>
          <cell r="Q42">
            <v>41.391876137742585</v>
          </cell>
          <cell r="R42">
            <v>60.942857367523551</v>
          </cell>
        </row>
        <row r="43">
          <cell r="A43" t="str">
            <v>Japan (Tokyo)</v>
          </cell>
          <cell r="B43">
            <v>43.970612323839738</v>
          </cell>
          <cell r="C43">
            <v>26.400224964105927</v>
          </cell>
          <cell r="D43">
            <v>20.568839420066663</v>
          </cell>
          <cell r="E43">
            <v>27.284759133670601</v>
          </cell>
          <cell r="F43">
            <v>23.937916983341029</v>
          </cell>
          <cell r="G43">
            <v>24.934385755448847</v>
          </cell>
          <cell r="H43">
            <v>31.178071677852476</v>
          </cell>
          <cell r="I43">
            <v>41.472796826868638</v>
          </cell>
          <cell r="J43">
            <v>30.777215852374013</v>
          </cell>
          <cell r="K43">
            <v>37.542657349878475</v>
          </cell>
          <cell r="L43">
            <v>73.339852144692529</v>
          </cell>
          <cell r="M43">
            <v>73.300430417193283</v>
          </cell>
          <cell r="N43">
            <v>75.59293286071933</v>
          </cell>
          <cell r="O43">
            <v>71.407448157129693</v>
          </cell>
          <cell r="P43">
            <v>90.45551811962828</v>
          </cell>
          <cell r="Q43" t="e">
            <v>#DIV/0!</v>
          </cell>
        </row>
        <row r="44">
          <cell r="A44" t="str">
            <v>Taiwan</v>
          </cell>
          <cell r="B44">
            <v>719.45677115448768</v>
          </cell>
          <cell r="C44">
            <v>312.67764891891937</v>
          </cell>
          <cell r="D44">
            <v>249.91494153728198</v>
          </cell>
          <cell r="E44">
            <v>182.46916582794961</v>
          </cell>
          <cell r="F44">
            <v>297.87045120239384</v>
          </cell>
          <cell r="G44">
            <v>207.93813783831919</v>
          </cell>
          <cell r="H44">
            <v>174.72495803144463</v>
          </cell>
          <cell r="I44">
            <v>454.68168492929129</v>
          </cell>
          <cell r="J44">
            <v>343.95044268985913</v>
          </cell>
          <cell r="K44">
            <v>242.65359305516645</v>
          </cell>
          <cell r="L44">
            <v>398.17279618605886</v>
          </cell>
          <cell r="M44">
            <v>185.03007858718905</v>
          </cell>
          <cell r="N44">
            <v>242.48188444096806</v>
          </cell>
          <cell r="O44">
            <v>156.10113084258253</v>
          </cell>
          <cell r="P44">
            <v>162.83328952825971</v>
          </cell>
          <cell r="Q44">
            <v>122.9740847891849</v>
          </cell>
          <cell r="R44">
            <v>94.622074824254923</v>
          </cell>
        </row>
        <row r="45">
          <cell r="A45" t="str">
            <v>NASDAQ</v>
          </cell>
        </row>
        <row r="46">
          <cell r="A46" t="str">
            <v>Korea</v>
          </cell>
          <cell r="B46">
            <v>68.562416875262358</v>
          </cell>
          <cell r="C46">
            <v>88.209109945473017</v>
          </cell>
          <cell r="D46">
            <v>107.87387459351612</v>
          </cell>
          <cell r="E46">
            <v>151.85734171347843</v>
          </cell>
          <cell r="F46">
            <v>149.56318514760866</v>
          </cell>
          <cell r="G46">
            <v>101.90858626682311</v>
          </cell>
          <cell r="H46">
            <v>127.59070060993784</v>
          </cell>
          <cell r="I46">
            <v>407.88047788769984</v>
          </cell>
          <cell r="J46">
            <v>126.58802914306509</v>
          </cell>
          <cell r="K46">
            <v>239.58077971250512</v>
          </cell>
          <cell r="L46">
            <v>374.92706988080442</v>
          </cell>
          <cell r="M46">
            <v>195.20904714080746</v>
          </cell>
          <cell r="N46">
            <v>276.06931596411448</v>
          </cell>
          <cell r="O46">
            <v>153.91047171827134</v>
          </cell>
          <cell r="P46">
            <v>160.52078397582287</v>
          </cell>
          <cell r="Q46">
            <v>168.61342141540848</v>
          </cell>
          <cell r="R46">
            <v>141.49277956424908</v>
          </cell>
          <cell r="T46" t="str">
            <v>Hong Kong</v>
          </cell>
          <cell r="U46" t="str">
            <v>Singapore</v>
          </cell>
          <cell r="V46" t="str">
            <v>Malaysia</v>
          </cell>
        </row>
        <row r="47">
          <cell r="S47">
            <v>1990</v>
          </cell>
          <cell r="T47">
            <v>0.42704003289663239</v>
          </cell>
          <cell r="V47">
            <v>0.24558617500857691</v>
          </cell>
        </row>
        <row r="48">
          <cell r="S48">
            <v>1991</v>
          </cell>
          <cell r="T48">
            <v>0.39684106855722262</v>
          </cell>
          <cell r="V48">
            <v>0.18831389358023118</v>
          </cell>
        </row>
        <row r="49">
          <cell r="S49">
            <v>1992</v>
          </cell>
          <cell r="T49">
            <v>0.54482441985771113</v>
          </cell>
          <cell r="V49">
            <v>0.24141158627763795</v>
          </cell>
        </row>
        <row r="50">
          <cell r="S50">
            <v>1993</v>
          </cell>
          <cell r="T50">
            <v>0.61581205046961229</v>
          </cell>
          <cell r="V50">
            <v>0.97784527421720213</v>
          </cell>
        </row>
        <row r="51">
          <cell r="S51">
            <v>1994</v>
          </cell>
          <cell r="T51">
            <v>0.46209455648380993</v>
          </cell>
          <cell r="V51">
            <v>0.60663430970995624</v>
          </cell>
        </row>
        <row r="52">
          <cell r="S52">
            <v>1995</v>
          </cell>
          <cell r="T52">
            <v>0.38423499540230616</v>
          </cell>
          <cell r="V52">
            <v>0.33230267208059866</v>
          </cell>
        </row>
        <row r="53">
          <cell r="A53" t="str">
            <v>(%)</v>
          </cell>
          <cell r="B53">
            <v>2004</v>
          </cell>
          <cell r="C53">
            <v>2005</v>
          </cell>
          <cell r="D53" t="str">
            <v>2006 Apr</v>
          </cell>
          <cell r="E53" t="str">
            <v>05 Chg</v>
          </cell>
          <cell r="F53" t="str">
            <v>06E Chg</v>
          </cell>
          <cell r="S53">
            <v>1996</v>
          </cell>
          <cell r="T53">
            <v>0.48507790274796864</v>
          </cell>
          <cell r="U53">
            <v>0.29936617676658173</v>
          </cell>
          <cell r="V53">
            <v>0.65397785498787786</v>
          </cell>
        </row>
        <row r="54">
          <cell r="A54" t="str">
            <v>Hong Kong</v>
          </cell>
          <cell r="B54">
            <v>0.6</v>
          </cell>
          <cell r="C54">
            <v>0.64206885361549015</v>
          </cell>
          <cell r="D54">
            <v>0.79522060522992166</v>
          </cell>
          <cell r="E54">
            <v>4.2068853615490176E-2</v>
          </cell>
          <cell r="F54">
            <v>0.15315175161443151</v>
          </cell>
          <cell r="S54">
            <v>1997</v>
          </cell>
          <cell r="T54">
            <v>0.91</v>
          </cell>
          <cell r="U54">
            <v>0.32215049773331644</v>
          </cell>
          <cell r="V54">
            <v>0.60188086048090161</v>
          </cell>
        </row>
        <row r="55">
          <cell r="A55" t="str">
            <v>NYSE</v>
          </cell>
          <cell r="B55">
            <v>0.9</v>
          </cell>
          <cell r="C55">
            <v>0.94171381817396804</v>
          </cell>
          <cell r="D55">
            <v>1.0499248066526496</v>
          </cell>
          <cell r="E55">
            <v>4.171381817396802E-2</v>
          </cell>
          <cell r="F55">
            <v>0.1082109884786816</v>
          </cell>
          <cell r="S55">
            <v>1998</v>
          </cell>
          <cell r="T55">
            <v>0.62</v>
          </cell>
          <cell r="U55">
            <v>0.32877988268102148</v>
          </cell>
          <cell r="V55">
            <v>0.32636940802939041</v>
          </cell>
        </row>
        <row r="56">
          <cell r="A56" t="str">
            <v>Australia</v>
          </cell>
          <cell r="B56">
            <v>0.8</v>
          </cell>
          <cell r="C56">
            <v>0.83182743670451609</v>
          </cell>
          <cell r="D56">
            <v>0.85009077400187094</v>
          </cell>
          <cell r="E56">
            <v>3.1827436704516043E-2</v>
          </cell>
          <cell r="F56">
            <v>1.8263337297354854E-2</v>
          </cell>
          <cell r="S56">
            <v>1999</v>
          </cell>
          <cell r="T56">
            <v>0.51</v>
          </cell>
          <cell r="U56">
            <v>0.54137690052429488</v>
          </cell>
          <cell r="V56">
            <v>0.38519116645762491</v>
          </cell>
        </row>
        <row r="57">
          <cell r="A57" t="str">
            <v>London</v>
          </cell>
          <cell r="B57">
            <v>1.1399999999999999</v>
          </cell>
          <cell r="C57">
            <v>1.1198550333596191</v>
          </cell>
          <cell r="D57">
            <v>1.1355851439461151</v>
          </cell>
          <cell r="E57">
            <v>-2.014496664038079E-2</v>
          </cell>
          <cell r="F57">
            <v>1.5730110586495982E-2</v>
          </cell>
          <cell r="S57">
            <v>2000</v>
          </cell>
          <cell r="T57">
            <v>0.61</v>
          </cell>
          <cell r="U57">
            <v>0.41278187330860305</v>
          </cell>
          <cell r="V57">
            <v>0.35554812223509441</v>
          </cell>
        </row>
        <row r="58">
          <cell r="A58" t="str">
            <v>Malaysia</v>
          </cell>
          <cell r="B58">
            <v>0.33800000000000002</v>
          </cell>
          <cell r="C58">
            <v>0.30931558042773694</v>
          </cell>
          <cell r="D58">
            <v>0.28243663198215352</v>
          </cell>
          <cell r="E58">
            <v>-2.8684419572263087E-2</v>
          </cell>
          <cell r="F58">
            <v>-2.6878948445583417E-2</v>
          </cell>
          <cell r="S58">
            <v>2001</v>
          </cell>
          <cell r="T58">
            <v>0.44</v>
          </cell>
          <cell r="U58">
            <v>0.38069573326493017</v>
          </cell>
          <cell r="V58">
            <v>0.19537284603478863</v>
          </cell>
        </row>
        <row r="59">
          <cell r="A59" t="str">
            <v>Singapore</v>
          </cell>
          <cell r="B59">
            <v>0.44646712460301913</v>
          </cell>
          <cell r="C59">
            <v>0.38968001691772158</v>
          </cell>
          <cell r="D59">
            <v>0.65412861258385835</v>
          </cell>
          <cell r="E59">
            <v>-5.6787107685297544E-2</v>
          </cell>
          <cell r="F59">
            <v>0.26444859566613677</v>
          </cell>
          <cell r="S59">
            <v>2002</v>
          </cell>
          <cell r="T59">
            <v>0.4</v>
          </cell>
          <cell r="U59">
            <v>0.35891011330717065</v>
          </cell>
          <cell r="V59">
            <v>0.22982052605040448</v>
          </cell>
        </row>
        <row r="60">
          <cell r="A60" t="str">
            <v>Korea</v>
          </cell>
          <cell r="B60">
            <v>1.71</v>
          </cell>
          <cell r="C60">
            <v>1.6450213453053217</v>
          </cell>
          <cell r="D60">
            <v>2.2398547959684141</v>
          </cell>
          <cell r="E60">
            <v>-6.4978654694678228E-2</v>
          </cell>
          <cell r="F60">
            <v>0.59483345066309234</v>
          </cell>
          <cell r="S60">
            <v>2003</v>
          </cell>
          <cell r="T60">
            <v>0.52</v>
          </cell>
          <cell r="U60">
            <v>0.47847802050663968</v>
          </cell>
          <cell r="V60">
            <v>0.32053151339648839</v>
          </cell>
        </row>
        <row r="61">
          <cell r="A61" t="str">
            <v>NASDAQ</v>
          </cell>
          <cell r="B61">
            <v>2.78</v>
          </cell>
          <cell r="C61">
            <v>2.5509384315043619</v>
          </cell>
          <cell r="D61">
            <v>2.5488029712398577</v>
          </cell>
          <cell r="E61">
            <v>-0.22906156849563786</v>
          </cell>
          <cell r="F61">
            <v>-2.1354602645042853E-3</v>
          </cell>
          <cell r="S61">
            <v>2004</v>
          </cell>
          <cell r="T61">
            <v>0.6</v>
          </cell>
          <cell r="U61">
            <v>0.43607421196212887</v>
          </cell>
          <cell r="V61">
            <v>0.31517457754510281</v>
          </cell>
        </row>
        <row r="62">
          <cell r="A62" t="str">
            <v>Taiwan</v>
          </cell>
          <cell r="B62">
            <v>1.96</v>
          </cell>
          <cell r="C62">
            <v>1.3529436051622463</v>
          </cell>
          <cell r="D62">
            <v>1.4427863218361203</v>
          </cell>
          <cell r="E62">
            <v>-0.60705639483775364</v>
          </cell>
          <cell r="F62">
            <v>8.9842716673874001E-2</v>
          </cell>
          <cell r="S62">
            <v>2005</v>
          </cell>
          <cell r="T62">
            <v>0.63136446868286134</v>
          </cell>
          <cell r="U62">
            <v>0.41391876137742584</v>
          </cell>
          <cell r="V62">
            <v>0.25224455642185734</v>
          </cell>
        </row>
        <row r="63">
          <cell r="S63" t="str">
            <v>2006 YTD</v>
          </cell>
          <cell r="T63">
            <v>0.77998772884255674</v>
          </cell>
          <cell r="U63">
            <v>0.60942857367523551</v>
          </cell>
          <cell r="V63">
            <v>0.31415323767181952</v>
          </cell>
        </row>
        <row r="69">
          <cell r="D69" t="str">
            <v>Current Velocity</v>
          </cell>
          <cell r="E69" t="str">
            <v>10 year average</v>
          </cell>
          <cell r="F69" t="str">
            <v>Diff</v>
          </cell>
        </row>
        <row r="70">
          <cell r="C70" t="str">
            <v>Hong Kong</v>
          </cell>
          <cell r="D70">
            <v>0.79522060522992166</v>
          </cell>
          <cell r="E70">
            <v>0.61850596867938834</v>
          </cell>
          <cell r="F70">
            <v>0.17671463655053332</v>
          </cell>
        </row>
        <row r="71">
          <cell r="C71" t="str">
            <v>Singapore</v>
          </cell>
          <cell r="D71">
            <v>0.65412861258385835</v>
          </cell>
          <cell r="E71">
            <v>0.40569485988720178</v>
          </cell>
          <cell r="F71">
            <v>0.24843375269665657</v>
          </cell>
        </row>
        <row r="72">
          <cell r="C72" t="str">
            <v>Malaysia</v>
          </cell>
          <cell r="D72">
            <v>0.49424290706016999</v>
          </cell>
          <cell r="E72">
            <v>0.35001701104192512</v>
          </cell>
          <cell r="F72">
            <v>0.14422589601824487</v>
          </cell>
        </row>
        <row r="82">
          <cell r="A82" t="str">
            <v>(%)</v>
          </cell>
          <cell r="B82" t="str">
            <v>96-05 average</v>
          </cell>
          <cell r="C82" t="str">
            <v>May 06</v>
          </cell>
          <cell r="D82" t="str">
            <v>Var</v>
          </cell>
        </row>
        <row r="83">
          <cell r="A83" t="str">
            <v>Singapore</v>
          </cell>
          <cell r="B83">
            <v>0.39725321714321138</v>
          </cell>
          <cell r="C83">
            <v>0.80079851561010662</v>
          </cell>
          <cell r="D83">
            <v>0.40354529846689524</v>
          </cell>
        </row>
        <row r="84">
          <cell r="A84" t="str">
            <v>Hong Kong</v>
          </cell>
          <cell r="B84">
            <v>0.60993688062778117</v>
          </cell>
          <cell r="C84">
            <v>0.79904152045033738</v>
          </cell>
          <cell r="D84">
            <v>0.18910463982255621</v>
          </cell>
        </row>
        <row r="85">
          <cell r="A85" t="str">
            <v>Malaysia</v>
          </cell>
          <cell r="B85">
            <v>0.36361114316395299</v>
          </cell>
          <cell r="C85">
            <v>0.49424290706016999</v>
          </cell>
          <cell r="D85">
            <v>0.130631763896217</v>
          </cell>
        </row>
        <row r="86">
          <cell r="A86" t="str">
            <v>Korea</v>
          </cell>
          <cell r="B86">
            <v>2.2308900974484369</v>
          </cell>
          <cell r="C86">
            <v>1.4149277956424908</v>
          </cell>
          <cell r="D86">
            <v>-0.81596230180594609</v>
          </cell>
        </row>
        <row r="87">
          <cell r="A87" t="str">
            <v>Taiwan</v>
          </cell>
          <cell r="B87">
            <v>2.4836039430800048</v>
          </cell>
          <cell r="C87">
            <v>0.9462207482425492</v>
          </cell>
          <cell r="D87">
            <v>-1.5373831948374557</v>
          </cell>
        </row>
        <row r="91">
          <cell r="A91" t="str">
            <v>New Assumption:</v>
          </cell>
        </row>
        <row r="92">
          <cell r="A92" t="str">
            <v>(Local ccy mn)</v>
          </cell>
          <cell r="B92" t="str">
            <v>HKEx</v>
          </cell>
          <cell r="C92" t="str">
            <v>SGX</v>
          </cell>
        </row>
        <row r="93">
          <cell r="A93" t="str">
            <v>Current Velocity</v>
          </cell>
          <cell r="B93">
            <v>0.79904152045033738</v>
          </cell>
          <cell r="C93">
            <v>0.80079851561010662</v>
          </cell>
        </row>
        <row r="94">
          <cell r="A94" t="str">
            <v>Current Daily Turnover Assumption 06E</v>
          </cell>
          <cell r="B94">
            <v>38000</v>
          </cell>
          <cell r="C94">
            <v>1200</v>
          </cell>
        </row>
        <row r="96">
          <cell r="A96" t="str">
            <v>Velocity in past 10 years</v>
          </cell>
          <cell r="B96">
            <v>0.62089686104734709</v>
          </cell>
          <cell r="C96">
            <v>0.40880591661557303</v>
          </cell>
        </row>
        <row r="97">
          <cell r="A97" t="str">
            <v xml:space="preserve">Current Mkt Cap </v>
          </cell>
          <cell r="B97">
            <v>9758372</v>
          </cell>
          <cell r="C97">
            <v>454802.88099999999</v>
          </cell>
        </row>
        <row r="98">
          <cell r="A98" t="str">
            <v>Implied Annual Turnover</v>
          </cell>
          <cell r="B98">
            <v>6058942.5437323228</v>
          </cell>
          <cell r="C98">
            <v>185926.10864660839</v>
          </cell>
        </row>
        <row r="99">
          <cell r="A99" t="str">
            <v>Implied Daily Turnover</v>
          </cell>
          <cell r="B99">
            <v>24235.77017492929</v>
          </cell>
          <cell r="C99">
            <v>743.70443458643354</v>
          </cell>
        </row>
        <row r="100">
          <cell r="A100" t="str">
            <v>Implied Daily Turnover vs. Assumption</v>
          </cell>
          <cell r="B100">
            <v>-0.36221657434396604</v>
          </cell>
          <cell r="C100">
            <v>-0.38024630451130537</v>
          </cell>
        </row>
        <row r="102">
          <cell r="A102" t="str">
            <v>New Daily Turnover Assumption</v>
          </cell>
          <cell r="B102">
            <v>24000</v>
          </cell>
          <cell r="C102">
            <v>750</v>
          </cell>
        </row>
        <row r="103">
          <cell r="A103" t="str">
            <v>New Target Price (local ccy)</v>
          </cell>
          <cell r="B103">
            <v>41.71</v>
          </cell>
          <cell r="C103">
            <v>4.22</v>
          </cell>
        </row>
        <row r="106">
          <cell r="A106" t="str">
            <v>New Assumption:</v>
          </cell>
        </row>
        <row r="107">
          <cell r="B107" t="str">
            <v>2007E</v>
          </cell>
          <cell r="C107" t="str">
            <v>2007E</v>
          </cell>
        </row>
        <row r="108">
          <cell r="B108" t="str">
            <v>Base</v>
          </cell>
          <cell r="C108" t="str">
            <v>Bear</v>
          </cell>
        </row>
        <row r="109">
          <cell r="A109" t="str">
            <v>Velocity Assumption</v>
          </cell>
          <cell r="B109">
            <v>0.8</v>
          </cell>
          <cell r="C109">
            <v>0.6</v>
          </cell>
        </row>
        <row r="110">
          <cell r="A110" t="str">
            <v>Current Mkt Cap (HK$mn)</v>
          </cell>
          <cell r="B110">
            <v>9433000</v>
          </cell>
          <cell r="C110">
            <v>9433000</v>
          </cell>
        </row>
        <row r="111">
          <cell r="A111" t="str">
            <v>Implied Annual Turnover (HK$mn)</v>
          </cell>
          <cell r="B111">
            <v>7546400</v>
          </cell>
          <cell r="C111">
            <v>5659800</v>
          </cell>
        </row>
        <row r="112">
          <cell r="A112" t="str">
            <v>Implied Daily Turnover (HK$mn)</v>
          </cell>
          <cell r="B112">
            <v>30185.599999999999</v>
          </cell>
          <cell r="C112">
            <v>22639.200000000001</v>
          </cell>
        </row>
        <row r="113">
          <cell r="A113" t="str">
            <v>EPS 07E (HK$)</v>
          </cell>
          <cell r="B113">
            <v>1.8203772447170319</v>
          </cell>
          <cell r="C113">
            <v>1.6159265506676925</v>
          </cell>
        </row>
        <row r="114">
          <cell r="A114" t="str">
            <v>P/E 07E</v>
          </cell>
          <cell r="B114">
            <v>25.81882416757297</v>
          </cell>
          <cell r="C114">
            <v>29.085480389303488</v>
          </cell>
        </row>
        <row r="116">
          <cell r="A116" t="str">
            <v>Current Price (HK$)</v>
          </cell>
          <cell r="B116">
            <v>47</v>
          </cell>
        </row>
      </sheetData>
      <sheetData sheetId="64"/>
      <sheetData sheetId="65"/>
      <sheetData sheetId="66" refreshError="1">
        <row r="1">
          <cell r="B1" t="str">
            <v>2004 Deri. Income</v>
          </cell>
          <cell r="C1" t="str">
            <v>2006 Deri. Income</v>
          </cell>
          <cell r="J1" t="str">
            <v>2004 Deri</v>
          </cell>
          <cell r="K1" t="str">
            <v xml:space="preserve">2004 Total </v>
          </cell>
          <cell r="L1" t="str">
            <v>2006E Deri</v>
          </cell>
          <cell r="M1" t="str">
            <v xml:space="preserve">2006E Total </v>
          </cell>
          <cell r="O1">
            <v>2000</v>
          </cell>
          <cell r="P1">
            <v>2004</v>
          </cell>
          <cell r="Q1" t="str">
            <v xml:space="preserve">4 Year </v>
          </cell>
          <cell r="R1">
            <v>2002</v>
          </cell>
        </row>
        <row r="2">
          <cell r="B2" t="str">
            <v xml:space="preserve">as % of </v>
          </cell>
          <cell r="C2" t="str">
            <v xml:space="preserve">as % of </v>
          </cell>
          <cell r="J2" t="str">
            <v>Income</v>
          </cell>
          <cell r="K2" t="str">
            <v>Revenue</v>
          </cell>
          <cell r="L2" t="str">
            <v>Income</v>
          </cell>
          <cell r="M2" t="str">
            <v>Revenue</v>
          </cell>
          <cell r="O2" t="str">
            <v>Futures and Options</v>
          </cell>
          <cell r="P2" t="str">
            <v>Futures and Options</v>
          </cell>
          <cell r="Q2" t="str">
            <v>Futures and Options</v>
          </cell>
        </row>
        <row r="3">
          <cell r="B3" t="str">
            <v>Total Income</v>
          </cell>
          <cell r="C3" t="str">
            <v>Total Income</v>
          </cell>
          <cell r="D3" t="str">
            <v>Rank</v>
          </cell>
          <cell r="J3" t="str">
            <v>mn local ccy</v>
          </cell>
          <cell r="K3" t="str">
            <v>mn local ccy</v>
          </cell>
          <cell r="L3" t="str">
            <v>mn local ccy</v>
          </cell>
          <cell r="M3" t="str">
            <v>mn local ccy</v>
          </cell>
          <cell r="O3" t="str">
            <v>Volume</v>
          </cell>
          <cell r="P3" t="str">
            <v>Volume</v>
          </cell>
          <cell r="Q3" t="str">
            <v>CAGR</v>
          </cell>
        </row>
        <row r="4">
          <cell r="A4" t="str">
            <v>SGX</v>
          </cell>
          <cell r="B4">
            <v>0.15837095489206721</v>
          </cell>
          <cell r="C4">
            <v>0.23450780253214248</v>
          </cell>
          <cell r="D4">
            <v>1</v>
          </cell>
          <cell r="J4">
            <v>50.094000000000001</v>
          </cell>
          <cell r="K4">
            <v>316.30800000000005</v>
          </cell>
          <cell r="L4">
            <v>95.575999999999993</v>
          </cell>
          <cell r="M4">
            <v>407.56</v>
          </cell>
          <cell r="O4">
            <v>27.571964000000001</v>
          </cell>
          <cell r="P4">
            <v>28.418783999999999</v>
          </cell>
          <cell r="Q4">
            <v>7.5913884948037857E-3</v>
          </cell>
          <cell r="R4">
            <v>12</v>
          </cell>
        </row>
        <row r="5">
          <cell r="A5" t="str">
            <v>HKEx</v>
          </cell>
          <cell r="B5">
            <v>0.14880251800754635</v>
          </cell>
          <cell r="C5">
            <v>0.15468891371143115</v>
          </cell>
          <cell r="D5">
            <v>2</v>
          </cell>
          <cell r="J5">
            <v>356.274</v>
          </cell>
          <cell r="K5">
            <v>2394.2739999999999</v>
          </cell>
          <cell r="L5">
            <v>551</v>
          </cell>
          <cell r="M5">
            <v>3561.9876484999995</v>
          </cell>
          <cell r="O5">
            <v>9.2605699999999995</v>
          </cell>
          <cell r="P5">
            <v>19.629652</v>
          </cell>
          <cell r="Q5">
            <v>0.20661500121607146</v>
          </cell>
        </row>
        <row r="6">
          <cell r="A6" t="str">
            <v>ASX</v>
          </cell>
          <cell r="B6">
            <v>0.16024971397303886</v>
          </cell>
          <cell r="C6">
            <v>0.15826928551095931</v>
          </cell>
          <cell r="D6">
            <v>3</v>
          </cell>
          <cell r="J6">
            <v>38.658000000000001</v>
          </cell>
          <cell r="K6">
            <v>241.23599999999999</v>
          </cell>
          <cell r="L6">
            <v>48.372</v>
          </cell>
          <cell r="M6">
            <v>305.63099999999997</v>
          </cell>
          <cell r="O6" t="str">
            <v>NA</v>
          </cell>
          <cell r="P6" t="str">
            <v>NA</v>
          </cell>
          <cell r="Q6" t="str">
            <v>NA</v>
          </cell>
        </row>
        <row r="7">
          <cell r="A7" t="str">
            <v>Bursa</v>
          </cell>
          <cell r="B7">
            <v>7.1295779033454534E-2</v>
          </cell>
          <cell r="C7">
            <v>7.6626427156399501E-2</v>
          </cell>
          <cell r="D7">
            <v>4</v>
          </cell>
          <cell r="J7">
            <v>15.57</v>
          </cell>
          <cell r="K7">
            <v>218.38599999999997</v>
          </cell>
          <cell r="L7">
            <v>19.5</v>
          </cell>
          <cell r="M7">
            <v>254.48139399999997</v>
          </cell>
          <cell r="O7">
            <v>0</v>
          </cell>
          <cell r="P7">
            <v>1634.8500000000022</v>
          </cell>
          <cell r="Q7" t="str">
            <v>NM</v>
          </cell>
        </row>
        <row r="14">
          <cell r="D14" t="str">
            <v>SG: Turnover: Simex Futures and Options: ANNUAL</v>
          </cell>
        </row>
        <row r="15">
          <cell r="D15" t="str">
            <v>s1</v>
          </cell>
          <cell r="H15" t="str">
            <v>MY: Turnover: Volume: KLSE: ANNUAL</v>
          </cell>
          <cell r="I15" t="str">
            <v>MY: Turnover: Volume: KLSE: Main Board: ANNUAL</v>
          </cell>
          <cell r="J15" t="str">
            <v>MY: Turnover: Volume: KLSE: Second Board: ANNUAL</v>
          </cell>
          <cell r="K15" t="str">
            <v>MY: Turnover: Volume: KLSE: MESDAQ: ANNUAL</v>
          </cell>
        </row>
        <row r="16">
          <cell r="D16" t="str">
            <v>Unit</v>
          </cell>
          <cell r="H16" t="str">
            <v>s1</v>
          </cell>
          <cell r="I16" t="str">
            <v>s2</v>
          </cell>
          <cell r="J16" t="str">
            <v>s3</v>
          </cell>
          <cell r="K16" t="str">
            <v>s4</v>
          </cell>
        </row>
        <row r="17">
          <cell r="D17" t="str">
            <v>A:       1993:       2005</v>
          </cell>
          <cell r="H17" t="str">
            <v>mn</v>
          </cell>
          <cell r="I17" t="str">
            <v>mn</v>
          </cell>
          <cell r="J17" t="str">
            <v>mn</v>
          </cell>
          <cell r="K17" t="str">
            <v>mn</v>
          </cell>
        </row>
        <row r="18">
          <cell r="B18" t="str">
            <v>HK: Turnover: Futures &amp; Options: Total: ANNUAL</v>
          </cell>
          <cell r="C18">
            <v>1993</v>
          </cell>
          <cell r="D18">
            <v>15729787</v>
          </cell>
          <cell r="H18" t="str">
            <v>A:       1998:       2005</v>
          </cell>
          <cell r="I18" t="str">
            <v>A:       1994:       2005</v>
          </cell>
          <cell r="J18" t="str">
            <v>A:       1998:       2005</v>
          </cell>
          <cell r="K18" t="str">
            <v>A:       2003:       2005</v>
          </cell>
        </row>
        <row r="19">
          <cell r="B19" t="str">
            <v>s1</v>
          </cell>
          <cell r="C19">
            <v>1994</v>
          </cell>
          <cell r="D19">
            <v>24060274</v>
          </cell>
          <cell r="G19">
            <v>1994</v>
          </cell>
          <cell r="I19">
            <v>58746.788</v>
          </cell>
        </row>
        <row r="20">
          <cell r="B20" t="str">
            <v>Contract</v>
          </cell>
          <cell r="C20">
            <v>1995</v>
          </cell>
          <cell r="D20">
            <v>24251339</v>
          </cell>
          <cell r="G20">
            <v>1995</v>
          </cell>
          <cell r="I20">
            <v>30861.781999999999</v>
          </cell>
          <cell r="L20">
            <v>-30861.781999999999</v>
          </cell>
        </row>
        <row r="21">
          <cell r="B21" t="str">
            <v>A:       2003:       2005</v>
          </cell>
          <cell r="C21">
            <v>1996</v>
          </cell>
          <cell r="D21">
            <v>22568545</v>
          </cell>
          <cell r="G21">
            <v>1996</v>
          </cell>
          <cell r="I21">
            <v>47351.180999999997</v>
          </cell>
          <cell r="L21">
            <v>-47351.180999999997</v>
          </cell>
        </row>
        <row r="22">
          <cell r="A22">
            <v>2003</v>
          </cell>
          <cell r="B22">
            <v>14546213</v>
          </cell>
          <cell r="C22">
            <v>1997</v>
          </cell>
          <cell r="D22">
            <v>24090285</v>
          </cell>
          <cell r="G22">
            <v>1997</v>
          </cell>
          <cell r="I22">
            <v>62278.277999999998</v>
          </cell>
          <cell r="L22">
            <v>-62278.277999999998</v>
          </cell>
        </row>
        <row r="23">
          <cell r="A23">
            <v>2004</v>
          </cell>
          <cell r="B23">
            <v>19629652</v>
          </cell>
          <cell r="C23">
            <v>1998</v>
          </cell>
          <cell r="D23">
            <v>27861162</v>
          </cell>
          <cell r="G23">
            <v>1998</v>
          </cell>
          <cell r="H23">
            <v>58287.078000000001</v>
          </cell>
          <cell r="I23">
            <v>52061.067999999999</v>
          </cell>
          <cell r="J23">
            <v>6226.01</v>
          </cell>
          <cell r="L23">
            <v>1.8189894035458565E-12</v>
          </cell>
        </row>
        <row r="24">
          <cell r="A24">
            <v>2005</v>
          </cell>
          <cell r="B24">
            <v>25523007</v>
          </cell>
          <cell r="C24">
            <v>1999</v>
          </cell>
          <cell r="D24">
            <v>25863190</v>
          </cell>
          <cell r="G24">
            <v>1999</v>
          </cell>
          <cell r="H24">
            <v>85156.584000000003</v>
          </cell>
          <cell r="I24">
            <v>79980.997000000003</v>
          </cell>
          <cell r="J24">
            <v>5175.5860000000002</v>
          </cell>
          <cell r="L24">
            <v>9.9999999929423211E-4</v>
          </cell>
        </row>
        <row r="25">
          <cell r="C25">
            <v>2000</v>
          </cell>
          <cell r="D25">
            <v>27571964</v>
          </cell>
          <cell r="G25">
            <v>2000</v>
          </cell>
          <cell r="H25">
            <v>68346.252999999997</v>
          </cell>
          <cell r="I25">
            <v>60172.004999999997</v>
          </cell>
          <cell r="J25">
            <v>8174.2479999999996</v>
          </cell>
          <cell r="L25">
            <v>0</v>
          </cell>
        </row>
        <row r="26">
          <cell r="C26">
            <v>2001</v>
          </cell>
          <cell r="D26">
            <v>30989862</v>
          </cell>
          <cell r="G26">
            <v>2001</v>
          </cell>
          <cell r="H26">
            <v>49663.485999999997</v>
          </cell>
          <cell r="I26">
            <v>43680.951999999997</v>
          </cell>
          <cell r="J26">
            <v>5982.5330000000004</v>
          </cell>
          <cell r="L26">
            <v>9.9999999929423211E-4</v>
          </cell>
        </row>
        <row r="27">
          <cell r="C27">
            <v>2002</v>
          </cell>
          <cell r="D27">
            <v>32887395</v>
          </cell>
          <cell r="G27">
            <v>2002</v>
          </cell>
          <cell r="H27">
            <v>55630.188000000002</v>
          </cell>
          <cell r="I27">
            <v>47024.256000000001</v>
          </cell>
          <cell r="J27">
            <v>8193.2669999999998</v>
          </cell>
          <cell r="L27">
            <v>412.66500000000087</v>
          </cell>
        </row>
        <row r="28">
          <cell r="C28">
            <v>2003</v>
          </cell>
          <cell r="D28">
            <v>35648224</v>
          </cell>
          <cell r="G28">
            <v>2003</v>
          </cell>
          <cell r="H28">
            <v>112183.19899999999</v>
          </cell>
          <cell r="I28">
            <v>80374.051999999996</v>
          </cell>
          <cell r="J28">
            <v>22444.927</v>
          </cell>
          <cell r="K28">
            <v>8259.76</v>
          </cell>
          <cell r="L28">
            <v>1104.4599999999973</v>
          </cell>
        </row>
        <row r="29">
          <cell r="C29">
            <v>2004</v>
          </cell>
          <cell r="D29">
            <v>28418784</v>
          </cell>
          <cell r="G29">
            <v>2004</v>
          </cell>
          <cell r="H29">
            <v>108014.304</v>
          </cell>
          <cell r="I29">
            <v>78451.963000000003</v>
          </cell>
          <cell r="J29">
            <v>18569.262999999999</v>
          </cell>
          <cell r="K29">
            <v>9358.2279999999992</v>
          </cell>
          <cell r="L29">
            <v>1634.8500000000022</v>
          </cell>
        </row>
        <row r="30">
          <cell r="C30">
            <v>2005</v>
          </cell>
          <cell r="D30">
            <v>26026128</v>
          </cell>
          <cell r="G30">
            <v>2005</v>
          </cell>
          <cell r="H30">
            <v>102338.212</v>
          </cell>
          <cell r="I30">
            <v>73815.793000000005</v>
          </cell>
          <cell r="J30">
            <v>15160.807000000001</v>
          </cell>
          <cell r="K30">
            <v>12616.023999999999</v>
          </cell>
          <cell r="L30">
            <v>745.58799999999428</v>
          </cell>
        </row>
        <row r="32">
          <cell r="B32" t="str">
            <v>e=Morgan Stanley Estimates.  All other values are actual.</v>
          </cell>
        </row>
        <row r="34">
          <cell r="B34" t="str">
            <v>ND = Not Disclosed, NA = Not Available, and NM = Non Meaningful</v>
          </cell>
        </row>
        <row r="36">
          <cell r="B36" t="str">
            <v>Consensus EPS provided by Thomson Financial/First Call</v>
          </cell>
        </row>
        <row r="38">
          <cell r="B38" t="str">
            <v>Ratios for companies are based on the currency reported by the companies unless explicitly noted.</v>
          </cell>
        </row>
        <row r="40">
          <cell r="B40" t="str">
            <v xml:space="preserve">Although the information provided to you on this site is obtained or compiled from sources we believe to be reliable, </v>
          </cell>
        </row>
        <row r="41">
          <cell r="B41" t="str">
            <v xml:space="preserve">Morgan Stanley cannot and does not guarantee the accuracy, validity, timeliness or completeness of any information or </v>
          </cell>
        </row>
        <row r="42">
          <cell r="B42" t="str">
            <v>data made available to you for any particular purpose.</v>
          </cell>
        </row>
      </sheetData>
      <sheetData sheetId="67" refreshError="1">
        <row r="2">
          <cell r="B2" t="str">
            <v>EQUITY - 1.6 - Covered Warrants</v>
          </cell>
          <cell r="K2" t="str">
            <v>EQUITY - 1.6 - Covered Warrants</v>
          </cell>
        </row>
        <row r="3">
          <cell r="B3" t="str">
            <v>(in millions of local currencies)</v>
          </cell>
          <cell r="K3" t="str">
            <v>Number of Covered Warrants and Total Turnover</v>
          </cell>
        </row>
        <row r="5">
          <cell r="N5" t="str">
            <v>(in USD millions)</v>
          </cell>
        </row>
        <row r="6">
          <cell r="B6" t="str">
            <v>Exchange</v>
          </cell>
          <cell r="D6" t="str">
            <v>Total Turnover</v>
          </cell>
          <cell r="K6" t="str">
            <v>Exchange</v>
          </cell>
          <cell r="L6" t="str">
            <v>Number of covered warrants</v>
          </cell>
          <cell r="N6" t="str">
            <v>Total Turnover</v>
          </cell>
        </row>
        <row r="7">
          <cell r="D7" t="str">
            <v>2006</v>
          </cell>
          <cell r="F7" t="str">
            <v>Year-to-date</v>
          </cell>
          <cell r="G7" t="str">
            <v>% Change/</v>
          </cell>
          <cell r="H7" t="str">
            <v>Dollar</v>
          </cell>
          <cell r="I7" t="str">
            <v>Dollar</v>
          </cell>
          <cell r="L7" t="str">
            <v>2006</v>
          </cell>
          <cell r="N7" t="str">
            <v>2006</v>
          </cell>
          <cell r="P7" t="str">
            <v xml:space="preserve">Year-to-date </v>
          </cell>
        </row>
        <row r="8">
          <cell r="D8" t="str">
            <v>January</v>
          </cell>
          <cell r="E8" t="str">
            <v>February</v>
          </cell>
          <cell r="F8" t="str">
            <v>Total</v>
          </cell>
          <cell r="G8" t="str">
            <v>last month</v>
          </cell>
          <cell r="H8" t="str">
            <v>Jan. 06</v>
          </cell>
          <cell r="I8" t="str">
            <v>Feb. 06</v>
          </cell>
          <cell r="L8" t="str">
            <v>January</v>
          </cell>
          <cell r="M8" t="str">
            <v>February</v>
          </cell>
          <cell r="N8" t="str">
            <v>January</v>
          </cell>
          <cell r="O8" t="str">
            <v>February</v>
          </cell>
          <cell r="P8" t="str">
            <v>Total</v>
          </cell>
        </row>
        <row r="9">
          <cell r="B9" t="str">
            <v>Americas</v>
          </cell>
          <cell r="K9" t="str">
            <v>Americas</v>
          </cell>
        </row>
        <row r="10">
          <cell r="B10" t="str">
            <v>Mexican Exchange</v>
          </cell>
          <cell r="C10" t="str">
            <v>MXP</v>
          </cell>
          <cell r="D10">
            <v>676.39</v>
          </cell>
          <cell r="E10">
            <v>85.34</v>
          </cell>
          <cell r="F10">
            <v>761.73</v>
          </cell>
          <cell r="G10">
            <v>-0.87383018672659263</v>
          </cell>
          <cell r="H10">
            <v>10.505000000000001</v>
          </cell>
          <cell r="I10">
            <v>10.5723</v>
          </cell>
          <cell r="K10" t="str">
            <v>Mexican Exchange</v>
          </cell>
          <cell r="L10">
            <v>28</v>
          </cell>
          <cell r="M10">
            <v>27</v>
          </cell>
          <cell r="N10">
            <v>64.387434554973822</v>
          </cell>
          <cell r="O10">
            <v>8.0720373050329641</v>
          </cell>
          <cell r="P10">
            <v>72.459471860006786</v>
          </cell>
          <cell r="S10" t="str">
            <v>USDmn</v>
          </cell>
          <cell r="T10" t="str">
            <v>US$bn</v>
          </cell>
        </row>
        <row r="11">
          <cell r="B11" t="str">
            <v>TSX Group</v>
          </cell>
          <cell r="C11" t="str">
            <v>CAD</v>
          </cell>
          <cell r="D11">
            <v>189.4</v>
          </cell>
          <cell r="E11">
            <v>265.8</v>
          </cell>
          <cell r="F11">
            <v>455.20000000000005</v>
          </cell>
          <cell r="G11">
            <v>0.40337909186906029</v>
          </cell>
          <cell r="H11">
            <v>1.1473</v>
          </cell>
          <cell r="I11">
            <v>1.1365000000000001</v>
          </cell>
          <cell r="K11" t="str">
            <v>TSX Group</v>
          </cell>
          <cell r="L11">
            <v>67</v>
          </cell>
          <cell r="M11">
            <v>68</v>
          </cell>
          <cell r="N11">
            <v>165.08323890874226</v>
          </cell>
          <cell r="O11">
            <v>233.87593488781346</v>
          </cell>
          <cell r="P11">
            <v>398.95917379655572</v>
          </cell>
          <cell r="R11" t="str">
            <v>Deutsche Börse</v>
          </cell>
          <cell r="S11">
            <v>48962.131861851049</v>
          </cell>
          <cell r="T11">
            <v>48.962131861851049</v>
          </cell>
        </row>
        <row r="12">
          <cell r="R12" t="str">
            <v>HKEx</v>
          </cell>
          <cell r="S12">
            <v>30707.938673919969</v>
          </cell>
          <cell r="T12">
            <v>30.707938673919969</v>
          </cell>
        </row>
        <row r="13">
          <cell r="B13" t="str">
            <v>Asia - Pacific</v>
          </cell>
          <cell r="K13" t="str">
            <v>Asia - Pacific</v>
          </cell>
          <cell r="R13" t="str">
            <v>Borsa Italiana</v>
          </cell>
          <cell r="S13">
            <v>12746.742330954497</v>
          </cell>
          <cell r="T13">
            <v>12.746742330954497</v>
          </cell>
        </row>
        <row r="14">
          <cell r="B14" t="str">
            <v>Australian SE</v>
          </cell>
          <cell r="C14" t="str">
            <v>AUD</v>
          </cell>
          <cell r="D14">
            <v>604.9</v>
          </cell>
          <cell r="E14">
            <v>904.8</v>
          </cell>
          <cell r="F14">
            <v>1509.6999999999998</v>
          </cell>
          <cell r="G14">
            <v>0.49578442717804605</v>
          </cell>
          <cell r="H14">
            <v>1.3372999999999999</v>
          </cell>
          <cell r="I14">
            <v>1.3449</v>
          </cell>
          <cell r="K14" t="str">
            <v>Australian SE</v>
          </cell>
          <cell r="L14">
            <v>2582</v>
          </cell>
          <cell r="M14">
            <v>2915</v>
          </cell>
          <cell r="N14">
            <v>452.32932027219022</v>
          </cell>
          <cell r="O14">
            <v>672.76377425830913</v>
          </cell>
          <cell r="P14">
            <v>1125.0930945304995</v>
          </cell>
          <cell r="R14" t="str">
            <v>Swiss Exchange</v>
          </cell>
          <cell r="S14">
            <v>6709.5692467653225</v>
          </cell>
          <cell r="T14">
            <v>6.709569246765323</v>
          </cell>
        </row>
        <row r="15">
          <cell r="B15" t="str">
            <v>Bursa Malaysia</v>
          </cell>
          <cell r="C15" t="str">
            <v>MYR</v>
          </cell>
          <cell r="D15">
            <v>27.45</v>
          </cell>
          <cell r="E15">
            <v>33.56</v>
          </cell>
          <cell r="F15">
            <v>61.010000000000005</v>
          </cell>
          <cell r="G15">
            <v>0.2225865209471769</v>
          </cell>
          <cell r="H15">
            <v>3.7465000000000002</v>
          </cell>
          <cell r="I15">
            <v>3.7054999999999998</v>
          </cell>
          <cell r="K15" t="str">
            <v>Bursa Malaysia</v>
          </cell>
          <cell r="L15">
            <v>12</v>
          </cell>
          <cell r="M15">
            <v>12</v>
          </cell>
          <cell r="N15">
            <v>7.3268383824903234</v>
          </cell>
          <cell r="O15" t="str">
            <v>NA</v>
          </cell>
          <cell r="P15" t="str">
            <v>-</v>
          </cell>
          <cell r="R15" t="str">
            <v>SGX</v>
          </cell>
          <cell r="S15">
            <v>1251.2422461034444</v>
          </cell>
          <cell r="T15">
            <v>1.2512422461034443</v>
          </cell>
        </row>
        <row r="16">
          <cell r="B16" t="str">
            <v>Hong Kong Exchanges</v>
          </cell>
          <cell r="C16" t="str">
            <v>HKD</v>
          </cell>
          <cell r="D16">
            <v>102427.46</v>
          </cell>
          <cell r="E16">
            <v>135811.26999999999</v>
          </cell>
          <cell r="F16">
            <v>238238.72999999998</v>
          </cell>
          <cell r="G16">
            <v>0.32592636779238671</v>
          </cell>
          <cell r="H16">
            <v>7.7576999999999998</v>
          </cell>
          <cell r="I16">
            <v>7.7586000000000004</v>
          </cell>
          <cell r="K16" t="str">
            <v>Hong Kong Exchanges</v>
          </cell>
          <cell r="L16">
            <v>1381</v>
          </cell>
          <cell r="M16">
            <v>1391</v>
          </cell>
          <cell r="N16">
            <v>13203.3283060701</v>
          </cell>
          <cell r="O16">
            <v>17504.610367849869</v>
          </cell>
          <cell r="P16">
            <v>30707.938673919969</v>
          </cell>
          <cell r="R16" t="str">
            <v>Australian SE</v>
          </cell>
          <cell r="S16">
            <v>1125.0930945304995</v>
          </cell>
          <cell r="T16">
            <v>1.1250930945304995</v>
          </cell>
        </row>
        <row r="17">
          <cell r="B17" t="str">
            <v>Korea Exchange</v>
          </cell>
          <cell r="C17" t="str">
            <v>KRW</v>
          </cell>
          <cell r="D17">
            <v>1141005</v>
          </cell>
          <cell r="E17">
            <v>1589840</v>
          </cell>
          <cell r="F17">
            <v>2730845</v>
          </cell>
          <cell r="G17">
            <v>0.39336812722117775</v>
          </cell>
          <cell r="H17">
            <v>970.15</v>
          </cell>
          <cell r="I17">
            <v>971.25</v>
          </cell>
          <cell r="K17" t="str">
            <v>Korea Exchange</v>
          </cell>
          <cell r="L17">
            <v>137</v>
          </cell>
          <cell r="M17">
            <v>203</v>
          </cell>
          <cell r="N17">
            <v>1176.1119414523528</v>
          </cell>
          <cell r="O17">
            <v>1636.900900900901</v>
          </cell>
          <cell r="P17">
            <v>2813.0128423532537</v>
          </cell>
          <cell r="R17" t="str">
            <v>Taiwan SE Corp.</v>
          </cell>
          <cell r="S17">
            <v>882.01478670040979</v>
          </cell>
          <cell r="T17">
            <v>0.88201478670040978</v>
          </cell>
        </row>
        <row r="18">
          <cell r="B18" t="str">
            <v>New Zealand Exchange</v>
          </cell>
          <cell r="C18" t="str">
            <v>NZD</v>
          </cell>
          <cell r="D18">
            <v>6.46</v>
          </cell>
          <cell r="E18">
            <v>6.26</v>
          </cell>
          <cell r="F18">
            <v>12.719999999999999</v>
          </cell>
          <cell r="G18">
            <v>-3.0959752321981449E-2</v>
          </cell>
          <cell r="H18">
            <v>1.4567000000000001</v>
          </cell>
          <cell r="I18">
            <v>1.5031000000000001</v>
          </cell>
          <cell r="K18" t="str">
            <v>New Zealand Exchange</v>
          </cell>
          <cell r="L18">
            <v>21</v>
          </cell>
          <cell r="M18">
            <v>21</v>
          </cell>
          <cell r="N18">
            <v>4.4346811285782932</v>
          </cell>
          <cell r="O18">
            <v>4.1647262324529306</v>
          </cell>
          <cell r="P18">
            <v>8.5994073610312238</v>
          </cell>
          <cell r="R18" t="str">
            <v>BME Spanish</v>
          </cell>
          <cell r="S18">
            <v>578.23672226168321</v>
          </cell>
          <cell r="T18">
            <v>0.57823672226168321</v>
          </cell>
        </row>
        <row r="19">
          <cell r="B19" t="str">
            <v>Shanghai SE</v>
          </cell>
          <cell r="C19" t="str">
            <v>CNY</v>
          </cell>
          <cell r="D19">
            <v>26666</v>
          </cell>
          <cell r="E19">
            <v>40037</v>
          </cell>
          <cell r="F19">
            <v>66703</v>
          </cell>
          <cell r="G19">
            <v>0.50142503562589069</v>
          </cell>
          <cell r="H19">
            <v>8.0616000000000003</v>
          </cell>
          <cell r="I19">
            <v>8.0366999999999997</v>
          </cell>
          <cell r="K19" t="str">
            <v>Shanghai SE</v>
          </cell>
          <cell r="L19">
            <v>4</v>
          </cell>
          <cell r="M19">
            <v>4</v>
          </cell>
          <cell r="N19">
            <v>3307.7800932817304</v>
          </cell>
          <cell r="O19">
            <v>4981.7711249642271</v>
          </cell>
          <cell r="P19">
            <v>8289.551218245957</v>
          </cell>
          <cell r="R19" t="str">
            <v>OMX</v>
          </cell>
          <cell r="S19">
            <v>572.31946935535075</v>
          </cell>
          <cell r="T19">
            <v>0.57231946935535072</v>
          </cell>
        </row>
        <row r="20">
          <cell r="B20" t="str">
            <v>Singapore Exchange</v>
          </cell>
          <cell r="C20" t="str">
            <v>SGD</v>
          </cell>
          <cell r="D20">
            <v>939.59</v>
          </cell>
          <cell r="E20">
            <v>1097.47</v>
          </cell>
          <cell r="F20">
            <v>2037.06</v>
          </cell>
          <cell r="G20">
            <v>0.16803073681073655</v>
          </cell>
          <cell r="H20">
            <v>1.6362000000000001</v>
          </cell>
          <cell r="I20">
            <v>1.6211</v>
          </cell>
          <cell r="K20" t="str">
            <v>Singapore Exchange</v>
          </cell>
          <cell r="L20">
            <v>462</v>
          </cell>
          <cell r="M20">
            <v>492</v>
          </cell>
          <cell r="N20">
            <v>574.25131402029092</v>
          </cell>
          <cell r="O20">
            <v>676.99093208315344</v>
          </cell>
          <cell r="P20">
            <v>1251.2422461034444</v>
          </cell>
          <cell r="R20" t="str">
            <v>TSX</v>
          </cell>
          <cell r="S20">
            <v>398.95917379655572</v>
          </cell>
          <cell r="T20">
            <v>0.39895917379655571</v>
          </cell>
        </row>
        <row r="21">
          <cell r="B21" t="str">
            <v>Taiwan SE Corp.</v>
          </cell>
          <cell r="C21" t="str">
            <v>TWD</v>
          </cell>
          <cell r="D21">
            <v>19019</v>
          </cell>
          <cell r="E21">
            <v>9374</v>
          </cell>
          <cell r="F21">
            <v>28393</v>
          </cell>
          <cell r="G21">
            <v>-0.50712445449287546</v>
          </cell>
          <cell r="H21">
            <v>32.091500000000003</v>
          </cell>
          <cell r="I21">
            <v>32.395000000000003</v>
          </cell>
          <cell r="K21" t="str">
            <v>Taiwan SE Corp.</v>
          </cell>
          <cell r="L21">
            <v>554</v>
          </cell>
          <cell r="M21">
            <v>485</v>
          </cell>
          <cell r="N21">
            <v>592.64914385429154</v>
          </cell>
          <cell r="O21">
            <v>289.36564284611819</v>
          </cell>
          <cell r="P21">
            <v>882.01478670040979</v>
          </cell>
          <cell r="R21" t="str">
            <v xml:space="preserve">JSE </v>
          </cell>
          <cell r="S21">
            <v>232.29764566023459</v>
          </cell>
          <cell r="T21">
            <v>0.23229764566023459</v>
          </cell>
        </row>
        <row r="22">
          <cell r="R22" t="str">
            <v>LSE</v>
          </cell>
          <cell r="S22">
            <v>100.85022954506849</v>
          </cell>
          <cell r="T22">
            <v>0.10085022954506849</v>
          </cell>
        </row>
        <row r="23">
          <cell r="B23" t="str">
            <v>Europe - Africa - Middle East</v>
          </cell>
          <cell r="K23" t="str">
            <v>Europe - Africa - Middle East</v>
          </cell>
          <cell r="R23" t="str">
            <v>Mexican Ex</v>
          </cell>
          <cell r="S23">
            <v>72.459471860006786</v>
          </cell>
          <cell r="T23">
            <v>7.2459471860006786E-2</v>
          </cell>
        </row>
        <row r="24">
          <cell r="B24" t="str">
            <v>BME Spanish Exchanges</v>
          </cell>
          <cell r="C24" t="str">
            <v>EUR</v>
          </cell>
          <cell r="D24">
            <v>227</v>
          </cell>
          <cell r="E24">
            <v>254.6</v>
          </cell>
          <cell r="F24">
            <v>481.6</v>
          </cell>
          <cell r="G24">
            <v>0.12158590308370032</v>
          </cell>
          <cell r="H24">
            <v>0.83330000000000004</v>
          </cell>
          <cell r="I24">
            <v>0.83250000000000002</v>
          </cell>
          <cell r="K24" t="str">
            <v>BME Spanish Exchanges</v>
          </cell>
          <cell r="L24">
            <v>1640</v>
          </cell>
          <cell r="M24">
            <v>1674</v>
          </cell>
          <cell r="N24">
            <v>272.41089643585741</v>
          </cell>
          <cell r="O24">
            <v>305.8258258258258</v>
          </cell>
          <cell r="P24">
            <v>578.23672226168321</v>
          </cell>
          <cell r="R24" t="str">
            <v>Bursa</v>
          </cell>
          <cell r="S24">
            <v>0</v>
          </cell>
          <cell r="T24">
            <v>0</v>
          </cell>
        </row>
        <row r="25">
          <cell r="B25" t="str">
            <v>Borsa Italiana</v>
          </cell>
          <cell r="C25" t="str">
            <v>EUR</v>
          </cell>
          <cell r="D25">
            <v>5455</v>
          </cell>
          <cell r="E25">
            <v>5161.8999999999996</v>
          </cell>
          <cell r="F25">
            <v>10616.9</v>
          </cell>
          <cell r="G25">
            <v>-5.3730522456462038E-2</v>
          </cell>
          <cell r="H25">
            <v>0.83330000000000004</v>
          </cell>
          <cell r="I25">
            <v>0.83250000000000002</v>
          </cell>
          <cell r="K25" t="str">
            <v>Borsa Italiana</v>
          </cell>
          <cell r="L25">
            <v>4228</v>
          </cell>
          <cell r="M25">
            <v>4440</v>
          </cell>
          <cell r="N25">
            <v>6546.2618504740185</v>
          </cell>
          <cell r="O25">
            <v>6200.4804804804799</v>
          </cell>
          <cell r="P25">
            <v>12746.742330954497</v>
          </cell>
        </row>
        <row r="26">
          <cell r="B26" t="str">
            <v>Deutsche Börse</v>
          </cell>
          <cell r="C26" t="str">
            <v>EUR</v>
          </cell>
          <cell r="D26">
            <v>21900.400000000001</v>
          </cell>
          <cell r="E26">
            <v>18881.599999999999</v>
          </cell>
          <cell r="F26">
            <v>40782</v>
          </cell>
          <cell r="G26">
            <v>-0.13784223119212446</v>
          </cell>
          <cell r="H26">
            <v>0.83330000000000004</v>
          </cell>
          <cell r="I26">
            <v>0.83250000000000002</v>
          </cell>
          <cell r="K26" t="str">
            <v>Deutsche Börse</v>
          </cell>
          <cell r="L26">
            <v>78063</v>
          </cell>
          <cell r="M26">
            <v>87092</v>
          </cell>
          <cell r="N26">
            <v>26281.531261250449</v>
          </cell>
          <cell r="O26">
            <v>22680.600600600599</v>
          </cell>
          <cell r="P26">
            <v>48962.131861851049</v>
          </cell>
        </row>
        <row r="27">
          <cell r="B27" t="str">
            <v xml:space="preserve">Euronext </v>
          </cell>
          <cell r="C27" t="str">
            <v>EUR</v>
          </cell>
          <cell r="D27">
            <v>2299</v>
          </cell>
          <cell r="E27">
            <v>7944.5</v>
          </cell>
          <cell r="F27">
            <v>10243.5</v>
          </cell>
          <cell r="G27">
            <v>2.455632883862549</v>
          </cell>
          <cell r="H27">
            <v>0.83330000000000004</v>
          </cell>
          <cell r="I27">
            <v>0.83250000000000002</v>
          </cell>
          <cell r="K27" t="str">
            <v xml:space="preserve">Euronext </v>
          </cell>
          <cell r="L27" t="str">
            <v>NA</v>
          </cell>
          <cell r="M27" t="str">
            <v>NA</v>
          </cell>
          <cell r="N27">
            <v>2758.9103564142565</v>
          </cell>
          <cell r="O27">
            <v>9542.942942942942</v>
          </cell>
          <cell r="P27">
            <v>12301.853299357199</v>
          </cell>
        </row>
        <row r="28">
          <cell r="B28" t="str">
            <v xml:space="preserve">JSE </v>
          </cell>
          <cell r="C28" t="str">
            <v>ZAR</v>
          </cell>
          <cell r="D28">
            <v>599.73</v>
          </cell>
          <cell r="E28">
            <v>830.24</v>
          </cell>
          <cell r="F28">
            <v>1429.97</v>
          </cell>
          <cell r="G28">
            <v>0.38435629366548274</v>
          </cell>
          <cell r="H28">
            <v>6.1063000000000001</v>
          </cell>
          <cell r="I28">
            <v>6.1920000000000002</v>
          </cell>
          <cell r="K28" t="str">
            <v xml:space="preserve">JSE </v>
          </cell>
          <cell r="L28">
            <v>314</v>
          </cell>
          <cell r="M28">
            <v>355</v>
          </cell>
          <cell r="N28">
            <v>98.214958321733292</v>
          </cell>
          <cell r="O28">
            <v>134.0826873385013</v>
          </cell>
          <cell r="P28">
            <v>232.29764566023459</v>
          </cell>
        </row>
        <row r="29">
          <cell r="B29" t="str">
            <v>London SE</v>
          </cell>
          <cell r="C29" t="str">
            <v>GBP</v>
          </cell>
          <cell r="D29">
            <v>28.499239999999997</v>
          </cell>
          <cell r="E29">
            <v>28.940760000000001</v>
          </cell>
          <cell r="F29">
            <v>57.44</v>
          </cell>
          <cell r="G29">
            <v>1.549234295370705E-2</v>
          </cell>
          <cell r="H29">
            <v>0.56810000000000005</v>
          </cell>
          <cell r="I29">
            <v>0.57099999999999995</v>
          </cell>
          <cell r="K29" t="str">
            <v>London SE</v>
          </cell>
          <cell r="L29">
            <v>304</v>
          </cell>
          <cell r="M29">
            <v>356</v>
          </cell>
          <cell r="N29">
            <v>50.165886287625405</v>
          </cell>
          <cell r="O29">
            <v>50.684343257443089</v>
          </cell>
          <cell r="P29">
            <v>100.85022954506849</v>
          </cell>
        </row>
        <row r="30">
          <cell r="B30" t="str">
            <v>Luxembourg SE</v>
          </cell>
          <cell r="C30" t="str">
            <v>EUR</v>
          </cell>
          <cell r="D30">
            <v>0</v>
          </cell>
          <cell r="E30">
            <v>0</v>
          </cell>
          <cell r="F30">
            <v>0</v>
          </cell>
          <cell r="G30" t="str">
            <v>-</v>
          </cell>
          <cell r="H30">
            <v>0.83330000000000004</v>
          </cell>
          <cell r="I30">
            <v>0.83250000000000002</v>
          </cell>
          <cell r="K30" t="str">
            <v>Luxembourg SE</v>
          </cell>
          <cell r="L30">
            <v>2836</v>
          </cell>
          <cell r="M30">
            <v>2897</v>
          </cell>
          <cell r="N30">
            <v>0</v>
          </cell>
          <cell r="O30">
            <v>0</v>
          </cell>
          <cell r="P30">
            <v>0</v>
          </cell>
        </row>
        <row r="31">
          <cell r="B31" t="str">
            <v xml:space="preserve">OMX 1 </v>
          </cell>
          <cell r="C31" t="str">
            <v>EUR</v>
          </cell>
          <cell r="D31">
            <v>254.2</v>
          </cell>
          <cell r="E31">
            <v>222.5</v>
          </cell>
          <cell r="F31">
            <v>476.7</v>
          </cell>
          <cell r="G31">
            <v>-0.12470495672698656</v>
          </cell>
          <cell r="H31">
            <v>0.83330000000000004</v>
          </cell>
          <cell r="I31">
            <v>0.83250000000000002</v>
          </cell>
          <cell r="K31" t="str">
            <v xml:space="preserve">OMX 1 </v>
          </cell>
          <cell r="L31">
            <v>1393</v>
          </cell>
          <cell r="M31">
            <v>1348</v>
          </cell>
          <cell r="N31">
            <v>305.0522020880835</v>
          </cell>
          <cell r="O31">
            <v>267.26726726726724</v>
          </cell>
          <cell r="P31">
            <v>572.31946935535075</v>
          </cell>
        </row>
        <row r="32">
          <cell r="B32" t="str">
            <v>Oslo Børs</v>
          </cell>
          <cell r="C32" t="str">
            <v>NOK</v>
          </cell>
          <cell r="D32">
            <v>73.098479999999995</v>
          </cell>
          <cell r="E32">
            <v>115.24751999999999</v>
          </cell>
          <cell r="F32">
            <v>188.346</v>
          </cell>
          <cell r="G32">
            <v>0.57660624406964422</v>
          </cell>
          <cell r="H32">
            <v>6.6936</v>
          </cell>
          <cell r="I32">
            <v>6.6630000000000003</v>
          </cell>
          <cell r="K32" t="str">
            <v>Oslo Børs</v>
          </cell>
          <cell r="L32">
            <v>84</v>
          </cell>
          <cell r="M32">
            <v>84</v>
          </cell>
          <cell r="N32">
            <v>10.920652563642882</v>
          </cell>
          <cell r="O32">
            <v>17.296641152633946</v>
          </cell>
          <cell r="P32">
            <v>28.217293716276828</v>
          </cell>
        </row>
        <row r="33">
          <cell r="B33" t="str">
            <v>Swiss Exchange</v>
          </cell>
          <cell r="C33" t="str">
            <v>CHF</v>
          </cell>
          <cell r="D33">
            <v>4441.3909999999996</v>
          </cell>
          <cell r="E33">
            <v>4271.2482599999994</v>
          </cell>
          <cell r="F33">
            <v>8712.6392599999999</v>
          </cell>
          <cell r="G33">
            <v>-3.8308435352798265E-2</v>
          </cell>
          <cell r="H33">
            <v>1.2958000000000001</v>
          </cell>
          <cell r="I33">
            <v>1.3013999999999999</v>
          </cell>
          <cell r="K33" t="str">
            <v>Swiss Exchange</v>
          </cell>
          <cell r="L33">
            <v>6942</v>
          </cell>
          <cell r="M33">
            <v>7814</v>
          </cell>
          <cell r="N33">
            <v>3427.5281679271488</v>
          </cell>
          <cell r="O33">
            <v>3282.0410788381741</v>
          </cell>
          <cell r="P33">
            <v>6709.5692467653225</v>
          </cell>
        </row>
        <row r="34">
          <cell r="B34" t="str">
            <v>Wiener Börse</v>
          </cell>
          <cell r="C34" t="str">
            <v>EUR</v>
          </cell>
          <cell r="D34">
            <v>23.4</v>
          </cell>
          <cell r="E34">
            <v>18.2</v>
          </cell>
          <cell r="F34">
            <v>41.599999999999994</v>
          </cell>
          <cell r="G34">
            <v>-0.22222222222222221</v>
          </cell>
          <cell r="H34">
            <v>0.83330000000000004</v>
          </cell>
          <cell r="I34">
            <v>0.83250000000000002</v>
          </cell>
          <cell r="K34" t="str">
            <v>Wiener Börse</v>
          </cell>
          <cell r="L34">
            <v>1548</v>
          </cell>
          <cell r="M34">
            <v>1659</v>
          </cell>
          <cell r="N34">
            <v>28.081123244929795</v>
          </cell>
          <cell r="O34">
            <v>21.861861861861861</v>
          </cell>
          <cell r="P34">
            <v>49.942985106791653</v>
          </cell>
        </row>
        <row r="36">
          <cell r="B36" t="str">
            <v>Due to different reporting rules &amp; calculation methods, turnover figures are not entirely comparable</v>
          </cell>
        </row>
        <row r="37">
          <cell r="B37" t="str">
            <v>1  OMX include Helsinki and Stockholm Exchanges only,</v>
          </cell>
        </row>
        <row r="38">
          <cell r="B38" t="str">
            <v xml:space="preserve">  covered warrants are not traded on the other OMX exchanges</v>
          </cell>
          <cell r="K38" t="str">
            <v>EQUITY - 1.6 - Covered Warrants</v>
          </cell>
        </row>
        <row r="39">
          <cell r="K39" t="str">
            <v xml:space="preserve">Number of trades in Covered Warrants </v>
          </cell>
        </row>
        <row r="40">
          <cell r="D40" t="str">
            <v>Turnover</v>
          </cell>
          <cell r="H40" t="str">
            <v>euro Feb.</v>
          </cell>
        </row>
        <row r="41">
          <cell r="B41" t="str">
            <v xml:space="preserve">London </v>
          </cell>
          <cell r="D41">
            <v>42.2</v>
          </cell>
          <cell r="H41">
            <v>0.68579999999999997</v>
          </cell>
          <cell r="L41" t="str">
            <v>(in thousands)</v>
          </cell>
        </row>
        <row r="42">
          <cell r="K42" t="str">
            <v>Exchange</v>
          </cell>
          <cell r="L42" t="str">
            <v xml:space="preserve">Number of trades </v>
          </cell>
        </row>
        <row r="43">
          <cell r="L43" t="str">
            <v>2006</v>
          </cell>
          <cell r="N43" t="str">
            <v xml:space="preserve">Year-to-date </v>
          </cell>
        </row>
        <row r="44">
          <cell r="B44" t="str">
            <v>Oslo</v>
          </cell>
          <cell r="D44">
            <v>14.4</v>
          </cell>
          <cell r="H44">
            <v>8.0032999999999994</v>
          </cell>
          <cell r="L44" t="str">
            <v>January</v>
          </cell>
          <cell r="M44" t="str">
            <v>February</v>
          </cell>
          <cell r="N44" t="str">
            <v>Total</v>
          </cell>
        </row>
        <row r="45">
          <cell r="B45" t="str">
            <v xml:space="preserve">Swiss Exchange </v>
          </cell>
          <cell r="D45">
            <v>2732.2</v>
          </cell>
          <cell r="H45">
            <v>1.5632999999999999</v>
          </cell>
          <cell r="K45" t="str">
            <v>Americas</v>
          </cell>
        </row>
        <row r="46">
          <cell r="K46" t="str">
            <v>Mexican Exchange</v>
          </cell>
          <cell r="L46">
            <v>0.34399999999999997</v>
          </cell>
          <cell r="M46">
            <v>3.2000000000000001E-2</v>
          </cell>
          <cell r="N46">
            <v>0.376</v>
          </cell>
        </row>
        <row r="47">
          <cell r="K47" t="str">
            <v>TSX Group</v>
          </cell>
          <cell r="L47">
            <v>37.235999999999997</v>
          </cell>
          <cell r="M47">
            <v>24.033999999999999</v>
          </cell>
          <cell r="N47">
            <v>61.269999999999996</v>
          </cell>
        </row>
        <row r="49">
          <cell r="K49" t="str">
            <v>Asia - Pacific</v>
          </cell>
        </row>
        <row r="50">
          <cell r="K50" t="str">
            <v>Australian SE</v>
          </cell>
          <cell r="L50">
            <v>47.543999999999997</v>
          </cell>
          <cell r="M50">
            <v>54.223999999999997</v>
          </cell>
          <cell r="N50">
            <v>101.768</v>
          </cell>
        </row>
        <row r="51">
          <cell r="K51" t="str">
            <v>Hong Kong Exchanges</v>
          </cell>
          <cell r="L51">
            <v>1277.165</v>
          </cell>
          <cell r="M51">
            <v>1516.672</v>
          </cell>
          <cell r="N51">
            <v>2793.837</v>
          </cell>
        </row>
        <row r="52">
          <cell r="K52" t="str">
            <v>Korea Exchange</v>
          </cell>
          <cell r="L52">
            <v>362.387</v>
          </cell>
          <cell r="M52">
            <v>620.46799999999996</v>
          </cell>
          <cell r="N52">
            <v>982.85500000000002</v>
          </cell>
        </row>
        <row r="53">
          <cell r="K53" t="str">
            <v>New Zealand Exchange</v>
          </cell>
          <cell r="L53">
            <v>0.40799999999999997</v>
          </cell>
          <cell r="M53">
            <v>0.51100000000000001</v>
          </cell>
          <cell r="N53">
            <v>0.91900000000000004</v>
          </cell>
        </row>
        <row r="54">
          <cell r="K54" t="str">
            <v>Shanghai SE</v>
          </cell>
          <cell r="L54">
            <v>1951.951</v>
          </cell>
          <cell r="M54">
            <v>2566.7130000000002</v>
          </cell>
          <cell r="N54">
            <v>4518.6640000000007</v>
          </cell>
        </row>
        <row r="55">
          <cell r="K55" t="str">
            <v>Taiwan SE Corp.</v>
          </cell>
          <cell r="L55">
            <v>1037.03</v>
          </cell>
          <cell r="M55">
            <v>673.91800000000001</v>
          </cell>
          <cell r="N55">
            <v>1710.9479999999999</v>
          </cell>
        </row>
        <row r="57">
          <cell r="K57" t="str">
            <v>Europe - Africa - Middle East</v>
          </cell>
        </row>
        <row r="58">
          <cell r="K58" t="str">
            <v>Borsa Italiana</v>
          </cell>
          <cell r="L58">
            <v>420.68900000000002</v>
          </cell>
          <cell r="M58">
            <v>394.69499999999999</v>
          </cell>
          <cell r="N58">
            <v>815.38400000000001</v>
          </cell>
        </row>
        <row r="59">
          <cell r="K59" t="str">
            <v>Deutsche Börse</v>
          </cell>
          <cell r="L59">
            <v>2334.8380000000002</v>
          </cell>
          <cell r="M59">
            <v>2079.8159999999998</v>
          </cell>
          <cell r="N59">
            <v>4414.6540000000005</v>
          </cell>
        </row>
        <row r="60">
          <cell r="K60" t="str">
            <v xml:space="preserve">Euronext </v>
          </cell>
          <cell r="L60">
            <v>311.40699999999998</v>
          </cell>
          <cell r="M60">
            <v>298.95400000000001</v>
          </cell>
          <cell r="N60">
            <v>610.36099999999999</v>
          </cell>
        </row>
        <row r="61">
          <cell r="K61" t="str">
            <v xml:space="preserve">JSE </v>
          </cell>
          <cell r="L61">
            <v>20.773</v>
          </cell>
          <cell r="M61">
            <v>23.251999999999999</v>
          </cell>
          <cell r="N61">
            <v>44.024999999999999</v>
          </cell>
        </row>
        <row r="62">
          <cell r="K62" t="str">
            <v>London SE</v>
          </cell>
          <cell r="L62">
            <v>7.0819999999999999</v>
          </cell>
          <cell r="M62">
            <v>7.2130000000000001</v>
          </cell>
          <cell r="N62">
            <v>14.295</v>
          </cell>
        </row>
        <row r="63">
          <cell r="K63" t="str">
            <v>Luxembourg SE</v>
          </cell>
          <cell r="L63">
            <v>0</v>
          </cell>
          <cell r="M63">
            <v>1E-3</v>
          </cell>
          <cell r="N63">
            <v>1E-3</v>
          </cell>
        </row>
        <row r="64">
          <cell r="K64" t="str">
            <v xml:space="preserve">OMX 1 </v>
          </cell>
          <cell r="L64">
            <v>53.704999999999998</v>
          </cell>
          <cell r="M64">
            <v>49.457000000000001</v>
          </cell>
          <cell r="N64">
            <v>103.16200000000001</v>
          </cell>
        </row>
        <row r="65">
          <cell r="K65" t="str">
            <v>Oslo Børs</v>
          </cell>
          <cell r="L65">
            <v>1.179</v>
          </cell>
          <cell r="M65">
            <v>1.4179999999999999</v>
          </cell>
          <cell r="N65">
            <v>2.597</v>
          </cell>
        </row>
        <row r="66">
          <cell r="K66" t="str">
            <v>Swiss Exchange</v>
          </cell>
          <cell r="L66">
            <v>180.327</v>
          </cell>
          <cell r="M66">
            <v>181.565</v>
          </cell>
          <cell r="N66">
            <v>361.892</v>
          </cell>
        </row>
        <row r="67">
          <cell r="K67" t="str">
            <v>Wiener Börse</v>
          </cell>
          <cell r="L67">
            <v>5.4649999999999999</v>
          </cell>
          <cell r="M67">
            <v>2.4039999999999999</v>
          </cell>
          <cell r="N67">
            <v>7.8689999999999998</v>
          </cell>
        </row>
        <row r="69">
          <cell r="K69" t="str">
            <v>Due to different reporting rules &amp; calculation methods, turnover figures are not entirely comparable</v>
          </cell>
        </row>
        <row r="70">
          <cell r="K70" t="str">
            <v>1  OMX include Helsinki and Stockholm Exchanges only,</v>
          </cell>
        </row>
        <row r="71">
          <cell r="K71" t="str">
            <v xml:space="preserve">  covered warrants are not traded on the other OMX exchanges</v>
          </cell>
        </row>
        <row r="73">
          <cell r="K73" t="str">
            <v>Source : World Federation of Exchanges members</v>
          </cell>
        </row>
      </sheetData>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W-Cache"/>
      <sheetName val="Preview"/>
      <sheetName val="MXB2"/>
      <sheetName val="Variance"/>
      <sheetName val="Perf Stats_new"/>
      <sheetName val="Revenue Model"/>
      <sheetName val="new_DCF"/>
      <sheetName val="QC"/>
      <sheetName val="Old v New"/>
      <sheetName val="SOTP hc"/>
      <sheetName val="SOTP"/>
      <sheetName val="Blackrock2016"/>
      <sheetName val="Guidance"/>
      <sheetName val="MWA RR"/>
      <sheetName val="Model - Old"/>
      <sheetName val="Pro Forma"/>
      <sheetName val="old segments"/>
      <sheetName val="Perf Stats_old"/>
      <sheetName val="__FDSCACHE__"/>
      <sheetName val="Mult Valuation"/>
      <sheetName val="mwareDates"/>
      <sheetName val="DCF"/>
      <sheetName val="mwareSettings"/>
      <sheetName val="Old v New (ex ISS pre exp)"/>
      <sheetName val="SOTP (hc 010815)"/>
      <sheetName val="SOTP (old)"/>
      <sheetName val="MSCI072016"/>
      <sheetName val="#REF"/>
    </sheetNames>
    <sheetDataSet>
      <sheetData sheetId="0" refreshError="1"/>
      <sheetData sheetId="1" refreshError="1"/>
      <sheetData sheetId="2" refreshError="1">
        <row r="1">
          <cell r="C1" t="str">
            <v>4Q06</v>
          </cell>
          <cell r="D1">
            <v>2006</v>
          </cell>
          <cell r="E1" t="str">
            <v>1Q07</v>
          </cell>
          <cell r="F1" t="str">
            <v>2Q07</v>
          </cell>
          <cell r="G1" t="str">
            <v>3Q07</v>
          </cell>
          <cell r="H1" t="str">
            <v>4Q07</v>
          </cell>
          <cell r="I1">
            <v>2007</v>
          </cell>
          <cell r="J1" t="str">
            <v>1Q08</v>
          </cell>
          <cell r="K1" t="str">
            <v>2Q08</v>
          </cell>
          <cell r="L1" t="str">
            <v>3Q08</v>
          </cell>
          <cell r="M1" t="str">
            <v>4Q08</v>
          </cell>
          <cell r="N1">
            <v>2008</v>
          </cell>
          <cell r="O1" t="str">
            <v>1Q09</v>
          </cell>
          <cell r="P1" t="str">
            <v>2Q09</v>
          </cell>
          <cell r="Q1" t="str">
            <v>3Q09</v>
          </cell>
          <cell r="R1" t="str">
            <v>4Q09</v>
          </cell>
          <cell r="S1">
            <v>2009</v>
          </cell>
          <cell r="T1" t="str">
            <v>1Q10</v>
          </cell>
          <cell r="U1" t="str">
            <v>2Q10</v>
          </cell>
          <cell r="V1" t="str">
            <v>3Q10</v>
          </cell>
          <cell r="W1" t="str">
            <v>4Q10</v>
          </cell>
          <cell r="X1">
            <v>2010</v>
          </cell>
          <cell r="Y1" t="str">
            <v>1Q11</v>
          </cell>
          <cell r="Z1" t="str">
            <v>2Q11</v>
          </cell>
          <cell r="AA1" t="str">
            <v>3Q11</v>
          </cell>
          <cell r="AB1" t="str">
            <v>4Q11</v>
          </cell>
          <cell r="AC1">
            <v>2011</v>
          </cell>
          <cell r="AD1" t="str">
            <v>1Q12</v>
          </cell>
          <cell r="AE1" t="str">
            <v>2Q12</v>
          </cell>
          <cell r="AF1" t="str">
            <v>3Q12</v>
          </cell>
          <cell r="AG1" t="str">
            <v>4Q12</v>
          </cell>
          <cell r="AH1">
            <v>2012</v>
          </cell>
          <cell r="AI1" t="str">
            <v>1Q13</v>
          </cell>
          <cell r="AJ1" t="str">
            <v>2Q13</v>
          </cell>
          <cell r="AK1" t="str">
            <v>3Q13</v>
          </cell>
          <cell r="AL1" t="str">
            <v>4Q13</v>
          </cell>
          <cell r="AM1">
            <v>2013</v>
          </cell>
          <cell r="AN1" t="str">
            <v>1Q13R</v>
          </cell>
          <cell r="AO1" t="str">
            <v>2Q13R</v>
          </cell>
          <cell r="AP1" t="str">
            <v>3Q13R</v>
          </cell>
          <cell r="AQ1" t="str">
            <v>4Q13R</v>
          </cell>
          <cell r="AR1" t="str">
            <v>2013R</v>
          </cell>
          <cell r="AS1" t="str">
            <v>1Q14</v>
          </cell>
          <cell r="AT1" t="str">
            <v>2Q14</v>
          </cell>
          <cell r="AU1" t="str">
            <v>3Q14</v>
          </cell>
          <cell r="AV1" t="str">
            <v>4Q14</v>
          </cell>
          <cell r="AW1">
            <v>2014</v>
          </cell>
          <cell r="AX1" t="str">
            <v>1Q15</v>
          </cell>
          <cell r="AY1" t="str">
            <v>2Q15</v>
          </cell>
          <cell r="AZ1" t="str">
            <v>3Q15</v>
          </cell>
          <cell r="BA1" t="str">
            <v>4Q15</v>
          </cell>
          <cell r="BB1">
            <v>2015</v>
          </cell>
          <cell r="BC1" t="str">
            <v>1Q16</v>
          </cell>
          <cell r="BD1" t="str">
            <v>2Q16</v>
          </cell>
          <cell r="BE1" t="str">
            <v>3Q16</v>
          </cell>
          <cell r="BF1" t="str">
            <v>4Q16</v>
          </cell>
          <cell r="BG1">
            <v>2016</v>
          </cell>
          <cell r="BH1" t="str">
            <v>1Q17E</v>
          </cell>
          <cell r="BI1" t="str">
            <v>2Q17E</v>
          </cell>
          <cell r="BJ1" t="str">
            <v>3Q17E</v>
          </cell>
          <cell r="BK1" t="str">
            <v>4Q17E</v>
          </cell>
          <cell r="BL1" t="str">
            <v>2017E</v>
          </cell>
          <cell r="BM1" t="str">
            <v>2018E</v>
          </cell>
          <cell r="BN1" t="str">
            <v>2019E</v>
          </cell>
          <cell r="BO1" t="str">
            <v>2020E</v>
          </cell>
          <cell r="BS1">
            <v>2006</v>
          </cell>
          <cell r="BT1">
            <v>2007</v>
          </cell>
          <cell r="BU1">
            <v>2008</v>
          </cell>
          <cell r="BV1">
            <v>2009</v>
          </cell>
          <cell r="BW1">
            <v>2010</v>
          </cell>
          <cell r="BX1">
            <v>2011</v>
          </cell>
          <cell r="BY1">
            <v>2012</v>
          </cell>
          <cell r="BZ1" t="str">
            <v>2013R</v>
          </cell>
          <cell r="CA1">
            <v>2014</v>
          </cell>
          <cell r="CB1">
            <v>2015</v>
          </cell>
          <cell r="CC1">
            <v>2016</v>
          </cell>
          <cell r="CD1" t="str">
            <v>2017E</v>
          </cell>
          <cell r="CE1" t="str">
            <v>2018E</v>
          </cell>
          <cell r="CF1" t="str">
            <v>2019E</v>
          </cell>
          <cell r="CG1" t="str">
            <v>2020E</v>
          </cell>
          <cell r="CI1" t="str">
            <v>ElementName</v>
          </cell>
          <cell r="CJ1" t="str">
            <v>ScaleOverride</v>
          </cell>
          <cell r="CK1" t="str">
            <v>UnitOverride</v>
          </cell>
          <cell r="CL1" t="str">
            <v>ReverseSign</v>
          </cell>
          <cell r="CM1" t="str">
            <v>IsDrivingAssumption</v>
          </cell>
          <cell r="CN1" t="str">
            <v>SegmentID</v>
          </cell>
        </row>
        <row r="2">
          <cell r="O2" t="str">
            <v>Feb</v>
          </cell>
          <cell r="P2" t="str">
            <v>May</v>
          </cell>
          <cell r="Q2" t="str">
            <v>Aug</v>
          </cell>
          <cell r="R2" t="str">
            <v>Nov</v>
          </cell>
          <cell r="T2" t="str">
            <v>Feb</v>
          </cell>
          <cell r="U2" t="str">
            <v>May</v>
          </cell>
          <cell r="V2" t="str">
            <v>Aug</v>
          </cell>
          <cell r="W2" t="str">
            <v>Nov</v>
          </cell>
          <cell r="Y2" t="str">
            <v>Mar</v>
          </cell>
          <cell r="Z2" t="str">
            <v>Jun</v>
          </cell>
          <cell r="AA2" t="str">
            <v>Sept</v>
          </cell>
          <cell r="AB2" t="str">
            <v>Dec</v>
          </cell>
          <cell r="AD2" t="str">
            <v>Mar</v>
          </cell>
          <cell r="AE2" t="str">
            <v>Jun</v>
          </cell>
          <cell r="AF2" t="str">
            <v>Sept</v>
          </cell>
          <cell r="AG2" t="str">
            <v>Dec</v>
          </cell>
        </row>
        <row r="3">
          <cell r="A3">
            <v>2</v>
          </cell>
        </row>
        <row r="7">
          <cell r="A7" t="str">
            <v>MSCI Only Until Q3 2010 then Pro Forma</v>
          </cell>
        </row>
        <row r="8">
          <cell r="A8" t="str">
            <v>MSCI Inc.</v>
          </cell>
          <cell r="BR8" t="str">
            <v>MSCI Inc.</v>
          </cell>
        </row>
        <row r="9">
          <cell r="A9" t="str">
            <v>Quarterly Income Statement</v>
          </cell>
          <cell r="BR9" t="str">
            <v>Annual Income Statement</v>
          </cell>
        </row>
        <row r="10">
          <cell r="A10" t="str">
            <v>(Values in millions, except per-share amounts)</v>
          </cell>
          <cell r="BR10" t="str">
            <v>(Values in millions, except per-share amounts)</v>
          </cell>
        </row>
        <row r="11">
          <cell r="A11" t="str">
            <v>Fiscal Year Ending Dec. 31</v>
          </cell>
          <cell r="C11" t="str">
            <v>4Q06</v>
          </cell>
          <cell r="D11">
            <v>2006</v>
          </cell>
          <cell r="E11" t="str">
            <v>1Q07</v>
          </cell>
          <cell r="F11" t="str">
            <v>2Q07</v>
          </cell>
          <cell r="G11" t="str">
            <v>3Q07</v>
          </cell>
          <cell r="H11" t="str">
            <v>4Q07</v>
          </cell>
          <cell r="I11">
            <v>2007</v>
          </cell>
          <cell r="J11" t="str">
            <v>1Q08</v>
          </cell>
          <cell r="K11" t="str">
            <v>2Q08</v>
          </cell>
          <cell r="L11" t="str">
            <v>3Q08</v>
          </cell>
          <cell r="M11" t="str">
            <v>4Q08</v>
          </cell>
          <cell r="N11">
            <v>2008</v>
          </cell>
          <cell r="O11" t="str">
            <v>1Q09</v>
          </cell>
          <cell r="P11" t="str">
            <v>2Q09</v>
          </cell>
          <cell r="Q11" t="str">
            <v>3Q09</v>
          </cell>
          <cell r="R11" t="str">
            <v>4Q09</v>
          </cell>
          <cell r="S11">
            <v>2009</v>
          </cell>
          <cell r="T11" t="str">
            <v>1Q10</v>
          </cell>
          <cell r="U11" t="str">
            <v>2Q10</v>
          </cell>
          <cell r="V11" t="str">
            <v>3Q10</v>
          </cell>
          <cell r="W11" t="str">
            <v>4Q10</v>
          </cell>
          <cell r="X11">
            <v>2010</v>
          </cell>
          <cell r="Y11" t="str">
            <v>1Q11</v>
          </cell>
          <cell r="Z11" t="str">
            <v>2Q11</v>
          </cell>
          <cell r="AA11" t="str">
            <v>3Q11</v>
          </cell>
          <cell r="AB11" t="str">
            <v>4Q11</v>
          </cell>
          <cell r="AC11">
            <v>2011</v>
          </cell>
          <cell r="AD11" t="str">
            <v>1Q12</v>
          </cell>
          <cell r="AE11" t="str">
            <v>2Q12</v>
          </cell>
          <cell r="AF11" t="str">
            <v>3Q12</v>
          </cell>
          <cell r="AG11" t="str">
            <v>4Q12</v>
          </cell>
          <cell r="AH11">
            <v>2012</v>
          </cell>
          <cell r="AI11" t="str">
            <v>1Q13</v>
          </cell>
          <cell r="AJ11" t="str">
            <v>2Q13</v>
          </cell>
          <cell r="AK11" t="str">
            <v>3Q13</v>
          </cell>
          <cell r="AL11" t="str">
            <v>4Q13</v>
          </cell>
          <cell r="AM11">
            <v>2013</v>
          </cell>
          <cell r="AN11" t="str">
            <v>1Q13R</v>
          </cell>
          <cell r="AO11" t="str">
            <v>2Q13R</v>
          </cell>
          <cell r="AP11" t="str">
            <v>3Q13R</v>
          </cell>
          <cell r="AQ11" t="str">
            <v>4Q13R</v>
          </cell>
          <cell r="AR11" t="str">
            <v>2013R</v>
          </cell>
          <cell r="AS11" t="str">
            <v>1Q14</v>
          </cell>
          <cell r="AT11" t="str">
            <v>2Q14</v>
          </cell>
          <cell r="AU11" t="str">
            <v>3Q14</v>
          </cell>
          <cell r="AV11" t="str">
            <v>4Q14</v>
          </cell>
          <cell r="AW11">
            <v>2014</v>
          </cell>
          <cell r="AX11" t="str">
            <v>1Q15</v>
          </cell>
          <cell r="AY11" t="str">
            <v>2Q15</v>
          </cell>
          <cell r="AZ11" t="str">
            <v>3Q15</v>
          </cell>
          <cell r="BA11" t="str">
            <v>4Q15</v>
          </cell>
          <cell r="BB11">
            <v>2015</v>
          </cell>
          <cell r="BC11" t="str">
            <v>1Q16</v>
          </cell>
          <cell r="BD11" t="str">
            <v>2Q16</v>
          </cell>
          <cell r="BE11" t="str">
            <v>3Q16</v>
          </cell>
          <cell r="BF11" t="str">
            <v>4Q16</v>
          </cell>
          <cell r="BG11">
            <v>2016</v>
          </cell>
          <cell r="BH11" t="str">
            <v>1Q17E</v>
          </cell>
          <cell r="BI11" t="str">
            <v>2Q17E</v>
          </cell>
          <cell r="BJ11" t="str">
            <v>3Q17E</v>
          </cell>
          <cell r="BK11" t="str">
            <v>4Q17E</v>
          </cell>
          <cell r="BL11" t="str">
            <v>2017E</v>
          </cell>
          <cell r="BM11" t="str">
            <v>2018E</v>
          </cell>
          <cell r="BN11" t="str">
            <v>2019E</v>
          </cell>
          <cell r="BO11" t="str">
            <v>2020E</v>
          </cell>
          <cell r="BP11" t="str">
            <v>CAGR '16-'20</v>
          </cell>
          <cell r="BR11" t="str">
            <v>Fiscal Year Ending Dec. 31</v>
          </cell>
          <cell r="BS11">
            <v>2006</v>
          </cell>
          <cell r="BT11">
            <v>2007</v>
          </cell>
          <cell r="BU11">
            <v>2008</v>
          </cell>
          <cell r="BV11">
            <v>2009</v>
          </cell>
          <cell r="BW11">
            <v>2010</v>
          </cell>
          <cell r="BX11">
            <v>2011</v>
          </cell>
          <cell r="BY11">
            <v>2012</v>
          </cell>
          <cell r="BZ11" t="str">
            <v>2013R</v>
          </cell>
          <cell r="CA11">
            <v>2014</v>
          </cell>
          <cell r="CB11">
            <v>2015</v>
          </cell>
          <cell r="CC11">
            <v>2016</v>
          </cell>
          <cell r="CD11" t="str">
            <v>2017E</v>
          </cell>
          <cell r="CE11" t="str">
            <v>2018E</v>
          </cell>
          <cell r="CF11" t="str">
            <v>2019E</v>
          </cell>
          <cell r="CG11" t="str">
            <v>2020E</v>
          </cell>
        </row>
        <row r="12">
          <cell r="A12" t="str">
            <v>Revenue</v>
          </cell>
          <cell r="BR12" t="str">
            <v>Revenue</v>
          </cell>
        </row>
        <row r="13">
          <cell r="A13" t="str">
            <v>Equity indices</v>
          </cell>
          <cell r="BR13" t="str">
            <v>Equity indices</v>
          </cell>
        </row>
        <row r="14">
          <cell r="A14" t="str">
            <v>Equity index subscriptions</v>
          </cell>
          <cell r="C14" t="str">
            <v>ND</v>
          </cell>
          <cell r="D14">
            <v>117.752</v>
          </cell>
          <cell r="E14">
            <v>33.154000000000003</v>
          </cell>
          <cell r="F14">
            <v>33.189</v>
          </cell>
          <cell r="G14">
            <v>33.405000000000001</v>
          </cell>
          <cell r="H14">
            <v>37.341000000000001</v>
          </cell>
          <cell r="I14">
            <v>137.089</v>
          </cell>
          <cell r="J14">
            <v>38.808999999999997</v>
          </cell>
          <cell r="K14">
            <v>41.804000000000002</v>
          </cell>
          <cell r="L14">
            <v>43.665999999999997</v>
          </cell>
          <cell r="M14">
            <v>45.537999999999997</v>
          </cell>
          <cell r="N14">
            <v>169.81700000000001</v>
          </cell>
          <cell r="O14">
            <v>45.267000000000003</v>
          </cell>
          <cell r="P14">
            <v>47.281999999999996</v>
          </cell>
          <cell r="Q14">
            <v>47.417999999999999</v>
          </cell>
          <cell r="R14">
            <v>48.384999999999998</v>
          </cell>
          <cell r="S14">
            <v>188.352</v>
          </cell>
          <cell r="T14">
            <v>50.174999999999997</v>
          </cell>
          <cell r="U14">
            <v>54.222000000000001</v>
          </cell>
          <cell r="V14">
            <v>58.984000000000002</v>
          </cell>
          <cell r="W14">
            <v>61.143000000000001</v>
          </cell>
          <cell r="X14">
            <v>224.524</v>
          </cell>
          <cell r="Y14">
            <v>62.158999999999999</v>
          </cell>
          <cell r="Z14">
            <v>66.275000000000006</v>
          </cell>
          <cell r="AA14">
            <v>66.278999999999996</v>
          </cell>
          <cell r="AB14">
            <v>69.677000000000007</v>
          </cell>
          <cell r="AC14">
            <v>264.39</v>
          </cell>
          <cell r="AD14">
            <v>71.638999999999996</v>
          </cell>
          <cell r="AE14">
            <v>75.828999999999994</v>
          </cell>
          <cell r="AF14">
            <v>73.894000000000005</v>
          </cell>
          <cell r="AG14">
            <v>79.268000000000001</v>
          </cell>
          <cell r="AH14">
            <v>300.63</v>
          </cell>
          <cell r="AI14">
            <v>84.888000000000005</v>
          </cell>
          <cell r="AJ14">
            <v>95.2</v>
          </cell>
          <cell r="AK14">
            <v>92.814999999999998</v>
          </cell>
          <cell r="AL14">
            <v>93.771000000000001</v>
          </cell>
          <cell r="AM14">
            <v>366.67400000000004</v>
          </cell>
          <cell r="AN14">
            <v>70.3</v>
          </cell>
          <cell r="AO14">
            <v>71.3</v>
          </cell>
          <cell r="AP14">
            <v>74.599999999999994</v>
          </cell>
          <cell r="AQ14">
            <v>76</v>
          </cell>
          <cell r="AR14">
            <v>292.2</v>
          </cell>
          <cell r="AS14">
            <v>76.900000000000006</v>
          </cell>
          <cell r="AT14">
            <v>79.400000000000006</v>
          </cell>
          <cell r="AU14">
            <v>81.3</v>
          </cell>
          <cell r="AV14">
            <v>82.5</v>
          </cell>
          <cell r="AW14">
            <v>320.10000000000002</v>
          </cell>
          <cell r="AX14">
            <v>85.1</v>
          </cell>
          <cell r="AY14">
            <v>87.5</v>
          </cell>
          <cell r="AZ14">
            <v>89.1</v>
          </cell>
          <cell r="BA14">
            <v>91.406999999999996</v>
          </cell>
          <cell r="BB14">
            <v>353.10699999999997</v>
          </cell>
          <cell r="BC14">
            <v>93.644999999999996</v>
          </cell>
          <cell r="BD14">
            <v>97.138999999999996</v>
          </cell>
          <cell r="BE14">
            <v>98.625</v>
          </cell>
          <cell r="BF14">
            <v>99.938999999999993</v>
          </cell>
          <cell r="BG14">
            <v>389.34799999999996</v>
          </cell>
          <cell r="BH14">
            <v>102.62532507421874</v>
          </cell>
          <cell r="BI14">
            <v>106.48097748046874</v>
          </cell>
          <cell r="BJ14">
            <v>108.41921704296875</v>
          </cell>
          <cell r="BK14">
            <v>110.19312846484377</v>
          </cell>
          <cell r="BL14">
            <v>427.71864806249999</v>
          </cell>
          <cell r="BM14">
            <v>472.92227852259191</v>
          </cell>
          <cell r="BN14">
            <v>524.75424270603344</v>
          </cell>
          <cell r="BO14">
            <v>583.7661248323775</v>
          </cell>
          <cell r="BP14">
            <v>0.1057743523019381</v>
          </cell>
          <cell r="BR14" t="str">
            <v>Equity index subscriptions</v>
          </cell>
          <cell r="BS14">
            <v>117.752</v>
          </cell>
          <cell r="BT14">
            <v>137.089</v>
          </cell>
          <cell r="BU14">
            <v>169.81700000000001</v>
          </cell>
          <cell r="BV14">
            <v>188.352</v>
          </cell>
          <cell r="BW14">
            <v>224.524</v>
          </cell>
          <cell r="BX14">
            <v>264.39</v>
          </cell>
          <cell r="BY14">
            <v>300.63</v>
          </cell>
          <cell r="BZ14">
            <v>292.2</v>
          </cell>
          <cell r="CA14">
            <v>320.10000000000002</v>
          </cell>
          <cell r="CB14">
            <v>353.10699999999997</v>
          </cell>
          <cell r="CC14">
            <v>389.34799999999996</v>
          </cell>
          <cell r="CD14">
            <v>427.71864806249999</v>
          </cell>
          <cell r="CE14">
            <v>472.92227852259191</v>
          </cell>
          <cell r="CF14">
            <v>524.75424270603344</v>
          </cell>
          <cell r="CG14">
            <v>583.7661248323775</v>
          </cell>
        </row>
        <row r="15">
          <cell r="A15" t="str">
            <v>Equity index asset based fees</v>
          </cell>
          <cell r="C15" t="str">
            <v>ND</v>
          </cell>
          <cell r="D15">
            <v>39.020000000000003</v>
          </cell>
          <cell r="E15">
            <v>13.047000000000001</v>
          </cell>
          <cell r="F15">
            <v>14.644</v>
          </cell>
          <cell r="G15">
            <v>16.530999999999999</v>
          </cell>
          <cell r="H15">
            <v>18.681000000000001</v>
          </cell>
          <cell r="I15">
            <v>62.903000000000006</v>
          </cell>
          <cell r="J15">
            <v>19.588000000000001</v>
          </cell>
          <cell r="K15">
            <v>18.306999999999999</v>
          </cell>
          <cell r="L15">
            <v>18.312000000000001</v>
          </cell>
          <cell r="M15">
            <v>13.472</v>
          </cell>
          <cell r="N15">
            <v>69.678999999999988</v>
          </cell>
          <cell r="O15">
            <v>13.182</v>
          </cell>
          <cell r="P15">
            <v>15.22</v>
          </cell>
          <cell r="Q15">
            <v>20.151</v>
          </cell>
          <cell r="R15">
            <v>22.760999999999999</v>
          </cell>
          <cell r="S15">
            <v>71.313999999999993</v>
          </cell>
          <cell r="T15">
            <v>24.984999999999999</v>
          </cell>
          <cell r="U15">
            <v>25.696000000000002</v>
          </cell>
          <cell r="V15">
            <v>25.134</v>
          </cell>
          <cell r="W15">
            <v>30.045000000000002</v>
          </cell>
          <cell r="X15">
            <v>105.86</v>
          </cell>
          <cell r="Y15">
            <v>37.869</v>
          </cell>
          <cell r="Z15">
            <v>36.286999999999999</v>
          </cell>
          <cell r="AA15">
            <v>35.03</v>
          </cell>
          <cell r="AB15">
            <v>31.056999999999999</v>
          </cell>
          <cell r="AC15">
            <v>140.24299999999999</v>
          </cell>
          <cell r="AD15">
            <v>34.609000000000002</v>
          </cell>
          <cell r="AE15">
            <v>34.094000000000001</v>
          </cell>
          <cell r="AF15">
            <v>34.042000000000002</v>
          </cell>
          <cell r="AG15">
            <v>38.137999999999998</v>
          </cell>
          <cell r="AH15">
            <v>140.88300000000001</v>
          </cell>
          <cell r="AI15">
            <v>36.515000000000001</v>
          </cell>
          <cell r="AJ15">
            <v>36.97</v>
          </cell>
          <cell r="AK15">
            <v>36.801000000000002</v>
          </cell>
          <cell r="AL15">
            <v>39.200000000000003</v>
          </cell>
          <cell r="AM15">
            <v>149.48599999999999</v>
          </cell>
          <cell r="AN15">
            <v>36.515000000000001</v>
          </cell>
          <cell r="AO15">
            <v>36.97</v>
          </cell>
          <cell r="AP15">
            <v>36.801000000000002</v>
          </cell>
          <cell r="AQ15">
            <v>39.200000000000003</v>
          </cell>
          <cell r="AR15">
            <v>149.48599999999999</v>
          </cell>
          <cell r="AS15">
            <v>40.9</v>
          </cell>
          <cell r="AT15">
            <v>44.094999999999999</v>
          </cell>
          <cell r="AU15">
            <v>46.656999999999996</v>
          </cell>
          <cell r="AV15">
            <v>45.453000000000003</v>
          </cell>
          <cell r="AW15">
            <v>177.10499999999999</v>
          </cell>
          <cell r="AX15">
            <v>45.88</v>
          </cell>
          <cell r="AY15">
            <v>51.16</v>
          </cell>
          <cell r="AZ15">
            <v>50.735999999999997</v>
          </cell>
          <cell r="BA15">
            <v>50.198</v>
          </cell>
          <cell r="BB15">
            <v>197.97399999999999</v>
          </cell>
          <cell r="BC15">
            <v>48.698999999999998</v>
          </cell>
          <cell r="BD15">
            <v>49.634</v>
          </cell>
          <cell r="BE15">
            <v>56.122</v>
          </cell>
          <cell r="BF15">
            <v>55.774000000000001</v>
          </cell>
          <cell r="BG15">
            <v>210.20699999999999</v>
          </cell>
          <cell r="BH15">
            <v>55.048233406249992</v>
          </cell>
          <cell r="BI15">
            <v>55.043050890468749</v>
          </cell>
          <cell r="BJ15">
            <v>58.418091997644538</v>
          </cell>
          <cell r="BK15">
            <v>59.022841985154692</v>
          </cell>
          <cell r="BL15">
            <v>227.53221827951799</v>
          </cell>
          <cell r="BM15">
            <v>240.82168637763419</v>
          </cell>
          <cell r="BN15">
            <v>254.31804801977992</v>
          </cell>
          <cell r="BO15">
            <v>267.23740218287389</v>
          </cell>
          <cell r="BP15">
            <v>6.1836907815104203E-2</v>
          </cell>
          <cell r="BR15" t="str">
            <v>Equity index asset based fees</v>
          </cell>
          <cell r="BS15">
            <v>39.020000000000003</v>
          </cell>
          <cell r="BT15">
            <v>62.903000000000006</v>
          </cell>
          <cell r="BU15">
            <v>69.678999999999988</v>
          </cell>
          <cell r="BV15">
            <v>71.313999999999993</v>
          </cell>
          <cell r="BW15">
            <v>105.86</v>
          </cell>
          <cell r="BX15">
            <v>140.24299999999999</v>
          </cell>
          <cell r="BY15">
            <v>140.88300000000001</v>
          </cell>
          <cell r="BZ15">
            <v>149.48599999999999</v>
          </cell>
          <cell r="CA15">
            <v>177.10499999999999</v>
          </cell>
          <cell r="CB15">
            <v>197.97399999999999</v>
          </cell>
          <cell r="CC15">
            <v>210.20699999999999</v>
          </cell>
          <cell r="CD15">
            <v>227.53221827951799</v>
          </cell>
          <cell r="CE15">
            <v>240.82168637763419</v>
          </cell>
          <cell r="CF15">
            <v>254.31804801977992</v>
          </cell>
          <cell r="CG15">
            <v>267.23740218287389</v>
          </cell>
        </row>
        <row r="16">
          <cell r="A16" t="str">
            <v>Index non-recurring</v>
          </cell>
          <cell r="AN16">
            <v>1.6</v>
          </cell>
          <cell r="AO16">
            <v>1.6</v>
          </cell>
          <cell r="AP16">
            <v>1.4</v>
          </cell>
          <cell r="AQ16">
            <v>2.1</v>
          </cell>
          <cell r="AR16">
            <v>6.6999999999999993</v>
          </cell>
          <cell r="AS16">
            <v>1.3</v>
          </cell>
          <cell r="AT16">
            <v>2</v>
          </cell>
          <cell r="AU16">
            <v>1.9</v>
          </cell>
          <cell r="AV16">
            <v>1.5</v>
          </cell>
          <cell r="AW16">
            <v>6.6999999999999993</v>
          </cell>
          <cell r="AX16">
            <v>2.6</v>
          </cell>
          <cell r="AY16">
            <v>1.4</v>
          </cell>
          <cell r="AZ16">
            <v>1.7</v>
          </cell>
          <cell r="BA16">
            <v>2.097</v>
          </cell>
          <cell r="BB16">
            <v>7.7970000000000006</v>
          </cell>
          <cell r="BC16">
            <v>2.2690000000000001</v>
          </cell>
          <cell r="BD16">
            <v>5.3440000000000003</v>
          </cell>
          <cell r="BE16">
            <v>3.004</v>
          </cell>
          <cell r="BF16">
            <v>3.3570000000000002</v>
          </cell>
          <cell r="BG16">
            <v>13.974</v>
          </cell>
          <cell r="BH16">
            <v>3.4935</v>
          </cell>
          <cell r="BI16">
            <v>3.4935</v>
          </cell>
          <cell r="BJ16">
            <v>3.4935</v>
          </cell>
          <cell r="BK16">
            <v>3.4935</v>
          </cell>
          <cell r="BL16">
            <v>13.974</v>
          </cell>
          <cell r="BM16">
            <v>13.974</v>
          </cell>
          <cell r="BN16">
            <v>13.974</v>
          </cell>
          <cell r="BO16">
            <v>13.974</v>
          </cell>
          <cell r="BP16">
            <v>0.12377312291892029</v>
          </cell>
          <cell r="BR16" t="str">
            <v>Index non-recurring</v>
          </cell>
          <cell r="BS16">
            <v>0</v>
          </cell>
          <cell r="BT16">
            <v>0</v>
          </cell>
          <cell r="BU16">
            <v>0</v>
          </cell>
          <cell r="BV16">
            <v>0</v>
          </cell>
          <cell r="BW16">
            <v>0</v>
          </cell>
          <cell r="CA16">
            <v>6.6999999999999993</v>
          </cell>
          <cell r="CB16">
            <v>7.7970000000000006</v>
          </cell>
          <cell r="CC16">
            <v>13.974</v>
          </cell>
          <cell r="CD16">
            <v>13.974</v>
          </cell>
          <cell r="CE16">
            <v>13.974</v>
          </cell>
          <cell r="CF16">
            <v>13.974</v>
          </cell>
          <cell r="CG16">
            <v>13.974</v>
          </cell>
        </row>
        <row r="17">
          <cell r="A17" t="str">
            <v xml:space="preserve"> Equity indices total</v>
          </cell>
          <cell r="C17">
            <v>42.271999999999991</v>
          </cell>
          <cell r="D17">
            <v>156.77199999999999</v>
          </cell>
          <cell r="E17">
            <v>46.201000000000008</v>
          </cell>
          <cell r="F17">
            <v>47.832999999999998</v>
          </cell>
          <cell r="G17">
            <v>49.936</v>
          </cell>
          <cell r="H17">
            <v>56.022000000000006</v>
          </cell>
          <cell r="I17">
            <v>199.99200000000002</v>
          </cell>
          <cell r="J17">
            <v>58.396999999999998</v>
          </cell>
          <cell r="K17">
            <v>60.111000000000004</v>
          </cell>
          <cell r="L17">
            <v>61.977999999999994</v>
          </cell>
          <cell r="M17">
            <v>59.01</v>
          </cell>
          <cell r="N17">
            <v>239.49599999999998</v>
          </cell>
          <cell r="O17">
            <v>58.449000000000005</v>
          </cell>
          <cell r="P17">
            <v>62.501999999999995</v>
          </cell>
          <cell r="Q17">
            <v>67.569000000000003</v>
          </cell>
          <cell r="R17">
            <v>71.146000000000001</v>
          </cell>
          <cell r="S17">
            <v>259.666</v>
          </cell>
          <cell r="T17">
            <v>75.16</v>
          </cell>
          <cell r="U17">
            <v>79.918000000000006</v>
          </cell>
          <cell r="V17">
            <v>84.117999999999995</v>
          </cell>
          <cell r="W17">
            <v>91.188000000000002</v>
          </cell>
          <cell r="X17">
            <v>330.38400000000001</v>
          </cell>
          <cell r="Y17">
            <v>100.02799999999999</v>
          </cell>
          <cell r="Z17">
            <v>102.56200000000001</v>
          </cell>
          <cell r="AA17">
            <v>101.309</v>
          </cell>
          <cell r="AB17">
            <v>100.73400000000001</v>
          </cell>
          <cell r="AC17">
            <v>404.63299999999998</v>
          </cell>
          <cell r="AD17">
            <v>106.24799999999999</v>
          </cell>
          <cell r="AE17">
            <v>109.923</v>
          </cell>
          <cell r="AF17">
            <v>107.93600000000001</v>
          </cell>
          <cell r="AG17">
            <v>117.40600000000001</v>
          </cell>
          <cell r="AH17">
            <v>441.51300000000003</v>
          </cell>
          <cell r="AI17">
            <v>121.40300000000001</v>
          </cell>
          <cell r="AJ17">
            <v>132.17000000000002</v>
          </cell>
          <cell r="AK17">
            <v>129.61599999999999</v>
          </cell>
          <cell r="AL17">
            <v>132.971</v>
          </cell>
          <cell r="AM17">
            <v>516.16000000000008</v>
          </cell>
          <cell r="AN17">
            <v>108.41499999999999</v>
          </cell>
          <cell r="AO17">
            <v>109.86999999999999</v>
          </cell>
          <cell r="AP17">
            <v>112.801</v>
          </cell>
          <cell r="AQ17">
            <v>117.3</v>
          </cell>
          <cell r="AR17">
            <v>448.38599999999997</v>
          </cell>
          <cell r="AS17">
            <v>119.10000000000001</v>
          </cell>
          <cell r="AT17">
            <v>125.495</v>
          </cell>
          <cell r="AU17">
            <v>129.857</v>
          </cell>
          <cell r="AV17">
            <v>129.453</v>
          </cell>
          <cell r="AW17">
            <v>503.90500000000003</v>
          </cell>
          <cell r="AX17">
            <v>133.57999999999998</v>
          </cell>
          <cell r="AY17">
            <v>140.06</v>
          </cell>
          <cell r="AZ17">
            <v>141.53599999999997</v>
          </cell>
          <cell r="BA17">
            <v>143.702</v>
          </cell>
          <cell r="BB17">
            <v>558.87799999999993</v>
          </cell>
          <cell r="BC17">
            <v>144.613</v>
          </cell>
          <cell r="BD17">
            <v>152.11699999999999</v>
          </cell>
          <cell r="BE17">
            <v>157.751</v>
          </cell>
          <cell r="BF17">
            <v>159.07</v>
          </cell>
          <cell r="BG17">
            <v>613.529</v>
          </cell>
          <cell r="BH17">
            <v>161.16705848046874</v>
          </cell>
          <cell r="BI17">
            <v>165.0175283709375</v>
          </cell>
          <cell r="BJ17">
            <v>170.3308090406133</v>
          </cell>
          <cell r="BK17">
            <v>172.70947044999846</v>
          </cell>
          <cell r="BL17">
            <v>669.224866342018</v>
          </cell>
          <cell r="BM17">
            <v>727.71796490022609</v>
          </cell>
          <cell r="BN17">
            <v>793.04629072581338</v>
          </cell>
          <cell r="BO17">
            <v>864.97752701525144</v>
          </cell>
          <cell r="BP17">
            <v>9.1283432688881394E-2</v>
          </cell>
          <cell r="BR17" t="str">
            <v xml:space="preserve"> Equity indices total</v>
          </cell>
          <cell r="BS17">
            <v>156.77199999999999</v>
          </cell>
          <cell r="BT17">
            <v>199.99200000000002</v>
          </cell>
          <cell r="BU17">
            <v>239.49599999999998</v>
          </cell>
          <cell r="BV17">
            <v>259.666</v>
          </cell>
          <cell r="BW17">
            <v>330.38400000000001</v>
          </cell>
          <cell r="BX17">
            <v>404.63299999999998</v>
          </cell>
          <cell r="BY17">
            <v>441.51300000000003</v>
          </cell>
          <cell r="BZ17">
            <v>448.38599999999997</v>
          </cell>
          <cell r="CA17">
            <v>503.90500000000003</v>
          </cell>
          <cell r="CB17">
            <v>558.87799999999993</v>
          </cell>
          <cell r="CC17">
            <v>613.529</v>
          </cell>
          <cell r="CD17">
            <v>669.224866342018</v>
          </cell>
          <cell r="CE17">
            <v>727.71796490022609</v>
          </cell>
          <cell r="CF17">
            <v>793.04629072581338</v>
          </cell>
          <cell r="CG17">
            <v>864.97752701525144</v>
          </cell>
        </row>
        <row r="19">
          <cell r="A19" t="str">
            <v>Analytics subscriptions</v>
          </cell>
          <cell r="AN19">
            <v>96.9</v>
          </cell>
          <cell r="AO19">
            <v>95.3</v>
          </cell>
          <cell r="AP19">
            <v>98.4</v>
          </cell>
          <cell r="AQ19">
            <v>103.1</v>
          </cell>
          <cell r="AR19">
            <v>393.70000000000005</v>
          </cell>
          <cell r="AS19">
            <v>100.5</v>
          </cell>
          <cell r="AT19">
            <v>103</v>
          </cell>
          <cell r="AU19">
            <v>102.2</v>
          </cell>
          <cell r="AV19">
            <v>104.1</v>
          </cell>
          <cell r="AW19">
            <v>409.79999999999995</v>
          </cell>
          <cell r="AX19">
            <v>105.4</v>
          </cell>
          <cell r="AY19">
            <v>106.4</v>
          </cell>
          <cell r="AZ19">
            <v>107.065</v>
          </cell>
          <cell r="BA19">
            <v>107.855</v>
          </cell>
          <cell r="BB19">
            <v>426.72</v>
          </cell>
          <cell r="BC19">
            <v>108.63</v>
          </cell>
          <cell r="BD19">
            <v>110.452</v>
          </cell>
          <cell r="BE19">
            <v>109.554</v>
          </cell>
          <cell r="BF19">
            <v>111.22799999999999</v>
          </cell>
          <cell r="BG19">
            <v>439.86399999999998</v>
          </cell>
          <cell r="BH19">
            <v>112.82473537499999</v>
          </cell>
          <cell r="BI19">
            <v>113.49777238281251</v>
          </cell>
          <cell r="BJ19">
            <v>114.1856374609375</v>
          </cell>
          <cell r="BK19">
            <v>115.07472999218749</v>
          </cell>
          <cell r="BL19">
            <v>455.58287521093746</v>
          </cell>
          <cell r="BM19">
            <v>471.76988203874413</v>
          </cell>
          <cell r="BN19">
            <v>492.01152773849412</v>
          </cell>
          <cell r="BO19">
            <v>514.84925083469</v>
          </cell>
          <cell r="BP19">
            <v>3.826309509597281E-2</v>
          </cell>
          <cell r="BR19" t="str">
            <v>Analytics subscriptions</v>
          </cell>
          <cell r="BS19">
            <v>0</v>
          </cell>
          <cell r="BT19">
            <v>0</v>
          </cell>
          <cell r="BU19">
            <v>0</v>
          </cell>
          <cell r="BV19">
            <v>0</v>
          </cell>
          <cell r="BW19">
            <v>0</v>
          </cell>
          <cell r="BX19">
            <v>0</v>
          </cell>
          <cell r="BY19">
            <v>0</v>
          </cell>
          <cell r="BZ19">
            <v>393.70000000000005</v>
          </cell>
          <cell r="CA19">
            <v>409.79999999999995</v>
          </cell>
          <cell r="CB19">
            <v>426.72</v>
          </cell>
          <cell r="CC19">
            <v>439.86399999999998</v>
          </cell>
          <cell r="CD19">
            <v>455.58287521093746</v>
          </cell>
          <cell r="CE19">
            <v>471.76988203874413</v>
          </cell>
          <cell r="CF19">
            <v>492.01152773849412</v>
          </cell>
          <cell r="CG19">
            <v>514.84925083469</v>
          </cell>
        </row>
        <row r="20">
          <cell r="A20" t="str">
            <v>Analytics non-recurring</v>
          </cell>
          <cell r="AN20">
            <v>1.1000000000000001</v>
          </cell>
          <cell r="AO20">
            <v>1</v>
          </cell>
          <cell r="AP20">
            <v>0.6</v>
          </cell>
          <cell r="AQ20">
            <v>0.8</v>
          </cell>
          <cell r="AR20">
            <v>3.5</v>
          </cell>
          <cell r="AS20">
            <v>1</v>
          </cell>
          <cell r="AT20">
            <v>1</v>
          </cell>
          <cell r="AU20">
            <v>1</v>
          </cell>
          <cell r="AV20">
            <v>1.4</v>
          </cell>
          <cell r="AW20">
            <v>4.4000000000000004</v>
          </cell>
          <cell r="AX20">
            <v>1.4</v>
          </cell>
          <cell r="AY20">
            <v>1.2</v>
          </cell>
          <cell r="AZ20">
            <v>1.276</v>
          </cell>
          <cell r="BA20">
            <v>2.8130000000000002</v>
          </cell>
          <cell r="BB20">
            <v>6.6890000000000001</v>
          </cell>
          <cell r="BC20">
            <v>1.633</v>
          </cell>
          <cell r="BD20">
            <v>1.9410000000000001</v>
          </cell>
          <cell r="BE20">
            <v>1.7370000000000001</v>
          </cell>
          <cell r="BF20">
            <v>3.1779999999999999</v>
          </cell>
          <cell r="BG20">
            <v>8.4890000000000008</v>
          </cell>
          <cell r="BH20">
            <v>1.633</v>
          </cell>
          <cell r="BI20">
            <v>1.9410000000000001</v>
          </cell>
          <cell r="BJ20">
            <v>1.7370000000000001</v>
          </cell>
          <cell r="BK20">
            <v>3.1779999999999999</v>
          </cell>
          <cell r="BL20">
            <v>8.4890000000000008</v>
          </cell>
          <cell r="BM20">
            <v>8.4890000000000008</v>
          </cell>
          <cell r="BN20">
            <v>8.4890000000000008</v>
          </cell>
          <cell r="BO20">
            <v>8.4890000000000008</v>
          </cell>
          <cell r="BP20">
            <v>4.8815428859844578E-2</v>
          </cell>
          <cell r="BR20" t="str">
            <v>Analytics non-recurring</v>
          </cell>
          <cell r="BS20">
            <v>0</v>
          </cell>
          <cell r="BT20">
            <v>0</v>
          </cell>
          <cell r="BU20">
            <v>0</v>
          </cell>
          <cell r="BV20">
            <v>0</v>
          </cell>
          <cell r="BW20">
            <v>0</v>
          </cell>
          <cell r="BX20">
            <v>0</v>
          </cell>
          <cell r="BY20">
            <v>0</v>
          </cell>
          <cell r="BZ20">
            <v>3.5</v>
          </cell>
          <cell r="CA20">
            <v>4.4000000000000004</v>
          </cell>
          <cell r="CB20">
            <v>6.6890000000000001</v>
          </cell>
          <cell r="CC20">
            <v>8.4890000000000008</v>
          </cell>
          <cell r="CD20">
            <v>8.4890000000000008</v>
          </cell>
          <cell r="CE20">
            <v>8.4890000000000008</v>
          </cell>
          <cell r="CF20">
            <v>8.4890000000000008</v>
          </cell>
          <cell r="CG20">
            <v>8.4890000000000008</v>
          </cell>
        </row>
        <row r="21">
          <cell r="A21" t="str">
            <v>Analytics total</v>
          </cell>
          <cell r="AN21">
            <v>98</v>
          </cell>
          <cell r="AO21">
            <v>96.3</v>
          </cell>
          <cell r="AP21">
            <v>99</v>
          </cell>
          <cell r="AQ21">
            <v>103.89999999999999</v>
          </cell>
          <cell r="AR21">
            <v>397.2</v>
          </cell>
          <cell r="AS21">
            <v>101.5</v>
          </cell>
          <cell r="AT21">
            <v>104</v>
          </cell>
          <cell r="AU21">
            <v>103.2</v>
          </cell>
          <cell r="AV21">
            <v>105.5</v>
          </cell>
          <cell r="AW21">
            <v>414.2</v>
          </cell>
          <cell r="AX21">
            <v>106.80000000000001</v>
          </cell>
          <cell r="AY21">
            <v>107.60000000000001</v>
          </cell>
          <cell r="AZ21">
            <v>108.34099999999999</v>
          </cell>
          <cell r="BA21">
            <v>110.66800000000001</v>
          </cell>
          <cell r="BB21">
            <v>433.40900000000005</v>
          </cell>
          <cell r="BC21">
            <v>110.26299999999999</v>
          </cell>
          <cell r="BD21">
            <v>112.393</v>
          </cell>
          <cell r="BE21">
            <v>111.291</v>
          </cell>
          <cell r="BF21">
            <v>114.40599999999999</v>
          </cell>
          <cell r="BG21">
            <v>448.35300000000001</v>
          </cell>
          <cell r="BH21">
            <v>114.45773537499998</v>
          </cell>
          <cell r="BI21">
            <v>115.43877238281252</v>
          </cell>
          <cell r="BJ21">
            <v>115.92263746093749</v>
          </cell>
          <cell r="BK21">
            <v>118.25272999218748</v>
          </cell>
          <cell r="BL21">
            <v>464.07187521093749</v>
          </cell>
          <cell r="BM21">
            <v>480.2588820387441</v>
          </cell>
          <cell r="BN21">
            <v>500.5005277384941</v>
          </cell>
          <cell r="BO21">
            <v>523.33825083469003</v>
          </cell>
          <cell r="BP21">
            <v>3.8429245155211289E-2</v>
          </cell>
          <cell r="BR21" t="str">
            <v>Analytics total</v>
          </cell>
          <cell r="BX21">
            <v>362.459</v>
          </cell>
          <cell r="BY21">
            <v>376.40899999999999</v>
          </cell>
          <cell r="BZ21">
            <v>397.20400000000001</v>
          </cell>
          <cell r="CA21">
            <v>414.2</v>
          </cell>
          <cell r="CB21">
            <v>433.40900000000005</v>
          </cell>
          <cell r="CC21">
            <v>448.35300000000001</v>
          </cell>
          <cell r="CD21">
            <v>464.07187521093749</v>
          </cell>
          <cell r="CE21">
            <v>480.2588820387441</v>
          </cell>
          <cell r="CF21">
            <v>500.5005277384941</v>
          </cell>
          <cell r="CG21">
            <v>523.33825083469003</v>
          </cell>
        </row>
        <row r="23">
          <cell r="A23" t="str">
            <v>All Other subscriptions</v>
          </cell>
          <cell r="AN23">
            <v>12.5</v>
          </cell>
          <cell r="AO23">
            <v>19.7</v>
          </cell>
          <cell r="AP23">
            <v>16.2</v>
          </cell>
          <cell r="AQ23">
            <v>14.3</v>
          </cell>
          <cell r="AR23">
            <v>62.7</v>
          </cell>
          <cell r="AS23">
            <v>17.600000000000001</v>
          </cell>
          <cell r="AT23">
            <v>22.9</v>
          </cell>
          <cell r="AU23">
            <v>16.3</v>
          </cell>
          <cell r="AV23">
            <v>14.5</v>
          </cell>
          <cell r="AW23">
            <v>71.3</v>
          </cell>
          <cell r="AX23">
            <v>21.8</v>
          </cell>
          <cell r="AY23">
            <v>21.7</v>
          </cell>
          <cell r="AZ23">
            <v>17.600000000000001</v>
          </cell>
          <cell r="BA23">
            <v>16.640999999999998</v>
          </cell>
          <cell r="BB23">
            <v>77.741</v>
          </cell>
          <cell r="BC23">
            <v>23.062999999999999</v>
          </cell>
          <cell r="BD23">
            <v>25.140999999999998</v>
          </cell>
          <cell r="BE23">
            <v>18.329000000000001</v>
          </cell>
          <cell r="BF23">
            <v>17.923999999999999</v>
          </cell>
          <cell r="BG23">
            <v>84.456999999999994</v>
          </cell>
          <cell r="BH23">
            <v>24.321205296875</v>
          </cell>
          <cell r="BI23">
            <v>26.401702281250003</v>
          </cell>
          <cell r="BJ23">
            <v>19.903560046875</v>
          </cell>
          <cell r="BK23">
            <v>19.930108312500003</v>
          </cell>
          <cell r="BL23">
            <v>90.556575937500014</v>
          </cell>
          <cell r="BM23">
            <v>102.45000231562501</v>
          </cell>
          <cell r="BN23">
            <v>115.79289961521877</v>
          </cell>
          <cell r="BO23">
            <v>129.48549412584657</v>
          </cell>
          <cell r="BP23">
            <v>0.10742468303117514</v>
          </cell>
          <cell r="BR23" t="str">
            <v>All Other subscriptions</v>
          </cell>
          <cell r="BX23" t="str">
            <v>ND</v>
          </cell>
          <cell r="BY23" t="str">
            <v>ND</v>
          </cell>
          <cell r="BZ23">
            <v>62.7</v>
          </cell>
          <cell r="CA23">
            <v>71.3</v>
          </cell>
          <cell r="CB23">
            <v>77.741</v>
          </cell>
          <cell r="CC23">
            <v>84.456999999999994</v>
          </cell>
          <cell r="CD23">
            <v>90.556575937500014</v>
          </cell>
          <cell r="CE23">
            <v>102.45000231562501</v>
          </cell>
          <cell r="CF23">
            <v>115.79289961521877</v>
          </cell>
          <cell r="CG23">
            <v>129.48549412584657</v>
          </cell>
        </row>
        <row r="24">
          <cell r="A24" t="str">
            <v>All Other non-recurring</v>
          </cell>
          <cell r="AN24">
            <v>0.60000000000000009</v>
          </cell>
          <cell r="AO24">
            <v>2.5</v>
          </cell>
          <cell r="AP24">
            <v>0.7</v>
          </cell>
          <cell r="AQ24">
            <v>1.3</v>
          </cell>
          <cell r="AR24">
            <v>5.0999999999999996</v>
          </cell>
          <cell r="AS24">
            <v>1.5</v>
          </cell>
          <cell r="AT24">
            <v>1.9000000000000001</v>
          </cell>
          <cell r="AU24">
            <v>2.2000000000000002</v>
          </cell>
          <cell r="AV24">
            <v>1.7000000000000002</v>
          </cell>
          <cell r="AW24">
            <v>7.3000000000000007</v>
          </cell>
          <cell r="AX24">
            <v>0.6</v>
          </cell>
          <cell r="AY24">
            <v>1.2000000000000002</v>
          </cell>
          <cell r="AZ24">
            <v>1.3</v>
          </cell>
          <cell r="BA24">
            <v>1.8819999999999999</v>
          </cell>
          <cell r="BB24">
            <v>4.9820000000000002</v>
          </cell>
          <cell r="BC24">
            <v>0.88900000000000001</v>
          </cell>
          <cell r="BD24">
            <v>0.94499999999999995</v>
          </cell>
          <cell r="BE24">
            <v>1.0620000000000001</v>
          </cell>
          <cell r="BF24">
            <v>1.4119999999999999</v>
          </cell>
          <cell r="BG24">
            <v>4.3079999999999998</v>
          </cell>
          <cell r="BH24">
            <v>0.88900000000000001</v>
          </cell>
          <cell r="BI24">
            <v>0.94499999999999995</v>
          </cell>
          <cell r="BJ24">
            <v>1.0620000000000001</v>
          </cell>
          <cell r="BK24">
            <v>1.4119999999999999</v>
          </cell>
          <cell r="BL24">
            <v>4.3079999999999998</v>
          </cell>
          <cell r="BM24">
            <v>5.6479999999999997</v>
          </cell>
          <cell r="BN24">
            <v>5.6479999999999997</v>
          </cell>
          <cell r="BO24">
            <v>5.6479999999999997</v>
          </cell>
          <cell r="BP24">
            <v>2.5411521769547418E-2</v>
          </cell>
          <cell r="BR24" t="str">
            <v>All Other non-recurring</v>
          </cell>
          <cell r="BX24" t="str">
            <v>ND</v>
          </cell>
          <cell r="BY24" t="str">
            <v>ND</v>
          </cell>
          <cell r="BZ24">
            <v>5.0999999999999996</v>
          </cell>
          <cell r="CA24">
            <v>7.3000000000000007</v>
          </cell>
          <cell r="CB24">
            <v>4.9820000000000002</v>
          </cell>
          <cell r="CC24">
            <v>4.3079999999999998</v>
          </cell>
          <cell r="CD24">
            <v>4.3079999999999998</v>
          </cell>
          <cell r="CE24">
            <v>5.6479999999999997</v>
          </cell>
          <cell r="CF24">
            <v>5.6479999999999997</v>
          </cell>
          <cell r="CG24">
            <v>5.6479999999999997</v>
          </cell>
        </row>
        <row r="25">
          <cell r="A25" t="str">
            <v>All Other total</v>
          </cell>
          <cell r="AN25">
            <v>13.1</v>
          </cell>
          <cell r="AO25">
            <v>22.2</v>
          </cell>
          <cell r="AP25">
            <v>16.899999999999999</v>
          </cell>
          <cell r="AQ25">
            <v>15.600000000000001</v>
          </cell>
          <cell r="AR25">
            <v>67.8</v>
          </cell>
          <cell r="AS25">
            <v>19.100000000000001</v>
          </cell>
          <cell r="AT25">
            <v>24.799999999999997</v>
          </cell>
          <cell r="AU25">
            <v>18.5</v>
          </cell>
          <cell r="AV25">
            <v>16.2</v>
          </cell>
          <cell r="AW25">
            <v>78.599999999999994</v>
          </cell>
          <cell r="AX25">
            <v>22.400000000000002</v>
          </cell>
          <cell r="AY25">
            <v>22.9</v>
          </cell>
          <cell r="AZ25">
            <v>18.900000000000002</v>
          </cell>
          <cell r="BA25">
            <v>18.523</v>
          </cell>
          <cell r="BB25">
            <v>82.722999999999999</v>
          </cell>
          <cell r="BC25">
            <v>23.951999999999998</v>
          </cell>
          <cell r="BD25">
            <v>26.085999999999999</v>
          </cell>
          <cell r="BE25">
            <v>19.391000000000002</v>
          </cell>
          <cell r="BF25">
            <v>19.335999999999999</v>
          </cell>
          <cell r="BG25">
            <v>88.765000000000001</v>
          </cell>
          <cell r="BH25">
            <v>25.210205296874999</v>
          </cell>
          <cell r="BI25">
            <v>27.346702281250003</v>
          </cell>
          <cell r="BJ25">
            <v>20.965560046875002</v>
          </cell>
          <cell r="BK25">
            <v>21.342108312500002</v>
          </cell>
          <cell r="BL25">
            <v>94.864575937500007</v>
          </cell>
          <cell r="BM25">
            <v>108.09800231562501</v>
          </cell>
          <cell r="BN25">
            <v>121.44089961521877</v>
          </cell>
          <cell r="BO25">
            <v>135.13349412584657</v>
          </cell>
          <cell r="BP25">
            <v>0.10313165241644517</v>
          </cell>
          <cell r="BR25" t="str">
            <v>All Other total</v>
          </cell>
          <cell r="BX25" t="str">
            <v>ND</v>
          </cell>
          <cell r="BY25" t="str">
            <v>ND</v>
          </cell>
          <cell r="BZ25">
            <v>67.8</v>
          </cell>
          <cell r="CA25">
            <v>78.599999999999994</v>
          </cell>
          <cell r="CB25">
            <v>82.722999999999999</v>
          </cell>
          <cell r="CC25">
            <v>88.765000000000001</v>
          </cell>
          <cell r="CD25">
            <v>94.864575937500007</v>
          </cell>
          <cell r="CE25">
            <v>108.09800231562501</v>
          </cell>
          <cell r="CF25">
            <v>121.44089961521877</v>
          </cell>
          <cell r="CG25">
            <v>135.13349412584657</v>
          </cell>
        </row>
        <row r="27">
          <cell r="A27" t="str">
            <v xml:space="preserve"> Energy and Governance</v>
          </cell>
          <cell r="C27">
            <v>7.2349999999999994</v>
          </cell>
          <cell r="D27">
            <v>27.045999999999999</v>
          </cell>
          <cell r="E27">
            <v>7.2210000000000001</v>
          </cell>
          <cell r="F27">
            <v>6.2939999999999996</v>
          </cell>
          <cell r="G27">
            <v>6.35</v>
          </cell>
          <cell r="H27">
            <v>6.3109999999999999</v>
          </cell>
          <cell r="I27">
            <v>26.176000000000002</v>
          </cell>
          <cell r="J27">
            <v>6.32</v>
          </cell>
          <cell r="K27">
            <v>5.5839999999999996</v>
          </cell>
          <cell r="L27">
            <v>5.8390000000000004</v>
          </cell>
          <cell r="M27">
            <v>6.5270000000000001</v>
          </cell>
          <cell r="N27">
            <v>24.270000000000003</v>
          </cell>
          <cell r="O27">
            <v>5.7030000000000003</v>
          </cell>
          <cell r="P27">
            <v>5.7190000000000003</v>
          </cell>
          <cell r="Q27">
            <v>3.0550000000000002</v>
          </cell>
          <cell r="R27">
            <v>6.6639999999999997</v>
          </cell>
          <cell r="S27">
            <v>21.140999999999998</v>
          </cell>
          <cell r="T27">
            <v>5.6920000000000002</v>
          </cell>
          <cell r="U27">
            <v>5.1040000000000001</v>
          </cell>
          <cell r="V27">
            <v>33.597999999999999</v>
          </cell>
          <cell r="W27">
            <v>33.157000000000004</v>
          </cell>
          <cell r="X27">
            <v>77.551000000000002</v>
          </cell>
          <cell r="Y27">
            <v>35.119999999999997</v>
          </cell>
          <cell r="Z27">
            <v>33.921999999999997</v>
          </cell>
          <cell r="AA27">
            <v>31.593</v>
          </cell>
          <cell r="AB27">
            <v>33.213999999999999</v>
          </cell>
          <cell r="AC27">
            <v>133.84899999999999</v>
          </cell>
          <cell r="AD27">
            <v>29.664000000000001</v>
          </cell>
          <cell r="AE27">
            <v>34.768999999999998</v>
          </cell>
          <cell r="AF27">
            <v>33.372</v>
          </cell>
          <cell r="AG27">
            <v>34.414000000000001</v>
          </cell>
          <cell r="AH27">
            <v>132.21899999999999</v>
          </cell>
          <cell r="AI27">
            <v>35.585999999999999</v>
          </cell>
          <cell r="AJ27">
            <v>32.54</v>
          </cell>
          <cell r="AK27">
            <v>32.743000000000002</v>
          </cell>
          <cell r="AL27">
            <v>33.823999999999998</v>
          </cell>
          <cell r="AM27">
            <v>134.69299999999998</v>
          </cell>
          <cell r="BR27" t="str">
            <v xml:space="preserve"> Energy and Governance</v>
          </cell>
          <cell r="BS27">
            <v>27.045999999999999</v>
          </cell>
          <cell r="BT27">
            <v>26.176000000000002</v>
          </cell>
          <cell r="BU27">
            <v>24.270000000000003</v>
          </cell>
          <cell r="BV27">
            <v>21.140999999999998</v>
          </cell>
          <cell r="BW27">
            <v>77.551000000000002</v>
          </cell>
          <cell r="BX27">
            <v>133.84899999999999</v>
          </cell>
          <cell r="BY27">
            <v>132.21899999999999</v>
          </cell>
          <cell r="BZ27">
            <v>0</v>
          </cell>
        </row>
        <row r="28">
          <cell r="A28" t="str">
            <v>Subtotal MXB</v>
          </cell>
          <cell r="D28">
            <v>183.81799999999998</v>
          </cell>
          <cell r="E28">
            <v>53.422000000000011</v>
          </cell>
          <cell r="F28">
            <v>54.126999999999995</v>
          </cell>
          <cell r="G28">
            <v>56.286000000000001</v>
          </cell>
          <cell r="H28">
            <v>62.333000000000006</v>
          </cell>
          <cell r="I28">
            <v>226.16800000000001</v>
          </cell>
          <cell r="J28">
            <v>64.716999999999999</v>
          </cell>
          <cell r="K28">
            <v>65.695000000000007</v>
          </cell>
          <cell r="L28">
            <v>67.816999999999993</v>
          </cell>
          <cell r="M28">
            <v>65.536999999999992</v>
          </cell>
          <cell r="N28">
            <v>263.76599999999996</v>
          </cell>
          <cell r="O28">
            <v>64.152000000000001</v>
          </cell>
          <cell r="P28">
            <v>68.220999999999989</v>
          </cell>
          <cell r="Q28">
            <v>70.624000000000009</v>
          </cell>
          <cell r="R28">
            <v>77.81</v>
          </cell>
          <cell r="S28">
            <v>280.80700000000002</v>
          </cell>
          <cell r="T28">
            <v>80.852000000000004</v>
          </cell>
          <cell r="U28">
            <v>85.022000000000006</v>
          </cell>
          <cell r="V28">
            <v>117.71599999999999</v>
          </cell>
          <cell r="W28">
            <v>124.345</v>
          </cell>
          <cell r="X28">
            <v>407.935</v>
          </cell>
          <cell r="Y28">
            <v>135.148</v>
          </cell>
          <cell r="Z28">
            <v>136.48400000000001</v>
          </cell>
          <cell r="AA28">
            <v>132.90199999999999</v>
          </cell>
          <cell r="AB28">
            <v>133.94800000000001</v>
          </cell>
          <cell r="AC28">
            <v>538.48199999999997</v>
          </cell>
          <cell r="AD28">
            <v>135.91199999999998</v>
          </cell>
          <cell r="AE28">
            <v>144.69200000000001</v>
          </cell>
          <cell r="AF28">
            <v>141.30799999999999</v>
          </cell>
          <cell r="AG28">
            <v>151.82</v>
          </cell>
          <cell r="AH28">
            <v>573.73199999999997</v>
          </cell>
          <cell r="AI28">
            <v>156.989</v>
          </cell>
          <cell r="AJ28">
            <v>164.71</v>
          </cell>
          <cell r="AK28">
            <v>162.35899999999998</v>
          </cell>
          <cell r="AL28">
            <v>166.79500000000002</v>
          </cell>
          <cell r="AM28">
            <v>650.85300000000007</v>
          </cell>
          <cell r="BR28" t="str">
            <v>Subtotal MXB</v>
          </cell>
          <cell r="BS28">
            <v>183.81799999999998</v>
          </cell>
          <cell r="BT28">
            <v>226.16800000000001</v>
          </cell>
          <cell r="BU28">
            <v>263.76599999999996</v>
          </cell>
          <cell r="BV28">
            <v>280.80700000000002</v>
          </cell>
          <cell r="BW28">
            <v>407.935</v>
          </cell>
          <cell r="BX28">
            <v>538.48199999999997</v>
          </cell>
          <cell r="BY28">
            <v>573.73199999999997</v>
          </cell>
          <cell r="BZ28">
            <v>0</v>
          </cell>
        </row>
        <row r="29">
          <cell r="I29">
            <v>0.23039093015917933</v>
          </cell>
          <cell r="J29">
            <v>0.21142974804387671</v>
          </cell>
          <cell r="K29">
            <v>0.21371958541947667</v>
          </cell>
          <cell r="L29">
            <v>0.20486444231247547</v>
          </cell>
          <cell r="M29">
            <v>5.1401344392215886E-2</v>
          </cell>
          <cell r="N29">
            <v>0.1662392557744683</v>
          </cell>
          <cell r="O29">
            <v>-8.7303181544261532E-3</v>
          </cell>
          <cell r="P29">
            <v>3.845041479564637E-2</v>
          </cell>
          <cell r="Q29">
            <v>4.1390801716383985E-2</v>
          </cell>
          <cell r="R29">
            <v>0.18726826067717495</v>
          </cell>
          <cell r="S29">
            <v>6.4606507282970682E-2</v>
          </cell>
          <cell r="T29">
            <v>0.26031924180072341</v>
          </cell>
          <cell r="U29">
            <v>0.24627314170123604</v>
          </cell>
          <cell r="V29">
            <v>0.66679882193022166</v>
          </cell>
          <cell r="W29">
            <v>0.59805937540161924</v>
          </cell>
          <cell r="X29">
            <v>0.45272375688640243</v>
          </cell>
          <cell r="Y29">
            <v>0.67154801365457861</v>
          </cell>
          <cell r="Z29">
            <v>0.60527863376537838</v>
          </cell>
          <cell r="AA29">
            <v>0.12900540283393935</v>
          </cell>
          <cell r="AB29">
            <v>7.7228678274156692E-2</v>
          </cell>
          <cell r="AC29">
            <v>0.32001912069324767</v>
          </cell>
          <cell r="AD29">
            <v>5.6530618285137724E-3</v>
          </cell>
          <cell r="AE29">
            <v>6.0138917382257295E-2</v>
          </cell>
          <cell r="AF29">
            <v>6.3249612496425911E-2</v>
          </cell>
          <cell r="AG29">
            <v>0.13342491115955424</v>
          </cell>
          <cell r="AH29">
            <v>6.5461798165955321E-2</v>
          </cell>
          <cell r="AI29">
            <v>0.15507828594973239</v>
          </cell>
          <cell r="AJ29">
            <v>0.13834904486771893</v>
          </cell>
          <cell r="AK29">
            <v>0.14897245732725661</v>
          </cell>
          <cell r="AL29">
            <v>9.8636543274930988E-2</v>
          </cell>
          <cell r="AM29">
            <v>0.1344199033695177</v>
          </cell>
          <cell r="BR29" t="e">
            <v>#REF!</v>
          </cell>
          <cell r="BV29">
            <v>6.4606507282970682E-2</v>
          </cell>
          <cell r="BW29">
            <v>0.45272375688640243</v>
          </cell>
          <cell r="BX29">
            <v>0.32001912069324767</v>
          </cell>
          <cell r="BY29">
            <v>6.5461798165955321E-2</v>
          </cell>
          <cell r="BZ29">
            <v>0</v>
          </cell>
        </row>
        <row r="31">
          <cell r="A31" t="str">
            <v>Total Revenue</v>
          </cell>
          <cell r="C31">
            <v>81.585999999999999</v>
          </cell>
          <cell r="D31">
            <v>310.69799999999998</v>
          </cell>
          <cell r="E31">
            <v>87.069000000000017</v>
          </cell>
          <cell r="F31">
            <v>88.751999999999995</v>
          </cell>
          <cell r="G31">
            <v>92.407000000000011</v>
          </cell>
          <cell r="H31">
            <v>101.658</v>
          </cell>
          <cell r="I31">
            <v>369.88600000000002</v>
          </cell>
          <cell r="J31">
            <v>104.95099999999999</v>
          </cell>
          <cell r="K31">
            <v>108.19500000000001</v>
          </cell>
          <cell r="L31">
            <v>110.399</v>
          </cell>
          <cell r="M31">
            <v>107.416</v>
          </cell>
          <cell r="N31">
            <v>430.96100000000001</v>
          </cell>
          <cell r="O31">
            <v>105.91500000000001</v>
          </cell>
          <cell r="P31">
            <v>109.375</v>
          </cell>
          <cell r="Q31">
            <v>108.86799999999999</v>
          </cell>
          <cell r="R31">
            <v>118.78999999999999</v>
          </cell>
          <cell r="S31">
            <v>442.94799999999998</v>
          </cell>
          <cell r="T31">
            <v>121.67999999999999</v>
          </cell>
          <cell r="U31">
            <v>125.17</v>
          </cell>
          <cell r="V31">
            <v>202.733</v>
          </cell>
          <cell r="W31">
            <v>213.31799999999998</v>
          </cell>
          <cell r="X31">
            <v>662.90100000000007</v>
          </cell>
          <cell r="Y31">
            <v>223.29799999999997</v>
          </cell>
          <cell r="Z31">
            <v>226.483</v>
          </cell>
          <cell r="AA31">
            <v>225.02600000000001</v>
          </cell>
          <cell r="AB31">
            <v>226.13400000000001</v>
          </cell>
          <cell r="AC31">
            <v>900.94100000000003</v>
          </cell>
          <cell r="AD31">
            <v>229.05199999999999</v>
          </cell>
          <cell r="AE31">
            <v>238.565</v>
          </cell>
          <cell r="AF31">
            <v>235.44400000000002</v>
          </cell>
          <cell r="AG31">
            <v>247.08</v>
          </cell>
          <cell r="AH31">
            <v>950.14100000000008</v>
          </cell>
          <cell r="AI31">
            <v>251.90899999999999</v>
          </cell>
          <cell r="AJ31">
            <v>257.89800000000002</v>
          </cell>
          <cell r="AK31">
            <v>258.23799999999994</v>
          </cell>
          <cell r="AL31">
            <v>267.62199999999996</v>
          </cell>
          <cell r="AM31">
            <v>1035.6669999999999</v>
          </cell>
          <cell r="AN31">
            <v>219.51499999999999</v>
          </cell>
          <cell r="AO31">
            <v>228.36999999999998</v>
          </cell>
          <cell r="AP31">
            <v>228.70099999999999</v>
          </cell>
          <cell r="AQ31">
            <v>236.79999999999998</v>
          </cell>
          <cell r="AR31">
            <v>913.38599999999997</v>
          </cell>
          <cell r="AS31">
            <v>239.70000000000002</v>
          </cell>
          <cell r="AT31">
            <v>254.29500000000002</v>
          </cell>
          <cell r="AU31">
            <v>251.55700000000002</v>
          </cell>
          <cell r="AV31">
            <v>251.15299999999999</v>
          </cell>
          <cell r="AW31">
            <v>996.70500000000004</v>
          </cell>
          <cell r="AX31">
            <v>262.77999999999997</v>
          </cell>
          <cell r="AY31">
            <v>270.56</v>
          </cell>
          <cell r="AZ31">
            <v>268.77699999999993</v>
          </cell>
          <cell r="BA31">
            <v>272.89300000000003</v>
          </cell>
          <cell r="BB31">
            <v>1075.01</v>
          </cell>
          <cell r="BC31">
            <v>278.82799999999997</v>
          </cell>
          <cell r="BD31">
            <v>290.596</v>
          </cell>
          <cell r="BE31">
            <v>288.43300000000005</v>
          </cell>
          <cell r="BF31">
            <v>292.81200000000001</v>
          </cell>
          <cell r="BG31">
            <v>1150.6470000000002</v>
          </cell>
          <cell r="BH31">
            <v>300.83499915234376</v>
          </cell>
          <cell r="BI31">
            <v>307.80300303500007</v>
          </cell>
          <cell r="BJ31">
            <v>307.2190065484258</v>
          </cell>
          <cell r="BK31">
            <v>312.30430875468591</v>
          </cell>
          <cell r="BL31">
            <v>1228.1613174904555</v>
          </cell>
          <cell r="BM31">
            <v>1316.0748492545952</v>
          </cell>
          <cell r="BN31">
            <v>1414.9877180795263</v>
          </cell>
          <cell r="BO31">
            <v>1523.449271975788</v>
          </cell>
          <cell r="BP31">
            <v>7.2218012240985452E-2</v>
          </cell>
          <cell r="BR31" t="str">
            <v>Total Revenue</v>
          </cell>
          <cell r="BS31">
            <v>310.69799999999998</v>
          </cell>
          <cell r="BT31">
            <v>369.88600000000002</v>
          </cell>
          <cell r="BU31">
            <v>430.96100000000001</v>
          </cell>
          <cell r="BV31">
            <v>442.94799999999998</v>
          </cell>
          <cell r="BW31">
            <v>662.90100000000007</v>
          </cell>
          <cell r="BX31">
            <v>900.94100000000003</v>
          </cell>
          <cell r="BY31">
            <v>950.14100000000008</v>
          </cell>
          <cell r="BZ31">
            <v>913.38599999999997</v>
          </cell>
          <cell r="CA31">
            <v>996.70500000000004</v>
          </cell>
          <cell r="CB31">
            <v>1075.01</v>
          </cell>
          <cell r="CC31">
            <v>1150.6470000000002</v>
          </cell>
          <cell r="CD31">
            <v>1228.1613174904555</v>
          </cell>
          <cell r="CE31">
            <v>1316.0748492545952</v>
          </cell>
          <cell r="CF31">
            <v>1414.9877180795263</v>
          </cell>
          <cell r="CG31">
            <v>1523.449271975788</v>
          </cell>
          <cell r="CI31" t="str">
            <v>mstag:revenueNet</v>
          </cell>
          <cell r="CJ31">
            <v>6</v>
          </cell>
          <cell r="CK31" t="str">
            <v>ISO4217:USD</v>
          </cell>
          <cell r="CL31" t="b">
            <v>0</v>
          </cell>
        </row>
        <row r="32">
          <cell r="A32" t="str">
            <v>Annual Growth</v>
          </cell>
          <cell r="I32">
            <v>0.19050009977534477</v>
          </cell>
          <cell r="J32">
            <v>0.20537734440501176</v>
          </cell>
          <cell r="K32">
            <v>0.2190711195240671</v>
          </cell>
          <cell r="L32">
            <v>0.19470386442585497</v>
          </cell>
          <cell r="M32">
            <v>5.6640893977847329E-2</v>
          </cell>
          <cell r="N32">
            <v>0.16511844189831448</v>
          </cell>
          <cell r="O32">
            <v>9.1852388257378514E-3</v>
          </cell>
          <cell r="P32">
            <v>1.0906234114330449E-2</v>
          </cell>
          <cell r="Q32">
            <v>-1.3867879238036673E-2</v>
          </cell>
          <cell r="R32">
            <v>0.10588739107767919</v>
          </cell>
          <cell r="S32">
            <v>2.7814581829910257E-2</v>
          </cell>
          <cell r="T32">
            <v>0.14884577255346265</v>
          </cell>
          <cell r="U32">
            <v>0.14441142857142863</v>
          </cell>
          <cell r="V32">
            <v>0.86219091009295679</v>
          </cell>
          <cell r="W32">
            <v>0.79575721862109594</v>
          </cell>
          <cell r="X32">
            <v>0.49656618835619559</v>
          </cell>
          <cell r="Y32">
            <v>0.83512491781722531</v>
          </cell>
          <cell r="Z32">
            <v>0.80940321163218032</v>
          </cell>
          <cell r="AA32">
            <v>0.1099623642919505</v>
          </cell>
          <cell r="AB32">
            <v>6.0079318200995768E-2</v>
          </cell>
          <cell r="AC32">
            <v>0.35908831032084731</v>
          </cell>
          <cell r="AD32">
            <v>2.5768255873317436E-2</v>
          </cell>
          <cell r="AE32">
            <v>5.334616726200192E-2</v>
          </cell>
          <cell r="AF32">
            <v>4.6296872361416108E-2</v>
          </cell>
          <cell r="AG32">
            <v>9.2626495794528863E-2</v>
          </cell>
          <cell r="AH32">
            <v>5.4609569328069263E-2</v>
          </cell>
          <cell r="AI32">
            <v>9.9789567434469095E-2</v>
          </cell>
          <cell r="AJ32">
            <v>8.1038710623939192E-2</v>
          </cell>
          <cell r="AK32">
            <v>9.681283022714493E-2</v>
          </cell>
          <cell r="AL32">
            <v>8.3139064270681295E-2</v>
          </cell>
          <cell r="AM32">
            <v>9.0014008447167226E-2</v>
          </cell>
          <cell r="AS32">
            <v>9.1952713937544228E-2</v>
          </cell>
          <cell r="AT32">
            <v>0.11352191618864138</v>
          </cell>
          <cell r="AU32">
            <v>9.9938347449289866E-2</v>
          </cell>
          <cell r="AV32">
            <v>6.0612331081081106E-2</v>
          </cell>
          <cell r="AW32">
            <v>9.1219922354842442E-2</v>
          </cell>
          <cell r="AX32">
            <v>9.6287025448477115E-2</v>
          </cell>
          <cell r="AY32">
            <v>6.3961147486187198E-2</v>
          </cell>
          <cell r="AZ32">
            <v>6.8453670539877276E-2</v>
          </cell>
          <cell r="BA32">
            <v>8.6560781674915432E-2</v>
          </cell>
          <cell r="BB32">
            <v>7.8563867944878352E-2</v>
          </cell>
          <cell r="BC32">
            <v>6.1070096658802031E-2</v>
          </cell>
          <cell r="BD32">
            <v>7.4053814311058508E-2</v>
          </cell>
          <cell r="BE32">
            <v>7.3131257510873793E-2</v>
          </cell>
          <cell r="BF32">
            <v>7.2991978541039781E-2</v>
          </cell>
          <cell r="BG32">
            <v>7.0359345494460657E-2</v>
          </cell>
          <cell r="BH32">
            <v>7.8926790538768721E-2</v>
          </cell>
          <cell r="BI32">
            <v>5.9212800709576463E-2</v>
          </cell>
          <cell r="BJ32">
            <v>6.5131266354493844E-2</v>
          </cell>
          <cell r="BK32">
            <v>6.6569364488770599E-2</v>
          </cell>
          <cell r="BL32">
            <v>6.7365853724431046E-2</v>
          </cell>
          <cell r="BM32">
            <v>7.1581420544799768E-2</v>
          </cell>
          <cell r="BN32">
            <v>7.5157479744373035E-2</v>
          </cell>
          <cell r="BO32">
            <v>7.6651940162045795E-2</v>
          </cell>
          <cell r="BR32" t="str">
            <v>Annual Growth</v>
          </cell>
          <cell r="BS32">
            <v>0</v>
          </cell>
          <cell r="BT32">
            <v>0.19050009977534477</v>
          </cell>
          <cell r="BU32">
            <v>0.16511844189831448</v>
          </cell>
          <cell r="BW32">
            <v>0.49656618835619559</v>
          </cell>
          <cell r="BX32">
            <v>0.35908831032084731</v>
          </cell>
          <cell r="BY32">
            <v>5.4609569328069263E-2</v>
          </cell>
          <cell r="CA32">
            <v>9.1219922354842442E-2</v>
          </cell>
          <cell r="CB32">
            <v>7.8563867944878352E-2</v>
          </cell>
          <cell r="CC32">
            <v>7.0359345494460657E-2</v>
          </cell>
          <cell r="CD32">
            <v>6.7365853724431046E-2</v>
          </cell>
          <cell r="CE32">
            <v>7.1581420544799768E-2</v>
          </cell>
          <cell r="CF32">
            <v>7.5157479744373035E-2</v>
          </cell>
          <cell r="CG32">
            <v>7.6651940162045795E-2</v>
          </cell>
        </row>
        <row r="35">
          <cell r="A35" t="str">
            <v>Cost of Revenue</v>
          </cell>
          <cell r="C35">
            <v>37.806500000000007</v>
          </cell>
          <cell r="D35">
            <v>113.6765</v>
          </cell>
          <cell r="E35">
            <v>31.984000000000002</v>
          </cell>
          <cell r="F35">
            <v>30.078500000000002</v>
          </cell>
          <cell r="G35">
            <v>29.133499999999998</v>
          </cell>
          <cell r="H35">
            <v>29.834000000000003</v>
          </cell>
          <cell r="I35">
            <v>121.03</v>
          </cell>
          <cell r="J35">
            <v>30.86</v>
          </cell>
          <cell r="K35">
            <v>29.636000000000003</v>
          </cell>
          <cell r="L35">
            <v>27.8</v>
          </cell>
          <cell r="M35">
            <v>34.641999999999996</v>
          </cell>
          <cell r="N35">
            <v>122.938</v>
          </cell>
          <cell r="O35">
            <v>28.935000000000002</v>
          </cell>
          <cell r="P35">
            <v>29.269000000000002</v>
          </cell>
          <cell r="Q35">
            <v>28.247000000000003</v>
          </cell>
          <cell r="R35">
            <v>32.213999999999999</v>
          </cell>
          <cell r="S35">
            <v>118.66500000000001</v>
          </cell>
          <cell r="T35">
            <v>29.291</v>
          </cell>
          <cell r="U35">
            <v>30.462999999999997</v>
          </cell>
          <cell r="V35">
            <v>69.741</v>
          </cell>
          <cell r="W35">
            <v>69.131</v>
          </cell>
          <cell r="X35">
            <v>198.626</v>
          </cell>
          <cell r="Y35">
            <v>70.217999999999989</v>
          </cell>
          <cell r="Z35">
            <v>68.84</v>
          </cell>
          <cell r="AA35">
            <v>68.967999999999989</v>
          </cell>
          <cell r="AB35">
            <v>69.120999999999995</v>
          </cell>
          <cell r="AC35">
            <v>277.14699999999999</v>
          </cell>
          <cell r="AD35">
            <v>72.290999999999997</v>
          </cell>
          <cell r="AE35">
            <v>73.242999999999995</v>
          </cell>
          <cell r="AF35">
            <v>68.349999999999994</v>
          </cell>
          <cell r="AG35">
            <v>74.191000000000003</v>
          </cell>
          <cell r="AH35">
            <v>288.07499999999999</v>
          </cell>
          <cell r="AI35">
            <v>80.185000000000002</v>
          </cell>
          <cell r="AJ35">
            <v>83.359000000000009</v>
          </cell>
          <cell r="AK35">
            <v>80.039999999999992</v>
          </cell>
          <cell r="AL35">
            <v>84.727000000000004</v>
          </cell>
          <cell r="AM35">
            <v>328.31100000000004</v>
          </cell>
          <cell r="AN35">
            <v>65.300000000000011</v>
          </cell>
          <cell r="AO35">
            <v>69.695999999999998</v>
          </cell>
          <cell r="AP35">
            <v>68.150999999999996</v>
          </cell>
          <cell r="AQ35">
            <v>72.254000000000005</v>
          </cell>
          <cell r="AR35">
            <v>275.40100000000001</v>
          </cell>
          <cell r="AS35">
            <v>75.426999999999992</v>
          </cell>
          <cell r="AT35">
            <v>76.816000000000003</v>
          </cell>
          <cell r="AU35">
            <v>78.876000000000005</v>
          </cell>
          <cell r="AV35">
            <v>77.454999999999998</v>
          </cell>
          <cell r="AW35">
            <v>308.57400000000001</v>
          </cell>
          <cell r="AX35">
            <v>82.652999999999992</v>
          </cell>
          <cell r="AY35">
            <v>76.753</v>
          </cell>
          <cell r="AZ35">
            <v>65.593000000000004</v>
          </cell>
          <cell r="BA35">
            <v>64.804000000000002</v>
          </cell>
          <cell r="BB35">
            <v>289.803</v>
          </cell>
          <cell r="BC35">
            <v>63.171999999999997</v>
          </cell>
          <cell r="BD35">
            <v>62.13</v>
          </cell>
          <cell r="BE35">
            <v>62.985999999999997</v>
          </cell>
          <cell r="BF35">
            <v>63.819000000000003</v>
          </cell>
          <cell r="BG35">
            <v>252.10699999999997</v>
          </cell>
          <cell r="BH35">
            <v>68.157963211915074</v>
          </cell>
          <cell r="BI35">
            <v>68.886921338435997</v>
          </cell>
          <cell r="BJ35">
            <v>67.088357942604162</v>
          </cell>
          <cell r="BK35">
            <v>68.06739027230887</v>
          </cell>
          <cell r="BL35">
            <v>272.20063276526412</v>
          </cell>
          <cell r="BM35">
            <v>289.76342249883476</v>
          </cell>
          <cell r="BN35">
            <v>309.41882947883192</v>
          </cell>
          <cell r="BO35">
            <v>330.85120917309001</v>
          </cell>
          <cell r="BR35" t="str">
            <v>Cost of Revenue</v>
          </cell>
          <cell r="BS35">
            <v>113.6765</v>
          </cell>
          <cell r="BT35">
            <v>121.03</v>
          </cell>
          <cell r="BU35">
            <v>122.938</v>
          </cell>
          <cell r="BV35">
            <v>118.66500000000001</v>
          </cell>
          <cell r="BW35">
            <v>198.626</v>
          </cell>
          <cell r="BX35">
            <v>277.14699999999999</v>
          </cell>
          <cell r="BY35">
            <v>288.07499999999999</v>
          </cell>
          <cell r="BZ35">
            <v>275.40100000000001</v>
          </cell>
          <cell r="CA35">
            <v>308.57400000000001</v>
          </cell>
          <cell r="CB35">
            <v>289.803</v>
          </cell>
          <cell r="CC35">
            <v>252.10699999999997</v>
          </cell>
          <cell r="CD35">
            <v>272.20063276526412</v>
          </cell>
          <cell r="CE35">
            <v>289.76342249883476</v>
          </cell>
          <cell r="CF35">
            <v>309.41882947883192</v>
          </cell>
          <cell r="CG35">
            <v>330.85120917309001</v>
          </cell>
          <cell r="CI35" t="str">
            <v>mstag:costOfServicesSold</v>
          </cell>
          <cell r="CJ35">
            <v>6</v>
          </cell>
          <cell r="CK35" t="str">
            <v>ISO4217:USD</v>
          </cell>
          <cell r="CL35" t="b">
            <v>0</v>
          </cell>
        </row>
        <row r="36">
          <cell r="A36" t="str">
            <v>Gross Margin</v>
          </cell>
          <cell r="C36">
            <v>0.53660554506900682</v>
          </cell>
          <cell r="D36">
            <v>0.38158123796363785</v>
          </cell>
          <cell r="E36">
            <v>0.40129534648646636</v>
          </cell>
          <cell r="F36">
            <v>0.4442976702939383</v>
          </cell>
          <cell r="G36">
            <v>0.48240237359201232</v>
          </cell>
          <cell r="H36">
            <v>0.52137711966374156</v>
          </cell>
          <cell r="I36">
            <v>0.46486682466131368</v>
          </cell>
          <cell r="J36">
            <v>0.5231546579724029</v>
          </cell>
          <cell r="K36">
            <v>0.54888499885836062</v>
          </cell>
          <cell r="L36">
            <v>0.59007328545939797</v>
          </cell>
          <cell r="M36">
            <v>0.47141309489296124</v>
          </cell>
          <cell r="N36">
            <v>0.53391263468377259</v>
          </cell>
          <cell r="O36">
            <v>0.54896184062850728</v>
          </cell>
          <cell r="P36">
            <v>0.57096788378944896</v>
          </cell>
          <cell r="Q36">
            <v>0.60003681468056191</v>
          </cell>
          <cell r="R36">
            <v>0.58599151779976877</v>
          </cell>
          <cell r="S36">
            <v>0.577414380695638</v>
          </cell>
          <cell r="T36">
            <v>0.63772077375946168</v>
          </cell>
          <cell r="U36">
            <v>0.64170450001176171</v>
          </cell>
          <cell r="V36">
            <v>0.40754867647558524</v>
          </cell>
          <cell r="W36">
            <v>0.44403876311874224</v>
          </cell>
          <cell r="X36">
            <v>0.5130939978182798</v>
          </cell>
          <cell r="Y36">
            <v>0.48043626246781312</v>
          </cell>
          <cell r="Z36">
            <v>0.49561853404062017</v>
          </cell>
          <cell r="AA36">
            <v>0.48106123308904314</v>
          </cell>
          <cell r="AB36">
            <v>0.48397139188341753</v>
          </cell>
          <cell r="AC36">
            <v>0.69238052214295942</v>
          </cell>
          <cell r="AD36">
            <v>0.46810436164577074</v>
          </cell>
          <cell r="AE36">
            <v>0.493800624775385</v>
          </cell>
          <cell r="AF36">
            <v>0.5163048093526198</v>
          </cell>
          <cell r="AG36">
            <v>0.51132261889079167</v>
          </cell>
          <cell r="AH36">
            <v>0.69680815794708373</v>
          </cell>
          <cell r="AI36">
            <v>0.48923172961162886</v>
          </cell>
          <cell r="AJ36">
            <v>0.49390443810333307</v>
          </cell>
          <cell r="AK36">
            <v>0.50701839750183231</v>
          </cell>
          <cell r="AL36">
            <v>0.49202913756407574</v>
          </cell>
          <cell r="AM36">
            <v>0.68299559607479998</v>
          </cell>
          <cell r="AN36">
            <v>0.70252602327859137</v>
          </cell>
          <cell r="AO36">
            <v>0.69481105223978634</v>
          </cell>
          <cell r="AP36">
            <v>0.70200829904547857</v>
          </cell>
          <cell r="AQ36">
            <v>0.69487331081081072</v>
          </cell>
          <cell r="AR36">
            <v>0.69848344511520866</v>
          </cell>
          <cell r="AS36">
            <v>0.68532749269920745</v>
          </cell>
          <cell r="AT36">
            <v>0.69792563754694359</v>
          </cell>
          <cell r="AU36">
            <v>0.68644879689295069</v>
          </cell>
          <cell r="AV36">
            <v>0.6916023300537919</v>
          </cell>
          <cell r="AW36">
            <v>0.69040588739897957</v>
          </cell>
          <cell r="AX36">
            <v>0.68546693051221552</v>
          </cell>
          <cell r="AY36">
            <v>0.71631800709639259</v>
          </cell>
          <cell r="AZ36">
            <v>0.75595754100983337</v>
          </cell>
          <cell r="BA36">
            <v>0.76252963615776148</v>
          </cell>
          <cell r="BB36">
            <v>0.73041832169003085</v>
          </cell>
          <cell r="BC36">
            <v>0.77343738792373795</v>
          </cell>
          <cell r="BD36">
            <v>0.78619802061969191</v>
          </cell>
          <cell r="BE36">
            <v>0.78162692895750485</v>
          </cell>
          <cell r="BF36">
            <v>0.78204786689070116</v>
          </cell>
          <cell r="BG36">
            <v>0.78089978942282046</v>
          </cell>
          <cell r="BH36">
            <v>0.77343738792373795</v>
          </cell>
          <cell r="BI36">
            <v>0.7761980206196919</v>
          </cell>
          <cell r="BJ36">
            <v>0.78162692895750485</v>
          </cell>
          <cell r="BK36">
            <v>0.78204786689070116</v>
          </cell>
          <cell r="BL36">
            <v>0.77836736193461853</v>
          </cell>
          <cell r="BM36">
            <v>0.7798275510979088</v>
          </cell>
          <cell r="BN36">
            <v>0.78132755109790875</v>
          </cell>
          <cell r="BO36">
            <v>0.78282755109790869</v>
          </cell>
          <cell r="BR36" t="str">
            <v>Gross Margin</v>
          </cell>
          <cell r="BS36">
            <v>0.38158123796363785</v>
          </cell>
          <cell r="BT36">
            <v>0.46486682466131368</v>
          </cell>
          <cell r="BU36">
            <v>0.53391263468377259</v>
          </cell>
          <cell r="BV36">
            <v>0.577414380695638</v>
          </cell>
          <cell r="BW36">
            <v>0.5130939978182798</v>
          </cell>
          <cell r="BX36">
            <v>0.69238052214295942</v>
          </cell>
          <cell r="BY36">
            <v>0.69680815794708373</v>
          </cell>
          <cell r="BZ36">
            <v>0.69848344511520866</v>
          </cell>
          <cell r="CA36">
            <v>0.69040588739897957</v>
          </cell>
          <cell r="CB36">
            <v>0.73041832169003085</v>
          </cell>
          <cell r="CC36">
            <v>0.78089978942282046</v>
          </cell>
          <cell r="CD36">
            <v>0.77836736193461853</v>
          </cell>
          <cell r="CE36">
            <v>0.7798275510979088</v>
          </cell>
          <cell r="CF36">
            <v>0.78132755109790875</v>
          </cell>
          <cell r="CG36">
            <v>0.78282755109790869</v>
          </cell>
        </row>
        <row r="37">
          <cell r="A37" t="str">
            <v>BULL</v>
          </cell>
          <cell r="BF37">
            <v>0.79162692895750486</v>
          </cell>
          <cell r="BH37">
            <v>0.78343738792373796</v>
          </cell>
          <cell r="BI37">
            <v>0.78619802061969191</v>
          </cell>
          <cell r="BJ37">
            <v>0.79162692895750486</v>
          </cell>
          <cell r="BK37">
            <v>0.79204786689070117</v>
          </cell>
          <cell r="BM37">
            <v>0.78982755109790881</v>
          </cell>
          <cell r="BN37">
            <v>0.79132755109790875</v>
          </cell>
          <cell r="BO37">
            <v>0.7928275510979087</v>
          </cell>
        </row>
        <row r="38">
          <cell r="A38" t="str">
            <v>BASE</v>
          </cell>
          <cell r="AI38" t="e">
            <v>#REF!</v>
          </cell>
          <cell r="AJ38" t="e">
            <v>#REF!</v>
          </cell>
          <cell r="AK38" t="e">
            <v>#REF!</v>
          </cell>
          <cell r="AL38" t="e">
            <v>#REF!</v>
          </cell>
          <cell r="AM38" t="e">
            <v>#REF!</v>
          </cell>
          <cell r="AS38">
            <v>0.68532749269920745</v>
          </cell>
          <cell r="AT38">
            <v>0.69792563754694359</v>
          </cell>
          <cell r="AU38">
            <v>0.68644879689295069</v>
          </cell>
          <cell r="AV38">
            <v>0.6916023300537919</v>
          </cell>
          <cell r="AW38">
            <v>0.69032606429822341</v>
          </cell>
          <cell r="AX38">
            <v>0.68546693051221552</v>
          </cell>
          <cell r="AY38">
            <v>0.71631800709639259</v>
          </cell>
          <cell r="AZ38">
            <v>0.75595754100983337</v>
          </cell>
          <cell r="BA38">
            <v>0.76252963615776148</v>
          </cell>
          <cell r="BB38">
            <v>0.73006802869405074</v>
          </cell>
          <cell r="BC38">
            <v>0.77343738792373795</v>
          </cell>
          <cell r="BD38">
            <v>0.78619802061969191</v>
          </cell>
          <cell r="BE38">
            <v>0.78162692895750485</v>
          </cell>
          <cell r="BF38">
            <v>0.78204786689070116</v>
          </cell>
          <cell r="BG38">
            <v>0.78082755109790902</v>
          </cell>
          <cell r="BH38">
            <v>0.77343738792373795</v>
          </cell>
          <cell r="BI38">
            <v>0.7761980206196919</v>
          </cell>
          <cell r="BJ38">
            <v>0.78162692895750485</v>
          </cell>
          <cell r="BK38">
            <v>0.78204786689070116</v>
          </cell>
          <cell r="BL38">
            <v>0.77832755109790885</v>
          </cell>
          <cell r="BM38">
            <v>0.7798275510979088</v>
          </cell>
          <cell r="BN38">
            <v>0.78132755109790875</v>
          </cell>
          <cell r="BO38">
            <v>0.78282755109790869</v>
          </cell>
        </row>
        <row r="39">
          <cell r="A39" t="str">
            <v>BEAR</v>
          </cell>
          <cell r="BF39">
            <v>0.77362692895750484</v>
          </cell>
          <cell r="BH39">
            <v>0.76543738792373794</v>
          </cell>
          <cell r="BI39">
            <v>0.76819802061969189</v>
          </cell>
          <cell r="BJ39">
            <v>0.77362692895750484</v>
          </cell>
          <cell r="BK39">
            <v>0.77404786689070115</v>
          </cell>
          <cell r="BM39">
            <v>0.77232755109790885</v>
          </cell>
          <cell r="BN39">
            <v>0.77382755109790879</v>
          </cell>
          <cell r="BO39">
            <v>0.77532755109790874</v>
          </cell>
        </row>
        <row r="40">
          <cell r="A40" t="str">
            <v>y/y growth</v>
          </cell>
          <cell r="I40" t="e">
            <v>#DIV/0!</v>
          </cell>
          <cell r="J40" t="e">
            <v>#DIV/0!</v>
          </cell>
          <cell r="K40" t="e">
            <v>#DIV/0!</v>
          </cell>
          <cell r="L40" t="e">
            <v>#DIV/0!</v>
          </cell>
          <cell r="M40" t="e">
            <v>#DIV/0!</v>
          </cell>
          <cell r="N40">
            <v>-0.1332369794397098</v>
          </cell>
          <cell r="O40">
            <v>-0.9552762800962884</v>
          </cell>
          <cell r="P40">
            <v>-0.95021601141207346</v>
          </cell>
          <cell r="Q40">
            <v>-1.0712254955952232</v>
          </cell>
          <cell r="R40">
            <v>0.86945126817900387</v>
          </cell>
          <cell r="S40">
            <v>-0.83154769685242425</v>
          </cell>
          <cell r="T40">
            <v>15.204888667280336</v>
          </cell>
          <cell r="U40">
            <v>12.241181791767753</v>
          </cell>
          <cell r="V40">
            <v>-63.171792477695412</v>
          </cell>
          <cell r="W40">
            <v>6.5151272547392063</v>
          </cell>
          <cell r="X40">
            <v>16.852728881302681</v>
          </cell>
          <cell r="Y40">
            <v>4.6106727352116357</v>
          </cell>
          <cell r="Z40">
            <v>4.6048418026128317</v>
          </cell>
          <cell r="AA40">
            <v>-0.87246169844205967</v>
          </cell>
          <cell r="AB40">
            <v>-0.92450044210079252</v>
          </cell>
          <cell r="AC40">
            <v>-0.27685710638182437</v>
          </cell>
          <cell r="AD40">
            <v>-0.96914442938588374</v>
          </cell>
          <cell r="AE40">
            <v>-0.93409197480891115</v>
          </cell>
          <cell r="AF40">
            <v>-0.57897529159615257</v>
          </cell>
          <cell r="AG40">
            <v>0.54173680008561842</v>
          </cell>
          <cell r="AH40">
            <v>-0.84792161772329677</v>
          </cell>
          <cell r="AI40">
            <v>2.8725774815748935</v>
          </cell>
          <cell r="AJ40">
            <v>0.51911027133269738</v>
          </cell>
          <cell r="AK40">
            <v>1.091131112948116</v>
          </cell>
          <cell r="AL40">
            <v>-0.10242675643147836</v>
          </cell>
          <cell r="AM40">
            <v>0.64831932488616273</v>
          </cell>
          <cell r="AS40">
            <v>0.15508422664624777</v>
          </cell>
          <cell r="AT40">
            <v>0.10215794306703407</v>
          </cell>
          <cell r="AU40">
            <v>0.15737113175155182</v>
          </cell>
          <cell r="AV40">
            <v>7.1982173997287235E-2</v>
          </cell>
          <cell r="AW40">
            <v>0.12045344788145296</v>
          </cell>
          <cell r="AX40">
            <v>9.580123828337328E-2</v>
          </cell>
          <cell r="AY40">
            <v>-8.2014163715893318E-4</v>
          </cell>
          <cell r="AZ40">
            <v>-0.16840357016075869</v>
          </cell>
          <cell r="BA40">
            <v>-0.16333354851203918</v>
          </cell>
          <cell r="BB40">
            <v>-6.0831437515798559E-2</v>
          </cell>
          <cell r="BC40">
            <v>-0.23569622397251155</v>
          </cell>
          <cell r="BD40">
            <v>-0.19052024025119541</v>
          </cell>
          <cell r="BE40">
            <v>-3.9745094750964327E-2</v>
          </cell>
          <cell r="BF40">
            <v>-1.5199679032158464E-2</v>
          </cell>
          <cell r="BG40">
            <v>-0.13007456789612259</v>
          </cell>
          <cell r="BH40">
            <v>7.8926790538768499E-2</v>
          </cell>
          <cell r="BI40">
            <v>0.10875456846026066</v>
          </cell>
          <cell r="BJ40">
            <v>6.5131266354494066E-2</v>
          </cell>
          <cell r="BK40">
            <v>6.6569364488770821E-2</v>
          </cell>
          <cell r="BL40">
            <v>7.9702795897234724E-2</v>
          </cell>
          <cell r="BM40">
            <v>6.4521487533484745E-2</v>
          </cell>
          <cell r="BN40">
            <v>6.7832602232865469E-2</v>
          </cell>
          <cell r="BO40">
            <v>6.9266565743130837E-2</v>
          </cell>
          <cell r="BR40" t="str">
            <v>y/y growth</v>
          </cell>
          <cell r="BS40">
            <v>0</v>
          </cell>
          <cell r="BT40" t="e">
            <v>#DIV/0!</v>
          </cell>
          <cell r="BU40">
            <v>-0.1332369794397098</v>
          </cell>
          <cell r="BV40">
            <v>-0.83154769685242425</v>
          </cell>
          <cell r="BW40">
            <v>16.852728881302681</v>
          </cell>
          <cell r="BX40">
            <v>-0.27685710638182437</v>
          </cell>
          <cell r="BY40">
            <v>-0.84792161772329677</v>
          </cell>
          <cell r="CA40">
            <v>0.12045344788145296</v>
          </cell>
          <cell r="CB40">
            <v>-6.0831437515798559E-2</v>
          </cell>
          <cell r="CC40">
            <v>-0.13007456789612259</v>
          </cell>
          <cell r="CD40">
            <v>7.9702795897234724E-2</v>
          </cell>
          <cell r="CE40">
            <v>6.4521487533484745E-2</v>
          </cell>
          <cell r="CF40">
            <v>6.7832602232865469E-2</v>
          </cell>
          <cell r="CG40">
            <v>6.9266565743130837E-2</v>
          </cell>
        </row>
        <row r="42">
          <cell r="A42" t="str">
            <v>SG&amp;A Expenses</v>
          </cell>
          <cell r="C42">
            <v>28.268499999999996</v>
          </cell>
          <cell r="D42">
            <v>84.070499999999996</v>
          </cell>
          <cell r="E42">
            <v>18.682000000000002</v>
          </cell>
          <cell r="F42">
            <v>25.226500000000001</v>
          </cell>
          <cell r="G42">
            <v>22.872500000000002</v>
          </cell>
          <cell r="H42">
            <v>23.932000000000002</v>
          </cell>
          <cell r="I42">
            <v>90.713000000000008</v>
          </cell>
          <cell r="J42">
            <v>31.32</v>
          </cell>
          <cell r="K42">
            <v>38.005000000000003</v>
          </cell>
          <cell r="L42">
            <v>36.686999999999998</v>
          </cell>
          <cell r="M42">
            <v>32.750999999999998</v>
          </cell>
          <cell r="N42">
            <v>138.76300000000001</v>
          </cell>
          <cell r="O42">
            <v>34.716000000000001</v>
          </cell>
          <cell r="P42">
            <v>34.052</v>
          </cell>
          <cell r="Q42">
            <v>33.524999999999999</v>
          </cell>
          <cell r="R42">
            <v>33.487000000000002</v>
          </cell>
          <cell r="S42">
            <v>135.78</v>
          </cell>
          <cell r="T42">
            <v>37.460999999999999</v>
          </cell>
          <cell r="U42">
            <v>40.177000000000007</v>
          </cell>
          <cell r="V42">
            <v>63.305999999999997</v>
          </cell>
          <cell r="W42">
            <v>49.3</v>
          </cell>
          <cell r="X42">
            <v>190.24400000000003</v>
          </cell>
          <cell r="Y42">
            <v>51.417999999999999</v>
          </cell>
          <cell r="Z42">
            <v>53.320999999999998</v>
          </cell>
          <cell r="AA42">
            <v>53.724000000000004</v>
          </cell>
          <cell r="AB42">
            <v>54.508999999999993</v>
          </cell>
          <cell r="AC42">
            <v>212.97200000000001</v>
          </cell>
          <cell r="AD42">
            <v>55.436</v>
          </cell>
          <cell r="AE42">
            <v>57.601999999999997</v>
          </cell>
          <cell r="AF42">
            <v>62.973000000000006</v>
          </cell>
          <cell r="AG42">
            <v>57.172000000000004</v>
          </cell>
          <cell r="AH42">
            <v>233.18299999999999</v>
          </cell>
          <cell r="AI42">
            <v>61.631</v>
          </cell>
          <cell r="AJ42">
            <v>57.611999999999995</v>
          </cell>
          <cell r="AK42">
            <v>65.38</v>
          </cell>
          <cell r="AL42">
            <v>70.722000000000008</v>
          </cell>
          <cell r="AM42">
            <v>255.345</v>
          </cell>
          <cell r="AN42">
            <v>55.515000000000001</v>
          </cell>
          <cell r="AO42">
            <v>52.62</v>
          </cell>
          <cell r="AP42">
            <v>59.917000000000002</v>
          </cell>
          <cell r="AQ42">
            <v>64.174999999999997</v>
          </cell>
          <cell r="AR42">
            <v>232.22699999999998</v>
          </cell>
          <cell r="AS42">
            <v>67.658000000000001</v>
          </cell>
          <cell r="AT42">
            <v>71.516000000000005</v>
          </cell>
          <cell r="AU42">
            <v>70.832999999999998</v>
          </cell>
          <cell r="AV42">
            <v>69.344999999999999</v>
          </cell>
          <cell r="AW42">
            <v>279.35199999999998</v>
          </cell>
          <cell r="AX42">
            <v>72.465000000000003</v>
          </cell>
          <cell r="AY42">
            <v>75.555999999999997</v>
          </cell>
          <cell r="AZ42">
            <v>74.317000000000007</v>
          </cell>
          <cell r="BA42">
            <v>81.174999999999997</v>
          </cell>
          <cell r="BB42">
            <v>303.51300000000003</v>
          </cell>
          <cell r="BC42">
            <v>82.507000000000005</v>
          </cell>
          <cell r="BD42">
            <v>82.438999999999993</v>
          </cell>
          <cell r="BE42">
            <v>82.123000000000005</v>
          </cell>
          <cell r="BF42">
            <v>82.036000000000001</v>
          </cell>
          <cell r="BG42">
            <v>329.10500000000002</v>
          </cell>
          <cell r="BH42">
            <v>86.762750213339615</v>
          </cell>
          <cell r="BI42">
            <v>85.781429062521767</v>
          </cell>
          <cell r="BJ42">
            <v>85.167632437716904</v>
          </cell>
          <cell r="BK42">
            <v>85.935562841427355</v>
          </cell>
          <cell r="BL42">
            <v>343.64737455500563</v>
          </cell>
          <cell r="BM42">
            <v>361.75053635647959</v>
          </cell>
          <cell r="BN42">
            <v>381.86385637481015</v>
          </cell>
          <cell r="BO42">
            <v>403.51721548382125</v>
          </cell>
          <cell r="BR42" t="str">
            <v>SG&amp;A Expenses</v>
          </cell>
          <cell r="BS42">
            <v>84.070499999999996</v>
          </cell>
          <cell r="BT42">
            <v>90.713000000000008</v>
          </cell>
          <cell r="BU42">
            <v>138.76300000000001</v>
          </cell>
          <cell r="BV42">
            <v>135.78</v>
          </cell>
          <cell r="BW42">
            <v>190.24400000000003</v>
          </cell>
          <cell r="BX42">
            <v>212.97200000000001</v>
          </cell>
          <cell r="BY42">
            <v>233.18299999999999</v>
          </cell>
          <cell r="BZ42">
            <v>232.22699999999998</v>
          </cell>
          <cell r="CA42">
            <v>279.35199999999998</v>
          </cell>
          <cell r="CB42">
            <v>303.51300000000003</v>
          </cell>
          <cell r="CC42">
            <v>329.10500000000002</v>
          </cell>
          <cell r="CD42">
            <v>343.64737455500563</v>
          </cell>
          <cell r="CE42">
            <v>361.75053635647959</v>
          </cell>
          <cell r="CF42">
            <v>381.86385637481015</v>
          </cell>
          <cell r="CG42">
            <v>403.51721548382125</v>
          </cell>
          <cell r="CI42" t="str">
            <v>mstag:generalAndAdministrativeExpenses</v>
          </cell>
          <cell r="CJ42">
            <v>6</v>
          </cell>
          <cell r="CK42" t="str">
            <v>ISO4217:USD</v>
          </cell>
          <cell r="CL42" t="b">
            <v>0</v>
          </cell>
        </row>
        <row r="43">
          <cell r="A43" t="str">
            <v>% of Total Revenue</v>
          </cell>
          <cell r="C43">
            <v>0.34648714240188261</v>
          </cell>
          <cell r="D43">
            <v>0.4573572773069014</v>
          </cell>
          <cell r="E43">
            <v>0.34970611358616299</v>
          </cell>
          <cell r="F43">
            <v>0.46606130027527859</v>
          </cell>
          <cell r="G43">
            <v>0.40636215044593688</v>
          </cell>
          <cell r="H43">
            <v>0.38393788202075946</v>
          </cell>
          <cell r="I43">
            <v>0.40108680273071345</v>
          </cell>
          <cell r="J43">
            <v>0.48395321167544852</v>
          </cell>
          <cell r="K43">
            <v>0.57850673567242561</v>
          </cell>
          <cell r="L43">
            <v>0.54097055310615338</v>
          </cell>
          <cell r="M43">
            <v>0.49973297526588034</v>
          </cell>
          <cell r="N43">
            <v>0.52608372572659112</v>
          </cell>
          <cell r="O43">
            <v>0.54115226337448563</v>
          </cell>
          <cell r="P43">
            <v>0.49914249278081535</v>
          </cell>
          <cell r="Q43">
            <v>0.47469698685999084</v>
          </cell>
          <cell r="R43">
            <v>0.43036884719187768</v>
          </cell>
          <cell r="S43">
            <v>0.48353495461295476</v>
          </cell>
          <cell r="T43">
            <v>0.46332805620145445</v>
          </cell>
          <cell r="U43">
            <v>0.47254828162122747</v>
          </cell>
          <cell r="V43">
            <v>0.3122629271011626</v>
          </cell>
          <cell r="W43">
            <v>0.39647754232176602</v>
          </cell>
          <cell r="X43">
            <v>0.46635861105323156</v>
          </cell>
          <cell r="Y43">
            <v>0.38045698049545684</v>
          </cell>
          <cell r="Z43">
            <v>0.39067583013393509</v>
          </cell>
          <cell r="AA43">
            <v>0.40423770898857814</v>
          </cell>
          <cell r="AB43">
            <v>0.24104734361042562</v>
          </cell>
          <cell r="AC43">
            <v>0.39550439940425125</v>
          </cell>
          <cell r="AD43">
            <v>0.407881570427924</v>
          </cell>
          <cell r="AE43">
            <v>0.39810079340944898</v>
          </cell>
          <cell r="AF43">
            <v>0.44564355875109696</v>
          </cell>
          <cell r="AG43">
            <v>0.37657752601765254</v>
          </cell>
          <cell r="AH43">
            <v>0.24541936407333226</v>
          </cell>
          <cell r="AI43">
            <v>0.39258164584779826</v>
          </cell>
          <cell r="AJ43">
            <v>0.34977839839718289</v>
          </cell>
          <cell r="AK43">
            <v>0.40268787070627438</v>
          </cell>
          <cell r="AL43">
            <v>0.42400551575287032</v>
          </cell>
          <cell r="AM43">
            <v>0.24655125634011707</v>
          </cell>
          <cell r="AN43">
            <v>0.2528984351866615</v>
          </cell>
          <cell r="AO43">
            <v>0.23041555370670405</v>
          </cell>
          <cell r="AP43">
            <v>0.26198836034822759</v>
          </cell>
          <cell r="AQ43">
            <v>0.27100929054054057</v>
          </cell>
          <cell r="AR43">
            <v>0.25424847764253006</v>
          </cell>
          <cell r="AS43">
            <v>0.28226115978306215</v>
          </cell>
          <cell r="AT43">
            <v>0.28123242690575906</v>
          </cell>
          <cell r="AU43">
            <v>0.28157833015976497</v>
          </cell>
          <cell r="AV43">
            <v>0.27610659637750695</v>
          </cell>
          <cell r="AW43">
            <v>0.28027550779819499</v>
          </cell>
          <cell r="AX43">
            <v>0.27576299566177037</v>
          </cell>
          <cell r="AY43">
            <v>0.27925783560023654</v>
          </cell>
          <cell r="AZ43">
            <v>0.27650059342875333</v>
          </cell>
          <cell r="BA43">
            <v>0.29746090958727411</v>
          </cell>
          <cell r="BB43">
            <v>0.28233504804606474</v>
          </cell>
          <cell r="BC43">
            <v>0.29590643694320518</v>
          </cell>
          <cell r="BD43">
            <v>0.28368938319866754</v>
          </cell>
          <cell r="BE43">
            <v>0.28472123508752462</v>
          </cell>
          <cell r="BF43">
            <v>0.28016611341065256</v>
          </cell>
          <cell r="BG43">
            <v>0.28601734502414727</v>
          </cell>
          <cell r="BH43">
            <v>0.28840643694320517</v>
          </cell>
          <cell r="BI43">
            <v>0.27868938319866754</v>
          </cell>
          <cell r="BJ43">
            <v>0.27722123508752461</v>
          </cell>
          <cell r="BK43">
            <v>0.27516611341065256</v>
          </cell>
          <cell r="BL43">
            <v>0.2798063818336114</v>
          </cell>
          <cell r="BM43">
            <v>0.27487079216001248</v>
          </cell>
          <cell r="BN43">
            <v>0.26987079216001247</v>
          </cell>
          <cell r="BO43">
            <v>0.26487079216001247</v>
          </cell>
          <cell r="BR43" t="str">
            <v>% of Total Revenue</v>
          </cell>
          <cell r="BS43">
            <v>0.4573572773069014</v>
          </cell>
          <cell r="BT43">
            <v>0.40108680273071345</v>
          </cell>
          <cell r="BU43">
            <v>0.52608372572659112</v>
          </cell>
          <cell r="BV43">
            <v>0.48353495461295476</v>
          </cell>
          <cell r="BW43">
            <v>0.46635861105323156</v>
          </cell>
          <cell r="BX43">
            <v>0.39550439940425125</v>
          </cell>
          <cell r="BY43">
            <v>0.24541936407333226</v>
          </cell>
          <cell r="BZ43">
            <v>0.25424847764253006</v>
          </cell>
          <cell r="CA43">
            <v>0.28027550779819499</v>
          </cell>
          <cell r="CB43">
            <v>0.28233504804606474</v>
          </cell>
          <cell r="CC43">
            <v>0.28601734502414727</v>
          </cell>
          <cell r="CD43">
            <v>0.2798063818336114</v>
          </cell>
          <cell r="CE43">
            <v>0.27487079216001248</v>
          </cell>
          <cell r="CF43">
            <v>0.26987079216001247</v>
          </cell>
          <cell r="CG43">
            <v>0.26487079216001247</v>
          </cell>
        </row>
        <row r="44">
          <cell r="A44" t="str">
            <v>BULL</v>
          </cell>
          <cell r="BF44">
            <v>0.29046090958727411</v>
          </cell>
          <cell r="BH44">
            <v>0.27840643694320516</v>
          </cell>
          <cell r="BI44">
            <v>0.26868938319866753</v>
          </cell>
          <cell r="BJ44">
            <v>0.2672212350875246</v>
          </cell>
          <cell r="BK44">
            <v>0.26516611341065255</v>
          </cell>
          <cell r="BM44">
            <v>0.26487079216001247</v>
          </cell>
          <cell r="BN44">
            <v>0.25987079216001246</v>
          </cell>
          <cell r="BO44">
            <v>0.25487079216001246</v>
          </cell>
        </row>
        <row r="45">
          <cell r="A45" t="str">
            <v>BASE</v>
          </cell>
          <cell r="AI45" t="e">
            <v>#REF!</v>
          </cell>
          <cell r="AJ45" t="e">
            <v>#REF!</v>
          </cell>
          <cell r="AK45" t="e">
            <v>#REF!</v>
          </cell>
          <cell r="AL45" t="e">
            <v>#REF!</v>
          </cell>
          <cell r="AM45" t="e">
            <v>#REF!</v>
          </cell>
          <cell r="AS45">
            <v>0.28226115978306215</v>
          </cell>
          <cell r="AT45">
            <v>0.28123242690575906</v>
          </cell>
          <cell r="AU45">
            <v>0.28157833015976497</v>
          </cell>
          <cell r="AV45">
            <v>0.27610659637750695</v>
          </cell>
          <cell r="AW45">
            <v>0.2802946283065233</v>
          </cell>
          <cell r="AX45">
            <v>0.27576299566177037</v>
          </cell>
          <cell r="AY45">
            <v>0.27925783560023654</v>
          </cell>
          <cell r="AZ45">
            <v>0.27650059342875333</v>
          </cell>
          <cell r="BA45">
            <v>0.29746090958727411</v>
          </cell>
          <cell r="BB45">
            <v>0.28224558356950857</v>
          </cell>
          <cell r="BC45">
            <v>0.29590643694320518</v>
          </cell>
          <cell r="BD45">
            <v>0.28368938319866754</v>
          </cell>
          <cell r="BE45">
            <v>0.28472123508752462</v>
          </cell>
          <cell r="BF45">
            <v>0.28016611341065256</v>
          </cell>
          <cell r="BG45">
            <v>0.28612079216001246</v>
          </cell>
          <cell r="BH45">
            <v>0.28840643694320517</v>
          </cell>
          <cell r="BI45">
            <v>0.27868938319866754</v>
          </cell>
          <cell r="BJ45">
            <v>0.27722123508752461</v>
          </cell>
          <cell r="BK45">
            <v>0.27516611341065256</v>
          </cell>
          <cell r="BL45">
            <v>0.27987079216001248</v>
          </cell>
          <cell r="BM45">
            <v>0.27487079216001248</v>
          </cell>
          <cell r="BN45">
            <v>0.26987079216001247</v>
          </cell>
          <cell r="BO45">
            <v>0.26487079216001247</v>
          </cell>
        </row>
        <row r="46">
          <cell r="A46" t="str">
            <v>BEAR</v>
          </cell>
          <cell r="BF46">
            <v>0.31546090958727413</v>
          </cell>
          <cell r="BH46">
            <v>0.30340643694320518</v>
          </cell>
          <cell r="BI46">
            <v>0.29368938319866755</v>
          </cell>
          <cell r="BJ46">
            <v>0.29222123508752462</v>
          </cell>
          <cell r="BK46">
            <v>0.29016611341065257</v>
          </cell>
          <cell r="BM46">
            <v>0.2948707921600125</v>
          </cell>
          <cell r="BN46">
            <v>0.28987079216001249</v>
          </cell>
          <cell r="BO46">
            <v>0.28487079216001249</v>
          </cell>
        </row>
        <row r="47">
          <cell r="A47" t="str">
            <v>y/y growth</v>
          </cell>
          <cell r="I47" t="e">
            <v>#DIV/0!</v>
          </cell>
          <cell r="J47" t="e">
            <v>#DIV/0!</v>
          </cell>
          <cell r="K47" t="e">
            <v>#DIV/0!</v>
          </cell>
          <cell r="L47" t="e">
            <v>#DIV/0!</v>
          </cell>
          <cell r="M47" t="e">
            <v>#DIV/0!</v>
          </cell>
          <cell r="N47" t="e">
            <v>#DIV/0!</v>
          </cell>
          <cell r="O47" t="e">
            <v>#DIV/0!</v>
          </cell>
          <cell r="P47" t="e">
            <v>#DIV/0!</v>
          </cell>
          <cell r="Q47" t="e">
            <v>#DIV/0!</v>
          </cell>
          <cell r="R47" t="e">
            <v>#DIV/0!</v>
          </cell>
          <cell r="S47" t="e">
            <v>#DIV/0!</v>
          </cell>
          <cell r="T47" t="e">
            <v>#DIV/0!</v>
          </cell>
          <cell r="U47" t="e">
            <v>#DIV/0!</v>
          </cell>
          <cell r="V47" t="e">
            <v>#DIV/0!</v>
          </cell>
          <cell r="W47" t="e">
            <v>#DIV/0!</v>
          </cell>
          <cell r="X47" t="e">
            <v>#DIV/0!</v>
          </cell>
          <cell r="Y47" t="e">
            <v>#DIV/0!</v>
          </cell>
          <cell r="Z47" t="e">
            <v>#DIV/0!</v>
          </cell>
          <cell r="AA47" t="e">
            <v>#DIV/0!</v>
          </cell>
          <cell r="AB47" t="e">
            <v>#DIV/0!</v>
          </cell>
          <cell r="AC47" t="e">
            <v>#DIV/0!</v>
          </cell>
          <cell r="AD47" t="e">
            <v>#DIV/0!</v>
          </cell>
          <cell r="AE47" t="e">
            <v>#DIV/0!</v>
          </cell>
          <cell r="AF47" t="e">
            <v>#DIV/0!</v>
          </cell>
          <cell r="AG47" t="e">
            <v>#DIV/0!</v>
          </cell>
          <cell r="AH47" t="e">
            <v>#DIV/0!</v>
          </cell>
          <cell r="AI47" t="e">
            <v>#REF!</v>
          </cell>
          <cell r="AJ47" t="e">
            <v>#REF!</v>
          </cell>
          <cell r="AK47" t="e">
            <v>#REF!</v>
          </cell>
          <cell r="AL47" t="e">
            <v>#REF!</v>
          </cell>
          <cell r="AM47" t="e">
            <v>#REF!</v>
          </cell>
          <cell r="AS47">
            <v>0.21873367558317569</v>
          </cell>
          <cell r="AT47">
            <v>0.35910300266058548</v>
          </cell>
          <cell r="AU47">
            <v>0.18218535640970002</v>
          </cell>
          <cell r="AV47">
            <v>8.0560966108297549E-2</v>
          </cell>
          <cell r="AW47">
            <v>0.20292644696783757</v>
          </cell>
          <cell r="AX47">
            <v>7.1048508675987998E-2</v>
          </cell>
          <cell r="AY47">
            <v>5.6490855193243261E-2</v>
          </cell>
          <cell r="AZ47">
            <v>4.9186113817006216E-2</v>
          </cell>
          <cell r="BA47">
            <v>0.17059629389285447</v>
          </cell>
          <cell r="BB47">
            <v>8.648944700592831E-2</v>
          </cell>
          <cell r="BC47">
            <v>0.13857724418684891</v>
          </cell>
          <cell r="BD47">
            <v>9.1097993541214395E-2</v>
          </cell>
          <cell r="BE47">
            <v>0.10503653269103963</v>
          </cell>
          <cell r="BF47">
            <v>1.0606713889744324E-2</v>
          </cell>
          <cell r="BG47">
            <v>8.4319287806453147E-2</v>
          </cell>
          <cell r="BH47">
            <v>5.1580474545670274E-2</v>
          </cell>
          <cell r="BI47">
            <v>4.0544269854338122E-2</v>
          </cell>
          <cell r="BJ47">
            <v>3.7074052795403212E-2</v>
          </cell>
          <cell r="BK47">
            <v>4.7534775481829383E-2</v>
          </cell>
          <cell r="BL47">
            <v>4.41876439282467E-2</v>
          </cell>
          <cell r="BM47">
            <v>5.2679470707192255E-2</v>
          </cell>
          <cell r="BN47">
            <v>5.5599972900967076E-2</v>
          </cell>
          <cell r="BO47">
            <v>5.670439542138217E-2</v>
          </cell>
          <cell r="BR47" t="str">
            <v>y/y growth</v>
          </cell>
          <cell r="BS47">
            <v>0</v>
          </cell>
          <cell r="BT47" t="e">
            <v>#DIV/0!</v>
          </cell>
          <cell r="BU47" t="e">
            <v>#DIV/0!</v>
          </cell>
          <cell r="BV47" t="e">
            <v>#DIV/0!</v>
          </cell>
          <cell r="BW47" t="e">
            <v>#DIV/0!</v>
          </cell>
          <cell r="BX47" t="e">
            <v>#DIV/0!</v>
          </cell>
          <cell r="BY47" t="e">
            <v>#DIV/0!</v>
          </cell>
          <cell r="CA47">
            <v>0.20292644696783757</v>
          </cell>
          <cell r="CB47">
            <v>8.648944700592831E-2</v>
          </cell>
          <cell r="CC47">
            <v>8.4319287806453147E-2</v>
          </cell>
          <cell r="CD47">
            <v>4.41876439282467E-2</v>
          </cell>
          <cell r="CE47">
            <v>5.2679470707192255E-2</v>
          </cell>
          <cell r="CF47">
            <v>5.5599972900967076E-2</v>
          </cell>
          <cell r="CG47">
            <v>5.670439542138217E-2</v>
          </cell>
        </row>
        <row r="50">
          <cell r="A50" t="str">
            <v>Founders Grant/Performance Awards</v>
          </cell>
          <cell r="E50">
            <v>0</v>
          </cell>
          <cell r="F50">
            <v>0</v>
          </cell>
          <cell r="G50">
            <v>0</v>
          </cell>
          <cell r="H50">
            <v>0.81899999999999995</v>
          </cell>
          <cell r="I50">
            <v>0.81899999999999995</v>
          </cell>
          <cell r="J50">
            <v>4.7960000000000003</v>
          </cell>
          <cell r="K50">
            <v>6.8759999999999994</v>
          </cell>
          <cell r="L50">
            <v>5.3460000000000001</v>
          </cell>
          <cell r="M50">
            <v>8.5670000000000002</v>
          </cell>
          <cell r="N50">
            <v>25.585000000000001</v>
          </cell>
          <cell r="O50">
            <v>6.2009999999999996</v>
          </cell>
          <cell r="P50">
            <v>7.3379999999999992</v>
          </cell>
          <cell r="Q50">
            <v>6.859</v>
          </cell>
          <cell r="R50">
            <v>6.173</v>
          </cell>
          <cell r="S50">
            <v>26.570999999999998</v>
          </cell>
          <cell r="T50">
            <v>2.0709999999999997</v>
          </cell>
          <cell r="U50">
            <v>2.04</v>
          </cell>
          <cell r="V50">
            <v>2.14</v>
          </cell>
          <cell r="W50">
            <v>4.0270000000000001</v>
          </cell>
          <cell r="X50">
            <v>10.277999999999999</v>
          </cell>
          <cell r="Y50">
            <v>2.8129999999999997</v>
          </cell>
          <cell r="Z50">
            <v>2.673</v>
          </cell>
          <cell r="AA50">
            <v>1.29</v>
          </cell>
          <cell r="AB50">
            <v>1.1439999999999999</v>
          </cell>
          <cell r="AC50">
            <v>7.92</v>
          </cell>
          <cell r="AD50">
            <v>0.58200000000000007</v>
          </cell>
          <cell r="AE50">
            <v>0.192</v>
          </cell>
          <cell r="AF50">
            <v>0.626</v>
          </cell>
          <cell r="AG50">
            <v>0.38100000000000001</v>
          </cell>
          <cell r="AH50">
            <v>1.7810000000000001</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R50" t="str">
            <v>Founders Grant/Performance Awards</v>
          </cell>
          <cell r="BS50">
            <v>0</v>
          </cell>
          <cell r="BT50">
            <v>0.81899999999999995</v>
          </cell>
          <cell r="BU50">
            <v>25.585000000000001</v>
          </cell>
          <cell r="BV50">
            <v>26.570999999999998</v>
          </cell>
          <cell r="BW50">
            <v>10.277999999999999</v>
          </cell>
          <cell r="BX50">
            <v>7.92</v>
          </cell>
          <cell r="BY50">
            <v>1.7810000000000001</v>
          </cell>
          <cell r="BZ50">
            <v>0</v>
          </cell>
          <cell r="CA50">
            <v>0</v>
          </cell>
          <cell r="CB50">
            <v>0</v>
          </cell>
          <cell r="CC50">
            <v>0</v>
          </cell>
          <cell r="CD50">
            <v>0</v>
          </cell>
          <cell r="CE50">
            <v>0</v>
          </cell>
          <cell r="CF50">
            <v>0</v>
          </cell>
          <cell r="CG50">
            <v>0</v>
          </cell>
          <cell r="CI50" t="str">
            <v>mstag:stockCompensationExcludedFromConsensusNetOfTax</v>
          </cell>
          <cell r="CJ50">
            <v>6</v>
          </cell>
          <cell r="CK50" t="str">
            <v>ISO4217:USD</v>
          </cell>
          <cell r="CL50" t="b">
            <v>0</v>
          </cell>
        </row>
        <row r="51">
          <cell r="A51" t="str">
            <v>% of Total Revenue</v>
          </cell>
          <cell r="E51">
            <v>0</v>
          </cell>
          <cell r="F51">
            <v>0</v>
          </cell>
          <cell r="G51">
            <v>0</v>
          </cell>
          <cell r="H51">
            <v>8.0564244820869966E-3</v>
          </cell>
          <cell r="I51">
            <v>3.6212019383820874E-3</v>
          </cell>
          <cell r="J51">
            <v>7.4107267024120405E-2</v>
          </cell>
          <cell r="K51">
            <v>0.10466549965750817</v>
          </cell>
          <cell r="L51">
            <v>7.8829791940074029E-2</v>
          </cell>
          <cell r="M51">
            <v>0.13072005126874897</v>
          </cell>
          <cell r="N51">
            <v>9.6998855045760279E-2</v>
          </cell>
          <cell r="O51">
            <v>9.6661054994388318E-2</v>
          </cell>
          <cell r="P51">
            <v>0.10756218759619472</v>
          </cell>
          <cell r="Q51">
            <v>9.7119959220661523E-2</v>
          </cell>
          <cell r="R51">
            <v>7.9334275800025708E-2</v>
          </cell>
          <cell r="S51">
            <v>9.4623709522910743E-2</v>
          </cell>
          <cell r="T51">
            <v>2.5614703408697367E-2</v>
          </cell>
          <cell r="U51">
            <v>2.3993789842628965E-2</v>
          </cell>
          <cell r="V51">
            <v>1.0555755599729695E-2</v>
          </cell>
          <cell r="W51">
            <v>1.8877919350453316E-2</v>
          </cell>
          <cell r="X51">
            <v>1.5504577606610939E-2</v>
          </cell>
          <cell r="Y51">
            <v>2.0814218486400093E-2</v>
          </cell>
          <cell r="Z51">
            <v>1.9584713226458779E-2</v>
          </cell>
          <cell r="AA51">
            <v>5.7326708913636648E-3</v>
          </cell>
          <cell r="AB51">
            <v>5.0589473498014442E-3</v>
          </cell>
          <cell r="AC51">
            <v>1.4708012524095513E-2</v>
          </cell>
          <cell r="AD51">
            <v>4.2821825887338879E-3</v>
          </cell>
          <cell r="AE51">
            <v>1.326956569817267E-3</v>
          </cell>
          <cell r="AF51">
            <v>2.6588063403611899E-3</v>
          </cell>
          <cell r="AG51">
            <v>1.5420106847984457E-3</v>
          </cell>
          <cell r="AH51">
            <v>3.1042368213730458E-3</v>
          </cell>
          <cell r="AI51">
            <v>0</v>
          </cell>
          <cell r="AJ51">
            <v>0</v>
          </cell>
          <cell r="AK51">
            <v>0</v>
          </cell>
          <cell r="AL51">
            <v>0</v>
          </cell>
          <cell r="AM51">
            <v>0</v>
          </cell>
          <cell r="AN51">
            <v>0</v>
          </cell>
          <cell r="AO51">
            <v>0</v>
          </cell>
          <cell r="AP51">
            <v>0</v>
          </cell>
          <cell r="AQ51">
            <v>0</v>
          </cell>
          <cell r="AR51" t="e">
            <v>#DIV/0!</v>
          </cell>
          <cell r="AS51">
            <v>0</v>
          </cell>
          <cell r="AT51">
            <v>0</v>
          </cell>
          <cell r="AU51">
            <v>0</v>
          </cell>
          <cell r="AV51">
            <v>0</v>
          </cell>
          <cell r="AW51" t="str">
            <v>NA</v>
          </cell>
          <cell r="AX51">
            <v>0</v>
          </cell>
          <cell r="AY51">
            <v>0</v>
          </cell>
          <cell r="AZ51">
            <v>0</v>
          </cell>
          <cell r="BA51">
            <v>0</v>
          </cell>
          <cell r="BB51" t="str">
            <v>NA</v>
          </cell>
          <cell r="BC51">
            <v>0</v>
          </cell>
          <cell r="BD51">
            <v>0</v>
          </cell>
          <cell r="BE51">
            <v>0</v>
          </cell>
          <cell r="BF51">
            <v>0</v>
          </cell>
          <cell r="BG51" t="str">
            <v>NA</v>
          </cell>
          <cell r="BH51">
            <v>0</v>
          </cell>
          <cell r="BI51">
            <v>0</v>
          </cell>
          <cell r="BJ51">
            <v>0</v>
          </cell>
          <cell r="BK51">
            <v>0</v>
          </cell>
          <cell r="BL51" t="str">
            <v>NA</v>
          </cell>
          <cell r="BM51" t="str">
            <v>NA</v>
          </cell>
          <cell r="BN51" t="str">
            <v>NA</v>
          </cell>
          <cell r="BO51" t="str">
            <v>NA</v>
          </cell>
          <cell r="BR51" t="str">
            <v>% of Total Revenue</v>
          </cell>
          <cell r="BS51">
            <v>0</v>
          </cell>
          <cell r="BT51">
            <v>3.6212019383820874E-3</v>
          </cell>
          <cell r="BU51">
            <v>9.6998855045760279E-2</v>
          </cell>
          <cell r="BV51">
            <v>9.4623709522910743E-2</v>
          </cell>
          <cell r="BW51">
            <v>1.5504577606610939E-2</v>
          </cell>
          <cell r="BX51">
            <v>1.4708012524095513E-2</v>
          </cell>
          <cell r="BY51">
            <v>3.1042368213730458E-3</v>
          </cell>
          <cell r="BZ51" t="e">
            <v>#DIV/0!</v>
          </cell>
          <cell r="CA51" t="str">
            <v>NA</v>
          </cell>
          <cell r="CB51" t="str">
            <v>NA</v>
          </cell>
          <cell r="CC51" t="str">
            <v>NA</v>
          </cell>
          <cell r="CD51" t="str">
            <v>NA</v>
          </cell>
          <cell r="CE51" t="str">
            <v>NA</v>
          </cell>
          <cell r="CF51" t="str">
            <v>NA</v>
          </cell>
          <cell r="CG51" t="str">
            <v>NA</v>
          </cell>
        </row>
        <row r="53">
          <cell r="A53" t="str">
            <v>Total Expenses ex. Founders Grant</v>
          </cell>
          <cell r="C53">
            <v>66.075000000000003</v>
          </cell>
          <cell r="D53">
            <v>197.74700000000001</v>
          </cell>
          <cell r="E53">
            <v>50.666000000000004</v>
          </cell>
          <cell r="F53">
            <v>55.305000000000007</v>
          </cell>
          <cell r="G53">
            <v>52.006</v>
          </cell>
          <cell r="H53">
            <v>52.947000000000003</v>
          </cell>
          <cell r="I53">
            <v>210.92400000000001</v>
          </cell>
          <cell r="J53">
            <v>57.384</v>
          </cell>
          <cell r="K53">
            <v>60.765000000000008</v>
          </cell>
          <cell r="L53">
            <v>59.140999999999991</v>
          </cell>
          <cell r="M53">
            <v>58.826000000000001</v>
          </cell>
          <cell r="N53">
            <v>236.11599999999999</v>
          </cell>
          <cell r="O53">
            <v>57.45</v>
          </cell>
          <cell r="P53">
            <v>55.982999999999997</v>
          </cell>
          <cell r="Q53">
            <v>54.913000000000004</v>
          </cell>
          <cell r="R53">
            <v>59.527999999999992</v>
          </cell>
          <cell r="S53">
            <v>227.874</v>
          </cell>
          <cell r="T53">
            <v>64.680999999999997</v>
          </cell>
          <cell r="U53">
            <v>68.599999999999994</v>
          </cell>
          <cell r="V53">
            <v>130.90700000000001</v>
          </cell>
          <cell r="W53">
            <v>114.404</v>
          </cell>
          <cell r="X53">
            <v>378.59199999999998</v>
          </cell>
          <cell r="Y53">
            <v>118.82299999999999</v>
          </cell>
          <cell r="Z53">
            <v>119.488</v>
          </cell>
          <cell r="AA53">
            <v>121.40199999999999</v>
          </cell>
          <cell r="AB53">
            <v>122.48599999999999</v>
          </cell>
          <cell r="AC53">
            <v>482.19899999999996</v>
          </cell>
          <cell r="AD53">
            <v>127.14500000000001</v>
          </cell>
          <cell r="AE53">
            <v>130.65299999999999</v>
          </cell>
          <cell r="AF53">
            <v>130.697</v>
          </cell>
          <cell r="AG53">
            <v>130.982</v>
          </cell>
          <cell r="AH53">
            <v>519.47700000000009</v>
          </cell>
          <cell r="AI53">
            <v>141.816</v>
          </cell>
          <cell r="AJ53">
            <v>140.971</v>
          </cell>
          <cell r="AK53">
            <v>145.41999999999999</v>
          </cell>
          <cell r="AL53">
            <v>155.44900000000001</v>
          </cell>
          <cell r="AM53">
            <v>583.65600000000006</v>
          </cell>
          <cell r="AN53">
            <v>120.81500000000001</v>
          </cell>
          <cell r="AO53">
            <v>122.316</v>
          </cell>
          <cell r="AP53">
            <v>128.06799999999998</v>
          </cell>
          <cell r="AQ53">
            <v>136.429</v>
          </cell>
          <cell r="AR53">
            <v>507.62799999999999</v>
          </cell>
          <cell r="AS53">
            <v>143.08499999999998</v>
          </cell>
          <cell r="AT53">
            <v>148.33199999999999</v>
          </cell>
          <cell r="AU53">
            <v>149.709</v>
          </cell>
          <cell r="AV53">
            <v>146.80000000000001</v>
          </cell>
          <cell r="AW53">
            <v>587.92599999999993</v>
          </cell>
          <cell r="AX53">
            <v>155.11799999999999</v>
          </cell>
          <cell r="AY53">
            <v>152.309</v>
          </cell>
          <cell r="AZ53">
            <v>139.91000000000003</v>
          </cell>
          <cell r="BA53">
            <v>145.97899999999998</v>
          </cell>
          <cell r="BB53">
            <v>593.31600000000003</v>
          </cell>
          <cell r="BC53">
            <v>145.679</v>
          </cell>
          <cell r="BD53">
            <v>144.56899999999999</v>
          </cell>
          <cell r="BE53">
            <v>145.10900000000001</v>
          </cell>
          <cell r="BF53">
            <v>145.85500000000002</v>
          </cell>
          <cell r="BG53">
            <v>581.21199999999999</v>
          </cell>
          <cell r="BH53">
            <v>154.92071342525469</v>
          </cell>
          <cell r="BI53">
            <v>154.66835040095776</v>
          </cell>
          <cell r="BJ53">
            <v>152.25599038032107</v>
          </cell>
          <cell r="BK53">
            <v>154.00295311373623</v>
          </cell>
          <cell r="BL53">
            <v>615.84800732026974</v>
          </cell>
          <cell r="BM53">
            <v>651.51395885531429</v>
          </cell>
          <cell r="BN53">
            <v>691.28268585364208</v>
          </cell>
          <cell r="BO53">
            <v>734.3684246569112</v>
          </cell>
          <cell r="BR53" t="str">
            <v>Total Expenses ex. Founders Grant</v>
          </cell>
          <cell r="BS53">
            <v>197.74700000000001</v>
          </cell>
          <cell r="BT53">
            <v>210.92400000000001</v>
          </cell>
          <cell r="BU53">
            <v>236.11599999999999</v>
          </cell>
          <cell r="BV53">
            <v>227.874</v>
          </cell>
          <cell r="BW53">
            <v>378.59199999999998</v>
          </cell>
          <cell r="BX53">
            <v>482.19899999999996</v>
          </cell>
          <cell r="BY53">
            <v>519.47700000000009</v>
          </cell>
          <cell r="BZ53">
            <v>507.62799999999999</v>
          </cell>
          <cell r="CA53">
            <v>587.92599999999993</v>
          </cell>
          <cell r="CB53">
            <v>593.31600000000003</v>
          </cell>
          <cell r="CC53">
            <v>581.21199999999999</v>
          </cell>
          <cell r="CD53">
            <v>615.84800732026974</v>
          </cell>
          <cell r="CE53">
            <v>651.51395885531429</v>
          </cell>
          <cell r="CF53">
            <v>691.28268585364208</v>
          </cell>
          <cell r="CG53">
            <v>734.3684246569112</v>
          </cell>
        </row>
        <row r="54">
          <cell r="A54" t="str">
            <v>Expense ex ISS</v>
          </cell>
          <cell r="AH54">
            <v>427.29300000000006</v>
          </cell>
          <cell r="AM54">
            <v>493.77800000000008</v>
          </cell>
          <cell r="AN54">
            <v>120.81500000000001</v>
          </cell>
          <cell r="AO54">
            <v>122.316</v>
          </cell>
          <cell r="AP54">
            <v>128.06799999999998</v>
          </cell>
          <cell r="AQ54">
            <v>136.429</v>
          </cell>
          <cell r="AR54">
            <v>507.62799999999999</v>
          </cell>
          <cell r="AS54">
            <v>143.08499999999998</v>
          </cell>
          <cell r="AT54">
            <v>148.33199999999999</v>
          </cell>
          <cell r="AU54">
            <v>149.709</v>
          </cell>
          <cell r="AV54">
            <v>146.80000000000001</v>
          </cell>
          <cell r="AW54">
            <v>587.92599999999993</v>
          </cell>
          <cell r="AX54">
            <v>155.11799999999999</v>
          </cell>
          <cell r="AY54">
            <v>152.309</v>
          </cell>
          <cell r="AZ54">
            <v>139.91000000000003</v>
          </cell>
          <cell r="BA54">
            <v>145.97899999999998</v>
          </cell>
          <cell r="BB54">
            <v>593.31600000000003</v>
          </cell>
          <cell r="BC54">
            <v>145.679</v>
          </cell>
          <cell r="BD54">
            <v>144.56899999999999</v>
          </cell>
          <cell r="BE54">
            <v>145.10900000000001</v>
          </cell>
          <cell r="BF54">
            <v>145.85500000000002</v>
          </cell>
          <cell r="BG54">
            <v>581.21199999999999</v>
          </cell>
          <cell r="BH54">
            <v>154.92071342525469</v>
          </cell>
          <cell r="BI54">
            <v>154.66835040095776</v>
          </cell>
          <cell r="BJ54">
            <v>152.25599038032107</v>
          </cell>
          <cell r="BK54">
            <v>154.00295311373623</v>
          </cell>
          <cell r="BL54">
            <v>615.84800732026974</v>
          </cell>
          <cell r="BM54">
            <v>651.51395885531429</v>
          </cell>
          <cell r="BN54">
            <v>691.28268585364208</v>
          </cell>
          <cell r="BO54">
            <v>734.3684246569112</v>
          </cell>
          <cell r="BR54" t="str">
            <v>Expense ex ISS</v>
          </cell>
          <cell r="BS54">
            <v>0</v>
          </cell>
          <cell r="BT54">
            <v>0</v>
          </cell>
          <cell r="BU54">
            <v>0</v>
          </cell>
          <cell r="BV54">
            <v>0</v>
          </cell>
          <cell r="BW54">
            <v>0</v>
          </cell>
          <cell r="BY54">
            <v>427.29300000000006</v>
          </cell>
          <cell r="BZ54">
            <v>507.62799999999999</v>
          </cell>
          <cell r="CA54">
            <v>587.92599999999993</v>
          </cell>
          <cell r="CB54">
            <v>593.31600000000003</v>
          </cell>
          <cell r="CC54">
            <v>581.21199999999999</v>
          </cell>
          <cell r="CD54">
            <v>615.84800732026974</v>
          </cell>
          <cell r="CE54">
            <v>651.51395885531429</v>
          </cell>
          <cell r="CF54">
            <v>691.28268585364208</v>
          </cell>
          <cell r="CG54">
            <v>734.3684246569112</v>
          </cell>
        </row>
        <row r="55">
          <cell r="A55" t="str">
            <v>RISK Expenses</v>
          </cell>
          <cell r="BR55" t="str">
            <v>RISK Expenses</v>
          </cell>
        </row>
        <row r="56">
          <cell r="A56" t="str">
            <v>Cost Of Revenues</v>
          </cell>
          <cell r="BR56" t="str">
            <v>Cost Of Revenues</v>
          </cell>
          <cell r="BW56">
            <v>0</v>
          </cell>
          <cell r="BX56">
            <v>0</v>
          </cell>
          <cell r="BY56">
            <v>0</v>
          </cell>
          <cell r="BZ56">
            <v>0</v>
          </cell>
          <cell r="CA56">
            <v>0</v>
          </cell>
          <cell r="CB56">
            <v>0</v>
          </cell>
          <cell r="CC56">
            <v>0</v>
          </cell>
          <cell r="CD56">
            <v>0</v>
          </cell>
          <cell r="CE56">
            <v>0</v>
          </cell>
          <cell r="CF56">
            <v>0</v>
          </cell>
          <cell r="CG56">
            <v>0</v>
          </cell>
          <cell r="CI56" t="str">
            <v>mstag:costOfServicesSold</v>
          </cell>
          <cell r="CJ56">
            <v>6</v>
          </cell>
          <cell r="CK56" t="str">
            <v>ISO4217:USD</v>
          </cell>
          <cell r="CL56" t="b">
            <v>0</v>
          </cell>
        </row>
        <row r="57">
          <cell r="A57" t="str">
            <v>Gross Margin</v>
          </cell>
          <cell r="BR57" t="str">
            <v>Gross Margin</v>
          </cell>
          <cell r="BW57">
            <v>0</v>
          </cell>
          <cell r="BX57">
            <v>0</v>
          </cell>
          <cell r="BY57">
            <v>0</v>
          </cell>
          <cell r="BZ57">
            <v>0</v>
          </cell>
          <cell r="CA57">
            <v>0</v>
          </cell>
          <cell r="CB57">
            <v>0</v>
          </cell>
          <cell r="CC57">
            <v>0</v>
          </cell>
          <cell r="CD57">
            <v>0</v>
          </cell>
          <cell r="CE57">
            <v>0</v>
          </cell>
          <cell r="CF57">
            <v>0</v>
          </cell>
          <cell r="CG57">
            <v>0</v>
          </cell>
        </row>
        <row r="58">
          <cell r="A58" t="str">
            <v>Research and Development</v>
          </cell>
          <cell r="BR58" t="str">
            <v>Research and Development</v>
          </cell>
          <cell r="BW58">
            <v>0</v>
          </cell>
          <cell r="BX58">
            <v>0</v>
          </cell>
          <cell r="BY58">
            <v>0</v>
          </cell>
          <cell r="BZ58">
            <v>0</v>
          </cell>
          <cell r="CA58">
            <v>0</v>
          </cell>
          <cell r="CB58">
            <v>0</v>
          </cell>
          <cell r="CC58">
            <v>0</v>
          </cell>
          <cell r="CD58">
            <v>0</v>
          </cell>
          <cell r="CE58">
            <v>0</v>
          </cell>
          <cell r="CF58">
            <v>0</v>
          </cell>
          <cell r="CG58">
            <v>0</v>
          </cell>
          <cell r="CI58" t="str">
            <v>mstag:generalAndAdministrativeExpenses</v>
          </cell>
          <cell r="CJ58">
            <v>6</v>
          </cell>
          <cell r="CK58" t="str">
            <v>ISO4217:USD</v>
          </cell>
          <cell r="CL58" t="b">
            <v>0</v>
          </cell>
        </row>
        <row r="59">
          <cell r="A59" t="str">
            <v>% of Total Revenue</v>
          </cell>
          <cell r="BR59" t="str">
            <v>% of Total Revenue</v>
          </cell>
          <cell r="BW59">
            <v>0</v>
          </cell>
          <cell r="BX59">
            <v>0</v>
          </cell>
          <cell r="BY59">
            <v>0</v>
          </cell>
          <cell r="BZ59">
            <v>0</v>
          </cell>
          <cell r="CA59">
            <v>0</v>
          </cell>
          <cell r="CB59">
            <v>0</v>
          </cell>
          <cell r="CC59">
            <v>0</v>
          </cell>
          <cell r="CD59">
            <v>0</v>
          </cell>
          <cell r="CE59">
            <v>0</v>
          </cell>
          <cell r="CF59">
            <v>0</v>
          </cell>
          <cell r="CG59">
            <v>0</v>
          </cell>
        </row>
        <row r="60">
          <cell r="A60" t="str">
            <v>Selling and Markeitng</v>
          </cell>
          <cell r="BR60" t="str">
            <v>Selling and Markeitng</v>
          </cell>
          <cell r="BW60">
            <v>0</v>
          </cell>
          <cell r="BX60">
            <v>0</v>
          </cell>
          <cell r="BY60">
            <v>0</v>
          </cell>
          <cell r="BZ60">
            <v>0</v>
          </cell>
          <cell r="CA60">
            <v>0</v>
          </cell>
          <cell r="CB60">
            <v>0</v>
          </cell>
          <cell r="CC60">
            <v>0</v>
          </cell>
          <cell r="CD60">
            <v>0</v>
          </cell>
          <cell r="CE60">
            <v>0</v>
          </cell>
          <cell r="CF60">
            <v>0</v>
          </cell>
          <cell r="CG60">
            <v>0</v>
          </cell>
          <cell r="CI60" t="str">
            <v>mstag:generalAndAdministrativeExpenses</v>
          </cell>
          <cell r="CJ60">
            <v>6</v>
          </cell>
          <cell r="CK60" t="str">
            <v>ISO4217:USD</v>
          </cell>
          <cell r="CL60" t="b">
            <v>0</v>
          </cell>
        </row>
        <row r="61">
          <cell r="A61" t="str">
            <v>% of Total Revenue</v>
          </cell>
          <cell r="BR61" t="str">
            <v>% of Total Revenue</v>
          </cell>
          <cell r="BW61">
            <v>0</v>
          </cell>
          <cell r="BX61">
            <v>0</v>
          </cell>
          <cell r="BY61">
            <v>0</v>
          </cell>
          <cell r="BZ61">
            <v>0</v>
          </cell>
          <cell r="CA61">
            <v>0</v>
          </cell>
          <cell r="CB61">
            <v>0</v>
          </cell>
          <cell r="CC61">
            <v>0</v>
          </cell>
          <cell r="CD61">
            <v>0</v>
          </cell>
          <cell r="CE61">
            <v>0</v>
          </cell>
          <cell r="CF61">
            <v>0</v>
          </cell>
          <cell r="CG61">
            <v>0</v>
          </cell>
        </row>
        <row r="62">
          <cell r="A62" t="str">
            <v>General and Administrative</v>
          </cell>
          <cell r="BR62" t="str">
            <v>General and Administrative</v>
          </cell>
          <cell r="BW62">
            <v>0</v>
          </cell>
          <cell r="BX62">
            <v>0</v>
          </cell>
          <cell r="BY62">
            <v>0</v>
          </cell>
          <cell r="BZ62">
            <v>0</v>
          </cell>
          <cell r="CA62">
            <v>0</v>
          </cell>
          <cell r="CB62">
            <v>0</v>
          </cell>
          <cell r="CC62">
            <v>0</v>
          </cell>
          <cell r="CD62">
            <v>0</v>
          </cell>
          <cell r="CE62">
            <v>0</v>
          </cell>
          <cell r="CF62">
            <v>0</v>
          </cell>
          <cell r="CG62">
            <v>0</v>
          </cell>
          <cell r="CI62" t="str">
            <v>mstag:generalAndAdministrativeExpenses</v>
          </cell>
          <cell r="CJ62">
            <v>6</v>
          </cell>
          <cell r="CK62" t="str">
            <v>ISO4217:USD</v>
          </cell>
          <cell r="CL62" t="b">
            <v>0</v>
          </cell>
        </row>
        <row r="63">
          <cell r="A63" t="str">
            <v>% of Total Revenue</v>
          </cell>
          <cell r="BR63" t="str">
            <v>% of Total Revenue</v>
          </cell>
          <cell r="BW63">
            <v>0</v>
          </cell>
          <cell r="BX63">
            <v>0</v>
          </cell>
          <cell r="BY63">
            <v>0</v>
          </cell>
          <cell r="BZ63">
            <v>0</v>
          </cell>
          <cell r="CA63">
            <v>0</v>
          </cell>
          <cell r="CB63">
            <v>0</v>
          </cell>
          <cell r="CC63">
            <v>0</v>
          </cell>
          <cell r="CD63">
            <v>0</v>
          </cell>
          <cell r="CE63">
            <v>0</v>
          </cell>
          <cell r="CF63">
            <v>0</v>
          </cell>
          <cell r="CG63">
            <v>0</v>
          </cell>
        </row>
        <row r="64">
          <cell r="A64" t="str">
            <v>Stock Based Compensation Expense</v>
          </cell>
          <cell r="BR64" t="str">
            <v>Stock Based Compensation Expense</v>
          </cell>
          <cell r="BW64">
            <v>0</v>
          </cell>
          <cell r="BX64">
            <v>0</v>
          </cell>
          <cell r="BY64">
            <v>0</v>
          </cell>
          <cell r="BZ64">
            <v>0</v>
          </cell>
          <cell r="CA64">
            <v>0</v>
          </cell>
          <cell r="CB64">
            <v>0</v>
          </cell>
          <cell r="CC64">
            <v>0</v>
          </cell>
          <cell r="CD64">
            <v>0</v>
          </cell>
          <cell r="CE64">
            <v>0</v>
          </cell>
          <cell r="CF64">
            <v>0</v>
          </cell>
          <cell r="CG64">
            <v>0</v>
          </cell>
          <cell r="CI64" t="str">
            <v>mstag:generalAndAdministrativeExpenses</v>
          </cell>
          <cell r="CJ64">
            <v>6</v>
          </cell>
          <cell r="CK64" t="str">
            <v>ISO4217:USD</v>
          </cell>
          <cell r="CL64" t="b">
            <v>0</v>
          </cell>
        </row>
        <row r="65">
          <cell r="A65" t="str">
            <v>% of Total Revenue</v>
          </cell>
          <cell r="BR65" t="str">
            <v>% of Total Revenue</v>
          </cell>
          <cell r="BW65">
            <v>0</v>
          </cell>
          <cell r="BX65">
            <v>0</v>
          </cell>
          <cell r="BY65">
            <v>0</v>
          </cell>
          <cell r="BZ65">
            <v>0</v>
          </cell>
          <cell r="CA65">
            <v>0</v>
          </cell>
          <cell r="CB65">
            <v>0</v>
          </cell>
          <cell r="CC65">
            <v>0</v>
          </cell>
          <cell r="CD65">
            <v>0</v>
          </cell>
          <cell r="CE65">
            <v>0</v>
          </cell>
          <cell r="CF65">
            <v>0</v>
          </cell>
          <cell r="CG65">
            <v>0</v>
          </cell>
        </row>
        <row r="66">
          <cell r="A66" t="str">
            <v>Expense increase</v>
          </cell>
          <cell r="AW66">
            <v>0.15818276375613638</v>
          </cell>
          <cell r="AX66">
            <v>8.4096865499528439E-2</v>
          </cell>
          <cell r="AY66">
            <v>2.6811476957096181E-2</v>
          </cell>
          <cell r="AZ66">
            <v>-6.5453646741344684E-2</v>
          </cell>
          <cell r="BA66">
            <v>-5.5926430517713177E-3</v>
          </cell>
          <cell r="BB66">
            <v>9.1678204399874286E-3</v>
          </cell>
          <cell r="BC66">
            <v>-6.085044933534467E-2</v>
          </cell>
          <cell r="BD66">
            <v>-5.0817745504205369E-2</v>
          </cell>
          <cell r="BE66">
            <v>3.7159602601672281E-2</v>
          </cell>
          <cell r="BF66">
            <v>-8.494372478230483E-4</v>
          </cell>
          <cell r="BG66">
            <v>-2.0400595972466684E-2</v>
          </cell>
          <cell r="BH66">
            <v>6.3438885668179346E-2</v>
          </cell>
          <cell r="BI66">
            <v>6.9858340314713274E-2</v>
          </cell>
          <cell r="BJ66">
            <v>4.9252564488219575E-2</v>
          </cell>
          <cell r="BK66">
            <v>5.5863378792199159E-2</v>
          </cell>
          <cell r="BL66">
            <v>5.9592725752857456E-2</v>
          </cell>
          <cell r="BM66">
            <v>5.7913561643622602E-2</v>
          </cell>
          <cell r="BN66">
            <v>6.1040483412204916E-2</v>
          </cell>
          <cell r="BO66">
            <v>6.2327235565091454E-2</v>
          </cell>
          <cell r="BR66" t="str">
            <v>Expense increase</v>
          </cell>
          <cell r="BZ66">
            <v>0.18800916467154827</v>
          </cell>
          <cell r="CA66">
            <v>0.15818276375613638</v>
          </cell>
          <cell r="CB66">
            <v>9.1678204399874286E-3</v>
          </cell>
          <cell r="CC66">
            <v>-2.0400595972466684E-2</v>
          </cell>
          <cell r="CD66">
            <v>5.9592725752857456E-2</v>
          </cell>
          <cell r="CE66">
            <v>5.7913561643622602E-2</v>
          </cell>
          <cell r="CF66">
            <v>6.1040483412204916E-2</v>
          </cell>
          <cell r="CG66">
            <v>6.2327235565091454E-2</v>
          </cell>
        </row>
        <row r="67">
          <cell r="A67" t="str">
            <v>Restructuring</v>
          </cell>
          <cell r="V67">
            <v>6.9530000000000003</v>
          </cell>
          <cell r="W67">
            <v>1.9430000000000001</v>
          </cell>
          <cell r="X67">
            <v>8.8960000000000008</v>
          </cell>
          <cell r="Y67">
            <v>4.431</v>
          </cell>
          <cell r="Z67">
            <v>0.04</v>
          </cell>
          <cell r="AA67">
            <v>-1.002</v>
          </cell>
          <cell r="AB67">
            <v>0.125</v>
          </cell>
          <cell r="AC67">
            <v>3.5940000000000003</v>
          </cell>
          <cell r="AD67">
            <v>-2.9000000000000001E-2</v>
          </cell>
          <cell r="AE67">
            <v>-2.1999999999999999E-2</v>
          </cell>
          <cell r="AF67">
            <v>0</v>
          </cell>
          <cell r="AG67">
            <v>0</v>
          </cell>
          <cell r="AH67">
            <v>-5.1000000000000004E-2</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R67" t="str">
            <v>Restructuring</v>
          </cell>
          <cell r="BW67">
            <v>8.8960000000000008</v>
          </cell>
          <cell r="BX67">
            <v>3.5940000000000003</v>
          </cell>
          <cell r="BY67">
            <v>-5.1000000000000004E-2</v>
          </cell>
          <cell r="BZ67">
            <v>0</v>
          </cell>
          <cell r="CA67">
            <v>0</v>
          </cell>
          <cell r="CB67">
            <v>0</v>
          </cell>
          <cell r="CC67">
            <v>0</v>
          </cell>
          <cell r="CD67">
            <v>0</v>
          </cell>
          <cell r="CE67">
            <v>0</v>
          </cell>
          <cell r="CF67">
            <v>0</v>
          </cell>
          <cell r="CG67">
            <v>0</v>
          </cell>
          <cell r="CI67" t="str">
            <v>mstag:restructuringCostsOneTime</v>
          </cell>
          <cell r="CJ67">
            <v>6</v>
          </cell>
          <cell r="CK67" t="str">
            <v>ISO4217:USD</v>
          </cell>
          <cell r="CL67" t="b">
            <v>0</v>
          </cell>
        </row>
        <row r="69">
          <cell r="A69" t="str">
            <v>Other one-time items</v>
          </cell>
          <cell r="T69">
            <v>2.25</v>
          </cell>
          <cell r="U69">
            <v>5.2640000000000002</v>
          </cell>
          <cell r="V69">
            <v>13.692</v>
          </cell>
          <cell r="W69">
            <v>0</v>
          </cell>
          <cell r="X69">
            <v>21.206</v>
          </cell>
          <cell r="Y69">
            <v>0</v>
          </cell>
          <cell r="Z69">
            <v>0</v>
          </cell>
          <cell r="AA69">
            <v>0</v>
          </cell>
          <cell r="AB69">
            <v>0</v>
          </cell>
          <cell r="AC69">
            <v>0</v>
          </cell>
          <cell r="AD69">
            <v>0</v>
          </cell>
          <cell r="AE69">
            <v>0</v>
          </cell>
          <cell r="AF69">
            <v>3.327</v>
          </cell>
          <cell r="AG69">
            <v>0.46899999999999997</v>
          </cell>
          <cell r="AH69">
            <v>3.7959999999999998</v>
          </cell>
          <cell r="AI69">
            <v>0</v>
          </cell>
          <cell r="AJ69">
            <v>-0.36499999999999999</v>
          </cell>
          <cell r="AK69">
            <v>0</v>
          </cell>
          <cell r="AL69">
            <v>1.821</v>
          </cell>
          <cell r="AM69">
            <v>1.456</v>
          </cell>
          <cell r="AN69">
            <v>0</v>
          </cell>
          <cell r="AO69">
            <v>-0.36499999999999999</v>
          </cell>
          <cell r="AP69">
            <v>0</v>
          </cell>
          <cell r="AQ69">
            <v>0</v>
          </cell>
          <cell r="AR69">
            <v>-0.36499999999999999</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R69" t="str">
            <v>Other one-time items</v>
          </cell>
          <cell r="BW69">
            <v>21.206</v>
          </cell>
          <cell r="BX69">
            <v>0</v>
          </cell>
          <cell r="BY69">
            <v>3.7959999999999998</v>
          </cell>
          <cell r="BZ69">
            <v>-0.36499999999999999</v>
          </cell>
          <cell r="CA69">
            <v>0</v>
          </cell>
          <cell r="CB69">
            <v>0</v>
          </cell>
          <cell r="CC69">
            <v>0</v>
          </cell>
          <cell r="CD69">
            <v>0</v>
          </cell>
          <cell r="CE69">
            <v>0</v>
          </cell>
          <cell r="CF69">
            <v>0</v>
          </cell>
          <cell r="CG69">
            <v>0</v>
          </cell>
        </row>
        <row r="71">
          <cell r="A71" t="str">
            <v>Adj. EBITDA, segment calculation</v>
          </cell>
          <cell r="AN71">
            <v>98.654000000000011</v>
          </cell>
          <cell r="AO71">
            <v>105.52</v>
          </cell>
          <cell r="AP71">
            <v>100.54</v>
          </cell>
          <cell r="AQ71">
            <v>100.43399999999998</v>
          </cell>
          <cell r="AR71">
            <v>405.14799999999997</v>
          </cell>
          <cell r="AS71">
            <v>96.603000000000009</v>
          </cell>
          <cell r="AT71">
            <v>105.89399999999999</v>
          </cell>
          <cell r="AU71">
            <v>101.952</v>
          </cell>
          <cell r="AV71">
            <v>104.30499999999999</v>
          </cell>
          <cell r="AW71">
            <v>408.75400000000002</v>
          </cell>
          <cell r="AX71">
            <v>107.651</v>
          </cell>
          <cell r="AY71">
            <v>118.27099999999999</v>
          </cell>
          <cell r="AZ71">
            <v>128.86099999999999</v>
          </cell>
          <cell r="BA71">
            <v>126.914</v>
          </cell>
          <cell r="BB71">
            <v>481.69700000000006</v>
          </cell>
          <cell r="BC71">
            <v>133.149</v>
          </cell>
          <cell r="BD71">
            <v>146.02699999999999</v>
          </cell>
          <cell r="BE71">
            <v>143.32400000000001</v>
          </cell>
          <cell r="BF71">
            <v>146.95699999999999</v>
          </cell>
          <cell r="BG71">
            <v>569.45699999999999</v>
          </cell>
          <cell r="BH71">
            <v>145.78563568186155</v>
          </cell>
          <cell r="BI71">
            <v>153.26975750989843</v>
          </cell>
          <cell r="BJ71">
            <v>155.20237164396042</v>
          </cell>
          <cell r="BK71">
            <v>158.2576076623028</v>
          </cell>
          <cell r="BL71">
            <v>612.51537249802311</v>
          </cell>
          <cell r="BM71">
            <v>663.68095149718113</v>
          </cell>
          <cell r="BN71">
            <v>721.66769227498673</v>
          </cell>
          <cell r="BO71">
            <v>785.82389549000436</v>
          </cell>
        </row>
        <row r="72">
          <cell r="A72" t="str">
            <v>var</v>
          </cell>
          <cell r="AN72">
            <v>-4.5999999999963848E-2</v>
          </cell>
          <cell r="AO72">
            <v>-0.16899999999998272</v>
          </cell>
          <cell r="AP72">
            <v>-9.3000000000003524E-2</v>
          </cell>
          <cell r="AQ72">
            <v>6.3000000000002387E-2</v>
          </cell>
          <cell r="AR72">
            <v>-0.24500000000000455</v>
          </cell>
          <cell r="AS72">
            <v>-1.2000000000028876E-2</v>
          </cell>
          <cell r="AT72">
            <v>-6.9000000000031037E-2</v>
          </cell>
          <cell r="AU72">
            <v>0.10399999999998499</v>
          </cell>
          <cell r="AV72">
            <v>-4.7999999999987608E-2</v>
          </cell>
          <cell r="AW72">
            <v>-2.5000000000090949E-2</v>
          </cell>
          <cell r="AX72">
            <v>-1.0999999999981469E-2</v>
          </cell>
          <cell r="AY72">
            <v>1.999999999998181E-2</v>
          </cell>
          <cell r="AZ72">
            <v>-5.9999999999149622E-3</v>
          </cell>
          <cell r="BA72">
            <v>0</v>
          </cell>
          <cell r="BB72">
            <v>3.0000000000995897E-3</v>
          </cell>
          <cell r="BC72">
            <v>0</v>
          </cell>
          <cell r="BD72">
            <v>0</v>
          </cell>
          <cell r="BE72">
            <v>0</v>
          </cell>
          <cell r="BF72">
            <v>0</v>
          </cell>
          <cell r="BG72">
            <v>0</v>
          </cell>
          <cell r="BH72">
            <v>-0.12865004522751633</v>
          </cell>
          <cell r="BI72">
            <v>0.13510487585611486</v>
          </cell>
          <cell r="BJ72">
            <v>0.23935547585568884</v>
          </cell>
          <cell r="BK72">
            <v>-4.3747978646877073E-2</v>
          </cell>
          <cell r="BL72">
            <v>0.20206232783732503</v>
          </cell>
          <cell r="BM72">
            <v>-0.87993890209975234</v>
          </cell>
          <cell r="BN72">
            <v>-2.0373399508974899</v>
          </cell>
          <cell r="BO72">
            <v>-3.2569518288723884</v>
          </cell>
        </row>
        <row r="75">
          <cell r="A75" t="str">
            <v>Adj. EBITDA (ex. non recurring comp)</v>
          </cell>
          <cell r="C75">
            <v>15.510999999999996</v>
          </cell>
          <cell r="D75">
            <v>112.95099999999996</v>
          </cell>
          <cell r="E75">
            <v>36.403000000000013</v>
          </cell>
          <cell r="F75">
            <v>33.446999999999989</v>
          </cell>
          <cell r="G75">
            <v>40.40100000000001</v>
          </cell>
          <cell r="H75">
            <v>48.710999999999999</v>
          </cell>
          <cell r="I75">
            <v>158.96200000000002</v>
          </cell>
          <cell r="J75">
            <v>47.566999999999993</v>
          </cell>
          <cell r="K75">
            <v>47.43</v>
          </cell>
          <cell r="L75">
            <v>51.25800000000001</v>
          </cell>
          <cell r="M75">
            <v>48.589999999999996</v>
          </cell>
          <cell r="N75">
            <v>194.84500000000003</v>
          </cell>
          <cell r="O75">
            <v>48.465000000000003</v>
          </cell>
          <cell r="P75">
            <v>53.392000000000003</v>
          </cell>
          <cell r="Q75">
            <v>53.954999999999991</v>
          </cell>
          <cell r="R75">
            <v>59.262</v>
          </cell>
          <cell r="S75">
            <v>215.07399999999998</v>
          </cell>
          <cell r="T75">
            <v>59.248999999999995</v>
          </cell>
          <cell r="U75">
            <v>61.83400000000001</v>
          </cell>
          <cell r="V75">
            <v>85.518000000000001</v>
          </cell>
          <cell r="W75">
            <v>98.913999999999987</v>
          </cell>
          <cell r="X75">
            <v>307.60300000000007</v>
          </cell>
          <cell r="Y75">
            <v>104.47499999999998</v>
          </cell>
          <cell r="Z75">
            <v>106.995</v>
          </cell>
          <cell r="AA75">
            <v>103.62400000000002</v>
          </cell>
          <cell r="AB75">
            <v>103.64800000000002</v>
          </cell>
          <cell r="AC75">
            <v>418.74200000000008</v>
          </cell>
          <cell r="AD75">
            <v>101.90699999999998</v>
          </cell>
          <cell r="AE75">
            <v>107.91200000000001</v>
          </cell>
          <cell r="AF75">
            <v>108.07400000000001</v>
          </cell>
          <cell r="AG75">
            <v>116.56700000000001</v>
          </cell>
          <cell r="AH75">
            <v>434.46</v>
          </cell>
          <cell r="AI75">
            <v>110.09299999999999</v>
          </cell>
          <cell r="AJ75">
            <v>116.56200000000003</v>
          </cell>
          <cell r="AK75">
            <v>112.81799999999996</v>
          </cell>
          <cell r="AL75">
            <v>113.99399999999994</v>
          </cell>
          <cell r="AM75">
            <v>453.46699999999987</v>
          </cell>
          <cell r="AN75">
            <v>98.699999999999974</v>
          </cell>
          <cell r="AO75">
            <v>105.68899999999998</v>
          </cell>
          <cell r="AP75">
            <v>100.63300000000001</v>
          </cell>
          <cell r="AQ75">
            <v>100.37099999999998</v>
          </cell>
          <cell r="AR75">
            <v>405.39299999999997</v>
          </cell>
          <cell r="AS75">
            <v>96.615000000000038</v>
          </cell>
          <cell r="AT75">
            <v>105.96300000000002</v>
          </cell>
          <cell r="AU75">
            <v>101.84800000000001</v>
          </cell>
          <cell r="AV75">
            <v>104.35299999999998</v>
          </cell>
          <cell r="AW75">
            <v>408.77900000000011</v>
          </cell>
          <cell r="AX75">
            <v>107.66199999999998</v>
          </cell>
          <cell r="AY75">
            <v>118.251</v>
          </cell>
          <cell r="AZ75">
            <v>128.8669999999999</v>
          </cell>
          <cell r="BA75">
            <v>126.91400000000004</v>
          </cell>
          <cell r="BB75">
            <v>481.69399999999996</v>
          </cell>
          <cell r="BC75">
            <v>133.14899999999997</v>
          </cell>
          <cell r="BD75">
            <v>146.02700000000002</v>
          </cell>
          <cell r="BE75">
            <v>143.32400000000004</v>
          </cell>
          <cell r="BF75">
            <v>146.95699999999999</v>
          </cell>
          <cell r="BG75">
            <v>569.45699999999999</v>
          </cell>
          <cell r="BH75">
            <v>145.91428572708907</v>
          </cell>
          <cell r="BI75">
            <v>153.13465263404231</v>
          </cell>
          <cell r="BJ75">
            <v>154.96301616810473</v>
          </cell>
          <cell r="BK75">
            <v>158.30135564094968</v>
          </cell>
          <cell r="BL75">
            <v>612.31331017018579</v>
          </cell>
          <cell r="BM75">
            <v>664.56089039928088</v>
          </cell>
          <cell r="BN75">
            <v>723.70503222588422</v>
          </cell>
          <cell r="BO75">
            <v>789.08084731887675</v>
          </cell>
          <cell r="BP75">
            <v>0.10374831376439597</v>
          </cell>
          <cell r="BR75" t="str">
            <v>Adj. EBITDA (ex. non recurring comp)</v>
          </cell>
          <cell r="BS75">
            <v>112.95099999999996</v>
          </cell>
          <cell r="BT75">
            <v>158.96200000000002</v>
          </cell>
          <cell r="BU75">
            <v>194.84500000000003</v>
          </cell>
          <cell r="BV75">
            <v>215.07399999999998</v>
          </cell>
          <cell r="BW75">
            <v>307.60300000000007</v>
          </cell>
          <cell r="BX75">
            <v>418.74200000000008</v>
          </cell>
          <cell r="BY75">
            <v>434.46</v>
          </cell>
          <cell r="BZ75">
            <v>405.39299999999997</v>
          </cell>
          <cell r="CA75">
            <v>408.77900000000011</v>
          </cell>
          <cell r="CB75">
            <v>481.69399999999996</v>
          </cell>
          <cell r="CC75">
            <v>569.45699999999999</v>
          </cell>
          <cell r="CD75">
            <v>612.31331017018579</v>
          </cell>
          <cell r="CE75">
            <v>664.56089039928088</v>
          </cell>
          <cell r="CF75">
            <v>723.70503222588422</v>
          </cell>
          <cell r="CG75">
            <v>789.08084731887675</v>
          </cell>
        </row>
        <row r="76">
          <cell r="A76" t="str">
            <v>Adj. EBITDA Margin</v>
          </cell>
          <cell r="C76">
            <v>0.19011840266712421</v>
          </cell>
          <cell r="D76">
            <v>0.36353951425499992</v>
          </cell>
          <cell r="E76">
            <v>0.41809369580447697</v>
          </cell>
          <cell r="F76">
            <v>0.37685911303407238</v>
          </cell>
          <cell r="G76">
            <v>0.43720713798738198</v>
          </cell>
          <cell r="H76">
            <v>0.47916543705365044</v>
          </cell>
          <cell r="I76">
            <v>0.42975943939484057</v>
          </cell>
          <cell r="J76">
            <v>0.45323055521147959</v>
          </cell>
          <cell r="K76">
            <v>0.43837515596839038</v>
          </cell>
          <cell r="L76">
            <v>0.46429768385583209</v>
          </cell>
          <cell r="M76">
            <v>0.45235346689506217</v>
          </cell>
          <cell r="N76">
            <v>0.4521174769874769</v>
          </cell>
          <cell r="O76">
            <v>0.45758391162724826</v>
          </cell>
          <cell r="P76">
            <v>0.48815542857142857</v>
          </cell>
          <cell r="Q76">
            <v>0.49560017636036297</v>
          </cell>
          <cell r="R76">
            <v>0.4988803771361226</v>
          </cell>
          <cell r="S76">
            <v>0.48555135140016437</v>
          </cell>
          <cell r="T76">
            <v>0.48692472057856673</v>
          </cell>
          <cell r="U76">
            <v>0.49400015978269562</v>
          </cell>
          <cell r="V76">
            <v>0.42182575111106724</v>
          </cell>
          <cell r="W76">
            <v>0.46369270291302184</v>
          </cell>
          <cell r="X76">
            <v>0.464025548309627</v>
          </cell>
          <cell r="Y76">
            <v>0.4678725290866913</v>
          </cell>
          <cell r="Z76">
            <v>0.47241956349924719</v>
          </cell>
          <cell r="AA76">
            <v>0.46049789802067326</v>
          </cell>
          <cell r="AB76">
            <v>0.45834770534284991</v>
          </cell>
          <cell r="AC76">
            <v>0.46478293251167396</v>
          </cell>
          <cell r="AD76">
            <v>0.44490770654698492</v>
          </cell>
          <cell r="AE76">
            <v>0.45233793724980614</v>
          </cell>
          <cell r="AF76">
            <v>0.45902210292043971</v>
          </cell>
          <cell r="AG76">
            <v>0.47177837137769146</v>
          </cell>
          <cell r="AH76">
            <v>0.45725844900914703</v>
          </cell>
          <cell r="AI76">
            <v>0.43703480225001884</v>
          </cell>
          <cell r="AJ76">
            <v>0.45196938324453861</v>
          </cell>
          <cell r="AK76">
            <v>0.43687606006861879</v>
          </cell>
          <cell r="AL76">
            <v>0.42595152864861618</v>
          </cell>
          <cell r="AM76">
            <v>0.4378501970227881</v>
          </cell>
          <cell r="AN76">
            <v>0.44962758809192988</v>
          </cell>
          <cell r="AO76">
            <v>0.46279721504575905</v>
          </cell>
          <cell r="AP76">
            <v>0.44001993869725103</v>
          </cell>
          <cell r="AQ76">
            <v>0.4238640202702702</v>
          </cell>
          <cell r="AR76">
            <v>0.44383535547950154</v>
          </cell>
          <cell r="AS76">
            <v>0.4030663329161453</v>
          </cell>
          <cell r="AT76">
            <v>0.41669321064118453</v>
          </cell>
          <cell r="AU76">
            <v>0.40487046673318572</v>
          </cell>
          <cell r="AV76">
            <v>0.4154957336762849</v>
          </cell>
          <cell r="AW76">
            <v>0.41013037960078469</v>
          </cell>
          <cell r="AX76">
            <v>0.40970393485044521</v>
          </cell>
          <cell r="AY76">
            <v>0.43706017149615611</v>
          </cell>
          <cell r="AZ76">
            <v>0.47945694758107998</v>
          </cell>
          <cell r="BA76">
            <v>0.46506872657048742</v>
          </cell>
          <cell r="BB76">
            <v>0.44808327364396605</v>
          </cell>
          <cell r="BC76">
            <v>0.47753095098053272</v>
          </cell>
          <cell r="BD76">
            <v>0.50250863742102447</v>
          </cell>
          <cell r="BE76">
            <v>0.49690569386998024</v>
          </cell>
          <cell r="BF76">
            <v>0.5018817534800486</v>
          </cell>
          <cell r="BG76">
            <v>0.49490156407655861</v>
          </cell>
          <cell r="BH76">
            <v>0.48503095098053278</v>
          </cell>
          <cell r="BI76">
            <v>0.49750863742102436</v>
          </cell>
          <cell r="BJ76">
            <v>0.50440569386998024</v>
          </cell>
          <cell r="BK76">
            <v>0.5068817534800486</v>
          </cell>
          <cell r="BL76">
            <v>0.49856098010100719</v>
          </cell>
          <cell r="BM76">
            <v>0.50495675893789638</v>
          </cell>
          <cell r="BN76">
            <v>0.51145675893789633</v>
          </cell>
          <cell r="BO76">
            <v>0.51795675893789628</v>
          </cell>
          <cell r="BP76">
            <v>230.55194861337668</v>
          </cell>
          <cell r="BR76" t="str">
            <v>Adj. EBITDA Margin</v>
          </cell>
          <cell r="BS76">
            <v>0.36353951425499992</v>
          </cell>
          <cell r="BT76">
            <v>0.42975943939484057</v>
          </cell>
          <cell r="BU76">
            <v>0.4521174769874769</v>
          </cell>
          <cell r="BV76">
            <v>0.48555135140016437</v>
          </cell>
          <cell r="BW76">
            <v>0.464025548309627</v>
          </cell>
          <cell r="BX76">
            <v>0.46478293251167396</v>
          </cell>
          <cell r="BY76">
            <v>0.45725844900914703</v>
          </cell>
          <cell r="BZ76">
            <v>0.44383535547950154</v>
          </cell>
          <cell r="CA76">
            <v>0.41013037960078469</v>
          </cell>
          <cell r="CB76">
            <v>0.44808327364396605</v>
          </cell>
          <cell r="CC76">
            <v>0.49490156407655861</v>
          </cell>
          <cell r="CD76">
            <v>0.49856098010100719</v>
          </cell>
          <cell r="CE76">
            <v>0.50495675893789638</v>
          </cell>
          <cell r="CF76">
            <v>0.51145675893789633</v>
          </cell>
          <cell r="CG76">
            <v>0.51795675893789628</v>
          </cell>
        </row>
        <row r="77">
          <cell r="A77" t="str">
            <v>Year-over-Year Growth</v>
          </cell>
          <cell r="I77">
            <v>0.4073536312206183</v>
          </cell>
          <cell r="N77">
            <v>0.22573319409670245</v>
          </cell>
          <cell r="O77">
            <v>1.8878634347341938E-2</v>
          </cell>
          <cell r="P77">
            <v>0.12570103310141278</v>
          </cell>
          <cell r="Q77">
            <v>5.2616176987006602E-2</v>
          </cell>
          <cell r="R77">
            <v>0.21963366947931684</v>
          </cell>
          <cell r="S77">
            <v>0.10382098591187838</v>
          </cell>
          <cell r="T77">
            <v>0.22251109047766415</v>
          </cell>
          <cell r="U77">
            <v>0.15811357506742585</v>
          </cell>
          <cell r="V77">
            <v>0.58498748957464586</v>
          </cell>
          <cell r="W77">
            <v>0.6690965542843641</v>
          </cell>
          <cell r="X77">
            <v>0.43021936635762614</v>
          </cell>
          <cell r="Y77">
            <v>0.76332089993080032</v>
          </cell>
          <cell r="Z77">
            <v>0.73035870233205014</v>
          </cell>
          <cell r="AA77">
            <v>0.21172150892209851</v>
          </cell>
          <cell r="AB77">
            <v>4.7859756960592303E-2</v>
          </cell>
          <cell r="AC77">
            <v>0.36130661924623619</v>
          </cell>
          <cell r="AD77">
            <v>-2.4580043072505386E-2</v>
          </cell>
          <cell r="AE77">
            <v>8.5704939483153275E-3</v>
          </cell>
          <cell r="AF77">
            <v>4.2943719601636676E-2</v>
          </cell>
          <cell r="AG77">
            <v>0.12464302253782011</v>
          </cell>
          <cell r="AH77">
            <v>3.7536239498306534E-2</v>
          </cell>
          <cell r="AI77">
            <v>8.0328142325846175E-2</v>
          </cell>
          <cell r="AJ77">
            <v>8.0157906442286597E-2</v>
          </cell>
          <cell r="AK77">
            <v>4.3895849140403342E-2</v>
          </cell>
          <cell r="AL77">
            <v>-2.2073142484580255E-2</v>
          </cell>
          <cell r="AM77">
            <v>4.3748561432582767E-2</v>
          </cell>
          <cell r="AS77">
            <v>-2.1124620060789634E-2</v>
          </cell>
          <cell r="AT77">
            <v>2.5925119927339146E-3</v>
          </cell>
          <cell r="AU77">
            <v>1.2073574274840349E-2</v>
          </cell>
          <cell r="AV77">
            <v>3.9672813860577305E-2</v>
          </cell>
          <cell r="AW77">
            <v>8.3523889164345277E-3</v>
          </cell>
          <cell r="AX77">
            <v>0.11434042332971006</v>
          </cell>
          <cell r="AY77">
            <v>0.11596500665326559</v>
          </cell>
          <cell r="AZ77">
            <v>0.26528748723587992</v>
          </cell>
          <cell r="BA77">
            <v>0.21619886347302009</v>
          </cell>
          <cell r="BB77">
            <v>0.17837266591483369</v>
          </cell>
          <cell r="BC77">
            <v>0.23673162304248474</v>
          </cell>
          <cell r="BD77">
            <v>0.23489019120345711</v>
          </cell>
          <cell r="BE77">
            <v>0.11218543149138371</v>
          </cell>
          <cell r="BF77">
            <v>0.15792583954488815</v>
          </cell>
          <cell r="BG77">
            <v>0.1821965812320685</v>
          </cell>
          <cell r="BH77">
            <v>9.5872186250659741E-2</v>
          </cell>
          <cell r="BI77">
            <v>4.8673551014827954E-2</v>
          </cell>
          <cell r="BJ77">
            <v>8.120772632709583E-2</v>
          </cell>
          <cell r="BK77">
            <v>7.7195068223695928E-2</v>
          </cell>
          <cell r="BL77">
            <v>7.5258202410692698E-2</v>
          </cell>
          <cell r="BM77">
            <v>8.5328179808100924E-2</v>
          </cell>
          <cell r="BN77">
            <v>8.8997325423511464E-2</v>
          </cell>
          <cell r="BO77">
            <v>9.0334890848993377E-2</v>
          </cell>
          <cell r="BR77" t="str">
            <v>Year-over-Year Growth</v>
          </cell>
          <cell r="BS77">
            <v>0</v>
          </cell>
          <cell r="BT77">
            <v>0.4073536312206183</v>
          </cell>
          <cell r="BU77">
            <v>0.22573319409670245</v>
          </cell>
          <cell r="BV77">
            <v>0.10382098591187838</v>
          </cell>
          <cell r="BW77">
            <v>0.43021936635762614</v>
          </cell>
          <cell r="BX77">
            <v>0.36130661924623619</v>
          </cell>
          <cell r="BY77">
            <v>3.7536239498306534E-2</v>
          </cell>
          <cell r="BZ77">
            <v>0</v>
          </cell>
          <cell r="CA77">
            <v>8.3523889164345277E-3</v>
          </cell>
          <cell r="CB77">
            <v>0.17837266591483369</v>
          </cell>
          <cell r="CC77">
            <v>0.1821965812320685</v>
          </cell>
          <cell r="CD77">
            <v>7.5258202410692698E-2</v>
          </cell>
          <cell r="CE77">
            <v>8.5328179808100924E-2</v>
          </cell>
          <cell r="CF77">
            <v>8.8997325423511464E-2</v>
          </cell>
          <cell r="CG77">
            <v>9.0334890848993377E-2</v>
          </cell>
        </row>
        <row r="80">
          <cell r="A80" t="str">
            <v>Depreciation</v>
          </cell>
          <cell r="C80">
            <v>1.0150000000000001</v>
          </cell>
          <cell r="D80">
            <v>3.4990000000000001</v>
          </cell>
          <cell r="E80">
            <v>0.56399999999999995</v>
          </cell>
          <cell r="F80">
            <v>0.52500000000000002</v>
          </cell>
          <cell r="G80">
            <v>0.44100000000000006</v>
          </cell>
          <cell r="H80">
            <v>-0.1</v>
          </cell>
          <cell r="I80">
            <v>1.43</v>
          </cell>
          <cell r="J80">
            <v>0.48399999999999999</v>
          </cell>
          <cell r="K80">
            <v>0.52200000000000002</v>
          </cell>
          <cell r="L80">
            <v>1.268</v>
          </cell>
          <cell r="M80">
            <v>2.6959999999999997</v>
          </cell>
          <cell r="N80">
            <v>4.97</v>
          </cell>
          <cell r="O80">
            <v>3.0510000000000002</v>
          </cell>
          <cell r="P80">
            <v>2.9719999999999995</v>
          </cell>
          <cell r="Q80">
            <v>2.8689999999999998</v>
          </cell>
          <cell r="R80">
            <v>3.0650000000000013</v>
          </cell>
          <cell r="S80">
            <v>11.957000000000001</v>
          </cell>
          <cell r="T80">
            <v>3.3929999999999998</v>
          </cell>
          <cell r="U80">
            <v>3.556</v>
          </cell>
          <cell r="V80">
            <v>4.9339999999999993</v>
          </cell>
          <cell r="W80">
            <v>5.5300000000000011</v>
          </cell>
          <cell r="X80">
            <v>17.413</v>
          </cell>
          <cell r="Y80">
            <v>5.1100000000000003</v>
          </cell>
          <cell r="Z80">
            <v>5.1680000000000001</v>
          </cell>
          <cell r="AA80">
            <v>4.6689999999999996</v>
          </cell>
          <cell r="AB80">
            <v>4.4779999999999998</v>
          </cell>
          <cell r="AC80">
            <v>19.424999999999997</v>
          </cell>
          <cell r="AD80">
            <v>4.4160000000000004</v>
          </cell>
          <cell r="AE80">
            <v>4.6619999999999999</v>
          </cell>
          <cell r="AF80">
            <v>4.633</v>
          </cell>
          <cell r="AG80">
            <v>4.9889999999999999</v>
          </cell>
          <cell r="AH80">
            <v>18.7</v>
          </cell>
          <cell r="AI80">
            <v>5.08</v>
          </cell>
          <cell r="AJ80">
            <v>5.2460000000000004</v>
          </cell>
          <cell r="AK80">
            <v>5.9340000000000002</v>
          </cell>
          <cell r="AL80">
            <v>6.0419999999999998</v>
          </cell>
          <cell r="AM80">
            <v>22.302</v>
          </cell>
          <cell r="AN80">
            <v>4.5970000000000004</v>
          </cell>
          <cell r="AO80">
            <v>4.774</v>
          </cell>
          <cell r="AP80">
            <v>5.4429999999999996</v>
          </cell>
          <cell r="AQ80">
            <v>5.569</v>
          </cell>
          <cell r="AR80">
            <v>20.382999999999999</v>
          </cell>
          <cell r="AS80">
            <v>5.8280000000000003</v>
          </cell>
          <cell r="AT80">
            <v>5.9210000000000003</v>
          </cell>
          <cell r="AU80">
            <v>6.3419999999999996</v>
          </cell>
          <cell r="AV80">
            <v>7.62</v>
          </cell>
          <cell r="AW80">
            <v>25.711000000000002</v>
          </cell>
          <cell r="AX80">
            <v>7.2069999999999999</v>
          </cell>
          <cell r="AY80">
            <v>8.0649999999999995</v>
          </cell>
          <cell r="AZ80">
            <v>8.0489999999999995</v>
          </cell>
          <cell r="BA80">
            <v>7.5679999999999996</v>
          </cell>
          <cell r="BB80">
            <v>30.888999999999996</v>
          </cell>
          <cell r="BC80">
            <v>8.1679999999999993</v>
          </cell>
          <cell r="BD80">
            <v>8.4</v>
          </cell>
          <cell r="BE80">
            <v>8.3119999999999994</v>
          </cell>
          <cell r="BF80">
            <v>9.4469999999999992</v>
          </cell>
          <cell r="BG80">
            <v>34.326999999999998</v>
          </cell>
          <cell r="BH80">
            <v>9.9275549720273446</v>
          </cell>
          <cell r="BI80">
            <v>10.157499100155002</v>
          </cell>
          <cell r="BJ80">
            <v>10.138227216098052</v>
          </cell>
          <cell r="BK80">
            <v>10.306042188904636</v>
          </cell>
          <cell r="BL80">
            <v>40.529323477185031</v>
          </cell>
          <cell r="BM80">
            <v>42.996165325147629</v>
          </cell>
          <cell r="BN80">
            <v>45.765372262161549</v>
          </cell>
          <cell r="BO80">
            <v>48.780643069911569</v>
          </cell>
          <cell r="BR80" t="str">
            <v>Depreciation</v>
          </cell>
          <cell r="BS80">
            <v>3.4990000000000001</v>
          </cell>
          <cell r="BT80">
            <v>1.43</v>
          </cell>
          <cell r="BU80">
            <v>4.97</v>
          </cell>
          <cell r="BV80">
            <v>11.957000000000001</v>
          </cell>
          <cell r="BW80">
            <v>17.413</v>
          </cell>
          <cell r="BX80">
            <v>19.424999999999997</v>
          </cell>
          <cell r="BY80">
            <v>18.7</v>
          </cell>
          <cell r="BZ80">
            <v>20.382999999999999</v>
          </cell>
          <cell r="CA80">
            <v>25.711000000000002</v>
          </cell>
          <cell r="CB80">
            <v>30.888999999999996</v>
          </cell>
          <cell r="CC80">
            <v>34.326999999999998</v>
          </cell>
          <cell r="CD80">
            <v>40.529323477185031</v>
          </cell>
          <cell r="CE80">
            <v>42.996165325147629</v>
          </cell>
          <cell r="CF80">
            <v>45.765372262161549</v>
          </cell>
          <cell r="CG80">
            <v>48.780643069911569</v>
          </cell>
          <cell r="CI80" t="str">
            <v>mstag:depreciationInIncomeStatement</v>
          </cell>
          <cell r="CJ80">
            <v>6</v>
          </cell>
          <cell r="CK80" t="str">
            <v>ISO4217:USD</v>
          </cell>
          <cell r="CL80" t="b">
            <v>0</v>
          </cell>
        </row>
        <row r="81">
          <cell r="A81" t="str">
            <v>% of Total Revenue</v>
          </cell>
          <cell r="D81">
            <v>1.9035132576787912E-2</v>
          </cell>
          <cell r="E81">
            <v>1.0557448242297178E-2</v>
          </cell>
          <cell r="F81">
            <v>9.6994106453341233E-3</v>
          </cell>
          <cell r="G81">
            <v>7.8349856092101069E-3</v>
          </cell>
          <cell r="H81">
            <v>-1.6042866539393258E-3</v>
          </cell>
          <cell r="I81">
            <v>6.3227335432068195E-3</v>
          </cell>
          <cell r="J81">
            <v>7.4787150207827925E-3</v>
          </cell>
          <cell r="K81">
            <v>7.9458101834233956E-3</v>
          </cell>
          <cell r="L81">
            <v>1.8697376763938248E-2</v>
          </cell>
          <cell r="M81">
            <v>4.113706761066268E-2</v>
          </cell>
          <cell r="N81">
            <v>1.8842458846098437E-2</v>
          </cell>
          <cell r="O81">
            <v>4.7558922558922558E-2</v>
          </cell>
          <cell r="P81">
            <v>4.3564298383195789E-2</v>
          </cell>
          <cell r="Q81">
            <v>4.0623584050747612E-2</v>
          </cell>
          <cell r="R81">
            <v>3.9390823801567935E-2</v>
          </cell>
          <cell r="S81">
            <v>4.2580847343549132E-2</v>
          </cell>
          <cell r="T81">
            <v>4.1965566714490671E-2</v>
          </cell>
          <cell r="U81">
            <v>4.1824468960974803E-2</v>
          </cell>
          <cell r="V81">
            <v>2.4337429032273972E-2</v>
          </cell>
          <cell r="W81">
            <v>2.4E-2</v>
          </cell>
          <cell r="X81">
            <v>2.6267874086779171E-2</v>
          </cell>
          <cell r="Y81">
            <v>3.7810400449877178E-2</v>
          </cell>
          <cell r="Z81">
            <v>3.7865244277717536E-2</v>
          </cell>
          <cell r="AA81">
            <v>2.0748713481997635E-2</v>
          </cell>
          <cell r="AB81">
            <v>1.9802418035324187E-2</v>
          </cell>
          <cell r="AC81">
            <v>2.1560790329222441E-2</v>
          </cell>
          <cell r="AD81">
            <v>1.9279464924995198E-2</v>
          </cell>
          <cell r="AE81">
            <v>1.9541843941902625E-2</v>
          </cell>
          <cell r="AF81">
            <v>1.9677715295356855E-2</v>
          </cell>
          <cell r="AG81">
            <v>2.0191840699368625E-2</v>
          </cell>
          <cell r="AH81">
            <v>1.9681289408624611E-2</v>
          </cell>
          <cell r="AI81">
            <v>2.0166012329849273E-2</v>
          </cell>
          <cell r="AJ81">
            <v>2.0341375272394512E-2</v>
          </cell>
          <cell r="AK81">
            <v>2.2978802500019369E-2</v>
          </cell>
          <cell r="AL81">
            <v>2.2576619261495696E-2</v>
          </cell>
          <cell r="AM81">
            <v>2.1533948653379899E-2</v>
          </cell>
          <cell r="AN81">
            <v>2.0941621301505595E-2</v>
          </cell>
          <cell r="AO81">
            <v>2.090467224241363E-2</v>
          </cell>
          <cell r="AP81">
            <v>2.3799633582712799E-2</v>
          </cell>
          <cell r="AQ81">
            <v>2.3517736486486487E-2</v>
          </cell>
          <cell r="AR81">
            <v>2.2315866457335673E-2</v>
          </cell>
          <cell r="AS81">
            <v>2.4313725490196079E-2</v>
          </cell>
          <cell r="AT81">
            <v>2.3283981202933599E-2</v>
          </cell>
          <cell r="AU81">
            <v>2.5210985979320786E-2</v>
          </cell>
          <cell r="AV81">
            <v>3.0340071589827718E-2</v>
          </cell>
          <cell r="AW81">
            <v>2.5795997812793153E-2</v>
          </cell>
          <cell r="AX81">
            <v>2.7425983712611311E-2</v>
          </cell>
          <cell r="AY81">
            <v>2.9808545239503249E-2</v>
          </cell>
          <cell r="AZ81">
            <v>2.9946758837251706E-2</v>
          </cell>
          <cell r="BA81">
            <v>2.7732481228906564E-2</v>
          </cell>
          <cell r="BB81">
            <v>2.8733686198267921E-2</v>
          </cell>
          <cell r="BC81">
            <v>2.9294045074382772E-2</v>
          </cell>
          <cell r="BD81">
            <v>2.8906110201103938E-2</v>
          </cell>
          <cell r="BE81">
            <v>2.8817784372800609E-2</v>
          </cell>
          <cell r="BF81">
            <v>3.2263022007294778E-2</v>
          </cell>
          <cell r="BG81">
            <v>2.9832781035365314E-2</v>
          </cell>
          <cell r="BH81">
            <v>3.3000000000000002E-2</v>
          </cell>
          <cell r="BI81">
            <v>3.3000000000000002E-2</v>
          </cell>
          <cell r="BJ81">
            <v>3.3000000000000002E-2</v>
          </cell>
          <cell r="BK81">
            <v>3.3000000000000002E-2</v>
          </cell>
          <cell r="BL81">
            <v>3.3000000000000002E-2</v>
          </cell>
          <cell r="BM81">
            <v>3.2670000000000005E-2</v>
          </cell>
          <cell r="BN81">
            <v>3.2343300000000005E-2</v>
          </cell>
          <cell r="BO81">
            <v>3.2019867000000007E-2</v>
          </cell>
          <cell r="BR81" t="str">
            <v>% of Total Revenue</v>
          </cell>
          <cell r="BS81">
            <v>1.9035132576787912E-2</v>
          </cell>
          <cell r="BT81">
            <v>6.3227335432068195E-3</v>
          </cell>
          <cell r="BU81">
            <v>1.8842458846098437E-2</v>
          </cell>
          <cell r="BV81">
            <v>4.2580847343549132E-2</v>
          </cell>
          <cell r="BW81">
            <v>2.6267874086779171E-2</v>
          </cell>
          <cell r="BX81">
            <v>2.1560790329222441E-2</v>
          </cell>
          <cell r="BY81">
            <v>1.9681289408624611E-2</v>
          </cell>
          <cell r="BZ81">
            <v>2.2315866457335673E-2</v>
          </cell>
          <cell r="CA81">
            <v>2.5795997812793153E-2</v>
          </cell>
          <cell r="CB81">
            <v>2.8733686198267921E-2</v>
          </cell>
          <cell r="CC81">
            <v>2.9832781035365314E-2</v>
          </cell>
          <cell r="CD81">
            <v>3.3000000000000002E-2</v>
          </cell>
          <cell r="CE81">
            <v>3.2670000000000005E-2</v>
          </cell>
          <cell r="CF81">
            <v>3.2343300000000005E-2</v>
          </cell>
          <cell r="CG81">
            <v>3.2019867000000007E-2</v>
          </cell>
        </row>
        <row r="82">
          <cell r="A82" t="str">
            <v>Amort. of Intangible Assets</v>
          </cell>
          <cell r="C82">
            <v>6.5389999999999979</v>
          </cell>
          <cell r="D82">
            <v>26.155999999999999</v>
          </cell>
          <cell r="E82">
            <v>6.266</v>
          </cell>
          <cell r="F82">
            <v>6.2649999999999997</v>
          </cell>
          <cell r="G82">
            <v>6.6970000000000001</v>
          </cell>
          <cell r="H82">
            <v>7.125</v>
          </cell>
          <cell r="I82">
            <v>26.352999999999998</v>
          </cell>
          <cell r="J82">
            <v>7.125</v>
          </cell>
          <cell r="K82">
            <v>7.125</v>
          </cell>
          <cell r="L82">
            <v>7.125</v>
          </cell>
          <cell r="M82">
            <v>7.125</v>
          </cell>
          <cell r="N82">
            <v>28.5</v>
          </cell>
          <cell r="O82">
            <v>6.4290000000000003</v>
          </cell>
          <cell r="P82">
            <v>6.4279999999999999</v>
          </cell>
          <cell r="Q82">
            <v>6.4290000000000003</v>
          </cell>
          <cell r="R82">
            <v>6.2679999999999998</v>
          </cell>
          <cell r="S82">
            <v>25.554000000000002</v>
          </cell>
          <cell r="T82">
            <v>4.2779999999999996</v>
          </cell>
          <cell r="U82">
            <v>4.2770000000000001</v>
          </cell>
          <cell r="V82">
            <v>16.350000000000001</v>
          </cell>
          <cell r="W82">
            <v>16.693999999999999</v>
          </cell>
          <cell r="X82">
            <v>41.599000000000004</v>
          </cell>
          <cell r="Y82">
            <v>16.692</v>
          </cell>
          <cell r="Z82">
            <v>16.422999999999998</v>
          </cell>
          <cell r="AA82">
            <v>16.422000000000001</v>
          </cell>
          <cell r="AB82">
            <v>16.268000000000001</v>
          </cell>
          <cell r="AC82">
            <v>65.804999999999993</v>
          </cell>
          <cell r="AD82">
            <v>15.959</v>
          </cell>
          <cell r="AE82">
            <v>15.959</v>
          </cell>
          <cell r="AF82">
            <v>15.959</v>
          </cell>
          <cell r="AG82">
            <v>15.420999999999999</v>
          </cell>
          <cell r="AH82">
            <v>63.297999999999995</v>
          </cell>
          <cell r="AI82">
            <v>14.486000000000001</v>
          </cell>
          <cell r="AJ82">
            <v>14.509</v>
          </cell>
          <cell r="AK82">
            <v>14.448</v>
          </cell>
          <cell r="AL82">
            <v>14.76</v>
          </cell>
          <cell r="AM82">
            <v>58.202999999999996</v>
          </cell>
          <cell r="AN82">
            <v>11.166</v>
          </cell>
          <cell r="AO82">
            <v>11.222</v>
          </cell>
          <cell r="AP82">
            <v>11.193</v>
          </cell>
          <cell r="AQ82">
            <v>11.218</v>
          </cell>
          <cell r="AR82">
            <v>44.798999999999992</v>
          </cell>
          <cell r="AS82">
            <v>11.27</v>
          </cell>
          <cell r="AT82">
            <v>11.442</v>
          </cell>
          <cell r="AU82">
            <v>11.574</v>
          </cell>
          <cell r="AV82">
            <v>11.590999999999999</v>
          </cell>
          <cell r="AW82">
            <v>45.877000000000002</v>
          </cell>
          <cell r="AX82">
            <v>11.702</v>
          </cell>
          <cell r="AY82">
            <v>11.695</v>
          </cell>
          <cell r="AZ82">
            <v>11.71</v>
          </cell>
          <cell r="BA82">
            <v>11.803000000000001</v>
          </cell>
          <cell r="BB82">
            <v>46.91</v>
          </cell>
          <cell r="BC82">
            <v>11.84</v>
          </cell>
          <cell r="BD82">
            <v>11.943</v>
          </cell>
          <cell r="BE82">
            <v>11.752000000000001</v>
          </cell>
          <cell r="BF82">
            <v>11.497999999999999</v>
          </cell>
          <cell r="BG82">
            <v>47.033000000000001</v>
          </cell>
          <cell r="BH82">
            <v>10.94</v>
          </cell>
          <cell r="BI82">
            <v>10.94</v>
          </cell>
          <cell r="BJ82">
            <v>10.94</v>
          </cell>
          <cell r="BK82">
            <v>10.94</v>
          </cell>
          <cell r="BL82">
            <v>43.76</v>
          </cell>
          <cell r="BM82">
            <v>40.590000000000003</v>
          </cell>
          <cell r="BN82">
            <v>38.521999999999998</v>
          </cell>
          <cell r="BO82">
            <v>36.588000000000001</v>
          </cell>
          <cell r="BR82" t="str">
            <v>Amort. of Intangible Assets</v>
          </cell>
          <cell r="BS82">
            <v>26.155999999999999</v>
          </cell>
          <cell r="BT82">
            <v>26.352999999999998</v>
          </cell>
          <cell r="BU82">
            <v>28.5</v>
          </cell>
          <cell r="BV82">
            <v>25.554000000000002</v>
          </cell>
          <cell r="BW82">
            <v>41.599000000000004</v>
          </cell>
          <cell r="BX82">
            <v>65.804999999999993</v>
          </cell>
          <cell r="BY82">
            <v>63.297999999999995</v>
          </cell>
          <cell r="BZ82">
            <v>44.798999999999992</v>
          </cell>
          <cell r="CA82">
            <v>45.877000000000002</v>
          </cell>
          <cell r="CB82">
            <v>46.91</v>
          </cell>
          <cell r="CC82">
            <v>47.033000000000001</v>
          </cell>
          <cell r="CD82">
            <v>43.76</v>
          </cell>
          <cell r="CE82">
            <v>40.590000000000003</v>
          </cell>
          <cell r="CF82">
            <v>38.521999999999998</v>
          </cell>
          <cell r="CG82">
            <v>36.588000000000001</v>
          </cell>
          <cell r="CI82" t="str">
            <v>mstag:amortizationOfOtherIntangiblesInIncomeStatement</v>
          </cell>
          <cell r="CJ82">
            <v>6</v>
          </cell>
          <cell r="CK82" t="str">
            <v>ISO4217:USD</v>
          </cell>
          <cell r="CL82" t="b">
            <v>0</v>
          </cell>
        </row>
        <row r="83">
          <cell r="A83" t="str">
            <v>Internally Developed Software Amortization (Added Back)</v>
          </cell>
          <cell r="BH83">
            <v>1.5</v>
          </cell>
          <cell r="BI83">
            <v>1.5</v>
          </cell>
          <cell r="BJ83">
            <v>1.5</v>
          </cell>
          <cell r="BK83">
            <v>1.5</v>
          </cell>
          <cell r="BL83">
            <v>6</v>
          </cell>
          <cell r="BM83">
            <v>7</v>
          </cell>
          <cell r="BN83">
            <v>8</v>
          </cell>
          <cell r="BO83">
            <v>10</v>
          </cell>
          <cell r="CD83">
            <v>6</v>
          </cell>
          <cell r="CE83">
            <v>7</v>
          </cell>
          <cell r="CF83">
            <v>8</v>
          </cell>
          <cell r="CG83">
            <v>10</v>
          </cell>
        </row>
        <row r="84">
          <cell r="A84" t="str">
            <v>Amoritzation Added Back to EBITDA</v>
          </cell>
          <cell r="BH84">
            <v>9.44</v>
          </cell>
          <cell r="BI84">
            <v>9.44</v>
          </cell>
          <cell r="BJ84">
            <v>9.44</v>
          </cell>
          <cell r="BK84">
            <v>9.44</v>
          </cell>
          <cell r="BL84">
            <v>37.76</v>
          </cell>
          <cell r="BM84">
            <v>33.590000000000003</v>
          </cell>
          <cell r="BN84">
            <v>30.521999999999998</v>
          </cell>
          <cell r="BO84">
            <v>26.588000000000001</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I84" t="str">
            <v>mstag:depreciationInIncomeStatement</v>
          </cell>
          <cell r="CJ84">
            <v>6</v>
          </cell>
          <cell r="CK84" t="str">
            <v>ISO4217:USD</v>
          </cell>
          <cell r="CL84" t="b">
            <v>0</v>
          </cell>
        </row>
        <row r="85">
          <cell r="BS85">
            <v>0</v>
          </cell>
          <cell r="BT85">
            <v>0</v>
          </cell>
          <cell r="BU85">
            <v>0</v>
          </cell>
          <cell r="BV85">
            <v>0</v>
          </cell>
          <cell r="BW85">
            <v>0</v>
          </cell>
          <cell r="BX85">
            <v>0</v>
          </cell>
          <cell r="BY85">
            <v>0</v>
          </cell>
          <cell r="BZ85">
            <v>0</v>
          </cell>
          <cell r="CA85">
            <v>0</v>
          </cell>
          <cell r="CB85">
            <v>0</v>
          </cell>
          <cell r="CC85">
            <v>0</v>
          </cell>
          <cell r="CD85">
            <v>0</v>
          </cell>
          <cell r="CE85">
            <v>0</v>
          </cell>
          <cell r="CF85">
            <v>0</v>
          </cell>
          <cell r="CG85">
            <v>0</v>
          </cell>
        </row>
        <row r="86">
          <cell r="BS86">
            <v>0</v>
          </cell>
          <cell r="BT86">
            <v>0</v>
          </cell>
          <cell r="BU86">
            <v>0</v>
          </cell>
          <cell r="BV86">
            <v>0</v>
          </cell>
          <cell r="BW86">
            <v>0</v>
          </cell>
          <cell r="BX86">
            <v>0</v>
          </cell>
          <cell r="BY86">
            <v>0</v>
          </cell>
          <cell r="BZ86">
            <v>0</v>
          </cell>
          <cell r="CA86">
            <v>0</v>
          </cell>
          <cell r="CB86">
            <v>0</v>
          </cell>
          <cell r="CC86">
            <v>0</v>
          </cell>
          <cell r="CD86">
            <v>0</v>
          </cell>
          <cell r="CE86">
            <v>0</v>
          </cell>
          <cell r="CF86">
            <v>0</v>
          </cell>
          <cell r="CG86">
            <v>0</v>
          </cell>
          <cell r="CI86" t="str">
            <v>mstag:amortizationOfOtherIntangiblesInIncomeStatement</v>
          </cell>
          <cell r="CJ86">
            <v>6</v>
          </cell>
          <cell r="CK86" t="str">
            <v>ISO4217:USD</v>
          </cell>
          <cell r="CL86" t="b">
            <v>0</v>
          </cell>
        </row>
        <row r="87">
          <cell r="CI87" t="str">
            <v>mstag:amortizationOfOtherIntangiblesInIncomeStatement</v>
          </cell>
          <cell r="CJ87">
            <v>6</v>
          </cell>
          <cell r="CK87" t="str">
            <v>ISO4217:USD</v>
          </cell>
          <cell r="CL87" t="b">
            <v>0</v>
          </cell>
        </row>
        <row r="88">
          <cell r="A88" t="str">
            <v>Total Depreciation &amp; Amortization</v>
          </cell>
          <cell r="C88">
            <v>7.5539999999999985</v>
          </cell>
          <cell r="D88">
            <v>29.654999999999998</v>
          </cell>
          <cell r="E88">
            <v>6.83</v>
          </cell>
          <cell r="F88">
            <v>6.79</v>
          </cell>
          <cell r="G88">
            <v>7.1379999999999999</v>
          </cell>
          <cell r="H88">
            <v>7.0250000000000004</v>
          </cell>
          <cell r="I88">
            <v>27.782999999999998</v>
          </cell>
          <cell r="J88">
            <v>7.609</v>
          </cell>
          <cell r="K88">
            <v>7.6470000000000002</v>
          </cell>
          <cell r="L88">
            <v>8.3930000000000007</v>
          </cell>
          <cell r="M88">
            <v>9.8209999999999997</v>
          </cell>
          <cell r="N88">
            <v>33.47</v>
          </cell>
          <cell r="O88">
            <v>9.48</v>
          </cell>
          <cell r="P88">
            <v>9.3999999999999986</v>
          </cell>
          <cell r="Q88">
            <v>9.298</v>
          </cell>
          <cell r="R88">
            <v>9.333000000000002</v>
          </cell>
          <cell r="S88">
            <v>37.511000000000003</v>
          </cell>
          <cell r="T88">
            <v>7.6709999999999994</v>
          </cell>
          <cell r="U88">
            <v>7.8330000000000002</v>
          </cell>
          <cell r="V88">
            <v>21.283999999999999</v>
          </cell>
          <cell r="W88">
            <v>22.224</v>
          </cell>
          <cell r="X88">
            <v>59.012</v>
          </cell>
          <cell r="Y88">
            <v>21.802</v>
          </cell>
          <cell r="Z88">
            <v>21.590999999999998</v>
          </cell>
          <cell r="AA88">
            <v>21.091000000000001</v>
          </cell>
          <cell r="AB88">
            <v>20.746000000000002</v>
          </cell>
          <cell r="AC88">
            <v>85.22999999999999</v>
          </cell>
          <cell r="AD88">
            <v>20.375</v>
          </cell>
          <cell r="AE88">
            <v>20.620999999999999</v>
          </cell>
          <cell r="AF88">
            <v>20.591999999999999</v>
          </cell>
          <cell r="AG88">
            <v>20.41</v>
          </cell>
          <cell r="AH88">
            <v>81.99799999999999</v>
          </cell>
          <cell r="AI88">
            <v>19.566000000000003</v>
          </cell>
          <cell r="AJ88">
            <v>19.755000000000003</v>
          </cell>
          <cell r="AK88">
            <v>20.382000000000001</v>
          </cell>
          <cell r="AL88">
            <v>20.802</v>
          </cell>
          <cell r="AM88">
            <v>80.504999999999995</v>
          </cell>
          <cell r="AN88">
            <v>15.763000000000002</v>
          </cell>
          <cell r="AO88">
            <v>15.995999999999999</v>
          </cell>
          <cell r="AP88">
            <v>16.635999999999999</v>
          </cell>
          <cell r="AQ88">
            <v>16.786999999999999</v>
          </cell>
          <cell r="AR88">
            <v>65.181999999999988</v>
          </cell>
          <cell r="AS88">
            <v>17.097999999999999</v>
          </cell>
          <cell r="AT88">
            <v>17.363</v>
          </cell>
          <cell r="AU88">
            <v>17.916</v>
          </cell>
          <cell r="AV88">
            <v>19.210999999999999</v>
          </cell>
          <cell r="AW88">
            <v>71.588000000000008</v>
          </cell>
          <cell r="AX88">
            <v>18.908999999999999</v>
          </cell>
          <cell r="AY88">
            <v>19.759999999999998</v>
          </cell>
          <cell r="AZ88">
            <v>19.759</v>
          </cell>
          <cell r="BA88">
            <v>19.371000000000002</v>
          </cell>
          <cell r="BB88">
            <v>77.798999999999992</v>
          </cell>
          <cell r="BC88">
            <v>20.007999999999999</v>
          </cell>
          <cell r="BD88">
            <v>20.343</v>
          </cell>
          <cell r="BE88">
            <v>20.064</v>
          </cell>
          <cell r="BF88">
            <v>20.945</v>
          </cell>
          <cell r="BG88">
            <v>81.36</v>
          </cell>
          <cell r="BH88">
            <v>20.867554972027342</v>
          </cell>
          <cell r="BI88">
            <v>21.097499100155002</v>
          </cell>
          <cell r="BJ88">
            <v>21.07822721609805</v>
          </cell>
          <cell r="BK88">
            <v>21.246042188904635</v>
          </cell>
          <cell r="BL88">
            <v>84.289323477185036</v>
          </cell>
          <cell r="BM88">
            <v>83.586165325147633</v>
          </cell>
          <cell r="BN88">
            <v>84.28737226216154</v>
          </cell>
          <cell r="BO88">
            <v>85.36864306991157</v>
          </cell>
          <cell r="BR88" t="str">
            <v>Total Depreciation &amp; Amortization</v>
          </cell>
          <cell r="BS88">
            <v>29.654999999999998</v>
          </cell>
          <cell r="BT88">
            <v>27.782999999999998</v>
          </cell>
          <cell r="BU88">
            <v>33.47</v>
          </cell>
          <cell r="BV88">
            <v>37.511000000000003</v>
          </cell>
          <cell r="BW88">
            <v>59.012</v>
          </cell>
          <cell r="BX88">
            <v>85.22999999999999</v>
          </cell>
          <cell r="BY88">
            <v>81.99799999999999</v>
          </cell>
          <cell r="BZ88">
            <v>65.181999999999988</v>
          </cell>
          <cell r="CA88">
            <v>71.588000000000008</v>
          </cell>
          <cell r="CB88">
            <v>77.798999999999992</v>
          </cell>
          <cell r="CC88">
            <v>81.36</v>
          </cell>
          <cell r="CD88">
            <v>84.289323477185036</v>
          </cell>
          <cell r="CE88">
            <v>83.586165325147633</v>
          </cell>
          <cell r="CF88">
            <v>84.28737226216154</v>
          </cell>
          <cell r="CG88">
            <v>85.36864306991157</v>
          </cell>
        </row>
        <row r="89">
          <cell r="A89" t="str">
            <v>% of Total Revenue</v>
          </cell>
          <cell r="C89">
            <v>9.2589414850587096E-2</v>
          </cell>
          <cell r="D89">
            <v>9.5446382017264353E-2</v>
          </cell>
          <cell r="E89">
            <v>7.8443533289689768E-2</v>
          </cell>
          <cell r="F89">
            <v>7.6505318190012619E-2</v>
          </cell>
          <cell r="G89">
            <v>7.7245230339692869E-2</v>
          </cell>
          <cell r="H89">
            <v>6.9104251509964784E-2</v>
          </cell>
          <cell r="I89">
            <v>7.5112331907668833E-2</v>
          </cell>
          <cell r="J89">
            <v>7.2500500233442275E-2</v>
          </cell>
          <cell r="K89">
            <v>7.0677942603632332E-2</v>
          </cell>
          <cell r="L89">
            <v>7.6024239349994124E-2</v>
          </cell>
          <cell r="M89">
            <v>9.1429582185149322E-2</v>
          </cell>
          <cell r="N89">
            <v>7.766364009736379E-2</v>
          </cell>
          <cell r="O89">
            <v>8.9505735731482794E-2</v>
          </cell>
          <cell r="P89">
            <v>8.5942857142857126E-2</v>
          </cell>
          <cell r="Q89">
            <v>8.5406179961053763E-2</v>
          </cell>
          <cell r="R89">
            <v>7.8567219462917781E-2</v>
          </cell>
          <cell r="S89">
            <v>8.4684884004442976E-2</v>
          </cell>
          <cell r="T89">
            <v>6.3042406311637086E-2</v>
          </cell>
          <cell r="U89">
            <v>6.2578892705919945E-2</v>
          </cell>
          <cell r="V89">
            <v>0.10498537485263869</v>
          </cell>
          <cell r="W89">
            <v>0.10418248811633338</v>
          </cell>
          <cell r="X89">
            <v>8.9020834181876327E-2</v>
          </cell>
          <cell r="Y89">
            <v>9.7636342466121517E-2</v>
          </cell>
          <cell r="Z89">
            <v>9.5331658446770828E-2</v>
          </cell>
          <cell r="AA89">
            <v>9.3726947108334152E-2</v>
          </cell>
          <cell r="AB89">
            <v>9.1742064439668522E-2</v>
          </cell>
          <cell r="AC89">
            <v>9.4601089305515002E-2</v>
          </cell>
          <cell r="AD89">
            <v>8.8953600055882515E-2</v>
          </cell>
          <cell r="AE89">
            <v>8.6437658499779926E-2</v>
          </cell>
          <cell r="AF89">
            <v>8.7460287796673503E-2</v>
          </cell>
          <cell r="AG89">
            <v>8.2604824348389186E-2</v>
          </cell>
          <cell r="AH89">
            <v>8.6300875343764752E-2</v>
          </cell>
          <cell r="AI89">
            <v>7.7670904969651747E-2</v>
          </cell>
          <cell r="AJ89">
            <v>7.6600051183025847E-2</v>
          </cell>
          <cell r="AK89">
            <v>7.8927191195718699E-2</v>
          </cell>
          <cell r="AL89">
            <v>7.7729035729499074E-2</v>
          </cell>
          <cell r="AM89">
            <v>7.773251440858886E-2</v>
          </cell>
          <cell r="AN89">
            <v>7.1808304671662535E-2</v>
          </cell>
          <cell r="AO89">
            <v>7.0044226474580723E-2</v>
          </cell>
          <cell r="AP89">
            <v>7.2741264795519039E-2</v>
          </cell>
          <cell r="AQ89">
            <v>7.0891047297297297E-2</v>
          </cell>
          <cell r="AR89">
            <v>7.1363038189768607E-2</v>
          </cell>
          <cell r="AS89">
            <v>7.1330830204422185E-2</v>
          </cell>
          <cell r="AT89">
            <v>6.8278967341080229E-2</v>
          </cell>
          <cell r="AU89">
            <v>7.1220439105252484E-2</v>
          </cell>
          <cell r="AV89">
            <v>7.649122248191341E-2</v>
          </cell>
          <cell r="AW89">
            <v>7.1824662262153796E-2</v>
          </cell>
          <cell r="AX89">
            <v>7.1957531014536877E-2</v>
          </cell>
          <cell r="AY89">
            <v>7.3033707865168537E-2</v>
          </cell>
          <cell r="AZ89">
            <v>7.351447482485482E-2</v>
          </cell>
          <cell r="BA89">
            <v>7.0983865471082069E-2</v>
          </cell>
          <cell r="BB89">
            <v>7.237048957684114E-2</v>
          </cell>
          <cell r="BC89">
            <v>7.1757499246847517E-2</v>
          </cell>
          <cell r="BD89">
            <v>7.0004404740602072E-2</v>
          </cell>
          <cell r="BE89">
            <v>6.9562082008646706E-2</v>
          </cell>
          <cell r="BF89">
            <v>7.1530538365913957E-2</v>
          </cell>
          <cell r="BG89">
            <v>7.0708045125916108E-2</v>
          </cell>
          <cell r="BH89">
            <v>6.9365449601360873E-2</v>
          </cell>
          <cell r="BI89">
            <v>6.8542213338172078E-2</v>
          </cell>
          <cell r="BJ89">
            <v>6.8609775980040366E-2</v>
          </cell>
          <cell r="BK89">
            <v>6.8029936165861032E-2</v>
          </cell>
          <cell r="BL89">
            <v>6.8630498515794586E-2</v>
          </cell>
          <cell r="BM89">
            <v>6.3511710882165687E-2</v>
          </cell>
          <cell r="BN89">
            <v>5.9567564569789677E-2</v>
          </cell>
          <cell r="BO89">
            <v>5.603641987973481E-2</v>
          </cell>
          <cell r="BR89" t="str">
            <v>% of Total Revenue</v>
          </cell>
          <cell r="BS89">
            <v>9.5446382017264353E-2</v>
          </cell>
          <cell r="BT89">
            <v>7.5112331907668833E-2</v>
          </cell>
          <cell r="BU89">
            <v>7.766364009736379E-2</v>
          </cell>
          <cell r="BV89">
            <v>8.4684884004442976E-2</v>
          </cell>
          <cell r="BW89">
            <v>8.9020834181876327E-2</v>
          </cell>
          <cell r="BX89">
            <v>9.4601089305515002E-2</v>
          </cell>
          <cell r="BY89">
            <v>8.6300875343764752E-2</v>
          </cell>
          <cell r="BZ89">
            <v>7.1363038189768607E-2</v>
          </cell>
          <cell r="CA89">
            <v>7.1824662262153796E-2</v>
          </cell>
          <cell r="CB89">
            <v>7.237048957684114E-2</v>
          </cell>
          <cell r="CC89">
            <v>7.0708045125916108E-2</v>
          </cell>
          <cell r="CD89">
            <v>6.8630498515794586E-2</v>
          </cell>
          <cell r="CE89">
            <v>6.3511710882165687E-2</v>
          </cell>
          <cell r="CF89">
            <v>5.9567564569789677E-2</v>
          </cell>
          <cell r="CG89">
            <v>5.603641987973481E-2</v>
          </cell>
        </row>
        <row r="91">
          <cell r="A91" t="str">
            <v>Founders Grant/Performance Awards</v>
          </cell>
          <cell r="C91">
            <v>0</v>
          </cell>
          <cell r="D91">
            <v>0</v>
          </cell>
          <cell r="E91">
            <v>0</v>
          </cell>
          <cell r="F91">
            <v>0</v>
          </cell>
          <cell r="G91">
            <v>0</v>
          </cell>
          <cell r="H91">
            <v>0.81899999999999995</v>
          </cell>
          <cell r="I91">
            <v>0.81899999999999995</v>
          </cell>
          <cell r="J91">
            <v>4.7960000000000003</v>
          </cell>
          <cell r="K91">
            <v>6.8759999999999994</v>
          </cell>
          <cell r="L91">
            <v>5.3460000000000001</v>
          </cell>
          <cell r="M91">
            <v>8.5670000000000002</v>
          </cell>
          <cell r="N91">
            <v>25.585000000000001</v>
          </cell>
          <cell r="O91">
            <v>6.2009999999999996</v>
          </cell>
          <cell r="P91">
            <v>7.3379999999999992</v>
          </cell>
          <cell r="Q91">
            <v>6.859</v>
          </cell>
          <cell r="R91">
            <v>6.173</v>
          </cell>
          <cell r="S91">
            <v>26.570999999999998</v>
          </cell>
          <cell r="T91">
            <v>2.0709999999999997</v>
          </cell>
          <cell r="U91">
            <v>2.04</v>
          </cell>
          <cell r="V91">
            <v>2.14</v>
          </cell>
          <cell r="W91">
            <v>4.0270000000000001</v>
          </cell>
          <cell r="X91">
            <v>10.277999999999999</v>
          </cell>
          <cell r="Y91">
            <v>2.8129999999999997</v>
          </cell>
          <cell r="Z91">
            <v>2.673</v>
          </cell>
          <cell r="AA91">
            <v>1.29</v>
          </cell>
          <cell r="AB91">
            <v>1.1439999999999999</v>
          </cell>
          <cell r="AC91">
            <v>7.92</v>
          </cell>
          <cell r="AD91">
            <v>0.58200000000000007</v>
          </cell>
          <cell r="AE91">
            <v>0.192</v>
          </cell>
          <cell r="AF91">
            <v>0.626</v>
          </cell>
          <cell r="AG91">
            <v>0.38100000000000001</v>
          </cell>
          <cell r="AH91">
            <v>1.7810000000000001</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cell r="BM91">
            <v>0</v>
          </cell>
          <cell r="BN91">
            <v>0</v>
          </cell>
          <cell r="BO91">
            <v>0</v>
          </cell>
          <cell r="BR91" t="str">
            <v>Founders Grant/Performance Awards</v>
          </cell>
          <cell r="BS91">
            <v>0</v>
          </cell>
          <cell r="BT91">
            <v>0.81899999999999995</v>
          </cell>
          <cell r="BU91">
            <v>25.585000000000001</v>
          </cell>
          <cell r="BV91">
            <v>26.570999999999998</v>
          </cell>
          <cell r="BW91">
            <v>10.277999999999999</v>
          </cell>
          <cell r="BX91">
            <v>7.92</v>
          </cell>
          <cell r="BY91">
            <v>1.7810000000000001</v>
          </cell>
          <cell r="BZ91">
            <v>0</v>
          </cell>
          <cell r="CA91">
            <v>0</v>
          </cell>
          <cell r="CB91">
            <v>0</v>
          </cell>
          <cell r="CC91">
            <v>0</v>
          </cell>
          <cell r="CD91">
            <v>0</v>
          </cell>
          <cell r="CE91">
            <v>0</v>
          </cell>
          <cell r="CF91">
            <v>0</v>
          </cell>
          <cell r="CG91">
            <v>0</v>
          </cell>
        </row>
        <row r="93">
          <cell r="A93" t="str">
            <v>Income from Operations</v>
          </cell>
          <cell r="C93">
            <v>7.9569999999999972</v>
          </cell>
          <cell r="D93">
            <v>83.295999999999964</v>
          </cell>
          <cell r="E93">
            <v>29.573000000000015</v>
          </cell>
          <cell r="F93">
            <v>26.656999999999989</v>
          </cell>
          <cell r="G93">
            <v>33.263000000000012</v>
          </cell>
          <cell r="H93">
            <v>40.866999999999997</v>
          </cell>
          <cell r="I93">
            <v>130.36000000000001</v>
          </cell>
          <cell r="J93">
            <v>35.161999999999992</v>
          </cell>
          <cell r="K93">
            <v>32.907000000000004</v>
          </cell>
          <cell r="L93">
            <v>37.519000000000005</v>
          </cell>
          <cell r="M93">
            <v>30.201999999999998</v>
          </cell>
          <cell r="N93">
            <v>135.79000000000002</v>
          </cell>
          <cell r="O93">
            <v>32.783999999999999</v>
          </cell>
          <cell r="P93">
            <v>36.654000000000003</v>
          </cell>
          <cell r="Q93">
            <v>37.797999999999988</v>
          </cell>
          <cell r="R93">
            <v>43.756</v>
          </cell>
          <cell r="S93">
            <v>150.99199999999999</v>
          </cell>
          <cell r="T93">
            <v>47.256999999999998</v>
          </cell>
          <cell r="U93">
            <v>46.69700000000001</v>
          </cell>
          <cell r="V93">
            <v>41.449000000000005</v>
          </cell>
          <cell r="W93">
            <v>70.719999999999985</v>
          </cell>
          <cell r="X93">
            <v>206.1230000000001</v>
          </cell>
          <cell r="Y93">
            <v>75.428999999999974</v>
          </cell>
          <cell r="Z93">
            <v>82.691000000000003</v>
          </cell>
          <cell r="AA93">
            <v>82.245000000000005</v>
          </cell>
          <cell r="AB93">
            <v>81.63300000000001</v>
          </cell>
          <cell r="AC93">
            <v>321.9980000000001</v>
          </cell>
          <cell r="AD93">
            <v>80.978999999999985</v>
          </cell>
          <cell r="AE93">
            <v>87.121000000000024</v>
          </cell>
          <cell r="AF93">
            <v>83.529000000000011</v>
          </cell>
          <cell r="AG93">
            <v>95.307000000000016</v>
          </cell>
          <cell r="AH93">
            <v>346.93599999999998</v>
          </cell>
          <cell r="AI93">
            <v>90.526999999999987</v>
          </cell>
          <cell r="AJ93">
            <v>97.172000000000011</v>
          </cell>
          <cell r="AK93">
            <v>92.43599999999995</v>
          </cell>
          <cell r="AL93">
            <v>91.370999999999952</v>
          </cell>
          <cell r="AM93">
            <v>371.50599999999986</v>
          </cell>
          <cell r="AN93">
            <v>82.936999999999969</v>
          </cell>
          <cell r="AO93">
            <v>90.057999999999979</v>
          </cell>
          <cell r="AP93">
            <v>83.997000000000014</v>
          </cell>
          <cell r="AQ93">
            <v>83.583999999999975</v>
          </cell>
          <cell r="AR93">
            <v>340.57599999999996</v>
          </cell>
          <cell r="AS93">
            <v>79.517000000000039</v>
          </cell>
          <cell r="AT93">
            <v>88.600000000000023</v>
          </cell>
          <cell r="AU93">
            <v>83.932000000000016</v>
          </cell>
          <cell r="AV93">
            <v>85.141999999999982</v>
          </cell>
          <cell r="AW93">
            <v>337.19100000000009</v>
          </cell>
          <cell r="AX93">
            <v>88.752999999999986</v>
          </cell>
          <cell r="AY93">
            <v>98.491000000000014</v>
          </cell>
          <cell r="AZ93">
            <v>109.1079999999999</v>
          </cell>
          <cell r="BA93">
            <v>107.54300000000003</v>
          </cell>
          <cell r="BB93">
            <v>403.89499999999998</v>
          </cell>
          <cell r="BC93">
            <v>113.14099999999998</v>
          </cell>
          <cell r="BD93">
            <v>125.68400000000001</v>
          </cell>
          <cell r="BE93">
            <v>123.26000000000005</v>
          </cell>
          <cell r="BF93">
            <v>126.012</v>
          </cell>
          <cell r="BG93">
            <v>488.09699999999998</v>
          </cell>
          <cell r="BH93">
            <v>125.04673075506173</v>
          </cell>
          <cell r="BI93">
            <v>132.03715353388731</v>
          </cell>
          <cell r="BJ93">
            <v>133.88478895200669</v>
          </cell>
          <cell r="BK93">
            <v>137.05531345204506</v>
          </cell>
          <cell r="BL93">
            <v>528.02398669300078</v>
          </cell>
          <cell r="BM93">
            <v>580.97472507413329</v>
          </cell>
          <cell r="BN93">
            <v>639.41765996372271</v>
          </cell>
          <cell r="BO93">
            <v>703.71220424896524</v>
          </cell>
          <cell r="BR93" t="str">
            <v>Income from Operations</v>
          </cell>
          <cell r="BS93">
            <v>83.295999999999964</v>
          </cell>
          <cell r="BT93">
            <v>130.36000000000001</v>
          </cell>
          <cell r="BU93">
            <v>135.79000000000002</v>
          </cell>
          <cell r="BV93">
            <v>150.99199999999999</v>
          </cell>
          <cell r="BW93">
            <v>206.1230000000001</v>
          </cell>
          <cell r="BX93">
            <v>321.9980000000001</v>
          </cell>
          <cell r="BY93">
            <v>346.93599999999998</v>
          </cell>
          <cell r="BZ93">
            <v>340.57599999999996</v>
          </cell>
          <cell r="CA93">
            <v>337.19100000000009</v>
          </cell>
          <cell r="CB93">
            <v>403.89499999999998</v>
          </cell>
          <cell r="CC93">
            <v>488.09699999999998</v>
          </cell>
          <cell r="CD93">
            <v>528.02398669300078</v>
          </cell>
          <cell r="CE93">
            <v>580.97472507413329</v>
          </cell>
          <cell r="CF93">
            <v>639.41765996372271</v>
          </cell>
          <cell r="CG93">
            <v>703.71220424896524</v>
          </cell>
        </row>
        <row r="94">
          <cell r="A94" t="str">
            <v>Operating Margin</v>
          </cell>
          <cell r="C94">
            <v>9.7528987816537113E-2</v>
          </cell>
          <cell r="D94">
            <v>0.26809313223773557</v>
          </cell>
          <cell r="E94">
            <v>0.33965016251478725</v>
          </cell>
          <cell r="F94">
            <v>0.30035379484405977</v>
          </cell>
          <cell r="G94">
            <v>0.35996190764768909</v>
          </cell>
          <cell r="H94">
            <v>0.40200476106159866</v>
          </cell>
          <cell r="I94">
            <v>0.35243291176200237</v>
          </cell>
          <cell r="J94">
            <v>0.33503253899438779</v>
          </cell>
          <cell r="K94">
            <v>0.30414529322057399</v>
          </cell>
          <cell r="L94">
            <v>0.33984909283598586</v>
          </cell>
          <cell r="M94">
            <v>0.28116854099947863</v>
          </cell>
          <cell r="N94">
            <v>0.31508651594923909</v>
          </cell>
          <cell r="O94">
            <v>0.3095312278714063</v>
          </cell>
          <cell r="P94">
            <v>0.33512228571428576</v>
          </cell>
          <cell r="Q94">
            <v>0.34719109380166796</v>
          </cell>
          <cell r="R94">
            <v>0.36834750399865313</v>
          </cell>
          <cell r="S94">
            <v>0.34087974209162247</v>
          </cell>
          <cell r="T94">
            <v>0.38837113740959894</v>
          </cell>
          <cell r="U94">
            <v>0.37306862666773194</v>
          </cell>
          <cell r="V94">
            <v>0.2044511746977552</v>
          </cell>
          <cell r="W94">
            <v>0.33152382827515725</v>
          </cell>
          <cell r="X94">
            <v>0.31094084938776695</v>
          </cell>
          <cell r="Y94">
            <v>0.3377952332757122</v>
          </cell>
          <cell r="Z94">
            <v>0.36510908103477968</v>
          </cell>
          <cell r="AA94">
            <v>0.36549109880636016</v>
          </cell>
          <cell r="AB94">
            <v>0.36099392395659213</v>
          </cell>
          <cell r="AC94">
            <v>0.35740187204267548</v>
          </cell>
          <cell r="AD94">
            <v>0.35353980755461639</v>
          </cell>
          <cell r="AE94">
            <v>0.36518768469809076</v>
          </cell>
          <cell r="AF94">
            <v>0.35477226007033524</v>
          </cell>
          <cell r="AG94">
            <v>0.38573336571151051</v>
          </cell>
          <cell r="AH94">
            <v>0.36514159477382824</v>
          </cell>
          <cell r="AI94">
            <v>0.35936389728036705</v>
          </cell>
          <cell r="AJ94">
            <v>0.37678462027623327</v>
          </cell>
          <cell r="AK94">
            <v>0.35794886887290006</v>
          </cell>
          <cell r="AL94">
            <v>0.34141811958658097</v>
          </cell>
          <cell r="AM94">
            <v>0.35871182532609408</v>
          </cell>
          <cell r="AN94">
            <v>0.37781928342026727</v>
          </cell>
          <cell r="AO94">
            <v>0.39435127205850151</v>
          </cell>
          <cell r="AP94">
            <v>0.36727867390173202</v>
          </cell>
          <cell r="AQ94">
            <v>0.35297297297297286</v>
          </cell>
          <cell r="AR94">
            <v>0.37287192928290996</v>
          </cell>
          <cell r="AS94">
            <v>0.33173550271172314</v>
          </cell>
          <cell r="AT94">
            <v>0.34841424330010429</v>
          </cell>
          <cell r="AU94">
            <v>0.33365002762793328</v>
          </cell>
          <cell r="AV94">
            <v>0.33900451119437147</v>
          </cell>
          <cell r="AW94">
            <v>0.33830571733863085</v>
          </cell>
          <cell r="AX94">
            <v>0.33774640383590837</v>
          </cell>
          <cell r="AY94">
            <v>0.36402646363098762</v>
          </cell>
          <cell r="AZ94">
            <v>0.40594247275622519</v>
          </cell>
          <cell r="BA94">
            <v>0.39408486109940533</v>
          </cell>
          <cell r="BB94">
            <v>0.37571278406712494</v>
          </cell>
          <cell r="BC94">
            <v>0.40577345173368523</v>
          </cell>
          <cell r="BD94">
            <v>0.43250423268042232</v>
          </cell>
          <cell r="BE94">
            <v>0.42734361186133357</v>
          </cell>
          <cell r="BF94">
            <v>0.43035121511413466</v>
          </cell>
          <cell r="BG94">
            <v>0.4241935189506425</v>
          </cell>
          <cell r="BH94">
            <v>0.41566550137917191</v>
          </cell>
          <cell r="BI94">
            <v>0.42896642408285229</v>
          </cell>
          <cell r="BJ94">
            <v>0.43579591788993993</v>
          </cell>
          <cell r="BK94">
            <v>0.4388518173141876</v>
          </cell>
          <cell r="BL94">
            <v>0.42993048158521263</v>
          </cell>
          <cell r="BM94">
            <v>0.4414450480557307</v>
          </cell>
          <cell r="BN94">
            <v>0.45188919436810659</v>
          </cell>
          <cell r="BO94">
            <v>0.46192033905816149</v>
          </cell>
          <cell r="BR94" t="str">
            <v>Operating Margin</v>
          </cell>
          <cell r="BS94">
            <v>0.26809313223773557</v>
          </cell>
          <cell r="BT94">
            <v>0.35243291176200237</v>
          </cell>
          <cell r="BU94">
            <v>0.31508651594923909</v>
          </cell>
          <cell r="BV94">
            <v>0.34087974209162247</v>
          </cell>
          <cell r="BW94">
            <v>0.31094084938776695</v>
          </cell>
          <cell r="BX94">
            <v>0.35740187204267548</v>
          </cell>
          <cell r="BY94">
            <v>0.36514159477382824</v>
          </cell>
          <cell r="BZ94">
            <v>0.37287192928290996</v>
          </cell>
          <cell r="CA94">
            <v>0.33830571733863085</v>
          </cell>
          <cell r="CB94">
            <v>0.37571278406712494</v>
          </cell>
          <cell r="CC94">
            <v>0.4241935189506425</v>
          </cell>
          <cell r="CD94">
            <v>0.42993048158521263</v>
          </cell>
          <cell r="CE94">
            <v>0.4414450480557307</v>
          </cell>
          <cell r="CF94">
            <v>0.45188919436810659</v>
          </cell>
          <cell r="CG94">
            <v>0.46192033905816149</v>
          </cell>
        </row>
        <row r="96">
          <cell r="A96" t="str">
            <v xml:space="preserve">Interest Income </v>
          </cell>
          <cell r="C96">
            <v>5.0699999999999985</v>
          </cell>
          <cell r="D96">
            <v>15.481999999999999</v>
          </cell>
          <cell r="E96">
            <v>5.0620000000000003</v>
          </cell>
          <cell r="F96">
            <v>5.524</v>
          </cell>
          <cell r="G96">
            <v>1.125</v>
          </cell>
          <cell r="H96">
            <v>1.4319999999999999</v>
          </cell>
          <cell r="I96">
            <v>13.143000000000001</v>
          </cell>
          <cell r="J96">
            <v>2.3719999999999999</v>
          </cell>
          <cell r="K96">
            <v>3.508</v>
          </cell>
          <cell r="L96">
            <v>1.843</v>
          </cell>
          <cell r="M96">
            <v>0.41899999999999998</v>
          </cell>
          <cell r="N96">
            <v>8.1419999999999995</v>
          </cell>
          <cell r="O96">
            <v>0.121</v>
          </cell>
          <cell r="P96">
            <v>0.22</v>
          </cell>
          <cell r="Q96">
            <v>0.373</v>
          </cell>
          <cell r="R96">
            <v>0.33899999999999997</v>
          </cell>
          <cell r="S96">
            <v>1.0529999999999999</v>
          </cell>
          <cell r="T96">
            <v>0.40799999999999997</v>
          </cell>
          <cell r="U96">
            <v>0.34300000000000003</v>
          </cell>
          <cell r="V96">
            <v>0.114</v>
          </cell>
          <cell r="W96">
            <v>0.128</v>
          </cell>
          <cell r="X96">
            <v>0.99299999999999999</v>
          </cell>
          <cell r="Y96">
            <v>0.14299999999999999</v>
          </cell>
          <cell r="Z96">
            <v>0.186</v>
          </cell>
          <cell r="AA96">
            <v>0.184</v>
          </cell>
          <cell r="AB96">
            <v>0.33500000000000002</v>
          </cell>
          <cell r="AC96">
            <v>0.84799999999999986</v>
          </cell>
          <cell r="AD96">
            <v>0.223</v>
          </cell>
          <cell r="AE96">
            <v>0.23699999999999999</v>
          </cell>
          <cell r="AF96">
            <v>0.252</v>
          </cell>
          <cell r="AG96">
            <v>0.24199999999999999</v>
          </cell>
          <cell r="AH96">
            <v>0.95399999999999996</v>
          </cell>
          <cell r="AI96">
            <v>0.26800000000000002</v>
          </cell>
          <cell r="AJ96">
            <v>0.23699999999999999</v>
          </cell>
          <cell r="AK96">
            <v>0.26500000000000001</v>
          </cell>
          <cell r="AL96">
            <v>0.26100000000000001</v>
          </cell>
          <cell r="AM96">
            <v>1.0310000000000001</v>
          </cell>
          <cell r="AN96">
            <v>0.23699999999999999</v>
          </cell>
          <cell r="AO96">
            <v>0.186</v>
          </cell>
          <cell r="AP96">
            <v>0.22700000000000001</v>
          </cell>
          <cell r="AQ96">
            <v>0.23899999999999999</v>
          </cell>
          <cell r="AR96">
            <v>0.88900000000000001</v>
          </cell>
          <cell r="AS96">
            <v>0.156</v>
          </cell>
          <cell r="AT96">
            <v>0.192</v>
          </cell>
          <cell r="AU96">
            <v>0.27700000000000002</v>
          </cell>
          <cell r="AV96">
            <v>0.22600000000000001</v>
          </cell>
          <cell r="AW96">
            <v>0.85099999999999998</v>
          </cell>
          <cell r="AX96">
            <v>0.20399999999999999</v>
          </cell>
          <cell r="AY96">
            <v>0.185</v>
          </cell>
          <cell r="AZ96">
            <v>0.28499999999999998</v>
          </cell>
          <cell r="BA96">
            <v>0.49199999999999999</v>
          </cell>
          <cell r="BB96">
            <v>1.1659999999999999</v>
          </cell>
          <cell r="BC96">
            <v>0.621</v>
          </cell>
          <cell r="BD96">
            <v>0.58499999999999996</v>
          </cell>
          <cell r="BE96">
            <v>0.79900000000000004</v>
          </cell>
          <cell r="BF96">
            <v>0.90100000000000002</v>
          </cell>
          <cell r="BG96">
            <v>3.2853745322053736</v>
          </cell>
          <cell r="BH96">
            <v>1.0178101483515758</v>
          </cell>
          <cell r="BI96">
            <v>1.0086127277213295</v>
          </cell>
          <cell r="BJ96">
            <v>1.0567600813409801</v>
          </cell>
          <cell r="BK96">
            <v>1.0873888513571885</v>
          </cell>
          <cell r="BL96">
            <v>4.1705718087710739</v>
          </cell>
          <cell r="BM96">
            <v>6.4490197299262633</v>
          </cell>
          <cell r="BN96">
            <v>8.4918704995298793</v>
          </cell>
          <cell r="BO96">
            <v>8.7266886073823091</v>
          </cell>
          <cell r="BR96" t="str">
            <v xml:space="preserve">Interest Income </v>
          </cell>
          <cell r="BS96">
            <v>15.481999999999999</v>
          </cell>
          <cell r="BT96">
            <v>13.143000000000001</v>
          </cell>
          <cell r="BU96">
            <v>8.1419999999999995</v>
          </cell>
          <cell r="BV96">
            <v>1.0529999999999999</v>
          </cell>
          <cell r="BW96">
            <v>0.99299999999999999</v>
          </cell>
          <cell r="BX96">
            <v>0.84799999999999986</v>
          </cell>
          <cell r="BY96">
            <v>0.95399999999999996</v>
          </cell>
          <cell r="BZ96">
            <v>0.88900000000000001</v>
          </cell>
          <cell r="CA96">
            <v>0.85099999999999998</v>
          </cell>
          <cell r="CB96">
            <v>1.1659999999999999</v>
          </cell>
          <cell r="CC96">
            <v>3.2853745322053736</v>
          </cell>
          <cell r="CD96">
            <v>4.1705718087710739</v>
          </cell>
          <cell r="CE96">
            <v>6.4490197299262633</v>
          </cell>
          <cell r="CF96">
            <v>8.4918704995298793</v>
          </cell>
          <cell r="CG96">
            <v>8.7266886073823091</v>
          </cell>
          <cell r="CI96" t="str">
            <v>mstag:interestIncome</v>
          </cell>
          <cell r="CJ96">
            <v>6</v>
          </cell>
          <cell r="CK96" t="str">
            <v>ISO4217:USD</v>
          </cell>
          <cell r="CL96" t="b">
            <v>0</v>
          </cell>
        </row>
        <row r="97">
          <cell r="A97" t="str">
            <v xml:space="preserve">Interest Expense </v>
          </cell>
          <cell r="C97">
            <v>-6.8000000000000005E-2</v>
          </cell>
          <cell r="D97">
            <v>-0.35199999999999998</v>
          </cell>
          <cell r="E97">
            <v>-9.5000000000000001E-2</v>
          </cell>
          <cell r="F97">
            <v>-0.502</v>
          </cell>
          <cell r="G97">
            <v>-1.2589999999999999</v>
          </cell>
          <cell r="H97">
            <v>-7.73</v>
          </cell>
          <cell r="I97">
            <v>-9.5860000000000003</v>
          </cell>
          <cell r="J97">
            <v>-8.4629999999999992</v>
          </cell>
          <cell r="K97">
            <v>-6.6680000000000001</v>
          </cell>
          <cell r="L97">
            <v>-5.9909999999999997</v>
          </cell>
          <cell r="M97">
            <v>-5.81</v>
          </cell>
          <cell r="N97">
            <v>-26.931999999999999</v>
          </cell>
          <cell r="O97">
            <v>-5.6379999999999999</v>
          </cell>
          <cell r="P97">
            <v>-4.9039999999999999</v>
          </cell>
          <cell r="Q97">
            <v>-4.6280000000000001</v>
          </cell>
          <cell r="R97">
            <v>-4.5129999999999999</v>
          </cell>
          <cell r="S97">
            <v>-19.683</v>
          </cell>
          <cell r="T97">
            <v>-4.4359999999999999</v>
          </cell>
          <cell r="U97">
            <v>-8.9909999999999997</v>
          </cell>
          <cell r="V97">
            <v>-20.414999999999999</v>
          </cell>
          <cell r="W97">
            <v>-17.495000000000001</v>
          </cell>
          <cell r="X97">
            <v>-51.337000000000003</v>
          </cell>
          <cell r="Y97">
            <v>-16.587</v>
          </cell>
          <cell r="Z97">
            <v>-12.852</v>
          </cell>
          <cell r="AA97">
            <v>-13.113</v>
          </cell>
          <cell r="AB97">
            <v>-13.266999999999999</v>
          </cell>
          <cell r="AC97">
            <v>-55.819000000000003</v>
          </cell>
          <cell r="AD97">
            <v>-12.355</v>
          </cell>
          <cell r="AE97">
            <v>-29.581</v>
          </cell>
          <cell r="AF97">
            <v>-7.3140000000000001</v>
          </cell>
          <cell r="AG97">
            <v>-7.1779999999999999</v>
          </cell>
          <cell r="AH97">
            <v>-56.427999999999997</v>
          </cell>
          <cell r="AI97">
            <v>-7.02</v>
          </cell>
          <cell r="AJ97">
            <v>-6.5039999999999996</v>
          </cell>
          <cell r="AK97">
            <v>-5.827</v>
          </cell>
          <cell r="AL97">
            <v>-6.9139999999999997</v>
          </cell>
          <cell r="AM97">
            <v>-26.265000000000001</v>
          </cell>
          <cell r="AN97">
            <v>-7.016</v>
          </cell>
          <cell r="AO97">
            <v>-6.4989999999999997</v>
          </cell>
          <cell r="AP97">
            <v>-5.8280000000000003</v>
          </cell>
          <cell r="AQ97">
            <v>-6.9139999999999997</v>
          </cell>
          <cell r="AR97">
            <v>-26.256999999999998</v>
          </cell>
          <cell r="AS97">
            <v>-5.0590000000000002</v>
          </cell>
          <cell r="AT97">
            <v>-5.3659999999999997</v>
          </cell>
          <cell r="AU97">
            <v>-5.6040000000000001</v>
          </cell>
          <cell r="AV97">
            <v>-15.791</v>
          </cell>
          <cell r="AW97">
            <v>-31.82</v>
          </cell>
          <cell r="AX97">
            <v>-11.108000000000001</v>
          </cell>
          <cell r="AY97">
            <v>-11.116</v>
          </cell>
          <cell r="AZ97">
            <v>-17.266999999999999</v>
          </cell>
          <cell r="BA97">
            <v>-22.896000000000001</v>
          </cell>
          <cell r="BB97">
            <v>-62.387</v>
          </cell>
          <cell r="BC97">
            <v>-22.904</v>
          </cell>
          <cell r="BD97">
            <v>-22.917999999999999</v>
          </cell>
          <cell r="BE97">
            <v>-26.79</v>
          </cell>
          <cell r="BF97">
            <v>-29.039000000000001</v>
          </cell>
          <cell r="BG97">
            <v>-101.651</v>
          </cell>
          <cell r="BH97">
            <v>-29.052814000000001</v>
          </cell>
          <cell r="BI97">
            <v>-29.052814000000001</v>
          </cell>
          <cell r="BJ97">
            <v>-29.052814000000001</v>
          </cell>
          <cell r="BK97">
            <v>-29.052814000000001</v>
          </cell>
          <cell r="BL97">
            <v>-116.21125600000001</v>
          </cell>
          <cell r="BM97">
            <v>-122.436859</v>
          </cell>
          <cell r="BN97">
            <v>-124.51205999999999</v>
          </cell>
          <cell r="BO97">
            <v>-124.51205999999999</v>
          </cell>
          <cell r="BR97" t="str">
            <v xml:space="preserve">Interest Expense </v>
          </cell>
          <cell r="BS97">
            <v>-0.35199999999999998</v>
          </cell>
          <cell r="BT97">
            <v>-9.5860000000000003</v>
          </cell>
          <cell r="BU97">
            <v>-26.931999999999999</v>
          </cell>
          <cell r="BV97">
            <v>-19.683</v>
          </cell>
          <cell r="BW97">
            <v>-51.337000000000003</v>
          </cell>
          <cell r="BX97">
            <v>-55.819000000000003</v>
          </cell>
          <cell r="BY97">
            <v>-56.427999999999997</v>
          </cell>
          <cell r="BZ97">
            <v>-26.256999999999998</v>
          </cell>
          <cell r="CA97">
            <v>-31.82</v>
          </cell>
          <cell r="CB97">
            <v>-62.387</v>
          </cell>
          <cell r="CC97">
            <v>-101.651</v>
          </cell>
          <cell r="CD97">
            <v>-116.21125600000001</v>
          </cell>
          <cell r="CE97">
            <v>-122.436859</v>
          </cell>
          <cell r="CF97">
            <v>-124.51205999999999</v>
          </cell>
          <cell r="CG97">
            <v>-124.51205999999999</v>
          </cell>
          <cell r="CI97" t="str">
            <v>mstag:interestExpense</v>
          </cell>
          <cell r="CJ97">
            <v>6</v>
          </cell>
          <cell r="CK97" t="str">
            <v>ISO4217:USD</v>
          </cell>
          <cell r="CL97" t="b">
            <v>1</v>
          </cell>
        </row>
        <row r="98">
          <cell r="A98" t="str">
            <v xml:space="preserve">Other, Net </v>
          </cell>
          <cell r="C98">
            <v>0.85699999999999998</v>
          </cell>
          <cell r="D98">
            <v>1.0429999999999999</v>
          </cell>
          <cell r="E98">
            <v>2.7E-2</v>
          </cell>
          <cell r="F98">
            <v>2.5999999999999999E-2</v>
          </cell>
          <cell r="G98">
            <v>-0.21</v>
          </cell>
          <cell r="H98">
            <v>-0.46800000000000003</v>
          </cell>
          <cell r="I98">
            <v>-0.625</v>
          </cell>
          <cell r="J98">
            <v>-0.33600000000000002</v>
          </cell>
          <cell r="K98">
            <v>0.63800000000000001</v>
          </cell>
          <cell r="L98">
            <v>-3.2240000000000002</v>
          </cell>
          <cell r="M98">
            <v>-4.4349999999999996</v>
          </cell>
          <cell r="N98">
            <v>-7.3569999999999993</v>
          </cell>
          <cell r="O98">
            <v>-0.88200000000000001</v>
          </cell>
          <cell r="P98">
            <v>2E-3</v>
          </cell>
          <cell r="Q98">
            <v>0.16800000000000001</v>
          </cell>
          <cell r="R98">
            <v>7.0999999999999952E-2</v>
          </cell>
          <cell r="S98">
            <v>-0.64100000000000001</v>
          </cell>
          <cell r="T98">
            <v>0.60799999999999998</v>
          </cell>
          <cell r="U98">
            <v>-9.8000000000000004E-2</v>
          </cell>
          <cell r="V98">
            <v>-0.52400000000000002</v>
          </cell>
          <cell r="W98">
            <v>-2.274</v>
          </cell>
          <cell r="X98">
            <v>-2.2880000000000003</v>
          </cell>
          <cell r="Y98">
            <v>-5.641</v>
          </cell>
          <cell r="Z98">
            <v>-0.38300000000000001</v>
          </cell>
          <cell r="AA98">
            <v>0.98299999999999998</v>
          </cell>
          <cell r="AB98">
            <v>1.427</v>
          </cell>
          <cell r="AC98">
            <v>-3.6140000000000003</v>
          </cell>
          <cell r="AD98">
            <v>-0.60799999999999998</v>
          </cell>
          <cell r="AE98">
            <v>-0.51600000000000001</v>
          </cell>
          <cell r="AF98">
            <v>-0.873</v>
          </cell>
          <cell r="AG98">
            <v>-5.6000000000000001E-2</v>
          </cell>
          <cell r="AH98">
            <v>-2.0529999999999999</v>
          </cell>
          <cell r="AI98">
            <v>-0.224</v>
          </cell>
          <cell r="AJ98">
            <v>0.35399999999999998</v>
          </cell>
          <cell r="AK98">
            <v>-0.627</v>
          </cell>
          <cell r="AL98">
            <v>-0.154</v>
          </cell>
          <cell r="AM98">
            <v>-0.65100000000000002</v>
          </cell>
          <cell r="AN98">
            <v>-1.9219999999999999</v>
          </cell>
          <cell r="AO98">
            <v>0.32800000000000001</v>
          </cell>
          <cell r="AP98">
            <v>-0.56299999999999994</v>
          </cell>
          <cell r="AQ98">
            <v>0.02</v>
          </cell>
          <cell r="AR98">
            <v>-2.137</v>
          </cell>
          <cell r="AS98">
            <v>-1.071</v>
          </cell>
          <cell r="AT98">
            <v>0.72599999999999998</v>
          </cell>
          <cell r="AU98">
            <v>1.2869999999999999</v>
          </cell>
          <cell r="AV98">
            <v>1.1990000000000001</v>
          </cell>
          <cell r="AW98">
            <v>2.141</v>
          </cell>
          <cell r="AX98">
            <v>-0.17799999999999999</v>
          </cell>
          <cell r="AY98">
            <v>-0.16400000000000001</v>
          </cell>
          <cell r="AZ98">
            <v>6.9219999999999997</v>
          </cell>
          <cell r="BA98">
            <v>0.29699999999999999</v>
          </cell>
          <cell r="BB98">
            <v>6.8769999999999998</v>
          </cell>
          <cell r="BC98">
            <v>-8.1000000000000003E-2</v>
          </cell>
          <cell r="BD98">
            <v>-2.8140000000000001</v>
          </cell>
          <cell r="BE98">
            <v>0.253</v>
          </cell>
          <cell r="BF98">
            <v>-0.77900000000000003</v>
          </cell>
          <cell r="BG98">
            <v>-3.4209999999999998</v>
          </cell>
          <cell r="BH98">
            <v>0</v>
          </cell>
          <cell r="BI98">
            <v>0</v>
          </cell>
          <cell r="BJ98">
            <v>0</v>
          </cell>
          <cell r="BK98">
            <v>0</v>
          </cell>
          <cell r="BL98">
            <v>0</v>
          </cell>
          <cell r="BM98">
            <v>0</v>
          </cell>
          <cell r="BN98">
            <v>0</v>
          </cell>
          <cell r="BO98">
            <v>0</v>
          </cell>
          <cell r="BR98" t="str">
            <v xml:space="preserve">Other, Net </v>
          </cell>
          <cell r="BS98">
            <v>1.0429999999999999</v>
          </cell>
          <cell r="BT98">
            <v>-0.625</v>
          </cell>
          <cell r="BU98">
            <v>-7.3569999999999993</v>
          </cell>
          <cell r="BV98">
            <v>-0.64100000000000001</v>
          </cell>
          <cell r="BW98">
            <v>-2.2880000000000003</v>
          </cell>
          <cell r="BX98">
            <v>-3.6140000000000003</v>
          </cell>
          <cell r="BY98">
            <v>-2.0529999999999999</v>
          </cell>
          <cell r="BZ98">
            <v>-2.137</v>
          </cell>
          <cell r="CA98">
            <v>2.141</v>
          </cell>
          <cell r="CB98">
            <v>6.8769999999999998</v>
          </cell>
          <cell r="CC98">
            <v>-3.4209999999999998</v>
          </cell>
          <cell r="CD98">
            <v>0</v>
          </cell>
          <cell r="CE98">
            <v>0</v>
          </cell>
          <cell r="CF98">
            <v>0</v>
          </cell>
          <cell r="CG98">
            <v>0</v>
          </cell>
          <cell r="CI98" t="str">
            <v>mstag:otherNonOperatingIncomeExpense</v>
          </cell>
          <cell r="CJ98">
            <v>6</v>
          </cell>
          <cell r="CK98" t="str">
            <v>ISO4217:USD</v>
          </cell>
          <cell r="CL98" t="b">
            <v>0</v>
          </cell>
        </row>
        <row r="100">
          <cell r="A100" t="str">
            <v>Pretax Income</v>
          </cell>
          <cell r="C100">
            <v>13.815999999999995</v>
          </cell>
          <cell r="D100">
            <v>99.468999999999966</v>
          </cell>
          <cell r="E100">
            <v>34.567000000000014</v>
          </cell>
          <cell r="F100">
            <v>31.704999999999991</v>
          </cell>
          <cell r="G100">
            <v>32.919000000000011</v>
          </cell>
          <cell r="H100">
            <v>34.100999999999999</v>
          </cell>
          <cell r="I100">
            <v>133.292</v>
          </cell>
          <cell r="J100">
            <v>28.734999999999992</v>
          </cell>
          <cell r="K100">
            <v>30.385000000000005</v>
          </cell>
          <cell r="L100">
            <v>30.147000000000006</v>
          </cell>
          <cell r="M100">
            <v>20.375999999999998</v>
          </cell>
          <cell r="N100">
            <v>109.64300000000003</v>
          </cell>
          <cell r="O100">
            <v>26.384999999999998</v>
          </cell>
          <cell r="P100">
            <v>31.972000000000001</v>
          </cell>
          <cell r="Q100">
            <v>33.710999999999984</v>
          </cell>
          <cell r="R100">
            <v>39.652999999999999</v>
          </cell>
          <cell r="S100">
            <v>131.721</v>
          </cell>
          <cell r="T100">
            <v>43.836999999999996</v>
          </cell>
          <cell r="U100">
            <v>37.951000000000008</v>
          </cell>
          <cell r="V100">
            <v>20.624000000000006</v>
          </cell>
          <cell r="W100">
            <v>51.078999999999979</v>
          </cell>
          <cell r="X100">
            <v>153.4910000000001</v>
          </cell>
          <cell r="Y100">
            <v>53.343999999999973</v>
          </cell>
          <cell r="Z100">
            <v>69.64200000000001</v>
          </cell>
          <cell r="AA100">
            <v>70.299000000000007</v>
          </cell>
          <cell r="AB100">
            <v>70.128000000000014</v>
          </cell>
          <cell r="AC100">
            <v>263.41300000000012</v>
          </cell>
          <cell r="AD100">
            <v>68.238999999999976</v>
          </cell>
          <cell r="AE100">
            <v>57.261000000000017</v>
          </cell>
          <cell r="AF100">
            <v>75.594000000000008</v>
          </cell>
          <cell r="AG100">
            <v>88.315000000000026</v>
          </cell>
          <cell r="AH100">
            <v>289.40899999999999</v>
          </cell>
          <cell r="AI100">
            <v>83.550999999999988</v>
          </cell>
          <cell r="AJ100">
            <v>91.259</v>
          </cell>
          <cell r="AK100">
            <v>86.246999999999957</v>
          </cell>
          <cell r="AL100">
            <v>84.56399999999995</v>
          </cell>
          <cell r="AM100">
            <v>345.62099999999987</v>
          </cell>
          <cell r="AN100">
            <v>74.235999999999962</v>
          </cell>
          <cell r="AO100">
            <v>84.072999999999993</v>
          </cell>
          <cell r="AP100">
            <v>77.833000000000013</v>
          </cell>
          <cell r="AQ100">
            <v>76.928999999999974</v>
          </cell>
          <cell r="AR100">
            <v>313.07099999999997</v>
          </cell>
          <cell r="AS100">
            <v>73.543000000000049</v>
          </cell>
          <cell r="AT100">
            <v>84.152000000000015</v>
          </cell>
          <cell r="AU100">
            <v>79.892000000000024</v>
          </cell>
          <cell r="AV100">
            <v>70.775999999999982</v>
          </cell>
          <cell r="AW100">
            <v>308.36300000000006</v>
          </cell>
          <cell r="AX100">
            <v>77.670999999999978</v>
          </cell>
          <cell r="AY100">
            <v>87.396000000000015</v>
          </cell>
          <cell r="AZ100">
            <v>99.047999999999902</v>
          </cell>
          <cell r="BA100">
            <v>85.436000000000035</v>
          </cell>
          <cell r="BB100">
            <v>349.55099999999999</v>
          </cell>
          <cell r="BC100">
            <v>90.776999999999973</v>
          </cell>
          <cell r="BD100">
            <v>100.53700000000001</v>
          </cell>
          <cell r="BE100">
            <v>97.522000000000062</v>
          </cell>
          <cell r="BF100">
            <v>97.094999999999999</v>
          </cell>
          <cell r="BG100">
            <v>386.31037453220534</v>
          </cell>
          <cell r="BH100">
            <v>97.011726903413305</v>
          </cell>
          <cell r="BI100">
            <v>103.99295226160864</v>
          </cell>
          <cell r="BJ100">
            <v>105.88873503334766</v>
          </cell>
          <cell r="BK100">
            <v>109.08988830340225</v>
          </cell>
          <cell r="BL100">
            <v>415.98330250177185</v>
          </cell>
          <cell r="BM100">
            <v>464.98688580405957</v>
          </cell>
          <cell r="BN100">
            <v>523.3974704632526</v>
          </cell>
          <cell r="BO100">
            <v>587.92683285634757</v>
          </cell>
          <cell r="BR100" t="str">
            <v>Pretax Income</v>
          </cell>
          <cell r="BS100">
            <v>99.468999999999966</v>
          </cell>
          <cell r="BT100">
            <v>133.292</v>
          </cell>
          <cell r="BU100">
            <v>109.64300000000003</v>
          </cell>
          <cell r="BV100">
            <v>131.721</v>
          </cell>
          <cell r="BW100">
            <v>153.4910000000001</v>
          </cell>
          <cell r="BX100">
            <v>263.41300000000012</v>
          </cell>
          <cell r="BY100">
            <v>289.40899999999999</v>
          </cell>
          <cell r="BZ100">
            <v>313.07099999999997</v>
          </cell>
          <cell r="CA100">
            <v>308.36300000000006</v>
          </cell>
          <cell r="CB100">
            <v>349.55099999999999</v>
          </cell>
          <cell r="CC100">
            <v>386.31037453220534</v>
          </cell>
          <cell r="CD100">
            <v>415.98330250177185</v>
          </cell>
          <cell r="CE100">
            <v>464.98688580405957</v>
          </cell>
          <cell r="CF100">
            <v>523.3974704632526</v>
          </cell>
          <cell r="CG100">
            <v>587.92683285634757</v>
          </cell>
        </row>
        <row r="101">
          <cell r="A101" t="str">
            <v>Tax rate</v>
          </cell>
          <cell r="T101">
            <v>0.37226543787211719</v>
          </cell>
          <cell r="U101">
            <v>0.36584016231456346</v>
          </cell>
          <cell r="V101">
            <v>0.49966058960434429</v>
          </cell>
          <cell r="W101">
            <v>0.40746686505217422</v>
          </cell>
          <cell r="X101">
            <v>0.39950876598627905</v>
          </cell>
          <cell r="Y101">
            <v>0.37160692861427735</v>
          </cell>
          <cell r="Z101">
            <v>0.34436116136813988</v>
          </cell>
          <cell r="AA101">
            <v>0.29178224441314954</v>
          </cell>
          <cell r="AB101">
            <v>0.36564567647729856</v>
          </cell>
          <cell r="AC101">
            <v>0.34151313716483228</v>
          </cell>
          <cell r="AD101">
            <v>0.35570568150178061</v>
          </cell>
          <cell r="AE101">
            <v>0.3443006583887811</v>
          </cell>
          <cell r="AF101">
            <v>0.36140434426012641</v>
          </cell>
          <cell r="AG101">
            <v>0.38343429768442494</v>
          </cell>
          <cell r="AH101">
            <v>0.36339920320377045</v>
          </cell>
          <cell r="AI101">
            <v>0.29459850869528798</v>
          </cell>
          <cell r="AJ101">
            <v>0.33099201174678661</v>
          </cell>
          <cell r="AK101">
            <v>0.35870233167530485</v>
          </cell>
          <cell r="AL101">
            <v>0.375</v>
          </cell>
          <cell r="AM101">
            <v>0.35606632698823293</v>
          </cell>
          <cell r="AN101">
            <v>0.28600678915889877</v>
          </cell>
          <cell r="AO101">
            <v>0.3302249235783189</v>
          </cell>
          <cell r="AP101">
            <v>0.35722636927781265</v>
          </cell>
          <cell r="AQ101">
            <v>0.375</v>
          </cell>
          <cell r="AR101">
            <v>0.36068176228395482</v>
          </cell>
          <cell r="AS101">
            <v>0.35876969935955816</v>
          </cell>
          <cell r="AT101">
            <v>0.32417530183477511</v>
          </cell>
          <cell r="AU101">
            <v>0.35387773494217178</v>
          </cell>
          <cell r="AV101">
            <v>0.38797049847405912</v>
          </cell>
          <cell r="AW101">
            <v>0.35476370381660571</v>
          </cell>
          <cell r="AX101">
            <v>0.36095840146257946</v>
          </cell>
          <cell r="AY101">
            <v>0.35927273559430634</v>
          </cell>
          <cell r="AZ101">
            <v>0.34976980857765966</v>
          </cell>
          <cell r="BA101">
            <v>0.29773163537618791</v>
          </cell>
          <cell r="BB101">
            <v>0.34191291113456979</v>
          </cell>
          <cell r="BC101">
            <v>0.33499675027815429</v>
          </cell>
          <cell r="BD101">
            <v>0.33407601181654517</v>
          </cell>
          <cell r="BE101">
            <v>0.33060232562908859</v>
          </cell>
          <cell r="BF101">
            <v>0.29708017920593233</v>
          </cell>
          <cell r="BG101">
            <v>0.32378887093432762</v>
          </cell>
          <cell r="BH101">
            <v>0.3</v>
          </cell>
          <cell r="BI101">
            <v>0.32</v>
          </cell>
          <cell r="BJ101">
            <v>0.32</v>
          </cell>
          <cell r="BK101">
            <v>0.32</v>
          </cell>
          <cell r="BL101">
            <v>0.31533578745493035</v>
          </cell>
          <cell r="BM101">
            <v>0.30533578745493034</v>
          </cell>
          <cell r="BN101">
            <v>0.30533578745493034</v>
          </cell>
          <cell r="BO101">
            <v>0.30533578745493034</v>
          </cell>
          <cell r="BR101" t="str">
            <v>Tax rate</v>
          </cell>
          <cell r="BW101">
            <v>0.39950876598627905</v>
          </cell>
          <cell r="BX101">
            <v>0.34151313716483228</v>
          </cell>
          <cell r="BY101">
            <v>0.36339920320377045</v>
          </cell>
          <cell r="BZ101">
            <v>0.36068176228395482</v>
          </cell>
          <cell r="CA101">
            <v>0.35476370381660571</v>
          </cell>
          <cell r="CB101">
            <v>0.34191291113456979</v>
          </cell>
          <cell r="CC101">
            <v>0.32378887093432762</v>
          </cell>
          <cell r="CD101">
            <v>0.31533578745493035</v>
          </cell>
          <cell r="CE101">
            <v>0.30533578745493034</v>
          </cell>
          <cell r="CF101">
            <v>0.30533578745493034</v>
          </cell>
          <cell r="CG101">
            <v>0.30533578745493034</v>
          </cell>
        </row>
        <row r="102">
          <cell r="A102" t="str">
            <v>Income Tax Benefit (Expense)- Reported</v>
          </cell>
          <cell r="C102">
            <v>-5.328000000000003</v>
          </cell>
          <cell r="D102">
            <v>-36.097000000000001</v>
          </cell>
          <cell r="E102">
            <v>-12.925000000000001</v>
          </cell>
          <cell r="F102">
            <v>-11.853999999999999</v>
          </cell>
          <cell r="G102">
            <v>-11.54</v>
          </cell>
          <cell r="H102">
            <v>-15.862</v>
          </cell>
          <cell r="I102">
            <v>-52.181000000000004</v>
          </cell>
          <cell r="J102">
            <v>-10.801</v>
          </cell>
          <cell r="K102">
            <v>-11.754</v>
          </cell>
          <cell r="L102">
            <v>-11.269</v>
          </cell>
          <cell r="M102">
            <v>-7.5510000000000002</v>
          </cell>
          <cell r="N102">
            <v>-41.375</v>
          </cell>
          <cell r="O102">
            <v>-9.6609999999999996</v>
          </cell>
          <cell r="P102">
            <v>-12.353999999999999</v>
          </cell>
          <cell r="Q102">
            <v>-12.787000000000001</v>
          </cell>
          <cell r="R102">
            <v>-15.118</v>
          </cell>
          <cell r="S102">
            <v>-49.92</v>
          </cell>
          <cell r="T102">
            <v>-16.318999999999999</v>
          </cell>
          <cell r="U102">
            <v>-13.884</v>
          </cell>
          <cell r="V102">
            <v>-10.305</v>
          </cell>
          <cell r="W102">
            <v>-20.812999999999999</v>
          </cell>
          <cell r="X102">
            <v>-61.320999999999998</v>
          </cell>
          <cell r="Y102">
            <v>-19.823</v>
          </cell>
          <cell r="Z102">
            <v>-23.981999999999999</v>
          </cell>
          <cell r="AA102">
            <v>-20.512</v>
          </cell>
          <cell r="AB102">
            <v>-25.641999999999999</v>
          </cell>
          <cell r="AC102">
            <v>-89.959000000000003</v>
          </cell>
          <cell r="AD102">
            <v>-24.273</v>
          </cell>
          <cell r="AE102">
            <v>-19.715</v>
          </cell>
          <cell r="AF102">
            <v>-27.32</v>
          </cell>
          <cell r="AG102">
            <v>-33.863</v>
          </cell>
          <cell r="AH102">
            <v>-105.17099999999999</v>
          </cell>
          <cell r="AI102">
            <v>-24.614000000000001</v>
          </cell>
          <cell r="AJ102">
            <v>-30.206</v>
          </cell>
          <cell r="AK102">
            <v>-30.937000000000001</v>
          </cell>
          <cell r="AL102">
            <v>-37.307000000000002</v>
          </cell>
          <cell r="AM102">
            <v>-123.06400000000001</v>
          </cell>
          <cell r="AN102">
            <v>-21.231999999999999</v>
          </cell>
          <cell r="AO102">
            <v>-27.763000000000002</v>
          </cell>
          <cell r="AP102">
            <v>-27.803999999999998</v>
          </cell>
          <cell r="AQ102">
            <v>-36.119999999999997</v>
          </cell>
          <cell r="AR102">
            <v>-112.91900000000001</v>
          </cell>
          <cell r="AS102">
            <v>-26.385000000000002</v>
          </cell>
          <cell r="AT102">
            <v>-27.28</v>
          </cell>
          <cell r="AU102">
            <v>-28.271999999999998</v>
          </cell>
          <cell r="AV102">
            <v>-27.459</v>
          </cell>
          <cell r="AW102">
            <v>-109.39600000000002</v>
          </cell>
          <cell r="AX102">
            <v>-28.036000000000001</v>
          </cell>
          <cell r="AY102">
            <v>-31.399000000000001</v>
          </cell>
          <cell r="AZ102">
            <v>-34.643999999999998</v>
          </cell>
          <cell r="BA102">
            <v>-25.437000000000001</v>
          </cell>
          <cell r="BB102">
            <v>-119.51600000000001</v>
          </cell>
          <cell r="BC102">
            <v>-30.41</v>
          </cell>
          <cell r="BD102">
            <v>-33.587000000000003</v>
          </cell>
          <cell r="BE102">
            <v>-32.241</v>
          </cell>
          <cell r="BF102">
            <v>-28.844999999999999</v>
          </cell>
          <cell r="BG102">
            <v>-125.083</v>
          </cell>
          <cell r="BH102">
            <v>-29.103518071023991</v>
          </cell>
          <cell r="BI102">
            <v>-33.277744723714761</v>
          </cell>
          <cell r="BJ102">
            <v>-33.884395210671251</v>
          </cell>
          <cell r="BK102">
            <v>-34.90876425708872</v>
          </cell>
          <cell r="BL102">
            <v>-131.17442226249872</v>
          </cell>
          <cell r="BM102">
            <v>-141.9771369331983</v>
          </cell>
          <cell r="BN102">
            <v>-159.81197879581589</v>
          </cell>
          <cell r="BO102">
            <v>-179.51510247607609</v>
          </cell>
          <cell r="BR102" t="str">
            <v>Income Tax Benefit (Expense)- Reported</v>
          </cell>
          <cell r="BS102">
            <v>-36.097000000000001</v>
          </cell>
          <cell r="BT102">
            <v>-52.181000000000004</v>
          </cell>
          <cell r="BU102">
            <v>-41.375</v>
          </cell>
          <cell r="BV102">
            <v>-49.92</v>
          </cell>
          <cell r="BW102">
            <v>-61.320999999999998</v>
          </cell>
          <cell r="BX102">
            <v>-89.959000000000003</v>
          </cell>
          <cell r="BY102">
            <v>-105.17099999999999</v>
          </cell>
          <cell r="BZ102">
            <v>-112.91900000000001</v>
          </cell>
          <cell r="CA102">
            <v>-109.39600000000002</v>
          </cell>
          <cell r="CB102">
            <v>-119.51600000000001</v>
          </cell>
          <cell r="CC102">
            <v>-125.083</v>
          </cell>
          <cell r="CD102">
            <v>-131.17442226249872</v>
          </cell>
          <cell r="CE102">
            <v>-141.9771369331983</v>
          </cell>
          <cell r="CF102">
            <v>-159.81197879581589</v>
          </cell>
          <cell r="CG102">
            <v>-179.51510247607609</v>
          </cell>
        </row>
        <row r="103">
          <cell r="AO103">
            <v>-0.222</v>
          </cell>
        </row>
        <row r="104">
          <cell r="A104" t="str">
            <v>Income Tax Benefit (Expense)</v>
          </cell>
          <cell r="C104">
            <v>-5.328000000000003</v>
          </cell>
          <cell r="D104">
            <v>-36.097000000000001</v>
          </cell>
          <cell r="E104">
            <v>-12.925000000000001</v>
          </cell>
          <cell r="F104">
            <v>-11.853999999999999</v>
          </cell>
          <cell r="G104">
            <v>-11.54</v>
          </cell>
          <cell r="H104">
            <v>-15.862</v>
          </cell>
          <cell r="I104">
            <v>-52.181000000000004</v>
          </cell>
          <cell r="J104">
            <v>-10.801</v>
          </cell>
          <cell r="K104">
            <v>-11.754</v>
          </cell>
          <cell r="L104">
            <v>-11.269</v>
          </cell>
          <cell r="M104">
            <v>-7.5510000000000002</v>
          </cell>
          <cell r="N104">
            <v>-41.375</v>
          </cell>
          <cell r="O104">
            <v>-9.6609999999999996</v>
          </cell>
          <cell r="P104">
            <v>-12.353999999999999</v>
          </cell>
          <cell r="Q104">
            <v>-12.787000000000001</v>
          </cell>
          <cell r="R104">
            <v>-15.118</v>
          </cell>
          <cell r="S104">
            <v>-49.92</v>
          </cell>
          <cell r="T104">
            <v>-16.318999999999999</v>
          </cell>
          <cell r="U104">
            <v>-13.884</v>
          </cell>
          <cell r="V104">
            <v>-10.305</v>
          </cell>
          <cell r="W104">
            <v>-20.812999999999999</v>
          </cell>
          <cell r="X104">
            <v>-61.320999999999998</v>
          </cell>
          <cell r="Y104">
            <v>-19.823</v>
          </cell>
          <cell r="Z104">
            <v>-23.981999999999999</v>
          </cell>
          <cell r="AA104">
            <v>-20.512</v>
          </cell>
          <cell r="AB104">
            <v>-25.641999999999999</v>
          </cell>
          <cell r="AC104">
            <v>-89.959000000000003</v>
          </cell>
          <cell r="AD104">
            <v>-24.273</v>
          </cell>
          <cell r="AE104">
            <v>-19.715</v>
          </cell>
          <cell r="AF104">
            <v>-27.32</v>
          </cell>
          <cell r="AG104">
            <v>-33.863</v>
          </cell>
          <cell r="AH104">
            <v>-105.17099999999999</v>
          </cell>
          <cell r="AI104">
            <v>-24.614000000000001</v>
          </cell>
          <cell r="AJ104">
            <v>-30.206</v>
          </cell>
          <cell r="AK104">
            <v>-30.937000000000001</v>
          </cell>
          <cell r="AL104">
            <v>-37.307000000000002</v>
          </cell>
          <cell r="AM104">
            <v>-123.06400000000001</v>
          </cell>
          <cell r="AN104">
            <v>-21.231999999999999</v>
          </cell>
          <cell r="AO104">
            <v>-27.985000000000003</v>
          </cell>
          <cell r="AP104">
            <v>-27.803999999999998</v>
          </cell>
          <cell r="AQ104">
            <v>-36.119999999999997</v>
          </cell>
          <cell r="AR104">
            <v>-112.91900000000001</v>
          </cell>
          <cell r="AS104">
            <v>-26.385000000000002</v>
          </cell>
          <cell r="AT104">
            <v>-27.28</v>
          </cell>
          <cell r="AU104">
            <v>-28.271999999999998</v>
          </cell>
          <cell r="AV104">
            <v>-27.459</v>
          </cell>
          <cell r="AW104">
            <v>-109.39600000000002</v>
          </cell>
          <cell r="AX104">
            <v>-28.036000000000001</v>
          </cell>
          <cell r="AY104">
            <v>-31.399000000000001</v>
          </cell>
          <cell r="AZ104">
            <v>-34.643999999999998</v>
          </cell>
          <cell r="BA104">
            <v>-25.437000000000001</v>
          </cell>
          <cell r="BB104">
            <v>-119.51600000000001</v>
          </cell>
          <cell r="BC104">
            <v>-30.41</v>
          </cell>
          <cell r="BD104">
            <v>-33.587000000000003</v>
          </cell>
          <cell r="BE104">
            <v>-32.241</v>
          </cell>
          <cell r="BF104">
            <v>-28.844999999999999</v>
          </cell>
          <cell r="BG104">
            <v>-125.083</v>
          </cell>
          <cell r="BH104">
            <v>-29.103518071023991</v>
          </cell>
          <cell r="BI104">
            <v>-33.277744723714761</v>
          </cell>
          <cell r="BJ104">
            <v>-33.884395210671251</v>
          </cell>
          <cell r="BK104">
            <v>-34.90876425708872</v>
          </cell>
          <cell r="BL104">
            <v>-131.17442226249872</v>
          </cell>
          <cell r="BM104">
            <v>-141.9771369331983</v>
          </cell>
          <cell r="BN104">
            <v>-159.81197879581589</v>
          </cell>
          <cell r="BO104">
            <v>-179.51510247607609</v>
          </cell>
          <cell r="BR104" t="str">
            <v>Income Tax Benefit (Expense)</v>
          </cell>
          <cell r="BS104">
            <v>-36.097000000000001</v>
          </cell>
          <cell r="BT104">
            <v>-52.181000000000004</v>
          </cell>
          <cell r="BU104">
            <v>-41.375</v>
          </cell>
          <cell r="BV104">
            <v>-49.92</v>
          </cell>
          <cell r="BW104">
            <v>-61.320999999999998</v>
          </cell>
          <cell r="BX104">
            <v>-89.959000000000003</v>
          </cell>
          <cell r="BY104">
            <v>-105.17099999999999</v>
          </cell>
          <cell r="BZ104">
            <v>-112.91900000000001</v>
          </cell>
          <cell r="CA104">
            <v>-109.39600000000002</v>
          </cell>
          <cell r="CB104">
            <v>-119.51600000000001</v>
          </cell>
          <cell r="CC104">
            <v>-125.083</v>
          </cell>
          <cell r="CD104">
            <v>-131.17442226249872</v>
          </cell>
          <cell r="CE104">
            <v>-141.9771369331983</v>
          </cell>
          <cell r="CF104">
            <v>-159.81197879581589</v>
          </cell>
          <cell r="CG104">
            <v>-179.51510247607609</v>
          </cell>
          <cell r="CI104" t="str">
            <v>mstag:taxExpenseIncome</v>
          </cell>
          <cell r="CJ104">
            <v>6</v>
          </cell>
          <cell r="CK104" t="str">
            <v>ISO4217:USD</v>
          </cell>
          <cell r="CL104" t="b">
            <v>1</v>
          </cell>
        </row>
        <row r="105">
          <cell r="CI105" t="str">
            <v>mstag:taxExpenseIncome</v>
          </cell>
          <cell r="CJ105">
            <v>6</v>
          </cell>
          <cell r="CK105" t="str">
            <v>ISO4217:USD</v>
          </cell>
          <cell r="CL105" t="b">
            <v>1</v>
          </cell>
        </row>
        <row r="107">
          <cell r="A107" t="str">
            <v>Net Income from Operations</v>
          </cell>
          <cell r="C107">
            <v>8.4879999999999924</v>
          </cell>
          <cell r="D107">
            <v>63.371999999999964</v>
          </cell>
          <cell r="E107">
            <v>21.642000000000014</v>
          </cell>
          <cell r="F107">
            <v>19.850999999999992</v>
          </cell>
          <cell r="G107">
            <v>21.379000000000012</v>
          </cell>
          <cell r="H107">
            <v>18.238999999999997</v>
          </cell>
          <cell r="I107">
            <v>81.11099999999999</v>
          </cell>
          <cell r="J107">
            <v>17.93399999999999</v>
          </cell>
          <cell r="K107">
            <v>18.631000000000007</v>
          </cell>
          <cell r="L107">
            <v>18.878000000000007</v>
          </cell>
          <cell r="M107">
            <v>12.824999999999998</v>
          </cell>
          <cell r="N107">
            <v>68.268000000000029</v>
          </cell>
          <cell r="O107">
            <v>16.723999999999997</v>
          </cell>
          <cell r="P107">
            <v>19.618000000000002</v>
          </cell>
          <cell r="Q107">
            <v>20.923999999999985</v>
          </cell>
          <cell r="R107">
            <v>24.534999999999997</v>
          </cell>
          <cell r="S107">
            <v>81.801000000000002</v>
          </cell>
          <cell r="T107">
            <v>27.517999999999997</v>
          </cell>
          <cell r="U107">
            <v>24.067000000000007</v>
          </cell>
          <cell r="V107">
            <v>10.319000000000006</v>
          </cell>
          <cell r="W107">
            <v>30.26599999999998</v>
          </cell>
          <cell r="X107">
            <v>92.170000000000101</v>
          </cell>
          <cell r="Y107">
            <v>33.520999999999972</v>
          </cell>
          <cell r="Z107">
            <v>45.660000000000011</v>
          </cell>
          <cell r="AA107">
            <v>49.787000000000006</v>
          </cell>
          <cell r="AB107">
            <v>44.486000000000018</v>
          </cell>
          <cell r="AC107">
            <v>173.45400000000012</v>
          </cell>
          <cell r="AD107">
            <v>43.96599999999998</v>
          </cell>
          <cell r="AE107">
            <v>37.546000000000021</v>
          </cell>
          <cell r="AF107">
            <v>48.274000000000008</v>
          </cell>
          <cell r="AG107">
            <v>54.452000000000027</v>
          </cell>
          <cell r="AH107">
            <v>184.238</v>
          </cell>
          <cell r="AI107">
            <v>58.936999999999983</v>
          </cell>
          <cell r="AJ107">
            <v>61.052999999999997</v>
          </cell>
          <cell r="AK107">
            <v>55.30999999999996</v>
          </cell>
          <cell r="AL107">
            <v>47.256999999999948</v>
          </cell>
          <cell r="AM107">
            <v>222.55699999999985</v>
          </cell>
          <cell r="AN107">
            <v>53.003999999999962</v>
          </cell>
          <cell r="AO107">
            <v>56.087999999999994</v>
          </cell>
          <cell r="AP107">
            <v>50.029000000000011</v>
          </cell>
          <cell r="AQ107">
            <v>40.808999999999976</v>
          </cell>
          <cell r="AR107">
            <v>199.92999999999995</v>
          </cell>
          <cell r="AS107">
            <v>47.158000000000044</v>
          </cell>
          <cell r="AT107">
            <v>56.872000000000014</v>
          </cell>
          <cell r="AU107">
            <v>51.620000000000026</v>
          </cell>
          <cell r="AV107">
            <v>43.316999999999979</v>
          </cell>
          <cell r="AW107">
            <v>198.96700000000004</v>
          </cell>
          <cell r="AX107">
            <v>49.634999999999977</v>
          </cell>
          <cell r="AY107">
            <v>55.997000000000014</v>
          </cell>
          <cell r="AZ107">
            <v>64.403999999999911</v>
          </cell>
          <cell r="BA107">
            <v>59.999000000000038</v>
          </cell>
          <cell r="BB107">
            <v>230.03499999999997</v>
          </cell>
          <cell r="BC107">
            <v>60.366999999999976</v>
          </cell>
          <cell r="BD107">
            <v>66.95</v>
          </cell>
          <cell r="BE107">
            <v>65.281000000000063</v>
          </cell>
          <cell r="BF107">
            <v>68.25</v>
          </cell>
          <cell r="BG107">
            <v>261.22737453220532</v>
          </cell>
          <cell r="BH107">
            <v>67.908208832389306</v>
          </cell>
          <cell r="BI107">
            <v>70.715207537893875</v>
          </cell>
          <cell r="BJ107">
            <v>72.0043398226764</v>
          </cell>
          <cell r="BK107">
            <v>74.181124046313528</v>
          </cell>
          <cell r="BL107">
            <v>284.80888023927309</v>
          </cell>
          <cell r="BM107">
            <v>323.00974887086124</v>
          </cell>
          <cell r="BN107">
            <v>363.58549166743671</v>
          </cell>
          <cell r="BO107">
            <v>408.41173038027148</v>
          </cell>
          <cell r="BR107" t="str">
            <v>Net Income from Operations</v>
          </cell>
          <cell r="BS107">
            <v>63.371999999999964</v>
          </cell>
          <cell r="BT107">
            <v>81.11099999999999</v>
          </cell>
          <cell r="BU107">
            <v>68.268000000000029</v>
          </cell>
          <cell r="BV107">
            <v>81.801000000000002</v>
          </cell>
          <cell r="BW107">
            <v>92.170000000000101</v>
          </cell>
          <cell r="BX107">
            <v>173.45400000000012</v>
          </cell>
          <cell r="BY107">
            <v>184.238</v>
          </cell>
          <cell r="BZ107">
            <v>199.92999999999995</v>
          </cell>
          <cell r="CA107">
            <v>198.96700000000004</v>
          </cell>
          <cell r="CB107">
            <v>230.03499999999997</v>
          </cell>
          <cell r="CC107">
            <v>261.22737453220532</v>
          </cell>
          <cell r="CD107">
            <v>284.80888023927309</v>
          </cell>
          <cell r="CE107">
            <v>323.00974887086124</v>
          </cell>
          <cell r="CF107">
            <v>363.58549166743671</v>
          </cell>
          <cell r="CG107">
            <v>408.41173038027148</v>
          </cell>
        </row>
        <row r="109">
          <cell r="A109" t="str">
            <v xml:space="preserve">Income from discontinued operations, net </v>
          </cell>
          <cell r="C109">
            <v>7.1880000000000006</v>
          </cell>
          <cell r="D109">
            <v>8.0730000000000004</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5.9330000000000211</v>
          </cell>
          <cell r="AO109">
            <v>4.9650000000000034</v>
          </cell>
          <cell r="AP109">
            <v>5.2809999999999491</v>
          </cell>
          <cell r="AQ109">
            <v>6.447999999999972</v>
          </cell>
          <cell r="AR109">
            <v>22.626999999999946</v>
          </cell>
          <cell r="AS109">
            <v>33.253</v>
          </cell>
          <cell r="AT109">
            <v>50.856999999999999</v>
          </cell>
          <cell r="AU109">
            <v>-0.01</v>
          </cell>
          <cell r="AV109">
            <v>1.071</v>
          </cell>
          <cell r="AW109">
            <v>85.170999999999992</v>
          </cell>
          <cell r="AX109">
            <v>-5.7969999999999997</v>
          </cell>
          <cell r="AY109">
            <v>0</v>
          </cell>
          <cell r="AZ109">
            <v>0</v>
          </cell>
          <cell r="BA109">
            <v>-0.59299999999999997</v>
          </cell>
          <cell r="BB109">
            <v>-6.39</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R109" t="str">
            <v xml:space="preserve">Income from discontinued operations, net </v>
          </cell>
          <cell r="BS109">
            <v>8.0730000000000004</v>
          </cell>
          <cell r="BT109">
            <v>0</v>
          </cell>
          <cell r="BU109">
            <v>0</v>
          </cell>
          <cell r="BV109">
            <v>0</v>
          </cell>
          <cell r="BW109">
            <v>0</v>
          </cell>
          <cell r="BX109">
            <v>0</v>
          </cell>
          <cell r="BY109">
            <v>0</v>
          </cell>
          <cell r="BZ109">
            <v>22.626999999999946</v>
          </cell>
          <cell r="CA109">
            <v>85.170999999999992</v>
          </cell>
          <cell r="CB109">
            <v>-6.39</v>
          </cell>
          <cell r="CC109">
            <v>0</v>
          </cell>
          <cell r="CD109">
            <v>0</v>
          </cell>
          <cell r="CE109">
            <v>0</v>
          </cell>
          <cell r="CF109">
            <v>0</v>
          </cell>
          <cell r="CG109">
            <v>0</v>
          </cell>
          <cell r="CI109" t="str">
            <v>mstag:incomeLossFromDiscontinuedOperationsNetOfTax</v>
          </cell>
          <cell r="CJ109">
            <v>6</v>
          </cell>
          <cell r="CK109" t="str">
            <v>ISO4217:USD</v>
          </cell>
          <cell r="CL109" t="b">
            <v>0</v>
          </cell>
        </row>
        <row r="111">
          <cell r="A111" t="str">
            <v>Net Income - GAAP</v>
          </cell>
          <cell r="C111">
            <v>15.675999999999993</v>
          </cell>
          <cell r="D111">
            <v>71.444999999999965</v>
          </cell>
          <cell r="E111">
            <v>21.642000000000014</v>
          </cell>
          <cell r="F111">
            <v>19.850999999999992</v>
          </cell>
          <cell r="G111">
            <v>21.379000000000012</v>
          </cell>
          <cell r="H111">
            <v>18.238999999999997</v>
          </cell>
          <cell r="I111">
            <v>81.11099999999999</v>
          </cell>
          <cell r="J111">
            <v>17.93399999999999</v>
          </cell>
          <cell r="K111">
            <v>18.631000000000007</v>
          </cell>
          <cell r="L111">
            <v>18.878000000000007</v>
          </cell>
          <cell r="M111">
            <v>12.824999999999998</v>
          </cell>
          <cell r="N111">
            <v>68.268000000000029</v>
          </cell>
          <cell r="O111">
            <v>16.723999999999997</v>
          </cell>
          <cell r="P111">
            <v>19.618000000000002</v>
          </cell>
          <cell r="Q111">
            <v>20.923999999999985</v>
          </cell>
          <cell r="R111">
            <v>24.534999999999997</v>
          </cell>
          <cell r="S111">
            <v>81.801000000000002</v>
          </cell>
          <cell r="T111">
            <v>27.517999999999997</v>
          </cell>
          <cell r="U111">
            <v>24.067000000000007</v>
          </cell>
          <cell r="V111">
            <v>10.319000000000006</v>
          </cell>
          <cell r="W111">
            <v>30.26599999999998</v>
          </cell>
          <cell r="X111">
            <v>92.170000000000101</v>
          </cell>
          <cell r="Y111">
            <v>33.520999999999972</v>
          </cell>
          <cell r="Z111">
            <v>45.660000000000011</v>
          </cell>
          <cell r="AA111">
            <v>49.787000000000006</v>
          </cell>
          <cell r="AB111">
            <v>44.486000000000018</v>
          </cell>
          <cell r="AC111">
            <v>173.45400000000012</v>
          </cell>
          <cell r="AD111">
            <v>43.96599999999998</v>
          </cell>
          <cell r="AE111">
            <v>37.546000000000021</v>
          </cell>
          <cell r="AF111">
            <v>48.274000000000008</v>
          </cell>
          <cell r="AG111">
            <v>54.452000000000027</v>
          </cell>
          <cell r="AH111">
            <v>184.238</v>
          </cell>
          <cell r="AI111">
            <v>58.936999999999983</v>
          </cell>
          <cell r="AJ111">
            <v>61.052999999999997</v>
          </cell>
          <cell r="AK111">
            <v>55.30999999999996</v>
          </cell>
          <cell r="AL111">
            <v>47.256999999999948</v>
          </cell>
          <cell r="AM111">
            <v>222.55699999999985</v>
          </cell>
          <cell r="AN111">
            <v>58.936999999999983</v>
          </cell>
          <cell r="AO111">
            <v>61.052999999999997</v>
          </cell>
          <cell r="AP111">
            <v>55.30999999999996</v>
          </cell>
          <cell r="AQ111">
            <v>47.256999999999948</v>
          </cell>
          <cell r="AR111">
            <v>222.5569999999999</v>
          </cell>
          <cell r="AS111">
            <v>80.411000000000044</v>
          </cell>
          <cell r="AT111">
            <v>107.72900000000001</v>
          </cell>
          <cell r="AU111">
            <v>51.610000000000028</v>
          </cell>
          <cell r="AV111">
            <v>44.387999999999977</v>
          </cell>
          <cell r="AW111">
            <v>284.13800000000003</v>
          </cell>
          <cell r="AX111">
            <v>43.83799999999998</v>
          </cell>
          <cell r="AY111">
            <v>55.997000000000014</v>
          </cell>
          <cell r="AZ111">
            <v>64.403999999999911</v>
          </cell>
          <cell r="BA111">
            <v>59.406000000000034</v>
          </cell>
          <cell r="BB111">
            <v>223.64499999999998</v>
          </cell>
          <cell r="BC111">
            <v>60.366999999999976</v>
          </cell>
          <cell r="BD111">
            <v>66.95</v>
          </cell>
          <cell r="BE111">
            <v>65.281000000000063</v>
          </cell>
          <cell r="BF111">
            <v>68.25</v>
          </cell>
          <cell r="BG111">
            <v>261.22737453220532</v>
          </cell>
          <cell r="BH111">
            <v>67.908208832389306</v>
          </cell>
          <cell r="BI111">
            <v>70.715207537893875</v>
          </cell>
          <cell r="BJ111">
            <v>72.0043398226764</v>
          </cell>
          <cell r="BK111">
            <v>74.181124046313528</v>
          </cell>
          <cell r="BL111">
            <v>284.80888023927309</v>
          </cell>
          <cell r="BM111">
            <v>323.00974887086124</v>
          </cell>
          <cell r="BN111">
            <v>363.58549166743671</v>
          </cell>
          <cell r="BO111">
            <v>408.41173038027148</v>
          </cell>
          <cell r="BR111" t="str">
            <v>Net Income - GAAP</v>
          </cell>
          <cell r="BS111">
            <v>71.444999999999965</v>
          </cell>
          <cell r="BT111">
            <v>81.11099999999999</v>
          </cell>
          <cell r="BU111">
            <v>68.268000000000029</v>
          </cell>
          <cell r="BV111">
            <v>81.801000000000002</v>
          </cell>
          <cell r="BW111">
            <v>92.170000000000101</v>
          </cell>
          <cell r="BX111">
            <v>173.45400000000012</v>
          </cell>
          <cell r="BY111">
            <v>184.238</v>
          </cell>
          <cell r="BZ111">
            <v>222.5569999999999</v>
          </cell>
          <cell r="CA111">
            <v>284.13800000000003</v>
          </cell>
          <cell r="CB111">
            <v>223.64499999999998</v>
          </cell>
          <cell r="CC111">
            <v>261.22737453220532</v>
          </cell>
          <cell r="CD111">
            <v>284.80888023927309</v>
          </cell>
          <cell r="CE111">
            <v>323.00974887086124</v>
          </cell>
          <cell r="CF111">
            <v>363.58549166743671</v>
          </cell>
          <cell r="CG111">
            <v>408.41173038027148</v>
          </cell>
          <cell r="CI111" t="str">
            <v>mstag:netIncomeAsReported</v>
          </cell>
          <cell r="CJ111">
            <v>6</v>
          </cell>
          <cell r="CK111" t="str">
            <v>ISO4217:USD</v>
          </cell>
          <cell r="CL111" t="b">
            <v>0</v>
          </cell>
        </row>
        <row r="112">
          <cell r="A112" t="str">
            <v>Adjusted Net Income</v>
          </cell>
          <cell r="D112">
            <v>88.10906651318497</v>
          </cell>
          <cell r="E112">
            <v>25.565070327190689</v>
          </cell>
          <cell r="F112">
            <v>23.773615202649417</v>
          </cell>
          <cell r="G112">
            <v>25.728316899055269</v>
          </cell>
          <cell r="H112">
            <v>22.487867071346876</v>
          </cell>
          <cell r="I112">
            <v>97.645736458302054</v>
          </cell>
          <cell r="J112">
            <v>25.374097929354434</v>
          </cell>
          <cell r="K112">
            <v>27.215914628928758</v>
          </cell>
          <cell r="L112">
            <v>26.687318937207692</v>
          </cell>
          <cell r="M112">
            <v>22.701810954063603</v>
          </cell>
          <cell r="N112">
            <v>101.94342642941186</v>
          </cell>
          <cell r="O112">
            <v>24.729462194428649</v>
          </cell>
          <cell r="P112">
            <v>28.064809333166522</v>
          </cell>
          <cell r="Q112">
            <v>29.171696953516637</v>
          </cell>
          <cell r="R112">
            <v>32.232776586891276</v>
          </cell>
          <cell r="S112">
            <v>114.1715189377548</v>
          </cell>
          <cell r="T112">
            <v>33.793265999999996</v>
          </cell>
          <cell r="U112">
            <v>37.317498000000008</v>
          </cell>
          <cell r="V112">
            <v>39.144066800000004</v>
          </cell>
          <cell r="W112">
            <v>44.317679999999982</v>
          </cell>
          <cell r="X112">
            <v>154.32983775000011</v>
          </cell>
          <cell r="Y112">
            <v>52.58604919999997</v>
          </cell>
          <cell r="Z112">
            <v>58.206000000000017</v>
          </cell>
          <cell r="AA112">
            <v>60.912000000000013</v>
          </cell>
          <cell r="AB112">
            <v>55.560000000000016</v>
          </cell>
          <cell r="AC112">
            <v>227.26404919999999</v>
          </cell>
          <cell r="AD112">
            <v>54.623272322279028</v>
          </cell>
          <cell r="AE112">
            <v>61.539000000000023</v>
          </cell>
          <cell r="AF112">
            <v>60.906000000000006</v>
          </cell>
          <cell r="AG112">
            <v>64.16700000000003</v>
          </cell>
          <cell r="AH112">
            <v>241.23527232227909</v>
          </cell>
          <cell r="AI112">
            <v>69.154999999999987</v>
          </cell>
          <cell r="AJ112">
            <v>70.48599999999999</v>
          </cell>
          <cell r="AK112">
            <v>64.585999999999956</v>
          </cell>
          <cell r="AL112">
            <v>57.651999999999944</v>
          </cell>
          <cell r="AM112">
            <v>261.87899999999985</v>
          </cell>
          <cell r="AN112">
            <v>60.973999999999961</v>
          </cell>
          <cell r="AO112">
            <v>62.233999999999995</v>
          </cell>
          <cell r="AP112">
            <v>56.050000000000011</v>
          </cell>
          <cell r="AQ112">
            <v>47.699999999999974</v>
          </cell>
          <cell r="AR112">
            <v>226.95799999999997</v>
          </cell>
          <cell r="AS112">
            <v>54.384000000000043</v>
          </cell>
          <cell r="AT112">
            <v>64.604786196406522</v>
          </cell>
          <cell r="AU112">
            <v>59.098219095779328</v>
          </cell>
          <cell r="AV112">
            <v>55.578999999999979</v>
          </cell>
          <cell r="AW112">
            <v>233.66600529218587</v>
          </cell>
          <cell r="AX112">
            <v>57.112999999999978</v>
          </cell>
          <cell r="AY112">
            <v>63.490305357224599</v>
          </cell>
          <cell r="AZ112">
            <v>65.731999999999928</v>
          </cell>
          <cell r="BA112">
            <v>68.287873507654894</v>
          </cell>
          <cell r="BB112">
            <v>254.62317886487941</v>
          </cell>
          <cell r="BC112">
            <v>68.240638476706636</v>
          </cell>
          <cell r="BD112">
            <v>74.891999999999996</v>
          </cell>
          <cell r="BE112">
            <v>73.147761469207012</v>
          </cell>
          <cell r="BF112">
            <v>76.332172099490194</v>
          </cell>
          <cell r="BG112">
            <v>292.61257204540385</v>
          </cell>
          <cell r="BH112">
            <v>74.51620883238931</v>
          </cell>
          <cell r="BI112">
            <v>77.134407537893878</v>
          </cell>
          <cell r="BJ112">
            <v>78.423539822676403</v>
          </cell>
          <cell r="BK112">
            <v>80.600324046313531</v>
          </cell>
          <cell r="BL112">
            <v>310.66180090497494</v>
          </cell>
          <cell r="BM112">
            <v>346.34351977025017</v>
          </cell>
          <cell r="BN112">
            <v>384.78803276273732</v>
          </cell>
          <cell r="BO112">
            <v>426.88146246341978</v>
          </cell>
          <cell r="BP112">
            <v>0.10887316096047583</v>
          </cell>
          <cell r="BR112" t="str">
            <v>Adjusted Net Income</v>
          </cell>
          <cell r="BS112">
            <v>88.10906651318497</v>
          </cell>
          <cell r="BT112">
            <v>97.645736458302054</v>
          </cell>
          <cell r="BU112">
            <v>101.94342642941186</v>
          </cell>
          <cell r="BV112">
            <v>114.1715189377548</v>
          </cell>
          <cell r="BW112">
            <v>154.32983775000011</v>
          </cell>
          <cell r="BX112">
            <v>227.26404919999999</v>
          </cell>
          <cell r="BY112">
            <v>241.23527232227909</v>
          </cell>
          <cell r="BZ112">
            <v>226.95799999999997</v>
          </cell>
          <cell r="CA112">
            <v>233.66600529218587</v>
          </cell>
          <cell r="CB112">
            <v>254.62317886487941</v>
          </cell>
          <cell r="CC112">
            <v>292.61257204540385</v>
          </cell>
          <cell r="CD112">
            <v>310.66180090497494</v>
          </cell>
          <cell r="CE112">
            <v>346.34351977025017</v>
          </cell>
          <cell r="CF112">
            <v>384.78803276273732</v>
          </cell>
          <cell r="CG112">
            <v>426.88146246341978</v>
          </cell>
          <cell r="CI112" t="str">
            <v>mstag:netIncomeAdjustedForConsensus</v>
          </cell>
          <cell r="CJ112">
            <v>6</v>
          </cell>
          <cell r="CK112" t="str">
            <v>ISO4217:USD</v>
          </cell>
          <cell r="CL112" t="b">
            <v>0</v>
          </cell>
        </row>
        <row r="114">
          <cell r="A114" t="str">
            <v>Allocations to unvested restricted stock units</v>
          </cell>
          <cell r="O114">
            <v>-0.4850000000000001</v>
          </cell>
          <cell r="P114">
            <v>-0.56899999999999995</v>
          </cell>
          <cell r="Q114">
            <v>0</v>
          </cell>
          <cell r="R114">
            <v>0</v>
          </cell>
          <cell r="S114">
            <v>-1.054</v>
          </cell>
          <cell r="T114">
            <v>-0.45300000000000001</v>
          </cell>
          <cell r="U114">
            <v>-0.33700000000000002</v>
          </cell>
          <cell r="V114">
            <v>-0.11799999999999999</v>
          </cell>
          <cell r="W114">
            <v>0</v>
          </cell>
          <cell r="X114">
            <v>-0.90800000000000003</v>
          </cell>
          <cell r="Y114">
            <v>-0.31900000000000001</v>
          </cell>
          <cell r="Z114">
            <v>-0.433</v>
          </cell>
          <cell r="AA114">
            <v>-0.48299999999999998</v>
          </cell>
          <cell r="AB114">
            <v>0</v>
          </cell>
          <cell r="AC114">
            <v>-1.2349999999999999</v>
          </cell>
          <cell r="AD114">
            <v>0</v>
          </cell>
          <cell r="AE114">
            <v>0</v>
          </cell>
          <cell r="AF114">
            <v>0</v>
          </cell>
          <cell r="AG114">
            <v>0</v>
          </cell>
          <cell r="AH114">
            <v>0</v>
          </cell>
          <cell r="AI114">
            <v>0</v>
          </cell>
          <cell r="AJ114">
            <v>0</v>
          </cell>
          <cell r="AK114">
            <v>-0.1</v>
          </cell>
          <cell r="AL114">
            <v>0</v>
          </cell>
          <cell r="AM114">
            <v>-0.1</v>
          </cell>
          <cell r="AN114">
            <v>-0.1</v>
          </cell>
          <cell r="AO114">
            <v>0</v>
          </cell>
          <cell r="AP114">
            <v>-0.1</v>
          </cell>
          <cell r="AQ114">
            <v>0</v>
          </cell>
          <cell r="AR114">
            <v>-0.2</v>
          </cell>
          <cell r="AS114">
            <v>0</v>
          </cell>
          <cell r="AT114">
            <v>0</v>
          </cell>
          <cell r="AU114">
            <v>-4.4999999999999998E-2</v>
          </cell>
          <cell r="AV114">
            <v>-4.4999999999999998E-2</v>
          </cell>
          <cell r="AW114">
            <v>-0.09</v>
          </cell>
          <cell r="AX114">
            <v>-4.4999999999999998E-2</v>
          </cell>
          <cell r="AY114">
            <v>-4.4999999999999998E-2</v>
          </cell>
          <cell r="AZ114">
            <v>-4.4999999999999998E-2</v>
          </cell>
          <cell r="BA114">
            <v>-4.4999999999999998E-2</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R114" t="str">
            <v>Allocations to unvested restricted stock units</v>
          </cell>
          <cell r="BV114">
            <v>-1.054</v>
          </cell>
          <cell r="BW114">
            <v>-0.90800000000000003</v>
          </cell>
          <cell r="BX114">
            <v>-1.2349999999999999</v>
          </cell>
          <cell r="BY114">
            <v>0</v>
          </cell>
          <cell r="BZ114">
            <v>-0.2</v>
          </cell>
          <cell r="CA114">
            <v>-0.09</v>
          </cell>
          <cell r="CB114">
            <v>0</v>
          </cell>
          <cell r="CC114">
            <v>0</v>
          </cell>
          <cell r="CD114">
            <v>0</v>
          </cell>
          <cell r="CE114">
            <v>0</v>
          </cell>
          <cell r="CF114">
            <v>0</v>
          </cell>
          <cell r="CG114">
            <v>0</v>
          </cell>
        </row>
        <row r="116">
          <cell r="A116" t="str">
            <v>Basic Shares Outstanding</v>
          </cell>
          <cell r="C116" t="str">
            <v>ND</v>
          </cell>
          <cell r="D116" t="str">
            <v>ND</v>
          </cell>
          <cell r="E116" t="str">
            <v>ND</v>
          </cell>
          <cell r="F116" t="str">
            <v>ND</v>
          </cell>
          <cell r="G116" t="str">
            <v>ND</v>
          </cell>
          <cell r="H116">
            <v>100.01138800000001</v>
          </cell>
          <cell r="I116">
            <v>100.01138800000001</v>
          </cell>
          <cell r="J116">
            <v>100.01209</v>
          </cell>
          <cell r="K116">
            <v>100.051693</v>
          </cell>
          <cell r="L116">
            <v>100.05346399999999</v>
          </cell>
          <cell r="M116">
            <v>100.06303699999999</v>
          </cell>
          <cell r="N116">
            <v>100.06303699999999</v>
          </cell>
          <cell r="O116">
            <v>100.07338799999999</v>
          </cell>
          <cell r="P116">
            <v>100.136377</v>
          </cell>
          <cell r="Q116">
            <v>100.146</v>
          </cell>
          <cell r="R116">
            <v>104.78140399999999</v>
          </cell>
          <cell r="S116">
            <v>104.78140399999999</v>
          </cell>
          <cell r="T116">
            <v>104.99746500000001</v>
          </cell>
          <cell r="U116">
            <v>105.01949399999999</v>
          </cell>
          <cell r="V116">
            <v>118.559766</v>
          </cell>
          <cell r="W116">
            <v>119.522043</v>
          </cell>
          <cell r="X116">
            <v>119.522043</v>
          </cell>
          <cell r="Y116">
            <v>121.041957</v>
          </cell>
          <cell r="Z116">
            <v>120.464893</v>
          </cell>
          <cell r="AA116">
            <v>121.197107</v>
          </cell>
          <cell r="AB116">
            <v>121.094893</v>
          </cell>
          <cell r="AC116">
            <v>121.094893</v>
          </cell>
          <cell r="AD116">
            <v>122.41310700000001</v>
          </cell>
          <cell r="AE116">
            <v>121.64689299999999</v>
          </cell>
          <cell r="AF116">
            <v>122.875107</v>
          </cell>
          <cell r="AG116">
            <v>120.22956600000001</v>
          </cell>
          <cell r="AH116">
            <v>120.22956600000001</v>
          </cell>
          <cell r="AI116">
            <v>120.720799</v>
          </cell>
          <cell r="AJ116">
            <v>120.967174</v>
          </cell>
          <cell r="AK116">
            <v>118.403925</v>
          </cell>
          <cell r="AL116">
            <v>116.608423</v>
          </cell>
          <cell r="AM116">
            <v>116.608423</v>
          </cell>
          <cell r="AN116">
            <v>120.720799</v>
          </cell>
          <cell r="AO116">
            <v>120.967174</v>
          </cell>
          <cell r="AP116">
            <v>118.403925</v>
          </cell>
          <cell r="AQ116">
            <v>116.608423</v>
          </cell>
          <cell r="AR116">
            <v>116.608423</v>
          </cell>
          <cell r="AS116">
            <v>116.704758</v>
          </cell>
          <cell r="AT116">
            <v>116.536867</v>
          </cell>
          <cell r="AU116">
            <v>112.030366</v>
          </cell>
          <cell r="AV116">
            <v>112.56763400000001</v>
          </cell>
          <cell r="AW116">
            <v>112.56763400000001</v>
          </cell>
          <cell r="AX116">
            <v>112.47236599999998</v>
          </cell>
          <cell r="AY116">
            <v>111.81363400000002</v>
          </cell>
          <cell r="AZ116">
            <v>105.73236599999997</v>
          </cell>
          <cell r="BA116">
            <v>99.941634000000036</v>
          </cell>
          <cell r="BB116">
            <v>99.941634000000036</v>
          </cell>
          <cell r="BC116">
            <v>98.908365999999958</v>
          </cell>
          <cell r="BD116">
            <v>93.915634000000054</v>
          </cell>
          <cell r="BE116">
            <v>95.730365999999933</v>
          </cell>
          <cell r="BF116">
            <v>90.923634000000064</v>
          </cell>
          <cell r="BG116">
            <v>90.923634000000064</v>
          </cell>
          <cell r="BH116">
            <v>90.31157695253475</v>
          </cell>
          <cell r="BI116">
            <v>89.101442696169173</v>
          </cell>
          <cell r="BJ116">
            <v>87.915007342373301</v>
          </cell>
          <cell r="BK116">
            <v>86.751806779020697</v>
          </cell>
          <cell r="BL116">
            <v>86.751806779020697</v>
          </cell>
          <cell r="BM116">
            <v>83.529288054515803</v>
          </cell>
          <cell r="BN116">
            <v>80.545196778058965</v>
          </cell>
          <cell r="BO116">
            <v>77.781892199403984</v>
          </cell>
          <cell r="BR116" t="str">
            <v>Basic Shares Outstanding</v>
          </cell>
          <cell r="BS116" t="str">
            <v>ND</v>
          </cell>
          <cell r="BT116">
            <v>100.01138800000001</v>
          </cell>
          <cell r="BU116">
            <v>100.06303699999999</v>
          </cell>
          <cell r="BV116">
            <v>104.78140399999999</v>
          </cell>
          <cell r="BW116">
            <v>119.522043</v>
          </cell>
          <cell r="BX116">
            <v>121.094893</v>
          </cell>
          <cell r="BY116">
            <v>120.22956600000001</v>
          </cell>
          <cell r="BZ116">
            <v>116.608423</v>
          </cell>
          <cell r="CA116">
            <v>112.56763400000001</v>
          </cell>
          <cell r="CB116">
            <v>99.941634000000036</v>
          </cell>
          <cell r="CC116">
            <v>90.923634000000064</v>
          </cell>
          <cell r="CD116">
            <v>86.751806779020697</v>
          </cell>
          <cell r="CE116">
            <v>83.529288054515803</v>
          </cell>
          <cell r="CF116">
            <v>80.545196778058965</v>
          </cell>
          <cell r="CG116">
            <v>77.781892199403984</v>
          </cell>
          <cell r="CI116" t="str">
            <v>mstag:periodEndBasicSharesOutstanding</v>
          </cell>
          <cell r="CJ116">
            <v>6</v>
          </cell>
          <cell r="CK116" t="str">
            <v>ms_eqr_gcim_Decimal:ms_eqr_gcim_decimal</v>
          </cell>
          <cell r="CL116" t="b">
            <v>0</v>
          </cell>
        </row>
        <row r="117">
          <cell r="A117" t="str">
            <v>Average Basic Shares Outstanding</v>
          </cell>
          <cell r="C117">
            <v>83.9</v>
          </cell>
          <cell r="D117">
            <v>83.9</v>
          </cell>
          <cell r="E117">
            <v>83.9</v>
          </cell>
          <cell r="F117">
            <v>83.9</v>
          </cell>
          <cell r="G117">
            <v>83.9</v>
          </cell>
          <cell r="H117">
            <v>86.733000000000004</v>
          </cell>
          <cell r="I117">
            <v>84.608000000000004</v>
          </cell>
          <cell r="J117">
            <v>100.011</v>
          </cell>
          <cell r="K117">
            <v>100.026</v>
          </cell>
          <cell r="L117">
            <v>100.05200000000001</v>
          </cell>
          <cell r="M117">
            <v>100.06</v>
          </cell>
          <cell r="N117">
            <v>100.03700000000001</v>
          </cell>
          <cell r="O117">
            <v>100.286</v>
          </cell>
          <cell r="P117">
            <v>100.35899999999999</v>
          </cell>
          <cell r="Q117">
            <v>100.402</v>
          </cell>
          <cell r="R117">
            <v>101.383</v>
          </cell>
          <cell r="S117">
            <v>100.607</v>
          </cell>
          <cell r="T117">
            <v>105.235</v>
          </cell>
          <cell r="U117">
            <v>105.345</v>
          </cell>
          <cell r="V117">
            <v>118.339</v>
          </cell>
          <cell r="W117">
            <v>119.309</v>
          </cell>
          <cell r="X117">
            <v>112.074</v>
          </cell>
          <cell r="Y117">
            <v>120.282</v>
          </cell>
          <cell r="Z117">
            <v>120.592</v>
          </cell>
          <cell r="AA117">
            <v>120.831</v>
          </cell>
          <cell r="AB117">
            <v>121.146</v>
          </cell>
          <cell r="AC117">
            <v>120.717</v>
          </cell>
          <cell r="AD117">
            <v>121.754</v>
          </cell>
          <cell r="AE117">
            <v>122.03</v>
          </cell>
          <cell r="AF117">
            <v>122.261</v>
          </cell>
          <cell r="AG117">
            <v>122.08199999999999</v>
          </cell>
          <cell r="AH117">
            <v>121.79116825</v>
          </cell>
          <cell r="AI117">
            <v>120.746</v>
          </cell>
          <cell r="AJ117">
            <v>121.149</v>
          </cell>
          <cell r="AK117">
            <v>119.607</v>
          </cell>
          <cell r="AL117">
            <v>118.828</v>
          </cell>
          <cell r="AM117">
            <v>119.17508025000001</v>
          </cell>
          <cell r="AN117">
            <v>120.746</v>
          </cell>
          <cell r="AO117">
            <v>121.149</v>
          </cell>
          <cell r="AP117">
            <v>119.607</v>
          </cell>
          <cell r="AQ117">
            <v>118.828</v>
          </cell>
          <cell r="AR117">
            <v>119.17508025000001</v>
          </cell>
          <cell r="AS117">
            <v>117.58199999999999</v>
          </cell>
          <cell r="AT117">
            <v>116.702</v>
          </cell>
          <cell r="AU117">
            <v>116.251</v>
          </cell>
          <cell r="AV117">
            <v>112.29900000000001</v>
          </cell>
          <cell r="AW117">
            <v>114.45990625</v>
          </cell>
          <cell r="AX117">
            <v>112.52</v>
          </cell>
          <cell r="AY117">
            <v>112.143</v>
          </cell>
          <cell r="AZ117">
            <v>108.773</v>
          </cell>
          <cell r="BA117">
            <v>102.837</v>
          </cell>
          <cell r="BB117">
            <v>107.49</v>
          </cell>
          <cell r="BC117">
            <v>99.424999999999997</v>
          </cell>
          <cell r="BD117">
            <v>96.412000000000006</v>
          </cell>
          <cell r="BE117">
            <v>94.822999999999993</v>
          </cell>
          <cell r="BF117">
            <v>93.326999999999998</v>
          </cell>
          <cell r="BG117">
            <v>94.869500000000002</v>
          </cell>
          <cell r="BH117">
            <v>90.617605476267414</v>
          </cell>
          <cell r="BI117">
            <v>89.706509824351969</v>
          </cell>
          <cell r="BJ117">
            <v>88.508225019271237</v>
          </cell>
          <cell r="BK117">
            <v>87.333407060696999</v>
          </cell>
          <cell r="BL117">
            <v>88.519958442524484</v>
          </cell>
          <cell r="BM117">
            <v>85.140547416768243</v>
          </cell>
          <cell r="BN117">
            <v>82.037242416287384</v>
          </cell>
          <cell r="BO117">
            <v>79.163544488731475</v>
          </cell>
          <cell r="BR117" t="str">
            <v>Average Basic Shares Outstanding</v>
          </cell>
          <cell r="BS117">
            <v>83.9</v>
          </cell>
          <cell r="BT117">
            <v>84.608000000000004</v>
          </cell>
          <cell r="BU117">
            <v>100.03700000000001</v>
          </cell>
          <cell r="BV117">
            <v>100.607</v>
          </cell>
          <cell r="BW117">
            <v>112.074</v>
          </cell>
          <cell r="BX117">
            <v>120.717</v>
          </cell>
          <cell r="BY117">
            <v>121.79116825</v>
          </cell>
          <cell r="BZ117">
            <v>119.17508025000001</v>
          </cell>
          <cell r="CA117">
            <v>114.45990625</v>
          </cell>
          <cell r="CB117">
            <v>107.49</v>
          </cell>
          <cell r="CC117">
            <v>94.869500000000002</v>
          </cell>
          <cell r="CD117">
            <v>88.519958442524484</v>
          </cell>
          <cell r="CE117">
            <v>85.140547416768243</v>
          </cell>
          <cell r="CF117">
            <v>82.037242416287384</v>
          </cell>
          <cell r="CG117">
            <v>79.163544488731475</v>
          </cell>
          <cell r="CI117" t="str">
            <v>mstag:averageBasicSharesOutstanding</v>
          </cell>
          <cell r="CJ117">
            <v>6</v>
          </cell>
          <cell r="CK117" t="str">
            <v>ms_eqr_gcim_Decimal:ms_eqr_gcim_decimal</v>
          </cell>
          <cell r="CL117" t="b">
            <v>0</v>
          </cell>
        </row>
        <row r="118">
          <cell r="A118" t="str">
            <v>Diluted Shares Outstanding</v>
          </cell>
          <cell r="C118">
            <v>83.9</v>
          </cell>
          <cell r="D118">
            <v>83.9</v>
          </cell>
          <cell r="E118">
            <v>83.9</v>
          </cell>
          <cell r="F118">
            <v>83.9</v>
          </cell>
          <cell r="G118">
            <v>83.9</v>
          </cell>
          <cell r="H118">
            <v>86.802999999999997</v>
          </cell>
          <cell r="I118">
            <v>84.623999999999995</v>
          </cell>
          <cell r="J118">
            <v>100.72799999999999</v>
          </cell>
          <cell r="K118">
            <v>101.282</v>
          </cell>
          <cell r="L118">
            <v>101.69799999999999</v>
          </cell>
          <cell r="M118">
            <v>101.06699999999999</v>
          </cell>
          <cell r="N118">
            <v>101.194</v>
          </cell>
          <cell r="O118">
            <v>101.471</v>
          </cell>
          <cell r="P118">
            <v>100.371</v>
          </cell>
          <cell r="Q118">
            <v>100.833</v>
          </cell>
          <cell r="R118">
            <v>103.792</v>
          </cell>
          <cell r="S118">
            <v>102.47499999999999</v>
          </cell>
          <cell r="T118">
            <v>105.84399999999999</v>
          </cell>
          <cell r="U118">
            <v>106.003</v>
          </cell>
          <cell r="V118">
            <v>120.34099999999999</v>
          </cell>
          <cell r="W118">
            <v>121.172</v>
          </cell>
          <cell r="X118">
            <v>113.357</v>
          </cell>
          <cell r="Y118">
            <v>122.01300000000001</v>
          </cell>
          <cell r="Z118">
            <v>122.235</v>
          </cell>
          <cell r="AA118">
            <v>122.303</v>
          </cell>
          <cell r="AB118">
            <v>122.536</v>
          </cell>
          <cell r="AC118">
            <v>122.276</v>
          </cell>
          <cell r="AD118">
            <v>123.113</v>
          </cell>
          <cell r="AE118">
            <v>123.295</v>
          </cell>
          <cell r="AF118">
            <v>123.45</v>
          </cell>
          <cell r="AG118">
            <v>122.995</v>
          </cell>
          <cell r="AH118">
            <v>122.995</v>
          </cell>
          <cell r="AI118">
            <v>121.702</v>
          </cell>
          <cell r="AJ118">
            <v>122.069</v>
          </cell>
          <cell r="AK118">
            <v>120.578</v>
          </cell>
          <cell r="AL118">
            <v>119.877</v>
          </cell>
          <cell r="AM118">
            <v>119.877</v>
          </cell>
          <cell r="AN118">
            <v>121.702</v>
          </cell>
          <cell r="AO118">
            <v>122.069</v>
          </cell>
          <cell r="AP118">
            <v>120.578</v>
          </cell>
          <cell r="AQ118">
            <v>119.877</v>
          </cell>
          <cell r="AR118">
            <v>119.877</v>
          </cell>
          <cell r="AS118">
            <v>118.59699999999999</v>
          </cell>
          <cell r="AT118">
            <v>117.664</v>
          </cell>
          <cell r="AU118">
            <v>117.163</v>
          </cell>
          <cell r="AV118">
            <v>113.289</v>
          </cell>
          <cell r="AW118">
            <v>113.289</v>
          </cell>
          <cell r="AX118">
            <v>113.52200000000001</v>
          </cell>
          <cell r="AY118">
            <v>112.931</v>
          </cell>
          <cell r="AZ118">
            <v>109.44</v>
          </cell>
          <cell r="BA118">
            <v>103.59</v>
          </cell>
          <cell r="BB118">
            <v>103.59</v>
          </cell>
          <cell r="BC118">
            <v>99.998000000000005</v>
          </cell>
          <cell r="BD118">
            <v>96.888000000000005</v>
          </cell>
          <cell r="BE118">
            <v>95.472999999999999</v>
          </cell>
          <cell r="BF118">
            <v>93.844999999999999</v>
          </cell>
          <cell r="BG118">
            <v>93.844999999999999</v>
          </cell>
          <cell r="BH118">
            <v>93.21327762934132</v>
          </cell>
          <cell r="BI118">
            <v>91.964261897209141</v>
          </cell>
          <cell r="BJ118">
            <v>90.739706510685835</v>
          </cell>
          <cell r="BK118">
            <v>89.539132445775209</v>
          </cell>
          <cell r="BL118">
            <v>89.539132445775209</v>
          </cell>
          <cell r="BM118">
            <v>86.213074561846355</v>
          </cell>
          <cell r="BN118">
            <v>83.13310477270339</v>
          </cell>
          <cell r="BO118">
            <v>80.281015532804815</v>
          </cell>
          <cell r="BR118" t="str">
            <v>Diluted Shares Outstanding</v>
          </cell>
          <cell r="BS118">
            <v>83.9</v>
          </cell>
          <cell r="BT118">
            <v>84.623999999999995</v>
          </cell>
          <cell r="BU118">
            <v>101.194</v>
          </cell>
          <cell r="BV118">
            <v>102.47499999999999</v>
          </cell>
          <cell r="BW118">
            <v>113.357</v>
          </cell>
          <cell r="BX118">
            <v>122.276</v>
          </cell>
          <cell r="BY118">
            <v>122.995</v>
          </cell>
          <cell r="BZ118">
            <v>119.877</v>
          </cell>
          <cell r="CA118">
            <v>113.289</v>
          </cell>
          <cell r="CB118">
            <v>103.59</v>
          </cell>
          <cell r="CC118">
            <v>93.844999999999999</v>
          </cell>
          <cell r="CD118">
            <v>89.539132445775209</v>
          </cell>
          <cell r="CE118">
            <v>86.213074561846355</v>
          </cell>
          <cell r="CF118">
            <v>83.13310477270339</v>
          </cell>
          <cell r="CG118">
            <v>80.281015532804815</v>
          </cell>
        </row>
        <row r="119">
          <cell r="A119" t="str">
            <v>Common Dividends Per Share</v>
          </cell>
          <cell r="C119">
            <v>0</v>
          </cell>
          <cell r="D119">
            <v>5</v>
          </cell>
          <cell r="E119">
            <v>0</v>
          </cell>
          <cell r="F119">
            <v>0</v>
          </cell>
          <cell r="G119">
            <v>9.73</v>
          </cell>
          <cell r="H119">
            <v>0</v>
          </cell>
          <cell r="I119">
            <v>9.7288920737706377</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0.18116219800799935</v>
          </cell>
          <cell r="AW119">
            <v>0.18116219800799935</v>
          </cell>
          <cell r="AX119">
            <v>0.18143123262828847</v>
          </cell>
          <cell r="AY119">
            <v>0.18277735253645366</v>
          </cell>
          <cell r="AZ119">
            <v>0.22</v>
          </cell>
          <cell r="BA119">
            <v>0.22</v>
          </cell>
          <cell r="BB119">
            <v>0.87794241987278254</v>
          </cell>
          <cell r="BC119">
            <v>0.22</v>
          </cell>
          <cell r="BD119">
            <v>0.22</v>
          </cell>
          <cell r="BE119">
            <v>0.26</v>
          </cell>
          <cell r="BF119">
            <v>0.26</v>
          </cell>
          <cell r="BG119">
            <v>1.0579317584248771</v>
          </cell>
          <cell r="BH119">
            <v>0.26</v>
          </cell>
          <cell r="BI119">
            <v>0.26</v>
          </cell>
          <cell r="BJ119">
            <v>0.28600000000000003</v>
          </cell>
          <cell r="BK119">
            <v>0.28600000000000003</v>
          </cell>
          <cell r="BL119">
            <v>1.1135456140233739</v>
          </cell>
          <cell r="BM119">
            <v>1.1823812366301523</v>
          </cell>
          <cell r="BN119">
            <v>1.3633187389574608</v>
          </cell>
          <cell r="BO119">
            <v>1.5673607458107675</v>
          </cell>
          <cell r="BR119" t="str">
            <v>Common Dividends Per Share</v>
          </cell>
          <cell r="BS119">
            <v>5</v>
          </cell>
          <cell r="BT119">
            <v>9.7288920737706377</v>
          </cell>
          <cell r="BU119">
            <v>0</v>
          </cell>
          <cell r="BV119">
            <v>0</v>
          </cell>
          <cell r="BW119">
            <v>0</v>
          </cell>
          <cell r="BX119">
            <v>0</v>
          </cell>
          <cell r="BY119">
            <v>0</v>
          </cell>
          <cell r="BZ119">
            <v>0</v>
          </cell>
          <cell r="CA119">
            <v>0.18116219800799935</v>
          </cell>
          <cell r="CB119">
            <v>0.87794241987278254</v>
          </cell>
          <cell r="CC119">
            <v>1.0579317584248771</v>
          </cell>
          <cell r="CD119">
            <v>1.1135456140233739</v>
          </cell>
          <cell r="CE119">
            <v>1.1823812366301523</v>
          </cell>
          <cell r="CF119">
            <v>1.3633187389574608</v>
          </cell>
          <cell r="CG119">
            <v>1.5673607458107675</v>
          </cell>
          <cell r="CI119" t="str">
            <v>mstag:dividendsPerShare</v>
          </cell>
          <cell r="CJ119">
            <v>0</v>
          </cell>
          <cell r="CK119" t="str">
            <v>ISO4217:USD</v>
          </cell>
          <cell r="CL119" t="b">
            <v>0</v>
          </cell>
        </row>
        <row r="120">
          <cell r="A120" t="str">
            <v>Avg. Diluted Shares Outstanding</v>
          </cell>
          <cell r="C120">
            <v>83.9</v>
          </cell>
          <cell r="D120">
            <v>83.9</v>
          </cell>
          <cell r="E120">
            <v>83.9</v>
          </cell>
          <cell r="F120">
            <v>83.9</v>
          </cell>
          <cell r="G120">
            <v>83.9</v>
          </cell>
          <cell r="H120">
            <v>86.802999999999997</v>
          </cell>
          <cell r="I120">
            <v>84.623999999999995</v>
          </cell>
          <cell r="J120">
            <v>100.72799999999999</v>
          </cell>
          <cell r="K120">
            <v>101.282</v>
          </cell>
          <cell r="L120">
            <v>101.69799999999999</v>
          </cell>
          <cell r="M120">
            <v>101.06699999999999</v>
          </cell>
          <cell r="N120">
            <v>101.194</v>
          </cell>
          <cell r="O120">
            <v>101.471</v>
          </cell>
          <cell r="P120">
            <v>100.371</v>
          </cell>
          <cell r="Q120">
            <v>100.833</v>
          </cell>
          <cell r="R120">
            <v>103.792</v>
          </cell>
          <cell r="S120">
            <v>101.61675</v>
          </cell>
          <cell r="T120">
            <v>105.84399999999999</v>
          </cell>
          <cell r="U120">
            <v>106.003</v>
          </cell>
          <cell r="V120">
            <v>120.34099999999999</v>
          </cell>
          <cell r="W120">
            <v>121.172</v>
          </cell>
          <cell r="X120">
            <v>113.357</v>
          </cell>
          <cell r="Y120">
            <v>122.01300000000001</v>
          </cell>
          <cell r="Z120">
            <v>122.235</v>
          </cell>
          <cell r="AA120">
            <v>122.303</v>
          </cell>
          <cell r="AB120">
            <v>122.536</v>
          </cell>
          <cell r="AC120">
            <v>122.27175</v>
          </cell>
          <cell r="AD120">
            <v>123.113</v>
          </cell>
          <cell r="AE120">
            <v>123.295</v>
          </cell>
          <cell r="AF120">
            <v>123.45</v>
          </cell>
          <cell r="AG120">
            <v>122.995</v>
          </cell>
          <cell r="AH120">
            <v>123.20399999999999</v>
          </cell>
          <cell r="AI120">
            <v>121.702</v>
          </cell>
          <cell r="AJ120">
            <v>122.069</v>
          </cell>
          <cell r="AK120">
            <v>120.578</v>
          </cell>
          <cell r="AL120">
            <v>119.877</v>
          </cell>
          <cell r="AM120">
            <v>121.05650000000001</v>
          </cell>
          <cell r="AN120">
            <v>121.702</v>
          </cell>
          <cell r="AO120">
            <v>122.069</v>
          </cell>
          <cell r="AP120">
            <v>120.578</v>
          </cell>
          <cell r="AQ120">
            <v>119.877</v>
          </cell>
          <cell r="AR120">
            <v>121.05650000000001</v>
          </cell>
          <cell r="AS120">
            <v>118.59699999999999</v>
          </cell>
          <cell r="AT120">
            <v>117.664</v>
          </cell>
          <cell r="AU120">
            <v>117.163</v>
          </cell>
          <cell r="AV120">
            <v>113.289</v>
          </cell>
          <cell r="AW120">
            <v>116.706</v>
          </cell>
          <cell r="AX120">
            <v>113.52200000000001</v>
          </cell>
          <cell r="AY120">
            <v>112.931</v>
          </cell>
          <cell r="AZ120">
            <v>109.44</v>
          </cell>
          <cell r="BA120">
            <v>103.59</v>
          </cell>
          <cell r="BB120">
            <v>109.87075000000002</v>
          </cell>
          <cell r="BC120">
            <v>99.998000000000005</v>
          </cell>
          <cell r="BD120">
            <v>96.888000000000005</v>
          </cell>
          <cell r="BE120">
            <v>95.472999999999999</v>
          </cell>
          <cell r="BF120">
            <v>93.844999999999999</v>
          </cell>
          <cell r="BG120">
            <v>96.551000000000016</v>
          </cell>
          <cell r="BH120">
            <v>93.21327762934132</v>
          </cell>
          <cell r="BI120">
            <v>91.964261897209141</v>
          </cell>
          <cell r="BJ120">
            <v>90.739706510685835</v>
          </cell>
          <cell r="BK120">
            <v>89.539132445775209</v>
          </cell>
          <cell r="BL120">
            <v>91.364094620752866</v>
          </cell>
          <cell r="BM120">
            <v>87.876103503810782</v>
          </cell>
          <cell r="BN120">
            <v>84.673089667274866</v>
          </cell>
          <cell r="BO120">
            <v>81.70706015275411</v>
          </cell>
          <cell r="BR120" t="str">
            <v>Avg. Diluted Shares Outstanding</v>
          </cell>
          <cell r="BS120">
            <v>83.9</v>
          </cell>
          <cell r="BT120">
            <v>84.623999999999995</v>
          </cell>
          <cell r="BU120">
            <v>101.194</v>
          </cell>
          <cell r="BV120">
            <v>101.61675</v>
          </cell>
          <cell r="BW120">
            <v>113.357</v>
          </cell>
          <cell r="BX120">
            <v>122.27175</v>
          </cell>
          <cell r="BY120">
            <v>123.20399999999999</v>
          </cell>
          <cell r="BZ120">
            <v>121.05650000000001</v>
          </cell>
          <cell r="CA120">
            <v>116.706</v>
          </cell>
          <cell r="CB120">
            <v>109.87075000000002</v>
          </cell>
          <cell r="CC120">
            <v>96.551000000000016</v>
          </cell>
          <cell r="CD120">
            <v>91.364094620752866</v>
          </cell>
          <cell r="CE120">
            <v>87.876103503810782</v>
          </cell>
          <cell r="CF120">
            <v>84.673089667274866</v>
          </cell>
          <cell r="CG120">
            <v>81.70706015275411</v>
          </cell>
          <cell r="CI120" t="str">
            <v>mstag:averageDilutedSharesOutstanding</v>
          </cell>
          <cell r="CJ120">
            <v>6</v>
          </cell>
          <cell r="CK120" t="str">
            <v>ms_eqr_gcim_Decimal:ms_eqr_gcim_decimal</v>
          </cell>
          <cell r="CL120" t="b">
            <v>0</v>
          </cell>
        </row>
        <row r="122">
          <cell r="A122" t="str">
            <v>EPS from Continuing Ops</v>
          </cell>
          <cell r="C122">
            <v>0.10116805721096533</v>
          </cell>
          <cell r="D122">
            <v>0.75532777115613781</v>
          </cell>
          <cell r="E122">
            <v>0.25794994040524449</v>
          </cell>
          <cell r="F122">
            <v>0.23660309892729428</v>
          </cell>
          <cell r="G122">
            <v>0.2548152562574495</v>
          </cell>
          <cell r="H122">
            <v>0.21011946591707659</v>
          </cell>
          <cell r="I122">
            <v>0.95848695405558704</v>
          </cell>
          <cell r="J122">
            <v>0.17804384083869421</v>
          </cell>
          <cell r="K122">
            <v>0.18395173870974119</v>
          </cell>
          <cell r="L122">
            <v>0.18562803594957628</v>
          </cell>
          <cell r="M122">
            <v>0.12689601947223128</v>
          </cell>
          <cell r="N122">
            <v>0.67462497776548047</v>
          </cell>
          <cell r="O122">
            <v>0.16481556306728026</v>
          </cell>
          <cell r="P122">
            <v>0.19545486246027241</v>
          </cell>
          <cell r="Q122">
            <v>0.2075114297898504</v>
          </cell>
          <cell r="R122">
            <v>0.23638623400647446</v>
          </cell>
          <cell r="S122">
            <v>0.80499523946593454</v>
          </cell>
          <cell r="T122">
            <v>0.25998639507199273</v>
          </cell>
          <cell r="U122">
            <v>0.22704074412988318</v>
          </cell>
          <cell r="V122">
            <v>8.5747999434939104E-2</v>
          </cell>
          <cell r="W122">
            <v>0.24977717624533705</v>
          </cell>
          <cell r="X122">
            <v>0.81309491253297195</v>
          </cell>
          <cell r="Y122">
            <v>0.27473302025194013</v>
          </cell>
          <cell r="Z122">
            <v>0.37354276598355635</v>
          </cell>
          <cell r="AA122">
            <v>0.40707913951415753</v>
          </cell>
          <cell r="AB122">
            <v>0.36304432982960122</v>
          </cell>
          <cell r="AC122">
            <v>1.4185942378349874</v>
          </cell>
          <cell r="AH122">
            <v>1.4953897600727251</v>
          </cell>
          <cell r="AM122">
            <v>1.8384555971798278</v>
          </cell>
          <cell r="AN122">
            <v>0.4355228344645114</v>
          </cell>
          <cell r="AO122">
            <v>0.45947783630569589</v>
          </cell>
          <cell r="AP122">
            <v>0.41490985088490445</v>
          </cell>
          <cell r="AQ122">
            <v>0.34042393453289604</v>
          </cell>
          <cell r="AR122">
            <v>1.6515428746081369</v>
          </cell>
          <cell r="AS122">
            <v>0.39763231784952441</v>
          </cell>
          <cell r="AT122">
            <v>0.48334239869458812</v>
          </cell>
          <cell r="AU122">
            <v>0.44058277783942051</v>
          </cell>
          <cell r="AV122">
            <v>0.38235839313613834</v>
          </cell>
          <cell r="AW122">
            <v>1.7048566483299918</v>
          </cell>
          <cell r="AX122">
            <v>0.43722802628565366</v>
          </cell>
          <cell r="AY122">
            <v>0.49585144911494644</v>
          </cell>
          <cell r="AZ122">
            <v>0.58848684210526236</v>
          </cell>
          <cell r="BA122">
            <v>0.57919683367120411</v>
          </cell>
          <cell r="BB122">
            <v>2.0936873553698319</v>
          </cell>
          <cell r="BC122">
            <v>0.60368207364147253</v>
          </cell>
          <cell r="BD122">
            <v>0.69100404590867803</v>
          </cell>
          <cell r="BE122">
            <v>0.68376399610361116</v>
          </cell>
          <cell r="BF122">
            <v>0.72726304011934573</v>
          </cell>
          <cell r="BG122">
            <v>2.7055895281478728</v>
          </cell>
          <cell r="BH122">
            <v>0.72852506165938546</v>
          </cell>
          <cell r="BI122">
            <v>0.768942261690026</v>
          </cell>
          <cell r="BJ122">
            <v>0.79352625869686833</v>
          </cell>
          <cell r="BK122">
            <v>0.82847713642119025</v>
          </cell>
          <cell r="BL122">
            <v>3.1172954914236111</v>
          </cell>
          <cell r="BM122">
            <v>3.6757404572092094</v>
          </cell>
          <cell r="BN122">
            <v>4.2939910790565863</v>
          </cell>
          <cell r="BO122">
            <v>4.9984876412972383</v>
          </cell>
          <cell r="BR122" t="str">
            <v>EPS from Continuing Ops</v>
          </cell>
          <cell r="BS122">
            <v>0.75532777115613781</v>
          </cell>
          <cell r="BT122">
            <v>0.95848695405558704</v>
          </cell>
          <cell r="BU122">
            <v>0.67462497776548047</v>
          </cell>
          <cell r="BV122">
            <v>0.80499523946593454</v>
          </cell>
          <cell r="BW122">
            <v>0.81309491253297195</v>
          </cell>
          <cell r="BX122">
            <v>1.4185942378349874</v>
          </cell>
          <cell r="BY122">
            <v>1.4953897600727251</v>
          </cell>
          <cell r="BZ122">
            <v>1.6515428746081369</v>
          </cell>
          <cell r="CA122">
            <v>1.7048566483299918</v>
          </cell>
          <cell r="CB122">
            <v>2.0936873553698319</v>
          </cell>
          <cell r="CC122">
            <v>2.7055895281478728</v>
          </cell>
          <cell r="CD122">
            <v>3.1172954914236111</v>
          </cell>
          <cell r="CE122">
            <v>3.6757404572092094</v>
          </cell>
          <cell r="CF122">
            <v>4.2939910790565863</v>
          </cell>
          <cell r="CG122">
            <v>4.9984876412972383</v>
          </cell>
        </row>
        <row r="123">
          <cell r="A123" t="str">
            <v>EPS to Common Stockholders</v>
          </cell>
          <cell r="C123">
            <v>0.1868414779499403</v>
          </cell>
          <cell r="D123">
            <v>0.85154946364719852</v>
          </cell>
          <cell r="E123">
            <v>0.25794994040524449</v>
          </cell>
          <cell r="F123">
            <v>0.23660309892729428</v>
          </cell>
          <cell r="G123">
            <v>0.2548152562574495</v>
          </cell>
          <cell r="H123">
            <v>0.21011946591707659</v>
          </cell>
          <cell r="I123">
            <v>0.95848695405558704</v>
          </cell>
          <cell r="J123">
            <v>0.17804384083869421</v>
          </cell>
          <cell r="K123">
            <v>0.18395173870974119</v>
          </cell>
          <cell r="L123">
            <v>0.18562803594957628</v>
          </cell>
          <cell r="M123">
            <v>0.12689601947223128</v>
          </cell>
          <cell r="N123">
            <v>0.67462497776548047</v>
          </cell>
          <cell r="O123">
            <v>0.16003587231819927</v>
          </cell>
          <cell r="P123">
            <v>0.18978589433202822</v>
          </cell>
          <cell r="Q123">
            <v>0.2075114297898504</v>
          </cell>
          <cell r="R123">
            <v>0.23638623400647446</v>
          </cell>
          <cell r="S123">
            <v>0.79462293371909654</v>
          </cell>
          <cell r="T123">
            <v>0.25570651146971013</v>
          </cell>
          <cell r="U123">
            <v>0.22386158882295792</v>
          </cell>
          <cell r="V123">
            <v>8.4767452489176637E-2</v>
          </cell>
          <cell r="W123">
            <v>0.24977717624533705</v>
          </cell>
          <cell r="X123">
            <v>0.81309491253297195</v>
          </cell>
          <cell r="Y123">
            <v>0.27211854474523178</v>
          </cell>
          <cell r="Z123">
            <v>0.37000040904814507</v>
          </cell>
          <cell r="AA123">
            <v>0.40312993139988396</v>
          </cell>
          <cell r="AB123">
            <v>0.36304432982960122</v>
          </cell>
          <cell r="AC123">
            <v>1.4084937853592518</v>
          </cell>
          <cell r="AD123">
            <v>0.35711906947276062</v>
          </cell>
          <cell r="AE123">
            <v>0.30452167565594729</v>
          </cell>
          <cell r="AF123">
            <v>0.39104090724989882</v>
          </cell>
          <cell r="AG123">
            <v>0.44271718362535084</v>
          </cell>
          <cell r="AH123">
            <v>1.4953897600727251</v>
          </cell>
          <cell r="AI123">
            <v>0.48427306042628704</v>
          </cell>
          <cell r="AJ123">
            <v>0.50015155362950459</v>
          </cell>
          <cell r="AK123">
            <v>0.45787788817197134</v>
          </cell>
          <cell r="AL123">
            <v>0.39421240104440342</v>
          </cell>
          <cell r="AM123">
            <v>1.8376295366213282</v>
          </cell>
          <cell r="AN123">
            <v>0.48345138124270748</v>
          </cell>
          <cell r="AO123">
            <v>0.50015155362950459</v>
          </cell>
          <cell r="AP123">
            <v>0.45787788817197134</v>
          </cell>
          <cell r="AQ123">
            <v>0.39421240104440342</v>
          </cell>
          <cell r="AR123">
            <v>1.8368034760628293</v>
          </cell>
          <cell r="AS123">
            <v>0.67801883690143971</v>
          </cell>
          <cell r="AT123">
            <v>0.91556465868914882</v>
          </cell>
          <cell r="AU123">
            <v>0.44011334636361332</v>
          </cell>
          <cell r="AV123">
            <v>0.39141487699600114</v>
          </cell>
          <cell r="AW123">
            <v>2.4338765787534493</v>
          </cell>
          <cell r="AX123">
            <v>0.38576663554200924</v>
          </cell>
          <cell r="AY123">
            <v>0.49545297571083241</v>
          </cell>
          <cell r="AZ123">
            <v>0.58807565789473604</v>
          </cell>
          <cell r="BA123">
            <v>0.57303793802490621</v>
          </cell>
          <cell r="BB123">
            <v>2.0355281091646318</v>
          </cell>
          <cell r="BC123">
            <v>0.60368207364147253</v>
          </cell>
          <cell r="BD123">
            <v>0.69100404590867803</v>
          </cell>
          <cell r="BE123">
            <v>0.68376399610361116</v>
          </cell>
          <cell r="BF123">
            <v>0.72726304011934573</v>
          </cell>
          <cell r="BG123">
            <v>2.7055895281478728</v>
          </cell>
          <cell r="BH123">
            <v>0.72852506165938546</v>
          </cell>
          <cell r="BI123">
            <v>0.768942261690026</v>
          </cell>
          <cell r="BJ123">
            <v>0.79352625869686833</v>
          </cell>
          <cell r="BK123">
            <v>0.82847713642119025</v>
          </cell>
          <cell r="BL123">
            <v>3.1172954914236111</v>
          </cell>
          <cell r="BM123">
            <v>3.6757404572092094</v>
          </cell>
          <cell r="BN123">
            <v>4.2939910790565863</v>
          </cell>
          <cell r="BO123">
            <v>4.9984876412972383</v>
          </cell>
          <cell r="BR123" t="str">
            <v>EPS to Common Stockholders</v>
          </cell>
          <cell r="BS123">
            <v>0.85154946364719852</v>
          </cell>
          <cell r="BT123">
            <v>0.95848695405558704</v>
          </cell>
          <cell r="BU123">
            <v>0.67462497776548047</v>
          </cell>
          <cell r="BV123">
            <v>0.79462293371909654</v>
          </cell>
          <cell r="BW123">
            <v>0.81309491253297195</v>
          </cell>
          <cell r="BX123">
            <v>1.4084937853592518</v>
          </cell>
          <cell r="BY123">
            <v>1.4953897600727251</v>
          </cell>
          <cell r="BZ123">
            <v>1.8368034760628293</v>
          </cell>
          <cell r="CA123">
            <v>2.4338765787534493</v>
          </cell>
          <cell r="CB123">
            <v>2.0355281091646318</v>
          </cell>
          <cell r="CC123">
            <v>2.7055895281478728</v>
          </cell>
          <cell r="CD123">
            <v>3.1172954914236111</v>
          </cell>
          <cell r="CE123">
            <v>3.6757404572092094</v>
          </cell>
          <cell r="CF123">
            <v>4.2939910790565863</v>
          </cell>
          <cell r="CG123">
            <v>4.9984876412972383</v>
          </cell>
        </row>
        <row r="124">
          <cell r="A124" t="str">
            <v>Adjusted EPS</v>
          </cell>
          <cell r="D124">
            <v>1.0501676580832535</v>
          </cell>
          <cell r="E124">
            <v>0.30470882392360771</v>
          </cell>
          <cell r="F124">
            <v>0.28335655783849123</v>
          </cell>
          <cell r="G124">
            <v>0.30665455183617718</v>
          </cell>
          <cell r="H124">
            <v>0.25906785561958545</v>
          </cell>
          <cell r="I124">
            <v>1.1538775815170881</v>
          </cell>
          <cell r="J124">
            <v>0.25190709563730479</v>
          </cell>
          <cell r="K124">
            <v>0.26871422986245097</v>
          </cell>
          <cell r="L124">
            <v>0.262417342889808</v>
          </cell>
          <cell r="M124">
            <v>0.22462139921105409</v>
          </cell>
          <cell r="N124">
            <v>1.0074058385814559</v>
          </cell>
          <cell r="O124">
            <v>0.23892996220031978</v>
          </cell>
          <cell r="P124">
            <v>0.27394176936731252</v>
          </cell>
          <cell r="Q124">
            <v>0.28930704187633649</v>
          </cell>
          <cell r="R124">
            <v>0.31055164739952285</v>
          </cell>
          <cell r="S124">
            <v>1.1131778859071442</v>
          </cell>
          <cell r="T124">
            <v>0.31499438796719698</v>
          </cell>
          <cell r="U124">
            <v>0.34886274916747645</v>
          </cell>
          <cell r="V124">
            <v>0.3242956831005227</v>
          </cell>
          <cell r="W124">
            <v>0.36574192057571042</v>
          </cell>
          <cell r="X124">
            <v>1.35343946778761</v>
          </cell>
          <cell r="Y124">
            <v>0.42837278978469479</v>
          </cell>
          <cell r="Z124">
            <v>0.47263876958318007</v>
          </cell>
          <cell r="AA124">
            <v>0.4940925406572203</v>
          </cell>
          <cell r="AB124">
            <v>0.45341777110400222</v>
          </cell>
          <cell r="AC124">
            <v>1.8485794895386709</v>
          </cell>
          <cell r="AD124">
            <v>0.44368403273642126</v>
          </cell>
          <cell r="AE124">
            <v>0.49911999675574859</v>
          </cell>
          <cell r="AF124">
            <v>0.49336573511543136</v>
          </cell>
          <cell r="AG124">
            <v>0.52170413431440321</v>
          </cell>
          <cell r="AH124">
            <v>1.9580149371958631</v>
          </cell>
          <cell r="AI124">
            <v>0.56823223940444678</v>
          </cell>
          <cell r="AJ124">
            <v>0.57742752050070034</v>
          </cell>
          <cell r="AK124">
            <v>0.53480734462339696</v>
          </cell>
          <cell r="AL124">
            <v>0.4809262827731754</v>
          </cell>
          <cell r="AM124">
            <v>2.1624530694345188</v>
          </cell>
          <cell r="AN124">
            <v>0.50018898621222296</v>
          </cell>
          <cell r="AO124">
            <v>0.50982640965355652</v>
          </cell>
          <cell r="AP124">
            <v>0.46401499444343086</v>
          </cell>
          <cell r="AQ124">
            <v>0.39790785555194053</v>
          </cell>
          <cell r="AR124">
            <v>1.8731584012423947</v>
          </cell>
          <cell r="AS124">
            <v>0.45856134640842555</v>
          </cell>
          <cell r="AT124">
            <v>0.54906161779649276</v>
          </cell>
          <cell r="AU124">
            <v>0.50402617802360239</v>
          </cell>
          <cell r="AV124">
            <v>0.49019763613413464</v>
          </cell>
          <cell r="AW124">
            <v>2.0014052858652156</v>
          </cell>
          <cell r="AX124">
            <v>0.50270432162928747</v>
          </cell>
          <cell r="AY124">
            <v>0.56180592890547854</v>
          </cell>
          <cell r="AZ124">
            <v>0.60021016081871281</v>
          </cell>
          <cell r="BA124">
            <v>0.65877858391403499</v>
          </cell>
          <cell r="BB124">
            <v>2.3174792095701484</v>
          </cell>
          <cell r="BC124">
            <v>0.6824200331677297</v>
          </cell>
          <cell r="BD124">
            <v>0.77297498142184784</v>
          </cell>
          <cell r="BE124">
            <v>0.7661617574519185</v>
          </cell>
          <cell r="BF124">
            <v>0.81338560498151413</v>
          </cell>
          <cell r="BG124">
            <v>3.0306529403673066</v>
          </cell>
          <cell r="BH124">
            <v>0.79941624978256731</v>
          </cell>
          <cell r="BI124">
            <v>0.83874328947595989</v>
          </cell>
          <cell r="BJ124">
            <v>0.86426926908167778</v>
          </cell>
          <cell r="BK124">
            <v>0.90016869545977551</v>
          </cell>
          <cell r="BL124">
            <v>3.400261363006051</v>
          </cell>
          <cell r="BM124">
            <v>3.9412707887671741</v>
          </cell>
          <cell r="BN124">
            <v>4.5443957965248698</v>
          </cell>
          <cell r="BO124">
            <v>5.2245358193692253</v>
          </cell>
          <cell r="BP124">
            <v>0.17653912215117118</v>
          </cell>
          <cell r="BR124" t="str">
            <v>Adjusted EPS</v>
          </cell>
          <cell r="BS124">
            <v>1.0501676580832535</v>
          </cell>
          <cell r="BT124">
            <v>1.1538775815170881</v>
          </cell>
          <cell r="BU124">
            <v>1.0074058385814559</v>
          </cell>
          <cell r="BV124">
            <v>1.1131778859071442</v>
          </cell>
          <cell r="BW124">
            <v>1.35343946778761</v>
          </cell>
          <cell r="BX124">
            <v>1.8485794895386709</v>
          </cell>
          <cell r="BY124">
            <v>1.9580149371958631</v>
          </cell>
          <cell r="BZ124">
            <v>1.8731584012423947</v>
          </cell>
          <cell r="CA124">
            <v>2.0014052858652156</v>
          </cell>
          <cell r="CB124">
            <v>2.3174792095701484</v>
          </cell>
          <cell r="CC124">
            <v>3.0306529403673066</v>
          </cell>
          <cell r="CD124">
            <v>3.400261363006051</v>
          </cell>
          <cell r="CE124">
            <v>3.9412707887671741</v>
          </cell>
          <cell r="CF124">
            <v>4.5443957965248698</v>
          </cell>
          <cell r="CG124">
            <v>5.2245358193692253</v>
          </cell>
          <cell r="CI124" t="str">
            <v>mstag:adjEpsForConsensus</v>
          </cell>
          <cell r="CJ124">
            <v>0</v>
          </cell>
          <cell r="CK124" t="str">
            <v>ISO4217:USD</v>
          </cell>
          <cell r="CL124" t="b">
            <v>0</v>
          </cell>
        </row>
        <row r="125">
          <cell r="A125" t="str">
            <v>Annual Growth</v>
          </cell>
          <cell r="AH125">
            <v>5.9199752175386644E-2</v>
          </cell>
          <cell r="AM125">
            <v>0.10441091554257409</v>
          </cell>
          <cell r="AR125">
            <v>-4.3338043209718347E-2</v>
          </cell>
          <cell r="AW125">
            <v>6.8465584404265867E-2</v>
          </cell>
          <cell r="BB125">
            <v>0.15792599626731407</v>
          </cell>
          <cell r="BG125">
            <v>0.30773684089681197</v>
          </cell>
          <cell r="BL125">
            <v>0.12195669709179868</v>
          </cell>
          <cell r="BM125">
            <v>0.15910818846079411</v>
          </cell>
          <cell r="BN125">
            <v>0.15302805619868431</v>
          </cell>
          <cell r="BO125">
            <v>0.14966566586573804</v>
          </cell>
        </row>
        <row r="127">
          <cell r="A127" t="str">
            <v>Statement of Cash Flows</v>
          </cell>
        </row>
        <row r="128">
          <cell r="A128" t="str">
            <v>(Values in millions, except per-share amounts)</v>
          </cell>
        </row>
        <row r="129">
          <cell r="A129" t="str">
            <v>MSCI Only Until Q3 2010 then Pro Forma</v>
          </cell>
          <cell r="BR129" t="str">
            <v>MSCI Only Until Q3 2010 then Pro Forma</v>
          </cell>
        </row>
        <row r="130">
          <cell r="A130" t="str">
            <v>Fiscal Year Ending Dec 31</v>
          </cell>
          <cell r="C130" t="str">
            <v>4Q06</v>
          </cell>
          <cell r="D130">
            <v>2006</v>
          </cell>
          <cell r="E130" t="str">
            <v>1Q07</v>
          </cell>
          <cell r="F130" t="str">
            <v>2Q07</v>
          </cell>
          <cell r="G130" t="str">
            <v>3Q07</v>
          </cell>
          <cell r="H130" t="str">
            <v>4Q07</v>
          </cell>
          <cell r="I130">
            <v>2007</v>
          </cell>
          <cell r="J130" t="str">
            <v>1Q08</v>
          </cell>
          <cell r="K130" t="str">
            <v>2Q08</v>
          </cell>
          <cell r="L130" t="str">
            <v>3Q08</v>
          </cell>
          <cell r="M130" t="str">
            <v>4Q08</v>
          </cell>
          <cell r="N130">
            <v>2008</v>
          </cell>
          <cell r="O130" t="str">
            <v>1Q09</v>
          </cell>
          <cell r="P130" t="str">
            <v>2Q09</v>
          </cell>
          <cell r="Q130" t="str">
            <v>3Q09</v>
          </cell>
          <cell r="R130" t="str">
            <v>4Q09</v>
          </cell>
          <cell r="S130">
            <v>2009</v>
          </cell>
          <cell r="T130" t="str">
            <v>1Q10</v>
          </cell>
          <cell r="U130" t="str">
            <v>2Q10</v>
          </cell>
          <cell r="V130" t="str">
            <v>3Q10</v>
          </cell>
          <cell r="W130" t="str">
            <v>4Q10</v>
          </cell>
          <cell r="X130">
            <v>2010</v>
          </cell>
          <cell r="Y130" t="str">
            <v>1Q11</v>
          </cell>
          <cell r="Z130" t="str">
            <v>2Q11</v>
          </cell>
          <cell r="AA130" t="str">
            <v>3Q11</v>
          </cell>
          <cell r="AB130" t="str">
            <v>4Q11</v>
          </cell>
          <cell r="AC130">
            <v>2011</v>
          </cell>
          <cell r="AD130" t="str">
            <v>1Q12</v>
          </cell>
          <cell r="AE130" t="str">
            <v>2Q12</v>
          </cell>
          <cell r="AF130" t="str">
            <v>3Q12</v>
          </cell>
          <cell r="AG130" t="str">
            <v>4Q12</v>
          </cell>
          <cell r="AH130">
            <v>2012</v>
          </cell>
          <cell r="AI130" t="str">
            <v>1Q13</v>
          </cell>
          <cell r="AJ130" t="str">
            <v>2Q13</v>
          </cell>
          <cell r="AK130" t="str">
            <v>3Q13</v>
          </cell>
          <cell r="AL130" t="str">
            <v>4Q13</v>
          </cell>
          <cell r="AM130">
            <v>2013</v>
          </cell>
          <cell r="AN130" t="str">
            <v>1Q13R</v>
          </cell>
          <cell r="AO130" t="str">
            <v>2Q13R</v>
          </cell>
          <cell r="AP130" t="str">
            <v>3Q13R</v>
          </cell>
          <cell r="AQ130" t="str">
            <v>4Q13R</v>
          </cell>
          <cell r="AR130" t="str">
            <v>2013R</v>
          </cell>
          <cell r="AS130" t="str">
            <v>1Q14</v>
          </cell>
          <cell r="AT130" t="str">
            <v>2Q14</v>
          </cell>
          <cell r="AU130" t="str">
            <v>3Q14</v>
          </cell>
          <cell r="AV130" t="str">
            <v>4Q14</v>
          </cell>
          <cell r="AW130">
            <v>2014</v>
          </cell>
          <cell r="AX130" t="str">
            <v>1Q15</v>
          </cell>
          <cell r="AY130" t="str">
            <v>2Q15</v>
          </cell>
          <cell r="AZ130" t="str">
            <v>3Q15</v>
          </cell>
          <cell r="BA130" t="str">
            <v>4Q15</v>
          </cell>
          <cell r="BB130">
            <v>2015</v>
          </cell>
          <cell r="BC130" t="str">
            <v>1Q16</v>
          </cell>
          <cell r="BD130" t="str">
            <v>2Q16</v>
          </cell>
          <cell r="BE130" t="str">
            <v>3Q16</v>
          </cell>
          <cell r="BF130" t="str">
            <v>4Q16</v>
          </cell>
          <cell r="BG130">
            <v>2016</v>
          </cell>
          <cell r="BH130" t="str">
            <v>1Q17E</v>
          </cell>
          <cell r="BI130" t="str">
            <v>2Q17E</v>
          </cell>
          <cell r="BJ130" t="str">
            <v>3Q17E</v>
          </cell>
          <cell r="BK130" t="str">
            <v>4Q17E</v>
          </cell>
          <cell r="BL130" t="str">
            <v>2017E</v>
          </cell>
          <cell r="BM130" t="str">
            <v>2018E</v>
          </cell>
          <cell r="BN130" t="str">
            <v>2019E</v>
          </cell>
          <cell r="BO130" t="str">
            <v>2020E</v>
          </cell>
          <cell r="BR130" t="str">
            <v>Fiscal Year Ending Dec 31</v>
          </cell>
          <cell r="BS130">
            <v>2006</v>
          </cell>
          <cell r="BT130">
            <v>2007</v>
          </cell>
          <cell r="BU130">
            <v>2008</v>
          </cell>
          <cell r="BV130">
            <v>2009</v>
          </cell>
          <cell r="BW130">
            <v>2010</v>
          </cell>
          <cell r="BX130">
            <v>2011</v>
          </cell>
          <cell r="BY130">
            <v>2012</v>
          </cell>
          <cell r="BZ130" t="str">
            <v>2013R</v>
          </cell>
          <cell r="CA130">
            <v>2014</v>
          </cell>
          <cell r="CB130">
            <v>2015</v>
          </cell>
          <cell r="CC130">
            <v>2016</v>
          </cell>
          <cell r="CD130" t="str">
            <v>2017E</v>
          </cell>
          <cell r="CE130" t="str">
            <v>2018E</v>
          </cell>
          <cell r="CF130" t="str">
            <v>2019E</v>
          </cell>
          <cell r="CG130" t="str">
            <v>2020E</v>
          </cell>
        </row>
        <row r="131">
          <cell r="A131" t="str">
            <v>Cash Flows From Operations</v>
          </cell>
          <cell r="BR131" t="str">
            <v>Cash Flows From Operations</v>
          </cell>
          <cell r="BS131">
            <v>0</v>
          </cell>
          <cell r="BT131">
            <v>0</v>
          </cell>
          <cell r="BU131">
            <v>0</v>
          </cell>
        </row>
        <row r="132">
          <cell r="A132" t="str">
            <v>Net Income</v>
          </cell>
          <cell r="C132">
            <v>15.675999999999993</v>
          </cell>
          <cell r="D132">
            <v>71.444999999999993</v>
          </cell>
          <cell r="E132">
            <v>21.642000000000014</v>
          </cell>
          <cell r="F132">
            <v>19.850999999999992</v>
          </cell>
          <cell r="G132">
            <v>21.379000000000012</v>
          </cell>
          <cell r="H132">
            <v>18.238999999999997</v>
          </cell>
          <cell r="I132">
            <v>81.111000000000018</v>
          </cell>
          <cell r="J132">
            <v>17.93399999999999</v>
          </cell>
          <cell r="K132">
            <v>18.631000000000007</v>
          </cell>
          <cell r="L132">
            <v>18.878000000000007</v>
          </cell>
          <cell r="M132">
            <v>12.824999999999999</v>
          </cell>
          <cell r="N132">
            <v>68.268000000000029</v>
          </cell>
          <cell r="O132">
            <v>16.723999999999997</v>
          </cell>
          <cell r="P132">
            <v>19.618000000000002</v>
          </cell>
          <cell r="Q132">
            <v>20.923999999999985</v>
          </cell>
          <cell r="R132">
            <v>24.535</v>
          </cell>
          <cell r="S132">
            <v>81.800999999999988</v>
          </cell>
          <cell r="T132">
            <v>27.517999999999997</v>
          </cell>
          <cell r="U132">
            <v>24.067000000000007</v>
          </cell>
          <cell r="V132">
            <v>10.319000000000006</v>
          </cell>
          <cell r="W132">
            <v>30.26599999999998</v>
          </cell>
          <cell r="X132">
            <v>92.169999999999987</v>
          </cell>
          <cell r="Y132">
            <v>33.520999999999972</v>
          </cell>
          <cell r="Z132">
            <v>45.660000000000011</v>
          </cell>
          <cell r="AA132">
            <v>49.787000000000006</v>
          </cell>
          <cell r="AB132">
            <v>44.486000000000018</v>
          </cell>
          <cell r="AC132">
            <v>173.45400000000012</v>
          </cell>
          <cell r="AD132">
            <v>43.96599999999998</v>
          </cell>
          <cell r="AE132">
            <v>37.546000000000021</v>
          </cell>
          <cell r="AF132">
            <v>48.274000000000008</v>
          </cell>
          <cell r="AG132">
            <v>54.452000000000027</v>
          </cell>
          <cell r="AH132">
            <v>184.238</v>
          </cell>
          <cell r="AI132">
            <v>58.936999999999983</v>
          </cell>
          <cell r="AJ132">
            <v>61.052999999999997</v>
          </cell>
          <cell r="AK132">
            <v>55.30999999999996</v>
          </cell>
          <cell r="AL132">
            <v>47.256999999999948</v>
          </cell>
          <cell r="AM132">
            <v>222.55699999999985</v>
          </cell>
          <cell r="AN132">
            <v>58.936999999999983</v>
          </cell>
          <cell r="AO132">
            <v>61.052999999999997</v>
          </cell>
          <cell r="AP132">
            <v>55.30999999999996</v>
          </cell>
          <cell r="AQ132">
            <v>47.256999999999948</v>
          </cell>
          <cell r="AR132">
            <v>222.55699999999985</v>
          </cell>
          <cell r="AS132">
            <v>80.411000000000044</v>
          </cell>
          <cell r="AT132">
            <v>107.72900000000001</v>
          </cell>
          <cell r="AU132">
            <v>51.610000000000028</v>
          </cell>
          <cell r="AV132">
            <v>44.387999999999977</v>
          </cell>
          <cell r="AW132">
            <v>284.13800000000003</v>
          </cell>
          <cell r="AX132">
            <v>43.83799999999998</v>
          </cell>
          <cell r="AY132">
            <v>55.997000000000014</v>
          </cell>
          <cell r="AZ132">
            <v>64.403999999999911</v>
          </cell>
          <cell r="BA132">
            <v>59.406000000000034</v>
          </cell>
          <cell r="BB132">
            <v>223.64499999999998</v>
          </cell>
          <cell r="BC132">
            <v>60.366999999999976</v>
          </cell>
          <cell r="BD132">
            <v>66.95</v>
          </cell>
          <cell r="BE132">
            <v>65.281000000000063</v>
          </cell>
          <cell r="BF132">
            <v>68.25</v>
          </cell>
          <cell r="BG132">
            <v>260.84800000000007</v>
          </cell>
          <cell r="BH132">
            <v>67.908208832389306</v>
          </cell>
          <cell r="BI132">
            <v>70.715207537893875</v>
          </cell>
          <cell r="BJ132">
            <v>72.0043398226764</v>
          </cell>
          <cell r="BK132">
            <v>74.181124046313528</v>
          </cell>
          <cell r="BL132">
            <v>284.80888023927309</v>
          </cell>
          <cell r="BM132">
            <v>323.00974887086124</v>
          </cell>
          <cell r="BN132">
            <v>363.58549166743671</v>
          </cell>
          <cell r="BO132">
            <v>408.41173038027148</v>
          </cell>
          <cell r="BR132" t="str">
            <v>Net Income</v>
          </cell>
          <cell r="BS132">
            <v>71.444999999999993</v>
          </cell>
          <cell r="BT132">
            <v>81.111000000000018</v>
          </cell>
          <cell r="BU132">
            <v>68.268000000000029</v>
          </cell>
          <cell r="BV132">
            <v>81.800999999999988</v>
          </cell>
          <cell r="BW132">
            <v>92.169999999999987</v>
          </cell>
          <cell r="BX132">
            <v>173.45400000000012</v>
          </cell>
          <cell r="BY132">
            <v>184.238</v>
          </cell>
          <cell r="BZ132">
            <v>222.55699999999985</v>
          </cell>
          <cell r="CA132">
            <v>284.13800000000003</v>
          </cell>
          <cell r="CB132">
            <v>223.64499999999998</v>
          </cell>
          <cell r="CC132">
            <v>260.84800000000007</v>
          </cell>
          <cell r="CD132">
            <v>284.80888023927309</v>
          </cell>
          <cell r="CE132">
            <v>323.00974887086124</v>
          </cell>
          <cell r="CF132">
            <v>363.58549166743671</v>
          </cell>
          <cell r="CG132">
            <v>408.41173038027148</v>
          </cell>
          <cell r="CI132" t="str">
            <v>mstag:netIncomeReported</v>
          </cell>
          <cell r="CJ132">
            <v>6</v>
          </cell>
          <cell r="CK132" t="str">
            <v>ISO4217:USD</v>
          </cell>
          <cell r="CL132" t="b">
            <v>0</v>
          </cell>
        </row>
        <row r="133">
          <cell r="A133" t="str">
            <v>Depreciation of prop., equipt. &amp; leasehold improvements</v>
          </cell>
          <cell r="C133">
            <v>1.0150000000000001</v>
          </cell>
          <cell r="D133">
            <v>3.4990000000000001</v>
          </cell>
          <cell r="E133">
            <v>0.56399999999999995</v>
          </cell>
          <cell r="F133">
            <v>0.52500000000000002</v>
          </cell>
          <cell r="G133">
            <v>0.44100000000000006</v>
          </cell>
          <cell r="H133">
            <v>-5.4999999999999938E-2</v>
          </cell>
          <cell r="I133">
            <v>1.4750000000000001</v>
          </cell>
          <cell r="J133">
            <v>0.48399999999999999</v>
          </cell>
          <cell r="K133">
            <v>0.52200000000000002</v>
          </cell>
          <cell r="L133">
            <v>1.268</v>
          </cell>
          <cell r="M133">
            <v>2.6959999999999997</v>
          </cell>
          <cell r="N133">
            <v>4.97</v>
          </cell>
          <cell r="O133">
            <v>3.0510000000000002</v>
          </cell>
          <cell r="P133">
            <v>2.9719999999999995</v>
          </cell>
          <cell r="Q133">
            <v>2.8689999999999998</v>
          </cell>
          <cell r="R133">
            <v>3.0650000000000013</v>
          </cell>
          <cell r="S133">
            <v>11.957000000000001</v>
          </cell>
          <cell r="T133">
            <v>3.3929999999999998</v>
          </cell>
          <cell r="U133">
            <v>3.556</v>
          </cell>
          <cell r="V133">
            <v>4.9339999999999993</v>
          </cell>
          <cell r="W133">
            <v>5.5300000000000011</v>
          </cell>
          <cell r="X133">
            <v>17.413</v>
          </cell>
          <cell r="Y133">
            <v>5.1100000000000003</v>
          </cell>
          <cell r="Z133">
            <v>5.1680000000000001</v>
          </cell>
          <cell r="AA133">
            <v>4.6689999999999996</v>
          </cell>
          <cell r="AB133">
            <v>4.4779999999999998</v>
          </cell>
          <cell r="AC133">
            <v>19.424999999999997</v>
          </cell>
          <cell r="AD133">
            <v>4.4160000000000004</v>
          </cell>
          <cell r="AE133">
            <v>4.661999999999999</v>
          </cell>
          <cell r="AF133">
            <v>4.6330000000000009</v>
          </cell>
          <cell r="AG133">
            <v>4.9889999999999999</v>
          </cell>
          <cell r="AH133">
            <v>18.7</v>
          </cell>
          <cell r="AI133">
            <v>5.08</v>
          </cell>
          <cell r="AJ133">
            <v>5.2460000000000004</v>
          </cell>
          <cell r="AK133">
            <v>5.9340000000000002</v>
          </cell>
          <cell r="AL133">
            <v>6.041999999999998</v>
          </cell>
          <cell r="AM133">
            <v>22.302</v>
          </cell>
          <cell r="AN133">
            <v>5.08</v>
          </cell>
          <cell r="AO133">
            <v>5.2460000000000004</v>
          </cell>
          <cell r="AP133">
            <v>5.9340000000000002</v>
          </cell>
          <cell r="AQ133">
            <v>6.041999999999998</v>
          </cell>
          <cell r="AR133">
            <v>22.302</v>
          </cell>
          <cell r="AS133">
            <v>6.0469999999999997</v>
          </cell>
          <cell r="AT133">
            <v>5.9210000000000003</v>
          </cell>
          <cell r="AU133">
            <v>6.3419999999999987</v>
          </cell>
          <cell r="AV133">
            <v>7.620000000000001</v>
          </cell>
          <cell r="AW133">
            <v>25.93</v>
          </cell>
          <cell r="AX133">
            <v>7.2069999999999999</v>
          </cell>
          <cell r="AY133">
            <v>8.0650000000000013</v>
          </cell>
          <cell r="AZ133">
            <v>8.0489999999999995</v>
          </cell>
          <cell r="BA133">
            <v>7.5679999999999978</v>
          </cell>
          <cell r="BB133">
            <v>30.888999999999996</v>
          </cell>
          <cell r="BC133">
            <v>8.1679999999999993</v>
          </cell>
          <cell r="BD133">
            <v>8.3930000000000007</v>
          </cell>
          <cell r="BE133">
            <v>8.3120000000000012</v>
          </cell>
          <cell r="BF133">
            <v>9.4469999999999992</v>
          </cell>
          <cell r="BG133">
            <v>34.32</v>
          </cell>
          <cell r="BH133">
            <v>9.9275549720273446</v>
          </cell>
          <cell r="BI133">
            <v>10.157499100155002</v>
          </cell>
          <cell r="BJ133">
            <v>10.138227216098052</v>
          </cell>
          <cell r="BK133">
            <v>10.306042188904636</v>
          </cell>
          <cell r="BL133">
            <v>40.529323477185031</v>
          </cell>
          <cell r="BM133">
            <v>42.996165325147629</v>
          </cell>
          <cell r="BN133">
            <v>45.765372262161549</v>
          </cell>
          <cell r="BO133">
            <v>48.780643069911569</v>
          </cell>
          <cell r="BR133" t="str">
            <v>Depreciation of prop., equipt. &amp; leasehold improvements</v>
          </cell>
          <cell r="BS133">
            <v>3.4990000000000001</v>
          </cell>
          <cell r="BT133">
            <v>1.4750000000000001</v>
          </cell>
          <cell r="BU133">
            <v>4.97</v>
          </cell>
          <cell r="BV133">
            <v>11.957000000000001</v>
          </cell>
          <cell r="BW133">
            <v>17.413</v>
          </cell>
          <cell r="BX133">
            <v>19.424999999999997</v>
          </cell>
          <cell r="BY133">
            <v>18.7</v>
          </cell>
          <cell r="BZ133">
            <v>22.302</v>
          </cell>
          <cell r="CA133">
            <v>25.93</v>
          </cell>
          <cell r="CB133">
            <v>30.888999999999996</v>
          </cell>
          <cell r="CC133">
            <v>34.32</v>
          </cell>
          <cell r="CD133">
            <v>40.529323477185031</v>
          </cell>
          <cell r="CE133">
            <v>42.996165325147629</v>
          </cell>
          <cell r="CF133">
            <v>45.765372262161549</v>
          </cell>
          <cell r="CG133">
            <v>48.780643069911569</v>
          </cell>
          <cell r="CI133" t="str">
            <v>mstag:depreciation</v>
          </cell>
          <cell r="CJ133">
            <v>6</v>
          </cell>
          <cell r="CK133" t="str">
            <v>ISO4217:USD</v>
          </cell>
          <cell r="CL133" t="b">
            <v>0</v>
          </cell>
        </row>
        <row r="134">
          <cell r="A134" t="str">
            <v>Amortization of intangibles</v>
          </cell>
          <cell r="C134">
            <v>6.5389999999999979</v>
          </cell>
          <cell r="D134">
            <v>26.155999999999999</v>
          </cell>
          <cell r="E134">
            <v>6.266</v>
          </cell>
          <cell r="F134">
            <v>6.2649999999999997</v>
          </cell>
          <cell r="G134">
            <v>6.6970000000000001</v>
          </cell>
          <cell r="H134">
            <v>7.125</v>
          </cell>
          <cell r="I134">
            <v>26.352999999999998</v>
          </cell>
          <cell r="J134">
            <v>7.125</v>
          </cell>
          <cell r="K134">
            <v>7.125</v>
          </cell>
          <cell r="L134">
            <v>7.125</v>
          </cell>
          <cell r="M134">
            <v>7.125</v>
          </cell>
          <cell r="N134">
            <v>28.5</v>
          </cell>
          <cell r="O134">
            <v>6.4290000000000003</v>
          </cell>
          <cell r="P134">
            <v>6.4279999999999999</v>
          </cell>
          <cell r="Q134">
            <v>6.4290000000000003</v>
          </cell>
          <cell r="R134">
            <v>6.2679999999999998</v>
          </cell>
          <cell r="S134">
            <v>25.554000000000002</v>
          </cell>
          <cell r="T134">
            <v>4.2779999999999996</v>
          </cell>
          <cell r="U134">
            <v>4.2770000000000001</v>
          </cell>
          <cell r="V134">
            <v>16.350000000000001</v>
          </cell>
          <cell r="W134">
            <v>16.693999999999999</v>
          </cell>
          <cell r="X134">
            <v>41.599000000000004</v>
          </cell>
          <cell r="Y134">
            <v>16.692</v>
          </cell>
          <cell r="Z134">
            <v>16.422999999999998</v>
          </cell>
          <cell r="AA134">
            <v>16.422000000000001</v>
          </cell>
          <cell r="AB134">
            <v>16.268000000000001</v>
          </cell>
          <cell r="AC134">
            <v>65.804999999999993</v>
          </cell>
          <cell r="AD134">
            <v>15.959</v>
          </cell>
          <cell r="AE134">
            <v>15.959</v>
          </cell>
          <cell r="AF134">
            <v>15.959000000000003</v>
          </cell>
          <cell r="AG134">
            <v>15.420999999999999</v>
          </cell>
          <cell r="AH134">
            <v>63.298000000000002</v>
          </cell>
          <cell r="AI134">
            <v>14.486000000000001</v>
          </cell>
          <cell r="AJ134">
            <v>14.509</v>
          </cell>
          <cell r="AK134">
            <v>14.448</v>
          </cell>
          <cell r="AL134">
            <v>14.760000000000005</v>
          </cell>
          <cell r="AM134">
            <v>58.203000000000003</v>
          </cell>
          <cell r="AN134">
            <v>14.486000000000001</v>
          </cell>
          <cell r="AO134">
            <v>14.509</v>
          </cell>
          <cell r="AP134">
            <v>14.448</v>
          </cell>
          <cell r="AQ134">
            <v>14.760000000000005</v>
          </cell>
          <cell r="AR134">
            <v>58.203000000000003</v>
          </cell>
          <cell r="AS134">
            <v>14.01</v>
          </cell>
          <cell r="AT134">
            <v>11.442000000000002</v>
          </cell>
          <cell r="AU134">
            <v>11.574000000000002</v>
          </cell>
          <cell r="AV134">
            <v>11.590999999999994</v>
          </cell>
          <cell r="AW134">
            <v>48.616999999999997</v>
          </cell>
          <cell r="AX134">
            <v>11.702</v>
          </cell>
          <cell r="AY134">
            <v>11.694999999999999</v>
          </cell>
          <cell r="AZ134">
            <v>11.709999999999999</v>
          </cell>
          <cell r="BA134">
            <v>11.802999999999997</v>
          </cell>
          <cell r="BB134">
            <v>46.91</v>
          </cell>
          <cell r="BC134">
            <v>11.84</v>
          </cell>
          <cell r="BD134">
            <v>11.943000000000001</v>
          </cell>
          <cell r="BE134">
            <v>11.751999999999995</v>
          </cell>
          <cell r="BF134">
            <v>11.498000000000005</v>
          </cell>
          <cell r="BG134">
            <v>47.033000000000001</v>
          </cell>
          <cell r="BH134">
            <v>10.94</v>
          </cell>
          <cell r="BI134">
            <v>10.94</v>
          </cell>
          <cell r="BJ134">
            <v>10.94</v>
          </cell>
          <cell r="BK134">
            <v>10.94</v>
          </cell>
          <cell r="BL134">
            <v>43.76</v>
          </cell>
          <cell r="BM134">
            <v>40.590000000000003</v>
          </cell>
          <cell r="BN134">
            <v>38.521999999999998</v>
          </cell>
          <cell r="BO134">
            <v>36.588000000000001</v>
          </cell>
          <cell r="BR134" t="str">
            <v>Amortization of intangibles</v>
          </cell>
          <cell r="BS134">
            <v>26.155999999999999</v>
          </cell>
          <cell r="BT134">
            <v>26.352999999999998</v>
          </cell>
          <cell r="BU134">
            <v>28.5</v>
          </cell>
          <cell r="BV134">
            <v>25.554000000000002</v>
          </cell>
          <cell r="BW134">
            <v>41.599000000000004</v>
          </cell>
          <cell r="BX134">
            <v>65.804999999999993</v>
          </cell>
          <cell r="BY134">
            <v>63.298000000000002</v>
          </cell>
          <cell r="BZ134">
            <v>58.203000000000003</v>
          </cell>
          <cell r="CA134">
            <v>48.616999999999997</v>
          </cell>
          <cell r="CB134">
            <v>46.91</v>
          </cell>
          <cell r="CC134">
            <v>47.033000000000001</v>
          </cell>
          <cell r="CD134">
            <v>43.76</v>
          </cell>
          <cell r="CE134">
            <v>40.590000000000003</v>
          </cell>
          <cell r="CF134">
            <v>38.521999999999998</v>
          </cell>
          <cell r="CG134">
            <v>36.588000000000001</v>
          </cell>
          <cell r="CI134" t="str">
            <v>mstag:amortizationOfOtherIntangibles</v>
          </cell>
          <cell r="CJ134">
            <v>6</v>
          </cell>
          <cell r="CK134" t="str">
            <v>ISO4217:USD</v>
          </cell>
          <cell r="CL134" t="b">
            <v>0</v>
          </cell>
        </row>
        <row r="135">
          <cell r="A135" t="str">
            <v>Foreign currency loss</v>
          </cell>
          <cell r="C135">
            <v>0</v>
          </cell>
          <cell r="D135">
            <v>0</v>
          </cell>
          <cell r="E135">
            <v>0</v>
          </cell>
          <cell r="F135">
            <v>0</v>
          </cell>
          <cell r="G135">
            <v>0</v>
          </cell>
          <cell r="H135">
            <v>0</v>
          </cell>
          <cell r="I135">
            <v>0</v>
          </cell>
          <cell r="J135">
            <v>0</v>
          </cell>
          <cell r="K135">
            <v>0</v>
          </cell>
          <cell r="L135">
            <v>0</v>
          </cell>
          <cell r="M135">
            <v>4.2789999999999999</v>
          </cell>
          <cell r="N135">
            <v>4.2789999999999999</v>
          </cell>
          <cell r="O135">
            <v>0.76300000000000001</v>
          </cell>
          <cell r="P135">
            <v>-0.14700000000000002</v>
          </cell>
          <cell r="Q135">
            <v>-0.16699999999999998</v>
          </cell>
          <cell r="R135">
            <v>-2.7000000000000024E-2</v>
          </cell>
          <cell r="S135">
            <v>0.42199999999999999</v>
          </cell>
          <cell r="T135">
            <v>-8.2000000000000003E-2</v>
          </cell>
          <cell r="U135">
            <v>0.83199999999999996</v>
          </cell>
          <cell r="V135">
            <v>-0.75</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R135" t="str">
            <v>Foreign currency loss</v>
          </cell>
          <cell r="BS135">
            <v>0</v>
          </cell>
          <cell r="BT135">
            <v>0</v>
          </cell>
          <cell r="BU135">
            <v>4.2789999999999999</v>
          </cell>
          <cell r="BV135">
            <v>0.42199999999999999</v>
          </cell>
          <cell r="BW135">
            <v>0</v>
          </cell>
          <cell r="BX135">
            <v>0</v>
          </cell>
          <cell r="BY135">
            <v>0</v>
          </cell>
          <cell r="BZ135">
            <v>0</v>
          </cell>
          <cell r="CA135">
            <v>0</v>
          </cell>
          <cell r="CB135">
            <v>0</v>
          </cell>
          <cell r="CC135">
            <v>0</v>
          </cell>
          <cell r="CD135">
            <v>0</v>
          </cell>
          <cell r="CE135">
            <v>0</v>
          </cell>
          <cell r="CF135">
            <v>0</v>
          </cell>
          <cell r="CG135">
            <v>0</v>
          </cell>
          <cell r="CI135" t="str">
            <v>mstag:unrealizedForeignCurrencyExchangeGainLossCashFlowStatement</v>
          </cell>
          <cell r="CJ135">
            <v>6</v>
          </cell>
          <cell r="CK135" t="str">
            <v>ISO4217:USD</v>
          </cell>
          <cell r="CL135" t="b">
            <v>1</v>
          </cell>
        </row>
        <row r="136">
          <cell r="A136" t="str">
            <v>Loss on sale of property</v>
          </cell>
          <cell r="C136">
            <v>8.7999999999999995E-2</v>
          </cell>
          <cell r="D136">
            <v>2.5000000000000001E-2</v>
          </cell>
          <cell r="E136">
            <v>-5.0000000000000001E-3</v>
          </cell>
          <cell r="F136">
            <v>1.4999999999999999E-2</v>
          </cell>
          <cell r="G136">
            <v>0.14000000000000001</v>
          </cell>
          <cell r="H136">
            <v>-0.15000000000000002</v>
          </cell>
          <cell r="I136">
            <v>0</v>
          </cell>
          <cell r="J136">
            <v>0</v>
          </cell>
          <cell r="K136">
            <v>1.7999999999999999E-2</v>
          </cell>
          <cell r="L136">
            <v>5.7999999999999996E-2</v>
          </cell>
          <cell r="M136">
            <v>3.1120000000000001</v>
          </cell>
          <cell r="N136">
            <v>3.1880000000000002</v>
          </cell>
          <cell r="O136">
            <v>0.128</v>
          </cell>
          <cell r="P136">
            <v>0.14600000000000002</v>
          </cell>
          <cell r="Q136">
            <v>0</v>
          </cell>
          <cell r="R136">
            <v>0.39700000000000002</v>
          </cell>
          <cell r="S136">
            <v>0.67100000000000004</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-84.614999999999995</v>
          </cell>
          <cell r="AU136">
            <v>-5.0000000000096634E-3</v>
          </cell>
          <cell r="AV136">
            <v>0</v>
          </cell>
          <cell r="AW136">
            <v>-84.62</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R136" t="str">
            <v>Loss on sale of property</v>
          </cell>
          <cell r="BS136">
            <v>2.5000000000000001E-2</v>
          </cell>
          <cell r="BT136">
            <v>0</v>
          </cell>
          <cell r="BU136">
            <v>3.1880000000000002</v>
          </cell>
          <cell r="BV136">
            <v>0.67100000000000004</v>
          </cell>
          <cell r="BW136">
            <v>0</v>
          </cell>
          <cell r="BX136">
            <v>0</v>
          </cell>
          <cell r="BY136">
            <v>0</v>
          </cell>
          <cell r="BZ136">
            <v>0</v>
          </cell>
          <cell r="CA136">
            <v>-84.62</v>
          </cell>
          <cell r="CB136">
            <v>0</v>
          </cell>
          <cell r="CC136">
            <v>0</v>
          </cell>
          <cell r="CD136">
            <v>0</v>
          </cell>
          <cell r="CE136">
            <v>0</v>
          </cell>
          <cell r="CF136">
            <v>0</v>
          </cell>
          <cell r="CG136">
            <v>0</v>
          </cell>
          <cell r="CI136" t="str">
            <v>mstag:gainsLossesFromSaleOfOperatingAssetsOneTime</v>
          </cell>
          <cell r="CJ136">
            <v>6</v>
          </cell>
          <cell r="CK136" t="str">
            <v>ISO4217:USD</v>
          </cell>
          <cell r="CL136" t="b">
            <v>1</v>
          </cell>
        </row>
        <row r="137">
          <cell r="A137" t="str">
            <v>Stock-based compensation expense</v>
          </cell>
          <cell r="C137">
            <v>0</v>
          </cell>
          <cell r="D137">
            <v>0</v>
          </cell>
          <cell r="E137">
            <v>0</v>
          </cell>
          <cell r="F137">
            <v>0</v>
          </cell>
          <cell r="G137">
            <v>0</v>
          </cell>
          <cell r="H137">
            <v>1.034</v>
          </cell>
          <cell r="I137">
            <v>1.034</v>
          </cell>
          <cell r="J137">
            <v>4.875</v>
          </cell>
          <cell r="K137">
            <v>7.2219999999999995</v>
          </cell>
          <cell r="L137">
            <v>5.3970000000000002</v>
          </cell>
          <cell r="M137">
            <v>12.844000000000001</v>
          </cell>
          <cell r="N137">
            <v>30.338000000000001</v>
          </cell>
          <cell r="O137">
            <v>7.7359999999999998</v>
          </cell>
          <cell r="P137">
            <v>8.977999999999998</v>
          </cell>
          <cell r="Q137">
            <v>8.3540000000000028</v>
          </cell>
          <cell r="R137">
            <v>3.1660000000000004</v>
          </cell>
          <cell r="S137">
            <v>28.234000000000002</v>
          </cell>
          <cell r="T137">
            <v>5.12</v>
          </cell>
          <cell r="U137">
            <v>3.9029999999999996</v>
          </cell>
          <cell r="V137">
            <v>13.920999999999999</v>
          </cell>
          <cell r="W137">
            <v>0.80399999999999849</v>
          </cell>
          <cell r="X137">
            <v>23.747999999999998</v>
          </cell>
          <cell r="Y137">
            <v>8.4540000000000006</v>
          </cell>
          <cell r="Z137">
            <v>8.0079999999999991</v>
          </cell>
          <cell r="AA137">
            <v>7.8599999999999994</v>
          </cell>
          <cell r="AB137">
            <v>7.4009999999999998</v>
          </cell>
          <cell r="AC137">
            <v>31.722999999999999</v>
          </cell>
          <cell r="AD137">
            <v>5.843</v>
          </cell>
          <cell r="AE137">
            <v>6.0289999999999999</v>
          </cell>
          <cell r="AF137">
            <v>7.536999999999999</v>
          </cell>
          <cell r="AG137">
            <v>5.9140000000000015</v>
          </cell>
          <cell r="AH137">
            <v>25.323</v>
          </cell>
          <cell r="AI137">
            <v>6.8109999999999999</v>
          </cell>
          <cell r="AJ137">
            <v>6.0180000000000007</v>
          </cell>
          <cell r="AK137">
            <v>6.320999999999998</v>
          </cell>
          <cell r="AL137">
            <v>5.8540000000000028</v>
          </cell>
          <cell r="AM137">
            <v>25.004000000000001</v>
          </cell>
          <cell r="AN137">
            <v>6.8109999999999999</v>
          </cell>
          <cell r="AO137">
            <v>6.0180000000000007</v>
          </cell>
          <cell r="AP137">
            <v>6.320999999999998</v>
          </cell>
          <cell r="AQ137">
            <v>5.8540000000000028</v>
          </cell>
          <cell r="AR137">
            <v>25.004000000000001</v>
          </cell>
          <cell r="AS137">
            <v>5.1710000000000003</v>
          </cell>
          <cell r="AT137">
            <v>7.2860000000000005</v>
          </cell>
          <cell r="AU137">
            <v>7.6589999999999989</v>
          </cell>
          <cell r="AV137">
            <v>6.4690000000000012</v>
          </cell>
          <cell r="AW137">
            <v>26.585000000000001</v>
          </cell>
          <cell r="AX137">
            <v>7.35</v>
          </cell>
          <cell r="AY137">
            <v>7.1890000000000001</v>
          </cell>
          <cell r="AZ137">
            <v>6.0129999999999999</v>
          </cell>
          <cell r="BA137">
            <v>8.0060000000000002</v>
          </cell>
          <cell r="BB137">
            <v>28.558</v>
          </cell>
          <cell r="BC137">
            <v>7.08</v>
          </cell>
          <cell r="BD137">
            <v>8.1929999999999996</v>
          </cell>
          <cell r="BE137">
            <v>8.3180000000000014</v>
          </cell>
          <cell r="BF137">
            <v>8.4099999999999966</v>
          </cell>
          <cell r="BG137">
            <v>32.000999999999998</v>
          </cell>
          <cell r="BH137">
            <v>8.3666153111024926</v>
          </cell>
          <cell r="BI137">
            <v>8.5604046246355612</v>
          </cell>
          <cell r="BJ137">
            <v>8.5441629175204667</v>
          </cell>
          <cell r="BK137">
            <v>8.6855918317769927</v>
          </cell>
          <cell r="BL137">
            <v>34.156774685035515</v>
          </cell>
          <cell r="BM137">
            <v>36.601765138219008</v>
          </cell>
          <cell r="BN137">
            <v>39.352661560203011</v>
          </cell>
          <cell r="BO137">
            <v>42.369119419332932</v>
          </cell>
          <cell r="BR137" t="str">
            <v>Stock-based compensation expense</v>
          </cell>
          <cell r="BS137">
            <v>0</v>
          </cell>
          <cell r="BT137">
            <v>1.034</v>
          </cell>
          <cell r="BU137">
            <v>30.338000000000001</v>
          </cell>
          <cell r="BV137">
            <v>28.234000000000002</v>
          </cell>
          <cell r="BW137">
            <v>23.747999999999998</v>
          </cell>
          <cell r="BX137">
            <v>31.722999999999999</v>
          </cell>
          <cell r="BY137">
            <v>25.323</v>
          </cell>
          <cell r="BZ137">
            <v>25.004000000000001</v>
          </cell>
          <cell r="CA137">
            <v>26.585000000000001</v>
          </cell>
          <cell r="CB137">
            <v>28.558</v>
          </cell>
          <cell r="CC137">
            <v>32.000999999999998</v>
          </cell>
          <cell r="CD137">
            <v>34.156774685035515</v>
          </cell>
          <cell r="CE137">
            <v>36.601765138219008</v>
          </cell>
          <cell r="CF137">
            <v>39.352661560203011</v>
          </cell>
          <cell r="CG137">
            <v>42.369119419332932</v>
          </cell>
          <cell r="CI137" t="str">
            <v>mstag:stockBasedCompensationChargePreTax</v>
          </cell>
          <cell r="CJ137">
            <v>6</v>
          </cell>
          <cell r="CK137" t="str">
            <v>ISO4217:USD</v>
          </cell>
          <cell r="CL137" t="b">
            <v>0</v>
          </cell>
        </row>
        <row r="138">
          <cell r="A138" t="str">
            <v>Provision for bad debt</v>
          </cell>
          <cell r="C138">
            <v>0.66300000000000003</v>
          </cell>
          <cell r="D138">
            <v>0.65400000000000003</v>
          </cell>
          <cell r="E138">
            <v>-0.499</v>
          </cell>
          <cell r="F138">
            <v>0.54900000000000004</v>
          </cell>
          <cell r="G138">
            <v>2.4999999999999967E-2</v>
          </cell>
          <cell r="H138">
            <v>4.3999999999999928E-2</v>
          </cell>
          <cell r="I138">
            <v>0.11899999999999994</v>
          </cell>
          <cell r="J138">
            <v>-0.46200000000000002</v>
          </cell>
          <cell r="K138">
            <v>-0.87400000000000011</v>
          </cell>
          <cell r="L138">
            <v>0.27600000000000002</v>
          </cell>
          <cell r="M138">
            <v>0.2430000000000001</v>
          </cell>
          <cell r="N138">
            <v>-0.81699999999999995</v>
          </cell>
          <cell r="O138">
            <v>0.314</v>
          </cell>
          <cell r="P138">
            <v>6.2E-2</v>
          </cell>
          <cell r="Q138">
            <v>0.43799999999999994</v>
          </cell>
          <cell r="R138">
            <v>0.16300000000000003</v>
          </cell>
          <cell r="S138">
            <v>0.97699999999999998</v>
          </cell>
          <cell r="T138">
            <v>5.5E-2</v>
          </cell>
          <cell r="U138">
            <v>0.26700000000000002</v>
          </cell>
          <cell r="V138">
            <v>-0.32200000000000001</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0.44600000000000001</v>
          </cell>
          <cell r="AY138">
            <v>-0.44600000000000001</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R138" t="str">
            <v>Provision for bad debt</v>
          </cell>
          <cell r="BS138">
            <v>0.65400000000000003</v>
          </cell>
          <cell r="BT138">
            <v>0.11899999999999994</v>
          </cell>
          <cell r="BU138">
            <v>-0.81699999999999995</v>
          </cell>
          <cell r="BV138">
            <v>0.97699999999999998</v>
          </cell>
          <cell r="BW138">
            <v>0</v>
          </cell>
          <cell r="BX138">
            <v>0</v>
          </cell>
          <cell r="BY138">
            <v>0</v>
          </cell>
          <cell r="BZ138">
            <v>0</v>
          </cell>
          <cell r="CA138">
            <v>0</v>
          </cell>
          <cell r="CB138">
            <v>0</v>
          </cell>
          <cell r="CC138">
            <v>0</v>
          </cell>
          <cell r="CD138">
            <v>0</v>
          </cell>
          <cell r="CE138">
            <v>0</v>
          </cell>
          <cell r="CF138">
            <v>0</v>
          </cell>
          <cell r="CG138">
            <v>0</v>
          </cell>
          <cell r="CI138" t="str">
            <v>mstag:provisionForDoubtfulAccountsRecurringCashFlowStatement</v>
          </cell>
          <cell r="CJ138">
            <v>6</v>
          </cell>
          <cell r="CK138" t="str">
            <v>ISO4217:USD</v>
          </cell>
          <cell r="CL138" t="b">
            <v>0</v>
          </cell>
        </row>
        <row r="139">
          <cell r="A139" t="str">
            <v>Amortization of debt origination fees</v>
          </cell>
          <cell r="C139">
            <v>0</v>
          </cell>
          <cell r="D139">
            <v>0</v>
          </cell>
          <cell r="E139">
            <v>0</v>
          </cell>
          <cell r="F139">
            <v>0</v>
          </cell>
          <cell r="G139">
            <v>0</v>
          </cell>
          <cell r="H139">
            <v>0</v>
          </cell>
          <cell r="I139">
            <v>0</v>
          </cell>
          <cell r="J139">
            <v>0</v>
          </cell>
          <cell r="K139">
            <v>0</v>
          </cell>
          <cell r="L139">
            <v>0</v>
          </cell>
          <cell r="M139">
            <v>0</v>
          </cell>
          <cell r="N139">
            <v>0</v>
          </cell>
          <cell r="O139">
            <v>0.35799999999999998</v>
          </cell>
          <cell r="P139">
            <v>0.35799999999999998</v>
          </cell>
          <cell r="Q139">
            <v>0.3580000000000001</v>
          </cell>
          <cell r="R139">
            <v>0.35799999999999987</v>
          </cell>
          <cell r="S139">
            <v>1.4319999999999999</v>
          </cell>
          <cell r="T139">
            <v>0.35799999999999998</v>
          </cell>
          <cell r="U139">
            <v>3.0709999999999997</v>
          </cell>
          <cell r="V139">
            <v>3.1810000000000005</v>
          </cell>
          <cell r="W139">
            <v>1.4799999999999995</v>
          </cell>
          <cell r="X139">
            <v>8.09</v>
          </cell>
          <cell r="Y139">
            <v>1.847</v>
          </cell>
          <cell r="Z139">
            <v>1.2799999999999998</v>
          </cell>
          <cell r="AA139">
            <v>1.2780000000000005</v>
          </cell>
          <cell r="AB139">
            <v>1.3709999999999996</v>
          </cell>
          <cell r="AC139">
            <v>5.7759999999999998</v>
          </cell>
          <cell r="AD139">
            <v>1.268</v>
          </cell>
          <cell r="AE139">
            <v>15.331</v>
          </cell>
          <cell r="AF139">
            <v>0.50000000000000067</v>
          </cell>
          <cell r="AG139">
            <v>0.96600000000000108</v>
          </cell>
          <cell r="AH139">
            <v>18.065000000000001</v>
          </cell>
          <cell r="AI139">
            <v>0.76200000000000001</v>
          </cell>
          <cell r="AJ139">
            <v>0.71199999999999997</v>
          </cell>
          <cell r="AK139">
            <v>0.70499999999999985</v>
          </cell>
          <cell r="AL139">
            <v>1.169</v>
          </cell>
          <cell r="AM139">
            <v>3.3479999999999999</v>
          </cell>
          <cell r="AN139">
            <v>0.76200000000000001</v>
          </cell>
          <cell r="AO139">
            <v>0.71199999999999997</v>
          </cell>
          <cell r="AP139">
            <v>0.70499999999999985</v>
          </cell>
          <cell r="AQ139">
            <v>1.169</v>
          </cell>
          <cell r="AR139">
            <v>3.3479999999999999</v>
          </cell>
          <cell r="AS139">
            <v>0.44500000000000001</v>
          </cell>
          <cell r="AT139">
            <v>0.443</v>
          </cell>
          <cell r="AU139">
            <v>0.44000000000000006</v>
          </cell>
          <cell r="AV139">
            <v>6.42</v>
          </cell>
          <cell r="AW139">
            <v>7.7480000000000002</v>
          </cell>
          <cell r="AX139">
            <v>0</v>
          </cell>
          <cell r="AY139">
            <v>0.89300000000000002</v>
          </cell>
          <cell r="AZ139">
            <v>0.53400000000000003</v>
          </cell>
          <cell r="BA139">
            <v>0.70799999999999974</v>
          </cell>
          <cell r="BB139">
            <v>2.1349999999999998</v>
          </cell>
          <cell r="BC139">
            <v>0.70899999999999996</v>
          </cell>
          <cell r="BD139">
            <v>0.70800000000000007</v>
          </cell>
          <cell r="BE139">
            <v>0.80199999999999982</v>
          </cell>
          <cell r="BF139">
            <v>0.8490000000000002</v>
          </cell>
          <cell r="BG139">
            <v>3.0680000000000001</v>
          </cell>
          <cell r="BH139">
            <v>0</v>
          </cell>
          <cell r="BI139">
            <v>0</v>
          </cell>
          <cell r="BJ139">
            <v>0</v>
          </cell>
          <cell r="BK139">
            <v>0</v>
          </cell>
          <cell r="BL139">
            <v>0</v>
          </cell>
          <cell r="BM139">
            <v>0</v>
          </cell>
          <cell r="BN139">
            <v>0</v>
          </cell>
          <cell r="BO139">
            <v>0</v>
          </cell>
          <cell r="BR139" t="str">
            <v>Amortization of debt origination fees</v>
          </cell>
          <cell r="BS139">
            <v>0</v>
          </cell>
          <cell r="BT139">
            <v>0</v>
          </cell>
          <cell r="BU139">
            <v>0</v>
          </cell>
          <cell r="BV139">
            <v>1.4319999999999999</v>
          </cell>
          <cell r="BW139">
            <v>8.09</v>
          </cell>
          <cell r="BX139">
            <v>5.7759999999999998</v>
          </cell>
          <cell r="BY139">
            <v>18.065000000000001</v>
          </cell>
          <cell r="BZ139">
            <v>3.3479999999999999</v>
          </cell>
          <cell r="CA139">
            <v>7.7480000000000002</v>
          </cell>
          <cell r="CB139">
            <v>2.1349999999999998</v>
          </cell>
          <cell r="CC139">
            <v>3.0680000000000001</v>
          </cell>
          <cell r="CD139">
            <v>0</v>
          </cell>
          <cell r="CE139">
            <v>0</v>
          </cell>
          <cell r="CF139">
            <v>0</v>
          </cell>
          <cell r="CG139">
            <v>0</v>
          </cell>
          <cell r="CI139" t="str">
            <v>mstag:amortizationOfDiscountPremiumOnDebtCashFlowStatement</v>
          </cell>
          <cell r="CJ139">
            <v>6</v>
          </cell>
          <cell r="CK139" t="str">
            <v>ISO4217:USD</v>
          </cell>
          <cell r="CL139" t="b">
            <v>0</v>
          </cell>
        </row>
        <row r="140">
          <cell r="A140" t="str">
            <v>Amortization of discount of debt</v>
          </cell>
          <cell r="C140">
            <v>0</v>
          </cell>
          <cell r="D140">
            <v>0</v>
          </cell>
          <cell r="E140">
            <v>0</v>
          </cell>
          <cell r="F140">
            <v>0</v>
          </cell>
          <cell r="G140">
            <v>0</v>
          </cell>
          <cell r="H140">
            <v>0</v>
          </cell>
          <cell r="I140">
            <v>0</v>
          </cell>
          <cell r="J140">
            <v>0</v>
          </cell>
          <cell r="K140">
            <v>0</v>
          </cell>
          <cell r="L140">
            <v>0.124</v>
          </cell>
          <cell r="M140">
            <v>4.1000000000000009E-2</v>
          </cell>
          <cell r="N140">
            <v>0.16500000000000001</v>
          </cell>
          <cell r="O140">
            <v>4.2000000000000003E-2</v>
          </cell>
          <cell r="P140">
            <v>-0.10399999999999998</v>
          </cell>
          <cell r="Q140">
            <v>-0.15600000000000006</v>
          </cell>
          <cell r="R140">
            <v>-0.17699999999999999</v>
          </cell>
          <cell r="S140">
            <v>-0.39500000000000002</v>
          </cell>
          <cell r="T140">
            <v>-0.23100000000000001</v>
          </cell>
          <cell r="U140">
            <v>0.18299999999999997</v>
          </cell>
          <cell r="V140">
            <v>1.1120000000000001</v>
          </cell>
          <cell r="W140">
            <v>0.27299999999999991</v>
          </cell>
          <cell r="X140">
            <v>1.337</v>
          </cell>
          <cell r="Y140">
            <v>0.34</v>
          </cell>
          <cell r="Z140">
            <v>0.23099999999999993</v>
          </cell>
          <cell r="AA140">
            <v>0.23000000000000009</v>
          </cell>
          <cell r="AB140">
            <v>0.24999999999999989</v>
          </cell>
          <cell r="AC140">
            <v>1.0509999999999999</v>
          </cell>
          <cell r="AD140">
            <v>0.22900000000000001</v>
          </cell>
          <cell r="AE140">
            <v>4.6049999999999995</v>
          </cell>
          <cell r="AF140">
            <v>0.23800000000000052</v>
          </cell>
          <cell r="AG140">
            <v>0.23299999999999965</v>
          </cell>
          <cell r="AH140">
            <v>5.3049999999999997</v>
          </cell>
          <cell r="AI140">
            <v>0.246</v>
          </cell>
          <cell r="AJ140">
            <v>0.22799999999999998</v>
          </cell>
          <cell r="AK140">
            <v>0.22499999999999998</v>
          </cell>
          <cell r="AL140">
            <v>0.3670000000000001</v>
          </cell>
          <cell r="AM140">
            <v>1.0660000000000001</v>
          </cell>
          <cell r="AN140">
            <v>0.246</v>
          </cell>
          <cell r="AO140">
            <v>0.22799999999999998</v>
          </cell>
          <cell r="AP140">
            <v>0.22499999999999998</v>
          </cell>
          <cell r="AQ140">
            <v>0.3670000000000001</v>
          </cell>
          <cell r="AR140">
            <v>1.0660000000000001</v>
          </cell>
          <cell r="AS140">
            <v>0.121</v>
          </cell>
          <cell r="AT140">
            <v>0.11899999999999999</v>
          </cell>
          <cell r="AU140">
            <v>0.11899999999999999</v>
          </cell>
          <cell r="AV140">
            <v>1.859</v>
          </cell>
          <cell r="AW140">
            <v>2.218</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R140" t="str">
            <v>Amortization of discount of debt</v>
          </cell>
          <cell r="BS140">
            <v>0</v>
          </cell>
          <cell r="BT140">
            <v>0</v>
          </cell>
          <cell r="BU140">
            <v>0.16500000000000001</v>
          </cell>
          <cell r="BV140">
            <v>-0.39500000000000002</v>
          </cell>
          <cell r="BW140">
            <v>1.337</v>
          </cell>
          <cell r="BX140">
            <v>1.0509999999999999</v>
          </cell>
          <cell r="BY140">
            <v>5.3049999999999997</v>
          </cell>
          <cell r="BZ140">
            <v>1.0660000000000001</v>
          </cell>
          <cell r="CA140">
            <v>2.218</v>
          </cell>
          <cell r="CB140">
            <v>0</v>
          </cell>
          <cell r="CC140">
            <v>0</v>
          </cell>
          <cell r="CD140">
            <v>0</v>
          </cell>
          <cell r="CE140">
            <v>0</v>
          </cell>
          <cell r="CF140">
            <v>0</v>
          </cell>
          <cell r="CG140">
            <v>0</v>
          </cell>
          <cell r="CI140" t="str">
            <v>mstag:amortizationOfDiscountPremiumOnDebtCashFlowStatement</v>
          </cell>
          <cell r="CJ140">
            <v>6</v>
          </cell>
          <cell r="CK140" t="str">
            <v>ISO4217:USD</v>
          </cell>
          <cell r="CL140" t="b">
            <v>0</v>
          </cell>
        </row>
        <row r="141">
          <cell r="A141" t="str">
            <v>Deferred taxes and other</v>
          </cell>
          <cell r="C141">
            <v>-13.664999999999999</v>
          </cell>
          <cell r="D141">
            <v>-10.013</v>
          </cell>
          <cell r="E141">
            <v>-5.5919999999999996</v>
          </cell>
          <cell r="F141">
            <v>2.8079999999999998</v>
          </cell>
          <cell r="G141">
            <v>-4.080000000000001</v>
          </cell>
          <cell r="H141">
            <v>-15.779</v>
          </cell>
          <cell r="I141">
            <v>-22.643000000000001</v>
          </cell>
          <cell r="J141">
            <v>-2.911</v>
          </cell>
          <cell r="K141">
            <v>-3.9970000000000003</v>
          </cell>
          <cell r="L141">
            <v>-0.29899999999999949</v>
          </cell>
          <cell r="M141">
            <v>2.8999999999999027E-2</v>
          </cell>
          <cell r="N141">
            <v>-7.1780000000000008</v>
          </cell>
          <cell r="O141">
            <v>-4.2140000000000004</v>
          </cell>
          <cell r="P141">
            <v>-6.7359999999999989</v>
          </cell>
          <cell r="Q141">
            <v>-4.2760000000000016</v>
          </cell>
          <cell r="R141">
            <v>0.88800000000000168</v>
          </cell>
          <cell r="S141">
            <v>-14.337999999999999</v>
          </cell>
          <cell r="T141">
            <v>-3.3099999999999996</v>
          </cell>
          <cell r="U141">
            <v>-1.2730000000000006</v>
          </cell>
          <cell r="V141">
            <v>7.2620000000000005</v>
          </cell>
          <cell r="W141">
            <v>1.4929999999999994</v>
          </cell>
          <cell r="X141">
            <v>4.1719999999999997</v>
          </cell>
          <cell r="Y141">
            <v>10.617000000000001</v>
          </cell>
          <cell r="Z141">
            <v>-9.1050000000000004</v>
          </cell>
          <cell r="AA141">
            <v>-17.118000000000002</v>
          </cell>
          <cell r="AB141">
            <v>15.510000000000002</v>
          </cell>
          <cell r="AC141">
            <v>-9.6000000000000085E-2</v>
          </cell>
          <cell r="AD141">
            <v>-7.0229999999999997</v>
          </cell>
          <cell r="AE141">
            <v>-12.450999999999997</v>
          </cell>
          <cell r="AF141">
            <v>-5.9420000000000037</v>
          </cell>
          <cell r="AG141">
            <v>-5.8760000000000012</v>
          </cell>
          <cell r="AH141">
            <v>-31.292000000000002</v>
          </cell>
          <cell r="AI141">
            <v>-7.423</v>
          </cell>
          <cell r="AJ141">
            <v>8.52</v>
          </cell>
          <cell r="AK141">
            <v>-5.7359999999999989</v>
          </cell>
          <cell r="AL141">
            <v>-13.431000000000001</v>
          </cell>
          <cell r="AM141">
            <v>-18.07</v>
          </cell>
          <cell r="AN141">
            <v>-7.423</v>
          </cell>
          <cell r="AO141">
            <v>8.52</v>
          </cell>
          <cell r="AP141">
            <v>-5.7359999999999989</v>
          </cell>
          <cell r="AQ141">
            <v>-13.431000000000001</v>
          </cell>
          <cell r="AR141">
            <v>-18.07</v>
          </cell>
          <cell r="AS141">
            <v>-27.547000000000001</v>
          </cell>
          <cell r="AT141">
            <v>28.797000000000001</v>
          </cell>
          <cell r="AU141">
            <v>-1.6870000000000001</v>
          </cell>
          <cell r="AV141">
            <v>-5.5110000000000001</v>
          </cell>
          <cell r="AW141">
            <v>-5.9480000000000004</v>
          </cell>
          <cell r="AX141">
            <v>4.1429999999999998</v>
          </cell>
          <cell r="AY141">
            <v>-17.067</v>
          </cell>
          <cell r="AZ141">
            <v>-9.1609999999999978</v>
          </cell>
          <cell r="BA141">
            <v>-5.5230000000000032</v>
          </cell>
          <cell r="BB141">
            <v>-27.608000000000001</v>
          </cell>
          <cell r="BC141">
            <v>-7.2670000000000003</v>
          </cell>
          <cell r="BD141">
            <v>-1.8540000000000001</v>
          </cell>
          <cell r="BE141">
            <v>-4.3219999999999992</v>
          </cell>
          <cell r="BF141">
            <v>-10.405999999999999</v>
          </cell>
          <cell r="BG141">
            <v>-23.848999999999997</v>
          </cell>
          <cell r="BH141">
            <v>0</v>
          </cell>
          <cell r="BI141">
            <v>0</v>
          </cell>
          <cell r="BJ141">
            <v>0</v>
          </cell>
          <cell r="BK141">
            <v>0</v>
          </cell>
          <cell r="BL141">
            <v>0</v>
          </cell>
          <cell r="BM141">
            <v>0</v>
          </cell>
          <cell r="BN141">
            <v>0</v>
          </cell>
          <cell r="BO141">
            <v>0</v>
          </cell>
          <cell r="BR141" t="str">
            <v>Deferred taxes and other</v>
          </cell>
          <cell r="BS141">
            <v>-10.013</v>
          </cell>
          <cell r="BT141">
            <v>-22.643000000000001</v>
          </cell>
          <cell r="BU141">
            <v>-7.1780000000000008</v>
          </cell>
          <cell r="BV141">
            <v>-14.337999999999999</v>
          </cell>
          <cell r="BW141">
            <v>4.1719999999999997</v>
          </cell>
          <cell r="BX141">
            <v>-9.6000000000000085E-2</v>
          </cell>
          <cell r="BY141">
            <v>-31.292000000000002</v>
          </cell>
          <cell r="BZ141">
            <v>-18.07</v>
          </cell>
          <cell r="CA141">
            <v>-5.9480000000000004</v>
          </cell>
          <cell r="CB141">
            <v>-27.608000000000001</v>
          </cell>
          <cell r="CC141">
            <v>-23.848999999999997</v>
          </cell>
          <cell r="CD141">
            <v>0</v>
          </cell>
          <cell r="CE141">
            <v>0</v>
          </cell>
          <cell r="CF141">
            <v>0</v>
          </cell>
          <cell r="CG141">
            <v>0</v>
          </cell>
          <cell r="CI141" t="str">
            <v>mstag:deferredTax</v>
          </cell>
          <cell r="CJ141">
            <v>6</v>
          </cell>
          <cell r="CK141" t="str">
            <v>ISO4217:USD</v>
          </cell>
          <cell r="CL141" t="b">
            <v>0</v>
          </cell>
        </row>
        <row r="142">
          <cell r="A142" t="str">
            <v>Net Changes in Operating Assets and Liabilities</v>
          </cell>
          <cell r="BR142" t="str">
            <v>Net Changes in Operating Assets and Liabilities</v>
          </cell>
          <cell r="BS142">
            <v>0</v>
          </cell>
          <cell r="BT142">
            <v>0</v>
          </cell>
          <cell r="BU142">
            <v>0</v>
          </cell>
        </row>
        <row r="143">
          <cell r="A143" t="str">
            <v xml:space="preserve">    Inc(Dec) in   Accounts receivable</v>
          </cell>
          <cell r="C143">
            <v>-5.4100000000000019</v>
          </cell>
          <cell r="D143">
            <v>11.773999999999999</v>
          </cell>
          <cell r="E143">
            <v>-35.426000000000002</v>
          </cell>
          <cell r="F143">
            <v>4.3350000000000009</v>
          </cell>
          <cell r="G143">
            <v>14.734999999999999</v>
          </cell>
          <cell r="H143">
            <v>0.82600000000000229</v>
          </cell>
          <cell r="I143">
            <v>-15.53</v>
          </cell>
          <cell r="J143">
            <v>-45.621000000000002</v>
          </cell>
          <cell r="K143">
            <v>18.501000000000001</v>
          </cell>
          <cell r="L143">
            <v>20.82</v>
          </cell>
          <cell r="M143">
            <v>-1.447999999999996</v>
          </cell>
          <cell r="N143">
            <v>-7.7479999999999967</v>
          </cell>
          <cell r="O143">
            <v>-14.225</v>
          </cell>
          <cell r="P143">
            <v>4.875</v>
          </cell>
          <cell r="Q143">
            <v>18.423000000000002</v>
          </cell>
          <cell r="R143">
            <v>-0.51300000000000168</v>
          </cell>
          <cell r="S143">
            <v>8.56</v>
          </cell>
          <cell r="T143">
            <v>-37.68</v>
          </cell>
          <cell r="U143">
            <v>20.536999999999999</v>
          </cell>
          <cell r="V143">
            <v>15.343</v>
          </cell>
          <cell r="W143">
            <v>-34.051000000000002</v>
          </cell>
          <cell r="X143">
            <v>-35.850999999999999</v>
          </cell>
          <cell r="Y143">
            <v>-46.948999999999998</v>
          </cell>
          <cell r="Z143">
            <v>8.9919999999999973</v>
          </cell>
          <cell r="AA143">
            <v>9.0740000000000016</v>
          </cell>
          <cell r="AB143">
            <v>-13.401</v>
          </cell>
          <cell r="AC143">
            <v>-42.283999999999999</v>
          </cell>
          <cell r="AD143">
            <v>8.5739999999999998</v>
          </cell>
          <cell r="AE143">
            <v>36.14</v>
          </cell>
          <cell r="AF143">
            <v>12.108000000000002</v>
          </cell>
          <cell r="AG143">
            <v>-21.349000000000004</v>
          </cell>
          <cell r="AH143">
            <v>35.472999999999999</v>
          </cell>
          <cell r="AI143">
            <v>-14.212999999999999</v>
          </cell>
          <cell r="AJ143">
            <v>6.2769999999999992</v>
          </cell>
          <cell r="AK143">
            <v>-18.826000000000001</v>
          </cell>
          <cell r="AL143">
            <v>10.350000000000001</v>
          </cell>
          <cell r="AM143">
            <v>-16.411999999999999</v>
          </cell>
          <cell r="AN143">
            <v>-14.212999999999999</v>
          </cell>
          <cell r="AO143">
            <v>6.2769999999999992</v>
          </cell>
          <cell r="AP143">
            <v>-18.826000000000001</v>
          </cell>
          <cell r="AQ143">
            <v>10.350000000000001</v>
          </cell>
          <cell r="AR143">
            <v>-16.411999999999999</v>
          </cell>
          <cell r="AS143">
            <v>-38.878999999999998</v>
          </cell>
          <cell r="AT143">
            <v>-20.202000000000005</v>
          </cell>
          <cell r="AU143">
            <v>20.446000000000005</v>
          </cell>
          <cell r="AV143">
            <v>11.813999999999997</v>
          </cell>
          <cell r="AW143">
            <v>-26.821000000000002</v>
          </cell>
          <cell r="AX143">
            <v>-7.181</v>
          </cell>
          <cell r="AY143">
            <v>-28.999999999999996</v>
          </cell>
          <cell r="AZ143">
            <v>5.6989999999999972</v>
          </cell>
          <cell r="BA143">
            <v>-0.41799999999999926</v>
          </cell>
          <cell r="BB143">
            <v>-30.9</v>
          </cell>
          <cell r="BC143">
            <v>-51.664000000000001</v>
          </cell>
          <cell r="BD143">
            <v>11.283000000000001</v>
          </cell>
          <cell r="BE143">
            <v>9.36</v>
          </cell>
          <cell r="BF143">
            <v>12.527000000000001</v>
          </cell>
          <cell r="BG143">
            <v>-18.494</v>
          </cell>
          <cell r="BH143">
            <v>-65.883447444275788</v>
          </cell>
          <cell r="BI143">
            <v>18.395390172946577</v>
          </cell>
          <cell r="BJ143">
            <v>11.003820236730974</v>
          </cell>
          <cell r="BK143">
            <v>14.798760772773505</v>
          </cell>
          <cell r="BL143">
            <v>-21.685476261824732</v>
          </cell>
          <cell r="BM143">
            <v>-28.375138582822217</v>
          </cell>
          <cell r="BN143">
            <v>-28.271154917694673</v>
          </cell>
          <cell r="BO143">
            <v>-31.446600548796084</v>
          </cell>
          <cell r="BR143" t="str">
            <v xml:space="preserve">    Inc(Dec) in   Accounts receivable</v>
          </cell>
          <cell r="BS143">
            <v>11.773999999999999</v>
          </cell>
          <cell r="BT143">
            <v>-15.53</v>
          </cell>
          <cell r="BU143">
            <v>-7.7479999999999967</v>
          </cell>
          <cell r="BV143">
            <v>8.56</v>
          </cell>
          <cell r="BW143">
            <v>-35.850999999999999</v>
          </cell>
          <cell r="BX143">
            <v>-42.283999999999999</v>
          </cell>
          <cell r="BY143">
            <v>35.472999999999999</v>
          </cell>
          <cell r="BZ143">
            <v>-16.411999999999999</v>
          </cell>
          <cell r="CA143">
            <v>-26.821000000000002</v>
          </cell>
          <cell r="CB143">
            <v>-30.9</v>
          </cell>
          <cell r="CC143">
            <v>-18.494</v>
          </cell>
          <cell r="CD143">
            <v>-21.685476261824732</v>
          </cell>
          <cell r="CE143">
            <v>-28.375138582822217</v>
          </cell>
          <cell r="CF143">
            <v>-28.271154917694673</v>
          </cell>
          <cell r="CG143">
            <v>-31.446600548796084</v>
          </cell>
          <cell r="CI143" t="str">
            <v>mstag:netDecreaseInTradeReceivables</v>
          </cell>
          <cell r="CJ143">
            <v>6</v>
          </cell>
          <cell r="CK143" t="str">
            <v>ISO4217:USD</v>
          </cell>
          <cell r="CL143" t="b">
            <v>0</v>
          </cell>
        </row>
        <row r="144">
          <cell r="A144" t="str">
            <v xml:space="preserve">    Inc(Dec) in   Due from related parties</v>
          </cell>
          <cell r="C144">
            <v>-33.43</v>
          </cell>
          <cell r="D144">
            <v>-23.85</v>
          </cell>
          <cell r="E144">
            <v>32.802</v>
          </cell>
          <cell r="F144">
            <v>-0.18900000000000006</v>
          </cell>
          <cell r="G144">
            <v>0.86999999999999744</v>
          </cell>
          <cell r="H144">
            <v>1.7280000000000015</v>
          </cell>
          <cell r="I144">
            <v>35.210999999999999</v>
          </cell>
          <cell r="J144">
            <v>-2.968</v>
          </cell>
          <cell r="K144">
            <v>3.63</v>
          </cell>
          <cell r="L144">
            <v>-3.7290000000000001</v>
          </cell>
          <cell r="M144">
            <v>3.9290000000000003</v>
          </cell>
          <cell r="N144">
            <v>0.8620000000000001</v>
          </cell>
          <cell r="O144">
            <v>-2.62</v>
          </cell>
          <cell r="P144">
            <v>4.3849999999999998</v>
          </cell>
          <cell r="Q144">
            <v>0</v>
          </cell>
          <cell r="R144">
            <v>0</v>
          </cell>
          <cell r="S144">
            <v>1.7649999999999997</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R144" t="str">
            <v xml:space="preserve">    Inc(Dec) in   Due from related parties</v>
          </cell>
          <cell r="BS144">
            <v>-23.85</v>
          </cell>
          <cell r="BT144">
            <v>35.210999999999999</v>
          </cell>
          <cell r="BU144">
            <v>0.8620000000000001</v>
          </cell>
          <cell r="BV144">
            <v>1.7649999999999997</v>
          </cell>
          <cell r="BW144">
            <v>0</v>
          </cell>
          <cell r="BX144">
            <v>0</v>
          </cell>
          <cell r="BY144">
            <v>0</v>
          </cell>
          <cell r="BZ144">
            <v>0</v>
          </cell>
          <cell r="CA144">
            <v>0</v>
          </cell>
          <cell r="CB144">
            <v>0</v>
          </cell>
          <cell r="CC144">
            <v>0</v>
          </cell>
          <cell r="CD144">
            <v>0</v>
          </cell>
          <cell r="CE144">
            <v>0</v>
          </cell>
          <cell r="CF144">
            <v>0</v>
          </cell>
          <cell r="CG144">
            <v>0</v>
          </cell>
          <cell r="CI144" t="str">
            <v>mstag:netDecreaseInOtherAssets</v>
          </cell>
          <cell r="CJ144">
            <v>6</v>
          </cell>
          <cell r="CK144" t="str">
            <v>ISO4217:USD</v>
          </cell>
          <cell r="CL144" t="b">
            <v>0</v>
          </cell>
        </row>
        <row r="145">
          <cell r="A145" t="str">
            <v xml:space="preserve">    Inc(Dec) in   Prepaid and other assets</v>
          </cell>
          <cell r="C145">
            <v>2.7010000000000001</v>
          </cell>
          <cell r="D145">
            <v>-2.2189999999999999</v>
          </cell>
          <cell r="E145">
            <v>1.2809999999999999</v>
          </cell>
          <cell r="F145">
            <v>-1.23</v>
          </cell>
          <cell r="G145">
            <v>-0.20699999999999993</v>
          </cell>
          <cell r="H145">
            <v>0.64699999999999991</v>
          </cell>
          <cell r="I145">
            <v>0.49099999999999988</v>
          </cell>
          <cell r="J145">
            <v>-0.193</v>
          </cell>
          <cell r="K145">
            <v>-4.2600000000000007</v>
          </cell>
          <cell r="L145">
            <v>6.0340000000000007</v>
          </cell>
          <cell r="M145">
            <v>-10.840999999999999</v>
          </cell>
          <cell r="N145">
            <v>-9.259999999999998</v>
          </cell>
          <cell r="O145">
            <v>6.7229999999999999</v>
          </cell>
          <cell r="P145">
            <v>-0.84299999999999997</v>
          </cell>
          <cell r="Q145">
            <v>-0.64499999999999957</v>
          </cell>
          <cell r="R145">
            <v>-8.625</v>
          </cell>
          <cell r="S145">
            <v>-3.3899999999999997</v>
          </cell>
          <cell r="T145">
            <v>9.0050000000000008</v>
          </cell>
          <cell r="U145">
            <v>-12.213000000000001</v>
          </cell>
          <cell r="V145">
            <v>-2.8999999999999995</v>
          </cell>
          <cell r="W145">
            <v>26.657</v>
          </cell>
          <cell r="X145">
            <v>20.548999999999999</v>
          </cell>
          <cell r="Y145">
            <v>-8.3320000000000007</v>
          </cell>
          <cell r="Z145">
            <v>-7.134999999999998</v>
          </cell>
          <cell r="AA145">
            <v>10.678000000000001</v>
          </cell>
          <cell r="AB145">
            <v>-3.7360000000000024</v>
          </cell>
          <cell r="AC145">
            <v>-8.5250000000000004</v>
          </cell>
          <cell r="AD145">
            <v>24.356999999999999</v>
          </cell>
          <cell r="AE145">
            <v>-22.712</v>
          </cell>
          <cell r="AF145">
            <v>-1.125</v>
          </cell>
          <cell r="AG145">
            <v>5.3629999999999995</v>
          </cell>
          <cell r="AH145">
            <v>5.8829999999999991</v>
          </cell>
          <cell r="AI145">
            <v>19.244999999999997</v>
          </cell>
          <cell r="AJ145">
            <v>-29.601999999999997</v>
          </cell>
          <cell r="AK145">
            <v>-6.1030000000000015</v>
          </cell>
          <cell r="AL145">
            <v>19.928000000000001</v>
          </cell>
          <cell r="AM145">
            <v>3.468</v>
          </cell>
          <cell r="AN145">
            <v>19.244999999999997</v>
          </cell>
          <cell r="AO145">
            <v>-29.601999999999997</v>
          </cell>
          <cell r="AP145">
            <v>-6.1030000000000015</v>
          </cell>
          <cell r="AQ145">
            <v>19.928000000000001</v>
          </cell>
          <cell r="AR145">
            <v>3.468</v>
          </cell>
          <cell r="AS145">
            <v>9.7669999999999995</v>
          </cell>
          <cell r="AT145">
            <v>-35.525999999999996</v>
          </cell>
          <cell r="AU145">
            <v>-2.1360000000000028</v>
          </cell>
          <cell r="AV145">
            <v>3.0400000000000027</v>
          </cell>
          <cell r="AW145">
            <v>-24.854999999999997</v>
          </cell>
          <cell r="AX145">
            <v>15.016</v>
          </cell>
          <cell r="AY145">
            <v>-24.926000000000002</v>
          </cell>
          <cell r="AZ145">
            <v>18.418000000000006</v>
          </cell>
          <cell r="BA145">
            <v>-11.697000000000005</v>
          </cell>
          <cell r="BB145">
            <v>-3.1890000000000001</v>
          </cell>
          <cell r="BC145">
            <v>22.515999999999998</v>
          </cell>
          <cell r="BD145">
            <v>-25.367999999999995</v>
          </cell>
          <cell r="BE145">
            <v>33.872999999999998</v>
          </cell>
          <cell r="BF145">
            <v>10.935</v>
          </cell>
          <cell r="BG145">
            <v>41.956000000000003</v>
          </cell>
          <cell r="BH145">
            <v>-20.924398802497471</v>
          </cell>
          <cell r="BI145">
            <v>-26.719491766578216</v>
          </cell>
          <cell r="BJ145">
            <v>34.05862934799746</v>
          </cell>
          <cell r="BK145">
            <v>10.767246883539592</v>
          </cell>
          <cell r="BL145">
            <v>-2.8180143375386351</v>
          </cell>
          <cell r="BM145">
            <v>-3.2319021638990932</v>
          </cell>
          <cell r="BN145">
            <v>-3.6362629094507568</v>
          </cell>
          <cell r="BO145">
            <v>-3.9872943755419925</v>
          </cell>
          <cell r="BR145" t="str">
            <v xml:space="preserve">    Inc(Dec) in   Prepaid and other assets</v>
          </cell>
          <cell r="BS145">
            <v>-2.2189999999999999</v>
          </cell>
          <cell r="BT145">
            <v>0.49099999999999988</v>
          </cell>
          <cell r="BU145">
            <v>-9.259999999999998</v>
          </cell>
          <cell r="BV145">
            <v>-3.3899999999999997</v>
          </cell>
          <cell r="BW145">
            <v>20.548999999999999</v>
          </cell>
          <cell r="BX145">
            <v>-8.5250000000000004</v>
          </cell>
          <cell r="BY145">
            <v>5.8829999999999991</v>
          </cell>
          <cell r="BZ145">
            <v>3.468</v>
          </cell>
          <cell r="CA145">
            <v>-24.854999999999997</v>
          </cell>
          <cell r="CB145">
            <v>-3.1890000000000001</v>
          </cell>
          <cell r="CC145">
            <v>41.956000000000003</v>
          </cell>
          <cell r="CD145">
            <v>-2.8180143375386351</v>
          </cell>
          <cell r="CE145">
            <v>-3.2319021638990932</v>
          </cell>
          <cell r="CF145">
            <v>-3.6362629094507568</v>
          </cell>
          <cell r="CG145">
            <v>-3.9872943755419925</v>
          </cell>
          <cell r="CI145" t="str">
            <v>mstag:netDecreaseInPrepaidExpenses</v>
          </cell>
          <cell r="CJ145">
            <v>6</v>
          </cell>
          <cell r="CK145" t="str">
            <v>ISO4217:USD</v>
          </cell>
          <cell r="CL145" t="b">
            <v>0</v>
          </cell>
        </row>
        <row r="146">
          <cell r="A146" t="str">
            <v xml:space="preserve">    Inc(Dec) in   Accounts payable</v>
          </cell>
          <cell r="C146">
            <v>0</v>
          </cell>
          <cell r="D146">
            <v>0</v>
          </cell>
          <cell r="E146">
            <v>0</v>
          </cell>
          <cell r="F146">
            <v>0</v>
          </cell>
          <cell r="G146">
            <v>0</v>
          </cell>
          <cell r="H146">
            <v>0</v>
          </cell>
          <cell r="I146">
            <v>0</v>
          </cell>
          <cell r="J146">
            <v>0</v>
          </cell>
          <cell r="K146">
            <v>0</v>
          </cell>
          <cell r="L146">
            <v>1.96</v>
          </cell>
          <cell r="M146">
            <v>-1.6879999999999999</v>
          </cell>
          <cell r="N146">
            <v>0.27200000000000002</v>
          </cell>
          <cell r="O146">
            <v>-0.35899999999999999</v>
          </cell>
          <cell r="P146">
            <v>37.564</v>
          </cell>
          <cell r="Q146">
            <v>-4.3639999999999972</v>
          </cell>
          <cell r="R146">
            <v>-32.152999999999999</v>
          </cell>
          <cell r="S146">
            <v>0.68800000000000239</v>
          </cell>
          <cell r="T146">
            <v>-1.466</v>
          </cell>
          <cell r="U146">
            <v>0.13100000000000001</v>
          </cell>
          <cell r="V146">
            <v>-2.0340000000000003</v>
          </cell>
          <cell r="W146">
            <v>0.71600000000000019</v>
          </cell>
          <cell r="X146">
            <v>-2.653</v>
          </cell>
          <cell r="Y146">
            <v>0.27100000000000002</v>
          </cell>
          <cell r="Z146">
            <v>0.16099999999999998</v>
          </cell>
          <cell r="AA146">
            <v>-0.19500000000000001</v>
          </cell>
          <cell r="AB146">
            <v>-0.18</v>
          </cell>
          <cell r="AC146">
            <v>5.6999999999999995E-2</v>
          </cell>
          <cell r="AD146">
            <v>-7.0000000000000007E-2</v>
          </cell>
          <cell r="AE146">
            <v>0.48399999999999999</v>
          </cell>
          <cell r="AF146">
            <v>1.034</v>
          </cell>
          <cell r="AG146">
            <v>0.53100000000000014</v>
          </cell>
          <cell r="AH146">
            <v>1.9790000000000001</v>
          </cell>
          <cell r="AI146">
            <v>-2.1789999999999998</v>
          </cell>
          <cell r="AJ146">
            <v>-0.16400000000000015</v>
          </cell>
          <cell r="AK146">
            <v>0.32600000000000007</v>
          </cell>
          <cell r="AL146">
            <v>-0.12800000000000011</v>
          </cell>
          <cell r="AM146">
            <v>-2.145</v>
          </cell>
          <cell r="AN146">
            <v>-2.1789999999999998</v>
          </cell>
          <cell r="AO146">
            <v>-0.16400000000000015</v>
          </cell>
          <cell r="AP146">
            <v>0.32600000000000007</v>
          </cell>
          <cell r="AQ146">
            <v>-0.12800000000000011</v>
          </cell>
          <cell r="AR146">
            <v>-2.145</v>
          </cell>
          <cell r="AS146">
            <v>0.34899999999999998</v>
          </cell>
          <cell r="AT146">
            <v>0.88000000000000012</v>
          </cell>
          <cell r="AU146">
            <v>-0.25600000000000012</v>
          </cell>
          <cell r="AV146">
            <v>1.1550000000000002</v>
          </cell>
          <cell r="AW146">
            <v>2.1280000000000001</v>
          </cell>
          <cell r="AX146">
            <v>-1.681</v>
          </cell>
          <cell r="AY146">
            <v>1.012</v>
          </cell>
          <cell r="AZ146">
            <v>-0.34299999999999997</v>
          </cell>
          <cell r="BA146">
            <v>0.71399999999999997</v>
          </cell>
          <cell r="BB146">
            <v>-0.29800000000000004</v>
          </cell>
          <cell r="BC146">
            <v>-1.006</v>
          </cell>
          <cell r="BD146">
            <v>0.21599999999999997</v>
          </cell>
          <cell r="BE146">
            <v>-0.47299999999999986</v>
          </cell>
          <cell r="BF146">
            <v>-0.64900000000000002</v>
          </cell>
          <cell r="BG146">
            <v>-1.9119999999999999</v>
          </cell>
          <cell r="BH146">
            <v>1.0420464729016237</v>
          </cell>
          <cell r="BI146">
            <v>0.24294817252345968</v>
          </cell>
          <cell r="BJ146">
            <v>-0.54247819237929673</v>
          </cell>
          <cell r="BK146">
            <v>-0.71078605389181737</v>
          </cell>
          <cell r="BL146">
            <v>3.1730399153969246E-2</v>
          </cell>
          <cell r="BM146">
            <v>3.4732523440957785E-2</v>
          </cell>
          <cell r="BN146">
            <v>3.8727923502314687E-2</v>
          </cell>
          <cell r="BO146">
            <v>4.195812444496605E-2</v>
          </cell>
          <cell r="BR146" t="str">
            <v xml:space="preserve">    Inc(Dec) in   Accounts payable</v>
          </cell>
          <cell r="BS146">
            <v>0</v>
          </cell>
          <cell r="BT146">
            <v>0</v>
          </cell>
          <cell r="BU146">
            <v>0.27200000000000002</v>
          </cell>
          <cell r="BV146">
            <v>0.68800000000000239</v>
          </cell>
          <cell r="BW146">
            <v>-2.653</v>
          </cell>
          <cell r="BX146">
            <v>5.6999999999999995E-2</v>
          </cell>
          <cell r="BY146">
            <v>1.9790000000000001</v>
          </cell>
          <cell r="BZ146">
            <v>-2.145</v>
          </cell>
          <cell r="CA146">
            <v>2.1280000000000001</v>
          </cell>
          <cell r="CB146">
            <v>-0.29800000000000004</v>
          </cell>
          <cell r="CC146">
            <v>-1.9119999999999999</v>
          </cell>
          <cell r="CD146">
            <v>3.1730399153969246E-2</v>
          </cell>
          <cell r="CE146">
            <v>3.4732523440957785E-2</v>
          </cell>
          <cell r="CF146">
            <v>3.8727923502314687E-2</v>
          </cell>
          <cell r="CG146">
            <v>4.195812444496605E-2</v>
          </cell>
          <cell r="CI146" t="str">
            <v>mstag:netIncreaseInTradeAndOtherPayables</v>
          </cell>
          <cell r="CJ146">
            <v>6</v>
          </cell>
          <cell r="CK146" t="str">
            <v>ISO4217:USD</v>
          </cell>
          <cell r="CL146" t="b">
            <v>0</v>
          </cell>
        </row>
        <row r="147">
          <cell r="A147" t="str">
            <v xml:space="preserve">    Inc(Dec) in   Payable to related parties</v>
          </cell>
          <cell r="C147">
            <v>52.628</v>
          </cell>
          <cell r="D147">
            <v>-5.5659999999999998</v>
          </cell>
          <cell r="E147">
            <v>-20.919</v>
          </cell>
          <cell r="F147">
            <v>-13.464000000000002</v>
          </cell>
          <cell r="G147">
            <v>-17.898999999999994</v>
          </cell>
          <cell r="H147">
            <v>4.7489999999999952</v>
          </cell>
          <cell r="I147">
            <v>-47.533000000000001</v>
          </cell>
          <cell r="J147">
            <v>24.184000000000001</v>
          </cell>
          <cell r="K147">
            <v>-9.1770000000000014</v>
          </cell>
          <cell r="L147">
            <v>-16.913</v>
          </cell>
          <cell r="M147">
            <v>24.198000000000004</v>
          </cell>
          <cell r="N147">
            <v>22.292000000000002</v>
          </cell>
          <cell r="O147">
            <v>1.9630000000000001</v>
          </cell>
          <cell r="P147">
            <v>-36.954999999999998</v>
          </cell>
          <cell r="Q147">
            <v>0</v>
          </cell>
          <cell r="R147">
            <v>0</v>
          </cell>
          <cell r="S147">
            <v>-34.991999999999997</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R147" t="str">
            <v xml:space="preserve">    Inc(Dec) in   Payable to related parties</v>
          </cell>
          <cell r="BS147">
            <v>-5.5659999999999998</v>
          </cell>
          <cell r="BT147">
            <v>-47.533000000000001</v>
          </cell>
          <cell r="BU147">
            <v>22.292000000000002</v>
          </cell>
          <cell r="BV147">
            <v>-34.991999999999997</v>
          </cell>
          <cell r="BW147">
            <v>0</v>
          </cell>
          <cell r="BX147">
            <v>0</v>
          </cell>
          <cell r="BY147">
            <v>0</v>
          </cell>
          <cell r="BZ147">
            <v>0</v>
          </cell>
          <cell r="CA147">
            <v>0</v>
          </cell>
          <cell r="CB147">
            <v>0</v>
          </cell>
          <cell r="CC147">
            <v>0</v>
          </cell>
          <cell r="CD147">
            <v>0</v>
          </cell>
          <cell r="CE147">
            <v>0</v>
          </cell>
          <cell r="CF147">
            <v>0</v>
          </cell>
          <cell r="CG147">
            <v>0</v>
          </cell>
          <cell r="CI147" t="str">
            <v>mstag:netIncreaseInOtherPayablesAndAccruedExpenses</v>
          </cell>
          <cell r="CJ147">
            <v>6</v>
          </cell>
          <cell r="CK147" t="str">
            <v>ISO4217:USD</v>
          </cell>
          <cell r="CL147" t="b">
            <v>0</v>
          </cell>
        </row>
        <row r="148">
          <cell r="A148" t="str">
            <v xml:space="preserve">    Inc(Dec) in   Deferred revenue</v>
          </cell>
          <cell r="C148">
            <v>-2.7220000000000013</v>
          </cell>
          <cell r="D148">
            <v>14.416</v>
          </cell>
          <cell r="E148">
            <v>37.624000000000002</v>
          </cell>
          <cell r="F148">
            <v>-0.33800000000000097</v>
          </cell>
          <cell r="G148">
            <v>-8.2380000000000031</v>
          </cell>
          <cell r="H148">
            <v>-6.1859999999999999</v>
          </cell>
          <cell r="I148">
            <v>22.861999999999998</v>
          </cell>
          <cell r="J148">
            <v>42.106000000000002</v>
          </cell>
          <cell r="K148">
            <v>1.4879999999999995</v>
          </cell>
          <cell r="L148">
            <v>-10.127000000000002</v>
          </cell>
          <cell r="M148">
            <v>-10.683999999999997</v>
          </cell>
          <cell r="N148">
            <v>22.783000000000001</v>
          </cell>
          <cell r="O148">
            <v>33.548000000000002</v>
          </cell>
          <cell r="P148">
            <v>-3.5850000000000009</v>
          </cell>
          <cell r="Q148">
            <v>-10.516000000000002</v>
          </cell>
          <cell r="R148">
            <v>-14.828999999999999</v>
          </cell>
          <cell r="S148">
            <v>4.6180000000000003</v>
          </cell>
          <cell r="T148">
            <v>18.007999999999999</v>
          </cell>
          <cell r="U148">
            <v>14.826000000000004</v>
          </cell>
          <cell r="V148">
            <v>-16.792000000000002</v>
          </cell>
          <cell r="W148">
            <v>-12.062000000000001</v>
          </cell>
          <cell r="X148">
            <v>3.9800000000000004</v>
          </cell>
          <cell r="Y148">
            <v>14.343999999999999</v>
          </cell>
          <cell r="Z148">
            <v>12.452</v>
          </cell>
          <cell r="AA148">
            <v>-5.629999999999999</v>
          </cell>
          <cell r="AB148">
            <v>-1.786999999999999</v>
          </cell>
          <cell r="AC148">
            <v>19.379000000000001</v>
          </cell>
          <cell r="AD148">
            <v>40.951000000000001</v>
          </cell>
          <cell r="AE148">
            <v>4.0279999999999987</v>
          </cell>
          <cell r="AF148">
            <v>-11.677999999999997</v>
          </cell>
          <cell r="AG148">
            <v>-14.956000000000003</v>
          </cell>
          <cell r="AH148">
            <v>18.344999999999999</v>
          </cell>
          <cell r="AI148">
            <v>43.405000000000001</v>
          </cell>
          <cell r="AJ148">
            <v>-2.0859999999999985</v>
          </cell>
          <cell r="AK148">
            <v>-15.865000000000002</v>
          </cell>
          <cell r="AL148">
            <v>-14.055000000000001</v>
          </cell>
          <cell r="AM148">
            <v>11.398999999999999</v>
          </cell>
          <cell r="AN148">
            <v>43.405000000000001</v>
          </cell>
          <cell r="AO148">
            <v>-2.0859999999999985</v>
          </cell>
          <cell r="AP148">
            <v>-15.865000000000002</v>
          </cell>
          <cell r="AQ148">
            <v>-14.055000000000001</v>
          </cell>
          <cell r="AR148">
            <v>11.398999999999999</v>
          </cell>
          <cell r="AS148">
            <v>46.167000000000002</v>
          </cell>
          <cell r="AT148">
            <v>8.3170000000000002</v>
          </cell>
          <cell r="AU148">
            <v>-4.18</v>
          </cell>
          <cell r="AV148">
            <v>-8.0410000000000039</v>
          </cell>
          <cell r="AW148">
            <v>42.262999999999998</v>
          </cell>
          <cell r="AX148">
            <v>34.716999999999999</v>
          </cell>
          <cell r="AY148">
            <v>-6.727999999999998</v>
          </cell>
          <cell r="AZ148">
            <v>-10.004000000000001</v>
          </cell>
          <cell r="BA148">
            <v>-9.9379999999999988</v>
          </cell>
          <cell r="BB148">
            <v>8.0470000000000006</v>
          </cell>
          <cell r="BC148">
            <v>42.039000000000001</v>
          </cell>
          <cell r="BD148">
            <v>5.9329999999999998</v>
          </cell>
          <cell r="BE148">
            <v>-20.635000000000002</v>
          </cell>
          <cell r="BF148">
            <v>-5.5279999999999987</v>
          </cell>
          <cell r="BG148">
            <v>21.809000000000001</v>
          </cell>
          <cell r="BH148">
            <v>43.88755080610855</v>
          </cell>
          <cell r="BI148">
            <v>-1.6366491505081058</v>
          </cell>
          <cell r="BJ148">
            <v>-21.228316193305659</v>
          </cell>
          <cell r="BK148">
            <v>-9.1747295157146027</v>
          </cell>
          <cell r="BL148">
            <v>11.847855946580182</v>
          </cell>
          <cell r="BM148">
            <v>13.814616559129604</v>
          </cell>
          <cell r="BN148">
            <v>13.301406333023237</v>
          </cell>
          <cell r="BO148">
            <v>13.804533951497831</v>
          </cell>
          <cell r="BR148" t="str">
            <v xml:space="preserve">    Inc(Dec) in   Deferred revenue</v>
          </cell>
          <cell r="BS148">
            <v>14.416</v>
          </cell>
          <cell r="BT148">
            <v>22.861999999999998</v>
          </cell>
          <cell r="BU148">
            <v>22.783000000000001</v>
          </cell>
          <cell r="BV148">
            <v>4.6180000000000003</v>
          </cell>
          <cell r="BW148">
            <v>3.9800000000000004</v>
          </cell>
          <cell r="BX148">
            <v>19.379000000000001</v>
          </cell>
          <cell r="BY148">
            <v>18.344999999999999</v>
          </cell>
          <cell r="BZ148">
            <v>11.398999999999999</v>
          </cell>
          <cell r="CA148">
            <v>42.262999999999998</v>
          </cell>
          <cell r="CB148">
            <v>8.0470000000000006</v>
          </cell>
          <cell r="CC148">
            <v>21.809000000000001</v>
          </cell>
          <cell r="CD148">
            <v>11.847855946580182</v>
          </cell>
          <cell r="CE148">
            <v>13.814616559129604</v>
          </cell>
          <cell r="CF148">
            <v>13.301406333023237</v>
          </cell>
          <cell r="CG148">
            <v>13.804533951497831</v>
          </cell>
          <cell r="CI148" t="str">
            <v>mstag:netIncreaseInDeferredRevenue</v>
          </cell>
          <cell r="CJ148">
            <v>6</v>
          </cell>
          <cell r="CK148" t="str">
            <v>ISO4217:USD</v>
          </cell>
          <cell r="CL148" t="b">
            <v>0</v>
          </cell>
        </row>
        <row r="149">
          <cell r="A149" t="str">
            <v xml:space="preserve">    Inc(Dec) in  Accrued comp. and related benefits</v>
          </cell>
          <cell r="C149">
            <v>16.678999999999998</v>
          </cell>
          <cell r="D149">
            <v>14.728</v>
          </cell>
          <cell r="E149">
            <v>-27.928000000000001</v>
          </cell>
          <cell r="F149">
            <v>8.3829999999999991</v>
          </cell>
          <cell r="G149">
            <v>11.137000000000002</v>
          </cell>
          <cell r="H149">
            <v>17.028999999999996</v>
          </cell>
          <cell r="I149">
            <v>8.6209999999999969</v>
          </cell>
          <cell r="J149">
            <v>-30.707999999999998</v>
          </cell>
          <cell r="K149">
            <v>12.547999999999998</v>
          </cell>
          <cell r="L149">
            <v>15.247</v>
          </cell>
          <cell r="M149">
            <v>0.73000000000000043</v>
          </cell>
          <cell r="N149">
            <v>-2.1829999999999998</v>
          </cell>
          <cell r="O149">
            <v>-35.552999999999997</v>
          </cell>
          <cell r="P149">
            <v>13.660999999999998</v>
          </cell>
          <cell r="Q149">
            <v>11.535</v>
          </cell>
          <cell r="R149">
            <v>15.872</v>
          </cell>
          <cell r="S149">
            <v>5.5150000000000006</v>
          </cell>
          <cell r="T149">
            <v>-39.374000000000002</v>
          </cell>
          <cell r="U149">
            <v>12.401000000000003</v>
          </cell>
          <cell r="V149">
            <v>19.596</v>
          </cell>
          <cell r="W149">
            <v>22.951000000000001</v>
          </cell>
          <cell r="X149">
            <v>15.574000000000002</v>
          </cell>
          <cell r="Y149">
            <v>-61.747</v>
          </cell>
          <cell r="Z149">
            <v>22.884999999999998</v>
          </cell>
          <cell r="AA149">
            <v>23.723000000000003</v>
          </cell>
          <cell r="AB149">
            <v>21.544999999999998</v>
          </cell>
          <cell r="AC149">
            <v>6.4059999999999988</v>
          </cell>
          <cell r="AD149">
            <v>-71.23</v>
          </cell>
          <cell r="AE149">
            <v>24.462000000000003</v>
          </cell>
          <cell r="AF149">
            <v>24.085000000000001</v>
          </cell>
          <cell r="AG149">
            <v>21.849</v>
          </cell>
          <cell r="AH149">
            <v>-0.83399999999999963</v>
          </cell>
          <cell r="AI149">
            <v>-61.639000000000003</v>
          </cell>
          <cell r="AJ149">
            <v>19.240000000000002</v>
          </cell>
          <cell r="AK149">
            <v>26.238</v>
          </cell>
          <cell r="AL149">
            <v>23.218000000000004</v>
          </cell>
          <cell r="AM149">
            <v>7.0570000000000022</v>
          </cell>
          <cell r="AN149">
            <v>-61.639000000000003</v>
          </cell>
          <cell r="AO149">
            <v>19.240000000000002</v>
          </cell>
          <cell r="AP149">
            <v>26.238</v>
          </cell>
          <cell r="AQ149">
            <v>23.218000000000004</v>
          </cell>
          <cell r="AR149">
            <v>7.0570000000000022</v>
          </cell>
          <cell r="AS149">
            <v>-68.646000000000001</v>
          </cell>
          <cell r="AT149">
            <v>26.408999999999999</v>
          </cell>
          <cell r="AU149">
            <v>22.656000000000002</v>
          </cell>
          <cell r="AV149">
            <v>19.669</v>
          </cell>
          <cell r="AW149">
            <v>8.8000000000000966E-2</v>
          </cell>
          <cell r="AX149">
            <v>-63.350999999999999</v>
          </cell>
          <cell r="AY149">
            <v>25.64</v>
          </cell>
          <cell r="AZ149">
            <v>22.542000000000002</v>
          </cell>
          <cell r="BA149">
            <v>20.255999999999997</v>
          </cell>
          <cell r="BB149">
            <v>5.0869999999999997</v>
          </cell>
          <cell r="BC149">
            <v>-62.258000000000003</v>
          </cell>
          <cell r="BD149">
            <v>22.870000000000005</v>
          </cell>
          <cell r="BE149">
            <v>28.210999999999999</v>
          </cell>
          <cell r="BF149">
            <v>24.265999999999998</v>
          </cell>
          <cell r="BG149">
            <v>13.088999999999999</v>
          </cell>
          <cell r="BH149">
            <v>-70.347666921228736</v>
          </cell>
          <cell r="BI149">
            <v>23.166867430216783</v>
          </cell>
          <cell r="BJ149">
            <v>30.776277243043097</v>
          </cell>
          <cell r="BK149">
            <v>24.333798960319783</v>
          </cell>
          <cell r="BL149">
            <v>7.9292767123509265</v>
          </cell>
          <cell r="BM149">
            <v>9.0938666363156102</v>
          </cell>
          <cell r="BN149">
            <v>10.231649436204492</v>
          </cell>
          <cell r="BO149">
            <v>11.219375294196652</v>
          </cell>
          <cell r="BR149" t="str">
            <v xml:space="preserve">    Inc(Dec) in  Accrued comp. and related benefits</v>
          </cell>
          <cell r="BS149">
            <v>14.728</v>
          </cell>
          <cell r="BT149">
            <v>8.6209999999999969</v>
          </cell>
          <cell r="BU149">
            <v>-2.1829999999999998</v>
          </cell>
          <cell r="BV149">
            <v>5.5150000000000006</v>
          </cell>
          <cell r="BW149">
            <v>15.574000000000002</v>
          </cell>
          <cell r="BX149">
            <v>6.4059999999999988</v>
          </cell>
          <cell r="BY149">
            <v>-0.83399999999999963</v>
          </cell>
          <cell r="BZ149">
            <v>7.0570000000000022</v>
          </cell>
          <cell r="CA149">
            <v>8.8000000000000966E-2</v>
          </cell>
          <cell r="CB149">
            <v>5.0869999999999997</v>
          </cell>
          <cell r="CC149">
            <v>13.088999999999999</v>
          </cell>
          <cell r="CD149">
            <v>7.9292767123509265</v>
          </cell>
          <cell r="CE149">
            <v>9.0938666363156102</v>
          </cell>
          <cell r="CF149">
            <v>10.231649436204492</v>
          </cell>
          <cell r="CG149">
            <v>11.219375294196652</v>
          </cell>
          <cell r="CI149" t="str">
            <v>mstag:netIncreaseInAccruedExpenses</v>
          </cell>
          <cell r="CJ149">
            <v>6</v>
          </cell>
          <cell r="CK149" t="str">
            <v>ISO4217:USD</v>
          </cell>
          <cell r="CL149" t="b">
            <v>0</v>
          </cell>
        </row>
        <row r="150">
          <cell r="A150" t="str">
            <v xml:space="preserve">    Inc(Dec) in   Income taxes payable</v>
          </cell>
          <cell r="C150">
            <v>0.77300000000000058</v>
          </cell>
          <cell r="D150">
            <v>-7.01</v>
          </cell>
          <cell r="E150">
            <v>-0.99299999999999999</v>
          </cell>
          <cell r="F150">
            <v>0.88500000000000001</v>
          </cell>
          <cell r="G150">
            <v>-0.43700000000000006</v>
          </cell>
          <cell r="H150">
            <v>15.744</v>
          </cell>
          <cell r="I150">
            <v>15.199</v>
          </cell>
          <cell r="J150">
            <v>5.8470000000000004</v>
          </cell>
          <cell r="K150">
            <v>3.8779999999999992</v>
          </cell>
          <cell r="L150">
            <v>-5.31</v>
          </cell>
          <cell r="M150">
            <v>-19.997</v>
          </cell>
          <cell r="N150">
            <v>-15.582000000000001</v>
          </cell>
          <cell r="O150">
            <v>0.65600000000000003</v>
          </cell>
          <cell r="P150">
            <v>-0.65600000000000003</v>
          </cell>
          <cell r="Q150">
            <v>0.45900000000000002</v>
          </cell>
          <cell r="R150">
            <v>-0.45900000000000002</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cell r="BM150">
            <v>0</v>
          </cell>
          <cell r="BN150">
            <v>0</v>
          </cell>
          <cell r="BO150">
            <v>0</v>
          </cell>
          <cell r="BR150" t="str">
            <v xml:space="preserve">    Inc(Dec) in   Income taxes payable</v>
          </cell>
          <cell r="BS150">
            <v>-7.01</v>
          </cell>
          <cell r="BT150">
            <v>15.199</v>
          </cell>
          <cell r="BU150">
            <v>-15.582000000000001</v>
          </cell>
          <cell r="BV150">
            <v>0</v>
          </cell>
          <cell r="BW150">
            <v>0</v>
          </cell>
          <cell r="BX150">
            <v>0</v>
          </cell>
          <cell r="BY150">
            <v>0</v>
          </cell>
          <cell r="BZ150">
            <v>0</v>
          </cell>
          <cell r="CA150">
            <v>0</v>
          </cell>
          <cell r="CB150">
            <v>0</v>
          </cell>
          <cell r="CC150">
            <v>0</v>
          </cell>
          <cell r="CD150">
            <v>0</v>
          </cell>
          <cell r="CE150">
            <v>0</v>
          </cell>
          <cell r="CF150">
            <v>0</v>
          </cell>
          <cell r="CG150">
            <v>0</v>
          </cell>
          <cell r="CI150" t="str">
            <v>mstag:netIncreaseInIncomeTaxPayableReceivable</v>
          </cell>
          <cell r="CJ150">
            <v>6</v>
          </cell>
          <cell r="CK150" t="str">
            <v>ISO4217:USD</v>
          </cell>
          <cell r="CL150" t="b">
            <v>0</v>
          </cell>
        </row>
        <row r="151">
          <cell r="A151" t="str">
            <v xml:space="preserve">    Inc(Dec) in   Other accrued liabilities</v>
          </cell>
          <cell r="C151">
            <v>-0.71199999999999974</v>
          </cell>
          <cell r="D151">
            <v>-10.374000000000001</v>
          </cell>
          <cell r="E151">
            <v>1.3049999999999999</v>
          </cell>
          <cell r="F151">
            <v>2.8680000000000003</v>
          </cell>
          <cell r="G151">
            <v>2.4080000000000004</v>
          </cell>
          <cell r="H151">
            <v>-3.1260000000000003</v>
          </cell>
          <cell r="I151">
            <v>3.4550000000000001</v>
          </cell>
          <cell r="J151">
            <v>1.0489999999999999</v>
          </cell>
          <cell r="K151">
            <v>4.7409999999999997</v>
          </cell>
          <cell r="L151">
            <v>-2.8389999999999991</v>
          </cell>
          <cell r="M151">
            <v>7.2779999999999987</v>
          </cell>
          <cell r="N151">
            <v>10.228999999999999</v>
          </cell>
          <cell r="O151">
            <v>0.77100000000000002</v>
          </cell>
          <cell r="P151">
            <v>-3.1579999999999999</v>
          </cell>
          <cell r="Q151">
            <v>3.073</v>
          </cell>
          <cell r="R151">
            <v>0.81300000000000017</v>
          </cell>
          <cell r="S151">
            <v>1.4990000000000001</v>
          </cell>
          <cell r="T151">
            <v>2.14</v>
          </cell>
          <cell r="U151">
            <v>-4.3550000000000004</v>
          </cell>
          <cell r="V151">
            <v>-7.6560000000000006</v>
          </cell>
          <cell r="W151">
            <v>3.3480000000000008</v>
          </cell>
          <cell r="X151">
            <v>-6.5229999999999997</v>
          </cell>
          <cell r="Y151">
            <v>1.0349999999999999</v>
          </cell>
          <cell r="Z151">
            <v>0.4930000000000001</v>
          </cell>
          <cell r="AA151">
            <v>-4.6110000000000007</v>
          </cell>
          <cell r="AB151">
            <v>-0.31699999999999928</v>
          </cell>
          <cell r="AC151">
            <v>-3.4</v>
          </cell>
          <cell r="AD151">
            <v>1.3919999999999999</v>
          </cell>
          <cell r="AE151">
            <v>-3.4990000000000001</v>
          </cell>
          <cell r="AF151">
            <v>-2.4239999999999995</v>
          </cell>
          <cell r="AG151">
            <v>-3.7020000000000008</v>
          </cell>
          <cell r="AH151">
            <v>-8.2330000000000005</v>
          </cell>
          <cell r="AI151">
            <v>2.8140000000000001</v>
          </cell>
          <cell r="AJ151">
            <v>-6.593</v>
          </cell>
          <cell r="AK151">
            <v>6.9260000000000002</v>
          </cell>
          <cell r="AL151">
            <v>-3.407</v>
          </cell>
          <cell r="AM151">
            <v>-0.25999999999999979</v>
          </cell>
          <cell r="AN151">
            <v>2.8140000000000001</v>
          </cell>
          <cell r="AO151">
            <v>-6.593</v>
          </cell>
          <cell r="AP151">
            <v>6.9260000000000002</v>
          </cell>
          <cell r="AQ151">
            <v>-3.407</v>
          </cell>
          <cell r="AR151">
            <v>-0.25999999999999979</v>
          </cell>
          <cell r="AS151">
            <v>3.48</v>
          </cell>
          <cell r="AT151">
            <v>8.3099999999999987</v>
          </cell>
          <cell r="AU151">
            <v>-5.2379999999999995</v>
          </cell>
          <cell r="AV151">
            <v>1.8760000000000012</v>
          </cell>
          <cell r="AW151">
            <v>8.4280000000000008</v>
          </cell>
          <cell r="AX151">
            <v>11.331</v>
          </cell>
          <cell r="AY151">
            <v>-10.244</v>
          </cell>
          <cell r="AZ151">
            <v>18.759</v>
          </cell>
          <cell r="BA151">
            <v>-2.6810000000000009</v>
          </cell>
          <cell r="BB151">
            <v>17.164999999999999</v>
          </cell>
          <cell r="BC151">
            <v>-1.325</v>
          </cell>
          <cell r="BD151">
            <v>9.0489999999999995</v>
          </cell>
          <cell r="BE151">
            <v>4.6410000000000009</v>
          </cell>
          <cell r="BF151">
            <v>7.3759999999999994</v>
          </cell>
          <cell r="BG151">
            <v>19.741</v>
          </cell>
          <cell r="BH151">
            <v>-15.757299860346151</v>
          </cell>
          <cell r="BI151">
            <v>12.475542396635959</v>
          </cell>
          <cell r="BJ151">
            <v>1.5260521789695787</v>
          </cell>
          <cell r="BK151">
            <v>7.2497415053633318</v>
          </cell>
          <cell r="BL151">
            <v>5.4940362206227178</v>
          </cell>
          <cell r="BM151">
            <v>6.3009571361796333</v>
          </cell>
          <cell r="BN151">
            <v>7.0893039350817446</v>
          </cell>
          <cell r="BO151">
            <v>7.7736792995335833</v>
          </cell>
          <cell r="BR151" t="str">
            <v xml:space="preserve">    Inc(Dec) in   Other accrued liabilities</v>
          </cell>
          <cell r="BS151">
            <v>-10.374000000000001</v>
          </cell>
          <cell r="BT151">
            <v>3.4550000000000001</v>
          </cell>
          <cell r="BU151">
            <v>10.228999999999999</v>
          </cell>
          <cell r="BV151">
            <v>1.4990000000000001</v>
          </cell>
          <cell r="BW151">
            <v>-6.5229999999999997</v>
          </cell>
          <cell r="BX151">
            <v>-3.4</v>
          </cell>
          <cell r="BY151">
            <v>-8.2330000000000005</v>
          </cell>
          <cell r="BZ151">
            <v>-0.25999999999999979</v>
          </cell>
          <cell r="CA151">
            <v>8.4280000000000008</v>
          </cell>
          <cell r="CB151">
            <v>17.164999999999999</v>
          </cell>
          <cell r="CC151">
            <v>19.741</v>
          </cell>
          <cell r="CD151">
            <v>5.4940362206227178</v>
          </cell>
          <cell r="CE151">
            <v>6.3009571361796333</v>
          </cell>
          <cell r="CF151">
            <v>7.0893039350817446</v>
          </cell>
          <cell r="CG151">
            <v>7.7736792995335833</v>
          </cell>
          <cell r="CI151" t="str">
            <v>mstag:netIncreaseInAccruedExpenses</v>
          </cell>
          <cell r="CJ151">
            <v>6</v>
          </cell>
          <cell r="CK151" t="str">
            <v>ISO4217:USD</v>
          </cell>
          <cell r="CL151" t="b">
            <v>0</v>
          </cell>
        </row>
        <row r="152">
          <cell r="A152" t="str">
            <v xml:space="preserve">    Inc(Dec) in   Other </v>
          </cell>
          <cell r="C152">
            <v>0</v>
          </cell>
          <cell r="D152">
            <v>0</v>
          </cell>
          <cell r="E152">
            <v>0</v>
          </cell>
          <cell r="F152">
            <v>0</v>
          </cell>
          <cell r="G152">
            <v>0</v>
          </cell>
          <cell r="H152">
            <v>0</v>
          </cell>
          <cell r="I152">
            <v>0</v>
          </cell>
          <cell r="J152">
            <v>0</v>
          </cell>
          <cell r="K152">
            <v>0</v>
          </cell>
          <cell r="L152">
            <v>-7.1429999999999998</v>
          </cell>
          <cell r="M152">
            <v>8.8460000000000001</v>
          </cell>
          <cell r="N152">
            <v>1.7030000000000003</v>
          </cell>
          <cell r="O152">
            <v>0.23699999999999999</v>
          </cell>
          <cell r="P152">
            <v>-0.17799999999999999</v>
          </cell>
          <cell r="Q152">
            <v>-1.0509999999999999</v>
          </cell>
          <cell r="R152">
            <v>11.356000000000002</v>
          </cell>
          <cell r="S152">
            <v>10.364000000000001</v>
          </cell>
          <cell r="T152">
            <v>-2.4929999999999999</v>
          </cell>
          <cell r="U152">
            <v>-0.3450000000000002</v>
          </cell>
          <cell r="V152">
            <v>4.57</v>
          </cell>
          <cell r="W152">
            <v>-1.9830000000000001</v>
          </cell>
          <cell r="X152">
            <v>-0.25099999999999989</v>
          </cell>
          <cell r="Y152">
            <v>-1.081</v>
          </cell>
          <cell r="Z152">
            <v>0.61099999999999999</v>
          </cell>
          <cell r="AA152">
            <v>-1.4830000000000001</v>
          </cell>
          <cell r="AB152">
            <v>-11.821000000000002</v>
          </cell>
          <cell r="AC152">
            <v>-13.774000000000001</v>
          </cell>
          <cell r="AD152">
            <v>0.875</v>
          </cell>
          <cell r="AE152">
            <v>9.9749999999999996</v>
          </cell>
          <cell r="AF152">
            <v>4.3979999999999997</v>
          </cell>
          <cell r="AG152">
            <v>-4.423</v>
          </cell>
          <cell r="AH152">
            <v>10.824999999999999</v>
          </cell>
          <cell r="AI152">
            <v>4.7149999999999999</v>
          </cell>
          <cell r="AJ152">
            <v>2.2709999999999999</v>
          </cell>
          <cell r="AK152">
            <v>-0.54199999999999982</v>
          </cell>
          <cell r="AL152">
            <v>-3.5139999999999998</v>
          </cell>
          <cell r="AM152">
            <v>2.93</v>
          </cell>
          <cell r="AN152">
            <v>4.7149999999999999</v>
          </cell>
          <cell r="AO152">
            <v>2.2709999999999999</v>
          </cell>
          <cell r="AP152">
            <v>-0.54199999999999982</v>
          </cell>
          <cell r="AQ152">
            <v>-3.5139999999999998</v>
          </cell>
          <cell r="AR152">
            <v>2.93</v>
          </cell>
          <cell r="AS152">
            <v>-5.6349999999999998</v>
          </cell>
          <cell r="AT152">
            <v>3.5619999999999998</v>
          </cell>
          <cell r="AU152">
            <v>0.11899999999999999</v>
          </cell>
          <cell r="AV152">
            <v>1.7529999999999999</v>
          </cell>
          <cell r="AW152">
            <v>-0.20100000000000007</v>
          </cell>
          <cell r="AX152">
            <v>3.157</v>
          </cell>
          <cell r="AY152">
            <v>1.9260000000000002</v>
          </cell>
          <cell r="AZ152">
            <v>-2.6510000000000002</v>
          </cell>
          <cell r="BA152">
            <v>3.1179999999999999</v>
          </cell>
          <cell r="BB152">
            <v>5.55</v>
          </cell>
          <cell r="BC152">
            <v>3.831</v>
          </cell>
          <cell r="BD152">
            <v>-1.246</v>
          </cell>
          <cell r="BE152">
            <v>1.8029999999999999</v>
          </cell>
          <cell r="BF152">
            <v>0.73300000000000054</v>
          </cell>
          <cell r="BG152">
            <v>5.1210000000000004</v>
          </cell>
          <cell r="BH152">
            <v>0</v>
          </cell>
          <cell r="BI152">
            <v>0</v>
          </cell>
          <cell r="BJ152">
            <v>0</v>
          </cell>
          <cell r="BK152">
            <v>0</v>
          </cell>
          <cell r="BL152">
            <v>0</v>
          </cell>
          <cell r="BM152">
            <v>0</v>
          </cell>
          <cell r="BN152">
            <v>0</v>
          </cell>
          <cell r="BO152">
            <v>0</v>
          </cell>
          <cell r="BR152" t="str">
            <v xml:space="preserve">    Inc(Dec) in   Other </v>
          </cell>
          <cell r="BS152">
            <v>0</v>
          </cell>
          <cell r="BT152">
            <v>0</v>
          </cell>
          <cell r="BU152">
            <v>1.7030000000000003</v>
          </cell>
          <cell r="BV152">
            <v>10.364000000000001</v>
          </cell>
          <cell r="BW152">
            <v>-0.25099999999999989</v>
          </cell>
          <cell r="BX152">
            <v>-13.774000000000001</v>
          </cell>
          <cell r="BY152">
            <v>10.824999999999999</v>
          </cell>
          <cell r="BZ152">
            <v>2.93</v>
          </cell>
          <cell r="CA152">
            <v>-0.20100000000000007</v>
          </cell>
          <cell r="CB152">
            <v>5.55</v>
          </cell>
          <cell r="CC152">
            <v>5.1210000000000004</v>
          </cell>
          <cell r="CD152">
            <v>0</v>
          </cell>
          <cell r="CE152">
            <v>0</v>
          </cell>
          <cell r="CF152">
            <v>0</v>
          </cell>
          <cell r="CG152">
            <v>0</v>
          </cell>
          <cell r="CI152" t="str">
            <v>mstag:netIncreaseInOtherLiabilitiesOperating</v>
          </cell>
          <cell r="CJ152">
            <v>6</v>
          </cell>
          <cell r="CK152" t="str">
            <v>ISO4217:USD</v>
          </cell>
          <cell r="CL152" t="b">
            <v>0</v>
          </cell>
        </row>
        <row r="154">
          <cell r="A154" t="str">
            <v>Cash From Operating Activities</v>
          </cell>
          <cell r="C154">
            <v>40.822999999999986</v>
          </cell>
          <cell r="D154">
            <v>83.664999999999992</v>
          </cell>
          <cell r="E154">
            <v>10.122000000000016</v>
          </cell>
          <cell r="F154">
            <v>31.262999999999987</v>
          </cell>
          <cell r="G154">
            <v>26.971000000000011</v>
          </cell>
          <cell r="H154">
            <v>41.868999999999986</v>
          </cell>
          <cell r="I154">
            <v>110.22499999999999</v>
          </cell>
          <cell r="J154">
            <v>20.741</v>
          </cell>
          <cell r="K154">
            <v>59.996000000000002</v>
          </cell>
          <cell r="L154">
            <v>30.827000000000012</v>
          </cell>
          <cell r="M154">
            <v>43.517000000000003</v>
          </cell>
          <cell r="N154">
            <v>155.08100000000002</v>
          </cell>
          <cell r="O154">
            <v>22.472000000000008</v>
          </cell>
          <cell r="P154">
            <v>46.685000000000002</v>
          </cell>
          <cell r="Q154">
            <v>51.686999999999998</v>
          </cell>
          <cell r="R154">
            <v>10.097999999999999</v>
          </cell>
          <cell r="S154">
            <v>130.94199999999998</v>
          </cell>
          <cell r="T154">
            <v>-14.761000000000017</v>
          </cell>
          <cell r="U154">
            <v>69.865000000000009</v>
          </cell>
          <cell r="V154">
            <v>66.134</v>
          </cell>
          <cell r="W154">
            <v>62.115999999999985</v>
          </cell>
          <cell r="X154">
            <v>183.35399999999998</v>
          </cell>
          <cell r="Y154">
            <v>-25.878000000000029</v>
          </cell>
          <cell r="Z154">
            <v>106.124</v>
          </cell>
          <cell r="AA154">
            <v>94.684000000000012</v>
          </cell>
          <cell r="AB154">
            <v>80.067000000000021</v>
          </cell>
          <cell r="AC154">
            <v>254.99700000000016</v>
          </cell>
          <cell r="AD154">
            <v>69.506999999999977</v>
          </cell>
          <cell r="AE154">
            <v>120.55900000000003</v>
          </cell>
          <cell r="AF154">
            <v>97.597000000000023</v>
          </cell>
          <cell r="AG154">
            <v>59.412000000000006</v>
          </cell>
          <cell r="AH154">
            <v>347.07499999999993</v>
          </cell>
          <cell r="AI154">
            <v>71.046999999999983</v>
          </cell>
          <cell r="AJ154">
            <v>85.628999999999991</v>
          </cell>
          <cell r="AK154">
            <v>69.360999999999933</v>
          </cell>
          <cell r="AL154">
            <v>94.409999999999968</v>
          </cell>
          <cell r="AM154">
            <v>320.44699999999983</v>
          </cell>
          <cell r="AN154">
            <v>71.046999999999983</v>
          </cell>
          <cell r="AO154">
            <v>85.628999999999991</v>
          </cell>
          <cell r="AP154">
            <v>69.360999999999933</v>
          </cell>
          <cell r="AQ154">
            <v>94.409999999999968</v>
          </cell>
          <cell r="AR154">
            <v>320.44699999999983</v>
          </cell>
          <cell r="AS154">
            <v>25.261000000000045</v>
          </cell>
          <cell r="AT154">
            <v>68.872000000000028</v>
          </cell>
          <cell r="AU154">
            <v>107.46300000000001</v>
          </cell>
          <cell r="AV154">
            <v>104.10199999999998</v>
          </cell>
          <cell r="AW154">
            <v>305.69800000000004</v>
          </cell>
          <cell r="AX154">
            <v>66.693999999999974</v>
          </cell>
          <cell r="AY154">
            <v>24.006</v>
          </cell>
          <cell r="AZ154">
            <v>133.96899999999994</v>
          </cell>
          <cell r="BA154">
            <v>81.322000000000017</v>
          </cell>
          <cell r="BB154">
            <v>305.99099999999993</v>
          </cell>
          <cell r="BC154">
            <v>33.029999999999973</v>
          </cell>
          <cell r="BD154">
            <v>117.07000000000001</v>
          </cell>
          <cell r="BE154">
            <v>146.92300000000006</v>
          </cell>
          <cell r="BF154">
            <v>137.708</v>
          </cell>
          <cell r="BG154">
            <v>434.73100000000005</v>
          </cell>
          <cell r="BH154">
            <v>-30.840836633818853</v>
          </cell>
          <cell r="BI154">
            <v>126.2977185179209</v>
          </cell>
          <cell r="BJ154">
            <v>157.22071457735106</v>
          </cell>
          <cell r="BK154">
            <v>151.37679061938496</v>
          </cell>
          <cell r="BL154">
            <v>404.05438708083807</v>
          </cell>
          <cell r="BM154">
            <v>440.83481144257229</v>
          </cell>
          <cell r="BN154">
            <v>485.9791952904676</v>
          </cell>
          <cell r="BO154">
            <v>533.55514461485086</v>
          </cell>
          <cell r="BR154" t="str">
            <v>Cash From Operating Activities</v>
          </cell>
          <cell r="BS154">
            <v>83.664999999999992</v>
          </cell>
          <cell r="BT154">
            <v>110.22499999999999</v>
          </cell>
          <cell r="BU154">
            <v>155.08100000000002</v>
          </cell>
          <cell r="BV154">
            <v>130.94199999999998</v>
          </cell>
          <cell r="BW154">
            <v>183.35399999999998</v>
          </cell>
          <cell r="BX154">
            <v>254.99700000000016</v>
          </cell>
          <cell r="BY154">
            <v>347.07499999999993</v>
          </cell>
          <cell r="BZ154">
            <v>320.44699999999983</v>
          </cell>
          <cell r="CA154">
            <v>305.69800000000004</v>
          </cell>
          <cell r="CB154">
            <v>305.99099999999993</v>
          </cell>
          <cell r="CC154">
            <v>434.73100000000005</v>
          </cell>
          <cell r="CD154">
            <v>404.05438708083807</v>
          </cell>
          <cell r="CE154">
            <v>440.83481144257229</v>
          </cell>
          <cell r="CF154">
            <v>485.9791952904676</v>
          </cell>
          <cell r="CG154">
            <v>533.55514461485086</v>
          </cell>
        </row>
        <row r="156">
          <cell r="A156" t="str">
            <v>Cash From Investing Activities</v>
          </cell>
          <cell r="BR156" t="str">
            <v>Cash From Investing Activities</v>
          </cell>
        </row>
        <row r="157">
          <cell r="A157" t="str">
            <v xml:space="preserve">Capital Expenditures </v>
          </cell>
          <cell r="C157">
            <v>-1.4970000000000001</v>
          </cell>
          <cell r="D157">
            <v>-2.4350000000000001</v>
          </cell>
          <cell r="E157">
            <v>-5.8000000000000003E-2</v>
          </cell>
          <cell r="F157">
            <v>-0.29899999999999999</v>
          </cell>
          <cell r="G157">
            <v>-0.58899999999999997</v>
          </cell>
          <cell r="H157">
            <v>0.41099999999999992</v>
          </cell>
          <cell r="I157">
            <v>-0.53500000000000003</v>
          </cell>
          <cell r="J157">
            <v>-0.96099999999999997</v>
          </cell>
          <cell r="K157">
            <v>-4.859</v>
          </cell>
          <cell r="L157">
            <v>-13.277000000000001</v>
          </cell>
          <cell r="M157">
            <v>-6.4589999999999996</v>
          </cell>
          <cell r="N157">
            <v>-25.556000000000001</v>
          </cell>
          <cell r="O157">
            <v>-6.0330000000000004</v>
          </cell>
          <cell r="P157">
            <v>-3.4859999999999998</v>
          </cell>
          <cell r="Q157">
            <v>-1.6690000000000005</v>
          </cell>
          <cell r="R157">
            <v>-2.2240000000000002</v>
          </cell>
          <cell r="S157">
            <v>-13.412000000000001</v>
          </cell>
          <cell r="T157">
            <v>-3.2850000000000001</v>
          </cell>
          <cell r="U157">
            <v>-1.4109999999999996</v>
          </cell>
          <cell r="V157">
            <v>-2.399</v>
          </cell>
          <cell r="W157">
            <v>-6.0729999999999995</v>
          </cell>
          <cell r="X157">
            <v>-13.167999999999999</v>
          </cell>
          <cell r="Y157">
            <v>-3.835</v>
          </cell>
          <cell r="Z157">
            <v>-2.8970000000000002</v>
          </cell>
          <cell r="AA157">
            <v>-10.11</v>
          </cell>
          <cell r="AB157">
            <v>-6.2690000000000019</v>
          </cell>
          <cell r="AC157">
            <v>-23.111000000000001</v>
          </cell>
          <cell r="AD157">
            <v>-4.2919999999999998</v>
          </cell>
          <cell r="AE157">
            <v>-15.654000000000002</v>
          </cell>
          <cell r="AF157">
            <v>-18.162999999999997</v>
          </cell>
          <cell r="AG157">
            <v>-6.7750000000000057</v>
          </cell>
          <cell r="AH157">
            <v>-44.884</v>
          </cell>
          <cell r="AI157">
            <v>-4.8</v>
          </cell>
          <cell r="AJ157">
            <v>-3.6909999999999998</v>
          </cell>
          <cell r="AK157">
            <v>-14.208000000000002</v>
          </cell>
          <cell r="AL157">
            <v>-20.812000000000001</v>
          </cell>
          <cell r="AM157">
            <v>-43.511000000000003</v>
          </cell>
          <cell r="AN157">
            <v>-4.8</v>
          </cell>
          <cell r="AO157">
            <v>-3.6909999999999998</v>
          </cell>
          <cell r="AP157">
            <v>-14.208000000000002</v>
          </cell>
          <cell r="AQ157">
            <v>-20.812000000000001</v>
          </cell>
          <cell r="AR157">
            <v>-43.511000000000003</v>
          </cell>
          <cell r="AS157">
            <v>-10.059999999999999</v>
          </cell>
          <cell r="AT157">
            <v>-11.904000000000003</v>
          </cell>
          <cell r="AU157">
            <v>-20.273</v>
          </cell>
          <cell r="AV157">
            <v>-8.6159999999999997</v>
          </cell>
          <cell r="AW157">
            <v>-50.853000000000002</v>
          </cell>
          <cell r="AX157">
            <v>-6.32</v>
          </cell>
          <cell r="AY157">
            <v>-11.962</v>
          </cell>
          <cell r="AZ157">
            <v>-12.305</v>
          </cell>
          <cell r="BA157">
            <v>-18.510000000000002</v>
          </cell>
          <cell r="BB157">
            <v>-49.097000000000001</v>
          </cell>
          <cell r="BC157">
            <v>-3.1349999999999998</v>
          </cell>
          <cell r="BD157">
            <v>-15.23</v>
          </cell>
          <cell r="BE157">
            <v>-13.727999999999994</v>
          </cell>
          <cell r="BF157">
            <v>-10.535000000000002</v>
          </cell>
          <cell r="BG157">
            <v>-42.628</v>
          </cell>
          <cell r="BH157">
            <v>-6.016699983046875</v>
          </cell>
          <cell r="BI157">
            <v>-12.312120121400003</v>
          </cell>
          <cell r="BJ157">
            <v>-12.288760261937032</v>
          </cell>
          <cell r="BK157">
            <v>-14.053693893960865</v>
          </cell>
          <cell r="BL157">
            <v>-44.671274260344774</v>
          </cell>
          <cell r="BM157">
            <v>-45.894795255564702</v>
          </cell>
          <cell r="BN157">
            <v>-47.221650823237667</v>
          </cell>
          <cell r="BO157">
            <v>-48.556108068529824</v>
          </cell>
          <cell r="BR157" t="str">
            <v xml:space="preserve">Capital Expenditures </v>
          </cell>
          <cell r="BS157">
            <v>-2.4350000000000001</v>
          </cell>
          <cell r="BT157">
            <v>-0.53500000000000003</v>
          </cell>
          <cell r="BU157">
            <v>-25.556000000000001</v>
          </cell>
          <cell r="BV157">
            <v>-13.412000000000001</v>
          </cell>
          <cell r="BW157">
            <v>-13.167999999999999</v>
          </cell>
          <cell r="BX157">
            <v>-23.111000000000001</v>
          </cell>
          <cell r="BY157">
            <v>-44.884</v>
          </cell>
          <cell r="BZ157">
            <v>-43.511000000000003</v>
          </cell>
          <cell r="CA157">
            <v>-50.853000000000002</v>
          </cell>
          <cell r="CB157">
            <v>-49.097000000000001</v>
          </cell>
          <cell r="CC157">
            <v>-42.628</v>
          </cell>
          <cell r="CD157">
            <v>-44.671274260344774</v>
          </cell>
          <cell r="CE157">
            <v>-45.894795255564702</v>
          </cell>
          <cell r="CF157">
            <v>-47.221650823237667</v>
          </cell>
          <cell r="CG157">
            <v>-48.556108068529824</v>
          </cell>
          <cell r="CI157" t="str">
            <v>mstag:capitalExpenditures</v>
          </cell>
          <cell r="CJ157">
            <v>6</v>
          </cell>
          <cell r="CK157" t="str">
            <v>ISO4217:USD</v>
          </cell>
          <cell r="CL157" t="b">
            <v>1</v>
          </cell>
        </row>
        <row r="158">
          <cell r="A158" t="str">
            <v>Acquisitions/ Disposals</v>
          </cell>
          <cell r="C158">
            <v>0</v>
          </cell>
          <cell r="D158">
            <v>0.02</v>
          </cell>
          <cell r="E158">
            <v>0.154</v>
          </cell>
          <cell r="F158">
            <v>-0.154</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-1100.943</v>
          </cell>
          <cell r="W158">
            <v>-0.29999999999995453</v>
          </cell>
          <cell r="X158">
            <v>-1101.2429999999999</v>
          </cell>
          <cell r="Y158">
            <v>0</v>
          </cell>
          <cell r="Z158">
            <v>0</v>
          </cell>
          <cell r="AA158">
            <v>0</v>
          </cell>
          <cell r="AB158">
            <v>0</v>
          </cell>
          <cell r="AC158">
            <v>0</v>
          </cell>
          <cell r="AD158">
            <v>0</v>
          </cell>
          <cell r="AE158">
            <v>0</v>
          </cell>
          <cell r="AF158">
            <v>0</v>
          </cell>
          <cell r="AG158">
            <v>-119.554</v>
          </cell>
          <cell r="AH158">
            <v>-119.554</v>
          </cell>
          <cell r="AI158">
            <v>-23.167999999999999</v>
          </cell>
          <cell r="AJ158">
            <v>-0.10000000000000142</v>
          </cell>
          <cell r="AK158">
            <v>0</v>
          </cell>
          <cell r="AL158">
            <v>0</v>
          </cell>
          <cell r="AM158">
            <v>-23.268000000000001</v>
          </cell>
          <cell r="AN158">
            <v>-23.167999999999999</v>
          </cell>
          <cell r="AO158">
            <v>-0.10000000000000142</v>
          </cell>
          <cell r="AP158">
            <v>0</v>
          </cell>
          <cell r="AQ158">
            <v>0</v>
          </cell>
          <cell r="AR158">
            <v>-23.268000000000001</v>
          </cell>
          <cell r="AS158">
            <v>0</v>
          </cell>
          <cell r="AT158">
            <v>362.81899999999996</v>
          </cell>
          <cell r="AU158">
            <v>-14.879999999999995</v>
          </cell>
          <cell r="AV158">
            <v>-4.8999999999978172E-2</v>
          </cell>
          <cell r="AW158">
            <v>347.89</v>
          </cell>
          <cell r="AX158">
            <v>0</v>
          </cell>
          <cell r="AY158">
            <v>0</v>
          </cell>
          <cell r="AZ158">
            <v>0</v>
          </cell>
          <cell r="BA158">
            <v>-6.5</v>
          </cell>
          <cell r="BB158">
            <v>-6.5</v>
          </cell>
          <cell r="BC158">
            <v>-2.3250000000000002</v>
          </cell>
          <cell r="BD158">
            <v>2.2650000000000001</v>
          </cell>
          <cell r="BE158">
            <v>0.71700000000000008</v>
          </cell>
          <cell r="BF158">
            <v>-6.0000000000000053E-2</v>
          </cell>
          <cell r="BG158">
            <v>0.59699999999999998</v>
          </cell>
          <cell r="BH158">
            <v>0</v>
          </cell>
          <cell r="BI158">
            <v>0</v>
          </cell>
          <cell r="BJ158">
            <v>0</v>
          </cell>
          <cell r="BK158">
            <v>0</v>
          </cell>
          <cell r="BL158">
            <v>0</v>
          </cell>
          <cell r="BM158">
            <v>0</v>
          </cell>
          <cell r="BN158">
            <v>0</v>
          </cell>
          <cell r="BO158">
            <v>0</v>
          </cell>
          <cell r="BR158" t="str">
            <v>Acquisitions/ Disposals</v>
          </cell>
          <cell r="BS158">
            <v>0.02</v>
          </cell>
          <cell r="BT158">
            <v>0</v>
          </cell>
          <cell r="BU158">
            <v>0</v>
          </cell>
          <cell r="BV158">
            <v>0</v>
          </cell>
          <cell r="BW158">
            <v>-1101.2429999999999</v>
          </cell>
          <cell r="BX158">
            <v>0</v>
          </cell>
          <cell r="BY158">
            <v>-119.554</v>
          </cell>
          <cell r="BZ158">
            <v>-23.268000000000001</v>
          </cell>
          <cell r="CA158">
            <v>347.89</v>
          </cell>
          <cell r="CB158">
            <v>-6.5</v>
          </cell>
          <cell r="CC158">
            <v>0.59699999999999998</v>
          </cell>
          <cell r="CD158">
            <v>0</v>
          </cell>
          <cell r="CE158">
            <v>0</v>
          </cell>
          <cell r="CF158">
            <v>0</v>
          </cell>
          <cell r="CG158">
            <v>0</v>
          </cell>
          <cell r="CI158" t="str">
            <v>mstag:otherAssetsLiabilitiesIncludedInEndingBalanceSheetTotals</v>
          </cell>
          <cell r="CJ158">
            <v>6</v>
          </cell>
          <cell r="CK158" t="str">
            <v>ISO4217:USD</v>
          </cell>
          <cell r="CL158" t="b">
            <v>1</v>
          </cell>
        </row>
        <row r="159">
          <cell r="A159" t="str">
            <v>Purch of inv and proceeds from redempt of securities</v>
          </cell>
          <cell r="C159">
            <v>-40.046000000000006</v>
          </cell>
          <cell r="D159">
            <v>-77.349000000000004</v>
          </cell>
          <cell r="E159">
            <v>-10.752000000000001</v>
          </cell>
          <cell r="F159">
            <v>-26.027000000000001</v>
          </cell>
          <cell r="G159">
            <v>315.21100000000001</v>
          </cell>
          <cell r="H159">
            <v>-85.826000000000022</v>
          </cell>
          <cell r="I159">
            <v>192.60599999999999</v>
          </cell>
          <cell r="J159">
            <v>-26.474</v>
          </cell>
          <cell r="K159">
            <v>-39.215999999999994</v>
          </cell>
          <cell r="L159">
            <v>203.315</v>
          </cell>
          <cell r="M159">
            <v>0</v>
          </cell>
          <cell r="N159">
            <v>137.625</v>
          </cell>
          <cell r="O159">
            <v>0</v>
          </cell>
          <cell r="P159">
            <v>-244.73400000000001</v>
          </cell>
          <cell r="Q159">
            <v>-4.9859999999999616</v>
          </cell>
          <cell r="R159">
            <v>-45.084000000000003</v>
          </cell>
          <cell r="S159">
            <v>-294.80399999999997</v>
          </cell>
          <cell r="T159">
            <v>-62.256</v>
          </cell>
          <cell r="U159">
            <v>296.81399999999996</v>
          </cell>
          <cell r="V159">
            <v>18.85600000000003</v>
          </cell>
          <cell r="W159">
            <v>-31.279999999999973</v>
          </cell>
          <cell r="X159">
            <v>222.13400000000001</v>
          </cell>
          <cell r="Y159">
            <v>22.71</v>
          </cell>
          <cell r="Z159">
            <v>-60.95600000000001</v>
          </cell>
          <cell r="AA159">
            <v>-31.543999999999983</v>
          </cell>
          <cell r="AB159">
            <v>2.289999999999992</v>
          </cell>
          <cell r="AC159">
            <v>-67.5</v>
          </cell>
          <cell r="AD159">
            <v>-53.636000000000003</v>
          </cell>
          <cell r="AE159">
            <v>107.739</v>
          </cell>
          <cell r="AF159">
            <v>-7.3859999999999886</v>
          </cell>
          <cell r="AG159">
            <v>23.359999999999985</v>
          </cell>
          <cell r="AH159">
            <v>70.076999999999998</v>
          </cell>
          <cell r="AI159">
            <v>70.900000000000006</v>
          </cell>
          <cell r="AJ159">
            <v>0</v>
          </cell>
          <cell r="AK159">
            <v>0</v>
          </cell>
          <cell r="AL159">
            <v>0</v>
          </cell>
          <cell r="AM159">
            <v>70.900000000000006</v>
          </cell>
          <cell r="AN159">
            <v>70.900000000000006</v>
          </cell>
          <cell r="AO159">
            <v>0</v>
          </cell>
          <cell r="AP159">
            <v>0</v>
          </cell>
          <cell r="AQ159">
            <v>0</v>
          </cell>
          <cell r="AR159">
            <v>70.900000000000006</v>
          </cell>
          <cell r="AS159">
            <v>7.0000000000000001E-3</v>
          </cell>
          <cell r="AT159">
            <v>0</v>
          </cell>
          <cell r="AU159">
            <v>0</v>
          </cell>
          <cell r="AV159">
            <v>0</v>
          </cell>
          <cell r="AW159">
            <v>7.0000000000000001E-3</v>
          </cell>
          <cell r="AX159">
            <v>0</v>
          </cell>
          <cell r="AY159">
            <v>0</v>
          </cell>
          <cell r="AZ159">
            <v>0</v>
          </cell>
          <cell r="BA159">
            <v>6.7359999999999998</v>
          </cell>
          <cell r="BB159">
            <v>6.7359999999999998</v>
          </cell>
          <cell r="BC159">
            <v>-0.06</v>
          </cell>
          <cell r="BD159">
            <v>0</v>
          </cell>
          <cell r="BE159">
            <v>0</v>
          </cell>
          <cell r="BF159">
            <v>0</v>
          </cell>
          <cell r="BG159">
            <v>-0.06</v>
          </cell>
          <cell r="BH159">
            <v>0</v>
          </cell>
          <cell r="BI159">
            <v>0</v>
          </cell>
          <cell r="BJ159">
            <v>0</v>
          </cell>
          <cell r="BK159">
            <v>0</v>
          </cell>
          <cell r="BL159">
            <v>0</v>
          </cell>
          <cell r="BM159">
            <v>0</v>
          </cell>
          <cell r="BN159">
            <v>0</v>
          </cell>
          <cell r="BO159">
            <v>0</v>
          </cell>
          <cell r="BR159" t="str">
            <v>Purch of inv and proceeds from redempt of securities</v>
          </cell>
          <cell r="BS159">
            <v>-77.349000000000004</v>
          </cell>
          <cell r="BT159">
            <v>192.60599999999999</v>
          </cell>
          <cell r="BU159">
            <v>137.625</v>
          </cell>
          <cell r="BV159">
            <v>-294.80399999999997</v>
          </cell>
          <cell r="BW159">
            <v>222.13400000000001</v>
          </cell>
          <cell r="BX159">
            <v>-67.5</v>
          </cell>
          <cell r="BY159">
            <v>70.076999999999998</v>
          </cell>
          <cell r="BZ159">
            <v>70.900000000000006</v>
          </cell>
          <cell r="CA159">
            <v>7.0000000000000001E-3</v>
          </cell>
          <cell r="CB159">
            <v>6.7359999999999998</v>
          </cell>
          <cell r="CC159">
            <v>-0.06</v>
          </cell>
          <cell r="CD159">
            <v>0</v>
          </cell>
          <cell r="CE159">
            <v>0</v>
          </cell>
          <cell r="CF159">
            <v>0</v>
          </cell>
          <cell r="CG159">
            <v>0</v>
          </cell>
          <cell r="CI159" t="str">
            <v>mstag:netDecreaseInInvestmentsNonOperating</v>
          </cell>
          <cell r="CJ159">
            <v>6</v>
          </cell>
          <cell r="CK159" t="str">
            <v>ISO4217:USD</v>
          </cell>
          <cell r="CL159" t="b">
            <v>0</v>
          </cell>
        </row>
        <row r="161">
          <cell r="A161" t="str">
            <v>Cash Used in Investing Activities</v>
          </cell>
          <cell r="C161">
            <v>-41.543000000000006</v>
          </cell>
          <cell r="D161">
            <v>-79.76400000000001</v>
          </cell>
          <cell r="E161">
            <v>-10.656000000000001</v>
          </cell>
          <cell r="F161">
            <v>-26.48</v>
          </cell>
          <cell r="G161">
            <v>314.62200000000001</v>
          </cell>
          <cell r="H161">
            <v>-85.41500000000002</v>
          </cell>
          <cell r="I161">
            <v>192.071</v>
          </cell>
          <cell r="J161">
            <v>-27.434999999999999</v>
          </cell>
          <cell r="K161">
            <v>-44.074999999999996</v>
          </cell>
          <cell r="L161">
            <v>190.03800000000001</v>
          </cell>
          <cell r="M161">
            <v>-6.4589999999999996</v>
          </cell>
          <cell r="N161">
            <v>112.069</v>
          </cell>
          <cell r="O161">
            <v>-6.0330000000000004</v>
          </cell>
          <cell r="P161">
            <v>-248.22</v>
          </cell>
          <cell r="Q161">
            <v>-6.6549999999999621</v>
          </cell>
          <cell r="R161">
            <v>-47.308000000000007</v>
          </cell>
          <cell r="S161">
            <v>-308.21599999999995</v>
          </cell>
          <cell r="T161">
            <v>-65.540999999999997</v>
          </cell>
          <cell r="U161">
            <v>295.40299999999996</v>
          </cell>
          <cell r="V161">
            <v>-1084.4859999999999</v>
          </cell>
          <cell r="W161">
            <v>-37.652999999999928</v>
          </cell>
          <cell r="X161">
            <v>-892.27699999999982</v>
          </cell>
          <cell r="Y161">
            <v>18.875</v>
          </cell>
          <cell r="Z161">
            <v>-63.853000000000009</v>
          </cell>
          <cell r="AA161">
            <v>-41.653999999999982</v>
          </cell>
          <cell r="AB161">
            <v>-3.9790000000000099</v>
          </cell>
          <cell r="AC161">
            <v>-90.611000000000004</v>
          </cell>
          <cell r="AD161">
            <v>-57.928000000000004</v>
          </cell>
          <cell r="AE161">
            <v>92.085000000000008</v>
          </cell>
          <cell r="AF161">
            <v>-25.548999999999985</v>
          </cell>
          <cell r="AG161">
            <v>-102.96900000000002</v>
          </cell>
          <cell r="AH161">
            <v>-94.36099999999999</v>
          </cell>
          <cell r="AI161">
            <v>42.932000000000002</v>
          </cell>
          <cell r="AJ161">
            <v>-3.7910000000000013</v>
          </cell>
          <cell r="AK161">
            <v>-14.208000000000002</v>
          </cell>
          <cell r="AL161">
            <v>-20.812000000000001</v>
          </cell>
          <cell r="AM161">
            <v>4.1210000000000093</v>
          </cell>
          <cell r="AN161">
            <v>42.932000000000002</v>
          </cell>
          <cell r="AO161">
            <v>-3.7910000000000013</v>
          </cell>
          <cell r="AP161">
            <v>-14.208000000000002</v>
          </cell>
          <cell r="AQ161">
            <v>-20.812000000000001</v>
          </cell>
          <cell r="AR161">
            <v>4.1210000000000093</v>
          </cell>
          <cell r="AS161">
            <v>-10.052999999999999</v>
          </cell>
          <cell r="AT161">
            <v>350.91499999999996</v>
          </cell>
          <cell r="AU161">
            <v>-35.152999999999992</v>
          </cell>
          <cell r="AV161">
            <v>-8.6649999999999778</v>
          </cell>
          <cell r="AW161">
            <v>297.04399999999998</v>
          </cell>
          <cell r="AX161">
            <v>-6.32</v>
          </cell>
          <cell r="AY161">
            <v>-11.962</v>
          </cell>
          <cell r="AZ161">
            <v>-12.305</v>
          </cell>
          <cell r="BA161">
            <v>-18.274000000000001</v>
          </cell>
          <cell r="BB161">
            <v>-48.861000000000004</v>
          </cell>
          <cell r="BC161">
            <v>-5.52</v>
          </cell>
          <cell r="BD161">
            <v>-12.965</v>
          </cell>
          <cell r="BE161">
            <v>-13.010999999999994</v>
          </cell>
          <cell r="BF161">
            <v>-10.595000000000002</v>
          </cell>
          <cell r="BG161">
            <v>-42.091000000000001</v>
          </cell>
          <cell r="BH161">
            <v>-6.016699983046875</v>
          </cell>
          <cell r="BI161">
            <v>-12.312120121400003</v>
          </cell>
          <cell r="BJ161">
            <v>-12.288760261937032</v>
          </cell>
          <cell r="BK161">
            <v>-14.053693893960865</v>
          </cell>
          <cell r="BL161">
            <v>-44.671274260344774</v>
          </cell>
          <cell r="BM161">
            <v>-45.894795255564702</v>
          </cell>
          <cell r="BN161">
            <v>-47.221650823237667</v>
          </cell>
          <cell r="BO161">
            <v>-48.556108068529824</v>
          </cell>
          <cell r="BR161" t="str">
            <v>Cash Used in Investing Activities</v>
          </cell>
          <cell r="BS161">
            <v>-79.76400000000001</v>
          </cell>
          <cell r="BT161">
            <v>192.071</v>
          </cell>
          <cell r="BU161">
            <v>112.069</v>
          </cell>
          <cell r="BV161">
            <v>-308.21599999999995</v>
          </cell>
          <cell r="BW161">
            <v>-892.27699999999982</v>
          </cell>
          <cell r="BX161">
            <v>-90.611000000000004</v>
          </cell>
          <cell r="BY161">
            <v>-94.36099999999999</v>
          </cell>
          <cell r="BZ161">
            <v>4.1210000000000093</v>
          </cell>
          <cell r="CA161">
            <v>297.04399999999998</v>
          </cell>
          <cell r="CB161">
            <v>-48.861000000000004</v>
          </cell>
          <cell r="CC161">
            <v>-42.091000000000001</v>
          </cell>
          <cell r="CD161">
            <v>-44.671274260344774</v>
          </cell>
          <cell r="CE161">
            <v>-45.894795255564702</v>
          </cell>
          <cell r="CF161">
            <v>-47.221650823237667</v>
          </cell>
          <cell r="CG161">
            <v>-48.556108068529824</v>
          </cell>
        </row>
        <row r="162">
          <cell r="BE162">
            <v>-2.2000000000389264E-2</v>
          </cell>
        </row>
        <row r="163">
          <cell r="A163" t="str">
            <v>Cash From Financing Activities</v>
          </cell>
          <cell r="BR163" t="str">
            <v>Cash From Financing Activities</v>
          </cell>
        </row>
        <row r="164">
          <cell r="A164" t="str">
            <v>Proceeds from Notes Payable &amp; issuance of LT debt</v>
          </cell>
          <cell r="C164">
            <v>0</v>
          </cell>
          <cell r="D164">
            <v>0</v>
          </cell>
          <cell r="E164">
            <v>0</v>
          </cell>
          <cell r="F164">
            <v>0</v>
          </cell>
          <cell r="G164">
            <v>625.90099999999995</v>
          </cell>
          <cell r="H164">
            <v>-202.02599999999995</v>
          </cell>
          <cell r="I164">
            <v>423.875</v>
          </cell>
          <cell r="J164">
            <v>0</v>
          </cell>
          <cell r="K164">
            <v>0</v>
          </cell>
          <cell r="L164">
            <v>0</v>
          </cell>
          <cell r="M164">
            <v>0</v>
          </cell>
          <cell r="N164">
            <v>0</v>
          </cell>
          <cell r="O164">
            <v>0</v>
          </cell>
          <cell r="P164">
            <v>0</v>
          </cell>
          <cell r="Q164">
            <v>0</v>
          </cell>
          <cell r="R164">
            <v>0</v>
          </cell>
          <cell r="S164">
            <v>0</v>
          </cell>
          <cell r="T164">
            <v>0</v>
          </cell>
          <cell r="U164">
            <v>0</v>
          </cell>
          <cell r="V164">
            <v>1268.625</v>
          </cell>
          <cell r="W164">
            <v>0</v>
          </cell>
          <cell r="X164">
            <v>1268.625</v>
          </cell>
          <cell r="Y164">
            <v>1125</v>
          </cell>
          <cell r="Z164">
            <v>0</v>
          </cell>
          <cell r="AA164">
            <v>0</v>
          </cell>
          <cell r="AB164">
            <v>0</v>
          </cell>
          <cell r="AC164">
            <v>1125</v>
          </cell>
          <cell r="AD164">
            <v>0</v>
          </cell>
          <cell r="AE164">
            <v>876.08699999999999</v>
          </cell>
          <cell r="AF164">
            <v>0</v>
          </cell>
          <cell r="AG164">
            <v>0</v>
          </cell>
          <cell r="AH164">
            <v>876.08699999999999</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800</v>
          </cell>
          <cell r="AW164">
            <v>800</v>
          </cell>
          <cell r="AX164">
            <v>0</v>
          </cell>
          <cell r="AY164">
            <v>0</v>
          </cell>
          <cell r="AZ164">
            <v>800</v>
          </cell>
          <cell r="BA164">
            <v>0</v>
          </cell>
          <cell r="BB164">
            <v>800</v>
          </cell>
          <cell r="BC164">
            <v>0</v>
          </cell>
          <cell r="BD164">
            <v>0</v>
          </cell>
          <cell r="BE164">
            <v>500</v>
          </cell>
          <cell r="BF164">
            <v>0</v>
          </cell>
          <cell r="BG164">
            <v>500</v>
          </cell>
          <cell r="BH164">
            <v>0</v>
          </cell>
          <cell r="BI164">
            <v>0</v>
          </cell>
          <cell r="BJ164">
            <v>0</v>
          </cell>
          <cell r="BK164">
            <v>0</v>
          </cell>
          <cell r="BL164">
            <v>0</v>
          </cell>
          <cell r="BM164">
            <v>0</v>
          </cell>
          <cell r="BN164">
            <v>0</v>
          </cell>
          <cell r="BO164">
            <v>0</v>
          </cell>
          <cell r="BR164" t="str">
            <v>Proceeds from Notes Payable &amp; issuance of LT debt</v>
          </cell>
          <cell r="BS164">
            <v>0</v>
          </cell>
          <cell r="BT164">
            <v>423.875</v>
          </cell>
          <cell r="BU164">
            <v>0</v>
          </cell>
          <cell r="BV164">
            <v>0</v>
          </cell>
          <cell r="BW164">
            <v>1268.625</v>
          </cell>
          <cell r="BX164">
            <v>1125</v>
          </cell>
          <cell r="BY164">
            <v>876.08699999999999</v>
          </cell>
          <cell r="BZ164">
            <v>0</v>
          </cell>
          <cell r="CA164">
            <v>800</v>
          </cell>
          <cell r="CB164">
            <v>800</v>
          </cell>
          <cell r="CC164">
            <v>500</v>
          </cell>
          <cell r="CD164">
            <v>0</v>
          </cell>
          <cell r="CE164">
            <v>0</v>
          </cell>
          <cell r="CF164">
            <v>0</v>
          </cell>
          <cell r="CG164">
            <v>0</v>
          </cell>
          <cell r="CI164" t="str">
            <v>mstag:proceedsFromIssuanceAndCashUsedToRepayShortTermBorrowings</v>
          </cell>
          <cell r="CJ164">
            <v>6</v>
          </cell>
          <cell r="CK164" t="str">
            <v>ISO4217:USD</v>
          </cell>
          <cell r="CL164" t="b">
            <v>0</v>
          </cell>
        </row>
        <row r="165">
          <cell r="A165" t="str">
            <v>Repayment of Long Term Debt</v>
          </cell>
          <cell r="C165">
            <v>0</v>
          </cell>
          <cell r="D165">
            <v>0</v>
          </cell>
          <cell r="E165">
            <v>0</v>
          </cell>
          <cell r="F165">
            <v>0</v>
          </cell>
          <cell r="G165">
            <v>0</v>
          </cell>
          <cell r="H165">
            <v>0</v>
          </cell>
          <cell r="I165">
            <v>0</v>
          </cell>
          <cell r="J165">
            <v>-5.5620000000000003</v>
          </cell>
          <cell r="K165">
            <v>-5.5629999999999997</v>
          </cell>
          <cell r="L165">
            <v>-5.5620000000000012</v>
          </cell>
          <cell r="M165">
            <v>-5.5629999999999988</v>
          </cell>
          <cell r="N165">
            <v>-22.25</v>
          </cell>
          <cell r="O165">
            <v>-5.5629999999999997</v>
          </cell>
          <cell r="P165">
            <v>-5.5620000000000003</v>
          </cell>
          <cell r="Q165">
            <v>-5.5620000000000012</v>
          </cell>
          <cell r="R165">
            <v>-5.5629999999999988</v>
          </cell>
          <cell r="S165">
            <v>-22.25</v>
          </cell>
          <cell r="T165">
            <v>-10.563000000000001</v>
          </cell>
          <cell r="U165">
            <v>-299.077</v>
          </cell>
          <cell r="V165">
            <v>-181.53300000000002</v>
          </cell>
          <cell r="W165">
            <v>-3.1870000000000118</v>
          </cell>
          <cell r="X165">
            <v>-494.36</v>
          </cell>
          <cell r="Y165">
            <v>-1268.625</v>
          </cell>
          <cell r="Z165">
            <v>-2.8130000000001019</v>
          </cell>
          <cell r="AA165">
            <v>-2.8109999999999218</v>
          </cell>
          <cell r="AB165">
            <v>-37.812999999999874</v>
          </cell>
          <cell r="AC165">
            <v>-1312.0619999999999</v>
          </cell>
          <cell r="AD165">
            <v>-2.8119999999999998</v>
          </cell>
          <cell r="AE165">
            <v>-1078.7510000000002</v>
          </cell>
          <cell r="AF165">
            <v>-10.999999999999899</v>
          </cell>
          <cell r="AG165">
            <v>-11</v>
          </cell>
          <cell r="AH165">
            <v>-1103.5630000000001</v>
          </cell>
          <cell r="AI165">
            <v>-26</v>
          </cell>
          <cell r="AJ165">
            <v>-11</v>
          </cell>
          <cell r="AK165">
            <v>-11</v>
          </cell>
          <cell r="AL165">
            <v>0</v>
          </cell>
          <cell r="AM165">
            <v>-48</v>
          </cell>
          <cell r="AN165">
            <v>-26</v>
          </cell>
          <cell r="AO165">
            <v>-11</v>
          </cell>
          <cell r="AP165">
            <v>-11</v>
          </cell>
          <cell r="AQ165">
            <v>0</v>
          </cell>
          <cell r="AR165">
            <v>-48</v>
          </cell>
          <cell r="AS165">
            <v>-5.0629999999999997</v>
          </cell>
          <cell r="AT165">
            <v>-5.0620000000000003</v>
          </cell>
          <cell r="AU165">
            <v>-5.0619999999999994</v>
          </cell>
          <cell r="AV165">
            <v>-794.81299999999999</v>
          </cell>
          <cell r="AW165">
            <v>-810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R165" t="str">
            <v>Repayment of Long Term Debt</v>
          </cell>
          <cell r="BS165">
            <v>0</v>
          </cell>
          <cell r="BT165">
            <v>0</v>
          </cell>
          <cell r="BU165">
            <v>-22.25</v>
          </cell>
          <cell r="BV165">
            <v>-22.25</v>
          </cell>
          <cell r="BW165">
            <v>-494.36</v>
          </cell>
          <cell r="BX165">
            <v>-1312.0619999999999</v>
          </cell>
          <cell r="BY165">
            <v>-1103.5630000000001</v>
          </cell>
          <cell r="BZ165">
            <v>-48</v>
          </cell>
          <cell r="CA165">
            <v>-810</v>
          </cell>
          <cell r="CB165">
            <v>0</v>
          </cell>
          <cell r="CC165">
            <v>0</v>
          </cell>
          <cell r="CD165">
            <v>0</v>
          </cell>
          <cell r="CE165">
            <v>0</v>
          </cell>
          <cell r="CF165">
            <v>0</v>
          </cell>
          <cell r="CG165">
            <v>0</v>
          </cell>
          <cell r="CI165" t="str">
            <v>mstag:proceedsFromIssuanceAndCashUsedToRepayLongTermDebt</v>
          </cell>
          <cell r="CJ165">
            <v>6</v>
          </cell>
          <cell r="CK165" t="str">
            <v>ISO4217:USD</v>
          </cell>
          <cell r="CL165" t="b">
            <v>0</v>
          </cell>
        </row>
        <row r="166">
          <cell r="A166" t="str">
            <v>Proceeds from Stock Options</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0.03</v>
          </cell>
          <cell r="Q166">
            <v>0</v>
          </cell>
          <cell r="R166">
            <v>0.56699999999999995</v>
          </cell>
          <cell r="S166">
            <v>0.59699999999999998</v>
          </cell>
          <cell r="T166">
            <v>2.117</v>
          </cell>
          <cell r="U166">
            <v>9.6999999999999975E-2</v>
          </cell>
          <cell r="V166">
            <v>11.952</v>
          </cell>
          <cell r="W166">
            <v>9.27</v>
          </cell>
          <cell r="X166">
            <v>23.436</v>
          </cell>
          <cell r="Y166">
            <v>6.81</v>
          </cell>
          <cell r="Z166">
            <v>5.8050000000000006</v>
          </cell>
          <cell r="AA166">
            <v>1.1440000000000001</v>
          </cell>
          <cell r="AB166">
            <v>2.6720000000000006</v>
          </cell>
          <cell r="AC166">
            <v>16.431000000000001</v>
          </cell>
          <cell r="AD166">
            <v>3.343</v>
          </cell>
          <cell r="AE166">
            <v>4.2119999999999997</v>
          </cell>
          <cell r="AF166">
            <v>3.2059999999999995</v>
          </cell>
          <cell r="AG166">
            <v>2.5500000000000007</v>
          </cell>
          <cell r="AH166">
            <v>13.311</v>
          </cell>
          <cell r="AI166">
            <v>3.7639999999999998</v>
          </cell>
          <cell r="AJ166">
            <v>3.1160000000000001</v>
          </cell>
          <cell r="AK166">
            <v>2.4280000000000004</v>
          </cell>
          <cell r="AL166">
            <v>2.3940000000000001</v>
          </cell>
          <cell r="AM166">
            <v>11.702</v>
          </cell>
          <cell r="AN166">
            <v>3.7639999999999998</v>
          </cell>
          <cell r="AO166">
            <v>3.1160000000000001</v>
          </cell>
          <cell r="AP166">
            <v>2.4280000000000004</v>
          </cell>
          <cell r="AQ166">
            <v>2.3940000000000001</v>
          </cell>
          <cell r="AR166">
            <v>11.702</v>
          </cell>
          <cell r="AS166">
            <v>1.71</v>
          </cell>
          <cell r="AT166">
            <v>3.6959999999999997</v>
          </cell>
          <cell r="AU166">
            <v>3.6030000000000006</v>
          </cell>
          <cell r="AV166">
            <v>0.67199999999999882</v>
          </cell>
          <cell r="AW166">
            <v>9.6809999999999992</v>
          </cell>
          <cell r="AX166">
            <v>0.63200000000000001</v>
          </cell>
          <cell r="AY166">
            <v>1.1280000000000001</v>
          </cell>
          <cell r="AZ166">
            <v>0.67299999999999971</v>
          </cell>
          <cell r="BA166">
            <v>1.198</v>
          </cell>
          <cell r="BB166">
            <v>3.6309999999999998</v>
          </cell>
          <cell r="BC166">
            <v>2.4380000000000002</v>
          </cell>
          <cell r="BD166">
            <v>1.004</v>
          </cell>
          <cell r="BE166">
            <v>0.77899999999999991</v>
          </cell>
          <cell r="BF166">
            <v>0.81899999999999995</v>
          </cell>
          <cell r="BG166">
            <v>5.04</v>
          </cell>
          <cell r="BH166">
            <v>0.81899999999999995</v>
          </cell>
          <cell r="BI166">
            <v>0.81899999999999995</v>
          </cell>
          <cell r="BJ166">
            <v>0.81899999999999995</v>
          </cell>
          <cell r="BK166">
            <v>0.81899999999999995</v>
          </cell>
          <cell r="BL166">
            <v>3.2759999999999998</v>
          </cell>
          <cell r="BM166">
            <v>3.2759999999999998</v>
          </cell>
          <cell r="BN166">
            <v>3.2759999999999998</v>
          </cell>
          <cell r="BO166">
            <v>3.2759999999999998</v>
          </cell>
          <cell r="BR166" t="str">
            <v>Proceeds from Stock Options</v>
          </cell>
          <cell r="BS166">
            <v>0</v>
          </cell>
          <cell r="BT166">
            <v>0</v>
          </cell>
          <cell r="BU166">
            <v>0</v>
          </cell>
          <cell r="BV166">
            <v>0.59699999999999998</v>
          </cell>
          <cell r="BW166">
            <v>23.436</v>
          </cell>
          <cell r="BX166">
            <v>16.431000000000001</v>
          </cell>
          <cell r="BY166">
            <v>13.311</v>
          </cell>
          <cell r="BZ166">
            <v>11.702</v>
          </cell>
          <cell r="CA166">
            <v>9.6809999999999992</v>
          </cell>
          <cell r="CB166">
            <v>3.6309999999999998</v>
          </cell>
          <cell r="CC166">
            <v>5.04</v>
          </cell>
          <cell r="CD166">
            <v>3.2759999999999998</v>
          </cell>
          <cell r="CE166">
            <v>3.2759999999999998</v>
          </cell>
          <cell r="CF166">
            <v>3.2759999999999998</v>
          </cell>
          <cell r="CG166">
            <v>3.2759999999999998</v>
          </cell>
          <cell r="CI166" t="str">
            <v>mstag:proceedsFromExerciseOfStockOptions</v>
          </cell>
          <cell r="CJ166">
            <v>6</v>
          </cell>
          <cell r="CK166" t="str">
            <v>ISO4217:USD</v>
          </cell>
          <cell r="CL166" t="b">
            <v>0</v>
          </cell>
        </row>
        <row r="167">
          <cell r="A167" t="str">
            <v>Sale of common Stock/ IPO, net</v>
          </cell>
          <cell r="C167">
            <v>0</v>
          </cell>
          <cell r="D167">
            <v>0</v>
          </cell>
          <cell r="E167">
            <v>0</v>
          </cell>
          <cell r="F167">
            <v>0</v>
          </cell>
          <cell r="G167">
            <v>0</v>
          </cell>
          <cell r="H167">
            <v>265.03500000000003</v>
          </cell>
          <cell r="I167">
            <v>265.03500000000003</v>
          </cell>
          <cell r="J167">
            <v>0</v>
          </cell>
          <cell r="K167">
            <v>0</v>
          </cell>
          <cell r="L167">
            <v>0</v>
          </cell>
          <cell r="M167">
            <v>0</v>
          </cell>
          <cell r="N167">
            <v>0</v>
          </cell>
          <cell r="O167">
            <v>0</v>
          </cell>
          <cell r="P167">
            <v>0</v>
          </cell>
          <cell r="Q167">
            <v>0</v>
          </cell>
          <cell r="R167">
            <v>115.755</v>
          </cell>
          <cell r="S167">
            <v>115.755</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cell r="BM167">
            <v>0</v>
          </cell>
          <cell r="BN167">
            <v>0</v>
          </cell>
          <cell r="BO167">
            <v>0</v>
          </cell>
          <cell r="BR167" t="str">
            <v>Sale of common Stock/ IPO, net</v>
          </cell>
          <cell r="BS167">
            <v>0</v>
          </cell>
          <cell r="BT167">
            <v>265.03500000000003</v>
          </cell>
          <cell r="BU167">
            <v>0</v>
          </cell>
          <cell r="BV167">
            <v>115.755</v>
          </cell>
          <cell r="BW167">
            <v>0</v>
          </cell>
          <cell r="BX167">
            <v>0</v>
          </cell>
          <cell r="BY167">
            <v>0</v>
          </cell>
          <cell r="BZ167">
            <v>0</v>
          </cell>
          <cell r="CA167">
            <v>0</v>
          </cell>
          <cell r="CB167">
            <v>0</v>
          </cell>
          <cell r="CC167">
            <v>0</v>
          </cell>
          <cell r="CD167">
            <v>0</v>
          </cell>
          <cell r="CE167">
            <v>0</v>
          </cell>
          <cell r="CF167">
            <v>0</v>
          </cell>
          <cell r="CG167">
            <v>0</v>
          </cell>
          <cell r="CI167" t="str">
            <v>mstag:proceedsFromIssuanceOfCommonStock</v>
          </cell>
          <cell r="CJ167">
            <v>6</v>
          </cell>
          <cell r="CK167" t="str">
            <v>ISO4217:USD</v>
          </cell>
          <cell r="CL167" t="b">
            <v>0</v>
          </cell>
        </row>
        <row r="168">
          <cell r="A168" t="str">
            <v>Repurchase of common stock</v>
          </cell>
          <cell r="C168">
            <v>0</v>
          </cell>
          <cell r="D168">
            <v>0</v>
          </cell>
          <cell r="E168">
            <v>0</v>
          </cell>
          <cell r="F168">
            <v>0</v>
          </cell>
          <cell r="G168">
            <v>0</v>
          </cell>
          <cell r="H168">
            <v>0</v>
          </cell>
          <cell r="I168">
            <v>0</v>
          </cell>
          <cell r="J168">
            <v>0</v>
          </cell>
          <cell r="K168">
            <v>-0.55700000000000005</v>
          </cell>
          <cell r="L168">
            <v>-2.8999999999999915E-2</v>
          </cell>
          <cell r="M168">
            <v>-9.5000000000000084E-2</v>
          </cell>
          <cell r="N168">
            <v>-0.68100000000000005</v>
          </cell>
          <cell r="O168">
            <v>-0.11</v>
          </cell>
          <cell r="P168">
            <v>-0.495</v>
          </cell>
          <cell r="Q168">
            <v>-0.10899999999999999</v>
          </cell>
          <cell r="R168">
            <v>-17.773</v>
          </cell>
          <cell r="S168">
            <v>-18.486999999999998</v>
          </cell>
          <cell r="T168">
            <v>-2.4460000000000002</v>
          </cell>
          <cell r="U168">
            <v>-4.0000000000000036E-3</v>
          </cell>
          <cell r="V168">
            <v>-1.7569999999999997</v>
          </cell>
          <cell r="W168">
            <v>-9.9439999999999991</v>
          </cell>
          <cell r="X168">
            <v>-14.151</v>
          </cell>
          <cell r="Y168">
            <v>-2.8959999999999999</v>
          </cell>
          <cell r="Z168">
            <v>-1.8000000000000238E-2</v>
          </cell>
          <cell r="AA168">
            <v>-2.6999999999999691E-2</v>
          </cell>
          <cell r="AB168">
            <v>-11.684999999999999</v>
          </cell>
          <cell r="AC168">
            <v>-14.625999999999998</v>
          </cell>
          <cell r="AD168">
            <v>-2.3090000000000002</v>
          </cell>
          <cell r="AE168">
            <v>-0.17399999999999993</v>
          </cell>
          <cell r="AF168">
            <v>-0.44099999999999984</v>
          </cell>
          <cell r="AG168">
            <v>-103.065</v>
          </cell>
          <cell r="AH168">
            <v>-105.989</v>
          </cell>
          <cell r="AI168">
            <v>-9.3970000000000002</v>
          </cell>
          <cell r="AJ168">
            <v>-0.2419999999999991</v>
          </cell>
          <cell r="AK168">
            <v>-100.28899999999999</v>
          </cell>
          <cell r="AL168">
            <v>-2.2550000000000239</v>
          </cell>
          <cell r="AM168">
            <v>-112.18300000000001</v>
          </cell>
          <cell r="AN168">
            <v>-9.3970000000000002</v>
          </cell>
          <cell r="AO168">
            <v>-0.2419999999999991</v>
          </cell>
          <cell r="AP168">
            <v>-100.28899999999999</v>
          </cell>
          <cell r="AQ168">
            <v>-2.2550000000000239</v>
          </cell>
          <cell r="AR168">
            <v>-112.18300000000001</v>
          </cell>
          <cell r="AS168">
            <v>-107.15900000000001</v>
          </cell>
          <cell r="AT168">
            <v>-1.7439999999999998</v>
          </cell>
          <cell r="AU168">
            <v>-300.49299999999999</v>
          </cell>
          <cell r="AV168">
            <v>-0.25499999999999545</v>
          </cell>
          <cell r="AW168">
            <v>-409.65100000000001</v>
          </cell>
          <cell r="AX168">
            <v>-10.352</v>
          </cell>
          <cell r="AY168">
            <v>-87.214999999999989</v>
          </cell>
          <cell r="AZ168">
            <v>-347.07300000000004</v>
          </cell>
          <cell r="BA168">
            <v>-256.07499999999999</v>
          </cell>
          <cell r="BB168">
            <v>-700.71500000000003</v>
          </cell>
          <cell r="BC168">
            <v>-346.71499999999997</v>
          </cell>
          <cell r="BD168">
            <v>-120.03000000000003</v>
          </cell>
          <cell r="BE168">
            <v>-32.117999999999995</v>
          </cell>
          <cell r="BF168">
            <v>-275.70200000000006</v>
          </cell>
          <cell r="BG168">
            <v>-774.56500000000005</v>
          </cell>
          <cell r="BH168">
            <v>-50</v>
          </cell>
          <cell r="BI168">
            <v>-100</v>
          </cell>
          <cell r="BJ168">
            <v>-100</v>
          </cell>
          <cell r="BK168">
            <v>-100</v>
          </cell>
          <cell r="BL168">
            <v>-350</v>
          </cell>
          <cell r="BM168">
            <v>-300</v>
          </cell>
          <cell r="BN168">
            <v>-300</v>
          </cell>
          <cell r="BO168">
            <v>-300</v>
          </cell>
          <cell r="BR168" t="str">
            <v>Repurchase of common stock</v>
          </cell>
          <cell r="BS168">
            <v>0</v>
          </cell>
          <cell r="BT168">
            <v>0</v>
          </cell>
          <cell r="BU168">
            <v>-0.68100000000000005</v>
          </cell>
          <cell r="BV168">
            <v>-18.486999999999998</v>
          </cell>
          <cell r="BW168">
            <v>-14.151</v>
          </cell>
          <cell r="BX168">
            <v>-14.625999999999998</v>
          </cell>
          <cell r="BY168">
            <v>-105.989</v>
          </cell>
          <cell r="BZ168">
            <v>-112.18300000000001</v>
          </cell>
          <cell r="CA168">
            <v>-409.65100000000001</v>
          </cell>
          <cell r="CB168">
            <v>-700.71500000000003</v>
          </cell>
          <cell r="CC168">
            <v>-774.56500000000005</v>
          </cell>
          <cell r="CD168">
            <v>-350</v>
          </cell>
          <cell r="CE168">
            <v>-300</v>
          </cell>
          <cell r="CF168">
            <v>-300</v>
          </cell>
          <cell r="CG168">
            <v>-300</v>
          </cell>
          <cell r="CI168" t="str">
            <v>mstag:fundsUsedToRepurchaseCommonStock</v>
          </cell>
          <cell r="CJ168">
            <v>6</v>
          </cell>
          <cell r="CK168" t="str">
            <v>ISO4217:USD</v>
          </cell>
          <cell r="CL168" t="b">
            <v>1</v>
          </cell>
        </row>
        <row r="169">
          <cell r="A169" t="str">
            <v>Expenses related to IPO</v>
          </cell>
          <cell r="C169">
            <v>0</v>
          </cell>
          <cell r="D169">
            <v>0</v>
          </cell>
          <cell r="E169">
            <v>0</v>
          </cell>
          <cell r="F169">
            <v>0</v>
          </cell>
          <cell r="G169">
            <v>0</v>
          </cell>
          <cell r="H169">
            <v>0</v>
          </cell>
          <cell r="I169">
            <v>0</v>
          </cell>
          <cell r="J169">
            <v>0</v>
          </cell>
          <cell r="K169">
            <v>0</v>
          </cell>
          <cell r="L169">
            <v>-2.1000000000000001E-2</v>
          </cell>
          <cell r="M169">
            <v>0</v>
          </cell>
          <cell r="N169">
            <v>-2.1000000000000001E-2</v>
          </cell>
          <cell r="O169">
            <v>0</v>
          </cell>
          <cell r="P169">
            <v>0</v>
          </cell>
          <cell r="Q169">
            <v>0</v>
          </cell>
          <cell r="R169">
            <v>0</v>
          </cell>
          <cell r="S169">
            <v>0</v>
          </cell>
          <cell r="T169">
            <v>0</v>
          </cell>
          <cell r="U169">
            <v>0</v>
          </cell>
          <cell r="V169">
            <v>-34.029000000000003</v>
          </cell>
          <cell r="W169">
            <v>0</v>
          </cell>
          <cell r="X169">
            <v>-34.029000000000003</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cell r="BM169">
            <v>0</v>
          </cell>
          <cell r="BN169">
            <v>0</v>
          </cell>
          <cell r="BO169">
            <v>0</v>
          </cell>
          <cell r="BR169" t="str">
            <v>Expenses related to IPO</v>
          </cell>
          <cell r="BS169">
            <v>0</v>
          </cell>
          <cell r="BT169">
            <v>0</v>
          </cell>
          <cell r="BU169">
            <v>-2.1000000000000001E-2</v>
          </cell>
          <cell r="BV169">
            <v>0</v>
          </cell>
          <cell r="BW169">
            <v>-34.029000000000003</v>
          </cell>
          <cell r="BX169">
            <v>0</v>
          </cell>
          <cell r="BY169">
            <v>0</v>
          </cell>
          <cell r="BZ169">
            <v>0</v>
          </cell>
          <cell r="CA169">
            <v>0</v>
          </cell>
          <cell r="CB169">
            <v>0</v>
          </cell>
          <cell r="CC169">
            <v>0</v>
          </cell>
          <cell r="CD169">
            <v>0</v>
          </cell>
          <cell r="CE169">
            <v>0</v>
          </cell>
          <cell r="CF169">
            <v>0</v>
          </cell>
          <cell r="CG169">
            <v>0</v>
          </cell>
          <cell r="CI169" t="str">
            <v>mstag:otherCashFlowsFromUsedInFinancingActivities</v>
          </cell>
          <cell r="CJ169">
            <v>6</v>
          </cell>
          <cell r="CK169" t="str">
            <v>ISO4217:USD</v>
          </cell>
          <cell r="CL169" t="b">
            <v>0</v>
          </cell>
        </row>
        <row r="170">
          <cell r="A170" t="str">
            <v>Other</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6.9269999999999996</v>
          </cell>
          <cell r="S170">
            <v>6.9269999999999996</v>
          </cell>
          <cell r="T170">
            <v>1.3919999999999999</v>
          </cell>
          <cell r="U170">
            <v>7.1000000000000174E-2</v>
          </cell>
          <cell r="V170">
            <v>1.04</v>
          </cell>
          <cell r="W170">
            <v>6.0340000000000007</v>
          </cell>
          <cell r="X170">
            <v>8.5370000000000008</v>
          </cell>
          <cell r="Y170">
            <v>45.424999999999997</v>
          </cell>
          <cell r="Z170">
            <v>1.1859999999999999</v>
          </cell>
          <cell r="AA170">
            <v>0.31300000000000239</v>
          </cell>
          <cell r="AB170">
            <v>3.1869999999999976</v>
          </cell>
          <cell r="AC170">
            <v>50.110999999999997</v>
          </cell>
          <cell r="AD170">
            <v>1.262</v>
          </cell>
          <cell r="AE170">
            <v>0.39700000000000002</v>
          </cell>
          <cell r="AF170">
            <v>-8.0000000000000071E-2</v>
          </cell>
          <cell r="AG170">
            <v>-0.53099999999999992</v>
          </cell>
          <cell r="AH170">
            <v>1.048</v>
          </cell>
          <cell r="AI170">
            <v>1.1719999999999999</v>
          </cell>
          <cell r="AJ170">
            <v>0.22999999999999998</v>
          </cell>
          <cell r="AK170">
            <v>0.3640000000000001</v>
          </cell>
          <cell r="AL170">
            <v>0.86699999999999999</v>
          </cell>
          <cell r="AM170">
            <v>2.633</v>
          </cell>
          <cell r="AN170">
            <v>1.1719999999999999</v>
          </cell>
          <cell r="AO170">
            <v>0.22999999999999998</v>
          </cell>
          <cell r="AP170">
            <v>0.3640000000000001</v>
          </cell>
          <cell r="AQ170">
            <v>0.86699999999999999</v>
          </cell>
          <cell r="AR170">
            <v>2.633</v>
          </cell>
          <cell r="AS170">
            <v>1.1739999999999999</v>
          </cell>
          <cell r="AT170">
            <v>1.5990000000000002</v>
          </cell>
          <cell r="AU170">
            <v>0.42399999999999993</v>
          </cell>
          <cell r="AV170">
            <v>-15.161999999999999</v>
          </cell>
          <cell r="AW170">
            <v>-11.965</v>
          </cell>
          <cell r="AX170">
            <v>2.99</v>
          </cell>
          <cell r="AY170">
            <v>10.241999999999999</v>
          </cell>
          <cell r="AZ170">
            <v>0.4740000000000002</v>
          </cell>
          <cell r="BA170">
            <v>1.5470000000000006</v>
          </cell>
          <cell r="BB170">
            <v>15.253</v>
          </cell>
          <cell r="BC170">
            <v>3.8570000000000002</v>
          </cell>
          <cell r="BD170">
            <v>1.0190000000000001</v>
          </cell>
          <cell r="BE170">
            <v>1.6040000000000001</v>
          </cell>
          <cell r="BF170">
            <v>1.1449999999999996</v>
          </cell>
          <cell r="BG170">
            <v>7.625</v>
          </cell>
          <cell r="BH170">
            <v>0</v>
          </cell>
          <cell r="BI170">
            <v>0</v>
          </cell>
          <cell r="BJ170">
            <v>0</v>
          </cell>
          <cell r="BK170">
            <v>0</v>
          </cell>
          <cell r="BL170">
            <v>0</v>
          </cell>
          <cell r="BM170">
            <v>0</v>
          </cell>
          <cell r="BN170">
            <v>0</v>
          </cell>
          <cell r="BO170">
            <v>0</v>
          </cell>
          <cell r="BR170" t="str">
            <v>Other</v>
          </cell>
          <cell r="BS170">
            <v>0</v>
          </cell>
          <cell r="BT170">
            <v>0</v>
          </cell>
          <cell r="BU170">
            <v>0</v>
          </cell>
          <cell r="BV170">
            <v>6.9269999999999996</v>
          </cell>
          <cell r="BW170">
            <v>8.5370000000000008</v>
          </cell>
          <cell r="BX170">
            <v>50.110999999999997</v>
          </cell>
          <cell r="BY170">
            <v>1.048</v>
          </cell>
          <cell r="BZ170">
            <v>2.633</v>
          </cell>
          <cell r="CA170">
            <v>-11.965</v>
          </cell>
          <cell r="CB170">
            <v>15.253</v>
          </cell>
          <cell r="CC170">
            <v>7.625</v>
          </cell>
          <cell r="CD170">
            <v>0</v>
          </cell>
          <cell r="CE170">
            <v>0</v>
          </cell>
          <cell r="CF170">
            <v>0</v>
          </cell>
          <cell r="CG170">
            <v>0</v>
          </cell>
          <cell r="CI170" t="str">
            <v>mstag:otherCashFlowsFromUsedInFinancingActivities</v>
          </cell>
          <cell r="CJ170">
            <v>6</v>
          </cell>
          <cell r="CK170" t="str">
            <v>ISO4217:USD</v>
          </cell>
          <cell r="CL170" t="b">
            <v>0</v>
          </cell>
        </row>
        <row r="171">
          <cell r="A171" t="str">
            <v>Payment of issuance costs for LT debt</v>
          </cell>
          <cell r="C171">
            <v>0</v>
          </cell>
          <cell r="D171">
            <v>0</v>
          </cell>
          <cell r="E171">
            <v>0</v>
          </cell>
          <cell r="F171">
            <v>0</v>
          </cell>
          <cell r="G171">
            <v>0</v>
          </cell>
          <cell r="H171">
            <v>-7.9740000000000002</v>
          </cell>
          <cell r="I171">
            <v>-7.9740000000000002</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-3.87</v>
          </cell>
          <cell r="AF171">
            <v>0</v>
          </cell>
          <cell r="AG171">
            <v>0</v>
          </cell>
          <cell r="AH171">
            <v>-3.87</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-10.477</v>
          </cell>
          <cell r="BA171">
            <v>0</v>
          </cell>
          <cell r="BB171">
            <v>-10.477</v>
          </cell>
          <cell r="BC171">
            <v>0</v>
          </cell>
          <cell r="BD171">
            <v>0</v>
          </cell>
          <cell r="BE171">
            <v>-7.1829999999999998</v>
          </cell>
          <cell r="BF171">
            <v>0</v>
          </cell>
          <cell r="BG171">
            <v>-7.1829999999999998</v>
          </cell>
          <cell r="BH171">
            <v>0</v>
          </cell>
          <cell r="BI171">
            <v>0</v>
          </cell>
          <cell r="BJ171">
            <v>0</v>
          </cell>
          <cell r="BK171">
            <v>0</v>
          </cell>
          <cell r="BL171">
            <v>0</v>
          </cell>
          <cell r="BM171">
            <v>0</v>
          </cell>
          <cell r="BN171">
            <v>0</v>
          </cell>
          <cell r="BO171">
            <v>0</v>
          </cell>
          <cell r="BR171" t="str">
            <v>Payment of issuance costs for LT debt</v>
          </cell>
          <cell r="BS171">
            <v>0</v>
          </cell>
          <cell r="BT171">
            <v>-7.9740000000000002</v>
          </cell>
          <cell r="BU171">
            <v>0</v>
          </cell>
          <cell r="BV171">
            <v>0</v>
          </cell>
          <cell r="BW171">
            <v>0</v>
          </cell>
          <cell r="BX171">
            <v>0</v>
          </cell>
          <cell r="BY171">
            <v>-3.87</v>
          </cell>
          <cell r="BZ171">
            <v>0</v>
          </cell>
          <cell r="CA171">
            <v>0</v>
          </cell>
          <cell r="CB171">
            <v>-10.477</v>
          </cell>
          <cell r="CC171">
            <v>-7.1829999999999998</v>
          </cell>
          <cell r="CD171">
            <v>0</v>
          </cell>
          <cell r="CE171">
            <v>0</v>
          </cell>
          <cell r="CF171">
            <v>0</v>
          </cell>
          <cell r="CG171">
            <v>0</v>
          </cell>
          <cell r="CI171" t="str">
            <v>mstag:otherCashFlowsFromUsedInFinancingActivities</v>
          </cell>
          <cell r="CJ171">
            <v>6</v>
          </cell>
          <cell r="CK171" t="str">
            <v>ISO4217:USD</v>
          </cell>
          <cell r="CL171" t="b">
            <v>0</v>
          </cell>
        </row>
        <row r="172">
          <cell r="A172" t="str">
            <v xml:space="preserve">Payment of cash dividends </v>
          </cell>
          <cell r="C172">
            <v>0</v>
          </cell>
          <cell r="D172">
            <v>-5</v>
          </cell>
          <cell r="E172">
            <v>0</v>
          </cell>
          <cell r="F172">
            <v>0</v>
          </cell>
          <cell r="G172">
            <v>-973</v>
          </cell>
          <cell r="H172">
            <v>0</v>
          </cell>
          <cell r="I172">
            <v>-973</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-20.393000000000001</v>
          </cell>
          <cell r="AW172">
            <v>-20.393000000000001</v>
          </cell>
          <cell r="AX172">
            <v>-20.405999999999999</v>
          </cell>
          <cell r="AY172">
            <v>-20.437000000000005</v>
          </cell>
          <cell r="AZ172">
            <v>-24.146000000000001</v>
          </cell>
          <cell r="BA172">
            <v>-22.753999999999991</v>
          </cell>
          <cell r="BB172">
            <v>-87.742999999999995</v>
          </cell>
          <cell r="BC172">
            <v>-21.888999999999999</v>
          </cell>
          <cell r="BD172">
            <v>-21.391999999999999</v>
          </cell>
          <cell r="BE172">
            <v>-26.652000000000008</v>
          </cell>
          <cell r="BF172">
            <v>-26.257999999999996</v>
          </cell>
          <cell r="BG172">
            <v>-96.191000000000003</v>
          </cell>
          <cell r="BH172">
            <v>-23.481010007659037</v>
          </cell>
          <cell r="BI172">
            <v>-23.166375101003986</v>
          </cell>
          <cell r="BJ172">
            <v>-25.143692099918766</v>
          </cell>
          <cell r="BK172">
            <v>-24.811016738799921</v>
          </cell>
          <cell r="BL172">
            <v>-96.602093947381704</v>
          </cell>
          <cell r="BM172">
            <v>-98.763462904734595</v>
          </cell>
          <cell r="BN172">
            <v>-109.80877610054388</v>
          </cell>
          <cell r="BO172">
            <v>-121.91228456823055</v>
          </cell>
          <cell r="BR172" t="str">
            <v xml:space="preserve">Payment of cash dividends </v>
          </cell>
          <cell r="BS172">
            <v>-5</v>
          </cell>
          <cell r="BT172">
            <v>-973</v>
          </cell>
          <cell r="BU172">
            <v>0</v>
          </cell>
          <cell r="BV172">
            <v>0</v>
          </cell>
          <cell r="BW172">
            <v>0</v>
          </cell>
          <cell r="BX172">
            <v>0</v>
          </cell>
          <cell r="BY172">
            <v>0</v>
          </cell>
          <cell r="BZ172">
            <v>0</v>
          </cell>
          <cell r="CA172">
            <v>-20.393000000000001</v>
          </cell>
          <cell r="CB172">
            <v>-87.742999999999995</v>
          </cell>
          <cell r="CC172">
            <v>-96.191000000000003</v>
          </cell>
          <cell r="CD172">
            <v>-96.602093947381704</v>
          </cell>
          <cell r="CE172">
            <v>-98.763462904734595</v>
          </cell>
          <cell r="CF172">
            <v>-109.80877610054388</v>
          </cell>
          <cell r="CG172">
            <v>-121.91228456823055</v>
          </cell>
          <cell r="CI172" t="str">
            <v>mstag:cashDividendsPaid</v>
          </cell>
          <cell r="CJ172">
            <v>6</v>
          </cell>
          <cell r="CK172" t="str">
            <v>ISO4217:USD</v>
          </cell>
          <cell r="CL172" t="b">
            <v>1</v>
          </cell>
        </row>
        <row r="173">
          <cell r="CC173">
            <v>0</v>
          </cell>
        </row>
        <row r="175">
          <cell r="A175" t="str">
            <v>Cash From Financing Activities</v>
          </cell>
          <cell r="C175">
            <v>0</v>
          </cell>
          <cell r="D175">
            <v>-5</v>
          </cell>
          <cell r="E175">
            <v>0</v>
          </cell>
          <cell r="F175">
            <v>0</v>
          </cell>
          <cell r="G175">
            <v>-347.09900000000005</v>
          </cell>
          <cell r="H175">
            <v>55.035000000000068</v>
          </cell>
          <cell r="I175">
            <v>-292.06399999999996</v>
          </cell>
          <cell r="J175">
            <v>-5.5620000000000003</v>
          </cell>
          <cell r="K175">
            <v>-6.12</v>
          </cell>
          <cell r="L175">
            <v>-5.612000000000001</v>
          </cell>
          <cell r="M175">
            <v>-5.6579999999999986</v>
          </cell>
          <cell r="N175">
            <v>-22.952000000000002</v>
          </cell>
          <cell r="O175">
            <v>-5.673</v>
          </cell>
          <cell r="P175">
            <v>-6.0270000000000001</v>
          </cell>
          <cell r="Q175">
            <v>-5.6710000000000012</v>
          </cell>
          <cell r="R175">
            <v>99.913000000000011</v>
          </cell>
          <cell r="S175">
            <v>82.542000000000002</v>
          </cell>
          <cell r="T175">
            <v>-9.5000000000000018</v>
          </cell>
          <cell r="U175">
            <v>-298.91300000000001</v>
          </cell>
          <cell r="V175">
            <v>1064.298</v>
          </cell>
          <cell r="W175">
            <v>2.1729999999999894</v>
          </cell>
          <cell r="X175">
            <v>758.05800000000011</v>
          </cell>
          <cell r="Y175">
            <v>-94.285999999999987</v>
          </cell>
          <cell r="Z175">
            <v>4.1599999999998989</v>
          </cell>
          <cell r="AA175">
            <v>-1.380999999999919</v>
          </cell>
          <cell r="AB175">
            <v>-43.638999999999882</v>
          </cell>
          <cell r="AC175">
            <v>-135.1459999999999</v>
          </cell>
          <cell r="AD175">
            <v>-0.51600000000000001</v>
          </cell>
          <cell r="AE175">
            <v>-202.09900000000025</v>
          </cell>
          <cell r="AF175">
            <v>-8.3149999999999</v>
          </cell>
          <cell r="AG175">
            <v>-112.04600000000001</v>
          </cell>
          <cell r="AH175">
            <v>-322.97600000000011</v>
          </cell>
          <cell r="AI175">
            <v>-30.461000000000002</v>
          </cell>
          <cell r="AJ175">
            <v>-7.895999999999999</v>
          </cell>
          <cell r="AK175">
            <v>-108.49699999999999</v>
          </cell>
          <cell r="AL175">
            <v>1.0059999999999762</v>
          </cell>
          <cell r="AM175">
            <v>-145.84799999999998</v>
          </cell>
          <cell r="AN175">
            <v>-30.461000000000002</v>
          </cell>
          <cell r="AO175">
            <v>-7.895999999999999</v>
          </cell>
          <cell r="AP175">
            <v>-108.49699999999999</v>
          </cell>
          <cell r="AQ175">
            <v>1.0059999999999762</v>
          </cell>
          <cell r="AR175">
            <v>-145.84799999999998</v>
          </cell>
          <cell r="AS175">
            <v>-109.33799999999999</v>
          </cell>
          <cell r="AT175">
            <v>-1.5110000000000001</v>
          </cell>
          <cell r="AU175">
            <v>-301.52800000000002</v>
          </cell>
          <cell r="AV175">
            <v>-29.950999999999986</v>
          </cell>
          <cell r="AW175">
            <v>-442.32799999999997</v>
          </cell>
          <cell r="AX175">
            <v>-27.135999999999999</v>
          </cell>
          <cell r="AY175">
            <v>-96.281999999999982</v>
          </cell>
          <cell r="AZ175">
            <v>419.45099999999996</v>
          </cell>
          <cell r="BA175">
            <v>-276.08399999999995</v>
          </cell>
          <cell r="BB175">
            <v>19.948999999999941</v>
          </cell>
          <cell r="BC175">
            <v>-362.30899999999997</v>
          </cell>
          <cell r="BD175">
            <v>-139.39900000000003</v>
          </cell>
          <cell r="BE175">
            <v>436.43</v>
          </cell>
          <cell r="BF175">
            <v>-299.99600000000004</v>
          </cell>
          <cell r="BG175">
            <v>-365.274</v>
          </cell>
          <cell r="BH175">
            <v>-72.662010007659035</v>
          </cell>
          <cell r="BI175">
            <v>-122.34737510100399</v>
          </cell>
          <cell r="BJ175">
            <v>-124.32469209991876</v>
          </cell>
          <cell r="BK175">
            <v>-123.99201673879992</v>
          </cell>
          <cell r="BL175">
            <v>-443.32609394738171</v>
          </cell>
          <cell r="BM175">
            <v>-395.48746290473457</v>
          </cell>
          <cell r="BN175">
            <v>-406.53277610054386</v>
          </cell>
          <cell r="BO175">
            <v>-418.63628456823051</v>
          </cell>
          <cell r="BR175" t="str">
            <v>Cash From Financing Activities</v>
          </cell>
          <cell r="BS175">
            <v>-5</v>
          </cell>
          <cell r="BT175">
            <v>-292.06399999999996</v>
          </cell>
          <cell r="BU175">
            <v>-22.952000000000002</v>
          </cell>
          <cell r="BV175">
            <v>82.542000000000002</v>
          </cell>
          <cell r="BW175">
            <v>758.05800000000011</v>
          </cell>
          <cell r="BX175">
            <v>-135.1459999999999</v>
          </cell>
          <cell r="BY175">
            <v>-322.97600000000011</v>
          </cell>
          <cell r="BZ175">
            <v>-145.84799999999998</v>
          </cell>
          <cell r="CA175">
            <v>-442.32799999999997</v>
          </cell>
          <cell r="CB175">
            <v>19.948999999999941</v>
          </cell>
          <cell r="CC175">
            <v>-365.274</v>
          </cell>
          <cell r="CD175">
            <v>-443.32609394738171</v>
          </cell>
          <cell r="CE175">
            <v>-395.48746290473457</v>
          </cell>
          <cell r="CF175">
            <v>-406.53277610054386</v>
          </cell>
          <cell r="CG175">
            <v>-418.63628456823051</v>
          </cell>
        </row>
        <row r="177">
          <cell r="A177" t="str">
            <v>Effect of FX Rate Changes on Cash &amp; Other</v>
          </cell>
          <cell r="C177">
            <v>3.5059999999999998</v>
          </cell>
          <cell r="D177">
            <v>2.0499999999999998</v>
          </cell>
          <cell r="E177">
            <v>0.65500000000000003</v>
          </cell>
          <cell r="F177">
            <v>0.68500000000000005</v>
          </cell>
          <cell r="G177">
            <v>-2.8460000000000001</v>
          </cell>
          <cell r="H177">
            <v>0.73</v>
          </cell>
          <cell r="I177">
            <v>-0.77600000000000002</v>
          </cell>
          <cell r="J177">
            <v>0.36699999999999999</v>
          </cell>
          <cell r="K177">
            <v>0.56400000000000006</v>
          </cell>
          <cell r="L177">
            <v>-1.095</v>
          </cell>
          <cell r="M177">
            <v>-9.7750000000000004</v>
          </cell>
          <cell r="N177">
            <v>-9.9390000000000001</v>
          </cell>
          <cell r="O177">
            <v>-1.962</v>
          </cell>
          <cell r="P177">
            <v>3.45</v>
          </cell>
          <cell r="Q177">
            <v>-0.42900000000000027</v>
          </cell>
          <cell r="R177">
            <v>1.6199999999999999</v>
          </cell>
          <cell r="S177">
            <v>2.6789999999999998</v>
          </cell>
          <cell r="T177">
            <v>-1.873</v>
          </cell>
          <cell r="U177">
            <v>1.444</v>
          </cell>
          <cell r="V177">
            <v>-0.35899999999999999</v>
          </cell>
          <cell r="W177">
            <v>2.2039999999999997</v>
          </cell>
          <cell r="X177">
            <v>1.4159999999999997</v>
          </cell>
          <cell r="Y177">
            <v>2.3540000000000001</v>
          </cell>
          <cell r="Z177">
            <v>1.8239999999999998</v>
          </cell>
          <cell r="AA177">
            <v>-5.9660000000000002</v>
          </cell>
          <cell r="AB177">
            <v>-1.8159999999999998</v>
          </cell>
          <cell r="AC177">
            <v>-3.6040000000000001</v>
          </cell>
          <cell r="AD177">
            <v>2.7480000000000002</v>
          </cell>
          <cell r="AE177">
            <v>-3.2600000000000002</v>
          </cell>
          <cell r="AF177">
            <v>3.4180000000000001</v>
          </cell>
          <cell r="AG177">
            <v>-1.546</v>
          </cell>
          <cell r="AH177">
            <v>1.36</v>
          </cell>
          <cell r="AI177">
            <v>-3.798</v>
          </cell>
          <cell r="AJ177">
            <v>-2.2699999999999996</v>
          </cell>
          <cell r="AK177">
            <v>2.3929999999999998</v>
          </cell>
          <cell r="AL177">
            <v>7.9999999999999627E-2</v>
          </cell>
          <cell r="AM177">
            <v>-3.5950000000000002</v>
          </cell>
          <cell r="AN177">
            <v>-3.798</v>
          </cell>
          <cell r="AO177">
            <v>-2.2699999999999996</v>
          </cell>
          <cell r="AP177">
            <v>2.3929999999999998</v>
          </cell>
          <cell r="AQ177">
            <v>7.9999999999999627E-2</v>
          </cell>
          <cell r="AR177">
            <v>-3.5950000000000002</v>
          </cell>
          <cell r="AS177">
            <v>-3.8420000000000005</v>
          </cell>
          <cell r="AT177">
            <v>4.5890000000000004</v>
          </cell>
          <cell r="AU177">
            <v>-5.9319999999999995</v>
          </cell>
          <cell r="AV177">
            <v>-4.8319999999999999</v>
          </cell>
          <cell r="AW177">
            <v>-10.016999999999999</v>
          </cell>
          <cell r="AX177">
            <v>-4.2750000000000004</v>
          </cell>
          <cell r="AY177">
            <v>1.4880000000000004</v>
          </cell>
          <cell r="AZ177">
            <v>-2.6970000000000001</v>
          </cell>
          <cell r="BA177">
            <v>-2.6910000000000007</v>
          </cell>
          <cell r="BB177">
            <v>-8.1750000000000007</v>
          </cell>
          <cell r="BC177">
            <v>2.1070000000000002</v>
          </cell>
          <cell r="BD177">
            <v>-5.173</v>
          </cell>
          <cell r="BE177">
            <v>-0.83400000000000007</v>
          </cell>
          <cell r="BF177">
            <v>-9.4049999999999994</v>
          </cell>
          <cell r="BG177">
            <v>-13.305</v>
          </cell>
          <cell r="BH177">
            <v>0</v>
          </cell>
          <cell r="BI177">
            <v>0</v>
          </cell>
          <cell r="BJ177">
            <v>0</v>
          </cell>
          <cell r="BK177">
            <v>0</v>
          </cell>
          <cell r="BL177">
            <v>0</v>
          </cell>
          <cell r="BM177">
            <v>0</v>
          </cell>
          <cell r="BN177">
            <v>0</v>
          </cell>
          <cell r="BO177">
            <v>0</v>
          </cell>
          <cell r="BR177" t="str">
            <v>Effect of FX Rate Changes on Cash &amp; Other</v>
          </cell>
          <cell r="BS177">
            <v>2.0499999999999998</v>
          </cell>
          <cell r="BT177">
            <v>-0.77600000000000002</v>
          </cell>
          <cell r="BU177">
            <v>-9.9390000000000001</v>
          </cell>
          <cell r="BV177">
            <v>2.6789999999999998</v>
          </cell>
          <cell r="BW177">
            <v>1.4159999999999997</v>
          </cell>
          <cell r="BX177">
            <v>-3.6040000000000001</v>
          </cell>
          <cell r="BY177">
            <v>1.36</v>
          </cell>
          <cell r="BZ177">
            <v>-3.5950000000000002</v>
          </cell>
          <cell r="CA177">
            <v>-10.016999999999999</v>
          </cell>
          <cell r="CB177">
            <v>-8.1750000000000007</v>
          </cell>
          <cell r="CC177">
            <v>-13.305</v>
          </cell>
          <cell r="CD177">
            <v>0</v>
          </cell>
          <cell r="CE177">
            <v>0</v>
          </cell>
          <cell r="CF177">
            <v>0</v>
          </cell>
          <cell r="CG177">
            <v>0</v>
          </cell>
          <cell r="CI177" t="str">
            <v>mstag:effectOfForeignExchangeRatesOnCash</v>
          </cell>
          <cell r="CJ177">
            <v>6</v>
          </cell>
          <cell r="CK177" t="str">
            <v>ISO4217:USD</v>
          </cell>
          <cell r="CL177" t="b">
            <v>0</v>
          </cell>
        </row>
        <row r="179">
          <cell r="A179" t="str">
            <v>Net increase (decrease) in Cash and Cash Equivalents</v>
          </cell>
          <cell r="C179">
            <v>2.7859999999999796</v>
          </cell>
          <cell r="D179">
            <v>0.95099999999998186</v>
          </cell>
          <cell r="E179">
            <v>0.12100000000001532</v>
          </cell>
          <cell r="F179">
            <v>5.4679999999999875</v>
          </cell>
          <cell r="G179">
            <v>-8.3520000000000287</v>
          </cell>
          <cell r="H179">
            <v>12.219000000000033</v>
          </cell>
          <cell r="I179">
            <v>9.4560000000000279</v>
          </cell>
          <cell r="J179">
            <v>-11.888999999999999</v>
          </cell>
          <cell r="K179">
            <v>10.365000000000006</v>
          </cell>
          <cell r="L179">
            <v>214.15800000000002</v>
          </cell>
          <cell r="M179">
            <v>21.625000000000007</v>
          </cell>
          <cell r="N179">
            <v>234.25900000000004</v>
          </cell>
          <cell r="O179">
            <v>8.8040000000000074</v>
          </cell>
          <cell r="P179">
            <v>-204.11199999999999</v>
          </cell>
          <cell r="Q179">
            <v>38.932000000000038</v>
          </cell>
          <cell r="R179">
            <v>64.323000000000008</v>
          </cell>
          <cell r="S179">
            <v>-92.052999999999969</v>
          </cell>
          <cell r="T179">
            <v>-91.675000000000026</v>
          </cell>
          <cell r="U179">
            <v>67.798999999999964</v>
          </cell>
          <cell r="V179">
            <v>45.587000000000138</v>
          </cell>
          <cell r="W179">
            <v>28.840000000000046</v>
          </cell>
          <cell r="X179">
            <v>50.551000000000329</v>
          </cell>
          <cell r="Y179">
            <v>-98.935000000000016</v>
          </cell>
          <cell r="Z179">
            <v>48.254999999999882</v>
          </cell>
          <cell r="AA179">
            <v>45.683000000000106</v>
          </cell>
          <cell r="AB179">
            <v>30.633000000000127</v>
          </cell>
          <cell r="AC179">
            <v>25.636000000000237</v>
          </cell>
          <cell r="AD179">
            <v>13.810999999999972</v>
          </cell>
          <cell r="AE179">
            <v>7.2849999999997888</v>
          </cell>
          <cell r="AF179">
            <v>67.151000000000138</v>
          </cell>
          <cell r="AG179">
            <v>-157.149</v>
          </cell>
          <cell r="AH179">
            <v>-68.902000000000172</v>
          </cell>
          <cell r="AI179">
            <v>79.719999999999985</v>
          </cell>
          <cell r="AJ179">
            <v>71.671999999999997</v>
          </cell>
          <cell r="AK179">
            <v>-50.95100000000005</v>
          </cell>
          <cell r="AL179">
            <v>74.683999999999941</v>
          </cell>
          <cell r="AM179">
            <v>175.12499999999989</v>
          </cell>
          <cell r="AN179">
            <v>79.719999999999985</v>
          </cell>
          <cell r="AO179">
            <v>71.671999999999997</v>
          </cell>
          <cell r="AP179">
            <v>-50.95100000000005</v>
          </cell>
          <cell r="AQ179">
            <v>74.683999999999941</v>
          </cell>
          <cell r="AR179">
            <v>175.12499999999989</v>
          </cell>
          <cell r="AS179">
            <v>-97.971999999999952</v>
          </cell>
          <cell r="AT179">
            <v>422.86499999999995</v>
          </cell>
          <cell r="AU179">
            <v>-235.15</v>
          </cell>
          <cell r="AV179">
            <v>60.654000000000018</v>
          </cell>
          <cell r="AW179">
            <v>150.39699999999999</v>
          </cell>
          <cell r="AX179">
            <v>28.962999999999973</v>
          </cell>
          <cell r="AY179">
            <v>-82.749999999999986</v>
          </cell>
          <cell r="AZ179">
            <v>538.41799999999989</v>
          </cell>
          <cell r="BA179">
            <v>-215.72699999999995</v>
          </cell>
          <cell r="BB179">
            <v>268.90399999999988</v>
          </cell>
          <cell r="BC179">
            <v>-332.69199999999995</v>
          </cell>
          <cell r="BD179">
            <v>-40.467000000000027</v>
          </cell>
          <cell r="BE179">
            <v>569.50800000000015</v>
          </cell>
          <cell r="BF179">
            <v>-182.28800000000004</v>
          </cell>
          <cell r="BG179">
            <v>14.061000000000043</v>
          </cell>
          <cell r="BH179">
            <v>-109.51954662452476</v>
          </cell>
          <cell r="BI179">
            <v>-8.3617767044830913</v>
          </cell>
          <cell r="BJ179">
            <v>20.607262215495268</v>
          </cell>
          <cell r="BK179">
            <v>13.331079986624189</v>
          </cell>
          <cell r="BL179">
            <v>-83.942981126888412</v>
          </cell>
          <cell r="BM179">
            <v>-0.54744671772698439</v>
          </cell>
          <cell r="BN179">
            <v>32.224768366686078</v>
          </cell>
          <cell r="BO179">
            <v>66.3627519780905</v>
          </cell>
          <cell r="BR179" t="str">
            <v>Net increase (decrease) in Cash and Cash Equivalents</v>
          </cell>
          <cell r="BS179">
            <v>0.95099999999998186</v>
          </cell>
          <cell r="BT179">
            <v>9.4560000000000279</v>
          </cell>
          <cell r="BU179">
            <v>234.25900000000004</v>
          </cell>
          <cell r="BV179">
            <v>-92.052999999999969</v>
          </cell>
          <cell r="BW179">
            <v>50.551000000000329</v>
          </cell>
          <cell r="BX179">
            <v>25.636000000000237</v>
          </cell>
          <cell r="BY179">
            <v>-68.902000000000172</v>
          </cell>
          <cell r="BZ179">
            <v>175.12499999999989</v>
          </cell>
          <cell r="CA179">
            <v>150.39699999999999</v>
          </cell>
          <cell r="CB179">
            <v>268.90399999999988</v>
          </cell>
          <cell r="CC179">
            <v>14.061000000000043</v>
          </cell>
          <cell r="CD179">
            <v>-83.942981126888412</v>
          </cell>
          <cell r="CE179">
            <v>-0.54744671772698439</v>
          </cell>
          <cell r="CF179">
            <v>32.224768366686078</v>
          </cell>
          <cell r="CG179">
            <v>66.3627519780905</v>
          </cell>
        </row>
        <row r="180">
          <cell r="A180" t="str">
            <v>Cash &amp; Equivalents - Beginning</v>
          </cell>
          <cell r="C180">
            <v>21.576000000000018</v>
          </cell>
          <cell r="D180">
            <v>23.411000000000001</v>
          </cell>
          <cell r="E180">
            <v>24.361999999999984</v>
          </cell>
          <cell r="F180">
            <v>24.483000000000001</v>
          </cell>
          <cell r="G180">
            <v>29.950999999999986</v>
          </cell>
          <cell r="H180">
            <v>21.598999999999958</v>
          </cell>
          <cell r="I180">
            <v>24.361999999999984</v>
          </cell>
          <cell r="J180">
            <v>33.818000000000012</v>
          </cell>
          <cell r="K180">
            <v>21.929000000000013</v>
          </cell>
          <cell r="L180">
            <v>32.294000000000018</v>
          </cell>
          <cell r="M180">
            <v>246.45200000000003</v>
          </cell>
          <cell r="N180">
            <v>33.818000000000012</v>
          </cell>
          <cell r="O180">
            <v>268.07700000000006</v>
          </cell>
          <cell r="P180">
            <v>276.88100000000009</v>
          </cell>
          <cell r="Q180">
            <v>72.769000000000091</v>
          </cell>
          <cell r="R180">
            <v>111.70100000000014</v>
          </cell>
          <cell r="S180">
            <v>268.07700000000006</v>
          </cell>
          <cell r="T180">
            <v>176.02400000000009</v>
          </cell>
          <cell r="U180">
            <v>84.349000000000061</v>
          </cell>
          <cell r="V180">
            <v>152.14800000000002</v>
          </cell>
          <cell r="W180">
            <v>197.73500000000016</v>
          </cell>
          <cell r="X180">
            <v>176.02400000000009</v>
          </cell>
          <cell r="Y180">
            <v>226.57500000000041</v>
          </cell>
          <cell r="Z180">
            <v>127.6400000000004</v>
          </cell>
          <cell r="AA180">
            <v>175.89500000000027</v>
          </cell>
          <cell r="AB180">
            <v>221.57800000000037</v>
          </cell>
          <cell r="AC180">
            <v>226.57500000000041</v>
          </cell>
          <cell r="AD180">
            <v>252.21100000000064</v>
          </cell>
          <cell r="AE180">
            <v>266.02200000000062</v>
          </cell>
          <cell r="AF180">
            <v>273.30700000000041</v>
          </cell>
          <cell r="AG180">
            <v>340.45800000000054</v>
          </cell>
          <cell r="AH180">
            <v>252.21100000000064</v>
          </cell>
          <cell r="AI180">
            <v>183.30900000000048</v>
          </cell>
          <cell r="AJ180">
            <v>263.02900000000045</v>
          </cell>
          <cell r="AK180">
            <v>334.70100000000048</v>
          </cell>
          <cell r="AL180">
            <v>283.75000000000045</v>
          </cell>
          <cell r="AM180">
            <v>183.30900000000048</v>
          </cell>
          <cell r="AN180">
            <v>183.30900000000048</v>
          </cell>
          <cell r="AO180">
            <v>263.02900000000045</v>
          </cell>
          <cell r="AP180">
            <v>334.70100000000048</v>
          </cell>
          <cell r="AQ180">
            <v>283.75000000000045</v>
          </cell>
          <cell r="AR180">
            <v>183.30900000000048</v>
          </cell>
          <cell r="AS180">
            <v>358.43400000000037</v>
          </cell>
          <cell r="AT180">
            <v>260.46200000000044</v>
          </cell>
          <cell r="AU180">
            <v>683.32700000000045</v>
          </cell>
          <cell r="AV180">
            <v>448.17700000000048</v>
          </cell>
          <cell r="AW180">
            <v>358.43400000000037</v>
          </cell>
          <cell r="AX180">
            <v>508.83100000000036</v>
          </cell>
          <cell r="AY180">
            <v>537.79400000000032</v>
          </cell>
          <cell r="AZ180">
            <v>455.04400000000032</v>
          </cell>
          <cell r="BA180">
            <v>993.46200000000022</v>
          </cell>
          <cell r="BB180">
            <v>508.83100000000036</v>
          </cell>
          <cell r="BC180">
            <v>777.73500000000024</v>
          </cell>
          <cell r="BD180">
            <v>445.04300000000029</v>
          </cell>
          <cell r="BE180">
            <v>404.57600000000025</v>
          </cell>
          <cell r="BF180">
            <v>974.0840000000004</v>
          </cell>
          <cell r="BG180">
            <v>777.73500000000024</v>
          </cell>
          <cell r="BH180">
            <v>791.79600000000028</v>
          </cell>
          <cell r="BI180">
            <v>682.27645337547551</v>
          </cell>
          <cell r="BJ180">
            <v>673.91467667099243</v>
          </cell>
          <cell r="BK180">
            <v>694.52193888648776</v>
          </cell>
          <cell r="BL180">
            <v>791.79600000000028</v>
          </cell>
          <cell r="BM180">
            <v>707.85301887311186</v>
          </cell>
          <cell r="BN180">
            <v>707.30557215538488</v>
          </cell>
          <cell r="BO180">
            <v>739.5303405220709</v>
          </cell>
          <cell r="BR180" t="str">
            <v>Cash &amp; Equivalents - Beginning</v>
          </cell>
          <cell r="BS180">
            <v>23.411000000000001</v>
          </cell>
          <cell r="BT180">
            <v>24.361999999999984</v>
          </cell>
          <cell r="BU180">
            <v>33.818000000000012</v>
          </cell>
          <cell r="BV180">
            <v>268.07700000000006</v>
          </cell>
          <cell r="BW180">
            <v>176.02400000000009</v>
          </cell>
          <cell r="BX180">
            <v>226.57500000000041</v>
          </cell>
          <cell r="BY180">
            <v>252.21100000000064</v>
          </cell>
          <cell r="BZ180">
            <v>183.30900000000048</v>
          </cell>
          <cell r="CA180">
            <v>358.43400000000037</v>
          </cell>
          <cell r="CB180">
            <v>508.83100000000036</v>
          </cell>
          <cell r="CC180">
            <v>777.73500000000024</v>
          </cell>
          <cell r="CD180">
            <v>791.79600000000028</v>
          </cell>
          <cell r="CE180">
            <v>707.85301887311186</v>
          </cell>
          <cell r="CF180">
            <v>707.30557215538488</v>
          </cell>
          <cell r="CG180">
            <v>739.5303405220709</v>
          </cell>
        </row>
        <row r="182">
          <cell r="A182" t="str">
            <v>Cash &amp; Equivalents - End</v>
          </cell>
          <cell r="C182">
            <v>24.361999999999998</v>
          </cell>
          <cell r="D182">
            <v>24.361999999999984</v>
          </cell>
          <cell r="E182">
            <v>24.483000000000001</v>
          </cell>
          <cell r="F182">
            <v>29.950999999999986</v>
          </cell>
          <cell r="G182">
            <v>21.598999999999958</v>
          </cell>
          <cell r="H182">
            <v>33.817999999999991</v>
          </cell>
          <cell r="I182">
            <v>33.818000000000012</v>
          </cell>
          <cell r="J182">
            <v>21.929000000000013</v>
          </cell>
          <cell r="K182">
            <v>32.294000000000018</v>
          </cell>
          <cell r="L182">
            <v>246.45200000000003</v>
          </cell>
          <cell r="M182">
            <v>268.07700000000006</v>
          </cell>
          <cell r="N182">
            <v>268.07700000000006</v>
          </cell>
          <cell r="O182">
            <v>276.88100000000009</v>
          </cell>
          <cell r="P182">
            <v>72.769000000000091</v>
          </cell>
          <cell r="Q182">
            <v>111.70100000000014</v>
          </cell>
          <cell r="R182">
            <v>176.02400000000014</v>
          </cell>
          <cell r="S182">
            <v>176.02400000000009</v>
          </cell>
          <cell r="T182">
            <v>84.349000000000061</v>
          </cell>
          <cell r="U182">
            <v>152.14800000000002</v>
          </cell>
          <cell r="V182">
            <v>197.73500000000016</v>
          </cell>
          <cell r="W182">
            <v>226.57500000000022</v>
          </cell>
          <cell r="X182">
            <v>226.57500000000041</v>
          </cell>
          <cell r="Y182">
            <v>127.6400000000004</v>
          </cell>
          <cell r="Z182">
            <v>175.89500000000027</v>
          </cell>
          <cell r="AA182">
            <v>221.57800000000037</v>
          </cell>
          <cell r="AB182">
            <v>252.2110000000005</v>
          </cell>
          <cell r="AC182">
            <v>252.21100000000064</v>
          </cell>
          <cell r="AD182">
            <v>266.02200000000062</v>
          </cell>
          <cell r="AE182">
            <v>273.30700000000041</v>
          </cell>
          <cell r="AF182">
            <v>340.45800000000054</v>
          </cell>
          <cell r="AG182">
            <v>183.30900000000054</v>
          </cell>
          <cell r="AH182">
            <v>183.30900000000048</v>
          </cell>
          <cell r="AI182">
            <v>263.02900000000045</v>
          </cell>
          <cell r="AJ182">
            <v>334.70100000000048</v>
          </cell>
          <cell r="AK182">
            <v>283.75000000000045</v>
          </cell>
          <cell r="AL182">
            <v>358.43400000000042</v>
          </cell>
          <cell r="AM182">
            <v>358.43400000000037</v>
          </cell>
          <cell r="AN182">
            <v>263.02900000000045</v>
          </cell>
          <cell r="AO182">
            <v>334.70100000000048</v>
          </cell>
          <cell r="AP182">
            <v>283.75000000000045</v>
          </cell>
          <cell r="AQ182">
            <v>358.43400000000042</v>
          </cell>
          <cell r="AR182">
            <v>358.43400000000037</v>
          </cell>
          <cell r="AS182">
            <v>260.46200000000044</v>
          </cell>
          <cell r="AT182">
            <v>683.32700000000045</v>
          </cell>
          <cell r="AU182">
            <v>448.17700000000048</v>
          </cell>
          <cell r="AV182">
            <v>508.83100000000047</v>
          </cell>
          <cell r="AW182">
            <v>508.83100000000036</v>
          </cell>
          <cell r="AX182">
            <v>537.79400000000032</v>
          </cell>
          <cell r="AY182">
            <v>455.04400000000032</v>
          </cell>
          <cell r="AZ182">
            <v>993.46200000000022</v>
          </cell>
          <cell r="BA182">
            <v>777.73500000000024</v>
          </cell>
          <cell r="BB182">
            <v>777.73500000000024</v>
          </cell>
          <cell r="BC182">
            <v>445.04300000000029</v>
          </cell>
          <cell r="BD182">
            <v>404.57600000000025</v>
          </cell>
          <cell r="BE182">
            <v>974.0840000000004</v>
          </cell>
          <cell r="BF182">
            <v>791.79600000000039</v>
          </cell>
          <cell r="BG182">
            <v>791.79600000000028</v>
          </cell>
          <cell r="BH182">
            <v>682.27645337547551</v>
          </cell>
          <cell r="BI182">
            <v>673.91467667099243</v>
          </cell>
          <cell r="BJ182">
            <v>694.52193888648776</v>
          </cell>
          <cell r="BK182">
            <v>707.85301887311198</v>
          </cell>
          <cell r="BL182">
            <v>707.85301887311186</v>
          </cell>
          <cell r="BM182">
            <v>707.30557215538488</v>
          </cell>
          <cell r="BN182">
            <v>739.5303405220709</v>
          </cell>
          <cell r="BO182">
            <v>805.8930925001614</v>
          </cell>
          <cell r="BR182" t="str">
            <v>Cash &amp; Equivalents - End</v>
          </cell>
          <cell r="BS182">
            <v>24.361999999999984</v>
          </cell>
          <cell r="BT182">
            <v>33.818000000000012</v>
          </cell>
          <cell r="BU182">
            <v>268.07700000000006</v>
          </cell>
          <cell r="BV182">
            <v>176.02400000000009</v>
          </cell>
          <cell r="BW182">
            <v>226.57500000000041</v>
          </cell>
          <cell r="BX182">
            <v>252.21100000000064</v>
          </cell>
          <cell r="BY182">
            <v>183.30900000000048</v>
          </cell>
          <cell r="BZ182">
            <v>358.43400000000037</v>
          </cell>
          <cell r="CA182">
            <v>508.83100000000036</v>
          </cell>
          <cell r="CB182">
            <v>777.73500000000024</v>
          </cell>
          <cell r="CC182">
            <v>791.79600000000028</v>
          </cell>
          <cell r="CD182">
            <v>707.85301887311186</v>
          </cell>
          <cell r="CE182">
            <v>707.30557215538488</v>
          </cell>
          <cell r="CF182">
            <v>739.5303405220709</v>
          </cell>
          <cell r="CG182">
            <v>805.8930925001614</v>
          </cell>
        </row>
        <row r="186">
          <cell r="A186" t="str">
            <v>Quarterly Balance Sheet</v>
          </cell>
        </row>
        <row r="187">
          <cell r="A187" t="str">
            <v>(Values in millions, except per-share amounts)</v>
          </cell>
        </row>
        <row r="188">
          <cell r="A188" t="str">
            <v>MSCI Only Until Q3 2010 then Pro Forma</v>
          </cell>
          <cell r="BR188" t="str">
            <v>MSCI Only Until Q3 2010 then Pro Forma</v>
          </cell>
        </row>
        <row r="189">
          <cell r="A189" t="str">
            <v>Fiscal Year Ending Dec 31</v>
          </cell>
          <cell r="C189" t="str">
            <v>4Q06</v>
          </cell>
          <cell r="D189">
            <v>2006</v>
          </cell>
          <cell r="E189" t="str">
            <v>1Q07</v>
          </cell>
          <cell r="F189" t="str">
            <v>2Q07</v>
          </cell>
          <cell r="G189" t="str">
            <v>3Q07</v>
          </cell>
          <cell r="H189" t="str">
            <v>4Q07</v>
          </cell>
          <cell r="I189">
            <v>2007</v>
          </cell>
          <cell r="J189" t="str">
            <v>1Q08</v>
          </cell>
          <cell r="K189" t="str">
            <v>2Q08</v>
          </cell>
          <cell r="L189" t="str">
            <v>3Q08</v>
          </cell>
          <cell r="M189" t="str">
            <v>4Q08</v>
          </cell>
          <cell r="N189">
            <v>2008</v>
          </cell>
          <cell r="O189" t="str">
            <v>1Q09</v>
          </cell>
          <cell r="P189" t="str">
            <v>2Q09</v>
          </cell>
          <cell r="Q189" t="str">
            <v>3Q09</v>
          </cell>
          <cell r="R189" t="str">
            <v>4Q09</v>
          </cell>
          <cell r="S189">
            <v>2009</v>
          </cell>
          <cell r="T189" t="str">
            <v>1Q10</v>
          </cell>
          <cell r="U189" t="str">
            <v>2Q10</v>
          </cell>
          <cell r="V189" t="str">
            <v>3Q10</v>
          </cell>
          <cell r="W189" t="str">
            <v>4Q10</v>
          </cell>
          <cell r="X189">
            <v>2010</v>
          </cell>
          <cell r="Y189" t="str">
            <v>1Q11</v>
          </cell>
          <cell r="Z189" t="str">
            <v>2Q11</v>
          </cell>
          <cell r="AA189" t="str">
            <v>3Q11</v>
          </cell>
          <cell r="AB189" t="str">
            <v>4Q11</v>
          </cell>
          <cell r="AC189">
            <v>2011</v>
          </cell>
          <cell r="AD189" t="str">
            <v>1Q12</v>
          </cell>
          <cell r="AE189" t="str">
            <v>2Q12</v>
          </cell>
          <cell r="AF189" t="str">
            <v>3Q12</v>
          </cell>
          <cell r="AG189" t="str">
            <v>4Q12</v>
          </cell>
          <cell r="AH189">
            <v>2012</v>
          </cell>
          <cell r="AI189" t="str">
            <v>1Q13</v>
          </cell>
          <cell r="AJ189" t="str">
            <v>2Q13</v>
          </cell>
          <cell r="AK189" t="str">
            <v>3Q13</v>
          </cell>
          <cell r="AL189" t="str">
            <v>4Q13</v>
          </cell>
          <cell r="AM189">
            <v>2013</v>
          </cell>
          <cell r="AN189" t="str">
            <v>1Q13R</v>
          </cell>
          <cell r="AO189" t="str">
            <v>2Q13R</v>
          </cell>
          <cell r="AP189" t="str">
            <v>3Q13R</v>
          </cell>
          <cell r="AQ189" t="str">
            <v>4Q13R</v>
          </cell>
          <cell r="AR189" t="str">
            <v>2013R</v>
          </cell>
          <cell r="AS189" t="str">
            <v>1Q14</v>
          </cell>
          <cell r="AT189" t="str">
            <v>2Q14</v>
          </cell>
          <cell r="AU189" t="str">
            <v>3Q14</v>
          </cell>
          <cell r="AV189" t="str">
            <v>4Q14</v>
          </cell>
          <cell r="AW189">
            <v>2014</v>
          </cell>
          <cell r="AX189" t="str">
            <v>1Q15</v>
          </cell>
          <cell r="AY189" t="str">
            <v>2Q15</v>
          </cell>
          <cell r="AZ189" t="str">
            <v>3Q15</v>
          </cell>
          <cell r="BA189" t="str">
            <v>4Q15</v>
          </cell>
          <cell r="BB189">
            <v>2015</v>
          </cell>
          <cell r="BC189" t="str">
            <v>1Q16</v>
          </cell>
          <cell r="BD189" t="str">
            <v>2Q16</v>
          </cell>
          <cell r="BE189" t="str">
            <v>3Q16</v>
          </cell>
          <cell r="BF189" t="str">
            <v>4Q16</v>
          </cell>
          <cell r="BG189">
            <v>2016</v>
          </cell>
          <cell r="BH189" t="str">
            <v>1Q17E</v>
          </cell>
          <cell r="BI189" t="str">
            <v>2Q17E</v>
          </cell>
          <cell r="BJ189" t="str">
            <v>3Q17E</v>
          </cell>
          <cell r="BK189" t="str">
            <v>4Q17E</v>
          </cell>
          <cell r="BL189" t="str">
            <v>2017E</v>
          </cell>
          <cell r="BM189" t="str">
            <v>2018E</v>
          </cell>
          <cell r="BN189" t="str">
            <v>2019E</v>
          </cell>
          <cell r="BO189" t="str">
            <v>2020E</v>
          </cell>
          <cell r="BR189" t="str">
            <v>Fiscal Year Ending Dec 31</v>
          </cell>
          <cell r="BS189">
            <v>2006</v>
          </cell>
          <cell r="BT189">
            <v>2007</v>
          </cell>
          <cell r="BU189">
            <v>2008</v>
          </cell>
          <cell r="BV189">
            <v>2009</v>
          </cell>
          <cell r="BW189">
            <v>2010</v>
          </cell>
          <cell r="BX189">
            <v>2011</v>
          </cell>
          <cell r="BY189">
            <v>2012</v>
          </cell>
          <cell r="BZ189" t="str">
            <v>2013R</v>
          </cell>
          <cell r="CA189">
            <v>2014</v>
          </cell>
          <cell r="CB189">
            <v>2015</v>
          </cell>
          <cell r="CC189">
            <v>2016</v>
          </cell>
          <cell r="CD189" t="str">
            <v>2017E</v>
          </cell>
          <cell r="CE189" t="str">
            <v>2018E</v>
          </cell>
          <cell r="CF189" t="str">
            <v>2019E</v>
          </cell>
          <cell r="CG189" t="str">
            <v>2020E</v>
          </cell>
        </row>
        <row r="190">
          <cell r="A190" t="str">
            <v>ASSETS</v>
          </cell>
          <cell r="BR190" t="str">
            <v>ASSETS</v>
          </cell>
          <cell r="CO190" t="str">
            <v>Acquired Amount</v>
          </cell>
        </row>
        <row r="191">
          <cell r="A191" t="str">
            <v>Current Assets</v>
          </cell>
          <cell r="BR191" t="str">
            <v>Current Assets</v>
          </cell>
        </row>
        <row r="192">
          <cell r="A192" t="str">
            <v xml:space="preserve">Cash and Cash Equivalents </v>
          </cell>
          <cell r="C192">
            <v>24.361999999999998</v>
          </cell>
          <cell r="D192">
            <v>24.361999999999998</v>
          </cell>
          <cell r="E192">
            <v>24.482999999999972</v>
          </cell>
          <cell r="F192">
            <v>29.950999999999958</v>
          </cell>
          <cell r="G192">
            <v>21.598999999999929</v>
          </cell>
          <cell r="H192">
            <v>33.817999999999998</v>
          </cell>
          <cell r="I192">
            <v>33.817999999999998</v>
          </cell>
          <cell r="J192">
            <v>21.928999999999998</v>
          </cell>
          <cell r="K192">
            <v>32.293999999999997</v>
          </cell>
          <cell r="L192">
            <v>246.452</v>
          </cell>
          <cell r="M192">
            <v>268.077</v>
          </cell>
          <cell r="N192">
            <v>268.077</v>
          </cell>
          <cell r="O192">
            <v>276.88099999999997</v>
          </cell>
          <cell r="P192">
            <v>72.769000000000005</v>
          </cell>
          <cell r="Q192">
            <v>111.70100000000008</v>
          </cell>
          <cell r="R192">
            <v>176.02400000000014</v>
          </cell>
          <cell r="S192">
            <v>176.02400000000014</v>
          </cell>
          <cell r="T192">
            <v>84.349000000000061</v>
          </cell>
          <cell r="U192">
            <v>152.14800000000002</v>
          </cell>
          <cell r="V192">
            <v>197.73500000000016</v>
          </cell>
          <cell r="W192">
            <v>226.57500000000022</v>
          </cell>
          <cell r="X192">
            <v>226.57500000000022</v>
          </cell>
          <cell r="Y192">
            <v>127.6400000000004</v>
          </cell>
          <cell r="Z192">
            <v>175.89500000000027</v>
          </cell>
          <cell r="AA192">
            <v>221.57800000000037</v>
          </cell>
          <cell r="AB192">
            <v>252.2110000000005</v>
          </cell>
          <cell r="AC192">
            <v>252.2110000000005</v>
          </cell>
          <cell r="AD192">
            <v>266.02200000000062</v>
          </cell>
          <cell r="AE192">
            <v>273.30700000000041</v>
          </cell>
          <cell r="AF192">
            <v>340.45800000000054</v>
          </cell>
          <cell r="AG192">
            <v>183.30900000000054</v>
          </cell>
          <cell r="AH192">
            <v>183.30900000000054</v>
          </cell>
          <cell r="AI192">
            <v>263.02900000000045</v>
          </cell>
          <cell r="AJ192">
            <v>334.70100000000048</v>
          </cell>
          <cell r="AK192">
            <v>283.75000000000045</v>
          </cell>
          <cell r="AL192">
            <v>358.43400000000042</v>
          </cell>
          <cell r="AM192">
            <v>358.43400000000042</v>
          </cell>
          <cell r="AN192">
            <v>263.02900000000045</v>
          </cell>
          <cell r="AO192">
            <v>334.70100000000048</v>
          </cell>
          <cell r="AP192">
            <v>283.75000000000045</v>
          </cell>
          <cell r="AQ192">
            <v>358.43400000000042</v>
          </cell>
          <cell r="AR192">
            <v>358.43400000000042</v>
          </cell>
          <cell r="AS192">
            <v>260.46200000000044</v>
          </cell>
          <cell r="AT192">
            <v>683.32700000000045</v>
          </cell>
          <cell r="AU192">
            <v>448.17700000000048</v>
          </cell>
          <cell r="AV192">
            <v>508.83100000000047</v>
          </cell>
          <cell r="AW192">
            <v>508.83100000000047</v>
          </cell>
          <cell r="AX192">
            <v>537.79400000000032</v>
          </cell>
          <cell r="AY192">
            <v>455.04400000000032</v>
          </cell>
          <cell r="AZ192">
            <v>993.46200000000022</v>
          </cell>
          <cell r="BA192">
            <v>777.73500000000024</v>
          </cell>
          <cell r="BB192">
            <v>777.73500000000024</v>
          </cell>
          <cell r="BC192">
            <v>445.04300000000029</v>
          </cell>
          <cell r="BD192">
            <v>404.57600000000025</v>
          </cell>
          <cell r="BE192">
            <v>974.0840000000004</v>
          </cell>
          <cell r="BF192">
            <v>791.79600000000039</v>
          </cell>
          <cell r="BG192">
            <v>791.79600000000039</v>
          </cell>
          <cell r="BH192">
            <v>682.27645337547551</v>
          </cell>
          <cell r="BI192">
            <v>673.91467667099243</v>
          </cell>
          <cell r="BJ192">
            <v>694.52193888648776</v>
          </cell>
          <cell r="BK192">
            <v>707.85301887311198</v>
          </cell>
          <cell r="BL192">
            <v>707.85301887311198</v>
          </cell>
          <cell r="BM192">
            <v>707.30557215538488</v>
          </cell>
          <cell r="BN192">
            <v>739.5303405220709</v>
          </cell>
          <cell r="BO192">
            <v>805.8930925001614</v>
          </cell>
          <cell r="BR192" t="str">
            <v xml:space="preserve">Cash and Cash Equivalents </v>
          </cell>
          <cell r="BS192">
            <v>24.361999999999998</v>
          </cell>
          <cell r="BT192">
            <v>33.817999999999998</v>
          </cell>
          <cell r="BU192">
            <v>268.077</v>
          </cell>
          <cell r="BV192">
            <v>176.02400000000014</v>
          </cell>
          <cell r="BW192">
            <v>226.57500000000022</v>
          </cell>
          <cell r="BX192">
            <v>252.2110000000005</v>
          </cell>
          <cell r="BY192">
            <v>183.30900000000054</v>
          </cell>
          <cell r="BZ192">
            <v>358.43400000000042</v>
          </cell>
          <cell r="CA192">
            <v>508.83100000000047</v>
          </cell>
          <cell r="CB192">
            <v>777.73500000000024</v>
          </cell>
          <cell r="CC192">
            <v>791.79600000000039</v>
          </cell>
          <cell r="CD192">
            <v>707.85301887311198</v>
          </cell>
          <cell r="CE192">
            <v>707.30557215538488</v>
          </cell>
          <cell r="CF192">
            <v>739.5303405220709</v>
          </cell>
          <cell r="CG192">
            <v>805.8930925001614</v>
          </cell>
          <cell r="CI192" t="str">
            <v>mstag:cashAndCashEquivalents</v>
          </cell>
          <cell r="CJ192">
            <v>6</v>
          </cell>
          <cell r="CK192" t="str">
            <v>ISO4217:USD</v>
          </cell>
          <cell r="CL192" t="b">
            <v>0</v>
          </cell>
          <cell r="CO192">
            <v>242.65</v>
          </cell>
        </row>
        <row r="193">
          <cell r="A193" t="str">
            <v xml:space="preserve"> Short-term investments</v>
          </cell>
          <cell r="C193">
            <v>330.23099999999999</v>
          </cell>
          <cell r="D193">
            <v>330.23099999999999</v>
          </cell>
          <cell r="E193" t="str">
            <v>ND</v>
          </cell>
          <cell r="F193" t="str">
            <v>ND</v>
          </cell>
          <cell r="G193">
            <v>51.798999999999999</v>
          </cell>
          <cell r="H193">
            <v>137.625</v>
          </cell>
          <cell r="I193">
            <v>137.625</v>
          </cell>
          <cell r="J193">
            <v>164.09899999999999</v>
          </cell>
          <cell r="K193">
            <v>203.315</v>
          </cell>
          <cell r="L193">
            <v>0</v>
          </cell>
          <cell r="M193">
            <v>0</v>
          </cell>
          <cell r="N193">
            <v>0</v>
          </cell>
          <cell r="O193">
            <v>0</v>
          </cell>
          <cell r="P193">
            <v>244.87799999999999</v>
          </cell>
          <cell r="Q193">
            <v>250.06100000000001</v>
          </cell>
          <cell r="R193">
            <v>295.30399999999997</v>
          </cell>
          <cell r="S193">
            <v>295.30399999999997</v>
          </cell>
          <cell r="T193">
            <v>358.14499999999998</v>
          </cell>
          <cell r="U193">
            <v>61.399000000000001</v>
          </cell>
          <cell r="V193">
            <v>42.593000000000004</v>
          </cell>
          <cell r="W193">
            <v>73.891000000000005</v>
          </cell>
          <cell r="X193">
            <v>73.891000000000005</v>
          </cell>
          <cell r="Y193">
            <v>50.161000000000001</v>
          </cell>
          <cell r="Z193">
            <v>111.167</v>
          </cell>
          <cell r="AA193">
            <v>142.75399999999999</v>
          </cell>
          <cell r="AB193">
            <v>140.49</v>
          </cell>
          <cell r="AC193">
            <v>140.49</v>
          </cell>
          <cell r="AD193">
            <v>194.15700000000001</v>
          </cell>
          <cell r="AE193">
            <v>86.46</v>
          </cell>
          <cell r="AF193">
            <v>93.885000000000005</v>
          </cell>
          <cell r="AG193">
            <v>70.897999999999996</v>
          </cell>
          <cell r="AH193">
            <v>70.897999999999996</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R193" t="str">
            <v xml:space="preserve"> Short-term investments</v>
          </cell>
          <cell r="BS193">
            <v>330.23099999999999</v>
          </cell>
          <cell r="BT193">
            <v>137.625</v>
          </cell>
          <cell r="BU193">
            <v>0</v>
          </cell>
          <cell r="BV193">
            <v>295.30399999999997</v>
          </cell>
          <cell r="BW193">
            <v>73.891000000000005</v>
          </cell>
          <cell r="BX193">
            <v>140.49</v>
          </cell>
          <cell r="BY193">
            <v>70.897999999999996</v>
          </cell>
          <cell r="BZ193">
            <v>0</v>
          </cell>
          <cell r="CA193">
            <v>0</v>
          </cell>
          <cell r="CB193">
            <v>0</v>
          </cell>
          <cell r="CC193">
            <v>0</v>
          </cell>
          <cell r="CD193">
            <v>0</v>
          </cell>
          <cell r="CE193">
            <v>0</v>
          </cell>
          <cell r="CF193">
            <v>0</v>
          </cell>
          <cell r="CG193">
            <v>0</v>
          </cell>
          <cell r="CI193" t="str">
            <v>mstag:shortTermInvestments</v>
          </cell>
          <cell r="CJ193">
            <v>6</v>
          </cell>
          <cell r="CK193" t="str">
            <v>ISO4217:USD</v>
          </cell>
          <cell r="CL193" t="b">
            <v>0</v>
          </cell>
          <cell r="CO193">
            <v>0</v>
          </cell>
        </row>
        <row r="194">
          <cell r="A194" t="str">
            <v xml:space="preserve"> Accounts receivables, net</v>
          </cell>
          <cell r="C194">
            <v>62.337000000000003</v>
          </cell>
          <cell r="D194">
            <v>62.337000000000003</v>
          </cell>
          <cell r="E194" t="str">
            <v>ND</v>
          </cell>
          <cell r="F194" t="str">
            <v>ND</v>
          </cell>
          <cell r="G194">
            <v>78.617999999999995</v>
          </cell>
          <cell r="H194">
            <v>77.748000000000005</v>
          </cell>
          <cell r="I194">
            <v>77.748000000000005</v>
          </cell>
          <cell r="J194">
            <v>123.831</v>
          </cell>
          <cell r="K194">
            <v>106.20399999999999</v>
          </cell>
          <cell r="L194">
            <v>85.108000000000004</v>
          </cell>
          <cell r="M194">
            <v>85.722999999999999</v>
          </cell>
          <cell r="N194">
            <v>85.722999999999999</v>
          </cell>
          <cell r="O194">
            <v>99.475999999999999</v>
          </cell>
          <cell r="P194">
            <v>95.373999999999995</v>
          </cell>
          <cell r="Q194">
            <v>76.510999999999996</v>
          </cell>
          <cell r="R194">
            <v>77.180000000000007</v>
          </cell>
          <cell r="S194">
            <v>77.180000000000007</v>
          </cell>
          <cell r="T194">
            <v>113.901</v>
          </cell>
          <cell r="U194">
            <v>92.53</v>
          </cell>
          <cell r="V194">
            <v>114.527</v>
          </cell>
          <cell r="W194">
            <v>147.66200000000001</v>
          </cell>
          <cell r="X194">
            <v>147.66200000000001</v>
          </cell>
          <cell r="Y194">
            <v>185.714</v>
          </cell>
          <cell r="Z194">
            <v>177.18899999999999</v>
          </cell>
          <cell r="AA194">
            <v>166.94800000000001</v>
          </cell>
          <cell r="AB194">
            <v>180.566</v>
          </cell>
          <cell r="AC194">
            <v>180.566</v>
          </cell>
          <cell r="AD194">
            <v>172.18100000000001</v>
          </cell>
          <cell r="AE194">
            <v>136.07400000000001</v>
          </cell>
          <cell r="AF194">
            <v>124.309</v>
          </cell>
          <cell r="AG194">
            <v>153.55699999999999</v>
          </cell>
          <cell r="AH194">
            <v>153.55699999999999</v>
          </cell>
          <cell r="AI194">
            <v>166.91499999999999</v>
          </cell>
          <cell r="AJ194">
            <v>160.101</v>
          </cell>
          <cell r="AK194">
            <v>179.92</v>
          </cell>
          <cell r="AL194">
            <v>169.49</v>
          </cell>
          <cell r="AM194">
            <v>169.49</v>
          </cell>
          <cell r="AN194">
            <v>166.91499999999999</v>
          </cell>
          <cell r="AO194">
            <v>160.101</v>
          </cell>
          <cell r="AP194">
            <v>179.92</v>
          </cell>
          <cell r="AQ194">
            <v>169.49</v>
          </cell>
          <cell r="AR194">
            <v>169.49</v>
          </cell>
          <cell r="AS194">
            <v>191.905</v>
          </cell>
          <cell r="AT194">
            <v>213.43199999999999</v>
          </cell>
          <cell r="AU194">
            <v>191.80600000000001</v>
          </cell>
          <cell r="AV194">
            <v>178.71700000000001</v>
          </cell>
          <cell r="AW194">
            <v>178.71700000000001</v>
          </cell>
          <cell r="AX194">
            <v>184.827</v>
          </cell>
          <cell r="AY194">
            <v>214.48699999999999</v>
          </cell>
          <cell r="AZ194">
            <v>208.239</v>
          </cell>
          <cell r="BA194">
            <v>208.239</v>
          </cell>
          <cell r="BB194">
            <v>208.239</v>
          </cell>
          <cell r="BC194">
            <v>260.16800000000001</v>
          </cell>
          <cell r="BD194">
            <v>247.49700000000001</v>
          </cell>
          <cell r="BE194">
            <v>235.803</v>
          </cell>
          <cell r="BF194">
            <v>221.50399999999999</v>
          </cell>
          <cell r="BG194">
            <v>221.50399999999999</v>
          </cell>
          <cell r="BH194">
            <v>287.38744744427578</v>
          </cell>
          <cell r="BI194">
            <v>268.9920572713292</v>
          </cell>
          <cell r="BJ194">
            <v>257.98823703459823</v>
          </cell>
          <cell r="BK194">
            <v>243.18947626182472</v>
          </cell>
          <cell r="BL194">
            <v>243.18947626182472</v>
          </cell>
          <cell r="BM194">
            <v>271.56461484464694</v>
          </cell>
          <cell r="BN194">
            <v>299.83576976234161</v>
          </cell>
          <cell r="BO194">
            <v>331.2823703111377</v>
          </cell>
          <cell r="BR194" t="str">
            <v xml:space="preserve"> Accounts receivables, net</v>
          </cell>
          <cell r="BS194">
            <v>62.337000000000003</v>
          </cell>
          <cell r="BT194">
            <v>77.748000000000005</v>
          </cell>
          <cell r="BU194">
            <v>85.722999999999999</v>
          </cell>
          <cell r="BV194">
            <v>77.180000000000007</v>
          </cell>
          <cell r="BW194">
            <v>147.66200000000001</v>
          </cell>
          <cell r="BX194">
            <v>180.566</v>
          </cell>
          <cell r="BY194">
            <v>153.55699999999999</v>
          </cell>
          <cell r="BZ194">
            <v>169.49</v>
          </cell>
          <cell r="CA194">
            <v>178.71700000000001</v>
          </cell>
          <cell r="CB194">
            <v>208.239</v>
          </cell>
          <cell r="CC194">
            <v>221.50399999999999</v>
          </cell>
          <cell r="CD194">
            <v>243.18947626182472</v>
          </cell>
          <cell r="CE194">
            <v>271.56461484464694</v>
          </cell>
          <cell r="CF194">
            <v>299.83576976234161</v>
          </cell>
          <cell r="CG194">
            <v>331.2823703111377</v>
          </cell>
          <cell r="CI194" t="str">
            <v>mstag:tradeReceivablesCurrent</v>
          </cell>
          <cell r="CJ194">
            <v>6</v>
          </cell>
          <cell r="CK194" t="str">
            <v>ISO4217:USD</v>
          </cell>
          <cell r="CL194" t="b">
            <v>0</v>
          </cell>
          <cell r="CO194">
            <v>34.343000000000004</v>
          </cell>
        </row>
        <row r="195">
          <cell r="A195" t="str">
            <v xml:space="preserve">  Due from related parties</v>
          </cell>
          <cell r="C195">
            <v>37.838000000000001</v>
          </cell>
          <cell r="D195">
            <v>37.838000000000001</v>
          </cell>
          <cell r="E195" t="str">
            <v>ND</v>
          </cell>
          <cell r="F195" t="str">
            <v>ND</v>
          </cell>
          <cell r="G195">
            <v>4.3550000000000004</v>
          </cell>
          <cell r="H195">
            <v>2.6269999999999998</v>
          </cell>
          <cell r="I195">
            <v>2.6269999999999998</v>
          </cell>
          <cell r="J195">
            <v>5.5949999999999998</v>
          </cell>
          <cell r="K195">
            <v>1.9650000000000001</v>
          </cell>
          <cell r="L195">
            <v>5.694</v>
          </cell>
          <cell r="M195">
            <v>1.7649999999999999</v>
          </cell>
          <cell r="N195">
            <v>1.7649999999999999</v>
          </cell>
          <cell r="O195">
            <v>4.3849999999999998</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R195" t="str">
            <v xml:space="preserve">  Due from related parties</v>
          </cell>
          <cell r="BS195">
            <v>37.838000000000001</v>
          </cell>
          <cell r="BT195">
            <v>2.6269999999999998</v>
          </cell>
          <cell r="BU195">
            <v>1.7649999999999999</v>
          </cell>
          <cell r="BV195">
            <v>0</v>
          </cell>
          <cell r="BW195">
            <v>0</v>
          </cell>
          <cell r="BX195">
            <v>0</v>
          </cell>
          <cell r="BY195">
            <v>0</v>
          </cell>
          <cell r="BZ195">
            <v>0</v>
          </cell>
          <cell r="CA195">
            <v>0</v>
          </cell>
          <cell r="CB195">
            <v>0</v>
          </cell>
          <cell r="CC195">
            <v>0</v>
          </cell>
          <cell r="CD195">
            <v>0</v>
          </cell>
          <cell r="CE195">
            <v>0</v>
          </cell>
          <cell r="CF195">
            <v>0</v>
          </cell>
          <cell r="CG195">
            <v>0</v>
          </cell>
          <cell r="CI195" t="str">
            <v>mstag:otherReceivablesCurrent</v>
          </cell>
          <cell r="CJ195">
            <v>6</v>
          </cell>
          <cell r="CK195" t="str">
            <v>ISO4217:USD</v>
          </cell>
          <cell r="CL195" t="b">
            <v>0</v>
          </cell>
        </row>
        <row r="196">
          <cell r="A196" t="str">
            <v xml:space="preserve">  Deferred taxes</v>
          </cell>
          <cell r="C196">
            <v>3.8860000000000001</v>
          </cell>
          <cell r="D196">
            <v>3.8860000000000001</v>
          </cell>
          <cell r="E196" t="str">
            <v>ND</v>
          </cell>
          <cell r="F196" t="str">
            <v>ND</v>
          </cell>
          <cell r="G196">
            <v>4.1559999999999997</v>
          </cell>
          <cell r="H196">
            <v>17.425000000000001</v>
          </cell>
          <cell r="I196">
            <v>17.425000000000001</v>
          </cell>
          <cell r="J196">
            <v>17.831</v>
          </cell>
          <cell r="K196">
            <v>22.239000000000001</v>
          </cell>
          <cell r="L196">
            <v>19.971</v>
          </cell>
          <cell r="M196">
            <v>18.59</v>
          </cell>
          <cell r="N196">
            <v>18.59</v>
          </cell>
          <cell r="O196">
            <v>20.803000000000001</v>
          </cell>
          <cell r="P196">
            <v>26.869</v>
          </cell>
          <cell r="Q196">
            <v>28.425000000000001</v>
          </cell>
          <cell r="R196">
            <v>24.577000000000002</v>
          </cell>
          <cell r="S196">
            <v>24.577000000000002</v>
          </cell>
          <cell r="T196">
            <v>23.876999999999999</v>
          </cell>
          <cell r="U196">
            <v>23.334</v>
          </cell>
          <cell r="V196">
            <v>29.542999999999999</v>
          </cell>
          <cell r="W196">
            <v>47.811</v>
          </cell>
          <cell r="X196">
            <v>47.811</v>
          </cell>
          <cell r="Y196">
            <v>37.509</v>
          </cell>
          <cell r="Z196">
            <v>40.136000000000003</v>
          </cell>
          <cell r="AA196">
            <v>55.012</v>
          </cell>
          <cell r="AB196">
            <v>40.951999999999998</v>
          </cell>
          <cell r="AC196">
            <v>40.951999999999998</v>
          </cell>
          <cell r="AD196">
            <v>40.039000000000001</v>
          </cell>
          <cell r="AE196">
            <v>47.612000000000002</v>
          </cell>
          <cell r="AF196">
            <v>49.359000000000002</v>
          </cell>
          <cell r="AG196">
            <v>49.552</v>
          </cell>
          <cell r="AH196">
            <v>49.552</v>
          </cell>
          <cell r="AI196">
            <v>53.743000000000002</v>
          </cell>
          <cell r="AJ196">
            <v>53.345999999999997</v>
          </cell>
          <cell r="AK196">
            <v>50.386000000000003</v>
          </cell>
          <cell r="AL196">
            <v>52.887999999999998</v>
          </cell>
          <cell r="AM196">
            <v>52.887999999999998</v>
          </cell>
          <cell r="AN196">
            <v>53.743000000000002</v>
          </cell>
          <cell r="AO196">
            <v>53.345999999999997</v>
          </cell>
          <cell r="AP196">
            <v>50.386000000000003</v>
          </cell>
          <cell r="AQ196">
            <v>52.887999999999998</v>
          </cell>
          <cell r="AR196">
            <v>52.887999999999998</v>
          </cell>
          <cell r="AS196">
            <v>75.930999999999997</v>
          </cell>
          <cell r="AT196">
            <v>46.023000000000003</v>
          </cell>
          <cell r="AU196">
            <v>52.124000000000002</v>
          </cell>
          <cell r="AV196">
            <v>22.209</v>
          </cell>
          <cell r="AW196">
            <v>22.209</v>
          </cell>
          <cell r="AX196">
            <v>17.792000000000002</v>
          </cell>
          <cell r="AY196">
            <v>16.72</v>
          </cell>
          <cell r="AZ196">
            <v>14.098000000000001</v>
          </cell>
          <cell r="BA196">
            <v>0</v>
          </cell>
          <cell r="BB196">
            <v>0</v>
          </cell>
          <cell r="BC196">
            <v>0</v>
          </cell>
          <cell r="BD196">
            <v>0</v>
          </cell>
          <cell r="BE196">
            <v>0</v>
          </cell>
          <cell r="BF196">
            <v>0</v>
          </cell>
          <cell r="BG196">
            <v>0</v>
          </cell>
          <cell r="BH196">
            <v>0</v>
          </cell>
          <cell r="BI196">
            <v>0</v>
          </cell>
          <cell r="BJ196">
            <v>0</v>
          </cell>
          <cell r="BK196">
            <v>0</v>
          </cell>
          <cell r="BL196">
            <v>0</v>
          </cell>
          <cell r="BM196">
            <v>0</v>
          </cell>
          <cell r="BN196">
            <v>0</v>
          </cell>
          <cell r="BO196">
            <v>0</v>
          </cell>
          <cell r="BR196" t="str">
            <v xml:space="preserve">  Deferred taxes</v>
          </cell>
          <cell r="BS196">
            <v>3.8860000000000001</v>
          </cell>
          <cell r="BT196">
            <v>17.425000000000001</v>
          </cell>
          <cell r="BU196">
            <v>18.59</v>
          </cell>
          <cell r="BV196">
            <v>24.577000000000002</v>
          </cell>
          <cell r="BW196">
            <v>47.811</v>
          </cell>
          <cell r="BX196">
            <v>40.951999999999998</v>
          </cell>
          <cell r="BY196">
            <v>49.552</v>
          </cell>
          <cell r="BZ196">
            <v>52.887999999999998</v>
          </cell>
          <cell r="CA196">
            <v>22.209</v>
          </cell>
          <cell r="CB196">
            <v>0</v>
          </cell>
          <cell r="CC196">
            <v>0</v>
          </cell>
          <cell r="CD196">
            <v>0</v>
          </cell>
          <cell r="CE196">
            <v>0</v>
          </cell>
          <cell r="CF196">
            <v>0</v>
          </cell>
          <cell r="CG196">
            <v>0</v>
          </cell>
          <cell r="CI196" t="str">
            <v>mstag:deferredTaxAssetsCurrent</v>
          </cell>
          <cell r="CJ196">
            <v>6</v>
          </cell>
          <cell r="CK196" t="str">
            <v>ISO4217:USD</v>
          </cell>
          <cell r="CL196" t="b">
            <v>0</v>
          </cell>
          <cell r="CO196">
            <v>0.83399999999999996</v>
          </cell>
        </row>
        <row r="197">
          <cell r="A197" t="str">
            <v xml:space="preserve">  Prepaid Expenses &amp; Other</v>
          </cell>
          <cell r="C197">
            <v>3.552</v>
          </cell>
          <cell r="D197">
            <v>3.552</v>
          </cell>
          <cell r="E197" t="str">
            <v>ND</v>
          </cell>
          <cell r="F197" t="str">
            <v>ND</v>
          </cell>
          <cell r="G197">
            <v>3.7080000000000002</v>
          </cell>
          <cell r="H197">
            <v>12.16</v>
          </cell>
          <cell r="I197">
            <v>12.16</v>
          </cell>
          <cell r="J197">
            <v>12.353</v>
          </cell>
          <cell r="K197">
            <v>16.613</v>
          </cell>
          <cell r="L197">
            <v>9.4589999999999996</v>
          </cell>
          <cell r="M197">
            <v>18.100000000000001</v>
          </cell>
          <cell r="N197">
            <v>18.100000000000001</v>
          </cell>
          <cell r="O197">
            <v>11.205</v>
          </cell>
          <cell r="P197">
            <v>12.973000000000001</v>
          </cell>
          <cell r="Q197">
            <v>13.202999999999999</v>
          </cell>
          <cell r="R197">
            <v>29.399000000000001</v>
          </cell>
          <cell r="S197">
            <v>29.399000000000001</v>
          </cell>
          <cell r="T197">
            <v>21.576000000000001</v>
          </cell>
          <cell r="U197">
            <v>32.975000000000001</v>
          </cell>
          <cell r="V197">
            <v>61.329000000000008</v>
          </cell>
          <cell r="W197">
            <v>40.344000000000001</v>
          </cell>
          <cell r="X197">
            <v>40.344000000000001</v>
          </cell>
          <cell r="Y197">
            <v>47.942</v>
          </cell>
          <cell r="Z197">
            <v>56.932999999999993</v>
          </cell>
          <cell r="AA197">
            <v>46.147000000000006</v>
          </cell>
          <cell r="AB197">
            <v>63.724000000000004</v>
          </cell>
          <cell r="AC197">
            <v>63.724000000000004</v>
          </cell>
          <cell r="AD197">
            <v>40.733000000000004</v>
          </cell>
          <cell r="AE197">
            <v>61.647999999999996</v>
          </cell>
          <cell r="AF197">
            <v>62.769999999999996</v>
          </cell>
          <cell r="AG197">
            <v>57.518999999999998</v>
          </cell>
          <cell r="AH197">
            <v>57.518999999999998</v>
          </cell>
          <cell r="AI197">
            <v>39.646000000000001</v>
          </cell>
          <cell r="AJ197">
            <v>69.367999999999995</v>
          </cell>
          <cell r="AK197">
            <v>76.039000000000001</v>
          </cell>
          <cell r="AL197">
            <v>56.222999999999999</v>
          </cell>
          <cell r="AM197">
            <v>56.222999999999999</v>
          </cell>
          <cell r="AN197">
            <v>39.646000000000001</v>
          </cell>
          <cell r="AO197">
            <v>69.367999999999995</v>
          </cell>
          <cell r="AP197">
            <v>76.039000000000001</v>
          </cell>
          <cell r="AQ197">
            <v>43.457999999999998</v>
          </cell>
          <cell r="AR197">
            <v>43.457999999999998</v>
          </cell>
          <cell r="AS197">
            <v>460.57400000000001</v>
          </cell>
          <cell r="AT197">
            <v>64.198999999999998</v>
          </cell>
          <cell r="AU197">
            <v>66.466000000000008</v>
          </cell>
          <cell r="AV197">
            <v>60.906999999999996</v>
          </cell>
          <cell r="AW197">
            <v>60.906999999999996</v>
          </cell>
          <cell r="AX197">
            <v>48.262</v>
          </cell>
          <cell r="AY197">
            <v>90.548000000000002</v>
          </cell>
          <cell r="AZ197">
            <v>70.531999999999996</v>
          </cell>
          <cell r="BA197">
            <v>77.325999999999993</v>
          </cell>
          <cell r="BB197">
            <v>77.325999999999993</v>
          </cell>
          <cell r="BC197">
            <v>58.629000000000005</v>
          </cell>
          <cell r="BD197">
            <v>84.945999999999998</v>
          </cell>
          <cell r="BE197">
            <v>52.498000000000005</v>
          </cell>
          <cell r="BF197">
            <v>42.332000000000001</v>
          </cell>
          <cell r="BG197">
            <v>42.332000000000001</v>
          </cell>
          <cell r="BH197">
            <v>63.256398802497472</v>
          </cell>
          <cell r="BI197">
            <v>89.975890569075688</v>
          </cell>
          <cell r="BJ197">
            <v>55.917261221078228</v>
          </cell>
          <cell r="BK197">
            <v>45.150014337538636</v>
          </cell>
          <cell r="BL197">
            <v>45.150014337538636</v>
          </cell>
          <cell r="BM197">
            <v>48.381916501437729</v>
          </cell>
          <cell r="BN197">
            <v>52.018179410888486</v>
          </cell>
          <cell r="BO197">
            <v>56.005473786430478</v>
          </cell>
          <cell r="BR197" t="str">
            <v xml:space="preserve">  Prepaid Expenses &amp; Other</v>
          </cell>
          <cell r="BS197">
            <v>3.552</v>
          </cell>
          <cell r="BT197">
            <v>12.16</v>
          </cell>
          <cell r="BU197">
            <v>18.100000000000001</v>
          </cell>
          <cell r="BV197">
            <v>29.399000000000001</v>
          </cell>
          <cell r="BW197">
            <v>40.344000000000001</v>
          </cell>
          <cell r="BX197">
            <v>63.724000000000004</v>
          </cell>
          <cell r="BY197">
            <v>57.518999999999998</v>
          </cell>
          <cell r="BZ197">
            <v>43.457999999999998</v>
          </cell>
          <cell r="CA197">
            <v>60.906999999999996</v>
          </cell>
          <cell r="CB197">
            <v>77.325999999999993</v>
          </cell>
          <cell r="CC197">
            <v>42.332000000000001</v>
          </cell>
          <cell r="CD197">
            <v>45.150014337538636</v>
          </cell>
          <cell r="CE197">
            <v>48.381916501437729</v>
          </cell>
          <cell r="CF197">
            <v>52.018179410888486</v>
          </cell>
          <cell r="CG197">
            <v>56.005473786430478</v>
          </cell>
          <cell r="CI197" t="str">
            <v>mstag:prepaidExpensesCurrent</v>
          </cell>
          <cell r="CJ197">
            <v>6</v>
          </cell>
          <cell r="CK197" t="str">
            <v>ISO4217:USD</v>
          </cell>
          <cell r="CL197" t="b">
            <v>0</v>
          </cell>
          <cell r="CO197">
            <v>33.358000000000004</v>
          </cell>
        </row>
        <row r="199">
          <cell r="A199" t="str">
            <v xml:space="preserve">Total Current Assets </v>
          </cell>
          <cell r="C199">
            <v>462.20600000000007</v>
          </cell>
          <cell r="D199">
            <v>462.20600000000007</v>
          </cell>
          <cell r="E199" t="str">
            <v>ND</v>
          </cell>
          <cell r="F199" t="str">
            <v>ND</v>
          </cell>
          <cell r="G199">
            <v>164.2349999999999</v>
          </cell>
          <cell r="H199">
            <v>281.40300000000002</v>
          </cell>
          <cell r="I199">
            <v>281.40300000000002</v>
          </cell>
          <cell r="J199">
            <v>345.63800000000003</v>
          </cell>
          <cell r="K199">
            <v>382.62999999999994</v>
          </cell>
          <cell r="L199">
            <v>366.68400000000003</v>
          </cell>
          <cell r="M199">
            <v>392.255</v>
          </cell>
          <cell r="N199">
            <v>392.255</v>
          </cell>
          <cell r="O199">
            <v>412.74999999999994</v>
          </cell>
          <cell r="P199">
            <v>452.863</v>
          </cell>
          <cell r="Q199">
            <v>479.90100000000001</v>
          </cell>
          <cell r="R199">
            <v>602.48400000000004</v>
          </cell>
          <cell r="S199">
            <v>602.48400000000004</v>
          </cell>
          <cell r="T199">
            <v>601.84799999999996</v>
          </cell>
          <cell r="U199">
            <v>362.38600000000002</v>
          </cell>
          <cell r="V199">
            <v>445.72700000000015</v>
          </cell>
          <cell r="W199">
            <v>536.28300000000024</v>
          </cell>
          <cell r="X199">
            <v>536.28300000000024</v>
          </cell>
          <cell r="Y199">
            <v>448.96600000000041</v>
          </cell>
          <cell r="Z199">
            <v>561.32000000000016</v>
          </cell>
          <cell r="AA199">
            <v>632.43900000000042</v>
          </cell>
          <cell r="AB199">
            <v>677.94300000000055</v>
          </cell>
          <cell r="AC199">
            <v>677.94300000000055</v>
          </cell>
          <cell r="AD199">
            <v>713.13200000000074</v>
          </cell>
          <cell r="AE199">
            <v>605.10100000000045</v>
          </cell>
          <cell r="AF199">
            <v>670.78100000000052</v>
          </cell>
          <cell r="AG199">
            <v>514.83500000000049</v>
          </cell>
          <cell r="AH199">
            <v>514.83500000000049</v>
          </cell>
          <cell r="AI199">
            <v>523.33300000000042</v>
          </cell>
          <cell r="AJ199">
            <v>617.51600000000053</v>
          </cell>
          <cell r="AK199">
            <v>590.09500000000037</v>
          </cell>
          <cell r="AL199">
            <v>637.03500000000042</v>
          </cell>
          <cell r="AM199">
            <v>637.03500000000042</v>
          </cell>
          <cell r="AN199">
            <v>523.33300000000042</v>
          </cell>
          <cell r="AO199">
            <v>617.51600000000053</v>
          </cell>
          <cell r="AP199">
            <v>590.09500000000037</v>
          </cell>
          <cell r="AQ199">
            <v>624.27000000000044</v>
          </cell>
          <cell r="AR199">
            <v>624.27000000000044</v>
          </cell>
          <cell r="AS199">
            <v>988.87200000000053</v>
          </cell>
          <cell r="AT199">
            <v>1006.9810000000004</v>
          </cell>
          <cell r="AU199">
            <v>758.57300000000055</v>
          </cell>
          <cell r="AV199">
            <v>770.66400000000044</v>
          </cell>
          <cell r="AW199">
            <v>770.66400000000044</v>
          </cell>
          <cell r="AX199">
            <v>788.67500000000041</v>
          </cell>
          <cell r="AY199">
            <v>776.79900000000032</v>
          </cell>
          <cell r="AZ199">
            <v>1286.3310000000001</v>
          </cell>
          <cell r="BA199">
            <v>1063.3000000000002</v>
          </cell>
          <cell r="BB199">
            <v>1063.3000000000002</v>
          </cell>
          <cell r="BC199">
            <v>763.84000000000026</v>
          </cell>
          <cell r="BD199">
            <v>737.01900000000035</v>
          </cell>
          <cell r="BE199">
            <v>1262.3850000000004</v>
          </cell>
          <cell r="BF199">
            <v>1055.6320000000005</v>
          </cell>
          <cell r="BG199">
            <v>1055.6320000000005</v>
          </cell>
          <cell r="BH199">
            <v>1032.9202996222486</v>
          </cell>
          <cell r="BI199">
            <v>1032.8826245113974</v>
          </cell>
          <cell r="BJ199">
            <v>1008.4274371421642</v>
          </cell>
          <cell r="BK199">
            <v>996.19250947247531</v>
          </cell>
          <cell r="BL199">
            <v>996.19250947247531</v>
          </cell>
          <cell r="BM199">
            <v>1027.2521035014695</v>
          </cell>
          <cell r="BN199">
            <v>1091.384289695301</v>
          </cell>
          <cell r="BO199">
            <v>1193.1809365977294</v>
          </cell>
          <cell r="BR199" t="str">
            <v xml:space="preserve">Total Current Assets </v>
          </cell>
          <cell r="BS199">
            <v>462.20600000000007</v>
          </cell>
          <cell r="BT199">
            <v>281.40300000000002</v>
          </cell>
          <cell r="BU199">
            <v>392.255</v>
          </cell>
          <cell r="BV199">
            <v>602.48400000000004</v>
          </cell>
          <cell r="BW199">
            <v>536.28300000000024</v>
          </cell>
          <cell r="BX199">
            <v>677.94300000000055</v>
          </cell>
          <cell r="BY199">
            <v>514.83500000000049</v>
          </cell>
          <cell r="BZ199">
            <v>624.27000000000044</v>
          </cell>
          <cell r="CA199">
            <v>770.66400000000044</v>
          </cell>
          <cell r="CB199">
            <v>1063.3000000000002</v>
          </cell>
          <cell r="CC199">
            <v>1055.6320000000005</v>
          </cell>
          <cell r="CD199">
            <v>996.19250947247531</v>
          </cell>
          <cell r="CE199">
            <v>1027.2521035014695</v>
          </cell>
          <cell r="CF199">
            <v>1091.384289695301</v>
          </cell>
          <cell r="CG199">
            <v>1193.1809365977294</v>
          </cell>
        </row>
        <row r="201">
          <cell r="A201" t="str">
            <v xml:space="preserve">  Property &amp; Equip. - Net</v>
          </cell>
          <cell r="C201">
            <v>5.1859999999999999</v>
          </cell>
          <cell r="D201">
            <v>5.1859999999999999</v>
          </cell>
          <cell r="E201" t="str">
            <v>ND</v>
          </cell>
          <cell r="F201" t="str">
            <v>ND</v>
          </cell>
          <cell r="G201">
            <v>4.452</v>
          </cell>
          <cell r="H201">
            <v>4.2460000000000004</v>
          </cell>
          <cell r="I201">
            <v>4.2460000000000004</v>
          </cell>
          <cell r="J201">
            <v>4.7229999999999999</v>
          </cell>
          <cell r="K201">
            <v>15.367000000000001</v>
          </cell>
          <cell r="L201">
            <v>21.977</v>
          </cell>
          <cell r="M201">
            <v>28.446999999999999</v>
          </cell>
          <cell r="N201">
            <v>28.446999999999999</v>
          </cell>
          <cell r="O201">
            <v>29.765999999999998</v>
          </cell>
          <cell r="P201">
            <v>29.853000000000002</v>
          </cell>
          <cell r="Q201">
            <v>27.9</v>
          </cell>
          <cell r="R201">
            <v>29.381</v>
          </cell>
          <cell r="S201">
            <v>29.381</v>
          </cell>
          <cell r="T201">
            <v>27.256</v>
          </cell>
          <cell r="U201">
            <v>25.387</v>
          </cell>
          <cell r="V201">
            <v>35.612000000000002</v>
          </cell>
          <cell r="W201">
            <v>34.368000000000002</v>
          </cell>
          <cell r="X201">
            <v>34.368000000000002</v>
          </cell>
          <cell r="Y201">
            <v>33.064999999999998</v>
          </cell>
          <cell r="Z201">
            <v>36.075000000000003</v>
          </cell>
          <cell r="AA201">
            <v>36.911000000000001</v>
          </cell>
          <cell r="AB201">
            <v>37.622999999999998</v>
          </cell>
          <cell r="AC201">
            <v>37.622999999999998</v>
          </cell>
          <cell r="AD201">
            <v>39.71</v>
          </cell>
          <cell r="AE201">
            <v>54.792999999999999</v>
          </cell>
          <cell r="AF201">
            <v>64.012</v>
          </cell>
          <cell r="AG201">
            <v>67.418999999999997</v>
          </cell>
          <cell r="AH201">
            <v>67.418999999999997</v>
          </cell>
          <cell r="AI201">
            <v>64.608000000000004</v>
          </cell>
          <cell r="AJ201">
            <v>65.981999999999999</v>
          </cell>
          <cell r="AK201">
            <v>73.808999999999997</v>
          </cell>
          <cell r="AL201">
            <v>85.587999999999994</v>
          </cell>
          <cell r="AM201">
            <v>85.587999999999994</v>
          </cell>
          <cell r="AN201">
            <v>64.608000000000004</v>
          </cell>
          <cell r="AO201">
            <v>65.981999999999999</v>
          </cell>
          <cell r="AP201">
            <v>73.808999999999997</v>
          </cell>
          <cell r="AQ201">
            <v>85.587999999999994</v>
          </cell>
          <cell r="AR201">
            <v>85.587999999999994</v>
          </cell>
          <cell r="AS201">
            <v>79.757999999999996</v>
          </cell>
          <cell r="AT201">
            <v>94.802999999999997</v>
          </cell>
          <cell r="AU201">
            <v>93.787000000000006</v>
          </cell>
          <cell r="AV201">
            <v>94.073999999999998</v>
          </cell>
          <cell r="AW201">
            <v>94.073999999999998</v>
          </cell>
          <cell r="AX201">
            <v>97.498000000000005</v>
          </cell>
          <cell r="AY201">
            <v>93.293000000000006</v>
          </cell>
          <cell r="AZ201">
            <v>94.963999999999999</v>
          </cell>
          <cell r="BA201">
            <v>98.926000000000002</v>
          </cell>
          <cell r="BB201">
            <v>98.926000000000002</v>
          </cell>
          <cell r="BC201">
            <v>96.007000000000005</v>
          </cell>
          <cell r="BD201">
            <v>97.808000000000007</v>
          </cell>
          <cell r="BE201">
            <v>99.259</v>
          </cell>
          <cell r="BF201">
            <v>95.584999999999994</v>
          </cell>
          <cell r="BG201">
            <v>95.584999999999994</v>
          </cell>
          <cell r="BH201">
            <v>91.674145011019533</v>
          </cell>
          <cell r="BI201">
            <v>93.828766032264525</v>
          </cell>
          <cell r="BJ201">
            <v>95.979299078103509</v>
          </cell>
          <cell r="BK201">
            <v>99.726950783159737</v>
          </cell>
          <cell r="BL201">
            <v>99.726950783159737</v>
          </cell>
          <cell r="BM201">
            <v>102.62558071357681</v>
          </cell>
          <cell r="BN201">
            <v>104.08185927465294</v>
          </cell>
          <cell r="BO201">
            <v>103.85732427327119</v>
          </cell>
          <cell r="BR201" t="str">
            <v xml:space="preserve">  Property &amp; Equip. - Net</v>
          </cell>
          <cell r="BS201">
            <v>5.1859999999999999</v>
          </cell>
          <cell r="BT201">
            <v>4.2460000000000004</v>
          </cell>
          <cell r="BU201">
            <v>28.446999999999999</v>
          </cell>
          <cell r="BV201">
            <v>29.381</v>
          </cell>
          <cell r="BW201">
            <v>34.368000000000002</v>
          </cell>
          <cell r="BX201">
            <v>37.622999999999998</v>
          </cell>
          <cell r="BY201">
            <v>67.418999999999997</v>
          </cell>
          <cell r="BZ201">
            <v>85.587999999999994</v>
          </cell>
          <cell r="CA201">
            <v>94.073999999999998</v>
          </cell>
          <cell r="CB201">
            <v>98.926000000000002</v>
          </cell>
          <cell r="CC201">
            <v>95.584999999999994</v>
          </cell>
          <cell r="CD201">
            <v>99.726950783159737</v>
          </cell>
          <cell r="CE201">
            <v>102.62558071357681</v>
          </cell>
          <cell r="CF201">
            <v>104.08185927465294</v>
          </cell>
          <cell r="CG201">
            <v>103.85732427327119</v>
          </cell>
          <cell r="CI201" t="str">
            <v>mstag:propertyPlantAndEquipmentNet</v>
          </cell>
          <cell r="CJ201">
            <v>6</v>
          </cell>
          <cell r="CK201" t="str">
            <v>ISO4217:USD</v>
          </cell>
          <cell r="CL201" t="b">
            <v>0</v>
          </cell>
          <cell r="CO201">
            <v>13.471</v>
          </cell>
        </row>
        <row r="202">
          <cell r="A202" t="str">
            <v xml:space="preserve">  Investment in unconsolidated companies</v>
          </cell>
          <cell r="C202">
            <v>3</v>
          </cell>
          <cell r="D202">
            <v>3</v>
          </cell>
          <cell r="E202" t="str">
            <v>ND</v>
          </cell>
          <cell r="F202" t="str">
            <v>ND</v>
          </cell>
          <cell r="G202">
            <v>3</v>
          </cell>
          <cell r="H202">
            <v>3</v>
          </cell>
          <cell r="I202">
            <v>3</v>
          </cell>
          <cell r="J202">
            <v>3</v>
          </cell>
          <cell r="K202">
            <v>3</v>
          </cell>
          <cell r="L202">
            <v>3</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cell r="BM202">
            <v>0</v>
          </cell>
          <cell r="BN202">
            <v>0</v>
          </cell>
          <cell r="BO202">
            <v>0</v>
          </cell>
          <cell r="BR202" t="str">
            <v xml:space="preserve">  Investment in unconsolidated companies</v>
          </cell>
          <cell r="BS202">
            <v>3</v>
          </cell>
          <cell r="BT202">
            <v>3</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I202" t="str">
            <v>mstag:longTermInvestmentsNonOperating</v>
          </cell>
          <cell r="CJ202">
            <v>6</v>
          </cell>
          <cell r="CK202" t="str">
            <v>ISO4217:USD</v>
          </cell>
          <cell r="CL202" t="b">
            <v>0</v>
          </cell>
        </row>
        <row r="203">
          <cell r="A203" t="str">
            <v xml:space="preserve">  Goodwill - Net</v>
          </cell>
          <cell r="C203">
            <v>441.62299999999999</v>
          </cell>
          <cell r="D203">
            <v>441.62299999999999</v>
          </cell>
          <cell r="E203" t="str">
            <v>ND</v>
          </cell>
          <cell r="F203" t="str">
            <v>ND</v>
          </cell>
          <cell r="G203">
            <v>441.62299999999999</v>
          </cell>
          <cell r="H203">
            <v>441.62299999999999</v>
          </cell>
          <cell r="I203">
            <v>441.62299999999999</v>
          </cell>
          <cell r="J203">
            <v>441.62299999999999</v>
          </cell>
          <cell r="K203">
            <v>441.62299999999999</v>
          </cell>
          <cell r="L203">
            <v>441.62299999999999</v>
          </cell>
          <cell r="M203">
            <v>441.62299999999999</v>
          </cell>
          <cell r="N203">
            <v>441.62299999999999</v>
          </cell>
          <cell r="O203">
            <v>441.62299999999999</v>
          </cell>
          <cell r="P203">
            <v>441.62299999999999</v>
          </cell>
          <cell r="Q203">
            <v>441.62299999999999</v>
          </cell>
          <cell r="R203">
            <v>441.62299999999999</v>
          </cell>
          <cell r="S203">
            <v>441.62299999999999</v>
          </cell>
          <cell r="T203">
            <v>441.62299999999999</v>
          </cell>
          <cell r="U203">
            <v>441.62299999999999</v>
          </cell>
          <cell r="V203">
            <v>1703.4860000000001</v>
          </cell>
          <cell r="W203">
            <v>1706.671</v>
          </cell>
          <cell r="X203">
            <v>1706.671</v>
          </cell>
          <cell r="Y203">
            <v>1706.671</v>
          </cell>
          <cell r="Z203">
            <v>1708.585</v>
          </cell>
          <cell r="AA203">
            <v>1708.585</v>
          </cell>
          <cell r="AB203">
            <v>1708.585</v>
          </cell>
          <cell r="AC203">
            <v>1708.585</v>
          </cell>
          <cell r="AD203">
            <v>1708.585</v>
          </cell>
          <cell r="AE203">
            <v>1708.585</v>
          </cell>
          <cell r="AF203">
            <v>1708.585</v>
          </cell>
          <cell r="AG203">
            <v>1783.41</v>
          </cell>
          <cell r="AH203">
            <v>1783.41</v>
          </cell>
          <cell r="AI203">
            <v>1799.453</v>
          </cell>
          <cell r="AJ203">
            <v>1792.31</v>
          </cell>
          <cell r="AK203">
            <v>1797.223</v>
          </cell>
          <cell r="AL203">
            <v>1798.8209999999999</v>
          </cell>
          <cell r="AM203">
            <v>1798.8209999999999</v>
          </cell>
          <cell r="AN203">
            <v>1799.453</v>
          </cell>
          <cell r="AO203">
            <v>1792.31</v>
          </cell>
          <cell r="AP203">
            <v>1797.223</v>
          </cell>
          <cell r="AQ203">
            <v>1813.164</v>
          </cell>
          <cell r="AR203">
            <v>1813.164</v>
          </cell>
          <cell r="AS203">
            <v>1547.173</v>
          </cell>
          <cell r="AT203">
            <v>1561.12</v>
          </cell>
          <cell r="AU203">
            <v>1567.443</v>
          </cell>
          <cell r="AV203">
            <v>1564.904</v>
          </cell>
          <cell r="AW203">
            <v>1564.904</v>
          </cell>
          <cell r="AX203">
            <v>1561.8520000000001</v>
          </cell>
          <cell r="AY203">
            <v>1565.453</v>
          </cell>
          <cell r="AZ203">
            <v>1563.087</v>
          </cell>
          <cell r="BA203">
            <v>1565.6210000000001</v>
          </cell>
          <cell r="BB203">
            <v>1565.6210000000001</v>
          </cell>
          <cell r="BC203">
            <v>1564.1859999999999</v>
          </cell>
          <cell r="BD203">
            <v>1560.0830000000001</v>
          </cell>
          <cell r="BE203">
            <v>1558.431</v>
          </cell>
          <cell r="BF203">
            <v>1555.85</v>
          </cell>
          <cell r="BG203">
            <v>1555.85</v>
          </cell>
          <cell r="BH203">
            <v>1555.85</v>
          </cell>
          <cell r="BI203">
            <v>1555.85</v>
          </cell>
          <cell r="BJ203">
            <v>1555.85</v>
          </cell>
          <cell r="BK203">
            <v>1555.85</v>
          </cell>
          <cell r="BL203">
            <v>1555.85</v>
          </cell>
          <cell r="BM203">
            <v>1555.85</v>
          </cell>
          <cell r="BN203">
            <v>1555.85</v>
          </cell>
          <cell r="BO203">
            <v>1555.85</v>
          </cell>
          <cell r="BR203" t="str">
            <v xml:space="preserve">  Goodwill - Net</v>
          </cell>
          <cell r="BS203">
            <v>441.62299999999999</v>
          </cell>
          <cell r="BT203">
            <v>441.62299999999999</v>
          </cell>
          <cell r="BU203">
            <v>441.62299999999999</v>
          </cell>
          <cell r="BV203">
            <v>441.62299999999999</v>
          </cell>
          <cell r="BW203">
            <v>1706.671</v>
          </cell>
          <cell r="BX203">
            <v>1708.585</v>
          </cell>
          <cell r="BY203">
            <v>1783.41</v>
          </cell>
          <cell r="BZ203">
            <v>1813.164</v>
          </cell>
          <cell r="CA203">
            <v>1564.904</v>
          </cell>
          <cell r="CB203">
            <v>1565.6210000000001</v>
          </cell>
          <cell r="CC203">
            <v>1555.85</v>
          </cell>
          <cell r="CD203">
            <v>1555.85</v>
          </cell>
          <cell r="CE203">
            <v>1555.85</v>
          </cell>
          <cell r="CF203">
            <v>1555.85</v>
          </cell>
          <cell r="CG203">
            <v>1555.85</v>
          </cell>
          <cell r="CI203" t="str">
            <v>mstag:goodwill</v>
          </cell>
          <cell r="CJ203">
            <v>6</v>
          </cell>
          <cell r="CK203" t="str">
            <v>ISO4217:USD</v>
          </cell>
          <cell r="CL203" t="b">
            <v>0</v>
          </cell>
          <cell r="CO203">
            <v>1298.414</v>
          </cell>
          <cell r="CP203">
            <v>-36.550999999999874</v>
          </cell>
        </row>
        <row r="204">
          <cell r="A204" t="str">
            <v xml:space="preserve">  Intangible Assets</v>
          </cell>
          <cell r="C204">
            <v>200.76</v>
          </cell>
          <cell r="D204">
            <v>200.76</v>
          </cell>
          <cell r="E204" t="str">
            <v>ND</v>
          </cell>
          <cell r="F204" t="str">
            <v>ND</v>
          </cell>
          <cell r="G204">
            <v>181.53200000000001</v>
          </cell>
          <cell r="H204">
            <v>174.40700000000001</v>
          </cell>
          <cell r="I204">
            <v>174.40700000000001</v>
          </cell>
          <cell r="J204">
            <v>167.28200000000001</v>
          </cell>
          <cell r="K204">
            <v>160.15700000000001</v>
          </cell>
          <cell r="L204">
            <v>153.03200000000001</v>
          </cell>
          <cell r="M204">
            <v>145.90700000000001</v>
          </cell>
          <cell r="N204">
            <v>145.90700000000001</v>
          </cell>
          <cell r="O204">
            <v>139.477</v>
          </cell>
          <cell r="P204">
            <v>132.887</v>
          </cell>
          <cell r="Q204">
            <v>126.458</v>
          </cell>
          <cell r="R204">
            <v>120.18899999999999</v>
          </cell>
          <cell r="S204">
            <v>120.18899999999999</v>
          </cell>
          <cell r="T204">
            <v>115.911</v>
          </cell>
          <cell r="U204">
            <v>111.634</v>
          </cell>
          <cell r="V204">
            <v>732.93399999999997</v>
          </cell>
          <cell r="W204">
            <v>716.25</v>
          </cell>
          <cell r="X204">
            <v>716.25</v>
          </cell>
          <cell r="Y204">
            <v>693.99400000000003</v>
          </cell>
          <cell r="Z204">
            <v>677.57100000000003</v>
          </cell>
          <cell r="AA204">
            <v>661.149</v>
          </cell>
          <cell r="AB204">
            <v>644.88099999999997</v>
          </cell>
          <cell r="AC204">
            <v>644.88099999999997</v>
          </cell>
          <cell r="AD204">
            <v>628.92200000000003</v>
          </cell>
          <cell r="AE204">
            <v>612.96299999999997</v>
          </cell>
          <cell r="AF204">
            <v>597.00400000000002</v>
          </cell>
          <cell r="AG204">
            <v>641.07399999999996</v>
          </cell>
          <cell r="AH204">
            <v>641.07399999999996</v>
          </cell>
          <cell r="AI204">
            <v>631.38499999999999</v>
          </cell>
          <cell r="AJ204">
            <v>616.82500000000005</v>
          </cell>
          <cell r="AK204">
            <v>607.76599999999996</v>
          </cell>
          <cell r="AL204">
            <v>595.70699999999999</v>
          </cell>
          <cell r="AM204">
            <v>595.70699999999999</v>
          </cell>
          <cell r="AN204">
            <v>631.38499999999999</v>
          </cell>
          <cell r="AO204">
            <v>616.82500000000005</v>
          </cell>
          <cell r="AP204">
            <v>607.76599999999996</v>
          </cell>
          <cell r="AQ204">
            <v>595.70699999999999</v>
          </cell>
          <cell r="AR204">
            <v>595.70699999999999</v>
          </cell>
          <cell r="AS204">
            <v>462.34800000000001</v>
          </cell>
          <cell r="AT204">
            <v>454.52499999999998</v>
          </cell>
          <cell r="AU204">
            <v>445.03399999999999</v>
          </cell>
          <cell r="AV204">
            <v>433.62799999999999</v>
          </cell>
          <cell r="AW204">
            <v>433.62799999999999</v>
          </cell>
          <cell r="AX204">
            <v>417.61</v>
          </cell>
          <cell r="AY204">
            <v>410.19900000000001</v>
          </cell>
          <cell r="AZ204">
            <v>399.94299999999998</v>
          </cell>
          <cell r="BA204">
            <v>391.49</v>
          </cell>
          <cell r="BB204">
            <v>391.49</v>
          </cell>
          <cell r="BC204">
            <v>380.86</v>
          </cell>
          <cell r="BD204">
            <v>368.71499999999997</v>
          </cell>
          <cell r="BE204">
            <v>358.43099999999998</v>
          </cell>
          <cell r="BF204">
            <v>347.64</v>
          </cell>
          <cell r="BG204">
            <v>347.64</v>
          </cell>
          <cell r="BH204">
            <v>336.7</v>
          </cell>
          <cell r="BI204">
            <v>325.76</v>
          </cell>
          <cell r="BJ204">
            <v>314.82</v>
          </cell>
          <cell r="BK204">
            <v>303.88</v>
          </cell>
          <cell r="BL204">
            <v>303.88</v>
          </cell>
          <cell r="BM204">
            <v>263.28999999999996</v>
          </cell>
          <cell r="BN204">
            <v>224.76799999999997</v>
          </cell>
          <cell r="BO204">
            <v>188.17999999999998</v>
          </cell>
          <cell r="BR204" t="str">
            <v xml:space="preserve">  Intangible Assets</v>
          </cell>
          <cell r="BS204">
            <v>200.76</v>
          </cell>
          <cell r="BT204">
            <v>174.40700000000001</v>
          </cell>
          <cell r="BU204">
            <v>145.90700000000001</v>
          </cell>
          <cell r="BV204">
            <v>120.18899999999999</v>
          </cell>
          <cell r="BW204">
            <v>716.25</v>
          </cell>
          <cell r="BX204">
            <v>644.88099999999997</v>
          </cell>
          <cell r="BY204">
            <v>641.07399999999996</v>
          </cell>
          <cell r="BZ204">
            <v>595.70699999999999</v>
          </cell>
          <cell r="CA204">
            <v>433.62799999999999</v>
          </cell>
          <cell r="CB204">
            <v>391.49</v>
          </cell>
          <cell r="CC204">
            <v>347.64</v>
          </cell>
          <cell r="CD204">
            <v>303.88</v>
          </cell>
          <cell r="CE204">
            <v>263.28999999999996</v>
          </cell>
          <cell r="CF204">
            <v>224.76799999999997</v>
          </cell>
          <cell r="CG204">
            <v>188.17999999999998</v>
          </cell>
          <cell r="CI204" t="str">
            <v>mstag:otherIntangibleAssets</v>
          </cell>
          <cell r="CJ204">
            <v>6</v>
          </cell>
          <cell r="CK204" t="str">
            <v>ISO4217:USD</v>
          </cell>
          <cell r="CL204" t="b">
            <v>0</v>
          </cell>
          <cell r="CO204">
            <v>633.72699999999998</v>
          </cell>
        </row>
        <row r="205">
          <cell r="A205" t="str">
            <v xml:space="preserve">  Other Assets</v>
          </cell>
          <cell r="C205">
            <v>0</v>
          </cell>
          <cell r="D205">
            <v>0</v>
          </cell>
          <cell r="E205" t="str">
            <v>ND</v>
          </cell>
          <cell r="F205" t="str">
            <v>ND</v>
          </cell>
          <cell r="G205">
            <v>0</v>
          </cell>
          <cell r="H205">
            <v>0</v>
          </cell>
          <cell r="I205">
            <v>0</v>
          </cell>
          <cell r="J205">
            <v>0</v>
          </cell>
          <cell r="K205">
            <v>0</v>
          </cell>
          <cell r="L205">
            <v>7.1429999999999998</v>
          </cell>
          <cell r="M205">
            <v>6.8159999999999998</v>
          </cell>
          <cell r="N205">
            <v>6.8159999999999998</v>
          </cell>
          <cell r="O205">
            <v>6.4420000000000002</v>
          </cell>
          <cell r="P205">
            <v>6.6349999999999998</v>
          </cell>
          <cell r="Q205">
            <v>6.6829999999999998</v>
          </cell>
          <cell r="R205">
            <v>6.5919999999999996</v>
          </cell>
          <cell r="S205">
            <v>6.5919999999999996</v>
          </cell>
          <cell r="T205">
            <v>9.2360000000000007</v>
          </cell>
          <cell r="U205">
            <v>6.9009999999999998</v>
          </cell>
          <cell r="V205">
            <v>30.696000000000002</v>
          </cell>
          <cell r="W205">
            <v>29.594000000000001</v>
          </cell>
          <cell r="X205">
            <v>29.594000000000001</v>
          </cell>
          <cell r="Y205">
            <v>27.788</v>
          </cell>
          <cell r="Z205">
            <v>26.036000000000001</v>
          </cell>
          <cell r="AA205">
            <v>25.132999999999999</v>
          </cell>
          <cell r="AB205">
            <v>23.963999999999999</v>
          </cell>
          <cell r="AC205">
            <v>23.963999999999999</v>
          </cell>
          <cell r="AD205">
            <v>22.698</v>
          </cell>
          <cell r="AE205">
            <v>13.448</v>
          </cell>
          <cell r="AF205">
            <v>12.808999999999999</v>
          </cell>
          <cell r="AG205">
            <v>12.901</v>
          </cell>
          <cell r="AH205">
            <v>12.901</v>
          </cell>
          <cell r="AI205">
            <v>13.081</v>
          </cell>
          <cell r="AJ205">
            <v>12.465</v>
          </cell>
          <cell r="AK205">
            <v>12.696</v>
          </cell>
          <cell r="AL205">
            <v>17.385999999999999</v>
          </cell>
          <cell r="AM205">
            <v>17.385999999999999</v>
          </cell>
          <cell r="AN205">
            <v>13.081</v>
          </cell>
          <cell r="AO205">
            <v>12.465</v>
          </cell>
          <cell r="AP205">
            <v>12.696</v>
          </cell>
          <cell r="AQ205">
            <v>17.385999999999999</v>
          </cell>
          <cell r="AR205">
            <v>17.385999999999999</v>
          </cell>
          <cell r="AS205">
            <v>15.679</v>
          </cell>
          <cell r="AT205">
            <v>15.894</v>
          </cell>
          <cell r="AU205">
            <v>15.426</v>
          </cell>
          <cell r="AV205">
            <v>30.937000000000001</v>
          </cell>
          <cell r="AW205">
            <v>30.937000000000001</v>
          </cell>
          <cell r="AX205">
            <v>30.934999999999999</v>
          </cell>
          <cell r="AY205">
            <v>29.907</v>
          </cell>
          <cell r="AZ205">
            <v>22.44</v>
          </cell>
          <cell r="BA205">
            <v>27.678999999999998</v>
          </cell>
          <cell r="BB205">
            <v>27.678999999999998</v>
          </cell>
          <cell r="BC205">
            <v>26.770000000000003</v>
          </cell>
          <cell r="BD205">
            <v>27.323</v>
          </cell>
          <cell r="BE205">
            <v>28.599999999999998</v>
          </cell>
          <cell r="BF205">
            <v>18.302</v>
          </cell>
          <cell r="BG205">
            <v>18.302</v>
          </cell>
          <cell r="BH205">
            <v>18.302</v>
          </cell>
          <cell r="BI205">
            <v>18.302</v>
          </cell>
          <cell r="BJ205">
            <v>18.302</v>
          </cell>
          <cell r="BK205">
            <v>18.302</v>
          </cell>
          <cell r="BL205">
            <v>18.302</v>
          </cell>
          <cell r="BM205">
            <v>18.302</v>
          </cell>
          <cell r="BN205">
            <v>18.302</v>
          </cell>
          <cell r="BO205">
            <v>18.302</v>
          </cell>
          <cell r="BR205" t="str">
            <v xml:space="preserve">  Other Assets</v>
          </cell>
          <cell r="BS205">
            <v>0</v>
          </cell>
          <cell r="BT205">
            <v>0</v>
          </cell>
          <cell r="BU205">
            <v>6.8159999999999998</v>
          </cell>
          <cell r="BV205">
            <v>6.5919999999999996</v>
          </cell>
          <cell r="BW205">
            <v>29.594000000000001</v>
          </cell>
          <cell r="BX205">
            <v>23.963999999999999</v>
          </cell>
          <cell r="BY205">
            <v>12.901</v>
          </cell>
          <cell r="BZ205">
            <v>17.385999999999999</v>
          </cell>
          <cell r="CA205">
            <v>30.937000000000001</v>
          </cell>
          <cell r="CB205">
            <v>27.678999999999998</v>
          </cell>
          <cell r="CC205">
            <v>18.302</v>
          </cell>
          <cell r="CD205">
            <v>18.302</v>
          </cell>
          <cell r="CE205">
            <v>18.302</v>
          </cell>
          <cell r="CF205">
            <v>18.302</v>
          </cell>
          <cell r="CG205">
            <v>18.302</v>
          </cell>
          <cell r="CI205" t="str">
            <v>mstag:otherAssetsOperatingNonCurrent</v>
          </cell>
          <cell r="CJ205">
            <v>6</v>
          </cell>
          <cell r="CK205" t="str">
            <v>ISO4217:USD</v>
          </cell>
          <cell r="CL205" t="b">
            <v>0</v>
          </cell>
          <cell r="CO205">
            <v>5.7690000000000001</v>
          </cell>
        </row>
        <row r="207">
          <cell r="A207" t="str">
            <v>Total Assets</v>
          </cell>
          <cell r="C207">
            <v>1112.7750000000001</v>
          </cell>
          <cell r="D207">
            <v>1112.7750000000001</v>
          </cell>
          <cell r="E207" t="str">
            <v>ND</v>
          </cell>
          <cell r="F207" t="str">
            <v>ND</v>
          </cell>
          <cell r="G207">
            <v>794.84199999999987</v>
          </cell>
          <cell r="H207">
            <v>904.67899999999997</v>
          </cell>
          <cell r="I207">
            <v>904.67899999999997</v>
          </cell>
          <cell r="J207">
            <v>962.26600000000008</v>
          </cell>
          <cell r="K207">
            <v>1002.777</v>
          </cell>
          <cell r="L207">
            <v>993.45900000000006</v>
          </cell>
          <cell r="M207">
            <v>1015.048</v>
          </cell>
          <cell r="N207">
            <v>1015.048</v>
          </cell>
          <cell r="O207">
            <v>1030.058</v>
          </cell>
          <cell r="P207">
            <v>1063.8610000000001</v>
          </cell>
          <cell r="Q207">
            <v>1082.5650000000001</v>
          </cell>
          <cell r="R207">
            <v>1200.269</v>
          </cell>
          <cell r="S207">
            <v>1200.269</v>
          </cell>
          <cell r="T207">
            <v>1195.8739999999998</v>
          </cell>
          <cell r="U207">
            <v>947.93100000000004</v>
          </cell>
          <cell r="V207">
            <v>2948.4550000000004</v>
          </cell>
          <cell r="W207">
            <v>3023.1660000000002</v>
          </cell>
          <cell r="X207">
            <v>3023.1660000000002</v>
          </cell>
          <cell r="Y207">
            <v>2910.4840000000004</v>
          </cell>
          <cell r="Z207">
            <v>3009.5870000000004</v>
          </cell>
          <cell r="AA207">
            <v>3064.2170000000001</v>
          </cell>
          <cell r="AB207">
            <v>3092.9960000000005</v>
          </cell>
          <cell r="AC207">
            <v>3092.9960000000005</v>
          </cell>
          <cell r="AD207">
            <v>3113.0470000000005</v>
          </cell>
          <cell r="AE207">
            <v>2994.8900000000003</v>
          </cell>
          <cell r="AF207">
            <v>3053.1910000000007</v>
          </cell>
          <cell r="AG207">
            <v>3019.6390000000006</v>
          </cell>
          <cell r="AH207">
            <v>3019.6390000000006</v>
          </cell>
          <cell r="AI207">
            <v>3031.8600000000006</v>
          </cell>
          <cell r="AJ207">
            <v>3105.0980000000009</v>
          </cell>
          <cell r="AK207">
            <v>3081.5889999999999</v>
          </cell>
          <cell r="AL207">
            <v>3134.5370000000003</v>
          </cell>
          <cell r="AM207">
            <v>3134.5370000000003</v>
          </cell>
          <cell r="AN207">
            <v>3031.8600000000006</v>
          </cell>
          <cell r="AO207">
            <v>3105.0980000000009</v>
          </cell>
          <cell r="AP207">
            <v>3081.5889999999999</v>
          </cell>
          <cell r="AQ207">
            <v>3136.1150000000002</v>
          </cell>
          <cell r="AR207">
            <v>3136.1150000000002</v>
          </cell>
          <cell r="AS207">
            <v>3093.8300000000008</v>
          </cell>
          <cell r="AT207">
            <v>3133.3230000000003</v>
          </cell>
          <cell r="AU207">
            <v>2880.2630000000008</v>
          </cell>
          <cell r="AV207">
            <v>2894.2070000000003</v>
          </cell>
          <cell r="AW207">
            <v>2894.2070000000003</v>
          </cell>
          <cell r="AX207">
            <v>2896.5700000000006</v>
          </cell>
          <cell r="AY207">
            <v>2875.6510000000007</v>
          </cell>
          <cell r="AZ207">
            <v>3366.7649999999999</v>
          </cell>
          <cell r="BA207">
            <v>3147.0160000000005</v>
          </cell>
          <cell r="BB207">
            <v>3147.0160000000005</v>
          </cell>
          <cell r="BC207">
            <v>2831.663</v>
          </cell>
          <cell r="BD207">
            <v>2790.9480000000003</v>
          </cell>
          <cell r="BE207">
            <v>3307.1060000000007</v>
          </cell>
          <cell r="BF207">
            <v>3073.009</v>
          </cell>
          <cell r="BG207">
            <v>3073.009</v>
          </cell>
          <cell r="BH207">
            <v>3035.4464446332681</v>
          </cell>
          <cell r="BI207">
            <v>3026.6233905436616</v>
          </cell>
          <cell r="BJ207">
            <v>2993.3787362202675</v>
          </cell>
          <cell r="BK207">
            <v>2973.9514602556351</v>
          </cell>
          <cell r="BL207">
            <v>2973.9514602556351</v>
          </cell>
          <cell r="BM207">
            <v>2967.319684215046</v>
          </cell>
          <cell r="BN207">
            <v>2994.3861489699539</v>
          </cell>
          <cell r="BO207">
            <v>3059.3702608710005</v>
          </cell>
          <cell r="BR207" t="str">
            <v>Total Assets</v>
          </cell>
          <cell r="BS207">
            <v>1112.7750000000001</v>
          </cell>
          <cell r="BT207">
            <v>904.67899999999997</v>
          </cell>
          <cell r="BU207">
            <v>1015.048</v>
          </cell>
          <cell r="BV207">
            <v>1200.269</v>
          </cell>
          <cell r="BW207">
            <v>3023.1660000000002</v>
          </cell>
          <cell r="BX207">
            <v>3092.9960000000005</v>
          </cell>
          <cell r="BY207">
            <v>3019.6390000000006</v>
          </cell>
          <cell r="BZ207">
            <v>3136.1150000000002</v>
          </cell>
          <cell r="CA207">
            <v>2894.2070000000003</v>
          </cell>
          <cell r="CB207">
            <v>3147.0160000000005</v>
          </cell>
          <cell r="CC207">
            <v>3073.009</v>
          </cell>
          <cell r="CD207">
            <v>2973.9514602556351</v>
          </cell>
          <cell r="CE207">
            <v>2967.319684215046</v>
          </cell>
          <cell r="CF207">
            <v>2994.3861489699539</v>
          </cell>
          <cell r="CG207">
            <v>3059.3702608710005</v>
          </cell>
        </row>
        <row r="209">
          <cell r="A209" t="str">
            <v>LIABILITIES AND STOCKHOLDERS’ EQUITY</v>
          </cell>
          <cell r="BR209" t="str">
            <v>LIABILITIES AND STOCKHOLDERS’ EQUITY</v>
          </cell>
        </row>
        <row r="210">
          <cell r="A210" t="str">
            <v>Current Liabilities</v>
          </cell>
          <cell r="BR210" t="str">
            <v>Current Liabilities</v>
          </cell>
        </row>
        <row r="211">
          <cell r="A211" t="str">
            <v xml:space="preserve">  Accounts payable</v>
          </cell>
          <cell r="C211">
            <v>0</v>
          </cell>
          <cell r="D211">
            <v>0</v>
          </cell>
          <cell r="E211" t="str">
            <v>ND</v>
          </cell>
          <cell r="F211" t="str">
            <v>ND</v>
          </cell>
          <cell r="G211">
            <v>0</v>
          </cell>
          <cell r="H211">
            <v>7.0000000000000007E-2</v>
          </cell>
          <cell r="I211">
            <v>7.0000000000000007E-2</v>
          </cell>
          <cell r="J211">
            <v>0</v>
          </cell>
          <cell r="K211">
            <v>0</v>
          </cell>
          <cell r="L211">
            <v>2.06</v>
          </cell>
          <cell r="M211">
            <v>0.9</v>
          </cell>
          <cell r="N211">
            <v>0.9</v>
          </cell>
          <cell r="O211">
            <v>0.51300000000000001</v>
          </cell>
          <cell r="P211">
            <v>38.606000000000002</v>
          </cell>
          <cell r="Q211">
            <v>33.945999999999998</v>
          </cell>
          <cell r="R211">
            <v>1.8779999999999999</v>
          </cell>
          <cell r="S211">
            <v>1.8779999999999999</v>
          </cell>
          <cell r="T211">
            <v>0.40600000000000003</v>
          </cell>
          <cell r="U211">
            <v>0.53400000000000003</v>
          </cell>
          <cell r="V211">
            <v>1.462</v>
          </cell>
          <cell r="W211">
            <v>2.1619999999999999</v>
          </cell>
          <cell r="X211">
            <v>2.1619999999999999</v>
          </cell>
          <cell r="Y211">
            <v>0.47099999999999997</v>
          </cell>
          <cell r="Z211">
            <v>0.625</v>
          </cell>
          <cell r="AA211">
            <v>0.43099999999999999</v>
          </cell>
          <cell r="AB211">
            <v>0.23899999999999999</v>
          </cell>
          <cell r="AC211">
            <v>0.23899999999999999</v>
          </cell>
          <cell r="AD211">
            <v>0.16600000000000001</v>
          </cell>
          <cell r="AE211">
            <v>0.65700000000000003</v>
          </cell>
          <cell r="AF211">
            <v>1.694</v>
          </cell>
          <cell r="AG211">
            <v>2.9849999999999999</v>
          </cell>
          <cell r="AH211">
            <v>2.9849999999999999</v>
          </cell>
          <cell r="AI211">
            <v>1.1379999999999999</v>
          </cell>
          <cell r="AJ211">
            <v>0.97899999999999998</v>
          </cell>
          <cell r="AK211">
            <v>1.319</v>
          </cell>
          <cell r="AL211">
            <v>1.198</v>
          </cell>
          <cell r="AM211">
            <v>1.198</v>
          </cell>
          <cell r="AN211">
            <v>1.1379999999999999</v>
          </cell>
          <cell r="AO211">
            <v>0.97899999999999998</v>
          </cell>
          <cell r="AP211">
            <v>1.319</v>
          </cell>
          <cell r="AQ211">
            <v>1.198</v>
          </cell>
          <cell r="AR211">
            <v>1.198</v>
          </cell>
          <cell r="AS211">
            <v>1.542</v>
          </cell>
          <cell r="AT211">
            <v>1.859</v>
          </cell>
          <cell r="AU211">
            <v>1.6950000000000001</v>
          </cell>
          <cell r="AV211">
            <v>2.835</v>
          </cell>
          <cell r="AW211">
            <v>2.835</v>
          </cell>
          <cell r="AX211">
            <v>1.139</v>
          </cell>
          <cell r="AY211">
            <v>2.17</v>
          </cell>
          <cell r="AZ211">
            <v>1.806</v>
          </cell>
          <cell r="BA211">
            <v>2.512</v>
          </cell>
          <cell r="BB211">
            <v>2.512</v>
          </cell>
          <cell r="BC211">
            <v>1.514</v>
          </cell>
          <cell r="BD211">
            <v>1.732</v>
          </cell>
          <cell r="BE211">
            <v>1.2490000000000001</v>
          </cell>
          <cell r="BF211">
            <v>0.56799999999999995</v>
          </cell>
          <cell r="BG211">
            <v>0.56799999999999995</v>
          </cell>
          <cell r="BH211">
            <v>1.6100464729016235</v>
          </cell>
          <cell r="BI211">
            <v>1.8529946454250832</v>
          </cell>
          <cell r="BJ211">
            <v>1.3105164530457865</v>
          </cell>
          <cell r="BK211">
            <v>0.59973039915396908</v>
          </cell>
          <cell r="BL211">
            <v>0.59973039915396908</v>
          </cell>
          <cell r="BM211">
            <v>0.63446292259492687</v>
          </cell>
          <cell r="BN211">
            <v>0.67319084609724156</v>
          </cell>
          <cell r="BO211">
            <v>0.71514897054220761</v>
          </cell>
          <cell r="BR211" t="str">
            <v xml:space="preserve">  Accounts payable</v>
          </cell>
          <cell r="BS211">
            <v>0</v>
          </cell>
          <cell r="BT211">
            <v>7.0000000000000007E-2</v>
          </cell>
          <cell r="BU211">
            <v>0.9</v>
          </cell>
          <cell r="BV211">
            <v>1.8779999999999999</v>
          </cell>
          <cell r="BW211">
            <v>2.1619999999999999</v>
          </cell>
          <cell r="BX211">
            <v>0.23899999999999999</v>
          </cell>
          <cell r="BY211">
            <v>2.9849999999999999</v>
          </cell>
          <cell r="BZ211">
            <v>1.198</v>
          </cell>
          <cell r="CA211">
            <v>2.835</v>
          </cell>
          <cell r="CB211">
            <v>2.512</v>
          </cell>
          <cell r="CC211">
            <v>0.56799999999999995</v>
          </cell>
          <cell r="CD211">
            <v>0.59973039915396908</v>
          </cell>
          <cell r="CE211">
            <v>0.63446292259492687</v>
          </cell>
          <cell r="CF211">
            <v>0.67319084609724156</v>
          </cell>
          <cell r="CG211">
            <v>0.71514897054220761</v>
          </cell>
          <cell r="CI211" t="str">
            <v>mstag:tradePayablesCurrent</v>
          </cell>
          <cell r="CJ211">
            <v>6</v>
          </cell>
          <cell r="CK211" t="str">
            <v>ISO4217:USD</v>
          </cell>
          <cell r="CL211" t="b">
            <v>0</v>
          </cell>
          <cell r="CO211">
            <v>-3.8559999999999999</v>
          </cell>
        </row>
        <row r="212">
          <cell r="A212" t="str">
            <v xml:space="preserve">  Payable to related parties</v>
          </cell>
          <cell r="C212">
            <v>64.676000000000002</v>
          </cell>
          <cell r="D212">
            <v>64.676000000000002</v>
          </cell>
          <cell r="E212" t="str">
            <v>ND</v>
          </cell>
          <cell r="F212" t="str">
            <v>ND</v>
          </cell>
          <cell r="G212">
            <v>12.394</v>
          </cell>
          <cell r="H212">
            <v>17.143000000000001</v>
          </cell>
          <cell r="I212">
            <v>17.143000000000001</v>
          </cell>
          <cell r="J212">
            <v>41.326999999999998</v>
          </cell>
          <cell r="K212">
            <v>32.15</v>
          </cell>
          <cell r="L212">
            <v>15.237</v>
          </cell>
          <cell r="M212">
            <v>34.991999999999997</v>
          </cell>
          <cell r="N212">
            <v>34.991999999999997</v>
          </cell>
          <cell r="O212">
            <v>36.915999999999997</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R212" t="str">
            <v xml:space="preserve">  Payable to related parties</v>
          </cell>
          <cell r="BS212">
            <v>64.676000000000002</v>
          </cell>
          <cell r="BT212">
            <v>17.143000000000001</v>
          </cell>
          <cell r="BU212">
            <v>34.991999999999997</v>
          </cell>
          <cell r="BV212">
            <v>0</v>
          </cell>
          <cell r="BW212">
            <v>0</v>
          </cell>
          <cell r="BX212">
            <v>0</v>
          </cell>
          <cell r="BY212">
            <v>0</v>
          </cell>
          <cell r="BZ212">
            <v>0</v>
          </cell>
          <cell r="CA212">
            <v>0</v>
          </cell>
          <cell r="CB212">
            <v>0</v>
          </cell>
          <cell r="CC212">
            <v>0</v>
          </cell>
          <cell r="CD212">
            <v>0</v>
          </cell>
          <cell r="CE212">
            <v>0</v>
          </cell>
          <cell r="CF212">
            <v>0</v>
          </cell>
          <cell r="CG212">
            <v>0</v>
          </cell>
          <cell r="CI212" t="str">
            <v>mstag:otherPayablesCurrent</v>
          </cell>
          <cell r="CJ212">
            <v>6</v>
          </cell>
          <cell r="CK212" t="str">
            <v>ISO4217:USD</v>
          </cell>
          <cell r="CL212" t="b">
            <v>0</v>
          </cell>
        </row>
        <row r="213">
          <cell r="A213" t="str">
            <v xml:space="preserve">  Income Taxes Payable</v>
          </cell>
          <cell r="C213">
            <v>1.0129999999999999</v>
          </cell>
          <cell r="D213">
            <v>1.0129999999999999</v>
          </cell>
          <cell r="E213" t="str">
            <v>ND</v>
          </cell>
          <cell r="F213" t="str">
            <v>ND</v>
          </cell>
          <cell r="G213">
            <v>0.46800000000000003</v>
          </cell>
          <cell r="H213">
            <v>16.212</v>
          </cell>
          <cell r="I213">
            <v>16.212</v>
          </cell>
          <cell r="J213">
            <v>22.059000000000001</v>
          </cell>
          <cell r="K213">
            <v>25.937000000000001</v>
          </cell>
          <cell r="L213">
            <v>20.626999999999999</v>
          </cell>
          <cell r="M213">
            <v>0</v>
          </cell>
          <cell r="N213">
            <v>0</v>
          </cell>
          <cell r="O213">
            <v>0.28399999999999997</v>
          </cell>
          <cell r="P213">
            <v>0</v>
          </cell>
          <cell r="Q213">
            <v>1.7000000000000001E-2</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cell r="BM213">
            <v>0</v>
          </cell>
          <cell r="BN213">
            <v>0</v>
          </cell>
          <cell r="BO213">
            <v>0</v>
          </cell>
          <cell r="BR213" t="str">
            <v xml:space="preserve">  Income Taxes Payable</v>
          </cell>
          <cell r="BS213">
            <v>1.0129999999999999</v>
          </cell>
          <cell r="BT213">
            <v>16.212</v>
          </cell>
          <cell r="BU213">
            <v>0</v>
          </cell>
          <cell r="BV213">
            <v>0</v>
          </cell>
          <cell r="BW213">
            <v>0</v>
          </cell>
          <cell r="BX213">
            <v>0</v>
          </cell>
          <cell r="BY213">
            <v>0</v>
          </cell>
          <cell r="BZ213">
            <v>0</v>
          </cell>
          <cell r="CA213">
            <v>0</v>
          </cell>
          <cell r="CB213">
            <v>0</v>
          </cell>
          <cell r="CC213">
            <v>0</v>
          </cell>
          <cell r="CD213">
            <v>0</v>
          </cell>
          <cell r="CE213">
            <v>0</v>
          </cell>
          <cell r="CF213">
            <v>0</v>
          </cell>
          <cell r="CG213">
            <v>0</v>
          </cell>
          <cell r="CI213" t="str">
            <v>mstag:incomeTaxPayable</v>
          </cell>
          <cell r="CJ213">
            <v>6</v>
          </cell>
          <cell r="CK213" t="str">
            <v>ISO4217:USD</v>
          </cell>
          <cell r="CL213" t="b">
            <v>0</v>
          </cell>
        </row>
        <row r="214">
          <cell r="A214" t="str">
            <v xml:space="preserve">  Accrued Payroll &amp; Benefits</v>
          </cell>
          <cell r="C214">
            <v>46.115000000000002</v>
          </cell>
          <cell r="D214">
            <v>46.115000000000002</v>
          </cell>
          <cell r="E214" t="str">
            <v>ND</v>
          </cell>
          <cell r="F214" t="str">
            <v>ND</v>
          </cell>
          <cell r="G214">
            <v>37.707000000000001</v>
          </cell>
          <cell r="H214">
            <v>53.831000000000003</v>
          </cell>
          <cell r="I214">
            <v>53.831000000000003</v>
          </cell>
          <cell r="J214">
            <v>23.327000000000002</v>
          </cell>
          <cell r="K214">
            <v>36.009</v>
          </cell>
          <cell r="L214">
            <v>49.747999999999998</v>
          </cell>
          <cell r="M214">
            <v>58.945999999999998</v>
          </cell>
          <cell r="N214">
            <v>58.945999999999998</v>
          </cell>
          <cell r="O214">
            <v>20.106000000000002</v>
          </cell>
          <cell r="P214">
            <v>34.707999999999998</v>
          </cell>
          <cell r="Q214">
            <v>46.594000000000001</v>
          </cell>
          <cell r="R214">
            <v>65.087999999999994</v>
          </cell>
          <cell r="S214">
            <v>65.087999999999994</v>
          </cell>
          <cell r="T214">
            <v>21.516999999999999</v>
          </cell>
          <cell r="U214">
            <v>35.200000000000003</v>
          </cell>
          <cell r="V214">
            <v>74.775000000000006</v>
          </cell>
          <cell r="W214">
            <v>99.046000000000006</v>
          </cell>
          <cell r="X214">
            <v>99.046000000000006</v>
          </cell>
          <cell r="Y214">
            <v>36.585000000000001</v>
          </cell>
          <cell r="Z214">
            <v>61.463999999999999</v>
          </cell>
          <cell r="AA214">
            <v>85.010999999999996</v>
          </cell>
          <cell r="AB214">
            <v>107.506</v>
          </cell>
          <cell r="AC214">
            <v>107.506</v>
          </cell>
          <cell r="AD214">
            <v>32.194000000000003</v>
          </cell>
          <cell r="AE214">
            <v>57.168999999999997</v>
          </cell>
          <cell r="AF214">
            <v>83.647000000000006</v>
          </cell>
          <cell r="AG214">
            <v>113.35899999999999</v>
          </cell>
          <cell r="AH214">
            <v>113.35899999999999</v>
          </cell>
          <cell r="AI214">
            <v>45.555999999999997</v>
          </cell>
          <cell r="AJ214">
            <v>66.442999999999998</v>
          </cell>
          <cell r="AK214">
            <v>96.03</v>
          </cell>
          <cell r="AL214">
            <v>121.124</v>
          </cell>
          <cell r="AM214">
            <v>121.124</v>
          </cell>
          <cell r="AN214">
            <v>45.555999999999997</v>
          </cell>
          <cell r="AO214">
            <v>66.442999999999998</v>
          </cell>
          <cell r="AP214">
            <v>96.03</v>
          </cell>
          <cell r="AQ214">
            <v>121.124</v>
          </cell>
          <cell r="AR214">
            <v>121.124</v>
          </cell>
          <cell r="AS214">
            <v>42.634999999999998</v>
          </cell>
          <cell r="AT214">
            <v>69.171000000000006</v>
          </cell>
          <cell r="AU214">
            <v>91.84</v>
          </cell>
          <cell r="AV214">
            <v>111.408</v>
          </cell>
          <cell r="AW214">
            <v>111.408</v>
          </cell>
          <cell r="AX214">
            <v>41.328000000000003</v>
          </cell>
          <cell r="AY214">
            <v>69.873999999999995</v>
          </cell>
          <cell r="AZ214">
            <v>92.850999999999999</v>
          </cell>
          <cell r="BA214">
            <v>116.619</v>
          </cell>
          <cell r="BB214">
            <v>116.619</v>
          </cell>
          <cell r="BC214">
            <v>45.198</v>
          </cell>
          <cell r="BD214">
            <v>67.911000000000001</v>
          </cell>
          <cell r="BE214">
            <v>96.427999999999997</v>
          </cell>
          <cell r="BF214">
            <v>119.113</v>
          </cell>
          <cell r="BG214">
            <v>119.113</v>
          </cell>
          <cell r="BH214">
            <v>48.765333078771263</v>
          </cell>
          <cell r="BI214">
            <v>71.932200508988046</v>
          </cell>
          <cell r="BJ214">
            <v>102.70847775203114</v>
          </cell>
          <cell r="BK214">
            <v>127.04227671235093</v>
          </cell>
          <cell r="BL214">
            <v>127.04227671235093</v>
          </cell>
          <cell r="BM214">
            <v>136.13614334866654</v>
          </cell>
          <cell r="BN214">
            <v>146.36779278487103</v>
          </cell>
          <cell r="BO214">
            <v>157.58716807906768</v>
          </cell>
          <cell r="BR214" t="str">
            <v xml:space="preserve">  Accrued Payroll &amp; Benefits</v>
          </cell>
          <cell r="BS214">
            <v>46.115000000000002</v>
          </cell>
          <cell r="BT214">
            <v>53.831000000000003</v>
          </cell>
          <cell r="BU214">
            <v>58.945999999999998</v>
          </cell>
          <cell r="BV214">
            <v>65.087999999999994</v>
          </cell>
          <cell r="BW214">
            <v>99.046000000000006</v>
          </cell>
          <cell r="BX214">
            <v>107.506</v>
          </cell>
          <cell r="BY214">
            <v>113.35899999999999</v>
          </cell>
          <cell r="BZ214">
            <v>121.124</v>
          </cell>
          <cell r="CA214">
            <v>111.408</v>
          </cell>
          <cell r="CB214">
            <v>116.619</v>
          </cell>
          <cell r="CC214">
            <v>119.113</v>
          </cell>
          <cell r="CD214">
            <v>127.04227671235093</v>
          </cell>
          <cell r="CE214">
            <v>136.13614334866654</v>
          </cell>
          <cell r="CF214">
            <v>146.36779278487103</v>
          </cell>
          <cell r="CG214">
            <v>157.58716807906768</v>
          </cell>
          <cell r="CI214" t="str">
            <v>mstag:payrollAndBenefitsRelatedLiabilities</v>
          </cell>
          <cell r="CJ214">
            <v>6</v>
          </cell>
          <cell r="CK214" t="str">
            <v>ISO4217:USD</v>
          </cell>
          <cell r="CL214" t="b">
            <v>0</v>
          </cell>
          <cell r="CO214">
            <v>-23.175999999999998</v>
          </cell>
        </row>
        <row r="215">
          <cell r="A215" t="str">
            <v xml:space="preserve">  Other Accrued Liabilities</v>
          </cell>
          <cell r="C215">
            <v>6.81</v>
          </cell>
          <cell r="D215">
            <v>6.81</v>
          </cell>
          <cell r="E215" t="str">
            <v>ND</v>
          </cell>
          <cell r="F215" t="str">
            <v>ND</v>
          </cell>
          <cell r="G215">
            <v>13.391</v>
          </cell>
          <cell r="H215">
            <v>10.195</v>
          </cell>
          <cell r="I215">
            <v>10.195</v>
          </cell>
          <cell r="J215">
            <v>12.138</v>
          </cell>
          <cell r="K215">
            <v>20.238</v>
          </cell>
          <cell r="L215">
            <v>14.1</v>
          </cell>
          <cell r="M215">
            <v>29.459</v>
          </cell>
          <cell r="N215">
            <v>29.459</v>
          </cell>
          <cell r="O215">
            <v>29.798999999999999</v>
          </cell>
          <cell r="P215">
            <v>27.093</v>
          </cell>
          <cell r="Q215">
            <v>28.064</v>
          </cell>
          <cell r="R215">
            <v>30.501999999999999</v>
          </cell>
          <cell r="S215">
            <v>30.501999999999999</v>
          </cell>
          <cell r="T215">
            <v>30.088000000000001</v>
          </cell>
          <cell r="U215">
            <v>23.289000000000001</v>
          </cell>
          <cell r="V215">
            <v>37.590000000000003</v>
          </cell>
          <cell r="W215">
            <v>39.5</v>
          </cell>
          <cell r="X215">
            <v>39.5</v>
          </cell>
          <cell r="Y215">
            <v>46.512999999999998</v>
          </cell>
          <cell r="Z215">
            <v>54.353000000000002</v>
          </cell>
          <cell r="AA215">
            <v>47.073</v>
          </cell>
          <cell r="AB215">
            <v>45.503999999999998</v>
          </cell>
          <cell r="AC215">
            <v>45.503999999999998</v>
          </cell>
          <cell r="AD215">
            <v>48.439</v>
          </cell>
          <cell r="AE215">
            <v>49.043999999999997</v>
          </cell>
          <cell r="AF215">
            <v>41.579000000000001</v>
          </cell>
          <cell r="AG215">
            <v>42.485999999999997</v>
          </cell>
          <cell r="AH215">
            <v>42.485999999999997</v>
          </cell>
          <cell r="AI215">
            <v>42.581000000000003</v>
          </cell>
          <cell r="AJ215">
            <v>38.456000000000003</v>
          </cell>
          <cell r="AK215">
            <v>46.38</v>
          </cell>
          <cell r="AL215">
            <v>41.212000000000003</v>
          </cell>
          <cell r="AM215">
            <v>41.212000000000003</v>
          </cell>
          <cell r="AN215">
            <v>42.581000000000003</v>
          </cell>
          <cell r="AO215">
            <v>38.456000000000003</v>
          </cell>
          <cell r="AP215">
            <v>46.38</v>
          </cell>
          <cell r="AQ215">
            <v>41.212000000000003</v>
          </cell>
          <cell r="AR215">
            <v>41.212000000000003</v>
          </cell>
          <cell r="AS215">
            <v>168.452</v>
          </cell>
          <cell r="AT215">
            <v>60.72</v>
          </cell>
          <cell r="AU215">
            <v>64.298000000000002</v>
          </cell>
          <cell r="AV215">
            <v>47.893999999999998</v>
          </cell>
          <cell r="AW215">
            <v>47.893999999999998</v>
          </cell>
          <cell r="AX215">
            <v>65.025999999999996</v>
          </cell>
          <cell r="AY215">
            <v>47.825000000000003</v>
          </cell>
          <cell r="AZ215">
            <v>68.256</v>
          </cell>
          <cell r="BA215">
            <v>61.433</v>
          </cell>
          <cell r="BB215">
            <v>61.433</v>
          </cell>
          <cell r="BC215">
            <v>61.889000000000003</v>
          </cell>
          <cell r="BD215">
            <v>74.819000000000003</v>
          </cell>
          <cell r="BE215">
            <v>75.835999999999999</v>
          </cell>
          <cell r="BF215">
            <v>82.531000000000006</v>
          </cell>
          <cell r="BG215">
            <v>82.531000000000006</v>
          </cell>
          <cell r="BH215">
            <v>66.773700139653855</v>
          </cell>
          <cell r="BI215">
            <v>79.249242536289813</v>
          </cell>
          <cell r="BJ215">
            <v>80.775294715259392</v>
          </cell>
          <cell r="BK215">
            <v>88.025036220622724</v>
          </cell>
          <cell r="BL215">
            <v>88.025036220622724</v>
          </cell>
          <cell r="BM215">
            <v>94.325993356802357</v>
          </cell>
          <cell r="BN215">
            <v>101.4152972918841</v>
          </cell>
          <cell r="BO215">
            <v>109.18897659141768</v>
          </cell>
          <cell r="BR215" t="str">
            <v xml:space="preserve">  Other Accrued Liabilities</v>
          </cell>
          <cell r="BS215">
            <v>6.81</v>
          </cell>
          <cell r="BT215">
            <v>10.195</v>
          </cell>
          <cell r="BU215">
            <v>29.459</v>
          </cell>
          <cell r="BV215">
            <v>30.501999999999999</v>
          </cell>
          <cell r="BW215">
            <v>39.5</v>
          </cell>
          <cell r="BX215">
            <v>45.503999999999998</v>
          </cell>
          <cell r="BY215">
            <v>42.485999999999997</v>
          </cell>
          <cell r="BZ215">
            <v>41.212000000000003</v>
          </cell>
          <cell r="CA215">
            <v>47.893999999999998</v>
          </cell>
          <cell r="CB215">
            <v>61.433</v>
          </cell>
          <cell r="CC215">
            <v>82.531000000000006</v>
          </cell>
          <cell r="CD215">
            <v>88.025036220622724</v>
          </cell>
          <cell r="CE215">
            <v>94.325993356802357</v>
          </cell>
          <cell r="CF215">
            <v>101.4152972918841</v>
          </cell>
          <cell r="CG215">
            <v>109.18897659141768</v>
          </cell>
          <cell r="CI215" t="str">
            <v>mstag:otherAccruedExpenses</v>
          </cell>
          <cell r="CJ215">
            <v>6</v>
          </cell>
          <cell r="CK215" t="str">
            <v>ISO4217:USD</v>
          </cell>
          <cell r="CL215" t="b">
            <v>0</v>
          </cell>
          <cell r="CO215">
            <v>-0.221</v>
          </cell>
        </row>
        <row r="216">
          <cell r="A216" t="str">
            <v xml:space="preserve">  Current Maturities of LT Debt</v>
          </cell>
          <cell r="C216">
            <v>0</v>
          </cell>
          <cell r="D216">
            <v>0</v>
          </cell>
          <cell r="E216" t="str">
            <v>ND</v>
          </cell>
          <cell r="F216" t="str">
            <v>ND</v>
          </cell>
          <cell r="G216">
            <v>625.90099999999995</v>
          </cell>
          <cell r="H216">
            <v>22.25</v>
          </cell>
          <cell r="I216">
            <v>22.25</v>
          </cell>
          <cell r="J216">
            <v>22.236000000000001</v>
          </cell>
          <cell r="K216">
            <v>22.25</v>
          </cell>
          <cell r="L216">
            <v>22.25</v>
          </cell>
          <cell r="M216">
            <v>22.085999999999999</v>
          </cell>
          <cell r="N216">
            <v>22.085999999999999</v>
          </cell>
          <cell r="O216">
            <v>27.085999999999999</v>
          </cell>
          <cell r="P216">
            <v>32.087000000000003</v>
          </cell>
          <cell r="Q216">
            <v>37.087000000000003</v>
          </cell>
          <cell r="R216">
            <v>42.088000000000001</v>
          </cell>
          <cell r="S216">
            <v>42.088000000000001</v>
          </cell>
          <cell r="T216">
            <v>42.088000000000001</v>
          </cell>
          <cell r="U216">
            <v>8.2449999999999992</v>
          </cell>
          <cell r="V216">
            <v>11.663</v>
          </cell>
          <cell r="W216">
            <v>54.915999999999997</v>
          </cell>
          <cell r="X216">
            <v>54.915999999999997</v>
          </cell>
          <cell r="Y216">
            <v>10.329000000000001</v>
          </cell>
          <cell r="Z216">
            <v>10.331</v>
          </cell>
          <cell r="AA216">
            <v>10.334</v>
          </cell>
          <cell r="AB216">
            <v>10.339</v>
          </cell>
          <cell r="AC216">
            <v>10.339</v>
          </cell>
          <cell r="AD216">
            <v>10.342000000000001</v>
          </cell>
          <cell r="AE216">
            <v>43.07</v>
          </cell>
          <cell r="AF216">
            <v>43.082000000000001</v>
          </cell>
          <cell r="AG216">
            <v>43.093000000000004</v>
          </cell>
          <cell r="AH216">
            <v>43.093000000000004</v>
          </cell>
          <cell r="AI216">
            <v>43.106000000000002</v>
          </cell>
          <cell r="AJ216">
            <v>43.118000000000002</v>
          </cell>
          <cell r="AK216">
            <v>54.13</v>
          </cell>
          <cell r="AL216">
            <v>19.771999999999998</v>
          </cell>
          <cell r="AM216">
            <v>19.771999999999998</v>
          </cell>
          <cell r="AN216">
            <v>43.106000000000002</v>
          </cell>
          <cell r="AO216">
            <v>43.118000000000002</v>
          </cell>
          <cell r="AP216">
            <v>54.13</v>
          </cell>
          <cell r="AQ216">
            <v>19.771999999999998</v>
          </cell>
          <cell r="AR216">
            <v>19.771999999999998</v>
          </cell>
          <cell r="AS216">
            <v>19.774999999999999</v>
          </cell>
          <cell r="AT216">
            <v>19.777999999999999</v>
          </cell>
          <cell r="AU216">
            <v>19.780999999999999</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cell r="BM216">
            <v>0</v>
          </cell>
          <cell r="BN216">
            <v>0</v>
          </cell>
          <cell r="BO216">
            <v>0</v>
          </cell>
          <cell r="BR216" t="str">
            <v xml:space="preserve">  Current Maturities of LT Debt</v>
          </cell>
          <cell r="BS216">
            <v>0</v>
          </cell>
          <cell r="BT216">
            <v>22.25</v>
          </cell>
          <cell r="BU216">
            <v>22.085999999999999</v>
          </cell>
          <cell r="BV216">
            <v>42.088000000000001</v>
          </cell>
          <cell r="BW216">
            <v>54.915999999999997</v>
          </cell>
          <cell r="BX216">
            <v>10.339</v>
          </cell>
          <cell r="BY216">
            <v>43.093000000000004</v>
          </cell>
          <cell r="BZ216">
            <v>19.771999999999998</v>
          </cell>
          <cell r="CA216">
            <v>0</v>
          </cell>
          <cell r="CB216">
            <v>0</v>
          </cell>
          <cell r="CC216">
            <v>0</v>
          </cell>
          <cell r="CD216">
            <v>0</v>
          </cell>
          <cell r="CE216">
            <v>0</v>
          </cell>
          <cell r="CF216">
            <v>0</v>
          </cell>
          <cell r="CG216">
            <v>0</v>
          </cell>
          <cell r="CI216" t="str">
            <v>mstag:shortTermBorrowings</v>
          </cell>
          <cell r="CJ216">
            <v>6</v>
          </cell>
          <cell r="CK216" t="str">
            <v>ISO4217:USD</v>
          </cell>
          <cell r="CL216" t="b">
            <v>0</v>
          </cell>
          <cell r="CO216">
            <v>-2.9660000000000002</v>
          </cell>
        </row>
        <row r="217">
          <cell r="A217" t="str">
            <v xml:space="preserve">  Deferred revenue</v>
          </cell>
          <cell r="C217">
            <v>102.36799999999999</v>
          </cell>
          <cell r="D217">
            <v>102.36799999999999</v>
          </cell>
          <cell r="E217" t="str">
            <v>ND</v>
          </cell>
          <cell r="F217" t="str">
            <v>ND</v>
          </cell>
          <cell r="G217">
            <v>131.416</v>
          </cell>
          <cell r="H217">
            <v>125.23</v>
          </cell>
          <cell r="I217">
            <v>125.23</v>
          </cell>
          <cell r="J217">
            <v>167.33600000000001</v>
          </cell>
          <cell r="K217">
            <v>168.82400000000001</v>
          </cell>
          <cell r="L217">
            <v>158.697</v>
          </cell>
          <cell r="M217">
            <v>144.71100000000001</v>
          </cell>
          <cell r="N217">
            <v>144.71100000000001</v>
          </cell>
          <cell r="O217">
            <v>176.80500000000001</v>
          </cell>
          <cell r="P217">
            <v>176.029</v>
          </cell>
          <cell r="Q217">
            <v>166.215</v>
          </cell>
          <cell r="R217">
            <v>152.94399999999999</v>
          </cell>
          <cell r="S217">
            <v>152.94399999999999</v>
          </cell>
          <cell r="T217">
            <v>168.31100000000001</v>
          </cell>
          <cell r="U217">
            <v>181.90600000000001</v>
          </cell>
          <cell r="V217">
            <v>283.834</v>
          </cell>
          <cell r="W217">
            <v>271.3</v>
          </cell>
          <cell r="X217">
            <v>271.3</v>
          </cell>
          <cell r="Y217">
            <v>284.11900000000003</v>
          </cell>
          <cell r="Z217">
            <v>296.79300000000001</v>
          </cell>
          <cell r="AA217">
            <v>291.04500000000002</v>
          </cell>
          <cell r="AB217">
            <v>289.21699999999998</v>
          </cell>
          <cell r="AC217">
            <v>289.21699999999998</v>
          </cell>
          <cell r="AD217">
            <v>330.05</v>
          </cell>
          <cell r="AE217">
            <v>333.89</v>
          </cell>
          <cell r="AF217">
            <v>323.50299999999999</v>
          </cell>
          <cell r="AG217">
            <v>308.02199999999999</v>
          </cell>
          <cell r="AH217">
            <v>308.02199999999999</v>
          </cell>
          <cell r="AI217">
            <v>350.47</v>
          </cell>
          <cell r="AJ217">
            <v>347.47</v>
          </cell>
          <cell r="AK217">
            <v>334.09399999999999</v>
          </cell>
          <cell r="AL217">
            <v>319.73500000000001</v>
          </cell>
          <cell r="AM217">
            <v>319.73500000000001</v>
          </cell>
          <cell r="AN217">
            <v>350.47</v>
          </cell>
          <cell r="AO217">
            <v>347.47</v>
          </cell>
          <cell r="AP217">
            <v>334.09399999999999</v>
          </cell>
          <cell r="AQ217">
            <v>319.73500000000001</v>
          </cell>
          <cell r="AR217">
            <v>319.73500000000001</v>
          </cell>
          <cell r="AS217">
            <v>314.24700000000001</v>
          </cell>
          <cell r="AT217">
            <v>323.96300000000002</v>
          </cell>
          <cell r="AU217">
            <v>321.02499999999998</v>
          </cell>
          <cell r="AV217">
            <v>310.77499999999998</v>
          </cell>
          <cell r="AW217">
            <v>310.77499999999998</v>
          </cell>
          <cell r="AX217">
            <v>344.267</v>
          </cell>
          <cell r="AY217">
            <v>338.76299999999998</v>
          </cell>
          <cell r="AZ217">
            <v>328.05099999999999</v>
          </cell>
          <cell r="BA217">
            <v>317.55200000000002</v>
          </cell>
          <cell r="BB217">
            <v>317.55200000000002</v>
          </cell>
          <cell r="BC217">
            <v>359.87</v>
          </cell>
          <cell r="BD217">
            <v>365.24200000000002</v>
          </cell>
          <cell r="BE217">
            <v>343.26400000000001</v>
          </cell>
          <cell r="BF217">
            <v>334.358</v>
          </cell>
          <cell r="BG217">
            <v>334.358</v>
          </cell>
          <cell r="BH217">
            <v>378.24555080610855</v>
          </cell>
          <cell r="BI217">
            <v>376.60890165560045</v>
          </cell>
          <cell r="BJ217">
            <v>355.38058546229479</v>
          </cell>
          <cell r="BK217">
            <v>346.20585594658019</v>
          </cell>
          <cell r="BL217">
            <v>346.20585594658019</v>
          </cell>
          <cell r="BM217">
            <v>360.02047250570979</v>
          </cell>
          <cell r="BN217">
            <v>373.32187883873303</v>
          </cell>
          <cell r="BO217">
            <v>387.12641279023086</v>
          </cell>
          <cell r="BR217" t="str">
            <v xml:space="preserve">  Deferred revenue</v>
          </cell>
          <cell r="BS217">
            <v>102.36799999999999</v>
          </cell>
          <cell r="BT217">
            <v>125.23</v>
          </cell>
          <cell r="BU217">
            <v>144.71100000000001</v>
          </cell>
          <cell r="BV217">
            <v>152.94399999999999</v>
          </cell>
          <cell r="BW217">
            <v>271.3</v>
          </cell>
          <cell r="BX217">
            <v>289.21699999999998</v>
          </cell>
          <cell r="BY217">
            <v>308.02199999999999</v>
          </cell>
          <cell r="BZ217">
            <v>319.73500000000001</v>
          </cell>
          <cell r="CA217">
            <v>310.77499999999998</v>
          </cell>
          <cell r="CB217">
            <v>317.55200000000002</v>
          </cell>
          <cell r="CC217">
            <v>334.358</v>
          </cell>
          <cell r="CD217">
            <v>346.20585594658019</v>
          </cell>
          <cell r="CE217">
            <v>360.02047250570979</v>
          </cell>
          <cell r="CF217">
            <v>373.32187883873303</v>
          </cell>
          <cell r="CG217">
            <v>387.12641279023086</v>
          </cell>
          <cell r="CI217" t="str">
            <v>mstag:deferredRevenueCurrent</v>
          </cell>
          <cell r="CJ217">
            <v>6</v>
          </cell>
          <cell r="CK217" t="str">
            <v>ISO4217:USD</v>
          </cell>
          <cell r="CL217" t="b">
            <v>0</v>
          </cell>
          <cell r="CO217">
            <v>-114.464</v>
          </cell>
        </row>
        <row r="219">
          <cell r="A219" t="str">
            <v xml:space="preserve">Total Current Liabilities </v>
          </cell>
          <cell r="C219">
            <v>220.982</v>
          </cell>
          <cell r="D219">
            <v>220.982</v>
          </cell>
          <cell r="E219" t="str">
            <v>ND</v>
          </cell>
          <cell r="F219" t="str">
            <v>ND</v>
          </cell>
          <cell r="G219">
            <v>821.27700000000004</v>
          </cell>
          <cell r="H219">
            <v>244.93099999999998</v>
          </cell>
          <cell r="I219">
            <v>244.93099999999998</v>
          </cell>
          <cell r="J219">
            <v>288.423</v>
          </cell>
          <cell r="K219">
            <v>305.40800000000002</v>
          </cell>
          <cell r="L219">
            <v>282.71899999999999</v>
          </cell>
          <cell r="M219">
            <v>291.09399999999999</v>
          </cell>
          <cell r="N219">
            <v>291.09399999999999</v>
          </cell>
          <cell r="O219">
            <v>291.50900000000001</v>
          </cell>
          <cell r="P219">
            <v>308.52300000000002</v>
          </cell>
          <cell r="Q219">
            <v>311.923</v>
          </cell>
          <cell r="R219">
            <v>292.5</v>
          </cell>
          <cell r="S219">
            <v>292.5</v>
          </cell>
          <cell r="T219">
            <v>262.40999999999997</v>
          </cell>
          <cell r="U219">
            <v>249.17400000000001</v>
          </cell>
          <cell r="V219">
            <v>409.32400000000001</v>
          </cell>
          <cell r="W219">
            <v>466.92400000000004</v>
          </cell>
          <cell r="X219">
            <v>466.92400000000004</v>
          </cell>
          <cell r="Y219">
            <v>378.01700000000005</v>
          </cell>
          <cell r="Z219">
            <v>423.56600000000003</v>
          </cell>
          <cell r="AA219">
            <v>433.89400000000001</v>
          </cell>
          <cell r="AB219">
            <v>452.80499999999995</v>
          </cell>
          <cell r="AC219">
            <v>452.80499999999995</v>
          </cell>
          <cell r="AD219">
            <v>421.19100000000003</v>
          </cell>
          <cell r="AE219">
            <v>483.83</v>
          </cell>
          <cell r="AF219">
            <v>493.505</v>
          </cell>
          <cell r="AG219">
            <v>509.94499999999999</v>
          </cell>
          <cell r="AH219">
            <v>509.94499999999999</v>
          </cell>
          <cell r="AI219">
            <v>482.851</v>
          </cell>
          <cell r="AJ219">
            <v>496.46600000000001</v>
          </cell>
          <cell r="AK219">
            <v>531.95299999999997</v>
          </cell>
          <cell r="AL219">
            <v>503.041</v>
          </cell>
          <cell r="AM219">
            <v>503.041</v>
          </cell>
          <cell r="AN219">
            <v>482.851</v>
          </cell>
          <cell r="AO219">
            <v>496.46600000000001</v>
          </cell>
          <cell r="AP219">
            <v>531.95299999999997</v>
          </cell>
          <cell r="AQ219">
            <v>503.041</v>
          </cell>
          <cell r="AR219">
            <v>503.041</v>
          </cell>
          <cell r="AS219">
            <v>546.65100000000007</v>
          </cell>
          <cell r="AT219">
            <v>475.49099999999999</v>
          </cell>
          <cell r="AU219">
            <v>498.63900000000001</v>
          </cell>
          <cell r="AV219">
            <v>472.91199999999998</v>
          </cell>
          <cell r="AW219">
            <v>472.91199999999998</v>
          </cell>
          <cell r="AX219">
            <v>451.76</v>
          </cell>
          <cell r="AY219">
            <v>458.63199999999995</v>
          </cell>
          <cell r="AZ219">
            <v>490.964</v>
          </cell>
          <cell r="BA219">
            <v>498.11599999999999</v>
          </cell>
          <cell r="BB219">
            <v>498.11599999999999</v>
          </cell>
          <cell r="BC219">
            <v>468.471</v>
          </cell>
          <cell r="BD219">
            <v>509.70400000000001</v>
          </cell>
          <cell r="BE219">
            <v>516.77700000000004</v>
          </cell>
          <cell r="BF219">
            <v>536.56999999999994</v>
          </cell>
          <cell r="BG219">
            <v>536.56999999999994</v>
          </cell>
          <cell r="BH219">
            <v>495.39463049743529</v>
          </cell>
          <cell r="BI219">
            <v>529.64333934630338</v>
          </cell>
          <cell r="BJ219">
            <v>540.17487438263106</v>
          </cell>
          <cell r="BK219">
            <v>561.87289927870779</v>
          </cell>
          <cell r="BL219">
            <v>561.87289927870779</v>
          </cell>
          <cell r="BM219">
            <v>591.1170721337736</v>
          </cell>
          <cell r="BN219">
            <v>621.77815976158536</v>
          </cell>
          <cell r="BO219">
            <v>654.61770643125851</v>
          </cell>
          <cell r="BR219" t="str">
            <v xml:space="preserve">Total Current Liabilities </v>
          </cell>
          <cell r="BS219">
            <v>220.982</v>
          </cell>
          <cell r="BT219">
            <v>244.93099999999998</v>
          </cell>
          <cell r="BU219">
            <v>291.09399999999999</v>
          </cell>
          <cell r="BV219">
            <v>292.5</v>
          </cell>
          <cell r="BW219">
            <v>466.92400000000004</v>
          </cell>
          <cell r="BX219">
            <v>452.80499999999995</v>
          </cell>
          <cell r="BY219">
            <v>509.94499999999999</v>
          </cell>
          <cell r="BZ219">
            <v>503.041</v>
          </cell>
          <cell r="CA219">
            <v>472.91199999999998</v>
          </cell>
          <cell r="CB219">
            <v>498.11599999999999</v>
          </cell>
          <cell r="CC219">
            <v>536.56999999999994</v>
          </cell>
          <cell r="CD219">
            <v>561.87289927870779</v>
          </cell>
          <cell r="CE219">
            <v>591.1170721337736</v>
          </cell>
          <cell r="CF219">
            <v>621.77815976158536</v>
          </cell>
          <cell r="CG219">
            <v>654.61770643125851</v>
          </cell>
        </row>
        <row r="221">
          <cell r="A221" t="str">
            <v>Long term debt, net of current portion</v>
          </cell>
          <cell r="C221">
            <v>0</v>
          </cell>
          <cell r="D221">
            <v>0</v>
          </cell>
          <cell r="E221" t="str">
            <v>ND</v>
          </cell>
          <cell r="F221" t="str">
            <v>ND</v>
          </cell>
          <cell r="G221">
            <v>0</v>
          </cell>
          <cell r="H221">
            <v>402.75</v>
          </cell>
          <cell r="I221">
            <v>402.75</v>
          </cell>
          <cell r="J221">
            <v>397.202</v>
          </cell>
          <cell r="K221">
            <v>391.625</v>
          </cell>
          <cell r="L221">
            <v>385.06700000000001</v>
          </cell>
          <cell r="M221">
            <v>379.709</v>
          </cell>
          <cell r="N221">
            <v>379.709</v>
          </cell>
          <cell r="O221">
            <v>369.18799999999999</v>
          </cell>
          <cell r="P221">
            <v>358.66500000000002</v>
          </cell>
          <cell r="Q221">
            <v>348.14400000000001</v>
          </cell>
          <cell r="R221">
            <v>337.62200000000001</v>
          </cell>
          <cell r="S221">
            <v>337.62200000000001</v>
          </cell>
          <cell r="T221">
            <v>327.09899999999999</v>
          </cell>
          <cell r="U221">
            <v>62.325000000000003</v>
          </cell>
          <cell r="V221">
            <v>1254.048</v>
          </cell>
          <cell r="W221">
            <v>1207.8810000000001</v>
          </cell>
          <cell r="X221">
            <v>1207.8810000000001</v>
          </cell>
          <cell r="Y221">
            <v>1109.2840000000001</v>
          </cell>
          <cell r="Z221">
            <v>1106.7</v>
          </cell>
          <cell r="AA221">
            <v>1104.116</v>
          </cell>
          <cell r="AB221">
            <v>1066.548</v>
          </cell>
          <cell r="AC221">
            <v>1066.548</v>
          </cell>
          <cell r="AD221">
            <v>1063.962</v>
          </cell>
          <cell r="AE221">
            <v>833.17499999999995</v>
          </cell>
          <cell r="AF221">
            <v>822.40099999999995</v>
          </cell>
          <cell r="AG221">
            <v>811.62300000000005</v>
          </cell>
          <cell r="AH221">
            <v>811.62300000000005</v>
          </cell>
          <cell r="AI221">
            <v>785.85599999999999</v>
          </cell>
          <cell r="AJ221">
            <v>775.072</v>
          </cell>
          <cell r="AK221">
            <v>753.28499999999997</v>
          </cell>
          <cell r="AL221">
            <v>788.01</v>
          </cell>
          <cell r="AM221">
            <v>788.01</v>
          </cell>
          <cell r="AN221">
            <v>785.85599999999999</v>
          </cell>
          <cell r="AO221">
            <v>775.072</v>
          </cell>
          <cell r="AP221">
            <v>753.28499999999997</v>
          </cell>
          <cell r="AQ221">
            <v>788.01</v>
          </cell>
          <cell r="AR221">
            <v>788.01</v>
          </cell>
          <cell r="AS221">
            <v>783.06500000000005</v>
          </cell>
          <cell r="AT221">
            <v>778.11900000000003</v>
          </cell>
          <cell r="AU221">
            <v>773.173</v>
          </cell>
          <cell r="AV221">
            <v>800</v>
          </cell>
          <cell r="AW221">
            <v>800</v>
          </cell>
          <cell r="AX221">
            <v>800</v>
          </cell>
          <cell r="AY221">
            <v>800</v>
          </cell>
          <cell r="AZ221">
            <v>1578.8489999999999</v>
          </cell>
          <cell r="BA221">
            <v>1579.404</v>
          </cell>
          <cell r="BB221">
            <v>1579.404</v>
          </cell>
          <cell r="BC221">
            <v>1579.96</v>
          </cell>
          <cell r="BD221">
            <v>1580.5150000000001</v>
          </cell>
          <cell r="BE221">
            <v>2074.4780000000001</v>
          </cell>
          <cell r="BF221">
            <v>2075.201</v>
          </cell>
          <cell r="BG221">
            <v>2075.201</v>
          </cell>
          <cell r="BH221">
            <v>2075.201</v>
          </cell>
          <cell r="BI221">
            <v>2075.201</v>
          </cell>
          <cell r="BJ221">
            <v>2075.201</v>
          </cell>
          <cell r="BK221">
            <v>2075.201</v>
          </cell>
          <cell r="BL221">
            <v>2075.201</v>
          </cell>
          <cell r="BM221">
            <v>2075.201</v>
          </cell>
          <cell r="BN221">
            <v>2075.201</v>
          </cell>
          <cell r="BO221">
            <v>2075.201</v>
          </cell>
          <cell r="BR221" t="str">
            <v>Long term debt, net of current portion</v>
          </cell>
          <cell r="BS221">
            <v>0</v>
          </cell>
          <cell r="BT221">
            <v>402.75</v>
          </cell>
          <cell r="BU221">
            <v>379.709</v>
          </cell>
          <cell r="BV221">
            <v>337.62200000000001</v>
          </cell>
          <cell r="BW221">
            <v>1207.8810000000001</v>
          </cell>
          <cell r="BX221">
            <v>1066.548</v>
          </cell>
          <cell r="BY221">
            <v>811.62300000000005</v>
          </cell>
          <cell r="BZ221">
            <v>788.01</v>
          </cell>
          <cell r="CA221">
            <v>800</v>
          </cell>
          <cell r="CB221">
            <v>1579.404</v>
          </cell>
          <cell r="CC221">
            <v>2075.201</v>
          </cell>
          <cell r="CD221">
            <v>2075.201</v>
          </cell>
          <cell r="CE221">
            <v>2075.201</v>
          </cell>
          <cell r="CF221">
            <v>2075.201</v>
          </cell>
          <cell r="CG221">
            <v>2075.201</v>
          </cell>
          <cell r="CI221" t="str">
            <v>mstag:longTermDebt</v>
          </cell>
          <cell r="CJ221">
            <v>6</v>
          </cell>
          <cell r="CK221" t="str">
            <v>ISO4217:USD</v>
          </cell>
          <cell r="CL221" t="b">
            <v>0</v>
          </cell>
          <cell r="CO221">
            <v>-284.68799999999999</v>
          </cell>
        </row>
        <row r="222">
          <cell r="A222" t="str">
            <v>Deferred tax liabilities</v>
          </cell>
          <cell r="C222">
            <v>66.081000000000003</v>
          </cell>
          <cell r="D222">
            <v>66.081000000000003</v>
          </cell>
          <cell r="E222" t="str">
            <v>ND</v>
          </cell>
          <cell r="F222" t="str">
            <v>ND</v>
          </cell>
          <cell r="G222">
            <v>59.487000000000002</v>
          </cell>
          <cell r="H222">
            <v>56.976999999999997</v>
          </cell>
          <cell r="I222">
            <v>56.976999999999997</v>
          </cell>
          <cell r="J222">
            <v>54.472000000000001</v>
          </cell>
          <cell r="K222">
            <v>54.883000000000003</v>
          </cell>
          <cell r="L222">
            <v>52.316000000000003</v>
          </cell>
          <cell r="M222">
            <v>49.363999999999997</v>
          </cell>
          <cell r="N222">
            <v>49.363999999999997</v>
          </cell>
          <cell r="O222">
            <v>46.895000000000003</v>
          </cell>
          <cell r="P222">
            <v>45.834000000000003</v>
          </cell>
          <cell r="Q222">
            <v>43.023000000000003</v>
          </cell>
          <cell r="R222">
            <v>40.08</v>
          </cell>
          <cell r="S222">
            <v>40.08</v>
          </cell>
          <cell r="T222">
            <v>38.442999999999998</v>
          </cell>
          <cell r="U222">
            <v>36.712000000000003</v>
          </cell>
          <cell r="V222">
            <v>223.73599999999999</v>
          </cell>
          <cell r="W222">
            <v>240.94399999999999</v>
          </cell>
          <cell r="X222">
            <v>240.94399999999999</v>
          </cell>
          <cell r="Y222">
            <v>246.89699999999999</v>
          </cell>
          <cell r="Z222">
            <v>241.53800000000001</v>
          </cell>
          <cell r="AA222">
            <v>236.37200000000001</v>
          </cell>
          <cell r="AB222">
            <v>240.45599999999999</v>
          </cell>
          <cell r="AC222">
            <v>240.45599999999999</v>
          </cell>
          <cell r="AD222">
            <v>235.429</v>
          </cell>
          <cell r="AE222">
            <v>230.232</v>
          </cell>
          <cell r="AF222">
            <v>226.79599999999999</v>
          </cell>
          <cell r="AG222">
            <v>234.245</v>
          </cell>
          <cell r="AH222">
            <v>234.245</v>
          </cell>
          <cell r="AI222">
            <v>234.5</v>
          </cell>
          <cell r="AJ222">
            <v>235.066</v>
          </cell>
          <cell r="AK222">
            <v>229.87700000000001</v>
          </cell>
          <cell r="AL222">
            <v>221.054</v>
          </cell>
          <cell r="AM222">
            <v>221.054</v>
          </cell>
          <cell r="AN222">
            <v>234.5</v>
          </cell>
          <cell r="AO222">
            <v>235.066</v>
          </cell>
          <cell r="AP222">
            <v>229.87700000000001</v>
          </cell>
          <cell r="AQ222">
            <v>234.649</v>
          </cell>
          <cell r="AR222">
            <v>234.649</v>
          </cell>
          <cell r="AS222">
            <v>159.14099999999999</v>
          </cell>
          <cell r="AT222">
            <v>172.24100000000001</v>
          </cell>
          <cell r="AU222">
            <v>171.68100000000001</v>
          </cell>
          <cell r="AV222">
            <v>137.83799999999999</v>
          </cell>
          <cell r="AW222">
            <v>137.83799999999999</v>
          </cell>
          <cell r="AX222">
            <v>136.79300000000001</v>
          </cell>
          <cell r="AY222">
            <v>128.36600000000001</v>
          </cell>
          <cell r="AZ222">
            <v>123.011</v>
          </cell>
          <cell r="BA222">
            <v>110.937</v>
          </cell>
          <cell r="BB222">
            <v>110.937</v>
          </cell>
          <cell r="BC222">
            <v>106</v>
          </cell>
          <cell r="BD222">
            <v>105.006</v>
          </cell>
          <cell r="BE222">
            <v>102.499</v>
          </cell>
          <cell r="BF222">
            <v>94.066999999999993</v>
          </cell>
          <cell r="BG222">
            <v>94.066999999999993</v>
          </cell>
          <cell r="BH222">
            <v>94.066999999999993</v>
          </cell>
          <cell r="BI222">
            <v>94.066999999999993</v>
          </cell>
          <cell r="BJ222">
            <v>94.066999999999993</v>
          </cell>
          <cell r="BK222">
            <v>94.066999999999993</v>
          </cell>
          <cell r="BL222">
            <v>94.066999999999993</v>
          </cell>
          <cell r="BM222">
            <v>94.066999999999993</v>
          </cell>
          <cell r="BN222">
            <v>94.066999999999993</v>
          </cell>
          <cell r="BO222">
            <v>94.066999999999993</v>
          </cell>
          <cell r="BR222" t="str">
            <v>Deferred tax liabilities</v>
          </cell>
          <cell r="BS222">
            <v>66.081000000000003</v>
          </cell>
          <cell r="BT222">
            <v>56.976999999999997</v>
          </cell>
          <cell r="BU222">
            <v>49.363999999999997</v>
          </cell>
          <cell r="BV222">
            <v>40.08</v>
          </cell>
          <cell r="BW222">
            <v>240.94399999999999</v>
          </cell>
          <cell r="BX222">
            <v>240.45599999999999</v>
          </cell>
          <cell r="BY222">
            <v>234.245</v>
          </cell>
          <cell r="BZ222">
            <v>234.649</v>
          </cell>
          <cell r="CA222">
            <v>137.83799999999999</v>
          </cell>
          <cell r="CB222">
            <v>110.937</v>
          </cell>
          <cell r="CC222">
            <v>94.066999999999993</v>
          </cell>
          <cell r="CD222">
            <v>94.066999999999993</v>
          </cell>
          <cell r="CE222">
            <v>94.066999999999993</v>
          </cell>
          <cell r="CF222">
            <v>94.066999999999993</v>
          </cell>
          <cell r="CG222">
            <v>94.066999999999993</v>
          </cell>
          <cell r="CI222" t="str">
            <v>mstag:deferredTaxLiabilitiesNonCurrent</v>
          </cell>
          <cell r="CJ222">
            <v>6</v>
          </cell>
          <cell r="CK222" t="str">
            <v>ISO4217:USD</v>
          </cell>
          <cell r="CL222" t="b">
            <v>0</v>
          </cell>
          <cell r="CO222">
            <v>-247.72499999999999</v>
          </cell>
        </row>
        <row r="223">
          <cell r="A223" t="str">
            <v>Other non-current liabilities</v>
          </cell>
          <cell r="C223">
            <v>0</v>
          </cell>
          <cell r="D223">
            <v>0</v>
          </cell>
          <cell r="E223" t="str">
            <v>ND</v>
          </cell>
          <cell r="F223" t="str">
            <v>ND</v>
          </cell>
          <cell r="G223">
            <v>0</v>
          </cell>
          <cell r="H223">
            <v>0</v>
          </cell>
          <cell r="I223">
            <v>0</v>
          </cell>
          <cell r="J223">
            <v>0</v>
          </cell>
          <cell r="K223">
            <v>0</v>
          </cell>
          <cell r="L223">
            <v>0</v>
          </cell>
          <cell r="M223">
            <v>8.4990000000000006</v>
          </cell>
          <cell r="N223">
            <v>8.4990000000000006</v>
          </cell>
          <cell r="O223">
            <v>9.2880000000000003</v>
          </cell>
          <cell r="P223">
            <v>10.401999999999999</v>
          </cell>
          <cell r="Q223">
            <v>10.395</v>
          </cell>
          <cell r="R223">
            <v>23.010999999999999</v>
          </cell>
          <cell r="S223">
            <v>23.010999999999999</v>
          </cell>
          <cell r="T223">
            <v>22.260999999999999</v>
          </cell>
          <cell r="U223">
            <v>23.286000000000001</v>
          </cell>
          <cell r="V223">
            <v>27.146999999999998</v>
          </cell>
          <cell r="W223">
            <v>27.3</v>
          </cell>
          <cell r="X223">
            <v>27.3</v>
          </cell>
          <cell r="Y223">
            <v>26.263000000000002</v>
          </cell>
          <cell r="Z223">
            <v>28.738</v>
          </cell>
          <cell r="AA223">
            <v>27.884</v>
          </cell>
          <cell r="AB223">
            <v>27.754999999999999</v>
          </cell>
          <cell r="AC223">
            <v>27.754999999999999</v>
          </cell>
          <cell r="AD223">
            <v>27.861000000000001</v>
          </cell>
          <cell r="AE223">
            <v>37.997</v>
          </cell>
          <cell r="AF223">
            <v>42.426000000000002</v>
          </cell>
          <cell r="AG223">
            <v>38.594999999999999</v>
          </cell>
          <cell r="AH223">
            <v>38.594999999999999</v>
          </cell>
          <cell r="AI223">
            <v>39.914999999999999</v>
          </cell>
          <cell r="AJ223">
            <v>42.665999999999997</v>
          </cell>
          <cell r="AK223">
            <v>44.326999999999998</v>
          </cell>
          <cell r="AL223">
            <v>46.067999999999998</v>
          </cell>
          <cell r="AM223">
            <v>46.067999999999998</v>
          </cell>
          <cell r="AN223">
            <v>39.914999999999999</v>
          </cell>
          <cell r="AO223">
            <v>42.665999999999997</v>
          </cell>
          <cell r="AP223">
            <v>44.326999999999998</v>
          </cell>
          <cell r="AQ223">
            <v>46.067999999999998</v>
          </cell>
          <cell r="AR223">
            <v>46.067999999999998</v>
          </cell>
          <cell r="AS223">
            <v>41.23</v>
          </cell>
          <cell r="AT223">
            <v>40.706000000000003</v>
          </cell>
          <cell r="AU223">
            <v>40.252000000000002</v>
          </cell>
          <cell r="AV223">
            <v>50.591999999999999</v>
          </cell>
          <cell r="AW223">
            <v>50.591999999999999</v>
          </cell>
          <cell r="AX223">
            <v>52.274000000000001</v>
          </cell>
          <cell r="AY223">
            <v>54.915999999999997</v>
          </cell>
          <cell r="AZ223">
            <v>54.862000000000002</v>
          </cell>
          <cell r="BA223">
            <v>57.042999999999999</v>
          </cell>
          <cell r="BB223">
            <v>57.042999999999999</v>
          </cell>
          <cell r="BC223">
            <v>61.55</v>
          </cell>
          <cell r="BD223">
            <v>60.607999999999997</v>
          </cell>
          <cell r="BE223">
            <v>61.811</v>
          </cell>
          <cell r="BF223">
            <v>59.134999999999998</v>
          </cell>
          <cell r="BG223">
            <v>59.134999999999998</v>
          </cell>
          <cell r="BH223">
            <v>59.134999999999998</v>
          </cell>
          <cell r="BI223">
            <v>59.134999999999998</v>
          </cell>
          <cell r="BJ223">
            <v>59.134999999999998</v>
          </cell>
          <cell r="BK223">
            <v>59.134999999999998</v>
          </cell>
          <cell r="BL223">
            <v>59.134999999999998</v>
          </cell>
          <cell r="BM223">
            <v>59.134999999999998</v>
          </cell>
          <cell r="BN223">
            <v>59.134999999999998</v>
          </cell>
          <cell r="BO223">
            <v>59.134999999999998</v>
          </cell>
          <cell r="BR223" t="str">
            <v>Other non-current liabilities</v>
          </cell>
          <cell r="BS223">
            <v>0</v>
          </cell>
          <cell r="BT223">
            <v>0</v>
          </cell>
          <cell r="BU223">
            <v>8.4990000000000006</v>
          </cell>
          <cell r="BV223">
            <v>23.010999999999999</v>
          </cell>
          <cell r="BW223">
            <v>27.3</v>
          </cell>
          <cell r="BX223">
            <v>27.754999999999999</v>
          </cell>
          <cell r="BY223">
            <v>38.594999999999999</v>
          </cell>
          <cell r="BZ223">
            <v>46.067999999999998</v>
          </cell>
          <cell r="CA223">
            <v>50.591999999999999</v>
          </cell>
          <cell r="CB223">
            <v>57.042999999999999</v>
          </cell>
          <cell r="CC223">
            <v>59.134999999999998</v>
          </cell>
          <cell r="CD223">
            <v>59.134999999999998</v>
          </cell>
          <cell r="CE223">
            <v>59.134999999999998</v>
          </cell>
          <cell r="CF223">
            <v>59.134999999999998</v>
          </cell>
          <cell r="CG223">
            <v>59.134999999999998</v>
          </cell>
          <cell r="CI223" t="str">
            <v>mstag:otherLiabilitiesOperatingNonCurrent</v>
          </cell>
          <cell r="CJ223">
            <v>6</v>
          </cell>
          <cell r="CK223" t="str">
            <v>ISO4217:USD</v>
          </cell>
          <cell r="CL223" t="b">
            <v>0</v>
          </cell>
          <cell r="CO223">
            <v>-18.105</v>
          </cell>
        </row>
        <row r="225">
          <cell r="A225" t="str">
            <v>Total Liabilities</v>
          </cell>
          <cell r="C225">
            <v>287.06299999999999</v>
          </cell>
          <cell r="D225">
            <v>287.06299999999999</v>
          </cell>
          <cell r="E225" t="str">
            <v>ND</v>
          </cell>
          <cell r="F225" t="str">
            <v>ND</v>
          </cell>
          <cell r="G225">
            <v>880.76400000000001</v>
          </cell>
          <cell r="H225">
            <v>704.6579999999999</v>
          </cell>
          <cell r="I225">
            <v>704.6579999999999</v>
          </cell>
          <cell r="J225">
            <v>740.09699999999998</v>
          </cell>
          <cell r="K225">
            <v>751.91599999999994</v>
          </cell>
          <cell r="L225">
            <v>720.10200000000009</v>
          </cell>
          <cell r="M225">
            <v>728.66599999999994</v>
          </cell>
          <cell r="N225">
            <v>728.66599999999994</v>
          </cell>
          <cell r="O225">
            <v>716.88</v>
          </cell>
          <cell r="P225">
            <v>723.42399999999998</v>
          </cell>
          <cell r="Q225">
            <v>713.48500000000001</v>
          </cell>
          <cell r="R225">
            <v>693.21299999999997</v>
          </cell>
          <cell r="S225">
            <v>693.21299999999997</v>
          </cell>
          <cell r="T225">
            <v>650.21299999999997</v>
          </cell>
          <cell r="U225">
            <v>371.49700000000001</v>
          </cell>
          <cell r="V225">
            <v>1914.2550000000001</v>
          </cell>
          <cell r="W225">
            <v>1943.049</v>
          </cell>
          <cell r="X225">
            <v>1943.049</v>
          </cell>
          <cell r="Y225">
            <v>1760.461</v>
          </cell>
          <cell r="Z225">
            <v>1800.5420000000001</v>
          </cell>
          <cell r="AA225">
            <v>1802.2660000000001</v>
          </cell>
          <cell r="AB225">
            <v>1787.5639999999999</v>
          </cell>
          <cell r="AC225">
            <v>1787.5639999999999</v>
          </cell>
          <cell r="AD225">
            <v>1748.4430000000002</v>
          </cell>
          <cell r="AE225">
            <v>1585.2339999999999</v>
          </cell>
          <cell r="AF225">
            <v>1585.1279999999997</v>
          </cell>
          <cell r="AG225">
            <v>1594.4079999999999</v>
          </cell>
          <cell r="AH225">
            <v>1594.4079999999999</v>
          </cell>
          <cell r="AI225">
            <v>1543.1219999999998</v>
          </cell>
          <cell r="AJ225">
            <v>1549.27</v>
          </cell>
          <cell r="AK225">
            <v>1559.442</v>
          </cell>
          <cell r="AL225">
            <v>1558.173</v>
          </cell>
          <cell r="AM225">
            <v>1558.173</v>
          </cell>
          <cell r="AN225">
            <v>1543.1219999999998</v>
          </cell>
          <cell r="AO225">
            <v>1549.27</v>
          </cell>
          <cell r="AP225">
            <v>1559.442</v>
          </cell>
          <cell r="AQ225">
            <v>1571.768</v>
          </cell>
          <cell r="AR225">
            <v>1558.173</v>
          </cell>
          <cell r="AS225">
            <v>1530.087</v>
          </cell>
          <cell r="AT225">
            <v>1466.557</v>
          </cell>
          <cell r="AU225">
            <v>1483.7449999999999</v>
          </cell>
          <cell r="AV225">
            <v>1461.3419999999999</v>
          </cell>
          <cell r="AW225">
            <v>1461.3419999999999</v>
          </cell>
          <cell r="AX225">
            <v>1440.827</v>
          </cell>
          <cell r="AY225">
            <v>1441.9139999999998</v>
          </cell>
          <cell r="AZ225">
            <v>2247.6860000000001</v>
          </cell>
          <cell r="BA225">
            <v>2245.5</v>
          </cell>
          <cell r="BB225">
            <v>2245.5</v>
          </cell>
          <cell r="BC225">
            <v>2215.9809999999998</v>
          </cell>
          <cell r="BD225">
            <v>2255.8330000000001</v>
          </cell>
          <cell r="BE225">
            <v>2755.5650000000001</v>
          </cell>
          <cell r="BF225">
            <v>2764.973</v>
          </cell>
          <cell r="BG225">
            <v>2764.973</v>
          </cell>
          <cell r="BH225">
            <v>2723.7976304974354</v>
          </cell>
          <cell r="BI225">
            <v>2758.0463393463037</v>
          </cell>
          <cell r="BJ225">
            <v>2768.5778743826313</v>
          </cell>
          <cell r="BK225">
            <v>2790.275899278708</v>
          </cell>
          <cell r="BL225">
            <v>2790.275899278708</v>
          </cell>
          <cell r="BM225">
            <v>2819.5200721337737</v>
          </cell>
          <cell r="BN225">
            <v>2850.1811597615856</v>
          </cell>
          <cell r="BO225">
            <v>2883.020706431259</v>
          </cell>
          <cell r="BR225" t="str">
            <v>Total Liabilities</v>
          </cell>
          <cell r="BS225">
            <v>287.06299999999999</v>
          </cell>
          <cell r="BT225">
            <v>704.6579999999999</v>
          </cell>
          <cell r="BU225">
            <v>728.66599999999994</v>
          </cell>
          <cell r="BV225">
            <v>693.21299999999997</v>
          </cell>
          <cell r="BW225">
            <v>1943.049</v>
          </cell>
          <cell r="BX225">
            <v>1787.5639999999999</v>
          </cell>
          <cell r="BY225">
            <v>1594.4079999999999</v>
          </cell>
          <cell r="BZ225">
            <v>1558.173</v>
          </cell>
          <cell r="CA225">
            <v>1461.3419999999999</v>
          </cell>
          <cell r="CB225">
            <v>2245.5</v>
          </cell>
          <cell r="CC225">
            <v>2764.973</v>
          </cell>
          <cell r="CD225">
            <v>2790.275899278708</v>
          </cell>
          <cell r="CE225">
            <v>2819.5200721337737</v>
          </cell>
          <cell r="CF225">
            <v>2850.1811597615856</v>
          </cell>
          <cell r="CG225">
            <v>2883.020706431259</v>
          </cell>
        </row>
        <row r="227">
          <cell r="A227" t="str">
            <v>Stockholders' Equity</v>
          </cell>
        </row>
        <row r="228">
          <cell r="A228" t="str">
            <v>Common stock</v>
          </cell>
          <cell r="C228">
            <v>2.9000000000000001E-2</v>
          </cell>
          <cell r="D228">
            <v>2.9000000000000001E-2</v>
          </cell>
          <cell r="E228" t="str">
            <v>ND</v>
          </cell>
          <cell r="F228" t="str">
            <v>ND</v>
          </cell>
          <cell r="G228">
            <v>2.9000000000000001E-2</v>
          </cell>
          <cell r="H228">
            <v>1</v>
          </cell>
          <cell r="I228">
            <v>1</v>
          </cell>
          <cell r="J228">
            <v>1</v>
          </cell>
          <cell r="K228">
            <v>1.0009999999999999</v>
          </cell>
          <cell r="L228">
            <v>1.0009999999999999</v>
          </cell>
          <cell r="M228">
            <v>1.0009999999999999</v>
          </cell>
          <cell r="N228">
            <v>1.0009999999999999</v>
          </cell>
          <cell r="O228">
            <v>1.0009999999999999</v>
          </cell>
          <cell r="P228">
            <v>1.002</v>
          </cell>
          <cell r="Q228">
            <v>1.002</v>
          </cell>
          <cell r="R228">
            <v>1.054</v>
          </cell>
          <cell r="S228">
            <v>1.054</v>
          </cell>
          <cell r="T228">
            <v>1.0569999999999999</v>
          </cell>
          <cell r="U228">
            <v>1.0569999999999999</v>
          </cell>
          <cell r="V228">
            <v>1.1930000000000001</v>
          </cell>
          <cell r="W228">
            <v>1.2050000000000001</v>
          </cell>
          <cell r="X228">
            <v>1.2050000000000001</v>
          </cell>
          <cell r="Y228">
            <v>1.212</v>
          </cell>
          <cell r="Z228">
            <v>1.216</v>
          </cell>
          <cell r="AA228">
            <v>1.2170000000000001</v>
          </cell>
          <cell r="AB228">
            <v>1.2270000000000001</v>
          </cell>
          <cell r="AC228">
            <v>1.2270000000000001</v>
          </cell>
          <cell r="AD228">
            <v>1.2310000000000001</v>
          </cell>
          <cell r="AE228">
            <v>1.2330000000000001</v>
          </cell>
          <cell r="AF228">
            <v>1.236</v>
          </cell>
          <cell r="AG228">
            <v>1.24</v>
          </cell>
          <cell r="AH228">
            <v>1.24</v>
          </cell>
          <cell r="AI228">
            <v>1.2490000000000001</v>
          </cell>
          <cell r="AJ228">
            <v>1.2509999999999999</v>
          </cell>
          <cell r="AK228">
            <v>1.2529999999999999</v>
          </cell>
          <cell r="AL228">
            <v>1.256</v>
          </cell>
          <cell r="AM228">
            <v>1.256</v>
          </cell>
          <cell r="AN228">
            <v>1.2490000000000001</v>
          </cell>
          <cell r="AO228">
            <v>1.2509999999999999</v>
          </cell>
          <cell r="AP228">
            <v>1.2529999999999999</v>
          </cell>
          <cell r="AQ228">
            <v>1.256</v>
          </cell>
          <cell r="AR228">
            <v>1.256</v>
          </cell>
          <cell r="AS228">
            <v>1.2609999999999999</v>
          </cell>
          <cell r="AT228">
            <v>1.264</v>
          </cell>
          <cell r="AU228">
            <v>1.266</v>
          </cell>
          <cell r="AV228">
            <v>1.266</v>
          </cell>
          <cell r="AW228">
            <v>1.266</v>
          </cell>
          <cell r="AX228">
            <v>1.272</v>
          </cell>
          <cell r="AY228">
            <v>1.28</v>
          </cell>
          <cell r="AZ228">
            <v>1.2809999999999999</v>
          </cell>
          <cell r="BA228">
            <v>1.282</v>
          </cell>
          <cell r="BB228">
            <v>1.282</v>
          </cell>
          <cell r="BC228">
            <v>1.288</v>
          </cell>
          <cell r="BD228">
            <v>1.2889999999999999</v>
          </cell>
          <cell r="BE228">
            <v>1.29</v>
          </cell>
          <cell r="BF228">
            <v>1.29</v>
          </cell>
          <cell r="BG228">
            <v>1.29</v>
          </cell>
          <cell r="BH228">
            <v>1.29</v>
          </cell>
          <cell r="BI228">
            <v>1.29</v>
          </cell>
          <cell r="BJ228">
            <v>1.29</v>
          </cell>
          <cell r="BK228">
            <v>1.29</v>
          </cell>
          <cell r="BL228">
            <v>1.29</v>
          </cell>
          <cell r="BM228">
            <v>1.29</v>
          </cell>
          <cell r="BN228">
            <v>1.29</v>
          </cell>
          <cell r="BO228">
            <v>1.29</v>
          </cell>
          <cell r="BR228" t="str">
            <v>Common stock</v>
          </cell>
          <cell r="BS228">
            <v>2.9000000000000001E-2</v>
          </cell>
          <cell r="BT228">
            <v>1</v>
          </cell>
          <cell r="BU228">
            <v>1.0009999999999999</v>
          </cell>
          <cell r="BV228">
            <v>1.054</v>
          </cell>
          <cell r="BW228">
            <v>1.2050000000000001</v>
          </cell>
          <cell r="BX228">
            <v>1.2270000000000001</v>
          </cell>
          <cell r="BY228">
            <v>1.24</v>
          </cell>
          <cell r="BZ228">
            <v>1.256</v>
          </cell>
          <cell r="CA228">
            <v>1.266</v>
          </cell>
          <cell r="CB228">
            <v>1.282</v>
          </cell>
          <cell r="CC228">
            <v>1.29</v>
          </cell>
          <cell r="CD228">
            <v>1.29</v>
          </cell>
          <cell r="CE228">
            <v>1.29</v>
          </cell>
          <cell r="CF228">
            <v>1.29</v>
          </cell>
          <cell r="CG228">
            <v>1.29</v>
          </cell>
          <cell r="CI228" t="str">
            <v>mstag:commonStock</v>
          </cell>
          <cell r="CJ228">
            <v>6</v>
          </cell>
          <cell r="CK228" t="str">
            <v>ISO4217:USD</v>
          </cell>
          <cell r="CL228" t="b">
            <v>0</v>
          </cell>
        </row>
        <row r="229">
          <cell r="A229" t="str">
            <v xml:space="preserve"> Treasury shares</v>
          </cell>
          <cell r="C229">
            <v>0</v>
          </cell>
          <cell r="D229">
            <v>0</v>
          </cell>
          <cell r="E229" t="str">
            <v>ND</v>
          </cell>
          <cell r="F229" t="str">
            <v>ND</v>
          </cell>
          <cell r="G229">
            <v>0</v>
          </cell>
          <cell r="H229">
            <v>0</v>
          </cell>
          <cell r="I229">
            <v>0</v>
          </cell>
          <cell r="J229">
            <v>0</v>
          </cell>
          <cell r="K229">
            <v>-0.55700000000000005</v>
          </cell>
          <cell r="L229">
            <v>-0.58599999999999997</v>
          </cell>
          <cell r="M229">
            <v>-0.68100000000000005</v>
          </cell>
          <cell r="N229">
            <v>-0.68100000000000005</v>
          </cell>
          <cell r="O229">
            <v>-0.79100000000000004</v>
          </cell>
          <cell r="P229">
            <v>-1.286</v>
          </cell>
          <cell r="Q229">
            <v>-1.395</v>
          </cell>
          <cell r="R229">
            <v>-19.167999999999999</v>
          </cell>
          <cell r="S229">
            <v>-19.167999999999999</v>
          </cell>
          <cell r="T229">
            <v>-21.614000000000001</v>
          </cell>
          <cell r="U229">
            <v>-21.617999999999999</v>
          </cell>
          <cell r="V229">
            <v>-23.375</v>
          </cell>
          <cell r="W229">
            <v>-33.319000000000003</v>
          </cell>
          <cell r="X229">
            <v>-33.319000000000003</v>
          </cell>
          <cell r="Y229">
            <v>-38.097000000000001</v>
          </cell>
          <cell r="Z229">
            <v>-38.115000000000002</v>
          </cell>
          <cell r="AA229">
            <v>-38.142000000000003</v>
          </cell>
          <cell r="AB229">
            <v>-49.826999999999998</v>
          </cell>
          <cell r="AC229">
            <v>-49.826999999999998</v>
          </cell>
          <cell r="AD229">
            <v>-52.136000000000003</v>
          </cell>
          <cell r="AE229">
            <v>-52.42</v>
          </cell>
          <cell r="AF229">
            <v>-52.860999999999997</v>
          </cell>
          <cell r="AG229">
            <v>-120.926</v>
          </cell>
          <cell r="AH229">
            <v>-120.926</v>
          </cell>
          <cell r="AI229">
            <v>-130.32300000000001</v>
          </cell>
          <cell r="AJ229">
            <v>-130.84700000000001</v>
          </cell>
          <cell r="AK229">
            <v>-236.136</v>
          </cell>
          <cell r="AL229">
            <v>-268.39100000000002</v>
          </cell>
          <cell r="AM229">
            <v>-268.39100000000002</v>
          </cell>
          <cell r="AN229">
            <v>-130.32300000000001</v>
          </cell>
          <cell r="AO229">
            <v>-130.84700000000001</v>
          </cell>
          <cell r="AP229">
            <v>-236.136</v>
          </cell>
          <cell r="AQ229">
            <v>-268.39100000000002</v>
          </cell>
          <cell r="AR229">
            <v>-268.39100000000002</v>
          </cell>
          <cell r="AS229">
            <v>-345.55</v>
          </cell>
          <cell r="AT229">
            <v>-377.62599999999998</v>
          </cell>
          <cell r="AU229">
            <v>-588.11900000000003</v>
          </cell>
          <cell r="AV229">
            <v>-588.37800000000004</v>
          </cell>
          <cell r="AW229">
            <v>-588.37800000000004</v>
          </cell>
          <cell r="AX229">
            <v>-598.73500000000001</v>
          </cell>
          <cell r="AY229">
            <v>-785.78700000000003</v>
          </cell>
          <cell r="AZ229">
            <v>-1139.6130000000001</v>
          </cell>
          <cell r="BA229">
            <v>-1395.6949999999999</v>
          </cell>
          <cell r="BB229">
            <v>-1395.6949999999999</v>
          </cell>
          <cell r="BC229">
            <v>-1742.4169999999999</v>
          </cell>
          <cell r="BD229">
            <v>-1865.7190000000001</v>
          </cell>
          <cell r="BE229">
            <v>-1895.027</v>
          </cell>
          <cell r="BF229">
            <v>-2170.739</v>
          </cell>
          <cell r="BG229">
            <v>-2170.739</v>
          </cell>
          <cell r="BH229">
            <v>-2220.739</v>
          </cell>
          <cell r="BI229">
            <v>-2320.739</v>
          </cell>
          <cell r="BJ229">
            <v>-2420.739</v>
          </cell>
          <cell r="BK229">
            <v>-2520.739</v>
          </cell>
          <cell r="BL229">
            <v>-2520.739</v>
          </cell>
          <cell r="BM229">
            <v>-2820.739</v>
          </cell>
          <cell r="BN229">
            <v>-3120.739</v>
          </cell>
          <cell r="BO229">
            <v>-3420.739</v>
          </cell>
          <cell r="BR229" t="str">
            <v xml:space="preserve"> Treasury shares</v>
          </cell>
          <cell r="BS229">
            <v>0</v>
          </cell>
          <cell r="BT229">
            <v>0</v>
          </cell>
          <cell r="BU229">
            <v>-0.68100000000000005</v>
          </cell>
          <cell r="BV229">
            <v>-19.167999999999999</v>
          </cell>
          <cell r="BW229">
            <v>-33.319000000000003</v>
          </cell>
          <cell r="BX229">
            <v>-49.826999999999998</v>
          </cell>
          <cell r="BY229">
            <v>-120.926</v>
          </cell>
          <cell r="BZ229">
            <v>-268.39100000000002</v>
          </cell>
          <cell r="CA229">
            <v>-588.37800000000004</v>
          </cell>
          <cell r="CB229">
            <v>-1395.6949999999999</v>
          </cell>
          <cell r="CC229">
            <v>-2170.739</v>
          </cell>
          <cell r="CD229">
            <v>-2520.739</v>
          </cell>
          <cell r="CE229">
            <v>-2820.739</v>
          </cell>
          <cell r="CF229">
            <v>-3120.739</v>
          </cell>
          <cell r="CG229">
            <v>-3420.739</v>
          </cell>
          <cell r="CI229" t="str">
            <v>mstag:treasuryStockAndInvestmentInOwnShares</v>
          </cell>
          <cell r="CJ229">
            <v>6</v>
          </cell>
          <cell r="CK229" t="str">
            <v>ISO4217:USD</v>
          </cell>
          <cell r="CL229" t="b">
            <v>1</v>
          </cell>
        </row>
        <row r="230">
          <cell r="A230" t="str">
            <v>Add'l Paid in Capital</v>
          </cell>
          <cell r="C230">
            <v>649.88400000000001</v>
          </cell>
          <cell r="D230">
            <v>649.88400000000001</v>
          </cell>
          <cell r="E230" t="str">
            <v>ND</v>
          </cell>
          <cell r="F230" t="str">
            <v>ND</v>
          </cell>
          <cell r="G230">
            <v>0</v>
          </cell>
          <cell r="H230">
            <v>265.09800000000001</v>
          </cell>
          <cell r="I230">
            <v>265.09800000000001</v>
          </cell>
          <cell r="J230">
            <v>269.952</v>
          </cell>
          <cell r="K230">
            <v>277.173</v>
          </cell>
          <cell r="L230">
            <v>282.57</v>
          </cell>
          <cell r="M230">
            <v>291.20400000000001</v>
          </cell>
          <cell r="N230">
            <v>291.20400000000001</v>
          </cell>
          <cell r="O230">
            <v>302.29199999999997</v>
          </cell>
          <cell r="P230">
            <v>310.77</v>
          </cell>
          <cell r="Q230">
            <v>318.452</v>
          </cell>
          <cell r="R230">
            <v>448.74700000000001</v>
          </cell>
          <cell r="S230">
            <v>448.74700000000001</v>
          </cell>
          <cell r="T230">
            <v>461.03500000000003</v>
          </cell>
          <cell r="U230">
            <v>465.38400000000001</v>
          </cell>
          <cell r="V230">
            <v>914.83900000000006</v>
          </cell>
          <cell r="W230">
            <v>938.01400000000001</v>
          </cell>
          <cell r="X230">
            <v>938.01400000000001</v>
          </cell>
          <cell r="Y230">
            <v>963.09100000000001</v>
          </cell>
          <cell r="Z230">
            <v>976.66700000000003</v>
          </cell>
          <cell r="AA230">
            <v>984.25300000000004</v>
          </cell>
          <cell r="AB230">
            <v>995.66499999999996</v>
          </cell>
          <cell r="AC230">
            <v>995.66499999999996</v>
          </cell>
          <cell r="AD230">
            <v>1011.0359999999999</v>
          </cell>
          <cell r="AE230">
            <v>1020.046</v>
          </cell>
          <cell r="AF230">
            <v>1028.798</v>
          </cell>
          <cell r="AG230">
            <v>1000.014</v>
          </cell>
          <cell r="AH230">
            <v>1000.014</v>
          </cell>
          <cell r="AI230">
            <v>1016.899</v>
          </cell>
          <cell r="AJ230">
            <v>1024.51</v>
          </cell>
          <cell r="AK230">
            <v>1036.732</v>
          </cell>
          <cell r="AL230">
            <v>1073.893</v>
          </cell>
          <cell r="AM230">
            <v>1073.893</v>
          </cell>
          <cell r="AN230">
            <v>1016.899</v>
          </cell>
          <cell r="AO230">
            <v>1024.51</v>
          </cell>
          <cell r="AP230">
            <v>1036.732</v>
          </cell>
          <cell r="AQ230">
            <v>1073.1569999999999</v>
          </cell>
          <cell r="AR230">
            <v>1073.1569999999999</v>
          </cell>
          <cell r="AS230">
            <v>1057.386</v>
          </cell>
          <cell r="AT230">
            <v>1097.549</v>
          </cell>
          <cell r="AU230">
            <v>1017.3049999999999</v>
          </cell>
          <cell r="AV230">
            <v>1022.221</v>
          </cell>
          <cell r="AW230">
            <v>1022.221</v>
          </cell>
          <cell r="AX230">
            <v>1038.635</v>
          </cell>
          <cell r="AY230">
            <v>1161.4100000000001</v>
          </cell>
          <cell r="AZ230">
            <v>1166.894</v>
          </cell>
          <cell r="BA230">
            <v>1173.183</v>
          </cell>
          <cell r="BB230">
            <v>1173.183</v>
          </cell>
          <cell r="BC230">
            <v>1195.74</v>
          </cell>
          <cell r="BD230">
            <v>1205.5889999999999</v>
          </cell>
          <cell r="BE230">
            <v>1215.6610000000001</v>
          </cell>
          <cell r="BF230">
            <v>1225.5650000000001</v>
          </cell>
          <cell r="BG230">
            <v>1225.5650000000001</v>
          </cell>
          <cell r="BH230">
            <v>1234.7506153111026</v>
          </cell>
          <cell r="BI230">
            <v>1244.1300199357381</v>
          </cell>
          <cell r="BJ230">
            <v>1253.4931828532585</v>
          </cell>
          <cell r="BK230">
            <v>1262.9977746850354</v>
          </cell>
          <cell r="BL230">
            <v>1262.9977746850354</v>
          </cell>
          <cell r="BM230">
            <v>1302.8755398232545</v>
          </cell>
          <cell r="BN230">
            <v>1345.5042013834575</v>
          </cell>
          <cell r="BO230">
            <v>1391.1493208027905</v>
          </cell>
          <cell r="BR230" t="str">
            <v>Add'l Paid in Capital</v>
          </cell>
          <cell r="BS230">
            <v>649.88400000000001</v>
          </cell>
          <cell r="BT230">
            <v>265.09800000000001</v>
          </cell>
          <cell r="BU230">
            <v>291.20400000000001</v>
          </cell>
          <cell r="BV230">
            <v>448.74700000000001</v>
          </cell>
          <cell r="BW230">
            <v>938.01400000000001</v>
          </cell>
          <cell r="BX230">
            <v>995.66499999999996</v>
          </cell>
          <cell r="BY230">
            <v>1000.014</v>
          </cell>
          <cell r="BZ230">
            <v>1073.1569999999999</v>
          </cell>
          <cell r="CA230">
            <v>1022.221</v>
          </cell>
          <cell r="CB230">
            <v>1173.183</v>
          </cell>
          <cell r="CC230">
            <v>1225.5650000000001</v>
          </cell>
          <cell r="CD230">
            <v>1262.9977746850354</v>
          </cell>
          <cell r="CE230">
            <v>1302.8755398232545</v>
          </cell>
          <cell r="CF230">
            <v>1345.5042013834575</v>
          </cell>
          <cell r="CG230">
            <v>1391.1493208027905</v>
          </cell>
          <cell r="CI230" t="str">
            <v>mstag:additionalPaidInCapital</v>
          </cell>
          <cell r="CJ230">
            <v>6</v>
          </cell>
          <cell r="CK230" t="str">
            <v>ISO4217:USD</v>
          </cell>
          <cell r="CL230" t="b">
            <v>0</v>
          </cell>
        </row>
        <row r="231">
          <cell r="A231" t="str">
            <v>Retained Earnings</v>
          </cell>
          <cell r="C231">
            <v>176.12100000000001</v>
          </cell>
          <cell r="D231">
            <v>176.12100000000001</v>
          </cell>
          <cell r="E231" t="str">
            <v>ND</v>
          </cell>
          <cell r="F231" t="str">
            <v>ND</v>
          </cell>
          <cell r="G231">
            <v>-84.123000000000005</v>
          </cell>
          <cell r="H231">
            <v>-65.884</v>
          </cell>
          <cell r="I231">
            <v>-65.884</v>
          </cell>
          <cell r="J231">
            <v>-48.122</v>
          </cell>
          <cell r="K231">
            <v>-29.491</v>
          </cell>
          <cell r="L231">
            <v>-10.613</v>
          </cell>
          <cell r="M231">
            <v>2.2120000000000002</v>
          </cell>
          <cell r="N231">
            <v>2.2120000000000002</v>
          </cell>
          <cell r="O231">
            <v>18.936</v>
          </cell>
          <cell r="P231">
            <v>38.554000000000002</v>
          </cell>
          <cell r="Q231">
            <v>59.478000000000002</v>
          </cell>
          <cell r="R231">
            <v>84.013000000000005</v>
          </cell>
          <cell r="S231">
            <v>84.013000000000005</v>
          </cell>
          <cell r="T231">
            <v>111.53100000000001</v>
          </cell>
          <cell r="U231">
            <v>135.59800000000001</v>
          </cell>
          <cell r="V231">
            <v>145.917</v>
          </cell>
          <cell r="W231">
            <v>176.18299999999999</v>
          </cell>
          <cell r="X231">
            <v>176.18299999999999</v>
          </cell>
          <cell r="Y231">
            <v>223.52799999999999</v>
          </cell>
          <cell r="Z231">
            <v>269.18799999999999</v>
          </cell>
          <cell r="AA231">
            <v>318.97500000000002</v>
          </cell>
          <cell r="AB231">
            <v>363.46100000000001</v>
          </cell>
          <cell r="AC231">
            <v>363.46100000000001</v>
          </cell>
          <cell r="AD231">
            <v>407.42700000000002</v>
          </cell>
          <cell r="AE231">
            <v>444.97300000000001</v>
          </cell>
          <cell r="AF231">
            <v>493.24700000000001</v>
          </cell>
          <cell r="AG231">
            <v>547.69899999999996</v>
          </cell>
          <cell r="AH231">
            <v>547.69899999999996</v>
          </cell>
          <cell r="AI231">
            <v>606.63599999999997</v>
          </cell>
          <cell r="AJ231">
            <v>667.68899999999996</v>
          </cell>
          <cell r="AK231">
            <v>722.99900000000002</v>
          </cell>
          <cell r="AL231">
            <v>770.25599999999997</v>
          </cell>
          <cell r="AM231">
            <v>770.25599999999997</v>
          </cell>
          <cell r="AN231">
            <v>606.63599999999997</v>
          </cell>
          <cell r="AO231">
            <v>667.68899999999996</v>
          </cell>
          <cell r="AP231">
            <v>722.99900000000002</v>
          </cell>
          <cell r="AQ231">
            <v>758.97500000000002</v>
          </cell>
          <cell r="AR231">
            <v>758.97500000000002</v>
          </cell>
          <cell r="AS231">
            <v>850.65499999999997</v>
          </cell>
          <cell r="AT231">
            <v>947.03399999999999</v>
          </cell>
          <cell r="AU231">
            <v>978.35799999999995</v>
          </cell>
          <cell r="AV231">
            <v>1022.6950000000001</v>
          </cell>
          <cell r="AW231">
            <v>1022.6950000000001</v>
          </cell>
          <cell r="AX231">
            <v>1046.098</v>
          </cell>
          <cell r="AY231">
            <v>1081.671</v>
          </cell>
          <cell r="AZ231">
            <v>1121.8579999999999</v>
          </cell>
          <cell r="BA231">
            <v>1158.462</v>
          </cell>
          <cell r="BB231">
            <v>1158.462</v>
          </cell>
          <cell r="BC231">
            <v>1196.7829999999999</v>
          </cell>
          <cell r="BD231">
            <v>1242.1510000000001</v>
          </cell>
          <cell r="BE231">
            <v>1280.4970000000001</v>
          </cell>
          <cell r="BF231">
            <v>1322.2239999999999</v>
          </cell>
          <cell r="BG231">
            <v>1322.2239999999999</v>
          </cell>
          <cell r="BH231">
            <v>1366.6511988247303</v>
          </cell>
          <cell r="BI231">
            <v>1414.2000312616201</v>
          </cell>
          <cell r="BJ231">
            <v>1461.0606789843778</v>
          </cell>
          <cell r="BK231">
            <v>1510.4307862918913</v>
          </cell>
          <cell r="BL231">
            <v>1510.4307862918913</v>
          </cell>
          <cell r="BM231">
            <v>1734.6770722580179</v>
          </cell>
          <cell r="BN231">
            <v>1988.4537878249109</v>
          </cell>
          <cell r="BO231">
            <v>2274.9532336369521</v>
          </cell>
          <cell r="BR231" t="str">
            <v>Retained Earnings</v>
          </cell>
          <cell r="BS231">
            <v>176.12100000000001</v>
          </cell>
          <cell r="BT231">
            <v>-65.884</v>
          </cell>
          <cell r="BU231">
            <v>2.2120000000000002</v>
          </cell>
          <cell r="BV231">
            <v>84.013000000000005</v>
          </cell>
          <cell r="BW231">
            <v>176.18299999999999</v>
          </cell>
          <cell r="BX231">
            <v>363.46100000000001</v>
          </cell>
          <cell r="BY231">
            <v>547.69899999999996</v>
          </cell>
          <cell r="BZ231">
            <v>758.97500000000002</v>
          </cell>
          <cell r="CA231">
            <v>1022.6950000000001</v>
          </cell>
          <cell r="CB231">
            <v>1158.462</v>
          </cell>
          <cell r="CC231">
            <v>1322.2239999999999</v>
          </cell>
          <cell r="CD231">
            <v>1510.4307862918913</v>
          </cell>
          <cell r="CE231">
            <v>1734.6770722580179</v>
          </cell>
          <cell r="CF231">
            <v>1988.4537878249109</v>
          </cell>
          <cell r="CG231">
            <v>2274.9532336369521</v>
          </cell>
          <cell r="CI231" t="str">
            <v>mstag:retainedEarnings</v>
          </cell>
          <cell r="CJ231">
            <v>6</v>
          </cell>
          <cell r="CK231" t="str">
            <v>ISO4217:USD</v>
          </cell>
          <cell r="CL231" t="b">
            <v>0</v>
          </cell>
        </row>
        <row r="232">
          <cell r="A232" t="str">
            <v>Accumulated Other Comprehensive Loss</v>
          </cell>
          <cell r="C232">
            <v>-0.32200000000000001</v>
          </cell>
          <cell r="D232">
            <v>-0.32200000000000001</v>
          </cell>
          <cell r="E232" t="str">
            <v>ND</v>
          </cell>
          <cell r="F232" t="str">
            <v>ND</v>
          </cell>
          <cell r="G232">
            <v>-1.8280000000000001</v>
          </cell>
          <cell r="H232">
            <v>-0.193</v>
          </cell>
          <cell r="I232">
            <v>-0.193</v>
          </cell>
          <cell r="J232">
            <v>-0.66100000000000003</v>
          </cell>
          <cell r="K232">
            <v>2.7349999999999999</v>
          </cell>
          <cell r="L232">
            <v>0.98499999999999999</v>
          </cell>
          <cell r="M232">
            <v>-7.3540000000000001</v>
          </cell>
          <cell r="N232">
            <v>-7.3540000000000001</v>
          </cell>
          <cell r="O232">
            <v>-8.26</v>
          </cell>
          <cell r="P232">
            <v>-8.6029999999999998</v>
          </cell>
          <cell r="Q232">
            <v>-8.4570000000000007</v>
          </cell>
          <cell r="R232">
            <v>-7.59</v>
          </cell>
          <cell r="S232">
            <v>-7.59</v>
          </cell>
          <cell r="T232">
            <v>-6.3479999999999999</v>
          </cell>
          <cell r="U232">
            <v>-3.9870000000000001</v>
          </cell>
          <cell r="V232">
            <v>-4.3739999999999997</v>
          </cell>
          <cell r="W232">
            <v>-1.966</v>
          </cell>
          <cell r="X232">
            <v>-1.966</v>
          </cell>
          <cell r="Y232">
            <v>0.28899999999999998</v>
          </cell>
          <cell r="Z232">
            <v>8.8999999999999996E-2</v>
          </cell>
          <cell r="AA232">
            <v>-4.3550000000000004</v>
          </cell>
          <cell r="AB232">
            <v>-5.0940000000000003</v>
          </cell>
          <cell r="AC232">
            <v>-5.0940000000000003</v>
          </cell>
          <cell r="AD232">
            <v>-2.9540000000000002</v>
          </cell>
          <cell r="AE232">
            <v>-4.1760000000000002</v>
          </cell>
          <cell r="AF232">
            <v>-2.3570000000000002</v>
          </cell>
          <cell r="AG232">
            <v>-2.7959999999999998</v>
          </cell>
          <cell r="AH232">
            <v>-2.7959999999999998</v>
          </cell>
          <cell r="AI232">
            <v>-5.7229999999999999</v>
          </cell>
          <cell r="AJ232">
            <v>-6.7750000000000004</v>
          </cell>
          <cell r="AK232">
            <v>-2.7010000000000001</v>
          </cell>
          <cell r="AL232">
            <v>-0.65</v>
          </cell>
          <cell r="AM232">
            <v>-0.65</v>
          </cell>
          <cell r="AN232">
            <v>-5.7229999999999999</v>
          </cell>
          <cell r="AO232">
            <v>-6.7750000000000004</v>
          </cell>
          <cell r="AP232">
            <v>-2.7010000000000001</v>
          </cell>
          <cell r="AQ232">
            <v>-0.65</v>
          </cell>
          <cell r="AR232">
            <v>-0.65</v>
          </cell>
          <cell r="AS232">
            <v>-2.1000000000000001E-2</v>
          </cell>
          <cell r="AT232">
            <v>-1.5429999999999999</v>
          </cell>
          <cell r="AU232">
            <v>-12.276</v>
          </cell>
          <cell r="AV232">
            <v>-24.971</v>
          </cell>
          <cell r="AW232">
            <v>-24.971</v>
          </cell>
          <cell r="AX232">
            <v>-31.57</v>
          </cell>
          <cell r="AY232">
            <v>-24.86</v>
          </cell>
          <cell r="AZ232">
            <v>-31.315000000000001</v>
          </cell>
          <cell r="BA232">
            <v>-35.744999999999997</v>
          </cell>
          <cell r="BB232">
            <v>-35.744999999999997</v>
          </cell>
          <cell r="BC232">
            <v>-35.738</v>
          </cell>
          <cell r="BD232">
            <v>-48.156999999999996</v>
          </cell>
          <cell r="BE232">
            <v>-50.902000000000001</v>
          </cell>
          <cell r="BF232">
            <v>-60.734999999999999</v>
          </cell>
          <cell r="BG232">
            <v>-60.734999999999999</v>
          </cell>
          <cell r="BH232">
            <v>-60.734999999999999</v>
          </cell>
          <cell r="BI232">
            <v>-60.734999999999999</v>
          </cell>
          <cell r="BJ232">
            <v>-60.734999999999999</v>
          </cell>
          <cell r="BK232">
            <v>-60.734999999999999</v>
          </cell>
          <cell r="BL232">
            <v>-60.734999999999999</v>
          </cell>
          <cell r="BM232">
            <v>-60.734999999999999</v>
          </cell>
          <cell r="BN232">
            <v>-60.734999999999999</v>
          </cell>
          <cell r="BO232">
            <v>-60.734999999999999</v>
          </cell>
          <cell r="BR232" t="str">
            <v>Accumulated Other Comprehensive Loss</v>
          </cell>
          <cell r="BS232">
            <v>-0.32200000000000001</v>
          </cell>
          <cell r="BT232">
            <v>-0.193</v>
          </cell>
          <cell r="BU232">
            <v>-7.3540000000000001</v>
          </cell>
          <cell r="BV232">
            <v>-7.59</v>
          </cell>
          <cell r="BW232">
            <v>-1.966</v>
          </cell>
          <cell r="BX232">
            <v>-5.0940000000000003</v>
          </cell>
          <cell r="BY232">
            <v>-2.7959999999999998</v>
          </cell>
          <cell r="BZ232">
            <v>-0.65</v>
          </cell>
          <cell r="CA232">
            <v>-24.971</v>
          </cell>
          <cell r="CB232">
            <v>-35.744999999999997</v>
          </cell>
          <cell r="CC232">
            <v>-60.734999999999999</v>
          </cell>
          <cell r="CD232">
            <v>-60.734999999999999</v>
          </cell>
          <cell r="CE232">
            <v>-60.734999999999999</v>
          </cell>
          <cell r="CF232">
            <v>-60.734999999999999</v>
          </cell>
          <cell r="CG232">
            <v>-60.734999999999999</v>
          </cell>
          <cell r="CI232" t="str">
            <v>mstag:accumulatedOtherComprehensiveIncomeLossAndReserves</v>
          </cell>
          <cell r="CJ232">
            <v>6</v>
          </cell>
          <cell r="CK232" t="str">
            <v>ISO4217:USD</v>
          </cell>
          <cell r="CL232" t="b">
            <v>0</v>
          </cell>
        </row>
        <row r="234">
          <cell r="A234" t="str">
            <v xml:space="preserve">Total Stockholders’ Equity </v>
          </cell>
          <cell r="C234">
            <v>825.71199999999999</v>
          </cell>
          <cell r="D234">
            <v>825.71199999999999</v>
          </cell>
          <cell r="E234" t="str">
            <v>ND</v>
          </cell>
          <cell r="F234" t="str">
            <v>ND</v>
          </cell>
          <cell r="G234">
            <v>-85.922000000000011</v>
          </cell>
          <cell r="H234">
            <v>200.02099999999999</v>
          </cell>
          <cell r="I234">
            <v>200.02099999999999</v>
          </cell>
          <cell r="J234">
            <v>222.16899999999998</v>
          </cell>
          <cell r="K234">
            <v>250.86100000000005</v>
          </cell>
          <cell r="L234">
            <v>273.35700000000003</v>
          </cell>
          <cell r="M234">
            <v>286.38200000000001</v>
          </cell>
          <cell r="N234">
            <v>286.38200000000001</v>
          </cell>
          <cell r="O234">
            <v>313.17799999999994</v>
          </cell>
          <cell r="P234">
            <v>340.43699999999995</v>
          </cell>
          <cell r="Q234">
            <v>369.08000000000004</v>
          </cell>
          <cell r="R234">
            <v>507.0560000000001</v>
          </cell>
          <cell r="S234">
            <v>507.0560000000001</v>
          </cell>
          <cell r="T234">
            <v>545.66100000000006</v>
          </cell>
          <cell r="U234">
            <v>576.43400000000008</v>
          </cell>
          <cell r="V234">
            <v>1034.2</v>
          </cell>
          <cell r="W234">
            <v>1080.1170000000002</v>
          </cell>
          <cell r="X234">
            <v>1080.1170000000002</v>
          </cell>
          <cell r="Y234">
            <v>1150.0229999999999</v>
          </cell>
          <cell r="Z234">
            <v>1209.0450000000001</v>
          </cell>
          <cell r="AA234">
            <v>1261.9480000000001</v>
          </cell>
          <cell r="AB234">
            <v>1305.4319999999998</v>
          </cell>
          <cell r="AC234">
            <v>1305.4319999999998</v>
          </cell>
          <cell r="AD234">
            <v>1364.604</v>
          </cell>
          <cell r="AE234">
            <v>1409.6560000000002</v>
          </cell>
          <cell r="AF234">
            <v>1468.0630000000001</v>
          </cell>
          <cell r="AG234">
            <v>1425.231</v>
          </cell>
          <cell r="AH234">
            <v>1425.231</v>
          </cell>
          <cell r="AI234">
            <v>1488.7380000000001</v>
          </cell>
          <cell r="AJ234">
            <v>1555.828</v>
          </cell>
          <cell r="AK234">
            <v>1522.1469999999999</v>
          </cell>
          <cell r="AL234">
            <v>1576.364</v>
          </cell>
          <cell r="AM234">
            <v>1576.364</v>
          </cell>
          <cell r="AN234">
            <v>1488.7380000000001</v>
          </cell>
          <cell r="AO234">
            <v>1555.828</v>
          </cell>
          <cell r="AP234">
            <v>1522.1469999999999</v>
          </cell>
          <cell r="AQ234">
            <v>1564.3469999999998</v>
          </cell>
          <cell r="AR234">
            <v>1564.3469999999998</v>
          </cell>
          <cell r="AS234">
            <v>1563.731</v>
          </cell>
          <cell r="AT234">
            <v>1666.6780000000001</v>
          </cell>
          <cell r="AU234">
            <v>1396.5339999999999</v>
          </cell>
          <cell r="AV234">
            <v>1432.8330000000001</v>
          </cell>
          <cell r="AW234">
            <v>1432.8330000000001</v>
          </cell>
          <cell r="AX234">
            <v>1455.7</v>
          </cell>
          <cell r="AY234">
            <v>1433.7140000000002</v>
          </cell>
          <cell r="AZ234">
            <v>1119.1049999999998</v>
          </cell>
          <cell r="BA234">
            <v>901.48699999999997</v>
          </cell>
          <cell r="BB234">
            <v>901.48699999999997</v>
          </cell>
          <cell r="BC234">
            <v>615.65599999999995</v>
          </cell>
          <cell r="BD234">
            <v>535.15299999999991</v>
          </cell>
          <cell r="BE234">
            <v>551.51900000000001</v>
          </cell>
          <cell r="BF234">
            <v>317.6049999999999</v>
          </cell>
          <cell r="BG234">
            <v>317.6049999999999</v>
          </cell>
          <cell r="BH234">
            <v>321.21781413583278</v>
          </cell>
          <cell r="BI234">
            <v>278.14605119735813</v>
          </cell>
          <cell r="BJ234">
            <v>234.36986183763622</v>
          </cell>
          <cell r="BK234">
            <v>193.24456097692666</v>
          </cell>
          <cell r="BL234">
            <v>193.24456097692666</v>
          </cell>
          <cell r="BM234">
            <v>157.36861208127232</v>
          </cell>
          <cell r="BN234">
            <v>153.77398920836833</v>
          </cell>
          <cell r="BO234">
            <v>185.91855443974248</v>
          </cell>
          <cell r="BR234" t="str">
            <v xml:space="preserve">Total Stockholders’ Equity </v>
          </cell>
          <cell r="BS234">
            <v>825.71199999999999</v>
          </cell>
          <cell r="BT234">
            <v>200.02099999999999</v>
          </cell>
          <cell r="BU234">
            <v>286.38200000000001</v>
          </cell>
          <cell r="BV234">
            <v>507.0560000000001</v>
          </cell>
          <cell r="BW234">
            <v>1080.1170000000002</v>
          </cell>
          <cell r="BX234">
            <v>1305.4319999999998</v>
          </cell>
          <cell r="BY234">
            <v>1425.231</v>
          </cell>
          <cell r="BZ234">
            <v>1564.3469999999998</v>
          </cell>
          <cell r="CA234">
            <v>1432.8330000000001</v>
          </cell>
          <cell r="CB234">
            <v>901.48699999999997</v>
          </cell>
          <cell r="CC234">
            <v>317.6049999999999</v>
          </cell>
          <cell r="CD234">
            <v>193.24456097692666</v>
          </cell>
          <cell r="CE234">
            <v>157.36861208127232</v>
          </cell>
          <cell r="CF234">
            <v>153.77398920836833</v>
          </cell>
          <cell r="CG234">
            <v>185.91855443974248</v>
          </cell>
        </row>
        <row r="237">
          <cell r="A237" t="str">
            <v>Total Liabilities &amp; Stockholders' Equity</v>
          </cell>
          <cell r="C237">
            <v>1112.7750000000001</v>
          </cell>
          <cell r="D237">
            <v>1112.7750000000001</v>
          </cell>
          <cell r="E237" t="str">
            <v>ND</v>
          </cell>
          <cell r="F237" t="str">
            <v>ND</v>
          </cell>
          <cell r="G237">
            <v>794.84199999999998</v>
          </cell>
          <cell r="H237">
            <v>904.67899999999986</v>
          </cell>
          <cell r="I237">
            <v>904.67899999999986</v>
          </cell>
          <cell r="J237">
            <v>962.26599999999996</v>
          </cell>
          <cell r="K237">
            <v>1002.777</v>
          </cell>
          <cell r="L237">
            <v>993.45900000000006</v>
          </cell>
          <cell r="M237">
            <v>1015.048</v>
          </cell>
          <cell r="N237">
            <v>1015.048</v>
          </cell>
          <cell r="O237">
            <v>1030.058</v>
          </cell>
          <cell r="P237">
            <v>1063.8609999999999</v>
          </cell>
          <cell r="Q237">
            <v>1082.5650000000001</v>
          </cell>
          <cell r="R237">
            <v>1200.269</v>
          </cell>
          <cell r="S237">
            <v>1200.269</v>
          </cell>
          <cell r="T237">
            <v>1195.874</v>
          </cell>
          <cell r="U237">
            <v>947.93100000000004</v>
          </cell>
          <cell r="V237">
            <v>2948.4549999999999</v>
          </cell>
          <cell r="W237">
            <v>3023.1660000000002</v>
          </cell>
          <cell r="X237">
            <v>3023.1660000000002</v>
          </cell>
          <cell r="Y237">
            <v>2910.4839999999999</v>
          </cell>
          <cell r="Z237">
            <v>3009.5870000000004</v>
          </cell>
          <cell r="AA237">
            <v>3064.2139999999999</v>
          </cell>
          <cell r="AB237">
            <v>3092.9959999999996</v>
          </cell>
          <cell r="AC237">
            <v>3092.9959999999996</v>
          </cell>
          <cell r="AD237">
            <v>3113.0470000000005</v>
          </cell>
          <cell r="AE237">
            <v>2994.8900000000003</v>
          </cell>
          <cell r="AF237">
            <v>3053.1909999999998</v>
          </cell>
          <cell r="AG237">
            <v>3019.6390000000001</v>
          </cell>
          <cell r="AH237">
            <v>3019.6390000000001</v>
          </cell>
          <cell r="AI237">
            <v>3031.8599999999997</v>
          </cell>
          <cell r="AJ237">
            <v>3105.098</v>
          </cell>
          <cell r="AK237">
            <v>3081.5889999999999</v>
          </cell>
          <cell r="AL237">
            <v>3134.5370000000003</v>
          </cell>
          <cell r="AM237">
            <v>3134.5370000000003</v>
          </cell>
          <cell r="AN237">
            <v>3031.8599999999997</v>
          </cell>
          <cell r="AO237">
            <v>3105.098</v>
          </cell>
          <cell r="AP237">
            <v>3081.5889999999999</v>
          </cell>
          <cell r="AQ237">
            <v>3136.1149999999998</v>
          </cell>
          <cell r="AR237">
            <v>3136.1149999999998</v>
          </cell>
          <cell r="AS237">
            <v>3093.8180000000002</v>
          </cell>
          <cell r="AT237">
            <v>3133.2350000000001</v>
          </cell>
          <cell r="AU237">
            <v>2880.2789999999995</v>
          </cell>
          <cell r="AV237">
            <v>2894.1750000000002</v>
          </cell>
          <cell r="AW237">
            <v>2894.1750000000002</v>
          </cell>
          <cell r="AX237">
            <v>2896.527</v>
          </cell>
          <cell r="AY237">
            <v>2875.6279999999997</v>
          </cell>
          <cell r="AZ237">
            <v>3366.7910000000002</v>
          </cell>
          <cell r="BA237">
            <v>3146.9870000000001</v>
          </cell>
          <cell r="BB237">
            <v>3146.9870000000001</v>
          </cell>
          <cell r="BC237">
            <v>2831.6369999999997</v>
          </cell>
          <cell r="BD237">
            <v>2790.9859999999999</v>
          </cell>
          <cell r="BE237">
            <v>3307.0839999999998</v>
          </cell>
          <cell r="BF237">
            <v>3082.578</v>
          </cell>
          <cell r="BG237">
            <v>3082.578</v>
          </cell>
          <cell r="BH237">
            <v>3045.0154446332681</v>
          </cell>
          <cell r="BI237">
            <v>3036.192390543662</v>
          </cell>
          <cell r="BJ237">
            <v>3002.9477362202674</v>
          </cell>
          <cell r="BK237">
            <v>2983.5204602556346</v>
          </cell>
          <cell r="BL237">
            <v>2983.5204602556346</v>
          </cell>
          <cell r="BM237">
            <v>2976.8886842150459</v>
          </cell>
          <cell r="BN237">
            <v>3003.9551489699538</v>
          </cell>
          <cell r="BO237">
            <v>3068.9392608710014</v>
          </cell>
          <cell r="BR237" t="str">
            <v>Total Liabilities &amp; Stockholders' Equity</v>
          </cell>
          <cell r="BS237">
            <v>1112.7750000000001</v>
          </cell>
          <cell r="BT237">
            <v>904.67899999999986</v>
          </cell>
          <cell r="BU237">
            <v>1015.048</v>
          </cell>
          <cell r="BV237">
            <v>1200.269</v>
          </cell>
          <cell r="BW237">
            <v>3023.1660000000002</v>
          </cell>
          <cell r="BX237">
            <v>3092.9959999999996</v>
          </cell>
          <cell r="BY237">
            <v>3019.6390000000001</v>
          </cell>
          <cell r="BZ237">
            <v>3136.1149999999998</v>
          </cell>
          <cell r="CA237">
            <v>2894.1750000000002</v>
          </cell>
          <cell r="CB237">
            <v>3146.9870000000001</v>
          </cell>
          <cell r="CC237">
            <v>3082.578</v>
          </cell>
          <cell r="CD237">
            <v>2983.5204602556346</v>
          </cell>
          <cell r="CE237">
            <v>2976.8886842150459</v>
          </cell>
          <cell r="CF237">
            <v>3003.9551489699538</v>
          </cell>
          <cell r="CG237">
            <v>3068.9392608710014</v>
          </cell>
        </row>
        <row r="239">
          <cell r="A239" t="str">
            <v>Out-of-Balance</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3.0000000000000001E-3</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1.2E-2</v>
          </cell>
          <cell r="AT239">
            <v>8.7999999999999995E-2</v>
          </cell>
          <cell r="AU239">
            <v>-1.6E-2</v>
          </cell>
          <cell r="AV239">
            <v>3.2000000000000001E-2</v>
          </cell>
          <cell r="AW239">
            <v>3.2000000000000001E-2</v>
          </cell>
          <cell r="AX239">
            <v>4.2999999999999997E-2</v>
          </cell>
          <cell r="AY239">
            <v>2.3E-2</v>
          </cell>
          <cell r="AZ239">
            <v>-2.5999999999999999E-2</v>
          </cell>
          <cell r="BA239">
            <v>2.9000000000000001E-2</v>
          </cell>
          <cell r="BB239">
            <v>2.9000000000000001E-2</v>
          </cell>
          <cell r="BC239">
            <v>2.5999999999999999E-2</v>
          </cell>
          <cell r="BD239">
            <v>-3.7999999999999999E-2</v>
          </cell>
          <cell r="BE239">
            <v>2.1999999999999999E-2</v>
          </cell>
          <cell r="BF239">
            <v>-9.5690000000000008</v>
          </cell>
          <cell r="BG239">
            <v>-9.5690000000000008</v>
          </cell>
          <cell r="BH239">
            <v>-9.5690000000000008</v>
          </cell>
          <cell r="BI239">
            <v>-9.5690000000000008</v>
          </cell>
          <cell r="BJ239">
            <v>-9.5690000000000008</v>
          </cell>
          <cell r="BK239">
            <v>-9.5690000000000008</v>
          </cell>
          <cell r="BL239">
            <v>-9.5690000000000008</v>
          </cell>
          <cell r="BM239">
            <v>-9.5690000000000008</v>
          </cell>
          <cell r="BN239">
            <v>-9.5690000000000008</v>
          </cell>
          <cell r="BO239">
            <v>-9.5690000000000008</v>
          </cell>
        </row>
        <row r="240">
          <cell r="A240" t="str">
            <v>Fiscal Year Ending Dec 31</v>
          </cell>
          <cell r="C240" t="str">
            <v>4Q06</v>
          </cell>
          <cell r="D240">
            <v>2006</v>
          </cell>
          <cell r="E240" t="str">
            <v>1Q07</v>
          </cell>
          <cell r="F240" t="str">
            <v>2Q07</v>
          </cell>
          <cell r="G240" t="str">
            <v>3Q07</v>
          </cell>
          <cell r="H240" t="str">
            <v>4Q07</v>
          </cell>
          <cell r="I240">
            <v>2007</v>
          </cell>
          <cell r="J240" t="str">
            <v>1Q08</v>
          </cell>
          <cell r="K240" t="str">
            <v>2Q08</v>
          </cell>
          <cell r="L240" t="str">
            <v>3Q08</v>
          </cell>
          <cell r="M240" t="str">
            <v>4Q08</v>
          </cell>
          <cell r="N240">
            <v>2008</v>
          </cell>
          <cell r="O240" t="str">
            <v>1Q09</v>
          </cell>
          <cell r="P240" t="str">
            <v>2Q09</v>
          </cell>
          <cell r="Q240" t="str">
            <v>3Q09</v>
          </cell>
          <cell r="R240" t="str">
            <v>4Q09</v>
          </cell>
          <cell r="S240">
            <v>2009</v>
          </cell>
          <cell r="T240" t="str">
            <v>1Q10</v>
          </cell>
          <cell r="U240" t="str">
            <v>2Q10</v>
          </cell>
          <cell r="V240" t="str">
            <v>3Q10</v>
          </cell>
          <cell r="W240" t="str">
            <v>4Q10</v>
          </cell>
          <cell r="X240">
            <v>2010</v>
          </cell>
          <cell r="Y240" t="str">
            <v>1Q11</v>
          </cell>
          <cell r="Z240" t="str">
            <v>2Q11</v>
          </cell>
          <cell r="AA240" t="str">
            <v>3Q11</v>
          </cell>
          <cell r="AB240" t="str">
            <v>4Q11</v>
          </cell>
          <cell r="AC240">
            <v>2011</v>
          </cell>
          <cell r="AD240" t="str">
            <v>1Q12</v>
          </cell>
          <cell r="AE240" t="str">
            <v>2Q12</v>
          </cell>
          <cell r="AF240" t="str">
            <v>3Q12</v>
          </cell>
          <cell r="AG240" t="str">
            <v>4Q12</v>
          </cell>
          <cell r="AH240">
            <v>2012</v>
          </cell>
          <cell r="AI240" t="str">
            <v>1Q13</v>
          </cell>
          <cell r="AJ240" t="str">
            <v>2Q13</v>
          </cell>
          <cell r="AK240" t="str">
            <v>3Q13</v>
          </cell>
          <cell r="AL240" t="str">
            <v>4Q13</v>
          </cell>
          <cell r="AM240">
            <v>2013</v>
          </cell>
          <cell r="AN240" t="str">
            <v>1Q13R</v>
          </cell>
          <cell r="AO240" t="str">
            <v>2Q13R</v>
          </cell>
          <cell r="AP240" t="str">
            <v>3Q13R</v>
          </cell>
          <cell r="AQ240" t="str">
            <v>4Q13R</v>
          </cell>
          <cell r="AR240" t="str">
            <v>2013R</v>
          </cell>
          <cell r="AS240" t="str">
            <v>1Q14</v>
          </cell>
          <cell r="AT240" t="str">
            <v>2Q14</v>
          </cell>
          <cell r="AU240" t="str">
            <v>3Q14</v>
          </cell>
          <cell r="AV240" t="str">
            <v>4Q14</v>
          </cell>
          <cell r="AW240">
            <v>2014</v>
          </cell>
          <cell r="AX240" t="str">
            <v>1Q15</v>
          </cell>
          <cell r="AY240" t="str">
            <v>2Q15</v>
          </cell>
          <cell r="AZ240" t="str">
            <v>3Q15</v>
          </cell>
          <cell r="BA240" t="str">
            <v>4Q15</v>
          </cell>
          <cell r="BB240">
            <v>2015</v>
          </cell>
          <cell r="BC240" t="str">
            <v>1Q16</v>
          </cell>
          <cell r="BD240" t="str">
            <v>2Q16</v>
          </cell>
          <cell r="BE240" t="str">
            <v>3Q16</v>
          </cell>
          <cell r="BF240" t="str">
            <v>4Q16</v>
          </cell>
          <cell r="BG240">
            <v>2016</v>
          </cell>
          <cell r="BH240" t="str">
            <v>1Q17E</v>
          </cell>
          <cell r="BI240" t="str">
            <v>2Q17E</v>
          </cell>
          <cell r="BJ240" t="str">
            <v>3Q17E</v>
          </cell>
          <cell r="BK240" t="str">
            <v>4Q17E</v>
          </cell>
          <cell r="BL240" t="str">
            <v>2017E</v>
          </cell>
          <cell r="BM240" t="str">
            <v>2018E</v>
          </cell>
          <cell r="BN240" t="str">
            <v>2019E</v>
          </cell>
          <cell r="BO240" t="str">
            <v>2020E</v>
          </cell>
          <cell r="BR240" t="str">
            <v>Revenue by segment</v>
          </cell>
          <cell r="BS240">
            <v>2006</v>
          </cell>
          <cell r="BT240">
            <v>2007</v>
          </cell>
          <cell r="BU240">
            <v>2008</v>
          </cell>
          <cell r="BV240">
            <v>2009</v>
          </cell>
          <cell r="BW240">
            <v>2010</v>
          </cell>
          <cell r="BX240">
            <v>2011</v>
          </cell>
          <cell r="BY240">
            <v>2012</v>
          </cell>
          <cell r="BZ240" t="str">
            <v>2013R</v>
          </cell>
          <cell r="CA240">
            <v>2014</v>
          </cell>
          <cell r="CB240">
            <v>2015</v>
          </cell>
          <cell r="CC240">
            <v>2016</v>
          </cell>
          <cell r="CD240" t="str">
            <v>2017E</v>
          </cell>
          <cell r="CE240" t="str">
            <v>2018E</v>
          </cell>
          <cell r="CF240" t="str">
            <v>2019E</v>
          </cell>
          <cell r="CG240" t="str">
            <v>2020E</v>
          </cell>
        </row>
        <row r="241">
          <cell r="A241" t="str">
            <v xml:space="preserve">    Equity index subscriptions</v>
          </cell>
        </row>
        <row r="242">
          <cell r="A242" t="str">
            <v>Revenue</v>
          </cell>
          <cell r="D242">
            <v>117.752</v>
          </cell>
          <cell r="E242">
            <v>33.154000000000003</v>
          </cell>
          <cell r="F242">
            <v>33.189</v>
          </cell>
          <cell r="G242">
            <v>33.405000000000001</v>
          </cell>
          <cell r="H242">
            <v>37.341000000000001</v>
          </cell>
          <cell r="I242">
            <v>137.089</v>
          </cell>
          <cell r="J242">
            <v>38.808999999999997</v>
          </cell>
          <cell r="K242">
            <v>41.804000000000002</v>
          </cell>
          <cell r="L242">
            <v>43.665999999999997</v>
          </cell>
          <cell r="M242">
            <v>45.537999999999997</v>
          </cell>
          <cell r="N242">
            <v>169.81700000000001</v>
          </cell>
          <cell r="O242">
            <v>45.267000000000003</v>
          </cell>
          <cell r="P242">
            <v>47.281999999999996</v>
          </cell>
          <cell r="Q242">
            <v>47.417999999999999</v>
          </cell>
          <cell r="R242">
            <v>48.384999999999998</v>
          </cell>
          <cell r="S242">
            <v>188.352</v>
          </cell>
          <cell r="T242">
            <v>50.174999999999997</v>
          </cell>
          <cell r="U242">
            <v>54.222000000000001</v>
          </cell>
          <cell r="V242">
            <v>58.984000000000002</v>
          </cell>
          <cell r="W242">
            <v>61.143000000000001</v>
          </cell>
          <cell r="X242">
            <v>224.524</v>
          </cell>
          <cell r="Y242">
            <v>62.158999999999999</v>
          </cell>
          <cell r="Z242">
            <v>66.275000000000006</v>
          </cell>
          <cell r="AA242">
            <v>66.278999999999996</v>
          </cell>
          <cell r="AB242">
            <v>69.677000000000007</v>
          </cell>
          <cell r="AC242">
            <v>264.39</v>
          </cell>
          <cell r="AD242">
            <v>71.638999999999996</v>
          </cell>
          <cell r="AE242">
            <v>75.828999999999994</v>
          </cell>
          <cell r="AF242">
            <v>73.894000000000005</v>
          </cell>
          <cell r="AG242">
            <v>79.268000000000001</v>
          </cell>
          <cell r="AH242">
            <v>300.63</v>
          </cell>
          <cell r="AI242">
            <v>84.888000000000005</v>
          </cell>
          <cell r="AJ242">
            <v>95.2</v>
          </cell>
          <cell r="AK242">
            <v>92.814999999999998</v>
          </cell>
          <cell r="AL242">
            <v>93.771000000000001</v>
          </cell>
          <cell r="AM242">
            <v>366.67400000000004</v>
          </cell>
          <cell r="AN242">
            <v>70.3</v>
          </cell>
          <cell r="AO242">
            <v>71.3</v>
          </cell>
          <cell r="AP242">
            <v>74.599999999999994</v>
          </cell>
          <cell r="AQ242">
            <v>76</v>
          </cell>
          <cell r="AR242">
            <v>292.2</v>
          </cell>
          <cell r="AS242">
            <v>76.900000000000006</v>
          </cell>
          <cell r="AT242">
            <v>79.400000000000006</v>
          </cell>
          <cell r="AU242">
            <v>81.3</v>
          </cell>
          <cell r="AV242">
            <v>82.5</v>
          </cell>
          <cell r="AW242">
            <v>320.10000000000002</v>
          </cell>
          <cell r="AX242">
            <v>85.1</v>
          </cell>
          <cell r="AY242">
            <v>87.5</v>
          </cell>
          <cell r="AZ242">
            <v>89.1</v>
          </cell>
          <cell r="BA242">
            <v>91.406999999999996</v>
          </cell>
          <cell r="BB242">
            <v>353.10699999999997</v>
          </cell>
          <cell r="BC242">
            <v>93.644999999999996</v>
          </cell>
          <cell r="BD242">
            <v>97.138999999999996</v>
          </cell>
          <cell r="BE242">
            <v>98.625</v>
          </cell>
          <cell r="BF242">
            <v>99.938999999999993</v>
          </cell>
          <cell r="BG242">
            <v>389.34799999999996</v>
          </cell>
          <cell r="BH242">
            <v>102.62532507421874</v>
          </cell>
          <cell r="BI242">
            <v>106.48097748046874</v>
          </cell>
          <cell r="BJ242">
            <v>108.41921704296875</v>
          </cell>
          <cell r="BK242">
            <v>110.19312846484377</v>
          </cell>
          <cell r="BL242">
            <v>427.71864806249999</v>
          </cell>
          <cell r="BM242">
            <v>472.92227852259191</v>
          </cell>
          <cell r="BN242">
            <v>524.75424270603344</v>
          </cell>
          <cell r="BO242">
            <v>583.7661248323775</v>
          </cell>
          <cell r="BR242" t="str">
            <v xml:space="preserve">    Equity index subscriptions</v>
          </cell>
          <cell r="BS242">
            <v>117.752</v>
          </cell>
          <cell r="BT242">
            <v>137.089</v>
          </cell>
          <cell r="BU242">
            <v>169.81700000000001</v>
          </cell>
          <cell r="BV242">
            <v>188.352</v>
          </cell>
          <cell r="BW242">
            <v>224.524</v>
          </cell>
          <cell r="BX242">
            <v>264.39</v>
          </cell>
          <cell r="BY242">
            <v>300.63</v>
          </cell>
          <cell r="BZ242">
            <v>292.2</v>
          </cell>
          <cell r="CA242">
            <v>320.10000000000002</v>
          </cell>
          <cell r="CB242">
            <v>353.10699999999997</v>
          </cell>
          <cell r="CC242">
            <v>389.34799999999996</v>
          </cell>
          <cell r="CD242">
            <v>427.71864806249999</v>
          </cell>
          <cell r="CE242">
            <v>472.92227852259191</v>
          </cell>
          <cell r="CF242">
            <v>524.75424270603344</v>
          </cell>
          <cell r="CG242">
            <v>583.7661248323775</v>
          </cell>
        </row>
        <row r="243">
          <cell r="A243" t="str">
            <v>YoY Change</v>
          </cell>
          <cell r="I243">
            <v>0.16421801752836473</v>
          </cell>
          <cell r="J243">
            <v>0.17056765397840357</v>
          </cell>
          <cell r="K243">
            <v>0.25957395522612914</v>
          </cell>
          <cell r="L243">
            <v>0.30716958539140826</v>
          </cell>
          <cell r="M243">
            <v>0.21951742052971257</v>
          </cell>
          <cell r="N243">
            <v>0.23873542005558446</v>
          </cell>
          <cell r="O243">
            <v>0.16640469994073559</v>
          </cell>
          <cell r="P243">
            <v>0.13104009185723831</v>
          </cell>
          <cell r="Q243">
            <v>8.5924975953831417E-2</v>
          </cell>
          <cell r="R243">
            <v>6.2519214721770799E-2</v>
          </cell>
          <cell r="S243">
            <v>0.10914690519794834</v>
          </cell>
          <cell r="T243">
            <v>0.1084233547617468</v>
          </cell>
          <cell r="U243">
            <v>0.14677890106171487</v>
          </cell>
          <cell r="AA243">
            <v>0.12367760748677603</v>
          </cell>
          <cell r="AB243">
            <v>0.13957444024663501</v>
          </cell>
          <cell r="AD243">
            <v>0.15251210605061205</v>
          </cell>
          <cell r="AE243">
            <v>0.14415692191625773</v>
          </cell>
          <cell r="AF243">
            <v>0.11489310339624925</v>
          </cell>
          <cell r="AG243">
            <v>0.13764943955681197</v>
          </cell>
          <cell r="AH243">
            <v>0.13707023714966526</v>
          </cell>
          <cell r="AI243">
            <v>0.18494116333282173</v>
          </cell>
          <cell r="AJ243">
            <v>0.25545635574780112</v>
          </cell>
          <cell r="AK243">
            <v>0.25605597206809749</v>
          </cell>
          <cell r="AL243">
            <v>0.1829615986274411</v>
          </cell>
          <cell r="AM243">
            <v>0.21968532747896097</v>
          </cell>
          <cell r="AN243">
            <v>-0.17184996701536148</v>
          </cell>
          <cell r="AO243">
            <v>-0.25105042016806733</v>
          </cell>
          <cell r="AP243">
            <v>-0.19625060604428168</v>
          </cell>
          <cell r="AQ243">
            <v>-0.18951488199976541</v>
          </cell>
          <cell r="AR243">
            <v>-0.20310684695397008</v>
          </cell>
          <cell r="AS243">
            <v>-9.4100461784940137E-2</v>
          </cell>
          <cell r="AT243">
            <v>-0.16596638655462181</v>
          </cell>
          <cell r="AU243">
            <v>-0.12406399827614067</v>
          </cell>
          <cell r="AV243">
            <v>-0.1201970758550085</v>
          </cell>
          <cell r="AW243">
            <v>-0.12701745965080702</v>
          </cell>
          <cell r="AX243">
            <v>0.10663198959687881</v>
          </cell>
          <cell r="AY243">
            <v>0.10201511335012592</v>
          </cell>
          <cell r="AZ243">
            <v>9.5940959409594129E-2</v>
          </cell>
          <cell r="BA243">
            <v>0.10796363636363626</v>
          </cell>
          <cell r="BB243">
            <v>0.10311465167135259</v>
          </cell>
          <cell r="BC243">
            <v>0.10041128084606354</v>
          </cell>
          <cell r="BD243">
            <v>0.11016000000000004</v>
          </cell>
          <cell r="BE243">
            <v>0.10690235690235705</v>
          </cell>
          <cell r="BF243">
            <v>9.3340772588532461E-2</v>
          </cell>
          <cell r="BG243">
            <v>0.10263461217138148</v>
          </cell>
          <cell r="BH243">
            <v>9.5897539369093288E-2</v>
          </cell>
          <cell r="BI243">
            <v>9.6171233803814538E-2</v>
          </cell>
          <cell r="BJ243">
            <v>9.9307650625792165E-2</v>
          </cell>
          <cell r="BK243">
            <v>0.1026038730109744</v>
          </cell>
          <cell r="BL243">
            <v>9.8551034196914022E-2</v>
          </cell>
          <cell r="BM243">
            <v>0.1056854328537169</v>
          </cell>
          <cell r="BN243">
            <v>0.10959932855217658</v>
          </cell>
          <cell r="BO243">
            <v>0.11245622678919909</v>
          </cell>
          <cell r="BR243" t="str">
            <v>YoY Change</v>
          </cell>
          <cell r="BT243">
            <v>0.16421801752836473</v>
          </cell>
          <cell r="BU243">
            <v>0.23873542005558446</v>
          </cell>
          <cell r="BV243">
            <v>0.10914690519794834</v>
          </cell>
          <cell r="BW243">
            <v>0.19204468229697591</v>
          </cell>
          <cell r="BX243">
            <v>0.17755785573034499</v>
          </cell>
          <cell r="BY243">
            <v>0.13707023714966526</v>
          </cell>
          <cell r="BZ243">
            <v>-2.8041113661311234E-2</v>
          </cell>
          <cell r="CA243">
            <v>9.5482546201232088E-2</v>
          </cell>
          <cell r="CB243">
            <v>0.10311465167135259</v>
          </cell>
          <cell r="CC243">
            <v>0.10263461217138148</v>
          </cell>
          <cell r="CD243">
            <v>9.8551034196914022E-2</v>
          </cell>
          <cell r="CE243">
            <v>0.1056854328537169</v>
          </cell>
          <cell r="CF243">
            <v>0.10959932855217658</v>
          </cell>
          <cell r="CG243">
            <v>0.11245622678919909</v>
          </cell>
        </row>
        <row r="244">
          <cell r="A244" t="str">
            <v>BULL</v>
          </cell>
        </row>
        <row r="245">
          <cell r="A245" t="str">
            <v>BASE</v>
          </cell>
        </row>
        <row r="246">
          <cell r="A246" t="str">
            <v>BEAR</v>
          </cell>
        </row>
        <row r="248">
          <cell r="A248" t="str">
            <v xml:space="preserve">    Equity index asset based fees</v>
          </cell>
        </row>
        <row r="249">
          <cell r="A249" t="str">
            <v>Revenue</v>
          </cell>
          <cell r="D249">
            <v>39.020000000000003</v>
          </cell>
          <cell r="E249">
            <v>13.047000000000001</v>
          </cell>
          <cell r="F249">
            <v>14.644</v>
          </cell>
          <cell r="G249">
            <v>16.530999999999999</v>
          </cell>
          <cell r="H249">
            <v>18.681000000000001</v>
          </cell>
          <cell r="I249">
            <v>62.903000000000006</v>
          </cell>
          <cell r="J249">
            <v>19.588000000000001</v>
          </cell>
          <cell r="K249">
            <v>18.306999999999999</v>
          </cell>
          <cell r="L249">
            <v>18.312000000000001</v>
          </cell>
          <cell r="M249">
            <v>13.472</v>
          </cell>
          <cell r="N249">
            <v>69.678999999999988</v>
          </cell>
          <cell r="O249">
            <v>13.182</v>
          </cell>
          <cell r="P249">
            <v>15.22</v>
          </cell>
          <cell r="Q249">
            <v>20.151</v>
          </cell>
          <cell r="R249">
            <v>22.760999999999999</v>
          </cell>
          <cell r="S249">
            <v>71.313999999999993</v>
          </cell>
          <cell r="T249">
            <v>24.984999999999999</v>
          </cell>
          <cell r="U249">
            <v>25.696000000000002</v>
          </cell>
          <cell r="V249">
            <v>25.134</v>
          </cell>
          <cell r="W249">
            <v>30.045000000000002</v>
          </cell>
          <cell r="X249">
            <v>105.86</v>
          </cell>
          <cell r="Y249">
            <v>37.869</v>
          </cell>
          <cell r="Z249">
            <v>36.286999999999999</v>
          </cell>
          <cell r="AA249">
            <v>35.03</v>
          </cell>
          <cell r="AB249">
            <v>31.056999999999999</v>
          </cell>
          <cell r="AC249">
            <v>140.24299999999999</v>
          </cell>
          <cell r="AD249">
            <v>34.609000000000002</v>
          </cell>
          <cell r="AE249">
            <v>34.094000000000001</v>
          </cell>
          <cell r="AF249">
            <v>34.042000000000002</v>
          </cell>
          <cell r="AG249">
            <v>38.137999999999998</v>
          </cell>
          <cell r="AH249">
            <v>140.88300000000001</v>
          </cell>
          <cell r="AI249">
            <v>36.515000000000001</v>
          </cell>
          <cell r="AJ249">
            <v>36.97</v>
          </cell>
          <cell r="AK249">
            <v>36.801000000000002</v>
          </cell>
          <cell r="AL249">
            <v>39.200000000000003</v>
          </cell>
          <cell r="AM249">
            <v>149.48599999999999</v>
          </cell>
          <cell r="AN249">
            <v>36.515000000000001</v>
          </cell>
          <cell r="AO249">
            <v>36.97</v>
          </cell>
          <cell r="AP249">
            <v>36.801000000000002</v>
          </cell>
          <cell r="AQ249">
            <v>39.200000000000003</v>
          </cell>
          <cell r="AR249">
            <v>149.48599999999999</v>
          </cell>
          <cell r="AS249">
            <v>40.9</v>
          </cell>
          <cell r="AT249">
            <v>44.094999999999999</v>
          </cell>
          <cell r="AU249">
            <v>46.656999999999996</v>
          </cell>
          <cell r="AV249">
            <v>45.453000000000003</v>
          </cell>
          <cell r="AW249">
            <v>177.10499999999999</v>
          </cell>
          <cell r="AX249">
            <v>45.88</v>
          </cell>
          <cell r="AY249">
            <v>51.16</v>
          </cell>
          <cell r="AZ249">
            <v>50.735999999999997</v>
          </cell>
          <cell r="BA249">
            <v>50.198</v>
          </cell>
          <cell r="BB249">
            <v>197.97399999999999</v>
          </cell>
          <cell r="BC249">
            <v>48.698999999999998</v>
          </cell>
          <cell r="BD249">
            <v>49.634</v>
          </cell>
          <cell r="BE249">
            <v>56.122</v>
          </cell>
          <cell r="BF249">
            <v>55.774000000000001</v>
          </cell>
          <cell r="BG249">
            <v>210.20699999999999</v>
          </cell>
          <cell r="BH249">
            <v>55.048233406249992</v>
          </cell>
          <cell r="BI249">
            <v>55.043050890468749</v>
          </cell>
          <cell r="BJ249">
            <v>58.418091997644538</v>
          </cell>
          <cell r="BK249">
            <v>59.022841985154692</v>
          </cell>
          <cell r="BL249">
            <v>227.53221827951799</v>
          </cell>
          <cell r="BM249">
            <v>240.82168637763419</v>
          </cell>
          <cell r="BN249">
            <v>254.31804801977992</v>
          </cell>
          <cell r="BO249">
            <v>267.23740218287389</v>
          </cell>
          <cell r="BR249" t="str">
            <v xml:space="preserve">    Equity index asset based fees</v>
          </cell>
          <cell r="BS249">
            <v>39.020000000000003</v>
          </cell>
          <cell r="BT249">
            <v>62.903000000000006</v>
          </cell>
          <cell r="BU249">
            <v>69.678999999999988</v>
          </cell>
          <cell r="BV249">
            <v>71.313999999999993</v>
          </cell>
          <cell r="BW249">
            <v>105.86</v>
          </cell>
          <cell r="BX249">
            <v>140.24299999999999</v>
          </cell>
          <cell r="BY249">
            <v>140.88300000000001</v>
          </cell>
          <cell r="BZ249">
            <v>149.48599999999999</v>
          </cell>
          <cell r="CA249">
            <v>177.10499999999999</v>
          </cell>
          <cell r="CB249">
            <v>197.97399999999999</v>
          </cell>
          <cell r="CC249">
            <v>210.20699999999999</v>
          </cell>
          <cell r="CD249">
            <v>227.53221827951799</v>
          </cell>
          <cell r="CE249">
            <v>240.82168637763419</v>
          </cell>
          <cell r="CF249">
            <v>254.31804801977992</v>
          </cell>
          <cell r="CG249">
            <v>267.23740218287389</v>
          </cell>
        </row>
        <row r="250">
          <cell r="A250" t="str">
            <v>YoY Change</v>
          </cell>
          <cell r="I250">
            <v>0.61207073295745773</v>
          </cell>
          <cell r="J250">
            <v>0.50134130451444769</v>
          </cell>
          <cell r="K250">
            <v>0.25013657470636419</v>
          </cell>
          <cell r="L250">
            <v>0.10773697900913448</v>
          </cell>
          <cell r="M250">
            <v>-0.27883946255553782</v>
          </cell>
          <cell r="N250">
            <v>0.10772141233327481</v>
          </cell>
          <cell r="O250">
            <v>-0.32703696140494176</v>
          </cell>
          <cell r="P250">
            <v>-0.16862402359753093</v>
          </cell>
          <cell r="Q250">
            <v>0.10042595019659228</v>
          </cell>
          <cell r="R250">
            <v>0.68950415676959631</v>
          </cell>
          <cell r="S250">
            <v>2.3464745475681337E-2</v>
          </cell>
          <cell r="T250">
            <v>0.89538764982551955</v>
          </cell>
          <cell r="U250">
            <v>0.68830486202365315</v>
          </cell>
          <cell r="V250">
            <v>0.24728301324996282</v>
          </cell>
          <cell r="W250">
            <v>0.32002108870436285</v>
          </cell>
          <cell r="X250">
            <v>0.48442101130212878</v>
          </cell>
          <cell r="Y250">
            <v>0.51566940164098463</v>
          </cell>
          <cell r="Z250">
            <v>0.41216531755915309</v>
          </cell>
          <cell r="AA250">
            <v>0.3937296092941831</v>
          </cell>
          <cell r="AB250">
            <v>3.3682809119653712E-2</v>
          </cell>
          <cell r="AC250">
            <v>0.3247969015681087</v>
          </cell>
          <cell r="AD250">
            <v>-8.6086244685626756E-2</v>
          </cell>
          <cell r="AE250">
            <v>-6.0434866481108851E-2</v>
          </cell>
          <cell r="AF250">
            <v>-2.8204396231801265E-2</v>
          </cell>
          <cell r="AG250">
            <v>0.22800012879544074</v>
          </cell>
          <cell r="AH250">
            <v>4.5635076260490681E-3</v>
          </cell>
          <cell r="AI250">
            <v>5.5072380016758515E-2</v>
          </cell>
          <cell r="AJ250">
            <v>8.4355018478324606E-2</v>
          </cell>
          <cell r="AK250">
            <v>8.104694201280771E-2</v>
          </cell>
          <cell r="AL250">
            <v>2.7846242592689752E-2</v>
          </cell>
          <cell r="AM250">
            <v>6.1064855234485238E-2</v>
          </cell>
          <cell r="AN250">
            <v>0</v>
          </cell>
          <cell r="AO250">
            <v>0</v>
          </cell>
          <cell r="AP250">
            <v>0</v>
          </cell>
          <cell r="AQ250">
            <v>0</v>
          </cell>
          <cell r="AR250">
            <v>0</v>
          </cell>
          <cell r="AS250">
            <v>0.12008763521840327</v>
          </cell>
          <cell r="AT250">
            <v>0.1927238301325398</v>
          </cell>
          <cell r="AU250">
            <v>0.26781880927148705</v>
          </cell>
          <cell r="AV250">
            <v>0.15951530612244902</v>
          </cell>
          <cell r="AW250">
            <v>0.18475977683528888</v>
          </cell>
          <cell r="AX250">
            <v>0.12176039119804405</v>
          </cell>
          <cell r="AY250">
            <v>0.1602222474203423</v>
          </cell>
          <cell r="AZ250">
            <v>8.7425252373706019E-2</v>
          </cell>
          <cell r="BA250">
            <v>0.10439354938067891</v>
          </cell>
          <cell r="BB250">
            <v>0.11783405324524998</v>
          </cell>
          <cell r="BC250">
            <v>6.1442894507410584E-2</v>
          </cell>
          <cell r="BD250">
            <v>-2.9827990617669942E-2</v>
          </cell>
          <cell r="BE250">
            <v>0.1061573636076949</v>
          </cell>
          <cell r="BF250">
            <v>0.11108012271405232</v>
          </cell>
          <cell r="BG250">
            <v>6.1790942244941194E-2</v>
          </cell>
          <cell r="BH250">
            <v>0.13037707973983026</v>
          </cell>
          <cell r="BI250">
            <v>0.10897874220229586</v>
          </cell>
          <cell r="BJ250">
            <v>4.0912511985398581E-2</v>
          </cell>
          <cell r="BK250">
            <v>5.8250116275588848E-2</v>
          </cell>
          <cell r="BL250">
            <v>8.241979705489344E-2</v>
          </cell>
          <cell r="BM250">
            <v>5.840697286126928E-2</v>
          </cell>
          <cell r="BN250">
            <v>5.6042966250896553E-2</v>
          </cell>
          <cell r="BO250">
            <v>5.0799989476520091E-2</v>
          </cell>
          <cell r="BR250" t="str">
            <v>YoY Change</v>
          </cell>
          <cell r="BT250">
            <v>0.61207073295745773</v>
          </cell>
          <cell r="BU250">
            <v>0.10772141233327481</v>
          </cell>
          <cell r="BV250">
            <v>2.3464745475681337E-2</v>
          </cell>
          <cell r="BW250">
            <v>0.48442101130212878</v>
          </cell>
          <cell r="BX250">
            <v>0.3247969015681087</v>
          </cell>
          <cell r="BY250">
            <v>4.5635076260490681E-3</v>
          </cell>
          <cell r="BZ250">
            <v>6.1064855234485238E-2</v>
          </cell>
          <cell r="CA250">
            <v>0.18475977683528888</v>
          </cell>
          <cell r="CB250">
            <v>0.11783405324524998</v>
          </cell>
          <cell r="CC250">
            <v>6.1790942244941194E-2</v>
          </cell>
          <cell r="CD250">
            <v>8.241979705489344E-2</v>
          </cell>
          <cell r="CE250">
            <v>5.840697286126928E-2</v>
          </cell>
          <cell r="CF250">
            <v>5.6042966250896553E-2</v>
          </cell>
          <cell r="CG250">
            <v>5.0799989476520091E-2</v>
          </cell>
        </row>
        <row r="256">
          <cell r="A256" t="str">
            <v xml:space="preserve"> Portfolio management analytics</v>
          </cell>
        </row>
        <row r="257">
          <cell r="A257" t="str">
            <v>Revenue</v>
          </cell>
          <cell r="D257">
            <v>110.00700000000001</v>
          </cell>
          <cell r="E257">
            <v>29.364000000000001</v>
          </cell>
          <cell r="F257">
            <v>30.207000000000001</v>
          </cell>
          <cell r="G257">
            <v>29.452000000000002</v>
          </cell>
          <cell r="H257">
            <v>31.625</v>
          </cell>
          <cell r="I257">
            <v>120.648</v>
          </cell>
          <cell r="J257">
            <v>32.341999999999999</v>
          </cell>
          <cell r="K257">
            <v>33.902000000000001</v>
          </cell>
          <cell r="L257">
            <v>33.658999999999999</v>
          </cell>
          <cell r="M257">
            <v>32.494999999999997</v>
          </cell>
          <cell r="N257">
            <v>132.398</v>
          </cell>
          <cell r="O257">
            <v>32.14</v>
          </cell>
          <cell r="P257">
            <v>31.582000000000001</v>
          </cell>
          <cell r="Q257">
            <v>30.425000000000001</v>
          </cell>
          <cell r="R257">
            <v>30.399000000000001</v>
          </cell>
          <cell r="S257">
            <v>124.54600000000001</v>
          </cell>
          <cell r="T257">
            <v>29.983000000000001</v>
          </cell>
          <cell r="U257">
            <v>29.041</v>
          </cell>
          <cell r="V257">
            <v>30.423999999999999</v>
          </cell>
          <cell r="W257">
            <v>30.992999999999999</v>
          </cell>
          <cell r="X257">
            <v>120.441</v>
          </cell>
          <cell r="Y257">
            <v>29.283999999999999</v>
          </cell>
          <cell r="Z257">
            <v>29.193000000000001</v>
          </cell>
          <cell r="AA257">
            <v>30.263000000000002</v>
          </cell>
          <cell r="AB257">
            <v>30.149000000000001</v>
          </cell>
          <cell r="AC257">
            <v>118.88900000000001</v>
          </cell>
          <cell r="AD257">
            <v>29.062999999999999</v>
          </cell>
          <cell r="AE257">
            <v>29.326000000000001</v>
          </cell>
          <cell r="AF257">
            <v>29.138000000000002</v>
          </cell>
          <cell r="AG257">
            <v>28.606000000000002</v>
          </cell>
          <cell r="AH257">
            <v>116.13300000000001</v>
          </cell>
          <cell r="AI257">
            <v>27.646000000000001</v>
          </cell>
          <cell r="AJ257">
            <v>26.088999999999999</v>
          </cell>
          <cell r="AK257">
            <v>26.213000000000001</v>
          </cell>
          <cell r="AL257">
            <v>25.513000000000002</v>
          </cell>
          <cell r="AM257">
            <v>105.46100000000001</v>
          </cell>
          <cell r="AN257">
            <v>27.646000000000001</v>
          </cell>
          <cell r="AO257">
            <v>26.088999999999999</v>
          </cell>
          <cell r="AP257">
            <v>26.213000000000001</v>
          </cell>
          <cell r="AQ257">
            <v>25.513000000000002</v>
          </cell>
          <cell r="AR257">
            <v>105.46100000000001</v>
          </cell>
          <cell r="AS257">
            <v>25.864999999999998</v>
          </cell>
          <cell r="AT257">
            <v>26.303000000000001</v>
          </cell>
          <cell r="AU257">
            <v>26.268999999999998</v>
          </cell>
          <cell r="AV257">
            <v>25.952000000000002</v>
          </cell>
          <cell r="AW257">
            <v>104.389</v>
          </cell>
          <cell r="AX257">
            <v>26.369</v>
          </cell>
          <cell r="AY257">
            <v>26.652999999999999</v>
          </cell>
          <cell r="AZ257">
            <v>27.1</v>
          </cell>
          <cell r="BR257" t="str">
            <v xml:space="preserve"> Portfolio management analytics</v>
          </cell>
          <cell r="BS257">
            <v>110.00700000000001</v>
          </cell>
          <cell r="BT257">
            <v>120.648</v>
          </cell>
          <cell r="BU257">
            <v>132.398</v>
          </cell>
          <cell r="BV257">
            <v>124.54600000000001</v>
          </cell>
          <cell r="BW257">
            <v>120.441</v>
          </cell>
          <cell r="BX257">
            <v>118.88900000000001</v>
          </cell>
          <cell r="BY257">
            <v>116.13300000000001</v>
          </cell>
          <cell r="BZ257">
            <v>105.46100000000001</v>
          </cell>
          <cell r="CA257">
            <v>104.389</v>
          </cell>
          <cell r="CB257">
            <v>0</v>
          </cell>
          <cell r="CC257">
            <v>0</v>
          </cell>
          <cell r="CD257">
            <v>0</v>
          </cell>
          <cell r="CE257">
            <v>0</v>
          </cell>
          <cell r="CF257">
            <v>0</v>
          </cell>
          <cell r="CG257">
            <v>0</v>
          </cell>
        </row>
        <row r="258">
          <cell r="A258" t="str">
            <v>YoY Change</v>
          </cell>
          <cell r="I258">
            <v>9.6730208077667745E-2</v>
          </cell>
          <cell r="J258">
            <v>0.1014167007219724</v>
          </cell>
          <cell r="K258">
            <v>0.12232264044757835</v>
          </cell>
          <cell r="L258">
            <v>0.1428425913350535</v>
          </cell>
          <cell r="M258">
            <v>2.7509881422924876E-2</v>
          </cell>
          <cell r="N258">
            <v>9.7390756581128501E-2</v>
          </cell>
          <cell r="O258">
            <v>-6.2457485622410269E-3</v>
          </cell>
          <cell r="P258">
            <v>-6.8432540853047064E-2</v>
          </cell>
          <cell r="Q258">
            <v>-9.6081285837368857E-2</v>
          </cell>
          <cell r="R258">
            <v>-6.450223111247877E-2</v>
          </cell>
          <cell r="S258">
            <v>-5.9306031813169291E-2</v>
          </cell>
          <cell r="T258">
            <v>-6.7112632233976344E-2</v>
          </cell>
          <cell r="U258">
            <v>-8.0457222468494738E-2</v>
          </cell>
          <cell r="AA258">
            <v>-5.2918748356559631E-3</v>
          </cell>
          <cell r="AB258">
            <v>-2.7231955602877944E-2</v>
          </cell>
          <cell r="AD258">
            <v>-7.5467832263351742E-3</v>
          </cell>
          <cell r="AE258">
            <v>4.5558866851642676E-3</v>
          </cell>
          <cell r="AF258">
            <v>-3.717410699534085E-2</v>
          </cell>
          <cell r="AG258">
            <v>-5.1179143586851938E-2</v>
          </cell>
          <cell r="AH258">
            <v>-2.3181286746461027E-2</v>
          </cell>
          <cell r="AI258">
            <v>-4.8756150431820466E-2</v>
          </cell>
          <cell r="AJ258">
            <v>-0.11037986769419639</v>
          </cell>
          <cell r="AK258">
            <v>-0.10038437778845499</v>
          </cell>
          <cell r="AL258">
            <v>-0.10812416975459693</v>
          </cell>
          <cell r="AM258">
            <v>-9.1894638044311194E-2</v>
          </cell>
          <cell r="AN258">
            <v>0</v>
          </cell>
          <cell r="AO258">
            <v>0</v>
          </cell>
          <cell r="AP258">
            <v>0</v>
          </cell>
          <cell r="AQ258">
            <v>0</v>
          </cell>
          <cell r="AR258">
            <v>0</v>
          </cell>
          <cell r="AS258">
            <v>-6.4421616147001481E-2</v>
          </cell>
          <cell r="AT258">
            <v>8.202690789221645E-3</v>
          </cell>
          <cell r="AU258">
            <v>2.1363445618585164E-3</v>
          </cell>
          <cell r="AV258">
            <v>1.7206914122212202E-2</v>
          </cell>
          <cell r="AW258">
            <v>-1.0164895079697867E-2</v>
          </cell>
          <cell r="AX258">
            <v>1.9485791610284187E-2</v>
          </cell>
          <cell r="AY258">
            <v>1.3306466942934136E-2</v>
          </cell>
          <cell r="AZ258">
            <v>3.1634245688834772E-2</v>
          </cell>
          <cell r="BR258" t="str">
            <v>YoY Change</v>
          </cell>
          <cell r="BT258">
            <v>9.6730208077667745E-2</v>
          </cell>
          <cell r="BU258">
            <v>9.7390756581128501E-2</v>
          </cell>
          <cell r="BV258">
            <v>-5.9306031813169291E-2</v>
          </cell>
          <cell r="BW258">
            <v>-3.2959709665505099E-2</v>
          </cell>
          <cell r="BX258">
            <v>-1.2885977366511314E-2</v>
          </cell>
          <cell r="BY258">
            <v>-2.3181286746461027E-2</v>
          </cell>
          <cell r="BZ258">
            <v>-9.1894638044311194E-2</v>
          </cell>
          <cell r="CA258">
            <v>-1.0164895079697867E-2</v>
          </cell>
          <cell r="CB258">
            <v>-1</v>
          </cell>
          <cell r="CC258" t="e">
            <v>#DIV/0!</v>
          </cell>
          <cell r="CD258" t="e">
            <v>#DIV/0!</v>
          </cell>
          <cell r="CE258" t="e">
            <v>#DIV/0!</v>
          </cell>
          <cell r="CF258" t="e">
            <v>#DIV/0!</v>
          </cell>
          <cell r="CG258" t="e">
            <v>#DIV/0!</v>
          </cell>
        </row>
        <row r="259">
          <cell r="A259" t="str">
            <v>BULL</v>
          </cell>
        </row>
        <row r="260">
          <cell r="A260" t="str">
            <v>BASE</v>
          </cell>
        </row>
        <row r="261">
          <cell r="A261" t="str">
            <v>BEAR</v>
          </cell>
        </row>
        <row r="263">
          <cell r="A263" t="str">
            <v xml:space="preserve"> Risk Management analytics</v>
          </cell>
        </row>
        <row r="264">
          <cell r="A264" t="str">
            <v>Revenue</v>
          </cell>
          <cell r="D264">
            <v>16.873000000000001</v>
          </cell>
          <cell r="E264">
            <v>4.2830000000000004</v>
          </cell>
          <cell r="F264">
            <v>4.4180000000000001</v>
          </cell>
          <cell r="G264">
            <v>6.6689999999999996</v>
          </cell>
          <cell r="H264">
            <v>7.7</v>
          </cell>
          <cell r="I264">
            <v>23.07</v>
          </cell>
          <cell r="J264">
            <v>7.8920000000000003</v>
          </cell>
          <cell r="K264">
            <v>8.5980000000000008</v>
          </cell>
          <cell r="L264">
            <v>8.923</v>
          </cell>
          <cell r="M264">
            <v>9.3840000000000003</v>
          </cell>
          <cell r="N264">
            <v>34.797000000000004</v>
          </cell>
          <cell r="O264">
            <v>9.6229999999999993</v>
          </cell>
          <cell r="P264">
            <v>9.5719999999999992</v>
          </cell>
          <cell r="Q264">
            <v>7.819</v>
          </cell>
          <cell r="R264">
            <v>10.581</v>
          </cell>
          <cell r="S264">
            <v>37.594999999999999</v>
          </cell>
          <cell r="T264">
            <v>10.845000000000001</v>
          </cell>
          <cell r="U264">
            <v>11.106999999999999</v>
          </cell>
          <cell r="V264">
            <v>54.593000000000004</v>
          </cell>
          <cell r="W264">
            <v>57.98</v>
          </cell>
          <cell r="X264">
            <v>134.52500000000001</v>
          </cell>
          <cell r="Y264">
            <v>58.866</v>
          </cell>
          <cell r="Z264">
            <v>60.805999999999997</v>
          </cell>
          <cell r="AA264">
            <v>61.860999999999997</v>
          </cell>
          <cell r="AB264">
            <v>62.036999999999999</v>
          </cell>
          <cell r="AC264">
            <v>243.57</v>
          </cell>
          <cell r="AD264">
            <v>64.076999999999998</v>
          </cell>
          <cell r="AE264">
            <v>64.546999999999997</v>
          </cell>
          <cell r="AF264">
            <v>64.998000000000005</v>
          </cell>
          <cell r="AG264">
            <v>66.653999999999996</v>
          </cell>
          <cell r="AH264">
            <v>260.27600000000001</v>
          </cell>
          <cell r="AI264">
            <v>67.274000000000001</v>
          </cell>
          <cell r="AJ264">
            <v>67.099000000000004</v>
          </cell>
          <cell r="AK264">
            <v>69.665999999999997</v>
          </cell>
          <cell r="AL264">
            <v>75.313999999999993</v>
          </cell>
          <cell r="AM264">
            <v>279.35299999999995</v>
          </cell>
          <cell r="AN264">
            <v>70.42</v>
          </cell>
          <cell r="AO264">
            <v>70.164000000000001</v>
          </cell>
          <cell r="AP264">
            <v>72.778999999999996</v>
          </cell>
          <cell r="AQ264">
            <v>78.38</v>
          </cell>
          <cell r="AR264">
            <v>291.74299999999999</v>
          </cell>
          <cell r="AS264">
            <v>75.58</v>
          </cell>
          <cell r="AT264">
            <v>77.665999999999997</v>
          </cell>
          <cell r="AU264">
            <v>76.977999999999994</v>
          </cell>
          <cell r="AV264">
            <v>79.471999999999994</v>
          </cell>
          <cell r="AW264">
            <v>309.69599999999997</v>
          </cell>
          <cell r="AX264">
            <v>80.475999999999999</v>
          </cell>
          <cell r="AY264">
            <v>80.917000000000002</v>
          </cell>
          <cell r="AZ264">
            <v>81.241</v>
          </cell>
          <cell r="BR264" t="str">
            <v xml:space="preserve"> Risk Management analytics</v>
          </cell>
          <cell r="BS264">
            <v>16.873000000000001</v>
          </cell>
          <cell r="BT264">
            <v>23.07</v>
          </cell>
          <cell r="BU264">
            <v>34.797000000000004</v>
          </cell>
          <cell r="BV264">
            <v>37.594999999999999</v>
          </cell>
          <cell r="BW264">
            <v>134.52500000000001</v>
          </cell>
          <cell r="BX264">
            <v>243.57</v>
          </cell>
          <cell r="BY264">
            <v>260.27600000000001</v>
          </cell>
          <cell r="BZ264">
            <v>291.74299999999999</v>
          </cell>
          <cell r="CA264">
            <v>309.69599999999997</v>
          </cell>
          <cell r="CB264">
            <v>0</v>
          </cell>
          <cell r="CC264">
            <v>0</v>
          </cell>
          <cell r="CD264">
            <v>0</v>
          </cell>
          <cell r="CE264">
            <v>0</v>
          </cell>
          <cell r="CF264">
            <v>0</v>
          </cell>
          <cell r="CG264">
            <v>0</v>
          </cell>
        </row>
        <row r="265">
          <cell r="A265" t="str">
            <v>YoY Change</v>
          </cell>
          <cell r="I265">
            <v>0.36727315830024287</v>
          </cell>
          <cell r="J265">
            <v>0.84263366798972683</v>
          </cell>
          <cell r="K265">
            <v>0.94612947034857409</v>
          </cell>
          <cell r="L265">
            <v>0.33798170640275904</v>
          </cell>
          <cell r="M265">
            <v>0.21870129870129862</v>
          </cell>
          <cell r="N265">
            <v>0.50832249674902497</v>
          </cell>
          <cell r="O265">
            <v>0.21933603649265065</v>
          </cell>
          <cell r="P265">
            <v>0.11328215864154445</v>
          </cell>
          <cell r="Q265">
            <v>-0.12372520452762525</v>
          </cell>
          <cell r="R265">
            <v>0.12755754475703318</v>
          </cell>
          <cell r="S265">
            <v>8.0409230680805743E-2</v>
          </cell>
          <cell r="T265">
            <v>0.12698742595864099</v>
          </cell>
          <cell r="U265">
            <v>0.16036356038445465</v>
          </cell>
          <cell r="AA265">
            <v>0.13313062114190455</v>
          </cell>
          <cell r="AB265">
            <v>6.9972404277337086E-2</v>
          </cell>
          <cell r="AD265">
            <v>8.852308633166861E-2</v>
          </cell>
          <cell r="AE265">
            <v>6.1523533861789881E-2</v>
          </cell>
          <cell r="AF265">
            <v>5.0710463781704185E-2</v>
          </cell>
          <cell r="AG265">
            <v>7.4423328013927037E-2</v>
          </cell>
          <cell r="AH265">
            <v>6.8588085560619128E-2</v>
          </cell>
          <cell r="AI265">
            <v>4.9893097367230022E-2</v>
          </cell>
          <cell r="AJ265">
            <v>3.9537081506499261E-2</v>
          </cell>
          <cell r="AK265">
            <v>7.1817594387519446E-2</v>
          </cell>
          <cell r="AL265">
            <v>0.12992468569028115</v>
          </cell>
          <cell r="AM265">
            <v>7.3295271173676957E-2</v>
          </cell>
          <cell r="AN265">
            <v>4.6763980140916317E-2</v>
          </cell>
          <cell r="AO265">
            <v>4.5678773156082819E-2</v>
          </cell>
          <cell r="AP265">
            <v>4.4684638130508381E-2</v>
          </cell>
          <cell r="AQ265">
            <v>4.0709562631117802E-2</v>
          </cell>
          <cell r="AR265">
            <v>4.4352485922829032E-2</v>
          </cell>
          <cell r="AS265">
            <v>0.12346523173885893</v>
          </cell>
          <cell r="AT265">
            <v>0.15748371808819783</v>
          </cell>
          <cell r="AU265">
            <v>0.10495794218126497</v>
          </cell>
          <cell r="AV265">
            <v>5.5208858910693825E-2</v>
          </cell>
          <cell r="AW265">
            <v>0.10861884425798185</v>
          </cell>
          <cell r="AX265">
            <v>6.4779042074623039E-2</v>
          </cell>
          <cell r="AY265">
            <v>4.1858728401102274E-2</v>
          </cell>
          <cell r="AZ265">
            <v>5.5379459066226877E-2</v>
          </cell>
          <cell r="BR265" t="str">
            <v>YoY Change</v>
          </cell>
          <cell r="BT265">
            <v>0.36727315830024287</v>
          </cell>
          <cell r="BU265">
            <v>0.50832249674902497</v>
          </cell>
          <cell r="BV265">
            <v>8.0409230680805743E-2</v>
          </cell>
          <cell r="BW265">
            <v>2.5782683867535581</v>
          </cell>
          <cell r="BX265">
            <v>0.81059282661215382</v>
          </cell>
          <cell r="BY265">
            <v>6.8588085560619128E-2</v>
          </cell>
          <cell r="BZ265">
            <v>0.12089858457944636</v>
          </cell>
          <cell r="CA265">
            <v>6.1537037735266864E-2</v>
          </cell>
          <cell r="CB265">
            <v>-1</v>
          </cell>
          <cell r="CC265" t="e">
            <v>#DIV/0!</v>
          </cell>
          <cell r="CD265" t="e">
            <v>#DIV/0!</v>
          </cell>
          <cell r="CE265" t="e">
            <v>#DIV/0!</v>
          </cell>
          <cell r="CF265" t="e">
            <v>#DIV/0!</v>
          </cell>
          <cell r="CG265" t="e">
            <v>#DIV/0!</v>
          </cell>
        </row>
        <row r="266">
          <cell r="A266" t="str">
            <v>BULL</v>
          </cell>
        </row>
        <row r="267">
          <cell r="A267" t="str">
            <v>BASE</v>
          </cell>
        </row>
        <row r="268">
          <cell r="A268" t="str">
            <v>BEAR</v>
          </cell>
        </row>
        <row r="270">
          <cell r="A270" t="str">
            <v>Energy &amp; Governance</v>
          </cell>
        </row>
        <row r="271">
          <cell r="A271" t="str">
            <v>Revenue</v>
          </cell>
          <cell r="D271">
            <v>27.045999999999999</v>
          </cell>
          <cell r="E271">
            <v>7.2210000000000001</v>
          </cell>
          <cell r="F271">
            <v>6.2939999999999996</v>
          </cell>
          <cell r="G271">
            <v>6.35</v>
          </cell>
          <cell r="H271">
            <v>6.3109999999999999</v>
          </cell>
          <cell r="I271">
            <v>26.176000000000002</v>
          </cell>
          <cell r="J271">
            <v>6.32</v>
          </cell>
          <cell r="K271">
            <v>5.5839999999999996</v>
          </cell>
          <cell r="L271">
            <v>5.8390000000000004</v>
          </cell>
          <cell r="M271">
            <v>6.5270000000000001</v>
          </cell>
          <cell r="N271">
            <v>24.270000000000003</v>
          </cell>
          <cell r="O271">
            <v>5.7030000000000003</v>
          </cell>
          <cell r="P271">
            <v>5.7190000000000003</v>
          </cell>
          <cell r="Q271">
            <v>3.0550000000000002</v>
          </cell>
          <cell r="R271">
            <v>6.6639999999999997</v>
          </cell>
          <cell r="S271">
            <v>21.140999999999998</v>
          </cell>
          <cell r="T271">
            <v>5.6920000000000002</v>
          </cell>
          <cell r="U271">
            <v>5.1040000000000001</v>
          </cell>
          <cell r="V271">
            <v>33.597999999999999</v>
          </cell>
          <cell r="W271">
            <v>33.157000000000004</v>
          </cell>
          <cell r="X271">
            <v>77.551000000000002</v>
          </cell>
          <cell r="Y271">
            <v>35.119999999999997</v>
          </cell>
          <cell r="Z271">
            <v>33.921999999999997</v>
          </cell>
          <cell r="AA271">
            <v>31.593</v>
          </cell>
          <cell r="AB271">
            <v>33.213999999999999</v>
          </cell>
          <cell r="AC271">
            <v>133.84899999999999</v>
          </cell>
          <cell r="AD271">
            <v>29.664000000000001</v>
          </cell>
          <cell r="AE271">
            <v>34.768999999999998</v>
          </cell>
          <cell r="AF271">
            <v>33.372</v>
          </cell>
          <cell r="AG271">
            <v>34.414000000000001</v>
          </cell>
          <cell r="AH271">
            <v>132.21899999999999</v>
          </cell>
          <cell r="AI271">
            <v>35.585999999999999</v>
          </cell>
          <cell r="AJ271">
            <v>32.54</v>
          </cell>
          <cell r="AK271">
            <v>32.743000000000002</v>
          </cell>
          <cell r="AL271">
            <v>33.823999999999998</v>
          </cell>
          <cell r="AM271">
            <v>134.69299999999998</v>
          </cell>
          <cell r="BR271" t="str">
            <v>Energy &amp; Governance</v>
          </cell>
          <cell r="BS271">
            <v>27.045999999999999</v>
          </cell>
          <cell r="BT271">
            <v>26.176000000000002</v>
          </cell>
          <cell r="BU271">
            <v>24.270000000000003</v>
          </cell>
          <cell r="BV271">
            <v>21.140999999999998</v>
          </cell>
          <cell r="BW271">
            <v>77.551000000000002</v>
          </cell>
          <cell r="BX271">
            <v>133.84899999999999</v>
          </cell>
          <cell r="BY271">
            <v>132.21899999999999</v>
          </cell>
          <cell r="BZ271">
            <v>0</v>
          </cell>
        </row>
        <row r="272">
          <cell r="A272" t="str">
            <v>YoY Change</v>
          </cell>
          <cell r="I272">
            <v>-3.2167418472232367E-2</v>
          </cell>
          <cell r="J272">
            <v>-0.12477496191663207</v>
          </cell>
          <cell r="K272">
            <v>-0.11280584683825867</v>
          </cell>
          <cell r="L272">
            <v>-8.0472440944881818E-2</v>
          </cell>
          <cell r="M272">
            <v>3.4225954682300719E-2</v>
          </cell>
          <cell r="N272">
            <v>-7.2814792176039034E-2</v>
          </cell>
          <cell r="O272">
            <v>-9.7626582278480978E-2</v>
          </cell>
          <cell r="P272">
            <v>2.4176217765043084E-2</v>
          </cell>
          <cell r="Q272">
            <v>-0.47679397157047443</v>
          </cell>
          <cell r="R272">
            <v>2.0989734947142624E-2</v>
          </cell>
          <cell r="S272">
            <v>-0.12892459826946867</v>
          </cell>
          <cell r="T272">
            <v>-1.9288093985622146E-3</v>
          </cell>
          <cell r="U272">
            <v>-0.1075362825668823</v>
          </cell>
          <cell r="AA272">
            <v>-5.9676171200666706E-2</v>
          </cell>
          <cell r="AB272">
            <v>1.7190940072984162E-3</v>
          </cell>
          <cell r="AD272">
            <v>-0.15535307517084274</v>
          </cell>
          <cell r="AE272">
            <v>2.4969046636401204E-2</v>
          </cell>
          <cell r="AF272">
            <v>5.630994207577622E-2</v>
          </cell>
          <cell r="AG272">
            <v>3.6129343048112439E-2</v>
          </cell>
          <cell r="AH272">
            <v>-1.2177901964153581E-2</v>
          </cell>
          <cell r="AI272">
            <v>0.19963592233009697</v>
          </cell>
          <cell r="AJ272">
            <v>-6.4108832580747177E-2</v>
          </cell>
          <cell r="AK272">
            <v>-1.8848136162051943E-2</v>
          </cell>
          <cell r="AL272">
            <v>-1.7144185505898912E-2</v>
          </cell>
          <cell r="AM272">
            <v>1.87113803613701E-2</v>
          </cell>
          <cell r="BR272" t="str">
            <v>YoY Change</v>
          </cell>
          <cell r="BT272">
            <v>-3.2167418472232367E-2</v>
          </cell>
          <cell r="BU272">
            <v>-7.2814792176039034E-2</v>
          </cell>
          <cell r="BV272">
            <v>-0.12892459826946867</v>
          </cell>
          <cell r="BW272">
            <v>2.6682749160399228</v>
          </cell>
          <cell r="BX272">
            <v>0.72594808577581182</v>
          </cell>
          <cell r="BY272">
            <v>-1.2177901964153581E-2</v>
          </cell>
          <cell r="BZ272">
            <v>-1</v>
          </cell>
        </row>
        <row r="273">
          <cell r="A273" t="str">
            <v>BULL</v>
          </cell>
        </row>
        <row r="274">
          <cell r="A274" t="str">
            <v>BASE</v>
          </cell>
        </row>
        <row r="275">
          <cell r="A275" t="str">
            <v>BEAR</v>
          </cell>
        </row>
        <row r="276">
          <cell r="A276" t="str">
            <v>Fiscal Year Ending Dec 31</v>
          </cell>
          <cell r="C276" t="str">
            <v>4Q06</v>
          </cell>
          <cell r="D276">
            <v>2006</v>
          </cell>
          <cell r="E276" t="str">
            <v>1Q07</v>
          </cell>
          <cell r="F276" t="str">
            <v>2Q07</v>
          </cell>
          <cell r="G276" t="str">
            <v>3Q07</v>
          </cell>
          <cell r="H276" t="str">
            <v>4Q07</v>
          </cell>
          <cell r="I276">
            <v>2007</v>
          </cell>
          <cell r="J276" t="str">
            <v>1Q08</v>
          </cell>
          <cell r="K276" t="str">
            <v>2Q08</v>
          </cell>
          <cell r="L276" t="str">
            <v>3Q08</v>
          </cell>
          <cell r="M276" t="str">
            <v>4Q08</v>
          </cell>
          <cell r="N276">
            <v>2008</v>
          </cell>
          <cell r="O276" t="str">
            <v>1Q09</v>
          </cell>
          <cell r="P276" t="str">
            <v>2Q09</v>
          </cell>
          <cell r="Q276" t="str">
            <v>3Q09</v>
          </cell>
          <cell r="R276" t="str">
            <v>4Q09</v>
          </cell>
          <cell r="S276">
            <v>2009</v>
          </cell>
          <cell r="T276" t="str">
            <v>1Q10</v>
          </cell>
          <cell r="U276" t="str">
            <v>2Q10</v>
          </cell>
          <cell r="V276" t="str">
            <v>3Q10</v>
          </cell>
          <cell r="W276" t="str">
            <v>4Q10</v>
          </cell>
          <cell r="X276">
            <v>2010</v>
          </cell>
          <cell r="Y276" t="str">
            <v>1Q11</v>
          </cell>
          <cell r="Z276" t="str">
            <v>2Q11</v>
          </cell>
          <cell r="AA276" t="str">
            <v>3Q11</v>
          </cell>
          <cell r="AB276" t="str">
            <v>4Q11</v>
          </cell>
          <cell r="AC276">
            <v>2011</v>
          </cell>
          <cell r="AD276" t="str">
            <v>1Q12</v>
          </cell>
          <cell r="AE276" t="str">
            <v>2Q12</v>
          </cell>
          <cell r="AF276" t="str">
            <v>3Q12</v>
          </cell>
          <cell r="AG276" t="str">
            <v>4Q12</v>
          </cell>
          <cell r="AH276">
            <v>2012</v>
          </cell>
          <cell r="AI276" t="str">
            <v>1Q13</v>
          </cell>
          <cell r="AJ276" t="str">
            <v>2Q13</v>
          </cell>
          <cell r="AK276" t="str">
            <v>3Q13</v>
          </cell>
          <cell r="AL276" t="str">
            <v>4Q13</v>
          </cell>
          <cell r="AM276">
            <v>2013</v>
          </cell>
          <cell r="AN276" t="str">
            <v>1Q13R</v>
          </cell>
          <cell r="AO276" t="str">
            <v>2Q13R</v>
          </cell>
          <cell r="AP276" t="str">
            <v>3Q13R</v>
          </cell>
          <cell r="AQ276" t="str">
            <v>4Q13R</v>
          </cell>
          <cell r="AR276" t="str">
            <v>2013R</v>
          </cell>
          <cell r="AS276" t="str">
            <v>1Q14</v>
          </cell>
          <cell r="AT276" t="str">
            <v>2Q14</v>
          </cell>
          <cell r="AU276" t="str">
            <v>3Q14</v>
          </cell>
          <cell r="AV276" t="str">
            <v>4Q14</v>
          </cell>
          <cell r="AW276">
            <v>2014</v>
          </cell>
          <cell r="AX276" t="str">
            <v>1Q15</v>
          </cell>
          <cell r="AY276" t="str">
            <v>2Q15</v>
          </cell>
          <cell r="AZ276" t="str">
            <v>3Q15</v>
          </cell>
          <cell r="BA276" t="str">
            <v>4Q15</v>
          </cell>
          <cell r="BB276">
            <v>2015</v>
          </cell>
          <cell r="BC276" t="str">
            <v>1Q16</v>
          </cell>
          <cell r="BD276" t="str">
            <v>2Q16</v>
          </cell>
          <cell r="BE276" t="str">
            <v>3Q16</v>
          </cell>
          <cell r="BF276" t="str">
            <v>4Q16</v>
          </cell>
          <cell r="BG276">
            <v>2016</v>
          </cell>
          <cell r="BH276" t="str">
            <v>1Q17E</v>
          </cell>
          <cell r="BI276" t="str">
            <v>2Q17E</v>
          </cell>
          <cell r="BJ276" t="str">
            <v>3Q17E</v>
          </cell>
          <cell r="BK276" t="str">
            <v>4Q17E</v>
          </cell>
          <cell r="BL276" t="str">
            <v>2017E</v>
          </cell>
          <cell r="BM276" t="str">
            <v>2018E</v>
          </cell>
          <cell r="BN276" t="str">
            <v>2019E</v>
          </cell>
          <cell r="BO276" t="str">
            <v>2020E</v>
          </cell>
        </row>
        <row r="277">
          <cell r="A277" t="str">
            <v>Run Rates (next 12 months subscription)</v>
          </cell>
        </row>
        <row r="278">
          <cell r="A278" t="str">
            <v>Subscription based fees</v>
          </cell>
          <cell r="O278" t="str">
            <v>mxb</v>
          </cell>
          <cell r="P278" t="str">
            <v>mxb</v>
          </cell>
        </row>
        <row r="279">
          <cell r="A279" t="str">
            <v>Index</v>
          </cell>
          <cell r="D279" t="str">
            <v>ND</v>
          </cell>
          <cell r="E279">
            <v>124.13500000000001</v>
          </cell>
          <cell r="F279">
            <v>129.62700000000001</v>
          </cell>
          <cell r="G279">
            <v>136.99</v>
          </cell>
          <cell r="H279">
            <v>141.56</v>
          </cell>
          <cell r="I279">
            <v>141.56</v>
          </cell>
          <cell r="J279">
            <v>151.94499999999999</v>
          </cell>
          <cell r="K279">
            <v>161.14699999999999</v>
          </cell>
          <cell r="L279">
            <v>169.28399999999999</v>
          </cell>
          <cell r="M279">
            <v>170.99199999999999</v>
          </cell>
          <cell r="N279">
            <v>170.99199999999999</v>
          </cell>
          <cell r="O279">
            <v>174.24199999999999</v>
          </cell>
          <cell r="P279">
            <v>178.63399999999999</v>
          </cell>
          <cell r="Q279">
            <v>193.26400000000001</v>
          </cell>
          <cell r="R279">
            <v>202.785</v>
          </cell>
          <cell r="S279">
            <v>202.785</v>
          </cell>
          <cell r="T279">
            <v>212.572</v>
          </cell>
          <cell r="U279">
            <v>221.17400000000001</v>
          </cell>
          <cell r="V279">
            <v>229.32300000000001</v>
          </cell>
          <cell r="W279">
            <v>236.15700000000001</v>
          </cell>
          <cell r="X279">
            <v>236.15700000000001</v>
          </cell>
          <cell r="Y279">
            <v>247.87</v>
          </cell>
          <cell r="Z279">
            <v>257.47000000000003</v>
          </cell>
          <cell r="AA279">
            <v>264.72199999999998</v>
          </cell>
          <cell r="AB279">
            <v>269.77999999999997</v>
          </cell>
          <cell r="AC279">
            <v>269.77999999999997</v>
          </cell>
          <cell r="AD279">
            <v>278.541</v>
          </cell>
          <cell r="AE279">
            <v>285.60399999999998</v>
          </cell>
          <cell r="AF279">
            <v>292.78699999999998</v>
          </cell>
          <cell r="AG279">
            <v>338.00599999999997</v>
          </cell>
          <cell r="AH279">
            <v>338.00599999999997</v>
          </cell>
          <cell r="AI279">
            <v>344.267</v>
          </cell>
          <cell r="AJ279">
            <v>350.83300000000003</v>
          </cell>
          <cell r="AK279">
            <v>360.04199999999997</v>
          </cell>
          <cell r="AL279">
            <v>371.51100000000002</v>
          </cell>
          <cell r="AM279">
            <v>371.51100000000002</v>
          </cell>
          <cell r="AN279">
            <v>285.2</v>
          </cell>
          <cell r="AO279">
            <v>289.89999999999998</v>
          </cell>
          <cell r="AP279">
            <v>296</v>
          </cell>
          <cell r="AQ279">
            <v>305.10000000000002</v>
          </cell>
          <cell r="AR279">
            <v>305.10000000000002</v>
          </cell>
          <cell r="AS279">
            <v>312.5</v>
          </cell>
          <cell r="AT279">
            <v>320.39999999999998</v>
          </cell>
          <cell r="AU279">
            <v>326</v>
          </cell>
          <cell r="AV279">
            <v>335.3</v>
          </cell>
          <cell r="AW279">
            <v>335.3</v>
          </cell>
          <cell r="AX279">
            <v>344.5</v>
          </cell>
          <cell r="AY279">
            <v>353</v>
          </cell>
          <cell r="AZ279">
            <v>361.2</v>
          </cell>
          <cell r="BA279">
            <v>368.85500000000002</v>
          </cell>
          <cell r="BB279">
            <v>368.85500000000002</v>
          </cell>
          <cell r="BC279">
            <v>378.62200000000001</v>
          </cell>
          <cell r="BD279">
            <v>387.67899999999997</v>
          </cell>
          <cell r="BE279">
            <v>395.601</v>
          </cell>
          <cell r="BF279">
            <v>406.72899999999998</v>
          </cell>
          <cell r="BG279">
            <v>406.72899999999998</v>
          </cell>
          <cell r="BH279">
            <v>417.96240237500001</v>
          </cell>
          <cell r="BI279">
            <v>428.71247462500003</v>
          </cell>
          <cell r="BJ279">
            <v>438.11919137500007</v>
          </cell>
          <cell r="BK279">
            <v>451.20297412500008</v>
          </cell>
          <cell r="BL279">
            <v>451.20297412500008</v>
          </cell>
          <cell r="BM279">
            <v>502.2173894800157</v>
          </cell>
          <cell r="BN279">
            <v>560.30720773243513</v>
          </cell>
          <cell r="BO279">
            <v>626.39377118722803</v>
          </cell>
        </row>
        <row r="280">
          <cell r="A280" t="str">
            <v>Risk management analytics</v>
          </cell>
          <cell r="D280" t="str">
            <v>ND</v>
          </cell>
          <cell r="E280">
            <v>23.440999999999999</v>
          </cell>
          <cell r="F280">
            <v>24.111999999999998</v>
          </cell>
          <cell r="G280">
            <v>27.920999999999999</v>
          </cell>
          <cell r="H280">
            <v>29.242999999999999</v>
          </cell>
          <cell r="I280">
            <v>29.242999999999999</v>
          </cell>
          <cell r="J280">
            <v>30.344000000000001</v>
          </cell>
          <cell r="K280">
            <v>33.255000000000003</v>
          </cell>
          <cell r="L280">
            <v>34.076000000000001</v>
          </cell>
          <cell r="M280">
            <v>35.104999999999997</v>
          </cell>
          <cell r="N280">
            <v>35.104999999999997</v>
          </cell>
          <cell r="O280">
            <v>35.308999999999997</v>
          </cell>
          <cell r="P280">
            <v>37.194000000000003</v>
          </cell>
          <cell r="Q280">
            <v>191.715</v>
          </cell>
          <cell r="R280">
            <v>197.99700000000001</v>
          </cell>
          <cell r="S280">
            <v>197.99700000000001</v>
          </cell>
          <cell r="T280">
            <v>196.523</v>
          </cell>
          <cell r="U280">
            <v>200.161</v>
          </cell>
          <cell r="V280">
            <v>229.09899999999999</v>
          </cell>
          <cell r="W280">
            <v>233.50399999999999</v>
          </cell>
          <cell r="X280">
            <v>233.50399999999999</v>
          </cell>
          <cell r="Y280">
            <v>243.85300000000001</v>
          </cell>
          <cell r="Z280">
            <v>249.048</v>
          </cell>
          <cell r="AA280">
            <v>251.804</v>
          </cell>
          <cell r="AB280">
            <v>250.96700000000001</v>
          </cell>
          <cell r="AC280">
            <v>250.96700000000001</v>
          </cell>
          <cell r="AD280">
            <v>257.97300000000001</v>
          </cell>
          <cell r="AE280">
            <v>258.995</v>
          </cell>
          <cell r="AF280">
            <v>261.77600000000001</v>
          </cell>
          <cell r="AG280">
            <v>262.108</v>
          </cell>
          <cell r="AH280">
            <v>262.108</v>
          </cell>
          <cell r="AI280">
            <v>274.524</v>
          </cell>
          <cell r="AJ280">
            <v>281.02199999999999</v>
          </cell>
          <cell r="AK280">
            <v>288.452</v>
          </cell>
          <cell r="AL280">
            <v>290.65499999999997</v>
          </cell>
          <cell r="AM280">
            <v>290.65499999999997</v>
          </cell>
          <cell r="AN280">
            <v>287.55399999999997</v>
          </cell>
          <cell r="AO280">
            <v>293.81599999999997</v>
          </cell>
          <cell r="AP280">
            <v>300.94499999999999</v>
          </cell>
          <cell r="AQ280">
            <v>301.95699999999999</v>
          </cell>
          <cell r="AR280">
            <v>301.95699999999999</v>
          </cell>
          <cell r="AS280">
            <v>307.45999999999998</v>
          </cell>
          <cell r="AT280">
            <v>309.61900000000003</v>
          </cell>
          <cell r="AU280">
            <v>311.01900000000001</v>
          </cell>
          <cell r="AV280">
            <v>310.339</v>
          </cell>
          <cell r="AW280">
            <v>310.339</v>
          </cell>
          <cell r="AX280">
            <v>309.28399999999999</v>
          </cell>
          <cell r="AY280">
            <v>315.90100000000001</v>
          </cell>
          <cell r="AZ280">
            <v>319.637</v>
          </cell>
          <cell r="BA280">
            <v>0</v>
          </cell>
          <cell r="BB280">
            <v>323.02784700000001</v>
          </cell>
        </row>
        <row r="281">
          <cell r="A281" t="str">
            <v>Portfolio management analytics</v>
          </cell>
          <cell r="D281" t="str">
            <v>ND</v>
          </cell>
          <cell r="E281">
            <v>111.604</v>
          </cell>
          <cell r="F281">
            <v>116.24299999999999</v>
          </cell>
          <cell r="G281">
            <v>121.47499999999999</v>
          </cell>
          <cell r="H281">
            <v>124.66800000000001</v>
          </cell>
          <cell r="I281">
            <v>124.66800000000001</v>
          </cell>
          <cell r="J281">
            <v>132.45699999999999</v>
          </cell>
          <cell r="K281">
            <v>134.50899999999999</v>
          </cell>
          <cell r="L281">
            <v>134.172</v>
          </cell>
          <cell r="M281">
            <v>129.16800000000001</v>
          </cell>
          <cell r="N281">
            <v>129.16800000000001</v>
          </cell>
          <cell r="O281">
            <v>126.789</v>
          </cell>
          <cell r="P281">
            <v>126.34399999999999</v>
          </cell>
          <cell r="Q281">
            <v>125.01900000000001</v>
          </cell>
          <cell r="R281">
            <v>122.19199999999999</v>
          </cell>
          <cell r="S281">
            <v>122.19199999999999</v>
          </cell>
          <cell r="T281">
            <v>121.53</v>
          </cell>
          <cell r="U281">
            <v>121.52500000000001</v>
          </cell>
          <cell r="V281">
            <v>122.32299999999999</v>
          </cell>
          <cell r="W281">
            <v>115.158</v>
          </cell>
          <cell r="X281">
            <v>115.158</v>
          </cell>
          <cell r="Y281">
            <v>116.839</v>
          </cell>
          <cell r="Z281">
            <v>118.452</v>
          </cell>
          <cell r="AA281">
            <v>119.22</v>
          </cell>
          <cell r="AB281">
            <v>118.354</v>
          </cell>
          <cell r="AC281">
            <v>118.354</v>
          </cell>
          <cell r="AD281">
            <v>117.751</v>
          </cell>
          <cell r="AE281">
            <v>117.15300000000001</v>
          </cell>
          <cell r="AF281">
            <v>115.958</v>
          </cell>
          <cell r="AG281">
            <v>109.836</v>
          </cell>
          <cell r="AH281">
            <v>109.836</v>
          </cell>
          <cell r="AI281">
            <v>106.09099999999999</v>
          </cell>
          <cell r="AJ281">
            <v>104.524</v>
          </cell>
          <cell r="AK281">
            <v>104.938</v>
          </cell>
          <cell r="AL281">
            <v>103.125</v>
          </cell>
          <cell r="AM281">
            <v>103.125</v>
          </cell>
          <cell r="AN281">
            <v>106.09099999999999</v>
          </cell>
          <cell r="AO281">
            <v>104.524</v>
          </cell>
          <cell r="AP281">
            <v>104.938</v>
          </cell>
          <cell r="AQ281">
            <v>103.125</v>
          </cell>
          <cell r="AR281">
            <v>103.125</v>
          </cell>
          <cell r="AS281">
            <v>103.53100000000001</v>
          </cell>
          <cell r="AT281">
            <v>106.486</v>
          </cell>
          <cell r="AU281">
            <v>106.99299999999999</v>
          </cell>
          <cell r="AV281">
            <v>107.33799999999999</v>
          </cell>
          <cell r="AW281">
            <v>107.33799999999999</v>
          </cell>
          <cell r="AX281">
            <v>108.364</v>
          </cell>
          <cell r="AY281">
            <v>109.532</v>
          </cell>
          <cell r="AZ281">
            <v>110.7</v>
          </cell>
          <cell r="BA281">
            <v>0</v>
          </cell>
          <cell r="BB281">
            <v>112.6394265</v>
          </cell>
        </row>
        <row r="282">
          <cell r="A282" t="str">
            <v>Analytics</v>
          </cell>
          <cell r="AS282">
            <v>410.99099999999999</v>
          </cell>
          <cell r="AT282">
            <v>416.10500000000002</v>
          </cell>
          <cell r="AU282">
            <v>418.012</v>
          </cell>
          <cell r="AV282">
            <v>417.67700000000002</v>
          </cell>
          <cell r="AW282">
            <v>417.67700000000002</v>
          </cell>
          <cell r="AX282">
            <v>417.64800000000002</v>
          </cell>
          <cell r="AY282">
            <v>425.43299999999999</v>
          </cell>
          <cell r="AZ282">
            <v>430.33699999999999</v>
          </cell>
          <cell r="BA282">
            <v>436.67099999999999</v>
          </cell>
          <cell r="BB282">
            <v>436.67099999999999</v>
          </cell>
          <cell r="BC282">
            <v>447.024</v>
          </cell>
          <cell r="BD282">
            <v>449.06200000000001</v>
          </cell>
          <cell r="BE282">
            <v>452.32299999999998</v>
          </cell>
          <cell r="BF282">
            <v>451.53300000000002</v>
          </cell>
          <cell r="BG282">
            <v>451.53300000000002</v>
          </cell>
          <cell r="BH282">
            <v>457.53153199999997</v>
          </cell>
          <cell r="BI282">
            <v>460.09165224999998</v>
          </cell>
          <cell r="BJ282">
            <v>463.30503024999996</v>
          </cell>
          <cell r="BK282">
            <v>469.00193074999993</v>
          </cell>
          <cell r="BL282">
            <v>469.00193074999993</v>
          </cell>
          <cell r="BM282">
            <v>488.99795213831243</v>
          </cell>
          <cell r="BN282">
            <v>511.57764201855309</v>
          </cell>
          <cell r="BO282">
            <v>536.81263807489177</v>
          </cell>
        </row>
        <row r="283">
          <cell r="A283" t="str">
            <v>ESG</v>
          </cell>
          <cell r="AN283">
            <v>19.899999999999999</v>
          </cell>
          <cell r="AO283">
            <v>20.6</v>
          </cell>
          <cell r="AP283">
            <v>21.8</v>
          </cell>
          <cell r="AQ283">
            <v>22.9</v>
          </cell>
          <cell r="AR283">
            <v>22.9</v>
          </cell>
          <cell r="AS283">
            <v>24.3</v>
          </cell>
          <cell r="AT283">
            <v>25.2</v>
          </cell>
          <cell r="AU283">
            <v>33.5</v>
          </cell>
          <cell r="AV283">
            <v>34.5</v>
          </cell>
          <cell r="AW283">
            <v>34.5</v>
          </cell>
          <cell r="AX283">
            <v>35.299999999999997</v>
          </cell>
          <cell r="AY283">
            <v>37.200000000000003</v>
          </cell>
          <cell r="AZ283">
            <v>38.799999999999997</v>
          </cell>
          <cell r="BA283">
            <v>40.290999999999997</v>
          </cell>
          <cell r="BB283">
            <v>40.299999999999997</v>
          </cell>
          <cell r="BD283">
            <v>43.615224999999995</v>
          </cell>
          <cell r="BE283">
            <v>45.504374999999996</v>
          </cell>
          <cell r="BF283">
            <v>47.301449999999996</v>
          </cell>
          <cell r="BG283">
            <v>47.301449999999996</v>
          </cell>
          <cell r="BH283">
            <v>49.110708249999995</v>
          </cell>
          <cell r="BI283">
            <v>50.785589399999992</v>
          </cell>
          <cell r="BJ283">
            <v>52.784587937499992</v>
          </cell>
          <cell r="BK283">
            <v>54.642216612499993</v>
          </cell>
          <cell r="BL283">
            <v>54.642216612499993</v>
          </cell>
          <cell r="BM283">
            <v>50.785589399999992</v>
          </cell>
          <cell r="BN283">
            <v>52.784587937499992</v>
          </cell>
          <cell r="BO283">
            <v>54.642216612499993</v>
          </cell>
        </row>
        <row r="284">
          <cell r="A284" t="str">
            <v>Real Estate</v>
          </cell>
          <cell r="AN284">
            <v>39.1</v>
          </cell>
          <cell r="AO284">
            <v>40.299999999999997</v>
          </cell>
          <cell r="AP284">
            <v>42.2</v>
          </cell>
          <cell r="AQ284">
            <v>43.5</v>
          </cell>
          <cell r="AR284">
            <v>43.5</v>
          </cell>
          <cell r="AS284">
            <v>45.6</v>
          </cell>
          <cell r="AT284">
            <v>48.2</v>
          </cell>
          <cell r="AU284">
            <v>45.9</v>
          </cell>
          <cell r="AV284">
            <v>44.7</v>
          </cell>
          <cell r="AW284">
            <v>44.7</v>
          </cell>
          <cell r="AX284">
            <v>42.8</v>
          </cell>
          <cell r="AY284">
            <v>45.9</v>
          </cell>
          <cell r="AZ284">
            <v>44</v>
          </cell>
          <cell r="BA284">
            <v>42.386000000000003</v>
          </cell>
          <cell r="BB284">
            <v>42.4</v>
          </cell>
          <cell r="BD284">
            <v>45.183799999999998</v>
          </cell>
          <cell r="BE284">
            <v>44.714799999999997</v>
          </cell>
          <cell r="BF284">
            <v>45.653399999999998</v>
          </cell>
          <cell r="BG284">
            <v>45.653399999999998</v>
          </cell>
          <cell r="BH284">
            <v>46.985548100000003</v>
          </cell>
          <cell r="BI284">
            <v>48.729646299999999</v>
          </cell>
          <cell r="BJ284">
            <v>48.275964299999998</v>
          </cell>
          <cell r="BK284">
            <v>49.324204649999999</v>
          </cell>
          <cell r="BL284">
            <v>49.324204649999999</v>
          </cell>
          <cell r="BM284">
            <v>48.729646299999999</v>
          </cell>
          <cell r="BN284">
            <v>48.275964299999998</v>
          </cell>
          <cell r="BO284">
            <v>49.324204649999999</v>
          </cell>
        </row>
        <row r="285">
          <cell r="A285" t="str">
            <v>All Other</v>
          </cell>
          <cell r="AS285">
            <v>69.900000000000006</v>
          </cell>
          <cell r="AT285">
            <v>73.400000000000006</v>
          </cell>
          <cell r="AU285">
            <v>79.400000000000006</v>
          </cell>
          <cell r="AV285">
            <v>79.2</v>
          </cell>
          <cell r="AW285">
            <v>79.2</v>
          </cell>
          <cell r="AX285">
            <v>78.099999999999994</v>
          </cell>
          <cell r="AY285">
            <v>83.1</v>
          </cell>
          <cell r="AZ285">
            <v>82.8</v>
          </cell>
          <cell r="BA285">
            <v>82.676999999999992</v>
          </cell>
          <cell r="BB285">
            <v>82.676999999999992</v>
          </cell>
          <cell r="BC285">
            <v>86.99</v>
          </cell>
          <cell r="BD285">
            <v>86.924000000000007</v>
          </cell>
          <cell r="BE285">
            <v>86.738</v>
          </cell>
          <cell r="BF285">
            <v>88.073999999999998</v>
          </cell>
          <cell r="BG285">
            <v>92.954849999999993</v>
          </cell>
          <cell r="BH285">
            <v>96.096256350000004</v>
          </cell>
          <cell r="BI285">
            <v>99.515235699999991</v>
          </cell>
          <cell r="BJ285">
            <v>101.06055223749999</v>
          </cell>
          <cell r="BK285">
            <v>103.96642126249999</v>
          </cell>
          <cell r="BL285">
            <v>103.96642126249999</v>
          </cell>
          <cell r="BM285">
            <v>115.59061592735</v>
          </cell>
          <cell r="BN285">
            <v>127.69541804999365</v>
          </cell>
          <cell r="BO285">
            <v>140.34130798078087</v>
          </cell>
        </row>
        <row r="286">
          <cell r="A286" t="str">
            <v>Subscription based fees totals</v>
          </cell>
          <cell r="B286">
            <v>0</v>
          </cell>
          <cell r="C286">
            <v>0</v>
          </cell>
          <cell r="D286">
            <v>0</v>
          </cell>
          <cell r="E286">
            <v>259.18</v>
          </cell>
          <cell r="F286">
            <v>269.98199999999997</v>
          </cell>
          <cell r="G286">
            <v>286.38599999999997</v>
          </cell>
          <cell r="H286">
            <v>295.471</v>
          </cell>
          <cell r="I286">
            <v>295.471</v>
          </cell>
          <cell r="J286">
            <v>314.74599999999998</v>
          </cell>
          <cell r="K286">
            <v>328.91099999999994</v>
          </cell>
          <cell r="L286">
            <v>337.53199999999998</v>
          </cell>
          <cell r="M286">
            <v>335.26499999999999</v>
          </cell>
          <cell r="N286">
            <v>335.26499999999999</v>
          </cell>
          <cell r="O286">
            <v>336.34</v>
          </cell>
          <cell r="P286">
            <v>342.17199999999997</v>
          </cell>
          <cell r="Q286">
            <v>509.99800000000005</v>
          </cell>
          <cell r="R286">
            <v>522.97400000000005</v>
          </cell>
          <cell r="S286">
            <v>522.97400000000005</v>
          </cell>
          <cell r="T286">
            <v>530.625</v>
          </cell>
          <cell r="U286">
            <v>542.86</v>
          </cell>
          <cell r="V286">
            <v>580.745</v>
          </cell>
          <cell r="W286">
            <v>584.81899999999996</v>
          </cell>
          <cell r="X286">
            <v>584.81899999999996</v>
          </cell>
          <cell r="Y286">
            <v>608.56200000000001</v>
          </cell>
          <cell r="Z286">
            <v>624.97</v>
          </cell>
          <cell r="AA286">
            <v>635.74599999999998</v>
          </cell>
          <cell r="AB286">
            <v>639.101</v>
          </cell>
          <cell r="AC286">
            <v>639.101</v>
          </cell>
          <cell r="AD286">
            <v>654.26499999999999</v>
          </cell>
          <cell r="AE286">
            <v>661.75199999999995</v>
          </cell>
          <cell r="AF286">
            <v>670.52099999999996</v>
          </cell>
          <cell r="AG286">
            <v>709.95</v>
          </cell>
          <cell r="AH286">
            <v>709.95</v>
          </cell>
          <cell r="AI286">
            <v>724.88199999999995</v>
          </cell>
          <cell r="AJ286">
            <v>736.37900000000002</v>
          </cell>
          <cell r="AK286">
            <v>753.4319999999999</v>
          </cell>
          <cell r="AL286">
            <v>765.29099999999994</v>
          </cell>
          <cell r="AM286">
            <v>765.29099999999994</v>
          </cell>
          <cell r="AN286">
            <v>737.84499999999991</v>
          </cell>
          <cell r="AO286">
            <v>749.13999999999987</v>
          </cell>
          <cell r="AP286">
            <v>765.88299999999992</v>
          </cell>
          <cell r="AQ286">
            <v>776.58199999999999</v>
          </cell>
          <cell r="AR286">
            <v>776.58199999999999</v>
          </cell>
          <cell r="AS286">
            <v>793.39099999999996</v>
          </cell>
          <cell r="AT286">
            <v>809.90499999999997</v>
          </cell>
          <cell r="AU286">
            <v>823.41199999999992</v>
          </cell>
          <cell r="AV286">
            <v>832.17700000000013</v>
          </cell>
          <cell r="AW286">
            <v>832.17700000000013</v>
          </cell>
          <cell r="AX286">
            <v>840.24800000000005</v>
          </cell>
          <cell r="AY286">
            <v>861.53300000000002</v>
          </cell>
          <cell r="AZ286">
            <v>874.33699999999999</v>
          </cell>
          <cell r="BA286">
            <v>888.20300000000009</v>
          </cell>
          <cell r="BB286">
            <v>888.20300000000009</v>
          </cell>
          <cell r="BC286">
            <v>912.63599999999997</v>
          </cell>
          <cell r="BD286">
            <v>923.66499999999996</v>
          </cell>
          <cell r="BE286">
            <v>934.66200000000003</v>
          </cell>
          <cell r="BF286">
            <v>946.3359999999999</v>
          </cell>
          <cell r="BG286">
            <v>951.21684999999991</v>
          </cell>
          <cell r="BH286">
            <v>971.59019072499996</v>
          </cell>
          <cell r="BI286">
            <v>988.31936257500001</v>
          </cell>
          <cell r="BJ286">
            <v>1002.4847738625</v>
          </cell>
          <cell r="BK286">
            <v>1024.1713261375</v>
          </cell>
          <cell r="BL286">
            <v>1024.1713261375</v>
          </cell>
          <cell r="BM286">
            <v>1106.8059575456782</v>
          </cell>
          <cell r="BN286">
            <v>1199.5802678009818</v>
          </cell>
          <cell r="BO286">
            <v>1303.5477172429007</v>
          </cell>
        </row>
        <row r="287">
          <cell r="AS287">
            <v>7.5281393788668494E-2</v>
          </cell>
          <cell r="AT287">
            <v>8.1113009584323548E-2</v>
          </cell>
          <cell r="AU287">
            <v>7.5114606277982388E-2</v>
          </cell>
          <cell r="AV287">
            <v>7.1589349225194665E-2</v>
          </cell>
          <cell r="AW287">
            <v>7.1589349225194665E-2</v>
          </cell>
          <cell r="AX287">
            <v>5.9059152422954231E-2</v>
          </cell>
          <cell r="AY287">
            <v>6.3745747958093846E-2</v>
          </cell>
          <cell r="AZ287">
            <v>6.1846317517840532E-2</v>
          </cell>
          <cell r="BA287">
            <v>6.7324619642215477E-2</v>
          </cell>
          <cell r="BB287">
            <v>6.7324619642215477E-2</v>
          </cell>
          <cell r="BC287">
            <v>8.6150755491235742E-2</v>
          </cell>
          <cell r="BD287">
            <v>7.2117957176335512E-2</v>
          </cell>
          <cell r="BE287">
            <v>6.899513574285443E-2</v>
          </cell>
          <cell r="BF287">
            <v>6.5450127954983062E-2</v>
          </cell>
          <cell r="BG287">
            <v>7.0945324435967683E-2</v>
          </cell>
          <cell r="BH287">
            <v>6.4597704588685856E-2</v>
          </cell>
          <cell r="BI287">
            <v>6.9997631798325299E-2</v>
          </cell>
          <cell r="BJ287">
            <v>7.2563957732848738E-2</v>
          </cell>
          <cell r="BK287">
            <v>8.2249144212520831E-2</v>
          </cell>
          <cell r="BL287">
            <v>7.6695945974359248E-2</v>
          </cell>
          <cell r="BM287">
            <v>8.0684382875491734E-2</v>
          </cell>
          <cell r="BN287">
            <v>8.3821657827925833E-2</v>
          </cell>
          <cell r="BO287">
            <v>8.6669856309413484E-2</v>
          </cell>
        </row>
        <row r="288">
          <cell r="A288" t="str">
            <v>Asset based fees</v>
          </cell>
        </row>
        <row r="289">
          <cell r="A289" t="str">
            <v xml:space="preserve">  Equity indices</v>
          </cell>
          <cell r="D289" t="str">
            <v>ND</v>
          </cell>
          <cell r="E289">
            <v>52.956000000000003</v>
          </cell>
          <cell r="F289">
            <v>62.185000000000002</v>
          </cell>
          <cell r="G289">
            <v>63.201000000000001</v>
          </cell>
          <cell r="H289">
            <v>76.466999999999999</v>
          </cell>
          <cell r="I289">
            <v>76.466999999999999</v>
          </cell>
          <cell r="J289">
            <v>72.927000000000007</v>
          </cell>
          <cell r="K289">
            <v>79.358000000000004</v>
          </cell>
          <cell r="L289">
            <v>70.171999999999997</v>
          </cell>
          <cell r="M289">
            <v>51.595999999999997</v>
          </cell>
          <cell r="N289">
            <v>51.595999999999997</v>
          </cell>
          <cell r="O289">
            <v>50.573999999999998</v>
          </cell>
          <cell r="P289">
            <v>68.891999999999996</v>
          </cell>
          <cell r="Q289">
            <v>81.248999999999995</v>
          </cell>
          <cell r="R289">
            <v>95.200999999999993</v>
          </cell>
          <cell r="S289">
            <v>95.200999999999993</v>
          </cell>
          <cell r="T289">
            <v>100.254</v>
          </cell>
          <cell r="U289">
            <v>94.495999999999995</v>
          </cell>
          <cell r="V289">
            <v>108.15</v>
          </cell>
          <cell r="W289">
            <v>117.866</v>
          </cell>
          <cell r="X289">
            <v>117.866</v>
          </cell>
          <cell r="Y289">
            <v>134.25700000000001</v>
          </cell>
          <cell r="Z289">
            <v>140.14400000000001</v>
          </cell>
          <cell r="AA289">
            <v>117.928</v>
          </cell>
          <cell r="AB289">
            <v>119.706</v>
          </cell>
          <cell r="AC289">
            <v>119.706</v>
          </cell>
          <cell r="AD289">
            <v>136.96199999999999</v>
          </cell>
          <cell r="AE289">
            <v>129.04499999999999</v>
          </cell>
          <cell r="AF289">
            <v>114.57599999999999</v>
          </cell>
          <cell r="AG289">
            <v>127.072</v>
          </cell>
          <cell r="AH289">
            <v>127.072</v>
          </cell>
          <cell r="AI289">
            <v>134.18600000000001</v>
          </cell>
          <cell r="AJ289">
            <v>131.71600000000001</v>
          </cell>
          <cell r="AK289">
            <v>146.97900000000001</v>
          </cell>
          <cell r="AL289">
            <v>158.30500000000001</v>
          </cell>
          <cell r="AM289">
            <v>158.30500000000001</v>
          </cell>
          <cell r="AN289">
            <v>134.18600000000001</v>
          </cell>
          <cell r="AO289">
            <v>131.71600000000001</v>
          </cell>
          <cell r="AP289">
            <v>146.97900000000001</v>
          </cell>
          <cell r="AQ289">
            <v>158.30500000000001</v>
          </cell>
          <cell r="AR289">
            <v>158.30500000000001</v>
          </cell>
          <cell r="AS289">
            <v>161.88200000000001</v>
          </cell>
          <cell r="AT289">
            <v>176.554</v>
          </cell>
          <cell r="AU289">
            <v>177.774</v>
          </cell>
          <cell r="AV289">
            <v>174.55799999999999</v>
          </cell>
          <cell r="AW289">
            <v>174.55799999999999</v>
          </cell>
          <cell r="AX289">
            <v>190.58099999999999</v>
          </cell>
          <cell r="AY289">
            <v>201.221</v>
          </cell>
          <cell r="AZ289">
            <v>187.81800000000001</v>
          </cell>
          <cell r="BA289">
            <v>201.047</v>
          </cell>
          <cell r="BB289">
            <v>201.047</v>
          </cell>
          <cell r="BC289">
            <v>199.33</v>
          </cell>
          <cell r="BD289">
            <v>195.298</v>
          </cell>
          <cell r="BE289">
            <v>212.22399999999999</v>
          </cell>
          <cell r="BF289">
            <v>216.982</v>
          </cell>
          <cell r="BG289">
            <v>216.982</v>
          </cell>
          <cell r="BH289">
            <v>240.834</v>
          </cell>
        </row>
        <row r="290">
          <cell r="A290" t="str">
            <v xml:space="preserve">  Hedge fund indices</v>
          </cell>
          <cell r="D290" t="str">
            <v>ND</v>
          </cell>
          <cell r="E290">
            <v>6.88</v>
          </cell>
          <cell r="F290">
            <v>6.2169999999999996</v>
          </cell>
          <cell r="G290">
            <v>7.2380000000000004</v>
          </cell>
          <cell r="H290">
            <v>5.0629999999999997</v>
          </cell>
          <cell r="I290">
            <v>5.0629999999999997</v>
          </cell>
          <cell r="J290">
            <v>4.4710000000000001</v>
          </cell>
          <cell r="K290">
            <v>2.6840000000000002</v>
          </cell>
          <cell r="L290">
            <v>2.681</v>
          </cell>
          <cell r="M290">
            <v>1.38</v>
          </cell>
          <cell r="N290">
            <v>1.38</v>
          </cell>
          <cell r="O290">
            <v>1</v>
          </cell>
          <cell r="P290">
            <v>1</v>
          </cell>
          <cell r="Q290" t="str">
            <v xml:space="preserve">ND  </v>
          </cell>
          <cell r="R290" t="str">
            <v>ND</v>
          </cell>
          <cell r="S290" t="str">
            <v>ND</v>
          </cell>
          <cell r="T290" t="str">
            <v>ND</v>
          </cell>
          <cell r="U290" t="str">
            <v>ND</v>
          </cell>
          <cell r="V290" t="str">
            <v>ND</v>
          </cell>
          <cell r="W290" t="str">
            <v>ND</v>
          </cell>
        </row>
        <row r="291">
          <cell r="A291" t="str">
            <v>Asset based fees totals</v>
          </cell>
          <cell r="D291" t="str">
            <v>ND</v>
          </cell>
          <cell r="E291">
            <v>59.836000000000006</v>
          </cell>
          <cell r="F291">
            <v>68.402000000000001</v>
          </cell>
          <cell r="G291">
            <v>70.439000000000007</v>
          </cell>
          <cell r="H291">
            <v>81.53</v>
          </cell>
          <cell r="I291">
            <v>81.53</v>
          </cell>
          <cell r="J291">
            <v>77.39800000000001</v>
          </cell>
          <cell r="K291">
            <v>82.042000000000002</v>
          </cell>
          <cell r="L291">
            <v>72.852999999999994</v>
          </cell>
          <cell r="M291">
            <v>52.975999999999999</v>
          </cell>
          <cell r="N291">
            <v>52.975999999999999</v>
          </cell>
          <cell r="O291">
            <v>51.573999999999998</v>
          </cell>
          <cell r="P291">
            <v>69.891999999999996</v>
          </cell>
          <cell r="Q291">
            <v>81.248999999999995</v>
          </cell>
          <cell r="R291">
            <v>95.200999999999993</v>
          </cell>
          <cell r="S291">
            <v>95.200999999999993</v>
          </cell>
          <cell r="T291">
            <v>100.254</v>
          </cell>
          <cell r="U291">
            <v>94.495999999999995</v>
          </cell>
          <cell r="V291">
            <v>108.15</v>
          </cell>
          <cell r="W291">
            <v>117.866</v>
          </cell>
        </row>
        <row r="292">
          <cell r="A292" t="str">
            <v>Total Run Rate</v>
          </cell>
          <cell r="D292" t="str">
            <v>ND</v>
          </cell>
          <cell r="E292">
            <v>319.01600000000002</v>
          </cell>
          <cell r="F292">
            <v>338.38399999999996</v>
          </cell>
          <cell r="G292">
            <v>356.82499999999999</v>
          </cell>
          <cell r="H292">
            <v>377.00099999999998</v>
          </cell>
          <cell r="I292">
            <v>377.00099999999998</v>
          </cell>
          <cell r="J292">
            <v>392.14400000000001</v>
          </cell>
          <cell r="K292">
            <v>410.95299999999997</v>
          </cell>
          <cell r="L292">
            <v>410.38499999999999</v>
          </cell>
          <cell r="M292">
            <v>388.24099999999999</v>
          </cell>
          <cell r="N292">
            <v>388.24099999999999</v>
          </cell>
          <cell r="O292">
            <v>387.91399999999999</v>
          </cell>
          <cell r="P292">
            <v>412.06399999999996</v>
          </cell>
          <cell r="Q292">
            <v>591.24700000000007</v>
          </cell>
          <cell r="R292">
            <v>618.17500000000007</v>
          </cell>
          <cell r="S292">
            <v>618.17500000000007</v>
          </cell>
          <cell r="T292">
            <v>630.87900000000002</v>
          </cell>
          <cell r="U292">
            <v>637.35599999999999</v>
          </cell>
          <cell r="V292">
            <v>688.89499999999998</v>
          </cell>
          <cell r="W292">
            <v>702.68499999999995</v>
          </cell>
          <cell r="X292">
            <v>702.68499999999995</v>
          </cell>
          <cell r="Y292">
            <v>742.81899999999996</v>
          </cell>
          <cell r="Z292">
            <v>765.11400000000003</v>
          </cell>
          <cell r="AA292">
            <v>753.67399999999998</v>
          </cell>
          <cell r="AB292">
            <v>758.80700000000002</v>
          </cell>
          <cell r="AC292">
            <v>758.80700000000002</v>
          </cell>
          <cell r="AD292">
            <v>791.22699999999998</v>
          </cell>
          <cell r="AE292">
            <v>790.79699999999991</v>
          </cell>
          <cell r="AF292">
            <v>785.09699999999998</v>
          </cell>
          <cell r="AG292">
            <v>837.02200000000005</v>
          </cell>
          <cell r="AH292">
            <v>837.02200000000005</v>
          </cell>
          <cell r="AI292">
            <v>859.06799999999998</v>
          </cell>
          <cell r="AJ292">
            <v>868.09500000000003</v>
          </cell>
          <cell r="AK292">
            <v>900.41099999999994</v>
          </cell>
          <cell r="AL292">
            <v>923.596</v>
          </cell>
          <cell r="AM292">
            <v>923.596</v>
          </cell>
          <cell r="AN292">
            <v>872.03099999999995</v>
          </cell>
          <cell r="AO292">
            <v>880.85599999999988</v>
          </cell>
          <cell r="AP292">
            <v>912.86199999999997</v>
          </cell>
          <cell r="AQ292">
            <v>934.88699999999994</v>
          </cell>
          <cell r="AR292">
            <v>934.88699999999994</v>
          </cell>
          <cell r="AS292">
            <v>955.27299999999991</v>
          </cell>
          <cell r="AT292">
            <v>986.45899999999995</v>
          </cell>
          <cell r="AU292">
            <v>1001.1859999999999</v>
          </cell>
          <cell r="AV292">
            <v>1006.7350000000001</v>
          </cell>
          <cell r="AW292">
            <v>1006.7350000000001</v>
          </cell>
          <cell r="AX292">
            <v>1030.829</v>
          </cell>
          <cell r="AY292">
            <v>1062.7539999999999</v>
          </cell>
          <cell r="AZ292">
            <v>1062.155</v>
          </cell>
          <cell r="BA292">
            <v>1089.25</v>
          </cell>
          <cell r="BB292">
            <v>1089.25</v>
          </cell>
          <cell r="BC292">
            <v>1111.9659999999999</v>
          </cell>
          <cell r="BD292">
            <v>1118.963</v>
          </cell>
          <cell r="BE292">
            <v>1146.886</v>
          </cell>
          <cell r="BF292">
            <v>1163.318</v>
          </cell>
          <cell r="BG292">
            <v>1163.318</v>
          </cell>
          <cell r="BH292">
            <v>1207.087</v>
          </cell>
        </row>
        <row r="293">
          <cell r="AS293">
            <v>9.5457615612289048E-2</v>
          </cell>
          <cell r="AT293">
            <v>0.11988679193875051</v>
          </cell>
          <cell r="AU293">
            <v>9.6755040740002185E-2</v>
          </cell>
          <cell r="AV293">
            <v>7.6852068752694347E-2</v>
          </cell>
          <cell r="AW293">
            <v>7.6852068752694347E-2</v>
          </cell>
          <cell r="AX293">
            <v>7.9093620357740813E-2</v>
          </cell>
          <cell r="AY293">
            <v>7.734229197564213E-2</v>
          </cell>
          <cell r="AZ293">
            <v>6.0896776423162269E-2</v>
          </cell>
          <cell r="BA293">
            <v>8.1962979334184061E-2</v>
          </cell>
          <cell r="BB293">
            <v>8.1962979334184061E-2</v>
          </cell>
          <cell r="BC293">
            <v>7.871043596949634E-2</v>
          </cell>
          <cell r="BD293">
            <v>5.2889944427402913E-2</v>
          </cell>
          <cell r="BE293">
            <v>7.9772726202861133E-2</v>
          </cell>
          <cell r="BF293">
            <v>6.7999081937112571E-2</v>
          </cell>
          <cell r="BG293">
            <v>6.7976531135904184E-2</v>
          </cell>
          <cell r="BH293">
            <v>8.5543083151823129E-2</v>
          </cell>
        </row>
        <row r="294">
          <cell r="A294" t="str">
            <v>Growth in Run Rates y/y</v>
          </cell>
        </row>
        <row r="295">
          <cell r="A295" t="str">
            <v>Subscription based fees</v>
          </cell>
          <cell r="S295" t="str">
            <v>MSCI only</v>
          </cell>
        </row>
        <row r="296">
          <cell r="A296" t="str">
            <v xml:space="preserve">  Equity indices</v>
          </cell>
          <cell r="D296" t="str">
            <v>ND</v>
          </cell>
          <cell r="E296" t="str">
            <v>ND</v>
          </cell>
          <cell r="F296" t="str">
            <v>ND</v>
          </cell>
          <cell r="G296" t="str">
            <v>ND</v>
          </cell>
          <cell r="H296" t="str">
            <v>ND</v>
          </cell>
          <cell r="I296" t="str">
            <v>ND</v>
          </cell>
          <cell r="J296">
            <v>0.22403028960406002</v>
          </cell>
          <cell r="K296">
            <v>0.24315921837271537</v>
          </cell>
          <cell r="L296">
            <v>0.23573983502445417</v>
          </cell>
          <cell r="M296">
            <v>0.20791183950268421</v>
          </cell>
          <cell r="N296">
            <v>0.20791183950268421</v>
          </cell>
          <cell r="O296">
            <v>0.14674388759090462</v>
          </cell>
          <cell r="P296">
            <v>0.10851582716401786</v>
          </cell>
          <cell r="Q296">
            <v>0.14165544292431664</v>
          </cell>
          <cell r="R296">
            <v>0.1859326752128756</v>
          </cell>
          <cell r="S296">
            <v>8.6999999999999994E-2</v>
          </cell>
          <cell r="T296">
            <v>0.21998140517211695</v>
          </cell>
          <cell r="U296">
            <v>0.23814055554933566</v>
          </cell>
          <cell r="V296">
            <v>0.1865789800480171</v>
          </cell>
          <cell r="W296">
            <v>0.16456838523559436</v>
          </cell>
          <cell r="X296">
            <v>0.16456838523559436</v>
          </cell>
          <cell r="Y296">
            <v>0.16605197297856722</v>
          </cell>
          <cell r="Z296">
            <v>0.16410608841907282</v>
          </cell>
          <cell r="AA296">
            <v>0.15436305996345756</v>
          </cell>
          <cell r="AB296">
            <v>0.14237562299656559</v>
          </cell>
          <cell r="AC296">
            <v>0.14237562299656559</v>
          </cell>
          <cell r="AD296">
            <v>0.12373824988905469</v>
          </cell>
          <cell r="AE296">
            <v>0.10927098302714855</v>
          </cell>
          <cell r="AF296">
            <v>0.10601687808342342</v>
          </cell>
          <cell r="AG296">
            <v>0.25289495144191565</v>
          </cell>
          <cell r="AH296">
            <v>0.25289495144191565</v>
          </cell>
          <cell r="AI296">
            <v>0.23596526184655042</v>
          </cell>
          <cell r="AJ296">
            <v>0.22838965840814573</v>
          </cell>
          <cell r="AK296">
            <v>0.22970623695724202</v>
          </cell>
          <cell r="AL296">
            <v>9.9125459311373287E-2</v>
          </cell>
          <cell r="AM296">
            <v>9.9125459311373287E-2</v>
          </cell>
          <cell r="AN296">
            <v>0.23596526184655042</v>
          </cell>
          <cell r="AO296">
            <v>0.22838965840814573</v>
          </cell>
          <cell r="AP296">
            <v>0.22970623695724202</v>
          </cell>
          <cell r="AQ296">
            <v>9.9125459311373287E-2</v>
          </cell>
          <cell r="AR296">
            <v>9.9125459311373287E-2</v>
          </cell>
          <cell r="AS296">
            <v>-9.2274310346330046E-2</v>
          </cell>
          <cell r="AT296">
            <v>-8.6744975529668089E-2</v>
          </cell>
          <cell r="AU296">
            <v>-9.455008026841305E-2</v>
          </cell>
          <cell r="AV296">
            <v>-9.7469523109679157E-2</v>
          </cell>
          <cell r="AW296">
            <v>-9.7469523109679157E-2</v>
          </cell>
          <cell r="AX296">
            <v>0.10240000000000005</v>
          </cell>
          <cell r="AY296">
            <v>0.10174781523096144</v>
          </cell>
          <cell r="AZ296">
            <v>0.10797546012269943</v>
          </cell>
          <cell r="BA296">
            <v>0.10007456009543692</v>
          </cell>
          <cell r="BB296">
            <v>0.10007456009543692</v>
          </cell>
          <cell r="BC296">
            <v>9.904789550072568E-2</v>
          </cell>
          <cell r="BD296">
            <v>9.8240793201133103E-2</v>
          </cell>
          <cell r="BE296">
            <v>9.5240863787375396E-2</v>
          </cell>
          <cell r="BF296">
            <v>0.10267991487169748</v>
          </cell>
          <cell r="BG296">
            <v>0.10267991487169748</v>
          </cell>
          <cell r="BH296">
            <v>0.10390416398149083</v>
          </cell>
          <cell r="BI296">
            <v>0.10584394466814051</v>
          </cell>
          <cell r="BJ296">
            <v>0.10747746182390872</v>
          </cell>
          <cell r="BK296">
            <v>0.1093454711245081</v>
          </cell>
          <cell r="BL296">
            <v>0.1093454711245081</v>
          </cell>
          <cell r="BM296">
            <v>0.11306311855312079</v>
          </cell>
          <cell r="BN296">
            <v>0.11566668034447058</v>
          </cell>
          <cell r="BO296">
            <v>0.11794701646306738</v>
          </cell>
        </row>
        <row r="297">
          <cell r="A297" t="str">
            <v xml:space="preserve">  Equity portfolio analytics</v>
          </cell>
          <cell r="D297" t="str">
            <v>ND</v>
          </cell>
          <cell r="E297" t="str">
            <v>ND</v>
          </cell>
          <cell r="F297" t="str">
            <v>ND</v>
          </cell>
          <cell r="G297" t="str">
            <v>ND</v>
          </cell>
          <cell r="H297" t="str">
            <v>ND</v>
          </cell>
          <cell r="I297" t="str">
            <v>ND</v>
          </cell>
          <cell r="J297">
            <v>0.1868481416436687</v>
          </cell>
          <cell r="K297">
            <v>0.1571363436938138</v>
          </cell>
          <cell r="L297">
            <v>0.10452356451944844</v>
          </cell>
          <cell r="M297">
            <v>3.6095870632399718E-2</v>
          </cell>
          <cell r="N297">
            <v>3.6095870632399718E-2</v>
          </cell>
          <cell r="O297">
            <v>-4.2791245460790939E-2</v>
          </cell>
          <cell r="P297">
            <v>-6.0702257841482643E-2</v>
          </cell>
          <cell r="Q297">
            <v>-6.8218406224845651E-2</v>
          </cell>
          <cell r="R297">
            <v>-5.4007184441967171E-2</v>
          </cell>
          <cell r="S297">
            <v>-8.3000000000000004E-2</v>
          </cell>
          <cell r="T297">
            <v>-4.1478361687528054E-2</v>
          </cell>
          <cell r="U297">
            <v>-3.8141898309377531E-2</v>
          </cell>
          <cell r="V297">
            <v>-2.1564722162231487E-2</v>
          </cell>
          <cell r="W297">
            <v>-5.7565143380908679E-2</v>
          </cell>
          <cell r="X297">
            <v>-5.7565143380908679E-2</v>
          </cell>
          <cell r="Y297">
            <v>-3.8599522751583959E-2</v>
          </cell>
          <cell r="Z297">
            <v>-2.5286977988068338E-2</v>
          </cell>
          <cell r="AA297">
            <v>-2.5367265354839241E-2</v>
          </cell>
          <cell r="AB297">
            <v>2.7753173900206596E-2</v>
          </cell>
          <cell r="AC297">
            <v>2.7753173900206596E-2</v>
          </cell>
          <cell r="AD297">
            <v>7.8056128518730894E-3</v>
          </cell>
          <cell r="AE297">
            <v>-1.0966467429844973E-2</v>
          </cell>
          <cell r="AF297">
            <v>-2.7361181009897706E-2</v>
          </cell>
          <cell r="AG297">
            <v>-7.1970529090694013E-2</v>
          </cell>
          <cell r="AH297">
            <v>-7.1970529090694013E-2</v>
          </cell>
          <cell r="AI297">
            <v>-9.9022513609226315E-2</v>
          </cell>
          <cell r="AJ297">
            <v>-0.10779920275195687</v>
          </cell>
          <cell r="AK297">
            <v>-9.5034409010158805E-2</v>
          </cell>
          <cell r="AL297">
            <v>-6.1100185731454149E-2</v>
          </cell>
          <cell r="AM297">
            <v>-6.1100185731454149E-2</v>
          </cell>
          <cell r="AN297">
            <v>-9.9022513609226315E-2</v>
          </cell>
          <cell r="AO297">
            <v>-0.10779920275195687</v>
          </cell>
          <cell r="AP297">
            <v>-9.5034409010158805E-2</v>
          </cell>
          <cell r="AQ297">
            <v>-6.1100185731454149E-2</v>
          </cell>
          <cell r="AR297">
            <v>-6.1100185731454149E-2</v>
          </cell>
          <cell r="AS297">
            <v>-2.4130227823283668E-2</v>
          </cell>
          <cell r="AT297">
            <v>1.8770808618116419E-2</v>
          </cell>
          <cell r="AU297">
            <v>1.9582991861861299E-2</v>
          </cell>
          <cell r="AV297">
            <v>4.0853333333333186E-2</v>
          </cell>
          <cell r="AW297">
            <v>4.0853333333333186E-2</v>
          </cell>
          <cell r="AX297">
            <v>4.6681670224377303E-2</v>
          </cell>
          <cell r="AY297">
            <v>2.8604699209285656E-2</v>
          </cell>
          <cell r="AZ297">
            <v>3.4647126447524768E-2</v>
          </cell>
        </row>
        <row r="298">
          <cell r="A298" t="str">
            <v xml:space="preserve">  Multi-asset class analytics</v>
          </cell>
          <cell r="D298" t="str">
            <v>ND</v>
          </cell>
          <cell r="E298" t="str">
            <v>ND</v>
          </cell>
          <cell r="F298" t="str">
            <v>ND</v>
          </cell>
          <cell r="G298" t="str">
            <v>ND</v>
          </cell>
          <cell r="H298" t="str">
            <v>ND</v>
          </cell>
          <cell r="I298" t="str">
            <v>ND</v>
          </cell>
          <cell r="J298">
            <v>0.29448402371912463</v>
          </cell>
          <cell r="K298">
            <v>0.37918878566688807</v>
          </cell>
          <cell r="L298">
            <v>0.22044339386125134</v>
          </cell>
          <cell r="M298">
            <v>0.20045822931983714</v>
          </cell>
          <cell r="N298">
            <v>0.20045822931983714</v>
          </cell>
          <cell r="O298">
            <v>0.16362378064856298</v>
          </cell>
          <cell r="P298">
            <v>0.11844835363103301</v>
          </cell>
          <cell r="Q298">
            <v>4.6261004812771453</v>
          </cell>
          <cell r="R298">
            <v>4.6401367326591663</v>
          </cell>
          <cell r="S298">
            <v>0.151</v>
          </cell>
          <cell r="T298">
            <v>4.5658047523294343</v>
          </cell>
          <cell r="U298">
            <v>4.3815400333387098</v>
          </cell>
          <cell r="V298">
            <v>0.19499778316772276</v>
          </cell>
          <cell r="W298">
            <v>0.17933099996464574</v>
          </cell>
          <cell r="X298">
            <v>0.17933099996464574</v>
          </cell>
          <cell r="Y298">
            <v>0.24083695038239816</v>
          </cell>
          <cell r="Z298">
            <v>0.24423838809758136</v>
          </cell>
          <cell r="AA298">
            <v>9.9105626825084503E-2</v>
          </cell>
          <cell r="AB298">
            <v>7.4786727422228472E-2</v>
          </cell>
          <cell r="AC298">
            <v>7.4786727422228472E-2</v>
          </cell>
          <cell r="AD298">
            <v>5.7903737087507734E-2</v>
          </cell>
          <cell r="AE298">
            <v>3.9940091869840266E-2</v>
          </cell>
          <cell r="AF298">
            <v>3.9602230306111208E-2</v>
          </cell>
          <cell r="AG298">
            <v>4.4392290619882369E-2</v>
          </cell>
          <cell r="AH298">
            <v>4.4392290619882369E-2</v>
          </cell>
          <cell r="AI298">
            <v>6.4157876987126494E-2</v>
          </cell>
          <cell r="AJ298">
            <v>8.5047973899109897E-2</v>
          </cell>
          <cell r="AK298">
            <v>0.10190391785343178</v>
          </cell>
          <cell r="AL298">
            <v>0.10891311978268492</v>
          </cell>
          <cell r="AM298">
            <v>0.10891311978268492</v>
          </cell>
          <cell r="AN298">
            <v>6.4157876987126494E-2</v>
          </cell>
          <cell r="AO298">
            <v>8.5047973899109897E-2</v>
          </cell>
          <cell r="AP298">
            <v>0.10190391785343178</v>
          </cell>
          <cell r="AQ298">
            <v>0.10891311978268492</v>
          </cell>
          <cell r="AR298">
            <v>0.10891311978268492</v>
          </cell>
          <cell r="AS298">
            <v>0.11997493843889773</v>
          </cell>
          <cell r="AT298">
            <v>0.10176071624285665</v>
          </cell>
          <cell r="AU298">
            <v>7.8234853632493495E-2</v>
          </cell>
          <cell r="AV298">
            <v>6.7722901721972928E-2</v>
          </cell>
          <cell r="AW298">
            <v>6.7722901721972928E-2</v>
          </cell>
          <cell r="AX298">
            <v>5.9324790216614964E-3</v>
          </cell>
          <cell r="AY298">
            <v>2.0289452520678486E-2</v>
          </cell>
          <cell r="AZ298">
            <v>2.7708918104681679E-2</v>
          </cell>
        </row>
        <row r="299">
          <cell r="A299" t="str">
            <v>Analytics</v>
          </cell>
          <cell r="AX299">
            <v>1.6197434980328218E-2</v>
          </cell>
          <cell r="AY299">
            <v>2.2417418680381163E-2</v>
          </cell>
          <cell r="AZ299">
            <v>2.9484799479440715E-2</v>
          </cell>
          <cell r="BA299">
            <v>4.5475331416381382E-2</v>
          </cell>
          <cell r="BB299">
            <v>4.5475331416381382E-2</v>
          </cell>
          <cell r="BC299">
            <v>7.0336742903114535E-2</v>
          </cell>
          <cell r="BD299">
            <v>5.5541060519517904E-2</v>
          </cell>
          <cell r="BE299">
            <v>5.1090192105257115E-2</v>
          </cell>
          <cell r="BF299">
            <v>3.4034776754123808E-2</v>
          </cell>
          <cell r="BG299">
            <v>3.4034776754123808E-2</v>
          </cell>
          <cell r="BH299">
            <v>2.3505520956369264E-2</v>
          </cell>
          <cell r="BI299">
            <v>2.4561535489531439E-2</v>
          </cell>
          <cell r="BJ299">
            <v>2.4279177158800236E-2</v>
          </cell>
          <cell r="BK299">
            <v>3.8688048824781163E-2</v>
          </cell>
          <cell r="BL299">
            <v>3.8688048824781163E-2</v>
          </cell>
          <cell r="BM299">
            <v>4.2635264542165263E-2</v>
          </cell>
          <cell r="BN299">
            <v>4.6175428304971788E-2</v>
          </cell>
          <cell r="BO299">
            <v>4.9327793053597802E-2</v>
          </cell>
        </row>
        <row r="300">
          <cell r="A300" t="str">
            <v xml:space="preserve">  Other</v>
          </cell>
          <cell r="D300" t="str">
            <v>ND</v>
          </cell>
          <cell r="E300" t="str">
            <v>ND</v>
          </cell>
          <cell r="F300" t="str">
            <v>ND</v>
          </cell>
          <cell r="G300" t="str">
            <v>ND</v>
          </cell>
          <cell r="H300" t="str">
            <v>ND</v>
          </cell>
          <cell r="I300" t="str">
            <v>ND</v>
          </cell>
          <cell r="J300">
            <v>0.17199295420231486</v>
          </cell>
          <cell r="K300">
            <v>0.21378746936467041</v>
          </cell>
          <cell r="L300">
            <v>0.12842315135166826</v>
          </cell>
          <cell r="M300">
            <v>9.6948435237777186E-2</v>
          </cell>
          <cell r="N300">
            <v>9.6948435237777186E-2</v>
          </cell>
          <cell r="O300">
            <v>7.3161567364465885E-2</v>
          </cell>
          <cell r="P300">
            <v>6.7149883510225106E-2</v>
          </cell>
          <cell r="Q300">
            <v>-0.23577404770565913</v>
          </cell>
          <cell r="R300">
            <v>-0.22001116807959797</v>
          </cell>
          <cell r="S300">
            <v>-2.3E-2</v>
          </cell>
          <cell r="T300">
            <v>-0.22707947781723603</v>
          </cell>
          <cell r="U300">
            <v>-0.25557927420919846</v>
          </cell>
          <cell r="V300">
            <v>3.1551747586019419E-2</v>
          </cell>
          <cell r="W300">
            <v>-5.0113895216400417E-3</v>
          </cell>
          <cell r="X300">
            <v>-5.0113895216400417E-3</v>
          </cell>
          <cell r="Y300">
            <v>-2.6273215556849694E-2</v>
          </cell>
          <cell r="Z300">
            <v>-1.7596454640250281E-2</v>
          </cell>
          <cell r="AA300">
            <v>1.1404087013843212E-2</v>
          </cell>
          <cell r="AB300">
            <v>-2.3547880690737766E-2</v>
          </cell>
          <cell r="AC300">
            <v>-2.3547880690737766E-2</v>
          </cell>
          <cell r="AD300">
            <v>-8.0414700604771738E-3</v>
          </cell>
          <cell r="AE300">
            <v>-1.5589757197824072E-2</v>
          </cell>
          <cell r="AF300">
            <v>-8.4924721371309464E-2</v>
          </cell>
          <cell r="AG300">
            <v>-0.12057877813504825</v>
          </cell>
          <cell r="AH300">
            <v>-0.12057877813504825</v>
          </cell>
          <cell r="AI300">
            <v>-0.12702666488007508</v>
          </cell>
          <cell r="AJ300">
            <v>-0.13781252105937059</v>
          </cell>
          <cell r="AK300">
            <v>-0.11018518518518505</v>
          </cell>
          <cell r="AL300">
            <v>-0.13909201706276664</v>
          </cell>
          <cell r="AM300">
            <v>-0.13909201706276664</v>
          </cell>
          <cell r="AN300">
            <v>-0.12702666488007508</v>
          </cell>
          <cell r="AO300">
            <v>-0.13781252105937059</v>
          </cell>
          <cell r="AP300">
            <v>-0.11018518518518505</v>
          </cell>
          <cell r="AQ300">
            <v>-0.13909201706276664</v>
          </cell>
          <cell r="AR300">
            <v>-0.13909201706276664</v>
          </cell>
          <cell r="AX300">
            <v>0.11731044349070086</v>
          </cell>
          <cell r="AY300">
            <v>0.1321525885558581</v>
          </cell>
          <cell r="AZ300">
            <v>4.2821158690176109E-2</v>
          </cell>
          <cell r="BA300">
            <v>4.3901515151514969E-2</v>
          </cell>
          <cell r="BB300">
            <v>4.3901515151514969E-2</v>
          </cell>
          <cell r="BC300">
            <v>0.11382842509603064</v>
          </cell>
          <cell r="BD300">
            <v>4.6016847172081876E-2</v>
          </cell>
          <cell r="BE300">
            <v>4.7560386473429972E-2</v>
          </cell>
          <cell r="BF300">
            <v>6.5278130556261083E-2</v>
          </cell>
          <cell r="BG300">
            <v>0.12431329148372594</v>
          </cell>
          <cell r="BH300">
            <v>0.10468164559144744</v>
          </cell>
          <cell r="BI300">
            <v>0.14485338571625772</v>
          </cell>
          <cell r="BJ300">
            <v>0.1651243081175493</v>
          </cell>
          <cell r="BK300">
            <v>0.18044395919908252</v>
          </cell>
          <cell r="BL300">
            <v>0.11846150321903592</v>
          </cell>
          <cell r="BM300">
            <v>0.11180720201477956</v>
          </cell>
          <cell r="BN300">
            <v>0.10472132210327212</v>
          </cell>
          <cell r="BO300">
            <v>9.9031665535847635E-2</v>
          </cell>
        </row>
        <row r="301">
          <cell r="A301" t="str">
            <v>Subscription based fees total</v>
          </cell>
          <cell r="J301">
            <v>0.21439154255729598</v>
          </cell>
          <cell r="K301">
            <v>0.21827010689601511</v>
          </cell>
          <cell r="L301">
            <v>0.17859113224808487</v>
          </cell>
          <cell r="M301">
            <v>0.13467988398184594</v>
          </cell>
          <cell r="N301">
            <v>0.13467988398184594</v>
          </cell>
          <cell r="O301">
            <v>6.8607702719017949E-2</v>
          </cell>
          <cell r="P301">
            <v>4.0317897546752857E-2</v>
          </cell>
          <cell r="Q301">
            <v>0.51096192361020609</v>
          </cell>
          <cell r="R301">
            <v>0.55988248102247495</v>
          </cell>
          <cell r="S301">
            <v>2.9000000000000001E-2</v>
          </cell>
          <cell r="T301">
            <v>0.57764464529939952</v>
          </cell>
          <cell r="U301">
            <v>0.58651204657306866</v>
          </cell>
          <cell r="V301">
            <v>0.13872015184373265</v>
          </cell>
          <cell r="W301">
            <v>0.11825635691258052</v>
          </cell>
          <cell r="X301">
            <v>0.11825635691258052</v>
          </cell>
          <cell r="Y301">
            <v>0.14687773851590102</v>
          </cell>
          <cell r="Z301">
            <v>0.15125446708175216</v>
          </cell>
          <cell r="AA301">
            <v>9.4707659988463089E-2</v>
          </cell>
          <cell r="AB301">
            <v>9.2818461780482586E-2</v>
          </cell>
          <cell r="AC301">
            <v>9.2818461780482586E-2</v>
          </cell>
          <cell r="AD301">
            <v>7.5099989812048795E-2</v>
          </cell>
          <cell r="AE301">
            <v>5.8854024993199472E-2</v>
          </cell>
          <cell r="AF301">
            <v>5.4699518361106536E-2</v>
          </cell>
          <cell r="AG301">
            <v>0.11085728233878545</v>
          </cell>
          <cell r="AH301">
            <v>0.11085728233878545</v>
          </cell>
          <cell r="AI301">
            <v>0.10793332976699044</v>
          </cell>
          <cell r="AJ301">
            <v>0.11277185410848789</v>
          </cell>
          <cell r="AK301">
            <v>0.12365160822703536</v>
          </cell>
          <cell r="AL301">
            <v>7.7950559898584348E-2</v>
          </cell>
          <cell r="AM301">
            <v>7.7950559898584348E-2</v>
          </cell>
          <cell r="AN301">
            <v>0.10793332976699044</v>
          </cell>
          <cell r="AO301">
            <v>0.11277185410848789</v>
          </cell>
          <cell r="AP301">
            <v>0.12365160822703536</v>
          </cell>
          <cell r="AQ301">
            <v>7.7950559898584348E-2</v>
          </cell>
          <cell r="AR301">
            <v>7.7950559898584348E-2</v>
          </cell>
          <cell r="AS301">
            <v>9.4510554821336523E-2</v>
          </cell>
          <cell r="AT301">
            <v>9.984804020755611E-2</v>
          </cell>
          <cell r="AU301">
            <v>9.2881640280741973E-2</v>
          </cell>
          <cell r="AV301">
            <v>8.7399433679476335E-2</v>
          </cell>
          <cell r="AW301">
            <v>8.7399433679476335E-2</v>
          </cell>
          <cell r="AX301">
            <v>5.9059152422954231E-2</v>
          </cell>
          <cell r="AY301">
            <v>6.3745747958093846E-2</v>
          </cell>
          <cell r="AZ301">
            <v>6.1846317517840532E-2</v>
          </cell>
          <cell r="BA301">
            <v>6.7324619642215477E-2</v>
          </cell>
          <cell r="BB301">
            <v>6.7324619642215477E-2</v>
          </cell>
          <cell r="BC301">
            <v>8.6150755491235742E-2</v>
          </cell>
          <cell r="BD301">
            <v>7.2117957176335512E-2</v>
          </cell>
          <cell r="BE301">
            <v>6.899513574285443E-2</v>
          </cell>
          <cell r="BF301">
            <v>6.5450127954983062E-2</v>
          </cell>
          <cell r="BG301">
            <v>7.0945324435967683E-2</v>
          </cell>
          <cell r="BH301">
            <v>6.4597704588685856E-2</v>
          </cell>
          <cell r="BI301">
            <v>6.9997631798325299E-2</v>
          </cell>
          <cell r="BJ301">
            <v>7.2563957732848738E-2</v>
          </cell>
          <cell r="BK301">
            <v>8.2249144212520831E-2</v>
          </cell>
          <cell r="BL301">
            <v>7.6695945974359248E-2</v>
          </cell>
          <cell r="BM301">
            <v>8.0684382875491734E-2</v>
          </cell>
          <cell r="BN301">
            <v>8.3821657827925833E-2</v>
          </cell>
          <cell r="BO301">
            <v>8.6669856309413484E-2</v>
          </cell>
        </row>
        <row r="302">
          <cell r="A302" t="str">
            <v>Asset based fees</v>
          </cell>
        </row>
        <row r="303">
          <cell r="A303" t="str">
            <v xml:space="preserve">  Equity indices</v>
          </cell>
          <cell r="D303" t="str">
            <v>ND</v>
          </cell>
          <cell r="E303" t="str">
            <v>ND</v>
          </cell>
          <cell r="F303" t="str">
            <v>ND</v>
          </cell>
          <cell r="G303" t="str">
            <v>ND</v>
          </cell>
          <cell r="H303" t="str">
            <v>ND</v>
          </cell>
          <cell r="I303" t="str">
            <v>ND</v>
          </cell>
          <cell r="J303">
            <v>0.37712440516655343</v>
          </cell>
          <cell r="K303">
            <v>0.27615984562193452</v>
          </cell>
          <cell r="L303">
            <v>0.11029888767582796</v>
          </cell>
          <cell r="M303">
            <v>-0.32525141564334947</v>
          </cell>
          <cell r="N303">
            <v>-0.32525141564334947</v>
          </cell>
          <cell r="O303">
            <v>-0.30651199144349839</v>
          </cell>
          <cell r="P303">
            <v>-0.13188336399606859</v>
          </cell>
          <cell r="Q303">
            <v>0.15785498489425986</v>
          </cell>
          <cell r="R303">
            <v>0.84512365299635639</v>
          </cell>
          <cell r="S303">
            <v>0.79900000000000004</v>
          </cell>
          <cell r="T303">
            <v>0.98232293273223403</v>
          </cell>
          <cell r="U303">
            <v>0.3716541833594611</v>
          </cell>
          <cell r="V303">
            <v>0.3310933057637635</v>
          </cell>
          <cell r="W303">
            <v>0.2380752303022029</v>
          </cell>
          <cell r="X303">
            <v>0.2380752303022029</v>
          </cell>
          <cell r="Y303">
            <v>0.33916851197957176</v>
          </cell>
          <cell r="Z303">
            <v>0.48306806637317989</v>
          </cell>
          <cell r="AA303">
            <v>9.0411465557096449E-2</v>
          </cell>
          <cell r="AB303">
            <v>1.5610948025724047E-2</v>
          </cell>
          <cell r="AC303">
            <v>1.5610948025724047E-2</v>
          </cell>
          <cell r="AD303">
            <v>2.0147925247845366E-2</v>
          </cell>
          <cell r="AE303">
            <v>-7.9197111542413601E-2</v>
          </cell>
          <cell r="AF303">
            <v>-2.8424123193813156E-2</v>
          </cell>
          <cell r="AG303">
            <v>6.153409185838643E-2</v>
          </cell>
          <cell r="AH303">
            <v>6.153409185838643E-2</v>
          </cell>
          <cell r="AI303">
            <v>-2.0268395613381673E-2</v>
          </cell>
          <cell r="AJ303">
            <v>2.0698206052152557E-2</v>
          </cell>
          <cell r="AK303">
            <v>0.28280791788856319</v>
          </cell>
          <cell r="AL303">
            <v>0.24578978846638133</v>
          </cell>
          <cell r="AM303">
            <v>0.24578978846638133</v>
          </cell>
          <cell r="AN303">
            <v>-2.0268395613381673E-2</v>
          </cell>
          <cell r="AO303">
            <v>2.0698206052152557E-2</v>
          </cell>
          <cell r="AP303">
            <v>0.28280791788856319</v>
          </cell>
          <cell r="AQ303">
            <v>0.24578978846638133</v>
          </cell>
          <cell r="AR303">
            <v>0.24578978846638133</v>
          </cell>
          <cell r="AS303">
            <v>0.20640007154248585</v>
          </cell>
          <cell r="AT303">
            <v>0.34041422454371517</v>
          </cell>
          <cell r="AU303">
            <v>0.20951972730798274</v>
          </cell>
          <cell r="AV303">
            <v>0.1026688986450206</v>
          </cell>
          <cell r="AW303">
            <v>0.1026688986450206</v>
          </cell>
          <cell r="AX303">
            <v>0.17728345337962215</v>
          </cell>
          <cell r="AY303">
            <v>0.13971362869150505</v>
          </cell>
          <cell r="AZ303">
            <v>5.6498700597387819E-2</v>
          </cell>
          <cell r="BA303">
            <v>0.15174898887475807</v>
          </cell>
          <cell r="BB303">
            <v>0.15174898887475807</v>
          </cell>
          <cell r="BC303">
            <v>4.5906989678929255E-2</v>
          </cell>
          <cell r="BD303">
            <v>-2.9435297508709324E-2</v>
          </cell>
          <cell r="BE303">
            <v>0.1299449467037237</v>
          </cell>
          <cell r="BF303">
            <v>7.9260073515148299E-2</v>
          </cell>
          <cell r="BG303">
            <v>7.9260073515148299E-2</v>
          </cell>
          <cell r="BH303">
            <v>0.20821752872121602</v>
          </cell>
        </row>
        <row r="304">
          <cell r="A304" t="str">
            <v xml:space="preserve">  Hedge fund indices</v>
          </cell>
          <cell r="D304" t="str">
            <v>ND</v>
          </cell>
          <cell r="E304" t="str">
            <v>ND</v>
          </cell>
          <cell r="F304" t="str">
            <v>ND</v>
          </cell>
          <cell r="G304" t="str">
            <v>ND</v>
          </cell>
          <cell r="H304" t="str">
            <v>ND</v>
          </cell>
          <cell r="I304" t="str">
            <v>ND</v>
          </cell>
          <cell r="J304">
            <v>-0.35014534883720927</v>
          </cell>
          <cell r="K304">
            <v>-0.56828052115168082</v>
          </cell>
          <cell r="L304">
            <v>-0.62959381044487428</v>
          </cell>
          <cell r="M304">
            <v>-0.72743432747382974</v>
          </cell>
          <cell r="N304">
            <v>-0.72743432747382974</v>
          </cell>
          <cell r="O304" t="str">
            <v>NA</v>
          </cell>
          <cell r="P304" t="str">
            <v>NA</v>
          </cell>
          <cell r="Q304" t="str">
            <v>NA</v>
          </cell>
          <cell r="R304" t="str">
            <v>NA</v>
          </cell>
          <cell r="S304" t="str">
            <v>NA</v>
          </cell>
          <cell r="T304" t="str">
            <v>NA</v>
          </cell>
          <cell r="U304" t="str">
            <v>NA</v>
          </cell>
          <cell r="V304" t="str">
            <v>NA</v>
          </cell>
          <cell r="W304" t="str">
            <v>NA</v>
          </cell>
          <cell r="Y304" t="str">
            <v>NA</v>
          </cell>
          <cell r="Z304" t="str">
            <v>NA</v>
          </cell>
          <cell r="AA304" t="str">
            <v>NA</v>
          </cell>
          <cell r="AB304" t="str">
            <v>NA</v>
          </cell>
          <cell r="AC304">
            <v>1.5610948025724047E-2</v>
          </cell>
          <cell r="AD304" t="str">
            <v>NA</v>
          </cell>
          <cell r="AE304" t="str">
            <v>NA</v>
          </cell>
          <cell r="AF304" t="str">
            <v>NA</v>
          </cell>
          <cell r="AG304" t="str">
            <v>NA</v>
          </cell>
          <cell r="AH304">
            <v>6.153409185838643E-2</v>
          </cell>
          <cell r="AI304" t="str">
            <v>NA</v>
          </cell>
          <cell r="AJ304" t="str">
            <v>NA</v>
          </cell>
          <cell r="AK304" t="str">
            <v>NA</v>
          </cell>
          <cell r="AL304" t="str">
            <v>NA</v>
          </cell>
          <cell r="AM304">
            <v>0.24578978846638133</v>
          </cell>
          <cell r="AN304" t="str">
            <v>NA</v>
          </cell>
          <cell r="AO304" t="str">
            <v>NA</v>
          </cell>
          <cell r="AP304" t="str">
            <v>NA</v>
          </cell>
          <cell r="AQ304" t="str">
            <v>NA</v>
          </cell>
          <cell r="AR304">
            <v>0</v>
          </cell>
          <cell r="AS304" t="str">
            <v>NA</v>
          </cell>
          <cell r="AT304" t="str">
            <v>NA</v>
          </cell>
          <cell r="AU304" t="str">
            <v>NA</v>
          </cell>
          <cell r="AV304" t="str">
            <v>NA</v>
          </cell>
          <cell r="AX304" t="str">
            <v>NA</v>
          </cell>
          <cell r="AY304" t="str">
            <v>NA</v>
          </cell>
          <cell r="AZ304" t="str">
            <v>NA</v>
          </cell>
          <cell r="BA304" t="str">
            <v>NA</v>
          </cell>
          <cell r="BB304" t="str">
            <v>NA</v>
          </cell>
          <cell r="BC304" t="str">
            <v>NA</v>
          </cell>
          <cell r="BD304" t="str">
            <v>NA</v>
          </cell>
          <cell r="BE304" t="str">
            <v>NA</v>
          </cell>
          <cell r="BF304" t="str">
            <v>NA</v>
          </cell>
          <cell r="BG304" t="str">
            <v>NA</v>
          </cell>
          <cell r="BH304" t="str">
            <v>NA</v>
          </cell>
        </row>
        <row r="305">
          <cell r="A305" t="str">
            <v>Total run rate</v>
          </cell>
          <cell r="D305" t="str">
            <v>ND</v>
          </cell>
          <cell r="E305" t="str">
            <v>ND</v>
          </cell>
          <cell r="F305" t="str">
            <v>ND</v>
          </cell>
          <cell r="G305" t="str">
            <v>ND</v>
          </cell>
          <cell r="H305" t="str">
            <v>ND</v>
          </cell>
          <cell r="I305" t="str">
            <v>ND</v>
          </cell>
          <cell r="J305">
            <v>0.29350223945450904</v>
          </cell>
          <cell r="K305">
            <v>0.19940937399491254</v>
          </cell>
          <cell r="L305">
            <v>3.4270787489884658E-2</v>
          </cell>
          <cell r="M305">
            <v>-0.35022691033975228</v>
          </cell>
          <cell r="N305">
            <v>2.9814244524550393E-2</v>
          </cell>
          <cell r="O305">
            <v>-0.33365203235225727</v>
          </cell>
          <cell r="P305">
            <v>-0.14809487823310019</v>
          </cell>
          <cell r="Q305">
            <v>0.11524576887705384</v>
          </cell>
          <cell r="R305">
            <v>0.79705904560555707</v>
          </cell>
          <cell r="S305">
            <v>0.129</v>
          </cell>
          <cell r="T305">
            <v>0.62633728094371444</v>
          </cell>
          <cell r="U305">
            <v>0.54674031218451513</v>
          </cell>
          <cell r="V305">
            <v>0.16515601770495225</v>
          </cell>
          <cell r="W305">
            <v>0.13670886075949351</v>
          </cell>
          <cell r="X305">
            <v>0.13670886075949351</v>
          </cell>
          <cell r="Y305">
            <v>0.17743497564509192</v>
          </cell>
          <cell r="Z305">
            <v>0.20044998399638514</v>
          </cell>
          <cell r="AA305">
            <v>9.403319809259747E-2</v>
          </cell>
          <cell r="AB305">
            <v>7.9867935134519952E-2</v>
          </cell>
          <cell r="AC305">
            <v>7.9867935134519952E-2</v>
          </cell>
          <cell r="AD305">
            <v>6.5167961508792782E-2</v>
          </cell>
          <cell r="AE305">
            <v>3.3567546796947845E-2</v>
          </cell>
          <cell r="AF305">
            <v>4.1693092769552909E-2</v>
          </cell>
          <cell r="AG305">
            <v>0.10307627631268557</v>
          </cell>
          <cell r="AH305">
            <v>0.10307627631268557</v>
          </cell>
          <cell r="AI305">
            <v>8.5741512865460834E-2</v>
          </cell>
          <cell r="AJ305">
            <v>9.7746956551428621E-2</v>
          </cell>
          <cell r="AK305">
            <v>0.14687866594828414</v>
          </cell>
          <cell r="AL305">
            <v>0.10343097314049077</v>
          </cell>
          <cell r="AM305">
            <v>0.10343097314049077</v>
          </cell>
          <cell r="AN305">
            <v>8.5741512865460834E-2</v>
          </cell>
          <cell r="AO305">
            <v>9.7746956551428621E-2</v>
          </cell>
          <cell r="AP305">
            <v>0.14687866594828414</v>
          </cell>
          <cell r="AQ305">
            <v>0.10343097314049077</v>
          </cell>
          <cell r="AR305">
            <v>0.10343097314049077</v>
          </cell>
          <cell r="AS305">
            <v>0.11198764242178716</v>
          </cell>
          <cell r="AT305">
            <v>0.13634913229542844</v>
          </cell>
          <cell r="AU305">
            <v>0.11192111158126683</v>
          </cell>
          <cell r="AV305">
            <v>9.0016630648032336E-2</v>
          </cell>
          <cell r="AW305">
            <v>9.0016630648032336E-2</v>
          </cell>
          <cell r="AX305">
            <v>7.9093620357740813E-2</v>
          </cell>
          <cell r="AY305">
            <v>7.734229197564213E-2</v>
          </cell>
          <cell r="AZ305">
            <v>6.0896776423162269E-2</v>
          </cell>
          <cell r="BA305">
            <v>8.1962979334184061E-2</v>
          </cell>
          <cell r="BB305">
            <v>8.1985825465489937E-2</v>
          </cell>
          <cell r="BC305">
            <v>7.871043596949634E-2</v>
          </cell>
          <cell r="BD305">
            <v>5.2889944427402913E-2</v>
          </cell>
          <cell r="BE305">
            <v>7.9772726202861133E-2</v>
          </cell>
          <cell r="BF305">
            <v>6.7999081937112571E-2</v>
          </cell>
          <cell r="BG305">
            <v>6.7976531135904184E-2</v>
          </cell>
          <cell r="BH305">
            <v>8.5543083151823129E-2</v>
          </cell>
        </row>
        <row r="307">
          <cell r="A307" t="str">
            <v>Subscription run rate growth organic ex-FX</v>
          </cell>
        </row>
        <row r="308">
          <cell r="A308" t="str">
            <v>Index</v>
          </cell>
          <cell r="AN308">
            <v>0.09</v>
          </cell>
          <cell r="AO308">
            <v>0.08</v>
          </cell>
          <cell r="AP308">
            <v>0.08</v>
          </cell>
          <cell r="AQ308">
            <v>0.09</v>
          </cell>
          <cell r="AS308">
            <v>0.1</v>
          </cell>
          <cell r="AT308">
            <v>0.11</v>
          </cell>
          <cell r="AU308">
            <v>0.1</v>
          </cell>
          <cell r="AV308">
            <v>0.1</v>
          </cell>
          <cell r="AX308">
            <v>0.1</v>
          </cell>
          <cell r="AY308">
            <v>0.1</v>
          </cell>
          <cell r="AZ308">
            <v>0.11</v>
          </cell>
          <cell r="BA308">
            <v>0.1</v>
          </cell>
          <cell r="BC308">
            <v>0.1</v>
          </cell>
          <cell r="BD308">
            <v>0.1</v>
          </cell>
          <cell r="BE308">
            <v>0.11</v>
          </cell>
          <cell r="BF308">
            <v>0.1</v>
          </cell>
          <cell r="BH308">
            <v>0.1</v>
          </cell>
        </row>
        <row r="309">
          <cell r="A309" t="str">
            <v>Analytics</v>
          </cell>
          <cell r="AN309">
            <v>-4.0000000000000001E-3</v>
          </cell>
          <cell r="AO309">
            <v>2E-3</v>
          </cell>
          <cell r="AP309">
            <v>0.02</v>
          </cell>
          <cell r="AQ309">
            <v>0.03</v>
          </cell>
          <cell r="AS309">
            <v>0.04</v>
          </cell>
          <cell r="AT309">
            <v>0.04</v>
          </cell>
          <cell r="AU309">
            <v>0.04</v>
          </cell>
          <cell r="AV309">
            <v>0.06</v>
          </cell>
          <cell r="AX309">
            <v>0.06</v>
          </cell>
          <cell r="AY309">
            <v>0.06</v>
          </cell>
          <cell r="AZ309">
            <v>0.05</v>
          </cell>
          <cell r="BA309">
            <v>0.06</v>
          </cell>
          <cell r="BC309">
            <v>0.06</v>
          </cell>
          <cell r="BD309">
            <v>0.05</v>
          </cell>
          <cell r="BE309">
            <v>0.05</v>
          </cell>
          <cell r="BF309">
            <v>0.04</v>
          </cell>
          <cell r="BH309">
            <v>0.03</v>
          </cell>
        </row>
        <row r="310">
          <cell r="A310" t="str">
            <v>All Other</v>
          </cell>
          <cell r="AQ310">
            <v>0.12</v>
          </cell>
          <cell r="AS310">
            <v>0.14000000000000001</v>
          </cell>
          <cell r="AT310">
            <v>0.14000000000000001</v>
          </cell>
          <cell r="AU310">
            <v>0.15</v>
          </cell>
          <cell r="AV310">
            <v>0.15</v>
          </cell>
          <cell r="AX310">
            <v>0.14000000000000001</v>
          </cell>
          <cell r="AY310">
            <v>0.13</v>
          </cell>
          <cell r="AZ310">
            <v>0.11</v>
          </cell>
          <cell r="BA310">
            <v>0.1</v>
          </cell>
          <cell r="BC310">
            <v>0.12</v>
          </cell>
          <cell r="BD310">
            <v>0.1</v>
          </cell>
          <cell r="BE310">
            <v>0.11</v>
          </cell>
          <cell r="BF310">
            <v>0.15</v>
          </cell>
          <cell r="BH310">
            <v>0.13</v>
          </cell>
        </row>
        <row r="311">
          <cell r="A311" t="str">
            <v>Total Subscription</v>
          </cell>
          <cell r="AN311">
            <v>0.04</v>
          </cell>
          <cell r="AO311">
            <v>0.04</v>
          </cell>
          <cell r="AP311">
            <v>0.05</v>
          </cell>
          <cell r="AQ311">
            <v>0.06</v>
          </cell>
          <cell r="AS311">
            <v>7.0000000000000007E-2</v>
          </cell>
          <cell r="AT311">
            <v>7.0000000000000007E-2</v>
          </cell>
          <cell r="AU311">
            <v>0.08</v>
          </cell>
          <cell r="AV311">
            <v>0.08</v>
          </cell>
          <cell r="AX311">
            <v>0.08</v>
          </cell>
          <cell r="AY311">
            <v>0.08</v>
          </cell>
          <cell r="AZ311">
            <v>0.08</v>
          </cell>
          <cell r="BA311">
            <v>7.9000000000000001E-2</v>
          </cell>
          <cell r="BC311">
            <v>0.09</v>
          </cell>
          <cell r="BD311">
            <v>0.08</v>
          </cell>
          <cell r="BE311">
            <v>7.0000000000000007E-2</v>
          </cell>
          <cell r="BF311">
            <v>7.0000000000000007E-2</v>
          </cell>
          <cell r="BH311">
            <v>7.0000000000000007E-2</v>
          </cell>
        </row>
        <row r="313">
          <cell r="A313" t="str">
            <v>Subscription based fee - % Americas</v>
          </cell>
          <cell r="C313">
            <v>0.43</v>
          </cell>
          <cell r="D313">
            <v>0.43</v>
          </cell>
          <cell r="E313">
            <v>0.43</v>
          </cell>
          <cell r="F313">
            <v>0.44</v>
          </cell>
          <cell r="G313">
            <v>0.44</v>
          </cell>
          <cell r="H313">
            <v>0.43</v>
          </cell>
          <cell r="I313">
            <v>0.43</v>
          </cell>
          <cell r="J313">
            <v>0.44</v>
          </cell>
          <cell r="K313">
            <v>0.44</v>
          </cell>
          <cell r="L313">
            <v>0.44</v>
          </cell>
          <cell r="M313">
            <v>0.45</v>
          </cell>
          <cell r="N313">
            <v>0.45</v>
          </cell>
          <cell r="O313">
            <v>0.45</v>
          </cell>
          <cell r="P313">
            <v>0.439</v>
          </cell>
          <cell r="Q313">
            <v>0.51</v>
          </cell>
          <cell r="R313">
            <v>0.51</v>
          </cell>
          <cell r="S313">
            <v>0.51</v>
          </cell>
          <cell r="T313">
            <v>0.52</v>
          </cell>
          <cell r="U313">
            <v>0.52</v>
          </cell>
          <cell r="V313">
            <v>0.53</v>
          </cell>
          <cell r="W313">
            <v>0.53</v>
          </cell>
          <cell r="X313">
            <v>0.53</v>
          </cell>
          <cell r="Y313">
            <v>0.52</v>
          </cell>
          <cell r="Z313">
            <v>0.52</v>
          </cell>
          <cell r="AA313">
            <v>0.53</v>
          </cell>
          <cell r="AB313">
            <v>0.52</v>
          </cell>
          <cell r="AC313">
            <v>0.52</v>
          </cell>
          <cell r="AD313">
            <v>0.53</v>
          </cell>
          <cell r="AE313">
            <v>0.53</v>
          </cell>
          <cell r="AF313">
            <v>0.53</v>
          </cell>
          <cell r="AG313">
            <v>0.54500000000000004</v>
          </cell>
          <cell r="AH313">
            <v>0.54500000000000004</v>
          </cell>
          <cell r="AI313">
            <v>0.54500000000000004</v>
          </cell>
          <cell r="AJ313">
            <v>0.54500000000000004</v>
          </cell>
          <cell r="AK313">
            <v>0.54500000000000004</v>
          </cell>
          <cell r="AL313">
            <v>0.54500000000000004</v>
          </cell>
          <cell r="AM313">
            <v>0.54500000000000004</v>
          </cell>
          <cell r="AN313">
            <v>0.54500000000000004</v>
          </cell>
          <cell r="AO313">
            <v>0.54500000000000004</v>
          </cell>
          <cell r="AP313">
            <v>0.54500000000000004</v>
          </cell>
          <cell r="AQ313">
            <v>0.54500000000000004</v>
          </cell>
          <cell r="AR313">
            <v>0.54500000000000004</v>
          </cell>
          <cell r="AS313">
            <v>0.54500000000000004</v>
          </cell>
          <cell r="AT313">
            <v>0.54500000000000004</v>
          </cell>
          <cell r="AU313">
            <v>0.54500000000000004</v>
          </cell>
          <cell r="AV313">
            <v>0.54500000000000004</v>
          </cell>
          <cell r="AW313">
            <v>0.52</v>
          </cell>
          <cell r="AX313">
            <v>0.52</v>
          </cell>
          <cell r="AY313">
            <v>0.52</v>
          </cell>
          <cell r="AZ313">
            <v>0.52</v>
          </cell>
          <cell r="BA313">
            <v>0.52</v>
          </cell>
          <cell r="BB313">
            <v>0.52</v>
          </cell>
          <cell r="BC313">
            <v>0.52</v>
          </cell>
          <cell r="BD313">
            <v>0.52</v>
          </cell>
          <cell r="BE313">
            <v>0.52</v>
          </cell>
          <cell r="BF313">
            <v>0.52</v>
          </cell>
          <cell r="BG313">
            <v>0.52</v>
          </cell>
          <cell r="BH313">
            <v>0.52</v>
          </cell>
          <cell r="BI313">
            <v>0.52</v>
          </cell>
          <cell r="BJ313">
            <v>0.52</v>
          </cell>
          <cell r="BK313">
            <v>0.52</v>
          </cell>
          <cell r="BL313">
            <v>0.52</v>
          </cell>
          <cell r="BM313">
            <v>0.52</v>
          </cell>
          <cell r="BN313">
            <v>0.52</v>
          </cell>
          <cell r="BO313">
            <v>0.52</v>
          </cell>
        </row>
        <row r="314">
          <cell r="A314" t="str">
            <v>Subscription based fee - % non-Americas</v>
          </cell>
          <cell r="C314">
            <v>0.56999999999999995</v>
          </cell>
          <cell r="D314">
            <v>0.56999999999999995</v>
          </cell>
          <cell r="E314">
            <v>0.56999999999999995</v>
          </cell>
          <cell r="F314">
            <v>0.56000000000000005</v>
          </cell>
          <cell r="G314">
            <v>0.56000000000000005</v>
          </cell>
          <cell r="H314">
            <v>0.56999999999999995</v>
          </cell>
          <cell r="I314">
            <v>0.56999999999999995</v>
          </cell>
          <cell r="J314">
            <v>0.56000000000000005</v>
          </cell>
          <cell r="K314">
            <v>0.56000000000000005</v>
          </cell>
          <cell r="L314">
            <v>0.56000000000000005</v>
          </cell>
          <cell r="M314">
            <v>0.55000000000000004</v>
          </cell>
          <cell r="N314">
            <v>0.55000000000000004</v>
          </cell>
          <cell r="O314">
            <v>0.55000000000000004</v>
          </cell>
          <cell r="P314">
            <v>0.56100000000000005</v>
          </cell>
          <cell r="Q314">
            <v>0.49</v>
          </cell>
          <cell r="R314">
            <v>0.49</v>
          </cell>
          <cell r="S314">
            <v>0.49</v>
          </cell>
          <cell r="T314">
            <v>0.48</v>
          </cell>
          <cell r="U314">
            <v>0.48</v>
          </cell>
          <cell r="V314">
            <v>0.47</v>
          </cell>
          <cell r="W314">
            <v>0.47</v>
          </cell>
          <cell r="X314">
            <v>0.47</v>
          </cell>
          <cell r="Y314">
            <v>0.48</v>
          </cell>
          <cell r="Z314">
            <v>0.48</v>
          </cell>
          <cell r="AA314">
            <v>0.47</v>
          </cell>
          <cell r="AB314">
            <v>0.48</v>
          </cell>
          <cell r="AC314">
            <v>0.48</v>
          </cell>
          <cell r="AD314">
            <v>0.47</v>
          </cell>
          <cell r="AE314">
            <v>0.47</v>
          </cell>
          <cell r="AF314">
            <v>0.47</v>
          </cell>
          <cell r="AG314">
            <v>0.45499999999999996</v>
          </cell>
          <cell r="AH314">
            <v>0.45499999999999996</v>
          </cell>
          <cell r="AI314">
            <v>0.45499999999999996</v>
          </cell>
          <cell r="AJ314">
            <v>0.45499999999999996</v>
          </cell>
          <cell r="AK314">
            <v>0.45499999999999996</v>
          </cell>
          <cell r="AL314">
            <v>0.45499999999999996</v>
          </cell>
          <cell r="AM314">
            <v>0.45499999999999996</v>
          </cell>
          <cell r="AN314">
            <v>0.45499999999999996</v>
          </cell>
          <cell r="AO314">
            <v>0.45499999999999996</v>
          </cell>
          <cell r="AP314">
            <v>0.45499999999999996</v>
          </cell>
          <cell r="AQ314">
            <v>0.45499999999999996</v>
          </cell>
          <cell r="AR314">
            <v>0.45499999999999996</v>
          </cell>
          <cell r="AS314">
            <v>0.45499999999999996</v>
          </cell>
          <cell r="AT314">
            <v>0.45499999999999996</v>
          </cell>
          <cell r="AU314">
            <v>0.45499999999999996</v>
          </cell>
          <cell r="AV314">
            <v>0.45499999999999996</v>
          </cell>
          <cell r="AW314">
            <v>0.48</v>
          </cell>
          <cell r="AX314">
            <v>0.48</v>
          </cell>
          <cell r="AY314">
            <v>0.48</v>
          </cell>
          <cell r="AZ314">
            <v>0.48</v>
          </cell>
          <cell r="BA314">
            <v>0.48</v>
          </cell>
          <cell r="BB314">
            <v>0.48</v>
          </cell>
          <cell r="BC314">
            <v>0.48</v>
          </cell>
          <cell r="BD314">
            <v>0.48</v>
          </cell>
          <cell r="BE314">
            <v>0.48</v>
          </cell>
          <cell r="BF314">
            <v>0.48</v>
          </cell>
          <cell r="BG314">
            <v>0.48</v>
          </cell>
          <cell r="BH314">
            <v>0.48</v>
          </cell>
          <cell r="BI314">
            <v>0.48</v>
          </cell>
          <cell r="BJ314">
            <v>0.48</v>
          </cell>
          <cell r="BK314">
            <v>0.48</v>
          </cell>
          <cell r="BL314">
            <v>0.48</v>
          </cell>
          <cell r="BM314">
            <v>0.48</v>
          </cell>
          <cell r="BN314">
            <v>0.48</v>
          </cell>
          <cell r="BO314">
            <v>0.48</v>
          </cell>
        </row>
        <row r="316">
          <cell r="A316" t="str">
            <v>Subscription based fee - by client type</v>
          </cell>
        </row>
        <row r="317">
          <cell r="A317" t="str">
            <v xml:space="preserve">  % Asset Managers</v>
          </cell>
          <cell r="C317" t="str">
            <v>ND</v>
          </cell>
          <cell r="D317" t="str">
            <v>ND</v>
          </cell>
          <cell r="E317" t="str">
            <v>ND</v>
          </cell>
          <cell r="F317" t="str">
            <v>ND</v>
          </cell>
          <cell r="G317" t="str">
            <v>ND</v>
          </cell>
          <cell r="H317" t="str">
            <v>ND</v>
          </cell>
          <cell r="I317" t="str">
            <v>ND</v>
          </cell>
          <cell r="J317">
            <v>0.622</v>
          </cell>
          <cell r="K317">
            <v>0.622</v>
          </cell>
          <cell r="L317">
            <v>0.61799999999999999</v>
          </cell>
          <cell r="M317">
            <v>0.61599999999999999</v>
          </cell>
          <cell r="N317">
            <v>0.61599999999999999</v>
          </cell>
          <cell r="O317">
            <v>0.60799999999999998</v>
          </cell>
          <cell r="P317">
            <v>0.61399999999999999</v>
          </cell>
          <cell r="Q317">
            <v>0.57999999999999996</v>
          </cell>
          <cell r="R317">
            <v>0.56999999999999995</v>
          </cell>
          <cell r="S317">
            <v>0.56999999999999995</v>
          </cell>
          <cell r="T317">
            <v>0.56999999999999995</v>
          </cell>
          <cell r="U317">
            <v>0.56999999999999995</v>
          </cell>
          <cell r="V317">
            <v>0.56999999999999995</v>
          </cell>
          <cell r="W317">
            <v>0.56000000000000005</v>
          </cell>
          <cell r="X317">
            <v>0.56000000000000005</v>
          </cell>
          <cell r="Y317">
            <v>0.56000000000000005</v>
          </cell>
          <cell r="Z317">
            <v>0.56999999999999995</v>
          </cell>
          <cell r="AA317">
            <v>0.56000000000000005</v>
          </cell>
          <cell r="AB317">
            <v>0.56999999999999995</v>
          </cell>
          <cell r="AC317">
            <v>0.56999999999999995</v>
          </cell>
          <cell r="AD317">
            <v>0.56999999999999995</v>
          </cell>
          <cell r="AE317">
            <v>0.56999999999999995</v>
          </cell>
          <cell r="AF317">
            <v>0.56999999999999995</v>
          </cell>
          <cell r="AG317">
            <v>0.56999999999999995</v>
          </cell>
          <cell r="AH317">
            <v>0.56999999999999995</v>
          </cell>
          <cell r="AI317">
            <v>0.56999999999999995</v>
          </cell>
          <cell r="AJ317">
            <v>0.56999999999999995</v>
          </cell>
          <cell r="AK317">
            <v>0.56999999999999995</v>
          </cell>
          <cell r="AL317">
            <v>0.56999999999999995</v>
          </cell>
          <cell r="AM317">
            <v>0.56999999999999995</v>
          </cell>
          <cell r="AN317">
            <v>0.56999999999999995</v>
          </cell>
          <cell r="AO317">
            <v>0.56999999999999995</v>
          </cell>
          <cell r="AP317">
            <v>0.56999999999999995</v>
          </cell>
          <cell r="AQ317">
            <v>0.56999999999999995</v>
          </cell>
          <cell r="AR317">
            <v>0.56999999999999995</v>
          </cell>
          <cell r="AS317">
            <v>0.61</v>
          </cell>
          <cell r="AT317">
            <v>0.61</v>
          </cell>
          <cell r="AU317">
            <v>0.61</v>
          </cell>
          <cell r="AV317">
            <v>0.61</v>
          </cell>
          <cell r="AW317">
            <v>0.61</v>
          </cell>
          <cell r="AX317">
            <v>0.61</v>
          </cell>
          <cell r="AY317">
            <v>0.61</v>
          </cell>
          <cell r="AZ317">
            <v>0.61</v>
          </cell>
          <cell r="BA317">
            <v>0.61</v>
          </cell>
          <cell r="BB317">
            <v>0.61</v>
          </cell>
          <cell r="BC317">
            <v>0.61</v>
          </cell>
          <cell r="BD317">
            <v>0.61</v>
          </cell>
          <cell r="BE317">
            <v>0.61</v>
          </cell>
          <cell r="BF317">
            <v>0.61</v>
          </cell>
          <cell r="BG317">
            <v>0.61</v>
          </cell>
          <cell r="BH317">
            <v>0.61</v>
          </cell>
          <cell r="BI317">
            <v>0.61</v>
          </cell>
          <cell r="BJ317">
            <v>0.61</v>
          </cell>
          <cell r="BK317">
            <v>0.61</v>
          </cell>
          <cell r="BL317">
            <v>0.61</v>
          </cell>
          <cell r="BM317">
            <v>0.61</v>
          </cell>
          <cell r="BN317">
            <v>0.61</v>
          </cell>
          <cell r="BO317">
            <v>0.61</v>
          </cell>
        </row>
        <row r="318">
          <cell r="A318" t="str">
            <v xml:space="preserve">  % Banking &amp; Trading/ Broker Dealers</v>
          </cell>
          <cell r="C318" t="str">
            <v>ND</v>
          </cell>
          <cell r="D318" t="str">
            <v>ND</v>
          </cell>
          <cell r="E318" t="str">
            <v>ND</v>
          </cell>
          <cell r="F318" t="str">
            <v>ND</v>
          </cell>
          <cell r="G318" t="str">
            <v>ND</v>
          </cell>
          <cell r="H318" t="str">
            <v>ND</v>
          </cell>
          <cell r="I318" t="str">
            <v>ND</v>
          </cell>
          <cell r="J318">
            <v>0.123</v>
          </cell>
          <cell r="K318">
            <v>0.122</v>
          </cell>
          <cell r="L318">
            <v>0.123</v>
          </cell>
          <cell r="M318">
            <v>0.121</v>
          </cell>
          <cell r="N318">
            <v>0.121</v>
          </cell>
          <cell r="O318">
            <v>0.123</v>
          </cell>
          <cell r="P318">
            <v>0.122</v>
          </cell>
          <cell r="Q318">
            <v>0.15</v>
          </cell>
          <cell r="R318">
            <v>0.16</v>
          </cell>
          <cell r="S318">
            <v>0.16</v>
          </cell>
          <cell r="T318">
            <v>0.16</v>
          </cell>
          <cell r="U318">
            <v>0.16</v>
          </cell>
          <cell r="V318">
            <v>0.15</v>
          </cell>
          <cell r="W318">
            <v>0.16</v>
          </cell>
          <cell r="X318">
            <v>0.16</v>
          </cell>
          <cell r="Y318">
            <v>0.17</v>
          </cell>
          <cell r="Z318">
            <v>0.16</v>
          </cell>
          <cell r="AA318">
            <v>0.16500000000000001</v>
          </cell>
          <cell r="AB318">
            <v>0.16</v>
          </cell>
          <cell r="AC318">
            <v>0.16</v>
          </cell>
          <cell r="AD318">
            <v>0.16</v>
          </cell>
          <cell r="AE318">
            <v>0.16</v>
          </cell>
          <cell r="AF318">
            <v>0.16</v>
          </cell>
          <cell r="AG318">
            <v>0.16</v>
          </cell>
          <cell r="AH318">
            <v>0.16</v>
          </cell>
          <cell r="AI318">
            <v>0.16</v>
          </cell>
          <cell r="AJ318">
            <v>0.16</v>
          </cell>
          <cell r="AK318">
            <v>0.16</v>
          </cell>
          <cell r="AL318">
            <v>0.16</v>
          </cell>
          <cell r="AM318">
            <v>0.16</v>
          </cell>
          <cell r="AN318">
            <v>0.16</v>
          </cell>
          <cell r="AO318">
            <v>0.16</v>
          </cell>
          <cell r="AP318">
            <v>0.16</v>
          </cell>
          <cell r="AQ318">
            <v>0.16</v>
          </cell>
          <cell r="AR318">
            <v>0.16</v>
          </cell>
          <cell r="AS318">
            <v>0.16</v>
          </cell>
          <cell r="AT318">
            <v>0.16</v>
          </cell>
          <cell r="AU318">
            <v>0.16</v>
          </cell>
          <cell r="AV318">
            <v>0.16</v>
          </cell>
          <cell r="AW318">
            <v>0.16</v>
          </cell>
          <cell r="AX318">
            <v>0.16</v>
          </cell>
          <cell r="AY318">
            <v>0.16</v>
          </cell>
          <cell r="AZ318">
            <v>0.16</v>
          </cell>
          <cell r="BA318">
            <v>0.16</v>
          </cell>
          <cell r="BB318">
            <v>0.16</v>
          </cell>
          <cell r="BC318">
            <v>0.16</v>
          </cell>
          <cell r="BD318">
            <v>0.16</v>
          </cell>
          <cell r="BE318">
            <v>0.16</v>
          </cell>
          <cell r="BF318">
            <v>0.16</v>
          </cell>
          <cell r="BG318">
            <v>0.16</v>
          </cell>
          <cell r="BH318">
            <v>0.16</v>
          </cell>
          <cell r="BI318">
            <v>0.16</v>
          </cell>
          <cell r="BJ318">
            <v>0.16</v>
          </cell>
          <cell r="BK318">
            <v>0.16</v>
          </cell>
          <cell r="BL318">
            <v>0.16</v>
          </cell>
          <cell r="BM318">
            <v>0.16</v>
          </cell>
          <cell r="BN318">
            <v>0.16</v>
          </cell>
          <cell r="BO318">
            <v>0.16</v>
          </cell>
        </row>
        <row r="319">
          <cell r="A319" t="str">
            <v xml:space="preserve">  % Alternative Inv Mgmt/ Hedge Funds</v>
          </cell>
          <cell r="C319" t="str">
            <v>ND</v>
          </cell>
          <cell r="D319" t="str">
            <v>ND</v>
          </cell>
          <cell r="E319" t="str">
            <v>ND</v>
          </cell>
          <cell r="F319" t="str">
            <v>ND</v>
          </cell>
          <cell r="G319" t="str">
            <v>ND</v>
          </cell>
          <cell r="H319" t="str">
            <v>ND</v>
          </cell>
          <cell r="I319" t="str">
            <v>ND</v>
          </cell>
          <cell r="J319">
            <v>6.2E-2</v>
          </cell>
          <cell r="K319">
            <v>6.3E-2</v>
          </cell>
          <cell r="L319">
            <v>6.2E-2</v>
          </cell>
          <cell r="M319">
            <v>6.0999999999999999E-2</v>
          </cell>
          <cell r="N319">
            <v>6.0999999999999999E-2</v>
          </cell>
          <cell r="O319">
            <v>6.0999999999999999E-2</v>
          </cell>
          <cell r="P319">
            <v>0.06</v>
          </cell>
          <cell r="Q319">
            <v>0.11</v>
          </cell>
          <cell r="R319">
            <v>0.1</v>
          </cell>
          <cell r="S319">
            <v>0.1</v>
          </cell>
          <cell r="T319">
            <v>0.1</v>
          </cell>
          <cell r="U319">
            <v>0.1</v>
          </cell>
          <cell r="V319">
            <v>0.12</v>
          </cell>
          <cell r="W319">
            <v>0.11</v>
          </cell>
          <cell r="X319">
            <v>0.11</v>
          </cell>
          <cell r="Y319">
            <v>0.11</v>
          </cell>
          <cell r="Z319">
            <v>0.11</v>
          </cell>
          <cell r="AA319">
            <v>0.11</v>
          </cell>
          <cell r="AB319">
            <v>0.11</v>
          </cell>
          <cell r="AC319">
            <v>0.11</v>
          </cell>
          <cell r="AD319">
            <v>0.11</v>
          </cell>
          <cell r="AE319">
            <v>0.11</v>
          </cell>
          <cell r="AF319">
            <v>0.11</v>
          </cell>
          <cell r="AG319">
            <v>0.11</v>
          </cell>
          <cell r="AH319">
            <v>0.11</v>
          </cell>
          <cell r="AI319">
            <v>0.11</v>
          </cell>
          <cell r="AJ319">
            <v>0.11</v>
          </cell>
          <cell r="AK319">
            <v>0.11</v>
          </cell>
          <cell r="AL319">
            <v>0.11</v>
          </cell>
          <cell r="AM319">
            <v>0.11</v>
          </cell>
          <cell r="AN319">
            <v>0.11</v>
          </cell>
          <cell r="AO319">
            <v>0.11</v>
          </cell>
          <cell r="AP319">
            <v>0.11</v>
          </cell>
          <cell r="AQ319">
            <v>0.11</v>
          </cell>
          <cell r="AR319">
            <v>0.11</v>
          </cell>
          <cell r="AS319">
            <v>0.09</v>
          </cell>
          <cell r="AT319">
            <v>0.09</v>
          </cell>
          <cell r="AU319">
            <v>0.09</v>
          </cell>
          <cell r="AV319">
            <v>0.09</v>
          </cell>
          <cell r="AW319">
            <v>0.09</v>
          </cell>
          <cell r="AX319">
            <v>0.09</v>
          </cell>
          <cell r="AY319">
            <v>0.09</v>
          </cell>
          <cell r="AZ319">
            <v>0.09</v>
          </cell>
          <cell r="BA319">
            <v>0.09</v>
          </cell>
          <cell r="BB319">
            <v>0.09</v>
          </cell>
          <cell r="BC319">
            <v>0.09</v>
          </cell>
          <cell r="BD319">
            <v>0.09</v>
          </cell>
          <cell r="BE319">
            <v>0.09</v>
          </cell>
          <cell r="BF319">
            <v>0.09</v>
          </cell>
          <cell r="BG319">
            <v>0.09</v>
          </cell>
          <cell r="BH319">
            <v>0.09</v>
          </cell>
          <cell r="BI319">
            <v>0.09</v>
          </cell>
          <cell r="BJ319">
            <v>0.09</v>
          </cell>
          <cell r="BK319">
            <v>0.09</v>
          </cell>
          <cell r="BL319">
            <v>0.09</v>
          </cell>
          <cell r="BM319">
            <v>0.09</v>
          </cell>
          <cell r="BN319">
            <v>0.09</v>
          </cell>
          <cell r="BO319">
            <v>0.09</v>
          </cell>
        </row>
        <row r="320">
          <cell r="A320" t="str">
            <v xml:space="preserve">  % Asset Owners &amp; Consultants</v>
          </cell>
          <cell r="C320" t="str">
            <v>ND</v>
          </cell>
          <cell r="D320" t="str">
            <v>ND</v>
          </cell>
          <cell r="E320" t="str">
            <v>ND</v>
          </cell>
          <cell r="F320" t="str">
            <v>ND</v>
          </cell>
          <cell r="G320" t="str">
            <v>ND</v>
          </cell>
          <cell r="H320" t="str">
            <v>ND</v>
          </cell>
          <cell r="I320" t="str">
            <v>ND</v>
          </cell>
          <cell r="J320">
            <v>5.7000000000000002E-2</v>
          </cell>
          <cell r="K320">
            <v>5.7000000000000002E-2</v>
          </cell>
          <cell r="L320">
            <v>5.8000000000000003E-2</v>
          </cell>
          <cell r="M320">
            <v>0.06</v>
          </cell>
          <cell r="N320">
            <v>0.06</v>
          </cell>
          <cell r="O320">
            <v>6.0999999999999999E-2</v>
          </cell>
          <cell r="P320">
            <v>6.0999999999999999E-2</v>
          </cell>
          <cell r="Q320">
            <v>0.09</v>
          </cell>
          <cell r="R320">
            <v>0.09</v>
          </cell>
          <cell r="S320">
            <v>0.09</v>
          </cell>
          <cell r="T320">
            <v>0.08</v>
          </cell>
          <cell r="U320">
            <v>0.09</v>
          </cell>
          <cell r="V320">
            <v>0.09</v>
          </cell>
          <cell r="W320">
            <v>0.09</v>
          </cell>
          <cell r="X320">
            <v>0.09</v>
          </cell>
          <cell r="Y320">
            <v>0.09</v>
          </cell>
          <cell r="Z320">
            <v>0.09</v>
          </cell>
          <cell r="AA320">
            <v>0.09</v>
          </cell>
          <cell r="AB320">
            <v>0.09</v>
          </cell>
          <cell r="AC320">
            <v>0.09</v>
          </cell>
          <cell r="AD320">
            <v>0.09</v>
          </cell>
          <cell r="AE320">
            <v>0.09</v>
          </cell>
          <cell r="AF320">
            <v>0.09</v>
          </cell>
          <cell r="AG320">
            <v>0.09</v>
          </cell>
          <cell r="AH320">
            <v>0.09</v>
          </cell>
          <cell r="AI320">
            <v>0.09</v>
          </cell>
          <cell r="AJ320">
            <v>0.09</v>
          </cell>
          <cell r="AK320">
            <v>0.09</v>
          </cell>
          <cell r="AL320">
            <v>0.09</v>
          </cell>
          <cell r="AM320">
            <v>0.09</v>
          </cell>
          <cell r="AN320">
            <v>0.09</v>
          </cell>
          <cell r="AO320">
            <v>0.09</v>
          </cell>
          <cell r="AP320">
            <v>0.09</v>
          </cell>
          <cell r="AQ320">
            <v>0.09</v>
          </cell>
          <cell r="AR320">
            <v>0.09</v>
          </cell>
          <cell r="AS320">
            <v>0.09</v>
          </cell>
          <cell r="AT320">
            <v>0.09</v>
          </cell>
          <cell r="AU320">
            <v>0.09</v>
          </cell>
          <cell r="AV320">
            <v>0.09</v>
          </cell>
          <cell r="AW320">
            <v>0.09</v>
          </cell>
          <cell r="AX320">
            <v>0.09</v>
          </cell>
          <cell r="AY320">
            <v>0.09</v>
          </cell>
          <cell r="AZ320">
            <v>0.09</v>
          </cell>
          <cell r="BA320">
            <v>0.09</v>
          </cell>
          <cell r="BB320">
            <v>0.09</v>
          </cell>
          <cell r="BC320">
            <v>0.09</v>
          </cell>
          <cell r="BD320">
            <v>0.09</v>
          </cell>
          <cell r="BE320">
            <v>0.09</v>
          </cell>
          <cell r="BF320">
            <v>0.09</v>
          </cell>
          <cell r="BG320">
            <v>0.09</v>
          </cell>
          <cell r="BH320">
            <v>0.09</v>
          </cell>
          <cell r="BI320">
            <v>0.09</v>
          </cell>
          <cell r="BJ320">
            <v>0.09</v>
          </cell>
          <cell r="BK320">
            <v>0.09</v>
          </cell>
          <cell r="BL320">
            <v>0.09</v>
          </cell>
          <cell r="BM320">
            <v>0.09</v>
          </cell>
          <cell r="BN320">
            <v>0.09</v>
          </cell>
          <cell r="BO320">
            <v>0.09</v>
          </cell>
        </row>
        <row r="321">
          <cell r="A321" t="str">
            <v xml:space="preserve">  % Corporate</v>
          </cell>
          <cell r="C321" t="str">
            <v>ND</v>
          </cell>
          <cell r="D321" t="str">
            <v>ND</v>
          </cell>
          <cell r="E321" t="str">
            <v>ND</v>
          </cell>
          <cell r="F321" t="str">
            <v>ND</v>
          </cell>
          <cell r="G321" t="str">
            <v>ND</v>
          </cell>
          <cell r="H321" t="str">
            <v>ND</v>
          </cell>
          <cell r="I321" t="str">
            <v>ND</v>
          </cell>
          <cell r="J321">
            <v>0.13600000000000001</v>
          </cell>
          <cell r="K321">
            <v>0.13700000000000001</v>
          </cell>
          <cell r="L321">
            <v>0.14000000000000001</v>
          </cell>
          <cell r="M321">
            <v>0.14299999999999999</v>
          </cell>
          <cell r="N321">
            <v>0.14299999999999999</v>
          </cell>
          <cell r="O321">
            <v>0.14599999999999999</v>
          </cell>
          <cell r="P321">
            <v>0.14399999999999999</v>
          </cell>
          <cell r="Q321">
            <v>7.0000000000000007E-2</v>
          </cell>
          <cell r="R321">
            <v>0.02</v>
          </cell>
          <cell r="S321">
            <v>0.02</v>
          </cell>
          <cell r="T321">
            <v>0.02</v>
          </cell>
          <cell r="U321">
            <v>0.02</v>
          </cell>
          <cell r="V321">
            <v>0.02</v>
          </cell>
          <cell r="W321">
            <v>0.02</v>
          </cell>
          <cell r="X321">
            <v>0.02</v>
          </cell>
          <cell r="Y321">
            <v>0.02</v>
          </cell>
          <cell r="Z321">
            <v>0.02</v>
          </cell>
        </row>
        <row r="322">
          <cell r="A322" t="str">
            <v xml:space="preserve">  % Other</v>
          </cell>
          <cell r="R322">
            <v>0.05</v>
          </cell>
          <cell r="S322">
            <v>0.05</v>
          </cell>
          <cell r="T322">
            <v>7.0000000000000007E-2</v>
          </cell>
          <cell r="U322">
            <v>0.06</v>
          </cell>
          <cell r="V322">
            <v>0.05</v>
          </cell>
          <cell r="W322">
            <v>0.05</v>
          </cell>
          <cell r="X322">
            <v>0.05</v>
          </cell>
          <cell r="Y322">
            <v>0.05</v>
          </cell>
          <cell r="Z322">
            <v>0.05</v>
          </cell>
          <cell r="AA322">
            <v>0.08</v>
          </cell>
          <cell r="AB322">
            <v>7.0000000000000007E-2</v>
          </cell>
          <cell r="AC322">
            <v>7.0000000000000007E-2</v>
          </cell>
          <cell r="AD322">
            <v>7.0000000000000062E-2</v>
          </cell>
          <cell r="AE322">
            <v>7.0000000000000062E-2</v>
          </cell>
          <cell r="AF322">
            <v>7.0000000000000062E-2</v>
          </cell>
          <cell r="AG322">
            <v>7.0000000000000062E-2</v>
          </cell>
          <cell r="AH322">
            <v>7.0000000000000007E-2</v>
          </cell>
          <cell r="AI322">
            <v>7.0000000000000062E-2</v>
          </cell>
          <cell r="AJ322">
            <v>7.0000000000000062E-2</v>
          </cell>
          <cell r="AK322">
            <v>7.0000000000000062E-2</v>
          </cell>
          <cell r="AL322">
            <v>7.0000000000000062E-2</v>
          </cell>
          <cell r="AM322">
            <v>7.0000000000000007E-2</v>
          </cell>
          <cell r="AN322">
            <v>7.0000000000000062E-2</v>
          </cell>
          <cell r="AO322">
            <v>7.0000000000000062E-2</v>
          </cell>
          <cell r="AP322">
            <v>7.0000000000000062E-2</v>
          </cell>
          <cell r="AQ322">
            <v>7.0000000000000062E-2</v>
          </cell>
          <cell r="AR322">
            <v>7.0000000000000007E-2</v>
          </cell>
          <cell r="AS322">
            <v>5.0000000000000044E-2</v>
          </cell>
          <cell r="AT322">
            <v>5.0000000000000044E-2</v>
          </cell>
          <cell r="AU322">
            <v>5.0000000000000044E-2</v>
          </cell>
          <cell r="AV322">
            <v>5.0000000000000044E-2</v>
          </cell>
          <cell r="AW322">
            <v>5.0000000000000044E-2</v>
          </cell>
          <cell r="AX322">
            <v>5.0000000000000044E-2</v>
          </cell>
          <cell r="AY322">
            <v>5.0000000000000044E-2</v>
          </cell>
          <cell r="AZ322">
            <v>5.0000000000000044E-2</v>
          </cell>
          <cell r="BA322">
            <v>5.0000000000000044E-2</v>
          </cell>
          <cell r="BB322">
            <v>5.0000000000000044E-2</v>
          </cell>
          <cell r="BC322">
            <v>5.0000000000000044E-2</v>
          </cell>
          <cell r="BD322">
            <v>5.0000000000000044E-2</v>
          </cell>
          <cell r="BE322">
            <v>5.0000000000000044E-2</v>
          </cell>
          <cell r="BF322">
            <v>5.0000000000000044E-2</v>
          </cell>
          <cell r="BG322">
            <v>5.0000000000000044E-2</v>
          </cell>
          <cell r="BH322">
            <v>5.0000000000000044E-2</v>
          </cell>
          <cell r="BI322">
            <v>5.0000000000000044E-2</v>
          </cell>
          <cell r="BJ322">
            <v>5.0000000000000044E-2</v>
          </cell>
          <cell r="BK322">
            <v>5.0000000000000044E-2</v>
          </cell>
          <cell r="BL322">
            <v>5.0000000000000044E-2</v>
          </cell>
          <cell r="BM322">
            <v>5.0000000000000044E-2</v>
          </cell>
          <cell r="BN322">
            <v>5.0000000000000044E-2</v>
          </cell>
          <cell r="BO322">
            <v>5.0000000000000044E-2</v>
          </cell>
        </row>
        <row r="323">
          <cell r="A323" t="str">
            <v>Retention Rates:</v>
          </cell>
        </row>
        <row r="324">
          <cell r="A324" t="str">
            <v>Aggregate Retention Rate</v>
          </cell>
          <cell r="O324" t="str">
            <v>FQ Feb</v>
          </cell>
          <cell r="P324" t="str">
            <v>FQ May</v>
          </cell>
          <cell r="Q324" t="str">
            <v>FQ Aug</v>
          </cell>
          <cell r="R324" t="str">
            <v>FQ Nov</v>
          </cell>
        </row>
        <row r="325">
          <cell r="A325" t="str">
            <v>Equity indices</v>
          </cell>
          <cell r="C325">
            <v>0.86399999999999999</v>
          </cell>
          <cell r="D325">
            <v>0.93899999999999995</v>
          </cell>
          <cell r="E325">
            <v>0.97299999999999998</v>
          </cell>
          <cell r="F325">
            <v>0.94699999999999995</v>
          </cell>
          <cell r="G325">
            <v>0.95799999999999996</v>
          </cell>
          <cell r="H325">
            <v>0.94199999999999995</v>
          </cell>
          <cell r="I325">
            <v>0.95499999999999996</v>
          </cell>
          <cell r="J325">
            <v>0.98</v>
          </cell>
          <cell r="K325">
            <v>0.94299999999999995</v>
          </cell>
          <cell r="L325">
            <v>0.95599999999999996</v>
          </cell>
          <cell r="M325">
            <v>0.89300000000000002</v>
          </cell>
          <cell r="N325">
            <v>0.94299999999999995</v>
          </cell>
          <cell r="O325">
            <v>0.93799999999999994</v>
          </cell>
          <cell r="P325">
            <v>0.92800000000000005</v>
          </cell>
          <cell r="Q325">
            <v>0.90500000000000003</v>
          </cell>
          <cell r="R325">
            <v>0.88500000000000001</v>
          </cell>
          <cell r="S325">
            <v>0.91399999999999992</v>
          </cell>
          <cell r="T325">
            <v>0.94399999999999995</v>
          </cell>
          <cell r="U325">
            <v>0.90200000000000002</v>
          </cell>
          <cell r="V325">
            <v>0.92400000000000004</v>
          </cell>
          <cell r="W325">
            <v>0.89800000000000002</v>
          </cell>
          <cell r="X325">
            <v>0.91700000000000004</v>
          </cell>
          <cell r="Y325">
            <v>0.95</v>
          </cell>
          <cell r="Z325">
            <v>0.92800000000000005</v>
          </cell>
          <cell r="AA325">
            <v>0.95199999999999996</v>
          </cell>
          <cell r="AB325">
            <v>0.89300000000000002</v>
          </cell>
          <cell r="AC325">
            <v>0.93074999999999997</v>
          </cell>
          <cell r="AD325">
            <v>0.94499999999999995</v>
          </cell>
          <cell r="AE325">
            <v>0.94899999999999995</v>
          </cell>
          <cell r="AF325">
            <v>0.94</v>
          </cell>
          <cell r="AG325">
            <v>0.90400000000000003</v>
          </cell>
          <cell r="AH325">
            <v>0.93449999999999989</v>
          </cell>
          <cell r="AI325">
            <v>0.95</v>
          </cell>
          <cell r="AJ325">
            <v>0.94</v>
          </cell>
          <cell r="AK325">
            <v>0.94699999999999995</v>
          </cell>
          <cell r="AL325">
            <v>0.90700000000000003</v>
          </cell>
          <cell r="AM325">
            <v>0.93599999999999994</v>
          </cell>
          <cell r="AN325">
            <v>0.95599999999999996</v>
          </cell>
          <cell r="AO325">
            <v>0.94899999999999995</v>
          </cell>
          <cell r="AP325">
            <v>0.94399999999999995</v>
          </cell>
          <cell r="AQ325">
            <v>0.92100000000000004</v>
          </cell>
          <cell r="AR325">
            <v>0.94199999999999995</v>
          </cell>
          <cell r="AS325">
            <v>0.95399999999999996</v>
          </cell>
          <cell r="AT325">
            <v>0.95299999999999996</v>
          </cell>
          <cell r="AU325">
            <v>0.95299999999999996</v>
          </cell>
          <cell r="AV325">
            <v>0.95199999999999996</v>
          </cell>
          <cell r="AW325">
            <v>0.95299999999999996</v>
          </cell>
          <cell r="AX325">
            <v>0.97199999999999998</v>
          </cell>
          <cell r="AY325">
            <v>0.95399999999999996</v>
          </cell>
          <cell r="AZ325">
            <v>0.95399999999999996</v>
          </cell>
          <cell r="BA325">
            <v>0.92700000000000005</v>
          </cell>
          <cell r="BB325">
            <v>0.95199999999999996</v>
          </cell>
          <cell r="BC325">
            <v>0.96299999999999997</v>
          </cell>
          <cell r="BD325">
            <v>0.95599999999999996</v>
          </cell>
          <cell r="BE325">
            <v>0.95799999999999996</v>
          </cell>
          <cell r="BF325">
            <v>0.93400000000000005</v>
          </cell>
          <cell r="BG325">
            <v>0.95299999999999996</v>
          </cell>
          <cell r="BH325">
            <v>0.96549999999999991</v>
          </cell>
          <cell r="BI325">
            <v>0.96099999999999997</v>
          </cell>
          <cell r="BJ325">
            <v>0.96299999999999997</v>
          </cell>
          <cell r="BK325">
            <v>0.93900000000000006</v>
          </cell>
          <cell r="BL325">
            <v>0.957125</v>
          </cell>
          <cell r="BM325">
            <v>0.9621249999999999</v>
          </cell>
          <cell r="BN325">
            <v>0.96649999999999991</v>
          </cell>
          <cell r="BO325">
            <v>0.97087500000000004</v>
          </cell>
        </row>
        <row r="326">
          <cell r="A326" t="str">
            <v>Risk management analytics</v>
          </cell>
          <cell r="C326">
            <v>0.88700000000000001</v>
          </cell>
          <cell r="D326">
            <v>0.874</v>
          </cell>
          <cell r="E326">
            <v>0.92700000000000005</v>
          </cell>
          <cell r="F326">
            <v>0.78900000000000003</v>
          </cell>
          <cell r="G326">
            <v>0.95399999999999996</v>
          </cell>
          <cell r="H326">
            <v>0.92100000000000004</v>
          </cell>
          <cell r="I326">
            <v>0.89800000000000002</v>
          </cell>
          <cell r="J326">
            <v>0.98599999999999999</v>
          </cell>
          <cell r="K326">
            <v>0.76900000000000002</v>
          </cell>
          <cell r="L326">
            <v>0.91100000000000003</v>
          </cell>
          <cell r="M326">
            <v>0.85099999999999998</v>
          </cell>
          <cell r="N326">
            <v>0.879</v>
          </cell>
          <cell r="O326">
            <v>0.85499999999999998</v>
          </cell>
          <cell r="P326">
            <v>0.79500000000000004</v>
          </cell>
          <cell r="Q326">
            <v>0.80400000000000005</v>
          </cell>
          <cell r="R326">
            <v>0.80200000000000005</v>
          </cell>
          <cell r="S326">
            <v>0.81399999999999995</v>
          </cell>
          <cell r="T326">
            <v>0.83399999999999996</v>
          </cell>
          <cell r="U326">
            <v>0.92</v>
          </cell>
          <cell r="V326">
            <v>0.877</v>
          </cell>
          <cell r="W326">
            <v>0.85599999999999998</v>
          </cell>
          <cell r="X326">
            <v>0.87175000000000002</v>
          </cell>
          <cell r="Y326">
            <v>0.94199999999999995</v>
          </cell>
          <cell r="Z326">
            <v>0.92200000000000004</v>
          </cell>
          <cell r="AA326">
            <v>0.92100000000000004</v>
          </cell>
          <cell r="AB326">
            <v>0.80800000000000005</v>
          </cell>
          <cell r="AC326">
            <v>0.89824999999999999</v>
          </cell>
          <cell r="AD326">
            <v>0.93899999999999995</v>
          </cell>
          <cell r="AE326">
            <v>0.9</v>
          </cell>
          <cell r="AF326">
            <v>0.88500000000000001</v>
          </cell>
          <cell r="AG326">
            <v>0.84399999999999997</v>
          </cell>
          <cell r="AH326">
            <v>0.89200000000000002</v>
          </cell>
          <cell r="AI326">
            <v>0.93500000000000005</v>
          </cell>
          <cell r="AJ326">
            <v>0.92500000000000004</v>
          </cell>
          <cell r="AK326">
            <v>0.92300000000000004</v>
          </cell>
          <cell r="AL326">
            <v>0.872</v>
          </cell>
          <cell r="AM326">
            <v>0.91375000000000006</v>
          </cell>
          <cell r="AN326">
            <v>0.93400000000000005</v>
          </cell>
          <cell r="AO326">
            <v>0.92200000000000004</v>
          </cell>
          <cell r="AP326">
            <v>0.91700000000000004</v>
          </cell>
          <cell r="AQ326">
            <v>0.85699999999999998</v>
          </cell>
          <cell r="AR326">
            <v>0.90749999999999997</v>
          </cell>
          <cell r="AS326">
            <v>0.91</v>
          </cell>
          <cell r="AT326">
            <v>0.91600000000000004</v>
          </cell>
          <cell r="AU326">
            <v>0.94399999999999995</v>
          </cell>
          <cell r="AV326">
            <v>0.88600000000000001</v>
          </cell>
          <cell r="AW326">
            <v>0.91400000000000003</v>
          </cell>
          <cell r="AX326">
            <v>0.93100000000000005</v>
          </cell>
          <cell r="AY326">
            <v>0.94099999999999995</v>
          </cell>
          <cell r="AZ326">
            <v>0.95299999999999996</v>
          </cell>
          <cell r="BB326">
            <v>0.92924999999999991</v>
          </cell>
        </row>
        <row r="327">
          <cell r="A327" t="str">
            <v>Portfolio management analytics</v>
          </cell>
          <cell r="C327">
            <v>0.77300000000000002</v>
          </cell>
          <cell r="D327">
            <v>0.88600000000000001</v>
          </cell>
          <cell r="E327">
            <v>0.95299999999999996</v>
          </cell>
          <cell r="F327">
            <v>0.95799999999999996</v>
          </cell>
          <cell r="G327">
            <v>0.88500000000000001</v>
          </cell>
          <cell r="H327">
            <v>0.85299999999999998</v>
          </cell>
          <cell r="I327">
            <v>0.91200000000000003</v>
          </cell>
          <cell r="J327">
            <v>0.95199999999999996</v>
          </cell>
          <cell r="K327">
            <v>0.88900000000000001</v>
          </cell>
          <cell r="L327">
            <v>0.877</v>
          </cell>
          <cell r="M327">
            <v>0.69599999999999995</v>
          </cell>
          <cell r="N327">
            <v>0.85299999999999998</v>
          </cell>
          <cell r="O327">
            <v>0.86499999999999999</v>
          </cell>
          <cell r="P327">
            <v>0.82199999999999995</v>
          </cell>
          <cell r="Q327">
            <v>0.69099999999999995</v>
          </cell>
          <cell r="R327">
            <v>0.77700000000000002</v>
          </cell>
          <cell r="S327">
            <v>0.78874999999999995</v>
          </cell>
          <cell r="T327">
            <v>0.88900000000000001</v>
          </cell>
          <cell r="U327">
            <v>0.84499999999999997</v>
          </cell>
          <cell r="V327">
            <v>0.82199999999999995</v>
          </cell>
          <cell r="W327">
            <v>0.61099999999999999</v>
          </cell>
          <cell r="X327">
            <v>0.79174999999999995</v>
          </cell>
          <cell r="Y327">
            <v>0.88600000000000001</v>
          </cell>
          <cell r="Z327">
            <v>0.91400000000000003</v>
          </cell>
          <cell r="AA327">
            <v>0.86599999999999999</v>
          </cell>
          <cell r="AB327">
            <v>0.872</v>
          </cell>
          <cell r="AC327">
            <v>0.88449999999999995</v>
          </cell>
          <cell r="AD327">
            <v>0.91900000000000004</v>
          </cell>
          <cell r="AE327">
            <v>0.84199999999999997</v>
          </cell>
          <cell r="AF327">
            <v>0.84899999999999998</v>
          </cell>
          <cell r="AG327">
            <v>0.78</v>
          </cell>
          <cell r="AH327">
            <v>0.84750000000000014</v>
          </cell>
          <cell r="AI327">
            <v>0.81699999999999995</v>
          </cell>
          <cell r="AJ327">
            <v>0.87</v>
          </cell>
          <cell r="AK327">
            <v>0.89100000000000001</v>
          </cell>
          <cell r="AL327">
            <v>0.88900000000000001</v>
          </cell>
          <cell r="AM327">
            <v>0.86674999999999991</v>
          </cell>
          <cell r="AN327">
            <v>0.81699999999999995</v>
          </cell>
          <cell r="AO327">
            <v>0.87</v>
          </cell>
          <cell r="AP327">
            <v>0.89100000000000001</v>
          </cell>
          <cell r="AQ327">
            <v>0.88900000000000001</v>
          </cell>
          <cell r="AR327">
            <v>0.86674999999999991</v>
          </cell>
          <cell r="AS327">
            <v>0.90600000000000003</v>
          </cell>
          <cell r="AT327">
            <v>0.94799999999999995</v>
          </cell>
          <cell r="AU327">
            <v>0.93600000000000005</v>
          </cell>
          <cell r="AV327">
            <v>0.93200000000000005</v>
          </cell>
          <cell r="AW327">
            <v>0.93049999999999999</v>
          </cell>
          <cell r="AX327">
            <v>0.92200000000000004</v>
          </cell>
          <cell r="AY327">
            <v>0.92900000000000005</v>
          </cell>
          <cell r="AZ327">
            <v>0.95399999999999996</v>
          </cell>
          <cell r="BB327">
            <v>0.9355</v>
          </cell>
        </row>
        <row r="328">
          <cell r="A328" t="str">
            <v>Analytics</v>
          </cell>
          <cell r="AN328">
            <v>0.90100000000000002</v>
          </cell>
          <cell r="AO328">
            <v>0.90700000000000003</v>
          </cell>
          <cell r="AP328">
            <v>0.91</v>
          </cell>
          <cell r="AQ328">
            <v>0.86599999999999999</v>
          </cell>
          <cell r="AR328">
            <v>0.89600000000000002</v>
          </cell>
          <cell r="AS328">
            <v>0.90900000000000003</v>
          </cell>
          <cell r="AT328">
            <v>0.92400000000000004</v>
          </cell>
          <cell r="AU328">
            <v>0.94199999999999995</v>
          </cell>
          <cell r="AV328">
            <v>0.89700000000000002</v>
          </cell>
          <cell r="AW328">
            <v>0.91800000000000004</v>
          </cell>
          <cell r="AX328">
            <v>0.92900000000000005</v>
          </cell>
          <cell r="AY328">
            <v>0.93799999999999994</v>
          </cell>
          <cell r="AZ328">
            <v>0.95299999999999996</v>
          </cell>
          <cell r="BA328">
            <v>0.89900000000000002</v>
          </cell>
          <cell r="BB328">
            <v>0.93</v>
          </cell>
          <cell r="BC328">
            <v>0.94599999999999995</v>
          </cell>
          <cell r="BD328">
            <v>0.91700000000000004</v>
          </cell>
          <cell r="BE328">
            <v>0.90400000000000003</v>
          </cell>
          <cell r="BF328">
            <v>0.874</v>
          </cell>
          <cell r="BG328">
            <v>0.91</v>
          </cell>
          <cell r="BH328">
            <v>0.93599999999999994</v>
          </cell>
          <cell r="BI328">
            <v>0.91700000000000004</v>
          </cell>
          <cell r="BJ328">
            <v>0.90400000000000003</v>
          </cell>
          <cell r="BK328">
            <v>0.874</v>
          </cell>
          <cell r="BL328">
            <v>0.90775000000000006</v>
          </cell>
          <cell r="BM328">
            <v>0.90775000000000006</v>
          </cell>
          <cell r="BN328">
            <v>0.90775000000000006</v>
          </cell>
          <cell r="BO328">
            <v>0.90775000000000006</v>
          </cell>
        </row>
        <row r="329">
          <cell r="A329" t="str">
            <v>ESG</v>
          </cell>
          <cell r="AN329">
            <v>0.92100000000000004</v>
          </cell>
          <cell r="AO329">
            <v>0.88500000000000001</v>
          </cell>
          <cell r="AP329">
            <v>0.90900000000000003</v>
          </cell>
          <cell r="AQ329">
            <v>0.86699999999999999</v>
          </cell>
          <cell r="AR329">
            <v>0.89600000000000002</v>
          </cell>
          <cell r="AS329">
            <v>0.94499999999999995</v>
          </cell>
          <cell r="AT329">
            <v>0.95799999999999996</v>
          </cell>
          <cell r="AU329">
            <v>0.95499999999999996</v>
          </cell>
          <cell r="AV329">
            <v>0.879</v>
          </cell>
          <cell r="AW329">
            <v>0.92100000000000004</v>
          </cell>
          <cell r="AX329">
            <v>0.94</v>
          </cell>
          <cell r="AY329">
            <v>0.93799999999999994</v>
          </cell>
          <cell r="AZ329">
            <v>0.91700000000000004</v>
          </cell>
          <cell r="BB329">
            <v>0.91774999999999995</v>
          </cell>
          <cell r="BD329">
            <v>0.94299999999999995</v>
          </cell>
          <cell r="BE329">
            <v>0.92200000000000004</v>
          </cell>
          <cell r="BF329">
            <v>0.88100000000000001</v>
          </cell>
          <cell r="BG329">
            <v>0.92149999999999999</v>
          </cell>
          <cell r="BH329">
            <v>0.94</v>
          </cell>
          <cell r="BI329">
            <v>0.94799999999999995</v>
          </cell>
          <cell r="BJ329">
            <v>0.92700000000000005</v>
          </cell>
          <cell r="BK329">
            <v>0.88600000000000001</v>
          </cell>
          <cell r="BL329">
            <v>0.92525000000000002</v>
          </cell>
          <cell r="BM329">
            <v>0.92899999999999994</v>
          </cell>
          <cell r="BN329">
            <v>0.92899999999999994</v>
          </cell>
          <cell r="BO329">
            <v>0.92899999999999994</v>
          </cell>
        </row>
        <row r="330">
          <cell r="A330" t="str">
            <v>Real Estate</v>
          </cell>
          <cell r="AN330">
            <v>0.91900000000000004</v>
          </cell>
          <cell r="AO330">
            <v>0.91</v>
          </cell>
          <cell r="AP330">
            <v>0.98699999999999999</v>
          </cell>
          <cell r="AQ330">
            <v>0.82199999999999995</v>
          </cell>
          <cell r="AR330">
            <v>0.91</v>
          </cell>
          <cell r="AS330">
            <v>0.91300000000000003</v>
          </cell>
          <cell r="AT330">
            <v>0.84699999999999998</v>
          </cell>
          <cell r="AU330">
            <v>0.93600000000000005</v>
          </cell>
          <cell r="AV330">
            <v>0.81100000000000005</v>
          </cell>
          <cell r="AW330">
            <v>0.877</v>
          </cell>
          <cell r="AX330">
            <v>0.88100000000000001</v>
          </cell>
          <cell r="AY330">
            <v>0.88200000000000001</v>
          </cell>
          <cell r="AZ330">
            <v>0.87</v>
          </cell>
          <cell r="BB330">
            <v>0.86099999999999999</v>
          </cell>
          <cell r="BD330">
            <v>0.88700000000000001</v>
          </cell>
          <cell r="BE330">
            <v>0.875</v>
          </cell>
          <cell r="BF330">
            <v>0.81600000000000006</v>
          </cell>
          <cell r="BG330">
            <v>0.86474999999999991</v>
          </cell>
          <cell r="BH330">
            <v>0.88600000000000001</v>
          </cell>
          <cell r="BI330">
            <v>0.89200000000000002</v>
          </cell>
          <cell r="BJ330">
            <v>0.88</v>
          </cell>
          <cell r="BK330">
            <v>0.82100000000000006</v>
          </cell>
          <cell r="BL330">
            <v>0.86975000000000002</v>
          </cell>
          <cell r="BM330">
            <v>0.86975000000000002</v>
          </cell>
          <cell r="BN330">
            <v>0.86975000000000002</v>
          </cell>
          <cell r="BO330">
            <v>0.86975000000000002</v>
          </cell>
        </row>
        <row r="331">
          <cell r="A331" t="str">
            <v>All Other</v>
          </cell>
          <cell r="AN331">
            <v>0.92</v>
          </cell>
          <cell r="AO331">
            <v>0.90200000000000002</v>
          </cell>
          <cell r="AP331">
            <v>0.96199999999999997</v>
          </cell>
          <cell r="AQ331">
            <v>0.83699999999999997</v>
          </cell>
          <cell r="AR331">
            <v>0.90500000000000003</v>
          </cell>
          <cell r="AS331">
            <v>0.92400000000000004</v>
          </cell>
          <cell r="AT331">
            <v>0.88500000000000001</v>
          </cell>
          <cell r="AU331">
            <v>0.94299999999999995</v>
          </cell>
          <cell r="AV331">
            <v>0.83899999999999997</v>
          </cell>
          <cell r="AW331">
            <v>0.89500000000000002</v>
          </cell>
          <cell r="AX331">
            <v>0.90700000000000003</v>
          </cell>
          <cell r="AY331">
            <v>0.90700000000000003</v>
          </cell>
          <cell r="AZ331">
            <v>0.89100000000000001</v>
          </cell>
          <cell r="BA331">
            <v>0.83899999999999997</v>
          </cell>
          <cell r="BB331">
            <v>0.88600000000000001</v>
          </cell>
          <cell r="BC331">
            <v>0.92200000000000004</v>
          </cell>
          <cell r="BD331">
            <v>0.89200000000000002</v>
          </cell>
          <cell r="BE331">
            <v>0.90800000000000003</v>
          </cell>
          <cell r="BF331">
            <v>0.878</v>
          </cell>
          <cell r="BG331">
            <v>0.9</v>
          </cell>
          <cell r="BH331">
            <v>0.92700000000000005</v>
          </cell>
          <cell r="BI331">
            <v>0.89700000000000002</v>
          </cell>
          <cell r="BJ331">
            <v>0.91300000000000003</v>
          </cell>
          <cell r="BK331">
            <v>0.88300000000000001</v>
          </cell>
          <cell r="BL331">
            <v>0.90500000000000003</v>
          </cell>
          <cell r="BM331">
            <v>0.90500000000000003</v>
          </cell>
          <cell r="BN331">
            <v>0.90500000000000003</v>
          </cell>
          <cell r="BO331">
            <v>0.90500000000000003</v>
          </cell>
        </row>
        <row r="332">
          <cell r="A332" t="str">
            <v xml:space="preserve">  Total aggregate retention</v>
          </cell>
          <cell r="C332">
            <v>0.82099999999999995</v>
          </cell>
          <cell r="D332">
            <v>0.90600000000000003</v>
          </cell>
          <cell r="E332">
            <v>0.94799999999999995</v>
          </cell>
          <cell r="F332">
            <v>0.93500000000000005</v>
          </cell>
          <cell r="G332">
            <v>0.92300000000000004</v>
          </cell>
          <cell r="H332">
            <v>0.89900000000000002</v>
          </cell>
          <cell r="I332">
            <v>0.91800000000000004</v>
          </cell>
          <cell r="J332">
            <v>0.96599999999999997</v>
          </cell>
          <cell r="K332">
            <v>0.90600000000000003</v>
          </cell>
          <cell r="L332">
            <v>0.91600000000000004</v>
          </cell>
          <cell r="M332">
            <v>0.80600000000000005</v>
          </cell>
          <cell r="N332">
            <v>0.89900000000000002</v>
          </cell>
          <cell r="O332">
            <v>0.85599999999999998</v>
          </cell>
          <cell r="P332">
            <v>0.85099999999999998</v>
          </cell>
          <cell r="Q332">
            <v>0.81899999999999995</v>
          </cell>
          <cell r="R332">
            <v>0.82</v>
          </cell>
          <cell r="S332">
            <v>0.83649999999999991</v>
          </cell>
          <cell r="T332">
            <v>0.88100000000000001</v>
          </cell>
          <cell r="U332">
            <v>0.88800000000000001</v>
          </cell>
          <cell r="V332">
            <v>0.88100000000000001</v>
          </cell>
          <cell r="W332">
            <v>0.81799999999999995</v>
          </cell>
          <cell r="X332">
            <v>0.8670000000000001</v>
          </cell>
          <cell r="Y332">
            <v>0.91800000000000004</v>
          </cell>
          <cell r="Z332">
            <v>0.91900000000000004</v>
          </cell>
          <cell r="AA332">
            <v>0.91300000000000003</v>
          </cell>
          <cell r="AB332">
            <v>0.84499999999999997</v>
          </cell>
          <cell r="AC332">
            <v>0.89874999999999994</v>
          </cell>
          <cell r="AD332">
            <v>0.93</v>
          </cell>
          <cell r="AE332">
            <v>0.91</v>
          </cell>
          <cell r="AF332">
            <v>0.9</v>
          </cell>
          <cell r="AG332">
            <v>0.84899999999999998</v>
          </cell>
          <cell r="AH332">
            <v>0.8972500000000001</v>
          </cell>
          <cell r="AI332">
            <v>0.92100000000000004</v>
          </cell>
          <cell r="AJ332">
            <v>0.92300000000000004</v>
          </cell>
          <cell r="AK332">
            <v>0.92200000000000004</v>
          </cell>
          <cell r="AL332">
            <v>0.88700000000000001</v>
          </cell>
          <cell r="AM332">
            <v>0.91325000000000001</v>
          </cell>
          <cell r="AN332">
            <v>0.92400000000000004</v>
          </cell>
          <cell r="AO332">
            <v>0.92300000000000004</v>
          </cell>
          <cell r="AP332">
            <v>0.92700000000000005</v>
          </cell>
          <cell r="AQ332">
            <v>0.88500000000000001</v>
          </cell>
          <cell r="AR332">
            <v>0.91474999999999995</v>
          </cell>
          <cell r="AS332">
            <v>0.92800000000000005</v>
          </cell>
          <cell r="AT332">
            <v>0.93200000000000005</v>
          </cell>
          <cell r="AU332">
            <v>0.94599999999999995</v>
          </cell>
          <cell r="AV332">
            <v>0.91300000000000003</v>
          </cell>
          <cell r="AW332">
            <v>0.92975000000000008</v>
          </cell>
          <cell r="AX332">
            <v>0.94399999999999995</v>
          </cell>
          <cell r="AY332">
            <v>0.94199999999999995</v>
          </cell>
          <cell r="AZ332">
            <v>0.94799999999999995</v>
          </cell>
          <cell r="BA332">
            <v>0.90400000000000003</v>
          </cell>
          <cell r="BB332">
            <v>0.93400000000000005</v>
          </cell>
          <cell r="BC332">
            <v>0.95099999999999996</v>
          </cell>
          <cell r="BD332">
            <v>0.93100000000000005</v>
          </cell>
          <cell r="BE332">
            <v>0.92700000000000005</v>
          </cell>
          <cell r="BF332">
            <v>0.89900000000000002</v>
          </cell>
          <cell r="BG332">
            <v>0.92700000000000005</v>
          </cell>
          <cell r="BH332">
            <v>0.94717327945180974</v>
          </cell>
          <cell r="BI332">
            <v>0.93320489685387753</v>
          </cell>
          <cell r="BJ332">
            <v>0.92930142196076826</v>
          </cell>
          <cell r="BK332">
            <v>0.90152899114998564</v>
          </cell>
          <cell r="BL332">
            <v>0.92780214735411026</v>
          </cell>
          <cell r="BM332">
            <v>0.92936568479258641</v>
          </cell>
          <cell r="BN332">
            <v>0.93096298140234879</v>
          </cell>
          <cell r="BO332">
            <v>0.93286537180095963</v>
          </cell>
        </row>
        <row r="334">
          <cell r="A334" t="str">
            <v>Core Retention Rate</v>
          </cell>
        </row>
        <row r="335">
          <cell r="A335" t="str">
            <v>Equity indices</v>
          </cell>
          <cell r="C335">
            <v>0.86799999999999999</v>
          </cell>
          <cell r="D335">
            <v>0.94299999999999995</v>
          </cell>
          <cell r="E335">
            <v>0.98099999999999998</v>
          </cell>
          <cell r="F335">
            <v>0.95499999999999996</v>
          </cell>
          <cell r="G335">
            <v>0.96</v>
          </cell>
          <cell r="H335">
            <v>0.94399999999999995</v>
          </cell>
          <cell r="I335">
            <v>0.96</v>
          </cell>
          <cell r="J335">
            <v>0.98099999999999998</v>
          </cell>
          <cell r="K335">
            <v>0.94499999999999995</v>
          </cell>
          <cell r="L335">
            <v>0.96</v>
          </cell>
          <cell r="M335">
            <v>0.89500000000000002</v>
          </cell>
          <cell r="N335">
            <v>0.94499999999999995</v>
          </cell>
          <cell r="O335">
            <v>0.94</v>
          </cell>
          <cell r="P335">
            <v>0.93100000000000005</v>
          </cell>
          <cell r="Q335">
            <v>0.91200000000000003</v>
          </cell>
          <cell r="R335">
            <v>0.89100000000000001</v>
          </cell>
          <cell r="S335">
            <v>0.91849999999999998</v>
          </cell>
          <cell r="T335">
            <v>0.95099999999999996</v>
          </cell>
          <cell r="U335">
            <v>0.90700000000000003</v>
          </cell>
          <cell r="V335">
            <v>0.92600000000000005</v>
          </cell>
          <cell r="W335">
            <v>0.90100000000000002</v>
          </cell>
          <cell r="X335">
            <v>0.92125000000000012</v>
          </cell>
          <cell r="Y335">
            <v>0.95199999999999996</v>
          </cell>
          <cell r="Z335">
            <v>0.92800000000000005</v>
          </cell>
          <cell r="AA335">
            <v>0.95199999999999996</v>
          </cell>
          <cell r="AB335">
            <v>0.89300000000000002</v>
          </cell>
          <cell r="AC335">
            <v>0.93124999999999991</v>
          </cell>
          <cell r="AD335">
            <v>0.94599999999999995</v>
          </cell>
          <cell r="AE335">
            <v>0.95</v>
          </cell>
          <cell r="AF335">
            <v>0.94</v>
          </cell>
          <cell r="AG335">
            <v>0.90500000000000003</v>
          </cell>
          <cell r="AH335">
            <v>0.93524999999999991</v>
          </cell>
          <cell r="AI335">
            <v>0.95</v>
          </cell>
          <cell r="AJ335">
            <v>0.94099999999999995</v>
          </cell>
          <cell r="AK335">
            <v>0.94799999999999995</v>
          </cell>
          <cell r="AL335">
            <v>0.90900000000000003</v>
          </cell>
          <cell r="AN335">
            <v>0.95</v>
          </cell>
          <cell r="AO335">
            <v>0.94099999999999995</v>
          </cell>
          <cell r="AP335">
            <v>0.94799999999999995</v>
          </cell>
          <cell r="AQ335">
            <v>0.90900000000000003</v>
          </cell>
          <cell r="AR335">
            <v>0.93700000000000006</v>
          </cell>
          <cell r="AS335">
            <v>0.94899999999999995</v>
          </cell>
          <cell r="AT335">
            <v>0.94099999999999995</v>
          </cell>
          <cell r="AU335">
            <v>0.95199999999999996</v>
          </cell>
          <cell r="AV335">
            <v>0.93200000000000005</v>
          </cell>
          <cell r="AX335">
            <v>0.95899999999999996</v>
          </cell>
          <cell r="AY335">
            <v>0.94499999999999995</v>
          </cell>
          <cell r="AZ335">
            <v>0.95399999999999996</v>
          </cell>
        </row>
        <row r="336">
          <cell r="A336" t="str">
            <v>Risk management analytics</v>
          </cell>
          <cell r="C336">
            <v>0.91100000000000003</v>
          </cell>
          <cell r="D336">
            <v>0.88700000000000001</v>
          </cell>
          <cell r="E336">
            <v>0.92700000000000005</v>
          </cell>
          <cell r="F336">
            <v>0.94199999999999995</v>
          </cell>
          <cell r="G336">
            <v>0.95399999999999996</v>
          </cell>
          <cell r="H336">
            <v>0.93300000000000005</v>
          </cell>
          <cell r="I336">
            <v>0.93899999999999995</v>
          </cell>
          <cell r="J336">
            <v>0.98599999999999999</v>
          </cell>
          <cell r="K336">
            <v>0.76900000000000002</v>
          </cell>
          <cell r="L336">
            <v>0.93700000000000006</v>
          </cell>
          <cell r="M336">
            <v>0.86799999999999999</v>
          </cell>
          <cell r="N336">
            <v>0.89</v>
          </cell>
          <cell r="O336">
            <v>0.85499999999999998</v>
          </cell>
          <cell r="P336">
            <v>0.81399999999999995</v>
          </cell>
          <cell r="Q336">
            <v>0.81</v>
          </cell>
          <cell r="R336">
            <v>0.81200000000000006</v>
          </cell>
          <cell r="S336">
            <v>0.82275000000000009</v>
          </cell>
          <cell r="T336">
            <v>0.85199999999999998</v>
          </cell>
          <cell r="U336">
            <v>0.92500000000000004</v>
          </cell>
          <cell r="V336">
            <v>0.9</v>
          </cell>
          <cell r="W336">
            <v>0.85599999999999998</v>
          </cell>
          <cell r="X336">
            <v>0.88324999999999998</v>
          </cell>
          <cell r="Y336">
            <v>0.94199999999999995</v>
          </cell>
          <cell r="Z336">
            <v>0.92700000000000005</v>
          </cell>
          <cell r="AA336">
            <v>0.92100000000000004</v>
          </cell>
          <cell r="AB336">
            <v>0.81</v>
          </cell>
          <cell r="AC336">
            <v>0.9</v>
          </cell>
          <cell r="AD336">
            <v>0.94</v>
          </cell>
          <cell r="AE336">
            <v>0.92</v>
          </cell>
          <cell r="AF336">
            <v>0.89300000000000002</v>
          </cell>
          <cell r="AG336">
            <v>0.84399999999999997</v>
          </cell>
          <cell r="AH336">
            <v>0.89924999999999999</v>
          </cell>
          <cell r="AI336">
            <v>0.93899999999999995</v>
          </cell>
          <cell r="AJ336">
            <v>0.93100000000000005</v>
          </cell>
          <cell r="AK336">
            <v>0.92300000000000004</v>
          </cell>
          <cell r="AL336">
            <v>0.873</v>
          </cell>
          <cell r="AN336">
            <v>0.93700000000000006</v>
          </cell>
          <cell r="AO336">
            <v>0.92800000000000005</v>
          </cell>
          <cell r="AP336">
            <v>0.91700000000000004</v>
          </cell>
          <cell r="AQ336">
            <v>0.85799999999999998</v>
          </cell>
          <cell r="AR336">
            <v>0.91</v>
          </cell>
          <cell r="AS336">
            <v>0.91</v>
          </cell>
          <cell r="AT336">
            <v>0.91600000000000004</v>
          </cell>
          <cell r="AU336">
            <v>0.94</v>
          </cell>
          <cell r="AV336">
            <v>0.89200000000000002</v>
          </cell>
          <cell r="AX336">
            <v>0.93100000000000005</v>
          </cell>
          <cell r="AY336">
            <v>0.94099999999999995</v>
          </cell>
          <cell r="AZ336">
            <v>0.95299999999999996</v>
          </cell>
        </row>
        <row r="337">
          <cell r="A337" t="str">
            <v>Portfolio management analytics</v>
          </cell>
          <cell r="C337">
            <v>0.79300000000000004</v>
          </cell>
          <cell r="D337">
            <v>0.89800000000000002</v>
          </cell>
          <cell r="E337">
            <v>0.96199999999999997</v>
          </cell>
          <cell r="F337">
            <v>0.96599999999999997</v>
          </cell>
          <cell r="G337">
            <v>0.94099999999999995</v>
          </cell>
          <cell r="H337">
            <v>0.86699999999999999</v>
          </cell>
          <cell r="I337">
            <v>0.93400000000000005</v>
          </cell>
          <cell r="J337">
            <v>0.96799999999999997</v>
          </cell>
          <cell r="K337">
            <v>0.91800000000000004</v>
          </cell>
          <cell r="L337">
            <v>0.92</v>
          </cell>
          <cell r="M337">
            <v>0.80500000000000005</v>
          </cell>
          <cell r="N337">
            <v>0.90300000000000002</v>
          </cell>
          <cell r="O337">
            <v>0.878</v>
          </cell>
          <cell r="P337">
            <v>0.83699999999999997</v>
          </cell>
          <cell r="Q337">
            <v>0.70499999999999996</v>
          </cell>
          <cell r="R337">
            <v>0.78400000000000003</v>
          </cell>
          <cell r="S337">
            <v>0.80099999999999993</v>
          </cell>
          <cell r="T337">
            <v>0.90900000000000003</v>
          </cell>
          <cell r="U337">
            <v>0.86699999999999999</v>
          </cell>
          <cell r="V337">
            <v>0.86</v>
          </cell>
          <cell r="W337">
            <v>0.64100000000000001</v>
          </cell>
          <cell r="X337">
            <v>0.81925000000000003</v>
          </cell>
          <cell r="Y337">
            <v>0.89900000000000002</v>
          </cell>
          <cell r="Z337">
            <v>0.93200000000000005</v>
          </cell>
          <cell r="AA337">
            <v>0.88300000000000001</v>
          </cell>
          <cell r="AB337">
            <v>0.88300000000000001</v>
          </cell>
          <cell r="AC337">
            <v>0.89924999999999999</v>
          </cell>
          <cell r="AD337">
            <v>0.92200000000000004</v>
          </cell>
          <cell r="AE337">
            <v>0.89600000000000002</v>
          </cell>
          <cell r="AF337">
            <v>0.86499999999999999</v>
          </cell>
          <cell r="AG337">
            <v>0.83599999999999997</v>
          </cell>
          <cell r="AH337">
            <v>0.87974999999999992</v>
          </cell>
          <cell r="AI337">
            <v>0.82799999999999996</v>
          </cell>
          <cell r="AJ337">
            <v>0.875</v>
          </cell>
          <cell r="AK337">
            <v>0.90300000000000002</v>
          </cell>
          <cell r="AL337">
            <v>0.90100000000000002</v>
          </cell>
          <cell r="AN337">
            <v>0.82799999999999996</v>
          </cell>
          <cell r="AO337">
            <v>0.875</v>
          </cell>
          <cell r="AP337">
            <v>0.90300000000000002</v>
          </cell>
          <cell r="AQ337">
            <v>0.90100000000000002</v>
          </cell>
          <cell r="AR337">
            <v>0.877</v>
          </cell>
          <cell r="AS337">
            <v>0.93400000000000005</v>
          </cell>
          <cell r="AT337">
            <v>0.95799999999999996</v>
          </cell>
          <cell r="AU337">
            <v>0.94799999999999995</v>
          </cell>
          <cell r="AV337">
            <v>0.93400000000000005</v>
          </cell>
          <cell r="AX337">
            <v>0.92200000000000004</v>
          </cell>
          <cell r="AY337">
            <v>0.92900000000000005</v>
          </cell>
          <cell r="AZ337">
            <v>0.95399999999999996</v>
          </cell>
        </row>
        <row r="338">
          <cell r="A338" t="str">
            <v>ESG</v>
          </cell>
          <cell r="AU338">
            <v>0.95499999999999996</v>
          </cell>
          <cell r="AZ338">
            <v>0.91700000000000004</v>
          </cell>
        </row>
        <row r="339">
          <cell r="A339" t="str">
            <v>Real Estate</v>
          </cell>
          <cell r="AU339">
            <v>0.93599999999999994</v>
          </cell>
          <cell r="AZ339">
            <v>0.87</v>
          </cell>
        </row>
        <row r="340">
          <cell r="A340" t="str">
            <v xml:space="preserve">  Total core retention</v>
          </cell>
          <cell r="C340">
            <v>0.83499999999999996</v>
          </cell>
          <cell r="D340">
            <v>0.91500000000000004</v>
          </cell>
          <cell r="E340">
            <v>0.95499999999999996</v>
          </cell>
          <cell r="F340">
            <v>0.95499999999999996</v>
          </cell>
          <cell r="G340">
            <v>0.94899999999999995</v>
          </cell>
          <cell r="H340">
            <v>0.90500000000000003</v>
          </cell>
          <cell r="I340">
            <v>0.93300000000000005</v>
          </cell>
          <cell r="J340">
            <v>0.97199999999999998</v>
          </cell>
          <cell r="K340">
            <v>0.92</v>
          </cell>
          <cell r="L340">
            <v>0.94099999999999995</v>
          </cell>
          <cell r="M340">
            <v>0.85299999999999998</v>
          </cell>
          <cell r="N340">
            <v>0.92100000000000004</v>
          </cell>
          <cell r="O340">
            <v>0.85899999999999999</v>
          </cell>
          <cell r="P340">
            <v>0.86099999999999999</v>
          </cell>
          <cell r="Q340">
            <v>0.82599999999999996</v>
          </cell>
          <cell r="R340">
            <v>0.82599999999999996</v>
          </cell>
          <cell r="S340">
            <v>0.84299999999999997</v>
          </cell>
          <cell r="T340">
            <v>0.89200000000000002</v>
          </cell>
          <cell r="U340">
            <v>0.89500000000000002</v>
          </cell>
          <cell r="V340">
            <v>0.89600000000000002</v>
          </cell>
          <cell r="W340">
            <v>0.82</v>
          </cell>
          <cell r="X340">
            <v>0.87574999999999992</v>
          </cell>
          <cell r="Y340">
            <v>0.92100000000000004</v>
          </cell>
          <cell r="Z340">
            <v>0.92400000000000004</v>
          </cell>
          <cell r="AA340">
            <v>0.91600000000000004</v>
          </cell>
          <cell r="AB340">
            <v>0.84799999999999998</v>
          </cell>
          <cell r="AC340">
            <v>0.90225</v>
          </cell>
          <cell r="AD340">
            <v>0.93100000000000005</v>
          </cell>
          <cell r="AE340">
            <v>0.92600000000000005</v>
          </cell>
          <cell r="AF340">
            <v>0.90600000000000003</v>
          </cell>
          <cell r="AG340">
            <v>0.85899999999999999</v>
          </cell>
          <cell r="AH340">
            <v>0.90550000000000008</v>
          </cell>
          <cell r="AI340">
            <v>0.92400000000000004</v>
          </cell>
          <cell r="AJ340">
            <v>0.92600000000000005</v>
          </cell>
          <cell r="AK340">
            <v>0.92400000000000004</v>
          </cell>
          <cell r="AL340">
            <v>0.89</v>
          </cell>
          <cell r="AN340">
            <v>0.92700000000000005</v>
          </cell>
          <cell r="AO340">
            <v>0.92600000000000005</v>
          </cell>
          <cell r="AP340">
            <v>0.92900000000000005</v>
          </cell>
          <cell r="AQ340">
            <v>0.88800000000000001</v>
          </cell>
          <cell r="AR340">
            <v>0.91800000000000004</v>
          </cell>
          <cell r="AS340">
            <v>0.93200000000000005</v>
          </cell>
          <cell r="AT340">
            <v>0.93300000000000005</v>
          </cell>
          <cell r="AU340">
            <v>0.94899999999999995</v>
          </cell>
          <cell r="AV340">
            <v>0.91700000000000004</v>
          </cell>
          <cell r="AX340">
            <v>0.94399999999999995</v>
          </cell>
          <cell r="AY340">
            <v>0.94199999999999995</v>
          </cell>
          <cell r="AZ340">
            <v>0.94799999999999995</v>
          </cell>
        </row>
        <row r="343">
          <cell r="A343" t="str">
            <v>Client Count</v>
          </cell>
          <cell r="C343">
            <v>2709</v>
          </cell>
          <cell r="D343">
            <v>2709</v>
          </cell>
          <cell r="E343">
            <v>2769</v>
          </cell>
          <cell r="F343">
            <v>2837</v>
          </cell>
          <cell r="G343">
            <v>2895</v>
          </cell>
          <cell r="H343">
            <v>2926</v>
          </cell>
          <cell r="I343">
            <v>2926</v>
          </cell>
          <cell r="J343">
            <v>2980</v>
          </cell>
          <cell r="K343">
            <v>3032</v>
          </cell>
          <cell r="L343">
            <v>3097</v>
          </cell>
          <cell r="M343">
            <v>3091</v>
          </cell>
          <cell r="N343">
            <v>3091</v>
          </cell>
          <cell r="O343">
            <v>3074</v>
          </cell>
          <cell r="P343">
            <v>3080</v>
          </cell>
          <cell r="Q343">
            <v>3097</v>
          </cell>
          <cell r="R343">
            <v>3123</v>
          </cell>
          <cell r="S343">
            <v>3123</v>
          </cell>
          <cell r="T343">
            <v>3153</v>
          </cell>
          <cell r="U343">
            <v>3203</v>
          </cell>
          <cell r="V343">
            <v>5800</v>
          </cell>
          <cell r="W343">
            <v>5800</v>
          </cell>
          <cell r="X343">
            <v>5800</v>
          </cell>
        </row>
        <row r="344">
          <cell r="A344" t="str">
            <v>ETF Assets linked to MSCI Indices (in bn)</v>
          </cell>
          <cell r="C344">
            <v>112.2</v>
          </cell>
          <cell r="D344">
            <v>112.2</v>
          </cell>
          <cell r="E344">
            <v>135.4</v>
          </cell>
          <cell r="F344">
            <v>150.19999999999999</v>
          </cell>
          <cell r="G344">
            <v>156.5</v>
          </cell>
          <cell r="H344">
            <v>191.7</v>
          </cell>
          <cell r="I344">
            <v>191.7</v>
          </cell>
          <cell r="J344">
            <v>179.2</v>
          </cell>
          <cell r="K344">
            <v>199.6</v>
          </cell>
          <cell r="L344">
            <v>166.3</v>
          </cell>
          <cell r="M344">
            <v>119</v>
          </cell>
          <cell r="N344">
            <v>119</v>
          </cell>
          <cell r="O344">
            <v>107.8</v>
          </cell>
          <cell r="P344">
            <v>175.9</v>
          </cell>
          <cell r="Q344">
            <v>199.2</v>
          </cell>
          <cell r="R344">
            <v>234.2</v>
          </cell>
          <cell r="S344">
            <v>234.2</v>
          </cell>
          <cell r="T344">
            <v>255.4</v>
          </cell>
          <cell r="U344">
            <v>236.8</v>
          </cell>
          <cell r="V344">
            <v>290.7</v>
          </cell>
          <cell r="W344">
            <v>333.3</v>
          </cell>
          <cell r="X344">
            <v>333.3</v>
          </cell>
          <cell r="Y344">
            <v>350.1</v>
          </cell>
          <cell r="Z344">
            <v>360.5</v>
          </cell>
          <cell r="AA344">
            <v>290.10000000000002</v>
          </cell>
          <cell r="AB344">
            <v>301.60000000000002</v>
          </cell>
          <cell r="AC344">
            <v>301.60000000000002</v>
          </cell>
          <cell r="AD344">
            <v>354.69999999999987</v>
          </cell>
          <cell r="AE344">
            <v>327.39999999999998</v>
          </cell>
          <cell r="AF344">
            <v>363.7</v>
          </cell>
          <cell r="AG344">
            <v>402.3</v>
          </cell>
          <cell r="AH344">
            <v>402.3</v>
          </cell>
          <cell r="AI344">
            <v>357.29999999999984</v>
          </cell>
          <cell r="AJ344">
            <v>269.69999999999987</v>
          </cell>
          <cell r="AK344">
            <v>302.59999999999985</v>
          </cell>
          <cell r="AL344">
            <v>332.89999999999981</v>
          </cell>
          <cell r="AM344">
            <v>332.89999999999981</v>
          </cell>
          <cell r="AN344">
            <v>357.29999999999984</v>
          </cell>
          <cell r="AO344">
            <v>269.69999999999987</v>
          </cell>
          <cell r="AP344">
            <v>302.59999999999985</v>
          </cell>
          <cell r="AQ344">
            <v>332.89999999999981</v>
          </cell>
          <cell r="AR344">
            <v>332.89999999999981</v>
          </cell>
          <cell r="AS344">
            <v>340.79999999999984</v>
          </cell>
          <cell r="AT344">
            <v>378.69999999999982</v>
          </cell>
          <cell r="AU344">
            <v>377.89999999999981</v>
          </cell>
          <cell r="AV344">
            <v>373.29999999999978</v>
          </cell>
          <cell r="AW344">
            <v>373.29999999999978</v>
          </cell>
          <cell r="AX344">
            <v>417.99999999999977</v>
          </cell>
          <cell r="AY344">
            <v>435.39999999999981</v>
          </cell>
          <cell r="AZ344">
            <v>390.19999999999982</v>
          </cell>
          <cell r="BA344">
            <v>433.4</v>
          </cell>
          <cell r="BB344">
            <v>433.4</v>
          </cell>
          <cell r="BC344">
            <v>438.3</v>
          </cell>
          <cell r="BD344">
            <v>439.7</v>
          </cell>
          <cell r="BE344">
            <v>474.9</v>
          </cell>
          <cell r="BF344">
            <v>481.4</v>
          </cell>
          <cell r="BG344">
            <v>481.4</v>
          </cell>
          <cell r="BH344">
            <v>493.43499999999995</v>
          </cell>
          <cell r="BI344">
            <v>505.46999999999991</v>
          </cell>
          <cell r="BJ344">
            <v>517.50499999999988</v>
          </cell>
          <cell r="BK344">
            <v>529.54</v>
          </cell>
          <cell r="BL344">
            <v>529.54</v>
          </cell>
          <cell r="BM344">
            <v>582.4939999999998</v>
          </cell>
          <cell r="BN344">
            <v>640.74339999999972</v>
          </cell>
          <cell r="BO344">
            <v>698.99279999999965</v>
          </cell>
        </row>
        <row r="345">
          <cell r="A345" t="str">
            <v xml:space="preserve">  % change y/y</v>
          </cell>
          <cell r="D345" t="str">
            <v>ND</v>
          </cell>
          <cell r="E345" t="str">
            <v>ND</v>
          </cell>
          <cell r="F345" t="str">
            <v>ND</v>
          </cell>
          <cell r="G345" t="str">
            <v>ND</v>
          </cell>
          <cell r="H345">
            <v>0.70855614973262027</v>
          </cell>
          <cell r="I345">
            <v>0.70855614973262027</v>
          </cell>
          <cell r="J345">
            <v>0.32348596750369252</v>
          </cell>
          <cell r="K345">
            <v>0.32889480692410133</v>
          </cell>
          <cell r="L345">
            <v>6.2619808306709324E-2</v>
          </cell>
          <cell r="M345">
            <v>-0.37923839332290032</v>
          </cell>
          <cell r="N345">
            <v>-0.37923839332290032</v>
          </cell>
          <cell r="O345">
            <v>-0.3984375</v>
          </cell>
          <cell r="P345">
            <v>-0.11873747494989972</v>
          </cell>
          <cell r="Q345">
            <v>0.19783523752254939</v>
          </cell>
          <cell r="R345">
            <v>0.96806722689075619</v>
          </cell>
          <cell r="S345">
            <v>0.96806722689075619</v>
          </cell>
          <cell r="T345">
            <v>1.3692022263450836</v>
          </cell>
          <cell r="U345">
            <v>0.34621944286526429</v>
          </cell>
          <cell r="V345">
            <v>0.4593373493975903</v>
          </cell>
          <cell r="W345">
            <v>0.42314261315115287</v>
          </cell>
          <cell r="X345">
            <v>0.42314261315115287</v>
          </cell>
          <cell r="Y345">
            <v>0.37079091620986704</v>
          </cell>
          <cell r="Z345">
            <v>0.52238175675675658</v>
          </cell>
          <cell r="AA345">
            <v>-2.0639834881319707E-3</v>
          </cell>
          <cell r="AB345">
            <v>-9.51095109510951E-2</v>
          </cell>
          <cell r="AC345">
            <v>-9.51095109510951E-2</v>
          </cell>
          <cell r="AD345">
            <v>1.3139103113395834E-2</v>
          </cell>
          <cell r="AE345">
            <v>-9.181692094313465E-2</v>
          </cell>
          <cell r="AF345">
            <v>0.25370561875215425</v>
          </cell>
          <cell r="AG345">
            <v>0.33388594164456231</v>
          </cell>
          <cell r="AH345">
            <v>0.33388594164456231</v>
          </cell>
          <cell r="AI345">
            <v>7.3301381449111247E-3</v>
          </cell>
          <cell r="AJ345">
            <v>-0.17623701893708033</v>
          </cell>
          <cell r="AK345">
            <v>-0.16799560076986564</v>
          </cell>
          <cell r="AL345">
            <v>-0.17250807854834749</v>
          </cell>
          <cell r="AM345">
            <v>-0.17250807854834749</v>
          </cell>
          <cell r="AN345">
            <v>7.3301381449111247E-3</v>
          </cell>
          <cell r="AO345">
            <v>-0.17623701893708033</v>
          </cell>
          <cell r="AP345">
            <v>-0.16799560076986564</v>
          </cell>
          <cell r="AQ345">
            <v>-0.17250807854834749</v>
          </cell>
          <cell r="AR345">
            <v>0</v>
          </cell>
          <cell r="AS345">
            <v>-4.617968094038627E-2</v>
          </cell>
          <cell r="AT345">
            <v>0.40415276232851305</v>
          </cell>
          <cell r="AU345">
            <v>0.24884335756774623</v>
          </cell>
          <cell r="AV345">
            <v>0.12135776509462293</v>
          </cell>
          <cell r="AW345">
            <v>0.12135776509462293</v>
          </cell>
          <cell r="AX345">
            <v>0.22652582159624401</v>
          </cell>
          <cell r="AY345">
            <v>0.14972273567467664</v>
          </cell>
          <cell r="AZ345">
            <v>3.2548293199259115E-2</v>
          </cell>
          <cell r="BA345">
            <v>0.16099651754621003</v>
          </cell>
          <cell r="BB345">
            <v>0.16099651754621003</v>
          </cell>
          <cell r="BC345">
            <v>4.8564593301436032E-2</v>
          </cell>
          <cell r="BD345">
            <v>9.8759761139186608E-3</v>
          </cell>
          <cell r="BE345">
            <v>0.21706817016914459</v>
          </cell>
          <cell r="BF345">
            <v>0.11075219197046615</v>
          </cell>
          <cell r="BG345">
            <v>0.11075219197046615</v>
          </cell>
          <cell r="BH345">
            <v>0.12579283595710677</v>
          </cell>
          <cell r="BI345">
            <v>0.149579258585399</v>
          </cell>
          <cell r="BJ345">
            <v>8.9713623920825158E-2</v>
          </cell>
          <cell r="BK345">
            <v>9.9999999999999867E-2</v>
          </cell>
          <cell r="BL345">
            <v>9.9999999999999867E-2</v>
          </cell>
          <cell r="BM345">
            <v>9.9999999999999645E-2</v>
          </cell>
          <cell r="BN345">
            <v>9.9999999999999867E-2</v>
          </cell>
          <cell r="BO345">
            <v>9.0909090909090828E-2</v>
          </cell>
        </row>
        <row r="346">
          <cell r="A346" t="str">
            <v xml:space="preserve">  % change sequentially</v>
          </cell>
          <cell r="D346" t="str">
            <v>ND</v>
          </cell>
          <cell r="E346">
            <v>0.20677361853832443</v>
          </cell>
          <cell r="F346">
            <v>0.10930576070901021</v>
          </cell>
          <cell r="G346">
            <v>4.1944074567243694E-2</v>
          </cell>
          <cell r="H346">
            <v>0.22492012779552706</v>
          </cell>
          <cell r="I346">
            <v>0.22492012779552706</v>
          </cell>
          <cell r="J346">
            <v>-6.5206051121544095E-2</v>
          </cell>
          <cell r="K346">
            <v>0.11383928571428581</v>
          </cell>
          <cell r="L346">
            <v>-0.16683366733466931</v>
          </cell>
          <cell r="M346">
            <v>-0.28442573662056525</v>
          </cell>
          <cell r="N346">
            <v>-0.28442573662056525</v>
          </cell>
          <cell r="O346">
            <v>-9.4117647058823528E-2</v>
          </cell>
          <cell r="P346">
            <v>0.63172541743970334</v>
          </cell>
          <cell r="Q346">
            <v>0.13246162592382027</v>
          </cell>
          <cell r="R346">
            <v>0.17570281124497988</v>
          </cell>
          <cell r="S346">
            <v>0.17570281124497988</v>
          </cell>
          <cell r="T346">
            <v>9.052092228864228E-2</v>
          </cell>
          <cell r="U346">
            <v>-7.2826938136256847E-2</v>
          </cell>
          <cell r="V346">
            <v>0.2276182432432432</v>
          </cell>
          <cell r="W346">
            <v>0.1465428276573788</v>
          </cell>
          <cell r="X346">
            <v>0.1465428276573788</v>
          </cell>
          <cell r="Y346">
            <v>5.0405040504050369E-2</v>
          </cell>
          <cell r="Z346">
            <v>2.9705798343330425E-2</v>
          </cell>
          <cell r="AA346">
            <v>-0.19528432732316225</v>
          </cell>
          <cell r="AB346">
            <v>3.9641502930024108E-2</v>
          </cell>
          <cell r="AC346">
            <v>3.9641502930024108E-2</v>
          </cell>
          <cell r="AD346">
            <v>0.17606100795755908</v>
          </cell>
          <cell r="AE346">
            <v>-7.6966450521567253E-2</v>
          </cell>
          <cell r="AF346">
            <v>0.11087354917532077</v>
          </cell>
          <cell r="AG346">
            <v>0.10613142700027511</v>
          </cell>
          <cell r="AH346">
            <v>0.10613142700027511</v>
          </cell>
          <cell r="AI346">
            <v>-0.11185682326621971</v>
          </cell>
          <cell r="AJ346">
            <v>-0.24517212426532331</v>
          </cell>
          <cell r="AK346">
            <v>0.12198739340007414</v>
          </cell>
          <cell r="AL346">
            <v>0.10013218770654309</v>
          </cell>
          <cell r="AM346">
            <v>0.10013218770654309</v>
          </cell>
          <cell r="AN346">
            <v>-0.11185682326621971</v>
          </cell>
          <cell r="AO346">
            <v>-0.24517212426532331</v>
          </cell>
          <cell r="AP346">
            <v>0.12198739340007414</v>
          </cell>
          <cell r="AQ346">
            <v>0.10013218770654309</v>
          </cell>
          <cell r="AR346">
            <v>0</v>
          </cell>
          <cell r="AS346">
            <v>2.3730850105136758E-2</v>
          </cell>
          <cell r="AT346">
            <v>0.11120892018779349</v>
          </cell>
          <cell r="AU346">
            <v>-2.1124900977026462E-3</v>
          </cell>
          <cell r="AV346">
            <v>-1.217253241598315E-2</v>
          </cell>
          <cell r="AW346">
            <v>0.12135776509462293</v>
          </cell>
          <cell r="AX346">
            <v>0.11974283418162335</v>
          </cell>
          <cell r="AY346">
            <v>4.1626794258373234E-2</v>
          </cell>
          <cell r="AZ346">
            <v>-0.10381258612769872</v>
          </cell>
          <cell r="BA346">
            <v>0.11071245515120487</v>
          </cell>
          <cell r="BB346">
            <v>0.16099651754621003</v>
          </cell>
          <cell r="BC346">
            <v>1.1305952930318552E-2</v>
          </cell>
          <cell r="BD346">
            <v>3.1941592516540052E-3</v>
          </cell>
          <cell r="BE346">
            <v>8.0054582670002317E-2</v>
          </cell>
          <cell r="BF346">
            <v>1.3687092019372571E-2</v>
          </cell>
          <cell r="BG346">
            <v>0.11075219197046615</v>
          </cell>
          <cell r="BH346">
            <v>2.4999999999999911E-2</v>
          </cell>
          <cell r="BI346">
            <v>2.4390243902439046E-2</v>
          </cell>
          <cell r="BJ346">
            <v>2.3809523809523725E-2</v>
          </cell>
          <cell r="BK346">
            <v>2.3255813953488635E-2</v>
          </cell>
          <cell r="BL346">
            <v>9.9999999999999867E-2</v>
          </cell>
          <cell r="BM346">
            <v>9.9999999999999645E-2</v>
          </cell>
          <cell r="BN346">
            <v>9.9999999999999867E-2</v>
          </cell>
          <cell r="BO346">
            <v>9.0909090909090828E-2</v>
          </cell>
        </row>
        <row r="347">
          <cell r="A347" t="str">
            <v>Full-time employees</v>
          </cell>
          <cell r="C347" t="str">
            <v>ND</v>
          </cell>
          <cell r="D347" t="str">
            <v>ND</v>
          </cell>
          <cell r="E347" t="str">
            <v>ND</v>
          </cell>
          <cell r="F347">
            <v>643</v>
          </cell>
          <cell r="G347">
            <v>628</v>
          </cell>
          <cell r="H347">
            <v>637</v>
          </cell>
          <cell r="I347">
            <v>637</v>
          </cell>
          <cell r="J347">
            <v>652</v>
          </cell>
          <cell r="K347">
            <v>686</v>
          </cell>
          <cell r="L347">
            <v>724</v>
          </cell>
          <cell r="M347">
            <v>766</v>
          </cell>
          <cell r="N347">
            <v>766</v>
          </cell>
          <cell r="Q347">
            <v>1983</v>
          </cell>
          <cell r="R347">
            <v>2043</v>
          </cell>
          <cell r="S347">
            <v>2099</v>
          </cell>
          <cell r="T347">
            <v>2056</v>
          </cell>
          <cell r="U347">
            <v>2054</v>
          </cell>
          <cell r="V347">
            <v>2063</v>
          </cell>
          <cell r="W347">
            <v>2077</v>
          </cell>
          <cell r="X347">
            <v>2077</v>
          </cell>
          <cell r="Y347">
            <v>2049</v>
          </cell>
          <cell r="Z347">
            <v>2133</v>
          </cell>
          <cell r="AA347">
            <v>2277</v>
          </cell>
          <cell r="AB347">
            <v>2429</v>
          </cell>
          <cell r="AC347">
            <v>2429</v>
          </cell>
          <cell r="AD347">
            <v>2465</v>
          </cell>
          <cell r="AE347">
            <v>2384</v>
          </cell>
          <cell r="AF347">
            <v>2416</v>
          </cell>
          <cell r="AG347">
            <v>2759</v>
          </cell>
          <cell r="AH347">
            <v>2759</v>
          </cell>
          <cell r="AI347">
            <v>2844</v>
          </cell>
          <cell r="AJ347">
            <v>2957</v>
          </cell>
          <cell r="AK347">
            <v>3123</v>
          </cell>
          <cell r="AL347">
            <v>3261</v>
          </cell>
          <cell r="AM347">
            <v>3261</v>
          </cell>
          <cell r="AN347">
            <v>2233</v>
          </cell>
          <cell r="AO347">
            <v>2346</v>
          </cell>
          <cell r="AP347">
            <v>2480</v>
          </cell>
          <cell r="AQ347">
            <v>2580</v>
          </cell>
          <cell r="AR347">
            <v>2580</v>
          </cell>
          <cell r="AS347">
            <v>2623</v>
          </cell>
          <cell r="AT347">
            <v>2762</v>
          </cell>
          <cell r="AU347">
            <v>2876</v>
          </cell>
          <cell r="AV347">
            <v>2926</v>
          </cell>
          <cell r="AW347">
            <v>2926</v>
          </cell>
          <cell r="AX347">
            <v>2889</v>
          </cell>
          <cell r="AY347">
            <v>2779</v>
          </cell>
          <cell r="AZ347">
            <v>2743</v>
          </cell>
          <cell r="BA347">
            <v>2754</v>
          </cell>
          <cell r="BB347">
            <v>2754</v>
          </cell>
          <cell r="BC347">
            <v>2746</v>
          </cell>
          <cell r="BD347">
            <v>2750</v>
          </cell>
          <cell r="BE347">
            <v>2802</v>
          </cell>
          <cell r="BF347">
            <v>2862</v>
          </cell>
          <cell r="BG347">
            <v>2862</v>
          </cell>
          <cell r="BH347">
            <v>2897.1231349359105</v>
          </cell>
          <cell r="BI347">
            <v>2932.6773092176372</v>
          </cell>
          <cell r="BJ347">
            <v>2968.6678126610805</v>
          </cell>
          <cell r="BK347">
            <v>3005.1000000000008</v>
          </cell>
          <cell r="BL347">
            <v>3005.1000000000008</v>
          </cell>
          <cell r="BM347">
            <v>3155.3550000000009</v>
          </cell>
          <cell r="BN347">
            <v>3313.1227500000009</v>
          </cell>
          <cell r="BO347">
            <v>3478.778887500001</v>
          </cell>
        </row>
        <row r="348">
          <cell r="A348" t="str">
            <v xml:space="preserve">  % FT EEs in low cost/emerging market centers</v>
          </cell>
          <cell r="D348" t="str">
            <v>ND</v>
          </cell>
          <cell r="E348" t="str">
            <v>ND</v>
          </cell>
          <cell r="F348" t="str">
            <v>ND</v>
          </cell>
          <cell r="G348" t="str">
            <v>ND</v>
          </cell>
          <cell r="H348" t="str">
            <v>ND</v>
          </cell>
          <cell r="I348" t="str">
            <v>ND</v>
          </cell>
          <cell r="J348" t="str">
            <v>ND</v>
          </cell>
          <cell r="K348">
            <v>0.23</v>
          </cell>
          <cell r="L348">
            <v>0.26</v>
          </cell>
          <cell r="M348" t="str">
            <v>ND</v>
          </cell>
          <cell r="N348" t="str">
            <v>ND</v>
          </cell>
          <cell r="Q348">
            <v>0.22</v>
          </cell>
          <cell r="R348">
            <v>0.23</v>
          </cell>
          <cell r="S348">
            <v>0.3</v>
          </cell>
          <cell r="T348">
            <v>0.25</v>
          </cell>
          <cell r="U348">
            <v>0.26</v>
          </cell>
          <cell r="V348">
            <v>0.28000000000000003</v>
          </cell>
          <cell r="W348">
            <v>0.3</v>
          </cell>
          <cell r="X348">
            <v>0.3</v>
          </cell>
          <cell r="Y348">
            <v>0.32</v>
          </cell>
          <cell r="Z348">
            <v>0.35</v>
          </cell>
          <cell r="AA348">
            <v>0.38</v>
          </cell>
          <cell r="AB348">
            <v>0.39</v>
          </cell>
          <cell r="AC348">
            <v>0.39</v>
          </cell>
          <cell r="AD348">
            <v>0.4</v>
          </cell>
          <cell r="AE348">
            <v>0.42</v>
          </cell>
          <cell r="AF348">
            <v>0.44</v>
          </cell>
          <cell r="AG348">
            <v>0.41</v>
          </cell>
          <cell r="AH348">
            <v>0.41</v>
          </cell>
          <cell r="AI348">
            <v>0.41</v>
          </cell>
          <cell r="AJ348">
            <v>0.44</v>
          </cell>
          <cell r="AK348">
            <v>0.45</v>
          </cell>
          <cell r="AL348">
            <v>0.47</v>
          </cell>
          <cell r="AN348">
            <v>0.4</v>
          </cell>
          <cell r="AO348">
            <v>0.43</v>
          </cell>
          <cell r="AP348">
            <v>0.45</v>
          </cell>
          <cell r="AQ348">
            <v>0.46</v>
          </cell>
          <cell r="AS348">
            <v>0.47</v>
          </cell>
          <cell r="AT348">
            <v>0.49</v>
          </cell>
          <cell r="AU348">
            <v>0.5</v>
          </cell>
          <cell r="AV348">
            <v>0.51</v>
          </cell>
          <cell r="AX348">
            <v>0.51</v>
          </cell>
          <cell r="AY348">
            <v>0.51</v>
          </cell>
          <cell r="AZ348">
            <v>0.52</v>
          </cell>
          <cell r="BA348">
            <v>0.52800000000000002</v>
          </cell>
          <cell r="BC348">
            <v>0.53</v>
          </cell>
          <cell r="BD348">
            <v>0.54</v>
          </cell>
          <cell r="BE348">
            <v>0.55600000000000005</v>
          </cell>
          <cell r="BF348">
            <v>0.56000000000000005</v>
          </cell>
          <cell r="BH348">
            <v>0.56000000000000005</v>
          </cell>
        </row>
        <row r="349">
          <cell r="A349" t="str">
            <v>Net new EEs (seq)</v>
          </cell>
          <cell r="G349">
            <v>-15</v>
          </cell>
          <cell r="H349">
            <v>9</v>
          </cell>
          <cell r="J349">
            <v>15</v>
          </cell>
          <cell r="K349">
            <v>34</v>
          </cell>
          <cell r="L349">
            <v>38</v>
          </cell>
          <cell r="M349">
            <v>42</v>
          </cell>
          <cell r="N349">
            <v>129</v>
          </cell>
          <cell r="R349">
            <v>60</v>
          </cell>
          <cell r="T349">
            <v>-43</v>
          </cell>
          <cell r="U349">
            <v>-2</v>
          </cell>
          <cell r="V349">
            <v>9</v>
          </cell>
          <cell r="W349">
            <v>14</v>
          </cell>
          <cell r="X349">
            <v>-22</v>
          </cell>
          <cell r="Y349">
            <v>-28</v>
          </cell>
          <cell r="Z349">
            <v>84</v>
          </cell>
          <cell r="AA349">
            <v>144</v>
          </cell>
          <cell r="AB349">
            <v>152</v>
          </cell>
          <cell r="AC349">
            <v>352</v>
          </cell>
          <cell r="AD349">
            <v>36</v>
          </cell>
          <cell r="AE349">
            <v>-81</v>
          </cell>
          <cell r="AF349">
            <v>32</v>
          </cell>
          <cell r="AG349">
            <v>343</v>
          </cell>
          <cell r="AH349">
            <v>330</v>
          </cell>
          <cell r="AI349">
            <v>85</v>
          </cell>
          <cell r="AJ349">
            <v>113</v>
          </cell>
          <cell r="AK349">
            <v>166</v>
          </cell>
          <cell r="AL349">
            <v>138</v>
          </cell>
          <cell r="AM349">
            <v>502</v>
          </cell>
          <cell r="AO349">
            <v>113</v>
          </cell>
          <cell r="AP349">
            <v>134</v>
          </cell>
          <cell r="AQ349">
            <v>100</v>
          </cell>
          <cell r="AS349">
            <v>43</v>
          </cell>
          <cell r="AT349">
            <v>182</v>
          </cell>
          <cell r="AU349">
            <v>114</v>
          </cell>
          <cell r="AV349">
            <v>50</v>
          </cell>
          <cell r="AW349">
            <v>389</v>
          </cell>
          <cell r="AX349">
            <v>-37</v>
          </cell>
          <cell r="AY349">
            <v>-110</v>
          </cell>
          <cell r="AZ349">
            <v>-36</v>
          </cell>
          <cell r="BA349">
            <v>11</v>
          </cell>
          <cell r="BB349">
            <v>-172</v>
          </cell>
          <cell r="BC349">
            <v>-8</v>
          </cell>
          <cell r="BD349">
            <v>4</v>
          </cell>
          <cell r="BE349">
            <v>52</v>
          </cell>
          <cell r="BF349">
            <v>60</v>
          </cell>
          <cell r="BG349">
            <v>108</v>
          </cell>
          <cell r="BH349">
            <v>35.123134935910457</v>
          </cell>
          <cell r="BI349">
            <v>35.554174281726773</v>
          </cell>
          <cell r="BJ349">
            <v>35.990503443443231</v>
          </cell>
          <cell r="BK349">
            <v>36.432187338920357</v>
          </cell>
          <cell r="BL349">
            <v>143.10000000000082</v>
          </cell>
          <cell r="BM349">
            <v>150.25500000000011</v>
          </cell>
          <cell r="BN349">
            <v>157.76774999999998</v>
          </cell>
          <cell r="BO349">
            <v>165.65613750000011</v>
          </cell>
        </row>
        <row r="350">
          <cell r="A350" t="str">
            <v>CoR Comp/EE ('000)</v>
          </cell>
          <cell r="V350">
            <v>24.873000484730973</v>
          </cell>
          <cell r="W350">
            <v>23.519017814155031</v>
          </cell>
          <cell r="X350">
            <v>69.083774675012037</v>
          </cell>
          <cell r="Y350">
            <v>24.930209858467546</v>
          </cell>
          <cell r="Z350">
            <v>22.55883731833099</v>
          </cell>
          <cell r="AA350">
            <v>22.008783487044358</v>
          </cell>
          <cell r="AB350">
            <v>20.638946068340882</v>
          </cell>
          <cell r="AC350">
            <v>82.110333470564015</v>
          </cell>
          <cell r="AD350">
            <v>21.723732251521298</v>
          </cell>
          <cell r="AE350">
            <v>23.276845637583893</v>
          </cell>
          <cell r="AF350">
            <v>20.741307947019866</v>
          </cell>
          <cell r="AG350">
            <v>20.290685030808262</v>
          </cell>
          <cell r="AH350">
            <v>77.975353388909028</v>
          </cell>
          <cell r="AI350">
            <v>21.501054852320674</v>
          </cell>
          <cell r="AJ350">
            <v>20.88873858640514</v>
          </cell>
          <cell r="AK350">
            <v>18.812359910342618</v>
          </cell>
          <cell r="AL350">
            <v>19.030052131248084</v>
          </cell>
          <cell r="AM350">
            <v>74.739343759582965</v>
          </cell>
          <cell r="AN350">
            <v>22.124496193461709</v>
          </cell>
          <cell r="AO350">
            <v>22.024296675191817</v>
          </cell>
          <cell r="AP350">
            <v>19.879032258064516</v>
          </cell>
          <cell r="AQ350">
            <v>20.211627906976744</v>
          </cell>
          <cell r="AR350">
            <v>78.495736434108522</v>
          </cell>
          <cell r="AS350">
            <v>21.457110179184141</v>
          </cell>
          <cell r="AT350">
            <v>20.517016654598116</v>
          </cell>
          <cell r="AU350">
            <v>20.704450625869264</v>
          </cell>
          <cell r="AV350">
            <v>19.596719070403282</v>
          </cell>
          <cell r="AW350">
            <v>78.549555707450438</v>
          </cell>
          <cell r="AX350">
            <v>22.589477327795084</v>
          </cell>
          <cell r="AY350">
            <v>21.390428211586901</v>
          </cell>
        </row>
        <row r="351">
          <cell r="A351" t="str">
            <v>SG&amp;A Comp/EE ('000)</v>
          </cell>
          <cell r="V351">
            <v>15.204556471158506</v>
          </cell>
          <cell r="W351">
            <v>14.207029369282619</v>
          </cell>
          <cell r="X351">
            <v>49.701011073663942</v>
          </cell>
          <cell r="Y351">
            <v>16.986334797462177</v>
          </cell>
          <cell r="Z351">
            <v>16.113455227379276</v>
          </cell>
          <cell r="AA351">
            <v>15.31576635924462</v>
          </cell>
          <cell r="AB351">
            <v>14.274186908192672</v>
          </cell>
          <cell r="AC351">
            <v>57.110333470564015</v>
          </cell>
          <cell r="AD351">
            <v>15.615415821501013</v>
          </cell>
          <cell r="AE351">
            <v>15.95008389261745</v>
          </cell>
          <cell r="AF351">
            <v>17.506622516556291</v>
          </cell>
          <cell r="AG351">
            <v>13.582819862268938</v>
          </cell>
          <cell r="AH351">
            <v>56.646611090974979</v>
          </cell>
          <cell r="AI351">
            <v>16.053445850914205</v>
          </cell>
          <cell r="AJ351">
            <v>13.49002367264119</v>
          </cell>
          <cell r="AK351">
            <v>14.247518411783542</v>
          </cell>
          <cell r="AL351">
            <v>14.076663600122663</v>
          </cell>
          <cell r="AM351">
            <v>53.954308494326895</v>
          </cell>
          <cell r="AN351">
            <v>18.069861173309448</v>
          </cell>
          <cell r="AO351">
            <v>15.324381926683717</v>
          </cell>
          <cell r="AP351">
            <v>16.344354838709677</v>
          </cell>
          <cell r="AQ351">
            <v>16.210852713178294</v>
          </cell>
          <cell r="AR351">
            <v>61.49573643410853</v>
          </cell>
          <cell r="AS351">
            <v>17.587876477316051</v>
          </cell>
          <cell r="AT351">
            <v>16.660028964518464</v>
          </cell>
          <cell r="AU351">
            <v>16.113351877607787</v>
          </cell>
          <cell r="AV351">
            <v>15.114149008885851</v>
          </cell>
          <cell r="AW351">
            <v>62.444976076555022</v>
          </cell>
          <cell r="AX351">
            <v>17.379716164762893</v>
          </cell>
          <cell r="AY351">
            <v>18.503778337531486</v>
          </cell>
        </row>
        <row r="352">
          <cell r="A352" t="str">
            <v>Growth in FTEs</v>
          </cell>
          <cell r="AD352">
            <v>0.20302586627623231</v>
          </cell>
          <cell r="AE352">
            <v>0.11767463666197853</v>
          </cell>
          <cell r="AF352">
            <v>6.1045234958278405E-2</v>
          </cell>
          <cell r="AG352">
            <v>0.1358583779333058</v>
          </cell>
          <cell r="AH352">
            <v>0.1358583779333058</v>
          </cell>
          <cell r="AI352">
            <v>0.15375253549695733</v>
          </cell>
          <cell r="AJ352">
            <v>0.24035234899328861</v>
          </cell>
          <cell r="AK352">
            <v>0.29263245033112573</v>
          </cell>
          <cell r="AL352">
            <v>0.1819499818774919</v>
          </cell>
          <cell r="AM352">
            <v>0.1819499818774919</v>
          </cell>
          <cell r="AS352">
            <v>0.17465293327362286</v>
          </cell>
          <cell r="AT352">
            <v>0.17732310315430522</v>
          </cell>
          <cell r="AU352">
            <v>0.1596774193548387</v>
          </cell>
          <cell r="AV352">
            <v>0.13410852713178301</v>
          </cell>
          <cell r="AW352">
            <v>0.13410852713178301</v>
          </cell>
          <cell r="AX352">
            <v>0.10141059855127721</v>
          </cell>
          <cell r="AY352">
            <v>6.1549601737871384E-3</v>
          </cell>
          <cell r="AZ352">
            <v>-4.6244784422809437E-2</v>
          </cell>
          <cell r="BA352">
            <v>-5.8783321941216715E-2</v>
          </cell>
          <cell r="BB352">
            <v>-5.8783321941216715E-2</v>
          </cell>
          <cell r="BC352">
            <v>-4.9498096227068245E-2</v>
          </cell>
          <cell r="BD352">
            <v>-1.0435408420295111E-2</v>
          </cell>
          <cell r="BE352">
            <v>2.1509296390813004E-2</v>
          </cell>
          <cell r="BF352">
            <v>3.9215686274509887E-2</v>
          </cell>
          <cell r="BG352">
            <v>3.9215686274509887E-2</v>
          </cell>
          <cell r="BH352">
            <v>5.5033916582633013E-2</v>
          </cell>
          <cell r="BI352">
            <v>6.6428112442777243E-2</v>
          </cell>
          <cell r="BJ352">
            <v>5.9481731856202869E-2</v>
          </cell>
          <cell r="BK352">
            <v>5.0000000000000266E-2</v>
          </cell>
          <cell r="BL352">
            <v>5.0000000000000266E-2</v>
          </cell>
          <cell r="BM352">
            <v>5.0000000000000044E-2</v>
          </cell>
          <cell r="BN352">
            <v>5.0000000000000044E-2</v>
          </cell>
          <cell r="BO352">
            <v>5.0000000000000044E-2</v>
          </cell>
        </row>
        <row r="354">
          <cell r="A354" t="str">
            <v>COGS (ex ISS)</v>
          </cell>
          <cell r="AI354">
            <v>64.861000000000004</v>
          </cell>
          <cell r="AJ354">
            <v>69.272999999999996</v>
          </cell>
          <cell r="AK354">
            <v>67.77</v>
          </cell>
          <cell r="AL354">
            <v>71.917000000000044</v>
          </cell>
          <cell r="AM354">
            <v>273.82100000000003</v>
          </cell>
          <cell r="BG354">
            <v>0</v>
          </cell>
          <cell r="BL354">
            <v>0</v>
          </cell>
          <cell r="BM354">
            <v>289.76342249883476</v>
          </cell>
          <cell r="BN354">
            <v>309.41882947883192</v>
          </cell>
          <cell r="BO354">
            <v>330.85120917309001</v>
          </cell>
        </row>
        <row r="355">
          <cell r="A355" t="str">
            <v>SG&amp;A (ex ISS)</v>
          </cell>
          <cell r="AI355">
            <v>52.654000000000003</v>
          </cell>
          <cell r="AJ355">
            <v>50.026000000000003</v>
          </cell>
          <cell r="AK355">
            <v>56.628</v>
          </cell>
          <cell r="AL355">
            <v>60.648999999999987</v>
          </cell>
          <cell r="AM355">
            <v>219.95699999999999</v>
          </cell>
          <cell r="BG355">
            <v>0</v>
          </cell>
          <cell r="BL355">
            <v>0</v>
          </cell>
          <cell r="BM355">
            <v>361.75053635647959</v>
          </cell>
          <cell r="BN355">
            <v>381.86385637481015</v>
          </cell>
          <cell r="BO355">
            <v>403.51721548382125</v>
          </cell>
        </row>
        <row r="356">
          <cell r="A356" t="str">
            <v>Base expenses</v>
          </cell>
          <cell r="AI356">
            <v>117.51500000000001</v>
          </cell>
          <cell r="AJ356">
            <v>119.29900000000001</v>
          </cell>
          <cell r="AK356">
            <v>124.398</v>
          </cell>
          <cell r="AL356">
            <v>132.56600000000003</v>
          </cell>
          <cell r="AM356">
            <v>493.77800000000002</v>
          </cell>
          <cell r="BG356">
            <v>0</v>
          </cell>
          <cell r="BL356">
            <v>0</v>
          </cell>
          <cell r="BM356">
            <v>651.51395885531429</v>
          </cell>
          <cell r="BN356">
            <v>691.28268585364208</v>
          </cell>
          <cell r="BO356">
            <v>734.3684246569112</v>
          </cell>
        </row>
        <row r="357">
          <cell r="A357" t="str">
            <v>Increase in base expenses</v>
          </cell>
          <cell r="BG357">
            <v>0</v>
          </cell>
          <cell r="BL357">
            <v>0</v>
          </cell>
          <cell r="BM357">
            <v>651.51395885531429</v>
          </cell>
          <cell r="BN357">
            <v>39.768726998327793</v>
          </cell>
          <cell r="BO357">
            <v>43.085738803269123</v>
          </cell>
        </row>
        <row r="358">
          <cell r="A358" t="str">
            <v>Prior year Investments</v>
          </cell>
          <cell r="BG358">
            <v>0</v>
          </cell>
          <cell r="BL358">
            <v>0</v>
          </cell>
          <cell r="BM358">
            <v>0</v>
          </cell>
          <cell r="BN358">
            <v>0</v>
          </cell>
          <cell r="BO358">
            <v>0</v>
          </cell>
        </row>
        <row r="359">
          <cell r="A359" t="str">
            <v>Current year Investments</v>
          </cell>
          <cell r="BG359">
            <v>0</v>
          </cell>
          <cell r="BL359">
            <v>0</v>
          </cell>
          <cell r="BM359">
            <v>0</v>
          </cell>
          <cell r="BN359">
            <v>0</v>
          </cell>
          <cell r="BO359">
            <v>0</v>
          </cell>
        </row>
        <row r="360">
          <cell r="A360" t="str">
            <v>ISS Stranded Costs (overhead)</v>
          </cell>
          <cell r="BG360">
            <v>0</v>
          </cell>
          <cell r="BL360">
            <v>0</v>
          </cell>
          <cell r="BM360">
            <v>0</v>
          </cell>
          <cell r="BN360">
            <v>0</v>
          </cell>
          <cell r="BO360">
            <v>0</v>
          </cell>
        </row>
        <row r="362">
          <cell r="A362" t="str">
            <v>Fiscal Year Ending Dec 31</v>
          </cell>
          <cell r="C362" t="str">
            <v>4Q06</v>
          </cell>
          <cell r="D362">
            <v>2006</v>
          </cell>
          <cell r="E362" t="str">
            <v>1Q07</v>
          </cell>
          <cell r="F362" t="str">
            <v>2Q07</v>
          </cell>
          <cell r="G362" t="str">
            <v>3Q07</v>
          </cell>
          <cell r="H362" t="str">
            <v>4Q07</v>
          </cell>
          <cell r="I362">
            <v>2007</v>
          </cell>
          <cell r="J362" t="str">
            <v>1Q08</v>
          </cell>
          <cell r="K362" t="str">
            <v>2Q08</v>
          </cell>
          <cell r="L362" t="str">
            <v>3Q08</v>
          </cell>
          <cell r="M362" t="str">
            <v>4Q08</v>
          </cell>
          <cell r="N362">
            <v>2008</v>
          </cell>
          <cell r="O362" t="str">
            <v>1Q09</v>
          </cell>
          <cell r="P362" t="str">
            <v>2Q09</v>
          </cell>
          <cell r="Q362" t="str">
            <v>3Q09</v>
          </cell>
          <cell r="R362" t="str">
            <v>4Q09</v>
          </cell>
          <cell r="S362">
            <v>2009</v>
          </cell>
          <cell r="T362" t="str">
            <v>1Q10</v>
          </cell>
          <cell r="U362" t="str">
            <v>2Q10</v>
          </cell>
          <cell r="V362" t="str">
            <v>3Q10</v>
          </cell>
          <cell r="W362" t="str">
            <v>4Q10</v>
          </cell>
          <cell r="X362">
            <v>2010</v>
          </cell>
          <cell r="Y362" t="str">
            <v>1Q11</v>
          </cell>
          <cell r="Z362" t="str">
            <v>2Q11</v>
          </cell>
          <cell r="AA362" t="str">
            <v>3Q11</v>
          </cell>
          <cell r="AB362" t="str">
            <v>4Q11</v>
          </cell>
          <cell r="AC362" t="str">
            <v>2011E</v>
          </cell>
          <cell r="AD362" t="str">
            <v>1Q12</v>
          </cell>
          <cell r="AE362" t="str">
            <v>2Q12</v>
          </cell>
          <cell r="AF362" t="str">
            <v>3Q12</v>
          </cell>
          <cell r="AG362" t="str">
            <v>4Q12</v>
          </cell>
          <cell r="AH362" t="str">
            <v>2012E</v>
          </cell>
          <cell r="AI362" t="str">
            <v>1Q13</v>
          </cell>
          <cell r="AJ362" t="str">
            <v>2Q13</v>
          </cell>
          <cell r="AK362" t="str">
            <v>3Q13</v>
          </cell>
          <cell r="AL362" t="str">
            <v>4Q13</v>
          </cell>
          <cell r="AM362" t="str">
            <v>2013E</v>
          </cell>
          <cell r="AN362" t="str">
            <v>1Q13R</v>
          </cell>
          <cell r="AO362" t="str">
            <v>2Q13R</v>
          </cell>
          <cell r="AP362" t="str">
            <v>3Q13R</v>
          </cell>
          <cell r="AQ362" t="str">
            <v>4Q13R</v>
          </cell>
          <cell r="AR362" t="str">
            <v>2013E</v>
          </cell>
          <cell r="AS362" t="str">
            <v>1Q14</v>
          </cell>
          <cell r="AT362" t="str">
            <v>2Q14</v>
          </cell>
          <cell r="AU362" t="str">
            <v>3Q14</v>
          </cell>
          <cell r="AV362" t="str">
            <v>4Q14</v>
          </cell>
          <cell r="AW362" t="str">
            <v>2014E</v>
          </cell>
          <cell r="AX362" t="str">
            <v>1Q15</v>
          </cell>
          <cell r="AY362" t="str">
            <v>2Q15</v>
          </cell>
          <cell r="AZ362" t="str">
            <v>3Q15</v>
          </cell>
          <cell r="BA362" t="str">
            <v>4Q15</v>
          </cell>
          <cell r="BB362" t="str">
            <v>2015E</v>
          </cell>
          <cell r="BC362" t="str">
            <v>1Q16</v>
          </cell>
          <cell r="BD362" t="str">
            <v>2Q16</v>
          </cell>
          <cell r="BE362" t="str">
            <v>3Q16</v>
          </cell>
          <cell r="BF362" t="str">
            <v>4Q16</v>
          </cell>
          <cell r="BG362" t="str">
            <v>2015E</v>
          </cell>
          <cell r="BH362" t="str">
            <v>1Q17E</v>
          </cell>
          <cell r="BI362" t="str">
            <v>2Q17E</v>
          </cell>
          <cell r="BJ362" t="str">
            <v>3Q17E</v>
          </cell>
          <cell r="BK362" t="str">
            <v>4Q17E</v>
          </cell>
          <cell r="BL362" t="str">
            <v>2015E</v>
          </cell>
          <cell r="BM362" t="str">
            <v>2018E</v>
          </cell>
          <cell r="BN362" t="str">
            <v>2019E</v>
          </cell>
          <cell r="BO362" t="str">
            <v>2020E</v>
          </cell>
          <cell r="BR362" t="str">
            <v>Fiscal Year Ending Dec 31</v>
          </cell>
          <cell r="BS362">
            <v>2006</v>
          </cell>
          <cell r="BT362">
            <v>2007</v>
          </cell>
          <cell r="BU362">
            <v>2008</v>
          </cell>
          <cell r="BV362" t="str">
            <v>2009E</v>
          </cell>
          <cell r="BW362" t="str">
            <v>2010E</v>
          </cell>
          <cell r="BX362" t="str">
            <v>2011E</v>
          </cell>
          <cell r="BY362" t="str">
            <v>2012E</v>
          </cell>
          <cell r="BZ362" t="str">
            <v>2013E</v>
          </cell>
          <cell r="CA362" t="str">
            <v>2014E</v>
          </cell>
          <cell r="CB362">
            <v>2015</v>
          </cell>
          <cell r="CC362" t="str">
            <v>2015E</v>
          </cell>
          <cell r="CD362" t="str">
            <v>2015E</v>
          </cell>
          <cell r="CE362" t="str">
            <v>2015E</v>
          </cell>
          <cell r="CF362" t="str">
            <v>2015E</v>
          </cell>
          <cell r="CG362" t="str">
            <v>2015E</v>
          </cell>
        </row>
        <row r="364">
          <cell r="A364" t="str">
            <v>Cost of Revenue (ex new initiatives in 2014)</v>
          </cell>
          <cell r="D364">
            <v>115.426</v>
          </cell>
          <cell r="E364">
            <v>31.984000000000002</v>
          </cell>
          <cell r="F364">
            <v>30.078500000000002</v>
          </cell>
          <cell r="G364">
            <v>29.133499999999998</v>
          </cell>
          <cell r="H364">
            <v>29.834000000000003</v>
          </cell>
          <cell r="I364">
            <v>121.03</v>
          </cell>
          <cell r="J364">
            <v>30.86</v>
          </cell>
          <cell r="K364">
            <v>29.636000000000003</v>
          </cell>
          <cell r="L364">
            <v>27.8</v>
          </cell>
          <cell r="M364">
            <v>34.641999999999996</v>
          </cell>
          <cell r="N364">
            <v>122.938</v>
          </cell>
          <cell r="O364">
            <v>28.935000000000002</v>
          </cell>
          <cell r="P364">
            <v>29.269000000000002</v>
          </cell>
          <cell r="Q364">
            <v>28.247000000000003</v>
          </cell>
          <cell r="R364">
            <v>32.213999999999999</v>
          </cell>
          <cell r="S364">
            <v>118.66500000000001</v>
          </cell>
          <cell r="T364">
            <v>29.291</v>
          </cell>
          <cell r="U364">
            <v>30.462999999999997</v>
          </cell>
          <cell r="V364">
            <v>69.741</v>
          </cell>
          <cell r="W364">
            <v>69.131</v>
          </cell>
          <cell r="X364">
            <v>198.626</v>
          </cell>
          <cell r="Y364">
            <v>70.217999999999989</v>
          </cell>
          <cell r="Z364">
            <v>68.84</v>
          </cell>
          <cell r="AA364">
            <v>68.967999999999989</v>
          </cell>
          <cell r="AB364">
            <v>69.120999999999995</v>
          </cell>
          <cell r="AC364">
            <v>277.14699999999999</v>
          </cell>
          <cell r="AD364">
            <v>72.290999999999997</v>
          </cell>
          <cell r="AE364">
            <v>73.242999999999995</v>
          </cell>
          <cell r="AF364">
            <v>68.349999999999994</v>
          </cell>
          <cell r="AG364">
            <v>74.191000000000003</v>
          </cell>
          <cell r="AH364">
            <v>288.07499999999999</v>
          </cell>
          <cell r="AI364">
            <v>80.185000000000002</v>
          </cell>
          <cell r="AJ364">
            <v>83.359000000000009</v>
          </cell>
          <cell r="AK364">
            <v>80.039999999999992</v>
          </cell>
          <cell r="AL364">
            <v>84.727000000000004</v>
          </cell>
          <cell r="AM364">
            <v>328.31100000000004</v>
          </cell>
          <cell r="AN364">
            <v>65.300000000000011</v>
          </cell>
          <cell r="AO364">
            <v>69.695999999999998</v>
          </cell>
          <cell r="AP364">
            <v>68.150999999999996</v>
          </cell>
          <cell r="AQ364">
            <v>72.254000000000005</v>
          </cell>
          <cell r="AR364">
            <v>275.40100000000001</v>
          </cell>
          <cell r="AS364">
            <v>75.426999999999992</v>
          </cell>
          <cell r="AT364">
            <v>76.816000000000003</v>
          </cell>
          <cell r="AU364">
            <v>78.876000000000005</v>
          </cell>
          <cell r="AV364">
            <v>77.454999999999998</v>
          </cell>
          <cell r="AW364">
            <v>308.57400000000001</v>
          </cell>
          <cell r="AX364">
            <v>82.652999999999992</v>
          </cell>
          <cell r="AY364">
            <v>76.753</v>
          </cell>
          <cell r="AZ364">
            <v>65.593000000000004</v>
          </cell>
          <cell r="BA364">
            <v>64.804000000000002</v>
          </cell>
          <cell r="BB364">
            <v>289.803</v>
          </cell>
          <cell r="BC364">
            <v>63.171999999999997</v>
          </cell>
          <cell r="BD364">
            <v>62.13</v>
          </cell>
          <cell r="BE364">
            <v>62.985999999999997</v>
          </cell>
          <cell r="BF364">
            <v>63.819000000000003</v>
          </cell>
          <cell r="BG364">
            <v>252.10699999999997</v>
          </cell>
          <cell r="BH364">
            <v>68.157963211915074</v>
          </cell>
          <cell r="BI364">
            <v>68.886921338435997</v>
          </cell>
          <cell r="BJ364">
            <v>67.088357942604162</v>
          </cell>
          <cell r="BK364">
            <v>68.06739027230887</v>
          </cell>
          <cell r="BL364">
            <v>272.20063276526412</v>
          </cell>
          <cell r="BM364">
            <v>289.76342249883476</v>
          </cell>
          <cell r="BN364">
            <v>309.41882947883192</v>
          </cell>
          <cell r="BO364">
            <v>330.85120917309001</v>
          </cell>
        </row>
        <row r="365">
          <cell r="A365" t="str">
            <v>Compensation</v>
          </cell>
          <cell r="D365" t="str">
            <v>ND</v>
          </cell>
          <cell r="E365">
            <v>21.106000000000002</v>
          </cell>
          <cell r="F365">
            <v>18.8</v>
          </cell>
          <cell r="G365">
            <v>17.841999999999999</v>
          </cell>
          <cell r="H365">
            <v>18.373000000000001</v>
          </cell>
          <cell r="I365">
            <v>76.121000000000009</v>
          </cell>
          <cell r="J365">
            <v>18.937999999999999</v>
          </cell>
          <cell r="K365">
            <v>17.585000000000001</v>
          </cell>
          <cell r="L365">
            <v>18.222000000000001</v>
          </cell>
          <cell r="M365">
            <v>20.876999999999999</v>
          </cell>
          <cell r="N365">
            <v>75.622</v>
          </cell>
          <cell r="O365">
            <v>19.251999999999999</v>
          </cell>
          <cell r="P365">
            <v>19.538</v>
          </cell>
          <cell r="Q365">
            <v>18.727</v>
          </cell>
          <cell r="R365">
            <v>20.805</v>
          </cell>
          <cell r="S365">
            <v>78.322000000000003</v>
          </cell>
          <cell r="T365">
            <v>21.686</v>
          </cell>
          <cell r="U365">
            <v>21.638999999999999</v>
          </cell>
          <cell r="V365">
            <v>51.313000000000002</v>
          </cell>
          <cell r="W365">
            <v>48.848999999999997</v>
          </cell>
          <cell r="X365">
            <v>143.48699999999999</v>
          </cell>
          <cell r="Y365">
            <v>51.082000000000001</v>
          </cell>
          <cell r="Z365">
            <v>48.118000000000002</v>
          </cell>
          <cell r="AA365">
            <v>50.113999999999997</v>
          </cell>
          <cell r="AB365">
            <v>50.131999999999998</v>
          </cell>
          <cell r="AC365">
            <v>199.446</v>
          </cell>
          <cell r="AD365">
            <v>53.548999999999999</v>
          </cell>
          <cell r="AE365">
            <v>55.491999999999997</v>
          </cell>
          <cell r="AF365">
            <v>50.110999999999997</v>
          </cell>
          <cell r="AG365">
            <v>55.981999999999999</v>
          </cell>
          <cell r="AH365">
            <v>215.13399999999999</v>
          </cell>
          <cell r="AI365">
            <v>61.149000000000001</v>
          </cell>
          <cell r="AJ365">
            <v>61.768000000000001</v>
          </cell>
          <cell r="AK365">
            <v>58.750999999999998</v>
          </cell>
          <cell r="AL365">
            <v>62.057000000000002</v>
          </cell>
          <cell r="AM365">
            <v>243.72500000000002</v>
          </cell>
          <cell r="AN365">
            <v>49.404000000000003</v>
          </cell>
          <cell r="AO365">
            <v>51.668999999999997</v>
          </cell>
          <cell r="AP365">
            <v>49.3</v>
          </cell>
          <cell r="AQ365">
            <v>52.146000000000001</v>
          </cell>
          <cell r="AR365">
            <v>202.51900000000001</v>
          </cell>
          <cell r="AS365">
            <v>56.281999999999996</v>
          </cell>
          <cell r="AT365">
            <v>56.667999999999999</v>
          </cell>
          <cell r="AU365">
            <v>59.545999999999999</v>
          </cell>
          <cell r="AV365">
            <v>57.34</v>
          </cell>
          <cell r="AW365">
            <v>229.83599999999998</v>
          </cell>
          <cell r="AX365">
            <v>65.260999999999996</v>
          </cell>
          <cell r="AY365">
            <v>59.444000000000003</v>
          </cell>
        </row>
        <row r="366">
          <cell r="A366" t="str">
            <v>Non compensation</v>
          </cell>
          <cell r="D366" t="str">
            <v>ND</v>
          </cell>
          <cell r="E366">
            <v>10.878</v>
          </cell>
          <cell r="F366">
            <v>11.278500000000001</v>
          </cell>
          <cell r="G366">
            <v>11.291500000000001</v>
          </cell>
          <cell r="H366">
            <v>11.239000000000001</v>
          </cell>
          <cell r="I366">
            <v>44.686999999999998</v>
          </cell>
          <cell r="J366">
            <v>10.632999999999999</v>
          </cell>
          <cell r="K366">
            <v>10.164</v>
          </cell>
          <cell r="L366">
            <v>8.0030000000000001</v>
          </cell>
          <cell r="M366">
            <v>10.657999999999999</v>
          </cell>
          <cell r="N366">
            <v>39.457999999999998</v>
          </cell>
          <cell r="O366">
            <v>7.6379999999999999</v>
          </cell>
          <cell r="P366">
            <v>6.8390000000000004</v>
          </cell>
          <cell r="Q366">
            <v>7.2050000000000001</v>
          </cell>
          <cell r="R366">
            <v>9.3109999999999999</v>
          </cell>
          <cell r="S366">
            <v>30.993000000000002</v>
          </cell>
          <cell r="T366">
            <v>6.9240000000000004</v>
          </cell>
          <cell r="U366">
            <v>8.109</v>
          </cell>
          <cell r="V366">
            <v>17.803999999999998</v>
          </cell>
          <cell r="W366">
            <v>18.664999999999999</v>
          </cell>
          <cell r="X366">
            <v>51.502000000000002</v>
          </cell>
          <cell r="Y366">
            <v>18.006</v>
          </cell>
          <cell r="Z366">
            <v>19.614000000000001</v>
          </cell>
          <cell r="AA366">
            <v>18.384</v>
          </cell>
          <cell r="AB366">
            <v>18.545999999999999</v>
          </cell>
          <cell r="AC366">
            <v>74.550000000000011</v>
          </cell>
          <cell r="AD366">
            <v>18.474</v>
          </cell>
          <cell r="AE366">
            <v>17.657</v>
          </cell>
          <cell r="AF366">
            <v>17.972000000000001</v>
          </cell>
          <cell r="AG366">
            <v>17.954000000000001</v>
          </cell>
          <cell r="AH366">
            <v>72.057000000000002</v>
          </cell>
          <cell r="AI366">
            <v>19.036000000000001</v>
          </cell>
          <cell r="AJ366">
            <v>21.591000000000001</v>
          </cell>
          <cell r="AK366">
            <v>21.289000000000001</v>
          </cell>
          <cell r="AL366">
            <v>22.67</v>
          </cell>
          <cell r="AM366">
            <v>84.586000000000013</v>
          </cell>
          <cell r="AN366">
            <v>15.896000000000001</v>
          </cell>
          <cell r="AO366">
            <v>18.027000000000001</v>
          </cell>
          <cell r="AP366">
            <v>18.850999999999999</v>
          </cell>
          <cell r="AQ366">
            <v>20.108000000000001</v>
          </cell>
          <cell r="AR366">
            <v>72.882000000000005</v>
          </cell>
          <cell r="AS366">
            <v>19.145</v>
          </cell>
          <cell r="AT366">
            <v>20.148</v>
          </cell>
          <cell r="AU366">
            <v>19.329999999999998</v>
          </cell>
          <cell r="AV366">
            <v>20.114999999999998</v>
          </cell>
          <cell r="AW366">
            <v>78.738</v>
          </cell>
          <cell r="AX366">
            <v>17.391999999999999</v>
          </cell>
          <cell r="AY366">
            <v>17.309000000000001</v>
          </cell>
        </row>
        <row r="367">
          <cell r="A367" t="str">
            <v>Founders Grant/Performance Awards</v>
          </cell>
          <cell r="D367" t="str">
            <v>ND</v>
          </cell>
          <cell r="E367">
            <v>0</v>
          </cell>
          <cell r="F367">
            <v>0</v>
          </cell>
          <cell r="G367">
            <v>0</v>
          </cell>
          <cell r="H367">
            <v>0.222</v>
          </cell>
          <cell r="I367">
            <v>0.222</v>
          </cell>
          <cell r="J367">
            <v>1.2889999999999999</v>
          </cell>
          <cell r="K367">
            <v>1.887</v>
          </cell>
          <cell r="L367">
            <v>1.575</v>
          </cell>
          <cell r="M367">
            <v>3.1070000000000002</v>
          </cell>
          <cell r="N367">
            <v>7.8580000000000005</v>
          </cell>
          <cell r="O367">
            <v>2.0449999999999999</v>
          </cell>
          <cell r="P367">
            <v>2.8919999999999999</v>
          </cell>
          <cell r="Q367">
            <v>2.3149999999999999</v>
          </cell>
          <cell r="R367">
            <v>2.0979999999999999</v>
          </cell>
          <cell r="S367">
            <v>9.3499999999999979</v>
          </cell>
          <cell r="T367">
            <v>0.68100000000000005</v>
          </cell>
          <cell r="U367">
            <v>0.71499999999999997</v>
          </cell>
          <cell r="V367">
            <v>0.624</v>
          </cell>
          <cell r="W367">
            <v>1.617</v>
          </cell>
          <cell r="X367">
            <v>3.637</v>
          </cell>
          <cell r="Y367">
            <v>1.1299999999999999</v>
          </cell>
          <cell r="Z367">
            <v>1.1080000000000001</v>
          </cell>
          <cell r="AA367">
            <v>0.47</v>
          </cell>
          <cell r="AB367">
            <v>0.443</v>
          </cell>
          <cell r="AC367">
            <v>3.1510000000000002</v>
          </cell>
          <cell r="AD367">
            <v>0.26800000000000002</v>
          </cell>
          <cell r="AE367">
            <v>9.4E-2</v>
          </cell>
          <cell r="AF367">
            <v>0.26700000000000002</v>
          </cell>
          <cell r="AG367">
            <v>0.255</v>
          </cell>
          <cell r="AH367">
            <v>0.88400000000000001</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row>
        <row r="368">
          <cell r="A368" t="str">
            <v>Gross Margin</v>
          </cell>
          <cell r="D368">
            <v>0.38158123796363785</v>
          </cell>
          <cell r="E368">
            <v>0.40129534648646636</v>
          </cell>
          <cell r="F368">
            <v>0.4442976702939383</v>
          </cell>
          <cell r="G368">
            <v>0.48240237359201232</v>
          </cell>
          <cell r="H368">
            <v>0.52137711966374156</v>
          </cell>
          <cell r="I368">
            <v>0.46486682466131368</v>
          </cell>
          <cell r="J368">
            <v>0.5231546579724029</v>
          </cell>
          <cell r="K368">
            <v>0.54888499885836062</v>
          </cell>
          <cell r="L368">
            <v>0.59007328545939797</v>
          </cell>
          <cell r="M368">
            <v>0.47141309489296124</v>
          </cell>
          <cell r="N368">
            <v>0.53391263468377259</v>
          </cell>
          <cell r="O368">
            <v>0.54896184062850728</v>
          </cell>
          <cell r="P368">
            <v>0.57096788378944896</v>
          </cell>
          <cell r="Q368">
            <v>0.60003681468056191</v>
          </cell>
          <cell r="R368">
            <v>0.58599151779976877</v>
          </cell>
          <cell r="S368">
            <v>0.577414380695638</v>
          </cell>
          <cell r="T368">
            <v>0.63772077375946168</v>
          </cell>
          <cell r="U368">
            <v>0.64170450001176171</v>
          </cell>
          <cell r="V368">
            <v>0.40754867647558524</v>
          </cell>
          <cell r="W368">
            <v>0.44403876311874224</v>
          </cell>
          <cell r="X368">
            <v>0.5130939978182798</v>
          </cell>
          <cell r="Y368">
            <v>0.48043626246781312</v>
          </cell>
          <cell r="Z368">
            <v>0.49561853404062017</v>
          </cell>
          <cell r="AA368">
            <v>0.48106123308904314</v>
          </cell>
          <cell r="AB368">
            <v>0.48397139188341753</v>
          </cell>
          <cell r="AC368">
            <v>0.69238052214295942</v>
          </cell>
          <cell r="AD368">
            <v>0.46810436164577074</v>
          </cell>
          <cell r="AE368">
            <v>0.493800624775385</v>
          </cell>
          <cell r="AF368">
            <v>0.5163048093526198</v>
          </cell>
          <cell r="AG368">
            <v>0.51132261889079167</v>
          </cell>
          <cell r="AH368">
            <v>0.69680815794708373</v>
          </cell>
          <cell r="AI368">
            <v>0.48923172961162886</v>
          </cell>
          <cell r="AJ368">
            <v>0.49390443810333307</v>
          </cell>
          <cell r="AK368">
            <v>0.50701839750183231</v>
          </cell>
          <cell r="AL368">
            <v>0.49202913756407574</v>
          </cell>
          <cell r="AM368">
            <v>0.68299559607479998</v>
          </cell>
          <cell r="AN368">
            <v>0.70252602327859137</v>
          </cell>
          <cell r="AO368">
            <v>0.69481105223978634</v>
          </cell>
          <cell r="AP368">
            <v>0.70200829904547857</v>
          </cell>
          <cell r="AQ368">
            <v>0.69487331081081072</v>
          </cell>
          <cell r="AR368">
            <v>0.69848344511520866</v>
          </cell>
          <cell r="AS368">
            <v>0.68532749269920745</v>
          </cell>
          <cell r="AT368">
            <v>0.69792563754694359</v>
          </cell>
          <cell r="AU368">
            <v>0.68644879689295069</v>
          </cell>
          <cell r="AV368">
            <v>0.6916023300537919</v>
          </cell>
          <cell r="AW368">
            <v>0.69040588739897957</v>
          </cell>
          <cell r="AX368">
            <v>0.68546693051221552</v>
          </cell>
          <cell r="AY368">
            <v>0.71631800709639259</v>
          </cell>
          <cell r="AZ368">
            <v>0.75595754100983337</v>
          </cell>
          <cell r="BA368">
            <v>0.76252963615776148</v>
          </cell>
          <cell r="BB368">
            <v>0.73041832169003085</v>
          </cell>
          <cell r="BC368">
            <v>0.77343738792373795</v>
          </cell>
          <cell r="BD368">
            <v>0.78619802061969191</v>
          </cell>
          <cell r="BE368">
            <v>0.78162692895750485</v>
          </cell>
          <cell r="BF368">
            <v>0.78204786689070116</v>
          </cell>
          <cell r="BG368">
            <v>0.78089978942282046</v>
          </cell>
          <cell r="BH368">
            <v>0.77343738792373795</v>
          </cell>
          <cell r="BI368">
            <v>0.7761980206196919</v>
          </cell>
          <cell r="BJ368">
            <v>0.78162692895750485</v>
          </cell>
          <cell r="BK368">
            <v>0.78204786689070116</v>
          </cell>
          <cell r="BL368">
            <v>0.77836736193461853</v>
          </cell>
          <cell r="BM368">
            <v>0.7798275510979088</v>
          </cell>
          <cell r="BN368">
            <v>0.78132755109790875</v>
          </cell>
          <cell r="BO368">
            <v>0.78282755109790869</v>
          </cell>
        </row>
        <row r="369">
          <cell r="A369" t="str">
            <v>BULL</v>
          </cell>
        </row>
        <row r="370">
          <cell r="A370" t="str">
            <v>BASE</v>
          </cell>
          <cell r="AI370">
            <v>0.704463956185156</v>
          </cell>
          <cell r="AJ370">
            <v>0.69673369144087949</v>
          </cell>
          <cell r="AK370">
            <v>0.70355368141097419</v>
          </cell>
          <cell r="AL370">
            <v>0.6963785125641716</v>
          </cell>
          <cell r="AM370">
            <v>0.70028246040029529</v>
          </cell>
          <cell r="AX370">
            <v>0.68546693051221552</v>
          </cell>
          <cell r="AY370">
            <v>0.71631800709639259</v>
          </cell>
          <cell r="AZ370">
            <v>0.75595754100983337</v>
          </cell>
          <cell r="BA370">
            <v>0.76252963615776148</v>
          </cell>
        </row>
        <row r="371">
          <cell r="A371" t="str">
            <v>BEAR</v>
          </cell>
        </row>
        <row r="372">
          <cell r="A372" t="str">
            <v>y/y growth</v>
          </cell>
          <cell r="I372">
            <v>4.8550586522967176E-2</v>
          </cell>
          <cell r="J372">
            <v>-3.514257128564291E-2</v>
          </cell>
          <cell r="K372">
            <v>-1.4711504895523309E-2</v>
          </cell>
          <cell r="L372">
            <v>-4.5772049358985267E-2</v>
          </cell>
          <cell r="M372">
            <v>0.16115840986793573</v>
          </cell>
          <cell r="N372">
            <v>1.5764686441378073E-2</v>
          </cell>
          <cell r="O372">
            <v>-6.23784834737523E-2</v>
          </cell>
          <cell r="P372">
            <v>-1.2383587528681406E-2</v>
          </cell>
          <cell r="Q372">
            <v>1.6079136690647644E-2</v>
          </cell>
          <cell r="R372">
            <v>-7.008833208244325E-2</v>
          </cell>
          <cell r="S372">
            <v>-3.475735736712815E-2</v>
          </cell>
          <cell r="T372">
            <v>1.2303438742007788E-2</v>
          </cell>
          <cell r="U372">
            <v>4.0794014144658108E-2</v>
          </cell>
          <cell r="V372">
            <v>1.4689701561227739</v>
          </cell>
          <cell r="W372">
            <v>1.1459924256534428</v>
          </cell>
          <cell r="X372">
            <v>0.6738381157038722</v>
          </cell>
          <cell r="Y372">
            <v>1.3972551295619811</v>
          </cell>
          <cell r="Z372">
            <v>1.2597905656041757</v>
          </cell>
          <cell r="AA372">
            <v>-1.1083867452431284E-2</v>
          </cell>
          <cell r="AB372">
            <v>-1.4465290535370379E-4</v>
          </cell>
          <cell r="AC372">
            <v>0.39532085426882668</v>
          </cell>
          <cell r="AD372">
            <v>2.9522344697940905E-2</v>
          </cell>
          <cell r="AE372">
            <v>6.3959907030795904E-2</v>
          </cell>
          <cell r="AF372">
            <v>-8.9606774156130164E-3</v>
          </cell>
          <cell r="AG372">
            <v>7.3349633251833746E-2</v>
          </cell>
          <cell r="AH372">
            <v>3.9430338412467014E-2</v>
          </cell>
          <cell r="AI372">
            <v>0.10919754879583921</v>
          </cell>
          <cell r="AJ372">
            <v>0.1381155878377458</v>
          </cell>
          <cell r="AK372">
            <v>0.17103145574250189</v>
          </cell>
          <cell r="AL372">
            <v>0.14201183431952669</v>
          </cell>
          <cell r="AM372">
            <v>0.13967196042697227</v>
          </cell>
          <cell r="AS372">
            <v>0.15508422664624777</v>
          </cell>
          <cell r="AT372">
            <v>0.10215794306703407</v>
          </cell>
          <cell r="AU372">
            <v>0.15737113175155182</v>
          </cell>
          <cell r="AV372">
            <v>7.1982173997287235E-2</v>
          </cell>
          <cell r="AW372">
            <v>0.12045344788145296</v>
          </cell>
          <cell r="AX372">
            <v>9.580123828337328E-2</v>
          </cell>
          <cell r="AY372">
            <v>-8.2014163715893318E-4</v>
          </cell>
          <cell r="AZ372">
            <v>-0.16840357016075869</v>
          </cell>
          <cell r="BA372">
            <v>-0.16333354851203918</v>
          </cell>
          <cell r="BB372">
            <v>-6.0831437515798559E-2</v>
          </cell>
        </row>
        <row r="373">
          <cell r="V373">
            <v>0.25528742059907372</v>
          </cell>
          <cell r="W373">
            <v>0.26999464784250188</v>
          </cell>
        </row>
        <row r="374">
          <cell r="A374" t="str">
            <v>SG&amp;A</v>
          </cell>
          <cell r="D374">
            <v>85.82</v>
          </cell>
          <cell r="E374">
            <v>18.682000000000002</v>
          </cell>
          <cell r="F374">
            <v>25.226500000000001</v>
          </cell>
          <cell r="G374">
            <v>22.872500000000002</v>
          </cell>
          <cell r="H374">
            <v>23.932000000000002</v>
          </cell>
          <cell r="I374">
            <v>90.713000000000008</v>
          </cell>
          <cell r="J374">
            <v>31.32</v>
          </cell>
          <cell r="K374">
            <v>38.005000000000003</v>
          </cell>
          <cell r="L374">
            <v>36.686999999999998</v>
          </cell>
          <cell r="M374">
            <v>32.750999999999998</v>
          </cell>
          <cell r="N374">
            <v>138.76300000000001</v>
          </cell>
          <cell r="O374">
            <v>34.716000000000001</v>
          </cell>
          <cell r="P374">
            <v>34.052</v>
          </cell>
          <cell r="Q374">
            <v>33.524999999999999</v>
          </cell>
          <cell r="R374">
            <v>33.487000000000002</v>
          </cell>
          <cell r="S374">
            <v>135.78</v>
          </cell>
          <cell r="T374">
            <v>37.460999999999999</v>
          </cell>
          <cell r="U374">
            <v>40.177000000000007</v>
          </cell>
          <cell r="V374">
            <v>63.305999999999997</v>
          </cell>
          <cell r="W374">
            <v>49.3</v>
          </cell>
          <cell r="X374">
            <v>190.24400000000003</v>
          </cell>
          <cell r="Y374">
            <v>51.417999999999999</v>
          </cell>
          <cell r="Z374">
            <v>53.320999999999998</v>
          </cell>
          <cell r="AA374">
            <v>53.724000000000004</v>
          </cell>
          <cell r="AB374">
            <v>54.508999999999993</v>
          </cell>
          <cell r="AC374">
            <v>212.97200000000001</v>
          </cell>
          <cell r="AD374">
            <v>55.436</v>
          </cell>
          <cell r="AE374">
            <v>57.601999999999997</v>
          </cell>
          <cell r="AF374">
            <v>62.973000000000006</v>
          </cell>
          <cell r="AG374">
            <v>57.172000000000004</v>
          </cell>
          <cell r="AH374">
            <v>233.18299999999999</v>
          </cell>
          <cell r="AI374">
            <v>61.631</v>
          </cell>
          <cell r="AJ374">
            <v>57.611999999999995</v>
          </cell>
          <cell r="AK374">
            <v>65.38</v>
          </cell>
          <cell r="AL374">
            <v>70.722000000000008</v>
          </cell>
          <cell r="AM374">
            <v>255.345</v>
          </cell>
          <cell r="AN374">
            <v>55.515000000000001</v>
          </cell>
          <cell r="AO374">
            <v>52.62</v>
          </cell>
          <cell r="AP374">
            <v>59.917000000000002</v>
          </cell>
          <cell r="AQ374">
            <v>64.174999999999997</v>
          </cell>
          <cell r="AR374">
            <v>232.22699999999998</v>
          </cell>
          <cell r="AS374">
            <v>67.658000000000001</v>
          </cell>
          <cell r="AT374">
            <v>71.516000000000005</v>
          </cell>
          <cell r="AU374">
            <v>70.832999999999998</v>
          </cell>
          <cell r="AV374">
            <v>69.344999999999999</v>
          </cell>
          <cell r="AW374">
            <v>279.35199999999998</v>
          </cell>
          <cell r="AX374">
            <v>72.465000000000003</v>
          </cell>
          <cell r="AY374">
            <v>75.555999999999997</v>
          </cell>
          <cell r="AZ374">
            <v>74.317000000000007</v>
          </cell>
          <cell r="BA374">
            <v>81.174999999999997</v>
          </cell>
          <cell r="BB374">
            <v>303.51300000000003</v>
          </cell>
          <cell r="BC374">
            <v>82.507000000000005</v>
          </cell>
          <cell r="BD374">
            <v>82.438999999999993</v>
          </cell>
          <cell r="BE374">
            <v>82.123000000000005</v>
          </cell>
          <cell r="BF374">
            <v>82.036000000000001</v>
          </cell>
          <cell r="BG374">
            <v>329.10500000000002</v>
          </cell>
          <cell r="BH374">
            <v>86.762750213339615</v>
          </cell>
          <cell r="BI374">
            <v>85.781429062521767</v>
          </cell>
          <cell r="BJ374">
            <v>85.167632437716904</v>
          </cell>
          <cell r="BK374">
            <v>85.935562841427355</v>
          </cell>
          <cell r="BL374">
            <v>343.64737455500563</v>
          </cell>
          <cell r="BM374">
            <v>361.75053635647959</v>
          </cell>
          <cell r="BN374">
            <v>381.86385637481015</v>
          </cell>
          <cell r="BO374">
            <v>403.51721548382125</v>
          </cell>
        </row>
        <row r="375">
          <cell r="A375" t="str">
            <v xml:space="preserve">  Compensation</v>
          </cell>
          <cell r="D375" t="str">
            <v>ND</v>
          </cell>
          <cell r="E375">
            <v>14.269</v>
          </cell>
          <cell r="F375">
            <v>14.554</v>
          </cell>
          <cell r="G375">
            <v>13.295</v>
          </cell>
          <cell r="H375">
            <v>15.051</v>
          </cell>
          <cell r="I375">
            <v>57.169000000000004</v>
          </cell>
          <cell r="J375">
            <v>17.428999999999998</v>
          </cell>
          <cell r="K375">
            <v>19.443000000000001</v>
          </cell>
          <cell r="L375">
            <v>18.899000000000001</v>
          </cell>
          <cell r="M375">
            <v>13.058</v>
          </cell>
          <cell r="N375">
            <v>68.829000000000008</v>
          </cell>
          <cell r="O375">
            <v>19.047000000000001</v>
          </cell>
          <cell r="P375">
            <v>19.724</v>
          </cell>
          <cell r="Q375">
            <v>18.257000000000001</v>
          </cell>
          <cell r="R375">
            <v>18.548999999999999</v>
          </cell>
          <cell r="S375">
            <v>75.576999999999998</v>
          </cell>
          <cell r="T375">
            <v>21.268999999999998</v>
          </cell>
          <cell r="U375">
            <v>21.085000000000001</v>
          </cell>
          <cell r="V375">
            <v>31.367000000000001</v>
          </cell>
          <cell r="W375">
            <v>29.507999999999999</v>
          </cell>
          <cell r="X375">
            <v>103.229</v>
          </cell>
          <cell r="Y375">
            <v>34.805</v>
          </cell>
          <cell r="Z375">
            <v>34.369999999999997</v>
          </cell>
          <cell r="AA375">
            <v>34.874000000000002</v>
          </cell>
          <cell r="AB375">
            <v>34.671999999999997</v>
          </cell>
          <cell r="AC375">
            <v>138.721</v>
          </cell>
          <cell r="AD375">
            <v>38.491999999999997</v>
          </cell>
          <cell r="AE375">
            <v>38.024999999999999</v>
          </cell>
          <cell r="AF375">
            <v>42.295999999999999</v>
          </cell>
          <cell r="AG375">
            <v>37.475000000000001</v>
          </cell>
          <cell r="AH375">
            <v>156.28799999999998</v>
          </cell>
          <cell r="AI375">
            <v>45.655999999999999</v>
          </cell>
          <cell r="AJ375">
            <v>39.89</v>
          </cell>
          <cell r="AK375">
            <v>44.494999999999997</v>
          </cell>
          <cell r="AL375">
            <v>45.904000000000003</v>
          </cell>
          <cell r="AM375">
            <v>175.94499999999999</v>
          </cell>
          <cell r="AN375">
            <v>40.35</v>
          </cell>
          <cell r="AO375">
            <v>35.951000000000001</v>
          </cell>
          <cell r="AP375">
            <v>40.533999999999999</v>
          </cell>
          <cell r="AQ375">
            <v>41.823999999999998</v>
          </cell>
          <cell r="AR375">
            <v>158.65899999999999</v>
          </cell>
          <cell r="AS375">
            <v>46.133000000000003</v>
          </cell>
          <cell r="AT375">
            <v>46.015000000000001</v>
          </cell>
          <cell r="AU375">
            <v>46.341999999999999</v>
          </cell>
          <cell r="AV375">
            <v>44.223999999999997</v>
          </cell>
          <cell r="AW375">
            <v>182.714</v>
          </cell>
          <cell r="AX375">
            <v>50.21</v>
          </cell>
          <cell r="AY375">
            <v>51.421999999999997</v>
          </cell>
        </row>
        <row r="376">
          <cell r="A376" t="str">
            <v xml:space="preserve">  Non-compensation</v>
          </cell>
          <cell r="D376" t="str">
            <v>ND</v>
          </cell>
          <cell r="E376">
            <v>4.4130000000000003</v>
          </cell>
          <cell r="F376">
            <v>10.672500000000001</v>
          </cell>
          <cell r="G376">
            <v>9.5775000000000006</v>
          </cell>
          <cell r="H376">
            <v>8.2840000000000007</v>
          </cell>
          <cell r="I376">
            <v>32.947000000000003</v>
          </cell>
          <cell r="J376">
            <v>10.384</v>
          </cell>
          <cell r="K376">
            <v>13.573</v>
          </cell>
          <cell r="L376">
            <v>14.016999999999999</v>
          </cell>
          <cell r="M376">
            <v>14.233000000000001</v>
          </cell>
          <cell r="N376">
            <v>52.207000000000008</v>
          </cell>
          <cell r="O376">
            <v>11.513</v>
          </cell>
          <cell r="P376">
            <v>9.8819999999999997</v>
          </cell>
          <cell r="Q376">
            <v>10.724</v>
          </cell>
          <cell r="R376">
            <v>10.863</v>
          </cell>
          <cell r="S376">
            <v>42.981999999999999</v>
          </cell>
          <cell r="T376">
            <v>12.552</v>
          </cell>
          <cell r="U376">
            <v>12.503</v>
          </cell>
          <cell r="V376">
            <v>16.731000000000002</v>
          </cell>
          <cell r="W376">
            <v>17.382000000000001</v>
          </cell>
          <cell r="X376">
            <v>59.168000000000006</v>
          </cell>
          <cell r="Y376">
            <v>14.93</v>
          </cell>
          <cell r="Z376">
            <v>17.385999999999999</v>
          </cell>
          <cell r="AA376">
            <v>18.03</v>
          </cell>
          <cell r="AB376">
            <v>19.135999999999999</v>
          </cell>
          <cell r="AC376">
            <v>69.481999999999999</v>
          </cell>
          <cell r="AD376">
            <v>16.63</v>
          </cell>
          <cell r="AE376">
            <v>19.478999999999999</v>
          </cell>
          <cell r="AF376">
            <v>20.318000000000001</v>
          </cell>
          <cell r="AG376">
            <v>19.571000000000002</v>
          </cell>
          <cell r="AH376">
            <v>75.99799999999999</v>
          </cell>
          <cell r="AI376">
            <v>15.975</v>
          </cell>
          <cell r="AJ376">
            <v>17.721999999999998</v>
          </cell>
          <cell r="AK376">
            <v>20.885000000000002</v>
          </cell>
          <cell r="AL376">
            <v>22.997</v>
          </cell>
          <cell r="AM376">
            <v>77.578999999999994</v>
          </cell>
          <cell r="AN376">
            <v>15.164999999999999</v>
          </cell>
          <cell r="AO376">
            <v>16.668999999999997</v>
          </cell>
          <cell r="AP376">
            <v>19.382999999999999</v>
          </cell>
          <cell r="AQ376">
            <v>22.350999999999999</v>
          </cell>
          <cell r="AR376">
            <v>73.567999999999998</v>
          </cell>
          <cell r="AS376">
            <v>21.524999999999999</v>
          </cell>
          <cell r="AT376">
            <v>25.501000000000001</v>
          </cell>
          <cell r="AU376">
            <v>24.491</v>
          </cell>
          <cell r="AV376">
            <v>25.120999999999999</v>
          </cell>
          <cell r="AW376">
            <v>96.637999999999991</v>
          </cell>
          <cell r="AX376">
            <v>22.254999999999999</v>
          </cell>
          <cell r="AY376">
            <v>24.134</v>
          </cell>
        </row>
        <row r="377">
          <cell r="A377" t="str">
            <v>Founders Grant/Performance Awards</v>
          </cell>
          <cell r="D377" t="str">
            <v>ND</v>
          </cell>
          <cell r="E377">
            <v>0</v>
          </cell>
          <cell r="F377">
            <v>0</v>
          </cell>
          <cell r="G377">
            <v>0</v>
          </cell>
          <cell r="H377">
            <v>0.59699999999999998</v>
          </cell>
          <cell r="I377">
            <v>0.59699999999999998</v>
          </cell>
          <cell r="J377">
            <v>3.5070000000000001</v>
          </cell>
          <cell r="K377">
            <v>4.9889999999999999</v>
          </cell>
          <cell r="L377">
            <v>3.7709999999999999</v>
          </cell>
          <cell r="M377">
            <v>5.46</v>
          </cell>
          <cell r="N377">
            <v>17.727</v>
          </cell>
          <cell r="O377">
            <v>4.1559999999999997</v>
          </cell>
          <cell r="P377">
            <v>4.4459999999999997</v>
          </cell>
          <cell r="Q377">
            <v>4.5439999999999996</v>
          </cell>
          <cell r="R377">
            <v>4.0750000000000002</v>
          </cell>
          <cell r="S377">
            <v>17.221</v>
          </cell>
          <cell r="T377">
            <v>1.39</v>
          </cell>
          <cell r="U377">
            <v>1.325</v>
          </cell>
          <cell r="V377">
            <v>1.516</v>
          </cell>
          <cell r="W377">
            <v>2.41</v>
          </cell>
          <cell r="X377">
            <v>6.641</v>
          </cell>
          <cell r="Y377">
            <v>1.6830000000000001</v>
          </cell>
          <cell r="Z377">
            <v>1.5649999999999999</v>
          </cell>
          <cell r="AA377">
            <v>0.82</v>
          </cell>
          <cell r="AB377">
            <v>0.70099999999999996</v>
          </cell>
          <cell r="AC377">
            <v>3.9</v>
          </cell>
          <cell r="AD377">
            <v>0.314</v>
          </cell>
          <cell r="AE377">
            <v>9.8000000000000004E-2</v>
          </cell>
          <cell r="AF377">
            <v>0.35899999999999999</v>
          </cell>
          <cell r="AG377">
            <v>0.126</v>
          </cell>
          <cell r="AH377">
            <v>0.89700000000000002</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row>
        <row r="378">
          <cell r="A378" t="str">
            <v>Transaction expenses</v>
          </cell>
          <cell r="D378" t="str">
            <v>ND</v>
          </cell>
          <cell r="E378" t="str">
            <v>ND</v>
          </cell>
          <cell r="F378" t="str">
            <v>ND</v>
          </cell>
          <cell r="G378" t="str">
            <v>ND</v>
          </cell>
          <cell r="H378" t="str">
            <v>ND</v>
          </cell>
          <cell r="I378" t="str">
            <v>ND</v>
          </cell>
          <cell r="J378" t="str">
            <v>ND</v>
          </cell>
          <cell r="K378" t="str">
            <v>ND</v>
          </cell>
          <cell r="L378" t="str">
            <v>ND</v>
          </cell>
          <cell r="M378" t="str">
            <v>ND</v>
          </cell>
          <cell r="N378" t="str">
            <v>ND</v>
          </cell>
          <cell r="O378" t="str">
            <v>ND</v>
          </cell>
          <cell r="P378" t="str">
            <v>ND</v>
          </cell>
          <cell r="Q378" t="str">
            <v>ND</v>
          </cell>
          <cell r="R378" t="str">
            <v>ND</v>
          </cell>
          <cell r="S378" t="str">
            <v>ND</v>
          </cell>
          <cell r="T378">
            <v>2.25</v>
          </cell>
          <cell r="U378">
            <v>5.2640000000000002</v>
          </cell>
          <cell r="V378">
            <v>13.692</v>
          </cell>
          <cell r="W378">
            <v>0</v>
          </cell>
          <cell r="X378">
            <v>21.206</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1.821</v>
          </cell>
          <cell r="AM378">
            <v>1.821</v>
          </cell>
          <cell r="AN378">
            <v>0</v>
          </cell>
          <cell r="AO378">
            <v>0</v>
          </cell>
          <cell r="AP378">
            <v>0</v>
          </cell>
          <cell r="AQ378">
            <v>0</v>
          </cell>
          <cell r="AR378">
            <v>0</v>
          </cell>
          <cell r="AS378">
            <v>0</v>
          </cell>
          <cell r="AT378">
            <v>0</v>
          </cell>
          <cell r="AU378">
            <v>0</v>
          </cell>
          <cell r="AV378">
            <v>0</v>
          </cell>
          <cell r="AW378">
            <v>0</v>
          </cell>
          <cell r="AX378">
            <v>0</v>
          </cell>
          <cell r="AY378">
            <v>0</v>
          </cell>
        </row>
        <row r="379">
          <cell r="A379" t="str">
            <v>% of Total Revenue</v>
          </cell>
          <cell r="D379">
            <v>0.4573572773069014</v>
          </cell>
          <cell r="E379">
            <v>0.34970611358616299</v>
          </cell>
          <cell r="F379">
            <v>0.46606130027527859</v>
          </cell>
          <cell r="G379">
            <v>0.40636215044593688</v>
          </cell>
          <cell r="H379">
            <v>0.38393788202075946</v>
          </cell>
          <cell r="I379">
            <v>0.40108680273071345</v>
          </cell>
          <cell r="J379">
            <v>0.48395321167544852</v>
          </cell>
          <cell r="K379">
            <v>0.57850673567242561</v>
          </cell>
          <cell r="L379">
            <v>0.54097055310615338</v>
          </cell>
          <cell r="M379">
            <v>0.49973297526588034</v>
          </cell>
          <cell r="N379">
            <v>0.52608372572659112</v>
          </cell>
          <cell r="O379">
            <v>0.54115226337448563</v>
          </cell>
          <cell r="P379">
            <v>0.49914249278081535</v>
          </cell>
          <cell r="Q379">
            <v>0.47469698685999084</v>
          </cell>
          <cell r="R379">
            <v>0.43036884719187768</v>
          </cell>
          <cell r="S379">
            <v>0.48353495461295476</v>
          </cell>
          <cell r="T379">
            <v>0.46332805620145445</v>
          </cell>
          <cell r="U379">
            <v>0.47254828162122747</v>
          </cell>
          <cell r="V379">
            <v>0.3122629271011626</v>
          </cell>
          <cell r="W379">
            <v>0.39647754232176602</v>
          </cell>
          <cell r="X379">
            <v>0.46635861105323156</v>
          </cell>
          <cell r="Y379">
            <v>0.38045698049545684</v>
          </cell>
          <cell r="Z379">
            <v>0.39067583013393509</v>
          </cell>
          <cell r="AA379">
            <v>0.40423770898857814</v>
          </cell>
          <cell r="AB379">
            <v>0.24104734361042562</v>
          </cell>
          <cell r="AC379">
            <v>0.39550439940425125</v>
          </cell>
          <cell r="AD379">
            <v>0.407881570427924</v>
          </cell>
          <cell r="AE379">
            <v>0.39810079340944898</v>
          </cell>
          <cell r="AF379">
            <v>0.44564355875109696</v>
          </cell>
          <cell r="AG379">
            <v>0.37657752601765254</v>
          </cell>
          <cell r="AH379">
            <v>0.24541936407333226</v>
          </cell>
          <cell r="AI379">
            <v>0.39258164584779826</v>
          </cell>
          <cell r="AJ379">
            <v>0.34977839839718289</v>
          </cell>
          <cell r="AK379">
            <v>0.40268787070627438</v>
          </cell>
          <cell r="AL379">
            <v>0.42400551575287032</v>
          </cell>
          <cell r="AM379">
            <v>0.24655125634011707</v>
          </cell>
          <cell r="AN379">
            <v>0.2528984351866615</v>
          </cell>
          <cell r="AO379">
            <v>0.23041555370670405</v>
          </cell>
          <cell r="AP379">
            <v>0.26198836034822759</v>
          </cell>
          <cell r="AQ379">
            <v>0.27100929054054057</v>
          </cell>
          <cell r="AR379">
            <v>0.25424847764253006</v>
          </cell>
          <cell r="AS379">
            <v>0.28226115978306215</v>
          </cell>
          <cell r="AT379">
            <v>0.28123242690575906</v>
          </cell>
          <cell r="AU379">
            <v>0.28157833015976497</v>
          </cell>
          <cell r="AV379">
            <v>0.27610659637750695</v>
          </cell>
          <cell r="AW379">
            <v>0.28027550779819499</v>
          </cell>
          <cell r="AX379">
            <v>0.27576299566177037</v>
          </cell>
          <cell r="AY379">
            <v>0.27925783560023654</v>
          </cell>
          <cell r="AZ379">
            <v>0.27650059342875333</v>
          </cell>
          <cell r="BA379">
            <v>0.29746090958727411</v>
          </cell>
          <cell r="BB379">
            <v>0.28233504804606474</v>
          </cell>
          <cell r="BC379">
            <v>0.13857724418684891</v>
          </cell>
          <cell r="BD379">
            <v>9.1097993541214395E-2</v>
          </cell>
          <cell r="BE379">
            <v>0.10503653269103963</v>
          </cell>
          <cell r="BF379">
            <v>1.0606713889744324E-2</v>
          </cell>
          <cell r="BG379">
            <v>0.28601734502414727</v>
          </cell>
          <cell r="BH379">
            <v>5.1580474545670274E-2</v>
          </cell>
          <cell r="BI379">
            <v>4.0544269854338122E-2</v>
          </cell>
          <cell r="BJ379">
            <v>3.7074052795403212E-2</v>
          </cell>
          <cell r="BK379">
            <v>4.7534775481829383E-2</v>
          </cell>
          <cell r="BL379">
            <v>0.2798063818336114</v>
          </cell>
          <cell r="BM379">
            <v>5.2679470707192255E-2</v>
          </cell>
          <cell r="BN379">
            <v>5.5599972900967076E-2</v>
          </cell>
          <cell r="BO379">
            <v>5.670439542138217E-2</v>
          </cell>
        </row>
        <row r="380">
          <cell r="A380" t="str">
            <v>BULL</v>
          </cell>
        </row>
        <row r="381">
          <cell r="A381" t="str">
            <v>BASE</v>
          </cell>
          <cell r="AI381">
            <v>0.23991543224783457</v>
          </cell>
          <cell r="AJ381">
            <v>0.21900596699982053</v>
          </cell>
          <cell r="AK381">
            <v>0.24770786674132139</v>
          </cell>
          <cell r="AL381">
            <v>0.25604988516617128</v>
          </cell>
          <cell r="AM381">
            <v>0.24066978778878695</v>
          </cell>
          <cell r="AX381">
            <v>0.27576299566177037</v>
          </cell>
          <cell r="AY381">
            <v>0.27925783560023654</v>
          </cell>
          <cell r="AZ381">
            <v>0.27650059342875333</v>
          </cell>
          <cell r="BA381">
            <v>0.29746090958727411</v>
          </cell>
        </row>
        <row r="382">
          <cell r="A382" t="str">
            <v>BEAR</v>
          </cell>
        </row>
        <row r="383">
          <cell r="A383" t="str">
            <v>y/y growth</v>
          </cell>
          <cell r="I383">
            <v>5.7014681892332941E-2</v>
          </cell>
          <cell r="J383">
            <v>0.67648003425757386</v>
          </cell>
          <cell r="K383">
            <v>0.50655065110102471</v>
          </cell>
          <cell r="L383">
            <v>0.60397857689364942</v>
          </cell>
          <cell r="M383">
            <v>0.36850242353334428</v>
          </cell>
          <cell r="N383">
            <v>0.52969254682349831</v>
          </cell>
          <cell r="O383">
            <v>0.10842911877394634</v>
          </cell>
          <cell r="P383">
            <v>-0.10401262991711624</v>
          </cell>
          <cell r="Q383">
            <v>-8.6188568157657963E-2</v>
          </cell>
          <cell r="R383">
            <v>2.2472596256603028E-2</v>
          </cell>
          <cell r="S383">
            <v>-2.1497084957805779E-2</v>
          </cell>
          <cell r="T383">
            <v>7.9070169374351851E-2</v>
          </cell>
          <cell r="U383">
            <v>0.17987196053095289</v>
          </cell>
          <cell r="V383">
            <v>0.88832214765100681</v>
          </cell>
          <cell r="W383">
            <v>0.47221309761997166</v>
          </cell>
          <cell r="X383">
            <v>0.40111945794667858</v>
          </cell>
          <cell r="Y383">
            <v>0.37257414377619402</v>
          </cell>
          <cell r="Z383">
            <v>0.32715235084749961</v>
          </cell>
          <cell r="AA383">
            <v>-0.15136006065775742</v>
          </cell>
          <cell r="AB383">
            <v>0.1056592292089249</v>
          </cell>
          <cell r="AC383">
            <v>0.11946763104224045</v>
          </cell>
          <cell r="AD383">
            <v>7.8143840678361665E-2</v>
          </cell>
          <cell r="AE383">
            <v>8.0287316441927103E-2</v>
          </cell>
          <cell r="AF383">
            <v>0.17215769488496768</v>
          </cell>
          <cell r="AG383">
            <v>4.8854317635619982E-2</v>
          </cell>
          <cell r="AH383">
            <v>9.4899799034614762E-2</v>
          </cell>
          <cell r="AI383">
            <v>0.11175048704812762</v>
          </cell>
          <cell r="AJ383">
            <v>1.7360508315689138E-4</v>
          </cell>
          <cell r="AK383">
            <v>3.8222730376510361E-2</v>
          </cell>
          <cell r="AL383">
            <v>0.23700412789477365</v>
          </cell>
          <cell r="AM383">
            <v>9.5041233709146855E-2</v>
          </cell>
          <cell r="AS383">
            <v>0.21873367558317569</v>
          </cell>
          <cell r="AT383">
            <v>0.35910300266058548</v>
          </cell>
          <cell r="AU383">
            <v>0.18218535640970002</v>
          </cell>
          <cell r="AV383">
            <v>8.0560966108297549E-2</v>
          </cell>
          <cell r="AW383">
            <v>0.20292644696783757</v>
          </cell>
          <cell r="AX383">
            <v>7.1048508675987998E-2</v>
          </cell>
          <cell r="AY383">
            <v>5.6490855193243261E-2</v>
          </cell>
          <cell r="AZ383">
            <v>4.9186113817006216E-2</v>
          </cell>
          <cell r="BA383">
            <v>0.17059629389285447</v>
          </cell>
          <cell r="BB383">
            <v>8.648944700592831E-2</v>
          </cell>
        </row>
        <row r="384">
          <cell r="X384">
            <v>0.464025548309627</v>
          </cell>
          <cell r="AC384">
            <v>0.46478293251167396</v>
          </cell>
          <cell r="AH384">
            <v>0.45725844900914703</v>
          </cell>
          <cell r="AM384">
            <v>0.4378501970227881</v>
          </cell>
          <cell r="AR384">
            <v>0.44383535547950154</v>
          </cell>
        </row>
        <row r="386">
          <cell r="A386" t="str">
            <v>Working Capital &amp; Other</v>
          </cell>
        </row>
        <row r="387">
          <cell r="A387" t="str">
            <v>Days of Sales in Accounts Receivable</v>
          </cell>
          <cell r="H387">
            <v>68.831966003659332</v>
          </cell>
          <cell r="I387">
            <v>75.67001724855767</v>
          </cell>
          <cell r="J387">
            <v>106.19041266876926</v>
          </cell>
          <cell r="K387">
            <v>88.343823651739896</v>
          </cell>
          <cell r="L387">
            <v>69.382150200635877</v>
          </cell>
          <cell r="M387">
            <v>71.824216131674987</v>
          </cell>
          <cell r="N387">
            <v>71.608057341615591</v>
          </cell>
          <cell r="O387">
            <v>84.528537034414384</v>
          </cell>
          <cell r="P387">
            <v>78.479177142857139</v>
          </cell>
          <cell r="Q387">
            <v>63.250817503766029</v>
          </cell>
          <cell r="R387">
            <v>58.474619075679776</v>
          </cell>
          <cell r="S387">
            <v>62.727001815111485</v>
          </cell>
          <cell r="T387">
            <v>84.246301775147941</v>
          </cell>
          <cell r="U387">
            <v>66.531117679955258</v>
          </cell>
          <cell r="V387">
            <v>50.842388757627027</v>
          </cell>
          <cell r="W387">
            <v>62.29938401822632</v>
          </cell>
          <cell r="X387">
            <v>80.19043567591541</v>
          </cell>
          <cell r="Y387">
            <v>74.851812376286404</v>
          </cell>
          <cell r="Z387">
            <v>70.411509914651432</v>
          </cell>
          <cell r="AA387">
            <v>66.771484184049839</v>
          </cell>
          <cell r="AB387">
            <v>71.864204409774743</v>
          </cell>
          <cell r="AC387">
            <v>72.150962160674226</v>
          </cell>
          <cell r="AD387">
            <v>67.654026159998608</v>
          </cell>
          <cell r="AE387">
            <v>51.334688659275258</v>
          </cell>
          <cell r="AF387">
            <v>47.517923582677824</v>
          </cell>
          <cell r="AG387">
            <v>55.933827100534231</v>
          </cell>
          <cell r="AH387">
            <v>58.181385710120914</v>
          </cell>
          <cell r="AI387">
            <v>59.634034512462833</v>
          </cell>
          <cell r="AJ387">
            <v>55.871274689993712</v>
          </cell>
          <cell r="AK387">
            <v>62.704946599648402</v>
          </cell>
          <cell r="AL387">
            <v>56.998677238792034</v>
          </cell>
          <cell r="AM387">
            <v>58.181385710120914</v>
          </cell>
          <cell r="AN387">
            <v>68.434275562034486</v>
          </cell>
          <cell r="AO387">
            <v>63.095371546175073</v>
          </cell>
          <cell r="AP387">
            <v>70.803363343404712</v>
          </cell>
          <cell r="AQ387">
            <v>64.417652027027046</v>
          </cell>
          <cell r="AR387">
            <v>58.181385710120914</v>
          </cell>
          <cell r="AS387">
            <v>72.054443053817266</v>
          </cell>
          <cell r="AT387">
            <v>75.537780923730296</v>
          </cell>
          <cell r="AU387">
            <v>68.622777342709611</v>
          </cell>
          <cell r="AV387">
            <v>64.042754814794179</v>
          </cell>
          <cell r="AW387">
            <v>64.55081493521152</v>
          </cell>
          <cell r="AX387">
            <v>63.30173529187914</v>
          </cell>
          <cell r="AY387">
            <v>71.347686280307514</v>
          </cell>
          <cell r="AZ387">
            <v>69.728845846184768</v>
          </cell>
          <cell r="BA387">
            <v>68.677137192965731</v>
          </cell>
          <cell r="BB387">
            <v>69.735202463232909</v>
          </cell>
          <cell r="BC387">
            <v>83.976932015436049</v>
          </cell>
          <cell r="BD387">
            <v>76.65188096188524</v>
          </cell>
          <cell r="BE387">
            <v>73.577815298526858</v>
          </cell>
          <cell r="BF387">
            <v>68.082455637064044</v>
          </cell>
          <cell r="BG387">
            <v>69.301393042349204</v>
          </cell>
          <cell r="BH387">
            <v>85.976932015436049</v>
          </cell>
          <cell r="BI387">
            <v>78.65188096188524</v>
          </cell>
          <cell r="BJ387">
            <v>75.577815298526858</v>
          </cell>
          <cell r="BK387">
            <v>70.082455637064044</v>
          </cell>
          <cell r="BL387">
            <v>71.283967511000256</v>
          </cell>
          <cell r="BM387">
            <v>74.283967511000256</v>
          </cell>
          <cell r="BN387">
            <v>76.283967511000256</v>
          </cell>
          <cell r="BO387">
            <v>78.283967511000256</v>
          </cell>
        </row>
        <row r="388">
          <cell r="A388" t="str">
            <v>Days of Expense in Accounts Payable</v>
          </cell>
          <cell r="H388">
            <v>0.11898691143974163</v>
          </cell>
          <cell r="I388">
            <v>0.11947431302270013</v>
          </cell>
          <cell r="J388">
            <v>0</v>
          </cell>
          <cell r="K388">
            <v>0</v>
          </cell>
          <cell r="L388">
            <v>3.1348810469893986</v>
          </cell>
          <cell r="M388">
            <v>1.376942168428926</v>
          </cell>
          <cell r="N388">
            <v>1.3722068813633976</v>
          </cell>
          <cell r="O388">
            <v>0.80365535248041764</v>
          </cell>
          <cell r="P388">
            <v>62.064198060125399</v>
          </cell>
          <cell r="Q388">
            <v>55.636006045927189</v>
          </cell>
          <cell r="R388">
            <v>2.8393361107378041</v>
          </cell>
          <cell r="S388">
            <v>2.8393361107378041</v>
          </cell>
          <cell r="T388">
            <v>0.56492633076173848</v>
          </cell>
          <cell r="U388">
            <v>0.7005830903790089</v>
          </cell>
          <cell r="V388">
            <v>1.0051410543362844</v>
          </cell>
          <cell r="W388">
            <v>1.7008146568301807</v>
          </cell>
          <cell r="X388">
            <v>1.7008146568301807</v>
          </cell>
          <cell r="Y388">
            <v>0.35674911422872674</v>
          </cell>
          <cell r="Z388">
            <v>0.47075856989823245</v>
          </cell>
          <cell r="AA388">
            <v>0.31951697665606832</v>
          </cell>
          <cell r="AB388">
            <v>0.17561190666688439</v>
          </cell>
          <cell r="AC388">
            <v>0.17843255585349616</v>
          </cell>
          <cell r="AD388">
            <v>0.11750363757914191</v>
          </cell>
          <cell r="AE388">
            <v>0.45257284562926225</v>
          </cell>
          <cell r="AF388">
            <v>1.1665149161801724</v>
          </cell>
          <cell r="AG388">
            <v>2.0510451817807027</v>
          </cell>
          <cell r="AH388">
            <v>2.0686190148938257</v>
          </cell>
          <cell r="AI388">
            <v>0.72220341851413083</v>
          </cell>
          <cell r="AJ388">
            <v>0.62502216767987739</v>
          </cell>
          <cell r="AK388">
            <v>0.81632512721771433</v>
          </cell>
          <cell r="AL388">
            <v>0.69360368995619137</v>
          </cell>
          <cell r="AM388">
            <v>0.73892840988527475</v>
          </cell>
          <cell r="AN388">
            <v>0.84774241609071699</v>
          </cell>
          <cell r="AO388">
            <v>0.7203472971647209</v>
          </cell>
          <cell r="AP388">
            <v>0.92692944373301689</v>
          </cell>
          <cell r="AQ388">
            <v>0.79030118229995083</v>
          </cell>
          <cell r="AR388">
            <v>0.84959852490406362</v>
          </cell>
          <cell r="AS388">
            <v>0.96991298878289134</v>
          </cell>
          <cell r="AT388">
            <v>1.1279427230806569</v>
          </cell>
          <cell r="AU388">
            <v>1.0189768150211411</v>
          </cell>
          <cell r="AV388">
            <v>1.7380790190735693</v>
          </cell>
          <cell r="AW388">
            <v>1.7359327534417599</v>
          </cell>
          <cell r="AX388">
            <v>0.66085173867636249</v>
          </cell>
          <cell r="AY388">
            <v>1.2822617179549467</v>
          </cell>
          <cell r="AZ388">
            <v>1.1617468372525193</v>
          </cell>
          <cell r="BA388">
            <v>1.548715911192706</v>
          </cell>
          <cell r="BB388">
            <v>1.524179358048662</v>
          </cell>
          <cell r="BC388">
            <v>0.93534414706306335</v>
          </cell>
          <cell r="BD388">
            <v>1.0782394565916622</v>
          </cell>
          <cell r="BE388">
            <v>0.77465904940424102</v>
          </cell>
          <cell r="BF388">
            <v>0.35048507078948266</v>
          </cell>
          <cell r="BG388">
            <v>0.35181654886685065</v>
          </cell>
          <cell r="BH388">
            <v>0.93534414706306335</v>
          </cell>
          <cell r="BI388">
            <v>1.0782394565916622</v>
          </cell>
          <cell r="BJ388">
            <v>0.77465904940424102</v>
          </cell>
          <cell r="BK388">
            <v>0.35048507078948266</v>
          </cell>
          <cell r="BL388">
            <v>0.35057829387949818</v>
          </cell>
          <cell r="BM388">
            <v>0.35057829387949818</v>
          </cell>
          <cell r="BN388">
            <v>0.35057829387949818</v>
          </cell>
          <cell r="BO388">
            <v>0.35057829387949818</v>
          </cell>
        </row>
        <row r="389">
          <cell r="A389" t="str">
            <v>Days of Deferred Revenue</v>
          </cell>
          <cell r="G389">
            <v>127.99290097070568</v>
          </cell>
          <cell r="H389">
            <v>110.8687953727203</v>
          </cell>
          <cell r="I389">
            <v>121.88295853316967</v>
          </cell>
          <cell r="J389">
            <v>143.49782279349415</v>
          </cell>
          <cell r="K389">
            <v>140.43310689033689</v>
          </cell>
          <cell r="L389">
            <v>129.37372621128813</v>
          </cell>
          <cell r="M389">
            <v>121.24813807998811</v>
          </cell>
          <cell r="N389">
            <v>120.88323537396656</v>
          </cell>
          <cell r="O389">
            <v>150.23792663928623</v>
          </cell>
          <cell r="P389">
            <v>144.84672</v>
          </cell>
          <cell r="Q389">
            <v>137.40814564426648</v>
          </cell>
          <cell r="R389">
            <v>115.87642057412239</v>
          </cell>
          <cell r="S389">
            <v>124.30316876924604</v>
          </cell>
          <cell r="T389">
            <v>124.49038461538463</v>
          </cell>
          <cell r="U389">
            <v>130.79443956219541</v>
          </cell>
          <cell r="V389">
            <v>126.00346268244439</v>
          </cell>
          <cell r="W389">
            <v>114.46291452198129</v>
          </cell>
          <cell r="X389">
            <v>147.33421732656913</v>
          </cell>
          <cell r="Y389">
            <v>114.51383353187224</v>
          </cell>
          <cell r="Z389">
            <v>117.93984537470804</v>
          </cell>
          <cell r="AA389">
            <v>116.40454880769333</v>
          </cell>
          <cell r="AB389">
            <v>115.10666242139617</v>
          </cell>
          <cell r="AC389">
            <v>115.56596935870384</v>
          </cell>
          <cell r="AD389">
            <v>129.68452578453801</v>
          </cell>
          <cell r="AE389">
            <v>125.96189717687004</v>
          </cell>
          <cell r="AF389">
            <v>123.66112536314365</v>
          </cell>
          <cell r="AG389">
            <v>112.19839728023312</v>
          </cell>
          <cell r="AH389">
            <v>116.70680456900607</v>
          </cell>
          <cell r="AI389">
            <v>125.21307297476471</v>
          </cell>
          <cell r="AJ389">
            <v>121.25840448549427</v>
          </cell>
          <cell r="AK389">
            <v>116.43700772155921</v>
          </cell>
          <cell r="AL389">
            <v>107.52535292315282</v>
          </cell>
          <cell r="AM389">
            <v>111.14055000304153</v>
          </cell>
          <cell r="AN389">
            <v>143.69086395007176</v>
          </cell>
          <cell r="AO389">
            <v>136.93698822086967</v>
          </cell>
          <cell r="AP389">
            <v>131.47498261922775</v>
          </cell>
          <cell r="AQ389">
            <v>121.52090371621624</v>
          </cell>
          <cell r="AR389">
            <v>126.0196674790286</v>
          </cell>
          <cell r="AS389">
            <v>117.990112640801</v>
          </cell>
          <cell r="AT389">
            <v>114.6568748894001</v>
          </cell>
          <cell r="AU389">
            <v>114.85369121113703</v>
          </cell>
          <cell r="AV389">
            <v>111.36538285427608</v>
          </cell>
          <cell r="AW389">
            <v>112.24885999367916</v>
          </cell>
          <cell r="AX389">
            <v>117.90863079381994</v>
          </cell>
          <cell r="AY389">
            <v>112.68727823772915</v>
          </cell>
          <cell r="AZ389">
            <v>109.84790365247028</v>
          </cell>
          <cell r="BA389">
            <v>104.72851996936527</v>
          </cell>
          <cell r="BB389">
            <v>106.34200612087331</v>
          </cell>
          <cell r="BC389">
            <v>116.15870715996961</v>
          </cell>
          <cell r="BD389">
            <v>113.11848752219576</v>
          </cell>
          <cell r="BE389">
            <v>107.10896464690238</v>
          </cell>
          <cell r="BF389">
            <v>102.76976353428138</v>
          </cell>
          <cell r="BG389">
            <v>104.60973695668609</v>
          </cell>
          <cell r="BH389">
            <v>113.15870715996961</v>
          </cell>
          <cell r="BI389">
            <v>110.11848752219576</v>
          </cell>
          <cell r="BJ389">
            <v>104.10896464690238</v>
          </cell>
          <cell r="BK389">
            <v>99.769763534281381</v>
          </cell>
          <cell r="BL389">
            <v>101.48024234751023</v>
          </cell>
          <cell r="BM389">
            <v>98.480242347510227</v>
          </cell>
          <cell r="BN389">
            <v>94.980242347510227</v>
          </cell>
          <cell r="BO389">
            <v>91.480242347510227</v>
          </cell>
        </row>
        <row r="390">
          <cell r="A390" t="str">
            <v>Accrued Payroll &amp; Benefits % of Revenue</v>
          </cell>
          <cell r="G390">
            <v>0.40805350244029126</v>
          </cell>
          <cell r="H390">
            <v>0.52953038619685611</v>
          </cell>
          <cell r="I390">
            <v>0.14553402940365409</v>
          </cell>
          <cell r="J390">
            <v>0.22226562872197506</v>
          </cell>
          <cell r="K390">
            <v>0.33281574934146679</v>
          </cell>
          <cell r="L390">
            <v>0.45062002373209897</v>
          </cell>
          <cell r="M390">
            <v>0.54876368511208762</v>
          </cell>
          <cell r="N390">
            <v>0.13677803791990459</v>
          </cell>
          <cell r="O390">
            <v>0.1898314686305056</v>
          </cell>
          <cell r="P390">
            <v>0.31733028571428568</v>
          </cell>
          <cell r="Q390">
            <v>0.42798618510489772</v>
          </cell>
          <cell r="R390">
            <v>0.54792490950416706</v>
          </cell>
          <cell r="S390">
            <v>0.14694275626032852</v>
          </cell>
          <cell r="T390">
            <v>0.17683267587113741</v>
          </cell>
          <cell r="U390">
            <v>0.28121754413996963</v>
          </cell>
          <cell r="V390">
            <v>0.3688348714812093</v>
          </cell>
          <cell r="W390">
            <v>0.46431149738887489</v>
          </cell>
          <cell r="X390">
            <v>0.14941295909947336</v>
          </cell>
          <cell r="Y390">
            <v>0.16383935368879257</v>
          </cell>
          <cell r="Z390">
            <v>0.27138460723321395</v>
          </cell>
          <cell r="AA390">
            <v>0.37778301174086548</v>
          </cell>
          <cell r="AB390">
            <v>0.47540838617810677</v>
          </cell>
          <cell r="AC390">
            <v>0.11932634878421561</v>
          </cell>
          <cell r="AD390">
            <v>0.14055323681958684</v>
          </cell>
          <cell r="AE390">
            <v>0.2396369962064846</v>
          </cell>
          <cell r="AF390">
            <v>0.35527344081819878</v>
          </cell>
          <cell r="AG390">
            <v>0.45879472235713126</v>
          </cell>
          <cell r="AH390">
            <v>0.11930755540493462</v>
          </cell>
          <cell r="AI390">
            <v>0.18084308222413648</v>
          </cell>
          <cell r="AJ390">
            <v>0.25763286260459556</v>
          </cell>
          <cell r="AK390">
            <v>0.37186626290476238</v>
          </cell>
          <cell r="AL390">
            <v>0.45259358348715734</v>
          </cell>
          <cell r="AM390">
            <v>0.11695264983822021</v>
          </cell>
          <cell r="AN390">
            <v>0.20753023711363688</v>
          </cell>
          <cell r="AO390">
            <v>0.29094451985812497</v>
          </cell>
          <cell r="AP390">
            <v>0.41989322302919535</v>
          </cell>
          <cell r="AQ390">
            <v>0.51150337837837845</v>
          </cell>
          <cell r="AR390">
            <v>0.13260987140157612</v>
          </cell>
          <cell r="AS390">
            <v>0.17786816854401333</v>
          </cell>
          <cell r="AT390">
            <v>0.27201085353624727</v>
          </cell>
          <cell r="AU390">
            <v>0.36508624287934743</v>
          </cell>
          <cell r="AV390">
            <v>0.44358618053537091</v>
          </cell>
          <cell r="AW390">
            <v>0.11177630291811519</v>
          </cell>
          <cell r="AX390">
            <v>0.15727224294086312</v>
          </cell>
          <cell r="AY390">
            <v>0.25825694855115316</v>
          </cell>
          <cell r="AZ390">
            <v>0.34545738660674097</v>
          </cell>
          <cell r="BA390">
            <v>0.42734331771060446</v>
          </cell>
          <cell r="BB390">
            <v>0.10848178156482266</v>
          </cell>
          <cell r="BC390">
            <v>0.16209993257492075</v>
          </cell>
          <cell r="BD390">
            <v>0.23369557736513924</v>
          </cell>
          <cell r="BE390">
            <v>0.33431680840957861</v>
          </cell>
          <cell r="BF390">
            <v>0.40679002226684696</v>
          </cell>
          <cell r="BG390">
            <v>0.10351828145382552</v>
          </cell>
          <cell r="BH390">
            <v>0.16209993257492075</v>
          </cell>
          <cell r="BI390">
            <v>0.23369557736513924</v>
          </cell>
          <cell r="BJ390">
            <v>0.33431680840957861</v>
          </cell>
          <cell r="BK390">
            <v>0.40679002226684696</v>
          </cell>
          <cell r="BL390">
            <v>0.10344103409146675</v>
          </cell>
          <cell r="BM390">
            <v>0.10344103409146675</v>
          </cell>
          <cell r="BN390">
            <v>0.10344103409146675</v>
          </cell>
          <cell r="BO390">
            <v>0.10344103409146675</v>
          </cell>
        </row>
        <row r="391">
          <cell r="A391" t="str">
            <v>Other Accrued Liabilities as % of Revenue</v>
          </cell>
          <cell r="G391">
            <v>0.14491326414665553</v>
          </cell>
          <cell r="H391">
            <v>0.10028723760058235</v>
          </cell>
          <cell r="I391">
            <v>2.7562546298048586E-2</v>
          </cell>
          <cell r="J391">
            <v>0.11565397185353166</v>
          </cell>
          <cell r="K391">
            <v>0.18705115763205321</v>
          </cell>
          <cell r="L391">
            <v>0.12771854817525521</v>
          </cell>
          <cell r="M391">
            <v>0.27425150815520966</v>
          </cell>
          <cell r="N391">
            <v>6.8356533421817745E-2</v>
          </cell>
          <cell r="O391">
            <v>0.28134825095595523</v>
          </cell>
          <cell r="P391">
            <v>0.24770742857142858</v>
          </cell>
          <cell r="Q391">
            <v>0.25778006393063158</v>
          </cell>
          <cell r="R391">
            <v>0.25677245559390521</v>
          </cell>
          <cell r="S391">
            <v>6.8861356186279199E-2</v>
          </cell>
          <cell r="T391">
            <v>0.24727153188691653</v>
          </cell>
          <cell r="U391">
            <v>0.18605895981465209</v>
          </cell>
          <cell r="V391">
            <v>0.18541628644571925</v>
          </cell>
          <cell r="W391">
            <v>0.18516955906205759</v>
          </cell>
          <cell r="X391">
            <v>5.9586574767574639E-2</v>
          </cell>
          <cell r="Y391">
            <v>0.208300119123324</v>
          </cell>
          <cell r="Z391">
            <v>0.23998710720009891</v>
          </cell>
          <cell r="AA391">
            <v>0.20918916036369131</v>
          </cell>
          <cell r="AB391">
            <v>0.20122582185783647</v>
          </cell>
          <cell r="AC391">
            <v>5.0507191924887417E-2</v>
          </cell>
          <cell r="AD391">
            <v>0.21147599671690273</v>
          </cell>
          <cell r="AE391">
            <v>0.20557919225368348</v>
          </cell>
          <cell r="AF391">
            <v>0.17659825691034811</v>
          </cell>
          <cell r="AG391">
            <v>0.17195240407965029</v>
          </cell>
          <cell r="AH391">
            <v>4.471546854624734E-2</v>
          </cell>
          <cell r="AI391">
            <v>0.16903326201128188</v>
          </cell>
          <cell r="AJ391">
            <v>0.14911321530217372</v>
          </cell>
          <cell r="AK391">
            <v>0.17960176271501488</v>
          </cell>
          <cell r="AL391">
            <v>0.15399331893491569</v>
          </cell>
          <cell r="AM391">
            <v>3.9792713294910437E-2</v>
          </cell>
          <cell r="AN391">
            <v>0.1939776325080291</v>
          </cell>
          <cell r="AO391">
            <v>0.16839339668082501</v>
          </cell>
          <cell r="AP391">
            <v>0.20279753914499721</v>
          </cell>
          <cell r="AQ391">
            <v>0.1740371621621622</v>
          </cell>
          <cell r="AR391">
            <v>4.5120025925512328E-2</v>
          </cell>
          <cell r="AS391">
            <v>0.7027617855652899</v>
          </cell>
          <cell r="AT391">
            <v>0.23877779743998109</v>
          </cell>
          <cell r="AU391">
            <v>0.2556001224374595</v>
          </cell>
          <cell r="AV391">
            <v>0.19069650770645782</v>
          </cell>
          <cell r="AW391">
            <v>4.8052332435374559E-2</v>
          </cell>
          <cell r="AX391">
            <v>0.24745414415100084</v>
          </cell>
          <cell r="AY391">
            <v>0.17676301005322295</v>
          </cell>
          <cell r="AZ391">
            <v>0.25395030080698877</v>
          </cell>
          <cell r="BA391">
            <v>0.22511753691007094</v>
          </cell>
          <cell r="BB391">
            <v>5.7146445149347448E-2</v>
          </cell>
          <cell r="BC391">
            <v>0.22196120906078301</v>
          </cell>
          <cell r="BD391">
            <v>0.25746741180195187</v>
          </cell>
          <cell r="BE391">
            <v>0.26292414529544117</v>
          </cell>
          <cell r="BF391">
            <v>0.28185661789817357</v>
          </cell>
          <cell r="BG391">
            <v>7.1725733435189065E-2</v>
          </cell>
          <cell r="BH391">
            <v>0.22196120906078301</v>
          </cell>
          <cell r="BI391">
            <v>0.25746741180195187</v>
          </cell>
          <cell r="BJ391">
            <v>0.26292414529544117</v>
          </cell>
          <cell r="BK391">
            <v>0.28185661789817357</v>
          </cell>
          <cell r="BL391">
            <v>7.1672210292771085E-2</v>
          </cell>
          <cell r="BM391">
            <v>7.1672210292771085E-2</v>
          </cell>
          <cell r="BN391">
            <v>7.1672210292771085E-2</v>
          </cell>
          <cell r="BO391">
            <v>7.1672210292771085E-2</v>
          </cell>
        </row>
        <row r="392">
          <cell r="A392" t="str">
            <v>Prepaid expenses and other assets as % of Revenue</v>
          </cell>
          <cell r="G392">
            <v>1.0031707554622484E-2</v>
          </cell>
          <cell r="H392">
            <v>2.9904188553778355E-2</v>
          </cell>
          <cell r="I392">
            <v>3.2874993917044709E-2</v>
          </cell>
          <cell r="J392">
            <v>2.9425636725710094E-2</v>
          </cell>
          <cell r="K392">
            <v>3.8386709182494566E-2</v>
          </cell>
          <cell r="L392">
            <v>2.142003097854147E-2</v>
          </cell>
          <cell r="M392">
            <v>4.2125940269606026E-2</v>
          </cell>
          <cell r="N392">
            <v>4.1999160016799666E-2</v>
          </cell>
          <cell r="O392">
            <v>2.6448095170655713E-2</v>
          </cell>
          <cell r="P392">
            <v>2.9652571428571431E-2</v>
          </cell>
          <cell r="Q392">
            <v>3.0318826468751149E-2</v>
          </cell>
          <cell r="R392">
            <v>6.1871790554760504E-2</v>
          </cell>
          <cell r="S392">
            <v>6.6371221904151276E-2</v>
          </cell>
          <cell r="T392">
            <v>4.4329388560157792E-2</v>
          </cell>
          <cell r="U392">
            <v>6.5860429815450983E-2</v>
          </cell>
          <cell r="V392">
            <v>7.5627796165399816E-2</v>
          </cell>
          <cell r="W392">
            <v>4.728152335949147E-2</v>
          </cell>
          <cell r="X392">
            <v>6.0859766390456489E-2</v>
          </cell>
          <cell r="Y392">
            <v>5.3674909761842922E-2</v>
          </cell>
          <cell r="Z392">
            <v>6.28446726685888E-2</v>
          </cell>
          <cell r="AA392">
            <v>5.1268520082123847E-2</v>
          </cell>
          <cell r="AB392">
            <v>7.0449379571404569E-2</v>
          </cell>
          <cell r="AC392">
            <v>7.0730491785810617E-2</v>
          </cell>
          <cell r="AD392">
            <v>4.4458245289279295E-2</v>
          </cell>
          <cell r="AE392">
            <v>6.4602938402531798E-2</v>
          </cell>
          <cell r="AF392">
            <v>6.6650668524150108E-2</v>
          </cell>
          <cell r="AG392">
            <v>5.8198761534725592E-2</v>
          </cell>
          <cell r="AH392">
            <v>6.0537330775116527E-2</v>
          </cell>
          <cell r="AI392">
            <v>3.9345557324271863E-2</v>
          </cell>
          <cell r="AJ392">
            <v>6.7243638958037658E-2</v>
          </cell>
          <cell r="AK392">
            <v>7.3613294712629451E-2</v>
          </cell>
          <cell r="AL392">
            <v>5.2520906352990421E-2</v>
          </cell>
          <cell r="AM392">
            <v>5.4286754333197837E-2</v>
          </cell>
          <cell r="AN392">
            <v>4.5151811949069545E-2</v>
          </cell>
          <cell r="AO392">
            <v>7.5938170512764372E-2</v>
          </cell>
          <cell r="AP392">
            <v>8.3120537295420668E-2</v>
          </cell>
          <cell r="AQ392">
            <v>4.5880489864864864E-2</v>
          </cell>
          <cell r="AR392">
            <v>4.7579008217774305E-2</v>
          </cell>
          <cell r="AS392">
            <v>0.48036503963287441</v>
          </cell>
          <cell r="AT392">
            <v>6.3114689632120163E-2</v>
          </cell>
          <cell r="AU392">
            <v>6.6054611877228622E-2</v>
          </cell>
          <cell r="AV392">
            <v>6.0627386493492016E-2</v>
          </cell>
          <cell r="AW392">
            <v>6.1108352019905582E-2</v>
          </cell>
          <cell r="AX392">
            <v>4.5914833701194924E-2</v>
          </cell>
          <cell r="AY392">
            <v>8.3667208752217628E-2</v>
          </cell>
          <cell r="AZ392">
            <v>6.5604571819761384E-2</v>
          </cell>
          <cell r="BA392">
            <v>7.0839120094689109E-2</v>
          </cell>
          <cell r="BB392">
            <v>7.1930493669826318E-2</v>
          </cell>
          <cell r="BC392">
            <v>5.2567353350452616E-2</v>
          </cell>
          <cell r="BD392">
            <v>7.3079120153064739E-2</v>
          </cell>
          <cell r="BE392">
            <v>4.5502768407221082E-2</v>
          </cell>
          <cell r="BF392">
            <v>3.6142644427140963E-2</v>
          </cell>
          <cell r="BG392">
            <v>3.6789736556911021E-2</v>
          </cell>
          <cell r="BH392">
            <v>5.2567353350452616E-2</v>
          </cell>
          <cell r="BI392">
            <v>7.3079120153064739E-2</v>
          </cell>
          <cell r="BJ392">
            <v>4.5502768407221082E-2</v>
          </cell>
          <cell r="BK392">
            <v>3.6142644427140963E-2</v>
          </cell>
          <cell r="BL392">
            <v>3.6762283337334889E-2</v>
          </cell>
          <cell r="BM392">
            <v>3.6762283337334889E-2</v>
          </cell>
          <cell r="BN392">
            <v>3.6762283337334889E-2</v>
          </cell>
          <cell r="BO392">
            <v>3.6762283337334889E-2</v>
          </cell>
        </row>
        <row r="395">
          <cell r="A395" t="str">
            <v>Statutory Tax Rate</v>
          </cell>
          <cell r="D395">
            <v>0.38799999999999996</v>
          </cell>
          <cell r="E395">
            <v>0.39399999999999996</v>
          </cell>
          <cell r="F395">
            <v>0.39399999999999996</v>
          </cell>
          <cell r="G395">
            <v>0.39399999999999996</v>
          </cell>
          <cell r="H395">
            <v>0.39399999999999996</v>
          </cell>
          <cell r="I395">
            <v>0.39399999999999996</v>
          </cell>
          <cell r="J395">
            <v>0.3876</v>
          </cell>
          <cell r="K395">
            <v>0.3876</v>
          </cell>
          <cell r="L395">
            <v>0.3876</v>
          </cell>
          <cell r="M395">
            <v>0.3876</v>
          </cell>
          <cell r="N395">
            <v>0.3876</v>
          </cell>
          <cell r="O395">
            <v>0.379</v>
          </cell>
          <cell r="P395">
            <v>0.379</v>
          </cell>
          <cell r="Q395">
            <v>0.379</v>
          </cell>
          <cell r="R395">
            <v>0.379</v>
          </cell>
          <cell r="S395">
            <v>0.379</v>
          </cell>
          <cell r="T395">
            <v>0.3846</v>
          </cell>
          <cell r="U395">
            <v>0.3846</v>
          </cell>
          <cell r="V395">
            <v>0.3846</v>
          </cell>
          <cell r="W395">
            <v>0.3846</v>
          </cell>
          <cell r="X395">
            <v>0.3846</v>
          </cell>
          <cell r="Y395">
            <v>0.3846</v>
          </cell>
          <cell r="Z395">
            <v>0.3846</v>
          </cell>
          <cell r="AA395">
            <v>0.3846</v>
          </cell>
          <cell r="AB395">
            <v>0.36564567647729856</v>
          </cell>
          <cell r="AC395">
            <v>0.34151313716483228</v>
          </cell>
          <cell r="AD395">
            <v>0.35570568150178061</v>
          </cell>
          <cell r="AE395">
            <v>0.3443006583887811</v>
          </cell>
          <cell r="AF395">
            <v>0.36140434426012641</v>
          </cell>
          <cell r="AG395">
            <v>0.38343429768442494</v>
          </cell>
          <cell r="AH395">
            <v>0.36339920320377045</v>
          </cell>
          <cell r="AI395">
            <v>0.29459850869528798</v>
          </cell>
          <cell r="AJ395">
            <v>0.33099201174678661</v>
          </cell>
          <cell r="AK395">
            <v>0.35870233167530485</v>
          </cell>
          <cell r="AL395">
            <v>0.375</v>
          </cell>
          <cell r="AM395">
            <v>0.35606632698823293</v>
          </cell>
          <cell r="AN395">
            <v>0.28600678915889877</v>
          </cell>
          <cell r="AO395">
            <v>0.3302249235783189</v>
          </cell>
          <cell r="AP395">
            <v>0.35722636927781265</v>
          </cell>
          <cell r="AQ395">
            <v>0.375</v>
          </cell>
          <cell r="AR395">
            <v>0.36068176228395482</v>
          </cell>
          <cell r="AS395">
            <v>0.35876969935955816</v>
          </cell>
          <cell r="AT395">
            <v>0.32417530183477511</v>
          </cell>
          <cell r="AU395">
            <v>0.35387773494217178</v>
          </cell>
          <cell r="AV395">
            <v>0.38797049847405912</v>
          </cell>
          <cell r="AW395">
            <v>0.35476370381660571</v>
          </cell>
          <cell r="AX395">
            <v>0.36095840146257946</v>
          </cell>
          <cell r="AY395">
            <v>0.35927273559430634</v>
          </cell>
          <cell r="AZ395">
            <v>0.34976980857765966</v>
          </cell>
          <cell r="BA395">
            <v>0.29773163537618791</v>
          </cell>
          <cell r="BB395">
            <v>0.34191291113456979</v>
          </cell>
          <cell r="BC395">
            <v>0.33499675027815429</v>
          </cell>
          <cell r="BD395">
            <v>0.33407601181654517</v>
          </cell>
          <cell r="BE395">
            <v>0.33060232562908859</v>
          </cell>
          <cell r="BF395">
            <v>0.29708017920593233</v>
          </cell>
          <cell r="BG395">
            <v>0.32378887093432762</v>
          </cell>
          <cell r="BH395">
            <v>0.3</v>
          </cell>
          <cell r="BI395">
            <v>0.32</v>
          </cell>
          <cell r="BJ395">
            <v>0.32</v>
          </cell>
          <cell r="BK395">
            <v>0.32</v>
          </cell>
          <cell r="BL395">
            <v>0.31533578745493035</v>
          </cell>
          <cell r="BM395">
            <v>0.30533578745493034</v>
          </cell>
          <cell r="BN395">
            <v>0.30533578745493034</v>
          </cell>
          <cell r="BO395">
            <v>0.30533578745493034</v>
          </cell>
          <cell r="CI395" t="str">
            <v>mstag:statutoryTaxRate</v>
          </cell>
          <cell r="CJ395">
            <v>0</v>
          </cell>
          <cell r="CK395" t="str">
            <v>ms_eqr_gcim_Decimal:ms_eqr_gcim_decimal</v>
          </cell>
          <cell r="CL395" t="b">
            <v>0</v>
          </cell>
        </row>
        <row r="396">
          <cell r="A396" t="str">
            <v>Federal Tax Rate</v>
          </cell>
          <cell r="D396">
            <v>0.35</v>
          </cell>
          <cell r="E396">
            <v>0.35</v>
          </cell>
          <cell r="F396">
            <v>0.35</v>
          </cell>
          <cell r="G396">
            <v>0.35</v>
          </cell>
          <cell r="H396">
            <v>0.35</v>
          </cell>
          <cell r="I396">
            <v>0.35</v>
          </cell>
          <cell r="J396">
            <v>0.35</v>
          </cell>
          <cell r="K396">
            <v>0.35</v>
          </cell>
          <cell r="L396">
            <v>0.35</v>
          </cell>
          <cell r="M396">
            <v>0.35</v>
          </cell>
          <cell r="N396">
            <v>0.35</v>
          </cell>
          <cell r="O396">
            <v>0.35</v>
          </cell>
          <cell r="P396">
            <v>0.35</v>
          </cell>
          <cell r="Q396">
            <v>0.35</v>
          </cell>
          <cell r="R396">
            <v>0.35</v>
          </cell>
          <cell r="S396">
            <v>0.35</v>
          </cell>
          <cell r="T396">
            <v>0.35</v>
          </cell>
          <cell r="U396">
            <v>0.35</v>
          </cell>
          <cell r="V396">
            <v>0.35</v>
          </cell>
          <cell r="W396">
            <v>0.35</v>
          </cell>
          <cell r="X396">
            <v>0.35</v>
          </cell>
          <cell r="Y396">
            <v>0.35</v>
          </cell>
          <cell r="Z396">
            <v>0.35</v>
          </cell>
          <cell r="AA396">
            <v>0.35</v>
          </cell>
        </row>
        <row r="397">
          <cell r="A397" t="str">
            <v xml:space="preserve">State Income Tax </v>
          </cell>
          <cell r="D397">
            <v>3.7999999999999999E-2</v>
          </cell>
          <cell r="E397">
            <v>4.3999999999999997E-2</v>
          </cell>
          <cell r="F397">
            <v>4.3999999999999997E-2</v>
          </cell>
          <cell r="G397">
            <v>4.3999999999999997E-2</v>
          </cell>
          <cell r="H397">
            <v>4.3999999999999997E-2</v>
          </cell>
          <cell r="I397">
            <v>4.3999999999999997E-2</v>
          </cell>
          <cell r="J397">
            <v>3.7600000000000001E-2</v>
          </cell>
          <cell r="K397">
            <v>3.7600000000000001E-2</v>
          </cell>
          <cell r="L397">
            <v>3.7600000000000001E-2</v>
          </cell>
          <cell r="M397">
            <v>3.7600000000000001E-2</v>
          </cell>
          <cell r="N397">
            <v>3.7600000000000001E-2</v>
          </cell>
          <cell r="O397">
            <v>2.8999999999999998E-2</v>
          </cell>
          <cell r="P397">
            <v>2.8999999999999998E-2</v>
          </cell>
          <cell r="Q397">
            <v>2.8999999999999998E-2</v>
          </cell>
          <cell r="R397">
            <v>2.8999999999999998E-2</v>
          </cell>
          <cell r="S397">
            <v>2.8999999999999998E-2</v>
          </cell>
          <cell r="T397">
            <v>3.4599999999999999E-2</v>
          </cell>
          <cell r="U397">
            <v>3.4599999999999999E-2</v>
          </cell>
          <cell r="V397">
            <v>3.4599999999999999E-2</v>
          </cell>
          <cell r="W397">
            <v>3.4599999999999999E-2</v>
          </cell>
          <cell r="X397">
            <v>3.4599999999999999E-2</v>
          </cell>
          <cell r="Y397">
            <v>3.4599999999999999E-2</v>
          </cell>
          <cell r="Z397">
            <v>3.4599999999999999E-2</v>
          </cell>
          <cell r="AA397">
            <v>3.4599999999999999E-2</v>
          </cell>
        </row>
        <row r="399">
          <cell r="A399" t="str">
            <v>Effective Tax Rate</v>
          </cell>
          <cell r="D399">
            <v>0.36289698297962192</v>
          </cell>
          <cell r="E399">
            <v>0.37391153412213946</v>
          </cell>
          <cell r="F399">
            <v>0.37388424538716297</v>
          </cell>
          <cell r="G399">
            <v>0.35055742884048713</v>
          </cell>
          <cell r="H399">
            <v>0.46514764962904315</v>
          </cell>
          <cell r="I399">
            <v>0.39147885844611835</v>
          </cell>
          <cell r="J399">
            <v>0.37588306942752753</v>
          </cell>
          <cell r="K399">
            <v>0.38683560967582681</v>
          </cell>
          <cell r="L399">
            <v>0.3738017049789365</v>
          </cell>
          <cell r="M399">
            <v>0.37058303886925797</v>
          </cell>
          <cell r="N399">
            <v>0.37736107184225159</v>
          </cell>
          <cell r="O399">
            <v>0.36615501231760472</v>
          </cell>
          <cell r="P399">
            <v>0.38640060052545971</v>
          </cell>
          <cell r="Q399">
            <v>0.37931239061433975</v>
          </cell>
          <cell r="R399">
            <v>0.38125740801452601</v>
          </cell>
          <cell r="S399">
            <v>0.37898285011501581</v>
          </cell>
          <cell r="T399">
            <v>0.37226543787211719</v>
          </cell>
          <cell r="U399">
            <v>0.36584016231456346</v>
          </cell>
          <cell r="V399">
            <v>0.49966058960434429</v>
          </cell>
          <cell r="W399">
            <v>0.40746686505217422</v>
          </cell>
          <cell r="X399">
            <v>0.39950876598627905</v>
          </cell>
          <cell r="Y399">
            <v>0.37160692861427735</v>
          </cell>
          <cell r="Z399">
            <v>0.34436116136813988</v>
          </cell>
          <cell r="AA399">
            <v>0.29178224441314954</v>
          </cell>
          <cell r="AB399">
            <v>0.36564567647729856</v>
          </cell>
          <cell r="AC399">
            <v>0.34151313716483228</v>
          </cell>
          <cell r="AD399">
            <v>0.35570568150178061</v>
          </cell>
          <cell r="AE399">
            <v>0.3443006583887811</v>
          </cell>
          <cell r="AF399">
            <v>0.36140434426012641</v>
          </cell>
          <cell r="AG399">
            <v>0.38343429768442494</v>
          </cell>
          <cell r="AH399">
            <v>0.36339920320377045</v>
          </cell>
          <cell r="AI399">
            <v>0.29459850869528798</v>
          </cell>
          <cell r="AJ399">
            <v>0.33099201174678661</v>
          </cell>
          <cell r="AK399">
            <v>0.35870233167530485</v>
          </cell>
          <cell r="AL399">
            <v>0.375</v>
          </cell>
          <cell r="AM399">
            <v>0.35606632698823293</v>
          </cell>
          <cell r="AN399">
            <v>0.28600678915889877</v>
          </cell>
          <cell r="AO399">
            <v>0.3302249235783189</v>
          </cell>
          <cell r="AP399">
            <v>0.35722636927781265</v>
          </cell>
          <cell r="AQ399">
            <v>0.375</v>
          </cell>
          <cell r="AR399">
            <v>0.36068176228395482</v>
          </cell>
          <cell r="AS399">
            <v>0.35876969935955816</v>
          </cell>
          <cell r="AT399">
            <v>0.32417530183477511</v>
          </cell>
          <cell r="AU399">
            <v>0.35387773494217178</v>
          </cell>
          <cell r="AV399">
            <v>0.38797049847405912</v>
          </cell>
          <cell r="AW399">
            <v>0.35476370381660571</v>
          </cell>
          <cell r="AX399">
            <v>0.36095840146257946</v>
          </cell>
          <cell r="AY399">
            <v>0.35927273559430634</v>
          </cell>
          <cell r="AZ399">
            <v>0.34976980857765966</v>
          </cell>
          <cell r="BA399">
            <v>0.29773163537618791</v>
          </cell>
          <cell r="BB399">
            <v>0.34191291113456979</v>
          </cell>
          <cell r="BC399">
            <v>0.33499675027815429</v>
          </cell>
          <cell r="BD399">
            <v>0.33407601181654517</v>
          </cell>
          <cell r="BE399">
            <v>0.33060232562908859</v>
          </cell>
          <cell r="BF399">
            <v>0.29708017920593233</v>
          </cell>
          <cell r="BG399">
            <v>0.32378887093432762</v>
          </cell>
          <cell r="BH399">
            <v>0.3</v>
          </cell>
          <cell r="BI399">
            <v>0.32</v>
          </cell>
          <cell r="BJ399">
            <v>0.32</v>
          </cell>
          <cell r="BK399">
            <v>0.32</v>
          </cell>
          <cell r="BL399">
            <v>0.31533578745493035</v>
          </cell>
          <cell r="BM399">
            <v>0.30533578745493034</v>
          </cell>
          <cell r="BN399">
            <v>0.30533578745493034</v>
          </cell>
          <cell r="BO399">
            <v>0.30533578745493034</v>
          </cell>
        </row>
        <row r="402">
          <cell r="A402" t="str">
            <v>Capital Expenditures</v>
          </cell>
          <cell r="D402">
            <v>2.4350000000000001</v>
          </cell>
          <cell r="E402">
            <v>5.8000000000000003E-2</v>
          </cell>
          <cell r="F402">
            <v>0.29899999999999999</v>
          </cell>
          <cell r="G402">
            <v>0.58899999999999997</v>
          </cell>
          <cell r="H402">
            <v>-0.41099999999999992</v>
          </cell>
          <cell r="I402">
            <v>0.53500000000000003</v>
          </cell>
          <cell r="J402">
            <v>0.96099999999999997</v>
          </cell>
          <cell r="K402">
            <v>4.859</v>
          </cell>
          <cell r="L402">
            <v>13.277000000000001</v>
          </cell>
          <cell r="M402">
            <v>6.4589999999999996</v>
          </cell>
          <cell r="N402">
            <v>25.556000000000001</v>
          </cell>
          <cell r="O402">
            <v>6.0330000000000004</v>
          </cell>
          <cell r="P402">
            <v>3.4859999999999998</v>
          </cell>
          <cell r="Q402">
            <v>1.6690000000000005</v>
          </cell>
          <cell r="R402">
            <v>2.2240000000000002</v>
          </cell>
          <cell r="S402">
            <v>13.412000000000001</v>
          </cell>
          <cell r="T402">
            <v>3.2850000000000001</v>
          </cell>
          <cell r="U402">
            <v>1.4109999999999996</v>
          </cell>
          <cell r="V402">
            <v>2.399</v>
          </cell>
          <cell r="W402">
            <v>6.0729999999999995</v>
          </cell>
          <cell r="X402">
            <v>13.167999999999999</v>
          </cell>
          <cell r="Y402">
            <v>3.835</v>
          </cell>
          <cell r="Z402">
            <v>2.8970000000000002</v>
          </cell>
          <cell r="AA402">
            <v>10.11</v>
          </cell>
          <cell r="AB402">
            <v>6.2690000000000019</v>
          </cell>
          <cell r="AC402">
            <v>23.111000000000001</v>
          </cell>
          <cell r="AD402">
            <v>4.2919999999999998</v>
          </cell>
          <cell r="AE402">
            <v>15.654000000000002</v>
          </cell>
          <cell r="AF402">
            <v>18.162999999999997</v>
          </cell>
          <cell r="AG402">
            <v>6.7750000000000057</v>
          </cell>
          <cell r="AH402">
            <v>44.884</v>
          </cell>
          <cell r="AI402">
            <v>4.8</v>
          </cell>
          <cell r="AJ402">
            <v>3.6909999999999998</v>
          </cell>
          <cell r="AK402">
            <v>14.208000000000002</v>
          </cell>
          <cell r="AL402">
            <v>20.812000000000001</v>
          </cell>
          <cell r="AM402">
            <v>43.511000000000003</v>
          </cell>
          <cell r="AS402">
            <v>10.059999999999999</v>
          </cell>
          <cell r="AT402">
            <v>11.904000000000003</v>
          </cell>
          <cell r="AU402">
            <v>20.273</v>
          </cell>
          <cell r="AV402">
            <v>8.6159999999999997</v>
          </cell>
          <cell r="AW402">
            <v>50.853000000000002</v>
          </cell>
          <cell r="AX402">
            <v>6.32</v>
          </cell>
          <cell r="AY402">
            <v>11.962</v>
          </cell>
          <cell r="AZ402">
            <v>12.305</v>
          </cell>
          <cell r="BA402">
            <v>18.510000000000002</v>
          </cell>
          <cell r="BB402">
            <v>49.097000000000001</v>
          </cell>
          <cell r="BC402">
            <v>3.1349999999999998</v>
          </cell>
          <cell r="BD402">
            <v>15.23</v>
          </cell>
          <cell r="BE402">
            <v>13.727999999999994</v>
          </cell>
          <cell r="BF402">
            <v>10.535000000000002</v>
          </cell>
          <cell r="BG402">
            <v>42.628</v>
          </cell>
          <cell r="BH402">
            <v>6.016699983046875</v>
          </cell>
          <cell r="BI402">
            <v>12.312120121400003</v>
          </cell>
          <cell r="BJ402">
            <v>12.288760261937032</v>
          </cell>
          <cell r="BK402">
            <v>14.053693893960865</v>
          </cell>
          <cell r="BL402">
            <v>44.671274260344774</v>
          </cell>
          <cell r="BM402">
            <v>45.894795255564702</v>
          </cell>
          <cell r="BN402">
            <v>47.221650823237667</v>
          </cell>
          <cell r="BO402">
            <v>48.556108068529824</v>
          </cell>
        </row>
        <row r="403">
          <cell r="A403" t="str">
            <v>% of Total Revenues</v>
          </cell>
          <cell r="D403">
            <v>7.8371923861756433E-3</v>
          </cell>
          <cell r="E403">
            <v>6.6613835004421772E-4</v>
          </cell>
          <cell r="F403">
            <v>3.3689381647737516E-3</v>
          </cell>
          <cell r="G403">
            <v>6.3739759974893668E-3</v>
          </cell>
          <cell r="H403">
            <v>-4.0429675972377963E-3</v>
          </cell>
          <cell r="I403">
            <v>1.4463915909226086E-3</v>
          </cell>
          <cell r="J403">
            <v>9.1566540576078371E-3</v>
          </cell>
          <cell r="K403">
            <v>4.4909653865705439E-2</v>
          </cell>
          <cell r="L403">
            <v>0.12026377050516762</v>
          </cell>
          <cell r="M403">
            <v>6.0130706784836521E-2</v>
          </cell>
          <cell r="N403">
            <v>5.9300029469023879E-2</v>
          </cell>
          <cell r="O403">
            <v>5.6960770429117687E-2</v>
          </cell>
          <cell r="P403">
            <v>3.1871999999999998E-2</v>
          </cell>
          <cell r="Q403">
            <v>1.5330491971929315E-2</v>
          </cell>
          <cell r="R403">
            <v>1.8722114656115837E-2</v>
          </cell>
          <cell r="S403">
            <v>3.0278949222030581E-2</v>
          </cell>
          <cell r="T403">
            <v>2.6997041420118346E-2</v>
          </cell>
          <cell r="U403">
            <v>1.1272669169928893E-2</v>
          </cell>
          <cell r="V403">
            <v>1.1833297983061465E-2</v>
          </cell>
          <cell r="W403">
            <v>2.8469233726174069E-2</v>
          </cell>
          <cell r="X403">
            <v>1.9864202950365135E-2</v>
          </cell>
          <cell r="Y403">
            <v>1.7174358928427485E-2</v>
          </cell>
          <cell r="Z403">
            <v>1.2791247025163037E-2</v>
          </cell>
          <cell r="AA403">
            <v>4.4928141636966387E-2</v>
          </cell>
          <cell r="AB403">
            <v>2.7722500818099009E-2</v>
          </cell>
          <cell r="AC403">
            <v>2.5652068226443239E-2</v>
          </cell>
          <cell r="AD403">
            <v>1.8738103138152034E-2</v>
          </cell>
          <cell r="AE403">
            <v>6.5617336994110625E-2</v>
          </cell>
          <cell r="AF403">
            <v>7.7143609520735276E-2</v>
          </cell>
          <cell r="AG403">
            <v>2.7420268738870022E-2</v>
          </cell>
          <cell r="AH403">
            <v>4.723930448217685E-2</v>
          </cell>
          <cell r="AI403">
            <v>1.9054499839227659E-2</v>
          </cell>
          <cell r="AJ403">
            <v>1.4311859727489161E-2</v>
          </cell>
          <cell r="AK403">
            <v>5.5019013468196022E-2</v>
          </cell>
          <cell r="AL403">
            <v>7.7766401865317511E-2</v>
          </cell>
          <cell r="AM403">
            <v>4.2012538779356692E-2</v>
          </cell>
          <cell r="AS403">
            <v>4.1969128076762612E-2</v>
          </cell>
          <cell r="AT403">
            <v>4.6811773727363899E-2</v>
          </cell>
          <cell r="AU403">
            <v>8.0590084950925622E-2</v>
          </cell>
          <cell r="AV403">
            <v>3.4305781734639842E-2</v>
          </cell>
          <cell r="AW403">
            <v>5.1021114572516443E-2</v>
          </cell>
          <cell r="AX403">
            <v>2.4050536570515264E-2</v>
          </cell>
          <cell r="AY403">
            <v>4.4212004730928442E-2</v>
          </cell>
          <cell r="AZ403">
            <v>4.5781447073224284E-2</v>
          </cell>
          <cell r="BA403">
            <v>6.7828782709706728E-2</v>
          </cell>
          <cell r="BB403">
            <v>4.56712030585762E-2</v>
          </cell>
          <cell r="BC403">
            <v>1.124349061069907E-2</v>
          </cell>
          <cell r="BD403">
            <v>5.2409530757477736E-2</v>
          </cell>
          <cell r="BE403">
            <v>4.7595108742758255E-2</v>
          </cell>
          <cell r="BF403">
            <v>3.5978716719260145E-2</v>
          </cell>
          <cell r="BG403">
            <v>3.7046983132098719E-2</v>
          </cell>
          <cell r="BH403">
            <v>0.02</v>
          </cell>
          <cell r="BI403">
            <v>0.04</v>
          </cell>
          <cell r="BJ403">
            <v>0.04</v>
          </cell>
          <cell r="BK403">
            <v>4.4999999999999998E-2</v>
          </cell>
          <cell r="BL403">
            <v>3.6372481061057296E-2</v>
          </cell>
          <cell r="BM403">
            <v>3.4872481061057295E-2</v>
          </cell>
          <cell r="BN403">
            <v>3.3372481061057294E-2</v>
          </cell>
          <cell r="BO403">
            <v>3.1872481061057292E-2</v>
          </cell>
        </row>
        <row r="405">
          <cell r="A405" t="str">
            <v>Free Cash Flow</v>
          </cell>
          <cell r="E405">
            <v>10.064000000000016</v>
          </cell>
          <cell r="F405">
            <v>30.963999999999988</v>
          </cell>
          <cell r="G405">
            <v>26.382000000000012</v>
          </cell>
          <cell r="H405">
            <v>42.279999999999987</v>
          </cell>
          <cell r="I405">
            <v>109.69</v>
          </cell>
          <cell r="J405">
            <v>19.78</v>
          </cell>
          <cell r="K405">
            <v>55.137</v>
          </cell>
          <cell r="L405">
            <v>17.550000000000011</v>
          </cell>
          <cell r="M405">
            <v>37.058000000000007</v>
          </cell>
          <cell r="N405">
            <v>129.52500000000001</v>
          </cell>
          <cell r="O405">
            <v>16.439000000000007</v>
          </cell>
          <cell r="P405">
            <v>43.199000000000005</v>
          </cell>
          <cell r="Q405">
            <v>50.018000000000001</v>
          </cell>
          <cell r="R405">
            <v>7.8739999999999988</v>
          </cell>
          <cell r="S405">
            <v>117.52999999999997</v>
          </cell>
          <cell r="T405">
            <v>-18.046000000000017</v>
          </cell>
          <cell r="U405">
            <v>68.454000000000008</v>
          </cell>
          <cell r="V405">
            <v>63.734999999999999</v>
          </cell>
          <cell r="W405">
            <v>56.042999999999985</v>
          </cell>
          <cell r="X405">
            <v>170.18599999999998</v>
          </cell>
          <cell r="Y405">
            <v>-29.713000000000029</v>
          </cell>
          <cell r="Z405">
            <v>103.22699999999999</v>
          </cell>
          <cell r="AA405">
            <v>84.574000000000012</v>
          </cell>
          <cell r="AB405">
            <v>73.798000000000016</v>
          </cell>
          <cell r="AC405">
            <v>231.88600000000017</v>
          </cell>
          <cell r="AD405">
            <v>65.214999999999975</v>
          </cell>
          <cell r="AE405">
            <v>104.90500000000003</v>
          </cell>
          <cell r="AF405">
            <v>79.434000000000026</v>
          </cell>
          <cell r="AG405">
            <v>52.637</v>
          </cell>
          <cell r="AH405">
            <v>302.19099999999992</v>
          </cell>
          <cell r="AI405">
            <v>66.246999999999986</v>
          </cell>
          <cell r="AJ405">
            <v>81.937999999999988</v>
          </cell>
          <cell r="AK405">
            <v>55.152999999999935</v>
          </cell>
          <cell r="AL405">
            <v>73.597999999999971</v>
          </cell>
          <cell r="AM405">
            <v>276.93599999999981</v>
          </cell>
          <cell r="AN405">
            <v>0</v>
          </cell>
          <cell r="AO405">
            <v>0</v>
          </cell>
          <cell r="AP405">
            <v>0</v>
          </cell>
          <cell r="AQ405">
            <v>0</v>
          </cell>
          <cell r="AS405">
            <v>15.201000000000047</v>
          </cell>
          <cell r="AT405">
            <v>56.968000000000025</v>
          </cell>
          <cell r="AU405">
            <v>87.190000000000012</v>
          </cell>
          <cell r="AV405">
            <v>95.485999999999976</v>
          </cell>
          <cell r="AW405">
            <v>254.84500000000003</v>
          </cell>
          <cell r="AX405">
            <v>60.373999999999974</v>
          </cell>
          <cell r="AY405">
            <v>12.044</v>
          </cell>
          <cell r="AZ405">
            <v>121.66399999999993</v>
          </cell>
          <cell r="BA405">
            <v>62.812000000000012</v>
          </cell>
          <cell r="BB405">
            <v>256.89399999999995</v>
          </cell>
          <cell r="BC405">
            <v>29.894999999999975</v>
          </cell>
          <cell r="BD405">
            <v>101.84</v>
          </cell>
          <cell r="BE405">
            <v>133.19500000000005</v>
          </cell>
          <cell r="BF405">
            <v>127.173</v>
          </cell>
          <cell r="BG405">
            <v>392.10300000000007</v>
          </cell>
          <cell r="BH405">
            <v>-36.85753661686573</v>
          </cell>
          <cell r="BI405">
            <v>113.9855983965209</v>
          </cell>
          <cell r="BJ405">
            <v>144.93195431541403</v>
          </cell>
          <cell r="BK405">
            <v>137.32309672542411</v>
          </cell>
          <cell r="BL405">
            <v>359.3831128204933</v>
          </cell>
          <cell r="BM405">
            <v>394.94001618700759</v>
          </cell>
          <cell r="BN405">
            <v>438.75754446722993</v>
          </cell>
          <cell r="BO405">
            <v>484.99903654632101</v>
          </cell>
        </row>
        <row r="406">
          <cell r="A406" t="str">
            <v>FCF per Share</v>
          </cell>
          <cell r="E406">
            <v>0.11995232419547099</v>
          </cell>
          <cell r="F406">
            <v>0.36905840286054808</v>
          </cell>
          <cell r="G406">
            <v>0.31444576877234814</v>
          </cell>
          <cell r="H406">
            <v>0.48707993963342266</v>
          </cell>
          <cell r="I406">
            <v>1.2962043864624693</v>
          </cell>
          <cell r="J406">
            <v>0.1963704233182432</v>
          </cell>
          <cell r="K406">
            <v>0.54439090855235883</v>
          </cell>
          <cell r="L406">
            <v>0.17256976538378349</v>
          </cell>
          <cell r="M406">
            <v>0.36666765610931373</v>
          </cell>
          <cell r="N406">
            <v>1.2799671917307351</v>
          </cell>
          <cell r="O406">
            <v>0.16200687881266576</v>
          </cell>
          <cell r="P406">
            <v>0.43039324107560956</v>
          </cell>
          <cell r="Q406">
            <v>0.496047920819573</v>
          </cell>
          <cell r="R406">
            <v>7.586326499152149E-2</v>
          </cell>
          <cell r="S406">
            <v>1.1469138814344959</v>
          </cell>
          <cell r="T406">
            <v>-0.17049620195759815</v>
          </cell>
          <cell r="U406">
            <v>0.64577417620256039</v>
          </cell>
          <cell r="V406">
            <v>0.52961999650991765</v>
          </cell>
          <cell r="W406">
            <v>0.46250784009507134</v>
          </cell>
          <cell r="X406">
            <v>1.501327663929003</v>
          </cell>
          <cell r="Y406">
            <v>-0.24352323113110921</v>
          </cell>
          <cell r="Z406">
            <v>0.84449625720947352</v>
          </cell>
          <cell r="AA406">
            <v>0.69151206429932233</v>
          </cell>
          <cell r="AB406">
            <v>0.60225566364170546</v>
          </cell>
          <cell r="AC406">
            <v>1.8964146684549721</v>
          </cell>
          <cell r="AD406">
            <v>0.52971660182109104</v>
          </cell>
          <cell r="AE406">
            <v>0.8508455330710899</v>
          </cell>
          <cell r="AF406">
            <v>0.64345078979343884</v>
          </cell>
          <cell r="AG406">
            <v>0.42796048619862592</v>
          </cell>
          <cell r="AH406">
            <v>2.4569372738729207</v>
          </cell>
          <cell r="AI406">
            <v>0.54433780874595317</v>
          </cell>
          <cell r="AJ406">
            <v>0.67124331320810349</v>
          </cell>
          <cell r="AK406">
            <v>0.45740516512133172</v>
          </cell>
          <cell r="AL406">
            <v>0.61394596127697532</v>
          </cell>
          <cell r="AM406">
            <v>2.3101679221201716</v>
          </cell>
          <cell r="AN406">
            <v>0</v>
          </cell>
          <cell r="AO406">
            <v>0</v>
          </cell>
          <cell r="AP406">
            <v>0</v>
          </cell>
          <cell r="AQ406">
            <v>0</v>
          </cell>
          <cell r="AS406">
            <v>0.12817356256903673</v>
          </cell>
          <cell r="AT406">
            <v>0.48415828120750631</v>
          </cell>
          <cell r="AU406">
            <v>0.74417691592055524</v>
          </cell>
          <cell r="AV406">
            <v>0.84285323376497256</v>
          </cell>
          <cell r="AW406">
            <v>2.2495123092268448</v>
          </cell>
          <cell r="AX406">
            <v>0.53182643011927178</v>
          </cell>
          <cell r="AY406">
            <v>0.10664919286998256</v>
          </cell>
          <cell r="AZ406">
            <v>1.1116959064327478</v>
          </cell>
          <cell r="BA406">
            <v>0.60635196447533557</v>
          </cell>
          <cell r="BB406">
            <v>2.479911188338642</v>
          </cell>
          <cell r="BC406">
            <v>0.2989559791195821</v>
          </cell>
          <cell r="BD406">
            <v>1.0511105606473454</v>
          </cell>
          <cell r="BE406">
            <v>1.3951064698920119</v>
          </cell>
          <cell r="BF406">
            <v>1.3551387926900742</v>
          </cell>
          <cell r="BG406">
            <v>4.1781980925994997</v>
          </cell>
          <cell r="BH406">
            <v>-0.3954107993437177</v>
          </cell>
          <cell r="BI406">
            <v>1.2394553715216632</v>
          </cell>
          <cell r="BJ406">
            <v>1.5972274970753439</v>
          </cell>
          <cell r="BK406">
            <v>1.5336657054231211</v>
          </cell>
          <cell r="BL406">
            <v>4.0136988488037373</v>
          </cell>
          <cell r="BM406">
            <v>4.5809758925102591</v>
          </cell>
          <cell r="BN406">
            <v>5.2777716610831451</v>
          </cell>
          <cell r="BO406">
            <v>6.0412668341014992</v>
          </cell>
        </row>
        <row r="409">
          <cell r="A409" t="str">
            <v>Interest Income</v>
          </cell>
          <cell r="D409">
            <v>15.481999999999999</v>
          </cell>
          <cell r="E409">
            <v>5.0620000000000003</v>
          </cell>
          <cell r="F409">
            <v>5.524</v>
          </cell>
          <cell r="G409">
            <v>1.125</v>
          </cell>
          <cell r="H409">
            <v>1.4319999999999999</v>
          </cell>
          <cell r="I409">
            <v>13.143000000000001</v>
          </cell>
          <cell r="J409">
            <v>2.3719999999999999</v>
          </cell>
          <cell r="K409">
            <v>3.508</v>
          </cell>
          <cell r="L409">
            <v>1.843</v>
          </cell>
          <cell r="M409">
            <v>0.41899999999999998</v>
          </cell>
          <cell r="N409">
            <v>8.1419999999999995</v>
          </cell>
          <cell r="O409">
            <v>0.121</v>
          </cell>
          <cell r="P409">
            <v>0.22</v>
          </cell>
          <cell r="Q409">
            <v>0.373</v>
          </cell>
          <cell r="R409">
            <v>0.33899999999999997</v>
          </cell>
          <cell r="S409">
            <v>1.0529999999999999</v>
          </cell>
          <cell r="T409">
            <v>0.40799999999999997</v>
          </cell>
          <cell r="U409">
            <v>0.34300000000000003</v>
          </cell>
          <cell r="V409">
            <v>0.114</v>
          </cell>
          <cell r="W409">
            <v>0.128</v>
          </cell>
          <cell r="X409">
            <v>0.99299999999999999</v>
          </cell>
          <cell r="Y409">
            <v>0.14299999999999999</v>
          </cell>
          <cell r="Z409">
            <v>0.186</v>
          </cell>
          <cell r="AA409">
            <v>0.184</v>
          </cell>
          <cell r="AB409">
            <v>0.33500000000000002</v>
          </cell>
          <cell r="AC409">
            <v>0.84799999999999986</v>
          </cell>
          <cell r="AD409">
            <v>0.223</v>
          </cell>
          <cell r="AE409">
            <v>0.23699999999999999</v>
          </cell>
          <cell r="AF409">
            <v>0.252</v>
          </cell>
          <cell r="AG409">
            <v>0.24199999999999999</v>
          </cell>
          <cell r="AH409">
            <v>0.95399999999999996</v>
          </cell>
          <cell r="AI409">
            <v>0.26800000000000002</v>
          </cell>
          <cell r="AJ409">
            <v>0.23699999999999999</v>
          </cell>
          <cell r="AK409">
            <v>0.26500000000000001</v>
          </cell>
          <cell r="AL409">
            <v>0.26100000000000001</v>
          </cell>
          <cell r="AM409">
            <v>1.0310000000000001</v>
          </cell>
          <cell r="AS409">
            <v>0.156</v>
          </cell>
          <cell r="AT409">
            <v>0.192</v>
          </cell>
          <cell r="AU409">
            <v>0.27700000000000002</v>
          </cell>
          <cell r="AV409">
            <v>0.22600000000000001</v>
          </cell>
          <cell r="AW409">
            <v>0.85099999999999998</v>
          </cell>
          <cell r="AX409">
            <v>0.20399999999999999</v>
          </cell>
          <cell r="AY409">
            <v>0.185</v>
          </cell>
          <cell r="AZ409">
            <v>0.28499999999999998</v>
          </cell>
          <cell r="BA409">
            <v>0.49199999999999999</v>
          </cell>
          <cell r="BB409">
            <v>1.1659999999999999</v>
          </cell>
          <cell r="BC409">
            <v>0.621</v>
          </cell>
          <cell r="BD409">
            <v>0.58499999999999996</v>
          </cell>
          <cell r="BE409">
            <v>0.79900000000000004</v>
          </cell>
          <cell r="BF409">
            <v>0.90100000000000002</v>
          </cell>
          <cell r="BG409">
            <v>2.9059999999999997</v>
          </cell>
          <cell r="BH409">
            <v>0.92129528335967248</v>
          </cell>
          <cell r="BI409">
            <v>0.84761945627904256</v>
          </cell>
          <cell r="BJ409">
            <v>0.85527288472342522</v>
          </cell>
          <cell r="BK409">
            <v>0.87648434859974989</v>
          </cell>
          <cell r="BL409">
            <v>3.5006719729618903</v>
          </cell>
          <cell r="BM409">
            <v>5.3068447163568626</v>
          </cell>
          <cell r="BN409">
            <v>7.2341795633872792</v>
          </cell>
          <cell r="BO409">
            <v>7.7271171651111619</v>
          </cell>
        </row>
        <row r="410">
          <cell r="A410" t="str">
            <v>Total Interest Earning Assets</v>
          </cell>
          <cell r="D410">
            <v>357.59300000000002</v>
          </cell>
          <cell r="E410" t="str">
            <v>NA</v>
          </cell>
          <cell r="F410" t="str">
            <v>NA</v>
          </cell>
          <cell r="G410" t="str">
            <v>NA</v>
          </cell>
          <cell r="H410">
            <v>174.44299999999998</v>
          </cell>
          <cell r="I410">
            <v>174.44299999999998</v>
          </cell>
          <cell r="J410">
            <v>189.02799999999999</v>
          </cell>
          <cell r="K410">
            <v>238.60899999999998</v>
          </cell>
          <cell r="L410">
            <v>249.452</v>
          </cell>
          <cell r="M410">
            <v>268.077</v>
          </cell>
          <cell r="N410">
            <v>268.077</v>
          </cell>
          <cell r="O410">
            <v>276.88099999999997</v>
          </cell>
          <cell r="P410">
            <v>317.64699999999999</v>
          </cell>
          <cell r="Q410">
            <v>361.76200000000006</v>
          </cell>
          <cell r="R410">
            <v>471.32800000000009</v>
          </cell>
          <cell r="S410">
            <v>471.32800000000009</v>
          </cell>
          <cell r="T410">
            <v>442.49400000000003</v>
          </cell>
          <cell r="U410">
            <v>213.54700000000003</v>
          </cell>
          <cell r="V410">
            <v>240.32800000000015</v>
          </cell>
          <cell r="W410">
            <v>300.46600000000024</v>
          </cell>
          <cell r="X410">
            <v>300.46600000000024</v>
          </cell>
          <cell r="Y410">
            <v>177.80100000000039</v>
          </cell>
          <cell r="Z410">
            <v>287.06200000000024</v>
          </cell>
          <cell r="AA410">
            <v>364.33200000000033</v>
          </cell>
          <cell r="AB410">
            <v>392.70100000000048</v>
          </cell>
          <cell r="AC410">
            <v>392.70100000000048</v>
          </cell>
          <cell r="AD410">
            <v>460.17900000000066</v>
          </cell>
          <cell r="AE410">
            <v>359.76700000000039</v>
          </cell>
          <cell r="AF410">
            <v>434.34300000000053</v>
          </cell>
          <cell r="AG410">
            <v>254.20700000000053</v>
          </cell>
          <cell r="AH410">
            <v>254.20700000000053</v>
          </cell>
          <cell r="AI410">
            <v>263.02900000000045</v>
          </cell>
          <cell r="AJ410">
            <v>334.70100000000048</v>
          </cell>
          <cell r="AK410">
            <v>283.75000000000045</v>
          </cell>
          <cell r="AL410">
            <v>358.43400000000042</v>
          </cell>
          <cell r="AM410">
            <v>358.43400000000042</v>
          </cell>
          <cell r="AS410">
            <v>260.46200000000044</v>
          </cell>
          <cell r="AT410">
            <v>683.32700000000045</v>
          </cell>
          <cell r="AU410">
            <v>448.17700000000048</v>
          </cell>
          <cell r="AV410">
            <v>508.83100000000047</v>
          </cell>
          <cell r="AW410">
            <v>508.83100000000047</v>
          </cell>
          <cell r="AX410">
            <v>537.79400000000032</v>
          </cell>
          <cell r="AY410">
            <v>455.04400000000032</v>
          </cell>
          <cell r="AZ410">
            <v>993.46200000000022</v>
          </cell>
          <cell r="BA410">
            <v>777.73500000000024</v>
          </cell>
          <cell r="BB410">
            <v>777.73500000000024</v>
          </cell>
          <cell r="BC410">
            <v>445.04300000000029</v>
          </cell>
          <cell r="BD410">
            <v>404.57600000000025</v>
          </cell>
          <cell r="BE410">
            <v>974.0840000000004</v>
          </cell>
          <cell r="BF410">
            <v>791.79600000000039</v>
          </cell>
          <cell r="BG410">
            <v>791.79600000000039</v>
          </cell>
          <cell r="BH410">
            <v>682.27645337547551</v>
          </cell>
          <cell r="BI410">
            <v>673.91467667099243</v>
          </cell>
          <cell r="BJ410">
            <v>694.52193888648776</v>
          </cell>
          <cell r="BK410">
            <v>707.85301887311198</v>
          </cell>
          <cell r="BL410">
            <v>707.85301887311198</v>
          </cell>
          <cell r="BM410">
            <v>707.30557215538488</v>
          </cell>
          <cell r="BN410">
            <v>739.5303405220709</v>
          </cell>
          <cell r="BO410">
            <v>805.8930925001614</v>
          </cell>
        </row>
        <row r="411">
          <cell r="A411" t="str">
            <v>Average Interest Earning Assets</v>
          </cell>
          <cell r="J411">
            <v>181.7355</v>
          </cell>
          <cell r="K411">
            <v>213.81849999999997</v>
          </cell>
          <cell r="L411">
            <v>244.03049999999999</v>
          </cell>
          <cell r="M411">
            <v>258.7645</v>
          </cell>
          <cell r="N411">
            <v>236.29149999999998</v>
          </cell>
          <cell r="O411">
            <v>272.47899999999998</v>
          </cell>
          <cell r="P411">
            <v>297.26400000000001</v>
          </cell>
          <cell r="Q411">
            <v>339.70450000000005</v>
          </cell>
          <cell r="R411">
            <v>416.54500000000007</v>
          </cell>
          <cell r="S411">
            <v>356.90450000000004</v>
          </cell>
          <cell r="T411">
            <v>456.91100000000006</v>
          </cell>
          <cell r="U411">
            <v>328.02050000000003</v>
          </cell>
          <cell r="V411">
            <v>226.93750000000009</v>
          </cell>
          <cell r="W411">
            <v>270.39700000000016</v>
          </cell>
          <cell r="X411">
            <v>299.20875000000012</v>
          </cell>
          <cell r="Y411">
            <v>239.13350000000031</v>
          </cell>
          <cell r="Z411">
            <v>232.43150000000031</v>
          </cell>
          <cell r="AA411">
            <v>325.69700000000029</v>
          </cell>
          <cell r="AB411">
            <v>378.51650000000041</v>
          </cell>
          <cell r="AC411">
            <v>346.58350000000036</v>
          </cell>
          <cell r="AD411">
            <v>426.44000000000057</v>
          </cell>
          <cell r="AE411">
            <v>409.97300000000052</v>
          </cell>
          <cell r="AF411">
            <v>397.05500000000046</v>
          </cell>
          <cell r="AG411">
            <v>344.27500000000055</v>
          </cell>
          <cell r="AH411">
            <v>323.45400000000052</v>
          </cell>
          <cell r="AI411">
            <v>258.61800000000051</v>
          </cell>
          <cell r="AJ411">
            <v>298.86500000000046</v>
          </cell>
          <cell r="AK411">
            <v>309.22550000000047</v>
          </cell>
          <cell r="AL411">
            <v>321.09200000000044</v>
          </cell>
          <cell r="AM411">
            <v>306.32050000000049</v>
          </cell>
          <cell r="AS411">
            <v>309.44800000000043</v>
          </cell>
          <cell r="AT411">
            <v>471.89450000000045</v>
          </cell>
          <cell r="AU411">
            <v>565.75200000000041</v>
          </cell>
          <cell r="AV411">
            <v>478.50400000000047</v>
          </cell>
          <cell r="AW411">
            <v>433.63250000000045</v>
          </cell>
          <cell r="AX411">
            <v>268.89700000000016</v>
          </cell>
          <cell r="AY411">
            <v>496.41900000000032</v>
          </cell>
          <cell r="AZ411">
            <v>724.25300000000027</v>
          </cell>
          <cell r="BA411">
            <v>885.59850000000029</v>
          </cell>
          <cell r="BB411">
            <v>643.28300000000036</v>
          </cell>
          <cell r="BC411">
            <v>476.93700000000035</v>
          </cell>
          <cell r="BD411">
            <v>424.8095000000003</v>
          </cell>
          <cell r="BE411">
            <v>689.33000000000038</v>
          </cell>
          <cell r="BF411">
            <v>882.9400000000004</v>
          </cell>
          <cell r="BG411">
            <v>784.76550000000032</v>
          </cell>
          <cell r="BH411">
            <v>737.03622668773801</v>
          </cell>
          <cell r="BI411">
            <v>678.09556502323403</v>
          </cell>
          <cell r="BJ411">
            <v>684.21830777874015</v>
          </cell>
          <cell r="BK411">
            <v>701.18747887979987</v>
          </cell>
          <cell r="BL411">
            <v>749.82450943655613</v>
          </cell>
          <cell r="BM411">
            <v>707.57929551424843</v>
          </cell>
          <cell r="BN411">
            <v>723.41795633872789</v>
          </cell>
          <cell r="BO411">
            <v>772.71171651111615</v>
          </cell>
        </row>
        <row r="412">
          <cell r="A412" t="str">
            <v>Average Interest Yield</v>
          </cell>
          <cell r="J412">
            <v>5.220774147043368E-2</v>
          </cell>
          <cell r="K412">
            <v>6.5625752682766006E-2</v>
          </cell>
          <cell r="L412">
            <v>3.0209338586775016E-2</v>
          </cell>
          <cell r="M412">
            <v>6.4769317274973957E-3</v>
          </cell>
          <cell r="N412">
            <v>3.4457439222316505E-2</v>
          </cell>
          <cell r="O412">
            <v>1.7762836769072113E-3</v>
          </cell>
          <cell r="P412">
            <v>2.960331557134399E-3</v>
          </cell>
          <cell r="Q412">
            <v>4.3920525044560781E-3</v>
          </cell>
          <cell r="R412">
            <v>3.2553505623642096E-3</v>
          </cell>
          <cell r="S412">
            <v>2.9503690763215363E-3</v>
          </cell>
          <cell r="T412">
            <v>3.5718115781848097E-3</v>
          </cell>
          <cell r="U412">
            <v>4.1826654126799999E-3</v>
          </cell>
          <cell r="V412">
            <v>2.009363811622142E-3</v>
          </cell>
          <cell r="W412">
            <v>1.8935121321612285E-3</v>
          </cell>
          <cell r="X412">
            <v>3.318753211595582E-3</v>
          </cell>
          <cell r="Y412">
            <v>2.3919693393021019E-3</v>
          </cell>
          <cell r="Z412">
            <v>3.2009430735506976E-3</v>
          </cell>
          <cell r="AA412">
            <v>2.2597690491469044E-3</v>
          </cell>
          <cell r="AB412">
            <v>3.5401362952473636E-3</v>
          </cell>
          <cell r="AC412">
            <v>2.4467408286891873E-3</v>
          </cell>
          <cell r="AD412">
            <v>2.0917362348747744E-3</v>
          </cell>
          <cell r="AE412">
            <v>2.3123473984872143E-3</v>
          </cell>
          <cell r="AF412">
            <v>2.538691113321829E-3</v>
          </cell>
          <cell r="AG412">
            <v>2.8117057584779565E-3</v>
          </cell>
          <cell r="AH412">
            <v>2.9494147544936789E-3</v>
          </cell>
          <cell r="AI412">
            <v>4.1451097758083274E-3</v>
          </cell>
          <cell r="AJ412">
            <v>3.172000736118309E-3</v>
          </cell>
          <cell r="AK412">
            <v>3.4279191075768283E-3</v>
          </cell>
          <cell r="AL412">
            <v>3.2514045818643833E-3</v>
          </cell>
          <cell r="AM412">
            <v>8.4143895038040102E-4</v>
          </cell>
          <cell r="AS412">
            <v>2.0164938858871252E-3</v>
          </cell>
          <cell r="AT412">
            <v>1.6274824139717655E-3</v>
          </cell>
          <cell r="AU412">
            <v>1.9584552948995306E-3</v>
          </cell>
          <cell r="AV412">
            <v>1.8892214067176014E-3</v>
          </cell>
          <cell r="AW412">
            <v>1.9624912800585729E-3</v>
          </cell>
          <cell r="AX412">
            <v>3.0346192036355907E-3</v>
          </cell>
          <cell r="AY412">
            <v>1.4906762231099123E-3</v>
          </cell>
          <cell r="AZ412">
            <v>1.5740355925346523E-3</v>
          </cell>
          <cell r="BA412">
            <v>2.222225986155125E-3</v>
          </cell>
          <cell r="BB412">
            <v>1.8125770461834049E-3</v>
          </cell>
          <cell r="BC412">
            <v>5.2082350499122491E-3</v>
          </cell>
          <cell r="BD412">
            <v>5.5083513904467729E-3</v>
          </cell>
          <cell r="BE412">
            <v>4.6363860560254136E-3</v>
          </cell>
          <cell r="BF412">
            <v>4.0818175640473858E-3</v>
          </cell>
          <cell r="BG412">
            <v>3.7030170159111208E-3</v>
          </cell>
          <cell r="BH412">
            <v>5.0000000000000001E-3</v>
          </cell>
          <cell r="BI412">
            <v>5.0000000000000001E-3</v>
          </cell>
          <cell r="BJ412">
            <v>5.0000000000000001E-3</v>
          </cell>
          <cell r="BK412">
            <v>5.0000000000000001E-3</v>
          </cell>
          <cell r="BL412">
            <v>4.6686550371531806E-3</v>
          </cell>
          <cell r="BM412">
            <v>7.4999999999999997E-3</v>
          </cell>
          <cell r="BN412">
            <v>0.01</v>
          </cell>
          <cell r="BO412">
            <v>0.01</v>
          </cell>
        </row>
        <row r="414">
          <cell r="A414" t="str">
            <v>Interest Expense</v>
          </cell>
          <cell r="D414">
            <v>0.35199999999999998</v>
          </cell>
          <cell r="E414">
            <v>9.5000000000000001E-2</v>
          </cell>
          <cell r="F414">
            <v>0.502</v>
          </cell>
          <cell r="G414">
            <v>1.2589999999999999</v>
          </cell>
          <cell r="H414">
            <v>7.73</v>
          </cell>
          <cell r="I414">
            <v>9.5860000000000003</v>
          </cell>
          <cell r="J414">
            <v>8.4629999999999992</v>
          </cell>
          <cell r="K414">
            <v>6.6680000000000001</v>
          </cell>
          <cell r="L414">
            <v>5.9909999999999997</v>
          </cell>
          <cell r="M414">
            <v>5.81</v>
          </cell>
          <cell r="N414">
            <v>26.931999999999999</v>
          </cell>
          <cell r="O414">
            <v>5.6379999999999999</v>
          </cell>
          <cell r="P414">
            <v>4.9039999999999999</v>
          </cell>
          <cell r="Q414">
            <v>4.6280000000000001</v>
          </cell>
          <cell r="R414">
            <v>4.5129999999999999</v>
          </cell>
          <cell r="S414">
            <v>19.683</v>
          </cell>
          <cell r="T414">
            <v>4.4359999999999999</v>
          </cell>
          <cell r="U414">
            <v>8.9909999999999997</v>
          </cell>
          <cell r="V414">
            <v>20.414999999999999</v>
          </cell>
          <cell r="W414">
            <v>17.495000000000001</v>
          </cell>
          <cell r="X414">
            <v>51.337000000000003</v>
          </cell>
          <cell r="Y414">
            <v>16.587</v>
          </cell>
          <cell r="Z414">
            <v>12.852</v>
          </cell>
          <cell r="AA414">
            <v>13.113</v>
          </cell>
          <cell r="AB414">
            <v>13.266999999999999</v>
          </cell>
          <cell r="AC414">
            <v>55.819000000000003</v>
          </cell>
          <cell r="AD414">
            <v>12.355</v>
          </cell>
          <cell r="AE414">
            <v>29.581</v>
          </cell>
          <cell r="AF414">
            <v>7.3140000000000001</v>
          </cell>
          <cell r="AG414">
            <v>7.1779999999999999</v>
          </cell>
          <cell r="AH414">
            <v>56.427999999999997</v>
          </cell>
          <cell r="AI414">
            <v>7.02</v>
          </cell>
          <cell r="AJ414">
            <v>6.5039999999999996</v>
          </cell>
          <cell r="AK414">
            <v>5.827</v>
          </cell>
          <cell r="AL414">
            <v>6.9139999999999997</v>
          </cell>
          <cell r="AM414">
            <v>26.265000000000001</v>
          </cell>
          <cell r="AS414">
            <v>5.0590000000000002</v>
          </cell>
          <cell r="AT414">
            <v>5.3659999999999997</v>
          </cell>
          <cell r="AU414">
            <v>5.6040000000000001</v>
          </cell>
          <cell r="AV414">
            <v>15.791</v>
          </cell>
          <cell r="AW414">
            <v>31.82</v>
          </cell>
          <cell r="AX414">
            <v>11.108000000000001</v>
          </cell>
          <cell r="AY414">
            <v>11.116</v>
          </cell>
          <cell r="AZ414">
            <v>17.266999999999999</v>
          </cell>
          <cell r="BA414">
            <v>22.896000000000001</v>
          </cell>
          <cell r="BB414">
            <v>62.387</v>
          </cell>
          <cell r="BC414">
            <v>22.904</v>
          </cell>
          <cell r="BD414">
            <v>22.917999999999999</v>
          </cell>
          <cell r="BE414">
            <v>26.79</v>
          </cell>
          <cell r="BF414">
            <v>29.039000000000001</v>
          </cell>
          <cell r="BG414">
            <v>101.651</v>
          </cell>
          <cell r="BH414">
            <v>29.052814000000001</v>
          </cell>
          <cell r="BI414">
            <v>29.052814000000001</v>
          </cell>
          <cell r="BJ414">
            <v>29.052814000000001</v>
          </cell>
          <cell r="BK414">
            <v>29.052814000000001</v>
          </cell>
          <cell r="BL414">
            <v>116.21125600000001</v>
          </cell>
          <cell r="BM414">
            <v>122.436859</v>
          </cell>
          <cell r="BN414">
            <v>124.51205999999999</v>
          </cell>
          <cell r="BO414">
            <v>124.51205999999999</v>
          </cell>
        </row>
        <row r="415">
          <cell r="A415" t="str">
            <v>Total Debt</v>
          </cell>
          <cell r="D415">
            <v>0</v>
          </cell>
          <cell r="E415" t="str">
            <v>NA</v>
          </cell>
          <cell r="F415" t="str">
            <v>NA</v>
          </cell>
          <cell r="G415" t="str">
            <v>NA</v>
          </cell>
          <cell r="H415">
            <v>425</v>
          </cell>
          <cell r="I415">
            <v>425</v>
          </cell>
          <cell r="J415">
            <v>419.43799999999999</v>
          </cell>
          <cell r="K415">
            <v>413.875</v>
          </cell>
          <cell r="L415">
            <v>407.31700000000001</v>
          </cell>
          <cell r="M415">
            <v>401.79500000000002</v>
          </cell>
          <cell r="N415">
            <v>401.79500000000002</v>
          </cell>
          <cell r="O415">
            <v>396.274</v>
          </cell>
          <cell r="P415">
            <v>390.75200000000001</v>
          </cell>
          <cell r="Q415">
            <v>385.23099999999999</v>
          </cell>
          <cell r="R415">
            <v>379.71000000000004</v>
          </cell>
          <cell r="S415">
            <v>379.71000000000004</v>
          </cell>
          <cell r="T415">
            <v>369.18700000000001</v>
          </cell>
          <cell r="U415">
            <v>70.570000000000007</v>
          </cell>
          <cell r="V415">
            <v>1265.711</v>
          </cell>
          <cell r="W415">
            <v>1262.797</v>
          </cell>
          <cell r="X415">
            <v>1262.797</v>
          </cell>
          <cell r="Y415">
            <v>1119.6130000000001</v>
          </cell>
          <cell r="Z415">
            <v>1117.0309999999999</v>
          </cell>
          <cell r="AA415">
            <v>1114.45</v>
          </cell>
          <cell r="AB415">
            <v>1076.8869999999999</v>
          </cell>
          <cell r="AC415">
            <v>1076.8869999999999</v>
          </cell>
          <cell r="AD415">
            <v>1074.3040000000001</v>
          </cell>
          <cell r="AE415">
            <v>876.245</v>
          </cell>
          <cell r="AF415">
            <v>865.48299999999995</v>
          </cell>
          <cell r="AG415">
            <v>854.71600000000001</v>
          </cell>
          <cell r="AH415">
            <v>854.71600000000001</v>
          </cell>
          <cell r="AI415">
            <v>828.96199999999999</v>
          </cell>
          <cell r="AJ415">
            <v>818.19</v>
          </cell>
          <cell r="AK415">
            <v>807.41499999999996</v>
          </cell>
          <cell r="AL415">
            <v>807.78200000000004</v>
          </cell>
          <cell r="AM415">
            <v>807.78200000000004</v>
          </cell>
          <cell r="AS415">
            <v>802.84</v>
          </cell>
          <cell r="AT415">
            <v>797.89700000000005</v>
          </cell>
          <cell r="AU415">
            <v>792.95399999999995</v>
          </cell>
          <cell r="AV415">
            <v>800</v>
          </cell>
          <cell r="AW415">
            <v>800</v>
          </cell>
          <cell r="AX415">
            <v>800</v>
          </cell>
          <cell r="AY415">
            <v>800</v>
          </cell>
          <cell r="AZ415">
            <v>1578.8489999999999</v>
          </cell>
          <cell r="BA415">
            <v>1579.404</v>
          </cell>
          <cell r="BB415">
            <v>1579.404</v>
          </cell>
          <cell r="BC415">
            <v>1579.96</v>
          </cell>
          <cell r="BD415">
            <v>1580.5150000000001</v>
          </cell>
          <cell r="BE415">
            <v>2074.4780000000001</v>
          </cell>
          <cell r="BF415">
            <v>2075.201</v>
          </cell>
          <cell r="BG415">
            <v>2075.201</v>
          </cell>
          <cell r="BH415">
            <v>2075.201</v>
          </cell>
          <cell r="BI415">
            <v>2075.201</v>
          </cell>
          <cell r="BJ415">
            <v>2075.201</v>
          </cell>
          <cell r="BK415">
            <v>2075.201</v>
          </cell>
          <cell r="BL415">
            <v>2075.201</v>
          </cell>
          <cell r="BM415">
            <v>2075.201</v>
          </cell>
          <cell r="BN415">
            <v>2075.201</v>
          </cell>
          <cell r="BO415">
            <v>2075.201</v>
          </cell>
        </row>
        <row r="416">
          <cell r="A416" t="str">
            <v>Average Debt</v>
          </cell>
          <cell r="J416">
            <v>422.21899999999999</v>
          </cell>
          <cell r="K416">
            <v>416.65649999999999</v>
          </cell>
          <cell r="L416">
            <v>410.596</v>
          </cell>
          <cell r="M416">
            <v>404.55600000000004</v>
          </cell>
          <cell r="N416">
            <v>410.60625000000005</v>
          </cell>
          <cell r="O416">
            <v>399.03449999999998</v>
          </cell>
          <cell r="P416">
            <v>393.51300000000003</v>
          </cell>
          <cell r="Q416">
            <v>387.99149999999997</v>
          </cell>
          <cell r="R416">
            <v>382.47050000000002</v>
          </cell>
          <cell r="S416">
            <v>387.99175000000002</v>
          </cell>
          <cell r="T416">
            <v>374.44850000000002</v>
          </cell>
          <cell r="U416">
            <v>219.8785</v>
          </cell>
          <cell r="V416">
            <v>668.14049999999997</v>
          </cell>
          <cell r="W416">
            <v>1264.2539999999999</v>
          </cell>
          <cell r="X416">
            <v>742.06625000000008</v>
          </cell>
          <cell r="Y416">
            <v>1191.2049999999999</v>
          </cell>
          <cell r="Z416">
            <v>1118.3220000000001</v>
          </cell>
          <cell r="AA416">
            <v>1115.7404999999999</v>
          </cell>
          <cell r="AB416">
            <v>1095.6685</v>
          </cell>
          <cell r="AC416">
            <v>1106.9952499999999</v>
          </cell>
          <cell r="AD416">
            <v>1075.5954999999999</v>
          </cell>
          <cell r="AE416">
            <v>975.27449999999999</v>
          </cell>
          <cell r="AF416">
            <v>870.86400000000003</v>
          </cell>
          <cell r="AG416">
            <v>860.09950000000003</v>
          </cell>
          <cell r="AH416">
            <v>917.68700000000001</v>
          </cell>
          <cell r="AI416">
            <v>841.83899999999994</v>
          </cell>
          <cell r="AJ416">
            <v>823.57600000000002</v>
          </cell>
          <cell r="AK416">
            <v>812.80250000000001</v>
          </cell>
          <cell r="AL416">
            <v>807.59850000000006</v>
          </cell>
          <cell r="AM416">
            <v>815.58725000000004</v>
          </cell>
          <cell r="AS416">
            <v>805.31100000000004</v>
          </cell>
          <cell r="AT416">
            <v>800.36850000000004</v>
          </cell>
          <cell r="AU416">
            <v>795.42550000000006</v>
          </cell>
          <cell r="AV416">
            <v>796.47699999999998</v>
          </cell>
          <cell r="AW416">
            <v>803.89100000000008</v>
          </cell>
          <cell r="AX416">
            <v>800</v>
          </cell>
          <cell r="AY416">
            <v>800</v>
          </cell>
          <cell r="AZ416">
            <v>1189.4245000000001</v>
          </cell>
          <cell r="BA416">
            <v>1579.1264999999999</v>
          </cell>
          <cell r="BB416">
            <v>1189.702</v>
          </cell>
          <cell r="BC416">
            <v>1579.682</v>
          </cell>
          <cell r="BD416">
            <v>1580.2375000000002</v>
          </cell>
          <cell r="BE416">
            <v>1827.4965000000002</v>
          </cell>
          <cell r="BF416">
            <v>2074.8395</v>
          </cell>
          <cell r="BG416">
            <v>1827.3025</v>
          </cell>
          <cell r="BH416">
            <v>2075.201</v>
          </cell>
          <cell r="BI416">
            <v>2075.201</v>
          </cell>
          <cell r="BJ416">
            <v>2075.201</v>
          </cell>
          <cell r="BK416">
            <v>2075.201</v>
          </cell>
          <cell r="BL416">
            <v>2075.201</v>
          </cell>
          <cell r="BM416">
            <v>2075.201</v>
          </cell>
          <cell r="BN416">
            <v>2075.201</v>
          </cell>
          <cell r="BO416">
            <v>2075.201</v>
          </cell>
        </row>
        <row r="417">
          <cell r="A417" t="str">
            <v>Average Interest Rate</v>
          </cell>
          <cell r="J417">
            <v>8.0176401346220796E-2</v>
          </cell>
          <cell r="K417">
            <v>6.4014361950431586E-2</v>
          </cell>
          <cell r="L417">
            <v>5.8363939249286401E-2</v>
          </cell>
          <cell r="M417">
            <v>5.7445693550460246E-2</v>
          </cell>
          <cell r="N417">
            <v>6.5590818454419525E-2</v>
          </cell>
          <cell r="O417">
            <v>5.6516416500327668E-2</v>
          </cell>
          <cell r="P417">
            <v>4.9848416697796508E-2</v>
          </cell>
          <cell r="Q417">
            <v>4.7712385451743146E-2</v>
          </cell>
          <cell r="R417">
            <v>4.7198411380747006E-2</v>
          </cell>
          <cell r="S417">
            <v>5.0730460119319545E-2</v>
          </cell>
          <cell r="T417">
            <v>4.738702384974168E-2</v>
          </cell>
          <cell r="U417">
            <v>0.16356305868923063</v>
          </cell>
          <cell r="V417">
            <v>0.12221980257146513</v>
          </cell>
          <cell r="W417">
            <v>5.535280094031738E-2</v>
          </cell>
          <cell r="X417">
            <v>6.9181154647580317E-2</v>
          </cell>
          <cell r="Y417">
            <v>4.738702384974168E-2</v>
          </cell>
          <cell r="Z417">
            <v>4.5968871219559303E-2</v>
          </cell>
          <cell r="AA417">
            <v>4.7010931305263189E-2</v>
          </cell>
          <cell r="AB417">
            <v>4.8434357654710339E-2</v>
          </cell>
          <cell r="AC417">
            <v>5.0423883932654637E-2</v>
          </cell>
          <cell r="AD417">
            <v>4.5946640721349248E-2</v>
          </cell>
          <cell r="AE417">
            <v>3.667480283756009E-2</v>
          </cell>
          <cell r="AF417">
            <v>3.3594223667530176E-2</v>
          </cell>
          <cell r="AG417">
            <v>3.3382184270540793E-2</v>
          </cell>
          <cell r="AH417">
            <v>6.1489374917591724E-2</v>
          </cell>
          <cell r="AI417">
            <v>3.3355546606892765E-2</v>
          </cell>
          <cell r="AJ417">
            <v>3.1589070104034112E-2</v>
          </cell>
          <cell r="AK417">
            <v>2.8676092900796934E-2</v>
          </cell>
          <cell r="AL417">
            <v>3.4244739186613145E-2</v>
          </cell>
          <cell r="AM417">
            <v>3.2203789355461358E-2</v>
          </cell>
          <cell r="AS417">
            <v>2.5128180293079318E-2</v>
          </cell>
          <cell r="AT417">
            <v>2.6817647121294752E-2</v>
          </cell>
          <cell r="AU417">
            <v>2.8181143300032498E-2</v>
          </cell>
          <cell r="AV417">
            <v>7.930423602941454E-2</v>
          </cell>
          <cell r="AW417">
            <v>3.9582480709449412E-2</v>
          </cell>
          <cell r="AX417">
            <v>5.5540000000000006E-2</v>
          </cell>
          <cell r="AY417">
            <v>5.5579999999999997E-2</v>
          </cell>
          <cell r="AZ417">
            <v>5.8068418802538532E-2</v>
          </cell>
          <cell r="BA417">
            <v>5.7996620283428856E-2</v>
          </cell>
          <cell r="BB417">
            <v>5.2439182249000169E-2</v>
          </cell>
          <cell r="BC417">
            <v>5.7996482836418978E-2</v>
          </cell>
          <cell r="BD417">
            <v>5.8011533076515388E-2</v>
          </cell>
          <cell r="BE417">
            <v>5.8637595201960706E-2</v>
          </cell>
          <cell r="BF417">
            <v>5.598312544175104E-2</v>
          </cell>
          <cell r="BG417">
            <v>5.5628994104698043E-2</v>
          </cell>
          <cell r="BH417">
            <v>5.6000000000000001E-2</v>
          </cell>
          <cell r="BI417">
            <v>5.6000000000000001E-2</v>
          </cell>
          <cell r="BJ417">
            <v>5.6000000000000001E-2</v>
          </cell>
          <cell r="BK417">
            <v>5.6000000000000001E-2</v>
          </cell>
          <cell r="BL417">
            <v>5.6000000000000001E-2</v>
          </cell>
          <cell r="BM417">
            <v>5.8999999999999997E-2</v>
          </cell>
          <cell r="BN417">
            <v>0.06</v>
          </cell>
          <cell r="BO417">
            <v>0.06</v>
          </cell>
        </row>
        <row r="418">
          <cell r="A418" t="str">
            <v>Net Interest Expense</v>
          </cell>
          <cell r="BG418">
            <v>98.74499999999999</v>
          </cell>
          <cell r="BL418">
            <v>112.71058402703811</v>
          </cell>
        </row>
        <row r="421">
          <cell r="A421" t="str">
            <v>Net Operating Losses</v>
          </cell>
        </row>
        <row r="422">
          <cell r="A422" t="str">
            <v>Beginning Balance</v>
          </cell>
          <cell r="D422" t="str">
            <v>NA</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cell r="BM422">
            <v>0</v>
          </cell>
          <cell r="BN422">
            <v>0</v>
          </cell>
          <cell r="BO422">
            <v>0</v>
          </cell>
        </row>
        <row r="423">
          <cell r="A423" t="str">
            <v xml:space="preserve">  Additions</v>
          </cell>
          <cell r="D423" t="str">
            <v>NA</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row>
        <row r="424">
          <cell r="A424" t="str">
            <v xml:space="preserve">  Uses</v>
          </cell>
          <cell r="D424" t="str">
            <v>NA</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cell r="BM424">
            <v>0</v>
          </cell>
          <cell r="BN424">
            <v>0</v>
          </cell>
          <cell r="BO424">
            <v>0</v>
          </cell>
        </row>
        <row r="425">
          <cell r="D425" t="str">
            <v xml:space="preserve">______ </v>
          </cell>
          <cell r="E425" t="str">
            <v xml:space="preserve">______ </v>
          </cell>
          <cell r="F425" t="str">
            <v xml:space="preserve">______ </v>
          </cell>
          <cell r="G425" t="str">
            <v xml:space="preserve">______ </v>
          </cell>
          <cell r="H425" t="str">
            <v xml:space="preserve">______ </v>
          </cell>
          <cell r="I425" t="str">
            <v xml:space="preserve">______ </v>
          </cell>
          <cell r="J425" t="str">
            <v xml:space="preserve">______ </v>
          </cell>
          <cell r="K425" t="str">
            <v xml:space="preserve">______ </v>
          </cell>
          <cell r="L425" t="str">
            <v xml:space="preserve">______ </v>
          </cell>
          <cell r="M425" t="str">
            <v xml:space="preserve">______ </v>
          </cell>
          <cell r="N425" t="str">
            <v xml:space="preserve">______ </v>
          </cell>
          <cell r="O425" t="str">
            <v xml:space="preserve">______ </v>
          </cell>
          <cell r="P425" t="str">
            <v xml:space="preserve">______ </v>
          </cell>
          <cell r="Q425" t="str">
            <v xml:space="preserve">______ </v>
          </cell>
          <cell r="R425" t="str">
            <v xml:space="preserve">______ </v>
          </cell>
          <cell r="S425" t="str">
            <v xml:space="preserve">______ </v>
          </cell>
          <cell r="T425" t="str">
            <v xml:space="preserve">______ </v>
          </cell>
          <cell r="U425" t="str">
            <v xml:space="preserve">______ </v>
          </cell>
          <cell r="V425" t="str">
            <v xml:space="preserve">______ </v>
          </cell>
          <cell r="W425" t="str">
            <v xml:space="preserve">______ </v>
          </cell>
          <cell r="X425" t="str">
            <v xml:space="preserve">______ </v>
          </cell>
          <cell r="Y425" t="str">
            <v xml:space="preserve">______ </v>
          </cell>
          <cell r="Z425" t="str">
            <v xml:space="preserve">______ </v>
          </cell>
          <cell r="AA425" t="str">
            <v xml:space="preserve">______ </v>
          </cell>
          <cell r="AB425" t="str">
            <v xml:space="preserve">______ </v>
          </cell>
          <cell r="AC425" t="str">
            <v xml:space="preserve">______ </v>
          </cell>
          <cell r="AD425" t="str">
            <v xml:space="preserve">______ </v>
          </cell>
          <cell r="AE425" t="str">
            <v xml:space="preserve">______ </v>
          </cell>
          <cell r="AF425" t="str">
            <v xml:space="preserve">______ </v>
          </cell>
          <cell r="AG425" t="str">
            <v xml:space="preserve">______ </v>
          </cell>
          <cell r="AH425" t="str">
            <v xml:space="preserve">______ </v>
          </cell>
          <cell r="AI425" t="str">
            <v xml:space="preserve">______ </v>
          </cell>
          <cell r="AJ425" t="str">
            <v xml:space="preserve">______ </v>
          </cell>
          <cell r="AK425" t="str">
            <v xml:space="preserve">______ </v>
          </cell>
          <cell r="AL425" t="str">
            <v xml:space="preserve">______ </v>
          </cell>
          <cell r="AM425" t="str">
            <v xml:space="preserve">______ </v>
          </cell>
          <cell r="AS425" t="str">
            <v xml:space="preserve">______ </v>
          </cell>
          <cell r="AT425" t="str">
            <v xml:space="preserve">______ </v>
          </cell>
          <cell r="AU425" t="str">
            <v xml:space="preserve">______ </v>
          </cell>
          <cell r="AV425" t="str">
            <v xml:space="preserve">______ </v>
          </cell>
          <cell r="AW425" t="str">
            <v xml:space="preserve">______ </v>
          </cell>
          <cell r="AX425" t="str">
            <v xml:space="preserve">______ </v>
          </cell>
          <cell r="AY425" t="str">
            <v xml:space="preserve">______ </v>
          </cell>
          <cell r="AZ425" t="str">
            <v xml:space="preserve">______ </v>
          </cell>
          <cell r="BA425" t="str">
            <v xml:space="preserve">______ </v>
          </cell>
          <cell r="BB425" t="str">
            <v xml:space="preserve">______ </v>
          </cell>
          <cell r="BC425" t="str">
            <v xml:space="preserve">______ </v>
          </cell>
          <cell r="BD425" t="str">
            <v xml:space="preserve">______ </v>
          </cell>
          <cell r="BE425" t="str">
            <v xml:space="preserve">______ </v>
          </cell>
          <cell r="BF425" t="str">
            <v xml:space="preserve">______ </v>
          </cell>
          <cell r="BG425" t="str">
            <v xml:space="preserve">______ </v>
          </cell>
          <cell r="BH425" t="str">
            <v xml:space="preserve">______ </v>
          </cell>
          <cell r="BI425" t="str">
            <v xml:space="preserve">______ </v>
          </cell>
          <cell r="BJ425" t="str">
            <v xml:space="preserve">______ </v>
          </cell>
          <cell r="BK425" t="str">
            <v xml:space="preserve">______ </v>
          </cell>
          <cell r="BL425" t="str">
            <v xml:space="preserve">______ </v>
          </cell>
          <cell r="BM425" t="str">
            <v xml:space="preserve">______ </v>
          </cell>
          <cell r="BN425" t="str">
            <v xml:space="preserve">______ </v>
          </cell>
          <cell r="BO425" t="str">
            <v xml:space="preserve">______ </v>
          </cell>
        </row>
        <row r="426">
          <cell r="A426" t="str">
            <v>Ending Balance</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cell r="BM426">
            <v>0</v>
          </cell>
          <cell r="BN426">
            <v>0</v>
          </cell>
          <cell r="BO426">
            <v>0</v>
          </cell>
        </row>
        <row r="428">
          <cell r="A428" t="str">
            <v>Period End Basic Shares</v>
          </cell>
          <cell r="D428" t="str">
            <v>ND</v>
          </cell>
          <cell r="E428" t="str">
            <v>ND</v>
          </cell>
          <cell r="F428" t="str">
            <v>ND</v>
          </cell>
          <cell r="G428" t="str">
            <v>ND</v>
          </cell>
          <cell r="H428">
            <v>100.01138800000001</v>
          </cell>
          <cell r="I428">
            <v>100.01138800000001</v>
          </cell>
          <cell r="J428">
            <v>100.01209</v>
          </cell>
          <cell r="K428">
            <v>100.051693</v>
          </cell>
          <cell r="L428">
            <v>100.05346399999999</v>
          </cell>
          <cell r="M428">
            <v>100.06303699999999</v>
          </cell>
          <cell r="N428">
            <v>100.06303699999999</v>
          </cell>
          <cell r="O428">
            <v>100.07338799999999</v>
          </cell>
          <cell r="P428">
            <v>100.136377</v>
          </cell>
          <cell r="Q428">
            <v>100.146</v>
          </cell>
          <cell r="R428">
            <v>104.78140399999999</v>
          </cell>
          <cell r="S428">
            <v>104.78140399999999</v>
          </cell>
          <cell r="T428">
            <v>104.99746500000001</v>
          </cell>
          <cell r="U428">
            <v>105.01949399999999</v>
          </cell>
          <cell r="V428">
            <v>118.559766</v>
          </cell>
          <cell r="W428">
            <v>119.522043</v>
          </cell>
          <cell r="X428">
            <v>119.522043</v>
          </cell>
          <cell r="Y428">
            <v>121.041957</v>
          </cell>
          <cell r="Z428">
            <v>120.464893</v>
          </cell>
          <cell r="AA428">
            <v>121.197107</v>
          </cell>
          <cell r="AB428">
            <v>121.094893</v>
          </cell>
          <cell r="AC428">
            <v>121.094893</v>
          </cell>
          <cell r="AD428">
            <v>122.41310700000001</v>
          </cell>
          <cell r="AE428">
            <v>121.64689299999999</v>
          </cell>
          <cell r="AF428">
            <v>122.875107</v>
          </cell>
          <cell r="AG428">
            <v>120.22956600000001</v>
          </cell>
          <cell r="AH428">
            <v>120.22956600000001</v>
          </cell>
          <cell r="AI428">
            <v>120.720799</v>
          </cell>
          <cell r="AJ428">
            <v>120.967174</v>
          </cell>
          <cell r="AK428">
            <v>118.403925</v>
          </cell>
          <cell r="AL428">
            <v>116.608423</v>
          </cell>
          <cell r="AM428">
            <v>116.608423</v>
          </cell>
          <cell r="AN428">
            <v>120.720799</v>
          </cell>
          <cell r="AO428">
            <v>120.967174</v>
          </cell>
          <cell r="AP428">
            <v>118.403925</v>
          </cell>
          <cell r="AQ428">
            <v>116.608423</v>
          </cell>
          <cell r="AR428">
            <v>116.608423</v>
          </cell>
          <cell r="AS428">
            <v>116.704758</v>
          </cell>
          <cell r="AT428">
            <v>116.536867</v>
          </cell>
          <cell r="AU428">
            <v>112.030366</v>
          </cell>
          <cell r="AV428">
            <v>112.56763400000001</v>
          </cell>
          <cell r="AW428">
            <v>112.56763400000001</v>
          </cell>
          <cell r="AX428">
            <v>112.47236599999998</v>
          </cell>
          <cell r="AY428">
            <v>111.81363400000002</v>
          </cell>
          <cell r="AZ428">
            <v>105.73236599999997</v>
          </cell>
          <cell r="BA428">
            <v>99.941634000000036</v>
          </cell>
          <cell r="BB428">
            <v>99.941634000000036</v>
          </cell>
          <cell r="BC428">
            <v>98.908365999999958</v>
          </cell>
          <cell r="BD428">
            <v>93.915634000000054</v>
          </cell>
          <cell r="BE428">
            <v>95.730365999999933</v>
          </cell>
          <cell r="BF428">
            <v>90.923634000000064</v>
          </cell>
          <cell r="BG428">
            <v>90.923634000000064</v>
          </cell>
          <cell r="BH428">
            <v>90.31157695253475</v>
          </cell>
          <cell r="BI428">
            <v>89.101442696169173</v>
          </cell>
          <cell r="BJ428">
            <v>87.915007342373301</v>
          </cell>
          <cell r="BK428">
            <v>86.751806779020697</v>
          </cell>
          <cell r="BL428">
            <v>86.751806779020697</v>
          </cell>
          <cell r="BM428">
            <v>83.529288054515803</v>
          </cell>
          <cell r="BN428">
            <v>80.545196778058965</v>
          </cell>
          <cell r="BO428">
            <v>77.781892199403984</v>
          </cell>
        </row>
        <row r="429">
          <cell r="A429" t="str">
            <v>Net Share Issuance</v>
          </cell>
          <cell r="J429">
            <v>7.0199999998976637E-4</v>
          </cell>
          <cell r="K429">
            <v>3.9602999999999611E-2</v>
          </cell>
          <cell r="L429">
            <v>1.7709999999908632E-3</v>
          </cell>
          <cell r="M429">
            <v>9.5730000000031623E-3</v>
          </cell>
          <cell r="N429">
            <v>5.1648999999983403E-2</v>
          </cell>
          <cell r="O429">
            <v>1.0350999999999999E-2</v>
          </cell>
          <cell r="P429">
            <v>6.2989000000001738E-2</v>
          </cell>
          <cell r="Q429">
            <v>9.6230000000048221E-3</v>
          </cell>
          <cell r="R429">
            <v>4.6354039999999941</v>
          </cell>
          <cell r="S429">
            <v>4.7183670000000006</v>
          </cell>
          <cell r="T429">
            <v>0.21606100000001049</v>
          </cell>
          <cell r="U429">
            <v>2.2028999999989196E-2</v>
          </cell>
          <cell r="V429">
            <v>13.540272000000002</v>
          </cell>
          <cell r="W429">
            <v>0.96227700000000027</v>
          </cell>
          <cell r="X429">
            <v>14.740639000000002</v>
          </cell>
          <cell r="Y429">
            <v>1.519914</v>
          </cell>
          <cell r="Z429">
            <v>-0.57706399999999292</v>
          </cell>
          <cell r="AA429">
            <v>0.73221399999999903</v>
          </cell>
          <cell r="AB429">
            <v>-0.10221400000000358</v>
          </cell>
          <cell r="AC429">
            <v>1.5728500000000025</v>
          </cell>
          <cell r="AD429">
            <v>1.3182140000000118</v>
          </cell>
          <cell r="AE429">
            <v>-0.76621400000001927</v>
          </cell>
          <cell r="AF429">
            <v>1.2282140000000084</v>
          </cell>
          <cell r="AG429">
            <v>-2.6455409999999944</v>
          </cell>
          <cell r="AH429">
            <v>-0.86532699999999352</v>
          </cell>
          <cell r="AI429">
            <v>0.49123299999999404</v>
          </cell>
          <cell r="AJ429">
            <v>8.6384129846708763E-2</v>
          </cell>
          <cell r="AK429">
            <v>-2.4307252856433181</v>
          </cell>
          <cell r="AL429">
            <v>3.1793229643178465E-3</v>
          </cell>
          <cell r="AM429">
            <v>-1.8499288328322976</v>
          </cell>
          <cell r="AN429">
            <v>4.1123759999999976</v>
          </cell>
          <cell r="AO429">
            <v>8.6384129846708763E-2</v>
          </cell>
          <cell r="AP429">
            <v>-2.4307252856433181</v>
          </cell>
          <cell r="AQ429">
            <v>3.1793229643178465E-3</v>
          </cell>
          <cell r="AR429">
            <v>1.7712141671677064</v>
          </cell>
          <cell r="AS429">
            <v>-2.4511622501162251</v>
          </cell>
          <cell r="AT429">
            <v>4.257360959651036E-2</v>
          </cell>
          <cell r="AU429">
            <v>-4.4830263717566989</v>
          </cell>
          <cell r="AV429">
            <v>8.790050590219296E-3</v>
          </cell>
          <cell r="AW429">
            <v>-6.8828249616861941</v>
          </cell>
          <cell r="AX429">
            <v>-9.5268000000032771E-2</v>
          </cell>
          <cell r="AY429">
            <v>-0.65873199999995791</v>
          </cell>
          <cell r="AZ429">
            <v>-6.0812680000000512</v>
          </cell>
          <cell r="BA429">
            <v>-5.7907319999999345</v>
          </cell>
          <cell r="BB429">
            <v>-12.625999999999976</v>
          </cell>
          <cell r="BC429">
            <v>-1.0332680000000778</v>
          </cell>
          <cell r="BD429">
            <v>-4.9927319999999042</v>
          </cell>
          <cell r="BE429">
            <v>1.8147319999998786</v>
          </cell>
          <cell r="BF429">
            <v>-4.8067319999998688</v>
          </cell>
          <cell r="BG429">
            <v>-9.0179999999999723</v>
          </cell>
          <cell r="BH429">
            <v>-0.61205704746530865</v>
          </cell>
          <cell r="BI429">
            <v>-1.2101342563655801</v>
          </cell>
          <cell r="BJ429">
            <v>-1.1864353537958656</v>
          </cell>
          <cell r="BK429">
            <v>-1.1632005633525986</v>
          </cell>
          <cell r="BL429">
            <v>-4.1718272209793525</v>
          </cell>
          <cell r="BM429">
            <v>-3.2225187245048947</v>
          </cell>
          <cell r="BN429">
            <v>-2.9840912764568368</v>
          </cell>
          <cell r="BO429">
            <v>-2.7633045786549841</v>
          </cell>
        </row>
        <row r="430">
          <cell r="A430" t="str">
            <v>Estimated Stock Price</v>
          </cell>
          <cell r="W430">
            <v>34.06</v>
          </cell>
          <cell r="X430">
            <v>34.06</v>
          </cell>
          <cell r="Y430">
            <v>36.82</v>
          </cell>
          <cell r="Z430">
            <v>37.68</v>
          </cell>
          <cell r="AA430">
            <v>30.33</v>
          </cell>
          <cell r="AB430">
            <v>32.93</v>
          </cell>
          <cell r="AC430">
            <v>32.93</v>
          </cell>
          <cell r="AD430">
            <v>36.81</v>
          </cell>
          <cell r="AE430">
            <v>34.020000000000003</v>
          </cell>
          <cell r="AF430">
            <v>35.79</v>
          </cell>
          <cell r="AG430">
            <v>30.99</v>
          </cell>
          <cell r="AH430">
            <v>30.99</v>
          </cell>
          <cell r="AI430">
            <v>33.93</v>
          </cell>
          <cell r="AJ430">
            <v>33.270000000000003</v>
          </cell>
          <cell r="AK430">
            <v>40.26</v>
          </cell>
          <cell r="AL430">
            <v>43.72</v>
          </cell>
          <cell r="AM430">
            <v>43.72</v>
          </cell>
          <cell r="AN430">
            <v>33.93</v>
          </cell>
          <cell r="AO430">
            <v>33.270000000000003</v>
          </cell>
          <cell r="AP430">
            <v>40.26</v>
          </cell>
          <cell r="AQ430">
            <v>43.72</v>
          </cell>
          <cell r="AR430">
            <v>43.72</v>
          </cell>
          <cell r="AS430">
            <v>43.02</v>
          </cell>
          <cell r="AT430">
            <v>45.85</v>
          </cell>
          <cell r="AU430">
            <v>47.02</v>
          </cell>
          <cell r="AV430">
            <v>47.44</v>
          </cell>
          <cell r="AW430">
            <v>47.44</v>
          </cell>
          <cell r="AX430">
            <v>61.31</v>
          </cell>
          <cell r="AY430">
            <v>61.55</v>
          </cell>
          <cell r="AZ430">
            <v>59.64</v>
          </cell>
          <cell r="BA430">
            <v>72.13</v>
          </cell>
          <cell r="BB430">
            <v>72.13</v>
          </cell>
          <cell r="BC430">
            <v>74.08</v>
          </cell>
          <cell r="BD430">
            <v>77.12</v>
          </cell>
          <cell r="BE430">
            <v>83.94</v>
          </cell>
          <cell r="BF430">
            <v>78.78</v>
          </cell>
          <cell r="BG430">
            <v>78.78</v>
          </cell>
          <cell r="BH430">
            <v>80.353620963391606</v>
          </cell>
          <cell r="BI430">
            <v>81.958674815034357</v>
          </cell>
          <cell r="BJ430">
            <v>83.595789423066009</v>
          </cell>
          <cell r="BK430">
            <v>85.265605197214356</v>
          </cell>
          <cell r="BL430">
            <v>85.265605197214356</v>
          </cell>
          <cell r="BM430">
            <v>92.078285765612875</v>
          </cell>
          <cell r="BN430">
            <v>99.435296212626398</v>
          </cell>
          <cell r="BO430">
            <v>107.38012823198373</v>
          </cell>
        </row>
        <row r="432">
          <cell r="A432" t="str">
            <v>Pooling Goodwill</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H432">
            <v>0</v>
          </cell>
          <cell r="AM432">
            <v>0</v>
          </cell>
          <cell r="AR432">
            <v>0</v>
          </cell>
          <cell r="AW432">
            <v>0</v>
          </cell>
          <cell r="BB432">
            <v>0</v>
          </cell>
          <cell r="BG432">
            <v>0</v>
          </cell>
          <cell r="BL432">
            <v>0</v>
          </cell>
          <cell r="BM432">
            <v>0</v>
          </cell>
          <cell r="BN432">
            <v>0</v>
          </cell>
          <cell r="BO432">
            <v>0</v>
          </cell>
          <cell r="CI432" t="str">
            <v>mstag:unrecordedGoodwillFromPoolingAndAmortizedOrWrittenOffGoodwill</v>
          </cell>
          <cell r="CJ432">
            <v>6</v>
          </cell>
          <cell r="CK432" t="str">
            <v>ISO4217:USD</v>
          </cell>
          <cell r="CL432" t="b">
            <v>0</v>
          </cell>
        </row>
        <row r="435">
          <cell r="A435" t="str">
            <v>Changes in Shareholders' Equity</v>
          </cell>
        </row>
        <row r="436">
          <cell r="A436" t="str">
            <v>Opening Balance</v>
          </cell>
          <cell r="D436" t="str">
            <v>NA</v>
          </cell>
          <cell r="H436">
            <v>-85.922000000000011</v>
          </cell>
          <cell r="I436">
            <v>825.71199999999999</v>
          </cell>
          <cell r="J436">
            <v>200.02100000000007</v>
          </cell>
          <cell r="K436">
            <v>222.16900000000007</v>
          </cell>
          <cell r="L436">
            <v>250.86100000000008</v>
          </cell>
          <cell r="M436">
            <v>273.35700000000003</v>
          </cell>
          <cell r="N436">
            <v>200.02099999999999</v>
          </cell>
          <cell r="O436">
            <v>286.38200000000001</v>
          </cell>
          <cell r="P436">
            <v>313.17799999999994</v>
          </cell>
          <cell r="Q436">
            <v>340.4369999999999</v>
          </cell>
          <cell r="R436">
            <v>369.07999999999993</v>
          </cell>
          <cell r="S436">
            <v>286.38200000000001</v>
          </cell>
          <cell r="T436">
            <v>507.05599999999998</v>
          </cell>
          <cell r="U436">
            <v>545.66100000000006</v>
          </cell>
          <cell r="V436">
            <v>576.43400000000008</v>
          </cell>
          <cell r="W436">
            <v>1034.2</v>
          </cell>
          <cell r="X436">
            <v>507.0560000000001</v>
          </cell>
          <cell r="Y436">
            <v>1080.1169999999997</v>
          </cell>
          <cell r="Z436">
            <v>1150.0229999999999</v>
          </cell>
          <cell r="AA436">
            <v>1209.0450000000001</v>
          </cell>
          <cell r="AB436">
            <v>1261.9480000000001</v>
          </cell>
          <cell r="AC436">
            <v>1080.1169999999997</v>
          </cell>
          <cell r="AD436">
            <v>1305.432</v>
          </cell>
          <cell r="AE436">
            <v>1364.604</v>
          </cell>
          <cell r="AF436">
            <v>1409.6560000000002</v>
          </cell>
          <cell r="AG436">
            <v>1468.0630000000001</v>
          </cell>
          <cell r="AH436">
            <v>1305.432</v>
          </cell>
          <cell r="AI436">
            <v>1425.2310000000002</v>
          </cell>
          <cell r="AJ436">
            <v>1488.7380000000001</v>
          </cell>
          <cell r="AK436">
            <v>1555.8280000000002</v>
          </cell>
          <cell r="AL436">
            <v>1522.1470000000002</v>
          </cell>
          <cell r="AM436">
            <v>1425.2310000000002</v>
          </cell>
          <cell r="AS436">
            <v>1576.3639999999998</v>
          </cell>
          <cell r="AT436">
            <v>1563.7429999999997</v>
          </cell>
          <cell r="AU436">
            <v>1678.04</v>
          </cell>
          <cell r="AV436">
            <v>1428.182</v>
          </cell>
          <cell r="AW436">
            <v>1576.3639999999998</v>
          </cell>
          <cell r="AX436">
            <v>1444.1389999999997</v>
          </cell>
          <cell r="AY436">
            <v>1467.0349999999999</v>
          </cell>
          <cell r="AZ436">
            <v>1445.0360000000003</v>
          </cell>
          <cell r="BA436">
            <v>1130.4980000000003</v>
          </cell>
          <cell r="BB436">
            <v>1444.1389999999997</v>
          </cell>
          <cell r="BC436">
            <v>912.92799999999977</v>
          </cell>
          <cell r="BD436">
            <v>627.25399999999979</v>
          </cell>
          <cell r="BE436">
            <v>546.94099999999958</v>
          </cell>
          <cell r="BF436">
            <v>563.58999999999969</v>
          </cell>
          <cell r="BG436">
            <v>912.92799999999977</v>
          </cell>
          <cell r="BH436">
            <v>329.9409999999998</v>
          </cell>
          <cell r="BI436">
            <v>333.55381413583257</v>
          </cell>
          <cell r="BJ436">
            <v>290.48205119735798</v>
          </cell>
          <cell r="BK436">
            <v>246.70586183763601</v>
          </cell>
          <cell r="BL436">
            <v>329.9409999999998</v>
          </cell>
          <cell r="BM436">
            <v>205.58056097692656</v>
          </cell>
          <cell r="BN436">
            <v>169.70461208127227</v>
          </cell>
          <cell r="BO436">
            <v>166.10998920836812</v>
          </cell>
        </row>
        <row r="437">
          <cell r="A437" t="str">
            <v>Add :</v>
          </cell>
        </row>
        <row r="438">
          <cell r="A438" t="str">
            <v>Issue of Shares (including premium)</v>
          </cell>
          <cell r="H438">
            <v>266.06900000000002</v>
          </cell>
          <cell r="I438">
            <v>-383.815</v>
          </cell>
          <cell r="J438">
            <v>4.853999999999985</v>
          </cell>
          <cell r="K438">
            <v>6.6650000000000205</v>
          </cell>
          <cell r="L438">
            <v>5.367999999999995</v>
          </cell>
          <cell r="M438">
            <v>8.5389999999999873</v>
          </cell>
          <cell r="N438">
            <v>25.425999999999988</v>
          </cell>
          <cell r="O438">
            <v>10.977999999999952</v>
          </cell>
          <cell r="P438">
            <v>7.9839999999999804</v>
          </cell>
          <cell r="Q438">
            <v>7.5730000000000359</v>
          </cell>
          <cell r="R438">
            <v>112.57400000000001</v>
          </cell>
          <cell r="S438">
            <v>139.10899999999998</v>
          </cell>
          <cell r="T438">
            <v>9.8450000000000273</v>
          </cell>
          <cell r="U438">
            <v>4.3449999999999704</v>
          </cell>
          <cell r="V438">
            <v>447.83400000000006</v>
          </cell>
          <cell r="W438">
            <v>13.242999999999938</v>
          </cell>
          <cell r="X438">
            <v>475.267</v>
          </cell>
          <cell r="Y438">
            <v>20.30600000000004</v>
          </cell>
          <cell r="Z438">
            <v>13.562000000000012</v>
          </cell>
          <cell r="AA438">
            <v>7.5600000000000591</v>
          </cell>
          <cell r="AB438">
            <v>-0.26300000000003365</v>
          </cell>
          <cell r="AC438">
            <v>41.164999999999964</v>
          </cell>
          <cell r="AD438">
            <v>13.066000000000031</v>
          </cell>
          <cell r="AE438">
            <v>8.7280000000000655</v>
          </cell>
          <cell r="AF438">
            <v>8.3139999999998508</v>
          </cell>
          <cell r="AG438">
            <v>-96.845000000000027</v>
          </cell>
          <cell r="AH438">
            <v>-66.736999999999966</v>
          </cell>
          <cell r="AI438">
            <v>7.4969999999999573</v>
          </cell>
          <cell r="AJ438">
            <v>7.0890000000000555</v>
          </cell>
          <cell r="AK438">
            <v>-93.065000000000055</v>
          </cell>
          <cell r="AL438">
            <v>4.9090000000001055</v>
          </cell>
          <cell r="AM438">
            <v>-73.57000000000005</v>
          </cell>
          <cell r="AS438">
            <v>-93.661000000000058</v>
          </cell>
          <cell r="AT438">
            <v>8.0900000000001455</v>
          </cell>
          <cell r="AU438">
            <v>-290.73500000000013</v>
          </cell>
          <cell r="AV438">
            <v>4.6570000000000391</v>
          </cell>
          <cell r="AW438">
            <v>-371.649</v>
          </cell>
          <cell r="AX438">
            <v>6.0630000000001019</v>
          </cell>
          <cell r="AY438">
            <v>-64.268999999999892</v>
          </cell>
          <cell r="AZ438">
            <v>-348.34100000000012</v>
          </cell>
          <cell r="BA438">
            <v>-249.79199999999992</v>
          </cell>
          <cell r="BB438">
            <v>-656.33899999999983</v>
          </cell>
          <cell r="BC438">
            <v>-324.15899999999988</v>
          </cell>
          <cell r="BD438">
            <v>-113.45200000000023</v>
          </cell>
          <cell r="BE438">
            <v>-19.2349999999999</v>
          </cell>
          <cell r="BF438">
            <v>-265.80799999999999</v>
          </cell>
          <cell r="BG438">
            <v>-722.654</v>
          </cell>
          <cell r="BH438">
            <v>-40.814384688897462</v>
          </cell>
          <cell r="BI438">
            <v>-90.620595375364474</v>
          </cell>
          <cell r="BJ438">
            <v>-90.636837082479587</v>
          </cell>
          <cell r="BK438">
            <v>-90.495408168223094</v>
          </cell>
          <cell r="BL438">
            <v>-312.56722531496462</v>
          </cell>
          <cell r="BM438">
            <v>-260.12223486178095</v>
          </cell>
          <cell r="BN438">
            <v>-257.371338439797</v>
          </cell>
          <cell r="BO438">
            <v>-254.35488058066699</v>
          </cell>
          <cell r="CI438" t="str">
            <v>mstag:netIssuanceRepurchaseOfCommonStock</v>
          </cell>
          <cell r="CJ438">
            <v>6</v>
          </cell>
          <cell r="CK438" t="str">
            <v>ISO4217:USD</v>
          </cell>
          <cell r="CL438" t="b">
            <v>0</v>
          </cell>
        </row>
        <row r="439">
          <cell r="A439" t="str">
            <v>Net Income</v>
          </cell>
          <cell r="H439">
            <v>18.238999999999997</v>
          </cell>
          <cell r="I439">
            <v>81.11099999999999</v>
          </cell>
          <cell r="J439">
            <v>17.93399999999999</v>
          </cell>
          <cell r="K439">
            <v>18.631000000000007</v>
          </cell>
          <cell r="L439">
            <v>18.878000000000007</v>
          </cell>
          <cell r="M439">
            <v>12.824999999999998</v>
          </cell>
          <cell r="N439">
            <v>68.268000000000029</v>
          </cell>
          <cell r="O439">
            <v>16.723999999999997</v>
          </cell>
          <cell r="P439">
            <v>19.618000000000002</v>
          </cell>
          <cell r="Q439">
            <v>20.923999999999985</v>
          </cell>
          <cell r="R439">
            <v>24.534999999999997</v>
          </cell>
          <cell r="S439">
            <v>81.801000000000002</v>
          </cell>
          <cell r="T439">
            <v>27.517999999999997</v>
          </cell>
          <cell r="U439">
            <v>24.067000000000007</v>
          </cell>
          <cell r="V439">
            <v>10.319000000000006</v>
          </cell>
          <cell r="W439">
            <v>30.26599999999998</v>
          </cell>
          <cell r="X439">
            <v>92.170000000000101</v>
          </cell>
          <cell r="Y439">
            <v>33.520999999999972</v>
          </cell>
          <cell r="Z439">
            <v>45.660000000000011</v>
          </cell>
          <cell r="AA439">
            <v>49.787000000000006</v>
          </cell>
          <cell r="AB439">
            <v>44.486000000000018</v>
          </cell>
          <cell r="AC439">
            <v>173.45400000000012</v>
          </cell>
          <cell r="AD439">
            <v>43.96599999999998</v>
          </cell>
          <cell r="AE439">
            <v>37.546000000000021</v>
          </cell>
          <cell r="AF439">
            <v>48.274000000000008</v>
          </cell>
          <cell r="AG439">
            <v>54.452000000000027</v>
          </cell>
          <cell r="AH439">
            <v>184.23800000000003</v>
          </cell>
          <cell r="AI439">
            <v>58.936999999999983</v>
          </cell>
          <cell r="AJ439">
            <v>61.052999999999997</v>
          </cell>
          <cell r="AK439">
            <v>55.30999999999996</v>
          </cell>
          <cell r="AL439">
            <v>47.256999999999948</v>
          </cell>
          <cell r="AM439">
            <v>222.5569999999999</v>
          </cell>
          <cell r="AS439">
            <v>80.411000000000044</v>
          </cell>
          <cell r="AT439">
            <v>107.72900000000001</v>
          </cell>
          <cell r="AU439">
            <v>51.610000000000028</v>
          </cell>
          <cell r="AV439">
            <v>44.387999999999977</v>
          </cell>
          <cell r="AW439">
            <v>284.13800000000003</v>
          </cell>
          <cell r="AX439">
            <v>43.83799999999998</v>
          </cell>
          <cell r="AY439">
            <v>55.997000000000014</v>
          </cell>
          <cell r="AZ439">
            <v>64.403999999999911</v>
          </cell>
          <cell r="BA439">
            <v>59.406000000000034</v>
          </cell>
          <cell r="BB439">
            <v>223.64499999999995</v>
          </cell>
          <cell r="BC439">
            <v>60.366999999999976</v>
          </cell>
          <cell r="BD439">
            <v>66.95</v>
          </cell>
          <cell r="BE439">
            <v>65.281000000000063</v>
          </cell>
          <cell r="BF439">
            <v>68.25</v>
          </cell>
          <cell r="BG439">
            <v>260.84800000000007</v>
          </cell>
          <cell r="BH439">
            <v>67.908208832389306</v>
          </cell>
          <cell r="BI439">
            <v>70.715207537893875</v>
          </cell>
          <cell r="BJ439">
            <v>72.0043398226764</v>
          </cell>
          <cell r="BK439">
            <v>74.181124046313528</v>
          </cell>
          <cell r="BL439">
            <v>284.80888023927309</v>
          </cell>
          <cell r="BM439">
            <v>323.00974887086124</v>
          </cell>
          <cell r="BN439">
            <v>363.58549166743671</v>
          </cell>
          <cell r="BO439">
            <v>408.41173038027148</v>
          </cell>
        </row>
        <row r="440">
          <cell r="A440" t="str">
            <v>Dividend</v>
          </cell>
          <cell r="D440">
            <v>5</v>
          </cell>
          <cell r="H440">
            <v>0</v>
          </cell>
          <cell r="I440">
            <v>-973</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S440">
            <v>0</v>
          </cell>
          <cell r="AT440">
            <v>0</v>
          </cell>
          <cell r="AU440">
            <v>0</v>
          </cell>
          <cell r="AV440">
            <v>-20.393000000000001</v>
          </cell>
          <cell r="AW440">
            <v>-20.393000000000001</v>
          </cell>
          <cell r="AX440">
            <v>-20.405999999999999</v>
          </cell>
          <cell r="AY440">
            <v>-20.437000000000005</v>
          </cell>
          <cell r="AZ440">
            <v>-24.146000000000001</v>
          </cell>
          <cell r="BA440">
            <v>-22.753999999999991</v>
          </cell>
          <cell r="BB440">
            <v>-87.742999999999995</v>
          </cell>
          <cell r="BC440">
            <v>-21.888999999999999</v>
          </cell>
          <cell r="BD440">
            <v>-21.391999999999999</v>
          </cell>
          <cell r="BE440">
            <v>-26.652000000000008</v>
          </cell>
          <cell r="BF440">
            <v>-26.257999999999996</v>
          </cell>
          <cell r="BG440">
            <v>-96.191000000000003</v>
          </cell>
          <cell r="BH440">
            <v>-23.481010007659037</v>
          </cell>
          <cell r="BI440">
            <v>-23.166375101003986</v>
          </cell>
          <cell r="BJ440">
            <v>-25.143692099918766</v>
          </cell>
          <cell r="BK440">
            <v>-24.811016738799921</v>
          </cell>
          <cell r="BL440">
            <v>-96.602093947381704</v>
          </cell>
          <cell r="BM440">
            <v>-98.763462904734595</v>
          </cell>
          <cell r="BN440">
            <v>-109.80877610054388</v>
          </cell>
          <cell r="BO440">
            <v>-121.91228456823055</v>
          </cell>
          <cell r="CI440" t="str">
            <v>mstag:commonDividends</v>
          </cell>
          <cell r="CJ440">
            <v>6</v>
          </cell>
          <cell r="CK440" t="str">
            <v>ISO4217:USD</v>
          </cell>
          <cell r="CL440" t="b">
            <v>1</v>
          </cell>
        </row>
        <row r="441">
          <cell r="A441" t="str">
            <v>AOCI</v>
          </cell>
          <cell r="H441">
            <v>1.635</v>
          </cell>
          <cell r="I441">
            <v>0.129</v>
          </cell>
          <cell r="J441">
            <v>-0.46800000000000003</v>
          </cell>
          <cell r="K441">
            <v>3.3959999999999999</v>
          </cell>
          <cell r="L441">
            <v>-1.75</v>
          </cell>
          <cell r="M441">
            <v>-8.3390000000000004</v>
          </cell>
          <cell r="N441">
            <v>-7.1610000000000005</v>
          </cell>
          <cell r="O441">
            <v>-0.90599999999999969</v>
          </cell>
          <cell r="P441">
            <v>-0.34299999999999997</v>
          </cell>
          <cell r="Q441">
            <v>0.14599999999999902</v>
          </cell>
          <cell r="R441">
            <v>0.86700000000000088</v>
          </cell>
          <cell r="S441">
            <v>-0.23599999999999977</v>
          </cell>
          <cell r="T441">
            <v>1.242</v>
          </cell>
          <cell r="U441">
            <v>2.3609999999999998</v>
          </cell>
          <cell r="V441">
            <v>-0.38699999999999957</v>
          </cell>
          <cell r="W441">
            <v>2.4079999999999995</v>
          </cell>
          <cell r="X441">
            <v>5.6239999999998815</v>
          </cell>
          <cell r="Y441">
            <v>2.2549999999999999</v>
          </cell>
          <cell r="Z441">
            <v>-0.19999999999999998</v>
          </cell>
          <cell r="AA441">
            <v>-4.4440000000000008</v>
          </cell>
          <cell r="AB441">
            <v>-0.73899999999999988</v>
          </cell>
          <cell r="AC441">
            <v>-3.1280000000000001</v>
          </cell>
          <cell r="AD441">
            <v>2.14</v>
          </cell>
          <cell r="AE441">
            <v>-1.222</v>
          </cell>
          <cell r="AF441">
            <v>1.819</v>
          </cell>
          <cell r="AG441">
            <v>-0.43899999999999961</v>
          </cell>
          <cell r="AH441">
            <v>2.2980000000000005</v>
          </cell>
          <cell r="AI441">
            <v>-2.927</v>
          </cell>
          <cell r="AJ441">
            <v>-1.0520000000000005</v>
          </cell>
          <cell r="AK441">
            <v>4.0739999999999998</v>
          </cell>
          <cell r="AL441">
            <v>2.0510000000000002</v>
          </cell>
          <cell r="AM441">
            <v>2.1459999999999999</v>
          </cell>
          <cell r="AS441">
            <v>0.629</v>
          </cell>
          <cell r="AT441">
            <v>-1.522</v>
          </cell>
          <cell r="AU441">
            <v>-10.733000000000001</v>
          </cell>
          <cell r="AV441">
            <v>-12.695</v>
          </cell>
          <cell r="AW441">
            <v>-24.321000000000002</v>
          </cell>
          <cell r="AX441">
            <v>-6.5990000000000002</v>
          </cell>
          <cell r="AY441">
            <v>6.7100000000000009</v>
          </cell>
          <cell r="AZ441">
            <v>-6.4550000000000018</v>
          </cell>
          <cell r="BA441">
            <v>-4.4299999999999962</v>
          </cell>
          <cell r="BB441">
            <v>-10.773999999999997</v>
          </cell>
          <cell r="BC441">
            <v>6.9999999999978968E-3</v>
          </cell>
          <cell r="BD441">
            <v>-12.418999999999997</v>
          </cell>
          <cell r="BE441">
            <v>-2.7450000000000045</v>
          </cell>
          <cell r="BF441">
            <v>-9.8329999999999984</v>
          </cell>
          <cell r="BG441">
            <v>-24.990000000000002</v>
          </cell>
          <cell r="BH441">
            <v>0</v>
          </cell>
          <cell r="BI441">
            <v>0</v>
          </cell>
          <cell r="BJ441">
            <v>0</v>
          </cell>
          <cell r="BK441">
            <v>0</v>
          </cell>
          <cell r="BL441">
            <v>0</v>
          </cell>
          <cell r="BM441">
            <v>0</v>
          </cell>
          <cell r="BN441">
            <v>0</v>
          </cell>
          <cell r="BO441">
            <v>0</v>
          </cell>
          <cell r="CI441" t="str">
            <v>mstag:otherChangeInAccumulatedOtherComprehensiveIncomeLoss</v>
          </cell>
          <cell r="CJ441">
            <v>6</v>
          </cell>
          <cell r="CK441" t="str">
            <v>ISO4217:USD</v>
          </cell>
          <cell r="CL441" t="b">
            <v>0</v>
          </cell>
        </row>
        <row r="442">
          <cell r="A442" t="str">
            <v>Other AOCI</v>
          </cell>
          <cell r="H442">
            <v>7.1054273576010019E-15</v>
          </cell>
          <cell r="I442">
            <v>649.88400000000001</v>
          </cell>
          <cell r="J442">
            <v>-0.17199999999998994</v>
          </cell>
          <cell r="K442">
            <v>-7.1054273576010019E-15</v>
          </cell>
          <cell r="L442">
            <v>-7.1054273576010019E-15</v>
          </cell>
          <cell r="M442">
            <v>1.7763568394002505E-15</v>
          </cell>
          <cell r="N442">
            <v>-0.17200000000002547</v>
          </cell>
          <cell r="O442">
            <v>3.5527136788005009E-15</v>
          </cell>
          <cell r="P442">
            <v>0</v>
          </cell>
          <cell r="Q442">
            <v>1.4210854715202004E-14</v>
          </cell>
          <cell r="R442">
            <v>7.1054273576010019E-15</v>
          </cell>
          <cell r="S442">
            <v>0</v>
          </cell>
          <cell r="T442">
            <v>3.5527136788005009E-15</v>
          </cell>
          <cell r="U442">
            <v>0</v>
          </cell>
          <cell r="V442">
            <v>-1.7763568394002505E-14</v>
          </cell>
          <cell r="W442">
            <v>1.0658141036401503E-14</v>
          </cell>
          <cell r="X442">
            <v>-1.1368683772161603E-13</v>
          </cell>
          <cell r="Y442">
            <v>13.824000000000026</v>
          </cell>
          <cell r="Z442">
            <v>-1.4210854715202004E-14</v>
          </cell>
          <cell r="AA442">
            <v>2.8421709430404007E-14</v>
          </cell>
          <cell r="AB442">
            <v>-2.8421709430404007E-14</v>
          </cell>
          <cell r="AC442">
            <v>13.824000000000012</v>
          </cell>
          <cell r="AD442">
            <v>0</v>
          </cell>
          <cell r="AE442">
            <v>0</v>
          </cell>
          <cell r="AF442">
            <v>0</v>
          </cell>
          <cell r="AG442">
            <v>0</v>
          </cell>
          <cell r="AH442">
            <v>0</v>
          </cell>
          <cell r="AI442">
            <v>0</v>
          </cell>
          <cell r="AJ442">
            <v>0</v>
          </cell>
          <cell r="AK442">
            <v>0</v>
          </cell>
          <cell r="AL442">
            <v>0</v>
          </cell>
          <cell r="AM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CI442" t="str">
            <v>mstag:otherChangeInAccumulatedOtherComprehensiveIncomeLoss</v>
          </cell>
          <cell r="CJ442">
            <v>6</v>
          </cell>
          <cell r="CK442" t="str">
            <v>ISO4217:USD</v>
          </cell>
          <cell r="CL442" t="b">
            <v>0</v>
          </cell>
        </row>
        <row r="444">
          <cell r="A444" t="str">
            <v>Closing Balance</v>
          </cell>
          <cell r="D444" t="str">
            <v>NA</v>
          </cell>
          <cell r="H444">
            <v>200.02099999999999</v>
          </cell>
          <cell r="I444">
            <v>200.02100000000007</v>
          </cell>
          <cell r="J444">
            <v>222.16900000000007</v>
          </cell>
          <cell r="K444">
            <v>250.86100000000008</v>
          </cell>
          <cell r="L444">
            <v>273.35700000000003</v>
          </cell>
          <cell r="M444">
            <v>286.38200000000001</v>
          </cell>
          <cell r="N444">
            <v>286.38200000000001</v>
          </cell>
          <cell r="O444">
            <v>313.17799999999994</v>
          </cell>
          <cell r="P444">
            <v>340.4369999999999</v>
          </cell>
          <cell r="Q444">
            <v>369.07999999999993</v>
          </cell>
          <cell r="R444">
            <v>507.05599999999998</v>
          </cell>
          <cell r="S444">
            <v>507.05599999999998</v>
          </cell>
          <cell r="T444">
            <v>545.66100000000006</v>
          </cell>
          <cell r="U444">
            <v>576.43400000000008</v>
          </cell>
          <cell r="V444">
            <v>1034.2</v>
          </cell>
          <cell r="W444">
            <v>1080.117</v>
          </cell>
          <cell r="X444">
            <v>1080.1169999999997</v>
          </cell>
          <cell r="Y444">
            <v>1150.0229999999999</v>
          </cell>
          <cell r="Z444">
            <v>1209.0450000000001</v>
          </cell>
          <cell r="AA444">
            <v>1261.9480000000001</v>
          </cell>
          <cell r="AB444">
            <v>1305.432</v>
          </cell>
          <cell r="AC444">
            <v>1305.432</v>
          </cell>
          <cell r="AD444">
            <v>1364.604</v>
          </cell>
          <cell r="AE444">
            <v>1409.6560000000002</v>
          </cell>
          <cell r="AF444">
            <v>1468.0630000000001</v>
          </cell>
          <cell r="AG444">
            <v>1425.231</v>
          </cell>
          <cell r="AH444">
            <v>1425.2310000000002</v>
          </cell>
          <cell r="AI444">
            <v>1488.7380000000001</v>
          </cell>
          <cell r="AJ444">
            <v>1555.8280000000002</v>
          </cell>
          <cell r="AK444">
            <v>1522.1470000000002</v>
          </cell>
          <cell r="AL444">
            <v>1576.364</v>
          </cell>
          <cell r="AM444">
            <v>1576.3639999999998</v>
          </cell>
          <cell r="AS444">
            <v>1563.7429999999997</v>
          </cell>
          <cell r="AT444">
            <v>1678.04</v>
          </cell>
          <cell r="AU444">
            <v>1428.182</v>
          </cell>
          <cell r="AV444">
            <v>1444.1389999999999</v>
          </cell>
          <cell r="AW444">
            <v>1444.1389999999997</v>
          </cell>
          <cell r="AX444">
            <v>1467.0349999999999</v>
          </cell>
          <cell r="AY444">
            <v>1445.0360000000003</v>
          </cell>
          <cell r="AZ444">
            <v>1130.4980000000003</v>
          </cell>
          <cell r="BA444">
            <v>912.92800000000045</v>
          </cell>
          <cell r="BB444">
            <v>912.92799999999977</v>
          </cell>
          <cell r="BC444">
            <v>627.25399999999979</v>
          </cell>
          <cell r="BD444">
            <v>546.94099999999958</v>
          </cell>
          <cell r="BE444">
            <v>563.58999999999969</v>
          </cell>
          <cell r="BF444">
            <v>329.94099999999969</v>
          </cell>
          <cell r="BG444">
            <v>329.9409999999998</v>
          </cell>
          <cell r="BH444">
            <v>333.55381413583257</v>
          </cell>
          <cell r="BI444">
            <v>290.48205119735798</v>
          </cell>
          <cell r="BJ444">
            <v>246.70586183763601</v>
          </cell>
          <cell r="BK444">
            <v>205.58056097692651</v>
          </cell>
          <cell r="BL444">
            <v>205.58056097692656</v>
          </cell>
          <cell r="BM444">
            <v>169.70461208127227</v>
          </cell>
          <cell r="BN444">
            <v>166.10998920836812</v>
          </cell>
          <cell r="BO444">
            <v>198.25455443974207</v>
          </cell>
        </row>
        <row r="445">
          <cell r="A445" t="str">
            <v>Check for Shareholders Equity</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S445">
            <v>1.1999999999716238E-2</v>
          </cell>
          <cell r="AT445">
            <v>11.361999999999853</v>
          </cell>
          <cell r="AU445">
            <v>31.648000000000138</v>
          </cell>
          <cell r="AV445">
            <v>11.305999999999813</v>
          </cell>
          <cell r="AW445">
            <v>11.305999999999585</v>
          </cell>
          <cell r="AX445">
            <v>11.334999999999809</v>
          </cell>
          <cell r="AY445">
            <v>11.322000000000116</v>
          </cell>
          <cell r="AZ445">
            <v>11.393000000000484</v>
          </cell>
          <cell r="BA445">
            <v>11.441000000000486</v>
          </cell>
          <cell r="BB445">
            <v>11.440999999999804</v>
          </cell>
          <cell r="BC445">
            <v>11.597999999999843</v>
          </cell>
          <cell r="BD445">
            <v>11.78799999999967</v>
          </cell>
          <cell r="BE445">
            <v>12.070999999999685</v>
          </cell>
          <cell r="BF445">
            <v>12.335999999999785</v>
          </cell>
          <cell r="BG445">
            <v>12.335999999999899</v>
          </cell>
          <cell r="BH445">
            <v>12.335999999999785</v>
          </cell>
          <cell r="BI445">
            <v>12.335999999999842</v>
          </cell>
          <cell r="BJ445">
            <v>12.335999999999785</v>
          </cell>
          <cell r="BK445">
            <v>12.335999999999842</v>
          </cell>
          <cell r="BL445">
            <v>12.335999999999899</v>
          </cell>
          <cell r="BM445">
            <v>12.335999999999956</v>
          </cell>
          <cell r="BN445">
            <v>12.335999999999785</v>
          </cell>
          <cell r="BO445">
            <v>12.335999999999586</v>
          </cell>
        </row>
        <row r="448">
          <cell r="A448" t="str">
            <v>FCF Calculation</v>
          </cell>
        </row>
        <row r="449">
          <cell r="A449" t="str">
            <v xml:space="preserve"> EBITDA</v>
          </cell>
          <cell r="D449">
            <v>112.95099999999996</v>
          </cell>
          <cell r="E449">
            <v>36.403000000000013</v>
          </cell>
          <cell r="F449">
            <v>33.446999999999989</v>
          </cell>
          <cell r="G449">
            <v>40.40100000000001</v>
          </cell>
          <cell r="H449">
            <v>48.710999999999999</v>
          </cell>
          <cell r="I449">
            <v>158.96200000000002</v>
          </cell>
          <cell r="J449">
            <v>47.566999999999993</v>
          </cell>
          <cell r="K449">
            <v>47.43</v>
          </cell>
          <cell r="L449">
            <v>51.25800000000001</v>
          </cell>
          <cell r="M449">
            <v>48.589999999999996</v>
          </cell>
          <cell r="N449">
            <v>194.84500000000003</v>
          </cell>
          <cell r="O449">
            <v>48.465000000000003</v>
          </cell>
          <cell r="P449">
            <v>53.392000000000003</v>
          </cell>
          <cell r="Q449">
            <v>53.954999999999991</v>
          </cell>
          <cell r="R449">
            <v>59.262</v>
          </cell>
          <cell r="S449">
            <v>215.07399999999998</v>
          </cell>
          <cell r="T449">
            <v>59.248999999999995</v>
          </cell>
          <cell r="U449">
            <v>61.83400000000001</v>
          </cell>
          <cell r="V449">
            <v>85.518000000000001</v>
          </cell>
          <cell r="W449">
            <v>98.913999999999987</v>
          </cell>
          <cell r="X449">
            <v>307.60300000000007</v>
          </cell>
          <cell r="Y449">
            <v>104.47499999999998</v>
          </cell>
          <cell r="Z449">
            <v>106.995</v>
          </cell>
          <cell r="AA449">
            <v>103.62400000000002</v>
          </cell>
          <cell r="AB449">
            <v>103.64800000000002</v>
          </cell>
          <cell r="AC449">
            <v>418.74200000000008</v>
          </cell>
          <cell r="AD449">
            <v>101.90699999999998</v>
          </cell>
          <cell r="AE449">
            <v>107.91200000000001</v>
          </cell>
          <cell r="AF449">
            <v>108.07400000000001</v>
          </cell>
          <cell r="AG449">
            <v>116.56700000000001</v>
          </cell>
          <cell r="AH449">
            <v>434.46</v>
          </cell>
          <cell r="AI449">
            <v>110.09299999999999</v>
          </cell>
          <cell r="AJ449">
            <v>116.56200000000003</v>
          </cell>
          <cell r="AK449">
            <v>112.81799999999996</v>
          </cell>
          <cell r="AL449">
            <v>113.99399999999994</v>
          </cell>
          <cell r="AM449">
            <v>453.46699999999987</v>
          </cell>
          <cell r="AS449">
            <v>96.615000000000038</v>
          </cell>
          <cell r="AT449">
            <v>105.96300000000002</v>
          </cell>
          <cell r="AU449">
            <v>101.84800000000001</v>
          </cell>
          <cell r="AV449">
            <v>104.35299999999998</v>
          </cell>
          <cell r="AW449">
            <v>408.779</v>
          </cell>
          <cell r="AX449">
            <v>107.66199999999998</v>
          </cell>
          <cell r="AY449">
            <v>118.251</v>
          </cell>
          <cell r="AZ449">
            <v>128.8669999999999</v>
          </cell>
          <cell r="BA449">
            <v>126.91400000000004</v>
          </cell>
          <cell r="BB449">
            <v>481.69399999999996</v>
          </cell>
          <cell r="BC449">
            <v>133.14899999999997</v>
          </cell>
          <cell r="BD449">
            <v>146.02700000000002</v>
          </cell>
          <cell r="BE449">
            <v>143.32400000000004</v>
          </cell>
          <cell r="BF449">
            <v>146.95699999999999</v>
          </cell>
          <cell r="BG449">
            <v>569.45699999999999</v>
          </cell>
          <cell r="BH449">
            <v>145.91428572708907</v>
          </cell>
          <cell r="BI449">
            <v>153.13465263404231</v>
          </cell>
          <cell r="BJ449">
            <v>154.96301616810473</v>
          </cell>
          <cell r="BK449">
            <v>158.30135564094968</v>
          </cell>
          <cell r="BL449">
            <v>612.31331017018579</v>
          </cell>
          <cell r="BM449">
            <v>664.56089039928088</v>
          </cell>
          <cell r="BN449">
            <v>723.70503222588422</v>
          </cell>
          <cell r="BO449">
            <v>789.08084731887675</v>
          </cell>
        </row>
        <row r="450">
          <cell r="A450" t="str">
            <v xml:space="preserve"> - Capex / Acquisitions</v>
          </cell>
          <cell r="D450">
            <v>-2.4350000000000001</v>
          </cell>
          <cell r="E450">
            <v>-5.8000000000000003E-2</v>
          </cell>
          <cell r="F450">
            <v>-0.29899999999999999</v>
          </cell>
          <cell r="G450">
            <v>-0.58899999999999997</v>
          </cell>
          <cell r="H450">
            <v>0.41099999999999992</v>
          </cell>
          <cell r="I450">
            <v>-0.53500000000000003</v>
          </cell>
          <cell r="J450">
            <v>-0.96099999999999997</v>
          </cell>
          <cell r="K450">
            <v>-4.859</v>
          </cell>
          <cell r="L450">
            <v>-13.277000000000001</v>
          </cell>
          <cell r="M450">
            <v>-6.4589999999999996</v>
          </cell>
          <cell r="N450">
            <v>-25.556000000000001</v>
          </cell>
          <cell r="O450">
            <v>-6.0330000000000004</v>
          </cell>
          <cell r="P450">
            <v>-3.4859999999999998</v>
          </cell>
          <cell r="Q450">
            <v>-1.6690000000000005</v>
          </cell>
          <cell r="R450">
            <v>-2.2240000000000002</v>
          </cell>
          <cell r="S450">
            <v>-13.412000000000001</v>
          </cell>
          <cell r="T450">
            <v>-3.2850000000000001</v>
          </cell>
          <cell r="U450">
            <v>-1.4109999999999996</v>
          </cell>
          <cell r="V450">
            <v>-2.399</v>
          </cell>
          <cell r="W450">
            <v>-6.0729999999999995</v>
          </cell>
          <cell r="X450">
            <v>-13.167999999999999</v>
          </cell>
          <cell r="Y450">
            <v>-3.835</v>
          </cell>
          <cell r="Z450">
            <v>-2.8970000000000002</v>
          </cell>
          <cell r="AA450">
            <v>-10.11</v>
          </cell>
          <cell r="AB450">
            <v>-6.2690000000000019</v>
          </cell>
          <cell r="AC450">
            <v>-23.111000000000001</v>
          </cell>
          <cell r="AD450">
            <v>-4.2919999999999998</v>
          </cell>
          <cell r="AE450">
            <v>-15.654000000000002</v>
          </cell>
          <cell r="AF450">
            <v>-18.162999999999997</v>
          </cell>
          <cell r="AG450">
            <v>-6.7750000000000057</v>
          </cell>
          <cell r="AH450">
            <v>-44.884</v>
          </cell>
          <cell r="AI450">
            <v>-4.8</v>
          </cell>
          <cell r="AJ450">
            <v>-3.6909999999999998</v>
          </cell>
          <cell r="AK450">
            <v>-14.208000000000002</v>
          </cell>
          <cell r="AL450">
            <v>-20.812000000000001</v>
          </cell>
          <cell r="AM450">
            <v>-43.511000000000003</v>
          </cell>
          <cell r="AS450">
            <v>-10.059999999999999</v>
          </cell>
          <cell r="AT450">
            <v>-11.904000000000003</v>
          </cell>
          <cell r="AU450">
            <v>-20.273</v>
          </cell>
          <cell r="AV450">
            <v>-8.6159999999999997</v>
          </cell>
          <cell r="AW450">
            <v>-50.853000000000002</v>
          </cell>
          <cell r="AX450">
            <v>-6.32</v>
          </cell>
          <cell r="AY450">
            <v>-11.962</v>
          </cell>
          <cell r="AZ450">
            <v>-12.305</v>
          </cell>
          <cell r="BA450">
            <v>-18.510000000000002</v>
          </cell>
          <cell r="BB450">
            <v>-49.097000000000001</v>
          </cell>
          <cell r="BC450">
            <v>-3.1349999999999998</v>
          </cell>
          <cell r="BD450">
            <v>-15.23</v>
          </cell>
          <cell r="BE450">
            <v>-13.727999999999994</v>
          </cell>
          <cell r="BF450">
            <v>-10.535000000000002</v>
          </cell>
          <cell r="BG450">
            <v>-42.628</v>
          </cell>
          <cell r="BH450">
            <v>-6.016699983046875</v>
          </cell>
          <cell r="BI450">
            <v>-12.312120121400003</v>
          </cell>
          <cell r="BJ450">
            <v>-12.288760261937032</v>
          </cell>
          <cell r="BK450">
            <v>-14.053693893960865</v>
          </cell>
          <cell r="BL450">
            <v>-44.671274260344774</v>
          </cell>
          <cell r="BM450">
            <v>-45.894795255564702</v>
          </cell>
          <cell r="BN450">
            <v>-47.221650823237667</v>
          </cell>
          <cell r="BO450">
            <v>-48.556108068529824</v>
          </cell>
        </row>
        <row r="451">
          <cell r="A451" t="str">
            <v xml:space="preserve"> - Cash Interest Expense</v>
          </cell>
          <cell r="D451">
            <v>-0.35199999999999998</v>
          </cell>
          <cell r="E451">
            <v>-9.7000000000000003E-2</v>
          </cell>
          <cell r="F451">
            <v>-0.5</v>
          </cell>
          <cell r="G451">
            <v>-1.2590000000000001</v>
          </cell>
          <cell r="H451">
            <v>-6.7029999999999994</v>
          </cell>
          <cell r="I451">
            <v>-8.5589999999999993</v>
          </cell>
          <cell r="J451">
            <v>-8.9749999999999996</v>
          </cell>
          <cell r="K451">
            <v>-6.3369999999999997</v>
          </cell>
          <cell r="L451">
            <v>-5.2820000000000018</v>
          </cell>
          <cell r="M451">
            <v>-5.3729999999999958</v>
          </cell>
          <cell r="N451">
            <v>-25.966999999999999</v>
          </cell>
          <cell r="O451">
            <v>-5.3040000000000003</v>
          </cell>
          <cell r="P451">
            <v>-4.4979999999999993</v>
          </cell>
          <cell r="Q451">
            <v>-4.2040000000000006</v>
          </cell>
          <cell r="R451">
            <v>-4.2469999999999999</v>
          </cell>
          <cell r="S451">
            <v>-18.253</v>
          </cell>
          <cell r="T451">
            <v>-3.952</v>
          </cell>
          <cell r="U451">
            <v>-4.6069999999999993</v>
          </cell>
          <cell r="V451">
            <v>-15.589</v>
          </cell>
          <cell r="W451">
            <v>-15.952000000000002</v>
          </cell>
          <cell r="X451">
            <v>-40.1</v>
          </cell>
          <cell r="Y451">
            <v>-3.952</v>
          </cell>
          <cell r="Z451">
            <v>-25.954000000000001</v>
          </cell>
          <cell r="AA451">
            <v>-3.9519999999999982</v>
          </cell>
          <cell r="AB451">
            <v>-18.855000000000004</v>
          </cell>
          <cell r="AC451">
            <v>-52.713000000000001</v>
          </cell>
          <cell r="AD451">
            <v>-12.355</v>
          </cell>
          <cell r="AE451">
            <v>-29.581</v>
          </cell>
          <cell r="AF451">
            <v>-7.3140000000000001</v>
          </cell>
          <cell r="AG451">
            <v>-7.1779999999999999</v>
          </cell>
          <cell r="AH451">
            <v>-56.427999999999997</v>
          </cell>
          <cell r="AI451">
            <v>-7.02</v>
          </cell>
          <cell r="AJ451">
            <v>-6.5039999999999996</v>
          </cell>
          <cell r="AK451">
            <v>-5.827</v>
          </cell>
          <cell r="AL451">
            <v>-6.9139999999999997</v>
          </cell>
          <cell r="AM451">
            <v>-26.265000000000001</v>
          </cell>
          <cell r="AS451">
            <v>-5.0590000000000002</v>
          </cell>
          <cell r="AT451">
            <v>-5.3659999999999997</v>
          </cell>
          <cell r="AU451">
            <v>-5.6040000000000001</v>
          </cell>
          <cell r="AV451">
            <v>-15.791</v>
          </cell>
          <cell r="AW451">
            <v>-31.82</v>
          </cell>
          <cell r="AX451">
            <v>-11.108000000000001</v>
          </cell>
          <cell r="AY451">
            <v>-11.116</v>
          </cell>
          <cell r="AZ451">
            <v>-17.266999999999999</v>
          </cell>
          <cell r="BA451">
            <v>-22.896000000000001</v>
          </cell>
          <cell r="BB451">
            <v>-62.387</v>
          </cell>
          <cell r="BC451">
            <v>-22.904</v>
          </cell>
          <cell r="BD451">
            <v>-22.917999999999999</v>
          </cell>
          <cell r="BE451">
            <v>-26.79</v>
          </cell>
          <cell r="BF451">
            <v>-29.039000000000001</v>
          </cell>
          <cell r="BG451">
            <v>-101.651</v>
          </cell>
          <cell r="BH451">
            <v>-29.052814000000001</v>
          </cell>
          <cell r="BI451">
            <v>-29.052814000000001</v>
          </cell>
          <cell r="BJ451">
            <v>-29.052814000000001</v>
          </cell>
          <cell r="BK451">
            <v>-29.052814000000001</v>
          </cell>
          <cell r="BL451">
            <v>-116.21125600000001</v>
          </cell>
          <cell r="BM451">
            <v>-122.436859</v>
          </cell>
          <cell r="BN451">
            <v>-124.51205999999999</v>
          </cell>
          <cell r="BO451">
            <v>-124.51205999999999</v>
          </cell>
        </row>
        <row r="452">
          <cell r="A452" t="str">
            <v xml:space="preserve"> - Changes in Working Capital </v>
          </cell>
          <cell r="D452">
            <v>-8.1010000000000009</v>
          </cell>
          <cell r="E452">
            <v>-12.254000000000003</v>
          </cell>
          <cell r="F452">
            <v>1.2499999999999967</v>
          </cell>
          <cell r="G452">
            <v>2.3690000000000015</v>
          </cell>
          <cell r="H452">
            <v>31.410999999999991</v>
          </cell>
          <cell r="I452">
            <v>22.775999999999989</v>
          </cell>
          <cell r="J452">
            <v>-6.3039999999999914</v>
          </cell>
          <cell r="K452">
            <v>31.348999999999997</v>
          </cell>
          <cell r="L452">
            <v>-2.0000000000000009</v>
          </cell>
          <cell r="M452">
            <v>0.32300000000000928</v>
          </cell>
          <cell r="N452">
            <v>23.368000000000006</v>
          </cell>
          <cell r="O452">
            <v>-8.8589999999999947</v>
          </cell>
          <cell r="P452">
            <v>15.110000000000001</v>
          </cell>
          <cell r="Q452">
            <v>16.914000000000005</v>
          </cell>
          <cell r="R452">
            <v>-28.537999999999997</v>
          </cell>
          <cell r="S452">
            <v>-5.3729999999999958</v>
          </cell>
          <cell r="T452">
            <v>-51.860000000000007</v>
          </cell>
          <cell r="U452">
            <v>30.982000000000003</v>
          </cell>
          <cell r="V452">
            <v>10.126999999999999</v>
          </cell>
          <cell r="W452">
            <v>5.5759999999999987</v>
          </cell>
          <cell r="X452">
            <v>-5.1749999999999954</v>
          </cell>
          <cell r="Y452">
            <v>-102.459</v>
          </cell>
          <cell r="Z452">
            <v>38.458999999999996</v>
          </cell>
          <cell r="AA452">
            <v>31.556000000000001</v>
          </cell>
          <cell r="AB452">
            <v>-9.6970000000000027</v>
          </cell>
          <cell r="AC452">
            <v>-42.140999999999991</v>
          </cell>
          <cell r="AD452">
            <v>4.8489999999999931</v>
          </cell>
          <cell r="AE452">
            <v>48.878</v>
          </cell>
          <cell r="AF452">
            <v>26.398000000000007</v>
          </cell>
          <cell r="AG452">
            <v>-16.687000000000012</v>
          </cell>
          <cell r="AH452">
            <v>63.437999999999988</v>
          </cell>
          <cell r="AI452">
            <v>-7.8520000000000003</v>
          </cell>
          <cell r="AJ452">
            <v>-10.656999999999993</v>
          </cell>
          <cell r="AK452">
            <v>-7.8460000000000036</v>
          </cell>
          <cell r="AL452">
            <v>32.392000000000003</v>
          </cell>
          <cell r="AM452">
            <v>6.0370000000000026</v>
          </cell>
          <cell r="AS452">
            <v>-53.396999999999998</v>
          </cell>
          <cell r="AT452">
            <v>-8.2500000000000018</v>
          </cell>
          <cell r="AU452">
            <v>31.411000000000001</v>
          </cell>
          <cell r="AV452">
            <v>31.265999999999998</v>
          </cell>
          <cell r="AW452">
            <v>1.0300000000000011</v>
          </cell>
          <cell r="AX452">
            <v>-7.9920000000000044</v>
          </cell>
          <cell r="AY452">
            <v>-42.319999999999993</v>
          </cell>
          <cell r="AZ452">
            <v>52.42</v>
          </cell>
          <cell r="BA452">
            <v>-0.64600000000000657</v>
          </cell>
          <cell r="BB452">
            <v>1.4619999999999989</v>
          </cell>
          <cell r="BC452">
            <v>-47.867000000000004</v>
          </cell>
          <cell r="BD452">
            <v>22.737000000000013</v>
          </cell>
          <cell r="BE452">
            <v>56.779999999999994</v>
          </cell>
          <cell r="BF452">
            <v>49.66</v>
          </cell>
          <cell r="BG452">
            <v>81.31</v>
          </cell>
          <cell r="BH452">
            <v>-127.98321574933799</v>
          </cell>
          <cell r="BI452">
            <v>25.924607255236456</v>
          </cell>
          <cell r="BJ452">
            <v>55.593984621056151</v>
          </cell>
          <cell r="BK452">
            <v>47.264032552389793</v>
          </cell>
          <cell r="BL452">
            <v>0.7994086793444275</v>
          </cell>
          <cell r="BM452">
            <v>-2.3628678916555046</v>
          </cell>
          <cell r="BN452">
            <v>-1.2463301993336415</v>
          </cell>
          <cell r="BO452">
            <v>-2.5943482546650429</v>
          </cell>
        </row>
        <row r="453">
          <cell r="A453" t="str">
            <v xml:space="preserve"> - Cash Taxes</v>
          </cell>
          <cell r="D453">
            <v>-7.2460000000000004</v>
          </cell>
          <cell r="E453">
            <v>-1.849</v>
          </cell>
          <cell r="F453">
            <v>-2.9879999999999995</v>
          </cell>
          <cell r="G453">
            <v>-0.37000000000000033</v>
          </cell>
          <cell r="H453">
            <v>-43.783999999999999</v>
          </cell>
          <cell r="I453">
            <v>-48.991</v>
          </cell>
          <cell r="J453">
            <v>-10.454000000000001</v>
          </cell>
          <cell r="K453">
            <v>-10.343999999999998</v>
          </cell>
          <cell r="L453">
            <v>-30.776000000000003</v>
          </cell>
          <cell r="M453">
            <v>-4.9430000000000014</v>
          </cell>
          <cell r="N453">
            <v>-56.516999999999996</v>
          </cell>
          <cell r="O453">
            <v>-5.2590000000000003</v>
          </cell>
          <cell r="P453">
            <v>-20.861999999999998</v>
          </cell>
          <cell r="Q453">
            <v>-15.654</v>
          </cell>
          <cell r="R453">
            <v>-19.61</v>
          </cell>
          <cell r="S453">
            <v>-61.384999999999998</v>
          </cell>
          <cell r="T453">
            <v>-7.2880000000000003</v>
          </cell>
          <cell r="U453">
            <v>-29.675999999999998</v>
          </cell>
          <cell r="V453">
            <v>-6.3490000000000038</v>
          </cell>
          <cell r="W453">
            <v>-2.8769999999999953</v>
          </cell>
          <cell r="X453">
            <v>-46.19</v>
          </cell>
          <cell r="Y453">
            <v>-7.2880000000000003</v>
          </cell>
          <cell r="Z453">
            <v>-45.537000000000006</v>
          </cell>
          <cell r="AA453">
            <v>-7.2879999999999967</v>
          </cell>
          <cell r="AB453">
            <v>-33.614999999999995</v>
          </cell>
          <cell r="AC453">
            <v>-93.727999999999994</v>
          </cell>
          <cell r="AD453">
            <v>-24.273</v>
          </cell>
          <cell r="AE453">
            <v>-19.715</v>
          </cell>
          <cell r="AF453">
            <v>-27.32</v>
          </cell>
          <cell r="AG453">
            <v>-33.863</v>
          </cell>
          <cell r="AH453">
            <v>-105.17099999999999</v>
          </cell>
          <cell r="AI453">
            <v>-24.614000000000001</v>
          </cell>
          <cell r="AJ453">
            <v>-30.206</v>
          </cell>
          <cell r="AK453">
            <v>-30.937000000000001</v>
          </cell>
          <cell r="AL453">
            <v>-37.307000000000002</v>
          </cell>
          <cell r="AM453">
            <v>-123.06400000000001</v>
          </cell>
          <cell r="AS453">
            <v>-26.385000000000002</v>
          </cell>
          <cell r="AT453">
            <v>-27.28</v>
          </cell>
          <cell r="AU453">
            <v>-28.271999999999998</v>
          </cell>
          <cell r="AV453">
            <v>-27.459</v>
          </cell>
          <cell r="AW453">
            <v>-109.39600000000002</v>
          </cell>
          <cell r="AX453">
            <v>-28.036000000000001</v>
          </cell>
          <cell r="AY453">
            <v>-31.399000000000001</v>
          </cell>
          <cell r="AZ453">
            <v>-34.643999999999998</v>
          </cell>
          <cell r="BA453">
            <v>-25.437000000000001</v>
          </cell>
          <cell r="BB453">
            <v>-119.51600000000001</v>
          </cell>
          <cell r="BC453">
            <v>-30.41</v>
          </cell>
          <cell r="BD453">
            <v>-33.587000000000003</v>
          </cell>
          <cell r="BE453">
            <v>-32.241</v>
          </cell>
          <cell r="BF453">
            <v>-28.844999999999999</v>
          </cell>
          <cell r="BG453">
            <v>-125.083</v>
          </cell>
          <cell r="BH453">
            <v>-29.103518071023991</v>
          </cell>
          <cell r="BI453">
            <v>-33.277744723714761</v>
          </cell>
          <cell r="BJ453">
            <v>-33.884395210671251</v>
          </cell>
          <cell r="BK453">
            <v>-34.90876425708872</v>
          </cell>
          <cell r="BL453">
            <v>-131.17442226249872</v>
          </cell>
          <cell r="BM453">
            <v>-141.9771369331983</v>
          </cell>
          <cell r="BN453">
            <v>-159.81197879581589</v>
          </cell>
          <cell r="BO453">
            <v>-179.51510247607609</v>
          </cell>
        </row>
        <row r="455">
          <cell r="A455" t="str">
            <v>Total Free Cash Flow</v>
          </cell>
          <cell r="D455">
            <v>94.816999999999965</v>
          </cell>
          <cell r="E455">
            <v>22.145000000000007</v>
          </cell>
          <cell r="F455">
            <v>30.909999999999989</v>
          </cell>
          <cell r="G455">
            <v>40.552000000000014</v>
          </cell>
          <cell r="H455">
            <v>30.045999999999985</v>
          </cell>
          <cell r="I455">
            <v>123.65300000000001</v>
          </cell>
          <cell r="J455">
            <v>20.873000000000001</v>
          </cell>
          <cell r="K455">
            <v>57.239000000000004</v>
          </cell>
          <cell r="L455">
            <v>-7.6999999999998181E-2</v>
          </cell>
          <cell r="M455">
            <v>32.138000000000005</v>
          </cell>
          <cell r="N455">
            <v>110.173</v>
          </cell>
          <cell r="O455">
            <v>23.010000000000005</v>
          </cell>
          <cell r="P455">
            <v>39.656000000000006</v>
          </cell>
          <cell r="Q455">
            <v>49.341999999999999</v>
          </cell>
          <cell r="R455">
            <v>4.6430000000000007</v>
          </cell>
          <cell r="S455">
            <v>116.65100000000001</v>
          </cell>
          <cell r="T455">
            <v>-7.1360000000000063</v>
          </cell>
          <cell r="U455">
            <v>57.122000000000014</v>
          </cell>
          <cell r="V455">
            <v>71.307999999999993</v>
          </cell>
          <cell r="W455">
            <v>79.587999999999994</v>
          </cell>
          <cell r="X455">
            <v>202.97000000000008</v>
          </cell>
          <cell r="Y455">
            <v>-13.059000000000015</v>
          </cell>
          <cell r="Z455">
            <v>71.066000000000003</v>
          </cell>
          <cell r="AA455">
            <v>113.83000000000003</v>
          </cell>
          <cell r="AB455">
            <v>35.212000000000018</v>
          </cell>
          <cell r="AC455">
            <v>207.04900000000004</v>
          </cell>
          <cell r="AD455">
            <v>65.83599999999997</v>
          </cell>
          <cell r="AE455">
            <v>91.84</v>
          </cell>
          <cell r="AF455">
            <v>81.675000000000011</v>
          </cell>
          <cell r="AG455">
            <v>52.063999999999993</v>
          </cell>
          <cell r="AH455">
            <v>291.41499999999996</v>
          </cell>
          <cell r="AI455">
            <v>65.806999999999988</v>
          </cell>
          <cell r="AJ455">
            <v>65.504000000000019</v>
          </cell>
          <cell r="AK455">
            <v>53.999999999999957</v>
          </cell>
          <cell r="AL455">
            <v>81.352999999999938</v>
          </cell>
          <cell r="AM455">
            <v>266.66399999999982</v>
          </cell>
          <cell r="AS455">
            <v>1.7140000000000377</v>
          </cell>
          <cell r="AT455">
            <v>53.163000000000025</v>
          </cell>
          <cell r="AU455">
            <v>79.110000000000014</v>
          </cell>
          <cell r="AV455">
            <v>83.752999999999986</v>
          </cell>
          <cell r="AW455">
            <v>217.73999999999995</v>
          </cell>
          <cell r="AX455">
            <v>54.205999999999975</v>
          </cell>
          <cell r="AY455">
            <v>21.454000000000008</v>
          </cell>
          <cell r="AZ455">
            <v>117.07099999999991</v>
          </cell>
          <cell r="BA455">
            <v>59.42500000000004</v>
          </cell>
          <cell r="BB455">
            <v>252.15599999999995</v>
          </cell>
          <cell r="BC455">
            <v>28.832999999999981</v>
          </cell>
          <cell r="BD455">
            <v>97.029000000000039</v>
          </cell>
          <cell r="BE455">
            <v>127.34500000000007</v>
          </cell>
          <cell r="BF455">
            <v>128.19800000000001</v>
          </cell>
          <cell r="BG455">
            <v>381.40499999999997</v>
          </cell>
          <cell r="BH455">
            <v>-46.241962076319773</v>
          </cell>
          <cell r="BI455">
            <v>104.41658104416402</v>
          </cell>
          <cell r="BJ455">
            <v>135.33103131655261</v>
          </cell>
          <cell r="BK455">
            <v>127.5501160422899</v>
          </cell>
          <cell r="BL455">
            <v>321.05576632668681</v>
          </cell>
          <cell r="BM455">
            <v>351.88923131886224</v>
          </cell>
          <cell r="BN455">
            <v>390.91301240749692</v>
          </cell>
          <cell r="BO455">
            <v>433.9032285196057</v>
          </cell>
        </row>
        <row r="456">
          <cell r="A456" t="str">
            <v>Year-over-year growth</v>
          </cell>
          <cell r="I456">
            <v>0.30412267842264629</v>
          </cell>
          <cell r="J456">
            <v>-5.7439602619101637E-2</v>
          </cell>
          <cell r="K456">
            <v>0.85179553542542941</v>
          </cell>
          <cell r="L456">
            <v>-1.0018987966068258</v>
          </cell>
          <cell r="M456">
            <v>6.9626572588697977E-2</v>
          </cell>
          <cell r="N456">
            <v>-0.10901474286915802</v>
          </cell>
          <cell r="O456">
            <v>0.10238106644948042</v>
          </cell>
          <cell r="P456">
            <v>-0.30718566012683657</v>
          </cell>
          <cell r="Q456" t="str">
            <v>NM</v>
          </cell>
          <cell r="R456">
            <v>-0.85552927998008588</v>
          </cell>
          <cell r="S456">
            <v>5.8798435188294862E-2</v>
          </cell>
          <cell r="T456">
            <v>-1.3101260321599306</v>
          </cell>
          <cell r="U456">
            <v>0.44043776477708296</v>
          </cell>
          <cell r="V456">
            <v>0.44517854971423931</v>
          </cell>
          <cell r="W456">
            <v>16.141503338358817</v>
          </cell>
          <cell r="X456">
            <v>0.73997651113149532</v>
          </cell>
          <cell r="Y456">
            <v>0.8300168161434982</v>
          </cell>
          <cell r="Z456">
            <v>0.24410909982143458</v>
          </cell>
          <cell r="AA456">
            <v>0.59631457900936824</v>
          </cell>
          <cell r="AB456">
            <v>-0.55757149318992782</v>
          </cell>
          <cell r="AC456">
            <v>2.0096565994974336E-2</v>
          </cell>
          <cell r="AD456">
            <v>-6.0414273680986215</v>
          </cell>
          <cell r="AE456">
            <v>0.29231981538288343</v>
          </cell>
          <cell r="AF456">
            <v>-0.28248264956514102</v>
          </cell>
          <cell r="AG456">
            <v>0.47858684539361485</v>
          </cell>
          <cell r="AH456">
            <v>0.40746876343281024</v>
          </cell>
          <cell r="AI456">
            <v>-4.4048848654210104E-4</v>
          </cell>
          <cell r="AJ456">
            <v>-0.28675958188153294</v>
          </cell>
          <cell r="AK456">
            <v>-0.33884297520661222</v>
          </cell>
          <cell r="AL456">
            <v>0.56255762138905863</v>
          </cell>
          <cell r="AM456">
            <v>-8.4933857213939423E-2</v>
          </cell>
          <cell r="AS456">
            <v>-0.97395413861747171</v>
          </cell>
          <cell r="AT456">
            <v>-0.18840070835368816</v>
          </cell>
          <cell r="AU456">
            <v>0.46500000000000141</v>
          </cell>
          <cell r="AV456">
            <v>2.9501063267489247E-2</v>
          </cell>
          <cell r="AW456">
            <v>-0.18346683466834635</v>
          </cell>
          <cell r="AX456">
            <v>30.62543757292811</v>
          </cell>
          <cell r="AY456">
            <v>-0.59644865790117185</v>
          </cell>
          <cell r="AZ456">
            <v>0.47985084060169259</v>
          </cell>
          <cell r="BA456">
            <v>-0.29047317708022335</v>
          </cell>
          <cell r="BB456">
            <v>0.15806007164508129</v>
          </cell>
          <cell r="BC456">
            <v>-0.4680847138693135</v>
          </cell>
          <cell r="BD456">
            <v>3.5226531182996181</v>
          </cell>
          <cell r="BE456">
            <v>8.7758710526092409E-2</v>
          </cell>
          <cell r="BF456">
            <v>1.1573075305006295</v>
          </cell>
          <cell r="BG456">
            <v>0.51257554846999498</v>
          </cell>
          <cell r="BH456">
            <v>-2.6037860117337708</v>
          </cell>
          <cell r="BI456">
            <v>7.613786645398779E-2</v>
          </cell>
          <cell r="BJ456">
            <v>6.2711777584927075E-2</v>
          </cell>
          <cell r="BK456">
            <v>-5.0537758600766036E-3</v>
          </cell>
          <cell r="BL456">
            <v>-0.1582287428673278</v>
          </cell>
          <cell r="BM456">
            <v>9.6037723741741354E-2</v>
          </cell>
          <cell r="BN456">
            <v>0.11089791222759393</v>
          </cell>
          <cell r="BO456">
            <v>0.10997386822031596</v>
          </cell>
        </row>
        <row r="458">
          <cell r="A458" t="str">
            <v>MXB calculation</v>
          </cell>
        </row>
        <row r="459">
          <cell r="A459" t="str">
            <v>Cash from Operations</v>
          </cell>
          <cell r="D459">
            <v>83.664999999999992</v>
          </cell>
          <cell r="E459">
            <v>10.122000000000016</v>
          </cell>
          <cell r="F459">
            <v>31.262999999999987</v>
          </cell>
          <cell r="G459">
            <v>26.971000000000011</v>
          </cell>
          <cell r="H459">
            <v>41.868999999999986</v>
          </cell>
          <cell r="I459">
            <v>110.22499999999999</v>
          </cell>
          <cell r="J459">
            <v>20.741</v>
          </cell>
          <cell r="K459">
            <v>59.996000000000002</v>
          </cell>
          <cell r="L459">
            <v>30.827000000000012</v>
          </cell>
          <cell r="M459">
            <v>43.517000000000003</v>
          </cell>
          <cell r="N459">
            <v>155.08100000000002</v>
          </cell>
          <cell r="O459">
            <v>22.472000000000008</v>
          </cell>
          <cell r="P459">
            <v>46.685000000000002</v>
          </cell>
          <cell r="Q459">
            <v>51.686999999999998</v>
          </cell>
          <cell r="R459">
            <v>10.097999999999999</v>
          </cell>
          <cell r="S459">
            <v>130.94199999999998</v>
          </cell>
          <cell r="T459">
            <v>-14.761000000000017</v>
          </cell>
          <cell r="U459">
            <v>69.865000000000009</v>
          </cell>
          <cell r="V459">
            <v>66.134</v>
          </cell>
          <cell r="W459">
            <v>62.115999999999985</v>
          </cell>
          <cell r="X459">
            <v>183.35399999999998</v>
          </cell>
          <cell r="Y459">
            <v>-25.878000000000029</v>
          </cell>
          <cell r="Z459">
            <v>106.124</v>
          </cell>
          <cell r="AA459">
            <v>94.684000000000012</v>
          </cell>
          <cell r="AB459">
            <v>80.067000000000021</v>
          </cell>
          <cell r="AC459">
            <v>254.99700000000016</v>
          </cell>
          <cell r="AD459">
            <v>69.506999999999977</v>
          </cell>
          <cell r="AE459">
            <v>120.55900000000003</v>
          </cell>
          <cell r="AF459">
            <v>97.597000000000023</v>
          </cell>
          <cell r="AG459">
            <v>59.412000000000006</v>
          </cell>
          <cell r="AH459">
            <v>347.07499999999993</v>
          </cell>
          <cell r="AI459">
            <v>71.046999999999983</v>
          </cell>
          <cell r="AJ459">
            <v>85.628999999999991</v>
          </cell>
          <cell r="AK459">
            <v>69.360999999999933</v>
          </cell>
          <cell r="AL459">
            <v>94.409999999999968</v>
          </cell>
          <cell r="AM459">
            <v>320.44699999999983</v>
          </cell>
          <cell r="AS459">
            <v>25.261000000000045</v>
          </cell>
          <cell r="AT459">
            <v>68.872000000000028</v>
          </cell>
          <cell r="AU459">
            <v>107.46300000000001</v>
          </cell>
          <cell r="AV459">
            <v>104.10199999999998</v>
          </cell>
          <cell r="AW459">
            <v>305.69800000000004</v>
          </cell>
          <cell r="AX459">
            <v>66.693999999999974</v>
          </cell>
          <cell r="AY459">
            <v>24.006</v>
          </cell>
          <cell r="AZ459">
            <v>133.96899999999994</v>
          </cell>
          <cell r="BA459">
            <v>81.322000000000017</v>
          </cell>
          <cell r="BB459">
            <v>305.99099999999993</v>
          </cell>
          <cell r="BC459">
            <v>33.029999999999973</v>
          </cell>
          <cell r="BD459">
            <v>117.07000000000001</v>
          </cell>
          <cell r="BE459">
            <v>146.92300000000006</v>
          </cell>
          <cell r="BF459">
            <v>137.708</v>
          </cell>
          <cell r="BG459">
            <v>434.73100000000005</v>
          </cell>
          <cell r="BH459">
            <v>-30.840836633818853</v>
          </cell>
          <cell r="BI459">
            <v>126.2977185179209</v>
          </cell>
          <cell r="BJ459">
            <v>157.22071457735106</v>
          </cell>
          <cell r="BK459">
            <v>151.37679061938496</v>
          </cell>
          <cell r="BL459">
            <v>404.05438708083807</v>
          </cell>
          <cell r="BM459">
            <v>440.83481144257229</v>
          </cell>
          <cell r="BN459">
            <v>485.9791952904676</v>
          </cell>
          <cell r="BO459">
            <v>533.55514461485086</v>
          </cell>
        </row>
        <row r="460">
          <cell r="A460" t="str">
            <v>Capex</v>
          </cell>
          <cell r="D460">
            <v>-2.4350000000000001</v>
          </cell>
          <cell r="E460">
            <v>-5.8000000000000003E-2</v>
          </cell>
          <cell r="F460">
            <v>-0.29899999999999999</v>
          </cell>
          <cell r="G460">
            <v>-0.58899999999999997</v>
          </cell>
          <cell r="H460">
            <v>0.41099999999999992</v>
          </cell>
          <cell r="I460">
            <v>-0.53500000000000003</v>
          </cell>
          <cell r="J460">
            <v>-0.96099999999999997</v>
          </cell>
          <cell r="K460">
            <v>-4.859</v>
          </cell>
          <cell r="L460">
            <v>-13.277000000000001</v>
          </cell>
          <cell r="M460">
            <v>-6.4589999999999996</v>
          </cell>
          <cell r="N460">
            <v>-25.556000000000001</v>
          </cell>
          <cell r="O460">
            <v>-6.0330000000000004</v>
          </cell>
          <cell r="P460">
            <v>-3.4859999999999998</v>
          </cell>
          <cell r="Q460">
            <v>-1.6690000000000005</v>
          </cell>
          <cell r="R460">
            <v>-2.2240000000000002</v>
          </cell>
          <cell r="S460">
            <v>-13.412000000000001</v>
          </cell>
          <cell r="T460">
            <v>-3.2850000000000001</v>
          </cell>
          <cell r="U460">
            <v>-1.4109999999999996</v>
          </cell>
          <cell r="V460">
            <v>-2.399</v>
          </cell>
          <cell r="W460">
            <v>-6.0729999999999995</v>
          </cell>
          <cell r="X460">
            <v>-13.167999999999999</v>
          </cell>
          <cell r="Y460">
            <v>-3.835</v>
          </cell>
          <cell r="Z460">
            <v>-2.8970000000000002</v>
          </cell>
          <cell r="AA460">
            <v>-10.11</v>
          </cell>
          <cell r="AB460">
            <v>-6.2690000000000019</v>
          </cell>
          <cell r="AC460">
            <v>-23.111000000000001</v>
          </cell>
          <cell r="AD460">
            <v>-4.2919999999999998</v>
          </cell>
          <cell r="AE460">
            <v>-15.654000000000002</v>
          </cell>
          <cell r="AF460">
            <v>-18.162999999999997</v>
          </cell>
          <cell r="AG460">
            <v>-6.7750000000000057</v>
          </cell>
          <cell r="AH460">
            <v>-44.884</v>
          </cell>
          <cell r="AI460">
            <v>-4.8</v>
          </cell>
          <cell r="AJ460">
            <v>-3.6909999999999998</v>
          </cell>
          <cell r="AK460">
            <v>-14.208000000000002</v>
          </cell>
          <cell r="AL460">
            <v>-20.812000000000001</v>
          </cell>
          <cell r="AM460">
            <v>-43.511000000000003</v>
          </cell>
          <cell r="AS460">
            <v>-10.059999999999999</v>
          </cell>
          <cell r="AT460">
            <v>-11.904000000000003</v>
          </cell>
          <cell r="AU460">
            <v>-20.273</v>
          </cell>
          <cell r="AV460">
            <v>-8.6159999999999997</v>
          </cell>
          <cell r="AW460">
            <v>-50.853000000000002</v>
          </cell>
          <cell r="AX460">
            <v>-6.32</v>
          </cell>
          <cell r="AY460">
            <v>-11.962</v>
          </cell>
          <cell r="AZ460">
            <v>-12.305</v>
          </cell>
          <cell r="BA460">
            <v>-18.510000000000002</v>
          </cell>
          <cell r="BB460">
            <v>-49.097000000000001</v>
          </cell>
          <cell r="BC460">
            <v>-3.1349999999999998</v>
          </cell>
          <cell r="BD460">
            <v>-15.23</v>
          </cell>
          <cell r="BE460">
            <v>-13.727999999999994</v>
          </cell>
          <cell r="BF460">
            <v>-10.535000000000002</v>
          </cell>
          <cell r="BG460">
            <v>-42.628</v>
          </cell>
          <cell r="BH460">
            <v>-6.016699983046875</v>
          </cell>
          <cell r="BI460">
            <v>-12.312120121400003</v>
          </cell>
          <cell r="BJ460">
            <v>-12.288760261937032</v>
          </cell>
          <cell r="BK460">
            <v>-14.053693893960865</v>
          </cell>
          <cell r="BL460">
            <v>-44.671274260344774</v>
          </cell>
          <cell r="BM460">
            <v>-45.894795255564702</v>
          </cell>
          <cell r="BN460">
            <v>-47.221650823237667</v>
          </cell>
          <cell r="BO460">
            <v>-48.556108068529824</v>
          </cell>
        </row>
        <row r="462">
          <cell r="A462" t="str">
            <v>Free Cash Flow</v>
          </cell>
          <cell r="D462">
            <v>81.22999999999999</v>
          </cell>
          <cell r="E462">
            <v>10.064000000000016</v>
          </cell>
          <cell r="F462">
            <v>30.963999999999988</v>
          </cell>
          <cell r="G462">
            <v>26.382000000000012</v>
          </cell>
          <cell r="H462">
            <v>42.279999999999987</v>
          </cell>
          <cell r="I462">
            <v>109.69</v>
          </cell>
          <cell r="J462">
            <v>19.78</v>
          </cell>
          <cell r="K462">
            <v>55.137</v>
          </cell>
          <cell r="L462">
            <v>17.550000000000011</v>
          </cell>
          <cell r="M462">
            <v>37.058000000000007</v>
          </cell>
          <cell r="N462">
            <v>129.52500000000001</v>
          </cell>
          <cell r="O462">
            <v>16.439000000000007</v>
          </cell>
          <cell r="P462">
            <v>43.199000000000005</v>
          </cell>
          <cell r="Q462">
            <v>50.018000000000001</v>
          </cell>
          <cell r="R462">
            <v>7.8739999999999988</v>
          </cell>
          <cell r="S462">
            <v>117.52999999999997</v>
          </cell>
          <cell r="T462">
            <v>-18.046000000000017</v>
          </cell>
          <cell r="U462">
            <v>68.454000000000008</v>
          </cell>
          <cell r="V462">
            <v>63.734999999999999</v>
          </cell>
          <cell r="W462">
            <v>56.042999999999985</v>
          </cell>
          <cell r="X462">
            <v>170.18599999999998</v>
          </cell>
          <cell r="Y462">
            <v>-29.713000000000029</v>
          </cell>
          <cell r="Z462">
            <v>103.22699999999999</v>
          </cell>
          <cell r="AA462">
            <v>84.574000000000012</v>
          </cell>
          <cell r="AB462">
            <v>73.798000000000016</v>
          </cell>
          <cell r="AC462">
            <v>231.88600000000017</v>
          </cell>
          <cell r="AD462">
            <v>65.214999999999975</v>
          </cell>
          <cell r="AE462">
            <v>104.90500000000003</v>
          </cell>
          <cell r="AF462">
            <v>79.434000000000026</v>
          </cell>
          <cell r="AG462">
            <v>52.637</v>
          </cell>
          <cell r="AH462">
            <v>302.19099999999992</v>
          </cell>
          <cell r="AI462">
            <v>66.246999999999986</v>
          </cell>
          <cell r="AJ462">
            <v>81.937999999999988</v>
          </cell>
          <cell r="AK462">
            <v>55.152999999999935</v>
          </cell>
          <cell r="AL462">
            <v>73.597999999999971</v>
          </cell>
          <cell r="AM462">
            <v>276.93599999999981</v>
          </cell>
          <cell r="AS462">
            <v>15.201000000000047</v>
          </cell>
          <cell r="AT462">
            <v>56.968000000000025</v>
          </cell>
          <cell r="AU462">
            <v>87.190000000000012</v>
          </cell>
          <cell r="AV462">
            <v>95.485999999999976</v>
          </cell>
          <cell r="AW462">
            <v>254.84500000000003</v>
          </cell>
          <cell r="AX462">
            <v>60.373999999999974</v>
          </cell>
          <cell r="AY462">
            <v>12.044</v>
          </cell>
          <cell r="AZ462">
            <v>121.66399999999993</v>
          </cell>
          <cell r="BA462">
            <v>62.812000000000012</v>
          </cell>
          <cell r="BB462">
            <v>256.89399999999995</v>
          </cell>
          <cell r="BC462">
            <v>29.894999999999975</v>
          </cell>
          <cell r="BD462">
            <v>101.84</v>
          </cell>
          <cell r="BE462">
            <v>133.19500000000005</v>
          </cell>
          <cell r="BF462">
            <v>127.173</v>
          </cell>
          <cell r="BG462">
            <v>392.10300000000007</v>
          </cell>
          <cell r="BH462">
            <v>-36.85753661686573</v>
          </cell>
          <cell r="BI462">
            <v>113.9855983965209</v>
          </cell>
          <cell r="BJ462">
            <v>144.93195431541403</v>
          </cell>
          <cell r="BK462">
            <v>137.32309672542411</v>
          </cell>
          <cell r="BL462">
            <v>359.3831128204933</v>
          </cell>
          <cell r="BM462">
            <v>394.94001618700759</v>
          </cell>
          <cell r="BN462">
            <v>438.75754446722993</v>
          </cell>
          <cell r="BO462">
            <v>484.99903654632101</v>
          </cell>
        </row>
        <row r="463">
          <cell r="A463" t="str">
            <v>Year-over-year growth</v>
          </cell>
          <cell r="I463">
            <v>0.35036316631786302</v>
          </cell>
          <cell r="J463">
            <v>0.96542130365659484</v>
          </cell>
          <cell r="K463">
            <v>0.78068079059553108</v>
          </cell>
          <cell r="L463">
            <v>-0.33477370934728212</v>
          </cell>
          <cell r="M463">
            <v>-0.12350993377483399</v>
          </cell>
          <cell r="N463">
            <v>0.18082778740085703</v>
          </cell>
          <cell r="O463">
            <v>-0.16890798786653149</v>
          </cell>
          <cell r="P463">
            <v>-0.21651522571050286</v>
          </cell>
          <cell r="Q463">
            <v>1.850028490028488</v>
          </cell>
          <cell r="R463">
            <v>-0.78752226239948198</v>
          </cell>
          <cell r="S463">
            <v>-9.2607604709515789E-2</v>
          </cell>
          <cell r="T463">
            <v>-2.0977553379159319</v>
          </cell>
          <cell r="U463">
            <v>0.58462001435218403</v>
          </cell>
          <cell r="V463">
            <v>0.27424127314166902</v>
          </cell>
          <cell r="W463">
            <v>6.1174752349504695</v>
          </cell>
          <cell r="X463">
            <v>0.44802178167276452</v>
          </cell>
          <cell r="Y463">
            <v>0.64651446303890059</v>
          </cell>
          <cell r="Z463">
            <v>0.50797615917258265</v>
          </cell>
          <cell r="AA463">
            <v>0.32696320702910509</v>
          </cell>
          <cell r="AB463">
            <v>0.31681030637189367</v>
          </cell>
          <cell r="AC463">
            <v>0.36254451012421818</v>
          </cell>
          <cell r="AD463">
            <v>-3.1948305455524486</v>
          </cell>
          <cell r="AE463">
            <v>1.6255437046509558E-2</v>
          </cell>
          <cell r="AF463">
            <v>-6.0775179133066737E-2</v>
          </cell>
          <cell r="AG463">
            <v>-0.28674218813517993</v>
          </cell>
          <cell r="AH463">
            <v>0.30318777330239732</v>
          </cell>
          <cell r="AI463">
            <v>1.5824580234608865E-2</v>
          </cell>
          <cell r="AJ463">
            <v>-0.21893141413660011</v>
          </cell>
          <cell r="AK463">
            <v>-0.30567515169826631</v>
          </cell>
          <cell r="AL463">
            <v>0.398217983547694</v>
          </cell>
          <cell r="AM463">
            <v>-8.3572972060716899E-2</v>
          </cell>
          <cell r="AS463">
            <v>-0.77054055277974776</v>
          </cell>
          <cell r="AT463">
            <v>-0.30474261026629845</v>
          </cell>
          <cell r="AU463">
            <v>0.58087502039780459</v>
          </cell>
          <cell r="AV463">
            <v>0.29739938585287673</v>
          </cell>
          <cell r="AW463">
            <v>-7.9769332986682095E-2</v>
          </cell>
          <cell r="AX463">
            <v>2.9717123873429241</v>
          </cell>
          <cell r="AY463">
            <v>-0.7885830641763798</v>
          </cell>
          <cell r="AZ463">
            <v>0.39538937951599862</v>
          </cell>
          <cell r="BA463">
            <v>-0.34218628908949977</v>
          </cell>
          <cell r="BB463">
            <v>8.040181286664172E-3</v>
          </cell>
          <cell r="BC463">
            <v>-0.50483651903137128</v>
          </cell>
          <cell r="BD463">
            <v>7.4556625705745603</v>
          </cell>
          <cell r="BE463">
            <v>9.4777419779064731E-2</v>
          </cell>
          <cell r="BF463">
            <v>1.024660892823027</v>
          </cell>
          <cell r="BG463">
            <v>0.52632214064945138</v>
          </cell>
          <cell r="BH463">
            <v>-2.2328997028555198</v>
          </cell>
          <cell r="BI463">
            <v>0.11926157105774648</v>
          </cell>
          <cell r="BJ463">
            <v>8.8118580392762214E-2</v>
          </cell>
          <cell r="BK463">
            <v>7.9813299406510163E-2</v>
          </cell>
          <cell r="BL463">
            <v>-8.3447173777060568E-2</v>
          </cell>
          <cell r="BM463">
            <v>9.8938714975943975E-2</v>
          </cell>
          <cell r="BN463">
            <v>0.11094729955010263</v>
          </cell>
          <cell r="BO463">
            <v>0.10539190188795655</v>
          </cell>
        </row>
        <row r="464">
          <cell r="A464" t="str">
            <v>FCF/Share</v>
          </cell>
          <cell r="S464">
            <v>1.1566006588480735</v>
          </cell>
          <cell r="T464">
            <v>-0.17049620195759815</v>
          </cell>
          <cell r="U464">
            <v>0.64577417620256039</v>
          </cell>
          <cell r="V464">
            <v>0.52961999650991765</v>
          </cell>
          <cell r="W464">
            <v>0.46250784009507134</v>
          </cell>
          <cell r="X464">
            <v>1.501327663929003</v>
          </cell>
          <cell r="Y464">
            <v>-0.24352323113110921</v>
          </cell>
          <cell r="Z464">
            <v>0.84449625720947352</v>
          </cell>
          <cell r="AA464">
            <v>0.69151206429932233</v>
          </cell>
          <cell r="AB464">
            <v>0.60225566364170546</v>
          </cell>
          <cell r="AC464">
            <v>1.8964805852537496</v>
          </cell>
          <cell r="AD464">
            <v>0.52971660182109104</v>
          </cell>
          <cell r="AE464">
            <v>0.8508455330710899</v>
          </cell>
          <cell r="AF464">
            <v>0.64345078979343884</v>
          </cell>
          <cell r="AG464">
            <v>0.42796048619862592</v>
          </cell>
          <cell r="AH464">
            <v>2.4527693906042005</v>
          </cell>
          <cell r="AI464">
            <v>0.54433780874595317</v>
          </cell>
          <cell r="AJ464">
            <v>0.67124331320810349</v>
          </cell>
          <cell r="AK464">
            <v>0.45740516512133172</v>
          </cell>
          <cell r="AL464">
            <v>0.61394596127697532</v>
          </cell>
          <cell r="AM464">
            <v>2.2876590682862941</v>
          </cell>
          <cell r="AS464">
            <v>0.12817356256903673</v>
          </cell>
          <cell r="AT464">
            <v>0.48415828120750631</v>
          </cell>
          <cell r="AU464">
            <v>0.74417691592055524</v>
          </cell>
          <cell r="AV464">
            <v>0.84285323376497256</v>
          </cell>
          <cell r="AW464">
            <v>2.1836495124500885</v>
          </cell>
          <cell r="AX464">
            <v>0.53182643011927178</v>
          </cell>
          <cell r="AY464">
            <v>0.10664919286998256</v>
          </cell>
          <cell r="AZ464">
            <v>1.1116959064327478</v>
          </cell>
          <cell r="BA464">
            <v>0.60635196447533557</v>
          </cell>
          <cell r="BB464">
            <v>2.3565234938973378</v>
          </cell>
          <cell r="BC464">
            <v>0.2989559791195821</v>
          </cell>
          <cell r="BD464">
            <v>1.0511105606473454</v>
          </cell>
          <cell r="BE464">
            <v>1.3951064698920119</v>
          </cell>
          <cell r="BF464">
            <v>1.3551387926900742</v>
          </cell>
          <cell r="BG464">
            <v>4.1003118023490135</v>
          </cell>
          <cell r="BH464">
            <v>-0.3954107993437177</v>
          </cell>
          <cell r="BI464">
            <v>1.2394553715216632</v>
          </cell>
          <cell r="BJ464">
            <v>1.5972274970753439</v>
          </cell>
          <cell r="BK464">
            <v>1.5336657054231211</v>
          </cell>
          <cell r="BL464">
            <v>3.9749377746764107</v>
          </cell>
          <cell r="BM464">
            <v>4.4942822956400299</v>
          </cell>
          <cell r="BN464">
            <v>5.1817826205626751</v>
          </cell>
          <cell r="BO464">
            <v>5.9358277686114143</v>
          </cell>
        </row>
        <row r="466">
          <cell r="A466" t="str">
            <v>Difference between method #1 and method #2</v>
          </cell>
          <cell r="AS466">
            <v>13.487000000000009</v>
          </cell>
          <cell r="AT466">
            <v>3.8049999999999997</v>
          </cell>
          <cell r="AU466">
            <v>8.0799999999999983</v>
          </cell>
          <cell r="AV466">
            <v>11.73299999999999</v>
          </cell>
          <cell r="AW466">
            <v>37.105000000000075</v>
          </cell>
          <cell r="AX466">
            <v>6.1679999999999993</v>
          </cell>
          <cell r="AY466">
            <v>-9.4100000000000072</v>
          </cell>
          <cell r="AZ466">
            <v>4.5930000000000177</v>
          </cell>
          <cell r="BA466">
            <v>3.386999999999972</v>
          </cell>
          <cell r="BB466">
            <v>4.7379999999999995</v>
          </cell>
          <cell r="BC466">
            <v>1.0619999999999941</v>
          </cell>
          <cell r="BD466">
            <v>4.8109999999999644</v>
          </cell>
          <cell r="BE466">
            <v>5.8499999999999801</v>
          </cell>
          <cell r="BF466">
            <v>-1.0250000000000057</v>
          </cell>
          <cell r="BG466">
            <v>10.698000000000093</v>
          </cell>
          <cell r="BH466">
            <v>9.3844254594540431</v>
          </cell>
          <cell r="BI466">
            <v>9.5690173523568802</v>
          </cell>
          <cell r="BJ466">
            <v>9.6009229988614209</v>
          </cell>
          <cell r="BK466">
            <v>9.7729806831342074</v>
          </cell>
          <cell r="BL466">
            <v>38.327346493806488</v>
          </cell>
          <cell r="BM466">
            <v>43.050784868145342</v>
          </cell>
          <cell r="BN466">
            <v>47.844532059733012</v>
          </cell>
          <cell r="BO466">
            <v>51.095808026715304</v>
          </cell>
        </row>
        <row r="467">
          <cell r="A467" t="str">
            <v>Stock comp</v>
          </cell>
          <cell r="AS467">
            <v>5.1710000000000003</v>
          </cell>
          <cell r="AT467">
            <v>7.2860000000000005</v>
          </cell>
          <cell r="AU467">
            <v>7.6589999999999989</v>
          </cell>
          <cell r="AV467">
            <v>6.4690000000000012</v>
          </cell>
          <cell r="AW467">
            <v>26.585000000000001</v>
          </cell>
          <cell r="AX467">
            <v>7.35</v>
          </cell>
          <cell r="AY467">
            <v>7.1890000000000001</v>
          </cell>
          <cell r="AZ467">
            <v>6.0129999999999999</v>
          </cell>
          <cell r="BA467">
            <v>8.0060000000000002</v>
          </cell>
          <cell r="BB467">
            <v>28.558</v>
          </cell>
          <cell r="BC467">
            <v>7.08</v>
          </cell>
          <cell r="BD467">
            <v>8.1929999999999996</v>
          </cell>
          <cell r="BE467">
            <v>8.3180000000000014</v>
          </cell>
          <cell r="BF467">
            <v>8.4099999999999966</v>
          </cell>
          <cell r="BG467">
            <v>32.000999999999998</v>
          </cell>
          <cell r="BH467">
            <v>8.3666153111024926</v>
          </cell>
          <cell r="BI467">
            <v>8.5604046246355612</v>
          </cell>
          <cell r="BJ467">
            <v>8.5441629175204667</v>
          </cell>
          <cell r="BK467">
            <v>8.6855918317769927</v>
          </cell>
          <cell r="BL467">
            <v>34.156774685035515</v>
          </cell>
          <cell r="BM467">
            <v>36.601765138219008</v>
          </cell>
          <cell r="BN467">
            <v>39.352661560203011</v>
          </cell>
          <cell r="BO467">
            <v>42.369119419332932</v>
          </cell>
        </row>
        <row r="469">
          <cell r="A469" t="str">
            <v>Free Cash Flow to Firm</v>
          </cell>
        </row>
        <row r="471">
          <cell r="A471" t="str">
            <v>EBIT</v>
          </cell>
          <cell r="J471">
            <v>35.161999999999992</v>
          </cell>
          <cell r="K471">
            <v>32.907000000000004</v>
          </cell>
          <cell r="L471">
            <v>37.519000000000005</v>
          </cell>
          <cell r="M471">
            <v>30.201999999999998</v>
          </cell>
          <cell r="N471">
            <v>135.79000000000002</v>
          </cell>
          <cell r="O471">
            <v>32.783999999999999</v>
          </cell>
          <cell r="P471">
            <v>36.654000000000003</v>
          </cell>
          <cell r="Q471">
            <v>37.797999999999988</v>
          </cell>
          <cell r="R471">
            <v>43.756</v>
          </cell>
          <cell r="S471">
            <v>150.99199999999999</v>
          </cell>
          <cell r="T471">
            <v>47.256999999999998</v>
          </cell>
          <cell r="U471">
            <v>46.69700000000001</v>
          </cell>
          <cell r="V471">
            <v>41.449000000000005</v>
          </cell>
          <cell r="W471">
            <v>70.719999999999985</v>
          </cell>
          <cell r="X471">
            <v>206.1230000000001</v>
          </cell>
          <cell r="Y471">
            <v>75.428999999999974</v>
          </cell>
          <cell r="Z471">
            <v>82.691000000000003</v>
          </cell>
          <cell r="AA471">
            <v>82.245000000000005</v>
          </cell>
          <cell r="AB471">
            <v>81.63300000000001</v>
          </cell>
          <cell r="AC471">
            <v>321.9980000000001</v>
          </cell>
          <cell r="AD471">
            <v>80.978999999999985</v>
          </cell>
          <cell r="AE471">
            <v>87.121000000000024</v>
          </cell>
          <cell r="AF471">
            <v>83.529000000000011</v>
          </cell>
          <cell r="AG471">
            <v>95.307000000000016</v>
          </cell>
          <cell r="AH471">
            <v>346.93599999999998</v>
          </cell>
          <cell r="AI471">
            <v>90.526999999999987</v>
          </cell>
          <cell r="AJ471">
            <v>97.172000000000011</v>
          </cell>
          <cell r="AK471">
            <v>92.43599999999995</v>
          </cell>
          <cell r="AL471">
            <v>91.370999999999952</v>
          </cell>
          <cell r="AM471">
            <v>371.50599999999986</v>
          </cell>
          <cell r="AN471">
            <v>82.936999999999969</v>
          </cell>
          <cell r="AO471">
            <v>90.057999999999979</v>
          </cell>
          <cell r="AP471">
            <v>83.997000000000014</v>
          </cell>
          <cell r="AQ471">
            <v>83.583999999999975</v>
          </cell>
          <cell r="AR471">
            <v>340.57599999999996</v>
          </cell>
          <cell r="AS471">
            <v>79.517000000000039</v>
          </cell>
          <cell r="AT471">
            <v>88.600000000000023</v>
          </cell>
          <cell r="AU471">
            <v>83.932000000000016</v>
          </cell>
          <cell r="AV471">
            <v>85.141999999999982</v>
          </cell>
          <cell r="AW471">
            <v>337.19100000000009</v>
          </cell>
          <cell r="AX471">
            <v>88.752999999999986</v>
          </cell>
          <cell r="AY471">
            <v>98.491000000000014</v>
          </cell>
          <cell r="AZ471">
            <v>109.1079999999999</v>
          </cell>
          <cell r="BA471">
            <v>107.54300000000003</v>
          </cell>
          <cell r="BB471">
            <v>403.89499999999998</v>
          </cell>
          <cell r="BC471">
            <v>113.14099999999998</v>
          </cell>
          <cell r="BD471">
            <v>125.68400000000001</v>
          </cell>
          <cell r="BE471">
            <v>123.26000000000005</v>
          </cell>
          <cell r="BF471">
            <v>126.012</v>
          </cell>
          <cell r="BG471">
            <v>488.09699999999998</v>
          </cell>
          <cell r="BH471">
            <v>125.04673075506173</v>
          </cell>
          <cell r="BI471">
            <v>132.03715353388731</v>
          </cell>
          <cell r="BJ471">
            <v>133.88478895200669</v>
          </cell>
          <cell r="BK471">
            <v>137.05531345204506</v>
          </cell>
          <cell r="BL471">
            <v>528.02398669300078</v>
          </cell>
          <cell r="BM471">
            <v>580.97472507413329</v>
          </cell>
          <cell r="BN471">
            <v>639.41765996372271</v>
          </cell>
          <cell r="BO471">
            <v>703.71220424896524</v>
          </cell>
        </row>
        <row r="472">
          <cell r="A472" t="str">
            <v>Less: Pro-Forma Taxes (at Effective Tax Rate)</v>
          </cell>
          <cell r="J472">
            <v>-13.216800487210721</v>
          </cell>
          <cell r="K472">
            <v>-12.729599407602434</v>
          </cell>
          <cell r="L472">
            <v>-14.024666169104721</v>
          </cell>
          <cell r="M472">
            <v>-11.192348939929328</v>
          </cell>
          <cell r="N472">
            <v>-51.241859945459353</v>
          </cell>
          <cell r="O472">
            <v>-12.004025923820352</v>
          </cell>
          <cell r="P472">
            <v>-14.163127611660201</v>
          </cell>
          <cell r="Q472">
            <v>-14.337249740440809</v>
          </cell>
          <cell r="R472">
            <v>-16.682299145083601</v>
          </cell>
          <cell r="S472">
            <v>-57.223378504566462</v>
          </cell>
          <cell r="T472">
            <v>-17.592147797522642</v>
          </cell>
          <cell r="U472">
            <v>-17.083638059603174</v>
          </cell>
          <cell r="V472">
            <v>-20.710431778510468</v>
          </cell>
          <cell r="W472">
            <v>-28.816056696489756</v>
          </cell>
          <cell r="X472">
            <v>-82.347945371389841</v>
          </cell>
          <cell r="Y472">
            <v>-28.029939018446317</v>
          </cell>
          <cell r="Z472">
            <v>-28.475568794692855</v>
          </cell>
          <cell r="AA472">
            <v>-23.997630691759486</v>
          </cell>
          <cell r="AB472">
            <v>-29.848753507871319</v>
          </cell>
          <cell r="AC472">
            <v>-109.96654714080169</v>
          </cell>
          <cell r="AD472">
            <v>-28.804690382332687</v>
          </cell>
          <cell r="AE472">
            <v>-29.995817659489006</v>
          </cell>
          <cell r="AF472">
            <v>-30.187743471704103</v>
          </cell>
          <cell r="AG472">
            <v>-36.543972609409494</v>
          </cell>
          <cell r="AH472">
            <v>-126.0762659627033</v>
          </cell>
          <cell r="AI472">
            <v>-26.669119196658329</v>
          </cell>
          <cell r="AJ472">
            <v>-32.163155765458754</v>
          </cell>
          <cell r="AK472">
            <v>-33.157008730738461</v>
          </cell>
          <cell r="AL472">
            <v>-34.264124999999979</v>
          </cell>
          <cell r="AM472">
            <v>-132.28077687409041</v>
          </cell>
          <cell r="AN472">
            <v>-23.720545072471577</v>
          </cell>
          <cell r="AO472">
            <v>-29.739396167616235</v>
          </cell>
          <cell r="AP472">
            <v>-30.005943340228434</v>
          </cell>
          <cell r="AQ472">
            <v>-31.343999999999991</v>
          </cell>
          <cell r="AR472">
            <v>-122.83955187162019</v>
          </cell>
          <cell r="AS472">
            <v>-28.528290183974001</v>
          </cell>
          <cell r="AT472">
            <v>-28.721931742561083</v>
          </cell>
          <cell r="AU472">
            <v>-29.701666049166366</v>
          </cell>
          <cell r="AV472">
            <v>-33.032584181078334</v>
          </cell>
          <cell r="AW472">
            <v>-119.62312805362512</v>
          </cell>
          <cell r="AX472">
            <v>-32.036141005008311</v>
          </cell>
          <cell r="AY472">
            <v>-35.385131001418827</v>
          </cell>
          <cell r="AZ472">
            <v>-38.162684274291259</v>
          </cell>
          <cell r="BA472">
            <v>-32.018953263261388</v>
          </cell>
          <cell r="BB472">
            <v>-138.09691524269707</v>
          </cell>
          <cell r="BC472">
            <v>-37.90186732322065</v>
          </cell>
          <cell r="BD472">
            <v>-41.988009469150668</v>
          </cell>
          <cell r="BE472">
            <v>-40.750042657041476</v>
          </cell>
          <cell r="BF472">
            <v>-37.435667542097946</v>
          </cell>
          <cell r="BG472">
            <v>-158.04037653643249</v>
          </cell>
          <cell r="BH472">
            <v>-37.514019226518521</v>
          </cell>
          <cell r="BI472">
            <v>-42.251889130843942</v>
          </cell>
          <cell r="BJ472">
            <v>-42.843132464642139</v>
          </cell>
          <cell r="BK472">
            <v>-43.857700304654422</v>
          </cell>
          <cell r="BL472">
            <v>-166.50485963892908</v>
          </cell>
          <cell r="BM472">
            <v>-177.39237517192214</v>
          </cell>
          <cell r="BN472">
            <v>-195.23709471761217</v>
          </cell>
          <cell r="BO472">
            <v>-214.86852002600259</v>
          </cell>
        </row>
        <row r="473">
          <cell r="J473" t="str">
            <v>=</v>
          </cell>
          <cell r="K473" t="str">
            <v>=</v>
          </cell>
          <cell r="L473" t="str">
            <v>=</v>
          </cell>
          <cell r="M473" t="str">
            <v>=</v>
          </cell>
          <cell r="N473" t="str">
            <v>=</v>
          </cell>
          <cell r="O473" t="str">
            <v>=</v>
          </cell>
          <cell r="P473" t="str">
            <v>=</v>
          </cell>
          <cell r="Q473" t="str">
            <v>=</v>
          </cell>
          <cell r="R473" t="str">
            <v>=</v>
          </cell>
          <cell r="S473" t="str">
            <v>=</v>
          </cell>
          <cell r="T473" t="str">
            <v>=</v>
          </cell>
          <cell r="U473" t="str">
            <v>=</v>
          </cell>
          <cell r="V473" t="str">
            <v>=</v>
          </cell>
          <cell r="W473" t="str">
            <v>=</v>
          </cell>
          <cell r="X473" t="str">
            <v>=</v>
          </cell>
          <cell r="Y473" t="str">
            <v>=</v>
          </cell>
          <cell r="Z473" t="str">
            <v>=</v>
          </cell>
          <cell r="AA473" t="str">
            <v>=</v>
          </cell>
          <cell r="AB473" t="str">
            <v>=</v>
          </cell>
          <cell r="AC473" t="str">
            <v>=</v>
          </cell>
          <cell r="AD473" t="str">
            <v>=</v>
          </cell>
          <cell r="AE473" t="str">
            <v>=</v>
          </cell>
          <cell r="AF473" t="str">
            <v>=</v>
          </cell>
          <cell r="AG473" t="str">
            <v>=</v>
          </cell>
          <cell r="AH473" t="str">
            <v>=</v>
          </cell>
          <cell r="AI473" t="str">
            <v>=</v>
          </cell>
          <cell r="AJ473" t="str">
            <v>=</v>
          </cell>
          <cell r="AK473" t="str">
            <v>=</v>
          </cell>
          <cell r="AL473" t="str">
            <v>=</v>
          </cell>
          <cell r="AM473" t="str">
            <v>=</v>
          </cell>
          <cell r="AN473" t="str">
            <v>=</v>
          </cell>
          <cell r="AO473" t="str">
            <v>=</v>
          </cell>
          <cell r="AP473" t="str">
            <v>=</v>
          </cell>
          <cell r="AQ473" t="str">
            <v>=</v>
          </cell>
          <cell r="AR473" t="str">
            <v>=</v>
          </cell>
          <cell r="AS473" t="str">
            <v>=</v>
          </cell>
          <cell r="AT473" t="str">
            <v>=</v>
          </cell>
          <cell r="AU473" t="str">
            <v>=</v>
          </cell>
          <cell r="AV473" t="str">
            <v>=</v>
          </cell>
          <cell r="AW473" t="str">
            <v>=</v>
          </cell>
          <cell r="AX473" t="str">
            <v>=</v>
          </cell>
          <cell r="AY473" t="str">
            <v>=</v>
          </cell>
          <cell r="AZ473" t="str">
            <v>=</v>
          </cell>
          <cell r="BA473" t="str">
            <v>=</v>
          </cell>
          <cell r="BB473" t="str">
            <v>=</v>
          </cell>
          <cell r="BC473" t="str">
            <v>=</v>
          </cell>
          <cell r="BD473" t="str">
            <v>=</v>
          </cell>
          <cell r="BE473" t="str">
            <v>=</v>
          </cell>
          <cell r="BF473" t="str">
            <v>=</v>
          </cell>
          <cell r="BG473" t="str">
            <v>=</v>
          </cell>
          <cell r="BH473" t="str">
            <v>=</v>
          </cell>
          <cell r="BI473" t="str">
            <v>=</v>
          </cell>
          <cell r="BJ473" t="str">
            <v>=</v>
          </cell>
          <cell r="BK473" t="str">
            <v>=</v>
          </cell>
          <cell r="BL473" t="str">
            <v>=</v>
          </cell>
          <cell r="BM473" t="str">
            <v>=</v>
          </cell>
          <cell r="BN473" t="str">
            <v>=</v>
          </cell>
          <cell r="BO473" t="str">
            <v>=</v>
          </cell>
        </row>
        <row r="474">
          <cell r="A474" t="str">
            <v>NOPLAT</v>
          </cell>
          <cell r="J474">
            <v>21.945199512789273</v>
          </cell>
          <cell r="K474">
            <v>20.177400592397568</v>
          </cell>
          <cell r="L474">
            <v>23.494333830895286</v>
          </cell>
          <cell r="M474">
            <v>19.00965106007067</v>
          </cell>
          <cell r="N474">
            <v>84.548140054540667</v>
          </cell>
          <cell r="O474">
            <v>20.779974076179649</v>
          </cell>
          <cell r="P474">
            <v>22.490872388339803</v>
          </cell>
          <cell r="Q474">
            <v>23.460750259559177</v>
          </cell>
          <cell r="R474">
            <v>27.0737008549164</v>
          </cell>
          <cell r="S474">
            <v>93.768621495433536</v>
          </cell>
          <cell r="T474">
            <v>29.664852202477356</v>
          </cell>
          <cell r="U474">
            <v>29.613361940396835</v>
          </cell>
          <cell r="V474">
            <v>20.738568221489537</v>
          </cell>
          <cell r="W474">
            <v>41.903943303510232</v>
          </cell>
          <cell r="X474">
            <v>123.77505462861026</v>
          </cell>
          <cell r="Y474">
            <v>47.39906098155366</v>
          </cell>
          <cell r="Z474">
            <v>54.215431205307148</v>
          </cell>
          <cell r="AA474">
            <v>58.247369308240522</v>
          </cell>
          <cell r="AB474">
            <v>51.784246492128688</v>
          </cell>
          <cell r="AC474">
            <v>212.0314528591984</v>
          </cell>
          <cell r="AD474">
            <v>52.174309617667298</v>
          </cell>
          <cell r="AE474">
            <v>57.125182340511017</v>
          </cell>
          <cell r="AF474">
            <v>53.341256528295908</v>
          </cell>
          <cell r="AG474">
            <v>58.763027390590523</v>
          </cell>
          <cell r="AH474">
            <v>220.85973403729668</v>
          </cell>
          <cell r="AI474">
            <v>63.857880803341658</v>
          </cell>
          <cell r="AJ474">
            <v>65.008844234541257</v>
          </cell>
          <cell r="AK474">
            <v>59.278991269261489</v>
          </cell>
          <cell r="AL474">
            <v>57.106874999999974</v>
          </cell>
          <cell r="AM474">
            <v>239.22522312590945</v>
          </cell>
          <cell r="AN474">
            <v>59.216454927528389</v>
          </cell>
          <cell r="AO474">
            <v>60.318603832383744</v>
          </cell>
          <cell r="AP474">
            <v>53.99105665977158</v>
          </cell>
          <cell r="AQ474">
            <v>52.239999999999981</v>
          </cell>
          <cell r="AR474">
            <v>217.73644812837978</v>
          </cell>
          <cell r="AS474">
            <v>50.988709816026038</v>
          </cell>
          <cell r="AT474">
            <v>59.87806825743894</v>
          </cell>
          <cell r="AU474">
            <v>54.230333950833653</v>
          </cell>
          <cell r="AV474">
            <v>52.109415818921647</v>
          </cell>
          <cell r="AW474">
            <v>217.56787194637496</v>
          </cell>
          <cell r="AX474">
            <v>56.716858994991675</v>
          </cell>
          <cell r="AY474">
            <v>63.105868998581187</v>
          </cell>
          <cell r="AZ474">
            <v>70.945315725708639</v>
          </cell>
          <cell r="BA474">
            <v>75.524046736738654</v>
          </cell>
          <cell r="BB474">
            <v>265.79808475730295</v>
          </cell>
          <cell r="BC474">
            <v>75.23913267677932</v>
          </cell>
          <cell r="BD474">
            <v>83.695990530849343</v>
          </cell>
          <cell r="BE474">
            <v>82.509957342958572</v>
          </cell>
          <cell r="BF474">
            <v>88.576332457902055</v>
          </cell>
          <cell r="BG474">
            <v>330.05662346356746</v>
          </cell>
          <cell r="BH474">
            <v>87.532711528543217</v>
          </cell>
          <cell r="BI474">
            <v>89.785264403043357</v>
          </cell>
          <cell r="BJ474">
            <v>91.041656487364548</v>
          </cell>
          <cell r="BK474">
            <v>93.197613147390626</v>
          </cell>
          <cell r="BL474">
            <v>361.5191270540717</v>
          </cell>
          <cell r="BM474">
            <v>403.58234990221115</v>
          </cell>
          <cell r="BN474">
            <v>444.18056524611052</v>
          </cell>
          <cell r="BO474">
            <v>488.84368422296268</v>
          </cell>
        </row>
        <row r="475">
          <cell r="A475" t="str">
            <v>Depreciation and Amortization</v>
          </cell>
          <cell r="J475">
            <v>7.609</v>
          </cell>
          <cell r="K475">
            <v>7.6470000000000002</v>
          </cell>
          <cell r="L475">
            <v>8.3930000000000007</v>
          </cell>
          <cell r="M475">
            <v>9.8209999999999997</v>
          </cell>
          <cell r="N475">
            <v>33.47</v>
          </cell>
          <cell r="O475">
            <v>9.48</v>
          </cell>
          <cell r="P475">
            <v>9.3999999999999986</v>
          </cell>
          <cell r="Q475">
            <v>9.298</v>
          </cell>
          <cell r="R475">
            <v>9.333000000000002</v>
          </cell>
          <cell r="S475">
            <v>37.511000000000003</v>
          </cell>
          <cell r="T475">
            <v>7.6709999999999994</v>
          </cell>
          <cell r="U475">
            <v>7.8330000000000002</v>
          </cell>
          <cell r="V475">
            <v>21.283999999999999</v>
          </cell>
          <cell r="W475">
            <v>22.224</v>
          </cell>
          <cell r="X475">
            <v>59.012</v>
          </cell>
          <cell r="Y475">
            <v>21.802</v>
          </cell>
          <cell r="Z475">
            <v>21.590999999999998</v>
          </cell>
          <cell r="AA475">
            <v>21.091000000000001</v>
          </cell>
          <cell r="AB475">
            <v>20.746000000000002</v>
          </cell>
          <cell r="AC475">
            <v>85.22999999999999</v>
          </cell>
          <cell r="AD475">
            <v>20.375</v>
          </cell>
          <cell r="AE475">
            <v>20.620999999999999</v>
          </cell>
          <cell r="AF475">
            <v>20.592000000000006</v>
          </cell>
          <cell r="AG475">
            <v>20.41</v>
          </cell>
          <cell r="AH475">
            <v>81.998000000000005</v>
          </cell>
          <cell r="AI475">
            <v>19.566000000000003</v>
          </cell>
          <cell r="AJ475">
            <v>19.755000000000003</v>
          </cell>
          <cell r="AK475">
            <v>20.382000000000001</v>
          </cell>
          <cell r="AL475">
            <v>20.802000000000003</v>
          </cell>
          <cell r="AM475">
            <v>80.504999999999995</v>
          </cell>
          <cell r="AN475">
            <v>19.566000000000003</v>
          </cell>
          <cell r="AO475">
            <v>19.755000000000003</v>
          </cell>
          <cell r="AP475">
            <v>20.382000000000001</v>
          </cell>
          <cell r="AQ475">
            <v>20.802000000000003</v>
          </cell>
          <cell r="AR475">
            <v>80.504999999999995</v>
          </cell>
          <cell r="AS475">
            <v>20.056999999999999</v>
          </cell>
          <cell r="AT475">
            <v>17.363000000000003</v>
          </cell>
          <cell r="AU475">
            <v>17.916</v>
          </cell>
          <cell r="AV475">
            <v>19.210999999999995</v>
          </cell>
          <cell r="AW475">
            <v>74.546999999999997</v>
          </cell>
          <cell r="AX475">
            <v>18.908999999999999</v>
          </cell>
          <cell r="AY475">
            <v>19.759999999999998</v>
          </cell>
          <cell r="AZ475">
            <v>19.759</v>
          </cell>
          <cell r="BA475">
            <v>19.370999999999995</v>
          </cell>
          <cell r="BB475">
            <v>77.798999999999992</v>
          </cell>
          <cell r="BC475">
            <v>20.007999999999999</v>
          </cell>
          <cell r="BD475">
            <v>20.336000000000002</v>
          </cell>
          <cell r="BE475">
            <v>20.063999999999997</v>
          </cell>
          <cell r="BF475">
            <v>20.945000000000004</v>
          </cell>
          <cell r="BG475">
            <v>81.353000000000009</v>
          </cell>
          <cell r="BH475">
            <v>20.867554972027342</v>
          </cell>
          <cell r="BI475">
            <v>21.097499100155002</v>
          </cell>
          <cell r="BJ475">
            <v>21.07822721609805</v>
          </cell>
          <cell r="BK475">
            <v>21.246042188904635</v>
          </cell>
          <cell r="BL475">
            <v>84.289323477185036</v>
          </cell>
          <cell r="BM475">
            <v>83.586165325147633</v>
          </cell>
          <cell r="BN475">
            <v>84.28737226216154</v>
          </cell>
          <cell r="BO475">
            <v>85.36864306991157</v>
          </cell>
        </row>
        <row r="476">
          <cell r="A476" t="str">
            <v>Gain/Loss on Sale, Impairments, and Other</v>
          </cell>
          <cell r="J476">
            <v>0</v>
          </cell>
          <cell r="K476">
            <v>1.7999999999999999E-2</v>
          </cell>
          <cell r="L476">
            <v>5.7999999999999996E-2</v>
          </cell>
          <cell r="M476">
            <v>7.391</v>
          </cell>
          <cell r="N476">
            <v>7.4670000000000005</v>
          </cell>
          <cell r="O476">
            <v>0.89100000000000001</v>
          </cell>
          <cell r="P476">
            <v>-1.0000000000000009E-3</v>
          </cell>
          <cell r="Q476">
            <v>-0.16699999999999998</v>
          </cell>
          <cell r="R476">
            <v>0.37</v>
          </cell>
          <cell r="S476">
            <v>1.093</v>
          </cell>
          <cell r="T476">
            <v>-8.2000000000000003E-2</v>
          </cell>
          <cell r="U476">
            <v>0.83199999999999996</v>
          </cell>
          <cell r="V476">
            <v>-0.75</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-84.614999999999995</v>
          </cell>
          <cell r="AU476">
            <v>-5.0000000000096634E-3</v>
          </cell>
          <cell r="AV476">
            <v>0</v>
          </cell>
          <cell r="AW476">
            <v>-84.62</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cell r="BM476">
            <v>0</v>
          </cell>
          <cell r="BN476">
            <v>0</v>
          </cell>
          <cell r="BO476">
            <v>0</v>
          </cell>
        </row>
        <row r="477">
          <cell r="A477" t="str">
            <v>Plus: Total Non-Cash Charges</v>
          </cell>
          <cell r="J477">
            <v>7.609</v>
          </cell>
          <cell r="K477">
            <v>7.665</v>
          </cell>
          <cell r="L477">
            <v>8.4510000000000005</v>
          </cell>
          <cell r="M477">
            <v>17.212</v>
          </cell>
          <cell r="N477">
            <v>40.936999999999998</v>
          </cell>
          <cell r="O477">
            <v>10.371</v>
          </cell>
          <cell r="P477">
            <v>9.3989999999999991</v>
          </cell>
          <cell r="Q477">
            <v>9.1310000000000002</v>
          </cell>
          <cell r="R477">
            <v>9.7030000000000012</v>
          </cell>
          <cell r="S477">
            <v>38.603999999999999</v>
          </cell>
          <cell r="T477">
            <v>7.5889999999999995</v>
          </cell>
          <cell r="U477">
            <v>8.6650000000000009</v>
          </cell>
          <cell r="V477">
            <v>20.533999999999999</v>
          </cell>
          <cell r="W477">
            <v>22.224</v>
          </cell>
          <cell r="X477">
            <v>59.012</v>
          </cell>
          <cell r="Y477">
            <v>21.802</v>
          </cell>
          <cell r="Z477">
            <v>21.590999999999998</v>
          </cell>
          <cell r="AA477">
            <v>21.091000000000001</v>
          </cell>
          <cell r="AB477">
            <v>20.746000000000002</v>
          </cell>
          <cell r="AC477">
            <v>85.22999999999999</v>
          </cell>
          <cell r="AD477">
            <v>20.375</v>
          </cell>
          <cell r="AE477">
            <v>20.620999999999999</v>
          </cell>
          <cell r="AF477">
            <v>20.592000000000006</v>
          </cell>
          <cell r="AG477">
            <v>20.41</v>
          </cell>
          <cell r="AH477">
            <v>81.998000000000005</v>
          </cell>
          <cell r="AI477">
            <v>19.566000000000003</v>
          </cell>
          <cell r="AJ477">
            <v>19.755000000000003</v>
          </cell>
          <cell r="AK477">
            <v>20.382000000000001</v>
          </cell>
          <cell r="AL477">
            <v>20.802000000000003</v>
          </cell>
          <cell r="AM477">
            <v>80.504999999999995</v>
          </cell>
          <cell r="AN477">
            <v>19.566000000000003</v>
          </cell>
          <cell r="AO477">
            <v>19.755000000000003</v>
          </cell>
          <cell r="AP477">
            <v>20.382000000000001</v>
          </cell>
          <cell r="AQ477">
            <v>20.802000000000003</v>
          </cell>
          <cell r="AR477">
            <v>80.504999999999995</v>
          </cell>
          <cell r="AS477">
            <v>20.056999999999999</v>
          </cell>
          <cell r="AT477">
            <v>-67.251999999999995</v>
          </cell>
          <cell r="AU477">
            <v>17.910999999999991</v>
          </cell>
          <cell r="AV477">
            <v>19.210999999999995</v>
          </cell>
          <cell r="AW477">
            <v>-10.073000000000008</v>
          </cell>
          <cell r="AX477">
            <v>18.908999999999999</v>
          </cell>
          <cell r="AY477">
            <v>19.759999999999998</v>
          </cell>
          <cell r="AZ477">
            <v>19.759</v>
          </cell>
          <cell r="BA477">
            <v>19.370999999999995</v>
          </cell>
          <cell r="BB477">
            <v>77.798999999999992</v>
          </cell>
          <cell r="BC477">
            <v>20.007999999999999</v>
          </cell>
          <cell r="BD477">
            <v>20.336000000000002</v>
          </cell>
          <cell r="BE477">
            <v>20.063999999999997</v>
          </cell>
          <cell r="BF477">
            <v>20.945000000000004</v>
          </cell>
          <cell r="BG477">
            <v>81.353000000000009</v>
          </cell>
          <cell r="BH477">
            <v>20.867554972027342</v>
          </cell>
          <cell r="BI477">
            <v>21.097499100155002</v>
          </cell>
          <cell r="BJ477">
            <v>21.07822721609805</v>
          </cell>
          <cell r="BK477">
            <v>21.246042188904635</v>
          </cell>
          <cell r="BL477">
            <v>84.289323477185036</v>
          </cell>
          <cell r="BM477">
            <v>83.586165325147633</v>
          </cell>
          <cell r="BN477">
            <v>84.28737226216154</v>
          </cell>
          <cell r="BO477">
            <v>85.36864306991157</v>
          </cell>
        </row>
        <row r="478">
          <cell r="A478" t="str">
            <v>Less: Fixed Cap Inv (Capex, Purch of Intang)</v>
          </cell>
          <cell r="J478">
            <v>-0.96099999999999997</v>
          </cell>
          <cell r="K478">
            <v>-4.859</v>
          </cell>
          <cell r="L478">
            <v>-13.277000000000001</v>
          </cell>
          <cell r="M478">
            <v>-6.4589999999999996</v>
          </cell>
          <cell r="N478">
            <v>-25.556000000000001</v>
          </cell>
          <cell r="O478">
            <v>-6.0330000000000004</v>
          </cell>
          <cell r="P478">
            <v>-3.4859999999999998</v>
          </cell>
          <cell r="Q478">
            <v>-1.6690000000000005</v>
          </cell>
          <cell r="R478">
            <v>-2.2240000000000002</v>
          </cell>
          <cell r="S478">
            <v>-13.412000000000001</v>
          </cell>
          <cell r="T478">
            <v>-3.2850000000000001</v>
          </cell>
          <cell r="U478">
            <v>-1.4109999999999996</v>
          </cell>
          <cell r="V478">
            <v>-2.399</v>
          </cell>
          <cell r="W478">
            <v>-6.0729999999999995</v>
          </cell>
          <cell r="X478">
            <v>-13.167999999999999</v>
          </cell>
          <cell r="Y478">
            <v>-3.835</v>
          </cell>
          <cell r="Z478">
            <v>-2.8970000000000002</v>
          </cell>
          <cell r="AA478">
            <v>-10.11</v>
          </cell>
          <cell r="AB478">
            <v>-6.2690000000000019</v>
          </cell>
          <cell r="AC478">
            <v>-23.111000000000001</v>
          </cell>
          <cell r="AD478">
            <v>-4.2919999999999998</v>
          </cell>
          <cell r="AE478">
            <v>-15.654000000000002</v>
          </cell>
          <cell r="AF478">
            <v>-18.162999999999997</v>
          </cell>
          <cell r="AG478">
            <v>-6.7750000000000057</v>
          </cell>
          <cell r="AH478">
            <v>-44.884</v>
          </cell>
          <cell r="AI478">
            <v>-4.8</v>
          </cell>
          <cell r="AJ478">
            <v>-3.6909999999999998</v>
          </cell>
          <cell r="AK478">
            <v>-14.208000000000002</v>
          </cell>
          <cell r="AL478">
            <v>-20.812000000000001</v>
          </cell>
          <cell r="AM478">
            <v>-43.511000000000003</v>
          </cell>
          <cell r="AN478">
            <v>-4.8</v>
          </cell>
          <cell r="AO478">
            <v>-3.6909999999999998</v>
          </cell>
          <cell r="AP478">
            <v>-14.208000000000002</v>
          </cell>
          <cell r="AQ478">
            <v>-20.812000000000001</v>
          </cell>
          <cell r="AR478">
            <v>-43.511000000000003</v>
          </cell>
          <cell r="AS478">
            <v>-10.059999999999999</v>
          </cell>
          <cell r="AT478">
            <v>-11.904000000000003</v>
          </cell>
          <cell r="AU478">
            <v>-20.273</v>
          </cell>
          <cell r="AV478">
            <v>-8.6159999999999997</v>
          </cell>
          <cell r="AW478">
            <v>-50.853000000000002</v>
          </cell>
          <cell r="AX478">
            <v>-6.32</v>
          </cell>
          <cell r="AY478">
            <v>-11.962</v>
          </cell>
          <cell r="AZ478">
            <v>-12.305</v>
          </cell>
          <cell r="BA478">
            <v>-18.510000000000002</v>
          </cell>
          <cell r="BB478">
            <v>-49.097000000000001</v>
          </cell>
          <cell r="BC478">
            <v>-3.1349999999999998</v>
          </cell>
          <cell r="BD478">
            <v>-15.23</v>
          </cell>
          <cell r="BE478">
            <v>-13.727999999999994</v>
          </cell>
          <cell r="BF478">
            <v>-10.535000000000002</v>
          </cell>
          <cell r="BG478">
            <v>-42.628</v>
          </cell>
          <cell r="BH478">
            <v>-6.016699983046875</v>
          </cell>
          <cell r="BI478">
            <v>-12.312120121400003</v>
          </cell>
          <cell r="BJ478">
            <v>-12.288760261937032</v>
          </cell>
          <cell r="BK478">
            <v>-14.053693893960865</v>
          </cell>
          <cell r="BL478">
            <v>-44.671274260344774</v>
          </cell>
          <cell r="BM478">
            <v>-45.894795255564702</v>
          </cell>
          <cell r="BN478">
            <v>-47.221650823237667</v>
          </cell>
          <cell r="BO478">
            <v>-48.556108068529824</v>
          </cell>
        </row>
        <row r="479">
          <cell r="A479" t="str">
            <v>Less: Working Cap Inv</v>
          </cell>
          <cell r="J479">
            <v>-6.3039999999999914</v>
          </cell>
          <cell r="K479">
            <v>31.348999999999997</v>
          </cell>
          <cell r="L479">
            <v>-2.0000000000000009</v>
          </cell>
          <cell r="M479">
            <v>0.32300000000000928</v>
          </cell>
          <cell r="N479">
            <v>23.368000000000006</v>
          </cell>
          <cell r="O479">
            <v>-8.8589999999999947</v>
          </cell>
          <cell r="P479">
            <v>15.110000000000001</v>
          </cell>
          <cell r="Q479">
            <v>16.914000000000005</v>
          </cell>
          <cell r="R479">
            <v>-28.537999999999997</v>
          </cell>
          <cell r="S479">
            <v>-5.3729999999999958</v>
          </cell>
          <cell r="T479">
            <v>-51.860000000000007</v>
          </cell>
          <cell r="U479">
            <v>30.982000000000003</v>
          </cell>
          <cell r="V479">
            <v>10.126999999999999</v>
          </cell>
          <cell r="W479">
            <v>5.5759999999999987</v>
          </cell>
          <cell r="X479">
            <v>-5.1749999999999954</v>
          </cell>
          <cell r="Y479">
            <v>-102.459</v>
          </cell>
          <cell r="Z479">
            <v>38.458999999999996</v>
          </cell>
          <cell r="AA479">
            <v>31.556000000000001</v>
          </cell>
          <cell r="AB479">
            <v>-9.6970000000000027</v>
          </cell>
          <cell r="AC479">
            <v>-42.140999999999991</v>
          </cell>
          <cell r="AD479">
            <v>4.8489999999999931</v>
          </cell>
          <cell r="AE479">
            <v>48.878</v>
          </cell>
          <cell r="AF479">
            <v>26.398000000000007</v>
          </cell>
          <cell r="AG479">
            <v>-16.687000000000012</v>
          </cell>
          <cell r="AH479">
            <v>63.437999999999988</v>
          </cell>
          <cell r="AI479">
            <v>-7.8520000000000003</v>
          </cell>
          <cell r="AJ479">
            <v>-10.656999999999993</v>
          </cell>
          <cell r="AK479">
            <v>-7.8460000000000036</v>
          </cell>
          <cell r="AL479">
            <v>32.392000000000003</v>
          </cell>
          <cell r="AM479">
            <v>6.0370000000000026</v>
          </cell>
          <cell r="AN479">
            <v>-7.8520000000000003</v>
          </cell>
          <cell r="AO479">
            <v>-10.656999999999993</v>
          </cell>
          <cell r="AP479">
            <v>-7.8460000000000036</v>
          </cell>
          <cell r="AQ479">
            <v>32.392000000000003</v>
          </cell>
          <cell r="AR479">
            <v>6.0370000000000026</v>
          </cell>
          <cell r="AS479">
            <v>-53.396999999999998</v>
          </cell>
          <cell r="AT479">
            <v>-8.2500000000000018</v>
          </cell>
          <cell r="AU479">
            <v>31.411000000000001</v>
          </cell>
          <cell r="AV479">
            <v>31.265999999999998</v>
          </cell>
          <cell r="AW479">
            <v>1.029999999999998</v>
          </cell>
          <cell r="AX479">
            <v>-7.9920000000000044</v>
          </cell>
          <cell r="AY479">
            <v>-42.319999999999993</v>
          </cell>
          <cell r="AZ479">
            <v>52.42</v>
          </cell>
          <cell r="BA479">
            <v>-0.64600000000000657</v>
          </cell>
          <cell r="BB479">
            <v>1.4619999999999989</v>
          </cell>
          <cell r="BC479">
            <v>-47.867000000000004</v>
          </cell>
          <cell r="BD479">
            <v>22.737000000000013</v>
          </cell>
          <cell r="BE479">
            <v>56.779999999999994</v>
          </cell>
          <cell r="BF479">
            <v>49.66</v>
          </cell>
          <cell r="BG479">
            <v>81.31</v>
          </cell>
          <cell r="BH479">
            <v>-127.98321574933799</v>
          </cell>
          <cell r="BI479">
            <v>25.924607255236456</v>
          </cell>
          <cell r="BJ479">
            <v>55.593984621056151</v>
          </cell>
          <cell r="BK479">
            <v>47.264032552389793</v>
          </cell>
          <cell r="BL479">
            <v>0.7994086793444275</v>
          </cell>
          <cell r="BM479">
            <v>-2.3628678916555046</v>
          </cell>
          <cell r="BN479">
            <v>-1.2463301993336415</v>
          </cell>
          <cell r="BO479">
            <v>-2.5943482546650429</v>
          </cell>
        </row>
        <row r="481">
          <cell r="A481" t="str">
            <v>Free Cash Flow to Firm</v>
          </cell>
          <cell r="J481">
            <v>22.289199512789281</v>
          </cell>
          <cell r="K481">
            <v>54.332400592397562</v>
          </cell>
          <cell r="L481">
            <v>16.668333830895286</v>
          </cell>
          <cell r="M481">
            <v>30.085651060070681</v>
          </cell>
          <cell r="N481">
            <v>123.29714005454068</v>
          </cell>
          <cell r="O481">
            <v>16.258974076179655</v>
          </cell>
          <cell r="P481">
            <v>43.513872388339806</v>
          </cell>
          <cell r="Q481">
            <v>47.836750259559182</v>
          </cell>
          <cell r="R481">
            <v>6.0147008549164021</v>
          </cell>
          <cell r="S481">
            <v>113.58762149543354</v>
          </cell>
          <cell r="T481">
            <v>-17.891147797522649</v>
          </cell>
          <cell r="U481">
            <v>67.849361940396847</v>
          </cell>
          <cell r="V481">
            <v>49.00056822148953</v>
          </cell>
          <cell r="W481">
            <v>63.630943303510229</v>
          </cell>
          <cell r="X481">
            <v>164.44405462861027</v>
          </cell>
          <cell r="Y481">
            <v>-37.092939018446344</v>
          </cell>
          <cell r="Z481">
            <v>111.36843120530713</v>
          </cell>
          <cell r="AA481">
            <v>100.78436930824053</v>
          </cell>
          <cell r="AB481">
            <v>56.564246492128689</v>
          </cell>
          <cell r="AC481">
            <v>232.0094528591984</v>
          </cell>
          <cell r="AD481">
            <v>73.106309617667293</v>
          </cell>
          <cell r="AE481">
            <v>110.97018234051102</v>
          </cell>
          <cell r="AF481">
            <v>82.168256528295927</v>
          </cell>
          <cell r="AG481">
            <v>55.711027390590502</v>
          </cell>
          <cell r="AH481">
            <v>321.4117340372967</v>
          </cell>
          <cell r="AI481">
            <v>70.771880803341659</v>
          </cell>
          <cell r="AJ481">
            <v>70.415844234541268</v>
          </cell>
          <cell r="AK481">
            <v>57.606991269261485</v>
          </cell>
          <cell r="AL481">
            <v>89.488874999999979</v>
          </cell>
          <cell r="AM481">
            <v>282.25622312590946</v>
          </cell>
          <cell r="AN481">
            <v>66.13045492752839</v>
          </cell>
          <cell r="AO481">
            <v>65.725603832383754</v>
          </cell>
          <cell r="AP481">
            <v>52.319056659771576</v>
          </cell>
          <cell r="AQ481">
            <v>84.621999999999986</v>
          </cell>
          <cell r="AR481">
            <v>260.76744812837978</v>
          </cell>
          <cell r="AS481">
            <v>7.5887098160260393</v>
          </cell>
          <cell r="AT481">
            <v>-27.527931742561066</v>
          </cell>
          <cell r="AU481">
            <v>83.279333950833646</v>
          </cell>
          <cell r="AV481">
            <v>93.970415818921637</v>
          </cell>
          <cell r="AW481">
            <v>157.67187194637495</v>
          </cell>
          <cell r="AX481">
            <v>61.313858994991669</v>
          </cell>
          <cell r="AY481">
            <v>28.583868998581195</v>
          </cell>
          <cell r="AZ481">
            <v>130.81931572570863</v>
          </cell>
          <cell r="BA481">
            <v>75.739046736738644</v>
          </cell>
          <cell r="BB481">
            <v>295.96208475730293</v>
          </cell>
          <cell r="BC481">
            <v>44.245132676779313</v>
          </cell>
          <cell r="BD481">
            <v>111.53899053084936</v>
          </cell>
          <cell r="BE481">
            <v>145.62595734295857</v>
          </cell>
          <cell r="BF481">
            <v>148.64633245790205</v>
          </cell>
          <cell r="BG481">
            <v>450.09162346356749</v>
          </cell>
          <cell r="BH481">
            <v>-25.599649231814297</v>
          </cell>
          <cell r="BI481">
            <v>124.49525063703481</v>
          </cell>
          <cell r="BJ481">
            <v>155.42510806258173</v>
          </cell>
          <cell r="BK481">
            <v>147.6539939947242</v>
          </cell>
          <cell r="BL481">
            <v>401.93658495025636</v>
          </cell>
          <cell r="BM481">
            <v>438.91085208013857</v>
          </cell>
          <cell r="BN481">
            <v>479.99995648570075</v>
          </cell>
          <cell r="BO481">
            <v>523.06187096967938</v>
          </cell>
        </row>
        <row r="483">
          <cell r="A483" t="str">
            <v>Less: After-Tax Interest Expense</v>
          </cell>
          <cell r="J483">
            <v>-5.2819015834348342</v>
          </cell>
          <cell r="K483">
            <v>-4.088580154681587</v>
          </cell>
          <cell r="L483">
            <v>-3.7515539854711912</v>
          </cell>
          <cell r="M483">
            <v>-3.6569125441696113</v>
          </cell>
          <cell r="N483">
            <v>-16.768911613144482</v>
          </cell>
          <cell r="O483">
            <v>-3.5736180405533444</v>
          </cell>
          <cell r="P483">
            <v>-3.0090914550231456</v>
          </cell>
          <cell r="Q483">
            <v>-2.8725422562368359</v>
          </cell>
          <cell r="R483">
            <v>-2.7923853176304441</v>
          </cell>
          <cell r="S483">
            <v>-12.223480561186143</v>
          </cell>
          <cell r="T483">
            <v>-2.7846305175992883</v>
          </cell>
          <cell r="U483">
            <v>-5.7017311006297593</v>
          </cell>
          <cell r="V483">
            <v>-10.214429063227312</v>
          </cell>
          <cell r="W483">
            <v>-10.366367195912213</v>
          </cell>
          <cell r="X483">
            <v>-30.827418480562393</v>
          </cell>
          <cell r="Y483">
            <v>-10.423155875074981</v>
          </cell>
          <cell r="Z483">
            <v>-8.4262703540966672</v>
          </cell>
          <cell r="AA483">
            <v>-9.2868594290103701</v>
          </cell>
          <cell r="AB483">
            <v>-8.4159788101756785</v>
          </cell>
          <cell r="AC483">
            <v>-36.756078196596228</v>
          </cell>
          <cell r="AD483">
            <v>-7.9602563050455011</v>
          </cell>
          <cell r="AE483">
            <v>-19.396242224201465</v>
          </cell>
          <cell r="AF483">
            <v>-4.6706886260814349</v>
          </cell>
          <cell r="AG483">
            <v>-4.4257086112211974</v>
          </cell>
          <cell r="AH483">
            <v>-35.922109761617634</v>
          </cell>
          <cell r="AI483">
            <v>-4.9519184689590778</v>
          </cell>
          <cell r="AJ483">
            <v>-4.3512279555988993</v>
          </cell>
          <cell r="AK483">
            <v>-3.7368415133279984</v>
          </cell>
          <cell r="AL483">
            <v>-4.32125</v>
          </cell>
          <cell r="AM483">
            <v>-16.912917921654063</v>
          </cell>
          <cell r="AN483">
            <v>0</v>
          </cell>
          <cell r="AO483">
            <v>0</v>
          </cell>
          <cell r="AP483">
            <v>0</v>
          </cell>
          <cell r="AQ483">
            <v>0</v>
          </cell>
          <cell r="AR483">
            <v>0</v>
          </cell>
          <cell r="AS483">
            <v>-3.2439840909399953</v>
          </cell>
          <cell r="AT483">
            <v>-3.6264753303545967</v>
          </cell>
          <cell r="AU483">
            <v>-3.6208691733840692</v>
          </cell>
          <cell r="AV483">
            <v>-9.6645578585961331</v>
          </cell>
          <cell r="AW483">
            <v>-20.531418944555607</v>
          </cell>
          <cell r="AX483">
            <v>-7.0984740765536669</v>
          </cell>
          <cell r="AY483">
            <v>-7.1223242711336896</v>
          </cell>
          <cell r="AZ483">
            <v>-11.227524715289549</v>
          </cell>
          <cell r="BA483">
            <v>-16.079136476426804</v>
          </cell>
          <cell r="BB483">
            <v>-41.056079213047596</v>
          </cell>
          <cell r="BC483">
            <v>-15.231234431629153</v>
          </cell>
          <cell r="BD483">
            <v>-15.261645961188419</v>
          </cell>
          <cell r="BE483">
            <v>-17.933163696396715</v>
          </cell>
          <cell r="BF483">
            <v>-20.412088676038934</v>
          </cell>
          <cell r="BG483">
            <v>-68.737537480654666</v>
          </cell>
          <cell r="BH483">
            <v>-20.336969799999999</v>
          </cell>
          <cell r="BI483">
            <v>-19.75591352</v>
          </cell>
          <cell r="BJ483">
            <v>-19.75591352</v>
          </cell>
          <cell r="BK483">
            <v>-19.75591352</v>
          </cell>
          <cell r="BL483">
            <v>-79.56568807811351</v>
          </cell>
          <cell r="BM483">
            <v>-85.05250424372673</v>
          </cell>
          <cell r="BN483">
            <v>-86.494072112264462</v>
          </cell>
          <cell r="BO483">
            <v>-86.494072112264462</v>
          </cell>
        </row>
        <row r="484">
          <cell r="A484" t="str">
            <v>Plus: Net Borrowing</v>
          </cell>
          <cell r="J484">
            <v>-5.5620000000000118</v>
          </cell>
          <cell r="K484">
            <v>-5.5629999999999882</v>
          </cell>
          <cell r="L484">
            <v>-6.5579999999999927</v>
          </cell>
          <cell r="M484">
            <v>-5.5219999999999914</v>
          </cell>
          <cell r="N484">
            <v>0</v>
          </cell>
          <cell r="O484">
            <v>-5.521000000000015</v>
          </cell>
          <cell r="P484">
            <v>-5.5219999999999914</v>
          </cell>
          <cell r="Q484">
            <v>-5.521000000000015</v>
          </cell>
          <cell r="R484">
            <v>-5.5209999999999582</v>
          </cell>
          <cell r="S484">
            <v>0</v>
          </cell>
          <cell r="T484">
            <v>-10.523000000000025</v>
          </cell>
          <cell r="U484">
            <v>-298.61700000000002</v>
          </cell>
          <cell r="V484">
            <v>1195.1410000000001</v>
          </cell>
          <cell r="W484">
            <v>-2.9139999999999873</v>
          </cell>
          <cell r="X484">
            <v>0</v>
          </cell>
          <cell r="Y484">
            <v>-143.18399999999997</v>
          </cell>
          <cell r="Z484">
            <v>-2.5820000000001073</v>
          </cell>
          <cell r="AA484">
            <v>-2.5809999999999036</v>
          </cell>
          <cell r="AB484">
            <v>-37.563000000000102</v>
          </cell>
          <cell r="AC484">
            <v>0</v>
          </cell>
          <cell r="AD484">
            <v>-2.5829999999998563</v>
          </cell>
          <cell r="AE484">
            <v>-198.05900000000008</v>
          </cell>
          <cell r="AF484">
            <v>-10.762000000000057</v>
          </cell>
          <cell r="AG484">
            <v>-10.766999999999939</v>
          </cell>
          <cell r="AH484">
            <v>0</v>
          </cell>
          <cell r="AI484">
            <v>-25.754000000000019</v>
          </cell>
          <cell r="AJ484">
            <v>-10.771999999999935</v>
          </cell>
          <cell r="AK484">
            <v>-10.775000000000091</v>
          </cell>
          <cell r="AL484">
            <v>0.36700000000007549</v>
          </cell>
          <cell r="AM484">
            <v>0</v>
          </cell>
          <cell r="AN484">
            <v>21.17999999999995</v>
          </cell>
          <cell r="AO484">
            <v>-10.771999999999935</v>
          </cell>
          <cell r="AP484">
            <v>-10.775000000000091</v>
          </cell>
          <cell r="AQ484">
            <v>0.36700000000007549</v>
          </cell>
          <cell r="AR484">
            <v>0</v>
          </cell>
          <cell r="AS484">
            <v>-4.9420000000000073</v>
          </cell>
          <cell r="AT484">
            <v>-4.9429999999999836</v>
          </cell>
          <cell r="AU484">
            <v>-4.9430000000000973</v>
          </cell>
          <cell r="AV484">
            <v>7.0460000000000491</v>
          </cell>
          <cell r="AW484">
            <v>0</v>
          </cell>
          <cell r="AX484">
            <v>0</v>
          </cell>
          <cell r="AY484">
            <v>0</v>
          </cell>
          <cell r="AZ484">
            <v>778.84899999999993</v>
          </cell>
          <cell r="BA484">
            <v>0.55500000000006366</v>
          </cell>
          <cell r="BB484">
            <v>0</v>
          </cell>
          <cell r="BC484">
            <v>0.55600000000004002</v>
          </cell>
          <cell r="BD484">
            <v>0.55500000000006366</v>
          </cell>
          <cell r="BE484">
            <v>493.96299999999997</v>
          </cell>
          <cell r="BF484">
            <v>0.72299999999995634</v>
          </cell>
          <cell r="BG484">
            <v>0</v>
          </cell>
          <cell r="BH484">
            <v>0</v>
          </cell>
          <cell r="BI484">
            <v>0</v>
          </cell>
          <cell r="BJ484">
            <v>0</v>
          </cell>
          <cell r="BK484">
            <v>0</v>
          </cell>
          <cell r="BL484">
            <v>0</v>
          </cell>
          <cell r="BM484">
            <v>0</v>
          </cell>
          <cell r="BN484">
            <v>0</v>
          </cell>
          <cell r="BO484">
            <v>0</v>
          </cell>
        </row>
        <row r="486">
          <cell r="A486" t="str">
            <v>Free Cash Flow to Equity</v>
          </cell>
          <cell r="J486">
            <v>11.445297929354435</v>
          </cell>
          <cell r="K486">
            <v>44.680820437715987</v>
          </cell>
          <cell r="L486">
            <v>6.3587798454241025</v>
          </cell>
          <cell r="M486">
            <v>20.906738515901079</v>
          </cell>
          <cell r="N486">
            <v>106.52822844139619</v>
          </cell>
          <cell r="O486">
            <v>7.1643560356262945</v>
          </cell>
          <cell r="P486">
            <v>34.982780933316668</v>
          </cell>
          <cell r="Q486">
            <v>39.443208003322333</v>
          </cell>
          <cell r="R486">
            <v>-2.2986844627140002</v>
          </cell>
          <cell r="S486">
            <v>101.36414093424739</v>
          </cell>
          <cell r="T486">
            <v>-31.198778315121963</v>
          </cell>
          <cell r="U486">
            <v>-236.46936916023293</v>
          </cell>
          <cell r="V486">
            <v>1233.9271391582622</v>
          </cell>
          <cell r="W486">
            <v>50.35057610759803</v>
          </cell>
          <cell r="X486">
            <v>133.61663614804789</v>
          </cell>
          <cell r="Y486">
            <v>-190.70009489352128</v>
          </cell>
          <cell r="Z486">
            <v>100.36016085121035</v>
          </cell>
          <cell r="AA486">
            <v>88.916509879230262</v>
          </cell>
          <cell r="AB486">
            <v>10.585267681952907</v>
          </cell>
          <cell r="AC486">
            <v>195.25337466260217</v>
          </cell>
          <cell r="AD486">
            <v>62.563053312621932</v>
          </cell>
          <cell r="AE486">
            <v>-106.48505988369052</v>
          </cell>
          <cell r="AF486">
            <v>66.735567902214441</v>
          </cell>
          <cell r="AG486">
            <v>40.518318779369366</v>
          </cell>
          <cell r="AH486">
            <v>285.48962427567903</v>
          </cell>
          <cell r="AI486">
            <v>40.065962334382561</v>
          </cell>
          <cell r="AJ486">
            <v>55.292616278942432</v>
          </cell>
          <cell r="AK486">
            <v>43.095149755933399</v>
          </cell>
          <cell r="AL486">
            <v>85.534625000000048</v>
          </cell>
          <cell r="AM486">
            <v>265.34330520425539</v>
          </cell>
          <cell r="AN486">
            <v>87.31045492752834</v>
          </cell>
          <cell r="AO486">
            <v>54.95360383238382</v>
          </cell>
          <cell r="AP486">
            <v>41.544056659771485</v>
          </cell>
          <cell r="AQ486">
            <v>84.989000000000061</v>
          </cell>
          <cell r="AR486">
            <v>260.76744812837978</v>
          </cell>
          <cell r="AS486">
            <v>-0.59727427491396323</v>
          </cell>
          <cell r="AT486">
            <v>-36.097407072915644</v>
          </cell>
          <cell r="AU486">
            <v>74.715464777449483</v>
          </cell>
          <cell r="AV486">
            <v>91.35185796032556</v>
          </cell>
          <cell r="AW486">
            <v>137.14045300181934</v>
          </cell>
          <cell r="AX486">
            <v>54.215384918438005</v>
          </cell>
          <cell r="AY486">
            <v>21.461544727447507</v>
          </cell>
          <cell r="AZ486">
            <v>898.44079101041905</v>
          </cell>
          <cell r="BA486">
            <v>60.214910260311903</v>
          </cell>
          <cell r="BB486">
            <v>254.90600554425532</v>
          </cell>
          <cell r="BC486">
            <v>29.569898245150199</v>
          </cell>
          <cell r="BD486">
            <v>96.832344569661004</v>
          </cell>
          <cell r="BE486">
            <v>621.65579364656185</v>
          </cell>
          <cell r="BF486">
            <v>128.95724378186307</v>
          </cell>
          <cell r="BG486">
            <v>381.35408598291281</v>
          </cell>
          <cell r="BH486">
            <v>-45.936619031814296</v>
          </cell>
          <cell r="BI486">
            <v>104.73933711703481</v>
          </cell>
          <cell r="BJ486">
            <v>135.66919454258172</v>
          </cell>
          <cell r="BK486">
            <v>127.8980804747242</v>
          </cell>
          <cell r="BL486">
            <v>322.37089687214285</v>
          </cell>
          <cell r="BM486">
            <v>353.85834783641184</v>
          </cell>
          <cell r="BN486">
            <v>393.50588437343629</v>
          </cell>
          <cell r="BO486">
            <v>436.56779885741491</v>
          </cell>
        </row>
        <row r="488">
          <cell r="A488" t="str">
            <v>Share Repurchases</v>
          </cell>
          <cell r="T488">
            <v>2.4460000000000002</v>
          </cell>
          <cell r="U488">
            <v>4.0000000000000036E-3</v>
          </cell>
          <cell r="V488">
            <v>1.7569999999999997</v>
          </cell>
          <cell r="W488">
            <v>9.9439999999999991</v>
          </cell>
          <cell r="X488">
            <v>14.151</v>
          </cell>
          <cell r="Y488">
            <v>2.8959999999999999</v>
          </cell>
          <cell r="Z488">
            <v>1.8000000000000238E-2</v>
          </cell>
          <cell r="AA488">
            <v>2.6999999999999691E-2</v>
          </cell>
          <cell r="AB488">
            <v>11.684999999999999</v>
          </cell>
          <cell r="AC488">
            <v>14.625999999999998</v>
          </cell>
          <cell r="AD488">
            <v>2.3090000000000002</v>
          </cell>
          <cell r="AE488">
            <v>0.17399999999999993</v>
          </cell>
          <cell r="AF488">
            <v>0.44099999999999984</v>
          </cell>
          <cell r="AG488">
            <v>103.065</v>
          </cell>
          <cell r="AH488">
            <v>105.989</v>
          </cell>
          <cell r="AI488">
            <v>9.3970000000000002</v>
          </cell>
          <cell r="AJ488">
            <v>0.2419999999999991</v>
          </cell>
          <cell r="AK488">
            <v>100.28899999999999</v>
          </cell>
          <cell r="AL488">
            <v>2.2550000000000239</v>
          </cell>
          <cell r="AM488">
            <v>112.18300000000001</v>
          </cell>
          <cell r="AN488">
            <v>9.3970000000000002</v>
          </cell>
          <cell r="AO488">
            <v>0.2419999999999991</v>
          </cell>
          <cell r="AP488">
            <v>100.28899999999999</v>
          </cell>
          <cell r="AQ488">
            <v>2.2550000000000239</v>
          </cell>
          <cell r="AR488">
            <v>112.18300000000001</v>
          </cell>
          <cell r="AS488">
            <v>107.15900000000001</v>
          </cell>
          <cell r="AT488">
            <v>1.7439999999999998</v>
          </cell>
          <cell r="AU488">
            <v>300.49299999999999</v>
          </cell>
          <cell r="AV488">
            <v>0.25499999999999545</v>
          </cell>
          <cell r="AW488">
            <v>409.65100000000001</v>
          </cell>
          <cell r="AX488">
            <v>10.352</v>
          </cell>
          <cell r="AY488">
            <v>87.214999999999989</v>
          </cell>
          <cell r="AZ488">
            <v>347.07300000000004</v>
          </cell>
          <cell r="BA488">
            <v>256.07499999999999</v>
          </cell>
          <cell r="BB488">
            <v>700.71500000000003</v>
          </cell>
          <cell r="BC488">
            <v>346.71499999999997</v>
          </cell>
          <cell r="BD488">
            <v>120.03000000000003</v>
          </cell>
          <cell r="BE488">
            <v>32.117999999999995</v>
          </cell>
          <cell r="BF488">
            <v>275.70200000000006</v>
          </cell>
          <cell r="BG488">
            <v>774.56500000000005</v>
          </cell>
          <cell r="BH488">
            <v>50</v>
          </cell>
          <cell r="BI488">
            <v>100</v>
          </cell>
          <cell r="BJ488">
            <v>100</v>
          </cell>
          <cell r="BK488">
            <v>100</v>
          </cell>
          <cell r="BL488">
            <v>350</v>
          </cell>
          <cell r="BM488">
            <v>300</v>
          </cell>
          <cell r="BN488">
            <v>300</v>
          </cell>
          <cell r="BO488">
            <v>300</v>
          </cell>
        </row>
        <row r="489">
          <cell r="A489" t="str">
            <v>Dividends</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20.393000000000001</v>
          </cell>
          <cell r="AW489">
            <v>20.393000000000001</v>
          </cell>
          <cell r="AX489">
            <v>20.405999999999999</v>
          </cell>
          <cell r="AY489">
            <v>20.437000000000005</v>
          </cell>
          <cell r="AZ489">
            <v>24.146000000000001</v>
          </cell>
          <cell r="BA489">
            <v>22.753999999999991</v>
          </cell>
          <cell r="BB489">
            <v>87.742999999999995</v>
          </cell>
          <cell r="BC489">
            <v>21.888999999999999</v>
          </cell>
          <cell r="BD489">
            <v>21.391999999999999</v>
          </cell>
          <cell r="BE489">
            <v>26.652000000000008</v>
          </cell>
          <cell r="BF489">
            <v>26.257999999999996</v>
          </cell>
          <cell r="BG489">
            <v>96.191000000000003</v>
          </cell>
          <cell r="BH489">
            <v>23.481010007659037</v>
          </cell>
          <cell r="BI489">
            <v>23.166375101003986</v>
          </cell>
          <cell r="BJ489">
            <v>25.143692099918766</v>
          </cell>
          <cell r="BK489">
            <v>24.811016738799921</v>
          </cell>
          <cell r="BL489">
            <v>96.602093947381704</v>
          </cell>
          <cell r="BM489">
            <v>98.763462904734595</v>
          </cell>
          <cell r="BN489">
            <v>109.80877610054388</v>
          </cell>
          <cell r="BO489">
            <v>121.91228456823055</v>
          </cell>
        </row>
        <row r="490">
          <cell r="A490" t="str">
            <v>FCFE Coverage Ratio</v>
          </cell>
          <cell r="T490">
            <v>-12.755019752707261</v>
          </cell>
          <cell r="U490">
            <v>-59117.342290058179</v>
          </cell>
          <cell r="V490">
            <v>702.29205415951196</v>
          </cell>
          <cell r="W490">
            <v>5.0634127220030205</v>
          </cell>
          <cell r="X490">
            <v>9.4422045189773076</v>
          </cell>
          <cell r="Y490">
            <v>-65.849480280912047</v>
          </cell>
          <cell r="Z490">
            <v>5575.564491733835</v>
          </cell>
          <cell r="AA490">
            <v>3293.2040696011586</v>
          </cell>
          <cell r="AB490">
            <v>0.90588512468574311</v>
          </cell>
          <cell r="AC490">
            <v>13.349745293491194</v>
          </cell>
          <cell r="AD490">
            <v>27.095302430758739</v>
          </cell>
          <cell r="AE490">
            <v>-611.9831027798308</v>
          </cell>
          <cell r="AF490">
            <v>151.3278183723684</v>
          </cell>
          <cell r="AG490">
            <v>0.39313364167631465</v>
          </cell>
          <cell r="AH490">
            <v>2.6935778644546038</v>
          </cell>
          <cell r="AI490">
            <v>4.2636971729682411</v>
          </cell>
          <cell r="AJ490">
            <v>228.48188545017618</v>
          </cell>
          <cell r="AK490">
            <v>0.42970963670924434</v>
          </cell>
          <cell r="AL490">
            <v>37.931097560975232</v>
          </cell>
          <cell r="AM490">
            <v>2.3652719681614447</v>
          </cell>
          <cell r="AN490">
            <v>9.2913115810927245</v>
          </cell>
          <cell r="AO490">
            <v>227.08100757183482</v>
          </cell>
          <cell r="AP490">
            <v>0.41424340316257507</v>
          </cell>
          <cell r="AQ490">
            <v>37.689135254988543</v>
          </cell>
          <cell r="AR490">
            <v>2.3244827480846455</v>
          </cell>
          <cell r="AS490">
            <v>-5.5737201253647679E-3</v>
          </cell>
          <cell r="AT490">
            <v>-20.698054514286497</v>
          </cell>
          <cell r="AU490">
            <v>0.24864294601687723</v>
          </cell>
          <cell r="AV490">
            <v>4.4242472859514521</v>
          </cell>
          <cell r="AW490">
            <v>0.31889865456050859</v>
          </cell>
          <cell r="AX490">
            <v>1.7626433746809937</v>
          </cell>
          <cell r="AY490">
            <v>0.19936039021520743</v>
          </cell>
          <cell r="AZ490">
            <v>2.4202446292092241</v>
          </cell>
          <cell r="BA490">
            <v>0.215956411493467</v>
          </cell>
          <cell r="BB490">
            <v>0.3232968725591665</v>
          </cell>
          <cell r="BC490">
            <v>8.0221316765825113E-2</v>
          </cell>
          <cell r="BD490">
            <v>0.68470495799565123</v>
          </cell>
          <cell r="BE490">
            <v>10.577774266574133</v>
          </cell>
          <cell r="BF490">
            <v>0.42706730620566652</v>
          </cell>
          <cell r="BG490">
            <v>0.43795745993471508</v>
          </cell>
          <cell r="BH490">
            <v>-0.62514953219922065</v>
          </cell>
          <cell r="BI490">
            <v>0.85038905327157777</v>
          </cell>
          <cell r="BJ490">
            <v>1.0841073350645516</v>
          </cell>
          <cell r="BK490">
            <v>1.0247339042384758</v>
          </cell>
          <cell r="BL490">
            <v>0.72183024047828204</v>
          </cell>
          <cell r="BM490">
            <v>0.88738909342090189</v>
          </cell>
          <cell r="BN490">
            <v>0.96021829526874802</v>
          </cell>
          <cell r="BO490">
            <v>1.0347359269336807</v>
          </cell>
        </row>
        <row r="497">
          <cell r="A497" t="str">
            <v>Stock based compensation</v>
          </cell>
          <cell r="E497">
            <v>0</v>
          </cell>
          <cell r="F497">
            <v>0</v>
          </cell>
          <cell r="G497">
            <v>0</v>
          </cell>
          <cell r="H497">
            <v>1.034</v>
          </cell>
          <cell r="I497">
            <v>1.034</v>
          </cell>
          <cell r="J497">
            <v>4.875</v>
          </cell>
          <cell r="K497">
            <v>7.2219999999999995</v>
          </cell>
          <cell r="L497">
            <v>5.3970000000000002</v>
          </cell>
          <cell r="M497">
            <v>12.844000000000001</v>
          </cell>
          <cell r="N497">
            <v>30.338000000000001</v>
          </cell>
          <cell r="O497">
            <v>7.7359999999999998</v>
          </cell>
          <cell r="P497">
            <v>8.977999999999998</v>
          </cell>
          <cell r="Q497">
            <v>8.3540000000000028</v>
          </cell>
          <cell r="R497">
            <v>3.1660000000000004</v>
          </cell>
          <cell r="T497">
            <v>5.12</v>
          </cell>
          <cell r="U497">
            <v>3.9029999999999996</v>
          </cell>
          <cell r="V497">
            <v>13.920999999999999</v>
          </cell>
          <cell r="W497">
            <v>0.80399999999999849</v>
          </cell>
          <cell r="Y497">
            <v>8.4540000000000006</v>
          </cell>
          <cell r="Z497">
            <v>8.0079999999999991</v>
          </cell>
          <cell r="AA497">
            <v>7.8599999999999994</v>
          </cell>
          <cell r="AB497">
            <v>7.4009999999999998</v>
          </cell>
          <cell r="AC497">
            <v>31.722999999999999</v>
          </cell>
          <cell r="AD497">
            <v>5.843</v>
          </cell>
          <cell r="AE497">
            <v>6.0289999999999999</v>
          </cell>
          <cell r="AF497">
            <v>7.536999999999999</v>
          </cell>
          <cell r="AG497">
            <v>5.9140000000000015</v>
          </cell>
          <cell r="AH497">
            <v>25.323</v>
          </cell>
          <cell r="AI497">
            <v>6.8109999999999999</v>
          </cell>
          <cell r="AJ497">
            <v>6.0180000000000007</v>
          </cell>
          <cell r="AK497">
            <v>6.320999999999998</v>
          </cell>
          <cell r="AL497">
            <v>5.8540000000000028</v>
          </cell>
          <cell r="AM497">
            <v>25.004000000000001</v>
          </cell>
          <cell r="AN497">
            <v>6.8109999999999999</v>
          </cell>
          <cell r="AO497">
            <v>6.0180000000000007</v>
          </cell>
          <cell r="AP497">
            <v>6.320999999999998</v>
          </cell>
          <cell r="AQ497">
            <v>5.8540000000000028</v>
          </cell>
          <cell r="AR497">
            <v>25.004000000000001</v>
          </cell>
          <cell r="AS497">
            <v>5.1710000000000003</v>
          </cell>
          <cell r="AT497">
            <v>7.2860000000000005</v>
          </cell>
          <cell r="AU497">
            <v>7.6589999999999989</v>
          </cell>
          <cell r="AV497">
            <v>6.4690000000000012</v>
          </cell>
          <cell r="AW497">
            <v>26.585000000000001</v>
          </cell>
          <cell r="AX497">
            <v>7.35</v>
          </cell>
          <cell r="AY497">
            <v>7.1890000000000001</v>
          </cell>
          <cell r="AZ497">
            <v>6.0129999999999999</v>
          </cell>
          <cell r="BA497">
            <v>8.0060000000000002</v>
          </cell>
          <cell r="BB497">
            <v>28.558</v>
          </cell>
          <cell r="BC497">
            <v>7.08</v>
          </cell>
          <cell r="BD497">
            <v>8.1929999999999996</v>
          </cell>
          <cell r="BE497">
            <v>8.3180000000000014</v>
          </cell>
          <cell r="BF497">
            <v>8.4099999999999966</v>
          </cell>
          <cell r="BG497">
            <v>32.000999999999998</v>
          </cell>
          <cell r="BH497">
            <v>8.3666153111024926</v>
          </cell>
          <cell r="BI497">
            <v>8.5604046246355612</v>
          </cell>
          <cell r="BJ497">
            <v>8.5441629175204667</v>
          </cell>
          <cell r="BK497">
            <v>8.6855918317769927</v>
          </cell>
          <cell r="BL497">
            <v>34.156774685035515</v>
          </cell>
          <cell r="BM497">
            <v>36.601765138219008</v>
          </cell>
          <cell r="BN497">
            <v>39.352661560203011</v>
          </cell>
          <cell r="BO497">
            <v>42.369119419332932</v>
          </cell>
          <cell r="BR497" t="str">
            <v>Stock based compensation</v>
          </cell>
          <cell r="BS497">
            <v>0</v>
          </cell>
          <cell r="BT497">
            <v>1.034</v>
          </cell>
          <cell r="BU497">
            <v>30.338000000000001</v>
          </cell>
          <cell r="BV497">
            <v>0</v>
          </cell>
          <cell r="BW497">
            <v>0</v>
          </cell>
          <cell r="BX497">
            <v>31.722999999999999</v>
          </cell>
          <cell r="BY497">
            <v>25.323</v>
          </cell>
          <cell r="BZ497">
            <v>25.004000000000001</v>
          </cell>
          <cell r="CA497">
            <v>26.585000000000001</v>
          </cell>
          <cell r="CB497">
            <v>28.558</v>
          </cell>
          <cell r="CC497">
            <v>32.000999999999998</v>
          </cell>
          <cell r="CD497">
            <v>34.156774685035515</v>
          </cell>
          <cell r="CE497">
            <v>36.601765138219008</v>
          </cell>
          <cell r="CF497">
            <v>39.352661560203011</v>
          </cell>
          <cell r="CG497">
            <v>42.369119419332932</v>
          </cell>
        </row>
        <row r="498">
          <cell r="A498" t="str">
            <v xml:space="preserve">  % of revenue</v>
          </cell>
          <cell r="E498">
            <v>0</v>
          </cell>
          <cell r="F498">
            <v>0</v>
          </cell>
          <cell r="G498">
            <v>0</v>
          </cell>
          <cell r="H498">
            <v>1.0171358869936455E-2</v>
          </cell>
          <cell r="I498">
            <v>2.7954558972223872E-3</v>
          </cell>
          <cell r="J498">
            <v>4.6450248211069932E-2</v>
          </cell>
          <cell r="K498">
            <v>6.6749849808216632E-2</v>
          </cell>
          <cell r="L498">
            <v>4.8886312376017899E-2</v>
          </cell>
          <cell r="M498">
            <v>0.11957250316526404</v>
          </cell>
          <cell r="N498">
            <v>7.0396161137550733E-2</v>
          </cell>
          <cell r="O498">
            <v>7.3039701647547556E-2</v>
          </cell>
          <cell r="P498">
            <v>8.208457142857141E-2</v>
          </cell>
          <cell r="Q498">
            <v>7.6735128779806761E-2</v>
          </cell>
          <cell r="R498">
            <v>2.6652075090495837E-2</v>
          </cell>
          <cell r="T498">
            <v>4.2077580539119003E-2</v>
          </cell>
          <cell r="U498">
            <v>3.118159303347447E-2</v>
          </cell>
          <cell r="V498">
            <v>6.8666669955064041E-2</v>
          </cell>
          <cell r="W498">
            <v>3.7690208983770642E-3</v>
          </cell>
          <cell r="Y498">
            <v>3.7859721090202338E-2</v>
          </cell>
          <cell r="Z498">
            <v>3.5358062194513491E-2</v>
          </cell>
          <cell r="AA498">
            <v>3.4929297059006513E-2</v>
          </cell>
          <cell r="AB498">
            <v>3.272838228660882E-2</v>
          </cell>
          <cell r="AC498">
            <v>3.5210962760047551E-2</v>
          </cell>
          <cell r="AD498">
            <v>2.5509491294553203E-2</v>
          </cell>
          <cell r="AE498">
            <v>2.5271938465407751E-2</v>
          </cell>
          <cell r="AF498">
            <v>3.2011858446169786E-2</v>
          </cell>
          <cell r="AG498">
            <v>2.3935567427553834E-2</v>
          </cell>
          <cell r="AH498">
            <v>2.665183378045995E-2</v>
          </cell>
          <cell r="AI498">
            <v>2.7037541334370745E-2</v>
          </cell>
          <cell r="AJ498">
            <v>2.3334806784077428E-2</v>
          </cell>
          <cell r="AK498">
            <v>2.4477420054368447E-2</v>
          </cell>
          <cell r="AL498">
            <v>2.1874135908109212E-2</v>
          </cell>
          <cell r="AM498">
            <v>2.414289535149812E-2</v>
          </cell>
          <cell r="AN498">
            <v>3.1027492426485663E-2</v>
          </cell>
          <cell r="AO498">
            <v>2.6351972675920661E-2</v>
          </cell>
          <cell r="AP498">
            <v>2.7638707307794885E-2</v>
          </cell>
          <cell r="AQ498">
            <v>2.4721283783783798E-2</v>
          </cell>
          <cell r="AR498">
            <v>2.7375063773694804E-2</v>
          </cell>
          <cell r="AS498">
            <v>2.1572799332498956E-2</v>
          </cell>
          <cell r="AT498">
            <v>2.8651762716530013E-2</v>
          </cell>
          <cell r="AU498">
            <v>3.0446379945698186E-2</v>
          </cell>
          <cell r="AV498">
            <v>2.5757207757820935E-2</v>
          </cell>
          <cell r="AW498">
            <v>2.6672887163202753E-2</v>
          </cell>
          <cell r="AX498">
            <v>2.7970165157165692E-2</v>
          </cell>
          <cell r="AY498">
            <v>2.6570816085156712E-2</v>
          </cell>
          <cell r="AZ498">
            <v>2.2371705912336254E-2</v>
          </cell>
          <cell r="BA498">
            <v>2.933750590890935E-2</v>
          </cell>
          <cell r="BB498">
            <v>2.6565334275960223E-2</v>
          </cell>
          <cell r="BC498">
            <v>2.5391997934210341E-2</v>
          </cell>
          <cell r="BD498">
            <v>2.8193781056862446E-2</v>
          </cell>
          <cell r="BE498">
            <v>2.8838586430817555E-2</v>
          </cell>
          <cell r="BF498">
            <v>2.872150048495279E-2</v>
          </cell>
          <cell r="BG498">
            <v>2.7811309637099817E-2</v>
          </cell>
          <cell r="BH498">
            <v>2.7811309637099817E-2</v>
          </cell>
          <cell r="BI498">
            <v>2.7811309637099817E-2</v>
          </cell>
          <cell r="BJ498">
            <v>2.7811309637099817E-2</v>
          </cell>
          <cell r="BK498">
            <v>2.7811309637099817E-2</v>
          </cell>
          <cell r="BL498">
            <v>2.7811309637099817E-2</v>
          </cell>
          <cell r="BM498">
            <v>2.7811309637099817E-2</v>
          </cell>
          <cell r="BN498">
            <v>2.7811309637099817E-2</v>
          </cell>
          <cell r="BO498">
            <v>2.7811309637099817E-2</v>
          </cell>
          <cell r="BR498" t="str">
            <v xml:space="preserve">  % of revenue</v>
          </cell>
          <cell r="BS498">
            <v>0</v>
          </cell>
          <cell r="BT498">
            <v>2.7954558972223872E-3</v>
          </cell>
          <cell r="BU498">
            <v>7.0396161137550733E-2</v>
          </cell>
          <cell r="BV498">
            <v>0</v>
          </cell>
          <cell r="BW498">
            <v>0</v>
          </cell>
          <cell r="BX498">
            <v>3.5210962760047551E-2</v>
          </cell>
          <cell r="BY498">
            <v>2.665183378045995E-2</v>
          </cell>
          <cell r="BZ498">
            <v>2.7375063773694804E-2</v>
          </cell>
          <cell r="CA498">
            <v>2.6672887163202753E-2</v>
          </cell>
          <cell r="CB498">
            <v>2.6565334275960223E-2</v>
          </cell>
          <cell r="CC498">
            <v>2.7811309637099817E-2</v>
          </cell>
          <cell r="CD498">
            <v>2.7811309637099817E-2</v>
          </cell>
          <cell r="CE498">
            <v>2.7811309637099817E-2</v>
          </cell>
          <cell r="CF498">
            <v>2.7811309637099817E-2</v>
          </cell>
          <cell r="CG498">
            <v>2.7811309637099817E-2</v>
          </cell>
        </row>
        <row r="500">
          <cell r="A500" t="str">
            <v>Net debt to Adj. EBITDA</v>
          </cell>
          <cell r="AU500">
            <v>0.85172815015921421</v>
          </cell>
          <cell r="AV500">
            <v>0.71228952563610048</v>
          </cell>
          <cell r="AW500">
            <v>0.71228952563610026</v>
          </cell>
          <cell r="AX500">
            <v>0.62455874576610237</v>
          </cell>
          <cell r="AY500">
            <v>0.7982985971294605</v>
          </cell>
          <cell r="AZ500">
            <v>1.2749835015126334</v>
          </cell>
          <cell r="BA500">
            <v>1.6642702628639756</v>
          </cell>
          <cell r="BB500">
            <v>1.6642702628639756</v>
          </cell>
          <cell r="BC500">
            <v>2.237696207074003</v>
          </cell>
          <cell r="BD500">
            <v>2.1981934996644594</v>
          </cell>
          <cell r="BE500">
            <v>2.0028503096025942</v>
          </cell>
          <cell r="BF500">
            <v>2.2537346981422646</v>
          </cell>
          <cell r="BG500">
            <v>2.253734698142265</v>
          </cell>
          <cell r="BH500">
            <v>2.3924273954663495</v>
          </cell>
          <cell r="BI500">
            <v>2.3777619837638779</v>
          </cell>
          <cell r="BJ500">
            <v>2.2974216067368332</v>
          </cell>
          <cell r="BK500">
            <v>2.2330855109892167</v>
          </cell>
          <cell r="BL500">
            <v>2.2330855109892167</v>
          </cell>
          <cell r="BM500">
            <v>2.0583447620920898</v>
          </cell>
          <cell r="BN500">
            <v>1.845600900922072</v>
          </cell>
          <cell r="BO500">
            <v>1.6085904401464917</v>
          </cell>
          <cell r="BR500" t="str">
            <v>Net debt to Adj. EBITDA</v>
          </cell>
          <cell r="BS500">
            <v>0</v>
          </cell>
          <cell r="BT500">
            <v>0</v>
          </cell>
          <cell r="BU500">
            <v>0</v>
          </cell>
          <cell r="BV500">
            <v>0</v>
          </cell>
          <cell r="BW500">
            <v>0</v>
          </cell>
          <cell r="CA500">
            <v>0.71228952563610026</v>
          </cell>
          <cell r="CB500">
            <v>1.6642702628639756</v>
          </cell>
          <cell r="CC500">
            <v>2.253734698142265</v>
          </cell>
          <cell r="CD500">
            <v>2.2330855109892167</v>
          </cell>
          <cell r="CE500">
            <v>2.0583447620920898</v>
          </cell>
          <cell r="CF500">
            <v>1.845600900922072</v>
          </cell>
          <cell r="CG500">
            <v>1.6085904401464917</v>
          </cell>
        </row>
        <row r="502">
          <cell r="A502" t="str">
            <v>ROIC Calculation</v>
          </cell>
          <cell r="BR502" t="str">
            <v>ROIC Calculation</v>
          </cell>
        </row>
        <row r="503">
          <cell r="A503" t="str">
            <v>NOPAT (T4Q)</v>
          </cell>
          <cell r="K503">
            <v>142.19900000000001</v>
          </cell>
          <cell r="L503">
            <v>146.45500000000001</v>
          </cell>
          <cell r="M503">
            <v>135.79</v>
          </cell>
          <cell r="N503">
            <v>135.79</v>
          </cell>
          <cell r="O503">
            <v>133.41200000000001</v>
          </cell>
          <cell r="P503">
            <v>137.15899999999999</v>
          </cell>
          <cell r="Q503">
            <v>137.43799999999999</v>
          </cell>
          <cell r="R503">
            <v>150.99199999999999</v>
          </cell>
          <cell r="S503">
            <v>150.99199999999999</v>
          </cell>
          <cell r="T503">
            <v>147.87285220247736</v>
          </cell>
          <cell r="U503">
            <v>140.83221414287416</v>
          </cell>
          <cell r="V503">
            <v>123.77278236436374</v>
          </cell>
          <cell r="W503">
            <v>121.92072566787397</v>
          </cell>
          <cell r="X503">
            <v>121.92072566787397</v>
          </cell>
          <cell r="Y503">
            <v>139.65493444695028</v>
          </cell>
          <cell r="Z503">
            <v>164.25700371186059</v>
          </cell>
          <cell r="AA503">
            <v>201.76580479861155</v>
          </cell>
          <cell r="AB503">
            <v>211.64610798723001</v>
          </cell>
          <cell r="AC503">
            <v>211.64610798723001</v>
          </cell>
          <cell r="AD503">
            <v>216.42135662334366</v>
          </cell>
          <cell r="AE503">
            <v>219.33110775854755</v>
          </cell>
          <cell r="AF503">
            <v>214.42499497860291</v>
          </cell>
          <cell r="AG503">
            <v>221.40377587706473</v>
          </cell>
          <cell r="AH503">
            <v>221.40377587706473</v>
          </cell>
          <cell r="AI503">
            <v>233.0873470627391</v>
          </cell>
          <cell r="AJ503">
            <v>240.97100895676931</v>
          </cell>
          <cell r="AK503">
            <v>246.90874369773491</v>
          </cell>
          <cell r="AL503">
            <v>245.25259130714437</v>
          </cell>
          <cell r="AM503">
            <v>245.25259130714437</v>
          </cell>
          <cell r="AN503">
            <v>240.6111654313311</v>
          </cell>
          <cell r="AO503">
            <v>235.92092502917359</v>
          </cell>
          <cell r="AP503">
            <v>230.63299041968367</v>
          </cell>
          <cell r="AQ503">
            <v>225.7661154196837</v>
          </cell>
          <cell r="AR503">
            <v>225.7661154196837</v>
          </cell>
          <cell r="AS503">
            <v>217.53837030818136</v>
          </cell>
          <cell r="AT503">
            <v>217.09783473323654</v>
          </cell>
          <cell r="AU503">
            <v>217.33711202429862</v>
          </cell>
          <cell r="AV503">
            <v>217.2065278432203</v>
          </cell>
          <cell r="AW503">
            <v>217.2065278432203</v>
          </cell>
          <cell r="AX503">
            <v>222.93467702218592</v>
          </cell>
          <cell r="AY503">
            <v>226.16247776332813</v>
          </cell>
          <cell r="AZ503">
            <v>242.87745953820314</v>
          </cell>
          <cell r="BA503">
            <v>266.29209045602011</v>
          </cell>
          <cell r="BB503">
            <v>266.29209045602011</v>
          </cell>
          <cell r="BC503">
            <v>284.81436413780779</v>
          </cell>
          <cell r="BD503">
            <v>305.40448567007599</v>
          </cell>
          <cell r="BE503">
            <v>316.96912728732588</v>
          </cell>
          <cell r="BF503">
            <v>330.02141300848928</v>
          </cell>
          <cell r="BG503">
            <v>330.02141300848928</v>
          </cell>
          <cell r="BH503">
            <v>342.3149918602532</v>
          </cell>
          <cell r="BI503">
            <v>348.40426573244719</v>
          </cell>
          <cell r="BJ503">
            <v>356.93596487685318</v>
          </cell>
          <cell r="BK503">
            <v>361.55724556634175</v>
          </cell>
          <cell r="BL503">
            <v>361.55724556634175</v>
          </cell>
          <cell r="BM503">
            <v>403.58234990221115</v>
          </cell>
          <cell r="BN503">
            <v>444.18056524611058</v>
          </cell>
          <cell r="BO503">
            <v>488.84368422296268</v>
          </cell>
          <cell r="BR503" t="str">
            <v>NOPAT (T4Q)</v>
          </cell>
          <cell r="BS503">
            <v>0</v>
          </cell>
          <cell r="BT503">
            <v>0</v>
          </cell>
          <cell r="BU503">
            <v>135.79</v>
          </cell>
          <cell r="BV503">
            <v>150.99199999999999</v>
          </cell>
          <cell r="BW503">
            <v>121.92072566787397</v>
          </cell>
          <cell r="BX503">
            <v>211.64610798723001</v>
          </cell>
          <cell r="BY503">
            <v>221.40377587706473</v>
          </cell>
          <cell r="BZ503">
            <v>225.7661154196837</v>
          </cell>
          <cell r="CA503">
            <v>217.2065278432203</v>
          </cell>
          <cell r="CB503">
            <v>266.29209045602011</v>
          </cell>
          <cell r="CC503">
            <v>330.02141300848928</v>
          </cell>
          <cell r="CD503">
            <v>361.55724556634175</v>
          </cell>
          <cell r="CE503">
            <v>403.58234990221115</v>
          </cell>
          <cell r="CF503">
            <v>444.18056524611058</v>
          </cell>
          <cell r="CG503">
            <v>488.84368422296268</v>
          </cell>
        </row>
        <row r="504">
          <cell r="A504" t="str">
            <v>Total Capital (avg over T4Q)</v>
          </cell>
          <cell r="K504">
            <v>617.83574999999996</v>
          </cell>
          <cell r="L504">
            <v>653.0095</v>
          </cell>
          <cell r="M504">
            <v>668.7985000000001</v>
          </cell>
          <cell r="N504">
            <v>668.7985000000001</v>
          </cell>
          <cell r="O504">
            <v>685.75974999999994</v>
          </cell>
          <cell r="P504">
            <v>702.37300000000005</v>
          </cell>
          <cell r="Q504">
            <v>720.78225000000009</v>
          </cell>
          <cell r="R504">
            <v>770.42949999999996</v>
          </cell>
          <cell r="S504">
            <v>770.42949999999996</v>
          </cell>
          <cell r="T504">
            <v>821.77850000000001</v>
          </cell>
          <cell r="U504">
            <v>800.73225000000014</v>
          </cell>
          <cell r="V504">
            <v>1187.1322500000001</v>
          </cell>
          <cell r="W504">
            <v>1551.1692500000001</v>
          </cell>
          <cell r="X504">
            <v>1551.1692500000001</v>
          </cell>
          <cell r="Y504">
            <v>1889.86625</v>
          </cell>
          <cell r="Z504">
            <v>2309.6342500000001</v>
          </cell>
          <cell r="AA504">
            <v>2328.7560000000003</v>
          </cell>
          <cell r="AB504">
            <v>2338.60725</v>
          </cell>
          <cell r="AC504">
            <v>2338.60725</v>
          </cell>
          <cell r="AD504">
            <v>2380.9252500000002</v>
          </cell>
          <cell r="AE504">
            <v>2370.8815000000004</v>
          </cell>
          <cell r="AF504">
            <v>2360.1684999999998</v>
          </cell>
          <cell r="AG504">
            <v>2334.5754999999999</v>
          </cell>
          <cell r="AH504">
            <v>2334.5754999999999</v>
          </cell>
          <cell r="AI504">
            <v>2304.2735000000002</v>
          </cell>
          <cell r="AJ504">
            <v>2326.3027499999998</v>
          </cell>
          <cell r="AK504">
            <v>2325.3067499999997</v>
          </cell>
          <cell r="AL504">
            <v>2351.3564999999999</v>
          </cell>
          <cell r="AM504">
            <v>2351.3564999999999</v>
          </cell>
          <cell r="AN504">
            <v>2351.3564999999999</v>
          </cell>
          <cell r="AO504">
            <v>2351.3564999999999</v>
          </cell>
          <cell r="AP504">
            <v>2351.3564999999999</v>
          </cell>
          <cell r="AQ504">
            <v>2348.3522499999999</v>
          </cell>
          <cell r="AR504">
            <v>2348.3522499999999</v>
          </cell>
          <cell r="AS504">
            <v>2360.5699999999997</v>
          </cell>
          <cell r="AT504">
            <v>2383.2092499999999</v>
          </cell>
          <cell r="AU504">
            <v>2348.1907499999998</v>
          </cell>
          <cell r="AV504">
            <v>2313.3667500000001</v>
          </cell>
          <cell r="AW504">
            <v>2313.3667500000001</v>
          </cell>
          <cell r="AX504">
            <v>2285.6489999999999</v>
          </cell>
          <cell r="AY504">
            <v>2227.9337499999997</v>
          </cell>
          <cell r="AZ504">
            <v>2355.0502499999998</v>
          </cell>
          <cell r="BA504">
            <v>2417.0647499999995</v>
          </cell>
          <cell r="BB504">
            <v>2417.0647499999995</v>
          </cell>
          <cell r="BC504">
            <v>2402.0437499999998</v>
          </cell>
          <cell r="BD504">
            <v>2372.5322499999997</v>
          </cell>
          <cell r="BE504">
            <v>2354.5430000000001</v>
          </cell>
          <cell r="BF504">
            <v>2332.5217499999999</v>
          </cell>
          <cell r="BG504">
            <v>2332.5217499999999</v>
          </cell>
          <cell r="BH504">
            <v>2382.7224535339583</v>
          </cell>
          <cell r="BI504">
            <v>2442.1422163332982</v>
          </cell>
          <cell r="BJ504">
            <v>2363.0356817927068</v>
          </cell>
          <cell r="BK504">
            <v>2331.9455720369383</v>
          </cell>
          <cell r="BL504">
            <v>2331.9455720369383</v>
          </cell>
          <cell r="BM504">
            <v>2250.5075865290992</v>
          </cell>
          <cell r="BN504">
            <v>2230.7723006448205</v>
          </cell>
          <cell r="BO504">
            <v>2245.0472718240553</v>
          </cell>
          <cell r="BR504" t="str">
            <v>Total Capital (avg over T4Q)</v>
          </cell>
          <cell r="BS504">
            <v>0</v>
          </cell>
          <cell r="BT504">
            <v>0</v>
          </cell>
          <cell r="BU504">
            <v>668.7985000000001</v>
          </cell>
          <cell r="BV504">
            <v>770.42949999999996</v>
          </cell>
          <cell r="BW504">
            <v>1551.1692500000001</v>
          </cell>
          <cell r="BX504">
            <v>2338.60725</v>
          </cell>
          <cell r="BY504">
            <v>2334.5754999999999</v>
          </cell>
          <cell r="BZ504">
            <v>2348.3522499999999</v>
          </cell>
          <cell r="CA504">
            <v>2313.3667500000001</v>
          </cell>
          <cell r="CB504">
            <v>2417.0647499999995</v>
          </cell>
          <cell r="CC504">
            <v>2332.5217499999999</v>
          </cell>
          <cell r="CD504">
            <v>2331.9455720369383</v>
          </cell>
          <cell r="CE504">
            <v>2250.5075865290992</v>
          </cell>
          <cell r="CF504">
            <v>2230.7723006448205</v>
          </cell>
          <cell r="CG504">
            <v>2245.0472718240553</v>
          </cell>
        </row>
        <row r="505">
          <cell r="A505" t="str">
            <v>ROIC</v>
          </cell>
          <cell r="K505">
            <v>0.23015663952757673</v>
          </cell>
          <cell r="L505">
            <v>0.22427698218785486</v>
          </cell>
          <cell r="M505">
            <v>0.20303574245456588</v>
          </cell>
          <cell r="N505">
            <v>0.20303574245456588</v>
          </cell>
          <cell r="O505">
            <v>0.19454626784380391</v>
          </cell>
          <cell r="P505">
            <v>0.19527943129932385</v>
          </cell>
          <cell r="Q505">
            <v>0.19067894638082442</v>
          </cell>
          <cell r="R505">
            <v>0.19598418804056697</v>
          </cell>
          <cell r="S505">
            <v>0.19598418804056697</v>
          </cell>
          <cell r="T505">
            <v>0.17994246892864363</v>
          </cell>
          <cell r="U505">
            <v>0.1758792831722141</v>
          </cell>
          <cell r="V505">
            <v>0.10426199975981086</v>
          </cell>
          <cell r="W505">
            <v>7.8599240971205409E-2</v>
          </cell>
          <cell r="X505">
            <v>7.8599240971205409E-2</v>
          </cell>
          <cell r="Y505">
            <v>7.3896729171680942E-2</v>
          </cell>
          <cell r="Z505">
            <v>7.1118188393621454E-2</v>
          </cell>
          <cell r="AA505">
            <v>8.6641024134177874E-2</v>
          </cell>
          <cell r="AB505">
            <v>9.0500920146907957E-2</v>
          </cell>
          <cell r="AC505">
            <v>9.0500920146907957E-2</v>
          </cell>
          <cell r="AD505">
            <v>9.0898005564577736E-2</v>
          </cell>
          <cell r="AE505">
            <v>9.2510362815917832E-2</v>
          </cell>
          <cell r="AF505">
            <v>9.0851562072200742E-2</v>
          </cell>
          <cell r="AG505">
            <v>9.483684544666246E-2</v>
          </cell>
          <cell r="AH505">
            <v>9.483684544666246E-2</v>
          </cell>
          <cell r="AI505">
            <v>0.1011543755820388</v>
          </cell>
          <cell r="AJ505">
            <v>0.10358540347199836</v>
          </cell>
          <cell r="AK505">
            <v>0.10618329977227088</v>
          </cell>
          <cell r="AL505">
            <v>0.10430259780137312</v>
          </cell>
          <cell r="AM505">
            <v>0.10430259780137312</v>
          </cell>
          <cell r="AN505">
            <v>0.10232866238332261</v>
          </cell>
          <cell r="AO505">
            <v>0.10033396680987064</v>
          </cell>
          <cell r="AP505">
            <v>9.8085080003684544E-2</v>
          </cell>
          <cell r="AQ505">
            <v>9.6138096582266866E-2</v>
          </cell>
          <cell r="AR505">
            <v>9.6138096582266866E-2</v>
          </cell>
          <cell r="AS505">
            <v>9.2155017774597406E-2</v>
          </cell>
          <cell r="AT505">
            <v>9.1094743247256429E-2</v>
          </cell>
          <cell r="AU505">
            <v>9.2555135064857338E-2</v>
          </cell>
          <cell r="AV505">
            <v>9.3891955455493725E-2</v>
          </cell>
          <cell r="AW505">
            <v>9.3891955455493725E-2</v>
          </cell>
          <cell r="AX505">
            <v>9.7536707089402583E-2</v>
          </cell>
          <cell r="AY505">
            <v>0.10151220958133435</v>
          </cell>
          <cell r="AZ505">
            <v>0.10313047865462878</v>
          </cell>
          <cell r="BA505">
            <v>0.1101716825980852</v>
          </cell>
          <cell r="BB505">
            <v>0.1101716825980852</v>
          </cell>
          <cell r="BC505">
            <v>0.11857168052738748</v>
          </cell>
          <cell r="BD505">
            <v>0.1287251145564306</v>
          </cell>
          <cell r="BE505">
            <v>0.13462023300798748</v>
          </cell>
          <cell r="BF505">
            <v>0.14148696062897989</v>
          </cell>
          <cell r="BG505">
            <v>0.14148696062897989</v>
          </cell>
          <cell r="BH505">
            <v>0.14366549127555556</v>
          </cell>
          <cell r="BI505">
            <v>0.14266338110953722</v>
          </cell>
          <cell r="BJ505">
            <v>0.15104975672904999</v>
          </cell>
          <cell r="BK505">
            <v>0.15504531919693307</v>
          </cell>
          <cell r="BL505">
            <v>0.15504531919693307</v>
          </cell>
          <cell r="BM505">
            <v>0.17932947763337515</v>
          </cell>
          <cell r="BN505">
            <v>0.19911515178744019</v>
          </cell>
          <cell r="BO505">
            <v>0.21774315862212876</v>
          </cell>
          <cell r="BR505" t="str">
            <v>ROIC</v>
          </cell>
          <cell r="BS505">
            <v>0</v>
          </cell>
          <cell r="BT505">
            <v>0</v>
          </cell>
          <cell r="BU505">
            <v>0.20303574245456588</v>
          </cell>
          <cell r="BV505">
            <v>0.19598418804056697</v>
          </cell>
          <cell r="BW505">
            <v>7.8599240971205409E-2</v>
          </cell>
          <cell r="BX505">
            <v>9.0500920146907957E-2</v>
          </cell>
          <cell r="BY505">
            <v>9.483684544666246E-2</v>
          </cell>
          <cell r="BZ505">
            <v>9.6138096582266866E-2</v>
          </cell>
          <cell r="CA505">
            <v>9.3891955455493725E-2</v>
          </cell>
          <cell r="CB505">
            <v>0.1101716825980852</v>
          </cell>
          <cell r="CC505">
            <v>0.14148696062897989</v>
          </cell>
          <cell r="CD505">
            <v>0.15504531919693307</v>
          </cell>
          <cell r="CE505">
            <v>0.17932947763337515</v>
          </cell>
          <cell r="CF505">
            <v>0.19911515178744019</v>
          </cell>
          <cell r="CG505">
            <v>0.21774315862212876</v>
          </cell>
        </row>
        <row r="512">
          <cell r="C512" t="str">
            <v>2006-Q4</v>
          </cell>
          <cell r="D512" t="str">
            <v>2006-FY</v>
          </cell>
          <cell r="E512" t="str">
            <v>2007-Q1</v>
          </cell>
          <cell r="F512" t="str">
            <v>2007-Q2</v>
          </cell>
          <cell r="G512" t="str">
            <v>2007-Q3</v>
          </cell>
          <cell r="H512" t="str">
            <v>2007-Q4</v>
          </cell>
          <cell r="I512" t="str">
            <v>2007-FY</v>
          </cell>
          <cell r="J512" t="str">
            <v>2008-Q1</v>
          </cell>
          <cell r="K512" t="str">
            <v>2008-Q2</v>
          </cell>
          <cell r="L512" t="str">
            <v>2008-Q3</v>
          </cell>
          <cell r="M512" t="str">
            <v>2008-Q4</v>
          </cell>
          <cell r="N512" t="str">
            <v>2008-FY</v>
          </cell>
          <cell r="O512" t="str">
            <v>2009-Q1</v>
          </cell>
          <cell r="P512" t="str">
            <v>2009-Q2</v>
          </cell>
          <cell r="Q512" t="str">
            <v>2009-Q3</v>
          </cell>
          <cell r="R512" t="str">
            <v>2009-Q4</v>
          </cell>
          <cell r="S512" t="str">
            <v>2009-FY</v>
          </cell>
          <cell r="T512" t="str">
            <v>2010-Q1</v>
          </cell>
          <cell r="U512" t="str">
            <v>2010-Q2</v>
          </cell>
          <cell r="V512" t="str">
            <v>2010-Q3</v>
          </cell>
          <cell r="W512" t="str">
            <v>2010-Q4</v>
          </cell>
          <cell r="X512" t="str">
            <v>2010-FY</v>
          </cell>
          <cell r="Y512" t="str">
            <v>2011-Q1</v>
          </cell>
          <cell r="Z512" t="str">
            <v>2011-Q2</v>
          </cell>
          <cell r="AA512" t="str">
            <v>2011-Q3</v>
          </cell>
          <cell r="AB512" t="str">
            <v>2011-Q4</v>
          </cell>
          <cell r="AC512" t="str">
            <v>2011-FY</v>
          </cell>
          <cell r="AD512" t="str">
            <v>2012-Q1</v>
          </cell>
          <cell r="AE512" t="str">
            <v>2012-Q2</v>
          </cell>
          <cell r="AF512" t="str">
            <v>2012-Q3</v>
          </cell>
          <cell r="AG512" t="str">
            <v>2012-Q4</v>
          </cell>
          <cell r="AH512" t="str">
            <v>2012-FY</v>
          </cell>
          <cell r="AI512" t="str">
            <v>2013-Q1</v>
          </cell>
          <cell r="AJ512" t="str">
            <v>2013-Q2</v>
          </cell>
          <cell r="AK512" t="str">
            <v>2013-Q3</v>
          </cell>
          <cell r="AL512" t="str">
            <v>2013-Q4</v>
          </cell>
          <cell r="AM512" t="str">
            <v>2013-FY</v>
          </cell>
          <cell r="AS512" t="str">
            <v>2014-Q1</v>
          </cell>
          <cell r="AT512" t="str">
            <v>2014-Q2</v>
          </cell>
          <cell r="AU512" t="str">
            <v>2014-Q3</v>
          </cell>
          <cell r="AV512" t="str">
            <v>2014-Q4</v>
          </cell>
          <cell r="AW512" t="str">
            <v>2014-FY</v>
          </cell>
          <cell r="AX512" t="str">
            <v>2015-Q1</v>
          </cell>
          <cell r="AY512" t="str">
            <v>2015-Q2</v>
          </cell>
          <cell r="AZ512" t="str">
            <v>2015-Q3</v>
          </cell>
          <cell r="BA512" t="str">
            <v>2015-Q4</v>
          </cell>
          <cell r="BB512" t="str">
            <v>2015-FY</v>
          </cell>
          <cell r="BC512" t="str">
            <v>2016-Q1</v>
          </cell>
          <cell r="BD512" t="str">
            <v>2016-Q2</v>
          </cell>
          <cell r="BE512" t="str">
            <v>2016-Q3</v>
          </cell>
          <cell r="BF512" t="str">
            <v>2016-Q4</v>
          </cell>
          <cell r="BG512" t="str">
            <v>2016-FY</v>
          </cell>
          <cell r="BH512" t="str">
            <v>2017-Q1</v>
          </cell>
          <cell r="BI512" t="str">
            <v>2017-Q2</v>
          </cell>
          <cell r="BJ512" t="str">
            <v>2017-Q3</v>
          </cell>
          <cell r="BK512" t="str">
            <v>2017-Q4</v>
          </cell>
          <cell r="BL512" t="str">
            <v>2017-FY</v>
          </cell>
          <cell r="BM512" t="str">
            <v>2018-FY</v>
          </cell>
          <cell r="BN512" t="str">
            <v>2019-FY</v>
          </cell>
          <cell r="BO512" t="str">
            <v>2020-FY</v>
          </cell>
        </row>
        <row r="515">
          <cell r="A515" t="str">
            <v xml:space="preserve"> Portfolio management analytics</v>
          </cell>
          <cell r="C515">
            <v>27.623000000000005</v>
          </cell>
          <cell r="D515">
            <v>110.00700000000001</v>
          </cell>
          <cell r="E515">
            <v>29.364000000000001</v>
          </cell>
          <cell r="F515">
            <v>30.207000000000001</v>
          </cell>
          <cell r="G515">
            <v>29.452000000000002</v>
          </cell>
          <cell r="H515">
            <v>31.625</v>
          </cell>
          <cell r="I515">
            <v>120.648</v>
          </cell>
          <cell r="J515">
            <v>32.341999999999999</v>
          </cell>
          <cell r="K515">
            <v>33.902000000000001</v>
          </cell>
          <cell r="L515">
            <v>33.658999999999999</v>
          </cell>
          <cell r="M515">
            <v>32.494999999999997</v>
          </cell>
          <cell r="N515">
            <v>132.398</v>
          </cell>
          <cell r="O515">
            <v>32.14</v>
          </cell>
          <cell r="P515">
            <v>31.582000000000001</v>
          </cell>
          <cell r="Q515">
            <v>30.425000000000001</v>
          </cell>
          <cell r="R515">
            <v>30.399000000000001</v>
          </cell>
          <cell r="S515">
            <v>124.54600000000001</v>
          </cell>
          <cell r="T515">
            <v>29.983000000000001</v>
          </cell>
          <cell r="U515">
            <v>29.041</v>
          </cell>
          <cell r="V515">
            <v>30.423999999999999</v>
          </cell>
          <cell r="W515">
            <v>30.992999999999999</v>
          </cell>
          <cell r="X515">
            <v>120.441</v>
          </cell>
          <cell r="Y515">
            <v>29.283999999999999</v>
          </cell>
          <cell r="Z515">
            <v>29.193000000000001</v>
          </cell>
          <cell r="AA515">
            <v>30.263000000000002</v>
          </cell>
          <cell r="AB515">
            <v>30.149000000000001</v>
          </cell>
          <cell r="AC515">
            <v>118.88900000000001</v>
          </cell>
          <cell r="AD515">
            <v>29.062999999999999</v>
          </cell>
          <cell r="AE515">
            <v>29.326000000000001</v>
          </cell>
          <cell r="AF515">
            <v>29.138000000000002</v>
          </cell>
          <cell r="AG515">
            <v>28.606000000000002</v>
          </cell>
          <cell r="AH515">
            <v>116.13300000000001</v>
          </cell>
          <cell r="AI515">
            <v>27.646000000000001</v>
          </cell>
          <cell r="AJ515">
            <v>26.088999999999999</v>
          </cell>
          <cell r="AK515">
            <v>26.213000000000001</v>
          </cell>
          <cell r="AL515">
            <v>25.513000000000002</v>
          </cell>
          <cell r="AM515">
            <v>105.46100000000001</v>
          </cell>
          <cell r="AN515">
            <v>27.646000000000001</v>
          </cell>
          <cell r="AO515">
            <v>26.088999999999999</v>
          </cell>
          <cell r="AP515">
            <v>26.213000000000001</v>
          </cell>
          <cell r="AQ515">
            <v>25.513000000000002</v>
          </cell>
          <cell r="AR515">
            <v>105.46100000000001</v>
          </cell>
          <cell r="AS515">
            <v>25.864999999999998</v>
          </cell>
          <cell r="AT515">
            <v>26.303000000000001</v>
          </cell>
          <cell r="AU515">
            <v>26.268999999999998</v>
          </cell>
          <cell r="AV515">
            <v>25.952000000000002</v>
          </cell>
          <cell r="AW515">
            <v>104.389</v>
          </cell>
          <cell r="AX515">
            <v>26.369</v>
          </cell>
          <cell r="AY515">
            <v>26.652999999999999</v>
          </cell>
          <cell r="AZ515">
            <v>27.1</v>
          </cell>
          <cell r="BB515">
            <v>107.05951957812499</v>
          </cell>
          <cell r="BG515">
            <v>112.8117207945625</v>
          </cell>
          <cell r="BL515">
            <v>119.98968933649834</v>
          </cell>
          <cell r="BP515">
            <v>-1</v>
          </cell>
          <cell r="BR515" t="str">
            <v xml:space="preserve"> Portfolio management analytics</v>
          </cell>
          <cell r="BS515">
            <v>110.00700000000001</v>
          </cell>
          <cell r="BT515">
            <v>120.648</v>
          </cell>
          <cell r="BU515">
            <v>132.398</v>
          </cell>
          <cell r="BV515">
            <v>124.54600000000001</v>
          </cell>
          <cell r="BW515">
            <v>120.441</v>
          </cell>
          <cell r="BX515">
            <v>118.88900000000001</v>
          </cell>
          <cell r="BY515">
            <v>116.13300000000001</v>
          </cell>
          <cell r="BZ515">
            <v>105.46100000000001</v>
          </cell>
          <cell r="CA515">
            <v>104.389</v>
          </cell>
          <cell r="CB515">
            <v>107.05951957812499</v>
          </cell>
          <cell r="CC515">
            <v>112.8117207945625</v>
          </cell>
          <cell r="CD515">
            <v>119.98968933649834</v>
          </cell>
          <cell r="CE515">
            <v>0</v>
          </cell>
          <cell r="CF515">
            <v>0</v>
          </cell>
          <cell r="CG515">
            <v>0</v>
          </cell>
        </row>
        <row r="516">
          <cell r="A516" t="str">
            <v xml:space="preserve"> Risk Management analytics</v>
          </cell>
          <cell r="C516">
            <v>4.4560000000000013</v>
          </cell>
          <cell r="D516">
            <v>16.873000000000001</v>
          </cell>
          <cell r="E516">
            <v>4.2830000000000004</v>
          </cell>
          <cell r="F516">
            <v>4.4180000000000001</v>
          </cell>
          <cell r="G516">
            <v>6.6689999999999996</v>
          </cell>
          <cell r="H516">
            <v>7.7</v>
          </cell>
          <cell r="I516">
            <v>23.07</v>
          </cell>
          <cell r="J516">
            <v>7.8920000000000003</v>
          </cell>
          <cell r="K516">
            <v>8.5980000000000008</v>
          </cell>
          <cell r="L516">
            <v>8.923</v>
          </cell>
          <cell r="M516">
            <v>9.3840000000000003</v>
          </cell>
          <cell r="N516">
            <v>34.797000000000004</v>
          </cell>
          <cell r="O516">
            <v>9.6229999999999993</v>
          </cell>
          <cell r="P516">
            <v>9.5719999999999992</v>
          </cell>
          <cell r="Q516">
            <v>7.819</v>
          </cell>
          <cell r="R516">
            <v>10.581</v>
          </cell>
          <cell r="S516">
            <v>37.594999999999999</v>
          </cell>
          <cell r="T516">
            <v>10.845000000000001</v>
          </cell>
          <cell r="U516">
            <v>11.106999999999999</v>
          </cell>
          <cell r="V516">
            <v>54.593000000000004</v>
          </cell>
          <cell r="W516">
            <v>57.98</v>
          </cell>
          <cell r="X516">
            <v>134.52500000000001</v>
          </cell>
          <cell r="Y516">
            <v>58.866</v>
          </cell>
          <cell r="Z516">
            <v>60.805999999999997</v>
          </cell>
          <cell r="AA516">
            <v>61.860999999999997</v>
          </cell>
          <cell r="AB516">
            <v>62.036999999999999</v>
          </cell>
          <cell r="AC516">
            <v>243.57</v>
          </cell>
          <cell r="AD516">
            <v>64.076999999999998</v>
          </cell>
          <cell r="AE516">
            <v>64.546999999999997</v>
          </cell>
          <cell r="AF516">
            <v>64.998000000000005</v>
          </cell>
          <cell r="AG516">
            <v>66.653999999999996</v>
          </cell>
          <cell r="AH516">
            <v>260.27600000000001</v>
          </cell>
          <cell r="AI516">
            <v>67.274000000000001</v>
          </cell>
          <cell r="AJ516">
            <v>67.099000000000004</v>
          </cell>
          <cell r="AK516">
            <v>69.665999999999997</v>
          </cell>
          <cell r="AL516">
            <v>75.313999999999993</v>
          </cell>
          <cell r="AM516">
            <v>279.35299999999995</v>
          </cell>
          <cell r="AN516">
            <v>70.42</v>
          </cell>
          <cell r="AO516">
            <v>70.164000000000001</v>
          </cell>
          <cell r="AP516">
            <v>72.778999999999996</v>
          </cell>
          <cell r="AQ516">
            <v>78.38</v>
          </cell>
          <cell r="AR516">
            <v>291.74299999999999</v>
          </cell>
          <cell r="AS516">
            <v>75.58</v>
          </cell>
          <cell r="AT516">
            <v>77.665999999999997</v>
          </cell>
          <cell r="AU516">
            <v>76.977999999999994</v>
          </cell>
          <cell r="AV516">
            <v>79.471999999999994</v>
          </cell>
          <cell r="AW516">
            <v>309.69599999999997</v>
          </cell>
          <cell r="AX516">
            <v>80.475999999999999</v>
          </cell>
          <cell r="AY516">
            <v>80.917000000000002</v>
          </cell>
          <cell r="AZ516">
            <v>81.241</v>
          </cell>
          <cell r="BB516">
            <v>325.08221396875001</v>
          </cell>
          <cell r="BG516">
            <v>342.27110215139066</v>
          </cell>
          <cell r="BL516">
            <v>360.7603144254831</v>
          </cell>
          <cell r="BP516">
            <v>-1</v>
          </cell>
          <cell r="BR516" t="str">
            <v xml:space="preserve"> Risk Management analytics</v>
          </cell>
          <cell r="BS516">
            <v>16.873000000000001</v>
          </cell>
          <cell r="BT516">
            <v>23.07</v>
          </cell>
          <cell r="BU516">
            <v>34.797000000000004</v>
          </cell>
          <cell r="BV516">
            <v>37.594999999999999</v>
          </cell>
          <cell r="BW516">
            <v>134.52500000000001</v>
          </cell>
          <cell r="BX516">
            <v>243.57</v>
          </cell>
          <cell r="BY516">
            <v>260.27600000000001</v>
          </cell>
          <cell r="BZ516">
            <v>291.74299999999999</v>
          </cell>
          <cell r="CA516">
            <v>309.69599999999997</v>
          </cell>
          <cell r="CB516">
            <v>325.08221396875001</v>
          </cell>
          <cell r="CC516">
            <v>342.27110215139066</v>
          </cell>
          <cell r="CD516">
            <v>360.7603144254831</v>
          </cell>
          <cell r="CE516">
            <v>0</v>
          </cell>
          <cell r="CF516">
            <v>0</v>
          </cell>
          <cell r="CG516">
            <v>0</v>
          </cell>
        </row>
        <row r="519">
          <cell r="A519" t="str">
            <v>Energy &amp; commodity analytics</v>
          </cell>
          <cell r="C519">
            <v>0.77200000000000002</v>
          </cell>
          <cell r="D519">
            <v>0.86099999999999999</v>
          </cell>
          <cell r="E519">
            <v>0.78700000000000003</v>
          </cell>
          <cell r="F519">
            <v>0.89600000000000002</v>
          </cell>
          <cell r="G519">
            <v>0.88800000000000001</v>
          </cell>
          <cell r="H519">
            <v>0.85</v>
          </cell>
          <cell r="I519">
            <v>0.74099999999999999</v>
          </cell>
          <cell r="J519">
            <v>0.91700000000000004</v>
          </cell>
          <cell r="K519">
            <v>0.96099999999999997</v>
          </cell>
          <cell r="L519">
            <v>0.89100000000000001</v>
          </cell>
          <cell r="M519">
            <v>0.80800000000000005</v>
          </cell>
          <cell r="N519">
            <v>0.89400000000000002</v>
          </cell>
          <cell r="O519">
            <v>0.90500000000000003</v>
          </cell>
          <cell r="P519">
            <v>0.91300000000000003</v>
          </cell>
          <cell r="Q519">
            <v>0.84499999999999997</v>
          </cell>
          <cell r="R519">
            <v>0.88500000000000001</v>
          </cell>
          <cell r="S519">
            <v>0.88700000000000001</v>
          </cell>
          <cell r="T519">
            <v>0.80700000000000005</v>
          </cell>
          <cell r="U519">
            <v>0.86799999999999999</v>
          </cell>
          <cell r="V519">
            <v>0.90300000000000002</v>
          </cell>
          <cell r="W519">
            <v>0.81699999999999995</v>
          </cell>
          <cell r="X519">
            <v>0.84875000000000012</v>
          </cell>
          <cell r="Y519">
            <v>0.76900000000000002</v>
          </cell>
          <cell r="Z519">
            <v>0.88800000000000001</v>
          </cell>
          <cell r="AA519">
            <v>0.89300000000000002</v>
          </cell>
          <cell r="AB519">
            <v>0.75</v>
          </cell>
          <cell r="AC519">
            <v>0.82499999999999996</v>
          </cell>
          <cell r="AD519">
            <v>0.90200000000000002</v>
          </cell>
          <cell r="AE519">
            <v>0.85499999999999998</v>
          </cell>
          <cell r="AF519">
            <v>0.76600000000000001</v>
          </cell>
          <cell r="AG519">
            <v>0.60399999999999998</v>
          </cell>
          <cell r="AH519">
            <v>0.78175000000000006</v>
          </cell>
          <cell r="AI519">
            <v>0.90100000000000002</v>
          </cell>
          <cell r="AJ519">
            <v>0.86</v>
          </cell>
          <cell r="AK519">
            <v>0.80200000000000005</v>
          </cell>
          <cell r="AL519">
            <v>0.54500000000000004</v>
          </cell>
          <cell r="AM519">
            <v>0.77700000000000002</v>
          </cell>
        </row>
        <row r="520">
          <cell r="A520" t="str">
            <v>Governance</v>
          </cell>
          <cell r="O520">
            <v>0.73</v>
          </cell>
          <cell r="P520">
            <v>0.84599999999999997</v>
          </cell>
          <cell r="Q520">
            <v>0.85399999999999998</v>
          </cell>
          <cell r="R520">
            <v>0.78700000000000003</v>
          </cell>
          <cell r="S520">
            <v>0.80425000000000002</v>
          </cell>
          <cell r="T520">
            <v>0.84799999999999998</v>
          </cell>
          <cell r="U520">
            <v>0.85599999999999998</v>
          </cell>
          <cell r="V520">
            <v>0.871</v>
          </cell>
          <cell r="W520">
            <v>0.80100000000000005</v>
          </cell>
          <cell r="X520">
            <v>0.84400000000000008</v>
          </cell>
          <cell r="Y520">
            <v>0.85</v>
          </cell>
          <cell r="Z520">
            <v>0.90400000000000003</v>
          </cell>
          <cell r="AA520">
            <v>0.86199999999999999</v>
          </cell>
          <cell r="AB520">
            <v>0.80600000000000005</v>
          </cell>
          <cell r="AC520">
            <v>0.85550000000000004</v>
          </cell>
          <cell r="AD520">
            <v>0.88700000000000001</v>
          </cell>
          <cell r="AE520">
            <v>0.92100000000000004</v>
          </cell>
          <cell r="AF520">
            <v>0.91100000000000003</v>
          </cell>
          <cell r="AG520">
            <v>0.83599999999999997</v>
          </cell>
          <cell r="AH520">
            <v>0.88875000000000004</v>
          </cell>
          <cell r="AI520">
            <v>0.9</v>
          </cell>
          <cell r="AJ520">
            <v>0.92900000000000005</v>
          </cell>
          <cell r="AK520">
            <v>0.88500000000000001</v>
          </cell>
          <cell r="AL520">
            <v>0.90100000000000002</v>
          </cell>
          <cell r="AM520">
            <v>0.90375000000000005</v>
          </cell>
        </row>
        <row r="523">
          <cell r="A523" t="str">
            <v>Energy and commodity analytics</v>
          </cell>
          <cell r="D523" t="str">
            <v>ND</v>
          </cell>
          <cell r="E523">
            <v>15.896000000000001</v>
          </cell>
          <cell r="F523">
            <v>15.913</v>
          </cell>
          <cell r="G523">
            <v>17.053000000000001</v>
          </cell>
          <cell r="H523">
            <v>17.957999999999998</v>
          </cell>
          <cell r="I523">
            <v>17.957999999999998</v>
          </cell>
          <cell r="J523">
            <v>18.63</v>
          </cell>
          <cell r="K523">
            <v>19.315000000000001</v>
          </cell>
          <cell r="L523">
            <v>19.242999999999999</v>
          </cell>
          <cell r="M523">
            <v>19.699000000000002</v>
          </cell>
          <cell r="N523">
            <v>19.699000000000002</v>
          </cell>
          <cell r="O523">
            <v>19.992999999999999</v>
          </cell>
          <cell r="P523">
            <v>20.611999999999998</v>
          </cell>
          <cell r="Q523">
            <v>14.706</v>
          </cell>
          <cell r="R523">
            <v>15.365</v>
          </cell>
          <cell r="S523">
            <v>15.365</v>
          </cell>
          <cell r="T523">
            <v>15.452999999999999</v>
          </cell>
          <cell r="U523">
            <v>15.343999999999999</v>
          </cell>
          <cell r="V523">
            <v>15.17</v>
          </cell>
          <cell r="W523">
            <v>15.288</v>
          </cell>
          <cell r="X523">
            <v>15.288</v>
          </cell>
          <cell r="Y523">
            <v>15.047000000000001</v>
          </cell>
          <cell r="Z523">
            <v>15.074</v>
          </cell>
          <cell r="AA523">
            <v>15.343</v>
          </cell>
          <cell r="AB523">
            <v>14.928000000000001</v>
          </cell>
          <cell r="AC523">
            <v>14.928000000000001</v>
          </cell>
          <cell r="AD523">
            <v>14.926</v>
          </cell>
          <cell r="AE523">
            <v>14.839</v>
          </cell>
          <cell r="AF523">
            <v>14.04</v>
          </cell>
          <cell r="AG523">
            <v>13.128</v>
          </cell>
          <cell r="AH523">
            <v>13.128</v>
          </cell>
          <cell r="AI523">
            <v>13.03</v>
          </cell>
          <cell r="AJ523">
            <v>12.794</v>
          </cell>
          <cell r="AK523">
            <v>12.493</v>
          </cell>
          <cell r="AL523">
            <v>11.302</v>
          </cell>
          <cell r="AM523">
            <v>11.302</v>
          </cell>
          <cell r="AN523">
            <v>0</v>
          </cell>
        </row>
        <row r="524">
          <cell r="A524" t="str">
            <v>Governance</v>
          </cell>
          <cell r="Q524">
            <v>113.907</v>
          </cell>
          <cell r="R524">
            <v>111.84099999999999</v>
          </cell>
          <cell r="S524">
            <v>111.84099999999999</v>
          </cell>
          <cell r="T524">
            <v>106.68600000000001</v>
          </cell>
          <cell r="U524">
            <v>105.44799999999999</v>
          </cell>
          <cell r="V524">
            <v>105.735</v>
          </cell>
          <cell r="W524">
            <v>105.036</v>
          </cell>
          <cell r="X524">
            <v>105.036</v>
          </cell>
          <cell r="Y524">
            <v>105.87</v>
          </cell>
          <cell r="Z524">
            <v>107.755</v>
          </cell>
          <cell r="AA524">
            <v>107.152</v>
          </cell>
          <cell r="AB524">
            <v>108.251</v>
          </cell>
          <cell r="AC524">
            <v>108.251</v>
          </cell>
          <cell r="AD524">
            <v>113.054</v>
          </cell>
          <cell r="AE524">
            <v>113.976</v>
          </cell>
          <cell r="AF524">
            <v>115.84</v>
          </cell>
          <cell r="AG524">
            <v>117.261</v>
          </cell>
          <cell r="AH524">
            <v>117.261</v>
          </cell>
          <cell r="AI524">
            <v>110.17400000000001</v>
          </cell>
          <cell r="AJ524">
            <v>111.68600000000001</v>
          </cell>
          <cell r="AK524">
            <v>112.911</v>
          </cell>
          <cell r="AL524">
            <v>115.482</v>
          </cell>
          <cell r="AM524">
            <v>115.482</v>
          </cell>
          <cell r="AN524">
            <v>0</v>
          </cell>
        </row>
        <row r="525">
          <cell r="A525" t="str">
            <v>Core retention</v>
          </cell>
        </row>
        <row r="526">
          <cell r="A526" t="str">
            <v>Energy &amp; commodity analytics</v>
          </cell>
          <cell r="C526">
            <v>0.79300000000000004</v>
          </cell>
          <cell r="D526">
            <v>0.872</v>
          </cell>
          <cell r="E526">
            <v>0.78700000000000003</v>
          </cell>
          <cell r="F526">
            <v>0.91300000000000003</v>
          </cell>
          <cell r="G526">
            <v>0.92100000000000004</v>
          </cell>
          <cell r="H526">
            <v>0.85</v>
          </cell>
          <cell r="I526">
            <v>0.754</v>
          </cell>
          <cell r="J526">
            <v>0.91700000000000004</v>
          </cell>
          <cell r="K526">
            <v>0.96099999999999997</v>
          </cell>
          <cell r="L526">
            <v>0.93100000000000005</v>
          </cell>
          <cell r="M526">
            <v>0.83599999999999997</v>
          </cell>
          <cell r="N526">
            <v>0.91100000000000003</v>
          </cell>
          <cell r="O526">
            <v>0.90600000000000003</v>
          </cell>
          <cell r="P526">
            <v>0.91300000000000003</v>
          </cell>
          <cell r="Q526">
            <v>0.84499999999999997</v>
          </cell>
          <cell r="R526">
            <v>0.89900000000000002</v>
          </cell>
          <cell r="S526">
            <v>0.89074999999999993</v>
          </cell>
          <cell r="T526">
            <v>0.80700000000000005</v>
          </cell>
          <cell r="U526">
            <v>0.86799999999999999</v>
          </cell>
          <cell r="V526">
            <v>0.90300000000000002</v>
          </cell>
          <cell r="W526">
            <v>0.81200000000000006</v>
          </cell>
          <cell r="X526">
            <v>0.84750000000000014</v>
          </cell>
          <cell r="Y526">
            <v>0.76900000000000002</v>
          </cell>
          <cell r="Z526">
            <v>0.88800000000000001</v>
          </cell>
          <cell r="AA526">
            <v>0.91300000000000003</v>
          </cell>
          <cell r="AB526">
            <v>0.75</v>
          </cell>
          <cell r="AC526">
            <v>0.83000000000000007</v>
          </cell>
          <cell r="AD526">
            <v>0.90700000000000003</v>
          </cell>
          <cell r="AE526">
            <v>0.88100000000000001</v>
          </cell>
          <cell r="AF526">
            <v>0.77100000000000002</v>
          </cell>
          <cell r="AG526">
            <v>0.60399999999999998</v>
          </cell>
          <cell r="AH526">
            <v>0.79075000000000006</v>
          </cell>
          <cell r="AI526">
            <v>0.90100000000000002</v>
          </cell>
          <cell r="AJ526">
            <v>0.86</v>
          </cell>
          <cell r="AK526">
            <v>0.80200000000000005</v>
          </cell>
          <cell r="AL526">
            <v>0.54500000000000004</v>
          </cell>
        </row>
        <row r="527">
          <cell r="A527" t="str">
            <v>Governance</v>
          </cell>
          <cell r="O527">
            <v>0.73</v>
          </cell>
          <cell r="P527">
            <v>0.84599999999999997</v>
          </cell>
          <cell r="Q527">
            <v>0.85399999999999998</v>
          </cell>
          <cell r="R527">
            <v>0.78700000000000003</v>
          </cell>
          <cell r="S527">
            <v>0.80425000000000002</v>
          </cell>
          <cell r="T527">
            <v>0.84799999999999998</v>
          </cell>
          <cell r="U527">
            <v>0.85599999999999998</v>
          </cell>
          <cell r="V527">
            <v>0.871</v>
          </cell>
          <cell r="W527">
            <v>0.80100000000000005</v>
          </cell>
          <cell r="X527">
            <v>0.84400000000000008</v>
          </cell>
          <cell r="Y527">
            <v>0.85</v>
          </cell>
          <cell r="Z527">
            <v>0.90400000000000003</v>
          </cell>
          <cell r="AA527">
            <v>0.86299999999999999</v>
          </cell>
          <cell r="AB527">
            <v>0.80600000000000005</v>
          </cell>
          <cell r="AC527">
            <v>0.85575000000000001</v>
          </cell>
          <cell r="AD527">
            <v>0.88700000000000001</v>
          </cell>
          <cell r="AE527">
            <v>0.90400000000000003</v>
          </cell>
          <cell r="AF527">
            <v>0.91200000000000003</v>
          </cell>
          <cell r="AG527">
            <v>0.83799999999999997</v>
          </cell>
          <cell r="AH527">
            <v>0.88524999999999998</v>
          </cell>
          <cell r="AI527">
            <v>0.90200000000000002</v>
          </cell>
          <cell r="AJ527">
            <v>0.92900000000000005</v>
          </cell>
          <cell r="AK527">
            <v>0.88500000000000001</v>
          </cell>
          <cell r="AL527">
            <v>0.90100000000000002</v>
          </cell>
        </row>
      </sheetData>
      <sheetData sheetId="3" refreshError="1">
        <row r="1">
          <cell r="C1" t="str">
            <v>bf</v>
          </cell>
          <cell r="D1" t="str">
            <v>bf</v>
          </cell>
          <cell r="I1" t="str">
            <v>be</v>
          </cell>
          <cell r="L1" t="str">
            <v>ba</v>
          </cell>
        </row>
        <row r="2">
          <cell r="B2" t="str">
            <v>MSCI, Inc. Variance</v>
          </cell>
        </row>
        <row r="4">
          <cell r="A4">
            <v>11</v>
          </cell>
          <cell r="B4" t="str">
            <v>Fiscal Year ends Dec 31</v>
          </cell>
          <cell r="C4" t="str">
            <v>4Q16E</v>
          </cell>
          <cell r="D4" t="str">
            <v>4Q16A</v>
          </cell>
          <cell r="F4" t="str">
            <v>A - E</v>
          </cell>
          <cell r="G4" t="str">
            <v>% Diff</v>
          </cell>
          <cell r="I4" t="str">
            <v>3Q16A</v>
          </cell>
          <cell r="J4" t="str">
            <v>QoQ</v>
          </cell>
          <cell r="L4" t="str">
            <v>4Q15A</v>
          </cell>
          <cell r="M4" t="str">
            <v>YoY</v>
          </cell>
        </row>
        <row r="6">
          <cell r="B6" t="str">
            <v>MXB Revenue</v>
          </cell>
        </row>
        <row r="7">
          <cell r="A7">
            <v>14</v>
          </cell>
          <cell r="B7" t="str">
            <v>Equity index subscriptions</v>
          </cell>
          <cell r="C7">
            <v>99.938999999999993</v>
          </cell>
          <cell r="D7">
            <v>99.938999999999993</v>
          </cell>
          <cell r="F7">
            <v>0</v>
          </cell>
          <cell r="G7">
            <v>0</v>
          </cell>
          <cell r="I7">
            <v>98.625</v>
          </cell>
          <cell r="J7">
            <v>1.332319391634984E-2</v>
          </cell>
          <cell r="L7">
            <v>91.406999999999996</v>
          </cell>
          <cell r="M7">
            <v>9.3340772588532461E-2</v>
          </cell>
        </row>
        <row r="8">
          <cell r="A8">
            <v>15</v>
          </cell>
          <cell r="B8" t="str">
            <v>Equity index asset based fees</v>
          </cell>
          <cell r="C8">
            <v>55.774000000000001</v>
          </cell>
          <cell r="D8">
            <v>55.774000000000001</v>
          </cell>
          <cell r="F8">
            <v>0</v>
          </cell>
          <cell r="G8">
            <v>0</v>
          </cell>
          <cell r="I8">
            <v>56.122</v>
          </cell>
          <cell r="J8">
            <v>-6.2007768789422713E-3</v>
          </cell>
          <cell r="L8">
            <v>50.198</v>
          </cell>
          <cell r="M8">
            <v>0.11108012271405232</v>
          </cell>
        </row>
        <row r="9">
          <cell r="A9">
            <v>16</v>
          </cell>
          <cell r="B9" t="str">
            <v>Index non-recurring</v>
          </cell>
          <cell r="C9">
            <v>3.3570000000000002</v>
          </cell>
          <cell r="D9">
            <v>3.3570000000000002</v>
          </cell>
          <cell r="F9">
            <v>0</v>
          </cell>
          <cell r="G9">
            <v>0</v>
          </cell>
          <cell r="I9">
            <v>3.004</v>
          </cell>
          <cell r="J9">
            <v>0.11750998668442092</v>
          </cell>
          <cell r="L9">
            <v>2.097</v>
          </cell>
          <cell r="M9">
            <v>0.6008583690987126</v>
          </cell>
        </row>
        <row r="10">
          <cell r="A10">
            <v>17</v>
          </cell>
          <cell r="B10" t="str">
            <v xml:space="preserve"> Equity indices total</v>
          </cell>
          <cell r="C10">
            <v>159.07</v>
          </cell>
          <cell r="D10">
            <v>159.07</v>
          </cell>
          <cell r="F10">
            <v>0</v>
          </cell>
          <cell r="G10">
            <v>0</v>
          </cell>
          <cell r="I10">
            <v>157.751</v>
          </cell>
          <cell r="J10">
            <v>8.3612782169366628E-3</v>
          </cell>
          <cell r="L10">
            <v>143.702</v>
          </cell>
          <cell r="M10">
            <v>0.10694353592851868</v>
          </cell>
        </row>
        <row r="11">
          <cell r="A11">
            <v>21</v>
          </cell>
          <cell r="B11" t="str">
            <v>Analytics total</v>
          </cell>
          <cell r="C11">
            <v>114.40599999999999</v>
          </cell>
          <cell r="D11">
            <v>114.40599999999999</v>
          </cell>
          <cell r="F11">
            <v>0</v>
          </cell>
          <cell r="G11">
            <v>0</v>
          </cell>
          <cell r="I11">
            <v>111.291</v>
          </cell>
          <cell r="J11">
            <v>2.7989684700469919E-2</v>
          </cell>
          <cell r="L11">
            <v>110.66800000000001</v>
          </cell>
          <cell r="M11">
            <v>3.3776701485524141E-2</v>
          </cell>
        </row>
        <row r="12">
          <cell r="A12">
            <v>25</v>
          </cell>
          <cell r="B12" t="str">
            <v>All Other total</v>
          </cell>
          <cell r="C12">
            <v>19.335999999999999</v>
          </cell>
          <cell r="D12">
            <v>19.335999999999999</v>
          </cell>
          <cell r="F12">
            <v>0</v>
          </cell>
          <cell r="G12">
            <v>0</v>
          </cell>
          <cell r="I12">
            <v>19.391000000000002</v>
          </cell>
          <cell r="J12">
            <v>-2.8363673869322703E-3</v>
          </cell>
          <cell r="L12">
            <v>18.523</v>
          </cell>
          <cell r="M12">
            <v>4.3891378286454508E-2</v>
          </cell>
        </row>
        <row r="13">
          <cell r="A13">
            <v>27</v>
          </cell>
          <cell r="B13" t="str">
            <v xml:space="preserve"> Energy and Governance</v>
          </cell>
          <cell r="C13">
            <v>0</v>
          </cell>
          <cell r="D13">
            <v>0</v>
          </cell>
          <cell r="F13">
            <v>0</v>
          </cell>
          <cell r="G13" t="str">
            <v/>
          </cell>
          <cell r="I13">
            <v>0</v>
          </cell>
          <cell r="J13" t="str">
            <v/>
          </cell>
          <cell r="L13">
            <v>0</v>
          </cell>
          <cell r="M13" t="str">
            <v/>
          </cell>
        </row>
        <row r="14">
          <cell r="A14">
            <v>28</v>
          </cell>
          <cell r="B14" t="str">
            <v>Subtotal MXB</v>
          </cell>
          <cell r="C14">
            <v>0</v>
          </cell>
          <cell r="D14">
            <v>0</v>
          </cell>
          <cell r="F14">
            <v>0</v>
          </cell>
          <cell r="G14" t="str">
            <v/>
          </cell>
          <cell r="I14">
            <v>0</v>
          </cell>
          <cell r="J14" t="str">
            <v/>
          </cell>
          <cell r="L14">
            <v>0</v>
          </cell>
          <cell r="M14" t="str">
            <v/>
          </cell>
        </row>
        <row r="17">
          <cell r="A17">
            <v>26</v>
          </cell>
          <cell r="B17" t="str">
            <v>RiskMetrics</v>
          </cell>
          <cell r="C17">
            <v>0</v>
          </cell>
          <cell r="D17">
            <v>0</v>
          </cell>
          <cell r="F17">
            <v>0</v>
          </cell>
          <cell r="G17" t="str">
            <v/>
          </cell>
          <cell r="I17">
            <v>0</v>
          </cell>
          <cell r="J17" t="str">
            <v/>
          </cell>
          <cell r="L17">
            <v>0</v>
          </cell>
          <cell r="M17" t="str">
            <v/>
          </cell>
        </row>
        <row r="18">
          <cell r="A18" t="e">
            <v>#REF!</v>
          </cell>
          <cell r="B18" t="e">
            <v>#REF!</v>
          </cell>
          <cell r="C18" t="e">
            <v>#REF!</v>
          </cell>
          <cell r="D18" t="e">
            <v>#REF!</v>
          </cell>
          <cell r="F18" t="e">
            <v>#REF!</v>
          </cell>
          <cell r="G18" t="str">
            <v/>
          </cell>
          <cell r="I18" t="e">
            <v>#REF!</v>
          </cell>
          <cell r="J18" t="str">
            <v/>
          </cell>
          <cell r="L18" t="e">
            <v>#REF!</v>
          </cell>
          <cell r="M18" t="str">
            <v/>
          </cell>
        </row>
        <row r="19">
          <cell r="A19" t="e">
            <v>#REF!</v>
          </cell>
          <cell r="B19" t="e">
            <v>#REF!</v>
          </cell>
          <cell r="C19" t="e">
            <v>#REF!</v>
          </cell>
          <cell r="D19" t="e">
            <v>#REF!</v>
          </cell>
          <cell r="F19" t="e">
            <v>#REF!</v>
          </cell>
          <cell r="G19" t="str">
            <v/>
          </cell>
          <cell r="I19" t="e">
            <v>#REF!</v>
          </cell>
          <cell r="J19" t="str">
            <v/>
          </cell>
          <cell r="L19" t="e">
            <v>#REF!</v>
          </cell>
          <cell r="M19" t="str">
            <v/>
          </cell>
        </row>
        <row r="20">
          <cell r="A20" t="e">
            <v>#REF!</v>
          </cell>
          <cell r="B20" t="e">
            <v>#REF!</v>
          </cell>
          <cell r="C20" t="e">
            <v>#REF!</v>
          </cell>
          <cell r="D20" t="e">
            <v>#REF!</v>
          </cell>
          <cell r="F20" t="e">
            <v>#REF!</v>
          </cell>
          <cell r="G20" t="str">
            <v/>
          </cell>
          <cell r="I20" t="e">
            <v>#REF!</v>
          </cell>
          <cell r="J20" t="str">
            <v/>
          </cell>
          <cell r="L20" t="e">
            <v>#REF!</v>
          </cell>
          <cell r="M20" t="str">
            <v/>
          </cell>
        </row>
        <row r="22">
          <cell r="A22">
            <v>31</v>
          </cell>
          <cell r="B22" t="str">
            <v>Total Revenue</v>
          </cell>
          <cell r="C22">
            <v>292.81200000000001</v>
          </cell>
          <cell r="D22">
            <v>292.81200000000001</v>
          </cell>
          <cell r="F22">
            <v>0</v>
          </cell>
          <cell r="G22">
            <v>0</v>
          </cell>
          <cell r="I22">
            <v>288.43300000000005</v>
          </cell>
          <cell r="J22">
            <v>1.5182035342696354E-2</v>
          </cell>
          <cell r="L22">
            <v>272.89300000000003</v>
          </cell>
          <cell r="M22">
            <v>7.2991978541039781E-2</v>
          </cell>
        </row>
        <row r="23">
          <cell r="A23">
            <v>32</v>
          </cell>
          <cell r="B23" t="str">
            <v>Annual Growth</v>
          </cell>
          <cell r="C23">
            <v>7.2991978541039781E-2</v>
          </cell>
          <cell r="D23">
            <v>7.2991978541039781E-2</v>
          </cell>
          <cell r="F23">
            <v>0</v>
          </cell>
          <cell r="G23">
            <v>0</v>
          </cell>
          <cell r="I23">
            <v>7.3131257510873793E-2</v>
          </cell>
          <cell r="J23">
            <v>-1.3927896983401133</v>
          </cell>
          <cell r="L23">
            <v>8.6560781674915432E-2</v>
          </cell>
          <cell r="M23">
            <v>-135.6880313387565</v>
          </cell>
        </row>
        <row r="26">
          <cell r="A26">
            <v>35</v>
          </cell>
          <cell r="B26" t="str">
            <v>Cost of Revenue</v>
          </cell>
          <cell r="C26">
            <v>63.819000000000003</v>
          </cell>
          <cell r="D26">
            <v>63.819000000000003</v>
          </cell>
          <cell r="F26">
            <v>0</v>
          </cell>
          <cell r="G26">
            <v>0</v>
          </cell>
          <cell r="I26">
            <v>62.985999999999997</v>
          </cell>
          <cell r="J26">
            <v>1.3225161146921627E-2</v>
          </cell>
          <cell r="L26">
            <v>64.804000000000002</v>
          </cell>
          <cell r="M26">
            <v>-1.5199679032158464E-2</v>
          </cell>
        </row>
        <row r="27">
          <cell r="A27">
            <v>36</v>
          </cell>
          <cell r="B27" t="str">
            <v>Gross Margin</v>
          </cell>
          <cell r="C27">
            <v>0.78204786689070116</v>
          </cell>
          <cell r="D27">
            <v>0.78204786689070116</v>
          </cell>
          <cell r="F27">
            <v>0</v>
          </cell>
          <cell r="G27">
            <v>0</v>
          </cell>
          <cell r="I27">
            <v>0.78162692895750485</v>
          </cell>
          <cell r="J27">
            <v>4.2093793319630812</v>
          </cell>
          <cell r="L27">
            <v>0.76252963615776148</v>
          </cell>
          <cell r="M27">
            <v>195.18230732939679</v>
          </cell>
        </row>
        <row r="28">
          <cell r="A28">
            <v>42</v>
          </cell>
          <cell r="B28" t="str">
            <v>SG&amp;A Expenses</v>
          </cell>
          <cell r="C28">
            <v>82.036000000000001</v>
          </cell>
          <cell r="D28">
            <v>82.036000000000001</v>
          </cell>
          <cell r="F28">
            <v>0</v>
          </cell>
          <cell r="G28">
            <v>0</v>
          </cell>
          <cell r="I28">
            <v>82.123000000000005</v>
          </cell>
          <cell r="J28">
            <v>-1.0593865299611815E-3</v>
          </cell>
          <cell r="L28">
            <v>81.174999999999997</v>
          </cell>
          <cell r="M28">
            <v>1.0606713889744324E-2</v>
          </cell>
        </row>
        <row r="29">
          <cell r="A29">
            <v>43</v>
          </cell>
          <cell r="B29" t="str">
            <v>% of Total Revenue</v>
          </cell>
          <cell r="C29">
            <v>0.28016611341065256</v>
          </cell>
          <cell r="D29">
            <v>0.28016611341065256</v>
          </cell>
          <cell r="F29">
            <v>0</v>
          </cell>
          <cell r="G29">
            <v>0</v>
          </cell>
          <cell r="I29">
            <v>0.28472123508752462</v>
          </cell>
          <cell r="J29">
            <v>-45.551216768720536</v>
          </cell>
          <cell r="L29">
            <v>0.29746090958727411</v>
          </cell>
          <cell r="M29">
            <v>-172.94796176621551</v>
          </cell>
        </row>
        <row r="31">
          <cell r="A31">
            <v>53</v>
          </cell>
          <cell r="B31" t="str">
            <v>Total Expenses ex Founders Grant</v>
          </cell>
          <cell r="C31">
            <v>145.85500000000002</v>
          </cell>
          <cell r="D31">
            <v>145.85500000000002</v>
          </cell>
          <cell r="F31">
            <v>0</v>
          </cell>
          <cell r="G31">
            <v>0</v>
          </cell>
          <cell r="I31">
            <v>145.10900000000001</v>
          </cell>
          <cell r="J31">
            <v>5.1409630002274831E-3</v>
          </cell>
          <cell r="L31">
            <v>145.97899999999998</v>
          </cell>
          <cell r="M31">
            <v>-8.494372478230483E-4</v>
          </cell>
        </row>
        <row r="33">
          <cell r="A33">
            <v>50</v>
          </cell>
          <cell r="B33" t="str">
            <v>Founders Grant/Performance Awards</v>
          </cell>
          <cell r="C33">
            <v>0</v>
          </cell>
          <cell r="D33">
            <v>0</v>
          </cell>
          <cell r="F33">
            <v>0</v>
          </cell>
          <cell r="G33" t="str">
            <v/>
          </cell>
          <cell r="I33">
            <v>0</v>
          </cell>
          <cell r="J33" t="str">
            <v/>
          </cell>
          <cell r="L33">
            <v>0</v>
          </cell>
          <cell r="M33" t="str">
            <v/>
          </cell>
        </row>
        <row r="34">
          <cell r="A34">
            <v>51</v>
          </cell>
          <cell r="B34" t="str">
            <v>% of Total Revenue</v>
          </cell>
          <cell r="C34">
            <v>0</v>
          </cell>
          <cell r="D34">
            <v>0</v>
          </cell>
          <cell r="F34">
            <v>0</v>
          </cell>
          <cell r="G34" t="str">
            <v/>
          </cell>
          <cell r="I34">
            <v>0</v>
          </cell>
          <cell r="J34">
            <v>0</v>
          </cell>
          <cell r="L34">
            <v>0</v>
          </cell>
          <cell r="M34">
            <v>0</v>
          </cell>
        </row>
        <row r="38">
          <cell r="A38">
            <v>55</v>
          </cell>
          <cell r="B38" t="str">
            <v>RISK Expenses</v>
          </cell>
          <cell r="M38" t="str">
            <v/>
          </cell>
        </row>
        <row r="39">
          <cell r="A39">
            <v>56</v>
          </cell>
          <cell r="B39" t="str">
            <v>Cost Of Revenues</v>
          </cell>
          <cell r="C39">
            <v>0</v>
          </cell>
          <cell r="D39">
            <v>0</v>
          </cell>
          <cell r="F39">
            <v>0</v>
          </cell>
          <cell r="G39" t="str">
            <v/>
          </cell>
          <cell r="I39">
            <v>0</v>
          </cell>
          <cell r="J39" t="str">
            <v/>
          </cell>
          <cell r="L39">
            <v>0</v>
          </cell>
          <cell r="M39" t="str">
            <v/>
          </cell>
        </row>
        <row r="40">
          <cell r="A40">
            <v>57</v>
          </cell>
          <cell r="B40" t="str">
            <v>Gross Margin</v>
          </cell>
          <cell r="C40">
            <v>0</v>
          </cell>
          <cell r="D40">
            <v>0</v>
          </cell>
          <cell r="F40">
            <v>0</v>
          </cell>
          <cell r="G40" t="str">
            <v/>
          </cell>
          <cell r="I40">
            <v>0</v>
          </cell>
          <cell r="J40" t="str">
            <v/>
          </cell>
          <cell r="L40">
            <v>0</v>
          </cell>
          <cell r="M40" t="str">
            <v/>
          </cell>
        </row>
        <row r="41">
          <cell r="A41">
            <v>58</v>
          </cell>
          <cell r="B41" t="str">
            <v>Research and Development</v>
          </cell>
          <cell r="C41">
            <v>0</v>
          </cell>
          <cell r="D41">
            <v>0</v>
          </cell>
          <cell r="F41">
            <v>0</v>
          </cell>
          <cell r="G41" t="str">
            <v/>
          </cell>
          <cell r="I41">
            <v>0</v>
          </cell>
          <cell r="J41" t="str">
            <v/>
          </cell>
          <cell r="L41">
            <v>0</v>
          </cell>
          <cell r="M41" t="str">
            <v/>
          </cell>
        </row>
        <row r="42">
          <cell r="A42">
            <v>59</v>
          </cell>
          <cell r="B42" t="str">
            <v>% of Total Revenue</v>
          </cell>
          <cell r="C42">
            <v>0</v>
          </cell>
          <cell r="D42">
            <v>0</v>
          </cell>
          <cell r="F42">
            <v>0</v>
          </cell>
          <cell r="G42" t="str">
            <v/>
          </cell>
          <cell r="I42">
            <v>0</v>
          </cell>
          <cell r="J42" t="str">
            <v/>
          </cell>
          <cell r="L42">
            <v>0</v>
          </cell>
          <cell r="M42" t="str">
            <v/>
          </cell>
        </row>
        <row r="43">
          <cell r="A43">
            <v>60</v>
          </cell>
          <cell r="B43" t="str">
            <v>Selling and Markeitng</v>
          </cell>
          <cell r="C43">
            <v>0</v>
          </cell>
          <cell r="D43">
            <v>0</v>
          </cell>
          <cell r="F43">
            <v>0</v>
          </cell>
          <cell r="G43" t="str">
            <v/>
          </cell>
          <cell r="I43">
            <v>0</v>
          </cell>
          <cell r="J43" t="str">
            <v/>
          </cell>
          <cell r="L43">
            <v>0</v>
          </cell>
          <cell r="M43" t="str">
            <v/>
          </cell>
        </row>
        <row r="44">
          <cell r="A44">
            <v>61</v>
          </cell>
          <cell r="B44" t="str">
            <v>% of Total Revenue</v>
          </cell>
          <cell r="C44">
            <v>0</v>
          </cell>
          <cell r="D44">
            <v>0</v>
          </cell>
          <cell r="F44">
            <v>0</v>
          </cell>
          <cell r="G44" t="str">
            <v/>
          </cell>
          <cell r="I44">
            <v>0</v>
          </cell>
          <cell r="J44" t="str">
            <v/>
          </cell>
          <cell r="L44">
            <v>0</v>
          </cell>
          <cell r="M44" t="str">
            <v/>
          </cell>
        </row>
        <row r="45">
          <cell r="A45">
            <v>62</v>
          </cell>
          <cell r="B45" t="str">
            <v>General and Administrative</v>
          </cell>
          <cell r="C45">
            <v>0</v>
          </cell>
          <cell r="D45">
            <v>0</v>
          </cell>
          <cell r="F45">
            <v>0</v>
          </cell>
          <cell r="G45" t="str">
            <v/>
          </cell>
          <cell r="I45">
            <v>0</v>
          </cell>
          <cell r="J45" t="str">
            <v/>
          </cell>
          <cell r="L45">
            <v>0</v>
          </cell>
          <cell r="M45" t="str">
            <v/>
          </cell>
        </row>
        <row r="46">
          <cell r="A46">
            <v>63</v>
          </cell>
          <cell r="B46" t="str">
            <v>% of Total Revenue</v>
          </cell>
          <cell r="C46">
            <v>0</v>
          </cell>
          <cell r="D46">
            <v>0</v>
          </cell>
          <cell r="F46">
            <v>0</v>
          </cell>
          <cell r="G46" t="str">
            <v/>
          </cell>
          <cell r="I46">
            <v>0</v>
          </cell>
          <cell r="J46" t="str">
            <v/>
          </cell>
          <cell r="L46">
            <v>0</v>
          </cell>
          <cell r="M46" t="str">
            <v/>
          </cell>
        </row>
        <row r="47">
          <cell r="A47">
            <v>64</v>
          </cell>
          <cell r="B47" t="str">
            <v>Stock Based Compensation Expense</v>
          </cell>
          <cell r="C47">
            <v>0</v>
          </cell>
          <cell r="D47">
            <v>0</v>
          </cell>
          <cell r="F47">
            <v>0</v>
          </cell>
          <cell r="G47" t="str">
            <v/>
          </cell>
          <cell r="I47">
            <v>0</v>
          </cell>
          <cell r="J47" t="str">
            <v/>
          </cell>
          <cell r="L47">
            <v>0</v>
          </cell>
          <cell r="M47" t="str">
            <v/>
          </cell>
        </row>
        <row r="48">
          <cell r="A48">
            <v>65</v>
          </cell>
          <cell r="B48" t="str">
            <v>% of Total Revenue</v>
          </cell>
          <cell r="C48">
            <v>0</v>
          </cell>
          <cell r="D48">
            <v>0</v>
          </cell>
          <cell r="F48">
            <v>0</v>
          </cell>
          <cell r="G48" t="str">
            <v/>
          </cell>
          <cell r="I48">
            <v>0</v>
          </cell>
          <cell r="J48" t="str">
            <v/>
          </cell>
          <cell r="L48">
            <v>0</v>
          </cell>
          <cell r="M48" t="str">
            <v/>
          </cell>
        </row>
        <row r="50">
          <cell r="A50">
            <v>67</v>
          </cell>
          <cell r="B50" t="str">
            <v>Restructuring</v>
          </cell>
          <cell r="C50">
            <v>0</v>
          </cell>
          <cell r="D50">
            <v>0</v>
          </cell>
          <cell r="F50">
            <v>0</v>
          </cell>
          <cell r="G50" t="str">
            <v/>
          </cell>
          <cell r="I50">
            <v>0</v>
          </cell>
          <cell r="J50" t="str">
            <v/>
          </cell>
          <cell r="L50">
            <v>0</v>
          </cell>
          <cell r="M50" t="str">
            <v/>
          </cell>
        </row>
        <row r="52">
          <cell r="A52">
            <v>55</v>
          </cell>
          <cell r="B52" t="str">
            <v>Restructuring</v>
          </cell>
          <cell r="C52">
            <v>0</v>
          </cell>
          <cell r="D52">
            <v>0</v>
          </cell>
          <cell r="F52">
            <v>0</v>
          </cell>
          <cell r="G52" t="str">
            <v/>
          </cell>
          <cell r="I52">
            <v>0</v>
          </cell>
          <cell r="J52" t="str">
            <v/>
          </cell>
          <cell r="L52">
            <v>0</v>
          </cell>
          <cell r="M52" t="str">
            <v/>
          </cell>
        </row>
        <row r="53">
          <cell r="A53">
            <v>57</v>
          </cell>
          <cell r="B53" t="str">
            <v>Other one-time items</v>
          </cell>
          <cell r="C53">
            <v>0</v>
          </cell>
          <cell r="D53">
            <v>0</v>
          </cell>
          <cell r="F53">
            <v>0</v>
          </cell>
          <cell r="G53" t="str">
            <v/>
          </cell>
          <cell r="I53">
            <v>0</v>
          </cell>
          <cell r="J53" t="str">
            <v/>
          </cell>
          <cell r="L53">
            <v>0</v>
          </cell>
          <cell r="M53" t="str">
            <v/>
          </cell>
        </row>
        <row r="55">
          <cell r="A55">
            <v>75</v>
          </cell>
          <cell r="B55" t="str">
            <v>Adj. EBITDA (ex. Founders Grant)</v>
          </cell>
          <cell r="C55">
            <v>146.95699999999999</v>
          </cell>
          <cell r="D55">
            <v>146.95699999999999</v>
          </cell>
          <cell r="F55">
            <v>0</v>
          </cell>
          <cell r="G55">
            <v>0</v>
          </cell>
          <cell r="I55">
            <v>143.32400000000004</v>
          </cell>
          <cell r="J55">
            <v>2.5348162205910851E-2</v>
          </cell>
          <cell r="L55">
            <v>126.91400000000004</v>
          </cell>
          <cell r="M55">
            <v>0.15792583954488815</v>
          </cell>
        </row>
        <row r="56">
          <cell r="A56">
            <v>76</v>
          </cell>
          <cell r="B56" t="str">
            <v>Adj. EBITDA Margin</v>
          </cell>
          <cell r="C56">
            <v>0.5018817534800486</v>
          </cell>
          <cell r="D56">
            <v>0.5018817534800486</v>
          </cell>
          <cell r="F56">
            <v>0</v>
          </cell>
          <cell r="G56">
            <v>0</v>
          </cell>
          <cell r="I56">
            <v>0.49690569386998024</v>
          </cell>
          <cell r="J56">
            <v>49.760596100683621</v>
          </cell>
          <cell r="L56">
            <v>0.46506872657048742</v>
          </cell>
          <cell r="M56">
            <v>368.13026909561177</v>
          </cell>
        </row>
        <row r="57">
          <cell r="A57">
            <v>77</v>
          </cell>
          <cell r="B57" t="str">
            <v>Year-over-Year Growth</v>
          </cell>
          <cell r="C57">
            <v>0.15792583954488815</v>
          </cell>
          <cell r="D57">
            <v>0.15792583954488815</v>
          </cell>
          <cell r="F57">
            <v>0</v>
          </cell>
          <cell r="G57">
            <v>0</v>
          </cell>
          <cell r="I57">
            <v>0.11218543149138371</v>
          </cell>
          <cell r="J57">
            <v>457.40408053504433</v>
          </cell>
          <cell r="L57">
            <v>0.21619886347302009</v>
          </cell>
          <cell r="M57">
            <v>-582.73023928131943</v>
          </cell>
        </row>
        <row r="59">
          <cell r="A59" t="e">
            <v>#REF!</v>
          </cell>
          <cell r="B59" t="str">
            <v>Adj. EBITDA (ex. Founders Grant, excl. restructuring)</v>
          </cell>
          <cell r="C59">
            <v>146.95699999999999</v>
          </cell>
          <cell r="D59">
            <v>146.95699999999999</v>
          </cell>
          <cell r="F59">
            <v>0</v>
          </cell>
          <cell r="G59">
            <v>0</v>
          </cell>
          <cell r="I59" t="e">
            <v>#REF!</v>
          </cell>
          <cell r="J59" t="str">
            <v/>
          </cell>
          <cell r="L59" t="e">
            <v>#REF!</v>
          </cell>
          <cell r="M59" t="str">
            <v/>
          </cell>
        </row>
        <row r="60">
          <cell r="A60">
            <v>80</v>
          </cell>
          <cell r="B60" t="str">
            <v>Adj. EBITDA Margin</v>
          </cell>
          <cell r="C60">
            <v>0.5018817534800486</v>
          </cell>
          <cell r="D60">
            <v>0.5018817534800486</v>
          </cell>
          <cell r="F60">
            <v>0</v>
          </cell>
          <cell r="G60">
            <v>0</v>
          </cell>
          <cell r="I60">
            <v>8.3119999999999994</v>
          </cell>
          <cell r="J60">
            <v>-78101.182465199498</v>
          </cell>
          <cell r="L60">
            <v>7.5679999999999996</v>
          </cell>
          <cell r="M60">
            <v>-70661.182465199512</v>
          </cell>
        </row>
        <row r="61">
          <cell r="A61">
            <v>81</v>
          </cell>
          <cell r="I61">
            <v>2.8817784372800609E-2</v>
          </cell>
          <cell r="J61">
            <v>-288.17784372800611</v>
          </cell>
          <cell r="L61">
            <v>2.7732481228906564E-2</v>
          </cell>
          <cell r="M61">
            <v>-277.32481228906562</v>
          </cell>
        </row>
        <row r="63">
          <cell r="A63">
            <v>80</v>
          </cell>
          <cell r="B63" t="str">
            <v>Depreciation</v>
          </cell>
          <cell r="C63">
            <v>9.4469999999999992</v>
          </cell>
          <cell r="D63">
            <v>9.4469999999999992</v>
          </cell>
          <cell r="F63">
            <v>0</v>
          </cell>
          <cell r="G63">
            <v>0</v>
          </cell>
          <cell r="I63">
            <v>8.3119999999999994</v>
          </cell>
          <cell r="J63">
            <v>0.13654956689124154</v>
          </cell>
          <cell r="L63">
            <v>7.5679999999999996</v>
          </cell>
          <cell r="M63">
            <v>0.24828224101479912</v>
          </cell>
        </row>
        <row r="64">
          <cell r="A64">
            <v>82</v>
          </cell>
          <cell r="B64" t="str">
            <v>% of Total Revenue</v>
          </cell>
          <cell r="C64">
            <v>11.497999999999999</v>
          </cell>
          <cell r="D64">
            <v>11.497999999999999</v>
          </cell>
          <cell r="F64">
            <v>0</v>
          </cell>
          <cell r="G64">
            <v>0</v>
          </cell>
          <cell r="I64">
            <v>11.752000000000001</v>
          </cell>
          <cell r="J64">
            <v>-2.1613342409802727E-2</v>
          </cell>
          <cell r="L64">
            <v>11.803000000000001</v>
          </cell>
          <cell r="M64">
            <v>-2.5840887909853505E-2</v>
          </cell>
        </row>
        <row r="65">
          <cell r="A65">
            <v>66</v>
          </cell>
          <cell r="B65" t="str">
            <v>Amort. of Intangible Assets</v>
          </cell>
          <cell r="C65">
            <v>-8.494372478230483E-4</v>
          </cell>
          <cell r="D65">
            <v>-8.494372478230483E-4</v>
          </cell>
          <cell r="F65">
            <v>0</v>
          </cell>
          <cell r="G65">
            <v>0</v>
          </cell>
          <cell r="I65">
            <v>3.7159602601672281E-2</v>
          </cell>
          <cell r="J65">
            <v>-1.0228591585579772</v>
          </cell>
          <cell r="L65">
            <v>-5.5926430517713177E-3</v>
          </cell>
          <cell r="M65">
            <v>-0.84811523997512905</v>
          </cell>
        </row>
        <row r="67">
          <cell r="A67">
            <v>85</v>
          </cell>
          <cell r="B67" t="str">
            <v>Amoritzation Added Back to EBITDA</v>
          </cell>
          <cell r="C67">
            <v>0</v>
          </cell>
          <cell r="D67">
            <v>0</v>
          </cell>
          <cell r="F67">
            <v>0</v>
          </cell>
          <cell r="G67" t="str">
            <v/>
          </cell>
          <cell r="I67">
            <v>0</v>
          </cell>
          <cell r="J67" t="str">
            <v/>
          </cell>
          <cell r="L67">
            <v>0</v>
          </cell>
          <cell r="M67" t="str">
            <v/>
          </cell>
        </row>
        <row r="68">
          <cell r="A68">
            <v>86</v>
          </cell>
          <cell r="B68">
            <v>0</v>
          </cell>
          <cell r="C68">
            <v>0</v>
          </cell>
          <cell r="D68">
            <v>0</v>
          </cell>
          <cell r="F68">
            <v>0</v>
          </cell>
          <cell r="G68" t="str">
            <v/>
          </cell>
          <cell r="I68">
            <v>0</v>
          </cell>
          <cell r="J68" t="str">
            <v/>
          </cell>
          <cell r="L68">
            <v>0</v>
          </cell>
          <cell r="M68" t="str">
            <v/>
          </cell>
        </row>
        <row r="69">
          <cell r="A69">
            <v>87</v>
          </cell>
          <cell r="B69">
            <v>0</v>
          </cell>
          <cell r="C69">
            <v>0</v>
          </cell>
          <cell r="D69">
            <v>0</v>
          </cell>
          <cell r="F69">
            <v>0</v>
          </cell>
          <cell r="G69" t="str">
            <v/>
          </cell>
          <cell r="I69">
            <v>0</v>
          </cell>
          <cell r="J69" t="str">
            <v/>
          </cell>
          <cell r="L69">
            <v>0</v>
          </cell>
          <cell r="M69" t="str">
            <v/>
          </cell>
        </row>
        <row r="71">
          <cell r="A71">
            <v>88</v>
          </cell>
          <cell r="B71" t="str">
            <v>Depreciation &amp; Amortization</v>
          </cell>
          <cell r="C71">
            <v>20.945</v>
          </cell>
          <cell r="D71">
            <v>20.945</v>
          </cell>
          <cell r="F71">
            <v>0</v>
          </cell>
          <cell r="G71">
            <v>0</v>
          </cell>
          <cell r="I71">
            <v>20.064</v>
          </cell>
          <cell r="J71">
            <v>4.3909489633173759E-2</v>
          </cell>
          <cell r="L71">
            <v>19.371000000000002</v>
          </cell>
          <cell r="M71">
            <v>8.1255485003355332E-2</v>
          </cell>
        </row>
        <row r="72">
          <cell r="A72">
            <v>89</v>
          </cell>
          <cell r="B72" t="str">
            <v>% of Total Revenue</v>
          </cell>
          <cell r="C72">
            <v>7.1530538365913957E-2</v>
          </cell>
          <cell r="D72">
            <v>7.1530538365913957E-2</v>
          </cell>
          <cell r="F72">
            <v>0</v>
          </cell>
          <cell r="G72">
            <v>0</v>
          </cell>
          <cell r="I72">
            <v>6.9562082008646706E-2</v>
          </cell>
          <cell r="J72">
            <v>19.684563572672509</v>
          </cell>
          <cell r="L72">
            <v>7.0983865471082069E-2</v>
          </cell>
          <cell r="M72">
            <v>5.4667289483188721</v>
          </cell>
        </row>
        <row r="74">
          <cell r="A74">
            <v>91</v>
          </cell>
          <cell r="B74" t="str">
            <v>Founders Grant</v>
          </cell>
          <cell r="C74">
            <v>0</v>
          </cell>
          <cell r="D74">
            <v>0</v>
          </cell>
          <cell r="F74">
            <v>0</v>
          </cell>
          <cell r="G74" t="str">
            <v/>
          </cell>
          <cell r="I74">
            <v>0</v>
          </cell>
          <cell r="J74" t="str">
            <v/>
          </cell>
          <cell r="L74">
            <v>0</v>
          </cell>
          <cell r="M74" t="str">
            <v/>
          </cell>
        </row>
        <row r="76">
          <cell r="A76">
            <v>93</v>
          </cell>
          <cell r="B76" t="str">
            <v>Income from Operations</v>
          </cell>
          <cell r="C76">
            <v>126.012</v>
          </cell>
          <cell r="D76">
            <v>126.012</v>
          </cell>
          <cell r="F76">
            <v>0</v>
          </cell>
          <cell r="G76">
            <v>0</v>
          </cell>
          <cell r="I76">
            <v>123.26000000000005</v>
          </cell>
          <cell r="J76">
            <v>2.2326788901508632E-2</v>
          </cell>
          <cell r="L76">
            <v>107.54300000000003</v>
          </cell>
          <cell r="M76">
            <v>0.17173595678007825</v>
          </cell>
        </row>
        <row r="77">
          <cell r="A77">
            <v>94</v>
          </cell>
          <cell r="B77" t="str">
            <v>Operating Margin</v>
          </cell>
          <cell r="C77">
            <v>0.43035121511413466</v>
          </cell>
          <cell r="D77">
            <v>0.43035121511413466</v>
          </cell>
          <cell r="F77">
            <v>0</v>
          </cell>
          <cell r="G77">
            <v>0</v>
          </cell>
          <cell r="I77">
            <v>0.42734361186133357</v>
          </cell>
          <cell r="J77">
            <v>7.0379038537657923E-3</v>
          </cell>
          <cell r="L77">
            <v>0.39408486109940533</v>
          </cell>
          <cell r="M77">
            <v>9.2026762747380308E-2</v>
          </cell>
        </row>
        <row r="79">
          <cell r="A79">
            <v>96</v>
          </cell>
          <cell r="B79" t="str">
            <v xml:space="preserve">Interest Income </v>
          </cell>
          <cell r="C79">
            <v>0.90100000000000002</v>
          </cell>
          <cell r="D79">
            <v>0.90100000000000002</v>
          </cell>
          <cell r="F79">
            <v>0</v>
          </cell>
          <cell r="G79">
            <v>0</v>
          </cell>
          <cell r="I79">
            <v>0.79900000000000004</v>
          </cell>
          <cell r="J79">
            <v>0.12765957446808507</v>
          </cell>
          <cell r="L79">
            <v>0.49199999999999999</v>
          </cell>
          <cell r="M79">
            <v>0.83130081300813008</v>
          </cell>
        </row>
        <row r="80">
          <cell r="A80">
            <v>97</v>
          </cell>
          <cell r="B80" t="str">
            <v xml:space="preserve">Interest Expense </v>
          </cell>
          <cell r="C80">
            <v>-29.039000000000001</v>
          </cell>
          <cell r="D80">
            <v>-29.039000000000001</v>
          </cell>
          <cell r="F80">
            <v>0</v>
          </cell>
          <cell r="G80">
            <v>0</v>
          </cell>
          <cell r="I80">
            <v>-26.79</v>
          </cell>
          <cell r="J80">
            <v>8.3949234789100435E-2</v>
          </cell>
          <cell r="L80">
            <v>-22.896000000000001</v>
          </cell>
          <cell r="M80">
            <v>0.26830013976240386</v>
          </cell>
        </row>
        <row r="81">
          <cell r="A81">
            <v>98</v>
          </cell>
          <cell r="B81" t="str">
            <v xml:space="preserve">Other, Net </v>
          </cell>
          <cell r="C81">
            <v>-0.77900000000000003</v>
          </cell>
          <cell r="D81">
            <v>-0.77900000000000003</v>
          </cell>
          <cell r="F81">
            <v>0</v>
          </cell>
          <cell r="G81">
            <v>0</v>
          </cell>
          <cell r="I81">
            <v>0.253</v>
          </cell>
          <cell r="J81">
            <v>-4.079051383399209</v>
          </cell>
          <cell r="L81">
            <v>0.29699999999999999</v>
          </cell>
          <cell r="M81">
            <v>-3.6228956228956233</v>
          </cell>
        </row>
        <row r="85">
          <cell r="A85">
            <v>100</v>
          </cell>
          <cell r="B85" t="str">
            <v>Pretax Income</v>
          </cell>
          <cell r="C85">
            <v>97.094999999999999</v>
          </cell>
          <cell r="D85">
            <v>97.094999999999999</v>
          </cell>
          <cell r="F85">
            <v>0</v>
          </cell>
          <cell r="G85">
            <v>0</v>
          </cell>
          <cell r="I85">
            <v>97.522000000000062</v>
          </cell>
          <cell r="J85">
            <v>-4.378499210435205E-3</v>
          </cell>
          <cell r="L85">
            <v>85.436000000000035</v>
          </cell>
          <cell r="M85">
            <v>0.13646472213118543</v>
          </cell>
        </row>
        <row r="87">
          <cell r="A87">
            <v>102</v>
          </cell>
          <cell r="B87" t="str">
            <v>Tax Expense</v>
          </cell>
          <cell r="C87">
            <v>-28.844999999999999</v>
          </cell>
          <cell r="D87">
            <v>-28.844999999999999</v>
          </cell>
          <cell r="F87">
            <v>0</v>
          </cell>
          <cell r="G87">
            <v>0</v>
          </cell>
          <cell r="I87">
            <v>-32.241</v>
          </cell>
          <cell r="J87">
            <v>-0.10533172048013406</v>
          </cell>
          <cell r="L87">
            <v>-25.437000000000001</v>
          </cell>
          <cell r="M87">
            <v>0.13397806345087848</v>
          </cell>
        </row>
        <row r="90">
          <cell r="A90">
            <v>107</v>
          </cell>
          <cell r="B90" t="str">
            <v>Net Income from Operations</v>
          </cell>
          <cell r="C90">
            <v>68.25</v>
          </cell>
          <cell r="D90">
            <v>68.25</v>
          </cell>
          <cell r="F90">
            <v>0</v>
          </cell>
          <cell r="G90">
            <v>0</v>
          </cell>
          <cell r="I90">
            <v>65.281000000000063</v>
          </cell>
          <cell r="J90">
            <v>4.548030820606197E-2</v>
          </cell>
          <cell r="L90">
            <v>59.999000000000038</v>
          </cell>
          <cell r="M90">
            <v>0.13751895864931019</v>
          </cell>
        </row>
        <row r="91">
          <cell r="A91">
            <v>109</v>
          </cell>
          <cell r="B91" t="str">
            <v xml:space="preserve">Income from discontinued operations, net </v>
          </cell>
          <cell r="C91">
            <v>0</v>
          </cell>
          <cell r="D91">
            <v>0</v>
          </cell>
          <cell r="F91">
            <v>0</v>
          </cell>
          <cell r="G91" t="str">
            <v/>
          </cell>
          <cell r="I91">
            <v>0</v>
          </cell>
          <cell r="J91" t="str">
            <v/>
          </cell>
          <cell r="L91">
            <v>-0.59299999999999997</v>
          </cell>
          <cell r="M91">
            <v>-1</v>
          </cell>
        </row>
        <row r="92">
          <cell r="A92">
            <v>111</v>
          </cell>
          <cell r="B92" t="str">
            <v>Net Income - GAAP</v>
          </cell>
          <cell r="C92">
            <v>68.25</v>
          </cell>
          <cell r="D92">
            <v>68.25</v>
          </cell>
          <cell r="F92">
            <v>0</v>
          </cell>
          <cell r="G92">
            <v>0</v>
          </cell>
          <cell r="I92">
            <v>65.281000000000063</v>
          </cell>
          <cell r="J92">
            <v>4.548030820606197E-2</v>
          </cell>
          <cell r="L92">
            <v>59.406000000000034</v>
          </cell>
          <cell r="M92">
            <v>0.14887385112614826</v>
          </cell>
        </row>
        <row r="93">
          <cell r="A93">
            <v>112</v>
          </cell>
          <cell r="B93" t="str">
            <v>Adjusted Net Income</v>
          </cell>
          <cell r="C93">
            <v>76.332172099490194</v>
          </cell>
          <cell r="D93">
            <v>76.332172099490194</v>
          </cell>
          <cell r="F93">
            <v>0</v>
          </cell>
          <cell r="G93">
            <v>0</v>
          </cell>
          <cell r="I93">
            <v>73.147761469207012</v>
          </cell>
          <cell r="J93">
            <v>4.3533945076688729E-2</v>
          </cell>
          <cell r="L93">
            <v>68.287873507654894</v>
          </cell>
          <cell r="M93">
            <v>0.11779981098596592</v>
          </cell>
        </row>
        <row r="95">
          <cell r="A95">
            <v>114</v>
          </cell>
          <cell r="B95" t="str">
            <v>Allocations to unvested restricted stock units</v>
          </cell>
          <cell r="C95">
            <v>0</v>
          </cell>
          <cell r="D95">
            <v>0</v>
          </cell>
          <cell r="F95">
            <v>0</v>
          </cell>
          <cell r="G95" t="str">
            <v/>
          </cell>
          <cell r="I95">
            <v>0</v>
          </cell>
          <cell r="J95" t="str">
            <v/>
          </cell>
          <cell r="L95">
            <v>-4.4999999999999998E-2</v>
          </cell>
          <cell r="M95">
            <v>-1</v>
          </cell>
        </row>
        <row r="97">
          <cell r="A97">
            <v>120</v>
          </cell>
          <cell r="B97" t="str">
            <v>Avg. Diluted Shares Outstanding</v>
          </cell>
          <cell r="C97">
            <v>93.844999999999999</v>
          </cell>
          <cell r="D97">
            <v>93.844999999999999</v>
          </cell>
          <cell r="F97">
            <v>0</v>
          </cell>
          <cell r="G97">
            <v>0</v>
          </cell>
          <cell r="I97">
            <v>95.472999999999999</v>
          </cell>
          <cell r="J97">
            <v>-1.7051941386570069E-2</v>
          </cell>
          <cell r="L97">
            <v>103.59</v>
          </cell>
          <cell r="M97">
            <v>-9.4072786948547149E-2</v>
          </cell>
        </row>
        <row r="99">
          <cell r="A99">
            <v>122</v>
          </cell>
          <cell r="B99" t="str">
            <v>EPS from Continuing Ops</v>
          </cell>
          <cell r="C99">
            <v>0.72726304011934573</v>
          </cell>
          <cell r="D99">
            <v>0.72726304011934573</v>
          </cell>
          <cell r="F99">
            <v>0</v>
          </cell>
          <cell r="G99">
            <v>0</v>
          </cell>
          <cell r="I99">
            <v>0.68376399610361116</v>
          </cell>
          <cell r="J99">
            <v>6.3617043692869579E-2</v>
          </cell>
          <cell r="L99">
            <v>0.57919683367120411</v>
          </cell>
          <cell r="M99">
            <v>0.25564056610881813</v>
          </cell>
        </row>
        <row r="100">
          <cell r="A100">
            <v>123</v>
          </cell>
          <cell r="B100" t="str">
            <v>EPS to Common Stockholders</v>
          </cell>
          <cell r="C100">
            <v>0.72726304011934573</v>
          </cell>
          <cell r="D100">
            <v>0.72726304011934573</v>
          </cell>
          <cell r="F100">
            <v>0</v>
          </cell>
          <cell r="G100">
            <v>0</v>
          </cell>
          <cell r="I100">
            <v>0.68376399610361116</v>
          </cell>
          <cell r="J100">
            <v>6.3617043692869579E-2</v>
          </cell>
          <cell r="L100">
            <v>0.57303793802490621</v>
          </cell>
          <cell r="M100">
            <v>0.26913593648966461</v>
          </cell>
        </row>
        <row r="101">
          <cell r="A101">
            <v>124</v>
          </cell>
          <cell r="B101" t="str">
            <v>Adjusted EPS</v>
          </cell>
          <cell r="C101">
            <v>0.81338560498151413</v>
          </cell>
          <cell r="D101">
            <v>0.81338560498151413</v>
          </cell>
          <cell r="F101">
            <v>0</v>
          </cell>
          <cell r="G101">
            <v>0</v>
          </cell>
          <cell r="I101">
            <v>0.7661617574519185</v>
          </cell>
          <cell r="J101">
            <v>6.1636915534196701E-2</v>
          </cell>
          <cell r="L101">
            <v>0.65877858391403499</v>
          </cell>
          <cell r="M101">
            <v>0.23468738183458315</v>
          </cell>
        </row>
        <row r="104">
          <cell r="B104" t="str">
            <v>Fiscal Year ends Dec 31</v>
          </cell>
          <cell r="C104" t="str">
            <v>4Q16E</v>
          </cell>
          <cell r="D104" t="str">
            <v>4Q16A</v>
          </cell>
          <cell r="F104" t="str">
            <v>A - E</v>
          </cell>
          <cell r="G104" t="str">
            <v>% Diff</v>
          </cell>
          <cell r="H104">
            <v>0</v>
          </cell>
          <cell r="I104" t="str">
            <v>3Q16A</v>
          </cell>
          <cell r="J104" t="str">
            <v>QoQ</v>
          </cell>
          <cell r="K104">
            <v>0</v>
          </cell>
          <cell r="L104" t="str">
            <v>4Q15A</v>
          </cell>
          <cell r="M104" t="str">
            <v>YoY</v>
          </cell>
          <cell r="N104">
            <v>0</v>
          </cell>
        </row>
        <row r="106">
          <cell r="B106" t="str">
            <v>Run Rates (next 12 months subscription)</v>
          </cell>
        </row>
        <row r="107">
          <cell r="B107" t="str">
            <v>Subscription based fees</v>
          </cell>
          <cell r="M107" t="str">
            <v/>
          </cell>
        </row>
        <row r="108">
          <cell r="A108">
            <v>279</v>
          </cell>
          <cell r="B108" t="str">
            <v>Index</v>
          </cell>
          <cell r="C108">
            <v>406.72899999999998</v>
          </cell>
          <cell r="D108">
            <v>406.72899999999998</v>
          </cell>
          <cell r="F108">
            <v>0</v>
          </cell>
          <cell r="G108">
            <v>0</v>
          </cell>
          <cell r="I108">
            <v>395.601</v>
          </cell>
          <cell r="J108">
            <v>2.8129352554720599E-2</v>
          </cell>
          <cell r="L108">
            <v>368.85500000000002</v>
          </cell>
          <cell r="M108">
            <v>0.10267991487169748</v>
          </cell>
        </row>
        <row r="109">
          <cell r="A109">
            <v>282</v>
          </cell>
          <cell r="B109" t="str">
            <v>Analytics</v>
          </cell>
          <cell r="C109">
            <v>451.53300000000002</v>
          </cell>
          <cell r="D109">
            <v>451.53300000000002</v>
          </cell>
          <cell r="F109">
            <v>0</v>
          </cell>
          <cell r="G109">
            <v>0</v>
          </cell>
        </row>
        <row r="111">
          <cell r="A111">
            <v>285</v>
          </cell>
          <cell r="B111" t="str">
            <v>All other</v>
          </cell>
          <cell r="C111">
            <v>88.073999999999998</v>
          </cell>
          <cell r="D111">
            <v>88.073999999999998</v>
          </cell>
          <cell r="F111">
            <v>0</v>
          </cell>
          <cell r="G111">
            <v>0</v>
          </cell>
          <cell r="I111">
            <v>86.738</v>
          </cell>
          <cell r="J111">
            <v>1.5402707002697857E-2</v>
          </cell>
          <cell r="L111">
            <v>82.676999999999992</v>
          </cell>
          <cell r="M111">
            <v>6.5278130556261083E-2</v>
          </cell>
        </row>
        <row r="113">
          <cell r="A113">
            <v>286</v>
          </cell>
          <cell r="B113" t="str">
            <v>Subscription based fees total</v>
          </cell>
          <cell r="C113">
            <v>946.3359999999999</v>
          </cell>
          <cell r="D113">
            <v>946.3359999999999</v>
          </cell>
          <cell r="F113">
            <v>0</v>
          </cell>
          <cell r="G113">
            <v>0</v>
          </cell>
          <cell r="I113">
            <v>934.66200000000003</v>
          </cell>
          <cell r="J113">
            <v>1.2490076626630708E-2</v>
          </cell>
          <cell r="L113">
            <v>888.20300000000009</v>
          </cell>
          <cell r="M113">
            <v>6.5450127954983062E-2</v>
          </cell>
        </row>
        <row r="123">
          <cell r="A123">
            <v>325</v>
          </cell>
          <cell r="B123" t="str">
            <v>Equity indices</v>
          </cell>
          <cell r="C123">
            <v>0.93400000000000005</v>
          </cell>
          <cell r="D123">
            <v>0.93400000000000005</v>
          </cell>
          <cell r="F123">
            <v>0</v>
          </cell>
          <cell r="G123">
            <v>0</v>
          </cell>
          <cell r="I123">
            <v>0.95799999999999996</v>
          </cell>
          <cell r="J123">
            <v>-239.99999999999909</v>
          </cell>
          <cell r="L123">
            <v>0.92700000000000005</v>
          </cell>
          <cell r="M123">
            <v>70.000000000000057</v>
          </cell>
        </row>
        <row r="124">
          <cell r="A124">
            <v>328</v>
          </cell>
          <cell r="B124" t="str">
            <v>Analytics</v>
          </cell>
          <cell r="C124">
            <v>0.874</v>
          </cell>
          <cell r="D124">
            <v>0.874</v>
          </cell>
          <cell r="F124">
            <v>0</v>
          </cell>
          <cell r="G124">
            <v>0</v>
          </cell>
          <cell r="I124">
            <v>0.90400000000000003</v>
          </cell>
          <cell r="J124">
            <v>-300.00000000000028</v>
          </cell>
          <cell r="L124">
            <v>0.89900000000000002</v>
          </cell>
          <cell r="M124">
            <v>-250.00000000000023</v>
          </cell>
        </row>
        <row r="125">
          <cell r="A125">
            <v>331</v>
          </cell>
          <cell r="B125" t="str">
            <v>All Other</v>
          </cell>
          <cell r="C125">
            <v>0.878</v>
          </cell>
          <cell r="D125">
            <v>0.878</v>
          </cell>
          <cell r="F125">
            <v>0</v>
          </cell>
          <cell r="G125">
            <v>0</v>
          </cell>
          <cell r="I125">
            <v>0.90800000000000003</v>
          </cell>
          <cell r="J125">
            <v>-300.00000000000028</v>
          </cell>
          <cell r="L125">
            <v>0.83899999999999997</v>
          </cell>
          <cell r="M125">
            <v>390.00000000000034</v>
          </cell>
        </row>
        <row r="126">
          <cell r="A126">
            <v>332</v>
          </cell>
          <cell r="B126" t="str">
            <v>Aggregate Retention Rate</v>
          </cell>
          <cell r="C126">
            <v>0.89900000000000002</v>
          </cell>
          <cell r="D126">
            <v>0.89900000000000002</v>
          </cell>
          <cell r="F126">
            <v>0</v>
          </cell>
          <cell r="G126">
            <v>0</v>
          </cell>
          <cell r="I126">
            <v>0.92700000000000005</v>
          </cell>
          <cell r="J126">
            <v>-280.00000000000023</v>
          </cell>
          <cell r="L126">
            <v>0.90400000000000003</v>
          </cell>
          <cell r="M126">
            <v>-50.000000000000043</v>
          </cell>
        </row>
        <row r="127">
          <cell r="A127">
            <v>332</v>
          </cell>
          <cell r="B127" t="str">
            <v>Aggregate Retention Rate</v>
          </cell>
          <cell r="C127">
            <v>0.94717327945180974</v>
          </cell>
          <cell r="D127">
            <v>0.94699999999999995</v>
          </cell>
          <cell r="F127">
            <v>-1.7327945180978244</v>
          </cell>
          <cell r="G127">
            <v>-1.8294377129179917E-4</v>
          </cell>
          <cell r="I127">
            <v>0.89900000000000002</v>
          </cell>
          <cell r="J127">
            <v>479.99999999999932</v>
          </cell>
          <cell r="L127">
            <v>0.95099999999999996</v>
          </cell>
          <cell r="M127">
            <v>-40.000000000000036</v>
          </cell>
        </row>
        <row r="128">
          <cell r="A128">
            <v>31</v>
          </cell>
          <cell r="B128" t="str">
            <v>New recurring subscription sales</v>
          </cell>
          <cell r="C128">
            <v>37.145290000000003</v>
          </cell>
          <cell r="D128">
            <v>42.201000000000001</v>
          </cell>
          <cell r="F128">
            <v>5.0557099999999977</v>
          </cell>
          <cell r="G128">
            <v>0.13610635426456485</v>
          </cell>
          <cell r="I128">
            <v>28.768999999999998</v>
          </cell>
          <cell r="J128">
            <v>0.46689144565330754</v>
          </cell>
          <cell r="L128">
            <v>25.507999999999999</v>
          </cell>
          <cell r="M128">
            <v>0.65442214207307514</v>
          </cell>
        </row>
        <row r="129">
          <cell r="A129">
            <v>32</v>
          </cell>
          <cell r="B129" t="str">
            <v>Subscription cancellations</v>
          </cell>
          <cell r="C129">
            <v>-22.935667125000002</v>
          </cell>
          <cell r="D129">
            <v>-22.346</v>
          </cell>
          <cell r="F129">
            <v>0.58966712500000185</v>
          </cell>
          <cell r="G129">
            <v>2.5709612970326923E-2</v>
          </cell>
          <cell r="I129">
            <v>-15.353999999999999</v>
          </cell>
          <cell r="J129">
            <v>0.4553862185749642</v>
          </cell>
          <cell r="L129">
            <v>-10.914999999999999</v>
          </cell>
          <cell r="M129">
            <v>1.0472743930371049</v>
          </cell>
        </row>
        <row r="130">
          <cell r="A130">
            <v>33</v>
          </cell>
          <cell r="B130" t="str">
            <v>Net new recurring subscription sales</v>
          </cell>
          <cell r="C130">
            <v>14.209622875000001</v>
          </cell>
          <cell r="D130">
            <v>19.855</v>
          </cell>
          <cell r="F130">
            <v>5.6453771249999996</v>
          </cell>
          <cell r="G130">
            <v>0.39729253722365243</v>
          </cell>
          <cell r="I130">
            <v>13.414999999999999</v>
          </cell>
          <cell r="J130">
            <v>0.48005963473723456</v>
          </cell>
          <cell r="L130">
            <v>14.593</v>
          </cell>
          <cell r="M130">
            <v>0.36058384156787504</v>
          </cell>
        </row>
        <row r="131">
          <cell r="A131">
            <v>38</v>
          </cell>
          <cell r="B131" t="str">
            <v>Non recurring sales</v>
          </cell>
          <cell r="C131">
            <v>6.7919999999999998</v>
          </cell>
          <cell r="D131">
            <v>7.8150000000000004</v>
          </cell>
          <cell r="F131">
            <v>1.0230000000000006</v>
          </cell>
          <cell r="G131">
            <v>0.15061837455830407</v>
          </cell>
          <cell r="I131">
            <v>7.94</v>
          </cell>
          <cell r="J131">
            <v>-1.5743073047858935E-2</v>
          </cell>
          <cell r="L131">
            <v>4.1539999999999999</v>
          </cell>
          <cell r="M131">
            <v>0.88131921039961503</v>
          </cell>
        </row>
        <row r="132">
          <cell r="A132">
            <v>38</v>
          </cell>
          <cell r="B132" t="str">
            <v>Non recurring sales</v>
          </cell>
          <cell r="C132">
            <v>6.0155000000000003</v>
          </cell>
          <cell r="D132">
            <v>7.1459999999999999</v>
          </cell>
          <cell r="F132">
            <v>1.1304999999999996</v>
          </cell>
          <cell r="G132">
            <v>0.18793117779070734</v>
          </cell>
          <cell r="I132">
            <v>7.94</v>
          </cell>
          <cell r="J132">
            <v>-0.10000000000000009</v>
          </cell>
          <cell r="L132">
            <v>4.1539999999999999</v>
          </cell>
          <cell r="M132">
            <v>0.72026961964371683</v>
          </cell>
        </row>
        <row r="134">
          <cell r="B134" t="str">
            <v>Perf Stats lookup</v>
          </cell>
          <cell r="C134" t="str">
            <v>ba</v>
          </cell>
          <cell r="D134" t="str">
            <v>ba</v>
          </cell>
          <cell r="I134" t="str">
            <v>ay</v>
          </cell>
          <cell r="L134" t="str">
            <v>au</v>
          </cell>
        </row>
        <row r="135">
          <cell r="B135" t="str">
            <v>Perf Stats lookup</v>
          </cell>
          <cell r="C135" t="str">
            <v>bc</v>
          </cell>
          <cell r="D135" t="str">
            <v>bc</v>
          </cell>
          <cell r="I135" t="str">
            <v>ay</v>
          </cell>
          <cell r="L135" t="str">
            <v>au</v>
          </cell>
        </row>
      </sheetData>
      <sheetData sheetId="4" refreshError="1"/>
      <sheetData sheetId="5" refreshError="1">
        <row r="2">
          <cell r="B2" t="str">
            <v>Revenue Model</v>
          </cell>
        </row>
        <row r="4">
          <cell r="C4">
            <v>2006</v>
          </cell>
          <cell r="D4" t="str">
            <v>1Q07</v>
          </cell>
          <cell r="E4" t="str">
            <v>2Q07</v>
          </cell>
          <cell r="F4" t="str">
            <v>3Q07</v>
          </cell>
          <cell r="G4" t="str">
            <v>4Q07</v>
          </cell>
          <cell r="H4">
            <v>2007</v>
          </cell>
          <cell r="I4" t="str">
            <v>1Q08</v>
          </cell>
          <cell r="J4" t="str">
            <v>2Q08</v>
          </cell>
          <cell r="K4" t="str">
            <v>3Q08</v>
          </cell>
          <cell r="L4" t="str">
            <v>4Q08</v>
          </cell>
          <cell r="M4">
            <v>2008</v>
          </cell>
          <cell r="N4" t="str">
            <v>1Q09</v>
          </cell>
          <cell r="O4" t="str">
            <v>2Q09</v>
          </cell>
          <cell r="P4" t="str">
            <v>3Q09</v>
          </cell>
          <cell r="Q4" t="str">
            <v>4Q09</v>
          </cell>
          <cell r="R4">
            <v>2009</v>
          </cell>
          <cell r="S4" t="str">
            <v>1Q10</v>
          </cell>
          <cell r="T4" t="str">
            <v>2Q10</v>
          </cell>
          <cell r="U4" t="str">
            <v>3Q10</v>
          </cell>
          <cell r="V4" t="str">
            <v>4Q10</v>
          </cell>
          <cell r="W4">
            <v>2010</v>
          </cell>
          <cell r="X4" t="str">
            <v>1Q11</v>
          </cell>
          <cell r="Y4" t="str">
            <v>2Q11</v>
          </cell>
          <cell r="Z4" t="str">
            <v>3Q11</v>
          </cell>
          <cell r="AA4" t="str">
            <v>4Q11</v>
          </cell>
          <cell r="AB4">
            <v>2011</v>
          </cell>
          <cell r="AC4" t="str">
            <v>1Q12</v>
          </cell>
          <cell r="AD4" t="str">
            <v>2Q12</v>
          </cell>
          <cell r="AE4" t="str">
            <v>3Q12</v>
          </cell>
          <cell r="AF4" t="str">
            <v>4Q12</v>
          </cell>
          <cell r="AG4">
            <v>2012</v>
          </cell>
          <cell r="AH4" t="str">
            <v>1Q13</v>
          </cell>
          <cell r="AI4" t="str">
            <v>2Q13</v>
          </cell>
          <cell r="AJ4" t="str">
            <v>3Q13</v>
          </cell>
          <cell r="AK4" t="str">
            <v>4Q13</v>
          </cell>
          <cell r="AL4">
            <v>2013</v>
          </cell>
          <cell r="AM4" t="str">
            <v>1Q13R</v>
          </cell>
          <cell r="AN4" t="str">
            <v>2Q13R</v>
          </cell>
          <cell r="AO4" t="str">
            <v>3Q13R</v>
          </cell>
          <cell r="AP4" t="str">
            <v>4Q13R</v>
          </cell>
          <cell r="AQ4" t="str">
            <v>2013R</v>
          </cell>
          <cell r="AR4" t="str">
            <v>1Q14</v>
          </cell>
          <cell r="AS4" t="str">
            <v>2Q14</v>
          </cell>
          <cell r="AT4" t="str">
            <v>3Q14</v>
          </cell>
          <cell r="AU4" t="str">
            <v>4Q14</v>
          </cell>
          <cell r="AV4">
            <v>2014</v>
          </cell>
          <cell r="AW4" t="str">
            <v>1Q15</v>
          </cell>
          <cell r="AX4" t="str">
            <v>2Q15</v>
          </cell>
          <cell r="AY4" t="str">
            <v>3Q15</v>
          </cell>
          <cell r="AZ4" t="str">
            <v>4Q15</v>
          </cell>
          <cell r="BA4">
            <v>2015</v>
          </cell>
          <cell r="BB4" t="str">
            <v>1Q16</v>
          </cell>
          <cell r="BC4" t="str">
            <v>2Q16</v>
          </cell>
          <cell r="BD4" t="str">
            <v>3Q16</v>
          </cell>
          <cell r="BE4" t="str">
            <v>4Q16</v>
          </cell>
          <cell r="BF4" t="str">
            <v>2016E</v>
          </cell>
          <cell r="BG4" t="str">
            <v>1Q17E</v>
          </cell>
          <cell r="BH4" t="str">
            <v>2Q17E</v>
          </cell>
          <cell r="BI4" t="str">
            <v>3Q17E</v>
          </cell>
          <cell r="BJ4" t="str">
            <v>4Q17E</v>
          </cell>
          <cell r="BK4" t="str">
            <v>2017E</v>
          </cell>
          <cell r="BL4" t="str">
            <v>1Q18E</v>
          </cell>
          <cell r="BM4" t="str">
            <v>2Q18E</v>
          </cell>
          <cell r="BN4" t="str">
            <v>3Q18E</v>
          </cell>
          <cell r="BO4" t="str">
            <v>4Q18E</v>
          </cell>
          <cell r="BP4" t="str">
            <v>2018E</v>
          </cell>
          <cell r="BQ4" t="str">
            <v>1Q19E</v>
          </cell>
          <cell r="BR4" t="str">
            <v>2Q19E</v>
          </cell>
          <cell r="BS4" t="str">
            <v>3Q19E</v>
          </cell>
          <cell r="BT4" t="str">
            <v>4Q19E</v>
          </cell>
          <cell r="BU4" t="str">
            <v>2019E</v>
          </cell>
          <cell r="BV4" t="str">
            <v>1Q20E</v>
          </cell>
          <cell r="BW4" t="str">
            <v>2Q20E</v>
          </cell>
          <cell r="BX4" t="str">
            <v>3Q20E</v>
          </cell>
          <cell r="BY4" t="str">
            <v>4Q20E</v>
          </cell>
          <cell r="BZ4" t="str">
            <v>2020E</v>
          </cell>
          <cell r="CB4" t="str">
            <v>'16 - '20 Rev CAGR</v>
          </cell>
        </row>
        <row r="6">
          <cell r="B6" t="str">
            <v>Subscription - Consolidated</v>
          </cell>
        </row>
        <row r="7">
          <cell r="B7" t="str">
            <v>Annualized run rate</v>
          </cell>
          <cell r="C7">
            <v>264.31700000000001</v>
          </cell>
          <cell r="D7">
            <v>259.18</v>
          </cell>
          <cell r="E7">
            <v>269.98199999999997</v>
          </cell>
          <cell r="F7">
            <v>286.38599999999997</v>
          </cell>
          <cell r="G7">
            <v>295.471</v>
          </cell>
          <cell r="H7">
            <v>295.471</v>
          </cell>
          <cell r="I7">
            <v>314.74599999999998</v>
          </cell>
          <cell r="J7">
            <v>328.91099999999994</v>
          </cell>
          <cell r="K7">
            <v>337.53199999999998</v>
          </cell>
          <cell r="L7">
            <v>335.26499999999999</v>
          </cell>
          <cell r="M7">
            <v>335.26499999999999</v>
          </cell>
          <cell r="P7">
            <v>509.99800000000005</v>
          </cell>
          <cell r="Q7">
            <v>522.97400000000005</v>
          </cell>
          <cell r="R7">
            <v>522.97400000000005</v>
          </cell>
          <cell r="S7">
            <v>530.625</v>
          </cell>
          <cell r="T7">
            <v>542.86</v>
          </cell>
          <cell r="U7">
            <v>580.745</v>
          </cell>
          <cell r="V7">
            <v>584.81899999999996</v>
          </cell>
          <cell r="W7">
            <v>584.81899999999996</v>
          </cell>
          <cell r="X7">
            <v>608.56200000000001</v>
          </cell>
          <cell r="Y7">
            <v>624.97</v>
          </cell>
          <cell r="Z7">
            <v>635.74599999999998</v>
          </cell>
          <cell r="AA7">
            <v>639.101</v>
          </cell>
          <cell r="AB7">
            <v>639.101</v>
          </cell>
          <cell r="AC7">
            <v>654.26499999999999</v>
          </cell>
          <cell r="AD7">
            <v>661.75199999999995</v>
          </cell>
          <cell r="AE7">
            <v>670.52099999999996</v>
          </cell>
          <cell r="AF7">
            <v>709.95</v>
          </cell>
          <cell r="AG7">
            <v>709.95</v>
          </cell>
          <cell r="AH7">
            <v>724.88199999999995</v>
          </cell>
          <cell r="AI7">
            <v>736.37900000000002</v>
          </cell>
          <cell r="AJ7">
            <v>753.4319999999999</v>
          </cell>
          <cell r="AK7">
            <v>765.29099999999994</v>
          </cell>
          <cell r="AL7">
            <v>765.29099999999994</v>
          </cell>
          <cell r="AM7">
            <v>737.84499999999991</v>
          </cell>
          <cell r="AN7">
            <v>749.13999999999987</v>
          </cell>
          <cell r="AO7">
            <v>765.88299999999992</v>
          </cell>
          <cell r="AP7">
            <v>776.58199999999999</v>
          </cell>
          <cell r="AQ7">
            <v>776.58199999999999</v>
          </cell>
          <cell r="AR7">
            <v>793.39099999999996</v>
          </cell>
          <cell r="AS7">
            <v>809.90499999999997</v>
          </cell>
          <cell r="AT7">
            <v>823.41199999999992</v>
          </cell>
          <cell r="AU7">
            <v>832.17700000000013</v>
          </cell>
          <cell r="AV7">
            <v>832.17700000000013</v>
          </cell>
          <cell r="AW7">
            <v>840.24800000000005</v>
          </cell>
          <cell r="AX7">
            <v>861.53300000000002</v>
          </cell>
          <cell r="AY7">
            <v>874.33699999999999</v>
          </cell>
          <cell r="AZ7">
            <v>887.22227349999991</v>
          </cell>
          <cell r="BA7">
            <v>887.22227349999991</v>
          </cell>
          <cell r="BB7">
            <v>904.29727349999996</v>
          </cell>
          <cell r="BC7">
            <v>915.63027349999993</v>
          </cell>
          <cell r="BD7">
            <v>922.55527349999988</v>
          </cell>
          <cell r="BE7">
            <v>934.36927349999985</v>
          </cell>
          <cell r="BF7">
            <v>934.36927349999985</v>
          </cell>
          <cell r="BG7">
            <v>952.88579737499981</v>
          </cell>
          <cell r="BH7">
            <v>966.70089437499985</v>
          </cell>
          <cell r="BI7">
            <v>975.76100962499982</v>
          </cell>
          <cell r="BJ7">
            <v>990.42039837499988</v>
          </cell>
          <cell r="BK7">
            <v>990.42039837499988</v>
          </cell>
          <cell r="BL7">
            <v>1011.202606951328</v>
          </cell>
          <cell r="BM7">
            <v>1026.9513380857029</v>
          </cell>
          <cell r="BN7">
            <v>1037.647165352203</v>
          </cell>
          <cell r="BO7">
            <v>1054.4764267683279</v>
          </cell>
          <cell r="BP7">
            <v>1054.4764267683279</v>
          </cell>
          <cell r="BQ7">
            <v>1077.4627500317374</v>
          </cell>
          <cell r="BR7">
            <v>1095.368935931125</v>
          </cell>
          <cell r="BS7">
            <v>1107.893675090203</v>
          </cell>
          <cell r="BT7">
            <v>1127.1162835727387</v>
          </cell>
          <cell r="BU7">
            <v>1127.1162835727387</v>
          </cell>
          <cell r="BV7">
            <v>1152.5262474366796</v>
          </cell>
          <cell r="BW7">
            <v>1172.851550140688</v>
          </cell>
          <cell r="BX7">
            <v>1187.4343116864854</v>
          </cell>
          <cell r="BY7">
            <v>1209.3135830362985</v>
          </cell>
          <cell r="BZ7">
            <v>1209.3135830362985</v>
          </cell>
        </row>
        <row r="8">
          <cell r="B8" t="str">
            <v>Revenue</v>
          </cell>
        </row>
        <row r="9">
          <cell r="B9" t="str">
            <v>Subscription revenue - 1st quarter, 12.5%</v>
          </cell>
          <cell r="I9">
            <v>8.0993750000000002</v>
          </cell>
          <cell r="J9">
            <v>8.4369374999999991</v>
          </cell>
          <cell r="K9">
            <v>8.949562499999999</v>
          </cell>
          <cell r="L9">
            <v>9.2334687500000001</v>
          </cell>
          <cell r="U9">
            <v>19.956593750000003</v>
          </cell>
          <cell r="V9">
            <v>20.318124999999998</v>
          </cell>
          <cell r="W9">
            <v>40.274718750000005</v>
          </cell>
          <cell r="X9">
            <v>20.347312500000001</v>
          </cell>
          <cell r="Y9">
            <v>20.739125000000001</v>
          </cell>
          <cell r="Z9">
            <v>21.926562499999999</v>
          </cell>
          <cell r="AA9">
            <v>22.035718750000001</v>
          </cell>
          <cell r="AB9">
            <v>85.048718750000006</v>
          </cell>
          <cell r="AC9">
            <v>22.796218750000001</v>
          </cell>
          <cell r="AD9">
            <v>23.368718749999999</v>
          </cell>
          <cell r="AE9">
            <v>23.69503125</v>
          </cell>
          <cell r="AF9">
            <v>23.821249999999999</v>
          </cell>
          <cell r="AG9">
            <v>93.681218749999999</v>
          </cell>
          <cell r="AH9">
            <v>24.445156250000004</v>
          </cell>
          <cell r="AI9">
            <v>24.70521875</v>
          </cell>
          <cell r="AJ9">
            <v>25.012531249999999</v>
          </cell>
          <cell r="AK9">
            <v>26.260593750000002</v>
          </cell>
          <cell r="AL9">
            <v>100.4235</v>
          </cell>
          <cell r="AM9">
            <v>20.445781250000003</v>
          </cell>
          <cell r="AN9">
            <v>20.679749999999999</v>
          </cell>
          <cell r="AO9">
            <v>20.953781249999999</v>
          </cell>
          <cell r="AP9">
            <v>22.185937500000001</v>
          </cell>
          <cell r="AQ9">
            <v>84.265250000000009</v>
          </cell>
          <cell r="AR9">
            <v>20.806718750000002</v>
          </cell>
          <cell r="AS9">
            <v>21.107687499999997</v>
          </cell>
          <cell r="AT9">
            <v>21.5434375</v>
          </cell>
          <cell r="AU9">
            <v>21.84</v>
          </cell>
          <cell r="AV9">
            <v>85.297843749999998</v>
          </cell>
          <cell r="AW9">
            <v>22.067031249999999</v>
          </cell>
          <cell r="AX9">
            <v>23.01578125</v>
          </cell>
          <cell r="AY9">
            <v>23.250374999999998</v>
          </cell>
          <cell r="AZ9">
            <v>23.530531250000003</v>
          </cell>
          <cell r="BA9">
            <v>91.863718750000004</v>
          </cell>
          <cell r="BB9">
            <v>23.817125000000001</v>
          </cell>
          <cell r="BC9">
            <v>24.32603125</v>
          </cell>
          <cell r="BD9">
            <v>24.735531250000001</v>
          </cell>
          <cell r="BE9">
            <v>25.141321046874999</v>
          </cell>
          <cell r="BF9">
            <v>98.020008546875005</v>
          </cell>
          <cell r="BG9">
            <v>25.676663240269534</v>
          </cell>
          <cell r="BH9">
            <v>26.184926930445314</v>
          </cell>
          <cell r="BI9">
            <v>26.644130619265624</v>
          </cell>
          <cell r="BJ9">
            <v>27.206493925917968</v>
          </cell>
          <cell r="BK9">
            <v>105.71221471589844</v>
          </cell>
          <cell r="BL9">
            <v>27.812067581890815</v>
          </cell>
          <cell r="BM9">
            <v>28.401174477126744</v>
          </cell>
          <cell r="BN9">
            <v>28.932182374120288</v>
          </cell>
          <cell r="BO9">
            <v>29.584714008891744</v>
          </cell>
          <cell r="BP9">
            <v>114.73013844202958</v>
          </cell>
          <cell r="BQ9">
            <v>30.260232859015304</v>
          </cell>
          <cell r="BR9">
            <v>30.922490017423854</v>
          </cell>
          <cell r="BS9">
            <v>31.52131056423719</v>
          </cell>
          <cell r="BT9">
            <v>32.253325629849215</v>
          </cell>
          <cell r="BU9">
            <v>124.95735907052556</v>
          </cell>
          <cell r="BV9">
            <v>32.996765096124719</v>
          </cell>
          <cell r="BW9">
            <v>33.735142324022739</v>
          </cell>
          <cell r="BX9">
            <v>34.404379016376033</v>
          </cell>
          <cell r="BY9">
            <v>35.219136036975868</v>
          </cell>
          <cell r="BZ9">
            <v>136.35542247349935</v>
          </cell>
        </row>
        <row r="10">
          <cell r="B10" t="str">
            <v>Subscription revenue - 2nd quarter, 25%</v>
          </cell>
          <cell r="I10">
            <v>16.873874999999998</v>
          </cell>
          <cell r="J10">
            <v>17.899124999999998</v>
          </cell>
          <cell r="K10">
            <v>18.4669375</v>
          </cell>
          <cell r="L10">
            <v>19.671624999999999</v>
          </cell>
          <cell r="U10">
            <v>40.636249999999997</v>
          </cell>
          <cell r="V10">
            <v>40.797750000000001</v>
          </cell>
          <cell r="W10">
            <v>81.433999999999997</v>
          </cell>
          <cell r="X10">
            <v>41.478250000000003</v>
          </cell>
          <cell r="Y10">
            <v>43.853124999999999</v>
          </cell>
          <cell r="Z10">
            <v>44.071437500000002</v>
          </cell>
          <cell r="AA10">
            <v>44.8035</v>
          </cell>
          <cell r="AB10">
            <v>174.20631250000002</v>
          </cell>
          <cell r="AC10">
            <v>46.737437499999999</v>
          </cell>
          <cell r="AD10">
            <v>47.390062499999999</v>
          </cell>
          <cell r="AE10">
            <v>47.642499999999998</v>
          </cell>
          <cell r="AF10">
            <v>48.890312500000007</v>
          </cell>
          <cell r="AG10">
            <v>190.66031249999997</v>
          </cell>
          <cell r="AH10">
            <v>49.4104375</v>
          </cell>
          <cell r="AI10">
            <v>50.025062499999997</v>
          </cell>
          <cell r="AJ10">
            <v>52.521187500000003</v>
          </cell>
          <cell r="AK10">
            <v>53.005375000000001</v>
          </cell>
          <cell r="AL10">
            <v>204.9620625</v>
          </cell>
          <cell r="AM10">
            <v>41.359499999999997</v>
          </cell>
          <cell r="AN10">
            <v>41.907562499999997</v>
          </cell>
          <cell r="AO10">
            <v>44.371875000000003</v>
          </cell>
          <cell r="AP10">
            <v>46.119500000000002</v>
          </cell>
          <cell r="AQ10">
            <v>173.75843750000001</v>
          </cell>
          <cell r="AR10">
            <v>42.215374999999995</v>
          </cell>
          <cell r="AS10">
            <v>43.086874999999999</v>
          </cell>
          <cell r="AT10">
            <v>43.68</v>
          </cell>
          <cell r="AU10">
            <v>42.436250000000001</v>
          </cell>
          <cell r="AV10">
            <v>171.41849999999999</v>
          </cell>
          <cell r="AW10">
            <v>44.921250000000001</v>
          </cell>
          <cell r="AX10">
            <v>46.500749999999996</v>
          </cell>
          <cell r="AY10">
            <v>47.061062500000006</v>
          </cell>
          <cell r="AZ10">
            <v>47.634250000000002</v>
          </cell>
          <cell r="BA10">
            <v>186.11731250000003</v>
          </cell>
          <cell r="BB10">
            <v>48.6520625</v>
          </cell>
          <cell r="BC10">
            <v>49.471062500000002</v>
          </cell>
          <cell r="BD10">
            <v>50.282642093749999</v>
          </cell>
          <cell r="BE10">
            <v>51.353326480539067</v>
          </cell>
          <cell r="BF10">
            <v>199.75909357428907</v>
          </cell>
          <cell r="BG10">
            <v>52.369853860890629</v>
          </cell>
          <cell r="BH10">
            <v>53.288261238531248</v>
          </cell>
          <cell r="BI10">
            <v>54.412987851835936</v>
          </cell>
          <cell r="BJ10">
            <v>55.624135163781631</v>
          </cell>
          <cell r="BK10">
            <v>215.69523811503944</v>
          </cell>
          <cell r="BL10">
            <v>56.802348954253489</v>
          </cell>
          <cell r="BM10">
            <v>57.864364748240575</v>
          </cell>
          <cell r="BN10">
            <v>59.169428017783488</v>
          </cell>
          <cell r="BO10">
            <v>60.520465718030607</v>
          </cell>
          <cell r="BP10">
            <v>234.35660743830817</v>
          </cell>
          <cell r="BQ10">
            <v>61.844980034847708</v>
          </cell>
          <cell r="BR10">
            <v>63.04262112847438</v>
          </cell>
          <cell r="BS10">
            <v>64.50665125969843</v>
          </cell>
          <cell r="BT10">
            <v>65.993530192249438</v>
          </cell>
          <cell r="BU10">
            <v>255.38778261526997</v>
          </cell>
          <cell r="BV10">
            <v>67.470284648045478</v>
          </cell>
          <cell r="BW10">
            <v>68.808758032752067</v>
          </cell>
          <cell r="BX10">
            <v>70.438272073951737</v>
          </cell>
          <cell r="BY10">
            <v>72.07506811639044</v>
          </cell>
          <cell r="BZ10">
            <v>278.79238287113969</v>
          </cell>
        </row>
        <row r="11">
          <cell r="B11" t="str">
            <v>Subscription revenue - 3rd quarter, 25%</v>
          </cell>
          <cell r="I11">
            <v>17.899124999999998</v>
          </cell>
          <cell r="J11">
            <v>18.4669375</v>
          </cell>
          <cell r="K11">
            <v>19.671624999999999</v>
          </cell>
          <cell r="L11">
            <v>20.556937499999997</v>
          </cell>
          <cell r="U11">
            <v>40.797750000000001</v>
          </cell>
          <cell r="V11">
            <v>41.478250000000003</v>
          </cell>
          <cell r="W11">
            <v>82.27600000000001</v>
          </cell>
          <cell r="X11">
            <v>43.853124999999999</v>
          </cell>
          <cell r="Y11">
            <v>44.071437500000002</v>
          </cell>
          <cell r="Z11">
            <v>45.592437500000003</v>
          </cell>
          <cell r="AA11">
            <v>46.737437499999999</v>
          </cell>
          <cell r="AB11">
            <v>180.25443749999999</v>
          </cell>
          <cell r="AC11">
            <v>47.390062499999999</v>
          </cell>
          <cell r="AD11">
            <v>47.642499999999998</v>
          </cell>
          <cell r="AE11">
            <v>48.890312500000007</v>
          </cell>
          <cell r="AF11">
            <v>49.4104375</v>
          </cell>
          <cell r="AG11">
            <v>193.33331250000001</v>
          </cell>
          <cell r="AH11">
            <v>50.025062499999997</v>
          </cell>
          <cell r="AI11">
            <v>52.521187500000003</v>
          </cell>
          <cell r="AJ11">
            <v>53.005375000000001</v>
          </cell>
          <cell r="AK11">
            <v>53.803687500000002</v>
          </cell>
          <cell r="AL11">
            <v>209.3553125</v>
          </cell>
          <cell r="AM11">
            <v>41.907562499999997</v>
          </cell>
          <cell r="AN11">
            <v>44.371875000000003</v>
          </cell>
          <cell r="AO11">
            <v>46.119500000000002</v>
          </cell>
          <cell r="AP11">
            <v>46.8233125</v>
          </cell>
          <cell r="AQ11">
            <v>179.22224999999997</v>
          </cell>
          <cell r="AR11">
            <v>43.086874999999999</v>
          </cell>
          <cell r="AS11">
            <v>43.68</v>
          </cell>
          <cell r="AT11">
            <v>45.192812500000002</v>
          </cell>
          <cell r="AU11">
            <v>46.006875000000001</v>
          </cell>
          <cell r="AV11">
            <v>177.96656250000001</v>
          </cell>
          <cell r="AW11">
            <v>45.742687500000002</v>
          </cell>
          <cell r="AX11">
            <v>47.061062500000006</v>
          </cell>
          <cell r="AY11">
            <v>47.634250000000002</v>
          </cell>
          <cell r="AZ11">
            <v>48.6520625</v>
          </cell>
          <cell r="BA11">
            <v>189.09006250000002</v>
          </cell>
          <cell r="BB11">
            <v>49.471062500000002</v>
          </cell>
          <cell r="BC11">
            <v>50.282642093749999</v>
          </cell>
          <cell r="BD11">
            <v>51.353326480539067</v>
          </cell>
          <cell r="BE11">
            <v>52.369853860890629</v>
          </cell>
          <cell r="BF11">
            <v>203.4768849351797</v>
          </cell>
          <cell r="BG11">
            <v>53.288261238531248</v>
          </cell>
          <cell r="BH11">
            <v>54.412987851835936</v>
          </cell>
          <cell r="BI11">
            <v>55.624135163781631</v>
          </cell>
          <cell r="BJ11">
            <v>56.802348954253489</v>
          </cell>
          <cell r="BK11">
            <v>220.1277332084023</v>
          </cell>
          <cell r="BL11">
            <v>57.864364748240575</v>
          </cell>
          <cell r="BM11">
            <v>59.169428017783488</v>
          </cell>
          <cell r="BN11">
            <v>60.520465718030607</v>
          </cell>
          <cell r="BO11">
            <v>61.844980034847708</v>
          </cell>
          <cell r="BP11">
            <v>239.39923851890239</v>
          </cell>
          <cell r="BQ11">
            <v>63.04262112847438</v>
          </cell>
          <cell r="BR11">
            <v>64.50665125969843</v>
          </cell>
          <cell r="BS11">
            <v>65.993530192249438</v>
          </cell>
          <cell r="BT11">
            <v>67.470284648045478</v>
          </cell>
          <cell r="BU11">
            <v>261.01308722846773</v>
          </cell>
          <cell r="BV11">
            <v>68.808758032752067</v>
          </cell>
          <cell r="BW11">
            <v>70.438272073951737</v>
          </cell>
          <cell r="BX11">
            <v>72.07506811639044</v>
          </cell>
          <cell r="BY11">
            <v>73.722198663685504</v>
          </cell>
          <cell r="BZ11">
            <v>285.04429688677976</v>
          </cell>
        </row>
        <row r="12">
          <cell r="B12" t="str">
            <v>Subscription revenue - 4th quarter, 25%</v>
          </cell>
          <cell r="I12">
            <v>18.4669375</v>
          </cell>
          <cell r="J12">
            <v>19.671624999999999</v>
          </cell>
          <cell r="K12">
            <v>20.556937499999997</v>
          </cell>
          <cell r="L12">
            <v>21.095749999999999</v>
          </cell>
          <cell r="U12">
            <v>41.478250000000003</v>
          </cell>
          <cell r="V12">
            <v>43.853124999999999</v>
          </cell>
          <cell r="W12">
            <v>85.331375000000008</v>
          </cell>
          <cell r="X12">
            <v>44.071437500000002</v>
          </cell>
          <cell r="Y12">
            <v>45.592437500000003</v>
          </cell>
          <cell r="Z12">
            <v>46.737437499999999</v>
          </cell>
          <cell r="AA12">
            <v>47.390062499999999</v>
          </cell>
          <cell r="AB12">
            <v>183.79137500000002</v>
          </cell>
          <cell r="AC12">
            <v>47.642499999999998</v>
          </cell>
          <cell r="AD12">
            <v>48.890312500000007</v>
          </cell>
          <cell r="AE12">
            <v>49.4104375</v>
          </cell>
          <cell r="AF12">
            <v>50.025062499999997</v>
          </cell>
          <cell r="AG12">
            <v>195.9683125</v>
          </cell>
          <cell r="AH12">
            <v>52.521187500000003</v>
          </cell>
          <cell r="AI12">
            <v>53.005375000000001</v>
          </cell>
          <cell r="AJ12">
            <v>53.803687500000002</v>
          </cell>
          <cell r="AK12">
            <v>54.927250000000001</v>
          </cell>
          <cell r="AL12">
            <v>214.25749999999999</v>
          </cell>
          <cell r="AM12">
            <v>44.371875000000003</v>
          </cell>
          <cell r="AN12">
            <v>46.119500000000002</v>
          </cell>
          <cell r="AO12">
            <v>46.8233125</v>
          </cell>
          <cell r="AP12">
            <v>47.870312499999997</v>
          </cell>
          <cell r="AQ12">
            <v>185.185</v>
          </cell>
          <cell r="AR12">
            <v>43.68</v>
          </cell>
          <cell r="AS12">
            <v>45.218187499999999</v>
          </cell>
          <cell r="AT12">
            <v>46.0315625</v>
          </cell>
          <cell r="AU12">
            <v>46.500749999999996</v>
          </cell>
          <cell r="AV12">
            <v>181.43049999999999</v>
          </cell>
          <cell r="AW12">
            <v>46.273875000000004</v>
          </cell>
          <cell r="AX12">
            <v>47.634250000000002</v>
          </cell>
          <cell r="AY12">
            <v>48.6520625</v>
          </cell>
          <cell r="AZ12">
            <v>49.471062500000002</v>
          </cell>
          <cell r="BA12">
            <v>192.03125</v>
          </cell>
          <cell r="BB12">
            <v>50.282642093749999</v>
          </cell>
          <cell r="BC12">
            <v>51.353326480539067</v>
          </cell>
          <cell r="BD12">
            <v>52.369853860890629</v>
          </cell>
          <cell r="BE12">
            <v>53.288261238531248</v>
          </cell>
          <cell r="BF12">
            <v>207.29408367371096</v>
          </cell>
          <cell r="BG12">
            <v>54.412987851835936</v>
          </cell>
          <cell r="BH12">
            <v>55.624135163781631</v>
          </cell>
          <cell r="BI12">
            <v>56.802348954253489</v>
          </cell>
          <cell r="BJ12">
            <v>57.864364748240575</v>
          </cell>
          <cell r="BK12">
            <v>224.70383671811163</v>
          </cell>
          <cell r="BL12">
            <v>59.169428017783488</v>
          </cell>
          <cell r="BM12">
            <v>60.520465718030607</v>
          </cell>
          <cell r="BN12">
            <v>61.844980034847708</v>
          </cell>
          <cell r="BO12">
            <v>63.04262112847438</v>
          </cell>
          <cell r="BP12">
            <v>244.57749489913618</v>
          </cell>
          <cell r="BQ12">
            <v>64.50665125969843</v>
          </cell>
          <cell r="BR12">
            <v>65.993530192249438</v>
          </cell>
          <cell r="BS12">
            <v>67.470284648045478</v>
          </cell>
          <cell r="BT12">
            <v>68.808758032752067</v>
          </cell>
          <cell r="BU12">
            <v>266.77922413274541</v>
          </cell>
          <cell r="BV12">
            <v>70.438272073951737</v>
          </cell>
          <cell r="BW12">
            <v>72.07506811639044</v>
          </cell>
          <cell r="BX12">
            <v>73.722198663685504</v>
          </cell>
          <cell r="BY12">
            <v>75.218631514432829</v>
          </cell>
          <cell r="BZ12">
            <v>291.4541703684605</v>
          </cell>
        </row>
        <row r="13">
          <cell r="B13" t="str">
            <v>Subscription revenue - 5th quarter, 12.5%</v>
          </cell>
          <cell r="I13">
            <v>9.8358124999999994</v>
          </cell>
          <cell r="J13">
            <v>10.278468749999998</v>
          </cell>
          <cell r="K13">
            <v>10.547874999999999</v>
          </cell>
          <cell r="L13">
            <v>10.47703125</v>
          </cell>
          <cell r="U13">
            <v>21.926562499999999</v>
          </cell>
          <cell r="V13">
            <v>22.035718750000001</v>
          </cell>
          <cell r="W13">
            <v>43.962281250000004</v>
          </cell>
          <cell r="X13">
            <v>22.796218750000001</v>
          </cell>
          <cell r="Y13">
            <v>23.368718749999999</v>
          </cell>
          <cell r="Z13">
            <v>23.69503125</v>
          </cell>
          <cell r="AA13">
            <v>23.821249999999999</v>
          </cell>
          <cell r="AB13">
            <v>93.681218749999999</v>
          </cell>
          <cell r="AC13">
            <v>24.445156250000004</v>
          </cell>
          <cell r="AD13">
            <v>24.70521875</v>
          </cell>
          <cell r="AE13">
            <v>25.012531249999999</v>
          </cell>
          <cell r="AF13">
            <v>26.260593750000002</v>
          </cell>
          <cell r="AG13">
            <v>100.4235</v>
          </cell>
          <cell r="AH13">
            <v>26.5026875</v>
          </cell>
          <cell r="AI13">
            <v>26.901843750000001</v>
          </cell>
          <cell r="AJ13">
            <v>27.463625</v>
          </cell>
          <cell r="AK13">
            <v>27.877343749999998</v>
          </cell>
          <cell r="AL13">
            <v>108.74549999999999</v>
          </cell>
          <cell r="AM13">
            <v>23.059750000000001</v>
          </cell>
          <cell r="AN13">
            <v>23.41165625</v>
          </cell>
          <cell r="AO13">
            <v>23.935156249999999</v>
          </cell>
          <cell r="AP13">
            <v>24.268531250000002</v>
          </cell>
          <cell r="AQ13">
            <v>94.675093750000002</v>
          </cell>
          <cell r="AR13">
            <v>22.60909375</v>
          </cell>
          <cell r="AS13">
            <v>23.01578125</v>
          </cell>
          <cell r="AT13">
            <v>23.250374999999998</v>
          </cell>
          <cell r="AU13">
            <v>23.530531250000003</v>
          </cell>
          <cell r="AV13">
            <v>92.40578124999999</v>
          </cell>
          <cell r="AW13">
            <v>23.817125000000001</v>
          </cell>
          <cell r="AX13">
            <v>24.32603125</v>
          </cell>
          <cell r="AY13">
            <v>24.735531250000001</v>
          </cell>
          <cell r="AZ13">
            <v>25.141321046874999</v>
          </cell>
          <cell r="BA13">
            <v>98.020008546875005</v>
          </cell>
          <cell r="BB13">
            <v>25.676663240269534</v>
          </cell>
          <cell r="BC13">
            <v>26.184926930445314</v>
          </cell>
          <cell r="BD13">
            <v>26.644130619265624</v>
          </cell>
          <cell r="BE13">
            <v>27.206493925917968</v>
          </cell>
          <cell r="BF13">
            <v>105.71221471589844</v>
          </cell>
          <cell r="BG13">
            <v>27.812067581890815</v>
          </cell>
          <cell r="BH13">
            <v>28.401174477126744</v>
          </cell>
          <cell r="BI13">
            <v>28.932182374120288</v>
          </cell>
          <cell r="BJ13">
            <v>29.584714008891744</v>
          </cell>
          <cell r="BK13">
            <v>114.73013844202958</v>
          </cell>
          <cell r="BL13">
            <v>30.260232859015304</v>
          </cell>
          <cell r="BM13">
            <v>30.922490017423854</v>
          </cell>
          <cell r="BN13">
            <v>31.52131056423719</v>
          </cell>
          <cell r="BO13">
            <v>32.253325629849215</v>
          </cell>
          <cell r="BP13">
            <v>124.95735907052556</v>
          </cell>
          <cell r="BQ13">
            <v>32.996765096124719</v>
          </cell>
          <cell r="BR13">
            <v>33.735142324022739</v>
          </cell>
          <cell r="BS13">
            <v>34.404379016376033</v>
          </cell>
          <cell r="BT13">
            <v>35.219136036975868</v>
          </cell>
          <cell r="BU13">
            <v>136.35542247349935</v>
          </cell>
          <cell r="BV13">
            <v>36.03753405819522</v>
          </cell>
          <cell r="BW13">
            <v>36.861099331842752</v>
          </cell>
          <cell r="BX13">
            <v>37.609315757216415</v>
          </cell>
          <cell r="BY13">
            <v>38.516191231034398</v>
          </cell>
          <cell r="BZ13">
            <v>149.02414037828879</v>
          </cell>
        </row>
        <row r="15">
          <cell r="B15" t="str">
            <v>New sales in period (not annualized)</v>
          </cell>
          <cell r="D15">
            <v>-1.7008789999999974</v>
          </cell>
          <cell r="E15">
            <v>15.09715124999996</v>
          </cell>
          <cell r="F15">
            <v>21.492102249999995</v>
          </cell>
          <cell r="G15">
            <v>15.759004250000036</v>
          </cell>
          <cell r="H15">
            <v>50.647378749999987</v>
          </cell>
          <cell r="I15">
            <v>21.786503499999981</v>
          </cell>
          <cell r="J15">
            <v>21.108568499999961</v>
          </cell>
          <cell r="K15">
            <v>14.825891000000034</v>
          </cell>
          <cell r="L15">
            <v>12.0633435</v>
          </cell>
          <cell r="M15">
            <v>69.784306499999971</v>
          </cell>
          <cell r="P15">
            <v>23.469000000000001</v>
          </cell>
          <cell r="Q15">
            <v>27.757000000000001</v>
          </cell>
          <cell r="R15">
            <v>51.225999999999999</v>
          </cell>
          <cell r="S15">
            <v>26.831</v>
          </cell>
          <cell r="T15">
            <v>33.847000000000001</v>
          </cell>
          <cell r="U15">
            <v>35.372999999999998</v>
          </cell>
          <cell r="V15">
            <v>33.741999999999997</v>
          </cell>
          <cell r="W15">
            <v>129.79299999999998</v>
          </cell>
          <cell r="X15">
            <v>34.612000000000002</v>
          </cell>
          <cell r="Y15">
            <v>30.297999999999998</v>
          </cell>
          <cell r="Z15">
            <v>31.661000000000001</v>
          </cell>
          <cell r="AA15">
            <v>31.299193750000004</v>
          </cell>
          <cell r="AB15">
            <v>127.87019375</v>
          </cell>
          <cell r="AC15">
            <v>33.506</v>
          </cell>
          <cell r="AD15">
            <v>28.452999999999999</v>
          </cell>
          <cell r="AE15">
            <v>27.164000000000001</v>
          </cell>
          <cell r="AF15">
            <v>29.742000000000001</v>
          </cell>
          <cell r="AG15">
            <v>118.86500000000001</v>
          </cell>
          <cell r="AH15">
            <v>30.928000000000001</v>
          </cell>
          <cell r="AI15">
            <v>31.132999999999999</v>
          </cell>
          <cell r="AJ15">
            <v>30.157</v>
          </cell>
          <cell r="AK15">
            <v>36.145000000000003</v>
          </cell>
          <cell r="AL15">
            <v>128.363</v>
          </cell>
          <cell r="AM15">
            <v>25.675999999999998</v>
          </cell>
          <cell r="AN15">
            <v>27.526</v>
          </cell>
          <cell r="AO15">
            <v>26.696999999999999</v>
          </cell>
          <cell r="AP15">
            <v>31.082000000000001</v>
          </cell>
          <cell r="AQ15">
            <v>110.98099999999999</v>
          </cell>
          <cell r="AR15">
            <v>30.422000000000001</v>
          </cell>
          <cell r="AS15">
            <v>29.077999999999999</v>
          </cell>
          <cell r="AT15">
            <v>26.210999999999999</v>
          </cell>
          <cell r="AU15">
            <v>31.931999999999999</v>
          </cell>
          <cell r="AV15">
            <v>117.643</v>
          </cell>
          <cell r="AW15">
            <v>29.524999999999999</v>
          </cell>
          <cell r="AX15">
            <v>29.574999999999999</v>
          </cell>
          <cell r="AY15">
            <v>25.507999999999999</v>
          </cell>
          <cell r="AZ15">
            <v>29.102</v>
          </cell>
          <cell r="BA15">
            <v>113.71</v>
          </cell>
          <cell r="BB15">
            <v>28.012</v>
          </cell>
          <cell r="BC15">
            <v>26.686999999999998</v>
          </cell>
          <cell r="BD15">
            <v>23.198</v>
          </cell>
          <cell r="BE15">
            <v>34.160000000000004</v>
          </cell>
          <cell r="BF15">
            <v>112.05699999999999</v>
          </cell>
          <cell r="BG15">
            <v>30.856440000000006</v>
          </cell>
          <cell r="BH15">
            <v>29.417920000000002</v>
          </cell>
          <cell r="BI15">
            <v>25.574760000000001</v>
          </cell>
          <cell r="BJ15">
            <v>37.661460000000005</v>
          </cell>
          <cell r="BK15">
            <v>123.51058000000002</v>
          </cell>
          <cell r="BL15">
            <v>33.458634000000011</v>
          </cell>
          <cell r="BM15">
            <v>31.918644800000006</v>
          </cell>
          <cell r="BN15">
            <v>27.760062000000005</v>
          </cell>
          <cell r="BO15">
            <v>40.876354200000009</v>
          </cell>
          <cell r="BP15">
            <v>134.01369500000004</v>
          </cell>
          <cell r="BQ15">
            <v>36.287205900000011</v>
          </cell>
          <cell r="BR15">
            <v>34.638567376000012</v>
          </cell>
          <cell r="BS15">
            <v>30.137842020000008</v>
          </cell>
          <cell r="BT15">
            <v>44.374150194000009</v>
          </cell>
          <cell r="BU15">
            <v>145.43776549000006</v>
          </cell>
          <cell r="BV15">
            <v>39.362424585000014</v>
          </cell>
          <cell r="BW15">
            <v>37.597446276320014</v>
          </cell>
          <cell r="BX15">
            <v>32.725524209400007</v>
          </cell>
          <cell r="BY15">
            <v>48.180437027580012</v>
          </cell>
          <cell r="BZ15">
            <v>157.86583209830005</v>
          </cell>
        </row>
        <row r="16">
          <cell r="B16" t="str">
            <v>y/y change</v>
          </cell>
          <cell r="I16">
            <v>-13.808967304552537</v>
          </cell>
          <cell r="J16">
            <v>0.39818222328533781</v>
          </cell>
          <cell r="K16">
            <v>-0.31017027429226762</v>
          </cell>
          <cell r="L16">
            <v>-0.23451105738486155</v>
          </cell>
          <cell r="U16">
            <v>0.50722229323788803</v>
          </cell>
          <cell r="V16">
            <v>0.21562128472097108</v>
          </cell>
          <cell r="W16">
            <v>1.533732870026939</v>
          </cell>
          <cell r="X16">
            <v>0.29000037270321655</v>
          </cell>
          <cell r="Y16">
            <v>-0.10485419682689756</v>
          </cell>
          <cell r="Z16">
            <v>-0.10493879512622617</v>
          </cell>
          <cell r="AA16">
            <v>-7.2396605121213709E-2</v>
          </cell>
          <cell r="AB16">
            <v>-1.4814406400961322E-2</v>
          </cell>
          <cell r="AC16">
            <v>-3.1954235525251451E-2</v>
          </cell>
          <cell r="AD16">
            <v>-6.0895108588025604E-2</v>
          </cell>
          <cell r="AE16">
            <v>-0.14203594327405955</v>
          </cell>
          <cell r="AF16">
            <v>-4.9751880589576025E-2</v>
          </cell>
          <cell r="AG16">
            <v>-7.0424494449473629E-2</v>
          </cell>
          <cell r="AH16">
            <v>-7.6941443323583769E-2</v>
          </cell>
          <cell r="AI16">
            <v>9.4190419287948579E-2</v>
          </cell>
          <cell r="AJ16">
            <v>0.11018259461051394</v>
          </cell>
          <cell r="AK16">
            <v>0.21528478246251104</v>
          </cell>
          <cell r="AL16">
            <v>3.8539571697489006E-3</v>
          </cell>
          <cell r="AR16">
            <v>0.1848418756815704</v>
          </cell>
          <cell r="AS16">
            <v>5.6383056019763123E-2</v>
          </cell>
          <cell r="AT16">
            <v>-1.8204292617148066E-2</v>
          </cell>
          <cell r="AU16">
            <v>2.7347017566437204E-2</v>
          </cell>
          <cell r="AV16">
            <v>6.0028293131256794E-2</v>
          </cell>
          <cell r="AW16">
            <v>-2.9485240944053692E-2</v>
          </cell>
          <cell r="AX16">
            <v>1.7091959557053338E-2</v>
          </cell>
          <cell r="AY16">
            <v>-2.6820800427301505E-2</v>
          </cell>
          <cell r="AZ16">
            <v>-8.8625829888513086E-2</v>
          </cell>
          <cell r="BA16">
            <v>-3.3431653392042127E-2</v>
          </cell>
          <cell r="BB16">
            <v>-5.1244707874682383E-2</v>
          </cell>
          <cell r="BC16">
            <v>-9.7650042265426951E-2</v>
          </cell>
          <cell r="BD16">
            <v>-9.055982436882537E-2</v>
          </cell>
          <cell r="BE16">
            <v>0.17380248780152585</v>
          </cell>
          <cell r="BF16">
            <v>-1.4536980036936153E-2</v>
          </cell>
          <cell r="BG16">
            <v>0.1015436241610741</v>
          </cell>
          <cell r="BH16">
            <v>0.1023314722524078</v>
          </cell>
          <cell r="BI16">
            <v>0.10245538408483501</v>
          </cell>
          <cell r="BJ16">
            <v>0.10250175644028103</v>
          </cell>
          <cell r="BK16">
            <v>0.1022120884906792</v>
          </cell>
          <cell r="BL16">
            <v>8.4332282013090509E-2</v>
          </cell>
          <cell r="BM16">
            <v>8.5006852965811452E-2</v>
          </cell>
          <cell r="BN16">
            <v>8.5447605373422997E-2</v>
          </cell>
          <cell r="BO16">
            <v>8.5362973182664836E-2</v>
          </cell>
          <cell r="BP16">
            <v>8.5038180534817487E-2</v>
          </cell>
          <cell r="BQ16">
            <v>8.4539371810576691E-2</v>
          </cell>
          <cell r="BR16">
            <v>8.5214224884635703E-2</v>
          </cell>
          <cell r="BS16">
            <v>8.565470855216395E-2</v>
          </cell>
          <cell r="BT16">
            <v>8.5570155716088836E-2</v>
          </cell>
          <cell r="BU16">
            <v>8.5245545166111603E-2</v>
          </cell>
          <cell r="BV16">
            <v>8.4746637519423906E-2</v>
          </cell>
          <cell r="BW16">
            <v>8.542151493165151E-2</v>
          </cell>
          <cell r="BX16">
            <v>8.5861561942051745E-2</v>
          </cell>
          <cell r="BY16">
            <v>8.5777120619532798E-2</v>
          </cell>
          <cell r="BZ16">
            <v>8.5452815961714723E-2</v>
          </cell>
        </row>
        <row r="19">
          <cell r="B19" t="str">
            <v>Aggregate New Sales</v>
          </cell>
          <cell r="P19">
            <v>23.469000000000001</v>
          </cell>
          <cell r="Q19">
            <v>27.757000000000001</v>
          </cell>
          <cell r="S19">
            <v>26.831</v>
          </cell>
          <cell r="T19">
            <v>33.847000000000001</v>
          </cell>
          <cell r="U19">
            <v>35.372999999999998</v>
          </cell>
          <cell r="V19">
            <v>33.741999999999997</v>
          </cell>
          <cell r="X19">
            <v>34.612000000000002</v>
          </cell>
          <cell r="Y19">
            <v>30.297999999999998</v>
          </cell>
          <cell r="Z19">
            <v>31.661000000000001</v>
          </cell>
          <cell r="AA19">
            <v>31.299193750000004</v>
          </cell>
          <cell r="AC19">
            <v>33.506</v>
          </cell>
          <cell r="AD19">
            <v>28.452999999999999</v>
          </cell>
          <cell r="AE19">
            <v>27.164000000000001</v>
          </cell>
          <cell r="AF19">
            <v>29.742000000000001</v>
          </cell>
          <cell r="AH19">
            <v>30.928000000000001</v>
          </cell>
          <cell r="AI19">
            <v>31.132999999999999</v>
          </cell>
          <cell r="AJ19">
            <v>30.157</v>
          </cell>
          <cell r="AK19">
            <v>36.145000000000003</v>
          </cell>
          <cell r="AM19">
            <v>25.675999999999998</v>
          </cell>
          <cell r="AN19">
            <v>27.526</v>
          </cell>
          <cell r="AO19">
            <v>26.696999999999999</v>
          </cell>
          <cell r="AP19">
            <v>31.082000000000001</v>
          </cell>
          <cell r="AR19">
            <v>30.422000000000001</v>
          </cell>
          <cell r="AS19">
            <v>29.077999999999999</v>
          </cell>
          <cell r="AT19">
            <v>26.210999999999999</v>
          </cell>
          <cell r="AU19">
            <v>31.931999999999999</v>
          </cell>
          <cell r="AW19">
            <v>29.524999999999999</v>
          </cell>
          <cell r="AX19">
            <v>29.574999999999999</v>
          </cell>
          <cell r="AY19">
            <v>25.507999999999999</v>
          </cell>
          <cell r="AZ19">
            <v>29.102</v>
          </cell>
          <cell r="BB19">
            <v>28.012</v>
          </cell>
          <cell r="BC19">
            <v>26.686999999999998</v>
          </cell>
          <cell r="BD19">
            <v>23.198</v>
          </cell>
          <cell r="BE19">
            <v>34.160000000000004</v>
          </cell>
          <cell r="BG19">
            <v>30.856440000000006</v>
          </cell>
          <cell r="BH19">
            <v>29.417920000000002</v>
          </cell>
          <cell r="BI19">
            <v>25.574760000000001</v>
          </cell>
          <cell r="BJ19">
            <v>37.661460000000005</v>
          </cell>
          <cell r="BL19">
            <v>33.458634000000011</v>
          </cell>
          <cell r="BM19">
            <v>31.918644800000006</v>
          </cell>
          <cell r="BN19">
            <v>27.760062000000005</v>
          </cell>
          <cell r="BO19">
            <v>40.876354200000009</v>
          </cell>
          <cell r="BQ19">
            <v>36.287205900000011</v>
          </cell>
          <cell r="BR19">
            <v>34.638567376000012</v>
          </cell>
          <cell r="BS19">
            <v>30.137842020000008</v>
          </cell>
          <cell r="BT19">
            <v>44.374150194000009</v>
          </cell>
          <cell r="BV19">
            <v>39.362424585000014</v>
          </cell>
          <cell r="BW19">
            <v>37.597446276320014</v>
          </cell>
          <cell r="BX19">
            <v>32.725524209400007</v>
          </cell>
          <cell r="BY19">
            <v>48.180437027580012</v>
          </cell>
        </row>
        <row r="28">
          <cell r="B28" t="str">
            <v>Cancellations in period (not annualized)</v>
          </cell>
          <cell r="D28">
            <v>-3.4361210000000031</v>
          </cell>
          <cell r="E28">
            <v>-4.2951512499999964</v>
          </cell>
          <cell r="F28">
            <v>-5.0881022499999977</v>
          </cell>
          <cell r="G28">
            <v>-6.6740042499999985</v>
          </cell>
          <cell r="H28">
            <v>-19.493378749999998</v>
          </cell>
          <cell r="I28">
            <v>-2.5115035000000021</v>
          </cell>
          <cell r="J28">
            <v>-6.9435684999999978</v>
          </cell>
          <cell r="K28">
            <v>-6.2048909999999973</v>
          </cell>
          <cell r="L28">
            <v>-14.330343499999996</v>
          </cell>
          <cell r="M28">
            <v>-29.990306499999996</v>
          </cell>
          <cell r="N28">
            <v>-22.692</v>
          </cell>
          <cell r="O28">
            <v>-23.712</v>
          </cell>
          <cell r="P28">
            <v>-28.69</v>
          </cell>
          <cell r="Q28">
            <v>-28.64</v>
          </cell>
          <cell r="R28">
            <v>-103.73399999999999</v>
          </cell>
          <cell r="S28">
            <v>-19.379000000000001</v>
          </cell>
          <cell r="T28">
            <v>-18.222000000000001</v>
          </cell>
          <cell r="U28">
            <v>-19.654</v>
          </cell>
          <cell r="V28">
            <v>-30.173999999999999</v>
          </cell>
          <cell r="W28">
            <v>-87.429000000000002</v>
          </cell>
          <cell r="X28">
            <v>-14.401999999999999</v>
          </cell>
          <cell r="Y28">
            <v>-14.965</v>
          </cell>
          <cell r="Z28">
            <v>-15.364000000000001</v>
          </cell>
          <cell r="AA28">
            <v>-27.245000000000001</v>
          </cell>
          <cell r="AB28">
            <v>-71.975999999999999</v>
          </cell>
          <cell r="AC28">
            <v>-13.497999999999999</v>
          </cell>
          <cell r="AD28">
            <v>-17.228999999999999</v>
          </cell>
          <cell r="AE28">
            <v>-19.134</v>
          </cell>
          <cell r="AF28">
            <v>-28.725000000000001</v>
          </cell>
          <cell r="AG28">
            <v>-78.585999999999999</v>
          </cell>
          <cell r="AH28">
            <v>-16.690999999999999</v>
          </cell>
          <cell r="AI28">
            <v>-16.082000000000001</v>
          </cell>
          <cell r="AJ28">
            <v>-16.457999999999998</v>
          </cell>
          <cell r="AK28">
            <v>-23.756</v>
          </cell>
          <cell r="AL28">
            <v>-72.986999999999995</v>
          </cell>
          <cell r="AM28">
            <v>-13.994999999999999</v>
          </cell>
          <cell r="AN28">
            <v>-14.154</v>
          </cell>
          <cell r="AO28">
            <v>-13.345000000000001</v>
          </cell>
          <cell r="AP28">
            <v>-21.077000000000002</v>
          </cell>
          <cell r="AQ28">
            <v>-62.570999999999998</v>
          </cell>
          <cell r="AR28">
            <v>-12.717469999999997</v>
          </cell>
          <cell r="AS28">
            <v>-11.281721999999998</v>
          </cell>
          <cell r="AT28">
            <v>-9.5609360000000017</v>
          </cell>
          <cell r="AU28">
            <v>-14.110261999999999</v>
          </cell>
          <cell r="AV28">
            <v>-47.67038999999999</v>
          </cell>
          <cell r="AW28">
            <v>-9.8464387499999937</v>
          </cell>
          <cell r="AX28">
            <v>-10.385400000000002</v>
          </cell>
          <cell r="AY28">
            <v>-8.8714547500000052</v>
          </cell>
          <cell r="AZ28">
            <v>-16.216726499999996</v>
          </cell>
          <cell r="BA28">
            <v>-45.32002</v>
          </cell>
          <cell r="BB28">
            <v>-10.936999999999999</v>
          </cell>
          <cell r="BC28">
            <v>-15.354000000000001</v>
          </cell>
          <cell r="BD28">
            <v>-16.273</v>
          </cell>
          <cell r="BE28">
            <v>-22.346</v>
          </cell>
          <cell r="BF28">
            <v>-64.91</v>
          </cell>
          <cell r="BG28">
            <v>-12.339916125000014</v>
          </cell>
          <cell r="BH28">
            <v>-15.602822999999999</v>
          </cell>
          <cell r="BI28">
            <v>-16.514644749999999</v>
          </cell>
          <cell r="BJ28">
            <v>-23.002071249999997</v>
          </cell>
          <cell r="BK28">
            <v>-67.459455125000005</v>
          </cell>
          <cell r="BL28">
            <v>-12.676425423671889</v>
          </cell>
          <cell r="BM28">
            <v>-16.169913665624996</v>
          </cell>
          <cell r="BN28">
            <v>-17.064234733499998</v>
          </cell>
          <cell r="BO28">
            <v>-24.047092783874991</v>
          </cell>
          <cell r="BP28">
            <v>-69.957666606671864</v>
          </cell>
          <cell r="BQ28">
            <v>-13.300882636590629</v>
          </cell>
          <cell r="BR28">
            <v>-16.732381476612595</v>
          </cell>
          <cell r="BS28">
            <v>-17.613102860922105</v>
          </cell>
          <cell r="BT28">
            <v>-25.151541711464532</v>
          </cell>
          <cell r="BU28">
            <v>-72.79790868558986</v>
          </cell>
          <cell r="BV28">
            <v>-13.952460721059236</v>
          </cell>
          <cell r="BW28">
            <v>-17.2721435723114</v>
          </cell>
          <cell r="BX28">
            <v>-18.142762663602479</v>
          </cell>
          <cell r="BY28">
            <v>-26.301165677766853</v>
          </cell>
          <cell r="BZ28">
            <v>-75.668532634739961</v>
          </cell>
        </row>
        <row r="29">
          <cell r="B29" t="str">
            <v>Cancellation rate (as % of beg. of year run rate), annualized</v>
          </cell>
          <cell r="D29">
            <v>5.2000000000000046E-2</v>
          </cell>
          <cell r="E29">
            <v>6.4999999999999947E-2</v>
          </cell>
          <cell r="F29">
            <v>7.6999999999999957E-2</v>
          </cell>
          <cell r="G29">
            <v>0.10099999999999998</v>
          </cell>
          <cell r="H29">
            <v>8.1999999999999962E-2</v>
          </cell>
          <cell r="I29">
            <v>3.400000000000003E-2</v>
          </cell>
          <cell r="J29">
            <v>9.3999999999999972E-2</v>
          </cell>
          <cell r="K29">
            <v>8.3999999999999964E-2</v>
          </cell>
          <cell r="L29">
            <v>0.19399999999999995</v>
          </cell>
          <cell r="N29">
            <v>0.14400000000000002</v>
          </cell>
          <cell r="O29">
            <v>0.14900000000000002</v>
          </cell>
          <cell r="P29">
            <v>0.18100000000000005</v>
          </cell>
          <cell r="Q29">
            <v>0.18000000000000005</v>
          </cell>
          <cell r="S29">
            <v>0.11899999999999999</v>
          </cell>
          <cell r="T29">
            <v>0.11199999999999999</v>
          </cell>
          <cell r="U29">
            <v>0.11899999999999999</v>
          </cell>
          <cell r="V29">
            <v>0.18200000000000005</v>
          </cell>
          <cell r="W29">
            <v>0.1329999999999999</v>
          </cell>
          <cell r="X29">
            <v>8.1999999999999962E-2</v>
          </cell>
          <cell r="Y29">
            <v>0.10235645558711329</v>
          </cell>
          <cell r="Z29">
            <v>0.105085505087899</v>
          </cell>
          <cell r="AA29">
            <v>0.18634825475916483</v>
          </cell>
          <cell r="AB29">
            <v>0.10125000000000006</v>
          </cell>
          <cell r="AC29">
            <v>8.448116964298287E-2</v>
          </cell>
          <cell r="AD29">
            <v>0.10783272127566691</v>
          </cell>
          <cell r="AE29">
            <v>0.1169801227331433</v>
          </cell>
          <cell r="AF29">
            <v>0.17978379004257544</v>
          </cell>
          <cell r="AG29">
            <v>0.1027499999999999</v>
          </cell>
          <cell r="AH29">
            <v>9.4040425382069151E-2</v>
          </cell>
          <cell r="AI29">
            <v>9.0609197830833155E-2</v>
          </cell>
          <cell r="AJ29">
            <v>9.2727656877244866E-2</v>
          </cell>
          <cell r="AK29">
            <v>0.13384604549616169</v>
          </cell>
          <cell r="AL29">
            <v>8.6749999999999994E-2</v>
          </cell>
          <cell r="AM29">
            <v>7.314864541723344E-2</v>
          </cell>
          <cell r="AN29">
            <v>7.3979701838908341E-2</v>
          </cell>
          <cell r="AO29">
            <v>6.9751244951266916E-2</v>
          </cell>
          <cell r="AP29">
            <v>0.11016463018642583</v>
          </cell>
          <cell r="AQ29">
            <v>8.5250000000000048E-2</v>
          </cell>
          <cell r="AR29">
            <v>6.6471290006023837E-2</v>
          </cell>
          <cell r="AS29">
            <v>5.8966965507238421E-2</v>
          </cell>
          <cell r="AT29">
            <v>4.9972812956117357E-2</v>
          </cell>
          <cell r="AU29">
            <v>7.3751093374938417E-2</v>
          </cell>
          <cell r="AV29">
            <v>7.0249999999999924E-2</v>
          </cell>
          <cell r="AW29">
            <v>5.0716801316538336E-2</v>
          </cell>
          <cell r="AX29">
            <v>5.2359555376857075E-2</v>
          </cell>
          <cell r="AY29">
            <v>4.2642153051574386E-2</v>
          </cell>
          <cell r="AZ29">
            <v>7.794844846709291E-2</v>
          </cell>
          <cell r="BA29">
            <v>6.0987112116773323E-2</v>
          </cell>
          <cell r="BB29">
            <v>4.9308951439438815E-2</v>
          </cell>
          <cell r="BC29">
            <v>6.922278873558961E-2</v>
          </cell>
          <cell r="BD29">
            <v>7.3366057124804596E-2</v>
          </cell>
          <cell r="BE29">
            <v>0.1007458927371034</v>
          </cell>
          <cell r="BF29">
            <v>7.3160922509234005E-2</v>
          </cell>
          <cell r="BG29">
            <v>5.2826720548190272E-2</v>
          </cell>
          <cell r="BH29">
            <v>6.6795103146122456E-2</v>
          </cell>
          <cell r="BI29">
            <v>7.0698578039231727E-2</v>
          </cell>
          <cell r="BJ29">
            <v>9.8471008850014377E-2</v>
          </cell>
          <cell r="BK29">
            <v>7.2197852645889737E-2</v>
          </cell>
          <cell r="BL29">
            <v>5.1196140323726456E-2</v>
          </cell>
          <cell r="BM29">
            <v>6.530525296997218E-2</v>
          </cell>
          <cell r="BN29">
            <v>6.8917137657897948E-2</v>
          </cell>
          <cell r="BO29">
            <v>9.7118729878057752E-2</v>
          </cell>
          <cell r="BP29">
            <v>7.0634315207413589E-2</v>
          </cell>
          <cell r="BQ29">
            <v>5.045492644099811E-2</v>
          </cell>
          <cell r="BR29">
            <v>6.3471808574773414E-2</v>
          </cell>
          <cell r="BS29">
            <v>6.6812694580195731E-2</v>
          </cell>
          <cell r="BT29">
            <v>9.5408644794637648E-2</v>
          </cell>
          <cell r="BU29">
            <v>6.9037018597651212E-2</v>
          </cell>
          <cell r="BV29">
            <v>4.9515603401035634E-2</v>
          </cell>
          <cell r="BW29">
            <v>6.1296758192729062E-2</v>
          </cell>
          <cell r="BX29">
            <v>6.4386480536306204E-2</v>
          </cell>
          <cell r="BY29">
            <v>9.3339670666090599E-2</v>
          </cell>
          <cell r="BZ29">
            <v>6.7134628199040369E-2</v>
          </cell>
        </row>
        <row r="31">
          <cell r="B31" t="str">
            <v>Retention rate</v>
          </cell>
          <cell r="D31">
            <v>0.94799999999999995</v>
          </cell>
          <cell r="E31">
            <v>0.93500000000000005</v>
          </cell>
          <cell r="F31">
            <v>0.92300000000000004</v>
          </cell>
          <cell r="G31">
            <v>0.89900000000000002</v>
          </cell>
          <cell r="H31">
            <v>0.91800000000000004</v>
          </cell>
          <cell r="I31">
            <v>0.96599999999999997</v>
          </cell>
          <cell r="J31">
            <v>0.90600000000000003</v>
          </cell>
          <cell r="K31">
            <v>0.91600000000000004</v>
          </cell>
          <cell r="L31">
            <v>0.80600000000000005</v>
          </cell>
          <cell r="N31">
            <v>0.85599999999999998</v>
          </cell>
          <cell r="O31">
            <v>0.85099999999999998</v>
          </cell>
          <cell r="P31">
            <v>0.81899999999999995</v>
          </cell>
          <cell r="Q31">
            <v>0.82</v>
          </cell>
          <cell r="S31">
            <v>0.88100000000000001</v>
          </cell>
          <cell r="T31">
            <v>0.88800000000000001</v>
          </cell>
          <cell r="U31">
            <v>0.88100000000000001</v>
          </cell>
          <cell r="V31">
            <v>0.81799999999999995</v>
          </cell>
          <cell r="W31">
            <v>0.8670000000000001</v>
          </cell>
          <cell r="X31">
            <v>0.91800000000000004</v>
          </cell>
          <cell r="Y31">
            <v>0.91900000000000004</v>
          </cell>
          <cell r="Z31">
            <v>0.91300000000000003</v>
          </cell>
          <cell r="AA31">
            <v>0.84499999999999997</v>
          </cell>
          <cell r="AB31">
            <v>0.89874999999999994</v>
          </cell>
          <cell r="AC31">
            <v>0.93</v>
          </cell>
          <cell r="AD31">
            <v>0.91</v>
          </cell>
          <cell r="AE31">
            <v>0.9</v>
          </cell>
          <cell r="AF31">
            <v>0.84899999999999998</v>
          </cell>
          <cell r="AG31">
            <v>0.8972500000000001</v>
          </cell>
          <cell r="AH31">
            <v>0.92100000000000004</v>
          </cell>
          <cell r="AI31">
            <v>0.92300000000000004</v>
          </cell>
          <cell r="AJ31">
            <v>0.92200000000000004</v>
          </cell>
          <cell r="AK31">
            <v>0.88700000000000001</v>
          </cell>
          <cell r="AL31">
            <v>0.91325000000000001</v>
          </cell>
          <cell r="AM31">
            <v>0.92400000000000004</v>
          </cell>
          <cell r="AN31">
            <v>0.92300000000000004</v>
          </cell>
          <cell r="AO31">
            <v>0.92700000000000005</v>
          </cell>
          <cell r="AP31">
            <v>0.88500000000000001</v>
          </cell>
          <cell r="AQ31">
            <v>0.91474999999999995</v>
          </cell>
          <cell r="AR31">
            <v>0.92800000000000005</v>
          </cell>
          <cell r="AS31">
            <v>0.93200000000000005</v>
          </cell>
          <cell r="AT31">
            <v>0.94599999999999995</v>
          </cell>
          <cell r="AU31">
            <v>0.91300000000000003</v>
          </cell>
          <cell r="AV31">
            <v>0.92975000000000008</v>
          </cell>
          <cell r="AW31">
            <v>0.94399999999999995</v>
          </cell>
          <cell r="AX31">
            <v>0.94199999999999995</v>
          </cell>
          <cell r="AY31">
            <v>0.94799999999999995</v>
          </cell>
          <cell r="AZ31">
            <v>0.92205155153290708</v>
          </cell>
          <cell r="BA31">
            <v>0.93901288788322668</v>
          </cell>
          <cell r="BB31">
            <v>0.95069104856056119</v>
          </cell>
          <cell r="BC31">
            <v>0.93077721126441038</v>
          </cell>
          <cell r="BD31">
            <v>0.9266339428751954</v>
          </cell>
          <cell r="BE31">
            <v>0.89925410726289656</v>
          </cell>
          <cell r="BF31">
            <v>0.92683907749076599</v>
          </cell>
          <cell r="BG31">
            <v>0.94717327945180974</v>
          </cell>
          <cell r="BH31">
            <v>0.93320489685387753</v>
          </cell>
          <cell r="BI31">
            <v>0.92930142196076826</v>
          </cell>
          <cell r="BJ31">
            <v>0.90152899114998564</v>
          </cell>
          <cell r="BK31">
            <v>0.92780214735411026</v>
          </cell>
          <cell r="BL31">
            <v>0.94880385967627356</v>
          </cell>
          <cell r="BM31">
            <v>0.93469474703002786</v>
          </cell>
          <cell r="BN31">
            <v>0.93108286234210202</v>
          </cell>
          <cell r="BO31">
            <v>0.90288127012194219</v>
          </cell>
          <cell r="BP31">
            <v>0.92936568479258641</v>
          </cell>
          <cell r="BQ31">
            <v>0.94954507355900186</v>
          </cell>
          <cell r="BR31">
            <v>0.93652819142522659</v>
          </cell>
          <cell r="BS31">
            <v>0.93318730541980432</v>
          </cell>
          <cell r="BT31">
            <v>0.90459135520536238</v>
          </cell>
          <cell r="BU31">
            <v>0.93096298140234879</v>
          </cell>
          <cell r="BV31">
            <v>0.95048439659896433</v>
          </cell>
          <cell r="BW31">
            <v>0.93870324180727094</v>
          </cell>
          <cell r="BX31">
            <v>0.93561351946369375</v>
          </cell>
          <cell r="BY31">
            <v>0.90666032933390939</v>
          </cell>
          <cell r="BZ31">
            <v>0.93286537180095963</v>
          </cell>
        </row>
        <row r="33">
          <cell r="B33" t="str">
            <v>Cancellation rate (as % of beg. of qtr run rate)</v>
          </cell>
          <cell r="D33">
            <v>5.2000000000000046E-2</v>
          </cell>
          <cell r="E33">
            <v>6.6288313141446037E-2</v>
          </cell>
          <cell r="F33">
            <v>7.5384318213806825E-2</v>
          </cell>
          <cell r="G33">
            <v>9.3216906552694601E-2</v>
          </cell>
          <cell r="H33">
            <v>7.3749999999999996E-2</v>
          </cell>
          <cell r="I33">
            <v>3.400000000000003E-2</v>
          </cell>
          <cell r="J33">
            <v>8.8243453451354398E-2</v>
          </cell>
          <cell r="K33">
            <v>7.5459817397411436E-2</v>
          </cell>
          <cell r="L33">
            <v>0.16982500622163227</v>
          </cell>
          <cell r="S33">
            <v>0.14822151770451303</v>
          </cell>
          <cell r="T33">
            <v>0.13736254416961133</v>
          </cell>
          <cell r="U33">
            <v>0.14481818516744649</v>
          </cell>
          <cell r="V33">
            <v>0.20782959818853369</v>
          </cell>
          <cell r="W33">
            <v>0.16717657091939561</v>
          </cell>
          <cell r="X33">
            <v>9.8505691504550977E-2</v>
          </cell>
          <cell r="Y33">
            <v>9.8363026281627838E-2</v>
          </cell>
          <cell r="Z33">
            <v>9.833432004736227E-2</v>
          </cell>
          <cell r="AA33">
            <v>0.17142066171080905</v>
          </cell>
          <cell r="AB33">
            <v>0.12307397673468203</v>
          </cell>
          <cell r="AC33">
            <v>8.448116964298287E-2</v>
          </cell>
          <cell r="AD33">
            <v>0.10533346579749796</v>
          </cell>
          <cell r="AE33">
            <v>0.11565662060711566</v>
          </cell>
          <cell r="AF33">
            <v>0.17135928628633557</v>
          </cell>
          <cell r="AG33">
            <v>0.12296335008081664</v>
          </cell>
          <cell r="AH33">
            <v>9.4040425382069151E-2</v>
          </cell>
          <cell r="AI33">
            <v>8.8742719504691814E-2</v>
          </cell>
          <cell r="AJ33">
            <v>8.9399616230229254E-2</v>
          </cell>
          <cell r="AK33">
            <v>0.12612153452468175</v>
          </cell>
          <cell r="AL33">
            <v>0.10280583139657722</v>
          </cell>
          <cell r="AM33">
            <v>7.314864541723344E-2</v>
          </cell>
          <cell r="AN33">
            <v>7.6731562862118741E-2</v>
          </cell>
          <cell r="AO33">
            <v>7.1255039111514554E-2</v>
          </cell>
          <cell r="AP33">
            <v>0.11007947689137899</v>
          </cell>
          <cell r="AQ33">
            <v>8.1761055598458629E-2</v>
          </cell>
          <cell r="AR33">
            <v>6.6471290006023837E-2</v>
          </cell>
          <cell r="AS33">
            <v>5.6878497487367508E-2</v>
          </cell>
          <cell r="AT33">
            <v>4.7220036917910137E-2</v>
          </cell>
          <cell r="AU33">
            <v>6.8545330891461378E-2</v>
          </cell>
          <cell r="AV33">
            <v>6.2290540461079506E-2</v>
          </cell>
          <cell r="AW33">
            <v>5.0716801316538336E-2</v>
          </cell>
          <cell r="AX33">
            <v>4.9439689234606933E-2</v>
          </cell>
          <cell r="AY33">
            <v>4.1189158163413384E-2</v>
          </cell>
          <cell r="AZ33">
            <v>7.4189821544781917E-2</v>
          </cell>
          <cell r="BA33">
            <v>5.4459592130039633E-2</v>
          </cell>
          <cell r="BB33">
            <v>4.9308951439438815E-2</v>
          </cell>
          <cell r="BC33">
            <v>6.7915719531360511E-2</v>
          </cell>
          <cell r="BD33">
            <v>7.1089829469252477E-2</v>
          </cell>
          <cell r="BE33">
            <v>9.6887419721632548E-2</v>
          </cell>
          <cell r="BF33">
            <v>7.3160922509234103E-2</v>
          </cell>
          <cell r="BG33">
            <v>5.2826720548190272E-2</v>
          </cell>
          <cell r="BH33">
            <v>6.5497137402960565E-2</v>
          </cell>
          <cell r="BI33">
            <v>6.8334041464509845E-2</v>
          </cell>
          <cell r="BJ33">
            <v>9.4293873287025695E-2</v>
          </cell>
          <cell r="BK33">
            <v>7.219785264588971E-2</v>
          </cell>
          <cell r="BL33">
            <v>5.1196140323726456E-2</v>
          </cell>
          <cell r="BM33">
            <v>6.396310118058586E-2</v>
          </cell>
          <cell r="BN33">
            <v>6.6465602022813375E-2</v>
          </cell>
          <cell r="BO33">
            <v>9.2698534094536128E-2</v>
          </cell>
          <cell r="BP33">
            <v>7.0634315207413575E-2</v>
          </cell>
          <cell r="BQ33">
            <v>5.045492644099811E-2</v>
          </cell>
          <cell r="BR33">
            <v>6.2117716741928133E-2</v>
          </cell>
          <cell r="BS33">
            <v>6.4318431108145238E-2</v>
          </cell>
          <cell r="BT33">
            <v>9.0808503656875664E-2</v>
          </cell>
          <cell r="BU33">
            <v>6.9037018597651226E-2</v>
          </cell>
          <cell r="BV33">
            <v>4.9515603401035634E-2</v>
          </cell>
          <cell r="BW33">
            <v>5.9945336987252747E-2</v>
          </cell>
          <cell r="BX33">
            <v>6.1875734099259824E-2</v>
          </cell>
          <cell r="BY33">
            <v>8.8598301123409232E-2</v>
          </cell>
          <cell r="BZ33">
            <v>6.7134628199040369E-2</v>
          </cell>
        </row>
        <row r="40">
          <cell r="I40">
            <v>71.175124999999994</v>
          </cell>
          <cell r="J40">
            <v>74.753093750000005</v>
          </cell>
          <cell r="K40">
            <v>78.192937499999999</v>
          </cell>
          <cell r="L40">
            <v>81.034812499999987</v>
          </cell>
          <cell r="U40">
            <v>164.79540624999998</v>
          </cell>
          <cell r="V40">
            <v>168.48296875</v>
          </cell>
          <cell r="X40">
            <v>172.54634375000001</v>
          </cell>
          <cell r="Y40">
            <v>177.62484375</v>
          </cell>
          <cell r="Z40">
            <v>182.02290625000001</v>
          </cell>
          <cell r="AA40">
            <v>184.78796874999998</v>
          </cell>
          <cell r="AB40">
            <v>716.98206249999998</v>
          </cell>
          <cell r="AC40">
            <v>189.01137500000002</v>
          </cell>
          <cell r="AD40">
            <v>191.9968125</v>
          </cell>
          <cell r="AE40">
            <v>194.6508125</v>
          </cell>
          <cell r="AF40">
            <v>198.40765625</v>
          </cell>
          <cell r="AG40">
            <v>774.06665625000005</v>
          </cell>
          <cell r="AH40">
            <v>202.90453124999999</v>
          </cell>
          <cell r="AI40">
            <v>207.15868749999998</v>
          </cell>
          <cell r="AJ40">
            <v>211.80640625000001</v>
          </cell>
          <cell r="AK40">
            <v>215.87424999999999</v>
          </cell>
          <cell r="AL40">
            <v>837.74387499999989</v>
          </cell>
        </row>
        <row r="41">
          <cell r="P41">
            <v>1.9410000000000001</v>
          </cell>
          <cell r="S41">
            <v>7.4519999999999982</v>
          </cell>
          <cell r="T41">
            <v>15.625</v>
          </cell>
          <cell r="U41">
            <v>15.718999999999998</v>
          </cell>
          <cell r="V41">
            <v>3.5679999999999978</v>
          </cell>
          <cell r="X41">
            <v>12.967000000000001</v>
          </cell>
          <cell r="Y41">
            <v>7.9450000000000003</v>
          </cell>
          <cell r="Z41">
            <v>6.2610000000000001</v>
          </cell>
          <cell r="AA41">
            <v>7.4589999999999996</v>
          </cell>
          <cell r="AB41">
            <v>34.631999999999998</v>
          </cell>
          <cell r="AC41">
            <v>7.8070000000000004</v>
          </cell>
          <cell r="AD41">
            <v>6.367</v>
          </cell>
          <cell r="AE41">
            <v>3.8780000000000001</v>
          </cell>
          <cell r="AF41">
            <v>7.4429999999999996</v>
          </cell>
          <cell r="AG41">
            <v>25.494999999999997</v>
          </cell>
          <cell r="AH41">
            <v>8.9350000000000005</v>
          </cell>
          <cell r="AI41">
            <v>6.6639999999999997</v>
          </cell>
          <cell r="AJ41">
            <v>4.359</v>
          </cell>
          <cell r="AK41">
            <v>7.157</v>
          </cell>
          <cell r="AL41">
            <v>27.114999999999998</v>
          </cell>
        </row>
        <row r="42">
          <cell r="A42" t="str">
            <v>Revenue by Type Summary</v>
          </cell>
        </row>
        <row r="43">
          <cell r="I43">
            <v>14.187875000000005</v>
          </cell>
          <cell r="J43">
            <v>15.13490625</v>
          </cell>
          <cell r="K43">
            <v>13.89406249999999</v>
          </cell>
          <cell r="L43">
            <v>12.909187500000002</v>
          </cell>
          <cell r="U43">
            <v>12.803593749999999</v>
          </cell>
          <cell r="V43">
            <v>14.79003125</v>
          </cell>
        </row>
        <row r="44">
          <cell r="B44" t="str">
            <v>Total recurring subscription revenue</v>
          </cell>
          <cell r="D44">
            <v>74.022000000000006</v>
          </cell>
          <cell r="E44">
            <v>74.108000000000004</v>
          </cell>
          <cell r="F44">
            <v>75.875999999999991</v>
          </cell>
          <cell r="G44">
            <v>82.977000000000004</v>
          </cell>
          <cell r="H44">
            <v>306.98299999999995</v>
          </cell>
          <cell r="I44">
            <v>85.363</v>
          </cell>
          <cell r="J44">
            <v>89.888000000000005</v>
          </cell>
          <cell r="K44">
            <v>92.086999999999989</v>
          </cell>
          <cell r="L44">
            <v>93.943999999999988</v>
          </cell>
          <cell r="U44">
            <v>161.88</v>
          </cell>
          <cell r="V44">
            <v>179.70499999999998</v>
          </cell>
          <cell r="W44">
            <v>-105.86</v>
          </cell>
          <cell r="X44">
            <v>172.46199999999999</v>
          </cell>
          <cell r="Y44">
            <v>182.25100000000003</v>
          </cell>
          <cell r="Z44">
            <v>183.73499999999999</v>
          </cell>
          <cell r="AA44">
            <v>187.61799999999999</v>
          </cell>
          <cell r="AB44">
            <v>726.06600000000003</v>
          </cell>
          <cell r="AC44">
            <v>186.636</v>
          </cell>
          <cell r="AD44">
            <v>198.10400000000001</v>
          </cell>
          <cell r="AE44">
            <v>197.51700000000005</v>
          </cell>
          <cell r="AF44">
            <v>201.499</v>
          </cell>
          <cell r="AG44">
            <v>783.75600000000009</v>
          </cell>
          <cell r="AH44">
            <v>206.45899999999997</v>
          </cell>
          <cell r="AI44">
            <v>214.26400000000001</v>
          </cell>
          <cell r="AJ44">
            <v>216.87499999999997</v>
          </cell>
          <cell r="AK44">
            <v>219.98099999999999</v>
          </cell>
          <cell r="AL44">
            <v>857.57899999999995</v>
          </cell>
          <cell r="AM44">
            <v>179.7</v>
          </cell>
          <cell r="AN44">
            <v>186.29999999999998</v>
          </cell>
          <cell r="AO44">
            <v>189.2</v>
          </cell>
          <cell r="AP44">
            <v>193.4</v>
          </cell>
          <cell r="AQ44">
            <v>748.6</v>
          </cell>
          <cell r="AR44">
            <v>195</v>
          </cell>
          <cell r="AS44">
            <v>205.3</v>
          </cell>
          <cell r="AT44">
            <v>199.8</v>
          </cell>
          <cell r="AU44">
            <v>201.1</v>
          </cell>
          <cell r="AV44">
            <v>801.2</v>
          </cell>
          <cell r="AW44">
            <v>212.3</v>
          </cell>
          <cell r="AX44">
            <v>215.6</v>
          </cell>
          <cell r="AY44">
            <v>213.76499999999999</v>
          </cell>
          <cell r="AZ44">
            <v>215.90299999999999</v>
          </cell>
          <cell r="BA44">
            <v>857.56799999999998</v>
          </cell>
          <cell r="BB44">
            <v>225.33799999999997</v>
          </cell>
          <cell r="BC44">
            <v>232.732</v>
          </cell>
          <cell r="BD44">
            <v>226.50800000000001</v>
          </cell>
          <cell r="BE44">
            <v>229.09099999999998</v>
          </cell>
          <cell r="BF44">
            <v>913.66899999999998</v>
          </cell>
          <cell r="BG44">
            <v>239.77126574609372</v>
          </cell>
          <cell r="BH44">
            <v>246.38045214453126</v>
          </cell>
          <cell r="BI44">
            <v>242.50841455078125</v>
          </cell>
          <cell r="BJ44">
            <v>245.19796676953126</v>
          </cell>
          <cell r="BK44">
            <v>973.85809921093744</v>
          </cell>
          <cell r="BL44">
            <v>256.30251655238527</v>
          </cell>
          <cell r="BM44">
            <v>264.23010032385497</v>
          </cell>
          <cell r="BN44">
            <v>261.53435189378956</v>
          </cell>
          <cell r="BO44">
            <v>265.07519410693118</v>
          </cell>
          <cell r="BP44">
            <v>1047.142162876961</v>
          </cell>
          <cell r="BQ44">
            <v>276.76123742492297</v>
          </cell>
          <cell r="BR44">
            <v>285.27611299504269</v>
          </cell>
          <cell r="BS44">
            <v>283.18188486814955</v>
          </cell>
          <cell r="BT44">
            <v>287.33943477163115</v>
          </cell>
          <cell r="BU44">
            <v>1132.5586700597464</v>
          </cell>
          <cell r="BV44">
            <v>299.65775645727149</v>
          </cell>
          <cell r="BW44">
            <v>308.82072640554537</v>
          </cell>
          <cell r="BX44">
            <v>307.39120967513179</v>
          </cell>
          <cell r="BY44">
            <v>312.23117725496536</v>
          </cell>
          <cell r="BZ44">
            <v>1228.1008697929142</v>
          </cell>
          <cell r="CB44">
            <v>6.0935617769120265E-2</v>
          </cell>
        </row>
        <row r="45">
          <cell r="B45" t="str">
            <v>y/y change</v>
          </cell>
          <cell r="I45">
            <v>0.15321120747885764</v>
          </cell>
          <cell r="J45">
            <v>0.21293247692556805</v>
          </cell>
          <cell r="K45">
            <v>0.2136512204122516</v>
          </cell>
          <cell r="L45">
            <v>0.13216915530809725</v>
          </cell>
          <cell r="Z45">
            <v>0.13500741289844331</v>
          </cell>
          <cell r="AA45">
            <v>4.4033276759133155E-2</v>
          </cell>
          <cell r="AC45">
            <v>8.2186220732683113E-2</v>
          </cell>
          <cell r="AD45">
            <v>8.6984433555920004E-2</v>
          </cell>
          <cell r="AE45">
            <v>7.501020491468724E-2</v>
          </cell>
          <cell r="AF45">
            <v>7.398543849737238E-2</v>
          </cell>
          <cell r="AG45">
            <v>7.9455586682202428E-2</v>
          </cell>
          <cell r="AH45">
            <v>0.10621209198654058</v>
          </cell>
          <cell r="AI45">
            <v>8.1573315026450821E-2</v>
          </cell>
          <cell r="AJ45">
            <v>9.8006753849035233E-2</v>
          </cell>
          <cell r="AK45">
            <v>9.172253956595311E-2</v>
          </cell>
          <cell r="AL45">
            <v>9.4191304436584744E-2</v>
          </cell>
          <cell r="AR45">
            <v>8.5141903171953359E-2</v>
          </cell>
          <cell r="AS45">
            <v>0.10198604401502975</v>
          </cell>
          <cell r="AT45">
            <v>5.602536997885843E-2</v>
          </cell>
          <cell r="AU45">
            <v>3.9813857290589283E-2</v>
          </cell>
          <cell r="AV45">
            <v>7.0264493721613697E-2</v>
          </cell>
          <cell r="AW45">
            <v>8.8717948717948802E-2</v>
          </cell>
          <cell r="AX45">
            <v>5.0170482221139734E-2</v>
          </cell>
          <cell r="AY45">
            <v>6.9894894894894755E-2</v>
          </cell>
          <cell r="AZ45">
            <v>7.3610144206862183E-2</v>
          </cell>
          <cell r="BA45">
            <v>7.0354468297553652E-2</v>
          </cell>
          <cell r="BB45">
            <v>6.1413094677343238E-2</v>
          </cell>
          <cell r="BC45">
            <v>7.9461966604823742E-2</v>
          </cell>
          <cell r="BD45">
            <v>5.9612190957359923E-2</v>
          </cell>
          <cell r="BE45">
            <v>6.1082986341088219E-2</v>
          </cell>
          <cell r="BF45">
            <v>6.5418718982051649E-2</v>
          </cell>
          <cell r="BG45">
            <v>6.4051627981493331E-2</v>
          </cell>
          <cell r="BH45">
            <v>5.8644501592094223E-2</v>
          </cell>
          <cell r="BI45">
            <v>7.0639511852920167E-2</v>
          </cell>
          <cell r="BJ45">
            <v>7.0308160379636497E-2</v>
          </cell>
          <cell r="BK45">
            <v>6.5876262859895007E-2</v>
          </cell>
          <cell r="BL45">
            <v>6.8945921250619602E-2</v>
          </cell>
          <cell r="BM45">
            <v>7.2447501512225454E-2</v>
          </cell>
          <cell r="BN45">
            <v>7.8454751263999034E-2</v>
          </cell>
          <cell r="BO45">
            <v>8.1066036555201615E-2</v>
          </cell>
          <cell r="BP45">
            <v>7.5251275032164999E-2</v>
          </cell>
          <cell r="BQ45">
            <v>7.9822551677350306E-2</v>
          </cell>
          <cell r="BR45">
            <v>7.9650322372025739E-2</v>
          </cell>
          <cell r="BS45">
            <v>8.2771279633472972E-2</v>
          </cell>
          <cell r="BT45">
            <v>8.3992169617042922E-2</v>
          </cell>
          <cell r="BU45">
            <v>8.1571070491621267E-2</v>
          </cell>
          <cell r="BV45">
            <v>8.2730223514626555E-2</v>
          </cell>
          <cell r="BW45">
            <v>8.2532719488195738E-2</v>
          </cell>
          <cell r="BX45">
            <v>8.5490372444742224E-2</v>
          </cell>
          <cell r="BY45">
            <v>8.6628354730068358E-2</v>
          </cell>
          <cell r="BZ45">
            <v>8.4359602958253399E-2</v>
          </cell>
        </row>
        <row r="46">
          <cell r="B46" t="str">
            <v>Constant currency y/y chg</v>
          </cell>
          <cell r="AY46">
            <v>8.5999999999999993E-2</v>
          </cell>
          <cell r="AZ46">
            <v>8.1000000000000003E-2</v>
          </cell>
        </row>
        <row r="48">
          <cell r="B48" t="str">
            <v>Total non-recurring</v>
          </cell>
          <cell r="AM48">
            <v>3.3660000000000041</v>
          </cell>
          <cell r="AN48">
            <v>5.0530000000000026</v>
          </cell>
          <cell r="AO48">
            <v>2.6919999999999984</v>
          </cell>
          <cell r="AP48">
            <v>4.1930000000000032</v>
          </cell>
          <cell r="AQ48">
            <v>15.304000000000009</v>
          </cell>
          <cell r="AR48">
            <v>3.8</v>
          </cell>
          <cell r="AS48">
            <v>4.9000000000000004</v>
          </cell>
          <cell r="AT48">
            <v>5.0999999999999996</v>
          </cell>
          <cell r="AU48">
            <v>4.5999999999999996</v>
          </cell>
          <cell r="AV48">
            <v>18.399999999999999</v>
          </cell>
          <cell r="AW48">
            <v>4.5999999999999996</v>
          </cell>
          <cell r="AX48">
            <v>3.8</v>
          </cell>
          <cell r="AY48">
            <v>4.2759999999999998</v>
          </cell>
          <cell r="AZ48">
            <v>6.7919999999999998</v>
          </cell>
          <cell r="BA48">
            <v>19.467999999999996</v>
          </cell>
          <cell r="BB48">
            <v>4.7910000000000004</v>
          </cell>
          <cell r="BC48">
            <v>8.23</v>
          </cell>
          <cell r="BD48">
            <v>5.8029999999999999</v>
          </cell>
          <cell r="BE48">
            <v>7.9470000000000001</v>
          </cell>
          <cell r="BF48">
            <v>26.771000000000001</v>
          </cell>
          <cell r="BG48">
            <v>5.3185000000000002</v>
          </cell>
          <cell r="BH48">
            <v>5.3555000000000001</v>
          </cell>
          <cell r="BI48">
            <v>5.4595000000000002</v>
          </cell>
          <cell r="BJ48">
            <v>5.7794999999999996</v>
          </cell>
          <cell r="BK48">
            <v>21.912999999999997</v>
          </cell>
          <cell r="BL48">
            <v>5.8414999999999999</v>
          </cell>
          <cell r="BM48">
            <v>5.8224999999999998</v>
          </cell>
          <cell r="BN48">
            <v>5.8094999999999999</v>
          </cell>
          <cell r="BO48">
            <v>5.7794999999999996</v>
          </cell>
          <cell r="BP48">
            <v>23.253</v>
          </cell>
          <cell r="BQ48">
            <v>5.8414999999999999</v>
          </cell>
          <cell r="BR48">
            <v>5.8224999999999998</v>
          </cell>
          <cell r="BS48">
            <v>5.8094999999999999</v>
          </cell>
          <cell r="BT48">
            <v>5.7794999999999996</v>
          </cell>
          <cell r="BU48">
            <v>23.253</v>
          </cell>
          <cell r="BV48">
            <v>5.8414999999999999</v>
          </cell>
          <cell r="BW48">
            <v>5.8224999999999998</v>
          </cell>
          <cell r="BX48">
            <v>5.8094999999999999</v>
          </cell>
          <cell r="BY48">
            <v>5.7794999999999996</v>
          </cell>
          <cell r="BZ48">
            <v>23.253</v>
          </cell>
          <cell r="CB48">
            <v>-2.7783741619878288E-2</v>
          </cell>
        </row>
        <row r="49">
          <cell r="B49" t="str">
            <v>y/y change</v>
          </cell>
          <cell r="AR49">
            <v>0.12893642305406861</v>
          </cell>
          <cell r="AS49">
            <v>-3.0279042153176783E-2</v>
          </cell>
          <cell r="AT49">
            <v>0.8945022288261526</v>
          </cell>
          <cell r="AU49">
            <v>9.7066539470545221E-2</v>
          </cell>
          <cell r="AV49">
            <v>0.20230005227391445</v>
          </cell>
          <cell r="AW49">
            <v>0.21052631578947367</v>
          </cell>
          <cell r="AX49">
            <v>-0.22448979591836749</v>
          </cell>
          <cell r="AY49">
            <v>-0.16156862745098033</v>
          </cell>
          <cell r="AZ49">
            <v>0.47652173913043483</v>
          </cell>
          <cell r="BA49">
            <v>5.8043478260869419E-2</v>
          </cell>
          <cell r="BB49">
            <v>4.1521739130434998E-2</v>
          </cell>
          <cell r="BC49">
            <v>1.1657894736842107</v>
          </cell>
          <cell r="BD49">
            <v>0.35710944808232004</v>
          </cell>
          <cell r="BE49">
            <v>0.170053003533569</v>
          </cell>
          <cell r="BF49">
            <v>0.37512841586192747</v>
          </cell>
          <cell r="BG49">
            <v>0.11010227509914428</v>
          </cell>
          <cell r="BH49">
            <v>-0.34927095990279466</v>
          </cell>
          <cell r="BI49">
            <v>-5.9193520592796811E-2</v>
          </cell>
          <cell r="BJ49">
            <v>-0.27274443186107966</v>
          </cell>
          <cell r="BK49">
            <v>-0.18146501811661886</v>
          </cell>
          <cell r="BL49">
            <v>9.8335996991632868E-2</v>
          </cell>
          <cell r="BM49">
            <v>8.7200074689571361E-2</v>
          </cell>
          <cell r="BN49">
            <v>6.4108434838355155E-2</v>
          </cell>
          <cell r="BO49">
            <v>0</v>
          </cell>
          <cell r="BP49">
            <v>6.1150914981974225E-2</v>
          </cell>
          <cell r="BQ49">
            <v>0</v>
          </cell>
          <cell r="BR49">
            <v>0</v>
          </cell>
          <cell r="BS49">
            <v>0</v>
          </cell>
          <cell r="BT49">
            <v>0</v>
          </cell>
          <cell r="BU49">
            <v>0</v>
          </cell>
          <cell r="BV49">
            <v>0</v>
          </cell>
          <cell r="BW49">
            <v>0</v>
          </cell>
          <cell r="BX49">
            <v>0</v>
          </cell>
          <cell r="BY49">
            <v>0</v>
          </cell>
          <cell r="BZ49">
            <v>0</v>
          </cell>
        </row>
        <row r="51">
          <cell r="B51" t="str">
            <v>Asset-based fees</v>
          </cell>
          <cell r="I51">
            <v>19.588000000000001</v>
          </cell>
          <cell r="J51">
            <v>18.306999999999999</v>
          </cell>
          <cell r="K51">
            <v>18.312000000000001</v>
          </cell>
          <cell r="L51">
            <v>13.472</v>
          </cell>
          <cell r="M51">
            <v>69.678999999999988</v>
          </cell>
          <cell r="N51">
            <v>13.182</v>
          </cell>
          <cell r="O51">
            <v>15.22</v>
          </cell>
          <cell r="P51">
            <v>20.151</v>
          </cell>
          <cell r="Q51">
            <v>22.760999999999999</v>
          </cell>
          <cell r="R51">
            <v>71.313999999999993</v>
          </cell>
          <cell r="S51">
            <v>24.984999999999999</v>
          </cell>
          <cell r="T51">
            <v>25.696000000000002</v>
          </cell>
          <cell r="U51">
            <v>25.134</v>
          </cell>
          <cell r="V51">
            <v>30.045000000000002</v>
          </cell>
          <cell r="W51">
            <v>105.86</v>
          </cell>
          <cell r="X51">
            <v>37.869</v>
          </cell>
          <cell r="Y51">
            <v>36.286999999999999</v>
          </cell>
          <cell r="Z51">
            <v>35.03</v>
          </cell>
          <cell r="AA51">
            <v>31.056999999999999</v>
          </cell>
          <cell r="AB51">
            <v>140.24299999999999</v>
          </cell>
          <cell r="AC51">
            <v>34.609000000000002</v>
          </cell>
          <cell r="AD51">
            <v>34.094000000000001</v>
          </cell>
          <cell r="AE51">
            <v>34.042000000000002</v>
          </cell>
          <cell r="AF51">
            <v>38.137999999999998</v>
          </cell>
          <cell r="AG51">
            <v>140.88300000000001</v>
          </cell>
          <cell r="AH51">
            <v>36.515000000000001</v>
          </cell>
          <cell r="AI51">
            <v>36.97</v>
          </cell>
          <cell r="AJ51">
            <v>36.801000000000002</v>
          </cell>
          <cell r="AK51">
            <v>39.200000000000003</v>
          </cell>
          <cell r="AL51">
            <v>149.48599999999999</v>
          </cell>
          <cell r="AM51">
            <v>36.515000000000001</v>
          </cell>
          <cell r="AN51">
            <v>36.97</v>
          </cell>
          <cell r="AO51">
            <v>36.801000000000002</v>
          </cell>
          <cell r="AP51">
            <v>39.200000000000003</v>
          </cell>
          <cell r="AQ51">
            <v>149.48599999999999</v>
          </cell>
          <cell r="AR51">
            <v>40.9</v>
          </cell>
          <cell r="AS51">
            <v>44.094999999999999</v>
          </cell>
          <cell r="AT51">
            <v>46.656999999999996</v>
          </cell>
          <cell r="AU51">
            <v>45.453000000000003</v>
          </cell>
          <cell r="AV51">
            <v>177.10499999999999</v>
          </cell>
          <cell r="AW51">
            <v>45.88</v>
          </cell>
          <cell r="AX51">
            <v>51.16</v>
          </cell>
          <cell r="AY51">
            <v>50.735999999999997</v>
          </cell>
          <cell r="AZ51">
            <v>50.198</v>
          </cell>
          <cell r="BA51">
            <v>197.97399999999999</v>
          </cell>
          <cell r="BB51">
            <v>48.698999999999998</v>
          </cell>
          <cell r="BC51">
            <v>49.634</v>
          </cell>
          <cell r="BD51">
            <v>56.122</v>
          </cell>
          <cell r="BE51">
            <v>55.774000000000001</v>
          </cell>
          <cell r="BF51">
            <v>210.20699999999999</v>
          </cell>
          <cell r="BG51">
            <v>55.048233406249992</v>
          </cell>
          <cell r="BH51">
            <v>55.043050890468749</v>
          </cell>
          <cell r="BI51">
            <v>58.418091997644538</v>
          </cell>
          <cell r="BJ51">
            <v>59.022841985154692</v>
          </cell>
          <cell r="BK51">
            <v>227.53221827951799</v>
          </cell>
          <cell r="BL51">
            <v>58.222017098438201</v>
          </cell>
          <cell r="BM51">
            <v>58.186656270158203</v>
          </cell>
          <cell r="BN51">
            <v>61.879963062879462</v>
          </cell>
          <cell r="BO51">
            <v>62.5330499461583</v>
          </cell>
          <cell r="BP51">
            <v>240.82168637763419</v>
          </cell>
          <cell r="BQ51">
            <v>61.447628589651309</v>
          </cell>
          <cell r="BR51">
            <v>61.381583312258542</v>
          </cell>
          <cell r="BS51">
            <v>65.392991340684887</v>
          </cell>
          <cell r="BT51">
            <v>66.095844777185192</v>
          </cell>
          <cell r="BU51">
            <v>254.31804801977992</v>
          </cell>
          <cell r="BV51">
            <v>64.663433120507563</v>
          </cell>
          <cell r="BW51">
            <v>64.476019480487707</v>
          </cell>
          <cell r="BX51">
            <v>68.714768297983682</v>
          </cell>
          <cell r="BY51">
            <v>69.383181283894928</v>
          </cell>
          <cell r="BZ51">
            <v>267.23740218287389</v>
          </cell>
          <cell r="CB51">
            <v>4.9180024584037918E-2</v>
          </cell>
        </row>
        <row r="52">
          <cell r="B52" t="str">
            <v>y/y change</v>
          </cell>
          <cell r="Z52">
            <v>0.3937296092941831</v>
          </cell>
          <cell r="AA52">
            <v>3.3682809119653712E-2</v>
          </cell>
          <cell r="AC52">
            <v>-8.6086244685626756E-2</v>
          </cell>
          <cell r="AD52">
            <v>-6.0434866481108851E-2</v>
          </cell>
          <cell r="AE52">
            <v>-2.8204396231801265E-2</v>
          </cell>
          <cell r="AF52">
            <v>0.22800012879544074</v>
          </cell>
          <cell r="AG52">
            <v>4.5635076260490681E-3</v>
          </cell>
          <cell r="AH52">
            <v>5.5072380016758515E-2</v>
          </cell>
          <cell r="AI52">
            <v>8.4355018478324606E-2</v>
          </cell>
          <cell r="AJ52">
            <v>8.104694201280771E-2</v>
          </cell>
          <cell r="AK52">
            <v>2.7846242592689752E-2</v>
          </cell>
          <cell r="AL52">
            <v>6.1064855234485238E-2</v>
          </cell>
          <cell r="AR52">
            <v>0.12008763521840327</v>
          </cell>
          <cell r="AS52">
            <v>0.1927238301325398</v>
          </cell>
          <cell r="AT52">
            <v>0.26781880927148705</v>
          </cell>
          <cell r="AU52">
            <v>0.15951530612244902</v>
          </cell>
          <cell r="AV52">
            <v>0.18475977683528888</v>
          </cell>
          <cell r="AW52">
            <v>0.12176039119804405</v>
          </cell>
          <cell r="AX52">
            <v>0.1602222474203423</v>
          </cell>
          <cell r="AY52">
            <v>8.7425252373706019E-2</v>
          </cell>
          <cell r="AZ52">
            <v>0.10439354938067891</v>
          </cell>
          <cell r="BA52">
            <v>0.11783405324524998</v>
          </cell>
          <cell r="BB52">
            <v>6.1442894507410584E-2</v>
          </cell>
          <cell r="BC52">
            <v>-2.9827990617669942E-2</v>
          </cell>
          <cell r="BD52">
            <v>0.1061573636076949</v>
          </cell>
          <cell r="BE52">
            <v>0.11108012271405232</v>
          </cell>
          <cell r="BF52">
            <v>6.1790942244941194E-2</v>
          </cell>
          <cell r="BG52">
            <v>0.13037707973983026</v>
          </cell>
          <cell r="BH52">
            <v>0.10897874220229586</v>
          </cell>
          <cell r="BI52">
            <v>4.0912511985398581E-2</v>
          </cell>
          <cell r="BJ52">
            <v>5.8250116275588848E-2</v>
          </cell>
          <cell r="BK52">
            <v>8.241979705489344E-2</v>
          </cell>
          <cell r="BL52">
            <v>5.7654596629214794E-2</v>
          </cell>
          <cell r="BM52">
            <v>5.711175759397813E-2</v>
          </cell>
          <cell r="BN52">
            <v>5.9260255630644521E-2</v>
          </cell>
          <cell r="BO52">
            <v>5.94720254556107E-2</v>
          </cell>
          <cell r="BP52">
            <v>5.840697286126928E-2</v>
          </cell>
          <cell r="BQ52">
            <v>5.5401919273244005E-2</v>
          </cell>
          <cell r="BR52">
            <v>5.490824266076455E-2</v>
          </cell>
          <cell r="BS52">
            <v>5.6771660872448448E-2</v>
          </cell>
          <cell r="BT52">
            <v>5.6974589182752222E-2</v>
          </cell>
          <cell r="BU52">
            <v>5.6042966250896553E-2</v>
          </cell>
          <cell r="BV52">
            <v>5.2334070568149427E-2</v>
          </cell>
          <cell r="BW52">
            <v>5.0413104407672993E-2</v>
          </cell>
          <cell r="BX52">
            <v>5.0797140323386891E-2</v>
          </cell>
          <cell r="BY52">
            <v>4.9735902730218884E-2</v>
          </cell>
          <cell r="BZ52">
            <v>5.0799989476520091E-2</v>
          </cell>
        </row>
        <row r="54">
          <cell r="B54" t="str">
            <v>Total Revenue</v>
          </cell>
          <cell r="I54">
            <v>0.79290624999999992</v>
          </cell>
          <cell r="J54">
            <v>0.81231249999999999</v>
          </cell>
          <cell r="K54">
            <v>0.92671875000000004</v>
          </cell>
          <cell r="L54">
            <v>0.97434374999999995</v>
          </cell>
          <cell r="U54">
            <v>-12.152843750000001</v>
          </cell>
          <cell r="V54">
            <v>-17.189718750000001</v>
          </cell>
          <cell r="W54">
            <v>12.376531249999999</v>
          </cell>
          <cell r="X54">
            <v>-25.13715625</v>
          </cell>
          <cell r="Y54">
            <v>-23.42353125</v>
          </cell>
          <cell r="Z54">
            <v>-21.30590625</v>
          </cell>
          <cell r="AA54">
            <v>-17.195249999999998</v>
          </cell>
          <cell r="AB54">
            <v>-87.061843749999994</v>
          </cell>
          <cell r="AC54">
            <v>-20.25390625</v>
          </cell>
          <cell r="AD54">
            <v>-19.614250000000002</v>
          </cell>
          <cell r="AE54">
            <v>-19.4074375</v>
          </cell>
          <cell r="AF54">
            <v>-23.229406249999997</v>
          </cell>
          <cell r="AG54">
            <v>-82.504999999999995</v>
          </cell>
          <cell r="AH54">
            <v>-21.329843750000002</v>
          </cell>
          <cell r="AI54">
            <v>-21.63640625</v>
          </cell>
          <cell r="AJ54">
            <v>-21.291687500000002</v>
          </cell>
          <cell r="AK54">
            <v>-24.123250000000002</v>
          </cell>
          <cell r="AL54">
            <v>-88.381187499999996</v>
          </cell>
          <cell r="AM54">
            <v>219.58100000000002</v>
          </cell>
          <cell r="AN54">
            <v>228.32299999999998</v>
          </cell>
          <cell r="AO54">
            <v>228.69299999999998</v>
          </cell>
          <cell r="AP54">
            <v>236.79300000000001</v>
          </cell>
          <cell r="AQ54">
            <v>913.39</v>
          </cell>
          <cell r="AR54">
            <v>239.70000000000002</v>
          </cell>
          <cell r="AS54">
            <v>254.29500000000002</v>
          </cell>
          <cell r="AT54">
            <v>251.55700000000002</v>
          </cell>
          <cell r="AU54">
            <v>251.15299999999999</v>
          </cell>
          <cell r="AV54">
            <v>996.70500000000004</v>
          </cell>
          <cell r="AW54">
            <v>262.78000000000003</v>
          </cell>
          <cell r="AX54">
            <v>270.56</v>
          </cell>
          <cell r="AY54">
            <v>268.77699999999999</v>
          </cell>
          <cell r="AZ54">
            <v>272.89299999999997</v>
          </cell>
          <cell r="BA54">
            <v>1075.01</v>
          </cell>
          <cell r="BB54">
            <v>278.82799999999997</v>
          </cell>
          <cell r="BC54">
            <v>290.596</v>
          </cell>
          <cell r="BD54">
            <v>288.43299999999999</v>
          </cell>
          <cell r="BE54">
            <v>292.81200000000001</v>
          </cell>
          <cell r="BF54">
            <v>1150.6469999999999</v>
          </cell>
          <cell r="BG54">
            <v>300.1379991523437</v>
          </cell>
          <cell r="BH54">
            <v>306.77900303500002</v>
          </cell>
          <cell r="BI54">
            <v>306.38600654842577</v>
          </cell>
          <cell r="BJ54">
            <v>310.00030875468599</v>
          </cell>
          <cell r="BK54">
            <v>1223.3033174904554</v>
          </cell>
          <cell r="BL54">
            <v>320.36603365082345</v>
          </cell>
          <cell r="BM54">
            <v>328.23925659401317</v>
          </cell>
          <cell r="BN54">
            <v>329.22381495666906</v>
          </cell>
          <cell r="BO54">
            <v>333.38774405308948</v>
          </cell>
          <cell r="BP54">
            <v>1311.2168492545952</v>
          </cell>
          <cell r="BQ54">
            <v>344.05036601457425</v>
          </cell>
          <cell r="BR54">
            <v>352.48019630730124</v>
          </cell>
          <cell r="BS54">
            <v>354.38437620883445</v>
          </cell>
          <cell r="BT54">
            <v>359.2147795488163</v>
          </cell>
          <cell r="BU54">
            <v>1410.1297180795264</v>
          </cell>
          <cell r="BV54">
            <v>370.16268957777902</v>
          </cell>
          <cell r="BW54">
            <v>379.11924588603307</v>
          </cell>
          <cell r="BX54">
            <v>381.91547797311546</v>
          </cell>
          <cell r="BY54">
            <v>387.39385853886029</v>
          </cell>
          <cell r="BZ54">
            <v>1518.591271975788</v>
          </cell>
          <cell r="CB54">
            <v>5.7060289418058963E-2</v>
          </cell>
        </row>
        <row r="55">
          <cell r="B55" t="str">
            <v>y/y change</v>
          </cell>
          <cell r="Z55">
            <v>0.75316219711950128</v>
          </cell>
          <cell r="AA55">
            <v>3.2177664337851297E-4</v>
          </cell>
          <cell r="AC55">
            <v>-0.19426421793435766</v>
          </cell>
          <cell r="AD55">
            <v>-0.16262625858344903</v>
          </cell>
          <cell r="AE55">
            <v>-8.9105280372666629E-2</v>
          </cell>
          <cell r="AF55">
            <v>0.35091994882307609</v>
          </cell>
          <cell r="AG55">
            <v>-5.2340308379926759E-2</v>
          </cell>
          <cell r="AH55">
            <v>5.3122468659595024E-2</v>
          </cell>
          <cell r="AI55">
            <v>0.10309628203984333</v>
          </cell>
          <cell r="AJ55">
            <v>9.7089067013612862E-2</v>
          </cell>
          <cell r="AK55">
            <v>3.8478975328954279E-2</v>
          </cell>
          <cell r="AL55">
            <v>7.1222198654627089E-2</v>
          </cell>
          <cell r="AR55">
            <v>9.1624503030772297E-2</v>
          </cell>
          <cell r="AS55">
            <v>0.11375113326296526</v>
          </cell>
          <cell r="AT55">
            <v>9.9976824826295774E-2</v>
          </cell>
          <cell r="AU55">
            <v>6.0643684568378209E-2</v>
          </cell>
          <cell r="AV55">
            <v>9.1215143585982039E-2</v>
          </cell>
          <cell r="AW55">
            <v>9.6287025448477337E-2</v>
          </cell>
          <cell r="AX55">
            <v>6.3961147486187198E-2</v>
          </cell>
          <cell r="AY55">
            <v>6.8453670539877498E-2</v>
          </cell>
          <cell r="AZ55">
            <v>8.656078167491521E-2</v>
          </cell>
          <cell r="BA55">
            <v>7.8563867944878352E-2</v>
          </cell>
          <cell r="BB55">
            <v>6.1070096658801809E-2</v>
          </cell>
          <cell r="BC55">
            <v>7.4053814311058508E-2</v>
          </cell>
          <cell r="BD55">
            <v>7.3131257510873349E-2</v>
          </cell>
          <cell r="BE55">
            <v>7.2991978541040003E-2</v>
          </cell>
          <cell r="BF55">
            <v>7.0359345494460435E-2</v>
          </cell>
          <cell r="BG55">
            <v>7.6427041589595568E-2</v>
          </cell>
          <cell r="BH55">
            <v>5.568900822791778E-2</v>
          </cell>
          <cell r="BI55">
            <v>6.2243247299808901E-2</v>
          </cell>
          <cell r="BJ55">
            <v>5.8700834510491351E-2</v>
          </cell>
          <cell r="BK55">
            <v>6.314388121678971E-2</v>
          </cell>
          <cell r="BL55">
            <v>6.7395779793322452E-2</v>
          </cell>
          <cell r="BM55">
            <v>6.9953462742574857E-2</v>
          </cell>
          <cell r="BN55">
            <v>7.4539332476444731E-2</v>
          </cell>
          <cell r="BO55">
            <v>7.5443264532071064E-2</v>
          </cell>
          <cell r="BP55">
            <v>7.1865685727469542E-2</v>
          </cell>
          <cell r="BQ55">
            <v>7.3928974597741171E-2</v>
          </cell>
          <cell r="BR55">
            <v>7.3851433752394779E-2</v>
          </cell>
          <cell r="BS55">
            <v>7.6423879771507108E-2</v>
          </cell>
          <cell r="BT55">
            <v>7.7468461142992773E-2</v>
          </cell>
          <cell r="BU55">
            <v>7.5435934857885245E-2</v>
          </cell>
          <cell r="BV55">
            <v>7.5896805068646822E-2</v>
          </cell>
          <cell r="BW55">
            <v>7.5576017767271075E-2</v>
          </cell>
          <cell r="BX55">
            <v>7.7687120574574164E-2</v>
          </cell>
          <cell r="BY55">
            <v>7.8446324022184433E-2</v>
          </cell>
          <cell r="BZ55">
            <v>7.6916011701375187E-2</v>
          </cell>
        </row>
        <row r="57">
          <cell r="C57">
            <v>2006</v>
          </cell>
          <cell r="D57" t="str">
            <v>1Q07</v>
          </cell>
          <cell r="E57" t="str">
            <v>2Q07</v>
          </cell>
          <cell r="F57" t="str">
            <v>3Q07</v>
          </cell>
          <cell r="G57" t="str">
            <v>4Q07</v>
          </cell>
          <cell r="H57">
            <v>2007</v>
          </cell>
          <cell r="I57" t="str">
            <v>1Q08</v>
          </cell>
          <cell r="J57" t="str">
            <v>2Q08</v>
          </cell>
          <cell r="K57" t="str">
            <v>3Q08</v>
          </cell>
          <cell r="L57" t="str">
            <v>4Q08</v>
          </cell>
          <cell r="M57">
            <v>2008</v>
          </cell>
          <cell r="N57" t="str">
            <v>1Q09</v>
          </cell>
          <cell r="O57" t="str">
            <v>2Q09</v>
          </cell>
          <cell r="P57" t="str">
            <v>3Q09</v>
          </cell>
          <cell r="Q57" t="str">
            <v>4Q09</v>
          </cell>
          <cell r="R57">
            <v>2009</v>
          </cell>
          <cell r="S57" t="str">
            <v>1Q10</v>
          </cell>
          <cell r="T57" t="str">
            <v>2Q10</v>
          </cell>
          <cell r="U57" t="str">
            <v>3Q10</v>
          </cell>
          <cell r="V57" t="str">
            <v>4Q10</v>
          </cell>
          <cell r="W57">
            <v>2010</v>
          </cell>
          <cell r="X57" t="str">
            <v>1Q11</v>
          </cell>
          <cell r="Y57" t="str">
            <v>2Q11</v>
          </cell>
          <cell r="Z57" t="str">
            <v>3Q11</v>
          </cell>
          <cell r="AA57" t="str">
            <v>4Q11</v>
          </cell>
          <cell r="AB57">
            <v>2011</v>
          </cell>
          <cell r="AC57" t="str">
            <v>1Q12</v>
          </cell>
          <cell r="AD57" t="str">
            <v>2Q12</v>
          </cell>
          <cell r="AE57" t="str">
            <v>3Q12</v>
          </cell>
          <cell r="AF57" t="str">
            <v>4Q12</v>
          </cell>
          <cell r="AG57">
            <v>2012</v>
          </cell>
          <cell r="AH57" t="str">
            <v>1Q13</v>
          </cell>
          <cell r="AI57" t="str">
            <v>2Q13</v>
          </cell>
          <cell r="AJ57" t="str">
            <v>3Q13</v>
          </cell>
          <cell r="AK57" t="str">
            <v>4Q13</v>
          </cell>
          <cell r="AL57">
            <v>2013</v>
          </cell>
          <cell r="AM57" t="str">
            <v>1Q13R</v>
          </cell>
          <cell r="AN57" t="str">
            <v>2Q13R</v>
          </cell>
          <cell r="AO57" t="str">
            <v>3Q13R</v>
          </cell>
          <cell r="AP57" t="str">
            <v>4Q13R</v>
          </cell>
          <cell r="AQ57" t="str">
            <v>2013R</v>
          </cell>
          <cell r="AR57" t="str">
            <v>1Q14</v>
          </cell>
          <cell r="AS57" t="str">
            <v>2Q14</v>
          </cell>
          <cell r="AT57" t="str">
            <v>3Q14</v>
          </cell>
          <cell r="AU57" t="str">
            <v>4Q14</v>
          </cell>
          <cell r="AV57">
            <v>2014</v>
          </cell>
          <cell r="AW57" t="str">
            <v>1Q15</v>
          </cell>
          <cell r="AX57" t="str">
            <v>2Q15</v>
          </cell>
          <cell r="AY57" t="str">
            <v>3Q15</v>
          </cell>
          <cell r="AZ57" t="str">
            <v>4Q15</v>
          </cell>
          <cell r="BA57">
            <v>2015</v>
          </cell>
          <cell r="BB57" t="str">
            <v>1Q16</v>
          </cell>
          <cell r="BC57" t="str">
            <v>2Q16</v>
          </cell>
          <cell r="BD57" t="str">
            <v>3Q16</v>
          </cell>
          <cell r="BE57" t="str">
            <v>4Q16</v>
          </cell>
          <cell r="BF57" t="str">
            <v>2016E</v>
          </cell>
          <cell r="BG57" t="str">
            <v>1Q17E</v>
          </cell>
          <cell r="BH57" t="str">
            <v>2Q17E</v>
          </cell>
          <cell r="BI57" t="str">
            <v>3Q17E</v>
          </cell>
          <cell r="BJ57" t="str">
            <v>4Q17E</v>
          </cell>
          <cell r="BK57" t="str">
            <v>2017E</v>
          </cell>
          <cell r="BL57" t="str">
            <v>1Q18E</v>
          </cell>
          <cell r="BM57" t="str">
            <v>2Q18E</v>
          </cell>
          <cell r="BN57" t="str">
            <v>3Q18E</v>
          </cell>
          <cell r="BO57" t="str">
            <v>4Q18E</v>
          </cell>
          <cell r="BP57" t="str">
            <v>2018E</v>
          </cell>
          <cell r="BQ57" t="str">
            <v>1Q19E</v>
          </cell>
          <cell r="BR57" t="str">
            <v>2Q19E</v>
          </cell>
          <cell r="BS57" t="str">
            <v>3Q19E</v>
          </cell>
          <cell r="BT57" t="str">
            <v>4Q19E</v>
          </cell>
          <cell r="BU57" t="str">
            <v>2019E</v>
          </cell>
          <cell r="BV57" t="str">
            <v>1Q20E</v>
          </cell>
          <cell r="BW57" t="str">
            <v>2Q20E</v>
          </cell>
          <cell r="BX57" t="str">
            <v>3Q20E</v>
          </cell>
          <cell r="BY57" t="str">
            <v>4Q20E</v>
          </cell>
          <cell r="BZ57" t="str">
            <v>2020E</v>
          </cell>
        </row>
        <row r="58">
          <cell r="B58" t="str">
            <v>Asset Based Fees</v>
          </cell>
        </row>
        <row r="59">
          <cell r="B59" t="str">
            <v>AUMs in ETFs linked to MSCI Indices (beginning)</v>
          </cell>
          <cell r="I59">
            <v>191.7</v>
          </cell>
          <cell r="J59">
            <v>179.2</v>
          </cell>
          <cell r="K59">
            <v>199.6</v>
          </cell>
          <cell r="L59">
            <v>166.3</v>
          </cell>
          <cell r="N59">
            <v>119.00000000000001</v>
          </cell>
          <cell r="O59">
            <v>107.8</v>
          </cell>
          <cell r="P59">
            <v>175.9</v>
          </cell>
          <cell r="Q59">
            <v>199.2</v>
          </cell>
          <cell r="R59">
            <v>127.80000000000001</v>
          </cell>
          <cell r="S59">
            <v>243</v>
          </cell>
          <cell r="T59">
            <v>255.4</v>
          </cell>
          <cell r="U59">
            <v>236.79999999999998</v>
          </cell>
          <cell r="V59">
            <v>290.7</v>
          </cell>
          <cell r="W59">
            <v>243</v>
          </cell>
          <cell r="X59">
            <v>333.29999999999995</v>
          </cell>
          <cell r="Y59">
            <v>350.09999999999997</v>
          </cell>
          <cell r="Z59">
            <v>360.49999999999994</v>
          </cell>
          <cell r="AA59">
            <v>290.09999999999991</v>
          </cell>
          <cell r="AB59">
            <v>333.3</v>
          </cell>
          <cell r="AC59">
            <v>301.59999999999991</v>
          </cell>
          <cell r="AD59">
            <v>354.69999999999987</v>
          </cell>
          <cell r="AE59">
            <v>327.39999999999986</v>
          </cell>
          <cell r="AF59">
            <v>363.69999999999987</v>
          </cell>
          <cell r="AG59">
            <v>301.59999999999997</v>
          </cell>
          <cell r="AH59">
            <v>402.29999999999984</v>
          </cell>
          <cell r="AI59">
            <v>357.29999999999984</v>
          </cell>
          <cell r="AJ59">
            <v>269.69999999999987</v>
          </cell>
          <cell r="AK59">
            <v>302.59999999999985</v>
          </cell>
          <cell r="AL59">
            <v>402.29999999999995</v>
          </cell>
          <cell r="AM59">
            <v>402.29999999999984</v>
          </cell>
          <cell r="AN59">
            <v>357.29999999999984</v>
          </cell>
          <cell r="AO59">
            <v>269.69999999999987</v>
          </cell>
          <cell r="AP59">
            <v>302.59999999999985</v>
          </cell>
          <cell r="AQ59">
            <v>402.29999999999995</v>
          </cell>
          <cell r="AR59">
            <v>332.89999999999981</v>
          </cell>
          <cell r="AS59">
            <v>340.79999999999984</v>
          </cell>
          <cell r="AT59">
            <v>378.69999999999982</v>
          </cell>
          <cell r="AU59">
            <v>377.89999999999981</v>
          </cell>
          <cell r="AV59">
            <v>332.89999999999992</v>
          </cell>
          <cell r="AW59">
            <v>373.29999999999978</v>
          </cell>
          <cell r="AX59">
            <v>417.99999999999977</v>
          </cell>
          <cell r="AY59">
            <v>435.39999999999981</v>
          </cell>
          <cell r="AZ59">
            <v>390.19999999999982</v>
          </cell>
          <cell r="BA59">
            <v>373.2999999999999</v>
          </cell>
          <cell r="BB59">
            <v>433.4</v>
          </cell>
          <cell r="BC59">
            <v>438.3</v>
          </cell>
          <cell r="BD59">
            <v>439.7</v>
          </cell>
          <cell r="BE59">
            <v>474.9</v>
          </cell>
          <cell r="BF59">
            <v>433.39999999999986</v>
          </cell>
          <cell r="BG59">
            <v>481.4</v>
          </cell>
          <cell r="BH59">
            <v>493.43499999999995</v>
          </cell>
          <cell r="BI59">
            <v>505.46999999999991</v>
          </cell>
          <cell r="BJ59">
            <v>517.50499999999988</v>
          </cell>
          <cell r="BK59">
            <v>481.39999999999986</v>
          </cell>
          <cell r="BL59">
            <v>529.54</v>
          </cell>
          <cell r="BM59">
            <v>542.77849999999989</v>
          </cell>
          <cell r="BN59">
            <v>556.01699999999983</v>
          </cell>
          <cell r="BO59">
            <v>569.25549999999976</v>
          </cell>
          <cell r="BP59">
            <v>529.53999999999985</v>
          </cell>
          <cell r="BQ59">
            <v>582.49399999999969</v>
          </cell>
          <cell r="BR59">
            <v>597.05634999999961</v>
          </cell>
          <cell r="BS59">
            <v>611.61869999999954</v>
          </cell>
          <cell r="BT59">
            <v>626.18104999999946</v>
          </cell>
          <cell r="BU59">
            <v>582.4939999999998</v>
          </cell>
          <cell r="BV59">
            <v>640.74339999999938</v>
          </cell>
          <cell r="BW59">
            <v>655.30574999999931</v>
          </cell>
          <cell r="BX59">
            <v>669.86809999999923</v>
          </cell>
          <cell r="BY59">
            <v>684.43044999999915</v>
          </cell>
          <cell r="BZ59">
            <v>640.74339999999972</v>
          </cell>
        </row>
        <row r="60">
          <cell r="B60" t="str">
            <v>Flows</v>
          </cell>
          <cell r="I60">
            <v>2.7</v>
          </cell>
          <cell r="J60">
            <v>10.5</v>
          </cell>
          <cell r="K60">
            <v>-2.1</v>
          </cell>
          <cell r="L60">
            <v>15.9</v>
          </cell>
          <cell r="N60">
            <v>2.4</v>
          </cell>
          <cell r="O60">
            <v>25.9</v>
          </cell>
          <cell r="P60">
            <v>3.2</v>
          </cell>
          <cell r="Q60">
            <v>17</v>
          </cell>
          <cell r="R60">
            <v>48.5</v>
          </cell>
          <cell r="S60">
            <v>4.9000000000000004</v>
          </cell>
          <cell r="T60">
            <v>11.8</v>
          </cell>
          <cell r="U60">
            <v>14.9</v>
          </cell>
          <cell r="V60">
            <v>21.9</v>
          </cell>
          <cell r="W60">
            <v>53.5</v>
          </cell>
          <cell r="X60">
            <v>6.7</v>
          </cell>
          <cell r="Y60">
            <v>14.2</v>
          </cell>
          <cell r="Z60">
            <v>0</v>
          </cell>
          <cell r="AA60">
            <v>1</v>
          </cell>
          <cell r="AB60">
            <v>21.9</v>
          </cell>
          <cell r="AC60">
            <v>15.2</v>
          </cell>
          <cell r="AD60">
            <v>0.3</v>
          </cell>
          <cell r="AE60">
            <v>15.2</v>
          </cell>
          <cell r="AF60">
            <v>25.9</v>
          </cell>
          <cell r="AG60">
            <v>56.599999999999994</v>
          </cell>
          <cell r="AH60">
            <v>-61</v>
          </cell>
          <cell r="AI60">
            <v>-74.400000000000006</v>
          </cell>
          <cell r="AJ60">
            <v>12.7</v>
          </cell>
          <cell r="AK60">
            <v>19.399999999999999</v>
          </cell>
          <cell r="AL60">
            <v>-103.30000000000001</v>
          </cell>
          <cell r="AM60">
            <v>-61</v>
          </cell>
          <cell r="AN60">
            <v>-74.400000000000006</v>
          </cell>
          <cell r="AO60">
            <v>12.7</v>
          </cell>
          <cell r="AP60">
            <v>19.399999999999999</v>
          </cell>
          <cell r="AQ60">
            <v>-103.30000000000001</v>
          </cell>
          <cell r="AR60">
            <v>6.6</v>
          </cell>
          <cell r="AS60">
            <v>22.7</v>
          </cell>
          <cell r="AT60">
            <v>16.399999999999999</v>
          </cell>
          <cell r="AU60">
            <v>3.7</v>
          </cell>
          <cell r="AV60">
            <v>49.4</v>
          </cell>
          <cell r="AW60">
            <v>31.7</v>
          </cell>
          <cell r="AX60">
            <v>24.3</v>
          </cell>
          <cell r="AY60">
            <v>3</v>
          </cell>
          <cell r="AZ60">
            <v>28.7</v>
          </cell>
          <cell r="BA60">
            <v>87.7</v>
          </cell>
          <cell r="BB60">
            <v>6.6</v>
          </cell>
          <cell r="BC60">
            <v>3.9</v>
          </cell>
          <cell r="BD60">
            <v>11.5</v>
          </cell>
          <cell r="BE60">
            <v>15.2</v>
          </cell>
          <cell r="BF60">
            <v>37.200000000000003</v>
          </cell>
          <cell r="BG60">
            <v>6.0174999999999983</v>
          </cell>
          <cell r="BH60">
            <v>6.0174999999999983</v>
          </cell>
          <cell r="BI60">
            <v>6.0174999999999983</v>
          </cell>
          <cell r="BJ60">
            <v>6.0174999999999983</v>
          </cell>
          <cell r="BK60">
            <v>24.069999999999993</v>
          </cell>
          <cell r="BL60">
            <v>6.6192499999999983</v>
          </cell>
          <cell r="BM60">
            <v>6.6192499999999983</v>
          </cell>
          <cell r="BN60">
            <v>6.6192499999999983</v>
          </cell>
          <cell r="BO60">
            <v>6.6192499999999983</v>
          </cell>
          <cell r="BP60">
            <v>26.476999999999993</v>
          </cell>
          <cell r="BQ60">
            <v>7.2811749999999975</v>
          </cell>
          <cell r="BR60">
            <v>7.2811749999999975</v>
          </cell>
          <cell r="BS60">
            <v>7.2811749999999975</v>
          </cell>
          <cell r="BT60">
            <v>7.2811749999999975</v>
          </cell>
          <cell r="BU60">
            <v>29.12469999999999</v>
          </cell>
          <cell r="BV60">
            <v>7.2811749999999975</v>
          </cell>
          <cell r="BW60">
            <v>7.2811749999999975</v>
          </cell>
          <cell r="BX60">
            <v>7.2811749999999975</v>
          </cell>
          <cell r="BY60">
            <v>7.2811749999999975</v>
          </cell>
          <cell r="BZ60">
            <v>29.12469999999999</v>
          </cell>
        </row>
        <row r="61">
          <cell r="B61" t="str">
            <v>BULL</v>
          </cell>
          <cell r="BE61">
            <v>7.5844999999999985</v>
          </cell>
          <cell r="BG61">
            <v>8.4244999999999983</v>
          </cell>
          <cell r="BH61">
            <v>8.4244999999999983</v>
          </cell>
          <cell r="BI61">
            <v>8.4244999999999983</v>
          </cell>
          <cell r="BJ61">
            <v>8.4244999999999983</v>
          </cell>
          <cell r="BL61">
            <v>9.2669499999999978</v>
          </cell>
          <cell r="BM61">
            <v>9.2669499999999978</v>
          </cell>
          <cell r="BN61">
            <v>9.2669499999999978</v>
          </cell>
          <cell r="BO61">
            <v>9.2669499999999978</v>
          </cell>
          <cell r="BQ61">
            <v>10.193644999999998</v>
          </cell>
          <cell r="BR61">
            <v>10.193644999999998</v>
          </cell>
          <cell r="BS61">
            <v>10.193644999999998</v>
          </cell>
          <cell r="BT61">
            <v>10.193644999999998</v>
          </cell>
          <cell r="BV61">
            <v>11.213009499999997</v>
          </cell>
          <cell r="BW61">
            <v>11.213009499999997</v>
          </cell>
          <cell r="BX61">
            <v>11.213009499999997</v>
          </cell>
          <cell r="BY61">
            <v>11.213009499999997</v>
          </cell>
        </row>
        <row r="62">
          <cell r="B62" t="str">
            <v>BASE</v>
          </cell>
          <cell r="X62">
            <v>6.7</v>
          </cell>
          <cell r="Y62">
            <v>14.2</v>
          </cell>
          <cell r="Z62">
            <v>0</v>
          </cell>
          <cell r="AA62">
            <v>1</v>
          </cell>
          <cell r="AB62">
            <v>-0.59065420560747661</v>
          </cell>
          <cell r="AC62">
            <v>15.2</v>
          </cell>
          <cell r="AD62">
            <v>0.3</v>
          </cell>
          <cell r="AE62">
            <v>15.2</v>
          </cell>
          <cell r="AF62">
            <v>25.9</v>
          </cell>
          <cell r="AG62">
            <v>1.5844748858447488</v>
          </cell>
          <cell r="AH62">
            <v>-61</v>
          </cell>
          <cell r="AI62">
            <v>-74.400000000000006</v>
          </cell>
          <cell r="AJ62">
            <v>12.7</v>
          </cell>
          <cell r="AK62">
            <v>19.399999999999999</v>
          </cell>
          <cell r="AM62">
            <v>-61</v>
          </cell>
          <cell r="AN62">
            <v>-74.400000000000006</v>
          </cell>
          <cell r="AO62">
            <v>12.7</v>
          </cell>
          <cell r="AP62">
            <v>19.399999999999999</v>
          </cell>
          <cell r="AR62">
            <v>6.6</v>
          </cell>
          <cell r="AS62">
            <v>22.7</v>
          </cell>
          <cell r="AT62">
            <v>16.399999999999999</v>
          </cell>
          <cell r="AU62">
            <v>3.7</v>
          </cell>
          <cell r="AW62">
            <v>31.7</v>
          </cell>
          <cell r="AX62">
            <v>24.3</v>
          </cell>
          <cell r="AY62">
            <v>3</v>
          </cell>
          <cell r="AZ62">
            <v>28.7</v>
          </cell>
          <cell r="BB62">
            <v>6.6</v>
          </cell>
          <cell r="BC62">
            <v>3.9</v>
          </cell>
          <cell r="BD62">
            <v>11.5</v>
          </cell>
          <cell r="BE62">
            <v>15.2</v>
          </cell>
          <cell r="BG62">
            <v>6.0174999999999983</v>
          </cell>
          <cell r="BH62">
            <v>6.0174999999999983</v>
          </cell>
          <cell r="BI62">
            <v>6.0174999999999983</v>
          </cell>
          <cell r="BJ62">
            <v>6.0174999999999983</v>
          </cell>
          <cell r="BL62">
            <v>6.6192499999999983</v>
          </cell>
          <cell r="BM62">
            <v>6.6192499999999983</v>
          </cell>
          <cell r="BN62">
            <v>6.6192499999999983</v>
          </cell>
          <cell r="BO62">
            <v>6.6192499999999983</v>
          </cell>
          <cell r="BQ62">
            <v>7.2811749999999975</v>
          </cell>
          <cell r="BR62">
            <v>7.2811749999999975</v>
          </cell>
          <cell r="BS62">
            <v>7.2811749999999975</v>
          </cell>
          <cell r="BT62">
            <v>7.2811749999999975</v>
          </cell>
          <cell r="BV62">
            <v>7.2811749999999975</v>
          </cell>
          <cell r="BW62">
            <v>7.2811749999999975</v>
          </cell>
          <cell r="BX62">
            <v>7.2811749999999975</v>
          </cell>
          <cell r="BY62">
            <v>7.2811749999999975</v>
          </cell>
        </row>
        <row r="63">
          <cell r="B63" t="str">
            <v>BEAR</v>
          </cell>
          <cell r="BE63">
            <v>3.2504999999999988</v>
          </cell>
          <cell r="BG63">
            <v>3.6104999999999987</v>
          </cell>
          <cell r="BH63">
            <v>3.6104999999999987</v>
          </cell>
          <cell r="BI63">
            <v>3.6104999999999987</v>
          </cell>
          <cell r="BJ63">
            <v>3.6104999999999987</v>
          </cell>
          <cell r="BL63">
            <v>3.9715499999999988</v>
          </cell>
          <cell r="BM63">
            <v>3.9715499999999988</v>
          </cell>
          <cell r="BN63">
            <v>3.9715499999999988</v>
          </cell>
          <cell r="BO63">
            <v>3.9715499999999988</v>
          </cell>
          <cell r="BQ63">
            <v>4.3687049999999985</v>
          </cell>
          <cell r="BR63">
            <v>4.3687049999999985</v>
          </cell>
          <cell r="BS63">
            <v>4.3687049999999985</v>
          </cell>
          <cell r="BT63">
            <v>4.3687049999999985</v>
          </cell>
          <cell r="BV63">
            <v>4.805575499999998</v>
          </cell>
          <cell r="BW63">
            <v>4.805575499999998</v>
          </cell>
          <cell r="BX63">
            <v>4.805575499999998</v>
          </cell>
          <cell r="BY63">
            <v>4.805575499999998</v>
          </cell>
        </row>
        <row r="64">
          <cell r="B64" t="str">
            <v>Market appreciation</v>
          </cell>
          <cell r="I64">
            <v>-15.2</v>
          </cell>
          <cell r="J64">
            <v>9.9</v>
          </cell>
          <cell r="K64">
            <v>-31.2</v>
          </cell>
          <cell r="L64">
            <v>-63.2</v>
          </cell>
          <cell r="N64">
            <v>-13.6</v>
          </cell>
          <cell r="O64">
            <v>42.2</v>
          </cell>
          <cell r="P64">
            <v>20.100000000000001</v>
          </cell>
          <cell r="Q64">
            <v>18</v>
          </cell>
          <cell r="R64">
            <v>66.7</v>
          </cell>
          <cell r="S64">
            <v>7.5</v>
          </cell>
          <cell r="T64">
            <v>-30.4</v>
          </cell>
          <cell r="U64">
            <v>39</v>
          </cell>
          <cell r="V64">
            <v>20.7</v>
          </cell>
          <cell r="W64">
            <v>36.799999999999997</v>
          </cell>
          <cell r="X64">
            <v>10.1</v>
          </cell>
          <cell r="Y64">
            <v>-3.8</v>
          </cell>
          <cell r="Z64">
            <v>-70.400000000000006</v>
          </cell>
          <cell r="AA64">
            <v>10.5</v>
          </cell>
          <cell r="AB64">
            <v>-53.600000000000009</v>
          </cell>
          <cell r="AC64">
            <v>37.9</v>
          </cell>
          <cell r="AD64">
            <v>-27.6</v>
          </cell>
          <cell r="AE64">
            <v>21.1</v>
          </cell>
          <cell r="AF64">
            <v>12.7</v>
          </cell>
          <cell r="AG64">
            <v>44.099999999999994</v>
          </cell>
          <cell r="AH64">
            <v>16</v>
          </cell>
          <cell r="AI64">
            <v>-13.2</v>
          </cell>
          <cell r="AJ64">
            <v>20.2</v>
          </cell>
          <cell r="AK64">
            <v>10.9</v>
          </cell>
          <cell r="AL64">
            <v>33.9</v>
          </cell>
          <cell r="AM64">
            <v>16</v>
          </cell>
          <cell r="AN64">
            <v>-13.2</v>
          </cell>
          <cell r="AO64">
            <v>20.2</v>
          </cell>
          <cell r="AP64">
            <v>10.9</v>
          </cell>
          <cell r="AQ64">
            <v>33.9</v>
          </cell>
          <cell r="AR64">
            <v>1.3</v>
          </cell>
          <cell r="AS64">
            <v>15.2</v>
          </cell>
          <cell r="AT64">
            <v>-17.2</v>
          </cell>
          <cell r="AU64">
            <v>-8.3000000000000007</v>
          </cell>
          <cell r="AV64">
            <v>-9</v>
          </cell>
          <cell r="AW64">
            <v>13</v>
          </cell>
          <cell r="AX64">
            <v>-6.9</v>
          </cell>
          <cell r="AY64">
            <v>-48.2</v>
          </cell>
          <cell r="AZ64">
            <v>14.5</v>
          </cell>
          <cell r="BA64">
            <v>-27.6</v>
          </cell>
          <cell r="BB64">
            <v>-1.7</v>
          </cell>
          <cell r="BC64">
            <v>-2.5</v>
          </cell>
          <cell r="BD64">
            <v>23.7</v>
          </cell>
          <cell r="BE64">
            <v>-8.6999999999999993</v>
          </cell>
          <cell r="BF64">
            <v>10.8</v>
          </cell>
          <cell r="BG64">
            <v>6.0174999999999983</v>
          </cell>
          <cell r="BH64">
            <v>6.0174999999999983</v>
          </cell>
          <cell r="BI64">
            <v>6.0174999999999983</v>
          </cell>
          <cell r="BJ64">
            <v>6.0174999999999983</v>
          </cell>
          <cell r="BK64">
            <v>24.069999999999993</v>
          </cell>
          <cell r="BL64">
            <v>6.6192499999999983</v>
          </cell>
          <cell r="BM64">
            <v>6.6192499999999983</v>
          </cell>
          <cell r="BN64">
            <v>6.6192499999999983</v>
          </cell>
          <cell r="BO64">
            <v>6.6192499999999983</v>
          </cell>
          <cell r="BP64">
            <v>26.476999999999993</v>
          </cell>
          <cell r="BQ64">
            <v>7.2811749999999975</v>
          </cell>
          <cell r="BR64">
            <v>7.2811749999999975</v>
          </cell>
          <cell r="BS64">
            <v>7.2811749999999975</v>
          </cell>
          <cell r="BT64">
            <v>7.2811749999999975</v>
          </cell>
          <cell r="BU64">
            <v>29.12469999999999</v>
          </cell>
          <cell r="BV64">
            <v>7.2811749999999975</v>
          </cell>
          <cell r="BW64">
            <v>7.2811749999999975</v>
          </cell>
          <cell r="BX64">
            <v>7.2811749999999975</v>
          </cell>
          <cell r="BY64">
            <v>7.2811749999999975</v>
          </cell>
          <cell r="BZ64">
            <v>29.12469999999999</v>
          </cell>
        </row>
        <row r="65">
          <cell r="B65" t="str">
            <v>BULL</v>
          </cell>
          <cell r="BE65">
            <v>7.5844999999999985</v>
          </cell>
          <cell r="BG65">
            <v>8.4244999999999983</v>
          </cell>
          <cell r="BH65">
            <v>8.4244999999999983</v>
          </cell>
          <cell r="BI65">
            <v>8.4244999999999983</v>
          </cell>
          <cell r="BJ65">
            <v>8.4244999999999983</v>
          </cell>
          <cell r="BL65">
            <v>9.2669499999999978</v>
          </cell>
          <cell r="BM65">
            <v>9.2669499999999978</v>
          </cell>
          <cell r="BN65">
            <v>9.2669499999999978</v>
          </cell>
          <cell r="BO65">
            <v>9.2669499999999978</v>
          </cell>
          <cell r="BQ65">
            <v>10.193644999999998</v>
          </cell>
          <cell r="BR65">
            <v>10.193644999999998</v>
          </cell>
          <cell r="BS65">
            <v>10.193644999999998</v>
          </cell>
          <cell r="BT65">
            <v>10.193644999999998</v>
          </cell>
          <cell r="BV65">
            <v>11.213009499999997</v>
          </cell>
          <cell r="BW65">
            <v>11.213009499999997</v>
          </cell>
          <cell r="BX65">
            <v>11.213009499999997</v>
          </cell>
          <cell r="BY65">
            <v>11.213009499999997</v>
          </cell>
        </row>
        <row r="66">
          <cell r="B66" t="str">
            <v>BASE</v>
          </cell>
          <cell r="AC66">
            <v>37.9</v>
          </cell>
          <cell r="AD66">
            <v>-27.6</v>
          </cell>
          <cell r="AE66">
            <v>21.1</v>
          </cell>
          <cell r="AF66">
            <v>12.7</v>
          </cell>
          <cell r="AH66">
            <v>16</v>
          </cell>
          <cell r="AI66">
            <v>-13.2</v>
          </cell>
          <cell r="AJ66">
            <v>20.2</v>
          </cell>
          <cell r="AK66">
            <v>10.9</v>
          </cell>
          <cell r="AM66">
            <v>16</v>
          </cell>
          <cell r="AN66">
            <v>-13.2</v>
          </cell>
          <cell r="AO66">
            <v>20.2</v>
          </cell>
          <cell r="AP66">
            <v>10.9</v>
          </cell>
          <cell r="AR66">
            <v>1.3</v>
          </cell>
          <cell r="AS66">
            <v>15.2</v>
          </cell>
          <cell r="AT66">
            <v>-17.2</v>
          </cell>
          <cell r="AU66">
            <v>-8.3000000000000007</v>
          </cell>
          <cell r="AW66">
            <v>13</v>
          </cell>
          <cell r="AX66">
            <v>-6.9</v>
          </cell>
          <cell r="AY66">
            <v>-48.2</v>
          </cell>
          <cell r="AZ66">
            <v>14.5</v>
          </cell>
          <cell r="BA66">
            <v>-27.6</v>
          </cell>
          <cell r="BB66">
            <v>-1.7</v>
          </cell>
          <cell r="BC66">
            <v>-2.5</v>
          </cell>
          <cell r="BD66">
            <v>23.7</v>
          </cell>
          <cell r="BE66">
            <v>5.4174999999999986</v>
          </cell>
          <cell r="BG66">
            <v>6.0174999999999983</v>
          </cell>
          <cell r="BH66">
            <v>6.0174999999999983</v>
          </cell>
          <cell r="BI66">
            <v>6.0174999999999983</v>
          </cell>
          <cell r="BJ66">
            <v>6.0174999999999983</v>
          </cell>
          <cell r="BL66">
            <v>6.6192499999999983</v>
          </cell>
          <cell r="BM66">
            <v>6.6192499999999983</v>
          </cell>
          <cell r="BN66">
            <v>6.6192499999999983</v>
          </cell>
          <cell r="BO66">
            <v>6.6192499999999983</v>
          </cell>
          <cell r="BQ66">
            <v>7.2811749999999975</v>
          </cell>
          <cell r="BR66">
            <v>7.2811749999999975</v>
          </cell>
          <cell r="BS66">
            <v>7.2811749999999975</v>
          </cell>
          <cell r="BT66">
            <v>7.2811749999999975</v>
          </cell>
          <cell r="BV66">
            <v>7.2811749999999975</v>
          </cell>
          <cell r="BW66">
            <v>7.2811749999999975</v>
          </cell>
          <cell r="BX66">
            <v>7.2811749999999975</v>
          </cell>
          <cell r="BY66">
            <v>7.2811749999999975</v>
          </cell>
        </row>
        <row r="67">
          <cell r="B67" t="str">
            <v>BEAR</v>
          </cell>
          <cell r="BE67">
            <v>0</v>
          </cell>
          <cell r="BG67">
            <v>0</v>
          </cell>
          <cell r="BH67">
            <v>0</v>
          </cell>
          <cell r="BI67">
            <v>0</v>
          </cell>
          <cell r="BJ67">
            <v>0</v>
          </cell>
          <cell r="BL67">
            <v>0</v>
          </cell>
          <cell r="BM67">
            <v>0</v>
          </cell>
          <cell r="BN67">
            <v>0</v>
          </cell>
          <cell r="BO67">
            <v>0</v>
          </cell>
          <cell r="BQ67">
            <v>0</v>
          </cell>
          <cell r="BR67">
            <v>0</v>
          </cell>
          <cell r="BS67">
            <v>0</v>
          </cell>
          <cell r="BT67">
            <v>0</v>
          </cell>
          <cell r="BV67">
            <v>0</v>
          </cell>
          <cell r="BW67">
            <v>0</v>
          </cell>
          <cell r="BX67">
            <v>0</v>
          </cell>
          <cell r="BY67">
            <v>0</v>
          </cell>
        </row>
        <row r="68">
          <cell r="B68" t="str">
            <v>AUMs in ETFs linked to MSCI Indices (ending)</v>
          </cell>
          <cell r="H68">
            <v>191.7</v>
          </cell>
          <cell r="I68">
            <v>179.2</v>
          </cell>
          <cell r="J68">
            <v>199.6</v>
          </cell>
          <cell r="K68">
            <v>166.3</v>
          </cell>
          <cell r="L68">
            <v>119.00000000000001</v>
          </cell>
          <cell r="M68">
            <v>119.00000000000001</v>
          </cell>
          <cell r="N68">
            <v>107.80000000000003</v>
          </cell>
          <cell r="O68">
            <v>175.89999999999998</v>
          </cell>
          <cell r="P68">
            <v>199.2</v>
          </cell>
          <cell r="Q68">
            <v>234.2</v>
          </cell>
          <cell r="R68">
            <v>243</v>
          </cell>
          <cell r="S68">
            <v>255.4</v>
          </cell>
          <cell r="T68">
            <v>236.79999999999998</v>
          </cell>
          <cell r="U68">
            <v>290.7</v>
          </cell>
          <cell r="V68">
            <v>333.29999999999995</v>
          </cell>
          <cell r="W68">
            <v>333.3</v>
          </cell>
          <cell r="X68">
            <v>350.09999999999997</v>
          </cell>
          <cell r="Y68">
            <v>360.49999999999994</v>
          </cell>
          <cell r="Z68">
            <v>290.09999999999991</v>
          </cell>
          <cell r="AA68">
            <v>301.59999999999991</v>
          </cell>
          <cell r="AB68">
            <v>301.59999999999997</v>
          </cell>
          <cell r="AC68">
            <v>354.69999999999987</v>
          </cell>
          <cell r="AD68">
            <v>327.39999999999986</v>
          </cell>
          <cell r="AE68">
            <v>363.69999999999987</v>
          </cell>
          <cell r="AF68">
            <v>402.29999999999984</v>
          </cell>
          <cell r="AG68">
            <v>402.29999999999995</v>
          </cell>
          <cell r="AH68">
            <v>357.29999999999984</v>
          </cell>
          <cell r="AI68">
            <v>269.69999999999987</v>
          </cell>
          <cell r="AJ68">
            <v>302.59999999999985</v>
          </cell>
          <cell r="AK68">
            <v>332.89999999999981</v>
          </cell>
          <cell r="AL68">
            <v>332.89999999999992</v>
          </cell>
          <cell r="AM68">
            <v>357.29999999999984</v>
          </cell>
          <cell r="AN68">
            <v>269.69999999999987</v>
          </cell>
          <cell r="AO68">
            <v>302.59999999999985</v>
          </cell>
          <cell r="AP68">
            <v>332.89999999999981</v>
          </cell>
          <cell r="AQ68">
            <v>332.89999999999992</v>
          </cell>
          <cell r="AR68">
            <v>340.79999999999984</v>
          </cell>
          <cell r="AS68">
            <v>378.69999999999982</v>
          </cell>
          <cell r="AT68">
            <v>377.89999999999981</v>
          </cell>
          <cell r="AU68">
            <v>373.29999999999978</v>
          </cell>
          <cell r="AV68">
            <v>373.2999999999999</v>
          </cell>
          <cell r="AW68">
            <v>417.99999999999977</v>
          </cell>
          <cell r="AX68">
            <v>435.39999999999981</v>
          </cell>
          <cell r="AY68">
            <v>390.19999999999982</v>
          </cell>
          <cell r="AZ68">
            <v>433.4</v>
          </cell>
          <cell r="BA68">
            <v>433.39999999999986</v>
          </cell>
          <cell r="BB68">
            <v>438.3</v>
          </cell>
          <cell r="BC68">
            <v>439.7</v>
          </cell>
          <cell r="BD68">
            <v>474.9</v>
          </cell>
          <cell r="BE68">
            <v>481.4</v>
          </cell>
          <cell r="BF68">
            <v>481.39999999999986</v>
          </cell>
          <cell r="BG68">
            <v>493.43499999999995</v>
          </cell>
          <cell r="BH68">
            <v>505.46999999999991</v>
          </cell>
          <cell r="BI68">
            <v>517.50499999999988</v>
          </cell>
          <cell r="BJ68">
            <v>529.54</v>
          </cell>
          <cell r="BK68">
            <v>529.53999999999985</v>
          </cell>
          <cell r="BL68">
            <v>542.77849999999989</v>
          </cell>
          <cell r="BM68">
            <v>556.01699999999983</v>
          </cell>
          <cell r="BN68">
            <v>569.25549999999976</v>
          </cell>
          <cell r="BO68">
            <v>582.49399999999969</v>
          </cell>
          <cell r="BP68">
            <v>582.4939999999998</v>
          </cell>
          <cell r="BQ68">
            <v>597.05634999999961</v>
          </cell>
          <cell r="BR68">
            <v>611.61869999999954</v>
          </cell>
          <cell r="BS68">
            <v>626.18104999999946</v>
          </cell>
          <cell r="BT68">
            <v>640.74339999999938</v>
          </cell>
          <cell r="BU68">
            <v>640.74339999999972</v>
          </cell>
          <cell r="BV68">
            <v>655.30574999999931</v>
          </cell>
          <cell r="BW68">
            <v>669.86809999999923</v>
          </cell>
          <cell r="BX68">
            <v>684.43044999999915</v>
          </cell>
          <cell r="BY68">
            <v>698.99279999999908</v>
          </cell>
          <cell r="BZ68">
            <v>698.99279999999965</v>
          </cell>
        </row>
        <row r="69">
          <cell r="B69" t="str">
            <v>Change in Ending Balance</v>
          </cell>
          <cell r="I69">
            <v>-6.5206051121544095E-2</v>
          </cell>
          <cell r="J69">
            <v>0.11383928571428581</v>
          </cell>
          <cell r="K69">
            <v>-0.16683366733466931</v>
          </cell>
          <cell r="L69">
            <v>-0.28442573662056525</v>
          </cell>
          <cell r="M69">
            <v>-0.37923839332290021</v>
          </cell>
          <cell r="N69">
            <v>-9.4117647058823417E-2</v>
          </cell>
          <cell r="O69">
            <v>0.63172541743970245</v>
          </cell>
          <cell r="P69">
            <v>0.13246162592382049</v>
          </cell>
          <cell r="Q69">
            <v>0.17570281124497988</v>
          </cell>
          <cell r="R69">
            <v>1.0420168067226889</v>
          </cell>
          <cell r="S69">
            <v>5.1028806584362263E-2</v>
          </cell>
          <cell r="T69">
            <v>-7.2826938136256958E-2</v>
          </cell>
          <cell r="U69">
            <v>0.2276182432432432</v>
          </cell>
          <cell r="V69">
            <v>0.14654282765737858</v>
          </cell>
          <cell r="W69">
            <v>0.3716049382716049</v>
          </cell>
          <cell r="X69">
            <v>5.0405040504050369E-2</v>
          </cell>
          <cell r="Y69">
            <v>2.9705798343330425E-2</v>
          </cell>
          <cell r="Z69">
            <v>-0.19528432732316237</v>
          </cell>
          <cell r="AA69">
            <v>3.9641502930024108E-2</v>
          </cell>
          <cell r="AB69">
            <v>-9.5109510951095211E-2</v>
          </cell>
          <cell r="AC69">
            <v>0.1760610079575593</v>
          </cell>
          <cell r="AD69">
            <v>-7.6966450521567586E-2</v>
          </cell>
          <cell r="AE69">
            <v>0.11087354917532077</v>
          </cell>
          <cell r="AF69">
            <v>0.10613142700027489</v>
          </cell>
          <cell r="AG69">
            <v>0.33388594164456231</v>
          </cell>
          <cell r="AH69">
            <v>-0.11185682326621949</v>
          </cell>
          <cell r="AI69">
            <v>-0.24517212426532331</v>
          </cell>
          <cell r="AJ69">
            <v>0.12198739340007414</v>
          </cell>
          <cell r="AK69">
            <v>0.10013218770654309</v>
          </cell>
          <cell r="AL69">
            <v>-0.17250807854834715</v>
          </cell>
          <cell r="AM69">
            <v>7.3295283869029504E-2</v>
          </cell>
          <cell r="AN69">
            <v>-0.24517212426532331</v>
          </cell>
          <cell r="AO69">
            <v>0.12198739340007414</v>
          </cell>
          <cell r="AP69">
            <v>0.10013218770654309</v>
          </cell>
          <cell r="AQ69">
            <v>-0.17250807854834715</v>
          </cell>
          <cell r="AR69">
            <v>2.3730850105136536E-2</v>
          </cell>
          <cell r="AS69">
            <v>0.11120892018779349</v>
          </cell>
          <cell r="AT69">
            <v>-2.1124900977026462E-3</v>
          </cell>
          <cell r="AU69">
            <v>-1.217253241598315E-2</v>
          </cell>
          <cell r="AV69">
            <v>0.12135776509462293</v>
          </cell>
          <cell r="AW69">
            <v>0.11974283418162313</v>
          </cell>
          <cell r="AX69">
            <v>4.1626794258373234E-2</v>
          </cell>
          <cell r="AY69">
            <v>-0.10381258612769872</v>
          </cell>
          <cell r="AZ69">
            <v>0.11071245515120487</v>
          </cell>
          <cell r="BA69">
            <v>0.16099651754620936</v>
          </cell>
          <cell r="BB69">
            <v>1.1305952930318774E-2</v>
          </cell>
          <cell r="BC69">
            <v>3.1941592516540052E-3</v>
          </cell>
          <cell r="BD69">
            <v>8.0054582670002317E-2</v>
          </cell>
          <cell r="BE69">
            <v>1.3687092019372571E-2</v>
          </cell>
          <cell r="BF69">
            <v>0.11075219197046615</v>
          </cell>
          <cell r="BG69">
            <v>2.5000000000000133E-2</v>
          </cell>
          <cell r="BH69">
            <v>2.4390243902439046E-2</v>
          </cell>
          <cell r="BI69">
            <v>2.3809523809523725E-2</v>
          </cell>
          <cell r="BJ69">
            <v>2.3255813953488635E-2</v>
          </cell>
          <cell r="BK69">
            <v>0.10000000000000009</v>
          </cell>
          <cell r="BL69">
            <v>2.5000000000000133E-2</v>
          </cell>
          <cell r="BM69">
            <v>2.4390243902438824E-2</v>
          </cell>
          <cell r="BN69">
            <v>2.3809523809523725E-2</v>
          </cell>
          <cell r="BO69">
            <v>2.3255813953488191E-2</v>
          </cell>
          <cell r="BP69">
            <v>9.9999999999999867E-2</v>
          </cell>
          <cell r="BQ69">
            <v>2.4999999999999689E-2</v>
          </cell>
          <cell r="BR69">
            <v>2.4390243902438824E-2</v>
          </cell>
          <cell r="BS69">
            <v>2.3809523809523725E-2</v>
          </cell>
          <cell r="BT69">
            <v>2.3255813953488191E-2</v>
          </cell>
          <cell r="BU69">
            <v>9.9999999999999867E-2</v>
          </cell>
          <cell r="BV69">
            <v>2.2727272727272041E-2</v>
          </cell>
          <cell r="BW69">
            <v>2.2222222222222143E-2</v>
          </cell>
          <cell r="BX69">
            <v>2.1739130434782483E-2</v>
          </cell>
          <cell r="BY69">
            <v>2.1276595744680771E-2</v>
          </cell>
          <cell r="BZ69">
            <v>9.0909090909090828E-2</v>
          </cell>
        </row>
        <row r="71">
          <cell r="B71" t="str">
            <v>Fee % annualized</v>
          </cell>
          <cell r="I71">
            <v>4.2249662981935836E-4</v>
          </cell>
          <cell r="J71">
            <v>3.8663146779303068E-4</v>
          </cell>
          <cell r="K71">
            <v>4.0037168625307461E-4</v>
          </cell>
          <cell r="L71">
            <v>3.7776375744830003E-4</v>
          </cell>
          <cell r="N71">
            <v>4.6497354497354495E-4</v>
          </cell>
          <cell r="O71">
            <v>4.2918575960521679E-4</v>
          </cell>
          <cell r="P71">
            <v>4.2977339376166357E-4</v>
          </cell>
          <cell r="Q71">
            <v>4.2013844023996305E-4</v>
          </cell>
          <cell r="S71">
            <v>4.0104333868378812E-4</v>
          </cell>
          <cell r="T71">
            <v>4.1765136123527022E-4</v>
          </cell>
          <cell r="U71">
            <v>3.8117914691943131E-4</v>
          </cell>
          <cell r="V71">
            <v>3.8519230769230769E-4</v>
          </cell>
          <cell r="X71">
            <v>4.433011413520633E-4</v>
          </cell>
          <cell r="Y71">
            <v>4.0852237545736006E-4</v>
          </cell>
          <cell r="Z71">
            <v>4.3074085459575786E-4</v>
          </cell>
          <cell r="AA71">
            <v>4.1990197735338868E-4</v>
          </cell>
          <cell r="AC71">
            <v>4.2186804814871266E-4</v>
          </cell>
          <cell r="AD71">
            <v>3.9987098665884792E-4</v>
          </cell>
          <cell r="AE71">
            <v>3.940616408623935E-4</v>
          </cell>
          <cell r="AF71">
            <v>3.9830809399477816E-4</v>
          </cell>
          <cell r="AH71">
            <v>3.8457082675092172E-4</v>
          </cell>
          <cell r="AI71">
            <v>4.717065390749603E-4</v>
          </cell>
          <cell r="AJ71">
            <v>5.1442949502009463E-4</v>
          </cell>
          <cell r="AK71">
            <v>4.9346970889063756E-4</v>
          </cell>
          <cell r="AM71">
            <v>3.8457082675092172E-4</v>
          </cell>
          <cell r="AN71">
            <v>4.717065390749603E-4</v>
          </cell>
          <cell r="AO71">
            <v>5.1442949502009463E-4</v>
          </cell>
          <cell r="AP71">
            <v>4.9346970889063756E-4</v>
          </cell>
          <cell r="AR71">
            <v>4.8567611696600892E-4</v>
          </cell>
          <cell r="AS71">
            <v>4.9028492008339143E-4</v>
          </cell>
          <cell r="AT71">
            <v>3.6161776367961955E-4</v>
          </cell>
          <cell r="AU71">
            <v>3.429179978700748E-4</v>
          </cell>
          <cell r="AW71">
            <v>3.3565019588019737E-4</v>
          </cell>
          <cell r="AX71">
            <v>3.5247246308882135E-4</v>
          </cell>
          <cell r="AY71">
            <v>3.4593023255813973E-4</v>
          </cell>
          <cell r="AZ71">
            <v>3.4191355026712007E-4</v>
          </cell>
          <cell r="BB71">
            <v>3.0560972811747157E-4</v>
          </cell>
          <cell r="BC71">
            <v>3.1526195899772211E-4</v>
          </cell>
          <cell r="BD71">
            <v>3.227640498578614E-4</v>
          </cell>
          <cell r="BE71">
            <v>3.1036285684408658E-4</v>
          </cell>
          <cell r="BG71">
            <v>3.1009545849002029E-4</v>
          </cell>
        </row>
        <row r="72">
          <cell r="B72" t="str">
            <v>Fee % reported</v>
          </cell>
          <cell r="AE72">
            <v>3.6999999999999999E-4</v>
          </cell>
          <cell r="AF72">
            <v>3.6999999999999999E-4</v>
          </cell>
          <cell r="AH72">
            <v>3.6000000000000002E-4</v>
          </cell>
          <cell r="AI72">
            <v>3.6000000000000002E-4</v>
          </cell>
          <cell r="AJ72">
            <v>3.6999999999999999E-4</v>
          </cell>
          <cell r="AK72">
            <v>3.6000000000000002E-4</v>
          </cell>
          <cell r="AM72">
            <v>3.6000000000000002E-4</v>
          </cell>
          <cell r="AN72">
            <v>3.6000000000000002E-4</v>
          </cell>
          <cell r="AO72">
            <v>3.6999999999999999E-4</v>
          </cell>
          <cell r="AP72">
            <v>3.6000000000000002E-4</v>
          </cell>
          <cell r="AR72">
            <v>3.6000000000000002E-4</v>
          </cell>
          <cell r="AS72">
            <v>3.5E-4</v>
          </cell>
          <cell r="AT72">
            <v>3.5E-4</v>
          </cell>
          <cell r="AU72">
            <v>3.39E-4</v>
          </cell>
          <cell r="AW72">
            <v>3.3799999999999998E-4</v>
          </cell>
          <cell r="AX72">
            <v>3.4299999999999999E-4</v>
          </cell>
          <cell r="AY72">
            <v>3.4000000000000002E-4</v>
          </cell>
          <cell r="AZ72">
            <v>3.3199999999999999E-4</v>
          </cell>
          <cell r="BB72">
            <v>3.2400000000000001E-4</v>
          </cell>
          <cell r="BC72">
            <v>3.1199999999999999E-4</v>
          </cell>
          <cell r="BD72">
            <v>3.1100000000000002E-4</v>
          </cell>
          <cell r="BE72">
            <v>3.1E-4</v>
          </cell>
          <cell r="BG72">
            <v>3.0535000000000002E-4</v>
          </cell>
          <cell r="BH72">
            <v>3.0076975000000003E-4</v>
          </cell>
          <cell r="BI72">
            <v>2.9625820375000003E-4</v>
          </cell>
          <cell r="BJ72">
            <v>2.9181433069375005E-4</v>
          </cell>
          <cell r="BL72">
            <v>2.8743711573334379E-4</v>
          </cell>
          <cell r="BM72">
            <v>2.8312555899734365E-4</v>
          </cell>
          <cell r="BN72">
            <v>2.7887867561238351E-4</v>
          </cell>
          <cell r="BO72">
            <v>2.7469549547819773E-4</v>
          </cell>
          <cell r="BQ72">
            <v>2.7057506304602478E-4</v>
          </cell>
          <cell r="BR72">
            <v>2.665164371003344E-4</v>
          </cell>
          <cell r="BS72">
            <v>2.6251869054382936E-4</v>
          </cell>
          <cell r="BT72">
            <v>2.585809101856719E-4</v>
          </cell>
          <cell r="BV72">
            <v>2.547021965328868E-4</v>
          </cell>
          <cell r="BW72">
            <v>2.5088166358489347E-4</v>
          </cell>
          <cell r="BX72">
            <v>2.4711843863112009E-4</v>
          </cell>
          <cell r="BY72">
            <v>2.4341166205165329E-4</v>
          </cell>
        </row>
        <row r="74">
          <cell r="B74" t="str">
            <v>ETF Revenue</v>
          </cell>
          <cell r="AL74">
            <v>109</v>
          </cell>
          <cell r="AQ74">
            <v>110.7</v>
          </cell>
          <cell r="AR74">
            <v>30.316499999999984</v>
          </cell>
          <cell r="AS74">
            <v>31.478124999999984</v>
          </cell>
          <cell r="AT74">
            <v>34.200000000000003</v>
          </cell>
          <cell r="AU74">
            <v>32.200000000000003</v>
          </cell>
          <cell r="AV74">
            <v>128.19462499999997</v>
          </cell>
          <cell r="AW74">
            <v>33.200000000000003</v>
          </cell>
          <cell r="AX74">
            <v>37.6</v>
          </cell>
          <cell r="AY74">
            <v>35.700000000000003</v>
          </cell>
          <cell r="AZ74">
            <v>35.200000000000003</v>
          </cell>
          <cell r="BA74">
            <v>141.70000000000002</v>
          </cell>
          <cell r="BB74">
            <v>33.299999999999997</v>
          </cell>
          <cell r="BC74">
            <v>34.6</v>
          </cell>
          <cell r="BD74">
            <v>36.9</v>
          </cell>
          <cell r="BE74">
            <v>37.1</v>
          </cell>
          <cell r="BF74">
            <v>141.9</v>
          </cell>
          <cell r="BG74">
            <v>37.208233406249995</v>
          </cell>
          <cell r="BH74">
            <v>37.555050890468749</v>
          </cell>
          <cell r="BI74">
            <v>37.883091997644534</v>
          </cell>
          <cell r="BJ74">
            <v>38.192841985154686</v>
          </cell>
          <cell r="BK74">
            <v>150.83921827951798</v>
          </cell>
          <cell r="BL74">
            <v>38.528017098438198</v>
          </cell>
          <cell r="BM74">
            <v>38.887136270158202</v>
          </cell>
          <cell r="BN74">
            <v>39.226813062879465</v>
          </cell>
          <cell r="BO74">
            <v>39.547549946158291</v>
          </cell>
          <cell r="BP74">
            <v>156.18951637763416</v>
          </cell>
          <cell r="BQ74">
            <v>39.894613789651302</v>
          </cell>
          <cell r="BR74">
            <v>40.26647099225854</v>
          </cell>
          <cell r="BS74">
            <v>40.618196190684884</v>
          </cell>
          <cell r="BT74">
            <v>40.950309677185189</v>
          </cell>
          <cell r="BU74">
            <v>161.72959064977991</v>
          </cell>
          <cell r="BV74">
            <v>41.263320664947564</v>
          </cell>
          <cell r="BW74">
            <v>41.557727503399711</v>
          </cell>
          <cell r="BX74">
            <v>41.83401788954869</v>
          </cell>
          <cell r="BY74">
            <v>42.092669075424929</v>
          </cell>
          <cell r="BZ74">
            <v>166.7477351333209</v>
          </cell>
          <cell r="CB74">
            <v>3.2798288729720904E-2</v>
          </cell>
        </row>
        <row r="75">
          <cell r="B75" t="str">
            <v>y/y change</v>
          </cell>
          <cell r="AQ75">
            <v>1.5596330275229331E-2</v>
          </cell>
          <cell r="AV75">
            <v>0.15803635953026163</v>
          </cell>
          <cell r="AW75">
            <v>9.5113222172744871E-2</v>
          </cell>
          <cell r="AX75">
            <v>0.19448029385486021</v>
          </cell>
          <cell r="AY75">
            <v>4.3859649122806932E-2</v>
          </cell>
          <cell r="AZ75">
            <v>9.3167701863354102E-2</v>
          </cell>
          <cell r="BA75">
            <v>0.10535055584428799</v>
          </cell>
          <cell r="BB75">
            <v>3.0120481927708997E-3</v>
          </cell>
          <cell r="BC75">
            <v>-7.9787234042553168E-2</v>
          </cell>
          <cell r="BD75">
            <v>3.3613445378151141E-2</v>
          </cell>
          <cell r="BE75">
            <v>5.3977272727272707E-2</v>
          </cell>
          <cell r="BF75">
            <v>1.4114326040930436E-3</v>
          </cell>
          <cell r="BG75">
            <v>0.11736436655405402</v>
          </cell>
          <cell r="BH75">
            <v>8.5406095100252877E-2</v>
          </cell>
          <cell r="BI75">
            <v>2.6642059556762465E-2</v>
          </cell>
          <cell r="BJ75">
            <v>2.945665728179736E-2</v>
          </cell>
          <cell r="BK75">
            <v>6.2996605211543155E-2</v>
          </cell>
          <cell r="BL75">
            <v>3.5470205687500256E-2</v>
          </cell>
          <cell r="BM75">
            <v>3.5470205687499812E-2</v>
          </cell>
          <cell r="BN75">
            <v>3.5470205687499812E-2</v>
          </cell>
          <cell r="BO75">
            <v>3.547020568749959E-2</v>
          </cell>
          <cell r="BP75">
            <v>3.5470205687499812E-2</v>
          </cell>
          <cell r="BQ75">
            <v>3.547020568749959E-2</v>
          </cell>
          <cell r="BR75">
            <v>3.547020568749959E-2</v>
          </cell>
          <cell r="BS75">
            <v>3.5470205687499368E-2</v>
          </cell>
          <cell r="BT75">
            <v>3.547020568749959E-2</v>
          </cell>
          <cell r="BU75">
            <v>3.5470205687499368E-2</v>
          </cell>
          <cell r="BV75">
            <v>3.4308061797838629E-2</v>
          </cell>
          <cell r="BW75">
            <v>3.2067784420179768E-2</v>
          </cell>
          <cell r="BX75">
            <v>2.9932931860293666E-2</v>
          </cell>
          <cell r="BY75">
            <v>2.7896233441091267E-2</v>
          </cell>
          <cell r="BZ75">
            <v>3.1027992239265778E-2</v>
          </cell>
        </row>
        <row r="77">
          <cell r="B77" t="str">
            <v>Institutional Passive/Non-ETF</v>
          </cell>
          <cell r="AL77">
            <v>27</v>
          </cell>
          <cell r="AQ77">
            <v>34.1</v>
          </cell>
          <cell r="AR77" t="str">
            <v>ND</v>
          </cell>
          <cell r="AS77" t="str">
            <v>ND</v>
          </cell>
          <cell r="AT77">
            <v>11.3</v>
          </cell>
          <cell r="AU77">
            <v>11.7</v>
          </cell>
          <cell r="AV77">
            <v>44.1</v>
          </cell>
          <cell r="AW77">
            <v>10.8</v>
          </cell>
          <cell r="AX77">
            <v>12</v>
          </cell>
          <cell r="AY77">
            <v>13.5</v>
          </cell>
          <cell r="AZ77">
            <v>12.8</v>
          </cell>
          <cell r="BA77">
            <v>49.099999999999994</v>
          </cell>
          <cell r="BB77">
            <v>13</v>
          </cell>
          <cell r="BC77">
            <v>12.8</v>
          </cell>
          <cell r="BD77">
            <v>16.7</v>
          </cell>
          <cell r="BE77">
            <v>16.100000000000001</v>
          </cell>
          <cell r="BF77">
            <v>58.6</v>
          </cell>
          <cell r="BG77">
            <v>15.079999999999998</v>
          </cell>
          <cell r="BH77">
            <v>14.847999999999999</v>
          </cell>
          <cell r="BI77">
            <v>17.535</v>
          </cell>
          <cell r="BJ77">
            <v>17.710000000000004</v>
          </cell>
          <cell r="BK77">
            <v>65.173000000000002</v>
          </cell>
          <cell r="BL77">
            <v>16.437200000000001</v>
          </cell>
          <cell r="BM77">
            <v>16.18432</v>
          </cell>
          <cell r="BN77">
            <v>19.113150000000001</v>
          </cell>
          <cell r="BO77">
            <v>19.303900000000006</v>
          </cell>
          <cell r="BP77">
            <v>71.038570000000021</v>
          </cell>
          <cell r="BQ77">
            <v>17.768613200000001</v>
          </cell>
          <cell r="BR77">
            <v>17.495249919999999</v>
          </cell>
          <cell r="BS77">
            <v>20.66131515</v>
          </cell>
          <cell r="BT77">
            <v>20.867515900000004</v>
          </cell>
          <cell r="BU77">
            <v>76.792694170000004</v>
          </cell>
          <cell r="BV77">
            <v>19.063945102280002</v>
          </cell>
          <cell r="BW77">
            <v>18.770653639168</v>
          </cell>
          <cell r="BX77">
            <v>22.167525024435001</v>
          </cell>
          <cell r="BY77">
            <v>22.388757809110004</v>
          </cell>
          <cell r="BZ77">
            <v>82.390881574993017</v>
          </cell>
          <cell r="CB77">
            <v>7.0523750049625633E-2</v>
          </cell>
        </row>
        <row r="78">
          <cell r="B78" t="str">
            <v>y/y change</v>
          </cell>
          <cell r="AQ78">
            <v>0.26296296296296306</v>
          </cell>
          <cell r="AV78">
            <v>0.29325513196480935</v>
          </cell>
          <cell r="AY78">
            <v>0.19469026548672552</v>
          </cell>
          <cell r="AZ78">
            <v>9.4017094017094127E-2</v>
          </cell>
          <cell r="BA78">
            <v>0.11337868480725599</v>
          </cell>
          <cell r="BB78">
            <v>0.20370370370370372</v>
          </cell>
          <cell r="BC78">
            <v>6.6666666666666652E-2</v>
          </cell>
          <cell r="BD78">
            <v>0.23703703703703694</v>
          </cell>
          <cell r="BE78">
            <v>0.2</v>
          </cell>
          <cell r="BF78">
            <v>0.19348268839103877</v>
          </cell>
          <cell r="BG78">
            <v>0.16</v>
          </cell>
          <cell r="BH78">
            <v>0.16</v>
          </cell>
          <cell r="BI78">
            <v>0.05</v>
          </cell>
          <cell r="BJ78">
            <v>0.1</v>
          </cell>
          <cell r="BK78">
            <v>0.11216723549488061</v>
          </cell>
          <cell r="BL78">
            <v>0.09</v>
          </cell>
          <cell r="BM78">
            <v>0.09</v>
          </cell>
          <cell r="BN78">
            <v>0.09</v>
          </cell>
          <cell r="BO78">
            <v>0.09</v>
          </cell>
          <cell r="BP78">
            <v>9.0000000000000302E-2</v>
          </cell>
          <cell r="BQ78">
            <v>8.1000000000000003E-2</v>
          </cell>
          <cell r="BR78">
            <v>8.1000000000000003E-2</v>
          </cell>
          <cell r="BS78">
            <v>8.1000000000000003E-2</v>
          </cell>
          <cell r="BT78">
            <v>8.1000000000000003E-2</v>
          </cell>
          <cell r="BU78">
            <v>8.0999999999999739E-2</v>
          </cell>
          <cell r="BV78">
            <v>7.2900000000000006E-2</v>
          </cell>
          <cell r="BW78">
            <v>7.2900000000000006E-2</v>
          </cell>
          <cell r="BX78">
            <v>7.2900000000000006E-2</v>
          </cell>
          <cell r="BY78">
            <v>7.2900000000000006E-2</v>
          </cell>
          <cell r="BZ78">
            <v>7.2900000000000187E-2</v>
          </cell>
        </row>
        <row r="79">
          <cell r="B79" t="str">
            <v>BULL</v>
          </cell>
          <cell r="BE79">
            <v>0.22</v>
          </cell>
          <cell r="BG79">
            <v>0.18</v>
          </cell>
          <cell r="BH79">
            <v>0.18</v>
          </cell>
          <cell r="BI79">
            <v>7.0000000000000007E-2</v>
          </cell>
          <cell r="BJ79">
            <v>0.12000000000000001</v>
          </cell>
          <cell r="BL79">
            <v>0.11</v>
          </cell>
          <cell r="BM79">
            <v>0.11</v>
          </cell>
          <cell r="BN79">
            <v>0.11</v>
          </cell>
          <cell r="BO79">
            <v>0.11</v>
          </cell>
          <cell r="BQ79">
            <v>0.10100000000000001</v>
          </cell>
          <cell r="BR79">
            <v>0.10100000000000001</v>
          </cell>
          <cell r="BS79">
            <v>0.10100000000000001</v>
          </cell>
          <cell r="BT79">
            <v>0.10100000000000001</v>
          </cell>
          <cell r="BV79">
            <v>9.290000000000001E-2</v>
          </cell>
          <cell r="BW79">
            <v>9.290000000000001E-2</v>
          </cell>
          <cell r="BX79">
            <v>9.290000000000001E-2</v>
          </cell>
          <cell r="BY79">
            <v>9.290000000000001E-2</v>
          </cell>
        </row>
        <row r="80">
          <cell r="B80" t="str">
            <v>BASE</v>
          </cell>
          <cell r="BE80">
            <v>0.2</v>
          </cell>
          <cell r="BG80">
            <v>0.16</v>
          </cell>
          <cell r="BH80">
            <v>0.16</v>
          </cell>
          <cell r="BI80">
            <v>0.05</v>
          </cell>
          <cell r="BJ80">
            <v>0.1</v>
          </cell>
          <cell r="BL80">
            <v>0.09</v>
          </cell>
          <cell r="BM80">
            <v>0.09</v>
          </cell>
          <cell r="BN80">
            <v>0.09</v>
          </cell>
          <cell r="BO80">
            <v>0.09</v>
          </cell>
          <cell r="BQ80">
            <v>8.1000000000000003E-2</v>
          </cell>
          <cell r="BR80">
            <v>8.1000000000000003E-2</v>
          </cell>
          <cell r="BS80">
            <v>8.1000000000000003E-2</v>
          </cell>
          <cell r="BT80">
            <v>8.1000000000000003E-2</v>
          </cell>
          <cell r="BV80">
            <v>7.2900000000000006E-2</v>
          </cell>
          <cell r="BW80">
            <v>7.2900000000000006E-2</v>
          </cell>
          <cell r="BX80">
            <v>7.2900000000000006E-2</v>
          </cell>
          <cell r="BY80">
            <v>7.2900000000000006E-2</v>
          </cell>
        </row>
        <row r="81">
          <cell r="B81" t="str">
            <v>BEAR</v>
          </cell>
          <cell r="BE81">
            <v>0.18000000000000002</v>
          </cell>
          <cell r="BG81">
            <v>0.14000000000000001</v>
          </cell>
          <cell r="BH81">
            <v>0.14000000000000001</v>
          </cell>
          <cell r="BI81">
            <v>3.0000000000000002E-2</v>
          </cell>
          <cell r="BJ81">
            <v>0.08</v>
          </cell>
          <cell r="BL81">
            <v>6.9999999999999993E-2</v>
          </cell>
          <cell r="BM81">
            <v>6.9999999999999993E-2</v>
          </cell>
          <cell r="BN81">
            <v>6.9999999999999993E-2</v>
          </cell>
          <cell r="BO81">
            <v>6.9999999999999993E-2</v>
          </cell>
          <cell r="BQ81">
            <v>6.0999999999999999E-2</v>
          </cell>
          <cell r="BR81">
            <v>6.0999999999999999E-2</v>
          </cell>
          <cell r="BS81">
            <v>6.0999999999999999E-2</v>
          </cell>
          <cell r="BT81">
            <v>6.0999999999999999E-2</v>
          </cell>
          <cell r="BV81">
            <v>5.2900000000000003E-2</v>
          </cell>
          <cell r="BW81">
            <v>5.2900000000000003E-2</v>
          </cell>
          <cell r="BX81">
            <v>5.2900000000000003E-2</v>
          </cell>
          <cell r="BY81">
            <v>5.2900000000000003E-2</v>
          </cell>
        </row>
        <row r="83">
          <cell r="B83" t="str">
            <v>Futures &amp; Options</v>
          </cell>
          <cell r="AL83">
            <v>5</v>
          </cell>
          <cell r="AQ83">
            <v>4.7</v>
          </cell>
          <cell r="AR83" t="str">
            <v>ND</v>
          </cell>
          <cell r="AS83" t="str">
            <v>ND</v>
          </cell>
          <cell r="AT83">
            <v>1.1000000000000001</v>
          </cell>
          <cell r="AU83">
            <v>1.6</v>
          </cell>
          <cell r="AV83">
            <v>4.8</v>
          </cell>
          <cell r="AW83">
            <v>1.8</v>
          </cell>
          <cell r="AX83">
            <v>1.5</v>
          </cell>
          <cell r="AY83">
            <v>1.5</v>
          </cell>
          <cell r="AZ83">
            <v>2.2000000000000002</v>
          </cell>
          <cell r="BA83">
            <v>7</v>
          </cell>
          <cell r="BB83">
            <v>2.2999999999999998</v>
          </cell>
          <cell r="BC83">
            <v>2.2000000000000002</v>
          </cell>
          <cell r="BD83">
            <v>2.5</v>
          </cell>
          <cell r="BE83">
            <v>2.6</v>
          </cell>
          <cell r="BF83">
            <v>9.6</v>
          </cell>
          <cell r="BG83">
            <v>2.76</v>
          </cell>
          <cell r="BH83">
            <v>2.64</v>
          </cell>
          <cell r="BI83">
            <v>3</v>
          </cell>
          <cell r="BJ83">
            <v>3.12</v>
          </cell>
          <cell r="BK83">
            <v>11.52</v>
          </cell>
          <cell r="BL83">
            <v>3.2567999999999997</v>
          </cell>
          <cell r="BM83">
            <v>3.1152000000000002</v>
          </cell>
          <cell r="BN83">
            <v>3.54</v>
          </cell>
          <cell r="BO83">
            <v>3.6816</v>
          </cell>
          <cell r="BP83">
            <v>13.593599999999999</v>
          </cell>
          <cell r="BQ83">
            <v>3.7844015999999994</v>
          </cell>
          <cell r="BR83">
            <v>3.6198624000000001</v>
          </cell>
          <cell r="BS83">
            <v>4.11348</v>
          </cell>
          <cell r="BT83">
            <v>4.2780192000000001</v>
          </cell>
          <cell r="BU83">
            <v>15.7957632</v>
          </cell>
          <cell r="BV83">
            <v>4.3361673532799987</v>
          </cell>
          <cell r="BW83">
            <v>4.1476383379200001</v>
          </cell>
          <cell r="BX83">
            <v>4.7132253839999994</v>
          </cell>
          <cell r="BY83">
            <v>4.9017543993599997</v>
          </cell>
          <cell r="BZ83">
            <v>18.098785474559996</v>
          </cell>
          <cell r="CB83">
            <v>0.13520851457117633</v>
          </cell>
        </row>
        <row r="84">
          <cell r="B84" t="str">
            <v>y/y change</v>
          </cell>
          <cell r="AQ84">
            <v>-5.9999999999999942E-2</v>
          </cell>
          <cell r="AV84">
            <v>2.1276595744680771E-2</v>
          </cell>
          <cell r="AY84">
            <v>0.36363636363636354</v>
          </cell>
          <cell r="AZ84">
            <v>0.375</v>
          </cell>
          <cell r="BA84">
            <v>0.45833333333333348</v>
          </cell>
          <cell r="BB84">
            <v>0.27777777777777768</v>
          </cell>
          <cell r="BC84">
            <v>0.46666666666666679</v>
          </cell>
          <cell r="BD84">
            <v>0.66666666666666674</v>
          </cell>
          <cell r="BE84">
            <v>0.2</v>
          </cell>
          <cell r="BF84">
            <v>0.37142857142857144</v>
          </cell>
          <cell r="BG84">
            <v>0.2</v>
          </cell>
          <cell r="BH84">
            <v>0.2</v>
          </cell>
          <cell r="BI84">
            <v>0.2</v>
          </cell>
          <cell r="BJ84">
            <v>0.2</v>
          </cell>
          <cell r="BK84">
            <v>0.19999999999999996</v>
          </cell>
          <cell r="BL84">
            <v>0.18000000000000002</v>
          </cell>
          <cell r="BM84">
            <v>0.18000000000000002</v>
          </cell>
          <cell r="BN84">
            <v>0.18000000000000002</v>
          </cell>
          <cell r="BO84">
            <v>0.18000000000000002</v>
          </cell>
          <cell r="BP84">
            <v>0.17999999999999994</v>
          </cell>
          <cell r="BQ84">
            <v>0.16200000000000003</v>
          </cell>
          <cell r="BR84">
            <v>0.16200000000000003</v>
          </cell>
          <cell r="BS84">
            <v>0.16200000000000003</v>
          </cell>
          <cell r="BT84">
            <v>0.16200000000000003</v>
          </cell>
          <cell r="BU84">
            <v>0.16200000000000014</v>
          </cell>
          <cell r="BV84">
            <v>0.14580000000000004</v>
          </cell>
          <cell r="BW84">
            <v>0.14580000000000004</v>
          </cell>
          <cell r="BX84">
            <v>0.14580000000000004</v>
          </cell>
          <cell r="BY84">
            <v>0.14580000000000004</v>
          </cell>
          <cell r="BZ84">
            <v>0.14579999999999971</v>
          </cell>
        </row>
        <row r="85">
          <cell r="B85" t="str">
            <v>BULL</v>
          </cell>
          <cell r="BE85">
            <v>0.3</v>
          </cell>
          <cell r="BG85">
            <v>0.30000000000000004</v>
          </cell>
          <cell r="BH85">
            <v>0.30000000000000004</v>
          </cell>
          <cell r="BI85">
            <v>0.30000000000000004</v>
          </cell>
          <cell r="BJ85">
            <v>0.30000000000000004</v>
          </cell>
          <cell r="BL85">
            <v>0.27000000000000007</v>
          </cell>
          <cell r="BM85">
            <v>0.27000000000000007</v>
          </cell>
          <cell r="BN85">
            <v>0.27000000000000007</v>
          </cell>
          <cell r="BO85">
            <v>0.27000000000000007</v>
          </cell>
          <cell r="BQ85">
            <v>0.24300000000000008</v>
          </cell>
          <cell r="BR85">
            <v>0.24300000000000008</v>
          </cell>
          <cell r="BS85">
            <v>0.24300000000000008</v>
          </cell>
          <cell r="BT85">
            <v>0.24300000000000008</v>
          </cell>
          <cell r="BV85">
            <v>0.21870000000000006</v>
          </cell>
          <cell r="BW85">
            <v>0.21870000000000006</v>
          </cell>
          <cell r="BX85">
            <v>0.21870000000000006</v>
          </cell>
          <cell r="BY85">
            <v>0.21870000000000006</v>
          </cell>
        </row>
        <row r="86">
          <cell r="B86" t="str">
            <v>BASE</v>
          </cell>
          <cell r="AL86">
            <v>6.1064855234485238E-2</v>
          </cell>
          <cell r="BE86">
            <v>0.2</v>
          </cell>
          <cell r="BG86">
            <v>0.2</v>
          </cell>
          <cell r="BH86">
            <v>0.2</v>
          </cell>
          <cell r="BI86">
            <v>0.2</v>
          </cell>
          <cell r="BJ86">
            <v>0.2</v>
          </cell>
          <cell r="BL86">
            <v>0.18000000000000002</v>
          </cell>
          <cell r="BM86">
            <v>0.18000000000000002</v>
          </cell>
          <cell r="BN86">
            <v>0.18000000000000002</v>
          </cell>
          <cell r="BO86">
            <v>0.18000000000000002</v>
          </cell>
          <cell r="BQ86">
            <v>0.16200000000000003</v>
          </cell>
          <cell r="BR86">
            <v>0.16200000000000003</v>
          </cell>
          <cell r="BS86">
            <v>0.16200000000000003</v>
          </cell>
          <cell r="BT86">
            <v>0.16200000000000003</v>
          </cell>
          <cell r="BV86">
            <v>0.14580000000000004</v>
          </cell>
          <cell r="BW86">
            <v>0.14580000000000004</v>
          </cell>
          <cell r="BX86">
            <v>0.14580000000000004</v>
          </cell>
          <cell r="BY86">
            <v>0.14580000000000004</v>
          </cell>
        </row>
        <row r="87">
          <cell r="B87" t="str">
            <v>BEAR</v>
          </cell>
          <cell r="BE87">
            <v>0.15000000000000002</v>
          </cell>
          <cell r="BG87">
            <v>0.15000000000000002</v>
          </cell>
          <cell r="BH87">
            <v>0.15000000000000002</v>
          </cell>
          <cell r="BI87">
            <v>0.15000000000000002</v>
          </cell>
          <cell r="BJ87">
            <v>0.15000000000000002</v>
          </cell>
          <cell r="BL87">
            <v>0.13</v>
          </cell>
          <cell r="BM87">
            <v>0.13</v>
          </cell>
          <cell r="BN87">
            <v>0.13</v>
          </cell>
          <cell r="BO87">
            <v>0.13</v>
          </cell>
          <cell r="BQ87">
            <v>0.11200000000000003</v>
          </cell>
          <cell r="BR87">
            <v>0.11200000000000003</v>
          </cell>
          <cell r="BS87">
            <v>0.11200000000000003</v>
          </cell>
          <cell r="BT87">
            <v>0.11200000000000003</v>
          </cell>
          <cell r="BV87">
            <v>9.5800000000000038E-2</v>
          </cell>
          <cell r="BW87">
            <v>9.5800000000000038E-2</v>
          </cell>
          <cell r="BX87">
            <v>9.5800000000000038E-2</v>
          </cell>
          <cell r="BY87">
            <v>9.5800000000000038E-2</v>
          </cell>
        </row>
        <row r="89">
          <cell r="B89" t="str">
            <v>Asset based fee revenue</v>
          </cell>
          <cell r="I89">
            <v>19.588000000000001</v>
          </cell>
          <cell r="J89">
            <v>18.306999999999999</v>
          </cell>
          <cell r="K89">
            <v>18.312000000000001</v>
          </cell>
          <cell r="L89">
            <v>13.472</v>
          </cell>
          <cell r="M89">
            <v>69.678999999999988</v>
          </cell>
          <cell r="N89">
            <v>13.182</v>
          </cell>
          <cell r="O89">
            <v>15.22</v>
          </cell>
          <cell r="P89">
            <v>20.151</v>
          </cell>
          <cell r="Q89">
            <v>22.760999999999999</v>
          </cell>
          <cell r="R89">
            <v>71.313999999999993</v>
          </cell>
          <cell r="S89">
            <v>24.984999999999999</v>
          </cell>
          <cell r="T89">
            <v>25.696000000000002</v>
          </cell>
          <cell r="U89">
            <v>25.134</v>
          </cell>
          <cell r="V89">
            <v>30.045000000000002</v>
          </cell>
          <cell r="W89">
            <v>105.86</v>
          </cell>
          <cell r="X89">
            <v>37.869</v>
          </cell>
          <cell r="Y89">
            <v>36.286999999999999</v>
          </cell>
          <cell r="Z89">
            <v>35.03</v>
          </cell>
          <cell r="AA89">
            <v>31.056999999999999</v>
          </cell>
          <cell r="AB89">
            <v>140.24299999999999</v>
          </cell>
          <cell r="AC89">
            <v>34.609000000000002</v>
          </cell>
          <cell r="AD89">
            <v>34.094000000000001</v>
          </cell>
          <cell r="AE89">
            <v>34.042000000000002</v>
          </cell>
          <cell r="AF89">
            <v>38.137999999999998</v>
          </cell>
          <cell r="AG89">
            <v>140.88300000000001</v>
          </cell>
          <cell r="AH89">
            <v>36.515000000000001</v>
          </cell>
          <cell r="AI89">
            <v>36.97</v>
          </cell>
          <cell r="AJ89">
            <v>36.801000000000002</v>
          </cell>
          <cell r="AK89">
            <v>39.200000000000003</v>
          </cell>
          <cell r="AL89">
            <v>149.48599999999999</v>
          </cell>
          <cell r="AM89">
            <v>36.515000000000001</v>
          </cell>
          <cell r="AN89">
            <v>36.97</v>
          </cell>
          <cell r="AO89">
            <v>36.801000000000002</v>
          </cell>
          <cell r="AP89">
            <v>39.200000000000003</v>
          </cell>
          <cell r="AQ89">
            <v>149.48599999999999</v>
          </cell>
          <cell r="AR89">
            <v>40.9</v>
          </cell>
          <cell r="AS89">
            <v>44.094999999999999</v>
          </cell>
          <cell r="AT89">
            <v>46.656999999999996</v>
          </cell>
          <cell r="AU89">
            <v>45.453000000000003</v>
          </cell>
          <cell r="AV89">
            <v>177.10499999999999</v>
          </cell>
          <cell r="AW89">
            <v>45.88</v>
          </cell>
          <cell r="AX89">
            <v>51.16</v>
          </cell>
          <cell r="AY89">
            <v>50.735999999999997</v>
          </cell>
          <cell r="AZ89">
            <v>50.198</v>
          </cell>
          <cell r="BA89">
            <v>197.97399999999999</v>
          </cell>
          <cell r="BB89">
            <v>48.698999999999998</v>
          </cell>
          <cell r="BC89">
            <v>49.634</v>
          </cell>
          <cell r="BD89">
            <v>56.1</v>
          </cell>
          <cell r="BE89">
            <v>55.774000000000001</v>
          </cell>
          <cell r="BF89">
            <v>210.20699999999999</v>
          </cell>
          <cell r="BG89">
            <v>55.048233406249992</v>
          </cell>
          <cell r="BH89">
            <v>55.043050890468749</v>
          </cell>
          <cell r="BI89">
            <v>58.418091997644538</v>
          </cell>
          <cell r="BJ89">
            <v>59.022841985154692</v>
          </cell>
          <cell r="BK89">
            <v>227.53221827951799</v>
          </cell>
          <cell r="BL89">
            <v>58.222017098438201</v>
          </cell>
          <cell r="BM89">
            <v>58.186656270158203</v>
          </cell>
          <cell r="BN89">
            <v>61.879963062879462</v>
          </cell>
          <cell r="BO89">
            <v>62.5330499461583</v>
          </cell>
          <cell r="BP89">
            <v>240.82168637763419</v>
          </cell>
          <cell r="BQ89">
            <v>61.447628589651309</v>
          </cell>
          <cell r="BR89">
            <v>61.381583312258542</v>
          </cell>
          <cell r="BS89">
            <v>65.392991340684887</v>
          </cell>
          <cell r="BT89">
            <v>66.095844777185192</v>
          </cell>
          <cell r="BU89">
            <v>254.31804801977992</v>
          </cell>
          <cell r="BV89">
            <v>64.663433120507563</v>
          </cell>
          <cell r="BW89">
            <v>64.476019480487707</v>
          </cell>
          <cell r="BX89">
            <v>68.714768297983682</v>
          </cell>
          <cell r="BY89">
            <v>69.383181283894928</v>
          </cell>
          <cell r="BZ89">
            <v>267.23740218287389</v>
          </cell>
          <cell r="CB89">
            <v>4.9180024584037918E-2</v>
          </cell>
        </row>
        <row r="90">
          <cell r="B90" t="str">
            <v>y/y change</v>
          </cell>
          <cell r="AR90">
            <v>0.12008763521840327</v>
          </cell>
          <cell r="AS90">
            <v>0.1927238301325398</v>
          </cell>
          <cell r="AT90">
            <v>0.26781880927148705</v>
          </cell>
          <cell r="AU90">
            <v>0.15951530612244902</v>
          </cell>
          <cell r="AV90">
            <v>0.18475977683528888</v>
          </cell>
          <cell r="AW90">
            <v>0.12176039119804405</v>
          </cell>
          <cell r="AX90">
            <v>0.1602222474203423</v>
          </cell>
          <cell r="AY90">
            <v>8.7425252373706019E-2</v>
          </cell>
          <cell r="AZ90">
            <v>0.10439354938067891</v>
          </cell>
          <cell r="BA90">
            <v>0.11783405324524998</v>
          </cell>
          <cell r="BB90">
            <v>6.1442894507410584E-2</v>
          </cell>
          <cell r="BC90">
            <v>-2.9827990617669942E-2</v>
          </cell>
          <cell r="BD90">
            <v>0.10572374645222338</v>
          </cell>
          <cell r="BE90">
            <v>0.11108012271405232</v>
          </cell>
          <cell r="BF90">
            <v>6.1790942244941194E-2</v>
          </cell>
          <cell r="BG90">
            <v>0.13037707973983026</v>
          </cell>
          <cell r="BH90">
            <v>0.10897874220229586</v>
          </cell>
          <cell r="BI90">
            <v>4.1320712970490892E-2</v>
          </cell>
          <cell r="BJ90">
            <v>5.8250116275588848E-2</v>
          </cell>
          <cell r="BK90">
            <v>8.241979705489344E-2</v>
          </cell>
          <cell r="BL90">
            <v>5.7654596629214794E-2</v>
          </cell>
          <cell r="BM90">
            <v>5.711175759397813E-2</v>
          </cell>
          <cell r="BN90">
            <v>5.9260255630644521E-2</v>
          </cell>
          <cell r="BO90">
            <v>5.94720254556107E-2</v>
          </cell>
          <cell r="BP90">
            <v>5.840697286126928E-2</v>
          </cell>
          <cell r="BQ90">
            <v>5.5401919273244005E-2</v>
          </cell>
          <cell r="BR90">
            <v>5.490824266076455E-2</v>
          </cell>
          <cell r="BS90">
            <v>5.6771660872448448E-2</v>
          </cell>
          <cell r="BT90">
            <v>5.6974589182752222E-2</v>
          </cell>
          <cell r="BU90">
            <v>5.6042966250896553E-2</v>
          </cell>
          <cell r="BV90">
            <v>5.2334070568149427E-2</v>
          </cell>
          <cell r="BW90">
            <v>5.0413104407672993E-2</v>
          </cell>
          <cell r="BX90">
            <v>5.0797140323386891E-2</v>
          </cell>
          <cell r="BY90">
            <v>4.9735902730218884E-2</v>
          </cell>
          <cell r="BZ90">
            <v>5.0799989476520091E-2</v>
          </cell>
        </row>
        <row r="95">
          <cell r="C95">
            <v>2006</v>
          </cell>
          <cell r="D95" t="str">
            <v>1Q07</v>
          </cell>
          <cell r="E95" t="str">
            <v>2Q07</v>
          </cell>
          <cell r="F95" t="str">
            <v>3Q07</v>
          </cell>
          <cell r="G95" t="str">
            <v>4Q07</v>
          </cell>
          <cell r="H95">
            <v>2007</v>
          </cell>
          <cell r="I95" t="str">
            <v>1Q08</v>
          </cell>
          <cell r="J95" t="str">
            <v>2Q08</v>
          </cell>
          <cell r="K95" t="str">
            <v>3Q08</v>
          </cell>
          <cell r="L95" t="str">
            <v>4Q08</v>
          </cell>
          <cell r="P95" t="str">
            <v>3Q09</v>
          </cell>
          <cell r="Q95" t="str">
            <v>4Q09</v>
          </cell>
          <cell r="R95">
            <v>2009</v>
          </cell>
          <cell r="S95" t="str">
            <v>1Q10</v>
          </cell>
          <cell r="T95" t="str">
            <v>2Q10</v>
          </cell>
          <cell r="U95" t="str">
            <v>3Q10</v>
          </cell>
          <cell r="V95" t="str">
            <v>4Q10</v>
          </cell>
          <cell r="W95">
            <v>2010</v>
          </cell>
          <cell r="X95" t="str">
            <v>1Q11</v>
          </cell>
          <cell r="Y95" t="str">
            <v>2Q11</v>
          </cell>
          <cell r="Z95" t="str">
            <v>3Q11</v>
          </cell>
          <cell r="AA95" t="str">
            <v>4Q11</v>
          </cell>
          <cell r="AB95">
            <v>2011</v>
          </cell>
          <cell r="AC95" t="str">
            <v>1Q12</v>
          </cell>
          <cell r="AD95" t="str">
            <v>2Q12</v>
          </cell>
          <cell r="AE95" t="str">
            <v>3Q12</v>
          </cell>
          <cell r="AF95" t="str">
            <v>4Q12</v>
          </cell>
          <cell r="AG95">
            <v>2012</v>
          </cell>
          <cell r="AH95" t="str">
            <v>1Q13</v>
          </cell>
          <cell r="AI95" t="str">
            <v>2Q13</v>
          </cell>
          <cell r="AJ95" t="str">
            <v>3Q13</v>
          </cell>
          <cell r="AK95" t="str">
            <v>4Q13</v>
          </cell>
          <cell r="AL95">
            <v>2013</v>
          </cell>
          <cell r="AM95" t="str">
            <v>1Q13R</v>
          </cell>
          <cell r="AN95" t="str">
            <v>2Q13R</v>
          </cell>
          <cell r="AO95" t="str">
            <v>3Q13R</v>
          </cell>
          <cell r="AP95" t="str">
            <v>4Q13R</v>
          </cell>
          <cell r="AQ95" t="str">
            <v>2013R</v>
          </cell>
          <cell r="AR95" t="str">
            <v>1Q14</v>
          </cell>
          <cell r="AS95" t="str">
            <v>2Q14</v>
          </cell>
          <cell r="AT95" t="str">
            <v>3Q14</v>
          </cell>
          <cell r="AU95" t="str">
            <v>4Q14</v>
          </cell>
          <cell r="AV95">
            <v>2014</v>
          </cell>
          <cell r="AW95" t="str">
            <v>1Q15</v>
          </cell>
          <cell r="AX95" t="str">
            <v>2Q15</v>
          </cell>
          <cell r="AY95" t="str">
            <v>3Q15</v>
          </cell>
          <cell r="AZ95" t="str">
            <v>4Q15</v>
          </cell>
          <cell r="BA95">
            <v>2015</v>
          </cell>
          <cell r="BB95" t="str">
            <v>1Q16</v>
          </cell>
          <cell r="BC95" t="str">
            <v>2Q16</v>
          </cell>
          <cell r="BD95" t="str">
            <v>3Q16</v>
          </cell>
          <cell r="BE95" t="str">
            <v>4Q16</v>
          </cell>
          <cell r="BF95" t="str">
            <v>2016E</v>
          </cell>
          <cell r="BG95" t="str">
            <v>1Q17E</v>
          </cell>
          <cell r="BH95" t="str">
            <v>2Q17E</v>
          </cell>
          <cell r="BI95" t="str">
            <v>3Q17E</v>
          </cell>
          <cell r="BJ95" t="str">
            <v>4Q17E</v>
          </cell>
          <cell r="BK95" t="str">
            <v>2017E</v>
          </cell>
          <cell r="BL95" t="str">
            <v>1Q18E</v>
          </cell>
          <cell r="BM95" t="str">
            <v>2Q18E</v>
          </cell>
          <cell r="BN95" t="str">
            <v>3Q18E</v>
          </cell>
          <cell r="BO95" t="str">
            <v>4Q18E</v>
          </cell>
          <cell r="BP95" t="str">
            <v>2018E</v>
          </cell>
          <cell r="BQ95" t="str">
            <v>1Q19E</v>
          </cell>
          <cell r="BR95" t="str">
            <v>2Q19E</v>
          </cell>
          <cell r="BS95" t="str">
            <v>3Q19E</v>
          </cell>
          <cell r="BT95" t="str">
            <v>4Q19E</v>
          </cell>
          <cell r="BU95" t="str">
            <v>2019E</v>
          </cell>
          <cell r="BV95" t="str">
            <v>1Q20E</v>
          </cell>
          <cell r="BW95" t="str">
            <v>2Q20E</v>
          </cell>
          <cell r="BX95" t="str">
            <v>3Q20E</v>
          </cell>
          <cell r="BY95" t="str">
            <v>4Q20E</v>
          </cell>
          <cell r="BZ95" t="str">
            <v>2020E</v>
          </cell>
        </row>
        <row r="96">
          <cell r="A96" t="str">
            <v>Equity Indices Subscriptions</v>
          </cell>
        </row>
        <row r="98">
          <cell r="B98" t="str">
            <v>Annualized run rate</v>
          </cell>
          <cell r="C98">
            <v>114.56155958156347</v>
          </cell>
          <cell r="D98">
            <v>124.13500000000001</v>
          </cell>
          <cell r="E98">
            <v>129.62700000000001</v>
          </cell>
          <cell r="F98">
            <v>136.99</v>
          </cell>
          <cell r="G98">
            <v>141.56</v>
          </cell>
          <cell r="H98">
            <v>141.56</v>
          </cell>
          <cell r="I98">
            <v>151.94499999999999</v>
          </cell>
          <cell r="J98">
            <v>161.14699999999999</v>
          </cell>
          <cell r="K98">
            <v>169.28399999999999</v>
          </cell>
          <cell r="L98">
            <v>170.99199999999999</v>
          </cell>
          <cell r="P98">
            <v>193.26400000000001</v>
          </cell>
          <cell r="Q98">
            <v>202.785</v>
          </cell>
          <cell r="R98">
            <v>202.785</v>
          </cell>
          <cell r="S98">
            <v>212.572</v>
          </cell>
          <cell r="T98">
            <v>221.17400000000001</v>
          </cell>
          <cell r="U98">
            <v>229.32300000000001</v>
          </cell>
          <cell r="V98">
            <v>236.15700000000001</v>
          </cell>
          <cell r="W98">
            <v>236.15700000000001</v>
          </cell>
          <cell r="X98">
            <v>247.87</v>
          </cell>
          <cell r="Y98">
            <v>257.47000000000003</v>
          </cell>
          <cell r="Z98">
            <v>264.72199999999998</v>
          </cell>
          <cell r="AA98">
            <v>269.77999999999997</v>
          </cell>
          <cell r="AB98">
            <v>269.77999999999997</v>
          </cell>
          <cell r="AC98">
            <v>278.541</v>
          </cell>
          <cell r="AD98">
            <v>285.60399999999998</v>
          </cell>
          <cell r="AE98">
            <v>292.78699999999998</v>
          </cell>
          <cell r="AF98">
            <v>338.00599999999997</v>
          </cell>
          <cell r="AG98">
            <v>338.00599999999997</v>
          </cell>
          <cell r="AH98">
            <v>344.267</v>
          </cell>
          <cell r="AI98">
            <v>350.83300000000003</v>
          </cell>
          <cell r="AJ98">
            <v>360.04199999999997</v>
          </cell>
          <cell r="AK98">
            <v>371.51100000000002</v>
          </cell>
          <cell r="AL98">
            <v>371.51100000000002</v>
          </cell>
          <cell r="AM98">
            <v>285.2</v>
          </cell>
          <cell r="AN98">
            <v>289.89999999999998</v>
          </cell>
          <cell r="AO98">
            <v>296</v>
          </cell>
          <cell r="AP98">
            <v>305.10000000000002</v>
          </cell>
          <cell r="AQ98">
            <v>305.10000000000002</v>
          </cell>
          <cell r="AR98">
            <v>312.5</v>
          </cell>
          <cell r="AS98">
            <v>320.39999999999998</v>
          </cell>
          <cell r="AT98">
            <v>326</v>
          </cell>
          <cell r="AU98">
            <v>335.3</v>
          </cell>
          <cell r="AV98">
            <v>335.3</v>
          </cell>
          <cell r="AW98">
            <v>344.5</v>
          </cell>
          <cell r="AX98">
            <v>353</v>
          </cell>
          <cell r="AY98">
            <v>361.2</v>
          </cell>
          <cell r="AZ98">
            <v>368.85500000000002</v>
          </cell>
          <cell r="BA98">
            <v>368.85500000000002</v>
          </cell>
          <cell r="BB98">
            <v>378.62200000000001</v>
          </cell>
          <cell r="BC98">
            <v>387.67899999999997</v>
          </cell>
          <cell r="BD98">
            <v>395.601</v>
          </cell>
          <cell r="BE98">
            <v>406.72899999999998</v>
          </cell>
          <cell r="BF98">
            <v>406.72899999999998</v>
          </cell>
          <cell r="BG98">
            <v>417.96240237500001</v>
          </cell>
          <cell r="BH98">
            <v>428.71247462500003</v>
          </cell>
          <cell r="BI98">
            <v>438.11919137500007</v>
          </cell>
          <cell r="BJ98">
            <v>451.20297412500008</v>
          </cell>
          <cell r="BK98">
            <v>451.20297412500008</v>
          </cell>
          <cell r="BL98">
            <v>464.09093619082819</v>
          </cell>
          <cell r="BM98">
            <v>476.4429589107657</v>
          </cell>
          <cell r="BN98">
            <v>487.31919111776568</v>
          </cell>
          <cell r="BO98">
            <v>502.2173894800157</v>
          </cell>
          <cell r="BP98">
            <v>502.2173894800157</v>
          </cell>
          <cell r="BQ98">
            <v>516.66456450102555</v>
          </cell>
          <cell r="BR98">
            <v>530.8294612272955</v>
          </cell>
          <cell r="BS98">
            <v>543.37393544830536</v>
          </cell>
          <cell r="BT98">
            <v>560.30720773243513</v>
          </cell>
          <cell r="BU98">
            <v>560.30720773243513</v>
          </cell>
          <cell r="BV98">
            <v>576.49618272507405</v>
          </cell>
          <cell r="BW98">
            <v>592.72090955867941</v>
          </cell>
          <cell r="BX98">
            <v>607.16710567615098</v>
          </cell>
          <cell r="BY98">
            <v>626.39377118722803</v>
          </cell>
          <cell r="BZ98">
            <v>626.39377118722803</v>
          </cell>
          <cell r="CB98">
            <v>9.0205724995141567E-2</v>
          </cell>
        </row>
        <row r="99">
          <cell r="B99" t="str">
            <v>Revenue</v>
          </cell>
          <cell r="AR99">
            <v>9.5722300140252514E-2</v>
          </cell>
          <cell r="AS99">
            <v>0.10520869265263877</v>
          </cell>
          <cell r="AT99">
            <v>0.10135135135135132</v>
          </cell>
          <cell r="AU99">
            <v>9.8983939691904332E-2</v>
          </cell>
          <cell r="AW99">
            <v>0.10240000000000005</v>
          </cell>
          <cell r="AX99">
            <v>0.10174781523096144</v>
          </cell>
          <cell r="AY99">
            <v>0.10797546012269943</v>
          </cell>
          <cell r="AZ99">
            <v>0.10007456009543692</v>
          </cell>
          <cell r="BB99">
            <v>9.904789550072568E-2</v>
          </cell>
          <cell r="BC99">
            <v>9.8240793201133103E-2</v>
          </cell>
          <cell r="BD99">
            <v>9.5240863787375396E-2</v>
          </cell>
          <cell r="BE99">
            <v>0.10267991487169748</v>
          </cell>
          <cell r="BG99">
            <v>0.10338279339288259</v>
          </cell>
        </row>
        <row r="100">
          <cell r="B100" t="str">
            <v>Subscription revenue - 1st quarter, 12.5%</v>
          </cell>
          <cell r="I100">
            <v>3.8792187500000002</v>
          </cell>
          <cell r="J100">
            <v>4.0508437500000003</v>
          </cell>
          <cell r="K100">
            <v>4.2809375000000003</v>
          </cell>
          <cell r="L100">
            <v>4.4237500000000001</v>
          </cell>
          <cell r="U100">
            <v>6.0395000000000003</v>
          </cell>
          <cell r="V100">
            <v>6.3370312499999999</v>
          </cell>
          <cell r="W100">
            <v>12.376531249999999</v>
          </cell>
          <cell r="X100">
            <v>6.6428750000000001</v>
          </cell>
          <cell r="Y100">
            <v>6.9116875000000002</v>
          </cell>
          <cell r="Z100">
            <v>7.1663437500000002</v>
          </cell>
          <cell r="AA100">
            <v>7.3799062500000003</v>
          </cell>
          <cell r="AB100">
            <v>28.1008125</v>
          </cell>
          <cell r="AC100">
            <v>7.7459375000000001</v>
          </cell>
          <cell r="AD100">
            <v>8.0459375000000009</v>
          </cell>
          <cell r="AE100">
            <v>8.2725624999999994</v>
          </cell>
          <cell r="AF100">
            <v>8.4306249999999991</v>
          </cell>
          <cell r="AG100">
            <v>32.495062500000003</v>
          </cell>
          <cell r="AH100">
            <v>8.7044062499999999</v>
          </cell>
          <cell r="AI100">
            <v>8.9251249999999995</v>
          </cell>
          <cell r="AJ100">
            <v>9.1495937499999993</v>
          </cell>
          <cell r="AK100">
            <v>10.562687499999999</v>
          </cell>
          <cell r="AL100">
            <v>37.341812500000003</v>
          </cell>
          <cell r="AM100">
            <v>8.7044062499999999</v>
          </cell>
          <cell r="AN100">
            <v>8.9251249999999995</v>
          </cell>
          <cell r="AO100">
            <v>9.1495937499999993</v>
          </cell>
          <cell r="AP100">
            <v>10.562687499999999</v>
          </cell>
          <cell r="AQ100">
            <v>37.341812500000003</v>
          </cell>
          <cell r="AR100">
            <v>8.9124999999999996</v>
          </cell>
          <cell r="AS100">
            <v>9.0593749999999993</v>
          </cell>
          <cell r="AT100">
            <v>9.25</v>
          </cell>
          <cell r="AU100">
            <v>9.5343750000000007</v>
          </cell>
          <cell r="AV100">
            <v>36.756249999999994</v>
          </cell>
          <cell r="AW100">
            <v>9.765625</v>
          </cell>
          <cell r="AX100">
            <v>10.012499999999999</v>
          </cell>
          <cell r="AY100">
            <v>10.1875</v>
          </cell>
          <cell r="AZ100">
            <v>10.478125</v>
          </cell>
          <cell r="BA100">
            <v>40.443750000000001</v>
          </cell>
          <cell r="BB100">
            <v>10.765625</v>
          </cell>
          <cell r="BC100">
            <v>11.03125</v>
          </cell>
          <cell r="BD100">
            <v>11.2875</v>
          </cell>
          <cell r="BE100">
            <v>11.526718750000001</v>
          </cell>
          <cell r="BF100">
            <v>44.611093750000002</v>
          </cell>
          <cell r="BG100">
            <v>11.8319375</v>
          </cell>
          <cell r="BH100">
            <v>12.114968749999999</v>
          </cell>
          <cell r="BI100">
            <v>12.36253125</v>
          </cell>
          <cell r="BJ100">
            <v>12.71028125</v>
          </cell>
          <cell r="BK100">
            <v>49.019718750000003</v>
          </cell>
          <cell r="BL100">
            <v>13.06132507421875</v>
          </cell>
          <cell r="BM100">
            <v>13.397264832031251</v>
          </cell>
          <cell r="BN100">
            <v>13.691224730468752</v>
          </cell>
          <cell r="BO100">
            <v>14.100092941406253</v>
          </cell>
          <cell r="BP100">
            <v>54.249907578125004</v>
          </cell>
          <cell r="BQ100">
            <v>14.502841755963381</v>
          </cell>
          <cell r="BR100">
            <v>14.888842465961428</v>
          </cell>
          <cell r="BS100">
            <v>15.228724722430178</v>
          </cell>
          <cell r="BT100">
            <v>15.694293421250491</v>
          </cell>
          <cell r="BU100">
            <v>60.314702365605477</v>
          </cell>
          <cell r="BV100">
            <v>16.145767640657049</v>
          </cell>
          <cell r="BW100">
            <v>16.588420663352984</v>
          </cell>
          <cell r="BX100">
            <v>16.980435482759543</v>
          </cell>
          <cell r="BY100">
            <v>17.509600241638598</v>
          </cell>
          <cell r="BZ100">
            <v>67.224224028408173</v>
          </cell>
        </row>
        <row r="101">
          <cell r="B101" t="str">
            <v>Subscription revenue - 2nd quarter, 25%</v>
          </cell>
          <cell r="I101">
            <v>8.1016875000000006</v>
          </cell>
          <cell r="J101">
            <v>8.5618750000000006</v>
          </cell>
          <cell r="K101">
            <v>8.8475000000000001</v>
          </cell>
          <cell r="L101">
            <v>9.4965624999999996</v>
          </cell>
          <cell r="U101">
            <v>12.6740625</v>
          </cell>
          <cell r="V101">
            <v>13.28575</v>
          </cell>
          <cell r="W101">
            <v>25.959812499999998</v>
          </cell>
          <cell r="X101">
            <v>13.823375</v>
          </cell>
          <cell r="Y101">
            <v>14.3326875</v>
          </cell>
          <cell r="Z101">
            <v>14.759812500000001</v>
          </cell>
          <cell r="AA101">
            <v>15.491875</v>
          </cell>
          <cell r="AB101">
            <v>58.40775</v>
          </cell>
          <cell r="AC101">
            <v>16.091875000000002</v>
          </cell>
          <cell r="AD101">
            <v>16.545124999999999</v>
          </cell>
          <cell r="AE101">
            <v>16.861249999999998</v>
          </cell>
          <cell r="AF101">
            <v>17.4088125</v>
          </cell>
          <cell r="AG101">
            <v>66.907062499999995</v>
          </cell>
          <cell r="AH101">
            <v>17.850249999999999</v>
          </cell>
          <cell r="AI101">
            <v>18.299187499999999</v>
          </cell>
          <cell r="AJ101">
            <v>21.125374999999998</v>
          </cell>
          <cell r="AK101">
            <v>21.5166875</v>
          </cell>
          <cell r="AL101">
            <v>78.791499999999999</v>
          </cell>
          <cell r="AM101">
            <v>17.850249999999999</v>
          </cell>
          <cell r="AN101">
            <v>18.299187499999999</v>
          </cell>
          <cell r="AO101">
            <v>21.125374999999998</v>
          </cell>
          <cell r="AP101">
            <v>21.5166875</v>
          </cell>
          <cell r="AQ101">
            <v>78.791499999999999</v>
          </cell>
          <cell r="AR101">
            <v>18.118749999999999</v>
          </cell>
          <cell r="AS101">
            <v>18.5</v>
          </cell>
          <cell r="AT101">
            <v>19.068750000000001</v>
          </cell>
          <cell r="AU101">
            <v>17.824999999999999</v>
          </cell>
          <cell r="AV101">
            <v>73.512500000000003</v>
          </cell>
          <cell r="AW101">
            <v>20.024999999999999</v>
          </cell>
          <cell r="AX101">
            <v>20.375</v>
          </cell>
          <cell r="AY101">
            <v>20.956250000000001</v>
          </cell>
          <cell r="AZ101">
            <v>21.53125</v>
          </cell>
          <cell r="BA101">
            <v>82.887500000000003</v>
          </cell>
          <cell r="BB101">
            <v>22.0625</v>
          </cell>
          <cell r="BC101">
            <v>22.574999999999999</v>
          </cell>
          <cell r="BD101">
            <v>23.053437500000001</v>
          </cell>
          <cell r="BE101">
            <v>23.663875000000001</v>
          </cell>
          <cell r="BF101">
            <v>91.354812500000008</v>
          </cell>
          <cell r="BG101">
            <v>24.229937499999998</v>
          </cell>
          <cell r="BH101">
            <v>24.7250625</v>
          </cell>
          <cell r="BI101">
            <v>25.420562499999999</v>
          </cell>
          <cell r="BJ101">
            <v>26.122650148437501</v>
          </cell>
          <cell r="BK101">
            <v>100.4982126484375</v>
          </cell>
          <cell r="BL101">
            <v>26.794529664062502</v>
          </cell>
          <cell r="BM101">
            <v>27.382449460937504</v>
          </cell>
          <cell r="BN101">
            <v>28.200185882812505</v>
          </cell>
          <cell r="BO101">
            <v>29.005683511926762</v>
          </cell>
          <cell r="BP101">
            <v>111.38284851973927</v>
          </cell>
          <cell r="BQ101">
            <v>29.777684931922856</v>
          </cell>
          <cell r="BR101">
            <v>30.457449444860355</v>
          </cell>
          <cell r="BS101">
            <v>31.388586842500981</v>
          </cell>
          <cell r="BT101">
            <v>32.291535281314097</v>
          </cell>
          <cell r="BU101">
            <v>123.91525650059829</v>
          </cell>
          <cell r="BV101">
            <v>33.176841326705969</v>
          </cell>
          <cell r="BW101">
            <v>33.960870965519085</v>
          </cell>
          <cell r="BX101">
            <v>35.019200483277196</v>
          </cell>
          <cell r="BY101">
            <v>36.031011420317128</v>
          </cell>
          <cell r="BZ101">
            <v>138.18792419581936</v>
          </cell>
        </row>
        <row r="102">
          <cell r="B102" t="str">
            <v>Subscription revenue - 3rd quarter, 25%</v>
          </cell>
          <cell r="I102">
            <v>8.5618750000000006</v>
          </cell>
          <cell r="J102">
            <v>8.8475000000000001</v>
          </cell>
          <cell r="K102">
            <v>9.4965624999999996</v>
          </cell>
          <cell r="L102">
            <v>10.071687499999999</v>
          </cell>
          <cell r="U102">
            <v>13.28575</v>
          </cell>
          <cell r="V102">
            <v>13.823375</v>
          </cell>
          <cell r="W102">
            <v>27.109124999999999</v>
          </cell>
          <cell r="X102">
            <v>14.3326875</v>
          </cell>
          <cell r="Y102">
            <v>14.759812500000001</v>
          </cell>
          <cell r="Z102">
            <v>15.491875</v>
          </cell>
          <cell r="AA102">
            <v>16.091875000000002</v>
          </cell>
          <cell r="AB102">
            <v>60.676250000000003</v>
          </cell>
          <cell r="AC102">
            <v>16.545124999999999</v>
          </cell>
          <cell r="AD102">
            <v>16.861249999999998</v>
          </cell>
          <cell r="AE102">
            <v>17.4088125</v>
          </cell>
          <cell r="AF102">
            <v>17.850249999999999</v>
          </cell>
          <cell r="AG102">
            <v>68.665437499999996</v>
          </cell>
          <cell r="AH102">
            <v>18.299187499999999</v>
          </cell>
          <cell r="AI102">
            <v>21.125374999999998</v>
          </cell>
          <cell r="AJ102">
            <v>21.5166875</v>
          </cell>
          <cell r="AK102">
            <v>21.927062500000002</v>
          </cell>
          <cell r="AL102">
            <v>82.868312500000002</v>
          </cell>
          <cell r="AM102">
            <v>18.299187499999999</v>
          </cell>
          <cell r="AN102">
            <v>21.125374999999998</v>
          </cell>
          <cell r="AO102">
            <v>21.5166875</v>
          </cell>
          <cell r="AP102">
            <v>21.927062500000002</v>
          </cell>
          <cell r="AQ102">
            <v>82.868312500000002</v>
          </cell>
          <cell r="AR102">
            <v>18.5</v>
          </cell>
          <cell r="AS102">
            <v>19.068750000000001</v>
          </cell>
          <cell r="AT102">
            <v>19.53125</v>
          </cell>
          <cell r="AU102">
            <v>20.024999999999999</v>
          </cell>
          <cell r="AV102">
            <v>77.125</v>
          </cell>
          <cell r="AW102">
            <v>20.375</v>
          </cell>
          <cell r="AX102">
            <v>20.956250000000001</v>
          </cell>
          <cell r="AY102">
            <v>21.53125</v>
          </cell>
          <cell r="AZ102">
            <v>22.0625</v>
          </cell>
          <cell r="BA102">
            <v>84.924999999999997</v>
          </cell>
          <cell r="BB102">
            <v>22.574999999999999</v>
          </cell>
          <cell r="BC102">
            <v>23.053437500000001</v>
          </cell>
          <cell r="BD102">
            <v>23.663875000000001</v>
          </cell>
          <cell r="BE102">
            <v>24.229937499999998</v>
          </cell>
          <cell r="BF102">
            <v>93.522250000000014</v>
          </cell>
          <cell r="BG102">
            <v>24.7250625</v>
          </cell>
          <cell r="BH102">
            <v>25.420562499999999</v>
          </cell>
          <cell r="BI102">
            <v>26.122650148437501</v>
          </cell>
          <cell r="BJ102">
            <v>26.794529664062502</v>
          </cell>
          <cell r="BK102">
            <v>103.06280481249999</v>
          </cell>
          <cell r="BL102">
            <v>27.382449460937504</v>
          </cell>
          <cell r="BM102">
            <v>28.200185882812505</v>
          </cell>
          <cell r="BN102">
            <v>29.005683511926762</v>
          </cell>
          <cell r="BO102">
            <v>29.777684931922856</v>
          </cell>
          <cell r="BP102">
            <v>114.36600378759962</v>
          </cell>
          <cell r="BQ102">
            <v>30.457449444860355</v>
          </cell>
          <cell r="BR102">
            <v>31.388586842500981</v>
          </cell>
          <cell r="BS102">
            <v>32.291535281314097</v>
          </cell>
          <cell r="BT102">
            <v>33.176841326705969</v>
          </cell>
          <cell r="BU102">
            <v>127.31441289538141</v>
          </cell>
          <cell r="BV102">
            <v>33.960870965519085</v>
          </cell>
          <cell r="BW102">
            <v>35.019200483277196</v>
          </cell>
          <cell r="BX102">
            <v>36.031011420317128</v>
          </cell>
          <cell r="BY102">
            <v>37.045056847417463</v>
          </cell>
          <cell r="BZ102">
            <v>142.05613971653088</v>
          </cell>
        </row>
        <row r="103">
          <cell r="B103" t="str">
            <v>Subscription revenue - 4th quarter, 25%</v>
          </cell>
          <cell r="I103">
            <v>8.8475000000000001</v>
          </cell>
          <cell r="J103">
            <v>9.4965624999999996</v>
          </cell>
          <cell r="K103">
            <v>10.071687499999999</v>
          </cell>
          <cell r="L103">
            <v>10.580249999999999</v>
          </cell>
          <cell r="U103">
            <v>13.823375</v>
          </cell>
          <cell r="V103">
            <v>14.3326875</v>
          </cell>
          <cell r="W103">
            <v>28.156062500000001</v>
          </cell>
          <cell r="X103">
            <v>14.759812500000001</v>
          </cell>
          <cell r="Y103">
            <v>15.491875</v>
          </cell>
          <cell r="Z103">
            <v>16.091875000000002</v>
          </cell>
          <cell r="AA103">
            <v>16.545124999999999</v>
          </cell>
          <cell r="AB103">
            <v>62.888687500000003</v>
          </cell>
          <cell r="AC103">
            <v>16.861249999999998</v>
          </cell>
          <cell r="AD103">
            <v>17.4088125</v>
          </cell>
          <cell r="AE103">
            <v>17.850249999999999</v>
          </cell>
          <cell r="AF103">
            <v>18.299187499999999</v>
          </cell>
          <cell r="AG103">
            <v>70.419499999999999</v>
          </cell>
          <cell r="AH103">
            <v>21.125374999999998</v>
          </cell>
          <cell r="AI103">
            <v>21.5166875</v>
          </cell>
          <cell r="AJ103">
            <v>21.927062500000002</v>
          </cell>
          <cell r="AK103">
            <v>22.502624999999998</v>
          </cell>
          <cell r="AL103">
            <v>87.071749999999994</v>
          </cell>
          <cell r="AM103">
            <v>21.125374999999998</v>
          </cell>
          <cell r="AN103">
            <v>21.5166875</v>
          </cell>
          <cell r="AO103">
            <v>21.927062500000002</v>
          </cell>
          <cell r="AP103">
            <v>22.502624999999998</v>
          </cell>
          <cell r="AQ103">
            <v>87.071749999999994</v>
          </cell>
          <cell r="AR103">
            <v>19.068750000000001</v>
          </cell>
          <cell r="AS103">
            <v>19.53125</v>
          </cell>
          <cell r="AT103">
            <v>20.024999999999999</v>
          </cell>
          <cell r="AU103">
            <v>20.375</v>
          </cell>
          <cell r="AV103">
            <v>79</v>
          </cell>
          <cell r="AW103">
            <v>20.956250000000001</v>
          </cell>
          <cell r="AX103">
            <v>21.53125</v>
          </cell>
          <cell r="AY103">
            <v>22.0625</v>
          </cell>
          <cell r="AZ103">
            <v>22.574999999999999</v>
          </cell>
          <cell r="BA103">
            <v>87.125</v>
          </cell>
          <cell r="BB103">
            <v>23.053437500000001</v>
          </cell>
          <cell r="BC103">
            <v>23.663875000000001</v>
          </cell>
          <cell r="BD103">
            <v>24.229937499999998</v>
          </cell>
          <cell r="BE103">
            <v>24.7250625</v>
          </cell>
          <cell r="BF103">
            <v>95.672312500000004</v>
          </cell>
          <cell r="BG103">
            <v>25.420562499999999</v>
          </cell>
          <cell r="BH103">
            <v>26.122650148437501</v>
          </cell>
          <cell r="BI103">
            <v>26.794529664062502</v>
          </cell>
          <cell r="BJ103">
            <v>27.382449460937504</v>
          </cell>
          <cell r="BK103">
            <v>105.72019177343752</v>
          </cell>
          <cell r="BL103">
            <v>28.200185882812505</v>
          </cell>
          <cell r="BM103">
            <v>29.005683511926762</v>
          </cell>
          <cell r="BN103">
            <v>29.777684931922856</v>
          </cell>
          <cell r="BO103">
            <v>30.457449444860355</v>
          </cell>
          <cell r="BP103">
            <v>117.44100377152249</v>
          </cell>
          <cell r="BQ103">
            <v>31.388586842500981</v>
          </cell>
          <cell r="BR103">
            <v>32.291535281314097</v>
          </cell>
          <cell r="BS103">
            <v>33.176841326705969</v>
          </cell>
          <cell r="BT103">
            <v>33.960870965519085</v>
          </cell>
          <cell r="BU103">
            <v>130.81783441604014</v>
          </cell>
          <cell r="BV103">
            <v>35.019200483277196</v>
          </cell>
          <cell r="BW103">
            <v>36.031011420317128</v>
          </cell>
          <cell r="BX103">
            <v>37.045056847417463</v>
          </cell>
          <cell r="BY103">
            <v>37.947944104759436</v>
          </cell>
          <cell r="BZ103">
            <v>146.04321285577123</v>
          </cell>
        </row>
        <row r="104">
          <cell r="B104" t="str">
            <v>Subscription revenue - 5th quarter, 12.5%</v>
          </cell>
          <cell r="I104">
            <v>4.7482812499999998</v>
          </cell>
          <cell r="J104">
            <v>5.0358437499999997</v>
          </cell>
          <cell r="K104">
            <v>5.2901249999999997</v>
          </cell>
          <cell r="L104">
            <v>5.3434999999999997</v>
          </cell>
          <cell r="U104">
            <v>7.1663437500000002</v>
          </cell>
          <cell r="V104">
            <v>7.3799062500000003</v>
          </cell>
          <cell r="W104">
            <v>14.546250000000001</v>
          </cell>
          <cell r="X104">
            <v>7.7459375000000001</v>
          </cell>
          <cell r="Y104">
            <v>8.0459375000000009</v>
          </cell>
          <cell r="Z104">
            <v>8.2725624999999994</v>
          </cell>
          <cell r="AA104">
            <v>8.4306249999999991</v>
          </cell>
          <cell r="AB104">
            <v>32.495062500000003</v>
          </cell>
          <cell r="AC104">
            <v>8.7044062499999999</v>
          </cell>
          <cell r="AD104">
            <v>8.9251249999999995</v>
          </cell>
          <cell r="AE104">
            <v>9.1495937499999993</v>
          </cell>
          <cell r="AF104">
            <v>10.562687499999999</v>
          </cell>
          <cell r="AG104">
            <v>37.341812500000003</v>
          </cell>
          <cell r="AH104">
            <v>10.75834375</v>
          </cell>
          <cell r="AI104">
            <v>10.963531250000001</v>
          </cell>
          <cell r="AJ104">
            <v>11.251312499999999</v>
          </cell>
          <cell r="AK104">
            <v>11.609718750000001</v>
          </cell>
          <cell r="AL104">
            <v>44.582906250000001</v>
          </cell>
          <cell r="AM104">
            <v>10.75834375</v>
          </cell>
          <cell r="AN104">
            <v>10.963531250000001</v>
          </cell>
          <cell r="AO104">
            <v>11.251312499999999</v>
          </cell>
          <cell r="AP104">
            <v>11.609718750000001</v>
          </cell>
          <cell r="AQ104">
            <v>44.582906250000001</v>
          </cell>
          <cell r="AR104">
            <v>9.765625</v>
          </cell>
          <cell r="AS104">
            <v>10.012499999999999</v>
          </cell>
          <cell r="AT104">
            <v>10.1875</v>
          </cell>
          <cell r="AU104">
            <v>10.478125</v>
          </cell>
          <cell r="AV104">
            <v>40.443750000000001</v>
          </cell>
          <cell r="AW104">
            <v>10.765625</v>
          </cell>
          <cell r="AX104">
            <v>11.03125</v>
          </cell>
          <cell r="AY104">
            <v>11.2875</v>
          </cell>
          <cell r="AZ104">
            <v>11.526718750000001</v>
          </cell>
          <cell r="BA104">
            <v>44.611093750000002</v>
          </cell>
          <cell r="BB104">
            <v>11.8319375</v>
          </cell>
          <cell r="BC104">
            <v>12.114968749999999</v>
          </cell>
          <cell r="BD104">
            <v>12.36253125</v>
          </cell>
          <cell r="BE104">
            <v>12.71028125</v>
          </cell>
          <cell r="BF104">
            <v>49.019718750000003</v>
          </cell>
          <cell r="BG104">
            <v>13.06132507421875</v>
          </cell>
          <cell r="BH104">
            <v>13.397264832031251</v>
          </cell>
          <cell r="BI104">
            <v>13.691224730468752</v>
          </cell>
          <cell r="BJ104">
            <v>14.100092941406253</v>
          </cell>
          <cell r="BK104">
            <v>54.249907578125004</v>
          </cell>
          <cell r="BL104">
            <v>14.502841755963381</v>
          </cell>
          <cell r="BM104">
            <v>14.888842465961428</v>
          </cell>
          <cell r="BN104">
            <v>15.228724722430178</v>
          </cell>
          <cell r="BO104">
            <v>15.694293421250491</v>
          </cell>
          <cell r="BP104">
            <v>60.314702365605477</v>
          </cell>
          <cell r="BQ104">
            <v>16.145767640657049</v>
          </cell>
          <cell r="BR104">
            <v>16.588420663352984</v>
          </cell>
          <cell r="BS104">
            <v>16.980435482759543</v>
          </cell>
          <cell r="BT104">
            <v>17.509600241638598</v>
          </cell>
          <cell r="BU104">
            <v>67.224224028408173</v>
          </cell>
          <cell r="BV104">
            <v>18.015505710158564</v>
          </cell>
          <cell r="BW104">
            <v>18.522528423708732</v>
          </cell>
          <cell r="BX104">
            <v>18.973972052379718</v>
          </cell>
          <cell r="BY104">
            <v>19.574805349600876</v>
          </cell>
          <cell r="BZ104">
            <v>75.0868115358479</v>
          </cell>
        </row>
        <row r="106">
          <cell r="B106" t="str">
            <v>Quarterly new sales</v>
          </cell>
          <cell r="D106">
            <v>10.346730945612087</v>
          </cell>
          <cell r="E106">
            <v>7.0099406644557218</v>
          </cell>
          <cell r="F106">
            <v>8.5658963756064175</v>
          </cell>
          <cell r="G106">
            <v>6.2311426139326649</v>
          </cell>
          <cell r="H106">
            <v>32.153710599606896</v>
          </cell>
          <cell r="I106">
            <v>11.092799999999992</v>
          </cell>
          <cell r="J106">
            <v>11.21923</v>
          </cell>
          <cell r="K106">
            <v>9.6941600000000019</v>
          </cell>
          <cell r="L106">
            <v>5.4947299999999979</v>
          </cell>
          <cell r="Q106">
            <v>9</v>
          </cell>
          <cell r="U106">
            <v>12.001914999999999</v>
          </cell>
          <cell r="V106">
            <v>11.654586000000004</v>
          </cell>
          <cell r="W106">
            <v>23.656501000000002</v>
          </cell>
          <cell r="X106">
            <v>14.664962499999996</v>
          </cell>
          <cell r="Y106">
            <v>13.850826000000019</v>
          </cell>
          <cell r="Z106">
            <v>10.085883999999956</v>
          </cell>
          <cell r="AA106">
            <v>11.375199749999993</v>
          </cell>
          <cell r="AB106">
            <v>49.976872249999964</v>
          </cell>
          <cell r="AC106">
            <v>12.470475000000027</v>
          </cell>
          <cell r="AD106">
            <v>10.50269499999999</v>
          </cell>
          <cell r="AE106">
            <v>11.361114999999996</v>
          </cell>
          <cell r="AF106">
            <v>52.073495999999992</v>
          </cell>
          <cell r="AG106">
            <v>86.407781</v>
          </cell>
          <cell r="AH106">
            <v>10.486075000000028</v>
          </cell>
          <cell r="AI106">
            <v>11.636090000000035</v>
          </cell>
          <cell r="AJ106">
            <v>13.68757949999995</v>
          </cell>
          <cell r="AK106">
            <v>19.327639500000046</v>
          </cell>
          <cell r="AL106">
            <v>55.137384000000061</v>
          </cell>
          <cell r="AM106">
            <v>9.4</v>
          </cell>
          <cell r="AN106">
            <v>8.4</v>
          </cell>
          <cell r="AO106">
            <v>10</v>
          </cell>
          <cell r="AP106">
            <v>14.7</v>
          </cell>
          <cell r="AQ106">
            <v>42.4</v>
          </cell>
          <cell r="AR106">
            <v>10.9</v>
          </cell>
          <cell r="AS106">
            <v>11.5</v>
          </cell>
          <cell r="AT106">
            <v>9.1999999999999993</v>
          </cell>
          <cell r="AU106">
            <v>12.9</v>
          </cell>
          <cell r="AV106">
            <v>44.5</v>
          </cell>
          <cell r="AW106">
            <v>11.5</v>
          </cell>
          <cell r="AX106">
            <v>12.5</v>
          </cell>
          <cell r="AY106">
            <v>11.8</v>
          </cell>
          <cell r="AZ106">
            <v>13.702</v>
          </cell>
          <cell r="BA106">
            <v>49.501999999999995</v>
          </cell>
          <cell r="BB106">
            <v>13.162000000000001</v>
          </cell>
          <cell r="BC106">
            <v>13.138999999999999</v>
          </cell>
          <cell r="BD106">
            <v>11.757999999999999</v>
          </cell>
          <cell r="BE106">
            <v>17.22</v>
          </cell>
          <cell r="BF106">
            <v>55.278999999999996</v>
          </cell>
          <cell r="BG106">
            <v>14.741440000000003</v>
          </cell>
          <cell r="BH106">
            <v>14.715680000000001</v>
          </cell>
          <cell r="BI106">
            <v>13.16896</v>
          </cell>
          <cell r="BJ106">
            <v>19.2864</v>
          </cell>
          <cell r="BK106">
            <v>61.912480000000002</v>
          </cell>
          <cell r="BL106">
            <v>16.215584000000003</v>
          </cell>
          <cell r="BM106">
            <v>16.187248000000004</v>
          </cell>
          <cell r="BN106">
            <v>14.485856000000002</v>
          </cell>
          <cell r="BO106">
            <v>21.215040000000002</v>
          </cell>
          <cell r="BP106">
            <v>68.103728000000004</v>
          </cell>
          <cell r="BQ106">
            <v>17.837142400000005</v>
          </cell>
          <cell r="BR106">
            <v>17.805972800000006</v>
          </cell>
          <cell r="BS106">
            <v>15.934441600000003</v>
          </cell>
          <cell r="BT106">
            <v>23.336544000000004</v>
          </cell>
          <cell r="BU106">
            <v>74.914100800000014</v>
          </cell>
          <cell r="BV106">
            <v>19.620856640000007</v>
          </cell>
          <cell r="BW106">
            <v>19.586570080000008</v>
          </cell>
          <cell r="BX106">
            <v>17.527885760000004</v>
          </cell>
          <cell r="BY106">
            <v>25.670198400000007</v>
          </cell>
          <cell r="BZ106">
            <v>82.405510880000023</v>
          </cell>
        </row>
        <row r="107">
          <cell r="B107" t="str">
            <v>y/y change</v>
          </cell>
          <cell r="I107">
            <v>7.2106741569838873E-2</v>
          </cell>
          <cell r="J107">
            <v>0.60047431740580981</v>
          </cell>
          <cell r="K107">
            <v>0.13171576854543843</v>
          </cell>
          <cell r="L107">
            <v>-0.11818259660532704</v>
          </cell>
          <cell r="AB107">
            <v>1.1126062662436831</v>
          </cell>
          <cell r="AC107">
            <v>-0.14964153505336064</v>
          </cell>
          <cell r="AD107">
            <v>-0.24172789406205986</v>
          </cell>
          <cell r="AE107">
            <v>0.12643720669403358</v>
          </cell>
          <cell r="AF107">
            <v>3.5778093698970013</v>
          </cell>
          <cell r="AG107">
            <v>0.72895535694513303</v>
          </cell>
          <cell r="AH107">
            <v>-0.15912786000533219</v>
          </cell>
          <cell r="AI107">
            <v>0.10791468285045358</v>
          </cell>
          <cell r="AJ107">
            <v>0.20477431132419266</v>
          </cell>
          <cell r="AK107">
            <v>0.53717307421898086</v>
          </cell>
          <cell r="AL107">
            <v>0.17544217237647763</v>
          </cell>
          <cell r="AR107">
            <v>0.15957446808510634</v>
          </cell>
          <cell r="AS107">
            <v>0.36904761904761907</v>
          </cell>
          <cell r="AT107">
            <v>-8.0000000000000071E-2</v>
          </cell>
          <cell r="AU107">
            <v>-0.12244897959183665</v>
          </cell>
          <cell r="AV107">
            <v>4.952830188679247E-2</v>
          </cell>
          <cell r="AW107">
            <v>5.504587155963292E-2</v>
          </cell>
          <cell r="AX107">
            <v>8.6956521739130377E-2</v>
          </cell>
          <cell r="AY107">
            <v>0.28260869565217406</v>
          </cell>
          <cell r="AZ107">
            <v>6.217054263565891E-2</v>
          </cell>
          <cell r="BA107">
            <v>0.11240449438202238</v>
          </cell>
          <cell r="BB107">
            <v>0.14452173913043476</v>
          </cell>
          <cell r="BC107">
            <v>5.1120000000000054E-2</v>
          </cell>
          <cell r="BD107">
            <v>-3.5593220338984155E-3</v>
          </cell>
          <cell r="BE107">
            <v>0.25675083929353382</v>
          </cell>
          <cell r="BF107">
            <v>0.11670235546038543</v>
          </cell>
          <cell r="BG107">
            <v>0.12000000000000011</v>
          </cell>
          <cell r="BH107">
            <v>0.12000000000000011</v>
          </cell>
          <cell r="BI107">
            <v>0.12000000000000011</v>
          </cell>
          <cell r="BJ107">
            <v>0.12000000000000011</v>
          </cell>
          <cell r="BK107">
            <v>0.12000000000000011</v>
          </cell>
          <cell r="BL107">
            <v>0.10000000000000009</v>
          </cell>
          <cell r="BM107">
            <v>0.10000000000000031</v>
          </cell>
          <cell r="BN107">
            <v>0.10000000000000009</v>
          </cell>
          <cell r="BO107">
            <v>0.10000000000000009</v>
          </cell>
          <cell r="BP107">
            <v>0.10000000000000009</v>
          </cell>
          <cell r="BQ107">
            <v>0.10000000000000009</v>
          </cell>
          <cell r="BR107">
            <v>0.10000000000000009</v>
          </cell>
          <cell r="BS107">
            <v>0.10000000000000009</v>
          </cell>
          <cell r="BT107">
            <v>0.10000000000000009</v>
          </cell>
          <cell r="BU107">
            <v>0.10000000000000009</v>
          </cell>
          <cell r="BV107">
            <v>0.10000000000000009</v>
          </cell>
          <cell r="BW107">
            <v>0.10000000000000009</v>
          </cell>
          <cell r="BX107">
            <v>0.10000000000000009</v>
          </cell>
          <cell r="BY107">
            <v>0.10000000000000009</v>
          </cell>
          <cell r="BZ107">
            <v>0.10000000000000009</v>
          </cell>
        </row>
        <row r="108">
          <cell r="B108" t="str">
            <v>BULL</v>
          </cell>
          <cell r="BE108">
            <v>15.757299999999999</v>
          </cell>
          <cell r="BG108">
            <v>15.1363</v>
          </cell>
          <cell r="BH108">
            <v>15.109849999999998</v>
          </cell>
          <cell r="BI108">
            <v>14.109599999999999</v>
          </cell>
          <cell r="BJ108">
            <v>0</v>
          </cell>
          <cell r="BL108">
            <v>17.406744999999997</v>
          </cell>
          <cell r="BM108">
            <v>17.376327499999995</v>
          </cell>
          <cell r="BN108">
            <v>16.226039999999998</v>
          </cell>
          <cell r="BO108">
            <v>0</v>
          </cell>
          <cell r="BQ108">
            <v>20.017756749999997</v>
          </cell>
          <cell r="BR108">
            <v>19.982776624999993</v>
          </cell>
          <cell r="BS108">
            <v>18.659945999999994</v>
          </cell>
          <cell r="BT108">
            <v>0</v>
          </cell>
          <cell r="BV108">
            <v>23.020420262499993</v>
          </cell>
          <cell r="BW108">
            <v>22.980193118749991</v>
          </cell>
          <cell r="BX108">
            <v>21.458937899999992</v>
          </cell>
          <cell r="BY108">
            <v>0</v>
          </cell>
        </row>
        <row r="109">
          <cell r="B109" t="str">
            <v>BASE</v>
          </cell>
          <cell r="U109">
            <v>12.001914999999999</v>
          </cell>
          <cell r="V109">
            <v>11.654586000000004</v>
          </cell>
          <cell r="X109">
            <v>14.664962499999996</v>
          </cell>
          <cell r="Y109">
            <v>13.850826000000019</v>
          </cell>
          <cell r="Z109">
            <v>10.085883999999956</v>
          </cell>
          <cell r="AA109">
            <v>11.375199749999993</v>
          </cell>
          <cell r="AC109">
            <v>12.470475000000027</v>
          </cell>
          <cell r="AD109">
            <v>10.50269499999999</v>
          </cell>
          <cell r="AE109">
            <v>11.361114999999996</v>
          </cell>
          <cell r="AF109">
            <v>52.073495999999992</v>
          </cell>
          <cell r="AH109">
            <v>10.486075000000028</v>
          </cell>
          <cell r="AI109">
            <v>11.636090000000035</v>
          </cell>
          <cell r="AJ109">
            <v>13.68757949999995</v>
          </cell>
          <cell r="AK109">
            <v>19.327639500000046</v>
          </cell>
          <cell r="AM109">
            <v>9.4</v>
          </cell>
          <cell r="AN109">
            <v>8.4</v>
          </cell>
          <cell r="AO109">
            <v>10</v>
          </cell>
          <cell r="AP109">
            <v>14.7</v>
          </cell>
          <cell r="AR109">
            <v>10.9</v>
          </cell>
          <cell r="AS109">
            <v>11.5</v>
          </cell>
          <cell r="AT109">
            <v>9.1999999999999993</v>
          </cell>
          <cell r="AU109">
            <v>12.9</v>
          </cell>
          <cell r="AW109">
            <v>11.5</v>
          </cell>
          <cell r="AX109">
            <v>12.5</v>
          </cell>
          <cell r="AY109">
            <v>11.8</v>
          </cell>
          <cell r="AZ109">
            <v>13.702</v>
          </cell>
          <cell r="BB109">
            <v>13.162000000000001</v>
          </cell>
          <cell r="BC109">
            <v>13.138999999999999</v>
          </cell>
          <cell r="BD109">
            <v>11.757999999999999</v>
          </cell>
          <cell r="BE109">
            <v>17.22</v>
          </cell>
          <cell r="BG109">
            <v>14.741440000000003</v>
          </cell>
          <cell r="BH109">
            <v>14.715680000000001</v>
          </cell>
          <cell r="BI109">
            <v>13.16896</v>
          </cell>
          <cell r="BJ109">
            <v>19.2864</v>
          </cell>
          <cell r="BL109">
            <v>16.215584000000003</v>
          </cell>
          <cell r="BM109">
            <v>16.187248000000004</v>
          </cell>
          <cell r="BN109">
            <v>14.485856000000002</v>
          </cell>
          <cell r="BO109">
            <v>21.215040000000002</v>
          </cell>
          <cell r="BQ109">
            <v>17.837142400000005</v>
          </cell>
          <cell r="BR109">
            <v>17.805972800000006</v>
          </cell>
          <cell r="BS109">
            <v>15.934441600000003</v>
          </cell>
          <cell r="BT109">
            <v>23.336544000000004</v>
          </cell>
          <cell r="BV109">
            <v>19.620856640000007</v>
          </cell>
          <cell r="BW109">
            <v>19.586570080000008</v>
          </cell>
          <cell r="BX109">
            <v>17.527885760000004</v>
          </cell>
          <cell r="BY109">
            <v>25.670198400000007</v>
          </cell>
        </row>
        <row r="110">
          <cell r="B110" t="str">
            <v>BEAR</v>
          </cell>
          <cell r="BE110">
            <v>13.811616000000003</v>
          </cell>
          <cell r="BG110">
            <v>13.267296000000002</v>
          </cell>
          <cell r="BH110">
            <v>13.244112000000001</v>
          </cell>
          <cell r="BI110">
            <v>11.852064</v>
          </cell>
          <cell r="BJ110">
            <v>17.357760000000003</v>
          </cell>
          <cell r="BL110">
            <v>14.594025600000004</v>
          </cell>
          <cell r="BM110">
            <v>14.568523200000003</v>
          </cell>
          <cell r="BN110">
            <v>13.037270400000002</v>
          </cell>
          <cell r="BO110">
            <v>19.093536000000004</v>
          </cell>
          <cell r="BQ110">
            <v>16.053428160000006</v>
          </cell>
          <cell r="BR110">
            <v>16.025375520000008</v>
          </cell>
          <cell r="BS110">
            <v>14.340997440000002</v>
          </cell>
          <cell r="BT110">
            <v>21.002889600000003</v>
          </cell>
          <cell r="BV110">
            <v>17.658770976000007</v>
          </cell>
          <cell r="BW110">
            <v>17.627913072000009</v>
          </cell>
          <cell r="BX110">
            <v>15.775097184000003</v>
          </cell>
          <cell r="BY110">
            <v>23.103178560000007</v>
          </cell>
        </row>
        <row r="112">
          <cell r="B112" t="str">
            <v>Quarterly cancellations</v>
          </cell>
          <cell r="D112">
            <v>-0.77329052717555413</v>
          </cell>
          <cell r="E112">
            <v>-1.5179406644557174</v>
          </cell>
          <cell r="F112">
            <v>-1.2028963756064175</v>
          </cell>
          <cell r="G112">
            <v>-1.6611426139326719</v>
          </cell>
          <cell r="H112">
            <v>-5.1552701811703612</v>
          </cell>
          <cell r="I112">
            <v>-0.70780000000000065</v>
          </cell>
          <cell r="J112">
            <v>-2.0172300000000019</v>
          </cell>
          <cell r="K112">
            <v>-1.5571600000000014</v>
          </cell>
          <cell r="L112">
            <v>-3.7867299999999995</v>
          </cell>
          <cell r="U112">
            <v>-3.8529149999999976</v>
          </cell>
          <cell r="V112">
            <v>-5.4205859999999992</v>
          </cell>
          <cell r="W112">
            <v>-9.273500999999996</v>
          </cell>
          <cell r="X112">
            <v>-2.9519625000000027</v>
          </cell>
          <cell r="Y112">
            <v>-4.2508259999999973</v>
          </cell>
          <cell r="Z112">
            <v>-2.8338840000000025</v>
          </cell>
          <cell r="AA112">
            <v>-6.3171997499999994</v>
          </cell>
          <cell r="AB112">
            <v>-16.353872250000002</v>
          </cell>
          <cell r="AC112">
            <v>-3.709475000000003</v>
          </cell>
          <cell r="AD112">
            <v>-3.4396950000000026</v>
          </cell>
          <cell r="AE112">
            <v>-4.1781150000000036</v>
          </cell>
          <cell r="AF112">
            <v>-6.8544959999999975</v>
          </cell>
          <cell r="AG112">
            <v>-18.181781000000008</v>
          </cell>
          <cell r="AH112">
            <v>-4.225075000000003</v>
          </cell>
          <cell r="AI112">
            <v>-5.070090000000004</v>
          </cell>
          <cell r="AJ112">
            <v>-4.4785795000000039</v>
          </cell>
          <cell r="AK112">
            <v>-7.8586394999999971</v>
          </cell>
          <cell r="AL112">
            <v>-21.632384000000009</v>
          </cell>
          <cell r="AM112">
            <v>-3.1</v>
          </cell>
          <cell r="AN112">
            <v>-3.6</v>
          </cell>
          <cell r="AO112">
            <v>-3.9</v>
          </cell>
          <cell r="AP112">
            <v>-5.5</v>
          </cell>
          <cell r="AQ112">
            <v>-16.100000000000001</v>
          </cell>
          <cell r="AR112">
            <v>-3.5</v>
          </cell>
          <cell r="AS112">
            <v>-3.6</v>
          </cell>
          <cell r="AT112">
            <v>-3.6</v>
          </cell>
          <cell r="AU112">
            <v>-3.7</v>
          </cell>
          <cell r="AV112">
            <v>-14.399999999999999</v>
          </cell>
          <cell r="AW112">
            <v>-2.4</v>
          </cell>
          <cell r="AX112">
            <v>-3.9</v>
          </cell>
          <cell r="AY112">
            <v>-3.9</v>
          </cell>
          <cell r="AZ112">
            <v>-6.1470000000000002</v>
          </cell>
          <cell r="BA112">
            <v>-16.347000000000001</v>
          </cell>
          <cell r="BB112">
            <v>-3.41</v>
          </cell>
          <cell r="BC112">
            <v>-4.0960000000000001</v>
          </cell>
          <cell r="BD112">
            <v>-3.84</v>
          </cell>
          <cell r="BE112">
            <v>-6.0709999999999997</v>
          </cell>
          <cell r="BF112">
            <v>-17.417000000000002</v>
          </cell>
          <cell r="BG112">
            <v>-3.5080376250000085</v>
          </cell>
          <cell r="BH112">
            <v>-3.9656077500000033</v>
          </cell>
          <cell r="BI112">
            <v>-3.7622432500000031</v>
          </cell>
          <cell r="BJ112">
            <v>-6.2026172499999941</v>
          </cell>
          <cell r="BK112">
            <v>-17.438505875000011</v>
          </cell>
          <cell r="BL112">
            <v>-3.3276219341718849</v>
          </cell>
          <cell r="BM112">
            <v>-3.8352252800625042</v>
          </cell>
          <cell r="BN112">
            <v>-3.6096237930000039</v>
          </cell>
          <cell r="BO112">
            <v>-6.3168416377499943</v>
          </cell>
          <cell r="BP112">
            <v>-17.089312644984389</v>
          </cell>
          <cell r="BQ112">
            <v>-3.3899673789901228</v>
          </cell>
          <cell r="BR112">
            <v>-3.6410760737301171</v>
          </cell>
          <cell r="BS112">
            <v>-3.389967378990109</v>
          </cell>
          <cell r="BT112">
            <v>-6.4032717158701917</v>
          </cell>
          <cell r="BU112">
            <v>-16.824282547580541</v>
          </cell>
          <cell r="BV112">
            <v>-3.4318816473611915</v>
          </cell>
          <cell r="BW112">
            <v>-3.361843246394614</v>
          </cell>
          <cell r="BX112">
            <v>-3.0816896425283962</v>
          </cell>
          <cell r="BY112">
            <v>-6.4435328889229941</v>
          </cell>
          <cell r="BZ112">
            <v>-16.318947425207195</v>
          </cell>
        </row>
        <row r="113">
          <cell r="B113" t="str">
            <v>Cancellation rate (as % of beginning of year run rate)</v>
          </cell>
          <cell r="D113">
            <v>2.7000000000000024E-2</v>
          </cell>
          <cell r="E113">
            <v>5.3000000000000047E-2</v>
          </cell>
          <cell r="F113">
            <v>4.2000000000000037E-2</v>
          </cell>
          <cell r="G113">
            <v>5.8000000000000052E-2</v>
          </cell>
          <cell r="H113">
            <v>4.500000000000004E-2</v>
          </cell>
          <cell r="I113">
            <v>2.0000000000000018E-2</v>
          </cell>
          <cell r="J113">
            <v>5.7000000000000051E-2</v>
          </cell>
          <cell r="K113">
            <v>4.4000000000000039E-2</v>
          </cell>
          <cell r="L113">
            <v>0.10699999999999998</v>
          </cell>
          <cell r="U113">
            <v>7.5999999999999956E-2</v>
          </cell>
          <cell r="V113">
            <v>0.10199999999999998</v>
          </cell>
          <cell r="W113">
            <v>8.2999999999999963E-2</v>
          </cell>
          <cell r="X113">
            <v>5.0000000000000044E-2</v>
          </cell>
          <cell r="Y113">
            <v>7.1999999999999953E-2</v>
          </cell>
          <cell r="Z113">
            <v>4.8000000000000043E-2</v>
          </cell>
          <cell r="AA113">
            <v>0.10699999999999998</v>
          </cell>
          <cell r="AB113">
            <v>6.9250000000000034E-2</v>
          </cell>
          <cell r="AC113">
            <v>5.5000000000000049E-2</v>
          </cell>
          <cell r="AD113">
            <v>5.1000000000000045E-2</v>
          </cell>
          <cell r="AE113">
            <v>6.0000000000000053E-2</v>
          </cell>
          <cell r="AF113">
            <v>9.5999999999999974E-2</v>
          </cell>
          <cell r="AG113">
            <v>6.5500000000000114E-2</v>
          </cell>
          <cell r="AH113">
            <v>5.0000000000000044E-2</v>
          </cell>
          <cell r="AI113">
            <v>6.0000000000000053E-2</v>
          </cell>
          <cell r="AJ113">
            <v>5.3000000000000047E-2</v>
          </cell>
          <cell r="AK113">
            <v>9.2999999999999972E-2</v>
          </cell>
          <cell r="AL113">
            <v>6.4000000000000057E-2</v>
          </cell>
          <cell r="AM113">
            <v>4.4000000000000039E-2</v>
          </cell>
          <cell r="AN113">
            <v>5.1000000000000045E-2</v>
          </cell>
          <cell r="AO113">
            <v>5.600000000000005E-2</v>
          </cell>
          <cell r="AP113">
            <v>7.8999999999999959E-2</v>
          </cell>
          <cell r="AQ113">
            <v>5.7500000000000107E-2</v>
          </cell>
          <cell r="AR113">
            <v>4.6000000000000041E-2</v>
          </cell>
          <cell r="AS113">
            <v>4.7000000000000042E-2</v>
          </cell>
          <cell r="AT113">
            <v>4.7000000000000042E-2</v>
          </cell>
          <cell r="AU113">
            <v>4.8000000000000043E-2</v>
          </cell>
          <cell r="AV113">
            <v>4.7000000000000042E-2</v>
          </cell>
          <cell r="AW113">
            <v>2.8000000000000025E-2</v>
          </cell>
          <cell r="AX113">
            <v>4.6000000000000041E-2</v>
          </cell>
          <cell r="AY113">
            <v>4.6000000000000041E-2</v>
          </cell>
          <cell r="AZ113">
            <v>7.2999999999999954E-2</v>
          </cell>
          <cell r="BA113">
            <v>4.8000000000000043E-2</v>
          </cell>
          <cell r="BB113">
            <v>3.7000000000000033E-2</v>
          </cell>
          <cell r="BC113">
            <v>4.4000000000000039E-2</v>
          </cell>
          <cell r="BD113">
            <v>4.2000000000000037E-2</v>
          </cell>
          <cell r="BE113">
            <v>6.5999999999999948E-2</v>
          </cell>
          <cell r="BF113">
            <v>4.7000000000000042E-2</v>
          </cell>
          <cell r="BG113">
            <v>3.4500000000000086E-2</v>
          </cell>
          <cell r="BH113">
            <v>3.9000000000000035E-2</v>
          </cell>
          <cell r="BI113">
            <v>3.7000000000000033E-2</v>
          </cell>
          <cell r="BJ113">
            <v>6.0999999999999943E-2</v>
          </cell>
          <cell r="BK113">
            <v>4.2874999999999996E-2</v>
          </cell>
          <cell r="BL113">
            <v>2.9500000000000082E-2</v>
          </cell>
          <cell r="BM113">
            <v>3.400000000000003E-2</v>
          </cell>
          <cell r="BN113">
            <v>3.2000000000000028E-2</v>
          </cell>
          <cell r="BO113">
            <v>5.5999999999999939E-2</v>
          </cell>
          <cell r="BP113">
            <v>3.7875000000000103E-2</v>
          </cell>
          <cell r="BQ113">
            <v>2.7000000000000135E-2</v>
          </cell>
          <cell r="BR113">
            <v>2.9000000000000026E-2</v>
          </cell>
          <cell r="BS113">
            <v>2.7000000000000024E-2</v>
          </cell>
          <cell r="BT113">
            <v>5.0999999999999934E-2</v>
          </cell>
          <cell r="BU113">
            <v>3.3500000000000085E-2</v>
          </cell>
          <cell r="BV113">
            <v>2.4500000000000188E-2</v>
          </cell>
          <cell r="BW113">
            <v>2.4000000000000021E-2</v>
          </cell>
          <cell r="BX113">
            <v>2.200000000000002E-2</v>
          </cell>
          <cell r="BY113">
            <v>4.599999999999993E-2</v>
          </cell>
          <cell r="BZ113">
            <v>2.9124999999999956E-2</v>
          </cell>
        </row>
        <row r="114">
          <cell r="B114" t="str">
            <v>BULL - Retention rate</v>
          </cell>
          <cell r="BE114">
            <v>0.95950000000000002</v>
          </cell>
          <cell r="BF114">
            <v>0.95950000000000002</v>
          </cell>
          <cell r="BG114">
            <v>0.98</v>
          </cell>
          <cell r="BH114">
            <v>0.98</v>
          </cell>
          <cell r="BI114">
            <v>0.97299999999999998</v>
          </cell>
          <cell r="BJ114">
            <v>0.97900000000000009</v>
          </cell>
          <cell r="BK114">
            <v>0.97799999999999998</v>
          </cell>
          <cell r="BL114">
            <v>0.98</v>
          </cell>
          <cell r="BM114">
            <v>0.98</v>
          </cell>
          <cell r="BN114">
            <v>0.97799999999999998</v>
          </cell>
          <cell r="BO114">
            <v>0.9840000000000001</v>
          </cell>
          <cell r="BP114">
            <v>0.98049999999999993</v>
          </cell>
          <cell r="BQ114">
            <v>0.98</v>
          </cell>
          <cell r="BR114">
            <v>0.98</v>
          </cell>
          <cell r="BS114">
            <v>0.98299999999999998</v>
          </cell>
          <cell r="BT114">
            <v>0.9890000000000001</v>
          </cell>
          <cell r="BU114">
            <v>0.9830000000000001</v>
          </cell>
          <cell r="BV114">
            <v>0.98</v>
          </cell>
          <cell r="BW114">
            <v>0.98</v>
          </cell>
          <cell r="BX114">
            <v>0.98799999999999999</v>
          </cell>
          <cell r="BY114">
            <v>0.99400000000000011</v>
          </cell>
          <cell r="BZ114">
            <v>0.98550000000000004</v>
          </cell>
        </row>
        <row r="115">
          <cell r="B115" t="str">
            <v>BASE - Retention rate</v>
          </cell>
          <cell r="D115">
            <v>0.97299999999999998</v>
          </cell>
          <cell r="E115">
            <v>0.94699999999999995</v>
          </cell>
          <cell r="F115">
            <v>0.95799999999999996</v>
          </cell>
          <cell r="G115">
            <v>0.94199999999999995</v>
          </cell>
          <cell r="H115">
            <v>0.95499999999999996</v>
          </cell>
          <cell r="I115">
            <v>0.98</v>
          </cell>
          <cell r="J115">
            <v>0.94299999999999995</v>
          </cell>
          <cell r="K115">
            <v>0.95599999999999996</v>
          </cell>
          <cell r="L115">
            <v>0.89300000000000002</v>
          </cell>
          <cell r="P115">
            <v>0.90500000000000003</v>
          </cell>
          <cell r="Q115">
            <v>0.88500000000000001</v>
          </cell>
          <cell r="S115">
            <v>0.94399999999999995</v>
          </cell>
          <cell r="T115">
            <v>0.90200000000000002</v>
          </cell>
          <cell r="U115">
            <v>0.92400000000000004</v>
          </cell>
          <cell r="V115">
            <v>0.89800000000000002</v>
          </cell>
          <cell r="W115">
            <v>0.91700000000000004</v>
          </cell>
          <cell r="X115">
            <v>0.95</v>
          </cell>
          <cell r="Y115">
            <v>0.92800000000000005</v>
          </cell>
          <cell r="Z115">
            <v>0.95199999999999996</v>
          </cell>
          <cell r="AA115">
            <v>0.89300000000000002</v>
          </cell>
          <cell r="AB115">
            <v>0.93074999999999997</v>
          </cell>
          <cell r="AC115">
            <v>0.94499999999999995</v>
          </cell>
          <cell r="AD115">
            <v>0.94899999999999995</v>
          </cell>
          <cell r="AE115">
            <v>0.94</v>
          </cell>
          <cell r="AF115">
            <v>0.90400000000000003</v>
          </cell>
          <cell r="AG115">
            <v>0.93449999999999989</v>
          </cell>
          <cell r="AH115">
            <v>0.95</v>
          </cell>
          <cell r="AI115">
            <v>0.94</v>
          </cell>
          <cell r="AJ115">
            <v>0.94699999999999995</v>
          </cell>
          <cell r="AK115">
            <v>0.90700000000000003</v>
          </cell>
          <cell r="AL115">
            <v>0.93599999999999994</v>
          </cell>
          <cell r="AM115">
            <v>0.95599999999999996</v>
          </cell>
          <cell r="AN115">
            <v>0.94899999999999995</v>
          </cell>
          <cell r="AO115">
            <v>0.94399999999999995</v>
          </cell>
          <cell r="AP115">
            <v>0.92100000000000004</v>
          </cell>
          <cell r="AQ115">
            <v>0.94249999999999989</v>
          </cell>
          <cell r="AR115">
            <v>0.95399999999999996</v>
          </cell>
          <cell r="AS115">
            <v>0.95299999999999996</v>
          </cell>
          <cell r="AT115">
            <v>0.95299999999999996</v>
          </cell>
          <cell r="AU115">
            <v>0.95199999999999996</v>
          </cell>
          <cell r="AV115">
            <v>0.95299999999999996</v>
          </cell>
          <cell r="AW115">
            <v>0.97199999999999998</v>
          </cell>
          <cell r="AX115">
            <v>0.95399999999999996</v>
          </cell>
          <cell r="AY115">
            <v>0.95399999999999996</v>
          </cell>
          <cell r="AZ115">
            <v>0.92700000000000005</v>
          </cell>
          <cell r="BA115">
            <v>0.95199999999999996</v>
          </cell>
          <cell r="BB115">
            <v>0.96299999999999997</v>
          </cell>
          <cell r="BC115">
            <v>0.95599999999999996</v>
          </cell>
          <cell r="BD115">
            <v>0.95799999999999996</v>
          </cell>
          <cell r="BE115">
            <v>0.93400000000000005</v>
          </cell>
          <cell r="BF115">
            <v>0.95299999999999996</v>
          </cell>
          <cell r="BG115">
            <v>0.96549999999999991</v>
          </cell>
          <cell r="BH115">
            <v>0.96099999999999997</v>
          </cell>
          <cell r="BI115">
            <v>0.96299999999999997</v>
          </cell>
          <cell r="BJ115">
            <v>0.93900000000000006</v>
          </cell>
          <cell r="BK115">
            <v>0.957125</v>
          </cell>
          <cell r="BL115">
            <v>0.97049999999999992</v>
          </cell>
          <cell r="BM115">
            <v>0.96599999999999997</v>
          </cell>
          <cell r="BN115">
            <v>0.96799999999999997</v>
          </cell>
          <cell r="BO115">
            <v>0.94400000000000006</v>
          </cell>
          <cell r="BP115">
            <v>0.9621249999999999</v>
          </cell>
          <cell r="BQ115">
            <v>0.97299999999999986</v>
          </cell>
          <cell r="BR115">
            <v>0.97099999999999997</v>
          </cell>
          <cell r="BS115">
            <v>0.97299999999999998</v>
          </cell>
          <cell r="BT115">
            <v>0.94900000000000007</v>
          </cell>
          <cell r="BU115">
            <v>0.96649999999999991</v>
          </cell>
          <cell r="BV115">
            <v>0.97549999999999981</v>
          </cell>
          <cell r="BW115">
            <v>0.97599999999999998</v>
          </cell>
          <cell r="BX115">
            <v>0.97799999999999998</v>
          </cell>
          <cell r="BY115">
            <v>0.95400000000000007</v>
          </cell>
          <cell r="BZ115">
            <v>0.97087500000000004</v>
          </cell>
        </row>
        <row r="116">
          <cell r="B116" t="str">
            <v>BEAR - Retention rate</v>
          </cell>
          <cell r="BE116">
            <v>0.90949999999999998</v>
          </cell>
          <cell r="BF116">
            <v>0.90949999999999998</v>
          </cell>
          <cell r="BG116">
            <v>0.9454999999999999</v>
          </cell>
          <cell r="BH116">
            <v>0.94099999999999995</v>
          </cell>
          <cell r="BI116">
            <v>0.94299999999999995</v>
          </cell>
          <cell r="BJ116">
            <v>0.91900000000000004</v>
          </cell>
          <cell r="BK116">
            <v>0.93712499999999999</v>
          </cell>
          <cell r="BL116">
            <v>0.9504999999999999</v>
          </cell>
          <cell r="BM116">
            <v>0.94599999999999995</v>
          </cell>
          <cell r="BN116">
            <v>0.94799999999999995</v>
          </cell>
          <cell r="BO116">
            <v>0.92400000000000004</v>
          </cell>
          <cell r="BP116">
            <v>0.94212499999999999</v>
          </cell>
          <cell r="BQ116">
            <v>0.95299999999999985</v>
          </cell>
          <cell r="BR116">
            <v>0.95099999999999996</v>
          </cell>
          <cell r="BS116">
            <v>0.95299999999999996</v>
          </cell>
          <cell r="BT116">
            <v>0.92900000000000005</v>
          </cell>
          <cell r="BU116">
            <v>0.9464999999999999</v>
          </cell>
          <cell r="BV116">
            <v>0.95549999999999979</v>
          </cell>
          <cell r="BW116">
            <v>0.95599999999999996</v>
          </cell>
          <cell r="BX116">
            <v>0.95799999999999996</v>
          </cell>
          <cell r="BY116">
            <v>0.93400000000000005</v>
          </cell>
          <cell r="BZ116">
            <v>0.95087499999999991</v>
          </cell>
        </row>
        <row r="117">
          <cell r="B117" t="str">
            <v>Cancellation rate (as % of beginning of qtr run rate)</v>
          </cell>
          <cell r="D117">
            <v>2.7000000000000024E-2</v>
          </cell>
          <cell r="E117">
            <v>4.8912576290513307E-2</v>
          </cell>
          <cell r="F117">
            <v>3.7118698283734639E-2</v>
          </cell>
          <cell r="G117">
            <v>4.8504054717356651E-2</v>
          </cell>
          <cell r="H117">
            <v>4.500000000000004E-2</v>
          </cell>
          <cell r="I117">
            <v>2.0000000000000018E-2</v>
          </cell>
          <cell r="J117">
            <v>5.3104215341077413E-2</v>
          </cell>
          <cell r="K117">
            <v>3.8651914090861175E-2</v>
          </cell>
          <cell r="L117">
            <v>8.9476382883202185E-2</v>
          </cell>
          <cell r="U117">
            <v>6.9681156012912859E-2</v>
          </cell>
          <cell r="V117">
            <v>9.4549364869638011E-2</v>
          </cell>
          <cell r="W117">
            <v>4.5730704933796856E-2</v>
          </cell>
          <cell r="X117">
            <v>5.0000000000000044E-2</v>
          </cell>
          <cell r="Y117">
            <v>6.8597668132488757E-2</v>
          </cell>
          <cell r="Z117">
            <v>4.4026628345049945E-2</v>
          </cell>
          <cell r="AA117">
            <v>9.5454095239534298E-2</v>
          </cell>
          <cell r="AB117">
            <v>6.9250000000000006E-2</v>
          </cell>
          <cell r="AC117">
            <v>5.5000000000000049E-2</v>
          </cell>
          <cell r="AD117">
            <v>4.939588785851997E-2</v>
          </cell>
          <cell r="AE117">
            <v>5.8516197252139378E-2</v>
          </cell>
          <cell r="AF117">
            <v>9.3644813465078677E-2</v>
          </cell>
          <cell r="AG117">
            <v>6.7394843946919747E-2</v>
          </cell>
          <cell r="AH117">
            <v>5.0000000000000037E-2</v>
          </cell>
          <cell r="AI117">
            <v>5.8908812055759097E-2</v>
          </cell>
          <cell r="AJ117">
            <v>5.1062237588824354E-2</v>
          </cell>
          <cell r="AK117">
            <v>8.7308030729748173E-2</v>
          </cell>
          <cell r="AL117">
            <v>6.4000000000000029E-2</v>
          </cell>
          <cell r="AM117">
            <v>3.3377208211869902E-2</v>
          </cell>
          <cell r="AN117">
            <v>5.0490883590462839E-2</v>
          </cell>
          <cell r="AO117">
            <v>5.3811659192825115E-2</v>
          </cell>
          <cell r="AP117">
            <v>7.4324324324324328E-2</v>
          </cell>
          <cell r="AQ117">
            <v>4.333653646863754E-2</v>
          </cell>
          <cell r="AR117">
            <v>3.7683944755336984E-2</v>
          </cell>
          <cell r="AS117">
            <v>4.6080000000000003E-2</v>
          </cell>
          <cell r="AT117">
            <v>4.4943820224719107E-2</v>
          </cell>
          <cell r="AU117">
            <v>4.5398773006134971E-2</v>
          </cell>
          <cell r="AV117">
            <v>3.8760628891203755E-2</v>
          </cell>
          <cell r="AW117">
            <v>3.1465093411996062E-2</v>
          </cell>
          <cell r="AX117">
            <v>4.5283018867924525E-2</v>
          </cell>
          <cell r="AY117">
            <v>4.4192634560906517E-2</v>
          </cell>
          <cell r="AZ117">
            <v>6.8073089700996681E-2</v>
          </cell>
          <cell r="BA117">
            <v>4.8753355204294663E-2</v>
          </cell>
          <cell r="BB117">
            <v>3.6979300809261088E-2</v>
          </cell>
          <cell r="BC117">
            <v>4.3272709985156699E-2</v>
          </cell>
          <cell r="BD117">
            <v>3.9620407605261053E-2</v>
          </cell>
          <cell r="BE117">
            <v>6.1385082444179867E-2</v>
          </cell>
          <cell r="BF117">
            <v>4.7219096935110005E-2</v>
          </cell>
          <cell r="BG117">
            <v>3.4500000000000086E-2</v>
          </cell>
          <cell r="BH117">
            <v>3.7951813153203388E-2</v>
          </cell>
          <cell r="BI117">
            <v>3.5102717767108438E-2</v>
          </cell>
          <cell r="BJ117">
            <v>5.6629496010285274E-2</v>
          </cell>
          <cell r="BK117">
            <v>4.2875000000000031E-2</v>
          </cell>
          <cell r="BL117">
            <v>2.9500000000000082E-2</v>
          </cell>
          <cell r="BM117">
            <v>3.3055808514954571E-2</v>
          </cell>
          <cell r="BN117">
            <v>3.0304771855604734E-2</v>
          </cell>
          <cell r="BO117">
            <v>5.1849726034889236E-2</v>
          </cell>
          <cell r="BP117">
            <v>3.7875000000000027E-2</v>
          </cell>
          <cell r="BQ117">
            <v>2.7000000000000135E-2</v>
          </cell>
          <cell r="BR117">
            <v>2.8189090747855146E-2</v>
          </cell>
          <cell r="BS117">
            <v>2.5544681496406707E-2</v>
          </cell>
          <cell r="BT117">
            <v>4.7137128214199193E-2</v>
          </cell>
          <cell r="BU117">
            <v>3.350000000000003E-2</v>
          </cell>
          <cell r="BV117">
            <v>2.4500000000000188E-2</v>
          </cell>
          <cell r="BW117">
            <v>2.3326039943600788E-2</v>
          </cell>
          <cell r="BX117">
            <v>2.0796901832418373E-2</v>
          </cell>
          <cell r="BY117">
            <v>4.2449815404590294E-2</v>
          </cell>
          <cell r="BZ117">
            <v>2.912500000000004E-2</v>
          </cell>
        </row>
        <row r="119">
          <cell r="B119" t="str">
            <v>Run rate var</v>
          </cell>
          <cell r="AN119">
            <v>-9.9999999999965894E-2</v>
          </cell>
          <cell r="AO119">
            <v>0</v>
          </cell>
          <cell r="AP119">
            <v>-9.9999999999965894E-2</v>
          </cell>
          <cell r="AR119">
            <v>0</v>
          </cell>
          <cell r="AS119">
            <v>0</v>
          </cell>
          <cell r="AT119">
            <v>0</v>
          </cell>
          <cell r="AU119">
            <v>0.10000000000002274</v>
          </cell>
          <cell r="AW119">
            <v>9.9999999999965894E-2</v>
          </cell>
          <cell r="AX119">
            <v>-0.10000000000002274</v>
          </cell>
          <cell r="AY119">
            <v>0.29999999999995453</v>
          </cell>
          <cell r="AZ119">
            <v>0.10000000000002274</v>
          </cell>
        </row>
        <row r="131">
          <cell r="B131" t="str">
            <v>Subtotal</v>
          </cell>
          <cell r="I131">
            <v>34.138562499999999</v>
          </cell>
          <cell r="J131">
            <v>35.992625000000004</v>
          </cell>
          <cell r="K131">
            <v>37.986812499999999</v>
          </cell>
          <cell r="L131">
            <v>39.915749999999996</v>
          </cell>
          <cell r="U131">
            <v>52.989031250000004</v>
          </cell>
          <cell r="V131">
            <v>55.158749999999998</v>
          </cell>
          <cell r="W131">
            <v>108.14778125000001</v>
          </cell>
          <cell r="X131">
            <v>57.3046875</v>
          </cell>
          <cell r="Y131">
            <v>59.542000000000002</v>
          </cell>
          <cell r="Z131">
            <v>61.78246875</v>
          </cell>
          <cell r="AA131">
            <v>63.939406249999998</v>
          </cell>
          <cell r="AB131">
            <v>242.56856249999998</v>
          </cell>
          <cell r="AC131">
            <v>65.948593750000001</v>
          </cell>
          <cell r="AD131">
            <v>67.786249999999995</v>
          </cell>
          <cell r="AE131">
            <v>69.542468749999998</v>
          </cell>
          <cell r="AF131">
            <v>72.551562499999989</v>
          </cell>
          <cell r="AG131">
            <v>275.82887499999998</v>
          </cell>
          <cell r="AH131">
            <v>76.737562499999996</v>
          </cell>
          <cell r="AI131">
            <v>80.829906249999993</v>
          </cell>
          <cell r="AJ131">
            <v>84.970031250000005</v>
          </cell>
          <cell r="AK131">
            <v>88.118781249999998</v>
          </cell>
          <cell r="AL131">
            <v>330.65628125000001</v>
          </cell>
          <cell r="AM131">
            <v>76.737562499999996</v>
          </cell>
          <cell r="AN131">
            <v>80.829906249999993</v>
          </cell>
          <cell r="AO131">
            <v>84.970031250000005</v>
          </cell>
          <cell r="AP131">
            <v>88.118781249999998</v>
          </cell>
          <cell r="AQ131">
            <v>330.65628125000001</v>
          </cell>
          <cell r="AR131">
            <v>74.365624999999994</v>
          </cell>
          <cell r="AS131">
            <v>76.171875</v>
          </cell>
          <cell r="AT131">
            <v>78.0625</v>
          </cell>
          <cell r="AU131">
            <v>78.237500000000011</v>
          </cell>
          <cell r="AV131">
            <v>306.83749999999998</v>
          </cell>
          <cell r="AW131">
            <v>81.887500000000003</v>
          </cell>
          <cell r="AX131">
            <v>83.90625</v>
          </cell>
          <cell r="AY131">
            <v>86.024999999999991</v>
          </cell>
          <cell r="AZ131">
            <v>88.173593749999995</v>
          </cell>
          <cell r="BA131">
            <v>339.99234374999997</v>
          </cell>
          <cell r="BB131">
            <v>90.288499999999999</v>
          </cell>
          <cell r="BC131">
            <v>92.438531250000011</v>
          </cell>
          <cell r="BD131">
            <v>94.597281249999995</v>
          </cell>
          <cell r="BE131">
            <v>96.855874999999997</v>
          </cell>
          <cell r="BF131">
            <v>374.18018749999999</v>
          </cell>
          <cell r="BG131">
            <v>99.268825074218739</v>
          </cell>
          <cell r="BH131">
            <v>101.78050873046875</v>
          </cell>
          <cell r="BI131">
            <v>104.39149829296875</v>
          </cell>
          <cell r="BJ131">
            <v>107.11000346484377</v>
          </cell>
          <cell r="BK131">
            <v>412.55083556249997</v>
          </cell>
          <cell r="BL131">
            <v>109.94133183799465</v>
          </cell>
          <cell r="BM131">
            <v>112.87442615366946</v>
          </cell>
          <cell r="BN131">
            <v>115.90350377956105</v>
          </cell>
          <cell r="BO131">
            <v>119.03520425136672</v>
          </cell>
          <cell r="BP131">
            <v>457.75446602259188</v>
          </cell>
          <cell r="BQ131">
            <v>122.27233061590462</v>
          </cell>
          <cell r="BR131">
            <v>125.61483469798983</v>
          </cell>
          <cell r="BS131">
            <v>129.06612365571075</v>
          </cell>
          <cell r="BT131">
            <v>132.63314123642823</v>
          </cell>
          <cell r="BU131">
            <v>509.58643020603341</v>
          </cell>
          <cell r="BV131">
            <v>136.31818612631787</v>
          </cell>
          <cell r="BW131">
            <v>140.12203195617514</v>
          </cell>
          <cell r="BX131">
            <v>144.04967628615103</v>
          </cell>
          <cell r="BY131">
            <v>148.1084179637335</v>
          </cell>
          <cell r="BZ131">
            <v>568.59831233237753</v>
          </cell>
        </row>
        <row r="132">
          <cell r="B132" t="str">
            <v>Adjustments (FX, Other)</v>
          </cell>
          <cell r="I132">
            <v>4.6704374999999985</v>
          </cell>
          <cell r="J132">
            <v>5.8113749999999982</v>
          </cell>
          <cell r="K132">
            <v>5.6791874999999976</v>
          </cell>
          <cell r="L132">
            <v>5.6222500000000011</v>
          </cell>
          <cell r="U132">
            <v>5.9949687499999982</v>
          </cell>
          <cell r="V132">
            <v>5.984250000000003</v>
          </cell>
          <cell r="W132">
            <v>11.979218750000001</v>
          </cell>
          <cell r="X132">
            <v>4.8543124999999989</v>
          </cell>
          <cell r="Y132">
            <v>6.7330000000000041</v>
          </cell>
          <cell r="Z132">
            <v>4.4965312499999968</v>
          </cell>
          <cell r="AA132">
            <v>5.7375937500000092</v>
          </cell>
          <cell r="AB132">
            <v>21.821437500000009</v>
          </cell>
          <cell r="AC132">
            <v>5.6904062499999952</v>
          </cell>
          <cell r="AD132">
            <v>8.0427499999999981</v>
          </cell>
          <cell r="AE132">
            <v>4.3515312500000078</v>
          </cell>
          <cell r="AF132">
            <v>6.7164375000000121</v>
          </cell>
          <cell r="AG132">
            <v>24.801125000000013</v>
          </cell>
          <cell r="AH132">
            <v>8.1504375000000095</v>
          </cell>
          <cell r="AI132">
            <v>14.370093750000009</v>
          </cell>
          <cell r="AJ132">
            <v>7.8449687499999925</v>
          </cell>
          <cell r="AK132">
            <v>5.652218750000003</v>
          </cell>
          <cell r="AL132">
            <v>36.017718750000014</v>
          </cell>
          <cell r="AM132">
            <v>-6.4375624999999985</v>
          </cell>
          <cell r="AN132">
            <v>-9.5299062499999962</v>
          </cell>
          <cell r="AO132">
            <v>-10.370031250000011</v>
          </cell>
          <cell r="AP132">
            <v>-12.118781249999998</v>
          </cell>
          <cell r="AQ132">
            <v>-38.456281250000004</v>
          </cell>
          <cell r="AR132">
            <v>2.5343750000000114</v>
          </cell>
          <cell r="AS132">
            <v>3.2281250000000057</v>
          </cell>
          <cell r="AT132">
            <v>3.2374999999999972</v>
          </cell>
          <cell r="AU132">
            <v>4.2624999999999886</v>
          </cell>
          <cell r="AV132">
            <v>13.262500000000003</v>
          </cell>
          <cell r="AW132">
            <v>3.2124999999999915</v>
          </cell>
          <cell r="AX132">
            <v>3.59375</v>
          </cell>
          <cell r="AY132">
            <v>3.0750000000000028</v>
          </cell>
          <cell r="AZ132">
            <v>3.2334062500000016</v>
          </cell>
          <cell r="BA132">
            <v>13.114656249999996</v>
          </cell>
          <cell r="BB132">
            <v>3.3564999999999969</v>
          </cell>
          <cell r="BC132">
            <v>4.7004687499999847</v>
          </cell>
          <cell r="BD132">
            <v>4.0277187500000053</v>
          </cell>
          <cell r="BE132">
            <v>3.0831249999999955</v>
          </cell>
          <cell r="BF132">
            <v>15.167812499999982</v>
          </cell>
          <cell r="BG132">
            <v>3.3564999999999969</v>
          </cell>
          <cell r="BH132">
            <v>4.7004687499999847</v>
          </cell>
          <cell r="BI132">
            <v>4.0277187500000053</v>
          </cell>
          <cell r="BJ132">
            <v>3.0831249999999955</v>
          </cell>
          <cell r="BK132">
            <v>15.167812499999982</v>
          </cell>
          <cell r="BL132">
            <v>3.3564999999999969</v>
          </cell>
          <cell r="BM132">
            <v>4.7004687499999847</v>
          </cell>
          <cell r="BN132">
            <v>4.0277187500000053</v>
          </cell>
          <cell r="BO132">
            <v>3.0831249999999955</v>
          </cell>
          <cell r="BP132">
            <v>15.167812499999982</v>
          </cell>
          <cell r="BQ132">
            <v>3.3564999999999969</v>
          </cell>
          <cell r="BR132">
            <v>4.7004687499999847</v>
          </cell>
          <cell r="BS132">
            <v>4.0277187500000053</v>
          </cell>
          <cell r="BT132">
            <v>3.0831249999999955</v>
          </cell>
          <cell r="BU132">
            <v>15.167812499999982</v>
          </cell>
          <cell r="BV132">
            <v>3.3564999999999969</v>
          </cell>
          <cell r="BW132">
            <v>4.7004687499999847</v>
          </cell>
          <cell r="BX132">
            <v>4.0277187500000053</v>
          </cell>
          <cell r="BY132">
            <v>3.0831249999999955</v>
          </cell>
          <cell r="BZ132">
            <v>15.167812499999982</v>
          </cell>
        </row>
        <row r="133">
          <cell r="B133" t="str">
            <v>Equity Indices subscription revenue</v>
          </cell>
          <cell r="D133">
            <v>33.154000000000003</v>
          </cell>
          <cell r="E133">
            <v>33.189</v>
          </cell>
          <cell r="F133">
            <v>33.405000000000001</v>
          </cell>
          <cell r="G133">
            <v>37.341000000000001</v>
          </cell>
          <cell r="I133">
            <v>38.808999999999997</v>
          </cell>
          <cell r="J133">
            <v>41.804000000000002</v>
          </cell>
          <cell r="K133">
            <v>43.665999999999997</v>
          </cell>
          <cell r="L133">
            <v>45.537999999999997</v>
          </cell>
          <cell r="U133">
            <v>58.984000000000002</v>
          </cell>
          <cell r="V133">
            <v>61.143000000000001</v>
          </cell>
          <cell r="W133">
            <v>120.12700000000001</v>
          </cell>
          <cell r="X133">
            <v>62.158999999999999</v>
          </cell>
          <cell r="Y133">
            <v>66.275000000000006</v>
          </cell>
          <cell r="Z133">
            <v>66.278999999999996</v>
          </cell>
          <cell r="AA133">
            <v>69.677000000000007</v>
          </cell>
          <cell r="AB133">
            <v>264.39</v>
          </cell>
          <cell r="AC133">
            <v>71.638999999999996</v>
          </cell>
          <cell r="AD133">
            <v>75.828999999999994</v>
          </cell>
          <cell r="AE133">
            <v>73.894000000000005</v>
          </cell>
          <cell r="AF133">
            <v>79.268000000000001</v>
          </cell>
          <cell r="AG133">
            <v>300.63</v>
          </cell>
          <cell r="AH133">
            <v>84.888000000000005</v>
          </cell>
          <cell r="AI133">
            <v>95.2</v>
          </cell>
          <cell r="AJ133">
            <v>92.814999999999998</v>
          </cell>
          <cell r="AK133">
            <v>93.771000000000001</v>
          </cell>
          <cell r="AL133">
            <v>366.67400000000004</v>
          </cell>
          <cell r="AM133">
            <v>70.3</v>
          </cell>
          <cell r="AN133">
            <v>71.3</v>
          </cell>
          <cell r="AO133">
            <v>74.599999999999994</v>
          </cell>
          <cell r="AP133">
            <v>76</v>
          </cell>
          <cell r="AQ133">
            <v>292.2</v>
          </cell>
          <cell r="AR133">
            <v>76.900000000000006</v>
          </cell>
          <cell r="AS133">
            <v>79.400000000000006</v>
          </cell>
          <cell r="AT133">
            <v>81.3</v>
          </cell>
          <cell r="AU133">
            <v>82.5</v>
          </cell>
          <cell r="AV133">
            <v>320.10000000000002</v>
          </cell>
          <cell r="AW133">
            <v>85.1</v>
          </cell>
          <cell r="AX133">
            <v>87.5</v>
          </cell>
          <cell r="AY133">
            <v>89.1</v>
          </cell>
          <cell r="AZ133">
            <v>91.406999999999996</v>
          </cell>
          <cell r="BA133">
            <v>353.10699999999997</v>
          </cell>
          <cell r="BB133">
            <v>93.644999999999996</v>
          </cell>
          <cell r="BC133">
            <v>97.138999999999996</v>
          </cell>
          <cell r="BD133">
            <v>98.625</v>
          </cell>
          <cell r="BE133">
            <v>99.938999999999993</v>
          </cell>
          <cell r="BF133">
            <v>389.34799999999996</v>
          </cell>
          <cell r="BG133">
            <v>102.62532507421874</v>
          </cell>
          <cell r="BH133">
            <v>106.48097748046874</v>
          </cell>
          <cell r="BI133">
            <v>108.41921704296875</v>
          </cell>
          <cell r="BJ133">
            <v>110.19312846484377</v>
          </cell>
          <cell r="BK133">
            <v>427.71864806249999</v>
          </cell>
          <cell r="BL133">
            <v>113.29783183799465</v>
          </cell>
          <cell r="BM133">
            <v>117.57489490366945</v>
          </cell>
          <cell r="BN133">
            <v>119.93122252956105</v>
          </cell>
          <cell r="BO133">
            <v>122.11832925136672</v>
          </cell>
          <cell r="BP133">
            <v>472.92227852259191</v>
          </cell>
          <cell r="BQ133">
            <v>125.62883061590462</v>
          </cell>
          <cell r="BR133">
            <v>130.31530344798983</v>
          </cell>
          <cell r="BS133">
            <v>133.09384240571075</v>
          </cell>
          <cell r="BT133">
            <v>135.71626623642823</v>
          </cell>
          <cell r="BU133">
            <v>524.75424270603344</v>
          </cell>
          <cell r="BV133">
            <v>139.67468612631785</v>
          </cell>
          <cell r="BW133">
            <v>144.82250070617511</v>
          </cell>
          <cell r="BX133">
            <v>148.07739503615102</v>
          </cell>
          <cell r="BY133">
            <v>151.1915429637335</v>
          </cell>
          <cell r="BZ133">
            <v>583.7661248323775</v>
          </cell>
          <cell r="CB133">
            <v>8.4376727504433147E-2</v>
          </cell>
        </row>
        <row r="134">
          <cell r="Z134">
            <v>0.12367760748677603</v>
          </cell>
          <cell r="AA134">
            <v>0.13957444024663501</v>
          </cell>
          <cell r="AC134">
            <v>0.15251210605061205</v>
          </cell>
          <cell r="AD134">
            <v>0.14415692191625773</v>
          </cell>
          <cell r="AE134">
            <v>0.11489310339624925</v>
          </cell>
          <cell r="AF134">
            <v>0.13764943955681197</v>
          </cell>
          <cell r="AG134">
            <v>0.13707023714966526</v>
          </cell>
          <cell r="AH134">
            <v>0.18494116333282173</v>
          </cell>
          <cell r="AI134">
            <v>0.25545635574780112</v>
          </cell>
          <cell r="AJ134">
            <v>0.25605597206809749</v>
          </cell>
          <cell r="AK134">
            <v>0.1829615986274411</v>
          </cell>
          <cell r="AL134">
            <v>0.21968532747896097</v>
          </cell>
          <cell r="AM134">
            <v>-1.869093650106779E-2</v>
          </cell>
          <cell r="AN134">
            <v>-5.9726489865354893E-2</v>
          </cell>
          <cell r="AO134">
            <v>9.5542263241938929E-3</v>
          </cell>
          <cell r="AP134">
            <v>-4.122722914669219E-2</v>
          </cell>
          <cell r="AQ134">
            <v>-2.8041113661311234E-2</v>
          </cell>
          <cell r="AR134">
            <v>9.3883357041251836E-2</v>
          </cell>
          <cell r="AS134">
            <v>0.1136044880785414</v>
          </cell>
          <cell r="AT134">
            <v>8.9812332439678233E-2</v>
          </cell>
          <cell r="AU134">
            <v>8.5526315789473673E-2</v>
          </cell>
          <cell r="AV134">
            <v>-0.12701745965080702</v>
          </cell>
          <cell r="AW134">
            <v>0.10663198959687881</v>
          </cell>
          <cell r="AX134">
            <v>0.10201511335012592</v>
          </cell>
          <cell r="AY134">
            <v>9.5940959409594129E-2</v>
          </cell>
          <cell r="AZ134">
            <v>0.10796363636363626</v>
          </cell>
          <cell r="BA134">
            <v>0.10311465167135259</v>
          </cell>
          <cell r="BB134">
            <v>0.10041128084606354</v>
          </cell>
          <cell r="BC134">
            <v>0.11016000000000004</v>
          </cell>
          <cell r="BD134">
            <v>0.10690235690235705</v>
          </cell>
          <cell r="BE134">
            <v>9.3340772588532461E-2</v>
          </cell>
          <cell r="BF134">
            <v>0.10263461217138148</v>
          </cell>
          <cell r="BG134">
            <v>9.5897539369093288E-2</v>
          </cell>
          <cell r="BH134">
            <v>9.6171233803814538E-2</v>
          </cell>
          <cell r="BI134">
            <v>9.9307650625792165E-2</v>
          </cell>
          <cell r="BJ134">
            <v>0.1026038730109744</v>
          </cell>
          <cell r="BK134">
            <v>9.8551034196914022E-2</v>
          </cell>
          <cell r="BL134">
            <v>0.1039948643871047</v>
          </cell>
          <cell r="BM134">
            <v>0.10418684807092049</v>
          </cell>
          <cell r="BN134">
            <v>0.10618048903664246</v>
          </cell>
          <cell r="BO134">
            <v>0.1082209113459156</v>
          </cell>
          <cell r="BP134">
            <v>0.1056854328537169</v>
          </cell>
          <cell r="BQ134">
            <v>0.10883702342638069</v>
          </cell>
          <cell r="BR134">
            <v>0.10835993988987846</v>
          </cell>
          <cell r="BS134">
            <v>0.1097514024999231</v>
          </cell>
          <cell r="BT134">
            <v>0.11135049970321576</v>
          </cell>
          <cell r="BU134">
            <v>0.10959932855217658</v>
          </cell>
          <cell r="BV134">
            <v>0.11180439586639768</v>
          </cell>
          <cell r="BW134">
            <v>0.11132381903231536</v>
          </cell>
          <cell r="BX134">
            <v>0.11257885683971636</v>
          </cell>
          <cell r="BY134">
            <v>0.11402669080466854</v>
          </cell>
          <cell r="BZ134">
            <v>0.11245622678919909</v>
          </cell>
        </row>
        <row r="136">
          <cell r="B136" t="str">
            <v>Index Non-Recurring</v>
          </cell>
          <cell r="AM136">
            <v>1.6</v>
          </cell>
          <cell r="AN136">
            <v>1.6</v>
          </cell>
          <cell r="AO136">
            <v>1.4</v>
          </cell>
          <cell r="AP136">
            <v>2.1</v>
          </cell>
          <cell r="AQ136">
            <v>6.6999999999999993</v>
          </cell>
          <cell r="AR136">
            <v>1.3</v>
          </cell>
          <cell r="AS136">
            <v>2</v>
          </cell>
          <cell r="AT136">
            <v>1.9</v>
          </cell>
          <cell r="AU136">
            <v>1.5</v>
          </cell>
          <cell r="AV136">
            <v>6.6999999999999993</v>
          </cell>
          <cell r="AW136">
            <v>2.6</v>
          </cell>
          <cell r="AX136">
            <v>1.4</v>
          </cell>
          <cell r="AY136">
            <v>1.7</v>
          </cell>
          <cell r="AZ136">
            <v>2.097</v>
          </cell>
          <cell r="BA136">
            <v>7.7970000000000006</v>
          </cell>
          <cell r="BB136">
            <v>2.2690000000000001</v>
          </cell>
          <cell r="BC136">
            <v>5.3440000000000003</v>
          </cell>
          <cell r="BD136">
            <v>3.004</v>
          </cell>
          <cell r="BE136">
            <v>3.3570000000000002</v>
          </cell>
          <cell r="BF136">
            <v>13.974</v>
          </cell>
          <cell r="BG136">
            <v>3.4935</v>
          </cell>
          <cell r="BH136">
            <v>3.4935</v>
          </cell>
          <cell r="BI136">
            <v>3.4935</v>
          </cell>
          <cell r="BJ136">
            <v>3.4935</v>
          </cell>
          <cell r="BK136">
            <v>13.974</v>
          </cell>
          <cell r="BL136">
            <v>3.4935</v>
          </cell>
          <cell r="BM136">
            <v>3.4935</v>
          </cell>
          <cell r="BN136">
            <v>3.4935</v>
          </cell>
          <cell r="BO136">
            <v>3.4935</v>
          </cell>
          <cell r="BP136">
            <v>13.974</v>
          </cell>
          <cell r="BQ136">
            <v>3.4935</v>
          </cell>
          <cell r="BR136">
            <v>3.4935</v>
          </cell>
          <cell r="BS136">
            <v>3.4935</v>
          </cell>
          <cell r="BT136">
            <v>3.4935</v>
          </cell>
          <cell r="BU136">
            <v>13.974</v>
          </cell>
          <cell r="BV136">
            <v>3.4935</v>
          </cell>
          <cell r="BW136">
            <v>3.4935</v>
          </cell>
          <cell r="BX136">
            <v>3.4935</v>
          </cell>
          <cell r="BY136">
            <v>3.4935</v>
          </cell>
          <cell r="BZ136">
            <v>13.974</v>
          </cell>
          <cell r="CB136">
            <v>0</v>
          </cell>
        </row>
        <row r="137">
          <cell r="B137" t="str">
            <v>y/y change</v>
          </cell>
          <cell r="AR137">
            <v>-0.1875</v>
          </cell>
          <cell r="AS137">
            <v>0.25</v>
          </cell>
          <cell r="AT137">
            <v>0.35714285714285721</v>
          </cell>
          <cell r="AU137">
            <v>-0.2857142857142857</v>
          </cell>
          <cell r="AV137">
            <v>0</v>
          </cell>
          <cell r="AW137">
            <v>1</v>
          </cell>
          <cell r="AX137">
            <v>-0.30000000000000004</v>
          </cell>
          <cell r="AY137">
            <v>-0.10526315789473684</v>
          </cell>
          <cell r="AZ137">
            <v>0.39799999999999991</v>
          </cell>
          <cell r="BA137">
            <v>0.1637313432835823</v>
          </cell>
          <cell r="BB137">
            <v>-0.12730769230769223</v>
          </cell>
          <cell r="BC137">
            <v>2.8171428571428576</v>
          </cell>
          <cell r="BD137">
            <v>0.76705882352941179</v>
          </cell>
          <cell r="BE137">
            <v>0.6008583690987126</v>
          </cell>
          <cell r="BF137">
            <v>0.79222777991535187</v>
          </cell>
          <cell r="BG137">
            <v>0.53966505068312021</v>
          </cell>
          <cell r="BH137">
            <v>-0.34627619760479045</v>
          </cell>
          <cell r="BI137">
            <v>0.16294940079893472</v>
          </cell>
          <cell r="BJ137">
            <v>4.0661304736371751E-2</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row>
        <row r="139">
          <cell r="C139">
            <v>2006</v>
          </cell>
          <cell r="D139" t="str">
            <v>1Q07</v>
          </cell>
          <cell r="E139" t="str">
            <v>2Q07</v>
          </cell>
          <cell r="F139" t="str">
            <v>3Q07</v>
          </cell>
          <cell r="G139" t="str">
            <v>4Q07</v>
          </cell>
          <cell r="H139">
            <v>2007</v>
          </cell>
          <cell r="I139" t="str">
            <v>1Q08</v>
          </cell>
          <cell r="J139" t="str">
            <v>2Q08</v>
          </cell>
          <cell r="K139" t="str">
            <v>3Q08</v>
          </cell>
          <cell r="L139" t="str">
            <v>4Q08</v>
          </cell>
          <cell r="P139" t="str">
            <v>3Q09</v>
          </cell>
          <cell r="Q139" t="str">
            <v>4Q09</v>
          </cell>
          <cell r="R139">
            <v>2009</v>
          </cell>
          <cell r="S139" t="str">
            <v>1Q10</v>
          </cell>
          <cell r="T139" t="str">
            <v>2Q10</v>
          </cell>
          <cell r="U139" t="str">
            <v>3Q10</v>
          </cell>
          <cell r="V139" t="str">
            <v>4Q10</v>
          </cell>
          <cell r="W139">
            <v>2010</v>
          </cell>
          <cell r="X139" t="str">
            <v>1Q11</v>
          </cell>
          <cell r="Y139" t="str">
            <v>2Q11</v>
          </cell>
          <cell r="Z139" t="str">
            <v>3Q11</v>
          </cell>
          <cell r="AA139" t="str">
            <v>4Q11</v>
          </cell>
          <cell r="AB139">
            <v>2011</v>
          </cell>
          <cell r="AC139" t="str">
            <v>1Q12</v>
          </cell>
          <cell r="AD139" t="str">
            <v>2Q12</v>
          </cell>
          <cell r="AE139" t="str">
            <v>3Q12</v>
          </cell>
          <cell r="AF139" t="str">
            <v>4Q12</v>
          </cell>
          <cell r="AG139">
            <v>2012</v>
          </cell>
          <cell r="AH139" t="str">
            <v>1Q13</v>
          </cell>
          <cell r="AI139" t="str">
            <v>2Q13</v>
          </cell>
          <cell r="AJ139" t="str">
            <v>3Q13</v>
          </cell>
          <cell r="AK139" t="str">
            <v>4Q13</v>
          </cell>
          <cell r="AL139">
            <v>2013</v>
          </cell>
          <cell r="AM139" t="str">
            <v>1Q13R</v>
          </cell>
          <cell r="AN139" t="str">
            <v>2Q13R</v>
          </cell>
          <cell r="AO139" t="str">
            <v>3Q13R</v>
          </cell>
          <cell r="AP139" t="str">
            <v>4Q13R</v>
          </cell>
          <cell r="AQ139" t="str">
            <v>2013R</v>
          </cell>
          <cell r="AR139" t="str">
            <v>1Q14</v>
          </cell>
          <cell r="AS139" t="str">
            <v>2Q14</v>
          </cell>
          <cell r="AT139" t="str">
            <v>3Q14</v>
          </cell>
          <cell r="AU139" t="str">
            <v>4Q14</v>
          </cell>
          <cell r="AV139">
            <v>2014</v>
          </cell>
          <cell r="AW139" t="str">
            <v>1Q15</v>
          </cell>
          <cell r="AX139" t="str">
            <v>2Q15</v>
          </cell>
          <cell r="AY139" t="str">
            <v>3Q15</v>
          </cell>
          <cell r="AZ139" t="str">
            <v>4Q15</v>
          </cell>
          <cell r="BA139">
            <v>2015</v>
          </cell>
          <cell r="BB139" t="str">
            <v>1Q16</v>
          </cell>
          <cell r="BC139" t="str">
            <v>2Q16</v>
          </cell>
          <cell r="BD139" t="str">
            <v>3Q16</v>
          </cell>
          <cell r="BE139" t="str">
            <v>4Q16</v>
          </cell>
          <cell r="BF139" t="str">
            <v>2016E</v>
          </cell>
          <cell r="BG139" t="str">
            <v>1Q17E</v>
          </cell>
          <cell r="BH139" t="str">
            <v>2Q17E</v>
          </cell>
          <cell r="BI139" t="str">
            <v>3Q17E</v>
          </cell>
          <cell r="BJ139" t="str">
            <v>4Q17E</v>
          </cell>
          <cell r="BK139" t="str">
            <v>2017E</v>
          </cell>
          <cell r="BL139" t="str">
            <v>1Q18E</v>
          </cell>
          <cell r="BM139" t="str">
            <v>2Q18E</v>
          </cell>
          <cell r="BN139" t="str">
            <v>3Q18E</v>
          </cell>
          <cell r="BO139" t="str">
            <v>4Q18E</v>
          </cell>
          <cell r="BP139" t="str">
            <v>2018E</v>
          </cell>
          <cell r="BQ139" t="str">
            <v>1Q19E</v>
          </cell>
          <cell r="BR139" t="str">
            <v>2Q19E</v>
          </cell>
          <cell r="BS139" t="str">
            <v>3Q19E</v>
          </cell>
          <cell r="BT139" t="str">
            <v>4Q19E</v>
          </cell>
          <cell r="BU139" t="str">
            <v>2019E</v>
          </cell>
          <cell r="BV139" t="str">
            <v>1Q20E</v>
          </cell>
          <cell r="BW139" t="str">
            <v>2Q20E</v>
          </cell>
          <cell r="BX139" t="str">
            <v>3Q20E</v>
          </cell>
          <cell r="BY139" t="str">
            <v>4Q20E</v>
          </cell>
          <cell r="BZ139" t="str">
            <v>2020E</v>
          </cell>
        </row>
        <row r="140">
          <cell r="A140" t="str">
            <v>Portfolio Management Analytics</v>
          </cell>
        </row>
        <row r="142">
          <cell r="B142" t="str">
            <v>Annualized run rate</v>
          </cell>
          <cell r="C142">
            <v>107.02640706645369</v>
          </cell>
          <cell r="D142">
            <v>111.604</v>
          </cell>
          <cell r="E142">
            <v>116.24299999999999</v>
          </cell>
          <cell r="F142">
            <v>121.47499999999999</v>
          </cell>
          <cell r="G142">
            <v>124.66800000000001</v>
          </cell>
          <cell r="H142">
            <v>124.66800000000001</v>
          </cell>
          <cell r="I142">
            <v>132.45699999999999</v>
          </cell>
          <cell r="J142">
            <v>134.50899999999999</v>
          </cell>
          <cell r="K142">
            <v>134.172</v>
          </cell>
          <cell r="L142">
            <v>129.16800000000001</v>
          </cell>
          <cell r="P142">
            <v>125.01900000000001</v>
          </cell>
          <cell r="Q142">
            <v>122.19199999999999</v>
          </cell>
          <cell r="R142">
            <v>122.19199999999999</v>
          </cell>
          <cell r="S142">
            <v>121.53</v>
          </cell>
          <cell r="T142">
            <v>121.52500000000001</v>
          </cell>
          <cell r="U142">
            <v>122.32299999999999</v>
          </cell>
          <cell r="V142">
            <v>115.158</v>
          </cell>
          <cell r="W142">
            <v>115.158</v>
          </cell>
          <cell r="X142">
            <v>116.839</v>
          </cell>
          <cell r="Y142">
            <v>118.452</v>
          </cell>
          <cell r="Z142">
            <v>119.22</v>
          </cell>
          <cell r="AA142">
            <v>118.354</v>
          </cell>
          <cell r="AB142">
            <v>118.354</v>
          </cell>
          <cell r="AC142">
            <v>117.751</v>
          </cell>
          <cell r="AD142">
            <v>117.15300000000001</v>
          </cell>
          <cell r="AE142">
            <v>115.958</v>
          </cell>
          <cell r="AF142">
            <v>109.836</v>
          </cell>
          <cell r="AG142">
            <v>109.836</v>
          </cell>
          <cell r="AH142">
            <v>106.09099999999999</v>
          </cell>
          <cell r="AI142">
            <v>104.524</v>
          </cell>
          <cell r="AJ142">
            <v>104.938</v>
          </cell>
          <cell r="AK142">
            <v>103.125</v>
          </cell>
          <cell r="AL142">
            <v>103.125</v>
          </cell>
          <cell r="AM142">
            <v>106.09099999999999</v>
          </cell>
          <cell r="AN142">
            <v>104.524</v>
          </cell>
          <cell r="AO142">
            <v>104.938</v>
          </cell>
          <cell r="AP142">
            <v>103.125</v>
          </cell>
          <cell r="AQ142">
            <v>103.125</v>
          </cell>
          <cell r="AR142">
            <v>103.53100000000001</v>
          </cell>
          <cell r="AS142">
            <v>106.486</v>
          </cell>
          <cell r="AT142">
            <v>106.99299999999999</v>
          </cell>
          <cell r="AU142">
            <v>107.33799999999999</v>
          </cell>
          <cell r="AV142">
            <v>107.33799999999999</v>
          </cell>
          <cell r="AW142">
            <v>108.364</v>
          </cell>
          <cell r="AX142">
            <v>109.532</v>
          </cell>
          <cell r="AY142">
            <v>110.7</v>
          </cell>
          <cell r="AZ142">
            <v>112.6394265</v>
          </cell>
          <cell r="BA142">
            <v>112.6394265</v>
          </cell>
          <cell r="BB142">
            <v>114.29295768324999</v>
          </cell>
          <cell r="BC142">
            <v>115.95440714599999</v>
          </cell>
          <cell r="BD142">
            <v>117.329853024375</v>
          </cell>
          <cell r="BE142">
            <v>119.68958134012499</v>
          </cell>
          <cell r="BF142">
            <v>119.68958134012499</v>
          </cell>
          <cell r="BG142">
            <v>121.59063450399255</v>
          </cell>
          <cell r="BH142">
            <v>123.63736838855564</v>
          </cell>
          <cell r="BI142">
            <v>125.34316215649451</v>
          </cell>
          <cell r="BJ142">
            <v>128.14957520373787</v>
          </cell>
          <cell r="BK142">
            <v>128.14957520373787</v>
          </cell>
          <cell r="BL142">
            <v>130.182108487265</v>
          </cell>
          <cell r="BM142">
            <v>132.53105443441268</v>
          </cell>
          <cell r="BN142">
            <v>134.51570522658372</v>
          </cell>
          <cell r="BO142">
            <v>137.67767132413886</v>
          </cell>
          <cell r="BP142">
            <v>137.67767132413886</v>
          </cell>
          <cell r="BQ142">
            <v>139.84160823331814</v>
          </cell>
          <cell r="BR142">
            <v>142.34717363478021</v>
          </cell>
          <cell r="BS142">
            <v>144.46642838201814</v>
          </cell>
          <cell r="BT142">
            <v>147.84304059612847</v>
          </cell>
          <cell r="BU142">
            <v>147.84304059612847</v>
          </cell>
          <cell r="BV142">
            <v>150.14815840950399</v>
          </cell>
          <cell r="BW142">
            <v>152.82172233715818</v>
          </cell>
          <cell r="BX142">
            <v>155.08523344153818</v>
          </cell>
          <cell r="BY142">
            <v>158.69187332328463</v>
          </cell>
          <cell r="BZ142">
            <v>158.69187332328463</v>
          </cell>
        </row>
        <row r="143">
          <cell r="B143" t="str">
            <v>Revenue</v>
          </cell>
          <cell r="AR143">
            <v>-2.4130227823283668E-2</v>
          </cell>
          <cell r="AS143">
            <v>1.8770808618116419E-2</v>
          </cell>
          <cell r="AT143">
            <v>1.9582991861861299E-2</v>
          </cell>
          <cell r="AU143">
            <v>4.0853333333333186E-2</v>
          </cell>
          <cell r="AW143">
            <v>4.6681670224377303E-2</v>
          </cell>
          <cell r="AX143">
            <v>2.8604699209285656E-2</v>
          </cell>
          <cell r="AY143">
            <v>3.4647126447524768E-2</v>
          </cell>
          <cell r="AZ143">
            <v>4.9390024967858492E-2</v>
          </cell>
        </row>
        <row r="144">
          <cell r="B144" t="str">
            <v>Subscription revenue - 1st quarter, 12.5%</v>
          </cell>
          <cell r="I144">
            <v>3.487625</v>
          </cell>
          <cell r="J144">
            <v>3.6325937499999998</v>
          </cell>
          <cell r="K144">
            <v>3.7960937499999998</v>
          </cell>
          <cell r="L144">
            <v>3.8958750000000002</v>
          </cell>
          <cell r="U144">
            <v>3.9068437500000002</v>
          </cell>
          <cell r="V144">
            <v>3.8184999999999998</v>
          </cell>
          <cell r="W144">
            <v>7.7253437500000004</v>
          </cell>
          <cell r="X144">
            <v>3.7978125</v>
          </cell>
          <cell r="Y144">
            <v>3.7976562500000002</v>
          </cell>
          <cell r="Z144">
            <v>3.8225937499999998</v>
          </cell>
          <cell r="AA144">
            <v>3.5986875</v>
          </cell>
          <cell r="AB144">
            <v>15.01675</v>
          </cell>
          <cell r="AC144">
            <v>3.65121875</v>
          </cell>
          <cell r="AD144">
            <v>3.7016249999999999</v>
          </cell>
          <cell r="AE144">
            <v>3.725625</v>
          </cell>
          <cell r="AF144">
            <v>3.6985625</v>
          </cell>
          <cell r="AG144">
            <v>14.777031249999999</v>
          </cell>
          <cell r="AH144">
            <v>3.6797187500000001</v>
          </cell>
          <cell r="AI144">
            <v>3.6610312500000002</v>
          </cell>
          <cell r="AJ144">
            <v>3.6236875</v>
          </cell>
          <cell r="AK144">
            <v>3.432375</v>
          </cell>
          <cell r="AL144">
            <v>14.396812499999999</v>
          </cell>
          <cell r="AM144">
            <v>3.6797187500000001</v>
          </cell>
          <cell r="AN144">
            <v>3.6610312500000002</v>
          </cell>
          <cell r="AO144">
            <v>3.6236875</v>
          </cell>
          <cell r="AP144">
            <v>3.432375</v>
          </cell>
          <cell r="AQ144">
            <v>14.396812499999999</v>
          </cell>
          <cell r="AR144">
            <v>3.3153437499999998</v>
          </cell>
          <cell r="AS144">
            <v>3.266375</v>
          </cell>
          <cell r="AT144">
            <v>3.2793125000000001</v>
          </cell>
          <cell r="AU144">
            <v>3.22265625</v>
          </cell>
          <cell r="AV144">
            <v>13.0836875</v>
          </cell>
          <cell r="AW144">
            <v>3.3153437499999998</v>
          </cell>
          <cell r="AX144">
            <v>3.3276875000000001</v>
          </cell>
          <cell r="AY144">
            <v>3.3435312499999998</v>
          </cell>
          <cell r="AZ144">
            <v>3.3543124999999998</v>
          </cell>
          <cell r="BA144">
            <v>13.340875</v>
          </cell>
          <cell r="BB144">
            <v>3.3863750000000001</v>
          </cell>
          <cell r="BC144">
            <v>3.4228749999999999</v>
          </cell>
          <cell r="BD144">
            <v>3.4593750000000001</v>
          </cell>
          <cell r="BE144">
            <v>3.519982078125</v>
          </cell>
          <cell r="BF144">
            <v>13.788607078125001</v>
          </cell>
          <cell r="BG144">
            <v>3.5716549276015623</v>
          </cell>
          <cell r="BH144">
            <v>3.6235752233124998</v>
          </cell>
          <cell r="BI144">
            <v>3.6665579070117187</v>
          </cell>
          <cell r="BJ144">
            <v>3.7402994168789059</v>
          </cell>
          <cell r="BK144">
            <v>14.602087474804687</v>
          </cell>
          <cell r="BL144">
            <v>3.7997073282497671</v>
          </cell>
          <cell r="BM144">
            <v>3.8636677621423638</v>
          </cell>
          <cell r="BN144">
            <v>3.9169738173904536</v>
          </cell>
          <cell r="BO144">
            <v>4.0046742251168084</v>
          </cell>
          <cell r="BP144">
            <v>15.585023132899394</v>
          </cell>
          <cell r="BQ144">
            <v>4.0681908902270312</v>
          </cell>
          <cell r="BR144">
            <v>4.1415954510753963</v>
          </cell>
          <cell r="BS144">
            <v>4.2036157883307412</v>
          </cell>
          <cell r="BT144">
            <v>4.3024272288793393</v>
          </cell>
          <cell r="BU144">
            <v>16.715829358512508</v>
          </cell>
          <cell r="BV144">
            <v>4.3700502572911919</v>
          </cell>
          <cell r="BW144">
            <v>4.4483491760868814</v>
          </cell>
          <cell r="BX144">
            <v>4.5145758869380668</v>
          </cell>
          <cell r="BY144">
            <v>4.6200950186290148</v>
          </cell>
          <cell r="BZ144">
            <v>17.953070338945153</v>
          </cell>
        </row>
        <row r="145">
          <cell r="B145" t="str">
            <v>Subscription revenue - 2nd quarter, 25%</v>
          </cell>
          <cell r="I145">
            <v>7.2651874999999997</v>
          </cell>
          <cell r="J145">
            <v>7.5921874999999996</v>
          </cell>
          <cell r="K145">
            <v>7.7917500000000004</v>
          </cell>
          <cell r="L145">
            <v>8.2785624999999996</v>
          </cell>
          <cell r="U145">
            <v>7.6369999999999996</v>
          </cell>
          <cell r="V145">
            <v>7.5956250000000001</v>
          </cell>
          <cell r="W145">
            <v>15.232624999999999</v>
          </cell>
          <cell r="X145">
            <v>7.5953125000000004</v>
          </cell>
          <cell r="Y145">
            <v>7.6451874999999996</v>
          </cell>
          <cell r="Z145">
            <v>7.1973750000000001</v>
          </cell>
          <cell r="AA145">
            <v>7.1973750000000001</v>
          </cell>
          <cell r="AB145">
            <v>29.635250000000003</v>
          </cell>
          <cell r="AC145">
            <v>7.4032499999999999</v>
          </cell>
          <cell r="AD145">
            <v>7.4512499999999999</v>
          </cell>
          <cell r="AE145">
            <v>7.397125</v>
          </cell>
          <cell r="AF145">
            <v>7.3594375000000003</v>
          </cell>
          <cell r="AG145">
            <v>29.611062500000003</v>
          </cell>
          <cell r="AH145">
            <v>7.3220625000000004</v>
          </cell>
          <cell r="AI145">
            <v>7.2473749999999999</v>
          </cell>
          <cell r="AJ145">
            <v>6.8647499999999999</v>
          </cell>
          <cell r="AK145">
            <v>6.6306874999999996</v>
          </cell>
          <cell r="AL145">
            <v>28.064875000000001</v>
          </cell>
          <cell r="AM145">
            <v>7.3220625000000004</v>
          </cell>
          <cell r="AN145">
            <v>7.2473749999999999</v>
          </cell>
          <cell r="AO145">
            <v>6.8647499999999999</v>
          </cell>
          <cell r="AP145">
            <v>6.6306874999999996</v>
          </cell>
          <cell r="AQ145">
            <v>28.064875000000001</v>
          </cell>
          <cell r="AR145">
            <v>6.5327500000000001</v>
          </cell>
          <cell r="AS145">
            <v>6.5586250000000001</v>
          </cell>
          <cell r="AT145">
            <v>6.4453125</v>
          </cell>
          <cell r="AU145">
            <v>6.4453125</v>
          </cell>
          <cell r="AV145">
            <v>25.981999999999999</v>
          </cell>
          <cell r="AW145">
            <v>6.5327500000000001</v>
          </cell>
          <cell r="AX145">
            <v>6.6870624999999997</v>
          </cell>
          <cell r="AY145">
            <v>6.7086249999999996</v>
          </cell>
          <cell r="AZ145">
            <v>6.7727500000000003</v>
          </cell>
          <cell r="BA145">
            <v>26.701187500000003</v>
          </cell>
          <cell r="BB145">
            <v>6.8457499999999998</v>
          </cell>
          <cell r="BC145">
            <v>6.9187500000000002</v>
          </cell>
          <cell r="BD145">
            <v>7.0399641562499999</v>
          </cell>
          <cell r="BE145">
            <v>7.1433098552031247</v>
          </cell>
          <cell r="BF145">
            <v>27.947774011453124</v>
          </cell>
          <cell r="BG145">
            <v>7.2471504466249996</v>
          </cell>
          <cell r="BH145">
            <v>7.3331158140234374</v>
          </cell>
          <cell r="BI145">
            <v>7.4805988337578118</v>
          </cell>
          <cell r="BJ145">
            <v>7.5994146564995342</v>
          </cell>
          <cell r="BK145">
            <v>29.660279750905779</v>
          </cell>
          <cell r="BL145">
            <v>7.7273355242847277</v>
          </cell>
          <cell r="BM145">
            <v>7.8339476347809072</v>
          </cell>
          <cell r="BN145">
            <v>8.0093484502336167</v>
          </cell>
          <cell r="BO145">
            <v>8.1363817804540624</v>
          </cell>
          <cell r="BP145">
            <v>31.707013389753314</v>
          </cell>
          <cell r="BQ145">
            <v>8.2831909021507926</v>
          </cell>
          <cell r="BR145">
            <v>8.4072315766614825</v>
          </cell>
          <cell r="BS145">
            <v>8.6048544577586785</v>
          </cell>
          <cell r="BT145">
            <v>8.7401005145823838</v>
          </cell>
          <cell r="BU145">
            <v>34.035377451153337</v>
          </cell>
          <cell r="BV145">
            <v>8.8966983521737628</v>
          </cell>
          <cell r="BW145">
            <v>9.0291517738761335</v>
          </cell>
          <cell r="BX145">
            <v>9.2401900372580297</v>
          </cell>
          <cell r="BY145">
            <v>9.3842599005939995</v>
          </cell>
          <cell r="BZ145">
            <v>36.550300063901929</v>
          </cell>
        </row>
        <row r="146">
          <cell r="B146" t="str">
            <v>Subscription revenue - 3rd quarter, 25%</v>
          </cell>
          <cell r="I146">
            <v>7.5921874999999996</v>
          </cell>
          <cell r="J146">
            <v>7.7917500000000004</v>
          </cell>
          <cell r="K146">
            <v>8.2785624999999996</v>
          </cell>
          <cell r="L146">
            <v>8.4068124999999991</v>
          </cell>
          <cell r="U146">
            <v>7.5956250000000001</v>
          </cell>
          <cell r="V146">
            <v>7.5953125000000004</v>
          </cell>
          <cell r="W146">
            <v>15.1909375</v>
          </cell>
          <cell r="X146">
            <v>7.6451874999999996</v>
          </cell>
          <cell r="Y146">
            <v>7.1973750000000001</v>
          </cell>
          <cell r="Z146">
            <v>7.3024374999999999</v>
          </cell>
          <cell r="AA146">
            <v>7.4032499999999999</v>
          </cell>
          <cell r="AB146">
            <v>29.548249999999999</v>
          </cell>
          <cell r="AC146">
            <v>7.4512499999999999</v>
          </cell>
          <cell r="AD146">
            <v>7.397125</v>
          </cell>
          <cell r="AE146">
            <v>7.3594375000000003</v>
          </cell>
          <cell r="AF146">
            <v>7.3220625000000004</v>
          </cell>
          <cell r="AG146">
            <v>29.529875000000004</v>
          </cell>
          <cell r="AH146">
            <v>7.2473749999999999</v>
          </cell>
          <cell r="AI146">
            <v>6.8647499999999999</v>
          </cell>
          <cell r="AJ146">
            <v>6.6306874999999996</v>
          </cell>
          <cell r="AK146">
            <v>6.5327500000000001</v>
          </cell>
          <cell r="AL146">
            <v>27.275562499999999</v>
          </cell>
          <cell r="AM146">
            <v>7.2473749999999999</v>
          </cell>
          <cell r="AN146">
            <v>6.8647499999999999</v>
          </cell>
          <cell r="AO146">
            <v>6.6306874999999996</v>
          </cell>
          <cell r="AP146">
            <v>6.5327500000000001</v>
          </cell>
          <cell r="AQ146">
            <v>27.275562499999999</v>
          </cell>
          <cell r="AR146">
            <v>6.5586250000000001</v>
          </cell>
          <cell r="AS146">
            <v>6.4453125</v>
          </cell>
          <cell r="AT146">
            <v>6.4453125</v>
          </cell>
          <cell r="AU146">
            <v>6.6306874999999996</v>
          </cell>
          <cell r="AV146">
            <v>26.0799375</v>
          </cell>
          <cell r="AW146">
            <v>6.5586250000000001</v>
          </cell>
          <cell r="AX146">
            <v>6.7086249999999996</v>
          </cell>
          <cell r="AY146">
            <v>6.7727500000000003</v>
          </cell>
          <cell r="AZ146">
            <v>6.8457499999999998</v>
          </cell>
          <cell r="BA146">
            <v>26.885749999999998</v>
          </cell>
          <cell r="BB146">
            <v>6.9187500000000002</v>
          </cell>
          <cell r="BC146">
            <v>7.0399641562499999</v>
          </cell>
          <cell r="BD146">
            <v>7.1433098552031247</v>
          </cell>
          <cell r="BE146">
            <v>7.2471504466249996</v>
          </cell>
          <cell r="BF146">
            <v>28.349174458078124</v>
          </cell>
          <cell r="BG146">
            <v>7.3331158140234374</v>
          </cell>
          <cell r="BH146">
            <v>7.4805988337578118</v>
          </cell>
          <cell r="BI146">
            <v>7.5994146564995342</v>
          </cell>
          <cell r="BJ146">
            <v>7.7273355242847277</v>
          </cell>
          <cell r="BK146">
            <v>30.140464828565513</v>
          </cell>
          <cell r="BL146">
            <v>7.8339476347809072</v>
          </cell>
          <cell r="BM146">
            <v>8.0093484502336167</v>
          </cell>
          <cell r="BN146">
            <v>8.1363817804540624</v>
          </cell>
          <cell r="BO146">
            <v>8.2831909021507926</v>
          </cell>
          <cell r="BP146">
            <v>32.262868767619381</v>
          </cell>
          <cell r="BQ146">
            <v>8.4072315766614825</v>
          </cell>
          <cell r="BR146">
            <v>8.6048544577586785</v>
          </cell>
          <cell r="BS146">
            <v>8.7401005145823838</v>
          </cell>
          <cell r="BT146">
            <v>8.8966983521737628</v>
          </cell>
          <cell r="BU146">
            <v>34.648884901176309</v>
          </cell>
          <cell r="BV146">
            <v>9.0291517738761335</v>
          </cell>
          <cell r="BW146">
            <v>9.2401900372580297</v>
          </cell>
          <cell r="BX146">
            <v>9.3842599005939995</v>
          </cell>
          <cell r="BY146">
            <v>9.5513576460723861</v>
          </cell>
          <cell r="BZ146">
            <v>37.204959357800547</v>
          </cell>
        </row>
        <row r="147">
          <cell r="B147" t="str">
            <v>Subscription revenue - 4th quarter, 25%</v>
          </cell>
          <cell r="I147">
            <v>7.7917500000000004</v>
          </cell>
          <cell r="J147">
            <v>8.2785624999999996</v>
          </cell>
          <cell r="K147">
            <v>8.4068124999999991</v>
          </cell>
          <cell r="L147">
            <v>8.3857499999999998</v>
          </cell>
          <cell r="U147">
            <v>7.5953125000000004</v>
          </cell>
          <cell r="V147">
            <v>7.6451874999999996</v>
          </cell>
          <cell r="W147">
            <v>15.240500000000001</v>
          </cell>
          <cell r="X147">
            <v>7.1973750000000001</v>
          </cell>
          <cell r="Y147">
            <v>7.3024374999999999</v>
          </cell>
          <cell r="Z147">
            <v>7.4032499999999999</v>
          </cell>
          <cell r="AA147">
            <v>7.4512499999999999</v>
          </cell>
          <cell r="AB147">
            <v>29.354312499999999</v>
          </cell>
          <cell r="AC147">
            <v>7.397125</v>
          </cell>
          <cell r="AD147">
            <v>7.3594375000000003</v>
          </cell>
          <cell r="AE147">
            <v>7.3220625000000004</v>
          </cell>
          <cell r="AF147">
            <v>7.2473749999999999</v>
          </cell>
          <cell r="AG147">
            <v>29.326000000000001</v>
          </cell>
          <cell r="AH147">
            <v>6.8647499999999999</v>
          </cell>
          <cell r="AI147">
            <v>6.6306874999999996</v>
          </cell>
          <cell r="AJ147">
            <v>6.5327500000000001</v>
          </cell>
          <cell r="AK147">
            <v>6.5586250000000001</v>
          </cell>
          <cell r="AL147">
            <v>26.586812500000001</v>
          </cell>
          <cell r="AM147">
            <v>6.8647499999999999</v>
          </cell>
          <cell r="AN147">
            <v>6.6306874999999996</v>
          </cell>
          <cell r="AO147">
            <v>6.5327500000000001</v>
          </cell>
          <cell r="AP147">
            <v>6.5586250000000001</v>
          </cell>
          <cell r="AQ147">
            <v>26.586812500000001</v>
          </cell>
          <cell r="AR147">
            <v>6.4453125</v>
          </cell>
          <cell r="AS147">
            <v>6.4706875000000004</v>
          </cell>
          <cell r="AT147">
            <v>6.6553750000000003</v>
          </cell>
          <cell r="AU147">
            <v>6.6870624999999997</v>
          </cell>
          <cell r="AV147">
            <v>26.258437499999999</v>
          </cell>
          <cell r="AW147">
            <v>6.4453125</v>
          </cell>
          <cell r="AX147">
            <v>6.7727500000000003</v>
          </cell>
          <cell r="AY147">
            <v>6.8457499999999998</v>
          </cell>
          <cell r="AZ147">
            <v>6.9187500000000002</v>
          </cell>
          <cell r="BA147">
            <v>26.9825625</v>
          </cell>
          <cell r="BB147">
            <v>7.0399641562499999</v>
          </cell>
          <cell r="BC147">
            <v>7.1433098552031247</v>
          </cell>
          <cell r="BD147">
            <v>7.2471504466249996</v>
          </cell>
          <cell r="BE147">
            <v>7.3331158140234374</v>
          </cell>
          <cell r="BF147">
            <v>28.763540272101562</v>
          </cell>
          <cell r="BG147">
            <v>7.4805988337578118</v>
          </cell>
          <cell r="BH147">
            <v>7.5994146564995342</v>
          </cell>
          <cell r="BI147">
            <v>7.7273355242847277</v>
          </cell>
          <cell r="BJ147">
            <v>7.8339476347809072</v>
          </cell>
          <cell r="BK147">
            <v>30.641296649322982</v>
          </cell>
          <cell r="BL147">
            <v>8.0093484502336167</v>
          </cell>
          <cell r="BM147">
            <v>8.1363817804540624</v>
          </cell>
          <cell r="BN147">
            <v>8.2831909021507926</v>
          </cell>
          <cell r="BO147">
            <v>8.4072315766614825</v>
          </cell>
          <cell r="BP147">
            <v>32.836152709499956</v>
          </cell>
          <cell r="BQ147">
            <v>8.6048544577586785</v>
          </cell>
          <cell r="BR147">
            <v>8.7401005145823838</v>
          </cell>
          <cell r="BS147">
            <v>8.8966983521737628</v>
          </cell>
          <cell r="BT147">
            <v>9.0291517738761335</v>
          </cell>
          <cell r="BU147">
            <v>35.270805098390966</v>
          </cell>
          <cell r="BV147">
            <v>9.2401900372580297</v>
          </cell>
          <cell r="BW147">
            <v>9.3842599005939995</v>
          </cell>
          <cell r="BX147">
            <v>9.5513576460723861</v>
          </cell>
          <cell r="BY147">
            <v>9.6928270900961362</v>
          </cell>
          <cell r="BZ147">
            <v>37.868634674020548</v>
          </cell>
        </row>
        <row r="148">
          <cell r="B148" t="str">
            <v>Subscription revenue - 5th quarter, 12.5%</v>
          </cell>
          <cell r="I148">
            <v>4.1392812499999998</v>
          </cell>
          <cell r="J148">
            <v>4.2034062499999996</v>
          </cell>
          <cell r="K148">
            <v>4.1928749999999999</v>
          </cell>
          <cell r="L148">
            <v>4.0365000000000002</v>
          </cell>
          <cell r="U148">
            <v>3.8225937499999998</v>
          </cell>
          <cell r="V148">
            <v>3.5986875</v>
          </cell>
          <cell r="W148">
            <v>7.4212812499999998</v>
          </cell>
          <cell r="X148">
            <v>3.65121875</v>
          </cell>
          <cell r="Y148">
            <v>3.7016249999999999</v>
          </cell>
          <cell r="Z148">
            <v>3.725625</v>
          </cell>
          <cell r="AA148">
            <v>3.6985625</v>
          </cell>
          <cell r="AB148">
            <v>14.777031249999999</v>
          </cell>
          <cell r="AC148">
            <v>3.6797187500000001</v>
          </cell>
          <cell r="AD148">
            <v>3.6610312500000002</v>
          </cell>
          <cell r="AE148">
            <v>3.6236875</v>
          </cell>
          <cell r="AF148">
            <v>3.432375</v>
          </cell>
          <cell r="AG148">
            <v>14.396812499999999</v>
          </cell>
          <cell r="AH148">
            <v>3.3153437499999998</v>
          </cell>
          <cell r="AI148">
            <v>3.266375</v>
          </cell>
          <cell r="AJ148">
            <v>3.2793125000000001</v>
          </cell>
          <cell r="AK148">
            <v>3.22265625</v>
          </cell>
          <cell r="AL148">
            <v>13.0836875</v>
          </cell>
          <cell r="AM148">
            <v>3.3153437499999998</v>
          </cell>
          <cell r="AN148">
            <v>3.266375</v>
          </cell>
          <cell r="AO148">
            <v>3.2793125000000001</v>
          </cell>
          <cell r="AP148">
            <v>3.22265625</v>
          </cell>
          <cell r="AQ148">
            <v>13.0836875</v>
          </cell>
          <cell r="AR148">
            <v>3.2353437500000002</v>
          </cell>
          <cell r="AS148">
            <v>3.3276875000000001</v>
          </cell>
          <cell r="AT148">
            <v>3.3435312499999998</v>
          </cell>
          <cell r="AU148">
            <v>3.3543124999999998</v>
          </cell>
          <cell r="AV148">
            <v>13.260874999999999</v>
          </cell>
          <cell r="AW148">
            <v>3.3863750000000001</v>
          </cell>
          <cell r="AX148">
            <v>3.4228749999999999</v>
          </cell>
          <cell r="AY148">
            <v>3.4593750000000001</v>
          </cell>
          <cell r="AZ148">
            <v>3.519982078125</v>
          </cell>
          <cell r="BA148">
            <v>13.788607078125001</v>
          </cell>
          <cell r="BB148">
            <v>3.5716549276015623</v>
          </cell>
          <cell r="BC148">
            <v>3.6235752233124998</v>
          </cell>
          <cell r="BD148">
            <v>3.6665579070117187</v>
          </cell>
          <cell r="BE148">
            <v>3.7402994168789059</v>
          </cell>
          <cell r="BF148">
            <v>14.602087474804687</v>
          </cell>
          <cell r="BG148">
            <v>3.7997073282497671</v>
          </cell>
          <cell r="BH148">
            <v>3.8636677621423638</v>
          </cell>
          <cell r="BI148">
            <v>3.9169738173904536</v>
          </cell>
          <cell r="BJ148">
            <v>4.0046742251168084</v>
          </cell>
          <cell r="BK148">
            <v>15.585023132899394</v>
          </cell>
          <cell r="BL148">
            <v>4.0681908902270312</v>
          </cell>
          <cell r="BM148">
            <v>4.1415954510753963</v>
          </cell>
          <cell r="BN148">
            <v>4.2036157883307412</v>
          </cell>
          <cell r="BO148">
            <v>4.3024272288793393</v>
          </cell>
          <cell r="BP148">
            <v>16.715829358512508</v>
          </cell>
          <cell r="BQ148">
            <v>4.3700502572911919</v>
          </cell>
          <cell r="BR148">
            <v>4.4483491760868814</v>
          </cell>
          <cell r="BS148">
            <v>4.5145758869380668</v>
          </cell>
          <cell r="BT148">
            <v>4.6200950186290148</v>
          </cell>
          <cell r="BU148">
            <v>17.953070338945153</v>
          </cell>
          <cell r="BV148">
            <v>4.6921299502969998</v>
          </cell>
          <cell r="BW148">
            <v>4.7756788230361931</v>
          </cell>
          <cell r="BX148">
            <v>4.8464135450480681</v>
          </cell>
          <cell r="BY148">
            <v>4.9591210413526445</v>
          </cell>
          <cell r="BZ148">
            <v>19.273343359733907</v>
          </cell>
        </row>
        <row r="150">
          <cell r="B150" t="str">
            <v>Quarterly new sales</v>
          </cell>
          <cell r="D150">
            <v>5.8351532165771456</v>
          </cell>
          <cell r="E150">
            <v>5.7627772741977603</v>
          </cell>
          <cell r="F150">
            <v>8.3090092031605423</v>
          </cell>
          <cell r="G150">
            <v>7.1262204596921856</v>
          </cell>
          <cell r="H150">
            <v>27.033160153627634</v>
          </cell>
          <cell r="I150">
            <v>9.2850159999999882</v>
          </cell>
          <cell r="J150">
            <v>5.5115369999999917</v>
          </cell>
          <cell r="K150">
            <v>3.4965410000000112</v>
          </cell>
          <cell r="L150">
            <v>4.4707680000000121</v>
          </cell>
          <cell r="Q150">
            <v>3</v>
          </cell>
          <cell r="U150">
            <v>6.2355439999999884</v>
          </cell>
          <cell r="V150">
            <v>4.1537925000000087</v>
          </cell>
          <cell r="W150">
            <v>10.389336499999997</v>
          </cell>
          <cell r="X150">
            <v>4.9630029999999969</v>
          </cell>
          <cell r="Y150">
            <v>4.0888969999999984</v>
          </cell>
          <cell r="Z150">
            <v>4.6257930000000016</v>
          </cell>
          <cell r="AA150">
            <v>2.8190560000000007</v>
          </cell>
          <cell r="AB150">
            <v>16.496748999999998</v>
          </cell>
          <cell r="AC150">
            <v>1.7936685000000043</v>
          </cell>
          <cell r="AD150">
            <v>4.076983000000002</v>
          </cell>
          <cell r="AE150">
            <v>3.2728634999999935</v>
          </cell>
          <cell r="AF150">
            <v>0.38746999999999954</v>
          </cell>
          <cell r="AG150">
            <v>9.5309850000000012</v>
          </cell>
          <cell r="AH150">
            <v>1.2799969999999972</v>
          </cell>
          <cell r="AI150">
            <v>2.0026700000000068</v>
          </cell>
          <cell r="AJ150">
            <v>3.4070310000000013</v>
          </cell>
          <cell r="AK150">
            <v>1.2349489999999972</v>
          </cell>
          <cell r="AL150">
            <v>7.924647000000002</v>
          </cell>
          <cell r="AM150">
            <v>2.9</v>
          </cell>
          <cell r="AN150">
            <v>2.7</v>
          </cell>
          <cell r="AO150">
            <v>3</v>
          </cell>
          <cell r="AP150">
            <v>2.1</v>
          </cell>
          <cell r="AQ150">
            <v>10.7</v>
          </cell>
          <cell r="AR150">
            <v>2.6</v>
          </cell>
          <cell r="AS150">
            <v>4.0999999999999996</v>
          </cell>
          <cell r="AT150">
            <v>3.4</v>
          </cell>
          <cell r="AU150">
            <v>3.3</v>
          </cell>
          <cell r="AV150">
            <v>13.4</v>
          </cell>
          <cell r="AW150">
            <v>3.5</v>
          </cell>
          <cell r="AX150">
            <v>3.2</v>
          </cell>
          <cell r="AY150">
            <v>2.2999999999999998</v>
          </cell>
          <cell r="AZ150">
            <v>3.63</v>
          </cell>
          <cell r="BA150">
            <v>12.629999999999999</v>
          </cell>
          <cell r="BB150">
            <v>3.8500000000000005</v>
          </cell>
          <cell r="BC150">
            <v>3.5200000000000005</v>
          </cell>
          <cell r="BD150">
            <v>2.5299999999999998</v>
          </cell>
          <cell r="BE150">
            <v>3.9930000000000003</v>
          </cell>
          <cell r="BF150">
            <v>13.893000000000001</v>
          </cell>
          <cell r="BG150">
            <v>4.2350000000000012</v>
          </cell>
          <cell r="BH150">
            <v>3.8720000000000008</v>
          </cell>
          <cell r="BI150">
            <v>2.7829999999999999</v>
          </cell>
          <cell r="BJ150">
            <v>4.3923000000000005</v>
          </cell>
          <cell r="BK150">
            <v>15.282300000000003</v>
          </cell>
          <cell r="BL150">
            <v>4.5314500000000013</v>
          </cell>
          <cell r="BM150">
            <v>4.1430400000000009</v>
          </cell>
          <cell r="BN150">
            <v>2.9778100000000003</v>
          </cell>
          <cell r="BO150">
            <v>4.6997610000000005</v>
          </cell>
          <cell r="BP150">
            <v>16.352061000000003</v>
          </cell>
          <cell r="BQ150">
            <v>4.8486515000000017</v>
          </cell>
          <cell r="BR150">
            <v>4.4330528000000013</v>
          </cell>
          <cell r="BS150">
            <v>3.1862567000000004</v>
          </cell>
          <cell r="BT150">
            <v>5.0287442700000007</v>
          </cell>
          <cell r="BU150">
            <v>17.496705270000003</v>
          </cell>
          <cell r="BV150">
            <v>5.1880571050000022</v>
          </cell>
          <cell r="BW150">
            <v>4.7433664960000019</v>
          </cell>
          <cell r="BX150">
            <v>3.4092946690000008</v>
          </cell>
          <cell r="BY150">
            <v>5.3807563689000011</v>
          </cell>
          <cell r="BZ150">
            <v>18.721474638900006</v>
          </cell>
        </row>
        <row r="151">
          <cell r="B151" t="str">
            <v>y/y change</v>
          </cell>
          <cell r="I151">
            <v>0.59122059959318518</v>
          </cell>
          <cell r="J151">
            <v>-4.3597082143478127E-2</v>
          </cell>
          <cell r="K151">
            <v>-0.57918677010611408</v>
          </cell>
          <cell r="L151">
            <v>-0.3726312530902075</v>
          </cell>
          <cell r="AB151">
            <v>0.58785395005734986</v>
          </cell>
          <cell r="AC151">
            <v>-0.63859209837269781</v>
          </cell>
          <cell r="AD151">
            <v>-2.9137442200173336E-3</v>
          </cell>
          <cell r="AE151">
            <v>-0.29247514966623189</v>
          </cell>
          <cell r="AF151">
            <v>-0.86255328024700484</v>
          </cell>
          <cell r="AG151">
            <v>-0.42225071133712455</v>
          </cell>
          <cell r="AH151">
            <v>-0.28638039860766129</v>
          </cell>
          <cell r="AI151">
            <v>-0.50878627651868902</v>
          </cell>
          <cell r="AJ151">
            <v>4.0993918628139614E-2</v>
          </cell>
          <cell r="AK151">
            <v>2.1872119131803718</v>
          </cell>
          <cell r="AL151">
            <v>-0.1685385088739515</v>
          </cell>
          <cell r="AR151">
            <v>-0.10344827586206895</v>
          </cell>
          <cell r="AS151">
            <v>0.51851851851851838</v>
          </cell>
          <cell r="AT151">
            <v>0.1333333333333333</v>
          </cell>
          <cell r="AU151">
            <v>0.57142857142857117</v>
          </cell>
          <cell r="AV151">
            <v>0.25233644859813098</v>
          </cell>
          <cell r="AW151">
            <v>0.34615384615384603</v>
          </cell>
          <cell r="AX151">
            <v>-0.21951219512195108</v>
          </cell>
          <cell r="AY151">
            <v>-0.32352941176470595</v>
          </cell>
          <cell r="AZ151">
            <v>0.10000000000000009</v>
          </cell>
          <cell r="BA151">
            <v>-5.7462686567164245E-2</v>
          </cell>
          <cell r="BB151">
            <v>0.10000000000000009</v>
          </cell>
          <cell r="BC151">
            <v>0.10000000000000009</v>
          </cell>
          <cell r="BD151">
            <v>0.10000000000000009</v>
          </cell>
          <cell r="BE151">
            <v>0.10000000000000009</v>
          </cell>
          <cell r="BF151">
            <v>0.10000000000000009</v>
          </cell>
          <cell r="BG151">
            <v>0.10000000000000009</v>
          </cell>
          <cell r="BH151">
            <v>0.10000000000000009</v>
          </cell>
          <cell r="BI151">
            <v>0.10000000000000009</v>
          </cell>
          <cell r="BJ151">
            <v>0.10000000000000009</v>
          </cell>
          <cell r="BK151">
            <v>0.10000000000000009</v>
          </cell>
          <cell r="BL151">
            <v>7.0000000000000062E-2</v>
          </cell>
          <cell r="BM151">
            <v>7.0000000000000062E-2</v>
          </cell>
          <cell r="BN151">
            <v>7.0000000000000062E-2</v>
          </cell>
          <cell r="BO151">
            <v>7.0000000000000062E-2</v>
          </cell>
          <cell r="BP151">
            <v>7.0000000000000062E-2</v>
          </cell>
          <cell r="BQ151">
            <v>7.0000000000000062E-2</v>
          </cell>
          <cell r="BR151">
            <v>7.0000000000000062E-2</v>
          </cell>
          <cell r="BS151">
            <v>7.0000000000000062E-2</v>
          </cell>
          <cell r="BT151">
            <v>7.0000000000000062E-2</v>
          </cell>
          <cell r="BU151">
            <v>7.0000000000000062E-2</v>
          </cell>
          <cell r="BV151">
            <v>7.0000000000000062E-2</v>
          </cell>
          <cell r="BW151">
            <v>7.0000000000000062E-2</v>
          </cell>
          <cell r="BX151">
            <v>7.0000000000000062E-2</v>
          </cell>
          <cell r="BY151">
            <v>7.0000000000000062E-2</v>
          </cell>
          <cell r="BZ151">
            <v>7.0000000000000062E-2</v>
          </cell>
        </row>
        <row r="152">
          <cell r="B152" t="str">
            <v>BULL</v>
          </cell>
          <cell r="AZ152">
            <v>3.8115000000000001</v>
          </cell>
          <cell r="BB152">
            <v>4.0425000000000004</v>
          </cell>
          <cell r="BC152">
            <v>3.6960000000000006</v>
          </cell>
          <cell r="BD152">
            <v>2.6564999999999999</v>
          </cell>
          <cell r="BE152">
            <v>4.1926500000000004</v>
          </cell>
          <cell r="BG152">
            <v>4.4467500000000015</v>
          </cell>
          <cell r="BH152">
            <v>4.0656000000000008</v>
          </cell>
          <cell r="BI152">
            <v>2.9221500000000002</v>
          </cell>
          <cell r="BJ152">
            <v>4.6119150000000007</v>
          </cell>
          <cell r="BL152">
            <v>4.7580225000000018</v>
          </cell>
          <cell r="BM152">
            <v>4.3501920000000016</v>
          </cell>
          <cell r="BN152">
            <v>3.1267005000000005</v>
          </cell>
          <cell r="BO152">
            <v>4.9347490500000006</v>
          </cell>
          <cell r="BQ152">
            <v>5.0910840750000022</v>
          </cell>
          <cell r="BR152">
            <v>4.6547054400000016</v>
          </cell>
          <cell r="BS152">
            <v>3.3455695350000005</v>
          </cell>
          <cell r="BT152">
            <v>5.2801814835000007</v>
          </cell>
          <cell r="BV152">
            <v>5.4474599602500025</v>
          </cell>
          <cell r="BW152">
            <v>4.9805348208000026</v>
          </cell>
          <cell r="BX152">
            <v>3.579759402450001</v>
          </cell>
          <cell r="BY152">
            <v>5.6497941873450017</v>
          </cell>
        </row>
        <row r="153">
          <cell r="B153" t="str">
            <v>BASE</v>
          </cell>
          <cell r="X153">
            <v>4.9630029999999969</v>
          </cell>
          <cell r="Y153">
            <v>4.0888969999999984</v>
          </cell>
          <cell r="Z153">
            <v>4.6257930000000016</v>
          </cell>
          <cell r="AA153">
            <v>2.8190560000000007</v>
          </cell>
          <cell r="AC153">
            <v>1.7936685000000043</v>
          </cell>
          <cell r="AD153">
            <v>4.076983000000002</v>
          </cell>
          <cell r="AE153">
            <v>3.2728634999999935</v>
          </cell>
          <cell r="AF153">
            <v>0.38746999999999954</v>
          </cell>
          <cell r="AH153">
            <v>1.2799969999999972</v>
          </cell>
          <cell r="AI153">
            <v>2.0026700000000068</v>
          </cell>
          <cell r="AJ153">
            <v>3.4070310000000013</v>
          </cell>
          <cell r="AK153">
            <v>1.2349489999999972</v>
          </cell>
          <cell r="AM153">
            <v>2.9</v>
          </cell>
          <cell r="AN153">
            <v>2.7</v>
          </cell>
          <cell r="AO153">
            <v>3</v>
          </cell>
          <cell r="AP153">
            <v>2.1</v>
          </cell>
          <cell r="AR153">
            <v>2.6</v>
          </cell>
          <cell r="AS153">
            <v>4.0999999999999996</v>
          </cell>
          <cell r="AT153">
            <v>3.4</v>
          </cell>
          <cell r="AU153">
            <v>3.3</v>
          </cell>
          <cell r="AW153">
            <v>3.5</v>
          </cell>
          <cell r="AX153">
            <v>3.2</v>
          </cell>
          <cell r="AY153">
            <v>2.2999999999999998</v>
          </cell>
          <cell r="AZ153">
            <v>3.63</v>
          </cell>
          <cell r="BB153">
            <v>3.8500000000000005</v>
          </cell>
          <cell r="BC153">
            <v>3.5200000000000005</v>
          </cell>
          <cell r="BD153">
            <v>2.5299999999999998</v>
          </cell>
          <cell r="BE153">
            <v>3.9930000000000003</v>
          </cell>
          <cell r="BG153">
            <v>4.2350000000000012</v>
          </cell>
          <cell r="BH153">
            <v>3.8720000000000008</v>
          </cell>
          <cell r="BI153">
            <v>2.7829999999999999</v>
          </cell>
          <cell r="BJ153">
            <v>4.3923000000000005</v>
          </cell>
          <cell r="BL153">
            <v>4.5314500000000013</v>
          </cell>
          <cell r="BM153">
            <v>4.1430400000000009</v>
          </cell>
          <cell r="BN153">
            <v>2.9778100000000003</v>
          </cell>
          <cell r="BO153">
            <v>4.6997610000000005</v>
          </cell>
          <cell r="BQ153">
            <v>4.8486515000000017</v>
          </cell>
          <cell r="BR153">
            <v>4.4330528000000013</v>
          </cell>
          <cell r="BS153">
            <v>3.1862567000000004</v>
          </cell>
          <cell r="BT153">
            <v>5.0287442700000007</v>
          </cell>
          <cell r="BV153">
            <v>5.1880571050000022</v>
          </cell>
          <cell r="BW153">
            <v>4.7433664960000019</v>
          </cell>
          <cell r="BX153">
            <v>3.4092946690000008</v>
          </cell>
          <cell r="BY153">
            <v>5.3807563689000011</v>
          </cell>
        </row>
        <row r="154">
          <cell r="B154" t="str">
            <v>BEAR</v>
          </cell>
          <cell r="AZ154">
            <v>2.9039999999999999</v>
          </cell>
          <cell r="BB154">
            <v>3.0800000000000005</v>
          </cell>
          <cell r="BC154">
            <v>2.8160000000000007</v>
          </cell>
          <cell r="BD154">
            <v>2.024</v>
          </cell>
          <cell r="BE154">
            <v>3.1944000000000004</v>
          </cell>
          <cell r="BG154">
            <v>3.3880000000000012</v>
          </cell>
          <cell r="BH154">
            <v>3.0976000000000008</v>
          </cell>
          <cell r="BI154">
            <v>2.2263999999999999</v>
          </cell>
          <cell r="BJ154">
            <v>3.5138400000000005</v>
          </cell>
          <cell r="BL154">
            <v>3.625160000000001</v>
          </cell>
          <cell r="BM154">
            <v>3.3144320000000009</v>
          </cell>
          <cell r="BN154">
            <v>2.3822480000000001</v>
          </cell>
          <cell r="BO154">
            <v>3.7598088000000005</v>
          </cell>
          <cell r="BQ154">
            <v>3.8789212000000015</v>
          </cell>
          <cell r="BR154">
            <v>3.5464422400000011</v>
          </cell>
          <cell r="BS154">
            <v>2.5490053600000007</v>
          </cell>
          <cell r="BT154">
            <v>4.0229954160000005</v>
          </cell>
          <cell r="BV154">
            <v>4.1504456840000019</v>
          </cell>
          <cell r="BW154">
            <v>3.7946931968000017</v>
          </cell>
          <cell r="BX154">
            <v>2.7274357352000007</v>
          </cell>
          <cell r="BY154">
            <v>4.3046050951200012</v>
          </cell>
        </row>
        <row r="162">
          <cell r="B162" t="str">
            <v>Quarterly cancellations</v>
          </cell>
          <cell r="D162">
            <v>-1.2575602830308319</v>
          </cell>
          <cell r="E162">
            <v>-1.1237772741977647</v>
          </cell>
          <cell r="F162">
            <v>-3.0770092031605434</v>
          </cell>
          <cell r="G162">
            <v>-3.9332204596921736</v>
          </cell>
          <cell r="H162">
            <v>-9.3915672200813134</v>
          </cell>
          <cell r="I162">
            <v>-1.4960160000000013</v>
          </cell>
          <cell r="J162">
            <v>-3.4595369999999996</v>
          </cell>
          <cell r="K162">
            <v>-3.8335410000000003</v>
          </cell>
          <cell r="L162">
            <v>-9.4747680000000027</v>
          </cell>
          <cell r="U162">
            <v>-5.4375440000000008</v>
          </cell>
          <cell r="V162">
            <v>-11.818792500000001</v>
          </cell>
          <cell r="W162">
            <v>-17.256336500000003</v>
          </cell>
          <cell r="X162">
            <v>-3.2820029999999996</v>
          </cell>
          <cell r="Y162">
            <v>-2.4758969999999989</v>
          </cell>
          <cell r="Z162">
            <v>-3.8577930000000005</v>
          </cell>
          <cell r="AA162">
            <v>-3.6850560000000003</v>
          </cell>
          <cell r="AB162">
            <v>-13.300749</v>
          </cell>
          <cell r="AC162">
            <v>-2.3966684999999988</v>
          </cell>
          <cell r="AD162">
            <v>-4.674983000000001</v>
          </cell>
          <cell r="AE162">
            <v>-4.4678635000000009</v>
          </cell>
          <cell r="AF162">
            <v>-6.5094699999999994</v>
          </cell>
          <cell r="AG162">
            <v>-18.048985000000002</v>
          </cell>
          <cell r="AH162">
            <v>-5.0249970000000017</v>
          </cell>
          <cell r="AI162">
            <v>-3.5696699999999999</v>
          </cell>
          <cell r="AJ162">
            <v>-2.9930309999999998</v>
          </cell>
          <cell r="AK162">
            <v>-3.0479489999999996</v>
          </cell>
          <cell r="AL162">
            <v>-14.635647000000001</v>
          </cell>
          <cell r="AM162">
            <v>-5.0249970000000017</v>
          </cell>
          <cell r="AN162">
            <v>-3.5696699999999999</v>
          </cell>
          <cell r="AO162">
            <v>-2.9930309999999998</v>
          </cell>
          <cell r="AP162">
            <v>-3.0479489999999996</v>
          </cell>
          <cell r="AQ162">
            <v>-14.635647000000001</v>
          </cell>
          <cell r="AR162">
            <v>-2.4234374999999995</v>
          </cell>
          <cell r="AS162">
            <v>-1.3406250000000013</v>
          </cell>
          <cell r="AT162">
            <v>-1.6564959999999986</v>
          </cell>
          <cell r="AU162">
            <v>-1.8102619999999987</v>
          </cell>
          <cell r="AV162">
            <v>-7.2308204999999983</v>
          </cell>
          <cell r="AW162">
            <v>-2.0930909999999989</v>
          </cell>
          <cell r="AX162">
            <v>-1.9234609999999988</v>
          </cell>
          <cell r="AY162">
            <v>-1.259618000000001</v>
          </cell>
          <cell r="AZ162">
            <v>-1.6905734999999984</v>
          </cell>
          <cell r="BA162">
            <v>-6.9667434999999971</v>
          </cell>
          <cell r="BB162">
            <v>-2.1964688167499986</v>
          </cell>
          <cell r="BC162">
            <v>-1.8585505372499984</v>
          </cell>
          <cell r="BD162">
            <v>-1.154554121625001</v>
          </cell>
          <cell r="BE162">
            <v>-1.6332716842499984</v>
          </cell>
          <cell r="BF162">
            <v>-6.8428451598749964</v>
          </cell>
          <cell r="BG162">
            <v>-2.3339468361324358</v>
          </cell>
          <cell r="BH162">
            <v>-1.8252661154369043</v>
          </cell>
          <cell r="BI162">
            <v>-1.0772062320611258</v>
          </cell>
          <cell r="BJ162">
            <v>-1.5858869527566541</v>
          </cell>
          <cell r="BK162">
            <v>-6.8223061363871196</v>
          </cell>
          <cell r="BL162">
            <v>-2.4989167164728872</v>
          </cell>
          <cell r="BM162">
            <v>-1.7940940528523281</v>
          </cell>
          <cell r="BN162">
            <v>-0.99315920782896938</v>
          </cell>
          <cell r="BO162">
            <v>-1.5377949024448523</v>
          </cell>
          <cell r="BP162">
            <v>-6.8239648795990373</v>
          </cell>
          <cell r="BQ162">
            <v>-2.6847145908207062</v>
          </cell>
          <cell r="BR162">
            <v>-1.9274873985379419</v>
          </cell>
          <cell r="BS162">
            <v>-1.0670019527620771</v>
          </cell>
          <cell r="BT162">
            <v>-1.6521320558896639</v>
          </cell>
          <cell r="BU162">
            <v>-7.33133599801039</v>
          </cell>
          <cell r="BV162">
            <v>-2.8829392916245036</v>
          </cell>
          <cell r="BW162">
            <v>-2.0698025683457963</v>
          </cell>
          <cell r="BX162">
            <v>-1.1457835646199968</v>
          </cell>
          <cell r="BY162">
            <v>-1.7741164871535391</v>
          </cell>
          <cell r="BZ162">
            <v>-7.8726419117438358</v>
          </cell>
        </row>
        <row r="163">
          <cell r="B163" t="str">
            <v>Cancellation rate (as % of beginning of year run rate)</v>
          </cell>
          <cell r="D163">
            <v>4.7000000000000042E-2</v>
          </cell>
          <cell r="E163">
            <v>4.2000000000000037E-2</v>
          </cell>
          <cell r="F163">
            <v>0.11499999999999999</v>
          </cell>
          <cell r="G163">
            <v>0.14700000000000002</v>
          </cell>
          <cell r="H163">
            <v>8.7999999999999967E-2</v>
          </cell>
          <cell r="I163">
            <v>4.8000000000000043E-2</v>
          </cell>
          <cell r="J163">
            <v>0.11099999999999999</v>
          </cell>
          <cell r="K163">
            <v>0.123</v>
          </cell>
          <cell r="L163">
            <v>0.30400000000000005</v>
          </cell>
          <cell r="U163">
            <v>0.17800000000000005</v>
          </cell>
          <cell r="V163">
            <v>0.38900000000000001</v>
          </cell>
          <cell r="W163">
            <v>0.20825000000000005</v>
          </cell>
          <cell r="X163">
            <v>0.11399999999999999</v>
          </cell>
          <cell r="Y163">
            <v>8.5999999999999965E-2</v>
          </cell>
          <cell r="Z163">
            <v>0.13400000000000001</v>
          </cell>
          <cell r="AA163">
            <v>0.128</v>
          </cell>
          <cell r="AB163">
            <v>0.11550000000000005</v>
          </cell>
          <cell r="AC163">
            <v>8.0999999999999961E-2</v>
          </cell>
          <cell r="AD163">
            <v>0.15800000000000003</v>
          </cell>
          <cell r="AE163">
            <v>0.15100000000000002</v>
          </cell>
          <cell r="AF163">
            <v>0.21999999999999997</v>
          </cell>
          <cell r="AG163">
            <v>0.15249999999999986</v>
          </cell>
          <cell r="AH163">
            <v>0.18300000000000005</v>
          </cell>
          <cell r="AI163">
            <v>0.13</v>
          </cell>
          <cell r="AJ163">
            <v>0.10899999999999999</v>
          </cell>
          <cell r="AK163">
            <v>0.11099999999999999</v>
          </cell>
          <cell r="AL163">
            <v>0.13325000000000009</v>
          </cell>
          <cell r="AM163">
            <v>0.18300000000000005</v>
          </cell>
          <cell r="AN163">
            <v>0.13</v>
          </cell>
          <cell r="AO163">
            <v>0.10899999999999999</v>
          </cell>
          <cell r="AP163">
            <v>0.11099999999999999</v>
          </cell>
          <cell r="AQ163">
            <v>0.13325000000000009</v>
          </cell>
          <cell r="AR163">
            <v>9.3999999999999972E-2</v>
          </cell>
          <cell r="AS163">
            <v>5.2000000000000046E-2</v>
          </cell>
          <cell r="AT163">
            <v>6.3999999999999946E-2</v>
          </cell>
          <cell r="AU163">
            <v>6.7999999999999949E-2</v>
          </cell>
          <cell r="AV163">
            <v>6.9500000000000006E-2</v>
          </cell>
          <cell r="AW163">
            <v>7.7999999999999958E-2</v>
          </cell>
          <cell r="AX163">
            <v>7.0999999999999952E-2</v>
          </cell>
          <cell r="AY163">
            <v>4.6000000000000041E-2</v>
          </cell>
          <cell r="AZ163">
            <v>6.2999999999999945E-2</v>
          </cell>
          <cell r="BA163">
            <v>6.4500000000000002E-2</v>
          </cell>
          <cell r="BB163">
            <v>7.7999999999999958E-2</v>
          </cell>
          <cell r="BC163">
            <v>6.5999999999999948E-2</v>
          </cell>
          <cell r="BD163">
            <v>4.1000000000000036E-2</v>
          </cell>
          <cell r="BE163">
            <v>5.799999999999994E-2</v>
          </cell>
          <cell r="BF163">
            <v>6.0749999999999971E-2</v>
          </cell>
          <cell r="BG163">
            <v>7.7999999999999958E-2</v>
          </cell>
          <cell r="BH163">
            <v>6.0999999999999943E-2</v>
          </cell>
          <cell r="BI163">
            <v>3.6000000000000032E-2</v>
          </cell>
          <cell r="BJ163">
            <v>5.2999999999999936E-2</v>
          </cell>
          <cell r="BK163">
            <v>5.699999999999994E-2</v>
          </cell>
          <cell r="BL163">
            <v>7.7999999999999958E-2</v>
          </cell>
          <cell r="BM163">
            <v>5.5999999999999939E-2</v>
          </cell>
          <cell r="BN163">
            <v>3.1000000000000028E-2</v>
          </cell>
          <cell r="BO163">
            <v>4.7999999999999932E-2</v>
          </cell>
          <cell r="BP163">
            <v>5.325000000000002E-2</v>
          </cell>
          <cell r="BQ163">
            <v>7.7999999999999958E-2</v>
          </cell>
          <cell r="BR163">
            <v>5.5999999999999939E-2</v>
          </cell>
          <cell r="BS163">
            <v>3.1000000000000028E-2</v>
          </cell>
          <cell r="BT163">
            <v>4.7999999999999932E-2</v>
          </cell>
          <cell r="BU163">
            <v>5.325000000000002E-2</v>
          </cell>
          <cell r="BV163">
            <v>7.7999999999999958E-2</v>
          </cell>
          <cell r="BW163">
            <v>5.5999999999999939E-2</v>
          </cell>
          <cell r="BX163">
            <v>3.1000000000000028E-2</v>
          </cell>
          <cell r="BY163">
            <v>4.7999999999999932E-2</v>
          </cell>
          <cell r="BZ163">
            <v>5.325000000000002E-2</v>
          </cell>
        </row>
        <row r="164">
          <cell r="B164" t="str">
            <v>BULL - Retention rate</v>
          </cell>
          <cell r="AZ164">
            <v>0.96200000000000008</v>
          </cell>
          <cell r="BA164">
            <v>0.96200000000000008</v>
          </cell>
          <cell r="BB164">
            <v>0.93700000000000006</v>
          </cell>
          <cell r="BC164">
            <v>0.94900000000000007</v>
          </cell>
          <cell r="BD164">
            <v>0.98399999999999999</v>
          </cell>
          <cell r="BE164">
            <v>0.96700000000000008</v>
          </cell>
          <cell r="BF164">
            <v>0.95925000000000005</v>
          </cell>
          <cell r="BG164">
            <v>0.93700000000000006</v>
          </cell>
          <cell r="BH164">
            <v>0.95400000000000007</v>
          </cell>
          <cell r="BI164">
            <v>0.98899999999999999</v>
          </cell>
          <cell r="BJ164">
            <v>0.97200000000000009</v>
          </cell>
          <cell r="BK164">
            <v>0.96299999999999997</v>
          </cell>
          <cell r="BL164">
            <v>0.93700000000000006</v>
          </cell>
          <cell r="BM164">
            <v>0.95900000000000007</v>
          </cell>
          <cell r="BN164">
            <v>0.99399999999999999</v>
          </cell>
          <cell r="BO164">
            <v>0.97700000000000009</v>
          </cell>
          <cell r="BP164">
            <v>0.96675</v>
          </cell>
          <cell r="BQ164">
            <v>0.93700000000000006</v>
          </cell>
          <cell r="BR164">
            <v>0.95900000000000007</v>
          </cell>
          <cell r="BS164">
            <v>0.99399999999999999</v>
          </cell>
          <cell r="BT164">
            <v>0.97700000000000009</v>
          </cell>
          <cell r="BU164">
            <v>0.96675</v>
          </cell>
          <cell r="BV164">
            <v>0.93700000000000006</v>
          </cell>
          <cell r="BW164">
            <v>0.95900000000000007</v>
          </cell>
          <cell r="BX164">
            <v>0.99399999999999999</v>
          </cell>
          <cell r="BY164">
            <v>0.97700000000000009</v>
          </cell>
          <cell r="BZ164">
            <v>0.96675</v>
          </cell>
        </row>
        <row r="165">
          <cell r="B165" t="str">
            <v>BASE - Retention rate</v>
          </cell>
          <cell r="D165">
            <v>0.95299999999999996</v>
          </cell>
          <cell r="E165">
            <v>0.95799999999999996</v>
          </cell>
          <cell r="F165">
            <v>0.88500000000000001</v>
          </cell>
          <cell r="G165">
            <v>0.85299999999999998</v>
          </cell>
          <cell r="H165">
            <v>0.91200000000000003</v>
          </cell>
          <cell r="I165">
            <v>0.95199999999999996</v>
          </cell>
          <cell r="J165">
            <v>0.88900000000000001</v>
          </cell>
          <cell r="K165">
            <v>0.877</v>
          </cell>
          <cell r="L165">
            <v>0.69599999999999995</v>
          </cell>
          <cell r="P165">
            <v>0.69099999999999995</v>
          </cell>
          <cell r="Q165">
            <v>0.77700000000000002</v>
          </cell>
          <cell r="S165">
            <v>0.88900000000000001</v>
          </cell>
          <cell r="T165">
            <v>0.84499999999999997</v>
          </cell>
          <cell r="U165">
            <v>0.82199999999999995</v>
          </cell>
          <cell r="V165">
            <v>0.61099999999999999</v>
          </cell>
          <cell r="W165">
            <v>0.79174999999999995</v>
          </cell>
          <cell r="X165">
            <v>0.88600000000000001</v>
          </cell>
          <cell r="Y165">
            <v>0.91400000000000003</v>
          </cell>
          <cell r="Z165">
            <v>0.86599999999999999</v>
          </cell>
          <cell r="AA165">
            <v>0.872</v>
          </cell>
          <cell r="AB165">
            <v>0.88449999999999995</v>
          </cell>
          <cell r="AC165">
            <v>0.91900000000000004</v>
          </cell>
          <cell r="AD165">
            <v>0.84199999999999997</v>
          </cell>
          <cell r="AE165">
            <v>0.84899999999999998</v>
          </cell>
          <cell r="AF165">
            <v>0.78</v>
          </cell>
          <cell r="AG165">
            <v>0.84750000000000014</v>
          </cell>
          <cell r="AH165">
            <v>0.81699999999999995</v>
          </cell>
          <cell r="AI165">
            <v>0.87</v>
          </cell>
          <cell r="AJ165">
            <v>0.89100000000000001</v>
          </cell>
          <cell r="AK165">
            <v>0.88900000000000001</v>
          </cell>
          <cell r="AL165">
            <v>0.86674999999999991</v>
          </cell>
          <cell r="AM165">
            <v>0.81699999999999995</v>
          </cell>
          <cell r="AN165">
            <v>0.87</v>
          </cell>
          <cell r="AO165">
            <v>0.89100000000000001</v>
          </cell>
          <cell r="AP165">
            <v>0.88900000000000001</v>
          </cell>
          <cell r="AQ165">
            <v>0.86674999999999991</v>
          </cell>
          <cell r="AR165">
            <v>0.90600000000000003</v>
          </cell>
          <cell r="AS165">
            <v>0.94799999999999995</v>
          </cell>
          <cell r="AT165">
            <v>0.93600000000000005</v>
          </cell>
          <cell r="AU165">
            <v>0.93200000000000005</v>
          </cell>
          <cell r="AV165">
            <v>0.93049999999999999</v>
          </cell>
          <cell r="AW165">
            <v>0.92200000000000004</v>
          </cell>
          <cell r="AX165">
            <v>0.92900000000000005</v>
          </cell>
          <cell r="AY165">
            <v>0.95399999999999996</v>
          </cell>
          <cell r="AZ165">
            <v>0.93700000000000006</v>
          </cell>
          <cell r="BA165">
            <v>0.9355</v>
          </cell>
          <cell r="BB165">
            <v>0.92200000000000004</v>
          </cell>
          <cell r="BC165">
            <v>0.93400000000000005</v>
          </cell>
          <cell r="BD165">
            <v>0.95899999999999996</v>
          </cell>
          <cell r="BE165">
            <v>0.94200000000000006</v>
          </cell>
          <cell r="BF165">
            <v>0.93925000000000003</v>
          </cell>
          <cell r="BG165">
            <v>0.92200000000000004</v>
          </cell>
          <cell r="BH165">
            <v>0.93900000000000006</v>
          </cell>
          <cell r="BI165">
            <v>0.96399999999999997</v>
          </cell>
          <cell r="BJ165">
            <v>0.94700000000000006</v>
          </cell>
          <cell r="BK165">
            <v>0.94300000000000006</v>
          </cell>
          <cell r="BL165">
            <v>0.92200000000000004</v>
          </cell>
          <cell r="BM165">
            <v>0.94400000000000006</v>
          </cell>
          <cell r="BN165">
            <v>0.96899999999999997</v>
          </cell>
          <cell r="BO165">
            <v>0.95200000000000007</v>
          </cell>
          <cell r="BP165">
            <v>0.94674999999999998</v>
          </cell>
          <cell r="BQ165">
            <v>0.92200000000000004</v>
          </cell>
          <cell r="BR165">
            <v>0.94400000000000006</v>
          </cell>
          <cell r="BS165">
            <v>0.96899999999999997</v>
          </cell>
          <cell r="BT165">
            <v>0.95200000000000007</v>
          </cell>
          <cell r="BU165">
            <v>0.94674999999999998</v>
          </cell>
          <cell r="BV165">
            <v>0.92200000000000004</v>
          </cell>
          <cell r="BW165">
            <v>0.94400000000000006</v>
          </cell>
          <cell r="BX165">
            <v>0.96899999999999997</v>
          </cell>
          <cell r="BY165">
            <v>0.95200000000000007</v>
          </cell>
          <cell r="BZ165">
            <v>0.94674999999999998</v>
          </cell>
        </row>
        <row r="166">
          <cell r="B166" t="str">
            <v>BEAR - Retention rate</v>
          </cell>
          <cell r="AZ166">
            <v>0.89700000000000002</v>
          </cell>
          <cell r="BA166">
            <v>0.89700000000000002</v>
          </cell>
          <cell r="BB166">
            <v>0.88200000000000001</v>
          </cell>
          <cell r="BC166">
            <v>0.89400000000000002</v>
          </cell>
          <cell r="BD166">
            <v>0.91899999999999993</v>
          </cell>
          <cell r="BE166">
            <v>0.90200000000000002</v>
          </cell>
          <cell r="BF166">
            <v>0.89924999999999999</v>
          </cell>
          <cell r="BG166">
            <v>0.88200000000000001</v>
          </cell>
          <cell r="BH166">
            <v>0.89900000000000002</v>
          </cell>
          <cell r="BI166">
            <v>0.92399999999999993</v>
          </cell>
          <cell r="BJ166">
            <v>0.90700000000000003</v>
          </cell>
          <cell r="BK166">
            <v>0.90300000000000002</v>
          </cell>
          <cell r="BL166">
            <v>0.88200000000000001</v>
          </cell>
          <cell r="BM166">
            <v>0.90400000000000003</v>
          </cell>
          <cell r="BN166">
            <v>0.92899999999999994</v>
          </cell>
          <cell r="BO166">
            <v>0.91200000000000003</v>
          </cell>
          <cell r="BP166">
            <v>0.90674999999999994</v>
          </cell>
          <cell r="BQ166">
            <v>0.88200000000000001</v>
          </cell>
          <cell r="BR166">
            <v>0.90400000000000003</v>
          </cell>
          <cell r="BS166">
            <v>0.92899999999999994</v>
          </cell>
          <cell r="BT166">
            <v>0.91200000000000003</v>
          </cell>
          <cell r="BU166">
            <v>0.90674999999999994</v>
          </cell>
          <cell r="BV166">
            <v>0.88200000000000001</v>
          </cell>
          <cell r="BW166">
            <v>0.90400000000000003</v>
          </cell>
          <cell r="BX166">
            <v>0.92899999999999994</v>
          </cell>
          <cell r="BY166">
            <v>0.91200000000000003</v>
          </cell>
          <cell r="BZ166">
            <v>0.90674999999999994</v>
          </cell>
        </row>
        <row r="167">
          <cell r="B167" t="str">
            <v>Cancellation rate (as % of beginning of qtr run rate)</v>
          </cell>
          <cell r="D167">
            <v>4.7000000000000042E-2</v>
          </cell>
          <cell r="E167">
            <v>4.0277311716345819E-2</v>
          </cell>
          <cell r="F167">
            <v>0.10588196117307859</v>
          </cell>
          <cell r="G167">
            <v>0.12951538867066223</v>
          </cell>
          <cell r="H167">
            <v>8.7750000000000022E-2</v>
          </cell>
          <cell r="I167">
            <v>4.8000000000000043E-2</v>
          </cell>
          <cell r="J167">
            <v>0.10447275719667515</v>
          </cell>
          <cell r="K167">
            <v>0.11400102595365368</v>
          </cell>
          <cell r="L167">
            <v>0.28246632680440042</v>
          </cell>
          <cell r="U167">
            <v>0.17897696770211893</v>
          </cell>
          <cell r="V167">
            <v>0.38647817663072365</v>
          </cell>
          <cell r="W167">
            <v>0.14122312835537518</v>
          </cell>
          <cell r="X167">
            <v>0.11399999999999999</v>
          </cell>
          <cell r="Y167">
            <v>8.4762690539973776E-2</v>
          </cell>
          <cell r="Z167">
            <v>0.13027362982473914</v>
          </cell>
          <cell r="AA167">
            <v>0.12363885254151989</v>
          </cell>
          <cell r="AB167">
            <v>0.11549999999999999</v>
          </cell>
          <cell r="AC167">
            <v>8.0999999999999961E-2</v>
          </cell>
          <cell r="AD167">
            <v>0.15880911414765059</v>
          </cell>
          <cell r="AE167">
            <v>0.15254798425989946</v>
          </cell>
          <cell r="AF167">
            <v>0.22454578381827903</v>
          </cell>
          <cell r="AG167">
            <v>0.15250000000000002</v>
          </cell>
          <cell r="AH167">
            <v>0.18300000000000005</v>
          </cell>
          <cell r="AI167">
            <v>0.13458898492803348</v>
          </cell>
          <cell r="AJ167">
            <v>0.11453947418774635</v>
          </cell>
          <cell r="AK167">
            <v>0.1161809449389163</v>
          </cell>
          <cell r="AL167">
            <v>0.13325000000000001</v>
          </cell>
          <cell r="AM167">
            <v>0.19490897454545461</v>
          </cell>
          <cell r="AN167">
            <v>0.13458898492803348</v>
          </cell>
          <cell r="AO167">
            <v>0.11453947418774635</v>
          </cell>
          <cell r="AP167">
            <v>0.1161809449389163</v>
          </cell>
          <cell r="AQ167">
            <v>0.14192142545454545</v>
          </cell>
          <cell r="AR167">
            <v>9.3999999999999972E-2</v>
          </cell>
          <cell r="AS167">
            <v>5.1796080401039349E-2</v>
          </cell>
          <cell r="AT167">
            <v>6.2223991886257296E-2</v>
          </cell>
          <cell r="AU167">
            <v>6.7677773312272718E-2</v>
          </cell>
          <cell r="AV167">
            <v>7.0117047272727259E-2</v>
          </cell>
          <cell r="AW167">
            <v>8.1186559999999963E-2</v>
          </cell>
          <cell r="AX167">
            <v>7.0999999999999952E-2</v>
          </cell>
          <cell r="AY167">
            <v>4.6000000000000041E-2</v>
          </cell>
          <cell r="AZ167">
            <v>6.1086666666666609E-2</v>
          </cell>
          <cell r="BA167">
            <v>6.4904726192028889E-2</v>
          </cell>
          <cell r="BB167">
            <v>7.7999999999999944E-2</v>
          </cell>
          <cell r="BC167">
            <v>6.5045146260043804E-2</v>
          </cell>
          <cell r="BD167">
            <v>3.9827865108094912E-2</v>
          </cell>
          <cell r="BE167">
            <v>5.5681368113899878E-2</v>
          </cell>
          <cell r="BF167">
            <v>6.0749999999999971E-2</v>
          </cell>
          <cell r="BG167">
            <v>7.7999999999999944E-2</v>
          </cell>
          <cell r="BH167">
            <v>6.0046273230919607E-2</v>
          </cell>
          <cell r="BI167">
            <v>3.485050664215969E-2</v>
          </cell>
          <cell r="BJ167">
            <v>5.0609444519251208E-2</v>
          </cell>
          <cell r="BK167">
            <v>5.699999999999996E-2</v>
          </cell>
          <cell r="BL167">
            <v>7.7999999999999958E-2</v>
          </cell>
          <cell r="BM167">
            <v>5.5125671989798342E-2</v>
          </cell>
          <cell r="BN167">
            <v>2.9975139398606888E-2</v>
          </cell>
          <cell r="BO167">
            <v>4.5728337813180343E-2</v>
          </cell>
          <cell r="BP167">
            <v>5.3249999999999971E-2</v>
          </cell>
          <cell r="BQ167">
            <v>7.7999999999999958E-2</v>
          </cell>
          <cell r="BR167">
            <v>5.5133444842025377E-2</v>
          </cell>
          <cell r="BS167">
            <v>2.9983087841271266E-2</v>
          </cell>
          <cell r="BT167">
            <v>4.5744387104825979E-2</v>
          </cell>
          <cell r="BU167">
            <v>5.3249999999999971E-2</v>
          </cell>
          <cell r="BV167">
            <v>7.7999999999999958E-2</v>
          </cell>
          <cell r="BW167">
            <v>5.5140271856035851E-2</v>
          </cell>
          <cell r="BX167">
            <v>2.9990070707151102E-2</v>
          </cell>
          <cell r="BY167">
            <v>4.5758489000755062E-2</v>
          </cell>
          <cell r="BZ167">
            <v>5.3249999999999964E-2</v>
          </cell>
        </row>
        <row r="175">
          <cell r="B175" t="str">
            <v>Subtotal</v>
          </cell>
          <cell r="I175">
            <v>30.276031249999999</v>
          </cell>
          <cell r="J175">
            <v>31.4985</v>
          </cell>
          <cell r="K175">
            <v>32.466093749999999</v>
          </cell>
          <cell r="L175">
            <v>33.003500000000003</v>
          </cell>
          <cell r="U175">
            <v>30.557374999999997</v>
          </cell>
          <cell r="V175">
            <v>30.2533125</v>
          </cell>
          <cell r="W175">
            <v>60.8106875</v>
          </cell>
          <cell r="X175">
            <v>29.886906250000003</v>
          </cell>
          <cell r="Y175">
            <v>29.644281249999999</v>
          </cell>
          <cell r="Z175">
            <v>29.451281250000001</v>
          </cell>
          <cell r="AA175">
            <v>29.349125000000001</v>
          </cell>
          <cell r="AB175">
            <v>118.33159375000001</v>
          </cell>
          <cell r="AC175">
            <v>29.582562499999998</v>
          </cell>
          <cell r="AD175">
            <v>29.570468750000003</v>
          </cell>
          <cell r="AE175">
            <v>29.427937500000002</v>
          </cell>
          <cell r="AF175">
            <v>29.0598125</v>
          </cell>
          <cell r="AG175">
            <v>117.64078125</v>
          </cell>
          <cell r="AH175">
            <v>28.42925</v>
          </cell>
          <cell r="AI175">
            <v>27.67021875</v>
          </cell>
          <cell r="AJ175">
            <v>26.9311875</v>
          </cell>
          <cell r="AK175">
            <v>26.37709375</v>
          </cell>
          <cell r="AL175">
            <v>109.40774999999999</v>
          </cell>
          <cell r="AM175">
            <v>28.42925</v>
          </cell>
          <cell r="AN175">
            <v>27.67021875</v>
          </cell>
          <cell r="AO175">
            <v>26.9311875</v>
          </cell>
          <cell r="AP175">
            <v>26.37709375</v>
          </cell>
          <cell r="AQ175">
            <v>109.40774999999999</v>
          </cell>
          <cell r="AR175">
            <v>26.087375000000002</v>
          </cell>
          <cell r="AS175">
            <v>26.068687499999999</v>
          </cell>
          <cell r="AT175">
            <v>26.168843750000001</v>
          </cell>
          <cell r="AU175">
            <v>26.340031249999999</v>
          </cell>
          <cell r="AV175">
            <v>104.66493749999999</v>
          </cell>
          <cell r="AW175">
            <v>26.238406250000001</v>
          </cell>
          <cell r="AX175">
            <v>26.919</v>
          </cell>
          <cell r="AY175">
            <v>27.130031249999998</v>
          </cell>
          <cell r="AZ175">
            <v>27.411544578125</v>
          </cell>
          <cell r="BA175">
            <v>107.698982078125</v>
          </cell>
          <cell r="BB175">
            <v>27.762494083851564</v>
          </cell>
          <cell r="BC175">
            <v>28.148474234765626</v>
          </cell>
          <cell r="BD175">
            <v>28.556357365089841</v>
          </cell>
          <cell r="BE175">
            <v>28.983857610855466</v>
          </cell>
          <cell r="BF175">
            <v>113.4511832945625</v>
          </cell>
          <cell r="BG175">
            <v>29.432227350257577</v>
          </cell>
          <cell r="BH175">
            <v>29.900372289735643</v>
          </cell>
          <cell r="BI175">
            <v>30.390880738944244</v>
          </cell>
          <cell r="BJ175">
            <v>30.905671457560885</v>
          </cell>
          <cell r="BK175">
            <v>120.62915183649835</v>
          </cell>
          <cell r="BL175">
            <v>31.438529827776051</v>
          </cell>
          <cell r="BM175">
            <v>31.984941078686347</v>
          </cell>
          <cell r="BN175">
            <v>32.549510738559668</v>
          </cell>
          <cell r="BO175">
            <v>33.133905713262486</v>
          </cell>
          <cell r="BP175">
            <v>129.10688735828455</v>
          </cell>
          <cell r="BQ175">
            <v>33.733518084089177</v>
          </cell>
          <cell r="BR175">
            <v>34.34213117616482</v>
          </cell>
          <cell r="BS175">
            <v>34.959844999783634</v>
          </cell>
          <cell r="BT175">
            <v>35.588472888140629</v>
          </cell>
          <cell r="BU175">
            <v>138.62396714817828</v>
          </cell>
          <cell r="BV175">
            <v>36.228220370896118</v>
          </cell>
          <cell r="BW175">
            <v>36.877629710851245</v>
          </cell>
          <cell r="BX175">
            <v>37.536797015910551</v>
          </cell>
          <cell r="BY175">
            <v>38.207660696744185</v>
          </cell>
          <cell r="BZ175">
            <v>148.85030779440211</v>
          </cell>
        </row>
        <row r="176">
          <cell r="B176" t="str">
            <v>Adjustments (FX, Other)</v>
          </cell>
          <cell r="I176">
            <v>2.0659687499999997</v>
          </cell>
          <cell r="J176">
            <v>2.4035000000000011</v>
          </cell>
          <cell r="K176">
            <v>1.1929062500000001</v>
          </cell>
          <cell r="L176">
            <v>-0.50850000000000506</v>
          </cell>
          <cell r="U176">
            <v>-0.13337499999999736</v>
          </cell>
          <cell r="V176">
            <v>0.73968749999999872</v>
          </cell>
          <cell r="W176">
            <v>0.60631250000000136</v>
          </cell>
          <cell r="X176">
            <v>-0.60290625000000375</v>
          </cell>
          <cell r="Y176">
            <v>-0.45128124999999741</v>
          </cell>
          <cell r="Z176">
            <v>0.81171875000000071</v>
          </cell>
          <cell r="AA176">
            <v>0.79987500000000011</v>
          </cell>
          <cell r="AB176">
            <v>0.55740624999999966</v>
          </cell>
          <cell r="AC176">
            <v>-0.51956249999999926</v>
          </cell>
          <cell r="AD176">
            <v>-0.2444687500000029</v>
          </cell>
          <cell r="AE176">
            <v>-0.28993750000000063</v>
          </cell>
          <cell r="AF176">
            <v>-0.45381249999999795</v>
          </cell>
          <cell r="AG176">
            <v>-1.5077812500000007</v>
          </cell>
          <cell r="AH176">
            <v>-0.78324999999999889</v>
          </cell>
          <cell r="AI176">
            <v>-1.5812187500000014</v>
          </cell>
          <cell r="AJ176">
            <v>-0.71818749999999909</v>
          </cell>
          <cell r="AK176">
            <v>-0.86409374999999855</v>
          </cell>
          <cell r="AL176">
            <v>-3.946749999999998</v>
          </cell>
          <cell r="AM176">
            <v>-1.0292500000000011</v>
          </cell>
          <cell r="AN176">
            <v>-1.6702187500000001</v>
          </cell>
          <cell r="AO176">
            <v>-0.83118749999999864</v>
          </cell>
          <cell r="AP176">
            <v>-0.87709375000000023</v>
          </cell>
          <cell r="AQ176">
            <v>-4.4077500000000001</v>
          </cell>
          <cell r="AR176">
            <v>-0.28737500000000082</v>
          </cell>
          <cell r="AS176">
            <v>0.23131250000000136</v>
          </cell>
          <cell r="AT176">
            <v>3.1156249999998664E-2</v>
          </cell>
          <cell r="AU176">
            <v>-0.44003125000000054</v>
          </cell>
          <cell r="AV176">
            <v>-0.46493750000000134</v>
          </cell>
          <cell r="AW176">
            <v>6.1593750000000114E-2</v>
          </cell>
          <cell r="AX176">
            <v>-0.31899999999999906</v>
          </cell>
          <cell r="AY176">
            <v>-3.0031249999996845E-2</v>
          </cell>
          <cell r="AZ176">
            <v>-0.35202500000000048</v>
          </cell>
          <cell r="BA176">
            <v>-0.63946249999999627</v>
          </cell>
          <cell r="BB176">
            <v>6.1593750000000114E-2</v>
          </cell>
          <cell r="BC176">
            <v>-0.31899999999999906</v>
          </cell>
          <cell r="BD176">
            <v>-3.0031249999996845E-2</v>
          </cell>
          <cell r="BE176">
            <v>-0.35202500000000048</v>
          </cell>
          <cell r="BF176">
            <v>-0.63946249999999627</v>
          </cell>
          <cell r="BG176">
            <v>6.1593750000000114E-2</v>
          </cell>
          <cell r="BH176">
            <v>-0.31899999999999906</v>
          </cell>
          <cell r="BI176">
            <v>-3.0031249999996845E-2</v>
          </cell>
          <cell r="BJ176">
            <v>-0.35202500000000048</v>
          </cell>
          <cell r="BK176">
            <v>-0.63946249999999627</v>
          </cell>
          <cell r="BL176">
            <v>6.1593750000000114E-2</v>
          </cell>
          <cell r="BM176">
            <v>-0.31899999999999906</v>
          </cell>
          <cell r="BN176">
            <v>-3.0031249999996845E-2</v>
          </cell>
          <cell r="BO176">
            <v>-0.35202500000000048</v>
          </cell>
          <cell r="BP176">
            <v>-0.63946249999999627</v>
          </cell>
          <cell r="BQ176">
            <v>6.1593750000000114E-2</v>
          </cell>
          <cell r="BR176">
            <v>-0.31899999999999906</v>
          </cell>
          <cell r="BS176">
            <v>-3.0031249999996845E-2</v>
          </cell>
          <cell r="BT176">
            <v>-0.35202500000000048</v>
          </cell>
          <cell r="BU176">
            <v>-0.63946249999999627</v>
          </cell>
          <cell r="BV176">
            <v>6.1593750000000114E-2</v>
          </cell>
          <cell r="BW176">
            <v>-0.31899999999999906</v>
          </cell>
          <cell r="BX176">
            <v>-3.0031249999996845E-2</v>
          </cell>
          <cell r="BY176">
            <v>-0.35202500000000048</v>
          </cell>
          <cell r="BZ176">
            <v>-0.63946249999999627</v>
          </cell>
        </row>
        <row r="177">
          <cell r="B177" t="str">
            <v>PMA Subscription revenue</v>
          </cell>
          <cell r="AM177">
            <v>27.4</v>
          </cell>
          <cell r="AN177">
            <v>26</v>
          </cell>
          <cell r="AO177">
            <v>26.1</v>
          </cell>
          <cell r="AP177">
            <v>25.5</v>
          </cell>
          <cell r="AQ177">
            <v>105</v>
          </cell>
          <cell r="AR177">
            <v>25.8</v>
          </cell>
          <cell r="AS177">
            <v>26.3</v>
          </cell>
          <cell r="AT177">
            <v>26.2</v>
          </cell>
          <cell r="AU177">
            <v>25.9</v>
          </cell>
          <cell r="AV177">
            <v>104.19999999999999</v>
          </cell>
          <cell r="AW177">
            <v>26.3</v>
          </cell>
          <cell r="AX177">
            <v>26.6</v>
          </cell>
          <cell r="AY177">
            <v>27.1</v>
          </cell>
          <cell r="AZ177">
            <v>27.059519578124998</v>
          </cell>
          <cell r="BA177">
            <v>107.05951957812499</v>
          </cell>
          <cell r="BB177">
            <v>27.824087833851564</v>
          </cell>
          <cell r="BC177">
            <v>27.829474234765627</v>
          </cell>
          <cell r="BD177">
            <v>28.526326115089844</v>
          </cell>
          <cell r="BE177">
            <v>28.631832610855465</v>
          </cell>
          <cell r="BF177">
            <v>112.8117207945625</v>
          </cell>
          <cell r="BG177">
            <v>29.493821100257577</v>
          </cell>
          <cell r="BH177">
            <v>29.581372289735643</v>
          </cell>
          <cell r="BI177">
            <v>30.360849488944247</v>
          </cell>
          <cell r="BJ177">
            <v>30.553646457560884</v>
          </cell>
          <cell r="BK177">
            <v>119.98968933649834</v>
          </cell>
          <cell r="BL177">
            <v>31.500123577776051</v>
          </cell>
          <cell r="BM177">
            <v>31.665941078686348</v>
          </cell>
          <cell r="BN177">
            <v>32.519479488559668</v>
          </cell>
          <cell r="BO177">
            <v>32.781880713262488</v>
          </cell>
          <cell r="BP177">
            <v>128.46742485828455</v>
          </cell>
          <cell r="BQ177">
            <v>33.795111834089177</v>
          </cell>
          <cell r="BR177">
            <v>34.023131176164824</v>
          </cell>
          <cell r="BS177">
            <v>34.929813749783634</v>
          </cell>
          <cell r="BT177">
            <v>35.236447888140631</v>
          </cell>
          <cell r="BU177">
            <v>137.98450464817827</v>
          </cell>
          <cell r="BV177">
            <v>36.289814120896118</v>
          </cell>
          <cell r="BW177">
            <v>36.55862971085125</v>
          </cell>
          <cell r="BX177">
            <v>37.506765765910558</v>
          </cell>
          <cell r="BY177">
            <v>37.855635696744187</v>
          </cell>
          <cell r="BZ177">
            <v>148.21084529440213</v>
          </cell>
          <cell r="CB177">
            <v>5.7773103899695366E-2</v>
          </cell>
        </row>
        <row r="178">
          <cell r="AR178">
            <v>-5.8394160583941535E-2</v>
          </cell>
          <cell r="AS178">
            <v>1.1538461538461497E-2</v>
          </cell>
          <cell r="AT178">
            <v>3.8314176245208831E-3</v>
          </cell>
          <cell r="AU178">
            <v>1.5686274509803866E-2</v>
          </cell>
          <cell r="AV178">
            <v>-7.6190476190477474E-3</v>
          </cell>
          <cell r="AW178">
            <v>1.9379844961240345E-2</v>
          </cell>
          <cell r="AX178">
            <v>1.1406844106463865E-2</v>
          </cell>
          <cell r="AY178">
            <v>3.4351145038167941E-2</v>
          </cell>
          <cell r="AZ178">
            <v>4.4769095680502025E-2</v>
          </cell>
          <cell r="BA178">
            <v>2.7442606315978946E-2</v>
          </cell>
          <cell r="BB178">
            <v>5.795010775101006E-2</v>
          </cell>
          <cell r="BC178">
            <v>4.6220835893444612E-2</v>
          </cell>
          <cell r="BD178">
            <v>5.2631959966414898E-2</v>
          </cell>
          <cell r="BE178">
            <v>5.8105726089886955E-2</v>
          </cell>
        </row>
        <row r="180">
          <cell r="B180" t="str">
            <v>PMA non-recurring revenue</v>
          </cell>
          <cell r="AM180">
            <v>0.24600000000000222</v>
          </cell>
          <cell r="AN180">
            <v>8.8999999999998636E-2</v>
          </cell>
          <cell r="AO180">
            <v>0.11299999999999955</v>
          </cell>
          <cell r="AP180">
            <v>1.3000000000001677E-2</v>
          </cell>
          <cell r="AQ180">
            <v>0.46100000000000207</v>
          </cell>
          <cell r="AR180">
            <v>6.4999999999997726E-2</v>
          </cell>
          <cell r="AS180">
            <v>3.0000000000001137E-3</v>
          </cell>
          <cell r="AT180">
            <v>6.8999999999999062E-2</v>
          </cell>
          <cell r="AU180">
            <v>5.2000000000003155E-2</v>
          </cell>
          <cell r="AV180">
            <v>0.18900000000000006</v>
          </cell>
          <cell r="AW180">
            <v>6.8999999999999062E-2</v>
          </cell>
          <cell r="AX180">
            <v>5.2999999999997272E-2</v>
          </cell>
          <cell r="AY180">
            <v>0</v>
          </cell>
          <cell r="AZ180">
            <v>0</v>
          </cell>
          <cell r="BA180">
            <v>0.12199999999999633</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B180">
            <v>-1</v>
          </cell>
        </row>
        <row r="182">
          <cell r="B182" t="str">
            <v>Portfolio Analytics revenue</v>
          </cell>
          <cell r="D182">
            <v>29.364000000000001</v>
          </cell>
          <cell r="E182">
            <v>30.207000000000001</v>
          </cell>
          <cell r="F182">
            <v>29.452000000000002</v>
          </cell>
          <cell r="G182">
            <v>31.625</v>
          </cell>
          <cell r="I182">
            <v>32.341999999999999</v>
          </cell>
          <cell r="J182">
            <v>33.902000000000001</v>
          </cell>
          <cell r="K182">
            <v>33.658999999999999</v>
          </cell>
          <cell r="L182">
            <v>32.494999999999997</v>
          </cell>
          <cell r="U182">
            <v>30.423999999999999</v>
          </cell>
          <cell r="V182">
            <v>30.992999999999999</v>
          </cell>
          <cell r="W182">
            <v>61.417000000000002</v>
          </cell>
          <cell r="X182">
            <v>29.283999999999999</v>
          </cell>
          <cell r="Y182">
            <v>29.193000000000001</v>
          </cell>
          <cell r="Z182">
            <v>30.263000000000002</v>
          </cell>
          <cell r="AA182">
            <v>30.149000000000001</v>
          </cell>
          <cell r="AB182">
            <v>118.88900000000001</v>
          </cell>
          <cell r="AC182">
            <v>29.062999999999999</v>
          </cell>
          <cell r="AD182">
            <v>29.326000000000001</v>
          </cell>
          <cell r="AE182">
            <v>29.138000000000002</v>
          </cell>
          <cell r="AF182">
            <v>28.606000000000002</v>
          </cell>
          <cell r="AG182">
            <v>116.13300000000001</v>
          </cell>
          <cell r="AH182">
            <v>27.646000000000001</v>
          </cell>
          <cell r="AI182">
            <v>26.088999999999999</v>
          </cell>
          <cell r="AJ182">
            <v>26.213000000000001</v>
          </cell>
          <cell r="AK182">
            <v>25.513000000000002</v>
          </cell>
          <cell r="AL182">
            <v>105.46100000000001</v>
          </cell>
          <cell r="AM182">
            <v>27.646000000000001</v>
          </cell>
          <cell r="AN182">
            <v>26.088999999999999</v>
          </cell>
          <cell r="AO182">
            <v>26.213000000000001</v>
          </cell>
          <cell r="AP182">
            <v>25.513000000000002</v>
          </cell>
          <cell r="AQ182">
            <v>105.46100000000001</v>
          </cell>
          <cell r="AR182">
            <v>25.864999999999998</v>
          </cell>
          <cell r="AS182">
            <v>26.303000000000001</v>
          </cell>
          <cell r="AT182">
            <v>26.268999999999998</v>
          </cell>
          <cell r="AU182">
            <v>25.952000000000002</v>
          </cell>
          <cell r="AV182">
            <v>104.389</v>
          </cell>
          <cell r="AW182">
            <v>26.369</v>
          </cell>
          <cell r="AX182">
            <v>26.652999999999999</v>
          </cell>
          <cell r="AY182">
            <v>27.1</v>
          </cell>
          <cell r="AZ182">
            <v>27.059519578124998</v>
          </cell>
          <cell r="BA182">
            <v>107.18151957812501</v>
          </cell>
          <cell r="BB182">
            <v>27.824087833851564</v>
          </cell>
          <cell r="BC182">
            <v>27.829474234765627</v>
          </cell>
          <cell r="BD182">
            <v>28.526326115089844</v>
          </cell>
          <cell r="BE182">
            <v>28.631832610855465</v>
          </cell>
          <cell r="BF182">
            <v>112.8117207945625</v>
          </cell>
          <cell r="BG182">
            <v>29.493821100257577</v>
          </cell>
          <cell r="BH182">
            <v>29.581372289735643</v>
          </cell>
          <cell r="BI182">
            <v>30.360849488944247</v>
          </cell>
          <cell r="BJ182">
            <v>30.553646457560884</v>
          </cell>
          <cell r="BK182">
            <v>119.98968933649834</v>
          </cell>
          <cell r="BL182">
            <v>31.500123577776051</v>
          </cell>
          <cell r="BM182">
            <v>31.665941078686348</v>
          </cell>
          <cell r="BN182">
            <v>32.519479488559668</v>
          </cell>
          <cell r="BO182">
            <v>32.781880713262488</v>
          </cell>
          <cell r="BP182">
            <v>128.46742485828455</v>
          </cell>
          <cell r="BQ182">
            <v>33.795111834089177</v>
          </cell>
          <cell r="BR182">
            <v>34.023131176164824</v>
          </cell>
          <cell r="BS182">
            <v>34.929813749783634</v>
          </cell>
          <cell r="BT182">
            <v>35.236447888140631</v>
          </cell>
          <cell r="BU182">
            <v>137.98450464817827</v>
          </cell>
          <cell r="BV182">
            <v>36.289814120896118</v>
          </cell>
          <cell r="BW182">
            <v>36.55862971085125</v>
          </cell>
          <cell r="BX182">
            <v>37.506765765910558</v>
          </cell>
          <cell r="BY182">
            <v>37.855635696744187</v>
          </cell>
          <cell r="BZ182">
            <v>148.21084529440213</v>
          </cell>
          <cell r="CB182">
            <v>5.7389799033494171E-2</v>
          </cell>
        </row>
        <row r="183">
          <cell r="B183" t="str">
            <v>y/y change</v>
          </cell>
          <cell r="Z183">
            <v>-5.2918748356559631E-3</v>
          </cell>
          <cell r="AA183">
            <v>-2.7231955602877944E-2</v>
          </cell>
          <cell r="AC183">
            <v>-7.5467832263351742E-3</v>
          </cell>
          <cell r="AD183">
            <v>4.5558866851642676E-3</v>
          </cell>
          <cell r="AE183">
            <v>-3.717410699534085E-2</v>
          </cell>
          <cell r="AF183">
            <v>-5.1179143586851938E-2</v>
          </cell>
          <cell r="AG183">
            <v>-2.3181286746461027E-2</v>
          </cell>
          <cell r="AH183">
            <v>-4.8756150431820466E-2</v>
          </cell>
          <cell r="AI183">
            <v>-0.11037986769419639</v>
          </cell>
          <cell r="AJ183">
            <v>-0.10038437778845499</v>
          </cell>
          <cell r="AK183">
            <v>-0.10812416975459693</v>
          </cell>
          <cell r="AL183">
            <v>-9.1894638044311194E-2</v>
          </cell>
          <cell r="AM183">
            <v>-4.8756150431820466E-2</v>
          </cell>
          <cell r="AN183">
            <v>-0.11037986769419639</v>
          </cell>
          <cell r="AO183">
            <v>-0.10038437778845499</v>
          </cell>
          <cell r="AP183">
            <v>-0.10812416975459693</v>
          </cell>
          <cell r="AQ183">
            <v>-9.1894638044311194E-2</v>
          </cell>
          <cell r="AR183">
            <v>-6.4421616147001481E-2</v>
          </cell>
          <cell r="AS183">
            <v>8.202690789221645E-3</v>
          </cell>
          <cell r="AT183">
            <v>2.1363445618585164E-3</v>
          </cell>
          <cell r="AU183">
            <v>1.7206914122212202E-2</v>
          </cell>
          <cell r="AV183">
            <v>-1.0164895079697867E-2</v>
          </cell>
          <cell r="AW183">
            <v>1.9485791610284187E-2</v>
          </cell>
          <cell r="AX183">
            <v>1.3306466942934136E-2</v>
          </cell>
          <cell r="AY183">
            <v>3.1634245688834772E-2</v>
          </cell>
          <cell r="AZ183">
            <v>4.2675692745260285E-2</v>
          </cell>
          <cell r="BA183">
            <v>2.5582384907653077E-2</v>
          </cell>
          <cell r="BB183">
            <v>5.5181760167301253E-2</v>
          </cell>
          <cell r="BC183">
            <v>4.4140405761663892E-2</v>
          </cell>
          <cell r="BD183">
            <v>5.2631959966414898E-2</v>
          </cell>
          <cell r="BE183">
            <v>5.8105726089886955E-2</v>
          </cell>
          <cell r="BF183">
            <v>5.3729002699661299E-2</v>
          </cell>
          <cell r="BG183">
            <v>6.0010350613347585E-2</v>
          </cell>
          <cell r="BH183">
            <v>6.2951173284527151E-2</v>
          </cell>
          <cell r="BI183">
            <v>6.430983669095669E-2</v>
          </cell>
          <cell r="BJ183">
            <v>6.7121580124660962E-2</v>
          </cell>
          <cell r="BK183">
            <v>6.362786146137589E-2</v>
          </cell>
          <cell r="BL183">
            <v>6.8024501494686085E-2</v>
          </cell>
          <cell r="BM183">
            <v>7.0468968394479248E-2</v>
          </cell>
          <cell r="BN183">
            <v>7.1099130490452023E-2</v>
          </cell>
          <cell r="BO183">
            <v>7.292858673339131E-2</v>
          </cell>
          <cell r="BP183">
            <v>7.0653866750261196E-2</v>
          </cell>
          <cell r="BQ183">
            <v>7.2856484218121631E-2</v>
          </cell>
          <cell r="BR183">
            <v>7.443928767571184E-2</v>
          </cell>
          <cell r="BS183">
            <v>7.4119706069462721E-2</v>
          </cell>
          <cell r="BT183">
            <v>7.4875727733494601E-2</v>
          </cell>
          <cell r="BU183">
            <v>7.4081657668410905E-2</v>
          </cell>
          <cell r="BV183">
            <v>7.3818435608505206E-2</v>
          </cell>
          <cell r="BW183">
            <v>7.4522786323167445E-2</v>
          </cell>
          <cell r="BX183">
            <v>7.3775143337055038E-2</v>
          </cell>
          <cell r="BY183">
            <v>7.4331777621803985E-2</v>
          </cell>
          <cell r="BZ183">
            <v>7.41122394307836E-2</v>
          </cell>
        </row>
        <row r="185">
          <cell r="C185">
            <v>2006</v>
          </cell>
          <cell r="D185" t="str">
            <v>1Q07</v>
          </cell>
          <cell r="E185" t="str">
            <v>2Q07</v>
          </cell>
          <cell r="F185" t="str">
            <v>3Q07</v>
          </cell>
          <cell r="G185" t="str">
            <v>4Q07</v>
          </cell>
          <cell r="H185">
            <v>2007</v>
          </cell>
          <cell r="I185" t="str">
            <v>1Q08</v>
          </cell>
          <cell r="J185" t="str">
            <v>2Q08</v>
          </cell>
          <cell r="K185" t="str">
            <v>3Q08</v>
          </cell>
          <cell r="L185" t="str">
            <v>4Q08</v>
          </cell>
          <cell r="P185" t="str">
            <v>3Q09</v>
          </cell>
          <cell r="Q185" t="str">
            <v>4Q09</v>
          </cell>
          <cell r="R185">
            <v>2009</v>
          </cell>
          <cell r="S185" t="str">
            <v>1Q10</v>
          </cell>
          <cell r="T185" t="str">
            <v>2Q10</v>
          </cell>
          <cell r="U185" t="str">
            <v>3Q10</v>
          </cell>
          <cell r="V185" t="str">
            <v>4Q10</v>
          </cell>
          <cell r="W185">
            <v>2010</v>
          </cell>
          <cell r="X185" t="str">
            <v>1Q11</v>
          </cell>
          <cell r="Y185" t="str">
            <v>2Q11</v>
          </cell>
          <cell r="Z185" t="str">
            <v>3Q11</v>
          </cell>
          <cell r="AA185" t="str">
            <v>4Q11</v>
          </cell>
          <cell r="AB185">
            <v>2011</v>
          </cell>
          <cell r="AC185" t="str">
            <v>1Q12</v>
          </cell>
          <cell r="AD185" t="str">
            <v>2Q12</v>
          </cell>
          <cell r="AE185" t="str">
            <v>3Q12</v>
          </cell>
          <cell r="AF185" t="str">
            <v>4Q12</v>
          </cell>
          <cell r="AG185">
            <v>2012</v>
          </cell>
          <cell r="AH185" t="str">
            <v>1Q13</v>
          </cell>
          <cell r="AI185" t="str">
            <v>2Q13</v>
          </cell>
          <cell r="AJ185" t="str">
            <v>3Q13</v>
          </cell>
          <cell r="AK185" t="str">
            <v>4Q13</v>
          </cell>
          <cell r="AL185">
            <v>2013</v>
          </cell>
          <cell r="AM185" t="str">
            <v>1Q13R</v>
          </cell>
          <cell r="AN185" t="str">
            <v>2Q13R</v>
          </cell>
          <cell r="AO185" t="str">
            <v>3Q13R</v>
          </cell>
          <cell r="AP185" t="str">
            <v>4Q13R</v>
          </cell>
          <cell r="AQ185" t="str">
            <v>2013R</v>
          </cell>
          <cell r="AR185" t="str">
            <v>1Q14</v>
          </cell>
          <cell r="AS185" t="str">
            <v>2Q14</v>
          </cell>
          <cell r="AT185" t="str">
            <v>3Q14</v>
          </cell>
          <cell r="AU185" t="str">
            <v>4Q14</v>
          </cell>
          <cell r="AV185">
            <v>2014</v>
          </cell>
          <cell r="AW185" t="str">
            <v>1Q15</v>
          </cell>
          <cell r="AX185" t="str">
            <v>2Q15</v>
          </cell>
          <cell r="AY185" t="str">
            <v>3Q15</v>
          </cell>
          <cell r="AZ185" t="str">
            <v>4Q15</v>
          </cell>
          <cell r="BA185">
            <v>2015</v>
          </cell>
          <cell r="BB185" t="str">
            <v>1Q16</v>
          </cell>
          <cell r="BC185" t="str">
            <v>2Q16</v>
          </cell>
          <cell r="BD185" t="str">
            <v>3Q16</v>
          </cell>
          <cell r="BE185" t="str">
            <v>4Q16</v>
          </cell>
          <cell r="BF185" t="str">
            <v>2016E</v>
          </cell>
          <cell r="BG185" t="str">
            <v>1Q17E</v>
          </cell>
          <cell r="BH185" t="str">
            <v>2Q17E</v>
          </cell>
          <cell r="BI185" t="str">
            <v>3Q17E</v>
          </cell>
          <cell r="BJ185" t="str">
            <v>4Q17E</v>
          </cell>
          <cell r="BK185" t="str">
            <v>2017E</v>
          </cell>
          <cell r="BL185" t="str">
            <v>1Q18E</v>
          </cell>
          <cell r="BM185" t="str">
            <v>2Q18E</v>
          </cell>
          <cell r="BN185" t="str">
            <v>3Q18E</v>
          </cell>
          <cell r="BO185" t="str">
            <v>4Q18E</v>
          </cell>
          <cell r="BP185" t="str">
            <v>2018E</v>
          </cell>
          <cell r="BQ185" t="str">
            <v>1Q19E</v>
          </cell>
          <cell r="BR185" t="str">
            <v>2Q19E</v>
          </cell>
          <cell r="BS185" t="str">
            <v>3Q19E</v>
          </cell>
          <cell r="BT185" t="str">
            <v>4Q19E</v>
          </cell>
          <cell r="BU185" t="str">
            <v>2019E</v>
          </cell>
          <cell r="BV185" t="str">
            <v>1Q20E</v>
          </cell>
          <cell r="BW185" t="str">
            <v>2Q20E</v>
          </cell>
          <cell r="BX185" t="str">
            <v>3Q20E</v>
          </cell>
          <cell r="BY185" t="str">
            <v>4Q20E</v>
          </cell>
          <cell r="BZ185" t="str">
            <v>2020E</v>
          </cell>
        </row>
        <row r="186">
          <cell r="A186" t="str">
            <v>Risk Management Analytics</v>
          </cell>
        </row>
        <row r="188">
          <cell r="B188" t="str">
            <v>Annualized run rate</v>
          </cell>
          <cell r="C188">
            <v>16.415833232724037</v>
          </cell>
          <cell r="D188">
            <v>23.440999999999999</v>
          </cell>
          <cell r="E188">
            <v>24.111999999999998</v>
          </cell>
          <cell r="F188">
            <v>27.920999999999999</v>
          </cell>
          <cell r="G188">
            <v>29.242999999999999</v>
          </cell>
          <cell r="H188">
            <v>29.242999999999999</v>
          </cell>
          <cell r="I188">
            <v>30.344000000000001</v>
          </cell>
          <cell r="J188">
            <v>33.255000000000003</v>
          </cell>
          <cell r="K188">
            <v>34.076000000000001</v>
          </cell>
          <cell r="L188">
            <v>35.104999999999997</v>
          </cell>
          <cell r="P188">
            <v>191.715</v>
          </cell>
          <cell r="Q188">
            <v>197.99700000000001</v>
          </cell>
          <cell r="R188">
            <v>197.99700000000001</v>
          </cell>
          <cell r="S188">
            <v>196.523</v>
          </cell>
          <cell r="T188">
            <v>200.161</v>
          </cell>
          <cell r="U188">
            <v>229.09899999999999</v>
          </cell>
          <cell r="V188">
            <v>233.50399999999999</v>
          </cell>
          <cell r="W188">
            <v>233.50399999999999</v>
          </cell>
          <cell r="X188">
            <v>243.85300000000001</v>
          </cell>
          <cell r="Y188">
            <v>249.048</v>
          </cell>
          <cell r="Z188">
            <v>251.804</v>
          </cell>
          <cell r="AA188">
            <v>250.96700000000001</v>
          </cell>
          <cell r="AB188">
            <v>250.96700000000001</v>
          </cell>
          <cell r="AC188">
            <v>257.97300000000001</v>
          </cell>
          <cell r="AD188">
            <v>258.995</v>
          </cell>
          <cell r="AE188">
            <v>261.77600000000001</v>
          </cell>
          <cell r="AF188">
            <v>262.108</v>
          </cell>
          <cell r="AG188">
            <v>262.108</v>
          </cell>
          <cell r="AH188">
            <v>274.524</v>
          </cell>
          <cell r="AI188">
            <v>281.02199999999999</v>
          </cell>
          <cell r="AJ188">
            <v>288.452</v>
          </cell>
          <cell r="AK188">
            <v>290.65499999999997</v>
          </cell>
          <cell r="AL188">
            <v>290.65499999999997</v>
          </cell>
          <cell r="AM188">
            <v>287.55399999999997</v>
          </cell>
          <cell r="AN188">
            <v>293.81599999999997</v>
          </cell>
          <cell r="AO188">
            <v>300.94499999999999</v>
          </cell>
          <cell r="AP188">
            <v>301.95699999999999</v>
          </cell>
          <cell r="AQ188">
            <v>301.95699999999999</v>
          </cell>
          <cell r="AR188">
            <v>307.45999999999998</v>
          </cell>
          <cell r="AS188">
            <v>309.61900000000003</v>
          </cell>
          <cell r="AT188">
            <v>311.01900000000001</v>
          </cell>
          <cell r="AU188">
            <v>310.339</v>
          </cell>
          <cell r="AV188">
            <v>310.339</v>
          </cell>
          <cell r="AW188">
            <v>309.28399999999999</v>
          </cell>
          <cell r="AX188">
            <v>315.90100000000001</v>
          </cell>
          <cell r="AY188">
            <v>319.637</v>
          </cell>
          <cell r="AZ188">
            <v>323.02784700000001</v>
          </cell>
          <cell r="BA188">
            <v>323.02784700000001</v>
          </cell>
          <cell r="BB188">
            <v>328.73826600537501</v>
          </cell>
          <cell r="BC188">
            <v>334.28425462825004</v>
          </cell>
          <cell r="BD188">
            <v>339.68132679212505</v>
          </cell>
          <cell r="BE188">
            <v>344.18922428925003</v>
          </cell>
          <cell r="BF188">
            <v>344.18922428925003</v>
          </cell>
          <cell r="BG188">
            <v>350.43312574151355</v>
          </cell>
          <cell r="BH188">
            <v>356.48774025450018</v>
          </cell>
          <cell r="BI188">
            <v>362.36748244035454</v>
          </cell>
          <cell r="BJ188">
            <v>367.35829895579786</v>
          </cell>
          <cell r="BK188">
            <v>367.35829895579786</v>
          </cell>
          <cell r="BL188">
            <v>374.05440681039664</v>
          </cell>
          <cell r="BM188">
            <v>380.5456672123849</v>
          </cell>
          <cell r="BN188">
            <v>386.84704171124059</v>
          </cell>
          <cell r="BO188">
            <v>392.21135935102041</v>
          </cell>
          <cell r="BP188">
            <v>392.21135935102041</v>
          </cell>
          <cell r="BQ188">
            <v>399.39031034164742</v>
          </cell>
          <cell r="BR188">
            <v>406.34791950665198</v>
          </cell>
          <cell r="BS188">
            <v>413.09976469370957</v>
          </cell>
          <cell r="BT188">
            <v>418.86210485466421</v>
          </cell>
          <cell r="BU188">
            <v>418.86210485466421</v>
          </cell>
          <cell r="BV188">
            <v>426.55674872766906</v>
          </cell>
          <cell r="BW188">
            <v>434.01254672313064</v>
          </cell>
          <cell r="BX188">
            <v>441.24576511323613</v>
          </cell>
          <cell r="BY188">
            <v>447.43247488258805</v>
          </cell>
          <cell r="BZ188">
            <v>447.43247488258805</v>
          </cell>
          <cell r="CB188">
            <v>6.1810322058836187E-2</v>
          </cell>
        </row>
        <row r="189">
          <cell r="B189" t="str">
            <v>Y/Y growth</v>
          </cell>
          <cell r="AR189">
            <v>6.9225258560131397E-2</v>
          </cell>
          <cell r="AS189">
            <v>5.3785362267541714E-2</v>
          </cell>
          <cell r="AT189">
            <v>3.3474555151273622E-2</v>
          </cell>
          <cell r="AU189">
            <v>2.7758919316326569E-2</v>
          </cell>
          <cell r="AW189">
            <v>5.9324790216614964E-3</v>
          </cell>
          <cell r="AX189">
            <v>2.0289452520678486E-2</v>
          </cell>
          <cell r="AY189">
            <v>2.7708918104681679E-2</v>
          </cell>
          <cell r="AZ189">
            <v>4.0887052545764524E-2</v>
          </cell>
        </row>
        <row r="190">
          <cell r="B190" t="str">
            <v>Subscription revenue - 1st quarter, 12.5%</v>
          </cell>
          <cell r="I190">
            <v>0.73253124999999997</v>
          </cell>
          <cell r="J190">
            <v>0.75349999999999995</v>
          </cell>
          <cell r="K190">
            <v>0.87253124999999998</v>
          </cell>
          <cell r="L190">
            <v>0.91384374999999995</v>
          </cell>
          <cell r="U190">
            <v>5.9910937500000001</v>
          </cell>
          <cell r="V190">
            <v>6.1874062500000004</v>
          </cell>
          <cell r="W190">
            <v>12.1785</v>
          </cell>
          <cell r="X190">
            <v>6.1413437499999999</v>
          </cell>
          <cell r="Y190">
            <v>6.25503125</v>
          </cell>
          <cell r="Z190">
            <v>7.1593437499999997</v>
          </cell>
          <cell r="AA190">
            <v>7.2969999999999997</v>
          </cell>
          <cell r="AB190">
            <v>26.852718749999998</v>
          </cell>
          <cell r="AC190">
            <v>7.6204062500000003</v>
          </cell>
          <cell r="AD190">
            <v>7.7827500000000001</v>
          </cell>
          <cell r="AE190">
            <v>7.8688750000000001</v>
          </cell>
          <cell r="AF190">
            <v>7.8427187500000004</v>
          </cell>
          <cell r="AG190">
            <v>31.114750000000001</v>
          </cell>
          <cell r="AH190">
            <v>8.0616562500000004</v>
          </cell>
          <cell r="AI190">
            <v>8.0935937500000001</v>
          </cell>
          <cell r="AJ190">
            <v>8.1805000000000003</v>
          </cell>
          <cell r="AK190">
            <v>8.1908750000000001</v>
          </cell>
          <cell r="AL190">
            <v>32.526625000000003</v>
          </cell>
          <cell r="AM190">
            <v>8.0616562500000004</v>
          </cell>
          <cell r="AN190">
            <v>8.0935937500000001</v>
          </cell>
          <cell r="AO190">
            <v>8.1805000000000003</v>
          </cell>
          <cell r="AP190">
            <v>8.1908750000000001</v>
          </cell>
          <cell r="AQ190">
            <v>32.526625000000003</v>
          </cell>
          <cell r="AR190">
            <v>8.578875</v>
          </cell>
          <cell r="AS190">
            <v>8.7819374999999997</v>
          </cell>
          <cell r="AT190">
            <v>9.0141249999999999</v>
          </cell>
          <cell r="AU190">
            <v>9.0829687499999991</v>
          </cell>
          <cell r="AV190">
            <v>35.457906250000001</v>
          </cell>
          <cell r="AW190">
            <v>8.9860624999999992</v>
          </cell>
          <cell r="AX190">
            <v>9.6755937500000009</v>
          </cell>
          <cell r="AY190">
            <v>9.7193437500000002</v>
          </cell>
          <cell r="AZ190">
            <v>9.69809375</v>
          </cell>
          <cell r="BA190">
            <v>38.079093749999998</v>
          </cell>
          <cell r="BB190">
            <v>9.6651249999999997</v>
          </cell>
          <cell r="BC190">
            <v>9.8719062500000003</v>
          </cell>
          <cell r="BD190">
            <v>9.98865625</v>
          </cell>
          <cell r="BE190">
            <v>10.09462021875</v>
          </cell>
          <cell r="BF190">
            <v>39.620307718749999</v>
          </cell>
          <cell r="BG190">
            <v>10.273070812667969</v>
          </cell>
          <cell r="BH190">
            <v>10.446382957132814</v>
          </cell>
          <cell r="BI190">
            <v>10.615041462253908</v>
          </cell>
          <cell r="BJ190">
            <v>10.755913259039064</v>
          </cell>
          <cell r="BK190">
            <v>42.090408491093754</v>
          </cell>
          <cell r="BL190">
            <v>10.951035179422298</v>
          </cell>
          <cell r="BM190">
            <v>11.140241882953131</v>
          </cell>
          <cell r="BN190">
            <v>11.323983826261079</v>
          </cell>
          <cell r="BO190">
            <v>11.479946842368683</v>
          </cell>
          <cell r="BP190">
            <v>44.895207731005193</v>
          </cell>
          <cell r="BQ190">
            <v>11.689200212824895</v>
          </cell>
          <cell r="BR190">
            <v>11.892052100387028</v>
          </cell>
          <cell r="BS190">
            <v>12.088970053476269</v>
          </cell>
          <cell r="BT190">
            <v>12.256604979719388</v>
          </cell>
          <cell r="BU190">
            <v>47.926827346407578</v>
          </cell>
          <cell r="BV190">
            <v>12.480947198176482</v>
          </cell>
          <cell r="BW190">
            <v>12.698372484582874</v>
          </cell>
          <cell r="BX190">
            <v>12.909367646678424</v>
          </cell>
          <cell r="BY190">
            <v>13.089440776708257</v>
          </cell>
          <cell r="BZ190">
            <v>51.17812810614604</v>
          </cell>
        </row>
        <row r="191">
          <cell r="B191" t="str">
            <v>Subscription revenue - 2nd quarter, 25%</v>
          </cell>
          <cell r="I191">
            <v>1.5069999999999999</v>
          </cell>
          <cell r="J191">
            <v>1.7450625</v>
          </cell>
          <cell r="K191">
            <v>1.8276874999999999</v>
          </cell>
          <cell r="L191">
            <v>1.8965000000000001</v>
          </cell>
          <cell r="U191">
            <v>12.374812500000001</v>
          </cell>
          <cell r="V191">
            <v>12.2826875</v>
          </cell>
          <cell r="W191">
            <v>24.657499999999999</v>
          </cell>
          <cell r="X191">
            <v>12.5100625</v>
          </cell>
          <cell r="Y191">
            <v>14.318687499999999</v>
          </cell>
          <cell r="Z191">
            <v>14.593999999999999</v>
          </cell>
          <cell r="AA191">
            <v>14.593999999999999</v>
          </cell>
          <cell r="AB191">
            <v>56.016750000000002</v>
          </cell>
          <cell r="AC191">
            <v>15.5655</v>
          </cell>
          <cell r="AD191">
            <v>15.73775</v>
          </cell>
          <cell r="AE191">
            <v>15.685437500000001</v>
          </cell>
          <cell r="AF191">
            <v>16.123312500000001</v>
          </cell>
          <cell r="AG191">
            <v>63.111999999999995</v>
          </cell>
          <cell r="AH191">
            <v>16.1871875</v>
          </cell>
          <cell r="AI191">
            <v>16.361000000000001</v>
          </cell>
          <cell r="AJ191">
            <v>16.38175</v>
          </cell>
          <cell r="AK191">
            <v>17.15775</v>
          </cell>
          <cell r="AL191">
            <v>66.087687499999987</v>
          </cell>
          <cell r="AM191">
            <v>16.1871875</v>
          </cell>
          <cell r="AN191">
            <v>16.361000000000001</v>
          </cell>
          <cell r="AO191">
            <v>16.38175</v>
          </cell>
          <cell r="AP191">
            <v>17.972124999999998</v>
          </cell>
          <cell r="AQ191">
            <v>66.9020625</v>
          </cell>
          <cell r="AR191">
            <v>17.563874999999999</v>
          </cell>
          <cell r="AS191">
            <v>18.02825</v>
          </cell>
          <cell r="AT191">
            <v>18.165937499999998</v>
          </cell>
          <cell r="AU191">
            <v>18.165937499999998</v>
          </cell>
          <cell r="AV191">
            <v>71.923999999999992</v>
          </cell>
          <cell r="AW191">
            <v>18.363499999999998</v>
          </cell>
          <cell r="AX191">
            <v>19.4386875</v>
          </cell>
          <cell r="AY191">
            <v>19.3961875</v>
          </cell>
          <cell r="AZ191">
            <v>19.330249999999999</v>
          </cell>
          <cell r="BA191">
            <v>76.528625000000005</v>
          </cell>
          <cell r="BB191">
            <v>19.743812500000001</v>
          </cell>
          <cell r="BC191">
            <v>19.9773125</v>
          </cell>
          <cell r="BD191">
            <v>20.189240437500001</v>
          </cell>
          <cell r="BE191">
            <v>20.546141625335938</v>
          </cell>
          <cell r="BF191">
            <v>80.456507062835939</v>
          </cell>
          <cell r="BG191">
            <v>20.892765914265627</v>
          </cell>
          <cell r="BH191">
            <v>21.230082924507816</v>
          </cell>
          <cell r="BI191">
            <v>21.511826518078127</v>
          </cell>
          <cell r="BJ191">
            <v>21.902070358844597</v>
          </cell>
          <cell r="BK191">
            <v>85.536745715696171</v>
          </cell>
          <cell r="BL191">
            <v>22.280483765906261</v>
          </cell>
          <cell r="BM191">
            <v>22.647967652522158</v>
          </cell>
          <cell r="BN191">
            <v>22.959893684737366</v>
          </cell>
          <cell r="BO191">
            <v>23.37840042564979</v>
          </cell>
          <cell r="BP191">
            <v>91.266745528815576</v>
          </cell>
          <cell r="BQ191">
            <v>23.784104200774056</v>
          </cell>
          <cell r="BR191">
            <v>24.177940106952537</v>
          </cell>
          <cell r="BS191">
            <v>24.513209959438775</v>
          </cell>
          <cell r="BT191">
            <v>24.961894396352964</v>
          </cell>
          <cell r="BU191">
            <v>97.437148663518329</v>
          </cell>
          <cell r="BV191">
            <v>25.396744969165749</v>
          </cell>
          <cell r="BW191">
            <v>25.818735293356848</v>
          </cell>
          <cell r="BX191">
            <v>26.178881553416513</v>
          </cell>
          <cell r="BY191">
            <v>26.659796795479316</v>
          </cell>
          <cell r="BZ191">
            <v>104.05415861141842</v>
          </cell>
        </row>
        <row r="192">
          <cell r="B192" t="str">
            <v>Subscription revenue - 3rd quarter, 25%</v>
          </cell>
          <cell r="I192">
            <v>1.7450625</v>
          </cell>
          <cell r="J192">
            <v>1.8276874999999999</v>
          </cell>
          <cell r="K192">
            <v>1.8965000000000001</v>
          </cell>
          <cell r="L192">
            <v>2.0784375000000002</v>
          </cell>
          <cell r="U192">
            <v>12.2826875</v>
          </cell>
          <cell r="V192">
            <v>12.5100625</v>
          </cell>
          <cell r="W192">
            <v>24.792749999999998</v>
          </cell>
          <cell r="X192">
            <v>14.318687499999999</v>
          </cell>
          <cell r="Y192">
            <v>14.593999999999999</v>
          </cell>
          <cell r="Z192">
            <v>15.240812500000001</v>
          </cell>
          <cell r="AA192">
            <v>15.5655</v>
          </cell>
          <cell r="AB192">
            <v>59.718999999999994</v>
          </cell>
          <cell r="AC192">
            <v>15.73775</v>
          </cell>
          <cell r="AD192">
            <v>15.685437500000001</v>
          </cell>
          <cell r="AE192">
            <v>16.123312500000001</v>
          </cell>
          <cell r="AF192">
            <v>16.1871875</v>
          </cell>
          <cell r="AG192">
            <v>63.733687500000002</v>
          </cell>
          <cell r="AH192">
            <v>16.361000000000001</v>
          </cell>
          <cell r="AI192">
            <v>16.38175</v>
          </cell>
          <cell r="AJ192">
            <v>17.15775</v>
          </cell>
          <cell r="AK192">
            <v>17.563874999999999</v>
          </cell>
          <cell r="AL192">
            <v>67.464375000000004</v>
          </cell>
          <cell r="AM192">
            <v>16.361000000000001</v>
          </cell>
          <cell r="AN192">
            <v>16.38175</v>
          </cell>
          <cell r="AO192">
            <v>17.972124999999998</v>
          </cell>
          <cell r="AP192">
            <v>18.363499999999998</v>
          </cell>
          <cell r="AQ192">
            <v>69.078374999999994</v>
          </cell>
          <cell r="AR192">
            <v>18.02825</v>
          </cell>
          <cell r="AS192">
            <v>18.165937499999998</v>
          </cell>
          <cell r="AT192">
            <v>19.216249999999999</v>
          </cell>
          <cell r="AU192">
            <v>19.351187500000002</v>
          </cell>
          <cell r="AV192">
            <v>74.761625000000009</v>
          </cell>
          <cell r="AW192">
            <v>18.8090625</v>
          </cell>
          <cell r="AX192">
            <v>19.3961875</v>
          </cell>
          <cell r="AY192">
            <v>19.330249999999999</v>
          </cell>
          <cell r="AZ192">
            <v>19.743812500000001</v>
          </cell>
          <cell r="BA192">
            <v>77.279312500000003</v>
          </cell>
          <cell r="BB192">
            <v>19.9773125</v>
          </cell>
          <cell r="BC192">
            <v>20.189240437500001</v>
          </cell>
          <cell r="BD192">
            <v>20.546141625335938</v>
          </cell>
          <cell r="BE192">
            <v>20.892765914265627</v>
          </cell>
          <cell r="BF192">
            <v>81.605460477101559</v>
          </cell>
          <cell r="BG192">
            <v>21.230082924507816</v>
          </cell>
          <cell r="BH192">
            <v>21.511826518078127</v>
          </cell>
          <cell r="BI192">
            <v>21.902070358844597</v>
          </cell>
          <cell r="BJ192">
            <v>22.280483765906261</v>
          </cell>
          <cell r="BK192">
            <v>86.924463567336801</v>
          </cell>
          <cell r="BL192">
            <v>22.647967652522158</v>
          </cell>
          <cell r="BM192">
            <v>22.959893684737366</v>
          </cell>
          <cell r="BN192">
            <v>23.37840042564979</v>
          </cell>
          <cell r="BO192">
            <v>23.784104200774056</v>
          </cell>
          <cell r="BP192">
            <v>92.770365963683361</v>
          </cell>
          <cell r="BQ192">
            <v>24.177940106952537</v>
          </cell>
          <cell r="BR192">
            <v>24.513209959438775</v>
          </cell>
          <cell r="BS192">
            <v>24.961894396352964</v>
          </cell>
          <cell r="BT192">
            <v>25.396744969165749</v>
          </cell>
          <cell r="BU192">
            <v>99.049789431910028</v>
          </cell>
          <cell r="BV192">
            <v>25.818735293356848</v>
          </cell>
          <cell r="BW192">
            <v>26.178881553416513</v>
          </cell>
          <cell r="BX192">
            <v>26.659796795479316</v>
          </cell>
          <cell r="BY192">
            <v>27.125784170195665</v>
          </cell>
          <cell r="BZ192">
            <v>105.78319781244835</v>
          </cell>
        </row>
        <row r="193">
          <cell r="B193" t="str">
            <v>Subscription revenue - 4th quarter, 25%</v>
          </cell>
          <cell r="I193">
            <v>1.8276874999999999</v>
          </cell>
          <cell r="J193">
            <v>1.8965000000000001</v>
          </cell>
          <cell r="K193">
            <v>2.0784375000000002</v>
          </cell>
          <cell r="L193">
            <v>2.12975</v>
          </cell>
          <cell r="U193">
            <v>12.5100625</v>
          </cell>
          <cell r="V193">
            <v>14.318687499999999</v>
          </cell>
          <cell r="W193">
            <v>26.828749999999999</v>
          </cell>
          <cell r="X193">
            <v>14.593999999999999</v>
          </cell>
          <cell r="Y193">
            <v>15.240812500000001</v>
          </cell>
          <cell r="Z193">
            <v>15.5655</v>
          </cell>
          <cell r="AA193">
            <v>15.73775</v>
          </cell>
          <cell r="AB193">
            <v>61.138062499999997</v>
          </cell>
          <cell r="AC193">
            <v>15.685437500000001</v>
          </cell>
          <cell r="AD193">
            <v>16.123312500000001</v>
          </cell>
          <cell r="AE193">
            <v>16.1871875</v>
          </cell>
          <cell r="AF193">
            <v>16.361000000000001</v>
          </cell>
          <cell r="AG193">
            <v>64.356937500000001</v>
          </cell>
          <cell r="AH193">
            <v>16.38175</v>
          </cell>
          <cell r="AI193">
            <v>17.15775</v>
          </cell>
          <cell r="AJ193">
            <v>17.563874999999999</v>
          </cell>
          <cell r="AK193">
            <v>18.02825</v>
          </cell>
          <cell r="AL193">
            <v>69.131625</v>
          </cell>
          <cell r="AM193">
            <v>16.38175</v>
          </cell>
          <cell r="AN193">
            <v>17.972124999999998</v>
          </cell>
          <cell r="AO193">
            <v>18.363499999999998</v>
          </cell>
          <cell r="AP193">
            <v>18.8090625</v>
          </cell>
          <cell r="AQ193">
            <v>71.5264375</v>
          </cell>
          <cell r="AR193">
            <v>18.165937499999998</v>
          </cell>
          <cell r="AS193">
            <v>19.216249999999999</v>
          </cell>
          <cell r="AT193">
            <v>19.351187500000002</v>
          </cell>
          <cell r="AU193">
            <v>19.4386875</v>
          </cell>
          <cell r="AV193">
            <v>76.17206250000001</v>
          </cell>
          <cell r="AW193">
            <v>18.8723125</v>
          </cell>
          <cell r="AX193">
            <v>19.330249999999999</v>
          </cell>
          <cell r="AY193">
            <v>19.743812500000001</v>
          </cell>
          <cell r="AZ193">
            <v>19.9773125</v>
          </cell>
          <cell r="BA193">
            <v>77.9236875</v>
          </cell>
          <cell r="BB193">
            <v>20.189240437500001</v>
          </cell>
          <cell r="BC193">
            <v>20.546141625335938</v>
          </cell>
          <cell r="BD193">
            <v>20.892765914265627</v>
          </cell>
          <cell r="BE193">
            <v>21.230082924507816</v>
          </cell>
          <cell r="BF193">
            <v>82.858230901609375</v>
          </cell>
          <cell r="BG193">
            <v>21.511826518078127</v>
          </cell>
          <cell r="BH193">
            <v>21.902070358844597</v>
          </cell>
          <cell r="BI193">
            <v>22.280483765906261</v>
          </cell>
          <cell r="BJ193">
            <v>22.647967652522158</v>
          </cell>
          <cell r="BK193">
            <v>88.34234829535113</v>
          </cell>
          <cell r="BL193">
            <v>22.959893684737366</v>
          </cell>
          <cell r="BM193">
            <v>23.37840042564979</v>
          </cell>
          <cell r="BN193">
            <v>23.784104200774056</v>
          </cell>
          <cell r="BO193">
            <v>24.177940106952537</v>
          </cell>
          <cell r="BP193">
            <v>94.300338418113739</v>
          </cell>
          <cell r="BQ193">
            <v>24.513209959438775</v>
          </cell>
          <cell r="BR193">
            <v>24.961894396352964</v>
          </cell>
          <cell r="BS193">
            <v>25.396744969165749</v>
          </cell>
          <cell r="BT193">
            <v>25.818735293356848</v>
          </cell>
          <cell r="BU193">
            <v>100.69058461831435</v>
          </cell>
          <cell r="BV193">
            <v>26.178881553416513</v>
          </cell>
          <cell r="BW193">
            <v>26.659796795479316</v>
          </cell>
          <cell r="BX193">
            <v>27.125784170195665</v>
          </cell>
          <cell r="BY193">
            <v>27.577860319577258</v>
          </cell>
          <cell r="BZ193">
            <v>107.54232283866874</v>
          </cell>
        </row>
        <row r="194">
          <cell r="B194" t="str">
            <v>Subscription revenue - 5th quarter, 12.5%</v>
          </cell>
          <cell r="I194">
            <v>0.94825000000000004</v>
          </cell>
          <cell r="J194">
            <v>1.0392187500000001</v>
          </cell>
          <cell r="K194">
            <v>1.064875</v>
          </cell>
          <cell r="L194">
            <v>1.0970312499999999</v>
          </cell>
          <cell r="U194">
            <v>7.1593437499999997</v>
          </cell>
          <cell r="V194">
            <v>7.2969999999999997</v>
          </cell>
          <cell r="W194">
            <v>14.456343749999998</v>
          </cell>
          <cell r="X194">
            <v>7.6204062500000003</v>
          </cell>
          <cell r="Y194">
            <v>7.7827500000000001</v>
          </cell>
          <cell r="Z194">
            <v>7.8688750000000001</v>
          </cell>
          <cell r="AA194">
            <v>7.8427187500000004</v>
          </cell>
          <cell r="AB194">
            <v>31.114750000000001</v>
          </cell>
          <cell r="AC194">
            <v>8.0616562500000004</v>
          </cell>
          <cell r="AD194">
            <v>8.0935937500000001</v>
          </cell>
          <cell r="AE194">
            <v>8.1805000000000003</v>
          </cell>
          <cell r="AF194">
            <v>8.1908750000000001</v>
          </cell>
          <cell r="AG194">
            <v>32.526625000000003</v>
          </cell>
          <cell r="AH194">
            <v>8.578875</v>
          </cell>
          <cell r="AI194">
            <v>8.7819374999999997</v>
          </cell>
          <cell r="AJ194">
            <v>9.0141249999999999</v>
          </cell>
          <cell r="AK194">
            <v>9.0829687499999991</v>
          </cell>
          <cell r="AL194">
            <v>35.457906250000001</v>
          </cell>
          <cell r="AM194">
            <v>8.9860624999999992</v>
          </cell>
          <cell r="AN194">
            <v>9.1817499999999992</v>
          </cell>
          <cell r="AO194">
            <v>9.4045312499999998</v>
          </cell>
          <cell r="AP194">
            <v>9.4361562499999998</v>
          </cell>
          <cell r="AQ194">
            <v>37.008499999999998</v>
          </cell>
          <cell r="AR194">
            <v>9.6081249999999994</v>
          </cell>
          <cell r="AS194">
            <v>9.6755937500000009</v>
          </cell>
          <cell r="AT194">
            <v>9.7193437500000002</v>
          </cell>
          <cell r="AU194">
            <v>9.69809375</v>
          </cell>
          <cell r="AV194">
            <v>38.701156249999997</v>
          </cell>
          <cell r="AW194">
            <v>9.6651249999999997</v>
          </cell>
          <cell r="AX194">
            <v>9.8719062500000003</v>
          </cell>
          <cell r="AY194">
            <v>9.98865625</v>
          </cell>
          <cell r="AZ194">
            <v>10.09462021875</v>
          </cell>
          <cell r="BA194">
            <v>39.620307718749999</v>
          </cell>
          <cell r="BB194">
            <v>10.273070812667969</v>
          </cell>
          <cell r="BC194">
            <v>10.446382957132814</v>
          </cell>
          <cell r="BD194">
            <v>10.615041462253908</v>
          </cell>
          <cell r="BE194">
            <v>10.755913259039064</v>
          </cell>
          <cell r="BF194">
            <v>42.090408491093754</v>
          </cell>
          <cell r="BG194">
            <v>10.951035179422298</v>
          </cell>
          <cell r="BH194">
            <v>11.140241882953131</v>
          </cell>
          <cell r="BI194">
            <v>11.323983826261079</v>
          </cell>
          <cell r="BJ194">
            <v>11.479946842368683</v>
          </cell>
          <cell r="BK194">
            <v>44.895207731005193</v>
          </cell>
          <cell r="BL194">
            <v>11.689200212824895</v>
          </cell>
          <cell r="BM194">
            <v>11.892052100387028</v>
          </cell>
          <cell r="BN194">
            <v>12.088970053476269</v>
          </cell>
          <cell r="BO194">
            <v>12.256604979719388</v>
          </cell>
          <cell r="BP194">
            <v>47.926827346407578</v>
          </cell>
          <cell r="BQ194">
            <v>12.480947198176482</v>
          </cell>
          <cell r="BR194">
            <v>12.698372484582874</v>
          </cell>
          <cell r="BS194">
            <v>12.909367646678424</v>
          </cell>
          <cell r="BT194">
            <v>13.089440776708257</v>
          </cell>
          <cell r="BU194">
            <v>51.17812810614604</v>
          </cell>
          <cell r="BV194">
            <v>13.329898397739658</v>
          </cell>
          <cell r="BW194">
            <v>13.562892085097833</v>
          </cell>
          <cell r="BX194">
            <v>13.788930159788629</v>
          </cell>
          <cell r="BY194">
            <v>13.982264840080877</v>
          </cell>
          <cell r="BZ194">
            <v>54.663985482706991</v>
          </cell>
        </row>
        <row r="196">
          <cell r="B196" t="str">
            <v>Quarterly new sales</v>
          </cell>
          <cell r="D196">
            <v>7.3247557237731762</v>
          </cell>
          <cell r="E196">
            <v>1.536935203026192</v>
          </cell>
          <cell r="F196">
            <v>3.9977820821763275</v>
          </cell>
          <cell r="G196">
            <v>1.6462127063462988</v>
          </cell>
          <cell r="H196">
            <v>14.505685715321995</v>
          </cell>
          <cell r="I196">
            <v>1.2033505000000027</v>
          </cell>
          <cell r="J196">
            <v>4.5997832500000015</v>
          </cell>
          <cell r="K196">
            <v>1.4716567499999977</v>
          </cell>
          <cell r="L196">
            <v>2.1183017499999965</v>
          </cell>
          <cell r="Q196">
            <v>11</v>
          </cell>
          <cell r="U196">
            <v>35.02640774999999</v>
          </cell>
          <cell r="V196">
            <v>9.9798280000000013</v>
          </cell>
          <cell r="W196">
            <v>45.006235749999988</v>
          </cell>
          <cell r="X196">
            <v>13.734808000000021</v>
          </cell>
          <cell r="Y196">
            <v>9.7483279999999901</v>
          </cell>
          <cell r="Z196">
            <v>7.367703999999998</v>
          </cell>
          <cell r="AA196">
            <v>10.371192000000008</v>
          </cell>
          <cell r="AB196">
            <v>41.222032000000013</v>
          </cell>
          <cell r="AC196">
            <v>10.833246750000004</v>
          </cell>
          <cell r="AD196">
            <v>7.2961749999999901</v>
          </cell>
          <cell r="AE196">
            <v>10.197723750000005</v>
          </cell>
          <cell r="AF196">
            <v>10.432804999999995</v>
          </cell>
          <cell r="AG196">
            <v>38.759950499999995</v>
          </cell>
          <cell r="AH196">
            <v>16.675254999999993</v>
          </cell>
          <cell r="AI196">
            <v>11.645324999999987</v>
          </cell>
          <cell r="AJ196">
            <v>12.839673500000004</v>
          </cell>
          <cell r="AK196">
            <v>11.433463999999974</v>
          </cell>
          <cell r="AL196">
            <v>52.593717499999954</v>
          </cell>
          <cell r="AM196">
            <v>10.7</v>
          </cell>
          <cell r="AN196">
            <v>11.6</v>
          </cell>
          <cell r="AO196">
            <v>10.5</v>
          </cell>
          <cell r="AP196">
            <v>10.5</v>
          </cell>
          <cell r="AQ196">
            <v>43.2</v>
          </cell>
          <cell r="AR196">
            <v>12.3</v>
          </cell>
          <cell r="AS196">
            <v>8.6</v>
          </cell>
          <cell r="AT196">
            <v>10.5</v>
          </cell>
          <cell r="AU196">
            <v>10.7</v>
          </cell>
          <cell r="AV196">
            <v>42.2</v>
          </cell>
          <cell r="AW196">
            <v>10</v>
          </cell>
          <cell r="AX196">
            <v>9.1999999999999993</v>
          </cell>
          <cell r="AY196">
            <v>8.1</v>
          </cell>
          <cell r="AZ196">
            <v>11.77</v>
          </cell>
          <cell r="BA196">
            <v>39.069999999999993</v>
          </cell>
          <cell r="BB196">
            <v>11</v>
          </cell>
          <cell r="BC196">
            <v>10.028</v>
          </cell>
          <cell r="BD196">
            <v>8.91</v>
          </cell>
          <cell r="BE196">
            <v>12.947000000000001</v>
          </cell>
          <cell r="BF196">
            <v>42.884999999999998</v>
          </cell>
          <cell r="BG196">
            <v>11.88</v>
          </cell>
          <cell r="BH196">
            <v>10.830240000000002</v>
          </cell>
          <cell r="BI196">
            <v>9.6228000000000016</v>
          </cell>
          <cell r="BJ196">
            <v>13.982760000000003</v>
          </cell>
          <cell r="BK196">
            <v>46.31580000000001</v>
          </cell>
          <cell r="BL196">
            <v>12.711600000000002</v>
          </cell>
          <cell r="BM196">
            <v>11.588356800000003</v>
          </cell>
          <cell r="BN196">
            <v>10.296396000000001</v>
          </cell>
          <cell r="BO196">
            <v>14.961553200000004</v>
          </cell>
          <cell r="BP196">
            <v>49.55790600000001</v>
          </cell>
          <cell r="BQ196">
            <v>13.601412000000003</v>
          </cell>
          <cell r="BR196">
            <v>12.399541776000005</v>
          </cell>
          <cell r="BS196">
            <v>11.017143720000002</v>
          </cell>
          <cell r="BT196">
            <v>16.008861924000005</v>
          </cell>
          <cell r="BU196">
            <v>53.026959420000011</v>
          </cell>
          <cell r="BV196">
            <v>14.553510840000005</v>
          </cell>
          <cell r="BW196">
            <v>13.267509700320005</v>
          </cell>
          <cell r="BX196">
            <v>11.788343780400002</v>
          </cell>
          <cell r="BY196">
            <v>17.129482258680007</v>
          </cell>
          <cell r="BZ196">
            <v>56.738846579400018</v>
          </cell>
        </row>
        <row r="197">
          <cell r="B197" t="str">
            <v>y/y change</v>
          </cell>
          <cell r="I197">
            <v>-0.83571458962181955</v>
          </cell>
          <cell r="J197">
            <v>1.992828351477101</v>
          </cell>
          <cell r="K197">
            <v>-0.63188169846445164</v>
          </cell>
          <cell r="L197">
            <v>0.28677280999821697</v>
          </cell>
          <cell r="AB197">
            <v>-8.4081765269604314E-2</v>
          </cell>
          <cell r="AC197">
            <v>-0.2112560474088907</v>
          </cell>
          <cell r="AD197">
            <v>-0.2515460087104171</v>
          </cell>
          <cell r="AE197">
            <v>0.38411148846370691</v>
          </cell>
          <cell r="AF197">
            <v>5.9407828916855365E-3</v>
          </cell>
          <cell r="AG197">
            <v>-5.9727320089412839E-2</v>
          </cell>
          <cell r="AH197">
            <v>0.53926660998467391</v>
          </cell>
          <cell r="AI197">
            <v>0.5960863054956882</v>
          </cell>
          <cell r="AJ197">
            <v>0.25907249644804287</v>
          </cell>
          <cell r="AK197">
            <v>9.5914665327299753E-2</v>
          </cell>
          <cell r="AL197">
            <v>0.35690878913790058</v>
          </cell>
          <cell r="AR197">
            <v>0.14953271028037407</v>
          </cell>
          <cell r="AS197">
            <v>-0.25862068965517238</v>
          </cell>
          <cell r="AT197">
            <v>0</v>
          </cell>
          <cell r="AU197">
            <v>1.904761904761898E-2</v>
          </cell>
          <cell r="AV197">
            <v>-2.314814814814814E-2</v>
          </cell>
          <cell r="AW197">
            <v>-0.18699186991869921</v>
          </cell>
          <cell r="AX197">
            <v>6.9767441860465018E-2</v>
          </cell>
          <cell r="AY197">
            <v>-0.22857142857142865</v>
          </cell>
          <cell r="AZ197">
            <v>0.10000000000000009</v>
          </cell>
          <cell r="BA197">
            <v>-7.4170616113744314E-2</v>
          </cell>
          <cell r="BB197">
            <v>0.10000000000000009</v>
          </cell>
          <cell r="BC197">
            <v>9.000000000000008E-2</v>
          </cell>
          <cell r="BD197">
            <v>0.10000000000000009</v>
          </cell>
          <cell r="BE197">
            <v>0.10000000000000009</v>
          </cell>
          <cell r="BF197">
            <v>9.7645252111594694E-2</v>
          </cell>
          <cell r="BG197">
            <v>8.0000000000000071E-2</v>
          </cell>
          <cell r="BH197">
            <v>8.0000000000000071E-2</v>
          </cell>
          <cell r="BI197">
            <v>8.0000000000000071E-2</v>
          </cell>
          <cell r="BJ197">
            <v>8.0000000000000071E-2</v>
          </cell>
          <cell r="BK197">
            <v>8.0000000000000293E-2</v>
          </cell>
          <cell r="BL197">
            <v>7.0000000000000062E-2</v>
          </cell>
          <cell r="BM197">
            <v>7.0000000000000062E-2</v>
          </cell>
          <cell r="BN197">
            <v>7.0000000000000062E-2</v>
          </cell>
          <cell r="BO197">
            <v>7.0000000000000062E-2</v>
          </cell>
          <cell r="BP197">
            <v>7.0000000000000062E-2</v>
          </cell>
          <cell r="BQ197">
            <v>7.0000000000000062E-2</v>
          </cell>
          <cell r="BR197">
            <v>7.0000000000000062E-2</v>
          </cell>
          <cell r="BS197">
            <v>7.0000000000000062E-2</v>
          </cell>
          <cell r="BT197">
            <v>7.0000000000000062E-2</v>
          </cell>
          <cell r="BU197">
            <v>7.0000000000000062E-2</v>
          </cell>
          <cell r="BV197">
            <v>7.0000000000000062E-2</v>
          </cell>
          <cell r="BW197">
            <v>7.0000000000000062E-2</v>
          </cell>
          <cell r="BX197">
            <v>7.0000000000000062E-2</v>
          </cell>
          <cell r="BY197">
            <v>7.0000000000000062E-2</v>
          </cell>
          <cell r="BZ197">
            <v>7.0000000000000062E-2</v>
          </cell>
        </row>
        <row r="198">
          <cell r="B198" t="str">
            <v>BULL</v>
          </cell>
          <cell r="AZ198">
            <v>12.358499999999999</v>
          </cell>
          <cell r="BB198">
            <v>11.55</v>
          </cell>
          <cell r="BC198">
            <v>10.529400000000001</v>
          </cell>
          <cell r="BD198">
            <v>9.355500000000001</v>
          </cell>
          <cell r="BE198">
            <v>13.594350000000002</v>
          </cell>
          <cell r="BG198">
            <v>12.474000000000002</v>
          </cell>
          <cell r="BH198">
            <v>11.371752000000003</v>
          </cell>
          <cell r="BI198">
            <v>10.103940000000001</v>
          </cell>
          <cell r="BJ198">
            <v>14.681898000000004</v>
          </cell>
          <cell r="BL198">
            <v>13.347180000000003</v>
          </cell>
          <cell r="BM198">
            <v>12.167774640000005</v>
          </cell>
          <cell r="BN198">
            <v>10.811215800000001</v>
          </cell>
          <cell r="BO198">
            <v>15.709630860000006</v>
          </cell>
          <cell r="BQ198">
            <v>14.281482600000004</v>
          </cell>
          <cell r="BR198">
            <v>13.019518864800006</v>
          </cell>
          <cell r="BS198">
            <v>11.568000906000002</v>
          </cell>
          <cell r="BT198">
            <v>16.809305020200007</v>
          </cell>
          <cell r="BV198">
            <v>15.281186382000005</v>
          </cell>
          <cell r="BW198">
            <v>13.930885185336006</v>
          </cell>
          <cell r="BX198">
            <v>12.377760969420002</v>
          </cell>
          <cell r="BY198">
            <v>17.985956371614009</v>
          </cell>
        </row>
        <row r="199">
          <cell r="B199" t="str">
            <v>BASE</v>
          </cell>
          <cell r="X199">
            <v>13.734808000000021</v>
          </cell>
          <cell r="Y199">
            <v>9.7483279999999901</v>
          </cell>
          <cell r="Z199">
            <v>7.367703999999998</v>
          </cell>
          <cell r="AA199">
            <v>10.371192000000008</v>
          </cell>
          <cell r="AC199">
            <v>10.833246750000004</v>
          </cell>
          <cell r="AD199">
            <v>7.2961749999999901</v>
          </cell>
          <cell r="AE199">
            <v>10.197723750000005</v>
          </cell>
          <cell r="AF199">
            <v>10.432804999999995</v>
          </cell>
          <cell r="AH199">
            <v>16.675254999999993</v>
          </cell>
          <cell r="AI199">
            <v>11.645324999999987</v>
          </cell>
          <cell r="AJ199">
            <v>12.839673500000004</v>
          </cell>
          <cell r="AK199">
            <v>11.433463999999974</v>
          </cell>
          <cell r="AM199">
            <v>10.7</v>
          </cell>
          <cell r="AN199">
            <v>11.6</v>
          </cell>
          <cell r="AO199">
            <v>10.5</v>
          </cell>
          <cell r="AP199">
            <v>10.5</v>
          </cell>
          <cell r="AR199">
            <v>12.3</v>
          </cell>
          <cell r="AS199">
            <v>8.6</v>
          </cell>
          <cell r="AT199">
            <v>10.5</v>
          </cell>
          <cell r="AU199">
            <v>10.7</v>
          </cell>
          <cell r="AW199">
            <v>10</v>
          </cell>
          <cell r="AX199">
            <v>9.1999999999999993</v>
          </cell>
          <cell r="AY199">
            <v>8.1</v>
          </cell>
          <cell r="AZ199">
            <v>11.77</v>
          </cell>
          <cell r="BB199">
            <v>11</v>
          </cell>
          <cell r="BC199">
            <v>10.028</v>
          </cell>
          <cell r="BD199">
            <v>8.91</v>
          </cell>
          <cell r="BE199">
            <v>12.947000000000001</v>
          </cell>
          <cell r="BG199">
            <v>11.88</v>
          </cell>
          <cell r="BH199">
            <v>10.830240000000002</v>
          </cell>
          <cell r="BI199">
            <v>9.6228000000000016</v>
          </cell>
          <cell r="BJ199">
            <v>13.982760000000003</v>
          </cell>
          <cell r="BL199">
            <v>12.711600000000002</v>
          </cell>
          <cell r="BM199">
            <v>11.588356800000003</v>
          </cell>
          <cell r="BN199">
            <v>10.296396000000001</v>
          </cell>
          <cell r="BO199">
            <v>14.961553200000004</v>
          </cell>
          <cell r="BQ199">
            <v>13.601412000000003</v>
          </cell>
          <cell r="BR199">
            <v>12.399541776000005</v>
          </cell>
          <cell r="BS199">
            <v>11.017143720000002</v>
          </cell>
          <cell r="BT199">
            <v>16.008861924000005</v>
          </cell>
          <cell r="BV199">
            <v>14.553510840000005</v>
          </cell>
          <cell r="BW199">
            <v>13.267509700320005</v>
          </cell>
          <cell r="BX199">
            <v>11.788343780400002</v>
          </cell>
          <cell r="BY199">
            <v>17.129482258680007</v>
          </cell>
        </row>
        <row r="200">
          <cell r="B200" t="str">
            <v>BEAR</v>
          </cell>
          <cell r="AZ200">
            <v>9.4160000000000004</v>
          </cell>
          <cell r="BB200">
            <v>8.8000000000000007</v>
          </cell>
          <cell r="BC200">
            <v>8.0224000000000011</v>
          </cell>
          <cell r="BD200">
            <v>7.1280000000000001</v>
          </cell>
          <cell r="BE200">
            <v>10.357600000000001</v>
          </cell>
          <cell r="BG200">
            <v>9.5040000000000013</v>
          </cell>
          <cell r="BH200">
            <v>8.6641920000000017</v>
          </cell>
          <cell r="BI200">
            <v>7.698240000000002</v>
          </cell>
          <cell r="BJ200">
            <v>11.186208000000002</v>
          </cell>
          <cell r="BL200">
            <v>10.169280000000002</v>
          </cell>
          <cell r="BM200">
            <v>9.2706854400000029</v>
          </cell>
          <cell r="BN200">
            <v>8.2371168000000008</v>
          </cell>
          <cell r="BO200">
            <v>11.969242560000005</v>
          </cell>
          <cell r="BQ200">
            <v>10.881129600000003</v>
          </cell>
          <cell r="BR200">
            <v>9.9196334208000039</v>
          </cell>
          <cell r="BS200">
            <v>8.8137149760000018</v>
          </cell>
          <cell r="BT200">
            <v>12.807089539200005</v>
          </cell>
          <cell r="BV200">
            <v>11.642808672000005</v>
          </cell>
          <cell r="BW200">
            <v>10.614007760256005</v>
          </cell>
          <cell r="BX200">
            <v>9.430675024320001</v>
          </cell>
          <cell r="BY200">
            <v>13.703585806944005</v>
          </cell>
        </row>
        <row r="208">
          <cell r="B208" t="str">
            <v>Quarterly cancellations</v>
          </cell>
          <cell r="D208">
            <v>-0.29958895649721345</v>
          </cell>
          <cell r="E208">
            <v>-0.86593520302619276</v>
          </cell>
          <cell r="F208">
            <v>-0.18878208217632658</v>
          </cell>
          <cell r="G208">
            <v>-0.32421270634629956</v>
          </cell>
          <cell r="H208">
            <v>-1.6785189480460325</v>
          </cell>
          <cell r="I208">
            <v>-0.10235050000000008</v>
          </cell>
          <cell r="J208">
            <v>-1.6887832499999997</v>
          </cell>
          <cell r="K208">
            <v>-0.65065674999999978</v>
          </cell>
          <cell r="L208">
            <v>-1.0893017500000002</v>
          </cell>
          <cell r="U208">
            <v>-6.08840775</v>
          </cell>
          <cell r="V208">
            <v>-7.074828000000001</v>
          </cell>
          <cell r="W208">
            <v>-13.163235750000002</v>
          </cell>
          <cell r="X208">
            <v>-3.385808000000003</v>
          </cell>
          <cell r="Y208">
            <v>-4.5533279999999978</v>
          </cell>
          <cell r="Z208">
            <v>-4.6117039999999978</v>
          </cell>
          <cell r="AA208">
            <v>-11.208191999999997</v>
          </cell>
          <cell r="AB208">
            <v>-23.759031999999998</v>
          </cell>
          <cell r="AC208">
            <v>-3.8272467500000036</v>
          </cell>
          <cell r="AD208">
            <v>-6.2741749999999987</v>
          </cell>
          <cell r="AE208">
            <v>-7.4167237500000001</v>
          </cell>
          <cell r="AF208">
            <v>-10.100805000000001</v>
          </cell>
          <cell r="AG208">
            <v>-27.618950500000004</v>
          </cell>
          <cell r="AH208">
            <v>-4.2592549999999969</v>
          </cell>
          <cell r="AI208">
            <v>-5.1473249999999968</v>
          </cell>
          <cell r="AJ208">
            <v>-5.4096734999999967</v>
          </cell>
          <cell r="AK208">
            <v>-9.2304639999999996</v>
          </cell>
          <cell r="AL208">
            <v>-24.046717499999993</v>
          </cell>
          <cell r="AM208">
            <v>-4.7</v>
          </cell>
          <cell r="AN208">
            <v>-5.5</v>
          </cell>
          <cell r="AO208">
            <v>-5.9</v>
          </cell>
          <cell r="AP208">
            <v>-10.1</v>
          </cell>
          <cell r="AQ208">
            <v>-26.200000000000003</v>
          </cell>
          <cell r="AR208">
            <v>-6.7940324999999975</v>
          </cell>
          <cell r="AS208">
            <v>-6.3410969999999969</v>
          </cell>
          <cell r="AT208">
            <v>-4.3044400000000032</v>
          </cell>
          <cell r="AU208">
            <v>-8.6</v>
          </cell>
          <cell r="AV208">
            <v>-26.039569499999999</v>
          </cell>
          <cell r="AW208">
            <v>-5.3533477499999957</v>
          </cell>
          <cell r="AX208">
            <v>-4.5619390000000042</v>
          </cell>
          <cell r="AY208">
            <v>-3.7118367500000033</v>
          </cell>
          <cell r="AZ208">
            <v>-8.3791529999999987</v>
          </cell>
          <cell r="BA208">
            <v>-22.006276500000002</v>
          </cell>
          <cell r="BB208">
            <v>-5.2895809946250001</v>
          </cell>
          <cell r="BC208">
            <v>-4.4820113771250085</v>
          </cell>
          <cell r="BD208">
            <v>-3.5129278361250078</v>
          </cell>
          <cell r="BE208">
            <v>-8.439102502875004</v>
          </cell>
          <cell r="BF208">
            <v>-21.723622710750021</v>
          </cell>
          <cell r="BG208">
            <v>-5.6360985477364691</v>
          </cell>
          <cell r="BH208">
            <v>-4.775625487013353</v>
          </cell>
          <cell r="BI208">
            <v>-3.7430578141456023</v>
          </cell>
          <cell r="BJ208">
            <v>-8.9919434845566606</v>
          </cell>
          <cell r="BK208">
            <v>-23.146725333452085</v>
          </cell>
          <cell r="BL208">
            <v>-6.0154921454011898</v>
          </cell>
          <cell r="BM208">
            <v>-5.097096398011705</v>
          </cell>
          <cell r="BN208">
            <v>-3.9950215011443104</v>
          </cell>
          <cell r="BO208">
            <v>-9.5972355602202217</v>
          </cell>
          <cell r="BP208">
            <v>-24.704845604777425</v>
          </cell>
          <cell r="BQ208">
            <v>-6.4224610093729595</v>
          </cell>
          <cell r="BR208">
            <v>-5.4419326109954183</v>
          </cell>
          <cell r="BS208">
            <v>-4.2652985329423565</v>
          </cell>
          <cell r="BT208">
            <v>-10.246521763045411</v>
          </cell>
          <cell r="BU208">
            <v>-26.376213916356146</v>
          </cell>
          <cell r="BV208">
            <v>-6.8588669669951265</v>
          </cell>
          <cell r="BW208">
            <v>-5.8117117048584772</v>
          </cell>
          <cell r="BX208">
            <v>-4.5551253902944833</v>
          </cell>
          <cell r="BY208">
            <v>-10.942772489328107</v>
          </cell>
          <cell r="BZ208">
            <v>-28.168476551476196</v>
          </cell>
        </row>
        <row r="209">
          <cell r="B209" t="str">
            <v>Cancellation rate (as % of beginning of year run rate)</v>
          </cell>
          <cell r="D209">
            <v>7.2999999999999954E-2</v>
          </cell>
          <cell r="E209">
            <v>0.21099999999999997</v>
          </cell>
          <cell r="F209">
            <v>4.6000000000000041E-2</v>
          </cell>
          <cell r="G209">
            <v>7.8999999999999959E-2</v>
          </cell>
          <cell r="H209">
            <v>0.10199999999999998</v>
          </cell>
          <cell r="I209">
            <v>1.4000000000000012E-2</v>
          </cell>
          <cell r="J209">
            <v>0.23099999999999998</v>
          </cell>
          <cell r="K209">
            <v>8.8999999999999968E-2</v>
          </cell>
          <cell r="L209">
            <v>0.14900000000000002</v>
          </cell>
          <cell r="U209">
            <v>0.123</v>
          </cell>
          <cell r="V209">
            <v>0.14400000000000002</v>
          </cell>
          <cell r="W209">
            <v>0.12824999999999998</v>
          </cell>
          <cell r="X209">
            <v>5.8000000000000052E-2</v>
          </cell>
          <cell r="Y209">
            <v>7.7999999999999958E-2</v>
          </cell>
          <cell r="Z209">
            <v>7.8999999999999959E-2</v>
          </cell>
          <cell r="AA209">
            <v>0.19199999999999995</v>
          </cell>
          <cell r="AB209">
            <v>0.10175000000000001</v>
          </cell>
          <cell r="AC209">
            <v>6.1000000000000054E-2</v>
          </cell>
          <cell r="AD209">
            <v>9.9999999999999978E-2</v>
          </cell>
          <cell r="AE209">
            <v>0.11499999999999999</v>
          </cell>
          <cell r="AF209">
            <v>0.15600000000000003</v>
          </cell>
          <cell r="AG209">
            <v>0.10799999999999998</v>
          </cell>
          <cell r="AH209">
            <v>6.4999999999999947E-2</v>
          </cell>
          <cell r="AI209">
            <v>7.4999999999999956E-2</v>
          </cell>
          <cell r="AJ209">
            <v>7.6999999999999957E-2</v>
          </cell>
          <cell r="AK209">
            <v>0.128</v>
          </cell>
          <cell r="AL209">
            <v>8.6249999999999938E-2</v>
          </cell>
          <cell r="AM209">
            <v>6.5999999999999948E-2</v>
          </cell>
          <cell r="AN209">
            <v>7.7999999999999958E-2</v>
          </cell>
          <cell r="AO209">
            <v>8.2999999999999963E-2</v>
          </cell>
          <cell r="AP209">
            <v>0.14300000000000002</v>
          </cell>
          <cell r="AQ209">
            <v>9.2500000000000027E-2</v>
          </cell>
          <cell r="AR209">
            <v>8.9999999999999969E-2</v>
          </cell>
          <cell r="AS209">
            <v>8.3999999999999964E-2</v>
          </cell>
          <cell r="AT209">
            <v>5.600000000000005E-2</v>
          </cell>
          <cell r="AU209">
            <v>0.11399999999999999</v>
          </cell>
          <cell r="AV209">
            <v>8.5999999999999965E-2</v>
          </cell>
          <cell r="AW209">
            <v>6.899999999999995E-2</v>
          </cell>
          <cell r="AX209">
            <v>5.9000000000000052E-2</v>
          </cell>
          <cell r="AY209">
            <v>4.7000000000000042E-2</v>
          </cell>
          <cell r="AZ209">
            <v>0.10799999999999998</v>
          </cell>
          <cell r="BA209">
            <v>7.0750000000000091E-2</v>
          </cell>
          <cell r="BB209">
            <v>6.5500000000000003E-2</v>
          </cell>
          <cell r="BC209">
            <v>5.5500000000000105E-2</v>
          </cell>
          <cell r="BD209">
            <v>4.3500000000000094E-2</v>
          </cell>
          <cell r="BE209">
            <v>0.10450000000000004</v>
          </cell>
          <cell r="BF209">
            <v>6.7250000000000032E-2</v>
          </cell>
          <cell r="BG209">
            <v>6.5500000000000003E-2</v>
          </cell>
          <cell r="BH209">
            <v>5.5500000000000105E-2</v>
          </cell>
          <cell r="BI209">
            <v>4.3500000000000094E-2</v>
          </cell>
          <cell r="BJ209">
            <v>0.10450000000000004</v>
          </cell>
          <cell r="BK209">
            <v>6.7250000000000032E-2</v>
          </cell>
          <cell r="BL209">
            <v>6.5500000000000003E-2</v>
          </cell>
          <cell r="BM209">
            <v>5.5500000000000105E-2</v>
          </cell>
          <cell r="BN209">
            <v>4.3500000000000094E-2</v>
          </cell>
          <cell r="BO209">
            <v>0.10450000000000004</v>
          </cell>
          <cell r="BP209">
            <v>6.7250000000000032E-2</v>
          </cell>
          <cell r="BQ209">
            <v>6.5500000000000003E-2</v>
          </cell>
          <cell r="BR209">
            <v>5.5500000000000105E-2</v>
          </cell>
          <cell r="BS209">
            <v>4.3500000000000094E-2</v>
          </cell>
          <cell r="BT209">
            <v>0.10450000000000004</v>
          </cell>
          <cell r="BU209">
            <v>6.7250000000000032E-2</v>
          </cell>
          <cell r="BV209">
            <v>6.5500000000000003E-2</v>
          </cell>
          <cell r="BW209">
            <v>5.5500000000000105E-2</v>
          </cell>
          <cell r="BX209">
            <v>4.3500000000000094E-2</v>
          </cell>
          <cell r="BY209">
            <v>0.10450000000000004</v>
          </cell>
          <cell r="BZ209">
            <v>6.7250000000000032E-2</v>
          </cell>
        </row>
        <row r="210">
          <cell r="B210" t="str">
            <v>BULL - Retention rate</v>
          </cell>
          <cell r="AZ210">
            <v>0.91700000000000004</v>
          </cell>
          <cell r="BA210">
            <v>0.91700000000000004</v>
          </cell>
          <cell r="BB210">
            <v>0.95950000000000002</v>
          </cell>
          <cell r="BC210">
            <v>0.96949999999999992</v>
          </cell>
          <cell r="BD210">
            <v>0.98149999999999993</v>
          </cell>
          <cell r="BE210">
            <v>0.92049999999999998</v>
          </cell>
          <cell r="BF210">
            <v>0.95774999999999999</v>
          </cell>
          <cell r="BG210">
            <v>0.95950000000000002</v>
          </cell>
          <cell r="BH210">
            <v>0.96949999999999992</v>
          </cell>
          <cell r="BI210">
            <v>0.98149999999999993</v>
          </cell>
          <cell r="BJ210">
            <v>0.92049999999999998</v>
          </cell>
          <cell r="BK210">
            <v>0.95774999999999999</v>
          </cell>
          <cell r="BL210">
            <v>0.95950000000000002</v>
          </cell>
          <cell r="BM210">
            <v>0.96949999999999992</v>
          </cell>
          <cell r="BN210">
            <v>0.98149999999999993</v>
          </cell>
          <cell r="BO210">
            <v>0.92049999999999998</v>
          </cell>
          <cell r="BP210">
            <v>0.95774999999999999</v>
          </cell>
          <cell r="BQ210">
            <v>0.95950000000000002</v>
          </cell>
          <cell r="BR210">
            <v>0.96949999999999992</v>
          </cell>
          <cell r="BS210">
            <v>0.98149999999999993</v>
          </cell>
          <cell r="BT210">
            <v>0.92049999999999998</v>
          </cell>
          <cell r="BU210">
            <v>0.95774999999999999</v>
          </cell>
          <cell r="BV210">
            <v>0.95950000000000002</v>
          </cell>
          <cell r="BW210">
            <v>0.96949999999999992</v>
          </cell>
          <cell r="BX210">
            <v>0.98149999999999993</v>
          </cell>
          <cell r="BY210">
            <v>0.92049999999999998</v>
          </cell>
          <cell r="BZ210">
            <v>0.95774999999999999</v>
          </cell>
        </row>
        <row r="211">
          <cell r="B211" t="str">
            <v>BASE - Retention rate</v>
          </cell>
          <cell r="D211">
            <v>0.92700000000000005</v>
          </cell>
          <cell r="E211">
            <v>0.78900000000000003</v>
          </cell>
          <cell r="F211">
            <v>0.95399999999999996</v>
          </cell>
          <cell r="G211">
            <v>0.92100000000000004</v>
          </cell>
          <cell r="H211">
            <v>0.89800000000000002</v>
          </cell>
          <cell r="I211">
            <v>0.98599999999999999</v>
          </cell>
          <cell r="J211">
            <v>0.76900000000000002</v>
          </cell>
          <cell r="K211">
            <v>0.91100000000000003</v>
          </cell>
          <cell r="L211">
            <v>0.85099999999999998</v>
          </cell>
          <cell r="P211">
            <v>0.80400000000000005</v>
          </cell>
          <cell r="Q211">
            <v>0.80200000000000005</v>
          </cell>
          <cell r="S211">
            <v>0.83399999999999996</v>
          </cell>
          <cell r="T211">
            <v>0.92</v>
          </cell>
          <cell r="U211">
            <v>0.877</v>
          </cell>
          <cell r="V211">
            <v>0.85599999999999998</v>
          </cell>
          <cell r="W211">
            <v>0.87175000000000002</v>
          </cell>
          <cell r="X211">
            <v>0.94199999999999995</v>
          </cell>
          <cell r="Y211">
            <v>0.92200000000000004</v>
          </cell>
          <cell r="Z211">
            <v>0.92100000000000004</v>
          </cell>
          <cell r="AA211">
            <v>0.80800000000000005</v>
          </cell>
          <cell r="AB211">
            <v>0.89824999999999999</v>
          </cell>
          <cell r="AC211">
            <v>0.93899999999999995</v>
          </cell>
          <cell r="AD211">
            <v>0.9</v>
          </cell>
          <cell r="AE211">
            <v>0.88500000000000001</v>
          </cell>
          <cell r="AF211">
            <v>0.84399999999999997</v>
          </cell>
          <cell r="AG211">
            <v>0.89200000000000002</v>
          </cell>
          <cell r="AH211">
            <v>0.93500000000000005</v>
          </cell>
          <cell r="AI211">
            <v>0.92500000000000004</v>
          </cell>
          <cell r="AJ211">
            <v>0.92300000000000004</v>
          </cell>
          <cell r="AK211">
            <v>0.872</v>
          </cell>
          <cell r="AL211">
            <v>0.91375000000000006</v>
          </cell>
          <cell r="AM211">
            <v>0.93400000000000005</v>
          </cell>
          <cell r="AN211">
            <v>0.92200000000000004</v>
          </cell>
          <cell r="AO211">
            <v>0.91700000000000004</v>
          </cell>
          <cell r="AP211">
            <v>0.85699999999999998</v>
          </cell>
          <cell r="AQ211">
            <v>0.90749999999999997</v>
          </cell>
          <cell r="AR211">
            <v>0.91</v>
          </cell>
          <cell r="AS211">
            <v>0.91600000000000004</v>
          </cell>
          <cell r="AT211">
            <v>0.94399999999999995</v>
          </cell>
          <cell r="AU211">
            <v>0.88600000000000001</v>
          </cell>
          <cell r="AV211">
            <v>0.91400000000000003</v>
          </cell>
          <cell r="AW211">
            <v>0.93100000000000005</v>
          </cell>
          <cell r="AX211">
            <v>0.94099999999999995</v>
          </cell>
          <cell r="AY211">
            <v>0.95299999999999996</v>
          </cell>
          <cell r="AZ211">
            <v>0.89200000000000002</v>
          </cell>
          <cell r="BA211">
            <v>0.92924999999999991</v>
          </cell>
          <cell r="BB211">
            <v>0.9345</v>
          </cell>
          <cell r="BC211">
            <v>0.9444999999999999</v>
          </cell>
          <cell r="BD211">
            <v>0.95649999999999991</v>
          </cell>
          <cell r="BE211">
            <v>0.89549999999999996</v>
          </cell>
          <cell r="BF211">
            <v>0.93274999999999997</v>
          </cell>
          <cell r="BG211">
            <v>0.9345</v>
          </cell>
          <cell r="BH211">
            <v>0.9444999999999999</v>
          </cell>
          <cell r="BI211">
            <v>0.95649999999999991</v>
          </cell>
          <cell r="BJ211">
            <v>0.89549999999999996</v>
          </cell>
          <cell r="BK211">
            <v>0.93274999999999997</v>
          </cell>
          <cell r="BL211">
            <v>0.9345</v>
          </cell>
          <cell r="BM211">
            <v>0.9444999999999999</v>
          </cell>
          <cell r="BN211">
            <v>0.95649999999999991</v>
          </cell>
          <cell r="BO211">
            <v>0.89549999999999996</v>
          </cell>
          <cell r="BP211">
            <v>0.93274999999999997</v>
          </cell>
          <cell r="BQ211">
            <v>0.9345</v>
          </cell>
          <cell r="BR211">
            <v>0.9444999999999999</v>
          </cell>
          <cell r="BS211">
            <v>0.95649999999999991</v>
          </cell>
          <cell r="BT211">
            <v>0.89549999999999996</v>
          </cell>
          <cell r="BU211">
            <v>0.93274999999999997</v>
          </cell>
          <cell r="BV211">
            <v>0.9345</v>
          </cell>
          <cell r="BW211">
            <v>0.9444999999999999</v>
          </cell>
          <cell r="BX211">
            <v>0.95649999999999991</v>
          </cell>
          <cell r="BY211">
            <v>0.89549999999999996</v>
          </cell>
          <cell r="BZ211">
            <v>0.93274999999999997</v>
          </cell>
        </row>
        <row r="212">
          <cell r="B212" t="str">
            <v>BEAR - Retention rate</v>
          </cell>
          <cell r="AZ212">
            <v>0.86199999999999999</v>
          </cell>
          <cell r="BA212">
            <v>0.86199999999999999</v>
          </cell>
          <cell r="BB212">
            <v>0.90449999999999997</v>
          </cell>
          <cell r="BC212">
            <v>0.91449999999999987</v>
          </cell>
          <cell r="BD212">
            <v>0.92649999999999988</v>
          </cell>
          <cell r="BE212">
            <v>0.86549999999999994</v>
          </cell>
          <cell r="BF212">
            <v>0.90274999999999994</v>
          </cell>
          <cell r="BG212">
            <v>0.90449999999999997</v>
          </cell>
          <cell r="BH212">
            <v>0.91449999999999987</v>
          </cell>
          <cell r="BI212">
            <v>0.92649999999999988</v>
          </cell>
          <cell r="BJ212">
            <v>0.86549999999999994</v>
          </cell>
          <cell r="BK212">
            <v>0.90274999999999994</v>
          </cell>
          <cell r="BL212">
            <v>0.90449999999999997</v>
          </cell>
          <cell r="BM212">
            <v>0.91449999999999987</v>
          </cell>
          <cell r="BN212">
            <v>0.92649999999999988</v>
          </cell>
          <cell r="BO212">
            <v>0.86549999999999994</v>
          </cell>
          <cell r="BP212">
            <v>0.90274999999999994</v>
          </cell>
          <cell r="BQ212">
            <v>0.90449999999999997</v>
          </cell>
          <cell r="BR212">
            <v>0.91449999999999987</v>
          </cell>
          <cell r="BS212">
            <v>0.92649999999999988</v>
          </cell>
          <cell r="BT212">
            <v>0.86549999999999994</v>
          </cell>
          <cell r="BU212">
            <v>0.90274999999999994</v>
          </cell>
          <cell r="BV212">
            <v>0.90449999999999997</v>
          </cell>
          <cell r="BW212">
            <v>0.91449999999999987</v>
          </cell>
          <cell r="BX212">
            <v>0.92649999999999988</v>
          </cell>
          <cell r="BY212">
            <v>0.86549999999999994</v>
          </cell>
          <cell r="BZ212">
            <v>0.90274999999999994</v>
          </cell>
        </row>
        <row r="213">
          <cell r="B213" t="str">
            <v>Cancellation rate (as % of beginning of qtr run rate)</v>
          </cell>
          <cell r="D213">
            <v>7.2999999999999954E-2</v>
          </cell>
          <cell r="E213">
            <v>0.14776420852799671</v>
          </cell>
          <cell r="F213">
            <v>3.1317531880611579E-2</v>
          </cell>
          <cell r="G213">
            <v>4.64471482176569E-2</v>
          </cell>
          <cell r="H213">
            <v>0.10224999999999998</v>
          </cell>
          <cell r="I213">
            <v>1.4000000000000012E-2</v>
          </cell>
          <cell r="J213">
            <v>0.22261840891115209</v>
          </cell>
          <cell r="K213">
            <v>7.8262727409412092E-2</v>
          </cell>
          <cell r="L213">
            <v>0.12786732597722739</v>
          </cell>
          <cell r="U213">
            <v>0.12167021048056315</v>
          </cell>
          <cell r="V213">
            <v>0.12352438028974376</v>
          </cell>
          <cell r="W213">
            <v>6.6481995939332419E-2</v>
          </cell>
          <cell r="X213">
            <v>5.8000000000000052E-2</v>
          </cell>
          <cell r="Y213">
            <v>7.4689718806001934E-2</v>
          </cell>
          <cell r="Z213">
            <v>7.4069319970447425E-2</v>
          </cell>
          <cell r="AA213">
            <v>0.17804628997156513</v>
          </cell>
          <cell r="AB213">
            <v>0.10174999999999999</v>
          </cell>
          <cell r="AC213">
            <v>6.1000000000000054E-2</v>
          </cell>
          <cell r="AD213">
            <v>9.728421191364986E-2</v>
          </cell>
          <cell r="AE213">
            <v>0.11454620745574239</v>
          </cell>
          <cell r="AF213">
            <v>0.15434272049385736</v>
          </cell>
          <cell r="AG213">
            <v>0.11005012810449183</v>
          </cell>
          <cell r="AH213">
            <v>6.4999999999999947E-2</v>
          </cell>
          <cell r="AI213">
            <v>7.4999999999999956E-2</v>
          </cell>
          <cell r="AJ213">
            <v>7.6999999999999957E-2</v>
          </cell>
          <cell r="AK213">
            <v>0.128</v>
          </cell>
          <cell r="AL213">
            <v>9.1743546553329128E-2</v>
          </cell>
          <cell r="AM213">
            <v>6.4681495243501752E-2</v>
          </cell>
          <cell r="AN213">
            <v>7.6507369050682658E-2</v>
          </cell>
          <cell r="AO213">
            <v>8.0322378631524499E-2</v>
          </cell>
          <cell r="AP213">
            <v>0.13424379870075928</v>
          </cell>
          <cell r="AQ213">
            <v>9.0141232732965218E-2</v>
          </cell>
          <cell r="AR213">
            <v>9.349961294318003E-2</v>
          </cell>
          <cell r="AS213">
            <v>8.249654589214854E-2</v>
          </cell>
          <cell r="AT213">
            <v>5.5609507168487761E-2</v>
          </cell>
          <cell r="AU213">
            <v>0.11060417530761786</v>
          </cell>
          <cell r="AV213">
            <v>8.9589270784951242E-2</v>
          </cell>
          <cell r="AW213">
            <v>7.0915365432826477E-2</v>
          </cell>
          <cell r="AX213">
            <v>5.9000000000000052E-2</v>
          </cell>
          <cell r="AY213">
            <v>4.7000000000000042E-2</v>
          </cell>
          <cell r="AZ213">
            <v>0.10485836120349019</v>
          </cell>
          <cell r="BA213">
            <v>7.0910444707239506E-2</v>
          </cell>
          <cell r="BB213">
            <v>6.5500000000000003E-2</v>
          </cell>
          <cell r="BC213">
            <v>5.4535925270734691E-2</v>
          </cell>
          <cell r="BD213">
            <v>4.2035217483176471E-2</v>
          </cell>
          <cell r="BE213">
            <v>9.9376702070402431E-2</v>
          </cell>
          <cell r="BF213">
            <v>6.725000000000006E-2</v>
          </cell>
          <cell r="BG213">
            <v>6.5500000000000003E-2</v>
          </cell>
          <cell r="BH213">
            <v>5.4511119368731702E-2</v>
          </cell>
          <cell r="BI213">
            <v>4.199928795838416E-2</v>
          </cell>
          <cell r="BJ213">
            <v>9.9257730566778751E-2</v>
          </cell>
          <cell r="BK213">
            <v>6.725000000000006E-2</v>
          </cell>
          <cell r="BL213">
            <v>6.5500000000000003E-2</v>
          </cell>
          <cell r="BM213">
            <v>5.450647077226236E-2</v>
          </cell>
          <cell r="BN213">
            <v>4.199255800660228E-2</v>
          </cell>
          <cell r="BO213">
            <v>9.9235455106662179E-2</v>
          </cell>
          <cell r="BP213">
            <v>6.7250000000000046E-2</v>
          </cell>
          <cell r="BQ213">
            <v>6.5500000000000003E-2</v>
          </cell>
          <cell r="BR213">
            <v>5.4502399984018311E-2</v>
          </cell>
          <cell r="BS213">
            <v>4.1986665398664927E-2</v>
          </cell>
          <cell r="BT213">
            <v>9.9215953518081865E-2</v>
          </cell>
          <cell r="BU213">
            <v>6.725000000000006E-2</v>
          </cell>
          <cell r="BV213">
            <v>6.5500000000000003E-2</v>
          </cell>
          <cell r="BW213">
            <v>5.4498837232735069E-2</v>
          </cell>
          <cell r="BX213">
            <v>4.1981508826751328E-2</v>
          </cell>
          <cell r="BY213">
            <v>9.9198889639381643E-2</v>
          </cell>
          <cell r="BZ213">
            <v>6.7250000000000074E-2</v>
          </cell>
        </row>
        <row r="221">
          <cell r="B221" t="str">
            <v>Subtotal</v>
          </cell>
          <cell r="I221">
            <v>6.7605312499999997</v>
          </cell>
          <cell r="J221">
            <v>7.2619687499999994</v>
          </cell>
          <cell r="K221">
            <v>7.7400312500000004</v>
          </cell>
          <cell r="L221">
            <v>8.1155625000000011</v>
          </cell>
          <cell r="U221">
            <v>50.318000000000005</v>
          </cell>
          <cell r="V221">
            <v>52.59584375</v>
          </cell>
          <cell r="W221">
            <v>102.91384375000001</v>
          </cell>
          <cell r="X221">
            <v>55.184500000000007</v>
          </cell>
          <cell r="Y221">
            <v>58.191281249999996</v>
          </cell>
          <cell r="Z221">
            <v>60.428531250000006</v>
          </cell>
          <cell r="AA221">
            <v>61.03696875</v>
          </cell>
          <cell r="AB221">
            <v>234.84128125000001</v>
          </cell>
          <cell r="AC221">
            <v>62.670749999999998</v>
          </cell>
          <cell r="AD221">
            <v>63.422843749999998</v>
          </cell>
          <cell r="AE221">
            <v>64.045312500000009</v>
          </cell>
          <cell r="AF221">
            <v>64.705093750000003</v>
          </cell>
          <cell r="AG221">
            <v>254.84399999999999</v>
          </cell>
          <cell r="AH221">
            <v>65.570468749999989</v>
          </cell>
          <cell r="AI221">
            <v>66.776031250000003</v>
          </cell>
          <cell r="AJ221">
            <v>68.298000000000002</v>
          </cell>
          <cell r="AK221">
            <v>70.02371875</v>
          </cell>
          <cell r="AL221">
            <v>270.66821874999999</v>
          </cell>
          <cell r="AM221">
            <v>65.977656249999995</v>
          </cell>
          <cell r="AN221">
            <v>67.990218749999997</v>
          </cell>
          <cell r="AO221">
            <v>70.302406250000004</v>
          </cell>
          <cell r="AP221">
            <v>72.771718749999991</v>
          </cell>
          <cell r="AQ221">
            <v>277.04199999999997</v>
          </cell>
          <cell r="AR221">
            <v>71.945062499999992</v>
          </cell>
          <cell r="AS221">
            <v>73.867968750000003</v>
          </cell>
          <cell r="AT221">
            <v>75.46684375000001</v>
          </cell>
          <cell r="AU221">
            <v>75.736874999999998</v>
          </cell>
          <cell r="AV221">
            <v>297.01675</v>
          </cell>
          <cell r="AW221">
            <v>74.696062499999996</v>
          </cell>
          <cell r="AX221">
            <v>77.712625000000003</v>
          </cell>
          <cell r="AY221">
            <v>78.178250000000006</v>
          </cell>
          <cell r="AZ221">
            <v>78.844088968749986</v>
          </cell>
          <cell r="BA221">
            <v>309.43102646874996</v>
          </cell>
          <cell r="BB221">
            <v>79.848561250167975</v>
          </cell>
          <cell r="BC221">
            <v>81.030983769968742</v>
          </cell>
          <cell r="BD221">
            <v>82.231845689355481</v>
          </cell>
          <cell r="BE221">
            <v>83.519523941898441</v>
          </cell>
          <cell r="BF221">
            <v>326.63091465139064</v>
          </cell>
          <cell r="BG221">
            <v>84.858781348941847</v>
          </cell>
          <cell r="BH221">
            <v>86.230604641516493</v>
          </cell>
          <cell r="BI221">
            <v>87.633405931343972</v>
          </cell>
          <cell r="BJ221">
            <v>89.066381878680772</v>
          </cell>
          <cell r="BK221">
            <v>347.78917380048307</v>
          </cell>
          <cell r="BL221">
            <v>90.528580495412982</v>
          </cell>
          <cell r="BM221">
            <v>92.018555746249476</v>
          </cell>
          <cell r="BN221">
            <v>93.535352190898564</v>
          </cell>
          <cell r="BO221">
            <v>95.076996555464447</v>
          </cell>
          <cell r="BP221">
            <v>371.1594849880255</v>
          </cell>
          <cell r="BQ221">
            <v>96.645401678166749</v>
          </cell>
          <cell r="BR221">
            <v>98.243469047714186</v>
          </cell>
          <cell r="BS221">
            <v>99.870187025112173</v>
          </cell>
          <cell r="BT221">
            <v>101.52342041530321</v>
          </cell>
          <cell r="BU221">
            <v>396.2824781662963</v>
          </cell>
          <cell r="BV221">
            <v>103.20520741185526</v>
          </cell>
          <cell r="BW221">
            <v>104.91867821193337</v>
          </cell>
          <cell r="BX221">
            <v>106.66276032555854</v>
          </cell>
          <cell r="BY221">
            <v>108.43514690204137</v>
          </cell>
          <cell r="BZ221">
            <v>423.22179285138856</v>
          </cell>
        </row>
        <row r="222">
          <cell r="B222" t="str">
            <v>Adjustments (FX, Other)</v>
          </cell>
          <cell r="I222">
            <v>1.1314687500000007</v>
          </cell>
          <cell r="J222">
            <v>1.3360312500000013</v>
          </cell>
          <cell r="K222">
            <v>1.1829687499999997</v>
          </cell>
          <cell r="L222">
            <v>1.2684374999999992</v>
          </cell>
          <cell r="U222">
            <v>4.2749999999999986</v>
          </cell>
          <cell r="V222">
            <v>5.3841562499999966</v>
          </cell>
          <cell r="W222">
            <v>9.6591562499999952</v>
          </cell>
          <cell r="X222">
            <v>3.6814999999999927</v>
          </cell>
          <cell r="Y222">
            <v>2.6147187500000015</v>
          </cell>
          <cell r="Z222">
            <v>1.4324687499999911</v>
          </cell>
          <cell r="AA222">
            <v>1.0000312499999993</v>
          </cell>
          <cell r="AB222">
            <v>8.7287187499999845</v>
          </cell>
          <cell r="AC222">
            <v>1.40625</v>
          </cell>
          <cell r="AD222">
            <v>1.1241562499999986</v>
          </cell>
          <cell r="AE222">
            <v>0.95268749999999613</v>
          </cell>
          <cell r="AF222">
            <v>1.9489062499999932</v>
          </cell>
          <cell r="AG222">
            <v>5.4319999999999879</v>
          </cell>
          <cell r="AH222">
            <v>1.7035312500000117</v>
          </cell>
          <cell r="AI222">
            <v>0.32296875000000114</v>
          </cell>
          <cell r="AJ222">
            <v>1.367999999999995</v>
          </cell>
          <cell r="AK222">
            <v>5.2902812499999925</v>
          </cell>
          <cell r="AL222">
            <v>8.6847812500000003</v>
          </cell>
          <cell r="AM222">
            <v>3.5223437500000045</v>
          </cell>
          <cell r="AN222">
            <v>1.3097812500000003</v>
          </cell>
          <cell r="AO222">
            <v>1.997593749999993</v>
          </cell>
          <cell r="AP222">
            <v>4.8282812500000034</v>
          </cell>
          <cell r="AQ222">
            <v>11.658000000000001</v>
          </cell>
          <cell r="AR222">
            <v>2.7549375000000111</v>
          </cell>
          <cell r="AS222">
            <v>2.83203125</v>
          </cell>
          <cell r="AT222">
            <v>0.53315624999999045</v>
          </cell>
          <cell r="AU222">
            <v>2.3631249999999966</v>
          </cell>
          <cell r="AV222">
            <v>8.4832499999999982</v>
          </cell>
          <cell r="AW222">
            <v>4.5039375000000064</v>
          </cell>
          <cell r="AX222">
            <v>1.9873750000000001</v>
          </cell>
          <cell r="AY222">
            <v>1.8217499999999944</v>
          </cell>
          <cell r="AZ222">
            <v>2.3631249999999966</v>
          </cell>
          <cell r="BA222">
            <v>10.676187499999997</v>
          </cell>
          <cell r="BB222">
            <v>4.5039375000000064</v>
          </cell>
          <cell r="BC222">
            <v>1.9873750000000001</v>
          </cell>
          <cell r="BD222">
            <v>1.8217499999999944</v>
          </cell>
          <cell r="BE222">
            <v>2.3631249999999966</v>
          </cell>
          <cell r="BF222">
            <v>10.676187499999997</v>
          </cell>
          <cell r="BG222">
            <v>3.3779531250000048</v>
          </cell>
          <cell r="BH222">
            <v>1.4905312500000001</v>
          </cell>
          <cell r="BI222">
            <v>1.3663124999999958</v>
          </cell>
          <cell r="BJ222">
            <v>1.7723437499999974</v>
          </cell>
          <cell r="BK222">
            <v>8.0071406249999981</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row>
        <row r="223">
          <cell r="B223" t="str">
            <v>RMA Subscription revenue</v>
          </cell>
          <cell r="AM223">
            <v>69.5</v>
          </cell>
          <cell r="AN223">
            <v>69.3</v>
          </cell>
          <cell r="AO223">
            <v>72.3</v>
          </cell>
          <cell r="AP223">
            <v>77.599999999999994</v>
          </cell>
          <cell r="AQ223">
            <v>288.70000000000005</v>
          </cell>
          <cell r="AR223">
            <v>74.7</v>
          </cell>
          <cell r="AS223">
            <v>76.7</v>
          </cell>
          <cell r="AT223">
            <v>76</v>
          </cell>
          <cell r="AU223">
            <v>78.099999999999994</v>
          </cell>
          <cell r="AV223">
            <v>305.5</v>
          </cell>
          <cell r="AW223">
            <v>79.2</v>
          </cell>
          <cell r="AX223">
            <v>79.7</v>
          </cell>
          <cell r="AY223">
            <v>80</v>
          </cell>
          <cell r="AZ223">
            <v>81.207213968749983</v>
          </cell>
          <cell r="BA223">
            <v>320.10721396874999</v>
          </cell>
          <cell r="BB223">
            <v>84.352498750167982</v>
          </cell>
          <cell r="BC223">
            <v>83.018358769968742</v>
          </cell>
          <cell r="BD223">
            <v>84.053595689355475</v>
          </cell>
          <cell r="BE223">
            <v>85.882648941898438</v>
          </cell>
          <cell r="BF223">
            <v>337.30710215139061</v>
          </cell>
          <cell r="BG223">
            <v>88.236734473941851</v>
          </cell>
          <cell r="BH223">
            <v>87.721135891516496</v>
          </cell>
          <cell r="BI223">
            <v>88.999718431343965</v>
          </cell>
          <cell r="BJ223">
            <v>90.838725628680777</v>
          </cell>
          <cell r="BK223">
            <v>355.7963144254831</v>
          </cell>
          <cell r="BL223">
            <v>90.528580495412982</v>
          </cell>
          <cell r="BM223">
            <v>92.018555746249476</v>
          </cell>
          <cell r="BN223">
            <v>93.535352190898564</v>
          </cell>
          <cell r="BO223">
            <v>95.076996555464447</v>
          </cell>
          <cell r="BP223">
            <v>371.1594849880255</v>
          </cell>
          <cell r="BQ223">
            <v>96.645401678166749</v>
          </cell>
          <cell r="BR223">
            <v>98.243469047714186</v>
          </cell>
          <cell r="BS223">
            <v>99.870187025112173</v>
          </cell>
          <cell r="BT223">
            <v>101.52342041530321</v>
          </cell>
          <cell r="BU223">
            <v>396.2824781662963</v>
          </cell>
          <cell r="BV223">
            <v>103.20520741185526</v>
          </cell>
          <cell r="BW223">
            <v>104.91867821193337</v>
          </cell>
          <cell r="BX223">
            <v>106.66276032555854</v>
          </cell>
          <cell r="BY223">
            <v>108.43514690204137</v>
          </cell>
          <cell r="BZ223">
            <v>423.22179285138856</v>
          </cell>
          <cell r="CB223">
            <v>5.3413139500798179E-2</v>
          </cell>
        </row>
        <row r="224">
          <cell r="AR224">
            <v>7.482014388489211E-2</v>
          </cell>
          <cell r="AS224">
            <v>0.10678210678210687</v>
          </cell>
          <cell r="AT224">
            <v>5.1175656984785656E-2</v>
          </cell>
          <cell r="AU224">
            <v>6.4432989690721421E-3</v>
          </cell>
          <cell r="AV224">
            <v>5.8191894700380775E-2</v>
          </cell>
          <cell r="AW224">
            <v>6.024096385542177E-2</v>
          </cell>
          <cell r="AX224">
            <v>3.9113428943937434E-2</v>
          </cell>
          <cell r="AY224">
            <v>5.2631578947368363E-2</v>
          </cell>
          <cell r="AZ224">
            <v>3.9785070022406943E-2</v>
          </cell>
          <cell r="BA224">
            <v>4.78141210106382E-2</v>
          </cell>
          <cell r="BB224">
            <v>6.5056802401110891E-2</v>
          </cell>
          <cell r="BC224">
            <v>4.1635618192832347E-2</v>
          </cell>
          <cell r="BD224">
            <v>5.0669946116943532E-2</v>
          </cell>
          <cell r="BE224">
            <v>5.7574133437795938E-2</v>
          </cell>
        </row>
        <row r="226">
          <cell r="B226" t="str">
            <v>RMA non-recurring revenue</v>
          </cell>
          <cell r="AM226">
            <v>0.92000000000000171</v>
          </cell>
          <cell r="AN226">
            <v>0.86400000000000432</v>
          </cell>
          <cell r="AO226">
            <v>0.4789999999999992</v>
          </cell>
          <cell r="AP226">
            <v>0.78000000000000114</v>
          </cell>
          <cell r="AQ226">
            <v>3.0430000000000064</v>
          </cell>
          <cell r="AR226">
            <v>0.87999999999999545</v>
          </cell>
          <cell r="AS226">
            <v>0.96599999999999397</v>
          </cell>
          <cell r="AT226">
            <v>0.97799999999999443</v>
          </cell>
          <cell r="AU226">
            <v>1.3719999999999999</v>
          </cell>
          <cell r="AV226">
            <v>4.1959999999999837</v>
          </cell>
          <cell r="AW226">
            <v>1.2759999999999962</v>
          </cell>
          <cell r="AX226">
            <v>1.2169999999999987</v>
          </cell>
          <cell r="AY226">
            <v>1.2409999999999997</v>
          </cell>
          <cell r="AZ226">
            <v>1.2409999999999997</v>
          </cell>
          <cell r="BA226">
            <v>4.9749999999999943</v>
          </cell>
          <cell r="BB226">
            <v>1.2409999999999997</v>
          </cell>
          <cell r="BC226">
            <v>1.2409999999999997</v>
          </cell>
          <cell r="BD226">
            <v>1.2409999999999997</v>
          </cell>
          <cell r="BE226">
            <v>1.2409999999999997</v>
          </cell>
          <cell r="BF226">
            <v>4.9639999999999986</v>
          </cell>
          <cell r="BG226">
            <v>1.2409999999999997</v>
          </cell>
          <cell r="BH226">
            <v>1.2409999999999997</v>
          </cell>
          <cell r="BI226">
            <v>1.2409999999999997</v>
          </cell>
          <cell r="BJ226">
            <v>1.2409999999999997</v>
          </cell>
          <cell r="BK226">
            <v>4.9639999999999986</v>
          </cell>
          <cell r="BL226">
            <v>1.2409999999999997</v>
          </cell>
          <cell r="BM226">
            <v>1.2409999999999997</v>
          </cell>
          <cell r="BN226">
            <v>1.2409999999999997</v>
          </cell>
          <cell r="BO226">
            <v>1.2409999999999997</v>
          </cell>
          <cell r="BP226">
            <v>4.9639999999999986</v>
          </cell>
          <cell r="BQ226">
            <v>1.2409999999999997</v>
          </cell>
          <cell r="BR226">
            <v>1.2409999999999997</v>
          </cell>
          <cell r="BS226">
            <v>1.2409999999999997</v>
          </cell>
          <cell r="BT226">
            <v>1.2409999999999997</v>
          </cell>
          <cell r="BU226">
            <v>4.9639999999999986</v>
          </cell>
          <cell r="BV226">
            <v>1.2409999999999997</v>
          </cell>
          <cell r="BW226">
            <v>1.2409999999999997</v>
          </cell>
          <cell r="BX226">
            <v>1.2409999999999997</v>
          </cell>
          <cell r="BY226">
            <v>1.2409999999999997</v>
          </cell>
          <cell r="BZ226">
            <v>4.9639999999999986</v>
          </cell>
          <cell r="CB226">
            <v>3.4187439077812298E-2</v>
          </cell>
        </row>
        <row r="228">
          <cell r="B228" t="str">
            <v>Risk Management Analytics revenue</v>
          </cell>
          <cell r="D228">
            <v>4.2830000000000004</v>
          </cell>
          <cell r="E228">
            <v>4.4180000000000001</v>
          </cell>
          <cell r="F228">
            <v>6.6689999999999996</v>
          </cell>
          <cell r="G228">
            <v>7.7</v>
          </cell>
          <cell r="I228">
            <v>7.8920000000000003</v>
          </cell>
          <cell r="J228">
            <v>8.5980000000000008</v>
          </cell>
          <cell r="K228">
            <v>8.923</v>
          </cell>
          <cell r="L228">
            <v>9.3840000000000003</v>
          </cell>
          <cell r="U228">
            <v>54.593000000000004</v>
          </cell>
          <cell r="V228">
            <v>57.98</v>
          </cell>
          <cell r="W228">
            <v>112.57300000000001</v>
          </cell>
          <cell r="X228">
            <v>58.866</v>
          </cell>
          <cell r="Y228">
            <v>60.805999999999997</v>
          </cell>
          <cell r="Z228">
            <v>61.860999999999997</v>
          </cell>
          <cell r="AA228">
            <v>62.036999999999999</v>
          </cell>
          <cell r="AB228">
            <v>243.57</v>
          </cell>
          <cell r="AC228">
            <v>64.076999999999998</v>
          </cell>
          <cell r="AD228">
            <v>64.546999999999997</v>
          </cell>
          <cell r="AE228">
            <v>64.998000000000005</v>
          </cell>
          <cell r="AF228">
            <v>66.653999999999996</v>
          </cell>
          <cell r="AG228">
            <v>260.27600000000001</v>
          </cell>
          <cell r="AH228">
            <v>67.274000000000001</v>
          </cell>
          <cell r="AI228">
            <v>67.099000000000004</v>
          </cell>
          <cell r="AJ228">
            <v>69.665999999999997</v>
          </cell>
          <cell r="AK228">
            <v>75.313999999999993</v>
          </cell>
          <cell r="AL228">
            <v>279.35299999999995</v>
          </cell>
          <cell r="AM228">
            <v>70.42</v>
          </cell>
          <cell r="AN228">
            <v>70.164000000000001</v>
          </cell>
          <cell r="AO228">
            <v>72.778999999999996</v>
          </cell>
          <cell r="AP228">
            <v>78.38</v>
          </cell>
          <cell r="AQ228">
            <v>291.74299999999999</v>
          </cell>
          <cell r="AR228">
            <v>75.58</v>
          </cell>
          <cell r="AS228">
            <v>77.665999999999997</v>
          </cell>
          <cell r="AT228">
            <v>76.977999999999994</v>
          </cell>
          <cell r="AU228">
            <v>79.471999999999994</v>
          </cell>
          <cell r="AV228">
            <v>309.69599999999997</v>
          </cell>
          <cell r="AW228">
            <v>80.475999999999999</v>
          </cell>
          <cell r="AX228">
            <v>80.917000000000002</v>
          </cell>
          <cell r="AY228">
            <v>81.241</v>
          </cell>
          <cell r="AZ228">
            <v>82.448213968749982</v>
          </cell>
          <cell r="BA228">
            <v>325.08221396875001</v>
          </cell>
          <cell r="BB228">
            <v>85.593498750167981</v>
          </cell>
          <cell r="BC228">
            <v>84.259358769968742</v>
          </cell>
          <cell r="BD228">
            <v>85.294595689355475</v>
          </cell>
          <cell r="BE228">
            <v>87.123648941898438</v>
          </cell>
          <cell r="BF228">
            <v>342.27110215139066</v>
          </cell>
          <cell r="BG228">
            <v>89.477734473941851</v>
          </cell>
          <cell r="BH228">
            <v>88.962135891516496</v>
          </cell>
          <cell r="BI228">
            <v>90.240718431343964</v>
          </cell>
          <cell r="BJ228">
            <v>92.079725628680777</v>
          </cell>
          <cell r="BK228">
            <v>360.7603144254831</v>
          </cell>
          <cell r="BL228">
            <v>91.769580495412981</v>
          </cell>
          <cell r="BM228">
            <v>93.259555746249475</v>
          </cell>
          <cell r="BN228">
            <v>94.776352190898564</v>
          </cell>
          <cell r="BO228">
            <v>96.317996555464447</v>
          </cell>
          <cell r="BP228">
            <v>376.12348498802544</v>
          </cell>
          <cell r="BQ228">
            <v>97.886401678166749</v>
          </cell>
          <cell r="BR228">
            <v>99.484469047714185</v>
          </cell>
          <cell r="BS228">
            <v>101.11118702511217</v>
          </cell>
          <cell r="BT228">
            <v>102.76442041530321</v>
          </cell>
          <cell r="BU228">
            <v>401.24647816629636</v>
          </cell>
          <cell r="BV228">
            <v>104.44620741185526</v>
          </cell>
          <cell r="BW228">
            <v>106.15967821193337</v>
          </cell>
          <cell r="BX228">
            <v>107.90376032555854</v>
          </cell>
          <cell r="BY228">
            <v>109.67614690204137</v>
          </cell>
          <cell r="BZ228">
            <v>428.1857928513885</v>
          </cell>
          <cell r="CB228">
            <v>5.3161871243857517E-2</v>
          </cell>
        </row>
        <row r="229">
          <cell r="Z229">
            <v>0.13313062114190455</v>
          </cell>
          <cell r="AA229">
            <v>6.9972404277337086E-2</v>
          </cell>
          <cell r="AC229">
            <v>8.852308633166861E-2</v>
          </cell>
          <cell r="AD229">
            <v>6.1523533861789881E-2</v>
          </cell>
          <cell r="AE229">
            <v>5.0710463781704185E-2</v>
          </cell>
          <cell r="AF229">
            <v>7.4423328013927037E-2</v>
          </cell>
          <cell r="AG229">
            <v>6.8588085560619128E-2</v>
          </cell>
          <cell r="AH229">
            <v>4.9893097367230022E-2</v>
          </cell>
          <cell r="AI229">
            <v>3.9537081506499261E-2</v>
          </cell>
          <cell r="AJ229">
            <v>7.1817594387519446E-2</v>
          </cell>
          <cell r="AK229">
            <v>0.12992468569028115</v>
          </cell>
          <cell r="AL229">
            <v>7.3295271173676957E-2</v>
          </cell>
          <cell r="AM229">
            <v>9.8990277322596354E-2</v>
          </cell>
          <cell r="AN229">
            <v>8.7021860039971033E-2</v>
          </cell>
          <cell r="AO229">
            <v>0.11971137573463775</v>
          </cell>
          <cell r="AP229">
            <v>0.17592342545083572</v>
          </cell>
          <cell r="AQ229">
            <v>0.12089858457944636</v>
          </cell>
          <cell r="AR229">
            <v>7.3274637886963978E-2</v>
          </cell>
          <cell r="AS229">
            <v>0.10692092811128218</v>
          </cell>
          <cell r="AT229">
            <v>5.7695214278844054E-2</v>
          </cell>
          <cell r="AU229">
            <v>1.3932125542230223E-2</v>
          </cell>
          <cell r="AV229">
            <v>6.1537037735266864E-2</v>
          </cell>
          <cell r="AW229">
            <v>6.4779042074623039E-2</v>
          </cell>
          <cell r="AX229">
            <v>4.1858728401102274E-2</v>
          </cell>
          <cell r="AY229">
            <v>5.5379459066226877E-2</v>
          </cell>
          <cell r="AZ229">
            <v>3.7449843576983E-2</v>
          </cell>
          <cell r="BA229">
            <v>4.9681668373986243E-2</v>
          </cell>
          <cell r="BB229">
            <v>6.3590371665688927E-2</v>
          </cell>
          <cell r="BC229">
            <v>4.1306014434157712E-2</v>
          </cell>
          <cell r="BD229">
            <v>4.9895935418760029E-2</v>
          </cell>
          <cell r="BE229">
            <v>5.67075349251418E-2</v>
          </cell>
          <cell r="BF229">
            <v>5.2875511006249765E-2</v>
          </cell>
          <cell r="BG229">
            <v>4.5380032134347603E-2</v>
          </cell>
          <cell r="BH229">
            <v>5.581311310932846E-2</v>
          </cell>
          <cell r="BI229">
            <v>5.7988700245468872E-2</v>
          </cell>
          <cell r="BJ229">
            <v>5.6885549985256967E-2</v>
          </cell>
          <cell r="BK229">
            <v>5.4019203367961843E-2</v>
          </cell>
          <cell r="BL229">
            <v>2.5613590184702106E-2</v>
          </cell>
          <cell r="BM229">
            <v>4.830616769333651E-2</v>
          </cell>
          <cell r="BN229">
            <v>5.0261498782341318E-2</v>
          </cell>
          <cell r="BO229">
            <v>4.6028274930736135E-2</v>
          </cell>
          <cell r="BP229">
            <v>4.2585533796887898E-2</v>
          </cell>
          <cell r="BQ229">
            <v>6.6654126015750048E-2</v>
          </cell>
          <cell r="BR229">
            <v>6.6748262434383809E-2</v>
          </cell>
          <cell r="BS229">
            <v>6.6839825418201215E-2</v>
          </cell>
          <cell r="BT229">
            <v>6.6928550119152552E-2</v>
          </cell>
          <cell r="BU229">
            <v>6.6794534723272569E-2</v>
          </cell>
          <cell r="BV229">
            <v>6.701447413764372E-2</v>
          </cell>
          <cell r="BW229">
            <v>6.7098002614032648E-2</v>
          </cell>
          <cell r="BX229">
            <v>6.7179245940010013E-2</v>
          </cell>
          <cell r="BY229">
            <v>6.7257971764991265E-2</v>
          </cell>
          <cell r="BZ229">
            <v>6.713906825601379E-2</v>
          </cell>
        </row>
        <row r="231">
          <cell r="A231" t="str">
            <v>Analytics</v>
          </cell>
        </row>
        <row r="232">
          <cell r="AM232" t="str">
            <v>1Q13R</v>
          </cell>
          <cell r="AN232" t="str">
            <v>2Q13R</v>
          </cell>
          <cell r="AO232" t="str">
            <v>3Q13R</v>
          </cell>
          <cell r="AP232" t="str">
            <v>4Q13R</v>
          </cell>
          <cell r="AQ232" t="str">
            <v>2013R</v>
          </cell>
          <cell r="AR232" t="str">
            <v>1Q14</v>
          </cell>
          <cell r="AS232" t="str">
            <v>2Q14</v>
          </cell>
          <cell r="AT232" t="str">
            <v>3Q14</v>
          </cell>
          <cell r="AU232" t="str">
            <v>4Q14</v>
          </cell>
          <cell r="AV232">
            <v>2014</v>
          </cell>
          <cell r="AW232" t="str">
            <v>1Q15</v>
          </cell>
          <cell r="AX232" t="str">
            <v>2Q15</v>
          </cell>
          <cell r="AY232" t="str">
            <v>3Q15</v>
          </cell>
          <cell r="AZ232" t="str">
            <v>4Q15</v>
          </cell>
          <cell r="BA232">
            <v>2015</v>
          </cell>
          <cell r="BB232" t="str">
            <v>1Q16</v>
          </cell>
          <cell r="BC232" t="str">
            <v>2Q16</v>
          </cell>
          <cell r="BD232" t="str">
            <v>3Q16</v>
          </cell>
          <cell r="BE232" t="str">
            <v>4Q16</v>
          </cell>
          <cell r="BF232" t="str">
            <v>2016E</v>
          </cell>
          <cell r="BG232" t="str">
            <v>1Q17E</v>
          </cell>
          <cell r="BH232" t="str">
            <v>2Q17E</v>
          </cell>
          <cell r="BI232" t="str">
            <v>3Q17E</v>
          </cell>
          <cell r="BJ232" t="str">
            <v>4Q17E</v>
          </cell>
          <cell r="BK232" t="str">
            <v>2017E</v>
          </cell>
          <cell r="BL232" t="str">
            <v>1Q18E</v>
          </cell>
          <cell r="BM232" t="str">
            <v>2Q18E</v>
          </cell>
          <cell r="BN232" t="str">
            <v>3Q18E</v>
          </cell>
          <cell r="BO232" t="str">
            <v>4Q18E</v>
          </cell>
          <cell r="BP232" t="str">
            <v>2018E</v>
          </cell>
          <cell r="BQ232" t="str">
            <v>1Q19E</v>
          </cell>
          <cell r="BR232" t="str">
            <v>2Q19E</v>
          </cell>
          <cell r="BS232" t="str">
            <v>3Q19E</v>
          </cell>
          <cell r="BT232" t="str">
            <v>4Q19E</v>
          </cell>
          <cell r="BU232" t="str">
            <v>2019E</v>
          </cell>
          <cell r="BV232" t="str">
            <v>1Q20E</v>
          </cell>
          <cell r="BW232" t="str">
            <v>2Q20E</v>
          </cell>
          <cell r="BX232" t="str">
            <v>3Q20E</v>
          </cell>
          <cell r="BY232" t="str">
            <v>4Q20E</v>
          </cell>
          <cell r="BZ232" t="str">
            <v>2020E</v>
          </cell>
        </row>
        <row r="233">
          <cell r="B233" t="str">
            <v>Annualized run rate</v>
          </cell>
          <cell r="S233">
            <v>318.053</v>
          </cell>
          <cell r="T233">
            <v>321.68600000000004</v>
          </cell>
          <cell r="U233">
            <v>351.42199999999997</v>
          </cell>
          <cell r="V233">
            <v>348.66199999999998</v>
          </cell>
          <cell r="W233">
            <v>348.66199999999998</v>
          </cell>
          <cell r="X233">
            <v>360.69200000000001</v>
          </cell>
          <cell r="Y233">
            <v>367.5</v>
          </cell>
          <cell r="Z233">
            <v>371.024</v>
          </cell>
          <cell r="AA233">
            <v>369.32100000000003</v>
          </cell>
          <cell r="AB233">
            <v>369.32100000000003</v>
          </cell>
          <cell r="AC233">
            <v>375.72400000000005</v>
          </cell>
          <cell r="AD233">
            <v>376.14800000000002</v>
          </cell>
          <cell r="AE233">
            <v>377.73400000000004</v>
          </cell>
          <cell r="AF233">
            <v>371.94400000000002</v>
          </cell>
          <cell r="AG233">
            <v>371.94400000000002</v>
          </cell>
          <cell r="AH233">
            <v>380.61500000000001</v>
          </cell>
          <cell r="AI233">
            <v>385.54599999999999</v>
          </cell>
          <cell r="AJ233">
            <v>393.39</v>
          </cell>
          <cell r="AK233">
            <v>393.78</v>
          </cell>
          <cell r="AL233">
            <v>393.78</v>
          </cell>
          <cell r="AM233">
            <v>393.64499999999998</v>
          </cell>
          <cell r="AN233">
            <v>398.34</v>
          </cell>
          <cell r="AO233">
            <v>405.88299999999998</v>
          </cell>
          <cell r="AP233">
            <v>405.08199999999999</v>
          </cell>
          <cell r="AQ233">
            <v>405.08199999999999</v>
          </cell>
          <cell r="AR233">
            <v>410.99099999999999</v>
          </cell>
          <cell r="AS233">
            <v>416.10500000000002</v>
          </cell>
          <cell r="AT233">
            <v>418.012</v>
          </cell>
          <cell r="AU233">
            <v>417.67700000000002</v>
          </cell>
          <cell r="AV233">
            <v>417.67700000000002</v>
          </cell>
          <cell r="AW233">
            <v>417.64800000000002</v>
          </cell>
          <cell r="AX233">
            <v>425.43299999999999</v>
          </cell>
          <cell r="AY233">
            <v>430.33699999999999</v>
          </cell>
          <cell r="AZ233">
            <v>436.67099999999999</v>
          </cell>
          <cell r="BA233">
            <v>436.67099999999999</v>
          </cell>
          <cell r="BB233">
            <v>447.024</v>
          </cell>
          <cell r="BC233">
            <v>449.06200000000001</v>
          </cell>
          <cell r="BD233">
            <v>452.32299999999998</v>
          </cell>
          <cell r="BE233">
            <v>451.53300000000002</v>
          </cell>
          <cell r="BF233">
            <v>451.53300000000002</v>
          </cell>
          <cell r="BG233">
            <v>457.53153199999997</v>
          </cell>
          <cell r="BH233">
            <v>460.09165224999998</v>
          </cell>
          <cell r="BI233">
            <v>463.30503024999996</v>
          </cell>
          <cell r="BJ233">
            <v>469.00193074999993</v>
          </cell>
          <cell r="BK233">
            <v>469.00193074999993</v>
          </cell>
          <cell r="BL233">
            <v>475.64657405799994</v>
          </cell>
          <cell r="BM233">
            <v>478.67927409493745</v>
          </cell>
          <cell r="BN233">
            <v>482.45690965693746</v>
          </cell>
          <cell r="BO233">
            <v>488.99795213831243</v>
          </cell>
          <cell r="BP233">
            <v>488.99795213831243</v>
          </cell>
          <cell r="BQ233">
            <v>496.31306629809944</v>
          </cell>
          <cell r="BR233">
            <v>499.82436319822949</v>
          </cell>
          <cell r="BS233">
            <v>504.17445197990997</v>
          </cell>
          <cell r="BT233">
            <v>511.57764201855309</v>
          </cell>
          <cell r="BU233">
            <v>511.57764201855309</v>
          </cell>
          <cell r="BV233">
            <v>519.59121683783633</v>
          </cell>
          <cell r="BW233">
            <v>523.59004548144139</v>
          </cell>
          <cell r="BX233">
            <v>528.52424448030615</v>
          </cell>
          <cell r="BY233">
            <v>536.81263807489177</v>
          </cell>
          <cell r="BZ233">
            <v>536.81263807489177</v>
          </cell>
          <cell r="CB233">
            <v>3.5205682234463742E-2</v>
          </cell>
        </row>
        <row r="234">
          <cell r="B234" t="str">
            <v>Y/Y growth</v>
          </cell>
          <cell r="AW234">
            <v>1.6197434980328218E-2</v>
          </cell>
          <cell r="AX234">
            <v>2.2417418680381163E-2</v>
          </cell>
          <cell r="AY234">
            <v>2.9484799479440715E-2</v>
          </cell>
          <cell r="AZ234">
            <v>4.5475331416381382E-2</v>
          </cell>
          <cell r="BB234">
            <v>7.0336742903114535E-2</v>
          </cell>
          <cell r="BC234">
            <v>5.5541060519517904E-2</v>
          </cell>
          <cell r="BD234">
            <v>5.1090192105257115E-2</v>
          </cell>
          <cell r="BE234">
            <v>3.4034776754123808E-2</v>
          </cell>
          <cell r="BG234">
            <v>2.2873492250975458E-2</v>
          </cell>
        </row>
        <row r="235">
          <cell r="B235" t="str">
            <v>Subscription revenue - 1st quarter, 12.5%</v>
          </cell>
          <cell r="U235">
            <v>0</v>
          </cell>
          <cell r="V235">
            <v>0</v>
          </cell>
          <cell r="W235">
            <v>0</v>
          </cell>
          <cell r="X235">
            <v>9.9391562499999999</v>
          </cell>
          <cell r="Y235">
            <v>10.052687500000001</v>
          </cell>
          <cell r="Z235">
            <v>10.981937499999999</v>
          </cell>
          <cell r="AA235">
            <v>10.895687499999999</v>
          </cell>
          <cell r="AB235">
            <v>41.869468750000003</v>
          </cell>
          <cell r="AC235">
            <v>11.271625</v>
          </cell>
          <cell r="AD235">
            <v>11.484375</v>
          </cell>
          <cell r="AE235">
            <v>11.5945</v>
          </cell>
          <cell r="AF235">
            <v>11.541281250000001</v>
          </cell>
          <cell r="AG235">
            <v>45.891781249999994</v>
          </cell>
          <cell r="AH235">
            <v>11.741375000000001</v>
          </cell>
          <cell r="AI235">
            <v>11.754625000000001</v>
          </cell>
          <cell r="AJ235">
            <v>11.804187500000001</v>
          </cell>
          <cell r="AK235">
            <v>11.623250000000001</v>
          </cell>
          <cell r="AL235">
            <v>46.923437500000006</v>
          </cell>
          <cell r="AM235">
            <v>11.741375000000001</v>
          </cell>
          <cell r="AN235">
            <v>11.754625000000001</v>
          </cell>
          <cell r="AO235">
            <v>11.804187500000001</v>
          </cell>
          <cell r="AP235">
            <v>11.623250000000001</v>
          </cell>
          <cell r="AQ235">
            <v>46.923437500000006</v>
          </cell>
          <cell r="AR235">
            <v>11.89421875</v>
          </cell>
          <cell r="AS235">
            <v>12.0483125</v>
          </cell>
          <cell r="AT235">
            <v>12.2934375</v>
          </cell>
          <cell r="AU235">
            <v>12.305624999999999</v>
          </cell>
          <cell r="AV235">
            <v>48.541593749999997</v>
          </cell>
          <cell r="AW235">
            <v>12.84346875</v>
          </cell>
          <cell r="AX235">
            <v>13.003281250000001</v>
          </cell>
          <cell r="AY235">
            <v>13.062875</v>
          </cell>
          <cell r="AZ235">
            <v>13.052406250000001</v>
          </cell>
          <cell r="BA235">
            <v>51.962031249999995</v>
          </cell>
          <cell r="BB235">
            <v>13.051500000000001</v>
          </cell>
          <cell r="BC235">
            <v>13.29478125</v>
          </cell>
          <cell r="BD235">
            <v>13.44803125</v>
          </cell>
          <cell r="BE235">
            <v>13.64596875</v>
          </cell>
          <cell r="BF235">
            <v>53.440281250000005</v>
          </cell>
          <cell r="BG235">
            <v>13.9695</v>
          </cell>
          <cell r="BH235">
            <v>14.0331875</v>
          </cell>
          <cell r="BI235">
            <v>14.135093749999999</v>
          </cell>
          <cell r="BJ235">
            <v>14.11040625</v>
          </cell>
          <cell r="BK235">
            <v>56.2481875</v>
          </cell>
          <cell r="BL235">
            <v>14.297860374999999</v>
          </cell>
          <cell r="BM235">
            <v>14.377864132812499</v>
          </cell>
          <cell r="BN235">
            <v>14.478282195312499</v>
          </cell>
          <cell r="BO235">
            <v>14.656310335937498</v>
          </cell>
          <cell r="BP235">
            <v>57.81031703906249</v>
          </cell>
          <cell r="BQ235">
            <v>14.863955439312498</v>
          </cell>
          <cell r="BR235">
            <v>14.958727315466795</v>
          </cell>
          <cell r="BS235">
            <v>15.076778426779295</v>
          </cell>
          <cell r="BT235">
            <v>15.281186004322263</v>
          </cell>
          <cell r="BU235">
            <v>60.180647185880858</v>
          </cell>
          <cell r="BV235">
            <v>15.509783321815608</v>
          </cell>
          <cell r="BW235">
            <v>15.619511349944672</v>
          </cell>
          <cell r="BX235">
            <v>15.755451624372187</v>
          </cell>
          <cell r="BY235">
            <v>15.986801313079784</v>
          </cell>
          <cell r="BZ235">
            <v>62.871547609212243</v>
          </cell>
        </row>
        <row r="236">
          <cell r="B236" t="str">
            <v>Subscription revenue - 2nd quarter, 25%</v>
          </cell>
          <cell r="U236">
            <v>0</v>
          </cell>
          <cell r="V236">
            <v>19.8783125</v>
          </cell>
          <cell r="W236">
            <v>19.8783125</v>
          </cell>
          <cell r="X236">
            <v>20.105375000000002</v>
          </cell>
          <cell r="Y236">
            <v>21.963874999999998</v>
          </cell>
          <cell r="Z236">
            <v>21.791374999999999</v>
          </cell>
          <cell r="AA236">
            <v>21.791374999999999</v>
          </cell>
          <cell r="AB236">
            <v>85.652000000000001</v>
          </cell>
          <cell r="AC236">
            <v>22.96875</v>
          </cell>
          <cell r="AD236">
            <v>23.189</v>
          </cell>
          <cell r="AE236">
            <v>23.082562500000002</v>
          </cell>
          <cell r="AF236">
            <v>23.482750000000003</v>
          </cell>
          <cell r="AG236">
            <v>92.723062499999997</v>
          </cell>
          <cell r="AH236">
            <v>23.509250000000002</v>
          </cell>
          <cell r="AI236">
            <v>23.608375000000002</v>
          </cell>
          <cell r="AJ236">
            <v>23.246500000000001</v>
          </cell>
          <cell r="AK236">
            <v>23.788437500000001</v>
          </cell>
          <cell r="AL236">
            <v>94.152562500000002</v>
          </cell>
          <cell r="AM236">
            <v>23.509250000000002</v>
          </cell>
          <cell r="AN236">
            <v>23.608375000000002</v>
          </cell>
          <cell r="AO236">
            <v>23.246500000000001</v>
          </cell>
          <cell r="AP236">
            <v>23.246500000000001</v>
          </cell>
          <cell r="AQ236">
            <v>93.610624999999999</v>
          </cell>
          <cell r="AR236">
            <v>24.096625</v>
          </cell>
          <cell r="AS236">
            <v>24.586874999999999</v>
          </cell>
          <cell r="AT236">
            <v>24.611249999999998</v>
          </cell>
          <cell r="AU236">
            <v>24.611249999999998</v>
          </cell>
          <cell r="AV236">
            <v>97.905999999999992</v>
          </cell>
          <cell r="AW236">
            <v>26.006562500000001</v>
          </cell>
          <cell r="AX236">
            <v>26.12575</v>
          </cell>
          <cell r="AY236">
            <v>26.104812500000001</v>
          </cell>
          <cell r="AZ236">
            <v>26.103000000000002</v>
          </cell>
          <cell r="BA236">
            <v>104.340125</v>
          </cell>
          <cell r="BB236">
            <v>26.5895625</v>
          </cell>
          <cell r="BC236">
            <v>26.896062499999999</v>
          </cell>
          <cell r="BD236">
            <v>27.2919375</v>
          </cell>
          <cell r="BE236">
            <v>27.939</v>
          </cell>
          <cell r="BF236">
            <v>108.71656250000001</v>
          </cell>
          <cell r="BG236">
            <v>28.066375000000001</v>
          </cell>
          <cell r="BH236">
            <v>28.270187499999999</v>
          </cell>
          <cell r="BI236">
            <v>28.220812500000001</v>
          </cell>
          <cell r="BJ236">
            <v>28.595720749999998</v>
          </cell>
          <cell r="BK236">
            <v>113.15309575000001</v>
          </cell>
          <cell r="BL236">
            <v>28.755728265624999</v>
          </cell>
          <cell r="BM236">
            <v>28.956564390624997</v>
          </cell>
          <cell r="BN236">
            <v>29.312620671874996</v>
          </cell>
          <cell r="BO236">
            <v>29.727910878624996</v>
          </cell>
          <cell r="BP236">
            <v>116.75282420674999</v>
          </cell>
          <cell r="BQ236">
            <v>29.917454630933591</v>
          </cell>
          <cell r="BR236">
            <v>30.153556853558591</v>
          </cell>
          <cell r="BS236">
            <v>30.562372008644527</v>
          </cell>
          <cell r="BT236">
            <v>31.019566643631215</v>
          </cell>
          <cell r="BU236">
            <v>121.65295013676791</v>
          </cell>
          <cell r="BV236">
            <v>31.239022699889343</v>
          </cell>
          <cell r="BW236">
            <v>31.510903248744373</v>
          </cell>
          <cell r="BX236">
            <v>31.973602626159568</v>
          </cell>
          <cell r="BY236">
            <v>32.47445105236477</v>
          </cell>
          <cell r="BZ236">
            <v>127.19797962715805</v>
          </cell>
        </row>
        <row r="237">
          <cell r="B237" t="str">
            <v>Subscription revenue - 3rd quarter, 25%</v>
          </cell>
          <cell r="U237">
            <v>19.8783125</v>
          </cell>
          <cell r="V237">
            <v>20.105375000000002</v>
          </cell>
          <cell r="W237">
            <v>39.983687500000002</v>
          </cell>
          <cell r="X237">
            <v>21.963874999999998</v>
          </cell>
          <cell r="Y237">
            <v>21.791374999999999</v>
          </cell>
          <cell r="Z237">
            <v>22.54325</v>
          </cell>
          <cell r="AA237">
            <v>22.96875</v>
          </cell>
          <cell r="AB237">
            <v>89.26724999999999</v>
          </cell>
          <cell r="AC237">
            <v>23.189</v>
          </cell>
          <cell r="AD237">
            <v>23.082562500000002</v>
          </cell>
          <cell r="AE237">
            <v>23.482750000000003</v>
          </cell>
          <cell r="AF237">
            <v>23.509250000000002</v>
          </cell>
          <cell r="AG237">
            <v>93.263562500000006</v>
          </cell>
          <cell r="AH237">
            <v>23.608375000000002</v>
          </cell>
          <cell r="AI237">
            <v>23.246500000000001</v>
          </cell>
          <cell r="AJ237">
            <v>23.788437500000001</v>
          </cell>
          <cell r="AK237">
            <v>24.096625</v>
          </cell>
          <cell r="AL237">
            <v>94.739937500000011</v>
          </cell>
          <cell r="AM237">
            <v>23.608375000000002</v>
          </cell>
          <cell r="AN237">
            <v>23.246500000000001</v>
          </cell>
          <cell r="AO237">
            <v>24.602812499999999</v>
          </cell>
          <cell r="AP237">
            <v>24.896249999999998</v>
          </cell>
          <cell r="AQ237">
            <v>96.353937500000001</v>
          </cell>
          <cell r="AR237">
            <v>24.586874999999999</v>
          </cell>
          <cell r="AS237">
            <v>24.611249999999998</v>
          </cell>
          <cell r="AT237">
            <v>25.686937499999999</v>
          </cell>
          <cell r="AU237">
            <v>26.006562500000001</v>
          </cell>
          <cell r="AV237">
            <v>100.891625</v>
          </cell>
          <cell r="AW237">
            <v>26.12575</v>
          </cell>
          <cell r="AX237">
            <v>26.104812500000001</v>
          </cell>
          <cell r="AY237">
            <v>26.103000000000002</v>
          </cell>
          <cell r="AZ237">
            <v>26.5895625</v>
          </cell>
          <cell r="BA237">
            <v>104.923125</v>
          </cell>
          <cell r="BB237">
            <v>26.896062499999999</v>
          </cell>
          <cell r="BC237">
            <v>27.2919375</v>
          </cell>
          <cell r="BD237">
            <v>27.939</v>
          </cell>
          <cell r="BE237">
            <v>28.066375000000001</v>
          </cell>
          <cell r="BF237">
            <v>110.193375</v>
          </cell>
          <cell r="BG237">
            <v>28.270187499999999</v>
          </cell>
          <cell r="BH237">
            <v>28.220812500000001</v>
          </cell>
          <cell r="BI237">
            <v>28.595720749999998</v>
          </cell>
          <cell r="BJ237">
            <v>28.755728265624999</v>
          </cell>
          <cell r="BK237">
            <v>113.84244901562499</v>
          </cell>
          <cell r="BL237">
            <v>28.956564390624997</v>
          </cell>
          <cell r="BM237">
            <v>29.312620671874996</v>
          </cell>
          <cell r="BN237">
            <v>29.727910878624996</v>
          </cell>
          <cell r="BO237">
            <v>29.917454630933591</v>
          </cell>
          <cell r="BP237">
            <v>117.91455057205859</v>
          </cell>
          <cell r="BQ237">
            <v>30.153556853558591</v>
          </cell>
          <cell r="BR237">
            <v>30.562372008644527</v>
          </cell>
          <cell r="BS237">
            <v>31.019566643631215</v>
          </cell>
          <cell r="BT237">
            <v>31.239022699889343</v>
          </cell>
          <cell r="BU237">
            <v>122.97451820572368</v>
          </cell>
          <cell r="BV237">
            <v>31.510903248744373</v>
          </cell>
          <cell r="BW237">
            <v>31.973602626159568</v>
          </cell>
          <cell r="BX237">
            <v>32.47445105236477</v>
          </cell>
          <cell r="BY237">
            <v>32.724377842590087</v>
          </cell>
          <cell r="BZ237">
            <v>128.68333476985879</v>
          </cell>
        </row>
        <row r="238">
          <cell r="B238" t="str">
            <v>Subscription revenue - 4th quarter, 25%</v>
          </cell>
          <cell r="U238">
            <v>20.105375000000002</v>
          </cell>
          <cell r="V238">
            <v>21.963874999999998</v>
          </cell>
          <cell r="W238">
            <v>42.069249999999997</v>
          </cell>
          <cell r="X238">
            <v>21.791374999999999</v>
          </cell>
          <cell r="Y238">
            <v>22.54325</v>
          </cell>
          <cell r="Z238">
            <v>22.96875</v>
          </cell>
          <cell r="AA238">
            <v>23.189</v>
          </cell>
          <cell r="AB238">
            <v>90.49237500000001</v>
          </cell>
          <cell r="AC238">
            <v>23.082562500000002</v>
          </cell>
          <cell r="AD238">
            <v>23.482750000000003</v>
          </cell>
          <cell r="AE238">
            <v>23.509250000000002</v>
          </cell>
          <cell r="AF238">
            <v>23.608375000000002</v>
          </cell>
          <cell r="AG238">
            <v>93.682937500000008</v>
          </cell>
          <cell r="AH238">
            <v>23.246500000000001</v>
          </cell>
          <cell r="AI238">
            <v>23.788437500000001</v>
          </cell>
          <cell r="AJ238">
            <v>24.096625</v>
          </cell>
          <cell r="AK238">
            <v>24.586874999999999</v>
          </cell>
          <cell r="AL238">
            <v>95.718437499999993</v>
          </cell>
          <cell r="AM238">
            <v>23.246500000000001</v>
          </cell>
          <cell r="AN238">
            <v>24.602812499999999</v>
          </cell>
          <cell r="AO238">
            <v>24.896249999999998</v>
          </cell>
          <cell r="AP238">
            <v>25.367687499999999</v>
          </cell>
          <cell r="AQ238">
            <v>98.113249999999994</v>
          </cell>
          <cell r="AR238">
            <v>24.611249999999998</v>
          </cell>
          <cell r="AS238">
            <v>25.686937499999999</v>
          </cell>
          <cell r="AT238">
            <v>26.006562500000001</v>
          </cell>
          <cell r="AU238">
            <v>26.12575</v>
          </cell>
          <cell r="AV238">
            <v>102.43049999999999</v>
          </cell>
          <cell r="AW238">
            <v>26.104812500000001</v>
          </cell>
          <cell r="AX238">
            <v>26.103000000000002</v>
          </cell>
          <cell r="AY238">
            <v>26.5895625</v>
          </cell>
          <cell r="AZ238">
            <v>26.896062499999999</v>
          </cell>
          <cell r="BA238">
            <v>105.6934375</v>
          </cell>
          <cell r="BB238">
            <v>27.2919375</v>
          </cell>
          <cell r="BC238">
            <v>27.939</v>
          </cell>
          <cell r="BD238">
            <v>28.066375000000001</v>
          </cell>
          <cell r="BE238">
            <v>28.270187499999999</v>
          </cell>
          <cell r="BF238">
            <v>111.5675</v>
          </cell>
          <cell r="BG238">
            <v>28.220812500000001</v>
          </cell>
          <cell r="BH238">
            <v>28.595720749999998</v>
          </cell>
          <cell r="BI238">
            <v>28.755728265624999</v>
          </cell>
          <cell r="BJ238">
            <v>28.956564390624997</v>
          </cell>
          <cell r="BK238">
            <v>114.52882590625001</v>
          </cell>
          <cell r="BL238">
            <v>29.312620671874996</v>
          </cell>
          <cell r="BM238">
            <v>29.727910878624996</v>
          </cell>
          <cell r="BN238">
            <v>29.917454630933591</v>
          </cell>
          <cell r="BO238">
            <v>30.153556853558591</v>
          </cell>
          <cell r="BP238">
            <v>119.11154303499217</v>
          </cell>
          <cell r="BQ238">
            <v>30.562372008644527</v>
          </cell>
          <cell r="BR238">
            <v>31.019566643631215</v>
          </cell>
          <cell r="BS238">
            <v>31.239022699889343</v>
          </cell>
          <cell r="BT238">
            <v>31.510903248744373</v>
          </cell>
          <cell r="BU238">
            <v>124.33186460090946</v>
          </cell>
          <cell r="BV238">
            <v>31.973602626159568</v>
          </cell>
          <cell r="BW238">
            <v>32.47445105236477</v>
          </cell>
          <cell r="BX238">
            <v>32.724377842590087</v>
          </cell>
          <cell r="BY238">
            <v>33.032765280019134</v>
          </cell>
          <cell r="BZ238">
            <v>130.20519680113355</v>
          </cell>
        </row>
        <row r="239">
          <cell r="B239" t="str">
            <v>Subscription revenue - 5th quarter, 12.5%</v>
          </cell>
          <cell r="U239">
            <v>10.981937499999999</v>
          </cell>
          <cell r="V239">
            <v>10.895687499999999</v>
          </cell>
          <cell r="W239">
            <v>21.877624999999998</v>
          </cell>
          <cell r="X239">
            <v>11.271625</v>
          </cell>
          <cell r="Y239">
            <v>11.484375</v>
          </cell>
          <cell r="Z239">
            <v>11.5945</v>
          </cell>
          <cell r="AA239">
            <v>11.541281250000001</v>
          </cell>
          <cell r="AB239">
            <v>45.891781249999994</v>
          </cell>
          <cell r="AC239">
            <v>11.741375000000001</v>
          </cell>
          <cell r="AD239">
            <v>11.754625000000001</v>
          </cell>
          <cell r="AE239">
            <v>11.804187500000001</v>
          </cell>
          <cell r="AF239">
            <v>11.623250000000001</v>
          </cell>
          <cell r="AG239">
            <v>46.923437500000006</v>
          </cell>
          <cell r="AH239">
            <v>11.89421875</v>
          </cell>
          <cell r="AI239">
            <v>12.0483125</v>
          </cell>
          <cell r="AJ239">
            <v>12.2934375</v>
          </cell>
          <cell r="AK239">
            <v>12.305624999999999</v>
          </cell>
          <cell r="AL239">
            <v>48.541593749999997</v>
          </cell>
          <cell r="AM239">
            <v>12.301406249999999</v>
          </cell>
          <cell r="AN239">
            <v>12.448124999999999</v>
          </cell>
          <cell r="AO239">
            <v>12.683843749999999</v>
          </cell>
          <cell r="AP239">
            <v>12.6588125</v>
          </cell>
          <cell r="AQ239">
            <v>50.092187499999994</v>
          </cell>
          <cell r="AR239">
            <v>12.84346875</v>
          </cell>
          <cell r="AS239">
            <v>13.003281250000001</v>
          </cell>
          <cell r="AT239">
            <v>13.062875</v>
          </cell>
          <cell r="AU239">
            <v>13.052406250000001</v>
          </cell>
          <cell r="AV239">
            <v>51.962031249999995</v>
          </cell>
          <cell r="AW239">
            <v>13.051500000000001</v>
          </cell>
          <cell r="AX239">
            <v>13.29478125</v>
          </cell>
          <cell r="AY239">
            <v>13.44803125</v>
          </cell>
          <cell r="AZ239">
            <v>13.64596875</v>
          </cell>
          <cell r="BA239">
            <v>53.440281250000005</v>
          </cell>
          <cell r="BB239">
            <v>13.9695</v>
          </cell>
          <cell r="BC239">
            <v>14.0331875</v>
          </cell>
          <cell r="BD239">
            <v>14.135093749999999</v>
          </cell>
          <cell r="BE239">
            <v>14.11040625</v>
          </cell>
          <cell r="BF239">
            <v>56.2481875</v>
          </cell>
          <cell r="BG239">
            <v>14.297860374999999</v>
          </cell>
          <cell r="BH239">
            <v>14.377864132812499</v>
          </cell>
          <cell r="BI239">
            <v>14.478282195312499</v>
          </cell>
          <cell r="BJ239">
            <v>14.656310335937498</v>
          </cell>
          <cell r="BK239">
            <v>57.81031703906249</v>
          </cell>
          <cell r="BL239">
            <v>14.863955439312498</v>
          </cell>
          <cell r="BM239">
            <v>14.958727315466795</v>
          </cell>
          <cell r="BN239">
            <v>15.076778426779295</v>
          </cell>
          <cell r="BO239">
            <v>15.281186004322263</v>
          </cell>
          <cell r="BP239">
            <v>60.180647185880858</v>
          </cell>
          <cell r="BQ239">
            <v>15.509783321815608</v>
          </cell>
          <cell r="BR239">
            <v>15.619511349944672</v>
          </cell>
          <cell r="BS239">
            <v>15.755451624372187</v>
          </cell>
          <cell r="BT239">
            <v>15.986801313079784</v>
          </cell>
          <cell r="BU239">
            <v>62.871547609212243</v>
          </cell>
          <cell r="BV239">
            <v>16.237225526182385</v>
          </cell>
          <cell r="BW239">
            <v>16.362188921295044</v>
          </cell>
          <cell r="BX239">
            <v>16.516382640009567</v>
          </cell>
          <cell r="BY239">
            <v>16.775394939840368</v>
          </cell>
          <cell r="BZ239">
            <v>65.891192027327364</v>
          </cell>
        </row>
        <row r="241">
          <cell r="B241" t="str">
            <v>Quarterly new sales</v>
          </cell>
          <cell r="D241">
            <v>13.159908940350322</v>
          </cell>
          <cell r="E241">
            <v>7.2997124772239523</v>
          </cell>
          <cell r="F241">
            <v>12.306791285336869</v>
          </cell>
          <cell r="G241">
            <v>8.7724331660384838</v>
          </cell>
          <cell r="H241">
            <v>41.538845868949629</v>
          </cell>
          <cell r="I241">
            <v>10.488366499999991</v>
          </cell>
          <cell r="J241">
            <v>10.111320249999993</v>
          </cell>
          <cell r="K241">
            <v>4.9681977500000087</v>
          </cell>
          <cell r="L241">
            <v>6.5890697500000091</v>
          </cell>
          <cell r="M241">
            <v>0</v>
          </cell>
          <cell r="N241">
            <v>0</v>
          </cell>
          <cell r="O241">
            <v>0</v>
          </cell>
          <cell r="P241">
            <v>0</v>
          </cell>
          <cell r="Q241">
            <v>14</v>
          </cell>
          <cell r="R241">
            <v>0</v>
          </cell>
          <cell r="S241">
            <v>0</v>
          </cell>
          <cell r="T241">
            <v>0</v>
          </cell>
          <cell r="U241">
            <v>41.26195174999998</v>
          </cell>
          <cell r="V241">
            <v>14.13362050000001</v>
          </cell>
          <cell r="W241">
            <v>55.395572249999987</v>
          </cell>
          <cell r="X241">
            <v>18.697811000000016</v>
          </cell>
          <cell r="Y241">
            <v>13.837224999999989</v>
          </cell>
          <cell r="Z241">
            <v>11.993497</v>
          </cell>
          <cell r="AA241">
            <v>13.190248000000008</v>
          </cell>
          <cell r="AB241">
            <v>57.718781000000007</v>
          </cell>
          <cell r="AC241">
            <v>12.626915250000009</v>
          </cell>
          <cell r="AD241">
            <v>11.373157999999993</v>
          </cell>
          <cell r="AE241">
            <v>13.470587249999998</v>
          </cell>
          <cell r="AF241">
            <v>10.820274999999995</v>
          </cell>
          <cell r="AG241">
            <v>48.290935499999996</v>
          </cell>
          <cell r="AH241">
            <v>17.955251999999991</v>
          </cell>
          <cell r="AI241">
            <v>13.647994999999995</v>
          </cell>
          <cell r="AJ241">
            <v>16.246704500000003</v>
          </cell>
          <cell r="AK241">
            <v>12.668412999999971</v>
          </cell>
          <cell r="AL241">
            <v>60.518364499999954</v>
          </cell>
          <cell r="AM241">
            <v>13.6</v>
          </cell>
          <cell r="AN241">
            <v>14.3</v>
          </cell>
          <cell r="AO241">
            <v>13.5</v>
          </cell>
          <cell r="AP241">
            <v>12.6</v>
          </cell>
          <cell r="AQ241">
            <v>53.900000000000006</v>
          </cell>
          <cell r="AR241">
            <v>14.9</v>
          </cell>
          <cell r="AS241">
            <v>12.7</v>
          </cell>
          <cell r="AT241">
            <v>13.9</v>
          </cell>
          <cell r="AU241">
            <v>14</v>
          </cell>
          <cell r="AV241">
            <v>55.6</v>
          </cell>
          <cell r="AW241">
            <v>13.5</v>
          </cell>
          <cell r="AX241">
            <v>12.399999999999999</v>
          </cell>
          <cell r="AY241">
            <v>10.399999999999999</v>
          </cell>
          <cell r="AZ241">
            <v>16.481000000000002</v>
          </cell>
          <cell r="BA241">
            <v>52.780999999999999</v>
          </cell>
          <cell r="BB241">
            <v>12.358000000000001</v>
          </cell>
          <cell r="BC241">
            <v>11.148999999999999</v>
          </cell>
          <cell r="BD241">
            <v>13.131</v>
          </cell>
          <cell r="BE241">
            <v>18.617000000000001</v>
          </cell>
          <cell r="BF241">
            <v>55.254999999999995</v>
          </cell>
          <cell r="BG241">
            <v>13.223060000000002</v>
          </cell>
          <cell r="BH241">
            <v>11.92943</v>
          </cell>
          <cell r="BI241">
            <v>14.050170000000001</v>
          </cell>
          <cell r="BJ241">
            <v>19.920190000000002</v>
          </cell>
          <cell r="BK241">
            <v>61.598100000000017</v>
          </cell>
          <cell r="BL241">
            <v>14.148674200000004</v>
          </cell>
          <cell r="BM241">
            <v>12.764490100000002</v>
          </cell>
          <cell r="BN241">
            <v>15.033681900000003</v>
          </cell>
          <cell r="BO241">
            <v>21.314603300000002</v>
          </cell>
          <cell r="BP241">
            <v>65.909967000000009</v>
          </cell>
          <cell r="BQ241">
            <v>15.139081394000005</v>
          </cell>
          <cell r="BR241">
            <v>13.658004407000002</v>
          </cell>
          <cell r="BS241">
            <v>16.086039633000006</v>
          </cell>
          <cell r="BT241">
            <v>22.806625531000002</v>
          </cell>
          <cell r="BU241">
            <v>70.523664690000018</v>
          </cell>
          <cell r="BV241">
            <v>16.198817091580008</v>
          </cell>
          <cell r="BW241">
            <v>14.614064715490002</v>
          </cell>
          <cell r="BX241">
            <v>17.212062407310007</v>
          </cell>
          <cell r="BY241">
            <v>24.403089318170004</v>
          </cell>
          <cell r="BZ241">
            <v>75.460321218300024</v>
          </cell>
        </row>
        <row r="242">
          <cell r="B242" t="str">
            <v>y/y change</v>
          </cell>
          <cell r="AR242">
            <v>9.5588235294117752E-2</v>
          </cell>
          <cell r="AS242">
            <v>-0.11188811188811199</v>
          </cell>
          <cell r="AT242">
            <v>2.9629629629629672E-2</v>
          </cell>
          <cell r="AU242">
            <v>0.11111111111111116</v>
          </cell>
          <cell r="AV242">
            <v>3.153988868274582E-2</v>
          </cell>
          <cell r="AW242">
            <v>-9.3959731543624136E-2</v>
          </cell>
          <cell r="AX242">
            <v>-2.3622047244094557E-2</v>
          </cell>
          <cell r="AY242">
            <v>-0.25179856115107924</v>
          </cell>
          <cell r="AZ242">
            <v>0.17721428571428577</v>
          </cell>
          <cell r="BA242">
            <v>-5.0701438848920866E-2</v>
          </cell>
          <cell r="BB242">
            <v>-8.4592592592592553E-2</v>
          </cell>
          <cell r="BC242">
            <v>-0.1008870967741935</v>
          </cell>
          <cell r="BD242">
            <v>0.26259615384615409</v>
          </cell>
          <cell r="BE242">
            <v>0.12960378617802304</v>
          </cell>
          <cell r="BF242">
            <v>4.6872927758094596E-2</v>
          </cell>
          <cell r="BG242">
            <v>7.0000000000000062E-2</v>
          </cell>
          <cell r="BH242">
            <v>7.0000000000000062E-2</v>
          </cell>
          <cell r="BI242">
            <v>7.0000000000000062E-2</v>
          </cell>
          <cell r="BJ242">
            <v>7.0000000000000062E-2</v>
          </cell>
          <cell r="BK242">
            <v>0.11479685096371406</v>
          </cell>
          <cell r="BL242">
            <v>7.0000000000000062E-2</v>
          </cell>
          <cell r="BM242">
            <v>7.0000000000000062E-2</v>
          </cell>
          <cell r="BN242">
            <v>7.0000000000000062E-2</v>
          </cell>
          <cell r="BO242">
            <v>7.0000000000000062E-2</v>
          </cell>
          <cell r="BP242">
            <v>6.999999999999984E-2</v>
          </cell>
          <cell r="BQ242">
            <v>7.0000000000000062E-2</v>
          </cell>
          <cell r="BR242">
            <v>7.0000000000000062E-2</v>
          </cell>
          <cell r="BS242">
            <v>7.0000000000000062E-2</v>
          </cell>
          <cell r="BT242">
            <v>7.0000000000000062E-2</v>
          </cell>
          <cell r="BU242">
            <v>7.0000000000000062E-2</v>
          </cell>
          <cell r="BV242">
            <v>7.0000000000000062E-2</v>
          </cell>
          <cell r="BW242">
            <v>7.0000000000000062E-2</v>
          </cell>
          <cell r="BX242">
            <v>7.0000000000000062E-2</v>
          </cell>
          <cell r="BY242">
            <v>7.0000000000000062E-2</v>
          </cell>
          <cell r="BZ242">
            <v>7.0000000000000062E-2</v>
          </cell>
        </row>
        <row r="243">
          <cell r="B243" t="str">
            <v>BULL</v>
          </cell>
          <cell r="BE243">
            <v>18.170302500000002</v>
          </cell>
          <cell r="BG243">
            <v>13.884213000000003</v>
          </cell>
          <cell r="BH243">
            <v>12.5259015</v>
          </cell>
          <cell r="BI243">
            <v>14.752678500000002</v>
          </cell>
          <cell r="BJ243">
            <v>20.916199500000001</v>
          </cell>
          <cell r="BL243">
            <v>14.856107910000004</v>
          </cell>
          <cell r="BM243">
            <v>13.402714605000002</v>
          </cell>
          <cell r="BN243">
            <v>15.785365995000005</v>
          </cell>
          <cell r="BO243">
            <v>22.380333465000003</v>
          </cell>
          <cell r="BQ243">
            <v>15.896035463700006</v>
          </cell>
          <cell r="BR243">
            <v>14.340904627350003</v>
          </cell>
          <cell r="BS243">
            <v>16.890341614650008</v>
          </cell>
          <cell r="BT243">
            <v>23.946956807550002</v>
          </cell>
          <cell r="BV243">
            <v>17.008757946159008</v>
          </cell>
          <cell r="BW243">
            <v>15.344767951264503</v>
          </cell>
          <cell r="BX243">
            <v>18.072665527675507</v>
          </cell>
          <cell r="BY243">
            <v>25.623243784078504</v>
          </cell>
        </row>
        <row r="244">
          <cell r="B244" t="str">
            <v>BASE</v>
          </cell>
          <cell r="AR244">
            <v>14.9</v>
          </cell>
          <cell r="AS244">
            <v>12.7</v>
          </cell>
          <cell r="AT244">
            <v>13.9</v>
          </cell>
          <cell r="AU244">
            <v>14</v>
          </cell>
          <cell r="AW244">
            <v>13.5</v>
          </cell>
          <cell r="AX244">
            <v>12.399999999999999</v>
          </cell>
          <cell r="AY244">
            <v>10.399999999999999</v>
          </cell>
          <cell r="AZ244">
            <v>16.481000000000002</v>
          </cell>
          <cell r="BB244">
            <v>12.358000000000001</v>
          </cell>
          <cell r="BC244">
            <v>11.148999999999999</v>
          </cell>
          <cell r="BD244">
            <v>13.131</v>
          </cell>
          <cell r="BE244">
            <v>18.617000000000001</v>
          </cell>
          <cell r="BG244">
            <v>13.223060000000002</v>
          </cell>
          <cell r="BH244">
            <v>11.92943</v>
          </cell>
          <cell r="BI244">
            <v>14.050170000000001</v>
          </cell>
          <cell r="BJ244">
            <v>19.920190000000002</v>
          </cell>
          <cell r="BL244">
            <v>14.148674200000004</v>
          </cell>
          <cell r="BM244">
            <v>12.764490100000002</v>
          </cell>
          <cell r="BN244">
            <v>15.033681900000003</v>
          </cell>
          <cell r="BO244">
            <v>21.314603300000002</v>
          </cell>
          <cell r="BQ244">
            <v>15.139081394000005</v>
          </cell>
          <cell r="BR244">
            <v>13.658004407000002</v>
          </cell>
          <cell r="BS244">
            <v>16.086039633000006</v>
          </cell>
          <cell r="BT244">
            <v>22.806625531000002</v>
          </cell>
          <cell r="BV244">
            <v>16.198817091580008</v>
          </cell>
          <cell r="BW244">
            <v>14.614064715490002</v>
          </cell>
          <cell r="BX244">
            <v>17.212062407310007</v>
          </cell>
          <cell r="BY244">
            <v>24.403089318170004</v>
          </cell>
        </row>
        <row r="245">
          <cell r="B245" t="str">
            <v>BEAR</v>
          </cell>
          <cell r="BE245">
            <v>13.844040000000001</v>
          </cell>
          <cell r="BG245">
            <v>10.578448000000002</v>
          </cell>
          <cell r="BH245">
            <v>9.5435440000000007</v>
          </cell>
          <cell r="BI245">
            <v>11.240136000000001</v>
          </cell>
          <cell r="BJ245">
            <v>15.936152000000002</v>
          </cell>
          <cell r="BL245">
            <v>11.318939360000003</v>
          </cell>
          <cell r="BM245">
            <v>10.211592080000003</v>
          </cell>
          <cell r="BN245">
            <v>12.026945520000003</v>
          </cell>
          <cell r="BO245">
            <v>17.051682640000003</v>
          </cell>
          <cell r="BQ245">
            <v>12.111265115200005</v>
          </cell>
          <cell r="BR245">
            <v>10.926403525600001</v>
          </cell>
          <cell r="BS245">
            <v>12.868831706400005</v>
          </cell>
          <cell r="BT245">
            <v>18.245300424800003</v>
          </cell>
          <cell r="BV245">
            <v>12.959053673264007</v>
          </cell>
          <cell r="BW245">
            <v>11.691251772392002</v>
          </cell>
          <cell r="BX245">
            <v>13.769649925848007</v>
          </cell>
          <cell r="BY245">
            <v>19.522471454536003</v>
          </cell>
        </row>
        <row r="247">
          <cell r="B247" t="str">
            <v>Quarterly cancellations</v>
          </cell>
          <cell r="D247">
            <v>-1.5571492395280453</v>
          </cell>
          <cell r="E247">
            <v>-1.9897124772239576</v>
          </cell>
          <cell r="F247">
            <v>-3.2657912853368698</v>
          </cell>
          <cell r="G247">
            <v>-4.2574331660384734</v>
          </cell>
          <cell r="H247">
            <v>-11.070086168127347</v>
          </cell>
          <cell r="I247">
            <v>-1.5983665000000014</v>
          </cell>
          <cell r="J247">
            <v>-5.1483202499999994</v>
          </cell>
          <cell r="K247">
            <v>-4.4841977499999999</v>
          </cell>
          <cell r="L247">
            <v>-10.564069750000003</v>
          </cell>
          <cell r="M247">
            <v>0</v>
          </cell>
          <cell r="N247">
            <v>0</v>
          </cell>
          <cell r="O247">
            <v>0</v>
          </cell>
          <cell r="P247">
            <v>0</v>
          </cell>
          <cell r="Q247">
            <v>0</v>
          </cell>
          <cell r="R247">
            <v>0</v>
          </cell>
          <cell r="S247">
            <v>0</v>
          </cell>
          <cell r="T247">
            <v>0</v>
          </cell>
          <cell r="U247">
            <v>-11.525951750000001</v>
          </cell>
          <cell r="V247">
            <v>-18.893620500000001</v>
          </cell>
          <cell r="W247">
            <v>-30.419572250000005</v>
          </cell>
          <cell r="X247">
            <v>-6.6678110000000022</v>
          </cell>
          <cell r="Y247">
            <v>-7.0292249999999967</v>
          </cell>
          <cell r="Z247">
            <v>-8.4694969999999987</v>
          </cell>
          <cell r="AA247">
            <v>-14.893247999999996</v>
          </cell>
          <cell r="AB247">
            <v>-37.059781000000001</v>
          </cell>
          <cell r="AC247">
            <v>-6.2239152500000028</v>
          </cell>
          <cell r="AD247">
            <v>-10.949158000000001</v>
          </cell>
          <cell r="AE247">
            <v>-11.884587250000001</v>
          </cell>
          <cell r="AF247">
            <v>-16.610275000000001</v>
          </cell>
          <cell r="AG247">
            <v>-45.667935500000006</v>
          </cell>
          <cell r="AH247">
            <v>-9.2842519999999986</v>
          </cell>
          <cell r="AI247">
            <v>-8.7169949999999972</v>
          </cell>
          <cell r="AJ247">
            <v>-8.4027044999999969</v>
          </cell>
          <cell r="AK247">
            <v>-12.278412999999999</v>
          </cell>
          <cell r="AL247">
            <v>-38.682364499999991</v>
          </cell>
          <cell r="AM247">
            <v>-9.7249970000000019</v>
          </cell>
          <cell r="AN247">
            <v>-9.0696700000000003</v>
          </cell>
          <cell r="AO247">
            <v>-8.8930310000000006</v>
          </cell>
          <cell r="AP247">
            <v>-13.147948999999999</v>
          </cell>
          <cell r="AQ247">
            <v>-40.835647000000002</v>
          </cell>
          <cell r="AR247">
            <v>-9.2174699999999969</v>
          </cell>
          <cell r="AS247">
            <v>-7.6817219999999979</v>
          </cell>
          <cell r="AT247">
            <v>-5.960936000000002</v>
          </cell>
          <cell r="AU247">
            <v>-10.410261999999998</v>
          </cell>
          <cell r="AV247">
            <v>-33.270389999999999</v>
          </cell>
          <cell r="AW247">
            <v>-7.4464387499999951</v>
          </cell>
          <cell r="AX247">
            <v>-6.4854000000000029</v>
          </cell>
          <cell r="AY247">
            <v>-4.9714547500000048</v>
          </cell>
          <cell r="AZ247">
            <v>-10.593</v>
          </cell>
          <cell r="BA247">
            <v>-28.973019999999998</v>
          </cell>
          <cell r="BB247">
            <v>-5.9109999999999996</v>
          </cell>
          <cell r="BC247">
            <v>-9.0150000000000006</v>
          </cell>
          <cell r="BD247">
            <v>-10.53</v>
          </cell>
          <cell r="BE247">
            <v>-13.749000000000001</v>
          </cell>
          <cell r="BF247">
            <v>-39.204999999999998</v>
          </cell>
          <cell r="BG247">
            <v>-7.2245280000000065</v>
          </cell>
          <cell r="BH247">
            <v>-9.3693097499999958</v>
          </cell>
          <cell r="BI247">
            <v>-10.836791999999997</v>
          </cell>
          <cell r="BJ247">
            <v>-14.2232895</v>
          </cell>
          <cell r="BK247">
            <v>-41.653919250000001</v>
          </cell>
          <cell r="BL247">
            <v>-7.5040308920000056</v>
          </cell>
          <cell r="BM247">
            <v>-9.7317900630624941</v>
          </cell>
          <cell r="BN247">
            <v>-11.256046337999996</v>
          </cell>
          <cell r="BO247">
            <v>-14.773560818624999</v>
          </cell>
          <cell r="BP247">
            <v>-43.265428111687498</v>
          </cell>
          <cell r="BQ247">
            <v>-7.823967234213006</v>
          </cell>
          <cell r="BR247">
            <v>-10.146707506869978</v>
          </cell>
          <cell r="BS247">
            <v>-11.735950851319496</v>
          </cell>
          <cell r="BT247">
            <v>-15.403435492356842</v>
          </cell>
          <cell r="BU247">
            <v>-45.110061084759323</v>
          </cell>
          <cell r="BV247">
            <v>-8.1852422722968576</v>
          </cell>
          <cell r="BW247">
            <v>-10.615236071884972</v>
          </cell>
          <cell r="BX247">
            <v>-12.27786340844527</v>
          </cell>
          <cell r="BY247">
            <v>-16.114695723584422</v>
          </cell>
          <cell r="BZ247">
            <v>-47.193037476211522</v>
          </cell>
        </row>
        <row r="248">
          <cell r="B248" t="str">
            <v>Cancellation rate (as % of beginning of year run rate)</v>
          </cell>
          <cell r="AU248">
            <v>0.10299999999999998</v>
          </cell>
          <cell r="AV248">
            <v>8.1999999999999962E-2</v>
          </cell>
          <cell r="AW248">
            <v>7.0999999999999952E-2</v>
          </cell>
          <cell r="AX248">
            <v>6.2000000000000055E-2</v>
          </cell>
          <cell r="AY248">
            <v>4.7000000000000042E-2</v>
          </cell>
          <cell r="AZ248">
            <v>0.10099999999999998</v>
          </cell>
          <cell r="BA248">
            <v>6.9999999999999951E-2</v>
          </cell>
          <cell r="BB248">
            <v>5.4000000000000048E-2</v>
          </cell>
          <cell r="BC248">
            <v>8.2999999999999963E-2</v>
          </cell>
          <cell r="BD248">
            <v>9.5999999999999974E-2</v>
          </cell>
          <cell r="BE248">
            <v>0.126</v>
          </cell>
          <cell r="BF248">
            <v>8.9781551786127317E-2</v>
          </cell>
          <cell r="BG248">
            <v>6.4000000000000057E-2</v>
          </cell>
          <cell r="BH248">
            <v>8.2999999999999963E-2</v>
          </cell>
          <cell r="BI248">
            <v>9.5999999999999974E-2</v>
          </cell>
          <cell r="BJ248">
            <v>0.126</v>
          </cell>
          <cell r="BK248">
            <v>9.2249999999999999E-2</v>
          </cell>
          <cell r="BL248">
            <v>6.4000000000000057E-2</v>
          </cell>
          <cell r="BM248">
            <v>8.2999999999999963E-2</v>
          </cell>
          <cell r="BN248">
            <v>9.5999999999999974E-2</v>
          </cell>
          <cell r="BO248">
            <v>0.126</v>
          </cell>
          <cell r="BP248">
            <v>9.2250000000000013E-2</v>
          </cell>
          <cell r="BQ248">
            <v>6.4000000000000057E-2</v>
          </cell>
          <cell r="BR248">
            <v>8.2999999999999963E-2</v>
          </cell>
          <cell r="BS248">
            <v>9.5999999999999974E-2</v>
          </cell>
          <cell r="BT248">
            <v>0.126</v>
          </cell>
          <cell r="BU248">
            <v>9.2249999999999999E-2</v>
          </cell>
          <cell r="BV248">
            <v>6.4000000000000057E-2</v>
          </cell>
          <cell r="BW248">
            <v>8.2999999999999963E-2</v>
          </cell>
          <cell r="BX248">
            <v>9.5999999999999974E-2</v>
          </cell>
          <cell r="BY248">
            <v>0.126</v>
          </cell>
          <cell r="BZ248">
            <v>9.2249999999999999E-2</v>
          </cell>
        </row>
        <row r="249">
          <cell r="B249" t="str">
            <v>BULL - Retention rate</v>
          </cell>
          <cell r="BE249">
            <v>0.90400000000000003</v>
          </cell>
          <cell r="BF249">
            <v>0.90400000000000003</v>
          </cell>
          <cell r="BG249">
            <v>0.96099999999999997</v>
          </cell>
          <cell r="BH249">
            <v>0.94200000000000006</v>
          </cell>
          <cell r="BI249">
            <v>0.92900000000000005</v>
          </cell>
          <cell r="BJ249">
            <v>0.89900000000000002</v>
          </cell>
          <cell r="BK249">
            <v>0.93274999999999997</v>
          </cell>
          <cell r="BL249">
            <v>0.96099999999999997</v>
          </cell>
          <cell r="BM249">
            <v>0.94200000000000006</v>
          </cell>
          <cell r="BN249">
            <v>0.92900000000000005</v>
          </cell>
          <cell r="BO249">
            <v>0.89900000000000002</v>
          </cell>
          <cell r="BP249">
            <v>0.93274999999999997</v>
          </cell>
          <cell r="BQ249">
            <v>0.96099999999999997</v>
          </cell>
          <cell r="BR249">
            <v>0.94200000000000006</v>
          </cell>
          <cell r="BS249">
            <v>0.92900000000000005</v>
          </cell>
          <cell r="BT249">
            <v>0.89900000000000002</v>
          </cell>
          <cell r="BU249">
            <v>0.93274999999999997</v>
          </cell>
          <cell r="BV249">
            <v>0.96099999999999997</v>
          </cell>
          <cell r="BW249">
            <v>0.94200000000000006</v>
          </cell>
          <cell r="BX249">
            <v>0.92900000000000005</v>
          </cell>
          <cell r="BY249">
            <v>0.89900000000000002</v>
          </cell>
          <cell r="BZ249">
            <v>0.93274999999999997</v>
          </cell>
        </row>
        <row r="250">
          <cell r="B250" t="str">
            <v>BASE - Retention rate</v>
          </cell>
          <cell r="D250">
            <v>0</v>
          </cell>
          <cell r="E250">
            <v>0</v>
          </cell>
          <cell r="F250">
            <v>0</v>
          </cell>
          <cell r="G250">
            <v>0</v>
          </cell>
          <cell r="H250">
            <v>0</v>
          </cell>
          <cell r="I250">
            <v>0</v>
          </cell>
          <cell r="J250">
            <v>0</v>
          </cell>
          <cell r="K250">
            <v>0</v>
          </cell>
          <cell r="L250">
            <v>0</v>
          </cell>
          <cell r="P250">
            <v>0</v>
          </cell>
          <cell r="Q250">
            <v>0</v>
          </cell>
          <cell r="S250">
            <v>0</v>
          </cell>
          <cell r="T250">
            <v>0</v>
          </cell>
          <cell r="AU250">
            <v>0.89700000000000002</v>
          </cell>
          <cell r="AV250">
            <v>0.91800000000000004</v>
          </cell>
          <cell r="AW250">
            <v>0.92900000000000005</v>
          </cell>
          <cell r="AX250">
            <v>0.93799999999999994</v>
          </cell>
          <cell r="AY250">
            <v>0.95299999999999996</v>
          </cell>
          <cell r="AZ250">
            <v>0.89900000000000002</v>
          </cell>
          <cell r="BA250">
            <v>0.93</v>
          </cell>
          <cell r="BB250">
            <v>0.94599999999999995</v>
          </cell>
          <cell r="BC250">
            <v>0.91700000000000004</v>
          </cell>
          <cell r="BD250">
            <v>0.90400000000000003</v>
          </cell>
          <cell r="BE250">
            <v>0.874</v>
          </cell>
          <cell r="BF250">
            <v>0.91</v>
          </cell>
          <cell r="BG250">
            <v>0.93599999999999994</v>
          </cell>
          <cell r="BH250">
            <v>0.91700000000000004</v>
          </cell>
          <cell r="BI250">
            <v>0.90400000000000003</v>
          </cell>
          <cell r="BJ250">
            <v>0.874</v>
          </cell>
          <cell r="BK250">
            <v>0.90775000000000006</v>
          </cell>
          <cell r="BL250">
            <v>0.93599999999999994</v>
          </cell>
          <cell r="BM250">
            <v>0.91700000000000004</v>
          </cell>
          <cell r="BN250">
            <v>0.90400000000000003</v>
          </cell>
          <cell r="BO250">
            <v>0.874</v>
          </cell>
          <cell r="BP250">
            <v>0.90775000000000006</v>
          </cell>
          <cell r="BQ250">
            <v>0.93599999999999994</v>
          </cell>
          <cell r="BR250">
            <v>0.91700000000000004</v>
          </cell>
          <cell r="BS250">
            <v>0.90400000000000003</v>
          </cell>
          <cell r="BT250">
            <v>0.874</v>
          </cell>
          <cell r="BU250">
            <v>0.90775000000000006</v>
          </cell>
          <cell r="BV250">
            <v>0.93599999999999994</v>
          </cell>
          <cell r="BW250">
            <v>0.91700000000000004</v>
          </cell>
          <cell r="BX250">
            <v>0.90400000000000003</v>
          </cell>
          <cell r="BY250">
            <v>0.874</v>
          </cell>
          <cell r="BZ250">
            <v>0.90775000000000006</v>
          </cell>
        </row>
        <row r="251">
          <cell r="B251" t="str">
            <v>BEAR - Retention rate</v>
          </cell>
          <cell r="BE251">
            <v>0.85899999999999999</v>
          </cell>
          <cell r="BF251">
            <v>0.85899999999999999</v>
          </cell>
          <cell r="BG251">
            <v>0.91599999999999993</v>
          </cell>
          <cell r="BH251">
            <v>0.89700000000000002</v>
          </cell>
          <cell r="BI251">
            <v>0.88400000000000001</v>
          </cell>
          <cell r="BJ251">
            <v>0.85399999999999998</v>
          </cell>
          <cell r="BK251">
            <v>0.88775000000000004</v>
          </cell>
          <cell r="BL251">
            <v>0.91599999999999993</v>
          </cell>
          <cell r="BM251">
            <v>0.89700000000000002</v>
          </cell>
          <cell r="BN251">
            <v>0.88400000000000001</v>
          </cell>
          <cell r="BO251">
            <v>0.85399999999999998</v>
          </cell>
          <cell r="BP251">
            <v>0.88775000000000004</v>
          </cell>
          <cell r="BQ251">
            <v>0.91599999999999993</v>
          </cell>
          <cell r="BR251">
            <v>0.89700000000000002</v>
          </cell>
          <cell r="BS251">
            <v>0.88400000000000001</v>
          </cell>
          <cell r="BT251">
            <v>0.85399999999999998</v>
          </cell>
          <cell r="BU251">
            <v>0.88775000000000004</v>
          </cell>
          <cell r="BV251">
            <v>0.91599999999999993</v>
          </cell>
          <cell r="BW251">
            <v>0.89700000000000002</v>
          </cell>
          <cell r="BX251">
            <v>0.88400000000000001</v>
          </cell>
          <cell r="BY251">
            <v>0.85399999999999998</v>
          </cell>
          <cell r="BZ251">
            <v>0.88775000000000004</v>
          </cell>
        </row>
        <row r="252">
          <cell r="B252" t="str">
            <v>Cancellation rate (as % of beginning of qtr run rate)</v>
          </cell>
          <cell r="AM252">
            <v>9.8786093757935928E-2</v>
          </cell>
          <cell r="AN252">
            <v>9.2160906400436948E-2</v>
          </cell>
          <cell r="AO252">
            <v>8.930090877140133E-2</v>
          </cell>
          <cell r="AP252">
            <v>0.12957378357802618</v>
          </cell>
          <cell r="AQ252">
            <v>0.10370167860226523</v>
          </cell>
          <cell r="AR252">
            <v>9.3630656711869542E-2</v>
          </cell>
          <cell r="AS252">
            <v>7.4762921815806169E-2</v>
          </cell>
          <cell r="AT252">
            <v>5.7302229004698349E-2</v>
          </cell>
          <cell r="AU252">
            <v>9.9616872242902096E-2</v>
          </cell>
          <cell r="AV252">
            <v>8.4489791253999705E-2</v>
          </cell>
          <cell r="AW252">
            <v>7.3530186480761872E-2</v>
          </cell>
          <cell r="AX252">
            <v>6.211355016664754E-2</v>
          </cell>
          <cell r="AY252">
            <v>4.6742539953412217E-2</v>
          </cell>
          <cell r="AZ252">
            <v>9.8462367865184725E-2</v>
          </cell>
          <cell r="BA252">
            <v>6.9367046784955838E-2</v>
          </cell>
          <cell r="BB252">
            <v>5.4146027558505144E-2</v>
          </cell>
          <cell r="BC252">
            <v>8.0666809835713518E-2</v>
          </cell>
          <cell r="BD252">
            <v>9.379551153292863E-2</v>
          </cell>
          <cell r="BE252">
            <v>0.12158568102882233</v>
          </cell>
          <cell r="BF252">
            <v>8.9781551786127317E-2</v>
          </cell>
          <cell r="BG252">
            <v>6.4000000000000057E-2</v>
          </cell>
          <cell r="BH252">
            <v>8.1911816735726062E-2</v>
          </cell>
          <cell r="BI252">
            <v>9.4214202296472968E-2</v>
          </cell>
          <cell r="BJ252">
            <v>0.12279848973213259</v>
          </cell>
          <cell r="BK252">
            <v>9.2249999999999999E-2</v>
          </cell>
          <cell r="BL252">
            <v>6.4000000000000057E-2</v>
          </cell>
          <cell r="BM252">
            <v>8.1840514313266624E-2</v>
          </cell>
          <cell r="BN252">
            <v>9.4059191171645004E-2</v>
          </cell>
          <cell r="BO252">
            <v>0.1224860543846711</v>
          </cell>
          <cell r="BP252">
            <v>9.2250000000000013E-2</v>
          </cell>
          <cell r="BQ252">
            <v>6.4000000000000057E-2</v>
          </cell>
          <cell r="BR252">
            <v>8.1776670379059363E-2</v>
          </cell>
          <cell r="BS252">
            <v>9.3920598637686162E-2</v>
          </cell>
          <cell r="BT252">
            <v>0.12220718786417704</v>
          </cell>
          <cell r="BU252">
            <v>9.2249999999999999E-2</v>
          </cell>
          <cell r="BV252">
            <v>6.4000000000000057E-2</v>
          </cell>
          <cell r="BW252">
            <v>8.1719903862023685E-2</v>
          </cell>
          <cell r="BX252">
            <v>9.3797531212846244E-2</v>
          </cell>
          <cell r="BY252">
            <v>0.12195993574092238</v>
          </cell>
          <cell r="BZ252">
            <v>9.2249999999999999E-2</v>
          </cell>
        </row>
        <row r="254">
          <cell r="B254" t="str">
            <v>Subtotal</v>
          </cell>
          <cell r="AM254">
            <v>94.406906249999992</v>
          </cell>
          <cell r="AN254">
            <v>95.6604375</v>
          </cell>
          <cell r="AO254">
            <v>97.233593750000011</v>
          </cell>
          <cell r="AP254">
            <v>99.148812499999991</v>
          </cell>
          <cell r="AQ254">
            <v>386.44974999999999</v>
          </cell>
          <cell r="AR254">
            <v>98.032437499999986</v>
          </cell>
          <cell r="AS254">
            <v>99.936656249999999</v>
          </cell>
          <cell r="AT254">
            <v>101.63568750000002</v>
          </cell>
          <cell r="AU254">
            <v>102.07690624999999</v>
          </cell>
          <cell r="AV254">
            <v>401.68168749999995</v>
          </cell>
          <cell r="AW254">
            <v>100.93446874999999</v>
          </cell>
          <cell r="AX254">
            <v>104.631625</v>
          </cell>
          <cell r="AY254">
            <v>105.30828125000001</v>
          </cell>
          <cell r="AZ254">
            <v>106.25563354687499</v>
          </cell>
          <cell r="BA254">
            <v>417.13000854687499</v>
          </cell>
          <cell r="BB254">
            <v>107.7985625</v>
          </cell>
          <cell r="BC254">
            <v>109.45496875000001</v>
          </cell>
          <cell r="BD254">
            <v>110.88043749999999</v>
          </cell>
          <cell r="BE254">
            <v>112.03193749999998</v>
          </cell>
          <cell r="BF254">
            <v>440.16590624999998</v>
          </cell>
          <cell r="BG254">
            <v>112.82473537499999</v>
          </cell>
          <cell r="BH254">
            <v>113.49777238281251</v>
          </cell>
          <cell r="BI254">
            <v>114.1856374609375</v>
          </cell>
          <cell r="BJ254">
            <v>115.07472999218749</v>
          </cell>
          <cell r="BK254">
            <v>455.58287521093746</v>
          </cell>
          <cell r="BL254">
            <v>116.18672914243749</v>
          </cell>
          <cell r="BM254">
            <v>117.33368738940428</v>
          </cell>
          <cell r="BN254">
            <v>118.51304680352538</v>
          </cell>
          <cell r="BO254">
            <v>119.73641870337694</v>
          </cell>
          <cell r="BP254">
            <v>471.76988203874413</v>
          </cell>
          <cell r="BQ254">
            <v>121.00712225426481</v>
          </cell>
          <cell r="BR254">
            <v>122.31373417124581</v>
          </cell>
          <cell r="BS254">
            <v>123.65319140331657</v>
          </cell>
          <cell r="BT254">
            <v>125.03747990966697</v>
          </cell>
          <cell r="BU254">
            <v>492.01152773849412</v>
          </cell>
          <cell r="BV254">
            <v>126.47053742279127</v>
          </cell>
          <cell r="BW254">
            <v>127.94065719850842</v>
          </cell>
          <cell r="BX254">
            <v>129.44426578549619</v>
          </cell>
          <cell r="BY254">
            <v>130.99379042789414</v>
          </cell>
          <cell r="BZ254">
            <v>514.84925083469</v>
          </cell>
        </row>
        <row r="255">
          <cell r="B255" t="str">
            <v>Adjustments (FX, Other)</v>
          </cell>
          <cell r="AM255">
            <v>2.4930937500000141</v>
          </cell>
          <cell r="AN255">
            <v>-0.3604375000000033</v>
          </cell>
          <cell r="AO255">
            <v>1.1664062499999943</v>
          </cell>
          <cell r="AP255">
            <v>3.9511875000000032</v>
          </cell>
          <cell r="AQ255">
            <v>7.2502500000000083</v>
          </cell>
          <cell r="AR255">
            <v>2.4675625000000139</v>
          </cell>
          <cell r="AS255">
            <v>3.0633437500000014</v>
          </cell>
          <cell r="AT255">
            <v>0.56431249999998556</v>
          </cell>
          <cell r="AU255">
            <v>2.023093750000001</v>
          </cell>
          <cell r="AV255">
            <v>8.1183125000000018</v>
          </cell>
          <cell r="AW255">
            <v>4.4655312500000122</v>
          </cell>
          <cell r="AX255">
            <v>1.768375000000006</v>
          </cell>
          <cell r="AY255">
            <v>1.7567187499999903</v>
          </cell>
          <cell r="AZ255">
            <v>1.5993664531250147</v>
          </cell>
          <cell r="BA255">
            <v>9.5899914531250232</v>
          </cell>
          <cell r="BB255">
            <v>0.83143749999999272</v>
          </cell>
          <cell r="BC255">
            <v>0.99703124999999204</v>
          </cell>
          <cell r="BD255">
            <v>-1.3264374999999831</v>
          </cell>
          <cell r="BE255">
            <v>-0.80393749999998931</v>
          </cell>
          <cell r="BF255">
            <v>-0.30190624999998761</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row>
        <row r="256">
          <cell r="B256" t="str">
            <v>Analytics Subscription revenue</v>
          </cell>
          <cell r="AM256">
            <v>96.9</v>
          </cell>
          <cell r="AN256">
            <v>95.3</v>
          </cell>
          <cell r="AO256">
            <v>98.4</v>
          </cell>
          <cell r="AP256">
            <v>103.1</v>
          </cell>
          <cell r="AQ256">
            <v>393.70000000000005</v>
          </cell>
          <cell r="AR256">
            <v>100.5</v>
          </cell>
          <cell r="AS256">
            <v>103</v>
          </cell>
          <cell r="AT256">
            <v>102.2</v>
          </cell>
          <cell r="AU256">
            <v>104.1</v>
          </cell>
          <cell r="AV256">
            <v>409.79999999999995</v>
          </cell>
          <cell r="AW256">
            <v>105.4</v>
          </cell>
          <cell r="AX256">
            <v>106.4</v>
          </cell>
          <cell r="AY256">
            <v>107.065</v>
          </cell>
          <cell r="AZ256">
            <v>107.855</v>
          </cell>
          <cell r="BA256">
            <v>426.72</v>
          </cell>
          <cell r="BB256">
            <v>108.63</v>
          </cell>
          <cell r="BC256">
            <v>110.452</v>
          </cell>
          <cell r="BD256">
            <v>109.554</v>
          </cell>
          <cell r="BE256">
            <v>111.22799999999999</v>
          </cell>
          <cell r="BF256">
            <v>439.86399999999998</v>
          </cell>
          <cell r="BG256">
            <v>112.82473537499999</v>
          </cell>
          <cell r="BH256">
            <v>113.49777238281251</v>
          </cell>
          <cell r="BI256">
            <v>114.1856374609375</v>
          </cell>
          <cell r="BJ256">
            <v>115.07472999218749</v>
          </cell>
          <cell r="BK256">
            <v>455.58287521093746</v>
          </cell>
          <cell r="BL256">
            <v>116.18672914243749</v>
          </cell>
          <cell r="BM256">
            <v>117.33368738940428</v>
          </cell>
          <cell r="BN256">
            <v>118.51304680352538</v>
          </cell>
          <cell r="BO256">
            <v>119.73641870337694</v>
          </cell>
          <cell r="BP256">
            <v>471.76988203874413</v>
          </cell>
          <cell r="BQ256">
            <v>121.00712225426481</v>
          </cell>
          <cell r="BR256">
            <v>122.31373417124581</v>
          </cell>
          <cell r="BS256">
            <v>123.65319140331657</v>
          </cell>
          <cell r="BT256">
            <v>125.03747990966697</v>
          </cell>
          <cell r="BU256">
            <v>492.01152773849412</v>
          </cell>
          <cell r="BV256">
            <v>126.47053742279127</v>
          </cell>
          <cell r="BW256">
            <v>127.94065719850842</v>
          </cell>
          <cell r="BX256">
            <v>129.44426578549619</v>
          </cell>
          <cell r="BY256">
            <v>130.99379042789414</v>
          </cell>
          <cell r="BZ256">
            <v>514.84925083469</v>
          </cell>
        </row>
        <row r="258">
          <cell r="B258" t="str">
            <v>Analytics non-recurring revenue</v>
          </cell>
          <cell r="AM258">
            <v>1.1660000000000039</v>
          </cell>
          <cell r="AN258">
            <v>0.95300000000000296</v>
          </cell>
          <cell r="AO258">
            <v>0.59199999999999875</v>
          </cell>
          <cell r="AP258">
            <v>0.79300000000000281</v>
          </cell>
          <cell r="AQ258">
            <v>3.5040000000000084</v>
          </cell>
          <cell r="AR258">
            <v>1</v>
          </cell>
          <cell r="AS258">
            <v>1</v>
          </cell>
          <cell r="AT258">
            <v>1</v>
          </cell>
          <cell r="AU258">
            <v>1.4</v>
          </cell>
          <cell r="AV258">
            <v>4.3849999999999838</v>
          </cell>
          <cell r="AW258">
            <v>1.4</v>
          </cell>
          <cell r="AX258">
            <v>1.2</v>
          </cell>
          <cell r="AY258">
            <v>1.276</v>
          </cell>
          <cell r="AZ258">
            <v>2.8130000000000002</v>
          </cell>
          <cell r="BA258">
            <v>6.6890000000000001</v>
          </cell>
          <cell r="BB258">
            <v>1.633</v>
          </cell>
          <cell r="BC258">
            <v>1.9410000000000001</v>
          </cell>
          <cell r="BD258">
            <v>1.7370000000000001</v>
          </cell>
          <cell r="BE258">
            <v>3.1779999999999999</v>
          </cell>
          <cell r="BF258">
            <v>8.4890000000000008</v>
          </cell>
          <cell r="BG258">
            <v>1.633</v>
          </cell>
          <cell r="BH258">
            <v>1.9410000000000001</v>
          </cell>
          <cell r="BI258">
            <v>1.7370000000000001</v>
          </cell>
          <cell r="BJ258">
            <v>3.1779999999999999</v>
          </cell>
          <cell r="BK258">
            <v>8.4890000000000008</v>
          </cell>
          <cell r="BL258">
            <v>1.633</v>
          </cell>
          <cell r="BM258">
            <v>1.9410000000000001</v>
          </cell>
          <cell r="BN258">
            <v>1.7370000000000001</v>
          </cell>
          <cell r="BO258">
            <v>3.1779999999999999</v>
          </cell>
          <cell r="BP258">
            <v>8.4890000000000008</v>
          </cell>
          <cell r="BQ258">
            <v>1.633</v>
          </cell>
          <cell r="BR258">
            <v>1.9410000000000001</v>
          </cell>
          <cell r="BS258">
            <v>1.7370000000000001</v>
          </cell>
          <cell r="BT258">
            <v>3.1779999999999999</v>
          </cell>
          <cell r="BU258">
            <v>8.4890000000000008</v>
          </cell>
          <cell r="BV258">
            <v>1.633</v>
          </cell>
          <cell r="BW258">
            <v>1.9410000000000001</v>
          </cell>
          <cell r="BX258">
            <v>1.7370000000000001</v>
          </cell>
          <cell r="BY258">
            <v>3.1779999999999999</v>
          </cell>
          <cell r="BZ258">
            <v>8.4890000000000008</v>
          </cell>
        </row>
        <row r="260">
          <cell r="B260" t="str">
            <v>Analytics revenue</v>
          </cell>
          <cell r="AM260">
            <v>98.066000000000003</v>
          </cell>
          <cell r="AN260">
            <v>96.253</v>
          </cell>
          <cell r="AO260">
            <v>98.992000000000004</v>
          </cell>
          <cell r="AP260">
            <v>103.893</v>
          </cell>
          <cell r="AQ260">
            <v>397.20400000000006</v>
          </cell>
          <cell r="AR260">
            <v>101.5</v>
          </cell>
          <cell r="AS260">
            <v>104</v>
          </cell>
          <cell r="AT260">
            <v>103.2</v>
          </cell>
          <cell r="AU260">
            <v>105.5</v>
          </cell>
          <cell r="AV260">
            <v>414.18499999999995</v>
          </cell>
          <cell r="AW260">
            <v>106.80000000000001</v>
          </cell>
          <cell r="AX260">
            <v>107.60000000000001</v>
          </cell>
          <cell r="AY260">
            <v>108.34099999999999</v>
          </cell>
          <cell r="AZ260">
            <v>110.66800000000001</v>
          </cell>
          <cell r="BA260">
            <v>433.40900000000005</v>
          </cell>
          <cell r="BB260">
            <v>110.26299999999999</v>
          </cell>
          <cell r="BC260">
            <v>112.393</v>
          </cell>
          <cell r="BD260">
            <v>111.291</v>
          </cell>
          <cell r="BE260">
            <v>114.40599999999999</v>
          </cell>
          <cell r="BF260">
            <v>448.35299999999995</v>
          </cell>
          <cell r="BG260">
            <v>114.45773537499998</v>
          </cell>
          <cell r="BH260">
            <v>115.43877238281252</v>
          </cell>
          <cell r="BI260">
            <v>115.92263746093749</v>
          </cell>
          <cell r="BJ260">
            <v>118.25272999218748</v>
          </cell>
          <cell r="BK260">
            <v>464.07187521093743</v>
          </cell>
          <cell r="BL260">
            <v>117.81972914243748</v>
          </cell>
          <cell r="BM260">
            <v>119.27468738940428</v>
          </cell>
          <cell r="BN260">
            <v>120.25004680352538</v>
          </cell>
          <cell r="BO260">
            <v>122.91441870337694</v>
          </cell>
          <cell r="BP260">
            <v>480.2588820387441</v>
          </cell>
          <cell r="BQ260">
            <v>122.64012225426481</v>
          </cell>
          <cell r="BR260">
            <v>124.25473417124581</v>
          </cell>
          <cell r="BS260">
            <v>125.39019140331656</v>
          </cell>
          <cell r="BT260">
            <v>128.21547990966698</v>
          </cell>
          <cell r="BU260">
            <v>500.5005277384941</v>
          </cell>
          <cell r="BV260">
            <v>128.10353742279128</v>
          </cell>
          <cell r="BW260">
            <v>129.88165719850841</v>
          </cell>
          <cell r="BX260">
            <v>131.18126578549618</v>
          </cell>
          <cell r="BY260">
            <v>134.17179042789414</v>
          </cell>
          <cell r="BZ260">
            <v>523.33825083469003</v>
          </cell>
        </row>
        <row r="261">
          <cell r="B261" t="str">
            <v>Y/Y Growth</v>
          </cell>
          <cell r="AR261">
            <v>3.5017233291864569E-2</v>
          </cell>
          <cell r="AS261">
            <v>8.0485803039905157E-2</v>
          </cell>
          <cell r="AT261">
            <v>4.2508485534184626E-2</v>
          </cell>
          <cell r="AU261">
            <v>1.5467837101633464E-2</v>
          </cell>
          <cell r="AV261">
            <v>4.2751331809347093E-2</v>
          </cell>
          <cell r="AW261">
            <v>5.2216748768473042E-2</v>
          </cell>
          <cell r="AX261">
            <v>3.4615384615384714E-2</v>
          </cell>
          <cell r="AY261">
            <v>4.9815891472868135E-2</v>
          </cell>
          <cell r="AZ261">
            <v>4.8985781990521282E-2</v>
          </cell>
          <cell r="BA261">
            <v>4.6414042034356839E-2</v>
          </cell>
          <cell r="BB261">
            <v>3.2425093632958646E-2</v>
          </cell>
          <cell r="BC261">
            <v>4.4544609665427393E-2</v>
          </cell>
          <cell r="BD261">
            <v>2.7228842266547426E-2</v>
          </cell>
          <cell r="BE261">
            <v>3.3776701485524141E-2</v>
          </cell>
          <cell r="BF261">
            <v>3.4480133084453524E-2</v>
          </cell>
          <cell r="BG261">
            <v>3.8043000598568799E-2</v>
          </cell>
          <cell r="BH261">
            <v>2.7099306743413765E-2</v>
          </cell>
          <cell r="BI261">
            <v>4.1617358644791658E-2</v>
          </cell>
          <cell r="BJ261">
            <v>3.3623498699259624E-2</v>
          </cell>
          <cell r="BK261">
            <v>3.5059150292152674E-2</v>
          </cell>
          <cell r="BL261">
            <v>2.9373233328638948E-2</v>
          </cell>
          <cell r="BM261">
            <v>3.3229000338562908E-2</v>
          </cell>
          <cell r="BN261">
            <v>3.7330149118165901E-2</v>
          </cell>
          <cell r="BO261">
            <v>3.9421404575585184E-2</v>
          </cell>
          <cell r="BP261">
            <v>3.4880387484048869E-2</v>
          </cell>
          <cell r="BQ261">
            <v>4.091329310390579E-2</v>
          </cell>
          <cell r="BR261">
            <v>4.1752754845483908E-2</v>
          </cell>
          <cell r="BS261">
            <v>4.2745468600021264E-2</v>
          </cell>
          <cell r="BT261">
            <v>4.3128066358779416E-2</v>
          </cell>
          <cell r="BU261">
            <v>4.2147363550721462E-2</v>
          </cell>
          <cell r="BV261">
            <v>4.4548350638458967E-2</v>
          </cell>
          <cell r="BW261">
            <v>4.5285381396475977E-2</v>
          </cell>
          <cell r="BX261">
            <v>4.6184428920382326E-2</v>
          </cell>
          <cell r="BY261">
            <v>4.6455471074347887E-2</v>
          </cell>
          <cell r="BZ261">
            <v>4.5629768262958503E-2</v>
          </cell>
        </row>
        <row r="265">
          <cell r="C265">
            <v>2006</v>
          </cell>
          <cell r="D265" t="str">
            <v>1Q07</v>
          </cell>
          <cell r="E265" t="str">
            <v>2Q07</v>
          </cell>
          <cell r="F265" t="str">
            <v>3Q07</v>
          </cell>
          <cell r="G265" t="str">
            <v>4Q07</v>
          </cell>
          <cell r="H265">
            <v>2007</v>
          </cell>
          <cell r="I265" t="str">
            <v>1Q08</v>
          </cell>
          <cell r="J265" t="str">
            <v>2Q08</v>
          </cell>
          <cell r="K265" t="str">
            <v>3Q08</v>
          </cell>
          <cell r="L265" t="str">
            <v>4Q08</v>
          </cell>
          <cell r="P265" t="str">
            <v>3Q09</v>
          </cell>
          <cell r="Q265" t="str">
            <v>4Q09</v>
          </cell>
          <cell r="R265">
            <v>2009</v>
          </cell>
          <cell r="S265" t="str">
            <v>1Q10</v>
          </cell>
          <cell r="T265" t="str">
            <v>2Q10</v>
          </cell>
          <cell r="U265" t="str">
            <v>3Q10</v>
          </cell>
          <cell r="V265" t="str">
            <v>4Q10</v>
          </cell>
          <cell r="W265">
            <v>2010</v>
          </cell>
          <cell r="X265" t="str">
            <v>1Q11</v>
          </cell>
          <cell r="Y265" t="str">
            <v>2Q11</v>
          </cell>
          <cell r="Z265" t="str">
            <v>3Q11</v>
          </cell>
          <cell r="AA265" t="str">
            <v>4Q11</v>
          </cell>
          <cell r="AB265">
            <v>2011</v>
          </cell>
          <cell r="AC265" t="str">
            <v>1Q12</v>
          </cell>
          <cell r="AD265" t="str">
            <v>2Q12</v>
          </cell>
          <cell r="AE265" t="str">
            <v>3Q12</v>
          </cell>
          <cell r="AF265" t="str">
            <v>4Q12</v>
          </cell>
          <cell r="AG265">
            <v>2012</v>
          </cell>
          <cell r="AH265" t="str">
            <v>1Q13</v>
          </cell>
          <cell r="AI265" t="str">
            <v>2Q13</v>
          </cell>
          <cell r="AJ265" t="str">
            <v>3Q13</v>
          </cell>
          <cell r="AK265" t="str">
            <v>4Q13</v>
          </cell>
          <cell r="AL265">
            <v>2013</v>
          </cell>
          <cell r="AM265" t="str">
            <v>1Q13R</v>
          </cell>
          <cell r="AN265" t="str">
            <v>2Q13R</v>
          </cell>
          <cell r="AO265" t="str">
            <v>3Q13R</v>
          </cell>
          <cell r="AP265" t="str">
            <v>4Q13R</v>
          </cell>
          <cell r="AQ265" t="str">
            <v>2013R</v>
          </cell>
          <cell r="AR265" t="str">
            <v>1Q14</v>
          </cell>
          <cell r="AS265" t="str">
            <v>2Q14</v>
          </cell>
          <cell r="AT265" t="str">
            <v>3Q14</v>
          </cell>
          <cell r="AU265" t="str">
            <v>4Q14</v>
          </cell>
          <cell r="AV265">
            <v>2014</v>
          </cell>
          <cell r="AW265" t="str">
            <v>1Q15</v>
          </cell>
          <cell r="AX265" t="str">
            <v>2Q15</v>
          </cell>
          <cell r="AY265" t="str">
            <v>3Q15</v>
          </cell>
          <cell r="AZ265" t="str">
            <v>4Q15</v>
          </cell>
          <cell r="BA265">
            <v>2015</v>
          </cell>
          <cell r="BB265" t="str">
            <v>1Q16</v>
          </cell>
          <cell r="BC265" t="str">
            <v>2Q16</v>
          </cell>
          <cell r="BD265" t="str">
            <v>3Q16</v>
          </cell>
          <cell r="BE265" t="str">
            <v>4Q16</v>
          </cell>
          <cell r="BF265" t="str">
            <v>2016E</v>
          </cell>
          <cell r="BG265" t="str">
            <v>1Q17E</v>
          </cell>
          <cell r="BH265" t="str">
            <v>2Q17E</v>
          </cell>
          <cell r="BI265" t="str">
            <v>3Q17E</v>
          </cell>
          <cell r="BJ265" t="str">
            <v>4Q17E</v>
          </cell>
          <cell r="BK265" t="str">
            <v>2017E</v>
          </cell>
          <cell r="BL265" t="str">
            <v>1Q18E</v>
          </cell>
          <cell r="BM265" t="str">
            <v>2Q18E</v>
          </cell>
          <cell r="BN265" t="str">
            <v>3Q18E</v>
          </cell>
          <cell r="BO265" t="str">
            <v>4Q18E</v>
          </cell>
          <cell r="BP265" t="str">
            <v>2018E</v>
          </cell>
          <cell r="BQ265" t="str">
            <v>1Q19E</v>
          </cell>
          <cell r="BR265" t="str">
            <v>2Q19E</v>
          </cell>
          <cell r="BS265" t="str">
            <v>3Q19E</v>
          </cell>
          <cell r="BT265" t="str">
            <v>4Q19E</v>
          </cell>
          <cell r="BU265" t="str">
            <v>2019E</v>
          </cell>
          <cell r="BV265" t="str">
            <v>1Q20E</v>
          </cell>
          <cell r="BW265" t="str">
            <v>2Q20E</v>
          </cell>
          <cell r="BX265" t="str">
            <v>3Q20E</v>
          </cell>
          <cell r="BY265" t="str">
            <v>4Q20E</v>
          </cell>
          <cell r="BZ265" t="str">
            <v>2020E</v>
          </cell>
        </row>
        <row r="266">
          <cell r="A266" t="str">
            <v>Other</v>
          </cell>
        </row>
        <row r="268">
          <cell r="C268">
            <v>26.313200119258827</v>
          </cell>
          <cell r="D268">
            <v>15.896000000000001</v>
          </cell>
          <cell r="E268">
            <v>15.913</v>
          </cell>
          <cell r="F268">
            <v>17.053000000000001</v>
          </cell>
          <cell r="G268">
            <v>17.957999999999998</v>
          </cell>
          <cell r="H268">
            <v>17.957999999999998</v>
          </cell>
          <cell r="I268">
            <v>18.63</v>
          </cell>
          <cell r="J268">
            <v>19.315000000000001</v>
          </cell>
          <cell r="K268">
            <v>19.242999999999999</v>
          </cell>
          <cell r="L268">
            <v>19.699000000000002</v>
          </cell>
          <cell r="P268">
            <v>14.706</v>
          </cell>
          <cell r="Q268">
            <v>15.365</v>
          </cell>
          <cell r="R268">
            <v>15.365</v>
          </cell>
          <cell r="S268">
            <v>15.452999999999999</v>
          </cell>
          <cell r="T268">
            <v>15.343999999999999</v>
          </cell>
          <cell r="U268">
            <v>15.17</v>
          </cell>
          <cell r="V268">
            <v>15.288</v>
          </cell>
          <cell r="W268">
            <v>15.288</v>
          </cell>
          <cell r="X268">
            <v>15.047000000000001</v>
          </cell>
          <cell r="Y268">
            <v>15.074</v>
          </cell>
          <cell r="Z268">
            <v>15.343</v>
          </cell>
          <cell r="AA268">
            <v>14.928000000000001</v>
          </cell>
          <cell r="AB268">
            <v>14.928000000000001</v>
          </cell>
          <cell r="AC268">
            <v>14.926</v>
          </cell>
          <cell r="AD268">
            <v>14.839</v>
          </cell>
          <cell r="AE268">
            <v>14.04</v>
          </cell>
          <cell r="AF268">
            <v>13.128</v>
          </cell>
          <cell r="AG268">
            <v>13.128</v>
          </cell>
          <cell r="AH268">
            <v>13.03</v>
          </cell>
          <cell r="AI268">
            <v>12.794</v>
          </cell>
          <cell r="AJ268">
            <v>12.493</v>
          </cell>
          <cell r="AK268">
            <v>11.302</v>
          </cell>
          <cell r="AL268">
            <v>11.302</v>
          </cell>
        </row>
        <row r="270">
          <cell r="I270">
            <v>0.49675000000000002</v>
          </cell>
          <cell r="J270">
            <v>0.49728125000000001</v>
          </cell>
          <cell r="K270">
            <v>0.53290625000000003</v>
          </cell>
          <cell r="L270">
            <v>0.56118749999999995</v>
          </cell>
          <cell r="U270">
            <v>0.45956249999999998</v>
          </cell>
          <cell r="V270">
            <v>0.48015625000000001</v>
          </cell>
          <cell r="W270">
            <v>0.93971874999999994</v>
          </cell>
          <cell r="X270">
            <v>0.48290624999999998</v>
          </cell>
          <cell r="Y270">
            <v>0.47949999999999998</v>
          </cell>
          <cell r="Z270">
            <v>0.4740625</v>
          </cell>
          <cell r="AA270">
            <v>0.47775000000000001</v>
          </cell>
          <cell r="AB270">
            <v>1.9142187499999999</v>
          </cell>
          <cell r="AC270">
            <v>0.47021875000000002</v>
          </cell>
          <cell r="AD270">
            <v>0.4710625</v>
          </cell>
          <cell r="AE270">
            <v>0.47946875</v>
          </cell>
          <cell r="AF270">
            <v>0.46650000000000003</v>
          </cell>
          <cell r="AG270">
            <v>1.8872499999999999</v>
          </cell>
          <cell r="AH270">
            <v>0.4664375</v>
          </cell>
          <cell r="AI270">
            <v>0.46371875000000001</v>
          </cell>
          <cell r="AJ270">
            <v>0.43874999999999997</v>
          </cell>
          <cell r="AK270">
            <v>0.41025</v>
          </cell>
          <cell r="AL270">
            <v>1.77915625</v>
          </cell>
        </row>
        <row r="271">
          <cell r="I271">
            <v>0.99456250000000002</v>
          </cell>
          <cell r="J271">
            <v>1.0658125000000001</v>
          </cell>
          <cell r="K271">
            <v>1.1223749999999999</v>
          </cell>
          <cell r="L271">
            <v>1.1643749999999999</v>
          </cell>
          <cell r="U271">
            <v>0.96031250000000001</v>
          </cell>
          <cell r="V271">
            <v>0.96581249999999996</v>
          </cell>
          <cell r="W271">
            <v>1.9261249999999999</v>
          </cell>
          <cell r="X271">
            <v>0.95899999999999996</v>
          </cell>
          <cell r="Y271">
            <v>0.948125</v>
          </cell>
          <cell r="Z271">
            <v>0.95550000000000002</v>
          </cell>
          <cell r="AA271">
            <v>0.95550000000000002</v>
          </cell>
          <cell r="AB271">
            <v>3.8181250000000002</v>
          </cell>
          <cell r="AC271">
            <v>0.94212499999999999</v>
          </cell>
          <cell r="AD271">
            <v>0.9589375</v>
          </cell>
          <cell r="AE271">
            <v>0.93300000000000005</v>
          </cell>
          <cell r="AF271">
            <v>0.93287500000000001</v>
          </cell>
          <cell r="AG271">
            <v>3.7669375</v>
          </cell>
          <cell r="AH271">
            <v>0.92743750000000003</v>
          </cell>
          <cell r="AI271">
            <v>0.87749999999999995</v>
          </cell>
          <cell r="AJ271">
            <v>0.82050000000000001</v>
          </cell>
          <cell r="AK271">
            <v>0.81437499999999996</v>
          </cell>
          <cell r="AL271">
            <v>3.4398124999999999</v>
          </cell>
        </row>
        <row r="272">
          <cell r="B272" t="str">
            <v>Subtotal</v>
          </cell>
          <cell r="I272">
            <v>1.0658125000000001</v>
          </cell>
          <cell r="J272">
            <v>1.1223749999999999</v>
          </cell>
          <cell r="K272">
            <v>1.1643749999999999</v>
          </cell>
          <cell r="L272">
            <v>1.2071875000000001</v>
          </cell>
          <cell r="U272">
            <v>0.96581249999999996</v>
          </cell>
          <cell r="V272">
            <v>0.95899999999999996</v>
          </cell>
          <cell r="W272">
            <v>1.9248124999999998</v>
          </cell>
          <cell r="X272">
            <v>0.948125</v>
          </cell>
          <cell r="Y272">
            <v>0.95550000000000002</v>
          </cell>
          <cell r="Z272">
            <v>0.94043750000000004</v>
          </cell>
          <cell r="AA272">
            <v>0.94212499999999999</v>
          </cell>
          <cell r="AB272">
            <v>3.7861874999999996</v>
          </cell>
          <cell r="AC272">
            <v>0.9589375</v>
          </cell>
          <cell r="AD272">
            <v>0.93300000000000005</v>
          </cell>
          <cell r="AE272">
            <v>0.93287500000000001</v>
          </cell>
          <cell r="AF272">
            <v>0.92743750000000003</v>
          </cell>
          <cell r="AG272">
            <v>3.7522500000000001</v>
          </cell>
          <cell r="AH272">
            <v>0.87749999999999995</v>
          </cell>
          <cell r="AI272">
            <v>0.82050000000000001</v>
          </cell>
          <cell r="AJ272">
            <v>0.81437499999999996</v>
          </cell>
          <cell r="AK272">
            <v>0.79962500000000003</v>
          </cell>
          <cell r="AL272">
            <v>3.3120000000000003</v>
          </cell>
        </row>
        <row r="273">
          <cell r="B273" t="str">
            <v>Adjustments (FX, Other)</v>
          </cell>
          <cell r="I273">
            <v>1.1223749999999999</v>
          </cell>
          <cell r="J273">
            <v>1.1643749999999999</v>
          </cell>
          <cell r="K273">
            <v>1.2071875000000001</v>
          </cell>
          <cell r="L273">
            <v>1.2026874999999999</v>
          </cell>
          <cell r="U273">
            <v>0.95899999999999996</v>
          </cell>
          <cell r="V273">
            <v>0.948125</v>
          </cell>
          <cell r="W273">
            <v>1.907125</v>
          </cell>
          <cell r="X273">
            <v>0.95550000000000002</v>
          </cell>
          <cell r="Y273">
            <v>0.94043750000000004</v>
          </cell>
          <cell r="Z273">
            <v>0.94212499999999999</v>
          </cell>
          <cell r="AA273">
            <v>0.9589375</v>
          </cell>
          <cell r="AB273">
            <v>3.7969999999999997</v>
          </cell>
          <cell r="AC273">
            <v>0.93300000000000005</v>
          </cell>
          <cell r="AD273">
            <v>0.93287500000000001</v>
          </cell>
          <cell r="AE273">
            <v>0.92743750000000003</v>
          </cell>
          <cell r="AF273">
            <v>0.87749999999999995</v>
          </cell>
          <cell r="AG273">
            <v>3.6708124999999998</v>
          </cell>
          <cell r="AH273">
            <v>0.82050000000000001</v>
          </cell>
          <cell r="AI273">
            <v>0.81437499999999996</v>
          </cell>
          <cell r="AJ273">
            <v>0.79962500000000003</v>
          </cell>
          <cell r="AK273">
            <v>0.78081250000000002</v>
          </cell>
          <cell r="AL273">
            <v>3.2153125</v>
          </cell>
        </row>
        <row r="274">
          <cell r="B274" t="str">
            <v>RMA Subscription revenue</v>
          </cell>
          <cell r="I274">
            <v>0.58218749999999997</v>
          </cell>
          <cell r="J274">
            <v>0.60359375000000004</v>
          </cell>
          <cell r="K274">
            <v>0.60134374999999995</v>
          </cell>
          <cell r="L274">
            <v>0.61559375000000005</v>
          </cell>
          <cell r="U274">
            <v>0.4740625</v>
          </cell>
          <cell r="V274">
            <v>0.47775000000000001</v>
          </cell>
          <cell r="W274">
            <v>0.95181249999999995</v>
          </cell>
          <cell r="X274">
            <v>0.47021875000000002</v>
          </cell>
          <cell r="Y274">
            <v>0.4710625</v>
          </cell>
          <cell r="Z274">
            <v>0.47946875</v>
          </cell>
          <cell r="AA274">
            <v>0.46650000000000003</v>
          </cell>
          <cell r="AB274">
            <v>1.8872499999999999</v>
          </cell>
          <cell r="AC274">
            <v>0.4664375</v>
          </cell>
          <cell r="AD274">
            <v>0.46371875000000001</v>
          </cell>
          <cell r="AE274">
            <v>0.43874999999999997</v>
          </cell>
          <cell r="AF274">
            <v>0.41025</v>
          </cell>
          <cell r="AG274">
            <v>1.77915625</v>
          </cell>
          <cell r="AH274">
            <v>0.40718749999999998</v>
          </cell>
          <cell r="AI274">
            <v>0.39981250000000002</v>
          </cell>
          <cell r="AJ274">
            <v>0.39040625000000001</v>
          </cell>
          <cell r="AK274">
            <v>0.35318749999999999</v>
          </cell>
          <cell r="AL274">
            <v>1.55059375</v>
          </cell>
        </row>
        <row r="276">
          <cell r="B276" t="str">
            <v>Quarterly new sales</v>
          </cell>
          <cell r="D276">
            <v>-9.0160222129082932</v>
          </cell>
          <cell r="E276">
            <v>0.70114320310072886</v>
          </cell>
          <cell r="F276">
            <v>1.8767696033392478</v>
          </cell>
          <cell r="G276">
            <v>1.8917450044722037</v>
          </cell>
          <cell r="H276">
            <v>-4.5463644019961116</v>
          </cell>
          <cell r="I276">
            <v>1.0446285000000004</v>
          </cell>
          <cell r="J276">
            <v>0.86009050000000242</v>
          </cell>
          <cell r="K276">
            <v>0.41735549999999716</v>
          </cell>
          <cell r="L276">
            <v>1.3179840000000027</v>
          </cell>
          <cell r="Q276">
            <v>1</v>
          </cell>
          <cell r="U276">
            <v>0.1986012500000004</v>
          </cell>
          <cell r="V276">
            <v>0.82497475000000053</v>
          </cell>
          <cell r="W276">
            <v>1.0235760000000009</v>
          </cell>
          <cell r="X276">
            <v>0.64188200000000029</v>
          </cell>
          <cell r="Y276">
            <v>0.45506399999999919</v>
          </cell>
          <cell r="Z276">
            <v>0.67795400000000006</v>
          </cell>
          <cell r="AA276">
            <v>0.54050000000000087</v>
          </cell>
          <cell r="AB276">
            <v>2.3154000000000003</v>
          </cell>
          <cell r="AC276">
            <v>0.36373599999999928</v>
          </cell>
          <cell r="AD276">
            <v>0.45414000000000032</v>
          </cell>
          <cell r="AE276">
            <v>7.4170999999998655E-2</v>
          </cell>
          <cell r="AF276">
            <v>0.55706100000000114</v>
          </cell>
          <cell r="AG276">
            <v>1.4491079999999994</v>
          </cell>
          <cell r="AH276">
            <v>0.22691799999999918</v>
          </cell>
          <cell r="AI276">
            <v>0.22005000000000113</v>
          </cell>
          <cell r="AJ276">
            <v>0.33230299999999968</v>
          </cell>
          <cell r="AK276">
            <v>0.23007874999999922</v>
          </cell>
          <cell r="AL276">
            <v>1.0093497499999993</v>
          </cell>
        </row>
        <row r="277">
          <cell r="B277" t="str">
            <v>y/y change</v>
          </cell>
          <cell r="I277">
            <v>-1.1158635676944539</v>
          </cell>
          <cell r="J277">
            <v>0.22669733685835736</v>
          </cell>
          <cell r="K277">
            <v>-0.77762027941127343</v>
          </cell>
          <cell r="L277">
            <v>-0.30329722193836595</v>
          </cell>
          <cell r="AB277">
            <v>1.2620694506319006</v>
          </cell>
          <cell r="AC277">
            <v>-0.43332886729959852</v>
          </cell>
          <cell r="AD277">
            <v>-2.0304836242789337E-3</v>
          </cell>
          <cell r="AE277">
            <v>-0.8905958221354271</v>
          </cell>
          <cell r="AF277">
            <v>3.0640148011101376E-2</v>
          </cell>
          <cell r="AG277">
            <v>-0.37414356050790398</v>
          </cell>
          <cell r="AH277">
            <v>-0.37614643587657082</v>
          </cell>
          <cell r="AI277">
            <v>-0.51545778834720357</v>
          </cell>
          <cell r="AJ277">
            <v>3.4802281215030906</v>
          </cell>
          <cell r="AK277">
            <v>-0.58697745848300498</v>
          </cell>
          <cell r="AL277">
            <v>-0.30346823701201031</v>
          </cell>
        </row>
        <row r="278">
          <cell r="B278" t="str">
            <v>BULL</v>
          </cell>
        </row>
        <row r="279">
          <cell r="B279" t="str">
            <v>BASE</v>
          </cell>
          <cell r="H279">
            <v>-23.045177718556538</v>
          </cell>
          <cell r="X279">
            <v>0.64188200000000029</v>
          </cell>
          <cell r="Y279">
            <v>0.45506399999999919</v>
          </cell>
          <cell r="Z279">
            <v>0.67795400000000006</v>
          </cell>
          <cell r="AA279">
            <v>0.54050000000000087</v>
          </cell>
          <cell r="AC279">
            <v>0.36373599999999928</v>
          </cell>
          <cell r="AD279">
            <v>0.45414000000000032</v>
          </cell>
          <cell r="AE279">
            <v>7.4170999999998655E-2</v>
          </cell>
          <cell r="AF279">
            <v>0.55706100000000114</v>
          </cell>
          <cell r="AH279">
            <v>0.22691799999999918</v>
          </cell>
          <cell r="AI279">
            <v>0.22005000000000113</v>
          </cell>
          <cell r="AJ279">
            <v>0.33230299999999968</v>
          </cell>
          <cell r="AK279">
            <v>0.23007874999999922</v>
          </cell>
        </row>
        <row r="280">
          <cell r="B280" t="str">
            <v>BEAR</v>
          </cell>
        </row>
        <row r="288">
          <cell r="B288" t="str">
            <v>Quarterly cancellations</v>
          </cell>
          <cell r="D288">
            <v>-1.4011779063505323</v>
          </cell>
          <cell r="E288">
            <v>-0.6841432031007294</v>
          </cell>
          <cell r="F288">
            <v>-0.73676960333924713</v>
          </cell>
          <cell r="G288">
            <v>-0.98674500447220614</v>
          </cell>
          <cell r="H288">
            <v>-3.8088357172627152</v>
          </cell>
          <cell r="I288">
            <v>-0.37262849999999981</v>
          </cell>
          <cell r="J288">
            <v>-0.17509050000000015</v>
          </cell>
          <cell r="K288">
            <v>-0.48935549999999989</v>
          </cell>
          <cell r="L288">
            <v>-0.86198399999999964</v>
          </cell>
          <cell r="U288">
            <v>-0.37260124999999988</v>
          </cell>
          <cell r="V288">
            <v>-0.70697475000000021</v>
          </cell>
          <cell r="W288">
            <v>-1.0795760000000001</v>
          </cell>
          <cell r="X288">
            <v>-0.88288199999999994</v>
          </cell>
          <cell r="Y288">
            <v>-0.42806399999999994</v>
          </cell>
          <cell r="Z288">
            <v>-0.40895399999999993</v>
          </cell>
          <cell r="AA288">
            <v>-0.95550000000000002</v>
          </cell>
          <cell r="AB288">
            <v>-2.6753999999999998</v>
          </cell>
          <cell r="AC288">
            <v>-0.36573599999999995</v>
          </cell>
          <cell r="AD288">
            <v>-0.54114000000000007</v>
          </cell>
          <cell r="AE288">
            <v>-0.87317099999999992</v>
          </cell>
          <cell r="AF288">
            <v>-1.4690610000000002</v>
          </cell>
          <cell r="AG288">
            <v>-3.2491080000000001</v>
          </cell>
          <cell r="AH288">
            <v>-0.32491799999999993</v>
          </cell>
          <cell r="AI288">
            <v>-0.45605000000000001</v>
          </cell>
          <cell r="AJ288">
            <v>-0.63330299999999984</v>
          </cell>
          <cell r="AK288">
            <v>-1.4210787499999999</v>
          </cell>
          <cell r="AL288">
            <v>-2.8353497499999998</v>
          </cell>
        </row>
        <row r="289">
          <cell r="B289" t="str">
            <v>Cancellation rate (as % of beginning of year run rate)</v>
          </cell>
          <cell r="D289">
            <v>0.21299999999999997</v>
          </cell>
          <cell r="E289">
            <v>0.10399999999999998</v>
          </cell>
          <cell r="F289">
            <v>0.11199999999999999</v>
          </cell>
          <cell r="G289">
            <v>0.15000000000000002</v>
          </cell>
          <cell r="H289">
            <v>0.25900000000000001</v>
          </cell>
          <cell r="I289">
            <v>8.2999999999999963E-2</v>
          </cell>
          <cell r="J289">
            <v>3.9000000000000035E-2</v>
          </cell>
          <cell r="K289">
            <v>0.10899999999999999</v>
          </cell>
          <cell r="L289">
            <v>0.19199999999999995</v>
          </cell>
          <cell r="U289">
            <v>9.6999999999999975E-2</v>
          </cell>
          <cell r="V289">
            <v>0.18300000000000005</v>
          </cell>
          <cell r="W289">
            <v>0.15124999999999988</v>
          </cell>
          <cell r="X289">
            <v>0.23099999999999998</v>
          </cell>
          <cell r="Y289">
            <v>0.11199999999999999</v>
          </cell>
          <cell r="Z289">
            <v>0.10699999999999998</v>
          </cell>
          <cell r="AA289">
            <v>0.25</v>
          </cell>
          <cell r="AB289">
            <v>0.17500000000000004</v>
          </cell>
          <cell r="AC289">
            <v>9.7999999999999976E-2</v>
          </cell>
          <cell r="AD289">
            <v>0.14500000000000002</v>
          </cell>
          <cell r="AE289">
            <v>0.23399999999999999</v>
          </cell>
          <cell r="AF289">
            <v>0.39600000000000002</v>
          </cell>
          <cell r="AG289">
            <v>0.21824999999999994</v>
          </cell>
          <cell r="AH289">
            <v>9.8999999999999977E-2</v>
          </cell>
          <cell r="AI289">
            <v>0.14000000000000001</v>
          </cell>
          <cell r="AJ289">
            <v>0.19799999999999995</v>
          </cell>
          <cell r="AK289">
            <v>0.45499999999999996</v>
          </cell>
          <cell r="AL289">
            <v>0.22299999999999998</v>
          </cell>
        </row>
        <row r="290">
          <cell r="B290" t="str">
            <v>BULL - Retention rate</v>
          </cell>
        </row>
        <row r="291">
          <cell r="B291" t="str">
            <v>BASE - Retention rate</v>
          </cell>
          <cell r="D291">
            <v>0.78700000000000003</v>
          </cell>
          <cell r="E291">
            <v>0.89600000000000002</v>
          </cell>
          <cell r="F291">
            <v>0.88800000000000001</v>
          </cell>
          <cell r="G291">
            <v>0.85</v>
          </cell>
          <cell r="H291">
            <v>0.74099999999999999</v>
          </cell>
          <cell r="I291">
            <v>0.91700000000000004</v>
          </cell>
          <cell r="J291">
            <v>0.96099999999999997</v>
          </cell>
          <cell r="K291">
            <v>0.89100000000000001</v>
          </cell>
          <cell r="L291">
            <v>0.80800000000000005</v>
          </cell>
          <cell r="P291">
            <v>0.84499999999999997</v>
          </cell>
          <cell r="Q291">
            <v>0.88500000000000001</v>
          </cell>
          <cell r="S291">
            <v>0.80700000000000005</v>
          </cell>
          <cell r="T291">
            <v>0.86799999999999999</v>
          </cell>
          <cell r="U291">
            <v>0.90300000000000002</v>
          </cell>
          <cell r="V291">
            <v>0.81699999999999995</v>
          </cell>
          <cell r="W291">
            <v>0.84875000000000012</v>
          </cell>
          <cell r="X291">
            <v>0.76900000000000002</v>
          </cell>
          <cell r="Y291">
            <v>0.88800000000000001</v>
          </cell>
          <cell r="Z291">
            <v>0.89300000000000002</v>
          </cell>
          <cell r="AA291">
            <v>0.75</v>
          </cell>
          <cell r="AB291">
            <v>0.82499999999999996</v>
          </cell>
          <cell r="AC291">
            <v>0.90200000000000002</v>
          </cell>
          <cell r="AD291">
            <v>0.85499999999999998</v>
          </cell>
          <cell r="AE291">
            <v>0.76600000000000001</v>
          </cell>
          <cell r="AF291">
            <v>0.60399999999999998</v>
          </cell>
          <cell r="AG291">
            <v>0.78175000000000006</v>
          </cell>
          <cell r="AH291">
            <v>0.90100000000000002</v>
          </cell>
          <cell r="AI291">
            <v>0.86</v>
          </cell>
          <cell r="AJ291">
            <v>0.80200000000000005</v>
          </cell>
          <cell r="AK291">
            <v>0.54500000000000004</v>
          </cell>
          <cell r="AL291">
            <v>0.77700000000000002</v>
          </cell>
        </row>
        <row r="292">
          <cell r="B292" t="str">
            <v>BEAR - Retention rate</v>
          </cell>
        </row>
        <row r="293">
          <cell r="B293" t="str">
            <v>Cancellation rate (as % of beginning of qtr run rate)</v>
          </cell>
          <cell r="D293">
            <v>0.21299999999999997</v>
          </cell>
          <cell r="E293">
            <v>0.17215480702081765</v>
          </cell>
          <cell r="F293">
            <v>0.18519942269571976</v>
          </cell>
          <cell r="G293">
            <v>0.23145370420974751</v>
          </cell>
          <cell r="H293">
            <v>0.14474999999999999</v>
          </cell>
          <cell r="I293">
            <v>8.2999999999999963E-2</v>
          </cell>
          <cell r="J293">
            <v>3.7593236714975879E-2</v>
          </cell>
          <cell r="K293">
            <v>0.10134206575200619</v>
          </cell>
          <cell r="L293">
            <v>0.17917871433768118</v>
          </cell>
          <cell r="U293">
            <v>9.7132755474452534E-2</v>
          </cell>
          <cell r="V293">
            <v>0.18641390903098226</v>
          </cell>
          <cell r="W293">
            <v>7.0262024080702895E-2</v>
          </cell>
          <cell r="X293">
            <v>0.23099999999999998</v>
          </cell>
          <cell r="Y293">
            <v>0.11379384594935865</v>
          </cell>
          <cell r="Z293">
            <v>0.10851903940559902</v>
          </cell>
          <cell r="AA293">
            <v>0.24910382584892132</v>
          </cell>
          <cell r="AB293">
            <v>0.17499999999999999</v>
          </cell>
          <cell r="AC293">
            <v>9.7999999999999976E-2</v>
          </cell>
          <cell r="AD293">
            <v>0.14501942918397429</v>
          </cell>
          <cell r="AE293">
            <v>0.23537192533189566</v>
          </cell>
          <cell r="AF293">
            <v>0.41853589743589753</v>
          </cell>
          <cell r="AG293">
            <v>0.21765192926045016</v>
          </cell>
          <cell r="AH293">
            <v>9.8999999999999977E-2</v>
          </cell>
          <cell r="AI293">
            <v>0.14000000000000001</v>
          </cell>
          <cell r="AJ293">
            <v>0.19799999999999995</v>
          </cell>
          <cell r="AK293">
            <v>0.45499999999999996</v>
          </cell>
          <cell r="AL293">
            <v>0.21597728138330285</v>
          </cell>
        </row>
        <row r="301">
          <cell r="B301" t="str">
            <v>Subtotal</v>
          </cell>
          <cell r="I301">
            <v>4.2616874999999999</v>
          </cell>
          <cell r="J301">
            <v>4.4534374999999997</v>
          </cell>
          <cell r="K301">
            <v>4.6281874999999992</v>
          </cell>
          <cell r="L301">
            <v>4.7510312500000005</v>
          </cell>
          <cell r="U301">
            <v>3.8187500000000001</v>
          </cell>
          <cell r="V301">
            <v>3.8308437500000001</v>
          </cell>
          <cell r="W301">
            <v>7.6495937500000002</v>
          </cell>
          <cell r="X301">
            <v>3.8157499999999995</v>
          </cell>
          <cell r="Y301">
            <v>3.7946249999999995</v>
          </cell>
          <cell r="Z301">
            <v>3.7915937500000001</v>
          </cell>
          <cell r="AA301">
            <v>3.8008125000000001</v>
          </cell>
          <cell r="AB301">
            <v>15.202781250000001</v>
          </cell>
          <cell r="AC301">
            <v>3.7707187499999999</v>
          </cell>
          <cell r="AD301">
            <v>3.7595937500000001</v>
          </cell>
          <cell r="AE301">
            <v>3.7115312500000002</v>
          </cell>
          <cell r="AF301">
            <v>3.6145624999999999</v>
          </cell>
          <cell r="AG301">
            <v>14.856406250000001</v>
          </cell>
          <cell r="AH301">
            <v>3.4990625</v>
          </cell>
          <cell r="AI301">
            <v>3.3759062499999999</v>
          </cell>
          <cell r="AJ301">
            <v>3.2636562499999995</v>
          </cell>
          <cell r="AK301">
            <v>3.1582500000000007</v>
          </cell>
          <cell r="AL301">
            <v>13.296875</v>
          </cell>
        </row>
        <row r="302">
          <cell r="B302" t="str">
            <v>Adjustments (FX, Other)</v>
          </cell>
          <cell r="I302">
            <v>2.0583125000000004</v>
          </cell>
          <cell r="J302">
            <v>1.1305624999999999</v>
          </cell>
          <cell r="K302">
            <v>1.2108125000000012</v>
          </cell>
          <cell r="L302">
            <v>1.7759687499999997</v>
          </cell>
          <cell r="U302">
            <v>-0.52875000000000005</v>
          </cell>
          <cell r="V302">
            <v>1.0401562500000003</v>
          </cell>
          <cell r="W302">
            <v>0.51140625000000028</v>
          </cell>
          <cell r="X302">
            <v>5.4250000000000576E-2</v>
          </cell>
          <cell r="Y302">
            <v>-0.84562499999999963</v>
          </cell>
          <cell r="Z302">
            <v>-0.99459374999999994</v>
          </cell>
          <cell r="AA302">
            <v>0.84618750000000009</v>
          </cell>
          <cell r="AB302">
            <v>-0.9397812499999989</v>
          </cell>
          <cell r="AC302">
            <v>-5.0697187499999998</v>
          </cell>
          <cell r="AD302">
            <v>2.0406249999999737E-2</v>
          </cell>
          <cell r="AE302">
            <v>-0.40153125000000012</v>
          </cell>
          <cell r="AF302">
            <v>-0.34456249999999988</v>
          </cell>
          <cell r="AG302">
            <v>-5.795406250000001</v>
          </cell>
          <cell r="AH302">
            <v>-0.35306250000000006</v>
          </cell>
          <cell r="AI302">
            <v>-0.31090624999999994</v>
          </cell>
          <cell r="AJ302">
            <v>-0.19865624999999953</v>
          </cell>
          <cell r="AK302">
            <v>-9.3250000000000721E-2</v>
          </cell>
          <cell r="AL302">
            <v>-0.95587500000000025</v>
          </cell>
        </row>
        <row r="303">
          <cell r="B303" t="str">
            <v>Other revenue</v>
          </cell>
          <cell r="D303">
            <v>7.2210000000000001</v>
          </cell>
          <cell r="E303">
            <v>6.2939999999999996</v>
          </cell>
          <cell r="F303">
            <v>6.35</v>
          </cell>
          <cell r="G303">
            <v>6.3109999999999999</v>
          </cell>
          <cell r="I303">
            <v>6.32</v>
          </cell>
          <cell r="J303">
            <v>5.5839999999999996</v>
          </cell>
          <cell r="K303">
            <v>5.8390000000000004</v>
          </cell>
          <cell r="L303">
            <v>6.5270000000000001</v>
          </cell>
          <cell r="P303">
            <v>3.0550000000000002</v>
          </cell>
          <cell r="Q303">
            <v>6.6639999999999997</v>
          </cell>
          <cell r="R303">
            <v>9.7189999999999994</v>
          </cell>
          <cell r="S303">
            <v>5.6920000000000002</v>
          </cell>
          <cell r="T303">
            <v>5.1040000000000001</v>
          </cell>
          <cell r="U303">
            <v>3.29</v>
          </cell>
          <cell r="V303">
            <v>4.8710000000000004</v>
          </cell>
          <cell r="W303">
            <v>18.957000000000001</v>
          </cell>
          <cell r="X303">
            <v>3.87</v>
          </cell>
          <cell r="Y303">
            <v>2.9489999999999998</v>
          </cell>
          <cell r="Z303">
            <v>2.7970000000000002</v>
          </cell>
          <cell r="AA303">
            <v>4.6470000000000002</v>
          </cell>
          <cell r="AB303">
            <v>14.263</v>
          </cell>
          <cell r="AC303">
            <v>-1.2989999999999999</v>
          </cell>
          <cell r="AD303">
            <v>3.78</v>
          </cell>
          <cell r="AE303">
            <v>3.31</v>
          </cell>
          <cell r="AF303">
            <v>3.27</v>
          </cell>
          <cell r="AG303">
            <v>9.0609999999999999</v>
          </cell>
          <cell r="AH303">
            <v>3.1459999999999999</v>
          </cell>
          <cell r="AI303">
            <v>3.0649999999999999</v>
          </cell>
          <cell r="AJ303">
            <v>3.0649999999999999</v>
          </cell>
          <cell r="AK303">
            <v>3.0649999999999999</v>
          </cell>
          <cell r="AL303">
            <v>12.340999999999999</v>
          </cell>
        </row>
        <row r="304">
          <cell r="Z304">
            <v>-0.14984802431610944</v>
          </cell>
          <cell r="AA304">
            <v>-4.5986450420858138E-2</v>
          </cell>
          <cell r="AC304">
            <v>-1.3356589147286821</v>
          </cell>
          <cell r="AD304">
            <v>0.28179043743641907</v>
          </cell>
          <cell r="AE304">
            <v>0.18341079728280296</v>
          </cell>
          <cell r="AF304">
            <v>-0.29632020658489355</v>
          </cell>
          <cell r="AG304">
            <v>-0.36471990464839099</v>
          </cell>
          <cell r="AH304">
            <v>-3.4218629715165512</v>
          </cell>
          <cell r="AI304">
            <v>-0.18915343915343907</v>
          </cell>
          <cell r="AJ304">
            <v>-7.4018126888217517E-2</v>
          </cell>
          <cell r="AK304">
            <v>-6.2691131498470942E-2</v>
          </cell>
          <cell r="AL304">
            <v>0.36199095022624417</v>
          </cell>
        </row>
        <row r="305">
          <cell r="C305">
            <v>2006</v>
          </cell>
          <cell r="D305" t="str">
            <v>1Q07</v>
          </cell>
          <cell r="E305" t="str">
            <v>2Q07</v>
          </cell>
          <cell r="F305" t="str">
            <v>3Q07</v>
          </cell>
          <cell r="G305" t="str">
            <v>4Q07</v>
          </cell>
          <cell r="H305">
            <v>2007</v>
          </cell>
          <cell r="I305" t="str">
            <v>1Q08</v>
          </cell>
          <cell r="J305" t="str">
            <v>2Q08</v>
          </cell>
          <cell r="K305" t="str">
            <v>3Q08</v>
          </cell>
          <cell r="L305" t="str">
            <v>4Q08</v>
          </cell>
          <cell r="P305" t="str">
            <v>3Q09</v>
          </cell>
          <cell r="Q305" t="str">
            <v>4Q09</v>
          </cell>
          <cell r="R305">
            <v>2009</v>
          </cell>
          <cell r="S305" t="str">
            <v>1Q10</v>
          </cell>
          <cell r="T305" t="str">
            <v>2Q10</v>
          </cell>
          <cell r="U305" t="str">
            <v>3Q10</v>
          </cell>
          <cell r="V305" t="str">
            <v>4Q10</v>
          </cell>
          <cell r="W305">
            <v>2010</v>
          </cell>
          <cell r="X305" t="str">
            <v>1Q11</v>
          </cell>
          <cell r="Y305" t="str">
            <v>2Q11</v>
          </cell>
          <cell r="Z305" t="str">
            <v>3Q11</v>
          </cell>
          <cell r="AA305" t="str">
            <v>4Q11</v>
          </cell>
          <cell r="AB305">
            <v>2011</v>
          </cell>
          <cell r="AC305" t="str">
            <v>1Q12</v>
          </cell>
          <cell r="AD305" t="str">
            <v>2Q12</v>
          </cell>
          <cell r="AE305" t="str">
            <v>3Q12</v>
          </cell>
          <cell r="AF305" t="str">
            <v>4Q12</v>
          </cell>
          <cell r="AG305">
            <v>2012</v>
          </cell>
          <cell r="AH305" t="str">
            <v>1Q13</v>
          </cell>
          <cell r="AI305" t="str">
            <v>2Q13</v>
          </cell>
          <cell r="AJ305" t="str">
            <v>3Q13</v>
          </cell>
          <cell r="AK305" t="str">
            <v>4Q13</v>
          </cell>
          <cell r="AL305">
            <v>2013</v>
          </cell>
        </row>
        <row r="306">
          <cell r="A306" t="str">
            <v>Governance</v>
          </cell>
        </row>
        <row r="308">
          <cell r="B308" t="str">
            <v>Annualized run rate</v>
          </cell>
          <cell r="C308">
            <v>0</v>
          </cell>
          <cell r="D308">
            <v>0.96199999999999997</v>
          </cell>
          <cell r="E308">
            <v>0.96599999999999997</v>
          </cell>
          <cell r="F308">
            <v>0.94099999999999995</v>
          </cell>
          <cell r="G308">
            <v>0.86699999999999999</v>
          </cell>
          <cell r="H308">
            <v>0.93400000000000005</v>
          </cell>
          <cell r="I308">
            <v>0.96799999999999997</v>
          </cell>
          <cell r="J308">
            <v>0.91800000000000004</v>
          </cell>
          <cell r="K308">
            <v>0.92</v>
          </cell>
          <cell r="L308">
            <v>0.80500000000000005</v>
          </cell>
          <cell r="P308">
            <v>113.907</v>
          </cell>
          <cell r="Q308">
            <v>111.84099999999999</v>
          </cell>
          <cell r="R308">
            <v>111.84099999999999</v>
          </cell>
          <cell r="S308">
            <v>106.68600000000001</v>
          </cell>
          <cell r="T308">
            <v>105.44799999999999</v>
          </cell>
          <cell r="U308">
            <v>105.735</v>
          </cell>
          <cell r="V308">
            <v>105.036</v>
          </cell>
          <cell r="W308">
            <v>105.036</v>
          </cell>
          <cell r="X308">
            <v>105.87</v>
          </cell>
          <cell r="Y308">
            <v>107.755</v>
          </cell>
          <cell r="Z308">
            <v>107.152</v>
          </cell>
          <cell r="AA308">
            <v>108.251</v>
          </cell>
          <cell r="AB308">
            <v>108.251</v>
          </cell>
          <cell r="AC308">
            <v>113.054</v>
          </cell>
          <cell r="AD308">
            <v>113.976</v>
          </cell>
          <cell r="AE308">
            <v>115.84</v>
          </cell>
          <cell r="AF308">
            <v>117.261</v>
          </cell>
          <cell r="AG308">
            <v>117.261</v>
          </cell>
          <cell r="AH308">
            <v>110.17400000000001</v>
          </cell>
          <cell r="AI308">
            <v>111.68600000000001</v>
          </cell>
          <cell r="AJ308">
            <v>112.911</v>
          </cell>
          <cell r="AK308">
            <v>115.482</v>
          </cell>
          <cell r="AL308">
            <v>115.482</v>
          </cell>
        </row>
        <row r="309">
          <cell r="B309" t="str">
            <v>Revenue</v>
          </cell>
        </row>
        <row r="310">
          <cell r="B310" t="str">
            <v>Subscription revenue - 1st quarter, 12.5%</v>
          </cell>
          <cell r="I310">
            <v>3.0062499999999999E-2</v>
          </cell>
          <cell r="J310">
            <v>3.0187499999999999E-2</v>
          </cell>
          <cell r="K310">
            <v>2.9406249999999998E-2</v>
          </cell>
          <cell r="L310">
            <v>2.709375E-2</v>
          </cell>
          <cell r="U310">
            <v>3.5595937499999999</v>
          </cell>
          <cell r="V310">
            <v>3.4950312499999998</v>
          </cell>
          <cell r="W310">
            <v>7.0546249999999997</v>
          </cell>
          <cell r="X310">
            <v>3.282375</v>
          </cell>
          <cell r="Y310">
            <v>3.2952499999999998</v>
          </cell>
          <cell r="Z310">
            <v>3.30421875</v>
          </cell>
          <cell r="AA310">
            <v>3.282375</v>
          </cell>
          <cell r="AB310">
            <v>13.16421875</v>
          </cell>
          <cell r="AC310">
            <v>3.3084375000000001</v>
          </cell>
          <cell r="AD310">
            <v>3.3673437499999999</v>
          </cell>
          <cell r="AE310">
            <v>3.3485</v>
          </cell>
          <cell r="AF310">
            <v>3.3828437500000001</v>
          </cell>
          <cell r="AG310">
            <v>13.407125000000001</v>
          </cell>
          <cell r="AH310">
            <v>3.5329375000000001</v>
          </cell>
          <cell r="AI310">
            <v>3.56175</v>
          </cell>
          <cell r="AJ310">
            <v>3.62</v>
          </cell>
          <cell r="AK310">
            <v>3.6644062499999999</v>
          </cell>
          <cell r="AL310">
            <v>14.379093749999999</v>
          </cell>
        </row>
        <row r="311">
          <cell r="B311" t="str">
            <v>Subscription revenue - 2nd quarter, 25%</v>
          </cell>
          <cell r="I311">
            <v>6.0374999999999998E-2</v>
          </cell>
          <cell r="J311">
            <v>5.8812499999999997E-2</v>
          </cell>
          <cell r="K311">
            <v>5.41875E-2</v>
          </cell>
          <cell r="L311">
            <v>6.0499999999999998E-2</v>
          </cell>
          <cell r="U311">
            <v>6.9900624999999996</v>
          </cell>
          <cell r="V311">
            <v>6.6678750000000004</v>
          </cell>
          <cell r="W311">
            <v>13.657937499999999</v>
          </cell>
          <cell r="X311">
            <v>6.5904999999999996</v>
          </cell>
          <cell r="Y311">
            <v>6.6084375</v>
          </cell>
          <cell r="Z311">
            <v>6.5647500000000001</v>
          </cell>
          <cell r="AA311">
            <v>6.5647500000000001</v>
          </cell>
          <cell r="AB311">
            <v>26.3284375</v>
          </cell>
          <cell r="AC311">
            <v>6.7346874999999997</v>
          </cell>
          <cell r="AD311">
            <v>6.6970000000000001</v>
          </cell>
          <cell r="AE311">
            <v>6.7656875000000003</v>
          </cell>
          <cell r="AF311">
            <v>7.0658750000000001</v>
          </cell>
          <cell r="AG311">
            <v>27.263249999999999</v>
          </cell>
          <cell r="AH311">
            <v>7.1234999999999999</v>
          </cell>
          <cell r="AI311">
            <v>7.24</v>
          </cell>
          <cell r="AJ311">
            <v>7.3288124999999997</v>
          </cell>
          <cell r="AK311">
            <v>6.8858750000000004</v>
          </cell>
          <cell r="AL311">
            <v>28.578187499999999</v>
          </cell>
        </row>
        <row r="312">
          <cell r="B312" t="str">
            <v>Subscription revenue - 3rd quarter, 25%</v>
          </cell>
          <cell r="I312">
            <v>5.8812499999999997E-2</v>
          </cell>
          <cell r="J312">
            <v>5.41875E-2</v>
          </cell>
          <cell r="K312">
            <v>6.0499999999999998E-2</v>
          </cell>
          <cell r="L312">
            <v>5.7375000000000002E-2</v>
          </cell>
          <cell r="U312">
            <v>6.6678750000000004</v>
          </cell>
          <cell r="V312">
            <v>6.5904999999999996</v>
          </cell>
          <cell r="W312">
            <v>13.258375000000001</v>
          </cell>
          <cell r="X312">
            <v>6.6084375</v>
          </cell>
          <cell r="Y312">
            <v>6.5647500000000001</v>
          </cell>
          <cell r="Z312">
            <v>6.6168750000000003</v>
          </cell>
          <cell r="AA312">
            <v>6.7346874999999997</v>
          </cell>
          <cell r="AB312">
            <v>26.524750000000001</v>
          </cell>
          <cell r="AC312">
            <v>6.6970000000000001</v>
          </cell>
          <cell r="AD312">
            <v>6.7656875000000003</v>
          </cell>
          <cell r="AE312">
            <v>7.0658750000000001</v>
          </cell>
          <cell r="AF312">
            <v>7.1234999999999999</v>
          </cell>
          <cell r="AG312">
            <v>27.6520625</v>
          </cell>
          <cell r="AH312">
            <v>7.24</v>
          </cell>
          <cell r="AI312">
            <v>7.3288124999999997</v>
          </cell>
          <cell r="AJ312">
            <v>6.8858750000000004</v>
          </cell>
          <cell r="AK312">
            <v>6.9803750000000004</v>
          </cell>
          <cell r="AL312">
            <v>28.435062500000001</v>
          </cell>
        </row>
        <row r="313">
          <cell r="B313" t="str">
            <v>Subscription revenue - 4th quarter, 25%</v>
          </cell>
          <cell r="I313">
            <v>5.41875E-2</v>
          </cell>
          <cell r="J313">
            <v>6.0499999999999998E-2</v>
          </cell>
          <cell r="K313">
            <v>5.7375000000000002E-2</v>
          </cell>
          <cell r="L313">
            <v>5.7500000000000002E-2</v>
          </cell>
          <cell r="U313">
            <v>6.5904999999999996</v>
          </cell>
          <cell r="V313">
            <v>6.6084375</v>
          </cell>
          <cell r="W313">
            <v>13.1989375</v>
          </cell>
          <cell r="X313">
            <v>6.5647500000000001</v>
          </cell>
          <cell r="Y313">
            <v>6.6168750000000003</v>
          </cell>
          <cell r="Z313">
            <v>6.7346874999999997</v>
          </cell>
          <cell r="AA313">
            <v>6.6970000000000001</v>
          </cell>
          <cell r="AB313">
            <v>26.613312499999999</v>
          </cell>
          <cell r="AC313">
            <v>6.7656875000000003</v>
          </cell>
          <cell r="AD313">
            <v>7.0658750000000001</v>
          </cell>
          <cell r="AE313">
            <v>7.1234999999999999</v>
          </cell>
          <cell r="AF313">
            <v>7.24</v>
          </cell>
          <cell r="AG313">
            <v>28.195062499999999</v>
          </cell>
          <cell r="AH313">
            <v>7.3288124999999997</v>
          </cell>
          <cell r="AI313">
            <v>6.8858750000000004</v>
          </cell>
          <cell r="AJ313">
            <v>6.9803750000000004</v>
          </cell>
          <cell r="AK313">
            <v>7.0569375000000001</v>
          </cell>
          <cell r="AL313">
            <v>28.251999999999999</v>
          </cell>
        </row>
        <row r="314">
          <cell r="B314" t="str">
            <v>Subscription revenue - 5th quarter, 12.5%</v>
          </cell>
          <cell r="I314">
            <v>3.0249999999999999E-2</v>
          </cell>
          <cell r="J314">
            <v>2.8687500000000001E-2</v>
          </cell>
          <cell r="K314">
            <v>2.8750000000000001E-2</v>
          </cell>
          <cell r="L314">
            <v>2.5156250000000002E-2</v>
          </cell>
          <cell r="U314">
            <v>3.30421875</v>
          </cell>
          <cell r="V314">
            <v>3.282375</v>
          </cell>
          <cell r="W314">
            <v>6.5865937500000005</v>
          </cell>
          <cell r="X314">
            <v>3.3084375000000001</v>
          </cell>
          <cell r="Y314">
            <v>3.3673437499999999</v>
          </cell>
          <cell r="Z314">
            <v>3.3485</v>
          </cell>
          <cell r="AA314">
            <v>3.3828437500000001</v>
          </cell>
          <cell r="AB314">
            <v>13.407125000000001</v>
          </cell>
          <cell r="AC314">
            <v>3.5329375000000001</v>
          </cell>
          <cell r="AD314">
            <v>3.56175</v>
          </cell>
          <cell r="AE314">
            <v>3.62</v>
          </cell>
          <cell r="AF314">
            <v>3.6644062499999999</v>
          </cell>
          <cell r="AG314">
            <v>14.379093749999999</v>
          </cell>
          <cell r="AH314">
            <v>3.4429375000000002</v>
          </cell>
          <cell r="AI314">
            <v>3.4901875000000002</v>
          </cell>
          <cell r="AJ314">
            <v>3.52846875</v>
          </cell>
          <cell r="AK314">
            <v>3.6088125</v>
          </cell>
          <cell r="AL314">
            <v>14.070406250000001</v>
          </cell>
        </row>
        <row r="316">
          <cell r="B316" t="str">
            <v>Quarterly new sales</v>
          </cell>
          <cell r="D316">
            <v>0.96199999999999997</v>
          </cell>
          <cell r="E316">
            <v>4.0000000000000036E-3</v>
          </cell>
          <cell r="F316">
            <v>-2.5000000000000022E-2</v>
          </cell>
          <cell r="G316">
            <v>-7.3999999999999955E-2</v>
          </cell>
          <cell r="H316">
            <v>0.86699999999999999</v>
          </cell>
          <cell r="I316">
            <v>0.26749999999999996</v>
          </cell>
          <cell r="J316">
            <v>0.18350000000000008</v>
          </cell>
          <cell r="K316">
            <v>0.23550000000000001</v>
          </cell>
          <cell r="L316">
            <v>0.11850000000000002</v>
          </cell>
          <cell r="Q316">
            <v>7</v>
          </cell>
          <cell r="U316">
            <v>3.893872250000006</v>
          </cell>
          <cell r="V316">
            <v>6.6086285000000009</v>
          </cell>
          <cell r="W316">
            <v>10.502500750000006</v>
          </cell>
          <cell r="X316">
            <v>4.7728500000000036</v>
          </cell>
          <cell r="Y316">
            <v>4.4058639999999905</v>
          </cell>
          <cell r="Z316">
            <v>3.020742000000006</v>
          </cell>
          <cell r="AA316">
            <v>6.1932460000000029</v>
          </cell>
          <cell r="AB316">
            <v>18.392702000000003</v>
          </cell>
          <cell r="AC316">
            <v>7.8610907499999971</v>
          </cell>
          <cell r="AD316">
            <v>3.1548164999999959</v>
          </cell>
          <cell r="AE316">
            <v>4.3999660000000036</v>
          </cell>
          <cell r="AF316">
            <v>6.170439999999993</v>
          </cell>
          <cell r="AG316">
            <v>21.586313249999989</v>
          </cell>
          <cell r="AH316">
            <v>5.8445250000000097</v>
          </cell>
          <cell r="AI316">
            <v>3.4675884999999993</v>
          </cell>
          <cell r="AJ316">
            <v>4.4359724999999948</v>
          </cell>
          <cell r="AK316">
            <v>5.365547249999997</v>
          </cell>
          <cell r="AL316">
            <v>19.113633249999999</v>
          </cell>
        </row>
        <row r="317">
          <cell r="B317" t="str">
            <v>y/y change</v>
          </cell>
          <cell r="Z317">
            <v>-0.22423186841838449</v>
          </cell>
          <cell r="AA317">
            <v>-6.2854569597912469E-2</v>
          </cell>
          <cell r="AC317">
            <v>0.64704332840964862</v>
          </cell>
          <cell r="AD317">
            <v>-0.28395054863245828</v>
          </cell>
          <cell r="AE317">
            <v>0.4565845080447104</v>
          </cell>
          <cell r="AF317">
            <v>-3.6823985354383915E-3</v>
          </cell>
          <cell r="AG317">
            <v>0.17363469760995343</v>
          </cell>
          <cell r="AH317">
            <v>-0.25652492944442706</v>
          </cell>
          <cell r="AI317">
            <v>9.9141106939184542E-2</v>
          </cell>
          <cell r="AJ317">
            <v>8.1833586895878607E-3</v>
          </cell>
          <cell r="AK317">
            <v>-0.13044333143179365</v>
          </cell>
          <cell r="AL317">
            <v>-0.11454850911143855</v>
          </cell>
        </row>
        <row r="318">
          <cell r="B318" t="str">
            <v>BULL</v>
          </cell>
        </row>
        <row r="319">
          <cell r="B319" t="str">
            <v>BASE</v>
          </cell>
          <cell r="H319">
            <v>0</v>
          </cell>
          <cell r="X319">
            <v>4.7728500000000036</v>
          </cell>
          <cell r="Y319">
            <v>4.4058639999999905</v>
          </cell>
          <cell r="Z319">
            <v>3.020742000000006</v>
          </cell>
          <cell r="AA319">
            <v>6.1932460000000029</v>
          </cell>
          <cell r="AC319">
            <v>7.8610907499999971</v>
          </cell>
          <cell r="AD319">
            <v>3.1548164999999959</v>
          </cell>
          <cell r="AE319">
            <v>4.3999660000000036</v>
          </cell>
          <cell r="AF319">
            <v>6.170439999999993</v>
          </cell>
          <cell r="AH319">
            <v>5.8445250000000097</v>
          </cell>
          <cell r="AI319">
            <v>3.4675884999999993</v>
          </cell>
          <cell r="AJ319">
            <v>4.4359724999999948</v>
          </cell>
          <cell r="AK319">
            <v>5.365547249999997</v>
          </cell>
        </row>
        <row r="320">
          <cell r="B320" t="str">
            <v>BEAR</v>
          </cell>
        </row>
        <row r="328">
          <cell r="B328" t="str">
            <v>Quarterly cancellations</v>
          </cell>
          <cell r="D328">
            <v>0</v>
          </cell>
          <cell r="E328">
            <v>0</v>
          </cell>
          <cell r="F328">
            <v>0</v>
          </cell>
          <cell r="G328">
            <v>0</v>
          </cell>
          <cell r="H328">
            <v>0</v>
          </cell>
          <cell r="I328">
            <v>-0.23350000000000001</v>
          </cell>
          <cell r="J328">
            <v>-0.23350000000000001</v>
          </cell>
          <cell r="K328">
            <v>-0.23350000000000001</v>
          </cell>
          <cell r="L328">
            <v>-0.23350000000000001</v>
          </cell>
          <cell r="U328">
            <v>-3.6068722499999999</v>
          </cell>
          <cell r="V328">
            <v>-5.307628499999999</v>
          </cell>
          <cell r="W328">
            <v>-8.9145007499999984</v>
          </cell>
          <cell r="X328">
            <v>-3.9388500000000009</v>
          </cell>
          <cell r="Y328">
            <v>-2.5208639999999995</v>
          </cell>
          <cell r="Z328">
            <v>-3.6237420000000005</v>
          </cell>
          <cell r="AA328">
            <v>-5.0942459999999992</v>
          </cell>
          <cell r="AB328">
            <v>-15.177702</v>
          </cell>
          <cell r="AC328">
            <v>-3.0580907499999999</v>
          </cell>
          <cell r="AD328">
            <v>-2.2328164999999989</v>
          </cell>
          <cell r="AE328">
            <v>-2.5359659999999993</v>
          </cell>
          <cell r="AF328">
            <v>-4.7494400000000008</v>
          </cell>
          <cell r="AG328">
            <v>-12.576313249999998</v>
          </cell>
          <cell r="AH328">
            <v>-2.9315249999999993</v>
          </cell>
          <cell r="AI328">
            <v>-1.9555884999999988</v>
          </cell>
          <cell r="AJ328">
            <v>-3.2109725</v>
          </cell>
          <cell r="AK328">
            <v>-2.7945472499999995</v>
          </cell>
          <cell r="AL328">
            <v>-10.892633249999998</v>
          </cell>
        </row>
        <row r="329">
          <cell r="B329" t="str">
            <v>Cancellation rate (as % of beginning of year run rate)</v>
          </cell>
          <cell r="D329">
            <v>1</v>
          </cell>
          <cell r="E329">
            <v>1</v>
          </cell>
          <cell r="F329">
            <v>1</v>
          </cell>
          <cell r="G329">
            <v>1</v>
          </cell>
          <cell r="H329">
            <v>1</v>
          </cell>
          <cell r="I329">
            <v>1</v>
          </cell>
          <cell r="J329">
            <v>1</v>
          </cell>
          <cell r="K329">
            <v>1</v>
          </cell>
          <cell r="L329">
            <v>1</v>
          </cell>
          <cell r="U329">
            <v>0.129</v>
          </cell>
          <cell r="V329">
            <v>0.19899999999999995</v>
          </cell>
          <cell r="W329">
            <v>0.15599999999999992</v>
          </cell>
          <cell r="X329">
            <v>0.15000000000000002</v>
          </cell>
          <cell r="Y329">
            <v>9.5999999999999974E-2</v>
          </cell>
          <cell r="Z329">
            <v>0.13800000000000001</v>
          </cell>
          <cell r="AA329">
            <v>0.19399999999999995</v>
          </cell>
          <cell r="AB329">
            <v>0.14449999999999996</v>
          </cell>
          <cell r="AC329">
            <v>0.11299999999999999</v>
          </cell>
          <cell r="AD329">
            <v>7.8999999999999959E-2</v>
          </cell>
          <cell r="AE329">
            <v>8.8999999999999968E-2</v>
          </cell>
          <cell r="AF329">
            <v>0.16400000000000003</v>
          </cell>
          <cell r="AG329">
            <v>0.11124999999999996</v>
          </cell>
          <cell r="AH329">
            <v>9.9999999999999978E-2</v>
          </cell>
          <cell r="AI329">
            <v>7.0999999999999952E-2</v>
          </cell>
          <cell r="AJ329">
            <v>0.11499999999999999</v>
          </cell>
          <cell r="AK329">
            <v>9.8999999999999977E-2</v>
          </cell>
          <cell r="AL329">
            <v>9.6249999999999947E-2</v>
          </cell>
        </row>
        <row r="330">
          <cell r="B330" t="str">
            <v>BULL - Retention rate</v>
          </cell>
        </row>
        <row r="331">
          <cell r="B331" t="str">
            <v>BASE - Retention rate</v>
          </cell>
          <cell r="D331">
            <v>0</v>
          </cell>
          <cell r="E331">
            <v>0</v>
          </cell>
          <cell r="F331">
            <v>0</v>
          </cell>
          <cell r="G331">
            <v>0</v>
          </cell>
          <cell r="H331">
            <v>0</v>
          </cell>
          <cell r="I331">
            <v>0</v>
          </cell>
          <cell r="J331">
            <v>0</v>
          </cell>
          <cell r="K331">
            <v>0</v>
          </cell>
          <cell r="L331">
            <v>0</v>
          </cell>
          <cell r="P331">
            <v>0.85399999999999998</v>
          </cell>
          <cell r="Q331">
            <v>0.78700000000000003</v>
          </cell>
          <cell r="S331">
            <v>0.84799999999999998</v>
          </cell>
          <cell r="T331">
            <v>0.85599999999999998</v>
          </cell>
          <cell r="U331">
            <v>0.871</v>
          </cell>
          <cell r="V331">
            <v>0.80100000000000005</v>
          </cell>
          <cell r="W331">
            <v>0.84400000000000008</v>
          </cell>
          <cell r="X331">
            <v>0.85</v>
          </cell>
          <cell r="Y331">
            <v>0.90400000000000003</v>
          </cell>
          <cell r="Z331">
            <v>0.86199999999999999</v>
          </cell>
          <cell r="AA331">
            <v>0.80600000000000005</v>
          </cell>
          <cell r="AB331">
            <v>0.85550000000000004</v>
          </cell>
          <cell r="AC331">
            <v>0.88700000000000001</v>
          </cell>
          <cell r="AD331">
            <v>0.92100000000000004</v>
          </cell>
          <cell r="AE331">
            <v>0.91100000000000003</v>
          </cell>
          <cell r="AF331">
            <v>0.83599999999999997</v>
          </cell>
          <cell r="AG331">
            <v>0.88875000000000004</v>
          </cell>
          <cell r="AH331">
            <v>0.9</v>
          </cell>
          <cell r="AI331">
            <v>0.92900000000000005</v>
          </cell>
          <cell r="AJ331">
            <v>0.88500000000000001</v>
          </cell>
          <cell r="AK331">
            <v>0.90100000000000002</v>
          </cell>
          <cell r="AL331">
            <v>0.90375000000000005</v>
          </cell>
        </row>
        <row r="332">
          <cell r="B332" t="str">
            <v>BEAR - Retention rate</v>
          </cell>
        </row>
        <row r="333">
          <cell r="B333" t="str">
            <v>Cancellation rate (as % of beginning of qtr run rate)</v>
          </cell>
          <cell r="E333">
            <v>0</v>
          </cell>
          <cell r="F333">
            <v>0</v>
          </cell>
          <cell r="G333">
            <v>0</v>
          </cell>
          <cell r="I333">
            <v>1</v>
          </cell>
          <cell r="J333">
            <v>0.9648760330578513</v>
          </cell>
          <cell r="K333">
            <v>1.0174291938997821</v>
          </cell>
          <cell r="L333">
            <v>1.0152173913043478</v>
          </cell>
          <cell r="U333">
            <v>0.13682088802063577</v>
          </cell>
          <cell r="V333">
            <v>0.20078984253085541</v>
          </cell>
          <cell r="X333">
            <v>0.15000000000000002</v>
          </cell>
          <cell r="Y333">
            <v>9.5243751771039928E-2</v>
          </cell>
          <cell r="Z333">
            <v>0.13451782283884742</v>
          </cell>
          <cell r="AA333">
            <v>0.19016895624906671</v>
          </cell>
          <cell r="AB333">
            <v>0.14449999999999999</v>
          </cell>
          <cell r="AC333">
            <v>0.11299999999999999</v>
          </cell>
          <cell r="AD333">
            <v>7.8999999999999959E-2</v>
          </cell>
          <cell r="AE333">
            <v>8.8999999999999982E-2</v>
          </cell>
          <cell r="AF333">
            <v>0.16400000000000003</v>
          </cell>
          <cell r="AG333">
            <v>0.11617734016313935</v>
          </cell>
          <cell r="AH333">
            <v>9.9999999999999978E-2</v>
          </cell>
          <cell r="AI333">
            <v>7.0999999999999952E-2</v>
          </cell>
          <cell r="AJ333">
            <v>0.11499999999999999</v>
          </cell>
          <cell r="AK333">
            <v>9.8999999999999977E-2</v>
          </cell>
          <cell r="AL333">
            <v>9.2892208406887181E-2</v>
          </cell>
        </row>
        <row r="335">
          <cell r="B335" t="str">
            <v>Subtotal</v>
          </cell>
          <cell r="I335">
            <v>0.23368749999999999</v>
          </cell>
          <cell r="J335">
            <v>0.232375</v>
          </cell>
          <cell r="K335">
            <v>0.23021875</v>
          </cell>
          <cell r="L335">
            <v>0.22762499999999999</v>
          </cell>
          <cell r="U335">
            <v>27.11225</v>
          </cell>
          <cell r="V335">
            <v>26.64421875</v>
          </cell>
          <cell r="W335">
            <v>53.756468749999996</v>
          </cell>
          <cell r="X335">
            <v>26.354500000000002</v>
          </cell>
          <cell r="Y335">
            <v>26.45265625</v>
          </cell>
          <cell r="Z335">
            <v>26.569031250000002</v>
          </cell>
          <cell r="AA335">
            <v>26.661656249999997</v>
          </cell>
          <cell r="AB335">
            <v>106.03784375000001</v>
          </cell>
          <cell r="AC335">
            <v>27.038749999999997</v>
          </cell>
          <cell r="AD335">
            <v>27.457656249999996</v>
          </cell>
          <cell r="AE335">
            <v>27.923562499999999</v>
          </cell>
          <cell r="AF335">
            <v>28.476624999999999</v>
          </cell>
          <cell r="AG335">
            <v>110.89659374999999</v>
          </cell>
          <cell r="AH335">
            <v>28.668187499999995</v>
          </cell>
          <cell r="AI335">
            <v>28.506625000000003</v>
          </cell>
          <cell r="AJ335">
            <v>28.343531250000005</v>
          </cell>
          <cell r="AK335">
            <v>28.196406249999999</v>
          </cell>
          <cell r="AL335">
            <v>113.71475000000001</v>
          </cell>
        </row>
        <row r="336">
          <cell r="B336" t="str">
            <v>Adjustments (FX, Other)</v>
          </cell>
          <cell r="I336">
            <v>0.2195430552114796</v>
          </cell>
          <cell r="J336">
            <v>0.20600015596839039</v>
          </cell>
          <cell r="K336">
            <v>0.23407893385583209</v>
          </cell>
          <cell r="L336">
            <v>0.22472846689506218</v>
          </cell>
          <cell r="U336">
            <v>3.1957500000000003</v>
          </cell>
          <cell r="V336">
            <v>1.6417812500000011</v>
          </cell>
          <cell r="W336">
            <v>4.8375312500000014</v>
          </cell>
          <cell r="X336">
            <v>4.8954999999999984</v>
          </cell>
          <cell r="Y336">
            <v>4.5203437499999986</v>
          </cell>
          <cell r="Z336">
            <v>2.2269687499999975</v>
          </cell>
          <cell r="AA336">
            <v>1.9053437500000037</v>
          </cell>
          <cell r="AB336">
            <v>13.548156249999998</v>
          </cell>
          <cell r="AC336">
            <v>3.9242500000000042</v>
          </cell>
          <cell r="AD336">
            <v>3.5313437500000049</v>
          </cell>
          <cell r="AE336">
            <v>2.1314375000000005</v>
          </cell>
          <cell r="AF336">
            <v>2.6673749999999998</v>
          </cell>
          <cell r="AG336">
            <v>12.254406250000009</v>
          </cell>
          <cell r="AH336">
            <v>3.7718125000000029</v>
          </cell>
          <cell r="AI336">
            <v>0.96837499999999821</v>
          </cell>
          <cell r="AJ336">
            <v>1.1314687499999962</v>
          </cell>
          <cell r="AK336">
            <v>1.2785937500000024</v>
          </cell>
          <cell r="AL336">
            <v>7.1502499999999998</v>
          </cell>
        </row>
        <row r="337">
          <cell r="B337" t="str">
            <v>Governance revenue</v>
          </cell>
          <cell r="D337">
            <v>0.41809369580447697</v>
          </cell>
          <cell r="E337">
            <v>0.37685911303407238</v>
          </cell>
          <cell r="F337">
            <v>0.43720713798738198</v>
          </cell>
          <cell r="G337">
            <v>0.47916543705365044</v>
          </cell>
          <cell r="I337">
            <v>0.45323055521147959</v>
          </cell>
          <cell r="J337">
            <v>0.43837515596839038</v>
          </cell>
          <cell r="K337">
            <v>0.46429768385583209</v>
          </cell>
          <cell r="L337">
            <v>0.45235346689506217</v>
          </cell>
          <cell r="U337">
            <v>30.308</v>
          </cell>
          <cell r="V337">
            <v>28.286000000000001</v>
          </cell>
          <cell r="W337">
            <v>58.594000000000001</v>
          </cell>
          <cell r="X337">
            <v>31.25</v>
          </cell>
          <cell r="Y337">
            <v>30.972999999999999</v>
          </cell>
          <cell r="Z337">
            <v>28.795999999999999</v>
          </cell>
          <cell r="AA337">
            <v>28.567</v>
          </cell>
          <cell r="AB337">
            <v>119.58600000000001</v>
          </cell>
          <cell r="AC337">
            <v>30.963000000000001</v>
          </cell>
          <cell r="AD337">
            <v>30.989000000000001</v>
          </cell>
          <cell r="AE337">
            <v>30.055</v>
          </cell>
          <cell r="AF337">
            <v>31.143999999999998</v>
          </cell>
          <cell r="AG337">
            <v>123.15100000000001</v>
          </cell>
          <cell r="AH337">
            <v>32.44</v>
          </cell>
          <cell r="AI337">
            <v>29.475000000000001</v>
          </cell>
          <cell r="AJ337">
            <v>29.475000000000001</v>
          </cell>
          <cell r="AK337">
            <v>29.475000000000001</v>
          </cell>
          <cell r="AL337">
            <v>120.86500000000001</v>
          </cell>
        </row>
        <row r="338">
          <cell r="Z338">
            <v>-4.9887818397782779E-2</v>
          </cell>
          <cell r="AA338">
            <v>9.9342430884536981E-3</v>
          </cell>
          <cell r="AC338">
            <v>-9.18399999999997E-3</v>
          </cell>
          <cell r="AD338">
            <v>5.1657895586476599E-4</v>
          </cell>
          <cell r="AE338">
            <v>4.3721350187525987E-2</v>
          </cell>
          <cell r="AF338">
            <v>9.0208982392270709E-2</v>
          </cell>
          <cell r="AG338">
            <v>2.981118191092591E-2</v>
          </cell>
          <cell r="AH338">
            <v>4.770209605012421E-2</v>
          </cell>
          <cell r="AI338">
            <v>-4.8856045693633221E-2</v>
          </cell>
          <cell r="AJ338">
            <v>-1.9297953751455599E-2</v>
          </cell>
          <cell r="AK338">
            <v>-5.3589776521962396E-2</v>
          </cell>
          <cell r="AL338">
            <v>6.8174386439359802E-2</v>
          </cell>
        </row>
        <row r="340">
          <cell r="AM340" t="str">
            <v>1Q13R</v>
          </cell>
          <cell r="AN340" t="str">
            <v>2Q13R</v>
          </cell>
          <cell r="AO340" t="str">
            <v>3Q13R</v>
          </cell>
          <cell r="AP340" t="str">
            <v>4Q13R</v>
          </cell>
          <cell r="AQ340" t="str">
            <v>2013R</v>
          </cell>
          <cell r="AR340" t="str">
            <v>1Q14</v>
          </cell>
          <cell r="AS340" t="str">
            <v>2Q14</v>
          </cell>
          <cell r="AT340" t="str">
            <v>3Q14</v>
          </cell>
          <cell r="AU340" t="str">
            <v>4Q14</v>
          </cell>
          <cell r="AV340">
            <v>2014</v>
          </cell>
          <cell r="AW340" t="str">
            <v>1Q15</v>
          </cell>
          <cell r="AX340" t="str">
            <v>2Q15</v>
          </cell>
          <cell r="AY340" t="str">
            <v>3Q15</v>
          </cell>
          <cell r="AZ340" t="str">
            <v>4Q15</v>
          </cell>
          <cell r="BA340">
            <v>2015</v>
          </cell>
          <cell r="BB340" t="str">
            <v>1Q16</v>
          </cell>
          <cell r="BC340" t="str">
            <v>2Q16</v>
          </cell>
          <cell r="BD340" t="str">
            <v>3Q16</v>
          </cell>
          <cell r="BE340" t="str">
            <v>4Q16</v>
          </cell>
          <cell r="BF340" t="str">
            <v>2016E</v>
          </cell>
          <cell r="BG340" t="str">
            <v>1Q17E</v>
          </cell>
          <cell r="BH340" t="str">
            <v>2Q17E</v>
          </cell>
          <cell r="BI340" t="str">
            <v>3Q17E</v>
          </cell>
          <cell r="BJ340" t="str">
            <v>4Q17E</v>
          </cell>
          <cell r="BK340" t="str">
            <v>2017E</v>
          </cell>
          <cell r="BL340" t="str">
            <v>1Q18E</v>
          </cell>
          <cell r="BM340" t="str">
            <v>2Q18E</v>
          </cell>
          <cell r="BN340" t="str">
            <v>3Q18E</v>
          </cell>
          <cell r="BO340" t="str">
            <v>4Q18E</v>
          </cell>
          <cell r="BP340" t="str">
            <v>2018E</v>
          </cell>
          <cell r="BQ340" t="str">
            <v>1Q19E</v>
          </cell>
          <cell r="BR340" t="str">
            <v>2Q19E</v>
          </cell>
          <cell r="BS340" t="str">
            <v>3Q19E</v>
          </cell>
          <cell r="BT340" t="str">
            <v>4Q19E</v>
          </cell>
          <cell r="BU340" t="str">
            <v>2019E</v>
          </cell>
          <cell r="BV340" t="str">
            <v>1Q20E</v>
          </cell>
          <cell r="BW340" t="str">
            <v>2Q20E</v>
          </cell>
          <cell r="BX340" t="str">
            <v>3Q20E</v>
          </cell>
          <cell r="BY340" t="str">
            <v>4Q20E</v>
          </cell>
          <cell r="BZ340" t="str">
            <v>2020E</v>
          </cell>
        </row>
        <row r="341">
          <cell r="A341" t="str">
            <v>ESG</v>
          </cell>
        </row>
        <row r="343">
          <cell r="B343" t="str">
            <v>Annualized run rate</v>
          </cell>
          <cell r="AM343">
            <v>19.899999999999999</v>
          </cell>
          <cell r="AN343">
            <v>20.6</v>
          </cell>
          <cell r="AO343">
            <v>21.8</v>
          </cell>
          <cell r="AP343">
            <v>22.9</v>
          </cell>
          <cell r="AQ343">
            <v>22.9</v>
          </cell>
          <cell r="AR343">
            <v>24.3</v>
          </cell>
          <cell r="AS343">
            <v>25.2</v>
          </cell>
          <cell r="AT343">
            <v>33.5</v>
          </cell>
          <cell r="AU343">
            <v>34.5</v>
          </cell>
          <cell r="AV343">
            <v>34.5</v>
          </cell>
          <cell r="AW343">
            <v>35.299999999999997</v>
          </cell>
          <cell r="AX343">
            <v>37.200000000000003</v>
          </cell>
          <cell r="AY343">
            <v>38.799999999999997</v>
          </cell>
          <cell r="AZ343">
            <v>40.299999999999997</v>
          </cell>
          <cell r="BA343">
            <v>40.299999999999997</v>
          </cell>
          <cell r="BB343">
            <v>42.049499999999995</v>
          </cell>
          <cell r="BC343">
            <v>43.615224999999995</v>
          </cell>
          <cell r="BD343">
            <v>45.504374999999996</v>
          </cell>
          <cell r="BE343">
            <v>47.301449999999996</v>
          </cell>
          <cell r="BF343">
            <v>47.301449999999996</v>
          </cell>
          <cell r="BG343">
            <v>49.110708249999995</v>
          </cell>
          <cell r="BH343">
            <v>50.785589399999992</v>
          </cell>
          <cell r="BI343">
            <v>52.784587937499992</v>
          </cell>
          <cell r="BJ343">
            <v>54.642216612499993</v>
          </cell>
          <cell r="BK343">
            <v>54.642216612499993</v>
          </cell>
          <cell r="BL343">
            <v>56.517677963312494</v>
          </cell>
          <cell r="BM343">
            <v>58.325717918115615</v>
          </cell>
          <cell r="BN343">
            <v>60.459407735703117</v>
          </cell>
          <cell r="BO343">
            <v>62.400527733012495</v>
          </cell>
          <cell r="BP343">
            <v>62.400527733012495</v>
          </cell>
          <cell r="BQ343">
            <v>64.348271039017305</v>
          </cell>
          <cell r="BR343">
            <v>66.236656858154404</v>
          </cell>
          <cell r="BS343">
            <v>68.452837911693194</v>
          </cell>
          <cell r="BT343">
            <v>70.422652358968605</v>
          </cell>
          <cell r="BU343">
            <v>70.422652358968605</v>
          </cell>
          <cell r="BV343">
            <v>72.451926381124082</v>
          </cell>
          <cell r="BW343">
            <v>74.429563677306191</v>
          </cell>
          <cell r="BX343">
            <v>76.738757913953734</v>
          </cell>
          <cell r="BY343">
            <v>78.746885483131834</v>
          </cell>
          <cell r="BZ343">
            <v>78.746885483131834</v>
          </cell>
          <cell r="CB343">
            <v>0.10731653841843047</v>
          </cell>
        </row>
        <row r="344">
          <cell r="B344" t="str">
            <v>Revenue</v>
          </cell>
          <cell r="AR344">
            <v>0.22110552763819102</v>
          </cell>
          <cell r="AS344">
            <v>0.22330097087378631</v>
          </cell>
          <cell r="AT344">
            <v>0.53669724770642202</v>
          </cell>
          <cell r="AU344">
            <v>0.50655021834061142</v>
          </cell>
          <cell r="AW344">
            <v>0.4526748971193415</v>
          </cell>
          <cell r="AX344">
            <v>0.47619047619047628</v>
          </cell>
          <cell r="AY344">
            <v>0.15820895522388057</v>
          </cell>
          <cell r="AZ344">
            <v>0.1681159420289855</v>
          </cell>
        </row>
        <row r="345">
          <cell r="B345" t="str">
            <v>Subscription revenue - 1st quarter, 12.5%</v>
          </cell>
          <cell r="AM345">
            <v>0</v>
          </cell>
          <cell r="AN345">
            <v>0</v>
          </cell>
          <cell r="AO345">
            <v>0</v>
          </cell>
          <cell r="AP345">
            <v>0</v>
          </cell>
          <cell r="AQ345">
            <v>0</v>
          </cell>
          <cell r="AR345">
            <v>0</v>
          </cell>
          <cell r="AS345">
            <v>0</v>
          </cell>
          <cell r="AT345">
            <v>0</v>
          </cell>
          <cell r="AU345">
            <v>0</v>
          </cell>
          <cell r="AV345">
            <v>0</v>
          </cell>
          <cell r="AW345">
            <v>0.62187499999999996</v>
          </cell>
          <cell r="AX345">
            <v>0.78749999999999998</v>
          </cell>
          <cell r="AY345">
            <v>1.046875</v>
          </cell>
          <cell r="AZ345">
            <v>1.078125</v>
          </cell>
          <cell r="BA345">
            <v>3.5343749999999998</v>
          </cell>
          <cell r="BB345">
            <v>1.1031249999999999</v>
          </cell>
          <cell r="BC345">
            <v>1.1625000000000001</v>
          </cell>
          <cell r="BD345">
            <v>1.2124999999999999</v>
          </cell>
          <cell r="BE345">
            <v>1.2593749999999999</v>
          </cell>
          <cell r="BF345">
            <v>4.7374999999999998</v>
          </cell>
          <cell r="BG345">
            <v>1.3140468749999998</v>
          </cell>
          <cell r="BH345">
            <v>1.3629757812499999</v>
          </cell>
          <cell r="BI345">
            <v>1.4220117187499999</v>
          </cell>
          <cell r="BJ345">
            <v>1.4781703124999999</v>
          </cell>
          <cell r="BK345">
            <v>5.5772046874999992</v>
          </cell>
          <cell r="BL345">
            <v>1.5347096328124998</v>
          </cell>
          <cell r="BM345">
            <v>1.5870496687499998</v>
          </cell>
          <cell r="BN345">
            <v>1.6495183730468748</v>
          </cell>
          <cell r="BO345">
            <v>1.7075692691406248</v>
          </cell>
          <cell r="BP345">
            <v>6.4788469437499989</v>
          </cell>
          <cell r="BQ345">
            <v>1.7661774363535154</v>
          </cell>
          <cell r="BR345">
            <v>1.822678684941113</v>
          </cell>
          <cell r="BS345">
            <v>1.8893564917407224</v>
          </cell>
          <cell r="BT345">
            <v>1.9500164916566405</v>
          </cell>
          <cell r="BU345">
            <v>7.428229104691991</v>
          </cell>
          <cell r="BV345">
            <v>2.0108834699692908</v>
          </cell>
          <cell r="BW345">
            <v>2.0698955268173251</v>
          </cell>
          <cell r="BX345">
            <v>2.1391511847404123</v>
          </cell>
          <cell r="BY345">
            <v>2.2007078862177689</v>
          </cell>
          <cell r="BZ345">
            <v>8.4206380677447967</v>
          </cell>
        </row>
        <row r="346">
          <cell r="B346" t="str">
            <v>Subscription revenue - 2nd quarter, 25%</v>
          </cell>
          <cell r="AM346">
            <v>0</v>
          </cell>
          <cell r="AN346">
            <v>0</v>
          </cell>
          <cell r="AO346">
            <v>0</v>
          </cell>
          <cell r="AP346">
            <v>0</v>
          </cell>
          <cell r="AQ346">
            <v>0</v>
          </cell>
          <cell r="AR346">
            <v>0</v>
          </cell>
          <cell r="AS346">
            <v>0</v>
          </cell>
          <cell r="AT346">
            <v>0</v>
          </cell>
          <cell r="AU346">
            <v>0</v>
          </cell>
          <cell r="AV346">
            <v>0</v>
          </cell>
          <cell r="AW346">
            <v>1.2875000000000001</v>
          </cell>
          <cell r="AX346">
            <v>2.09375</v>
          </cell>
          <cell r="AY346">
            <v>2.15625</v>
          </cell>
          <cell r="AZ346">
            <v>2.2062499999999998</v>
          </cell>
          <cell r="BA346">
            <v>7.7437499999999995</v>
          </cell>
          <cell r="BB346">
            <v>2.3250000000000002</v>
          </cell>
          <cell r="BC346">
            <v>2.4249999999999998</v>
          </cell>
          <cell r="BD346">
            <v>2.5187499999999998</v>
          </cell>
          <cell r="BE346">
            <v>2.6280937499999997</v>
          </cell>
          <cell r="BF346">
            <v>9.8968437499999986</v>
          </cell>
          <cell r="BG346">
            <v>2.7259515624999997</v>
          </cell>
          <cell r="BH346">
            <v>2.8440234374999998</v>
          </cell>
          <cell r="BI346">
            <v>2.9563406249999997</v>
          </cell>
          <cell r="BJ346">
            <v>3.0694192656249997</v>
          </cell>
          <cell r="BK346">
            <v>11.595734890624998</v>
          </cell>
          <cell r="BL346">
            <v>3.1740993374999995</v>
          </cell>
          <cell r="BM346">
            <v>3.2990367460937495</v>
          </cell>
          <cell r="BN346">
            <v>3.4151385382812496</v>
          </cell>
          <cell r="BO346">
            <v>3.5323548727070309</v>
          </cell>
          <cell r="BP346">
            <v>13.42062949458203</v>
          </cell>
          <cell r="BQ346">
            <v>3.6453573698822259</v>
          </cell>
          <cell r="BR346">
            <v>3.7787129834814448</v>
          </cell>
          <cell r="BS346">
            <v>3.900032983313281</v>
          </cell>
          <cell r="BT346">
            <v>4.0217669399385816</v>
          </cell>
          <cell r="BU346">
            <v>15.345870276615534</v>
          </cell>
          <cell r="BV346">
            <v>4.1397910536346503</v>
          </cell>
          <cell r="BW346">
            <v>4.2783023694808247</v>
          </cell>
          <cell r="BX346">
            <v>4.4014157724355378</v>
          </cell>
          <cell r="BY346">
            <v>4.5282453988202551</v>
          </cell>
          <cell r="BZ346">
            <v>17.347754594371267</v>
          </cell>
        </row>
        <row r="347">
          <cell r="B347" t="str">
            <v>Subscription revenue - 3rd quarter, 25%</v>
          </cell>
          <cell r="AM347">
            <v>0</v>
          </cell>
          <cell r="AN347">
            <v>0</v>
          </cell>
          <cell r="AO347">
            <v>0</v>
          </cell>
          <cell r="AP347">
            <v>0</v>
          </cell>
          <cell r="AQ347">
            <v>0</v>
          </cell>
          <cell r="AR347">
            <v>0</v>
          </cell>
          <cell r="AS347">
            <v>0</v>
          </cell>
          <cell r="AT347">
            <v>0</v>
          </cell>
          <cell r="AU347">
            <v>1.2437499999999999</v>
          </cell>
          <cell r="AV347">
            <v>1.2437499999999999</v>
          </cell>
          <cell r="AW347">
            <v>1.3625</v>
          </cell>
          <cell r="AX347">
            <v>2.15625</v>
          </cell>
          <cell r="AY347">
            <v>2.2062499999999998</v>
          </cell>
          <cell r="AZ347">
            <v>2.3250000000000002</v>
          </cell>
          <cell r="BA347">
            <v>8.0500000000000007</v>
          </cell>
          <cell r="BB347">
            <v>2.4249999999999998</v>
          </cell>
          <cell r="BC347">
            <v>2.5187499999999998</v>
          </cell>
          <cell r="BD347">
            <v>2.6280937499999997</v>
          </cell>
          <cell r="BE347">
            <v>2.7259515624999997</v>
          </cell>
          <cell r="BF347">
            <v>10.2977953125</v>
          </cell>
          <cell r="BG347">
            <v>2.8440234374999998</v>
          </cell>
          <cell r="BH347">
            <v>2.9563406249999997</v>
          </cell>
          <cell r="BI347">
            <v>3.0694192656249997</v>
          </cell>
          <cell r="BJ347">
            <v>3.1740993374999995</v>
          </cell>
          <cell r="BK347">
            <v>12.043882665624999</v>
          </cell>
          <cell r="BL347">
            <v>3.2990367460937495</v>
          </cell>
          <cell r="BM347">
            <v>3.4151385382812496</v>
          </cell>
          <cell r="BN347">
            <v>3.5323548727070309</v>
          </cell>
          <cell r="BO347">
            <v>3.6453573698822259</v>
          </cell>
          <cell r="BP347">
            <v>13.891887526964258</v>
          </cell>
          <cell r="BQ347">
            <v>3.7787129834814448</v>
          </cell>
          <cell r="BR347">
            <v>3.900032983313281</v>
          </cell>
          <cell r="BS347">
            <v>4.0217669399385816</v>
          </cell>
          <cell r="BT347">
            <v>4.1397910536346503</v>
          </cell>
          <cell r="BU347">
            <v>15.840303960367958</v>
          </cell>
          <cell r="BV347">
            <v>4.2783023694808247</v>
          </cell>
          <cell r="BW347">
            <v>4.4014157724355378</v>
          </cell>
          <cell r="BX347">
            <v>4.5282453988202551</v>
          </cell>
          <cell r="BY347">
            <v>4.651847729831637</v>
          </cell>
          <cell r="BZ347">
            <v>17.859811270568255</v>
          </cell>
        </row>
        <row r="348">
          <cell r="B348" t="str">
            <v>Subscription revenue - 4th quarter, 25%</v>
          </cell>
          <cell r="AM348">
            <v>0</v>
          </cell>
          <cell r="AN348">
            <v>0</v>
          </cell>
          <cell r="AO348">
            <v>0</v>
          </cell>
          <cell r="AP348">
            <v>0</v>
          </cell>
          <cell r="AQ348">
            <v>0</v>
          </cell>
          <cell r="AR348">
            <v>0</v>
          </cell>
          <cell r="AS348">
            <v>1.51875</v>
          </cell>
          <cell r="AT348">
            <v>1.575</v>
          </cell>
          <cell r="AU348">
            <v>2.09375</v>
          </cell>
          <cell r="AV348">
            <v>5.1875</v>
          </cell>
          <cell r="AW348">
            <v>1.4312499999999999</v>
          </cell>
          <cell r="AX348">
            <v>2.2062499999999998</v>
          </cell>
          <cell r="AY348">
            <v>2.3250000000000002</v>
          </cell>
          <cell r="AZ348">
            <v>2.4249999999999998</v>
          </cell>
          <cell r="BA348">
            <v>8.3874999999999993</v>
          </cell>
          <cell r="BB348">
            <v>2.5187499999999998</v>
          </cell>
          <cell r="BC348">
            <v>2.6280937499999997</v>
          </cell>
          <cell r="BD348">
            <v>2.7259515624999997</v>
          </cell>
          <cell r="BE348">
            <v>2.8440234374999998</v>
          </cell>
          <cell r="BF348">
            <v>10.716818749999998</v>
          </cell>
          <cell r="BG348">
            <v>2.9563406249999997</v>
          </cell>
          <cell r="BH348">
            <v>3.0694192656249997</v>
          </cell>
          <cell r="BI348">
            <v>3.1740993374999995</v>
          </cell>
          <cell r="BJ348">
            <v>3.2990367460937495</v>
          </cell>
          <cell r="BK348">
            <v>12.498895974218749</v>
          </cell>
          <cell r="BL348">
            <v>3.4151385382812496</v>
          </cell>
          <cell r="BM348">
            <v>3.5323548727070309</v>
          </cell>
          <cell r="BN348">
            <v>3.6453573698822259</v>
          </cell>
          <cell r="BO348">
            <v>3.7787129834814448</v>
          </cell>
          <cell r="BP348">
            <v>14.371563764351951</v>
          </cell>
          <cell r="BQ348">
            <v>3.900032983313281</v>
          </cell>
          <cell r="BR348">
            <v>4.0217669399385816</v>
          </cell>
          <cell r="BS348">
            <v>4.1397910536346503</v>
          </cell>
          <cell r="BT348">
            <v>4.2783023694808247</v>
          </cell>
          <cell r="BU348">
            <v>16.33989334636734</v>
          </cell>
          <cell r="BV348">
            <v>4.4014157724355378</v>
          </cell>
          <cell r="BW348">
            <v>4.5282453988202551</v>
          </cell>
          <cell r="BX348">
            <v>4.651847729831637</v>
          </cell>
          <cell r="BY348">
            <v>4.7961723696221084</v>
          </cell>
          <cell r="BZ348">
            <v>18.377681270709537</v>
          </cell>
        </row>
        <row r="349">
          <cell r="B349" t="str">
            <v>Subscription revenue - 5th quarter, 12.5%</v>
          </cell>
          <cell r="AM349">
            <v>0</v>
          </cell>
          <cell r="AN349">
            <v>0</v>
          </cell>
          <cell r="AO349">
            <v>0</v>
          </cell>
          <cell r="AP349">
            <v>0</v>
          </cell>
          <cell r="AQ349">
            <v>0</v>
          </cell>
          <cell r="AR349">
            <v>0.75937500000000002</v>
          </cell>
          <cell r="AS349">
            <v>0.78749999999999998</v>
          </cell>
          <cell r="AT349">
            <v>1.046875</v>
          </cell>
          <cell r="AU349">
            <v>1.078125</v>
          </cell>
          <cell r="AV349">
            <v>3.671875</v>
          </cell>
          <cell r="AW349">
            <v>1.1031249999999999</v>
          </cell>
          <cell r="AX349">
            <v>1.1625000000000001</v>
          </cell>
          <cell r="AY349">
            <v>1.2124999999999999</v>
          </cell>
          <cell r="AZ349">
            <v>1.2593749999999999</v>
          </cell>
          <cell r="BA349">
            <v>4.7374999999999998</v>
          </cell>
          <cell r="BB349">
            <v>1.3140468749999998</v>
          </cell>
          <cell r="BC349">
            <v>1.3629757812499999</v>
          </cell>
          <cell r="BD349">
            <v>1.4220117187499999</v>
          </cell>
          <cell r="BE349">
            <v>1.4781703124999999</v>
          </cell>
          <cell r="BF349">
            <v>5.5772046874999992</v>
          </cell>
          <cell r="BG349">
            <v>1.5347096328124998</v>
          </cell>
          <cell r="BH349">
            <v>1.5870496687499998</v>
          </cell>
          <cell r="BI349">
            <v>1.6495183730468748</v>
          </cell>
          <cell r="BJ349">
            <v>1.7075692691406248</v>
          </cell>
          <cell r="BK349">
            <v>6.4788469437499989</v>
          </cell>
          <cell r="BL349">
            <v>1.7661774363535154</v>
          </cell>
          <cell r="BM349">
            <v>1.822678684941113</v>
          </cell>
          <cell r="BN349">
            <v>1.8893564917407224</v>
          </cell>
          <cell r="BO349">
            <v>1.9500164916566405</v>
          </cell>
          <cell r="BP349">
            <v>7.428229104691991</v>
          </cell>
          <cell r="BQ349">
            <v>2.0108834699692908</v>
          </cell>
          <cell r="BR349">
            <v>2.0698955268173251</v>
          </cell>
          <cell r="BS349">
            <v>2.1391511847404123</v>
          </cell>
          <cell r="BT349">
            <v>2.2007078862177689</v>
          </cell>
          <cell r="BU349">
            <v>8.4206380677447967</v>
          </cell>
          <cell r="BV349">
            <v>2.2641226994101276</v>
          </cell>
          <cell r="BW349">
            <v>2.3259238649158185</v>
          </cell>
          <cell r="BX349">
            <v>2.3980861848110542</v>
          </cell>
          <cell r="BY349">
            <v>2.4608401713478698</v>
          </cell>
          <cell r="BZ349">
            <v>9.44897292048487</v>
          </cell>
        </row>
        <row r="351">
          <cell r="B351" t="str">
            <v>Quarterly new sales</v>
          </cell>
          <cell r="AM351">
            <v>1</v>
          </cell>
          <cell r="AN351">
            <v>1.4</v>
          </cell>
          <cell r="AO351">
            <v>1.4</v>
          </cell>
          <cell r="AP351">
            <v>1.6</v>
          </cell>
          <cell r="AQ351">
            <v>5.4</v>
          </cell>
          <cell r="AR351">
            <v>1.7</v>
          </cell>
          <cell r="AS351">
            <v>1.2</v>
          </cell>
          <cell r="AT351">
            <v>1.8</v>
          </cell>
          <cell r="AU351">
            <v>2.2999999999999998</v>
          </cell>
          <cell r="AV351">
            <v>6.9</v>
          </cell>
          <cell r="AW351">
            <v>2.2000000000000002</v>
          </cell>
          <cell r="AX351">
            <v>2</v>
          </cell>
          <cell r="AY351">
            <v>2.5</v>
          </cell>
          <cell r="AZ351">
            <v>2.8</v>
          </cell>
          <cell r="BA351">
            <v>9.5</v>
          </cell>
          <cell r="BB351">
            <v>2.3540000000000005</v>
          </cell>
          <cell r="BC351">
            <v>2.14</v>
          </cell>
          <cell r="BD351">
            <v>2.6750000000000003</v>
          </cell>
          <cell r="BE351">
            <v>2.996</v>
          </cell>
          <cell r="BF351">
            <v>10.165000000000001</v>
          </cell>
          <cell r="BG351">
            <v>2.5187800000000009</v>
          </cell>
          <cell r="BH351">
            <v>2.2898000000000001</v>
          </cell>
          <cell r="BI351">
            <v>2.8622500000000004</v>
          </cell>
          <cell r="BJ351">
            <v>3.2057200000000003</v>
          </cell>
          <cell r="BK351">
            <v>10.876550000000002</v>
          </cell>
          <cell r="BL351">
            <v>2.6950946000000013</v>
          </cell>
          <cell r="BM351">
            <v>2.4500860000000002</v>
          </cell>
          <cell r="BN351">
            <v>3.0626075000000008</v>
          </cell>
          <cell r="BO351">
            <v>3.4301204000000007</v>
          </cell>
          <cell r="BP351">
            <v>11.637908500000002</v>
          </cell>
          <cell r="BQ351">
            <v>2.8837512220000017</v>
          </cell>
          <cell r="BR351">
            <v>2.6215920200000005</v>
          </cell>
          <cell r="BS351">
            <v>3.2769900250000012</v>
          </cell>
          <cell r="BT351">
            <v>3.6702288280000008</v>
          </cell>
          <cell r="BU351">
            <v>12.452562095000005</v>
          </cell>
          <cell r="BV351">
            <v>3.0856138075400019</v>
          </cell>
          <cell r="BW351">
            <v>2.8051034614000008</v>
          </cell>
          <cell r="BX351">
            <v>3.5063793267500016</v>
          </cell>
          <cell r="BY351">
            <v>3.9271448459600009</v>
          </cell>
          <cell r="BZ351">
            <v>13.324241441650006</v>
          </cell>
        </row>
        <row r="352">
          <cell r="B352" t="str">
            <v>y/y change</v>
          </cell>
          <cell r="AR352">
            <v>0.7</v>
          </cell>
          <cell r="AS352">
            <v>-0.14285714285714279</v>
          </cell>
          <cell r="AT352">
            <v>0.28571428571428581</v>
          </cell>
          <cell r="AU352">
            <v>0.43749999999999978</v>
          </cell>
          <cell r="AV352">
            <v>0.27777777777777768</v>
          </cell>
          <cell r="AW352">
            <v>0.29411764705882359</v>
          </cell>
          <cell r="AX352">
            <v>0.66666666666666674</v>
          </cell>
          <cell r="AY352">
            <v>0.38888888888888884</v>
          </cell>
          <cell r="AZ352">
            <v>0.21739130434782616</v>
          </cell>
          <cell r="BA352">
            <v>0.37681159420289845</v>
          </cell>
          <cell r="BB352">
            <v>7.0000000000000062E-2</v>
          </cell>
          <cell r="BC352">
            <v>7.0000000000000062E-2</v>
          </cell>
          <cell r="BD352">
            <v>7.0000000000000062E-2</v>
          </cell>
          <cell r="BE352">
            <v>7.0000000000000062E-2</v>
          </cell>
          <cell r="BF352">
            <v>7.0000000000000062E-2</v>
          </cell>
          <cell r="BG352">
            <v>7.0000000000000062E-2</v>
          </cell>
          <cell r="BH352">
            <v>7.0000000000000062E-2</v>
          </cell>
          <cell r="BI352">
            <v>7.0000000000000062E-2</v>
          </cell>
          <cell r="BJ352">
            <v>7.0000000000000062E-2</v>
          </cell>
          <cell r="BK352">
            <v>7.0000000000000062E-2</v>
          </cell>
          <cell r="BL352">
            <v>7.0000000000000062E-2</v>
          </cell>
          <cell r="BM352">
            <v>7.0000000000000062E-2</v>
          </cell>
          <cell r="BN352">
            <v>7.0000000000000062E-2</v>
          </cell>
          <cell r="BO352">
            <v>7.0000000000000062E-2</v>
          </cell>
          <cell r="BP352">
            <v>7.0000000000000062E-2</v>
          </cell>
          <cell r="BQ352">
            <v>7.0000000000000062E-2</v>
          </cell>
          <cell r="BR352">
            <v>7.0000000000000062E-2</v>
          </cell>
          <cell r="BS352">
            <v>7.0000000000000062E-2</v>
          </cell>
          <cell r="BT352">
            <v>7.0000000000000062E-2</v>
          </cell>
          <cell r="BU352">
            <v>7.0000000000000284E-2</v>
          </cell>
          <cell r="BV352">
            <v>7.0000000000000062E-2</v>
          </cell>
          <cell r="BW352">
            <v>7.0000000000000062E-2</v>
          </cell>
          <cell r="BX352">
            <v>7.0000000000000062E-2</v>
          </cell>
          <cell r="BY352">
            <v>7.0000000000000062E-2</v>
          </cell>
          <cell r="BZ352">
            <v>7.0000000000000062E-2</v>
          </cell>
        </row>
        <row r="353">
          <cell r="B353" t="str">
            <v>BULL</v>
          </cell>
          <cell r="BB353">
            <v>2.4717000000000007</v>
          </cell>
          <cell r="BC353">
            <v>2.2470000000000003</v>
          </cell>
          <cell r="BD353">
            <v>2.8087500000000003</v>
          </cell>
          <cell r="BE353">
            <v>3.1457999999999999</v>
          </cell>
          <cell r="BG353">
            <v>2.6447190000000012</v>
          </cell>
          <cell r="BH353">
            <v>2.40429</v>
          </cell>
          <cell r="BI353">
            <v>3.0053625000000004</v>
          </cell>
          <cell r="BJ353">
            <v>3.3660060000000005</v>
          </cell>
          <cell r="BL353">
            <v>2.8298493300000014</v>
          </cell>
          <cell r="BM353">
            <v>2.5725903000000003</v>
          </cell>
          <cell r="BN353">
            <v>3.2157378750000012</v>
          </cell>
          <cell r="BO353">
            <v>3.601626420000001</v>
          </cell>
          <cell r="BQ353">
            <v>3.027938783100002</v>
          </cell>
          <cell r="BR353">
            <v>2.7526716210000006</v>
          </cell>
          <cell r="BS353">
            <v>3.4408395262500013</v>
          </cell>
          <cell r="BT353">
            <v>3.8537402694000011</v>
          </cell>
          <cell r="BV353">
            <v>3.2398944979170023</v>
          </cell>
          <cell r="BW353">
            <v>2.9453586344700011</v>
          </cell>
          <cell r="BX353">
            <v>3.6816982930875017</v>
          </cell>
          <cell r="BY353">
            <v>4.1235020882580011</v>
          </cell>
        </row>
        <row r="354">
          <cell r="B354" t="str">
            <v>BASE</v>
          </cell>
          <cell r="AM354">
            <v>1</v>
          </cell>
          <cell r="AN354">
            <v>1.4</v>
          </cell>
          <cell r="AO354">
            <v>1.4</v>
          </cell>
          <cell r="AP354">
            <v>1.6</v>
          </cell>
          <cell r="AR354">
            <v>1.7</v>
          </cell>
          <cell r="AS354">
            <v>1.2</v>
          </cell>
          <cell r="AT354">
            <v>1.8</v>
          </cell>
          <cell r="AU354">
            <v>2.2999999999999998</v>
          </cell>
          <cell r="AW354">
            <v>2.2000000000000002</v>
          </cell>
          <cell r="AX354">
            <v>2</v>
          </cell>
          <cell r="AY354">
            <v>2.5</v>
          </cell>
          <cell r="AZ354">
            <v>2.8</v>
          </cell>
          <cell r="BB354">
            <v>2.3540000000000005</v>
          </cell>
          <cell r="BC354">
            <v>2.14</v>
          </cell>
          <cell r="BD354">
            <v>2.6750000000000003</v>
          </cell>
          <cell r="BE354">
            <v>2.996</v>
          </cell>
          <cell r="BG354">
            <v>2.5187800000000009</v>
          </cell>
          <cell r="BH354">
            <v>2.2898000000000001</v>
          </cell>
          <cell r="BI354">
            <v>2.8622500000000004</v>
          </cell>
          <cell r="BJ354">
            <v>3.2057200000000003</v>
          </cell>
          <cell r="BL354">
            <v>2.6950946000000013</v>
          </cell>
          <cell r="BM354">
            <v>2.4500860000000002</v>
          </cell>
          <cell r="BN354">
            <v>3.0626075000000008</v>
          </cell>
          <cell r="BO354">
            <v>3.4301204000000007</v>
          </cell>
          <cell r="BQ354">
            <v>2.8837512220000017</v>
          </cell>
          <cell r="BR354">
            <v>2.6215920200000005</v>
          </cell>
          <cell r="BS354">
            <v>3.2769900250000012</v>
          </cell>
          <cell r="BT354">
            <v>3.6702288280000008</v>
          </cell>
          <cell r="BV354">
            <v>3.0856138075400019</v>
          </cell>
          <cell r="BW354">
            <v>2.8051034614000008</v>
          </cell>
          <cell r="BX354">
            <v>3.5063793267500016</v>
          </cell>
          <cell r="BY354">
            <v>3.9271448459600009</v>
          </cell>
        </row>
        <row r="355">
          <cell r="B355" t="str">
            <v>BEAR</v>
          </cell>
          <cell r="BB355">
            <v>1.8832000000000004</v>
          </cell>
          <cell r="BC355">
            <v>1.7120000000000002</v>
          </cell>
          <cell r="BD355">
            <v>2.14</v>
          </cell>
          <cell r="BE355">
            <v>2.3968000000000003</v>
          </cell>
          <cell r="BG355">
            <v>2.0150240000000008</v>
          </cell>
          <cell r="BH355">
            <v>1.8318400000000001</v>
          </cell>
          <cell r="BI355">
            <v>2.2898000000000005</v>
          </cell>
          <cell r="BJ355">
            <v>2.5645760000000006</v>
          </cell>
          <cell r="BL355">
            <v>2.1560756800000012</v>
          </cell>
          <cell r="BM355">
            <v>1.9600688000000002</v>
          </cell>
          <cell r="BN355">
            <v>2.4500860000000007</v>
          </cell>
          <cell r="BO355">
            <v>2.7440963200000006</v>
          </cell>
          <cell r="BQ355">
            <v>2.3070009776000013</v>
          </cell>
          <cell r="BR355">
            <v>2.0972736160000003</v>
          </cell>
          <cell r="BS355">
            <v>2.6215920200000014</v>
          </cell>
          <cell r="BT355">
            <v>2.9361830624000009</v>
          </cell>
          <cell r="BV355">
            <v>2.4684910460320015</v>
          </cell>
          <cell r="BW355">
            <v>2.2440827691200007</v>
          </cell>
          <cell r="BX355">
            <v>2.8051034614000017</v>
          </cell>
          <cell r="BY355">
            <v>3.1417158767680009</v>
          </cell>
        </row>
        <row r="363">
          <cell r="B363" t="str">
            <v>Quarterly cancellations</v>
          </cell>
          <cell r="AM363">
            <v>-0.4</v>
          </cell>
          <cell r="AN363">
            <v>-0.6</v>
          </cell>
          <cell r="AO363">
            <v>-0.4</v>
          </cell>
          <cell r="AP363">
            <v>-0.6</v>
          </cell>
          <cell r="AQ363">
            <v>-2</v>
          </cell>
          <cell r="AR363">
            <v>-0.31487500000000024</v>
          </cell>
          <cell r="AS363">
            <v>-0.24045000000000019</v>
          </cell>
          <cell r="AT363">
            <v>-0.27337500000000026</v>
          </cell>
          <cell r="AU363">
            <v>-0.76229999999999998</v>
          </cell>
          <cell r="AV363">
            <v>-1.5910000000000006</v>
          </cell>
          <cell r="AW363">
            <v>-0.51750000000000052</v>
          </cell>
          <cell r="AX363">
            <v>-0.54715000000000047</v>
          </cell>
          <cell r="AY363">
            <v>-0.7718999999999997</v>
          </cell>
          <cell r="AZ363">
            <v>-1.0694999999999999</v>
          </cell>
          <cell r="BA363">
            <v>-2.9060500000000005</v>
          </cell>
          <cell r="BB363">
            <v>-0.60450000000000048</v>
          </cell>
          <cell r="BC363">
            <v>-0.57427500000000042</v>
          </cell>
          <cell r="BD363">
            <v>-0.78584999999999949</v>
          </cell>
          <cell r="BE363">
            <v>-1.1989249999999998</v>
          </cell>
          <cell r="BF363">
            <v>-3.1635499999999999</v>
          </cell>
          <cell r="BG363">
            <v>-0.70952175000000062</v>
          </cell>
          <cell r="BH363">
            <v>-0.61491885000000046</v>
          </cell>
          <cell r="BI363">
            <v>-0.8632514624999994</v>
          </cell>
          <cell r="BJ363">
            <v>-1.3480913249999997</v>
          </cell>
          <cell r="BK363">
            <v>-3.5357833875000004</v>
          </cell>
          <cell r="BL363">
            <v>-0.81963324918750058</v>
          </cell>
          <cell r="BM363">
            <v>-0.64204604519687547</v>
          </cell>
          <cell r="BN363">
            <v>-0.92891768241249917</v>
          </cell>
          <cell r="BO363">
            <v>-1.4890004026906247</v>
          </cell>
          <cell r="BP363">
            <v>-3.8795973794875001</v>
          </cell>
          <cell r="BQ363">
            <v>-0.93600791599518829</v>
          </cell>
          <cell r="BR363">
            <v>-0.73320620086289745</v>
          </cell>
          <cell r="BS363">
            <v>-1.0608089714612117</v>
          </cell>
          <cell r="BT363">
            <v>-1.7004143807245902</v>
          </cell>
          <cell r="BU363">
            <v>-4.4304374690438877</v>
          </cell>
          <cell r="BV363">
            <v>-1.05633978538453</v>
          </cell>
          <cell r="BW363">
            <v>-0.82746616521788185</v>
          </cell>
          <cell r="BX363">
            <v>-1.1971850901024654</v>
          </cell>
          <cell r="BY363">
            <v>-1.9190172767818943</v>
          </cell>
          <cell r="BZ363">
            <v>-5.0000083174867713</v>
          </cell>
        </row>
        <row r="364">
          <cell r="B364" t="str">
            <v>Cancellation rate (as % of beginning of year run rate)</v>
          </cell>
          <cell r="AM364">
            <v>0</v>
          </cell>
          <cell r="AN364">
            <v>0.11499999999999999</v>
          </cell>
          <cell r="AO364">
            <v>9.099999999999997E-2</v>
          </cell>
          <cell r="AP364">
            <v>0.13300000000000001</v>
          </cell>
          <cell r="AQ364">
            <v>0.10450000000000004</v>
          </cell>
          <cell r="AR364">
            <v>5.5000000000000049E-2</v>
          </cell>
          <cell r="AS364">
            <v>4.2000000000000037E-2</v>
          </cell>
          <cell r="AT364">
            <v>4.500000000000004E-2</v>
          </cell>
          <cell r="AU364">
            <v>0.121</v>
          </cell>
          <cell r="AV364">
            <v>6.5749999999999975E-2</v>
          </cell>
          <cell r="AW364">
            <v>6.0000000000000053E-2</v>
          </cell>
          <cell r="AX364">
            <v>6.2000000000000055E-2</v>
          </cell>
          <cell r="AY364">
            <v>8.2999999999999963E-2</v>
          </cell>
          <cell r="AZ364">
            <v>0.124</v>
          </cell>
          <cell r="BA364">
            <v>8.2250000000000045E-2</v>
          </cell>
          <cell r="BB364">
            <v>6.0000000000000053E-2</v>
          </cell>
          <cell r="BC364">
            <v>5.7000000000000051E-2</v>
          </cell>
          <cell r="BD364">
            <v>7.7999999999999958E-2</v>
          </cell>
          <cell r="BE364">
            <v>0.11899999999999999</v>
          </cell>
          <cell r="BF364">
            <v>7.8500000000000014E-2</v>
          </cell>
          <cell r="BG364">
            <v>6.0000000000000053E-2</v>
          </cell>
          <cell r="BH364">
            <v>5.2000000000000046E-2</v>
          </cell>
          <cell r="BI364">
            <v>7.2999999999999954E-2</v>
          </cell>
          <cell r="BJ364">
            <v>0.11399999999999999</v>
          </cell>
          <cell r="BK364">
            <v>7.4749999999999983E-2</v>
          </cell>
          <cell r="BL364">
            <v>6.0000000000000053E-2</v>
          </cell>
          <cell r="BM364">
            <v>4.7000000000000042E-2</v>
          </cell>
          <cell r="BN364">
            <v>6.7999999999999949E-2</v>
          </cell>
          <cell r="BO364">
            <v>0.10899999999999999</v>
          </cell>
          <cell r="BP364">
            <v>7.1000000000000063E-2</v>
          </cell>
          <cell r="BQ364">
            <v>6.0000000000000053E-2</v>
          </cell>
          <cell r="BR364">
            <v>4.7000000000000042E-2</v>
          </cell>
          <cell r="BS364">
            <v>6.7999999999999949E-2</v>
          </cell>
          <cell r="BT364">
            <v>0.10899999999999999</v>
          </cell>
          <cell r="BU364">
            <v>7.1000000000000063E-2</v>
          </cell>
          <cell r="BV364">
            <v>6.0000000000000053E-2</v>
          </cell>
          <cell r="BW364">
            <v>4.7000000000000042E-2</v>
          </cell>
          <cell r="BX364">
            <v>6.7999999999999949E-2</v>
          </cell>
          <cell r="BY364">
            <v>0.10899999999999999</v>
          </cell>
          <cell r="BZ364">
            <v>7.1000000000000063E-2</v>
          </cell>
        </row>
        <row r="365">
          <cell r="B365" t="str">
            <v>BULL - Retention rate</v>
          </cell>
          <cell r="BB365">
            <v>0.95499999999999996</v>
          </cell>
          <cell r="BC365">
            <v>0.95799999999999996</v>
          </cell>
          <cell r="BD365">
            <v>0.94700000000000006</v>
          </cell>
          <cell r="BE365">
            <v>0.90600000000000003</v>
          </cell>
          <cell r="BF365">
            <v>0.9415</v>
          </cell>
          <cell r="BG365">
            <v>0.95499999999999996</v>
          </cell>
          <cell r="BH365">
            <v>0.96299999999999997</v>
          </cell>
          <cell r="BI365">
            <v>0.95200000000000007</v>
          </cell>
          <cell r="BJ365">
            <v>0.91100000000000003</v>
          </cell>
          <cell r="BK365">
            <v>0.94525000000000003</v>
          </cell>
          <cell r="BL365">
            <v>0.95499999999999996</v>
          </cell>
          <cell r="BM365">
            <v>0.96799999999999997</v>
          </cell>
          <cell r="BN365">
            <v>0.95700000000000007</v>
          </cell>
          <cell r="BO365">
            <v>0.91600000000000004</v>
          </cell>
          <cell r="BP365">
            <v>0.94899999999999995</v>
          </cell>
          <cell r="BQ365">
            <v>0.95499999999999996</v>
          </cell>
          <cell r="BR365">
            <v>0.96799999999999997</v>
          </cell>
          <cell r="BS365">
            <v>0.95700000000000007</v>
          </cell>
          <cell r="BT365">
            <v>0.91600000000000004</v>
          </cell>
          <cell r="BU365">
            <v>0.94899999999999995</v>
          </cell>
          <cell r="BV365">
            <v>0.95499999999999996</v>
          </cell>
          <cell r="BW365">
            <v>0.96799999999999997</v>
          </cell>
          <cell r="BX365">
            <v>0.95700000000000007</v>
          </cell>
          <cell r="BY365">
            <v>0.91600000000000004</v>
          </cell>
          <cell r="BZ365">
            <v>0.94899999999999995</v>
          </cell>
        </row>
        <row r="366">
          <cell r="B366" t="str">
            <v>BASE - Retention rate</v>
          </cell>
          <cell r="AM366">
            <v>0.92100000000000004</v>
          </cell>
          <cell r="AN366">
            <v>0.88500000000000001</v>
          </cell>
          <cell r="AO366">
            <v>0.90900000000000003</v>
          </cell>
          <cell r="AP366">
            <v>0.86699999999999999</v>
          </cell>
          <cell r="AQ366">
            <v>0.89549999999999996</v>
          </cell>
          <cell r="AR366">
            <v>0.94499999999999995</v>
          </cell>
          <cell r="AS366">
            <v>0.95799999999999996</v>
          </cell>
          <cell r="AT366">
            <v>0.95499999999999996</v>
          </cell>
          <cell r="AU366">
            <v>0.879</v>
          </cell>
          <cell r="AV366">
            <v>0.93425000000000002</v>
          </cell>
          <cell r="AW366">
            <v>0.94</v>
          </cell>
          <cell r="AX366">
            <v>0.93799999999999994</v>
          </cell>
          <cell r="AY366">
            <v>0.91700000000000004</v>
          </cell>
          <cell r="AZ366">
            <v>0.876</v>
          </cell>
          <cell r="BA366">
            <v>0.91774999999999995</v>
          </cell>
          <cell r="BB366">
            <v>0.94</v>
          </cell>
          <cell r="BC366">
            <v>0.94299999999999995</v>
          </cell>
          <cell r="BD366">
            <v>0.92200000000000004</v>
          </cell>
          <cell r="BE366">
            <v>0.88100000000000001</v>
          </cell>
          <cell r="BF366">
            <v>0.92149999999999999</v>
          </cell>
          <cell r="BG366">
            <v>0.94</v>
          </cell>
          <cell r="BH366">
            <v>0.94799999999999995</v>
          </cell>
          <cell r="BI366">
            <v>0.92700000000000005</v>
          </cell>
          <cell r="BJ366">
            <v>0.88600000000000001</v>
          </cell>
          <cell r="BK366">
            <v>0.92525000000000002</v>
          </cell>
          <cell r="BL366">
            <v>0.94</v>
          </cell>
          <cell r="BM366">
            <v>0.95299999999999996</v>
          </cell>
          <cell r="BN366">
            <v>0.93200000000000005</v>
          </cell>
          <cell r="BO366">
            <v>0.89100000000000001</v>
          </cell>
          <cell r="BP366">
            <v>0.92899999999999994</v>
          </cell>
          <cell r="BQ366">
            <v>0.94</v>
          </cell>
          <cell r="BR366">
            <v>0.95299999999999996</v>
          </cell>
          <cell r="BS366">
            <v>0.93200000000000005</v>
          </cell>
          <cell r="BT366">
            <v>0.89100000000000001</v>
          </cell>
          <cell r="BU366">
            <v>0.92899999999999994</v>
          </cell>
          <cell r="BV366">
            <v>0.94</v>
          </cell>
          <cell r="BW366">
            <v>0.95299999999999996</v>
          </cell>
          <cell r="BX366">
            <v>0.93200000000000005</v>
          </cell>
          <cell r="BY366">
            <v>0.89100000000000001</v>
          </cell>
          <cell r="BZ366">
            <v>0.92899999999999994</v>
          </cell>
        </row>
        <row r="367">
          <cell r="B367" t="str">
            <v>BEAR - Retention rate</v>
          </cell>
          <cell r="BB367">
            <v>0.89999999999999991</v>
          </cell>
          <cell r="BC367">
            <v>0.90299999999999991</v>
          </cell>
          <cell r="BD367">
            <v>0.88200000000000001</v>
          </cell>
          <cell r="BE367">
            <v>0.84099999999999997</v>
          </cell>
          <cell r="BF367">
            <v>0.88149999999999995</v>
          </cell>
          <cell r="BG367">
            <v>0.89999999999999991</v>
          </cell>
          <cell r="BH367">
            <v>0.90799999999999992</v>
          </cell>
          <cell r="BI367">
            <v>0.88700000000000001</v>
          </cell>
          <cell r="BJ367">
            <v>0.84599999999999997</v>
          </cell>
          <cell r="BK367">
            <v>0.88524999999999998</v>
          </cell>
          <cell r="BL367">
            <v>0.89999999999999991</v>
          </cell>
          <cell r="BM367">
            <v>0.91299999999999992</v>
          </cell>
          <cell r="BN367">
            <v>0.89200000000000002</v>
          </cell>
          <cell r="BO367">
            <v>0.85099999999999998</v>
          </cell>
          <cell r="BP367">
            <v>0.8889999999999999</v>
          </cell>
          <cell r="BQ367">
            <v>0.89999999999999991</v>
          </cell>
          <cell r="BR367">
            <v>0.91299999999999992</v>
          </cell>
          <cell r="BS367">
            <v>0.89200000000000002</v>
          </cell>
          <cell r="BT367">
            <v>0.85099999999999998</v>
          </cell>
          <cell r="BU367">
            <v>0.8889999999999999</v>
          </cell>
          <cell r="BV367">
            <v>0.89999999999999991</v>
          </cell>
          <cell r="BW367">
            <v>0.91299999999999992</v>
          </cell>
          <cell r="BX367">
            <v>0.89200000000000002</v>
          </cell>
          <cell r="BY367">
            <v>0.85099999999999998</v>
          </cell>
          <cell r="BZ367">
            <v>0.8889999999999999</v>
          </cell>
        </row>
        <row r="368">
          <cell r="B368" t="str">
            <v>Cancellation rate (as % of beginning of qtr run rate)</v>
          </cell>
          <cell r="AR368">
            <v>5.5000000000000042E-2</v>
          </cell>
          <cell r="AS368">
            <v>3.958024691358028E-2</v>
          </cell>
          <cell r="AT368">
            <v>4.3392857142857184E-2</v>
          </cell>
          <cell r="AU368">
            <v>9.1020895522388054E-2</v>
          </cell>
          <cell r="AV368">
            <v>6.9475982532751127E-2</v>
          </cell>
          <cell r="AW368">
            <v>6.000000000000006E-2</v>
          </cell>
          <cell r="AX368">
            <v>6.2000000000000055E-2</v>
          </cell>
          <cell r="AY368">
            <v>8.2999999999999963E-2</v>
          </cell>
          <cell r="AZ368">
            <v>0.11025773195876289</v>
          </cell>
          <cell r="BA368">
            <v>8.4233333333333341E-2</v>
          </cell>
          <cell r="BB368">
            <v>6.0000000000000053E-2</v>
          </cell>
          <cell r="BC368">
            <v>5.4628473584703789E-2</v>
          </cell>
          <cell r="BD368">
            <v>7.2071163223392715E-2</v>
          </cell>
          <cell r="BE368">
            <v>0.10538986635900394</v>
          </cell>
          <cell r="BF368">
            <v>7.85E-2</v>
          </cell>
          <cell r="BG368">
            <v>6.000000000000006E-2</v>
          </cell>
          <cell r="BH368">
            <v>5.0084299079519022E-2</v>
          </cell>
          <cell r="BI368">
            <v>6.799184356812836E-2</v>
          </cell>
          <cell r="BJ368">
            <v>0.10215795008923574</v>
          </cell>
          <cell r="BK368">
            <v>7.4750000000000011E-2</v>
          </cell>
          <cell r="BL368">
            <v>6.0000000000000046E-2</v>
          </cell>
          <cell r="BM368">
            <v>4.5440369692020886E-2</v>
          </cell>
          <cell r="BN368">
            <v>6.3705529263548624E-2</v>
          </cell>
          <cell r="BO368">
            <v>9.8512404170398429E-2</v>
          </cell>
          <cell r="BP368">
            <v>7.1000000000000008E-2</v>
          </cell>
          <cell r="BQ368">
            <v>6.0000000000000053E-2</v>
          </cell>
          <cell r="BR368">
            <v>4.5577367598164116E-2</v>
          </cell>
          <cell r="BS368">
            <v>6.4061745974464304E-2</v>
          </cell>
          <cell r="BT368">
            <v>9.9362681378860604E-2</v>
          </cell>
          <cell r="BU368">
            <v>7.1000000000000008E-2</v>
          </cell>
          <cell r="BV368">
            <v>6.0000000000000053E-2</v>
          </cell>
          <cell r="BW368">
            <v>4.5683597748117949E-2</v>
          </cell>
          <cell r="BX368">
            <v>6.4339223875767043E-2</v>
          </cell>
          <cell r="BY368">
            <v>0.10002858159021369</v>
          </cell>
          <cell r="BZ368">
            <v>7.1000000000000008E-2</v>
          </cell>
        </row>
        <row r="376">
          <cell r="B376" t="str">
            <v>Subtotal</v>
          </cell>
          <cell r="AM376">
            <v>0</v>
          </cell>
          <cell r="AN376">
            <v>0</v>
          </cell>
          <cell r="AO376">
            <v>0</v>
          </cell>
          <cell r="AP376">
            <v>0</v>
          </cell>
          <cell r="AQ376">
            <v>0</v>
          </cell>
          <cell r="AR376">
            <v>0.75937500000000002</v>
          </cell>
          <cell r="AS376">
            <v>2.3062499999999999</v>
          </cell>
          <cell r="AT376">
            <v>2.6218750000000002</v>
          </cell>
          <cell r="AU376">
            <v>4.4156250000000004</v>
          </cell>
          <cell r="AV376">
            <v>10.103125</v>
          </cell>
          <cell r="AW376">
            <v>5.8062500000000004</v>
          </cell>
          <cell r="AX376">
            <v>8.40625</v>
          </cell>
          <cell r="AY376">
            <v>8.9468750000000004</v>
          </cell>
          <cell r="AZ376">
            <v>9.2937500000000011</v>
          </cell>
          <cell r="BA376">
            <v>32.453125</v>
          </cell>
          <cell r="BB376">
            <v>9.6859218749999982</v>
          </cell>
          <cell r="BC376">
            <v>10.097319531249999</v>
          </cell>
          <cell r="BD376">
            <v>10.507307031249997</v>
          </cell>
          <cell r="BE376">
            <v>10.935614062499999</v>
          </cell>
          <cell r="BF376">
            <v>41.226162499999994</v>
          </cell>
          <cell r="BG376">
            <v>11.3750721328125</v>
          </cell>
          <cell r="BH376">
            <v>11.819808778124997</v>
          </cell>
          <cell r="BI376">
            <v>12.271389319921873</v>
          </cell>
          <cell r="BJ376">
            <v>12.728294930859374</v>
          </cell>
          <cell r="BK376">
            <v>48.194565161718742</v>
          </cell>
          <cell r="BL376">
            <v>13.189161691041013</v>
          </cell>
          <cell r="BM376">
            <v>13.656258510773142</v>
          </cell>
          <cell r="BN376">
            <v>14.131725645658102</v>
          </cell>
          <cell r="BO376">
            <v>14.614010986867967</v>
          </cell>
          <cell r="BP376">
            <v>55.591156834340225</v>
          </cell>
          <cell r="BQ376">
            <v>15.101164242999758</v>
          </cell>
          <cell r="BR376">
            <v>15.593087118491745</v>
          </cell>
          <cell r="BS376">
            <v>16.090098653367647</v>
          </cell>
          <cell r="BT376">
            <v>16.590584740928467</v>
          </cell>
          <cell r="BU376">
            <v>63.374934755787621</v>
          </cell>
          <cell r="BV376">
            <v>17.09451536493043</v>
          </cell>
          <cell r="BW376">
            <v>17.603782932469763</v>
          </cell>
          <cell r="BX376">
            <v>18.118746270638894</v>
          </cell>
          <cell r="BY376">
            <v>18.637813555839639</v>
          </cell>
          <cell r="BZ376">
            <v>71.454858123878722</v>
          </cell>
        </row>
        <row r="377">
          <cell r="B377" t="str">
            <v>Adjustments (FX, Other)</v>
          </cell>
          <cell r="AM377">
            <v>4.9000000000000004</v>
          </cell>
          <cell r="AN377">
            <v>5.0999999999999996</v>
          </cell>
          <cell r="AO377">
            <v>5.3</v>
          </cell>
          <cell r="AP377">
            <v>5.7</v>
          </cell>
          <cell r="AQ377">
            <v>21</v>
          </cell>
          <cell r="AR377">
            <v>5.0406249999999995</v>
          </cell>
          <cell r="AS377">
            <v>3.7937499999999997</v>
          </cell>
          <cell r="AT377">
            <v>4.7781250000000002</v>
          </cell>
          <cell r="AU377">
            <v>4.0843749999999996</v>
          </cell>
          <cell r="AV377">
            <v>17.696874999999999</v>
          </cell>
          <cell r="AW377">
            <v>2.9937500000000004</v>
          </cell>
          <cell r="AX377">
            <v>0.69374999999999964</v>
          </cell>
          <cell r="AY377">
            <v>0.55312499999999964</v>
          </cell>
          <cell r="AZ377">
            <v>0.55312499999999964</v>
          </cell>
          <cell r="BA377">
            <v>4.7937499999999993</v>
          </cell>
          <cell r="BB377">
            <v>0.55312499999999964</v>
          </cell>
          <cell r="BC377">
            <v>0.69374999999999964</v>
          </cell>
          <cell r="BD377">
            <v>0.55312499999999964</v>
          </cell>
          <cell r="BE377">
            <v>0.55312499999999964</v>
          </cell>
          <cell r="BF377">
            <v>2.3531249999999986</v>
          </cell>
          <cell r="BG377">
            <v>0.55312499999999964</v>
          </cell>
          <cell r="BH377">
            <v>0.69374999999999964</v>
          </cell>
          <cell r="BI377">
            <v>0.55312499999999964</v>
          </cell>
          <cell r="BJ377">
            <v>0.55312499999999964</v>
          </cell>
          <cell r="BK377">
            <v>2.3531249999999986</v>
          </cell>
          <cell r="BL377">
            <v>0.55312499999999964</v>
          </cell>
          <cell r="BM377">
            <v>0.69374999999999964</v>
          </cell>
          <cell r="BN377">
            <v>0.55312499999999964</v>
          </cell>
          <cell r="BO377">
            <v>0.55312499999999964</v>
          </cell>
          <cell r="BP377">
            <v>2.3531249999999986</v>
          </cell>
          <cell r="BQ377">
            <v>0.55312499999999964</v>
          </cell>
          <cell r="BR377">
            <v>0.69374999999999964</v>
          </cell>
          <cell r="BS377">
            <v>0.55312499999999964</v>
          </cell>
          <cell r="BT377">
            <v>0.55312499999999964</v>
          </cell>
          <cell r="BU377">
            <v>2.3531249999999986</v>
          </cell>
          <cell r="BV377">
            <v>0.55312499999999964</v>
          </cell>
          <cell r="BW377">
            <v>0.69374999999999964</v>
          </cell>
          <cell r="BX377">
            <v>0.55312499999999964</v>
          </cell>
          <cell r="BY377">
            <v>0.55312499999999964</v>
          </cell>
          <cell r="BZ377">
            <v>2.3531249999999986</v>
          </cell>
        </row>
        <row r="378">
          <cell r="B378" t="str">
            <v>ESG recurring revenue</v>
          </cell>
          <cell r="AM378">
            <v>4.9000000000000004</v>
          </cell>
          <cell r="AN378">
            <v>5.0999999999999996</v>
          </cell>
          <cell r="AO378">
            <v>5.3</v>
          </cell>
          <cell r="AP378">
            <v>5.7</v>
          </cell>
          <cell r="AQ378">
            <v>21</v>
          </cell>
          <cell r="AR378">
            <v>5.8</v>
          </cell>
          <cell r="AS378">
            <v>6.1</v>
          </cell>
          <cell r="AT378">
            <v>7.4</v>
          </cell>
          <cell r="AU378">
            <v>8.5</v>
          </cell>
          <cell r="AV378">
            <v>27.799999999999997</v>
          </cell>
          <cell r="AW378">
            <v>8.8000000000000007</v>
          </cell>
          <cell r="AX378">
            <v>9.1</v>
          </cell>
          <cell r="AY378">
            <v>9.5</v>
          </cell>
          <cell r="AZ378">
            <v>9.76</v>
          </cell>
          <cell r="BA378">
            <v>37.159999999999997</v>
          </cell>
          <cell r="BB378">
            <v>10.239046874999998</v>
          </cell>
          <cell r="BC378">
            <v>10.791069531249999</v>
          </cell>
          <cell r="BD378">
            <v>11.060432031249997</v>
          </cell>
          <cell r="BE378">
            <v>11.488739062499999</v>
          </cell>
          <cell r="BF378">
            <v>43.579287499999992</v>
          </cell>
          <cell r="BG378">
            <v>11.9281971328125</v>
          </cell>
          <cell r="BH378">
            <v>12.513558778124997</v>
          </cell>
          <cell r="BI378">
            <v>12.824514319921873</v>
          </cell>
          <cell r="BJ378">
            <v>13.281419930859373</v>
          </cell>
          <cell r="BK378">
            <v>50.547690161718741</v>
          </cell>
          <cell r="BL378">
            <v>13.742286691041013</v>
          </cell>
          <cell r="BM378">
            <v>14.350008510773142</v>
          </cell>
          <cell r="BN378">
            <v>14.684850645658102</v>
          </cell>
          <cell r="BO378">
            <v>15.167135986867967</v>
          </cell>
          <cell r="BP378">
            <v>57.944281834340224</v>
          </cell>
          <cell r="BQ378">
            <v>15.654289242999758</v>
          </cell>
          <cell r="BR378">
            <v>16.286837118491746</v>
          </cell>
          <cell r="BS378">
            <v>16.643223653367649</v>
          </cell>
          <cell r="BT378">
            <v>17.143709740928465</v>
          </cell>
          <cell r="BU378">
            <v>65.728059755787626</v>
          </cell>
          <cell r="BV378">
            <v>17.647640364930432</v>
          </cell>
          <cell r="BW378">
            <v>18.297532932469764</v>
          </cell>
          <cell r="BX378">
            <v>18.671871270638896</v>
          </cell>
          <cell r="BY378">
            <v>19.190938555839637</v>
          </cell>
          <cell r="BZ378">
            <v>73.807983123878728</v>
          </cell>
          <cell r="CB378">
            <v>0.1111294089811774</v>
          </cell>
        </row>
        <row r="383">
          <cell r="B383" t="str">
            <v>y/y change</v>
          </cell>
          <cell r="AR383">
            <v>0.18367346938775508</v>
          </cell>
          <cell r="AS383">
            <v>0.19607843137254899</v>
          </cell>
          <cell r="AT383">
            <v>0.39622641509433976</v>
          </cell>
          <cell r="AU383">
            <v>0.49122807017543857</v>
          </cell>
          <cell r="AV383">
            <v>0.32380952380952377</v>
          </cell>
          <cell r="AW383">
            <v>0.51724137931034497</v>
          </cell>
          <cell r="AX383">
            <v>0.49180327868852469</v>
          </cell>
          <cell r="AY383">
            <v>0.28378378378378377</v>
          </cell>
          <cell r="AZ383">
            <v>0.14823529411764702</v>
          </cell>
          <cell r="BA383">
            <v>0.33669064748201438</v>
          </cell>
          <cell r="BB383">
            <v>0.16352805397727233</v>
          </cell>
          <cell r="BC383">
            <v>0.185831816620879</v>
          </cell>
          <cell r="BD383">
            <v>0.16425600328947332</v>
          </cell>
          <cell r="BE383">
            <v>0.17712490394467206</v>
          </cell>
          <cell r="BF383">
            <v>0.17274724165769628</v>
          </cell>
          <cell r="BG383">
            <v>0.16497143517691937</v>
          </cell>
          <cell r="BH383">
            <v>0.15962173553666936</v>
          </cell>
          <cell r="BI383">
            <v>0.15949488082270769</v>
          </cell>
          <cell r="BJ383">
            <v>0.15603808726153456</v>
          </cell>
          <cell r="BK383">
            <v>0.15990171160367761</v>
          </cell>
          <cell r="BL383">
            <v>0.15208413627221606</v>
          </cell>
          <cell r="BM383">
            <v>0.14675679119024476</v>
          </cell>
          <cell r="BN383">
            <v>0.14506095742326419</v>
          </cell>
          <cell r="BO383">
            <v>0.14198150994587055</v>
          </cell>
          <cell r="BP383">
            <v>0.14632897465655392</v>
          </cell>
          <cell r="BQ383">
            <v>0.13913278007838636</v>
          </cell>
          <cell r="BR383">
            <v>0.13497055463518004</v>
          </cell>
          <cell r="BS383">
            <v>0.13336009027021212</v>
          </cell>
          <cell r="BT383">
            <v>0.13031951159215938</v>
          </cell>
          <cell r="BU383">
            <v>0.13433211483578011</v>
          </cell>
          <cell r="BV383">
            <v>0.12733577941407059</v>
          </cell>
          <cell r="BW383">
            <v>0.12345526632025527</v>
          </cell>
          <cell r="BX383">
            <v>0.12189030559958636</v>
          </cell>
          <cell r="BY383">
            <v>0.11941574174133796</v>
          </cell>
          <cell r="BZ383">
            <v>0.12292958894743022</v>
          </cell>
        </row>
        <row r="385">
          <cell r="B385" t="str">
            <v>ESG non-recurring revenue</v>
          </cell>
          <cell r="AM385">
            <v>0.2</v>
          </cell>
          <cell r="AN385">
            <v>0.1</v>
          </cell>
          <cell r="AO385">
            <v>0.1</v>
          </cell>
          <cell r="AP385">
            <v>0</v>
          </cell>
          <cell r="AQ385">
            <v>0.4</v>
          </cell>
          <cell r="AR385">
            <v>0.1</v>
          </cell>
          <cell r="AS385">
            <v>0.1</v>
          </cell>
          <cell r="AT385">
            <v>0.1</v>
          </cell>
          <cell r="AU385">
            <v>0.1</v>
          </cell>
          <cell r="AV385">
            <v>0.4</v>
          </cell>
          <cell r="AW385">
            <v>0.1</v>
          </cell>
          <cell r="AX385">
            <v>0.1</v>
          </cell>
          <cell r="AY385">
            <v>0.2</v>
          </cell>
          <cell r="AZ385">
            <v>0.129</v>
          </cell>
          <cell r="BA385">
            <v>0.52900000000000003</v>
          </cell>
          <cell r="BB385">
            <v>0.1</v>
          </cell>
          <cell r="BC385">
            <v>0.1</v>
          </cell>
          <cell r="BD385">
            <v>0.2</v>
          </cell>
          <cell r="BE385">
            <v>0.129</v>
          </cell>
          <cell r="BF385">
            <v>0.52900000000000003</v>
          </cell>
          <cell r="BG385">
            <v>0.1</v>
          </cell>
          <cell r="BH385">
            <v>0.1</v>
          </cell>
          <cell r="BI385">
            <v>0.2</v>
          </cell>
          <cell r="BJ385">
            <v>0.129</v>
          </cell>
          <cell r="BK385">
            <v>0.52900000000000003</v>
          </cell>
          <cell r="BL385">
            <v>0.1</v>
          </cell>
          <cell r="BM385">
            <v>0.1</v>
          </cell>
          <cell r="BN385">
            <v>0.2</v>
          </cell>
          <cell r="BO385">
            <v>0.129</v>
          </cell>
          <cell r="BP385">
            <v>0.52900000000000003</v>
          </cell>
          <cell r="BQ385">
            <v>0.1</v>
          </cell>
          <cell r="BR385">
            <v>0.1</v>
          </cell>
          <cell r="BS385">
            <v>0.2</v>
          </cell>
          <cell r="BT385">
            <v>0.129</v>
          </cell>
          <cell r="BU385">
            <v>0.52900000000000003</v>
          </cell>
          <cell r="BV385">
            <v>0.1</v>
          </cell>
          <cell r="BW385">
            <v>0.1</v>
          </cell>
          <cell r="BX385">
            <v>0.2</v>
          </cell>
          <cell r="BY385">
            <v>0.129</v>
          </cell>
          <cell r="BZ385">
            <v>0.52900000000000003</v>
          </cell>
          <cell r="CB385">
            <v>0</v>
          </cell>
        </row>
        <row r="387">
          <cell r="B387" t="str">
            <v>ESG revenue</v>
          </cell>
          <cell r="D387">
            <v>0</v>
          </cell>
          <cell r="E387">
            <v>0</v>
          </cell>
          <cell r="F387">
            <v>0</v>
          </cell>
          <cell r="G387">
            <v>0</v>
          </cell>
          <cell r="I387">
            <v>0</v>
          </cell>
          <cell r="J387">
            <v>0</v>
          </cell>
          <cell r="K387">
            <v>0</v>
          </cell>
          <cell r="L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5.1000000000000005</v>
          </cell>
          <cell r="AN387">
            <v>5.1999999999999993</v>
          </cell>
          <cell r="AO387">
            <v>5.3999999999999995</v>
          </cell>
          <cell r="AP387">
            <v>5.7</v>
          </cell>
          <cell r="AQ387">
            <v>21.4</v>
          </cell>
          <cell r="AR387">
            <v>5.8999999999999995</v>
          </cell>
          <cell r="AS387">
            <v>6.1999999999999993</v>
          </cell>
          <cell r="AT387">
            <v>7.5</v>
          </cell>
          <cell r="AU387">
            <v>8.6</v>
          </cell>
          <cell r="AV387">
            <v>28.199999999999996</v>
          </cell>
          <cell r="AW387">
            <v>8.9</v>
          </cell>
          <cell r="AX387">
            <v>9.1999999999999993</v>
          </cell>
          <cell r="AY387">
            <v>9.6999999999999993</v>
          </cell>
          <cell r="AZ387">
            <v>9.8889999999999993</v>
          </cell>
          <cell r="BA387">
            <v>37.689</v>
          </cell>
          <cell r="BB387">
            <v>10.339046874999998</v>
          </cell>
          <cell r="BC387">
            <v>10.891069531249999</v>
          </cell>
          <cell r="BD387">
            <v>11.260432031249996</v>
          </cell>
          <cell r="BE387">
            <v>11.617739062499998</v>
          </cell>
          <cell r="BF387">
            <v>44.108287499999996</v>
          </cell>
          <cell r="BG387">
            <v>12.028197132812499</v>
          </cell>
          <cell r="BH387">
            <v>12.613558778124997</v>
          </cell>
          <cell r="BI387">
            <v>13.024514319921872</v>
          </cell>
          <cell r="BJ387">
            <v>13.410419930859373</v>
          </cell>
          <cell r="BK387">
            <v>51.076690161718744</v>
          </cell>
          <cell r="BL387">
            <v>13.842286691041013</v>
          </cell>
          <cell r="BM387">
            <v>14.450008510773142</v>
          </cell>
          <cell r="BN387">
            <v>14.884850645658101</v>
          </cell>
          <cell r="BO387">
            <v>15.296135986867966</v>
          </cell>
          <cell r="BP387">
            <v>58.473281834340227</v>
          </cell>
          <cell r="BQ387">
            <v>15.754289242999757</v>
          </cell>
          <cell r="BR387">
            <v>16.386837118491748</v>
          </cell>
          <cell r="BS387">
            <v>16.843223653367648</v>
          </cell>
          <cell r="BT387">
            <v>17.272709740928466</v>
          </cell>
          <cell r="BU387">
            <v>66.257059755787623</v>
          </cell>
          <cell r="BV387">
            <v>17.747640364930433</v>
          </cell>
          <cell r="BW387">
            <v>18.397532932469765</v>
          </cell>
          <cell r="BX387">
            <v>18.871871270638895</v>
          </cell>
          <cell r="BY387">
            <v>19.319938555839638</v>
          </cell>
          <cell r="BZ387">
            <v>74.336983123878724</v>
          </cell>
          <cell r="CB387">
            <v>0.11003570157506348</v>
          </cell>
        </row>
        <row r="388">
          <cell r="B388" t="str">
            <v>y/y change</v>
          </cell>
          <cell r="AR388">
            <v>0.15686274509803888</v>
          </cell>
          <cell r="AS388">
            <v>0.19230769230769229</v>
          </cell>
          <cell r="AT388">
            <v>0.38888888888888906</v>
          </cell>
          <cell r="AU388">
            <v>0.50877192982456121</v>
          </cell>
          <cell r="AV388">
            <v>0.31775700934579421</v>
          </cell>
          <cell r="AW388">
            <v>0.50847457627118664</v>
          </cell>
          <cell r="AX388">
            <v>0.4838709677419355</v>
          </cell>
          <cell r="AY388">
            <v>0.29333333333333322</v>
          </cell>
          <cell r="AZ388">
            <v>0.14988372093023261</v>
          </cell>
          <cell r="BA388">
            <v>0.33648936170212784</v>
          </cell>
          <cell r="BB388">
            <v>0.16169066011235933</v>
          </cell>
          <cell r="BC388">
            <v>0.18381190557065219</v>
          </cell>
          <cell r="BD388">
            <v>0.16086928157216462</v>
          </cell>
          <cell r="BE388">
            <v>0.17481434548488206</v>
          </cell>
          <cell r="BF388">
            <v>0.17032257422590136</v>
          </cell>
          <cell r="BG388">
            <v>0.16337581967027326</v>
          </cell>
          <cell r="BH388">
            <v>0.15815611514852779</v>
          </cell>
          <cell r="BI388">
            <v>0.1566620431415231</v>
          </cell>
          <cell r="BJ388">
            <v>0.15430548566423141</v>
          </cell>
          <cell r="BK388">
            <v>0.15798397663293429</v>
          </cell>
          <cell r="BL388">
            <v>0.1508197395002564</v>
          </cell>
          <cell r="BM388">
            <v>0.14559330677025106</v>
          </cell>
          <cell r="BN388">
            <v>0.14283345083284371</v>
          </cell>
          <cell r="BO388">
            <v>0.14061573505757874</v>
          </cell>
          <cell r="BP388">
            <v>0.14481344913310612</v>
          </cell>
          <cell r="BQ388">
            <v>0.13812765149534356</v>
          </cell>
          <cell r="BR388">
            <v>0.1340365029041064</v>
          </cell>
          <cell r="BS388">
            <v>0.13156820006660941</v>
          </cell>
          <cell r="BT388">
            <v>0.12922046167459733</v>
          </cell>
          <cell r="BU388">
            <v>0.13311683006778208</v>
          </cell>
          <cell r="BV388">
            <v>0.12652751839099308</v>
          </cell>
          <cell r="BW388">
            <v>0.12270188563167239</v>
          </cell>
          <cell r="BX388">
            <v>0.12044295433111096</v>
          </cell>
          <cell r="BY388">
            <v>0.11852389379647654</v>
          </cell>
          <cell r="BZ388">
            <v>0.12194811236526859</v>
          </cell>
        </row>
        <row r="390">
          <cell r="AM390" t="str">
            <v>1Q13R</v>
          </cell>
          <cell r="AN390" t="str">
            <v>2Q13R</v>
          </cell>
          <cell r="AO390" t="str">
            <v>3Q13R</v>
          </cell>
          <cell r="AP390" t="str">
            <v>4Q13R</v>
          </cell>
          <cell r="AQ390" t="str">
            <v>2013R</v>
          </cell>
          <cell r="AR390" t="str">
            <v>1Q14</v>
          </cell>
          <cell r="AS390" t="str">
            <v>2Q14</v>
          </cell>
          <cell r="AT390" t="str">
            <v>3Q14</v>
          </cell>
          <cell r="AU390" t="str">
            <v>4Q14</v>
          </cell>
          <cell r="AV390">
            <v>2014</v>
          </cell>
          <cell r="AW390" t="str">
            <v>1Q15</v>
          </cell>
          <cell r="AX390" t="str">
            <v>2Q15</v>
          </cell>
          <cell r="AY390" t="str">
            <v>3Q15</v>
          </cell>
          <cell r="AZ390" t="str">
            <v>4Q15</v>
          </cell>
          <cell r="BA390">
            <v>2015</v>
          </cell>
          <cell r="BB390" t="str">
            <v>1Q16</v>
          </cell>
          <cell r="BC390" t="str">
            <v>2Q16</v>
          </cell>
          <cell r="BD390" t="str">
            <v>3Q16</v>
          </cell>
          <cell r="BE390" t="str">
            <v>4Q16</v>
          </cell>
          <cell r="BF390" t="str">
            <v>2016E</v>
          </cell>
          <cell r="BG390" t="str">
            <v>1Q17E</v>
          </cell>
          <cell r="BH390" t="str">
            <v>2Q17E</v>
          </cell>
          <cell r="BI390" t="str">
            <v>3Q17E</v>
          </cell>
          <cell r="BJ390" t="str">
            <v>4Q17E</v>
          </cell>
          <cell r="BK390" t="str">
            <v>2017E</v>
          </cell>
          <cell r="BL390" t="str">
            <v>1Q18E</v>
          </cell>
          <cell r="BM390" t="str">
            <v>2Q18E</v>
          </cell>
          <cell r="BN390" t="str">
            <v>3Q18E</v>
          </cell>
          <cell r="BO390" t="str">
            <v>4Q18E</v>
          </cell>
          <cell r="BP390" t="str">
            <v>2018E</v>
          </cell>
          <cell r="BQ390" t="str">
            <v>1Q19E</v>
          </cell>
          <cell r="BR390" t="str">
            <v>2Q19E</v>
          </cell>
          <cell r="BS390" t="str">
            <v>3Q19E</v>
          </cell>
          <cell r="BT390" t="str">
            <v>4Q19E</v>
          </cell>
          <cell r="BU390" t="str">
            <v>2019E</v>
          </cell>
          <cell r="BV390" t="str">
            <v>1Q20E</v>
          </cell>
          <cell r="BW390" t="str">
            <v>2Q20E</v>
          </cell>
          <cell r="BX390" t="str">
            <v>3Q20E</v>
          </cell>
          <cell r="BY390" t="str">
            <v>4Q20E</v>
          </cell>
          <cell r="BZ390" t="str">
            <v>2020E</v>
          </cell>
        </row>
        <row r="391">
          <cell r="A391" t="str">
            <v>Real Estate</v>
          </cell>
        </row>
        <row r="393">
          <cell r="B393" t="str">
            <v>Annualized run rate</v>
          </cell>
          <cell r="AM393">
            <v>39.1</v>
          </cell>
          <cell r="AN393">
            <v>40.299999999999997</v>
          </cell>
          <cell r="AO393">
            <v>42.2</v>
          </cell>
          <cell r="AP393">
            <v>43.5</v>
          </cell>
          <cell r="AQ393">
            <v>43.5</v>
          </cell>
          <cell r="AR393">
            <v>45.6</v>
          </cell>
          <cell r="AS393">
            <v>48.2</v>
          </cell>
          <cell r="AT393">
            <v>45.9</v>
          </cell>
          <cell r="AU393">
            <v>44.7</v>
          </cell>
          <cell r="AV393">
            <v>44.7</v>
          </cell>
          <cell r="AW393">
            <v>42.8</v>
          </cell>
          <cell r="AX393">
            <v>45.9</v>
          </cell>
          <cell r="AY393">
            <v>44</v>
          </cell>
          <cell r="AZ393">
            <v>42.4</v>
          </cell>
          <cell r="BA393">
            <v>42.4</v>
          </cell>
          <cell r="BB393">
            <v>43.599599999999995</v>
          </cell>
          <cell r="BC393">
            <v>45.183799999999998</v>
          </cell>
          <cell r="BD393">
            <v>44.714799999999997</v>
          </cell>
          <cell r="BE393">
            <v>45.653399999999998</v>
          </cell>
          <cell r="BF393">
            <v>45.653399999999998</v>
          </cell>
          <cell r="BG393">
            <v>46.985548100000003</v>
          </cell>
          <cell r="BH393">
            <v>48.729646299999999</v>
          </cell>
          <cell r="BI393">
            <v>48.275964299999998</v>
          </cell>
          <cell r="BJ393">
            <v>49.324204649999999</v>
          </cell>
          <cell r="BK393">
            <v>49.324204649999999</v>
          </cell>
          <cell r="BL393">
            <v>50.736063717474998</v>
          </cell>
          <cell r="BM393">
            <v>52.589421991925001</v>
          </cell>
          <cell r="BN393">
            <v>52.089730252424999</v>
          </cell>
          <cell r="BO393">
            <v>53.190088194337505</v>
          </cell>
          <cell r="BP393">
            <v>53.190088194337505</v>
          </cell>
          <cell r="BQ393">
            <v>54.689001503798885</v>
          </cell>
          <cell r="BR393">
            <v>56.660938748551771</v>
          </cell>
          <cell r="BS393">
            <v>56.113872910721646</v>
          </cell>
          <cell r="BT393">
            <v>57.272765691025043</v>
          </cell>
          <cell r="BU393">
            <v>57.272765691025043</v>
          </cell>
          <cell r="BV393">
            <v>58.866360849440831</v>
          </cell>
          <cell r="BW393">
            <v>60.966630675603156</v>
          </cell>
          <cell r="BX393">
            <v>60.370489089432404</v>
          </cell>
          <cell r="BY393">
            <v>61.594422497649042</v>
          </cell>
          <cell r="BZ393">
            <v>61.594422497649042</v>
          </cell>
          <cell r="CB393">
            <v>6.1728932436754924E-2</v>
          </cell>
        </row>
        <row r="394">
          <cell r="B394" t="str">
            <v>Revenue</v>
          </cell>
          <cell r="AR394">
            <v>0.16624040920716121</v>
          </cell>
          <cell r="AS394">
            <v>0.19602977667493815</v>
          </cell>
          <cell r="AT394">
            <v>8.7677725118483263E-2</v>
          </cell>
          <cell r="AU394">
            <v>2.7586206896551779E-2</v>
          </cell>
          <cell r="AW394">
            <v>-6.1403508771929904E-2</v>
          </cell>
          <cell r="AX394">
            <v>-4.7717842323651505E-2</v>
          </cell>
          <cell r="AY394">
            <v>-4.1394335511982572E-2</v>
          </cell>
          <cell r="AZ394">
            <v>-5.1454138702460961E-2</v>
          </cell>
        </row>
        <row r="395">
          <cell r="B395" t="str">
            <v>Subscription revenue - 1st quarter, 12.5%</v>
          </cell>
          <cell r="AM395">
            <v>0</v>
          </cell>
          <cell r="AN395">
            <v>0</v>
          </cell>
          <cell r="AO395">
            <v>0</v>
          </cell>
          <cell r="AP395">
            <v>0</v>
          </cell>
          <cell r="AQ395">
            <v>0</v>
          </cell>
          <cell r="AR395">
            <v>0</v>
          </cell>
          <cell r="AS395">
            <v>0</v>
          </cell>
          <cell r="AT395">
            <v>0</v>
          </cell>
          <cell r="AU395">
            <v>0</v>
          </cell>
          <cell r="AV395">
            <v>0</v>
          </cell>
          <cell r="AW395">
            <v>1.221875</v>
          </cell>
          <cell r="AX395">
            <v>1.5062500000000001</v>
          </cell>
          <cell r="AY395">
            <v>1.434375</v>
          </cell>
          <cell r="AZ395">
            <v>1.3968750000000001</v>
          </cell>
          <cell r="BA395">
            <v>5.5593750000000011</v>
          </cell>
          <cell r="BB395">
            <v>1.3374999999999999</v>
          </cell>
          <cell r="BC395">
            <v>1.434375</v>
          </cell>
          <cell r="BD395">
            <v>1.375</v>
          </cell>
          <cell r="BE395">
            <v>1.325</v>
          </cell>
          <cell r="BF395">
            <v>5.4718749999999998</v>
          </cell>
          <cell r="BG395">
            <v>1.3624874999999999</v>
          </cell>
          <cell r="BH395">
            <v>1.4119937499999999</v>
          </cell>
          <cell r="BI395">
            <v>1.3973374999999999</v>
          </cell>
          <cell r="BJ395">
            <v>1.4266687499999999</v>
          </cell>
          <cell r="BK395">
            <v>5.5984875000000001</v>
          </cell>
          <cell r="BL395">
            <v>1.4682983781250001</v>
          </cell>
          <cell r="BM395">
            <v>1.522801446875</v>
          </cell>
          <cell r="BN395">
            <v>1.5086238843749999</v>
          </cell>
          <cell r="BO395">
            <v>1.5413813953125</v>
          </cell>
          <cell r="BP395">
            <v>6.0411051046874995</v>
          </cell>
          <cell r="BQ395">
            <v>1.5855019911710937</v>
          </cell>
          <cell r="BR395">
            <v>1.6434194372476563</v>
          </cell>
          <cell r="BS395">
            <v>1.6278040703882812</v>
          </cell>
          <cell r="BT395">
            <v>1.662190256073047</v>
          </cell>
          <cell r="BU395">
            <v>6.5189157548800782</v>
          </cell>
          <cell r="BV395">
            <v>1.7090312969937151</v>
          </cell>
          <cell r="BW395">
            <v>1.7706543358922429</v>
          </cell>
          <cell r="BX395">
            <v>1.7535585284600514</v>
          </cell>
          <cell r="BY395">
            <v>1.7897739278445326</v>
          </cell>
          <cell r="BZ395">
            <v>7.0230180891905416</v>
          </cell>
        </row>
        <row r="396">
          <cell r="B396" t="str">
            <v>Subscription revenue - 2nd quarter, 25%</v>
          </cell>
          <cell r="AM396">
            <v>0</v>
          </cell>
          <cell r="AN396">
            <v>0</v>
          </cell>
          <cell r="AO396">
            <v>0</v>
          </cell>
          <cell r="AP396">
            <v>0</v>
          </cell>
          <cell r="AQ396">
            <v>0</v>
          </cell>
          <cell r="AR396">
            <v>0</v>
          </cell>
          <cell r="AS396">
            <v>0</v>
          </cell>
          <cell r="AT396">
            <v>0</v>
          </cell>
          <cell r="AU396">
            <v>0</v>
          </cell>
          <cell r="AV396">
            <v>0</v>
          </cell>
          <cell r="AW396">
            <v>2.5187499999999998</v>
          </cell>
          <cell r="AX396">
            <v>2.8687499999999999</v>
          </cell>
          <cell r="AY396">
            <v>2.7937500000000002</v>
          </cell>
          <cell r="AZ396">
            <v>2.6749999999999998</v>
          </cell>
          <cell r="BA396">
            <v>10.856249999999999</v>
          </cell>
          <cell r="BB396">
            <v>2.8687499999999999</v>
          </cell>
          <cell r="BC396">
            <v>2.75</v>
          </cell>
          <cell r="BD396">
            <v>2.65</v>
          </cell>
          <cell r="BE396">
            <v>2.7249749999999997</v>
          </cell>
          <cell r="BF396">
            <v>10.993725000000001</v>
          </cell>
          <cell r="BG396">
            <v>2.8239874999999999</v>
          </cell>
          <cell r="BH396">
            <v>2.7946749999999998</v>
          </cell>
          <cell r="BI396">
            <v>2.8533374999999999</v>
          </cell>
          <cell r="BJ396">
            <v>2.9365967562500002</v>
          </cell>
          <cell r="BK396">
            <v>11.408596756249999</v>
          </cell>
          <cell r="BL396">
            <v>3.0456028937499999</v>
          </cell>
          <cell r="BM396">
            <v>3.0172477687499999</v>
          </cell>
          <cell r="BN396">
            <v>3.0827627906249999</v>
          </cell>
          <cell r="BO396">
            <v>3.1710039823421874</v>
          </cell>
          <cell r="BP396">
            <v>12.316617435467187</v>
          </cell>
          <cell r="BQ396">
            <v>3.2868388744953125</v>
          </cell>
          <cell r="BR396">
            <v>3.2556081407765625</v>
          </cell>
          <cell r="BS396">
            <v>3.3243805121460941</v>
          </cell>
          <cell r="BT396">
            <v>3.4180625939874303</v>
          </cell>
          <cell r="BU396">
            <v>13.2848901214054</v>
          </cell>
          <cell r="BV396">
            <v>3.5413086717844857</v>
          </cell>
          <cell r="BW396">
            <v>3.5071170569201029</v>
          </cell>
          <cell r="BX396">
            <v>3.5795478556890652</v>
          </cell>
          <cell r="BY396">
            <v>3.6791475530900519</v>
          </cell>
          <cell r="BZ396">
            <v>14.307121137483707</v>
          </cell>
        </row>
        <row r="397">
          <cell r="B397" t="str">
            <v>Subscription revenue - 3rd quarter, 25%</v>
          </cell>
          <cell r="AM397">
            <v>0</v>
          </cell>
          <cell r="AN397">
            <v>0</v>
          </cell>
          <cell r="AO397">
            <v>0</v>
          </cell>
          <cell r="AP397">
            <v>0</v>
          </cell>
          <cell r="AQ397">
            <v>0</v>
          </cell>
          <cell r="AR397">
            <v>0</v>
          </cell>
          <cell r="AS397">
            <v>0</v>
          </cell>
          <cell r="AT397">
            <v>0</v>
          </cell>
          <cell r="AU397">
            <v>2.4437500000000001</v>
          </cell>
          <cell r="AV397">
            <v>2.4437500000000001</v>
          </cell>
          <cell r="AW397">
            <v>2.6375000000000002</v>
          </cell>
          <cell r="AX397">
            <v>2.7937500000000002</v>
          </cell>
          <cell r="AY397">
            <v>2.6749999999999998</v>
          </cell>
          <cell r="AZ397">
            <v>2.8687499999999999</v>
          </cell>
          <cell r="BA397">
            <v>10.975</v>
          </cell>
          <cell r="BB397">
            <v>2.75</v>
          </cell>
          <cell r="BC397">
            <v>2.65</v>
          </cell>
          <cell r="BD397">
            <v>2.7249749999999997</v>
          </cell>
          <cell r="BE397">
            <v>2.8239874999999999</v>
          </cell>
          <cell r="BF397">
            <v>10.948962499999999</v>
          </cell>
          <cell r="BG397">
            <v>2.7946749999999998</v>
          </cell>
          <cell r="BH397">
            <v>2.8533374999999999</v>
          </cell>
          <cell r="BI397">
            <v>2.9365967562500002</v>
          </cell>
          <cell r="BJ397">
            <v>3.0456028937499999</v>
          </cell>
          <cell r="BK397">
            <v>11.630212150000002</v>
          </cell>
          <cell r="BL397">
            <v>3.0172477687499999</v>
          </cell>
          <cell r="BM397">
            <v>3.0827627906249999</v>
          </cell>
          <cell r="BN397">
            <v>3.1710039823421874</v>
          </cell>
          <cell r="BO397">
            <v>3.2868388744953125</v>
          </cell>
          <cell r="BP397">
            <v>12.557853416212501</v>
          </cell>
          <cell r="BQ397">
            <v>3.2556081407765625</v>
          </cell>
          <cell r="BR397">
            <v>3.3243805121460941</v>
          </cell>
          <cell r="BS397">
            <v>3.4180625939874303</v>
          </cell>
          <cell r="BT397">
            <v>3.5413086717844857</v>
          </cell>
          <cell r="BU397">
            <v>13.539359918694572</v>
          </cell>
          <cell r="BV397">
            <v>3.5071170569201029</v>
          </cell>
          <cell r="BW397">
            <v>3.5795478556890652</v>
          </cell>
          <cell r="BX397">
            <v>3.6791475530900519</v>
          </cell>
          <cell r="BY397">
            <v>3.8104144172251972</v>
          </cell>
          <cell r="BZ397">
            <v>14.576226882924416</v>
          </cell>
        </row>
        <row r="398">
          <cell r="B398" t="str">
            <v>Subscription revenue - 4th quarter, 25%</v>
          </cell>
          <cell r="AM398">
            <v>0</v>
          </cell>
          <cell r="AN398">
            <v>0</v>
          </cell>
          <cell r="AO398">
            <v>0</v>
          </cell>
          <cell r="AP398">
            <v>0</v>
          </cell>
          <cell r="AQ398">
            <v>0</v>
          </cell>
          <cell r="AR398">
            <v>0</v>
          </cell>
          <cell r="AS398">
            <v>2.85</v>
          </cell>
          <cell r="AT398">
            <v>3.0125000000000002</v>
          </cell>
          <cell r="AU398">
            <v>2.8687499999999999</v>
          </cell>
          <cell r="AV398">
            <v>8.7312500000000011</v>
          </cell>
          <cell r="AW398">
            <v>2.71875</v>
          </cell>
          <cell r="AX398">
            <v>2.6749999999999998</v>
          </cell>
          <cell r="AY398">
            <v>2.8687499999999999</v>
          </cell>
          <cell r="AZ398">
            <v>2.75</v>
          </cell>
          <cell r="BA398">
            <v>11.012499999999999</v>
          </cell>
          <cell r="BB398">
            <v>2.65</v>
          </cell>
          <cell r="BC398">
            <v>2.7249749999999997</v>
          </cell>
          <cell r="BD398">
            <v>2.8239874999999999</v>
          </cell>
          <cell r="BE398">
            <v>2.7946749999999998</v>
          </cell>
          <cell r="BF398">
            <v>10.993637499999998</v>
          </cell>
          <cell r="BG398">
            <v>2.8533374999999999</v>
          </cell>
          <cell r="BH398">
            <v>2.9365967562500002</v>
          </cell>
          <cell r="BI398">
            <v>3.0456028937499999</v>
          </cell>
          <cell r="BJ398">
            <v>3.0172477687499999</v>
          </cell>
          <cell r="BK398">
            <v>11.85278491875</v>
          </cell>
          <cell r="BL398">
            <v>3.0827627906249999</v>
          </cell>
          <cell r="BM398">
            <v>3.1710039823421874</v>
          </cell>
          <cell r="BN398">
            <v>3.2868388744953125</v>
          </cell>
          <cell r="BO398">
            <v>3.2556081407765625</v>
          </cell>
          <cell r="BP398">
            <v>12.796213788239063</v>
          </cell>
          <cell r="BQ398">
            <v>3.3243805121460941</v>
          </cell>
          <cell r="BR398">
            <v>3.4180625939874303</v>
          </cell>
          <cell r="BS398">
            <v>3.5413086717844857</v>
          </cell>
          <cell r="BT398">
            <v>3.5071170569201029</v>
          </cell>
          <cell r="BU398">
            <v>13.790868834838113</v>
          </cell>
          <cell r="BV398">
            <v>3.5795478556890652</v>
          </cell>
          <cell r="BW398">
            <v>3.6791475530900519</v>
          </cell>
          <cell r="BX398">
            <v>3.8104144172251972</v>
          </cell>
          <cell r="BY398">
            <v>3.7731555680895252</v>
          </cell>
          <cell r="BZ398">
            <v>14.84226539409384</v>
          </cell>
        </row>
        <row r="399">
          <cell r="B399" t="str">
            <v>Subscription revenue - 5th quarter, 12.5%</v>
          </cell>
          <cell r="AM399">
            <v>0</v>
          </cell>
          <cell r="AN399">
            <v>0</v>
          </cell>
          <cell r="AO399">
            <v>0</v>
          </cell>
          <cell r="AP399">
            <v>0</v>
          </cell>
          <cell r="AQ399">
            <v>0</v>
          </cell>
          <cell r="AR399">
            <v>1.425</v>
          </cell>
          <cell r="AS399">
            <v>1.5062500000000001</v>
          </cell>
          <cell r="AT399">
            <v>1.434375</v>
          </cell>
          <cell r="AU399">
            <v>1.3968750000000001</v>
          </cell>
          <cell r="AV399">
            <v>5.7625000000000011</v>
          </cell>
          <cell r="AW399">
            <v>1.3374999999999999</v>
          </cell>
          <cell r="AX399">
            <v>1.434375</v>
          </cell>
          <cell r="AY399">
            <v>1.375</v>
          </cell>
          <cell r="AZ399">
            <v>1.325</v>
          </cell>
          <cell r="BA399">
            <v>5.4718749999999998</v>
          </cell>
          <cell r="BB399">
            <v>1.3624874999999999</v>
          </cell>
          <cell r="BC399">
            <v>1.4119937499999999</v>
          </cell>
          <cell r="BD399">
            <v>1.3973374999999999</v>
          </cell>
          <cell r="BE399">
            <v>1.4266687499999999</v>
          </cell>
          <cell r="BF399">
            <v>5.5984875000000001</v>
          </cell>
          <cell r="BG399">
            <v>1.4682983781250001</v>
          </cell>
          <cell r="BH399">
            <v>1.522801446875</v>
          </cell>
          <cell r="BI399">
            <v>1.5086238843749999</v>
          </cell>
          <cell r="BJ399">
            <v>1.5413813953125</v>
          </cell>
          <cell r="BK399">
            <v>6.0411051046874995</v>
          </cell>
          <cell r="BL399">
            <v>1.5855019911710937</v>
          </cell>
          <cell r="BM399">
            <v>1.6434194372476563</v>
          </cell>
          <cell r="BN399">
            <v>1.6278040703882812</v>
          </cell>
          <cell r="BO399">
            <v>1.662190256073047</v>
          </cell>
          <cell r="BP399">
            <v>6.5189157548800782</v>
          </cell>
          <cell r="BQ399">
            <v>1.7090312969937151</v>
          </cell>
          <cell r="BR399">
            <v>1.7706543358922429</v>
          </cell>
          <cell r="BS399">
            <v>1.7535585284600514</v>
          </cell>
          <cell r="BT399">
            <v>1.7897739278445326</v>
          </cell>
          <cell r="BU399">
            <v>7.0230180891905416</v>
          </cell>
          <cell r="BV399">
            <v>1.839573776545026</v>
          </cell>
          <cell r="BW399">
            <v>1.9052072086125986</v>
          </cell>
          <cell r="BX399">
            <v>1.8865777840447626</v>
          </cell>
          <cell r="BY399">
            <v>1.9248257030515326</v>
          </cell>
          <cell r="BZ399">
            <v>7.5561844722539195</v>
          </cell>
        </row>
        <row r="401">
          <cell r="B401" t="str">
            <v>Quarterly new sales</v>
          </cell>
          <cell r="AM401">
            <v>1.7</v>
          </cell>
          <cell r="AN401">
            <v>3.4</v>
          </cell>
          <cell r="AO401">
            <v>1.9</v>
          </cell>
          <cell r="AP401">
            <v>2.2999999999999998</v>
          </cell>
          <cell r="AQ401">
            <v>9.3000000000000007</v>
          </cell>
          <cell r="AR401">
            <v>3</v>
          </cell>
          <cell r="AS401">
            <v>3.7</v>
          </cell>
          <cell r="AT401">
            <v>1.2</v>
          </cell>
          <cell r="AU401">
            <v>2.7</v>
          </cell>
          <cell r="AV401">
            <v>10.6</v>
          </cell>
          <cell r="AW401">
            <v>2.2999999999999998</v>
          </cell>
          <cell r="AX401">
            <v>2.6</v>
          </cell>
          <cell r="AY401">
            <v>0.8</v>
          </cell>
          <cell r="AZ401">
            <v>1.4</v>
          </cell>
          <cell r="BA401">
            <v>7.1</v>
          </cell>
          <cell r="BB401">
            <v>2.4609999999999999</v>
          </cell>
          <cell r="BC401">
            <v>2.7820000000000005</v>
          </cell>
          <cell r="BD401">
            <v>0.85600000000000009</v>
          </cell>
          <cell r="BE401">
            <v>2.8890000000000002</v>
          </cell>
          <cell r="BF401">
            <v>8.9879999999999995</v>
          </cell>
          <cell r="BG401">
            <v>2.63327</v>
          </cell>
          <cell r="BH401">
            <v>2.9767400000000008</v>
          </cell>
          <cell r="BI401">
            <v>0.91592000000000018</v>
          </cell>
          <cell r="BJ401">
            <v>3.0912300000000004</v>
          </cell>
          <cell r="BK401">
            <v>9.6171600000000019</v>
          </cell>
          <cell r="BL401">
            <v>2.8175989000000001</v>
          </cell>
          <cell r="BM401">
            <v>3.1851118000000009</v>
          </cell>
          <cell r="BN401">
            <v>0.98003440000000019</v>
          </cell>
          <cell r="BO401">
            <v>3.3076161000000006</v>
          </cell>
          <cell r="BP401">
            <v>10.290361200000003</v>
          </cell>
          <cell r="BQ401">
            <v>3.0148308230000005</v>
          </cell>
          <cell r="BR401">
            <v>3.4080696260000014</v>
          </cell>
          <cell r="BS401">
            <v>1.0486368080000004</v>
          </cell>
          <cell r="BT401">
            <v>3.5391492270000007</v>
          </cell>
          <cell r="BU401">
            <v>11.010686484000002</v>
          </cell>
          <cell r="BV401">
            <v>3.2258689806100009</v>
          </cell>
          <cell r="BW401">
            <v>3.6466344998200015</v>
          </cell>
          <cell r="BX401">
            <v>1.1220413845600004</v>
          </cell>
          <cell r="BY401">
            <v>3.786889672890001</v>
          </cell>
          <cell r="BZ401">
            <v>11.781434537880003</v>
          </cell>
        </row>
        <row r="402">
          <cell r="B402" t="str">
            <v>y/y change</v>
          </cell>
          <cell r="AR402">
            <v>0.76470588235294112</v>
          </cell>
          <cell r="AS402">
            <v>8.8235294117647189E-2</v>
          </cell>
          <cell r="AT402">
            <v>-0.36842105263157898</v>
          </cell>
          <cell r="AU402">
            <v>0.17391304347826098</v>
          </cell>
          <cell r="AV402">
            <v>0.13978494623655902</v>
          </cell>
          <cell r="AW402">
            <v>-0.23333333333333339</v>
          </cell>
          <cell r="AX402">
            <v>-0.29729729729729726</v>
          </cell>
          <cell r="AY402">
            <v>-0.33333333333333326</v>
          </cell>
          <cell r="AZ402">
            <v>-0.48148148148148151</v>
          </cell>
          <cell r="BA402">
            <v>-0.33018867924528306</v>
          </cell>
          <cell r="BB402">
            <v>7.0000000000000062E-2</v>
          </cell>
          <cell r="BC402">
            <v>7.0000000000000062E-2</v>
          </cell>
          <cell r="BD402">
            <v>7.0000000000000062E-2</v>
          </cell>
          <cell r="BE402">
            <v>1.0635714285714291</v>
          </cell>
          <cell r="BF402">
            <v>0.26591549295774652</v>
          </cell>
          <cell r="BG402">
            <v>7.0000000000000062E-2</v>
          </cell>
          <cell r="BH402">
            <v>7.0000000000000062E-2</v>
          </cell>
          <cell r="BI402">
            <v>7.0000000000000062E-2</v>
          </cell>
          <cell r="BJ402">
            <v>7.0000000000000062E-2</v>
          </cell>
          <cell r="BK402">
            <v>7.0000000000000284E-2</v>
          </cell>
          <cell r="BL402">
            <v>7.0000000000000062E-2</v>
          </cell>
          <cell r="BM402">
            <v>7.0000000000000062E-2</v>
          </cell>
          <cell r="BN402">
            <v>7.0000000000000062E-2</v>
          </cell>
          <cell r="BO402">
            <v>7.0000000000000062E-2</v>
          </cell>
          <cell r="BP402">
            <v>7.0000000000000062E-2</v>
          </cell>
          <cell r="BQ402">
            <v>7.0000000000000062E-2</v>
          </cell>
          <cell r="BR402">
            <v>7.0000000000000062E-2</v>
          </cell>
          <cell r="BS402">
            <v>7.0000000000000062E-2</v>
          </cell>
          <cell r="BT402">
            <v>7.0000000000000062E-2</v>
          </cell>
          <cell r="BU402">
            <v>6.999999999999984E-2</v>
          </cell>
          <cell r="BV402">
            <v>7.0000000000000062E-2</v>
          </cell>
          <cell r="BW402">
            <v>7.0000000000000062E-2</v>
          </cell>
          <cell r="BX402">
            <v>7.0000000000000062E-2</v>
          </cell>
          <cell r="BY402">
            <v>7.0000000000000062E-2</v>
          </cell>
          <cell r="BZ402">
            <v>7.0000000000000062E-2</v>
          </cell>
        </row>
        <row r="403">
          <cell r="B403" t="str">
            <v>BULL</v>
          </cell>
          <cell r="AZ403">
            <v>2.8350000000000004</v>
          </cell>
          <cell r="BB403">
            <v>2.58405</v>
          </cell>
          <cell r="BC403">
            <v>2.9211000000000005</v>
          </cell>
          <cell r="BD403">
            <v>0.89880000000000015</v>
          </cell>
          <cell r="BE403">
            <v>3.0334500000000002</v>
          </cell>
          <cell r="BG403">
            <v>2.7649335000000002</v>
          </cell>
          <cell r="BH403">
            <v>3.1255770000000012</v>
          </cell>
          <cell r="BI403">
            <v>0.96171600000000024</v>
          </cell>
          <cell r="BJ403">
            <v>3.2457915000000006</v>
          </cell>
          <cell r="BL403">
            <v>2.9584788450000001</v>
          </cell>
          <cell r="BM403">
            <v>3.3443673900000013</v>
          </cell>
          <cell r="BN403">
            <v>1.0290361200000002</v>
          </cell>
          <cell r="BO403">
            <v>3.4729969050000009</v>
          </cell>
          <cell r="BQ403">
            <v>3.1655723641500009</v>
          </cell>
          <cell r="BR403">
            <v>3.5784731073000016</v>
          </cell>
          <cell r="BS403">
            <v>1.1010686484000005</v>
          </cell>
          <cell r="BT403">
            <v>3.7161066883500009</v>
          </cell>
          <cell r="BV403">
            <v>3.387162429640501</v>
          </cell>
          <cell r="BW403">
            <v>3.8289662248110017</v>
          </cell>
          <cell r="BX403">
            <v>1.1781434537880004</v>
          </cell>
          <cell r="BY403">
            <v>3.9762341565345012</v>
          </cell>
        </row>
        <row r="404">
          <cell r="B404" t="str">
            <v>BASE</v>
          </cell>
          <cell r="AM404">
            <v>1.7</v>
          </cell>
          <cell r="AN404">
            <v>3.4</v>
          </cell>
          <cell r="AO404">
            <v>1.9</v>
          </cell>
          <cell r="AP404">
            <v>2.2999999999999998</v>
          </cell>
          <cell r="AR404">
            <v>3</v>
          </cell>
          <cell r="AS404">
            <v>3.7</v>
          </cell>
          <cell r="AT404">
            <v>1.2</v>
          </cell>
          <cell r="AU404">
            <v>2.7</v>
          </cell>
          <cell r="AW404">
            <v>2.2999999999999998</v>
          </cell>
          <cell r="AX404">
            <v>2.6</v>
          </cell>
          <cell r="AY404">
            <v>0.8</v>
          </cell>
          <cell r="AZ404">
            <v>2.7</v>
          </cell>
          <cell r="BB404">
            <v>2.4609999999999999</v>
          </cell>
          <cell r="BC404">
            <v>2.7820000000000005</v>
          </cell>
          <cell r="BD404">
            <v>0.85600000000000009</v>
          </cell>
          <cell r="BE404">
            <v>2.8890000000000002</v>
          </cell>
          <cell r="BG404">
            <v>2.63327</v>
          </cell>
          <cell r="BH404">
            <v>2.9767400000000008</v>
          </cell>
          <cell r="BI404">
            <v>0.91592000000000018</v>
          </cell>
          <cell r="BJ404">
            <v>3.0912300000000004</v>
          </cell>
          <cell r="BL404">
            <v>2.8175989000000001</v>
          </cell>
          <cell r="BM404">
            <v>3.1851118000000009</v>
          </cell>
          <cell r="BN404">
            <v>0.98003440000000019</v>
          </cell>
          <cell r="BO404">
            <v>3.3076161000000006</v>
          </cell>
          <cell r="BQ404">
            <v>3.0148308230000005</v>
          </cell>
          <cell r="BR404">
            <v>3.4080696260000014</v>
          </cell>
          <cell r="BS404">
            <v>1.0486368080000004</v>
          </cell>
          <cell r="BT404">
            <v>3.5391492270000007</v>
          </cell>
          <cell r="BV404">
            <v>3.2258689806100009</v>
          </cell>
          <cell r="BW404">
            <v>3.6466344998200015</v>
          </cell>
          <cell r="BX404">
            <v>1.1220413845600004</v>
          </cell>
          <cell r="BY404">
            <v>3.786889672890001</v>
          </cell>
        </row>
        <row r="405">
          <cell r="B405" t="str">
            <v>BEAR</v>
          </cell>
          <cell r="AZ405">
            <v>2.16</v>
          </cell>
          <cell r="BB405">
            <v>1.9687999999999999</v>
          </cell>
          <cell r="BC405">
            <v>2.2256000000000005</v>
          </cell>
          <cell r="BD405">
            <v>0.68480000000000008</v>
          </cell>
          <cell r="BE405">
            <v>2.3112000000000004</v>
          </cell>
          <cell r="BG405">
            <v>2.1066160000000003</v>
          </cell>
          <cell r="BH405">
            <v>2.3813920000000008</v>
          </cell>
          <cell r="BI405">
            <v>0.73273600000000016</v>
          </cell>
          <cell r="BJ405">
            <v>2.4729840000000003</v>
          </cell>
          <cell r="BL405">
            <v>2.2540791200000001</v>
          </cell>
          <cell r="BM405">
            <v>2.5480894400000009</v>
          </cell>
          <cell r="BN405">
            <v>0.7840275200000002</v>
          </cell>
          <cell r="BO405">
            <v>2.6460928800000008</v>
          </cell>
          <cell r="BQ405">
            <v>2.4118646584000007</v>
          </cell>
          <cell r="BR405">
            <v>2.7264557008000012</v>
          </cell>
          <cell r="BS405">
            <v>0.83890944640000031</v>
          </cell>
          <cell r="BT405">
            <v>2.8313193816000006</v>
          </cell>
          <cell r="BV405">
            <v>2.5806951844880008</v>
          </cell>
          <cell r="BW405">
            <v>2.9173075998560014</v>
          </cell>
          <cell r="BX405">
            <v>0.89763310764800031</v>
          </cell>
          <cell r="BY405">
            <v>3.0295117383120012</v>
          </cell>
        </row>
        <row r="413">
          <cell r="B413" t="str">
            <v>Quarterly cancellations</v>
          </cell>
          <cell r="AM413">
            <v>-0.8</v>
          </cell>
          <cell r="AN413">
            <v>-0.9</v>
          </cell>
          <cell r="AO413">
            <v>-0.1</v>
          </cell>
          <cell r="AP413">
            <v>-1.8</v>
          </cell>
          <cell r="AQ413">
            <v>-3.6</v>
          </cell>
          <cell r="AR413">
            <v>-0.9</v>
          </cell>
          <cell r="AS413">
            <v>-1.7</v>
          </cell>
          <cell r="AT413">
            <v>-0.7</v>
          </cell>
          <cell r="AU413">
            <v>-2.1</v>
          </cell>
          <cell r="AV413">
            <v>-5.4</v>
          </cell>
          <cell r="AW413">
            <v>-1.3</v>
          </cell>
          <cell r="AX413">
            <v>-1.3</v>
          </cell>
          <cell r="AY413">
            <v>-1.4</v>
          </cell>
          <cell r="AZ413">
            <v>-2.1</v>
          </cell>
          <cell r="BA413">
            <v>-6.1</v>
          </cell>
          <cell r="BB413">
            <v>-1.2613999999999999</v>
          </cell>
          <cell r="BC413">
            <v>-1.1977999999999998</v>
          </cell>
          <cell r="BD413">
            <v>-1.325</v>
          </cell>
          <cell r="BE413">
            <v>-1.9503999999999992</v>
          </cell>
          <cell r="BF413">
            <v>-5.7345999999999986</v>
          </cell>
          <cell r="BG413">
            <v>-1.3011218999999998</v>
          </cell>
          <cell r="BH413">
            <v>-1.2326417999999997</v>
          </cell>
          <cell r="BI413">
            <v>-1.369602</v>
          </cell>
          <cell r="BJ413">
            <v>-2.0429896499999991</v>
          </cell>
          <cell r="BK413">
            <v>-5.9463553499999993</v>
          </cell>
          <cell r="BL413">
            <v>-1.4057398325249999</v>
          </cell>
          <cell r="BM413">
            <v>-1.3317535255499997</v>
          </cell>
          <cell r="BN413">
            <v>-1.4797261394999999</v>
          </cell>
          <cell r="BO413">
            <v>-2.207258158087499</v>
          </cell>
          <cell r="BP413">
            <v>-6.424477655662499</v>
          </cell>
          <cell r="BQ413">
            <v>-1.5159175135386187</v>
          </cell>
          <cell r="BR413">
            <v>-1.4361323812471125</v>
          </cell>
          <cell r="BS413">
            <v>-1.5957026458301251</v>
          </cell>
          <cell r="BT413">
            <v>-2.3802564466966025</v>
          </cell>
          <cell r="BU413">
            <v>-6.9280089873124595</v>
          </cell>
          <cell r="BV413">
            <v>-1.6322738221942137</v>
          </cell>
          <cell r="BW413">
            <v>-1.5463646736576759</v>
          </cell>
          <cell r="BX413">
            <v>-1.7181829707307512</v>
          </cell>
          <cell r="BY413">
            <v>-2.5629562646733697</v>
          </cell>
          <cell r="BZ413">
            <v>-7.4597777312560112</v>
          </cell>
        </row>
        <row r="414">
          <cell r="B414" t="str">
            <v>Cancellation rate (as % of beginning of year run rate)</v>
          </cell>
          <cell r="AM414">
            <v>0</v>
          </cell>
          <cell r="AN414">
            <v>8.9999999999999969E-2</v>
          </cell>
          <cell r="AO414">
            <v>1.3000000000000012E-2</v>
          </cell>
          <cell r="AP414">
            <v>0.17800000000000005</v>
          </cell>
          <cell r="AQ414">
            <v>9.0499999999999914E-2</v>
          </cell>
          <cell r="AR414">
            <v>8.6999999999999966E-2</v>
          </cell>
          <cell r="AS414">
            <v>0.15300000000000002</v>
          </cell>
          <cell r="AT414">
            <v>6.3999999999999946E-2</v>
          </cell>
          <cell r="AU414">
            <v>0.18899999999999995</v>
          </cell>
          <cell r="AV414">
            <v>0.12324999999999997</v>
          </cell>
          <cell r="AW414">
            <v>0.11899999999999999</v>
          </cell>
          <cell r="AX414">
            <v>0.11799999999999999</v>
          </cell>
          <cell r="AY414">
            <v>0.13</v>
          </cell>
          <cell r="AZ414">
            <v>0.18899999999999995</v>
          </cell>
          <cell r="BA414">
            <v>0.13900000000000001</v>
          </cell>
          <cell r="BB414">
            <v>0.11899999999999999</v>
          </cell>
          <cell r="BC414">
            <v>0.11299999999999999</v>
          </cell>
          <cell r="BD414">
            <v>0.125</v>
          </cell>
          <cell r="BE414">
            <v>0.18399999999999994</v>
          </cell>
          <cell r="BF414">
            <v>0.13525000000000009</v>
          </cell>
          <cell r="BG414">
            <v>0.11399999999999999</v>
          </cell>
          <cell r="BH414">
            <v>0.10799999999999998</v>
          </cell>
          <cell r="BI414">
            <v>0.12</v>
          </cell>
          <cell r="BJ414">
            <v>0.17899999999999994</v>
          </cell>
          <cell r="BK414">
            <v>0.13024999999999998</v>
          </cell>
          <cell r="BL414">
            <v>0.11399999999999999</v>
          </cell>
          <cell r="BM414">
            <v>0.10799999999999998</v>
          </cell>
          <cell r="BN414">
            <v>0.12</v>
          </cell>
          <cell r="BO414">
            <v>0.17899999999999994</v>
          </cell>
          <cell r="BP414">
            <v>0.13024999999999998</v>
          </cell>
          <cell r="BQ414">
            <v>0.11399999999999999</v>
          </cell>
          <cell r="BR414">
            <v>0.10799999999999998</v>
          </cell>
          <cell r="BS414">
            <v>0.12</v>
          </cell>
          <cell r="BT414">
            <v>0.17899999999999994</v>
          </cell>
          <cell r="BU414">
            <v>0.13024999999999998</v>
          </cell>
          <cell r="BV414">
            <v>0.11399999999999999</v>
          </cell>
          <cell r="BW414">
            <v>0.10799999999999998</v>
          </cell>
          <cell r="BX414">
            <v>0.12</v>
          </cell>
          <cell r="BY414">
            <v>0.17899999999999994</v>
          </cell>
          <cell r="BZ414">
            <v>0.13024999999999998</v>
          </cell>
        </row>
        <row r="415">
          <cell r="B415" t="str">
            <v>BULL - Retention rate</v>
          </cell>
          <cell r="BB415">
            <v>0.89600000000000002</v>
          </cell>
          <cell r="BC415">
            <v>0.90200000000000002</v>
          </cell>
          <cell r="BD415">
            <v>0.9</v>
          </cell>
          <cell r="BE415">
            <v>0.84100000000000008</v>
          </cell>
          <cell r="BF415">
            <v>0.88475000000000004</v>
          </cell>
          <cell r="BG415">
            <v>0.90100000000000002</v>
          </cell>
          <cell r="BH415">
            <v>0.90700000000000003</v>
          </cell>
          <cell r="BI415">
            <v>0.90500000000000003</v>
          </cell>
          <cell r="BJ415">
            <v>0.84600000000000009</v>
          </cell>
          <cell r="BK415">
            <v>0.88975000000000004</v>
          </cell>
          <cell r="BL415">
            <v>0.90100000000000002</v>
          </cell>
          <cell r="BM415">
            <v>0.90700000000000003</v>
          </cell>
          <cell r="BN415">
            <v>0.90500000000000003</v>
          </cell>
          <cell r="BO415">
            <v>0.84600000000000009</v>
          </cell>
          <cell r="BP415">
            <v>0.88975000000000004</v>
          </cell>
          <cell r="BQ415">
            <v>0.90100000000000002</v>
          </cell>
          <cell r="BR415">
            <v>0.90700000000000003</v>
          </cell>
          <cell r="BS415">
            <v>0.90500000000000003</v>
          </cell>
          <cell r="BT415">
            <v>0.84600000000000009</v>
          </cell>
          <cell r="BU415">
            <v>0.88975000000000004</v>
          </cell>
          <cell r="BV415">
            <v>0.90100000000000002</v>
          </cell>
          <cell r="BW415">
            <v>0.90700000000000003</v>
          </cell>
          <cell r="BX415">
            <v>0.90500000000000003</v>
          </cell>
          <cell r="BY415">
            <v>0.84600000000000009</v>
          </cell>
          <cell r="BZ415">
            <v>0.88975000000000004</v>
          </cell>
        </row>
        <row r="416">
          <cell r="B416" t="str">
            <v>BASE - Retention rate</v>
          </cell>
          <cell r="AM416">
            <v>0.91900000000000004</v>
          </cell>
          <cell r="AN416">
            <v>0.91</v>
          </cell>
          <cell r="AO416">
            <v>0.98699999999999999</v>
          </cell>
          <cell r="AP416">
            <v>0.82199999999999995</v>
          </cell>
          <cell r="AQ416">
            <v>0.90950000000000009</v>
          </cell>
          <cell r="AR416">
            <v>0.91300000000000003</v>
          </cell>
          <cell r="AS416">
            <v>0.84699999999999998</v>
          </cell>
          <cell r="AT416">
            <v>0.93600000000000005</v>
          </cell>
          <cell r="AU416">
            <v>0.81100000000000005</v>
          </cell>
          <cell r="AV416">
            <v>0.87675000000000003</v>
          </cell>
          <cell r="AW416">
            <v>0.88100000000000001</v>
          </cell>
          <cell r="AX416">
            <v>0.88200000000000001</v>
          </cell>
          <cell r="AY416">
            <v>0.87</v>
          </cell>
          <cell r="AZ416">
            <v>0.81100000000000005</v>
          </cell>
          <cell r="BA416">
            <v>0.86099999999999999</v>
          </cell>
          <cell r="BB416">
            <v>0.88100000000000001</v>
          </cell>
          <cell r="BC416">
            <v>0.88700000000000001</v>
          </cell>
          <cell r="BD416">
            <v>0.875</v>
          </cell>
          <cell r="BE416">
            <v>0.81600000000000006</v>
          </cell>
          <cell r="BF416">
            <v>0.86474999999999991</v>
          </cell>
          <cell r="BG416">
            <v>0.88600000000000001</v>
          </cell>
          <cell r="BH416">
            <v>0.89200000000000002</v>
          </cell>
          <cell r="BI416">
            <v>0.88</v>
          </cell>
          <cell r="BJ416">
            <v>0.82100000000000006</v>
          </cell>
          <cell r="BK416">
            <v>0.86975000000000002</v>
          </cell>
          <cell r="BL416">
            <v>0.88600000000000001</v>
          </cell>
          <cell r="BM416">
            <v>0.89200000000000002</v>
          </cell>
          <cell r="BN416">
            <v>0.88</v>
          </cell>
          <cell r="BO416">
            <v>0.82100000000000006</v>
          </cell>
          <cell r="BP416">
            <v>0.86975000000000002</v>
          </cell>
          <cell r="BQ416">
            <v>0.88600000000000001</v>
          </cell>
          <cell r="BR416">
            <v>0.89200000000000002</v>
          </cell>
          <cell r="BS416">
            <v>0.88</v>
          </cell>
          <cell r="BT416">
            <v>0.82100000000000006</v>
          </cell>
          <cell r="BU416">
            <v>0.86975000000000002</v>
          </cell>
          <cell r="BV416">
            <v>0.88600000000000001</v>
          </cell>
          <cell r="BW416">
            <v>0.89200000000000002</v>
          </cell>
          <cell r="BX416">
            <v>0.88</v>
          </cell>
          <cell r="BY416">
            <v>0.82100000000000006</v>
          </cell>
          <cell r="BZ416">
            <v>0.86975000000000002</v>
          </cell>
        </row>
        <row r="417">
          <cell r="B417" t="str">
            <v>BEAR - Retention rate</v>
          </cell>
          <cell r="BB417">
            <v>0.84099999999999997</v>
          </cell>
          <cell r="BC417">
            <v>0.84699999999999998</v>
          </cell>
          <cell r="BD417">
            <v>0.83499999999999996</v>
          </cell>
          <cell r="BE417">
            <v>0.77600000000000002</v>
          </cell>
          <cell r="BF417">
            <v>0.82474999999999987</v>
          </cell>
          <cell r="BG417">
            <v>0.84599999999999997</v>
          </cell>
          <cell r="BH417">
            <v>0.85199999999999998</v>
          </cell>
          <cell r="BI417">
            <v>0.84</v>
          </cell>
          <cell r="BJ417">
            <v>0.78100000000000003</v>
          </cell>
          <cell r="BK417">
            <v>0.82974999999999999</v>
          </cell>
          <cell r="BL417">
            <v>0.84599999999999997</v>
          </cell>
          <cell r="BM417">
            <v>0.85199999999999998</v>
          </cell>
          <cell r="BN417">
            <v>0.84</v>
          </cell>
          <cell r="BO417">
            <v>0.78100000000000003</v>
          </cell>
          <cell r="BP417">
            <v>0.82974999999999999</v>
          </cell>
          <cell r="BQ417">
            <v>0.84599999999999997</v>
          </cell>
          <cell r="BR417">
            <v>0.85199999999999998</v>
          </cell>
          <cell r="BS417">
            <v>0.84</v>
          </cell>
          <cell r="BT417">
            <v>0.78100000000000003</v>
          </cell>
          <cell r="BU417">
            <v>0.82974999999999999</v>
          </cell>
          <cell r="BV417">
            <v>0.84599999999999997</v>
          </cell>
          <cell r="BW417">
            <v>0.85199999999999998</v>
          </cell>
          <cell r="BX417">
            <v>0.84</v>
          </cell>
          <cell r="BY417">
            <v>0.78100000000000003</v>
          </cell>
          <cell r="BZ417">
            <v>0.82974999999999999</v>
          </cell>
        </row>
        <row r="418">
          <cell r="B418" t="str">
            <v>Cancellation rate (as % of beginning of qtr run rate)</v>
          </cell>
          <cell r="AR418">
            <v>8.2758620689655171E-2</v>
          </cell>
          <cell r="AS418">
            <v>0.14912280701754385</v>
          </cell>
          <cell r="AT418">
            <v>5.8091286307053937E-2</v>
          </cell>
          <cell r="AU418">
            <v>0.18300653594771243</v>
          </cell>
          <cell r="AV418">
            <v>0.12413793103448277</v>
          </cell>
          <cell r="AW418">
            <v>0.116331096196868</v>
          </cell>
          <cell r="AX418">
            <v>0.12149532710280375</v>
          </cell>
          <cell r="AY418">
            <v>0.12200435729847495</v>
          </cell>
          <cell r="AZ418">
            <v>0.19090909090909092</v>
          </cell>
          <cell r="BA418">
            <v>0.13646532438478745</v>
          </cell>
          <cell r="BB418">
            <v>0.11899999999999999</v>
          </cell>
          <cell r="BC418">
            <v>0.10989091643042595</v>
          </cell>
          <cell r="BD418">
            <v>0.11729867784471426</v>
          </cell>
          <cell r="BE418">
            <v>0.17447467057886867</v>
          </cell>
          <cell r="BF418">
            <v>0.13524999999999998</v>
          </cell>
          <cell r="BG418">
            <v>0.11399999999999999</v>
          </cell>
          <cell r="BH418">
            <v>0.10493795218704703</v>
          </cell>
          <cell r="BI418">
            <v>0.11242453857088637</v>
          </cell>
          <cell r="BJ418">
            <v>0.16927592681975689</v>
          </cell>
          <cell r="BK418">
            <v>0.13024999999999998</v>
          </cell>
          <cell r="BL418">
            <v>0.11399999999999999</v>
          </cell>
          <cell r="BM418">
            <v>0.10499462732985369</v>
          </cell>
          <cell r="BN418">
            <v>0.11254933661200603</v>
          </cell>
          <cell r="BO418">
            <v>0.16949660882413509</v>
          </cell>
          <cell r="BP418">
            <v>0.13024999999999998</v>
          </cell>
          <cell r="BQ418">
            <v>0.11399999999999999</v>
          </cell>
          <cell r="BR418">
            <v>0.10503994161585516</v>
          </cell>
          <cell r="BS418">
            <v>0.11264922050878733</v>
          </cell>
          <cell r="BT418">
            <v>0.16967329633323586</v>
          </cell>
          <cell r="BU418">
            <v>0.13024999999999998</v>
          </cell>
          <cell r="BV418">
            <v>0.11399999999999999</v>
          </cell>
          <cell r="BW418">
            <v>0.10507628814444471</v>
          </cell>
          <cell r="BX418">
            <v>0.11272940306463822</v>
          </cell>
          <cell r="BY418">
            <v>0.16981517316360481</v>
          </cell>
          <cell r="BZ418">
            <v>0.13024999999999998</v>
          </cell>
        </row>
        <row r="426">
          <cell r="B426" t="str">
            <v>Subtotal</v>
          </cell>
          <cell r="AM426">
            <v>0</v>
          </cell>
          <cell r="AN426">
            <v>0</v>
          </cell>
          <cell r="AO426">
            <v>0</v>
          </cell>
          <cell r="AP426">
            <v>0</v>
          </cell>
          <cell r="AQ426">
            <v>0</v>
          </cell>
          <cell r="AR426">
            <v>1.425</v>
          </cell>
          <cell r="AS426">
            <v>4.3562500000000002</v>
          </cell>
          <cell r="AT426">
            <v>4.4468750000000004</v>
          </cell>
          <cell r="AU426">
            <v>6.7093749999999996</v>
          </cell>
          <cell r="AV426">
            <v>16.9375</v>
          </cell>
          <cell r="AW426">
            <v>10.434375000000001</v>
          </cell>
          <cell r="AX426">
            <v>11.278124999999999</v>
          </cell>
          <cell r="AY426">
            <v>11.146875</v>
          </cell>
          <cell r="AZ426">
            <v>11.015625</v>
          </cell>
          <cell r="BA426">
            <v>43.875</v>
          </cell>
          <cell r="BB426">
            <v>10.9687375</v>
          </cell>
          <cell r="BC426">
            <v>10.971343749999999</v>
          </cell>
          <cell r="BD426">
            <v>10.971299999999999</v>
          </cell>
          <cell r="BE426">
            <v>11.095306249999998</v>
          </cell>
          <cell r="BF426">
            <v>44.006687499999998</v>
          </cell>
          <cell r="BG426">
            <v>11.302785878125</v>
          </cell>
          <cell r="BH426">
            <v>11.519404453124999</v>
          </cell>
          <cell r="BI426">
            <v>11.741498534374999</v>
          </cell>
          <cell r="BJ426">
            <v>11.9674975640625</v>
          </cell>
          <cell r="BK426">
            <v>46.531186429687494</v>
          </cell>
          <cell r="BL426">
            <v>12.199413822421095</v>
          </cell>
          <cell r="BM426">
            <v>12.437235425839845</v>
          </cell>
          <cell r="BN426">
            <v>12.677033602225782</v>
          </cell>
          <cell r="BO426">
            <v>12.917022648999609</v>
          </cell>
          <cell r="BP426">
            <v>50.230705499486334</v>
          </cell>
          <cell r="BQ426">
            <v>13.161360815582777</v>
          </cell>
          <cell r="BR426">
            <v>13.412125020049986</v>
          </cell>
          <cell r="BS426">
            <v>13.665114376766343</v>
          </cell>
          <cell r="BT426">
            <v>13.918452506609599</v>
          </cell>
          <cell r="BU426">
            <v>54.157052719008703</v>
          </cell>
          <cell r="BV426">
            <v>14.176578657932394</v>
          </cell>
          <cell r="BW426">
            <v>14.441674010204062</v>
          </cell>
          <cell r="BX426">
            <v>14.709246138509128</v>
          </cell>
          <cell r="BY426">
            <v>14.977317169300839</v>
          </cell>
          <cell r="BZ426">
            <v>58.304815975946426</v>
          </cell>
        </row>
        <row r="427">
          <cell r="B427" t="str">
            <v>Adjustments (FX, Other)</v>
          </cell>
          <cell r="AM427">
            <v>7.6</v>
          </cell>
          <cell r="AN427">
            <v>14.6</v>
          </cell>
          <cell r="AO427">
            <v>10.9</v>
          </cell>
          <cell r="AP427">
            <v>8.6</v>
          </cell>
          <cell r="AQ427">
            <v>41.7</v>
          </cell>
          <cell r="AR427">
            <v>10.375</v>
          </cell>
          <cell r="AS427">
            <v>12.443750000000001</v>
          </cell>
          <cell r="AT427">
            <v>4.453125</v>
          </cell>
          <cell r="AU427">
            <v>-0.70937499999999964</v>
          </cell>
          <cell r="AV427">
            <v>26.5625</v>
          </cell>
          <cell r="AW427">
            <v>2.5656249999999989</v>
          </cell>
          <cell r="AX427">
            <v>1.3218750000000004</v>
          </cell>
          <cell r="AY427">
            <v>-3.046875</v>
          </cell>
          <cell r="AZ427">
            <v>-4.1346249999999998</v>
          </cell>
          <cell r="BA427">
            <v>-3.2940000000000005</v>
          </cell>
          <cell r="BB427">
            <v>2.5656249999999989</v>
          </cell>
          <cell r="BC427">
            <v>1.3218750000000004</v>
          </cell>
          <cell r="BD427">
            <v>-3.046875</v>
          </cell>
          <cell r="BE427">
            <v>-4.1346249999999998</v>
          </cell>
          <cell r="BF427">
            <v>-3.2940000000000005</v>
          </cell>
          <cell r="BG427">
            <v>2.5656249999999989</v>
          </cell>
          <cell r="BH427">
            <v>1.3218750000000004</v>
          </cell>
          <cell r="BI427">
            <v>-3.046875</v>
          </cell>
          <cell r="BJ427">
            <v>-4.1346249999999998</v>
          </cell>
          <cell r="BK427">
            <v>-3.2940000000000005</v>
          </cell>
          <cell r="BL427">
            <v>2.5656249999999989</v>
          </cell>
          <cell r="BM427">
            <v>1.3218750000000004</v>
          </cell>
          <cell r="BN427">
            <v>-3.046875</v>
          </cell>
          <cell r="BO427">
            <v>-4.1346249999999998</v>
          </cell>
          <cell r="BP427">
            <v>-3.2940000000000005</v>
          </cell>
          <cell r="BQ427">
            <v>2.5656249999999989</v>
          </cell>
          <cell r="BR427">
            <v>1.3218750000000004</v>
          </cell>
          <cell r="BS427">
            <v>-3.046875</v>
          </cell>
          <cell r="BT427">
            <v>-4.1346249999999998</v>
          </cell>
          <cell r="BU427">
            <v>-3.2940000000000005</v>
          </cell>
          <cell r="BV427">
            <v>2.5656249999999989</v>
          </cell>
          <cell r="BW427">
            <v>1.3218750000000004</v>
          </cell>
          <cell r="BX427">
            <v>-3.046875</v>
          </cell>
          <cell r="BY427">
            <v>-4.1346249999999998</v>
          </cell>
          <cell r="BZ427">
            <v>-3.2940000000000005</v>
          </cell>
        </row>
        <row r="428">
          <cell r="B428" t="str">
            <v>Real Estate recurring</v>
          </cell>
          <cell r="AM428">
            <v>7.6</v>
          </cell>
          <cell r="AN428">
            <v>14.6</v>
          </cell>
          <cell r="AO428">
            <v>10.9</v>
          </cell>
          <cell r="AP428">
            <v>8.6</v>
          </cell>
          <cell r="AQ428">
            <v>41.7</v>
          </cell>
          <cell r="AR428">
            <v>11.8</v>
          </cell>
          <cell r="AS428">
            <v>16.8</v>
          </cell>
          <cell r="AT428">
            <v>8.9</v>
          </cell>
          <cell r="AU428">
            <v>6</v>
          </cell>
          <cell r="AV428">
            <v>43.5</v>
          </cell>
          <cell r="AW428">
            <v>13</v>
          </cell>
          <cell r="AX428">
            <v>12.6</v>
          </cell>
          <cell r="AY428">
            <v>8.1</v>
          </cell>
          <cell r="AZ428">
            <v>6.8810000000000002</v>
          </cell>
          <cell r="BA428">
            <v>40.581000000000003</v>
          </cell>
          <cell r="BB428">
            <v>13.534362499999999</v>
          </cell>
          <cell r="BC428">
            <v>12.293218749999999</v>
          </cell>
          <cell r="BD428">
            <v>7.9244249999999994</v>
          </cell>
          <cell r="BE428">
            <v>6.9606812499999986</v>
          </cell>
          <cell r="BF428">
            <v>40.712687499999994</v>
          </cell>
          <cell r="BG428">
            <v>13.868410878124999</v>
          </cell>
          <cell r="BH428">
            <v>12.841279453124999</v>
          </cell>
          <cell r="BI428">
            <v>8.6946235343749994</v>
          </cell>
          <cell r="BJ428">
            <v>7.8328725640624999</v>
          </cell>
          <cell r="BK428">
            <v>43.237186429687497</v>
          </cell>
          <cell r="BL428">
            <v>14.765038822421094</v>
          </cell>
          <cell r="BM428">
            <v>13.759110425839845</v>
          </cell>
          <cell r="BN428">
            <v>9.6301586022257819</v>
          </cell>
          <cell r="BO428">
            <v>8.7823976489996092</v>
          </cell>
          <cell r="BP428">
            <v>46.936705499486337</v>
          </cell>
          <cell r="BQ428">
            <v>15.726985815582776</v>
          </cell>
          <cell r="BR428">
            <v>14.734000020049987</v>
          </cell>
          <cell r="BS428">
            <v>10.618239376766343</v>
          </cell>
          <cell r="BT428">
            <v>9.7838275066095992</v>
          </cell>
          <cell r="BU428">
            <v>50.863052719008707</v>
          </cell>
          <cell r="BV428">
            <v>16.742203657932393</v>
          </cell>
          <cell r="BW428">
            <v>15.763549010204063</v>
          </cell>
          <cell r="BX428">
            <v>11.662371138509128</v>
          </cell>
          <cell r="BY428">
            <v>10.84269216930084</v>
          </cell>
          <cell r="BZ428">
            <v>55.010815975946421</v>
          </cell>
          <cell r="CB428">
            <v>6.2046820332419372E-2</v>
          </cell>
        </row>
        <row r="430">
          <cell r="B430" t="str">
            <v>Real Estate non-recurring revenue</v>
          </cell>
          <cell r="AM430">
            <v>0.4</v>
          </cell>
          <cell r="AN430">
            <v>2.4</v>
          </cell>
          <cell r="AO430">
            <v>0.6</v>
          </cell>
          <cell r="AP430">
            <v>1.3</v>
          </cell>
          <cell r="AQ430">
            <v>4.7</v>
          </cell>
          <cell r="AR430">
            <v>1.4</v>
          </cell>
          <cell r="AS430">
            <v>1.8</v>
          </cell>
          <cell r="AT430">
            <v>2.1</v>
          </cell>
          <cell r="AU430">
            <v>1.6</v>
          </cell>
          <cell r="AV430">
            <v>6.9</v>
          </cell>
          <cell r="AW430">
            <v>0.5</v>
          </cell>
          <cell r="AX430">
            <v>1.1000000000000001</v>
          </cell>
          <cell r="AY430">
            <v>1.1000000000000001</v>
          </cell>
          <cell r="AZ430">
            <v>1.7529999999999999</v>
          </cell>
          <cell r="BA430">
            <v>4.4530000000000003</v>
          </cell>
          <cell r="BB430">
            <v>1.7529999999999999</v>
          </cell>
          <cell r="BC430">
            <v>1.7529999999999999</v>
          </cell>
          <cell r="BD430">
            <v>1.7529999999999999</v>
          </cell>
          <cell r="BE430">
            <v>1.7529999999999999</v>
          </cell>
          <cell r="BF430">
            <v>7.0119999999999996</v>
          </cell>
          <cell r="BG430">
            <v>1.7529999999999999</v>
          </cell>
          <cell r="BH430">
            <v>1.7529999999999999</v>
          </cell>
          <cell r="BI430">
            <v>1.7529999999999999</v>
          </cell>
          <cell r="BJ430">
            <v>1.7529999999999999</v>
          </cell>
          <cell r="BK430">
            <v>7.0119999999999996</v>
          </cell>
          <cell r="BL430">
            <v>1.7529999999999999</v>
          </cell>
          <cell r="BM430">
            <v>1.7529999999999999</v>
          </cell>
          <cell r="BN430">
            <v>1.7529999999999999</v>
          </cell>
          <cell r="BO430">
            <v>1.7529999999999999</v>
          </cell>
          <cell r="BP430">
            <v>7.0119999999999996</v>
          </cell>
          <cell r="BQ430">
            <v>1.7529999999999999</v>
          </cell>
          <cell r="BR430">
            <v>1.7529999999999999</v>
          </cell>
          <cell r="BS430">
            <v>1.7529999999999999</v>
          </cell>
          <cell r="BT430">
            <v>1.7529999999999999</v>
          </cell>
          <cell r="BU430">
            <v>7.0119999999999996</v>
          </cell>
          <cell r="BV430">
            <v>1.7529999999999999</v>
          </cell>
          <cell r="BW430">
            <v>1.7529999999999999</v>
          </cell>
          <cell r="BX430">
            <v>1.7529999999999999</v>
          </cell>
          <cell r="BY430">
            <v>1.7529999999999999</v>
          </cell>
          <cell r="BZ430">
            <v>7.0119999999999996</v>
          </cell>
          <cell r="CB430">
            <v>0</v>
          </cell>
        </row>
        <row r="432">
          <cell r="B432" t="str">
            <v>Real Estate revenue</v>
          </cell>
          <cell r="D432">
            <v>0</v>
          </cell>
          <cell r="E432">
            <v>0</v>
          </cell>
          <cell r="F432">
            <v>0</v>
          </cell>
          <cell r="G432">
            <v>0</v>
          </cell>
          <cell r="I432">
            <v>0</v>
          </cell>
          <cell r="J432">
            <v>0</v>
          </cell>
          <cell r="K432">
            <v>0</v>
          </cell>
          <cell r="L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8</v>
          </cell>
          <cell r="AN432">
            <v>17</v>
          </cell>
          <cell r="AO432">
            <v>11.5</v>
          </cell>
          <cell r="AP432">
            <v>9.9</v>
          </cell>
          <cell r="AQ432">
            <v>46.400000000000006</v>
          </cell>
          <cell r="AR432">
            <v>13.200000000000001</v>
          </cell>
          <cell r="AS432">
            <v>18.600000000000001</v>
          </cell>
          <cell r="AT432">
            <v>11</v>
          </cell>
          <cell r="AU432">
            <v>7.6</v>
          </cell>
          <cell r="AV432">
            <v>50.4</v>
          </cell>
          <cell r="AW432">
            <v>13.5</v>
          </cell>
          <cell r="AX432">
            <v>13.7</v>
          </cell>
          <cell r="AY432">
            <v>9.1999999999999993</v>
          </cell>
          <cell r="AZ432">
            <v>8.6340000000000003</v>
          </cell>
          <cell r="BA432">
            <v>45.034000000000006</v>
          </cell>
          <cell r="BB432">
            <v>15.287362499999999</v>
          </cell>
          <cell r="BC432">
            <v>14.04621875</v>
          </cell>
          <cell r="BD432">
            <v>9.6774249999999995</v>
          </cell>
          <cell r="BE432">
            <v>8.7136812499999987</v>
          </cell>
          <cell r="BF432">
            <v>47.724687499999995</v>
          </cell>
          <cell r="BG432">
            <v>15.621410878124999</v>
          </cell>
          <cell r="BH432">
            <v>14.594279453124999</v>
          </cell>
          <cell r="BI432">
            <v>10.447623534374999</v>
          </cell>
          <cell r="BJ432">
            <v>9.5858725640625</v>
          </cell>
          <cell r="BK432">
            <v>50.249186429687498</v>
          </cell>
          <cell r="BL432">
            <v>16.518038822421094</v>
          </cell>
          <cell r="BM432">
            <v>15.512110425839845</v>
          </cell>
          <cell r="BN432">
            <v>11.383158602225782</v>
          </cell>
          <cell r="BO432">
            <v>10.535397648999609</v>
          </cell>
          <cell r="BP432">
            <v>53.948705499486337</v>
          </cell>
          <cell r="BQ432">
            <v>17.479985815582776</v>
          </cell>
          <cell r="BR432">
            <v>16.487000020049987</v>
          </cell>
          <cell r="BS432">
            <v>12.371239376766344</v>
          </cell>
          <cell r="BT432">
            <v>11.536827506609599</v>
          </cell>
          <cell r="BU432">
            <v>57.875052719008707</v>
          </cell>
          <cell r="BV432">
            <v>18.495203657932393</v>
          </cell>
          <cell r="BW432">
            <v>17.516549010204063</v>
          </cell>
          <cell r="BX432">
            <v>13.415371138509128</v>
          </cell>
          <cell r="BY432">
            <v>12.59569216930084</v>
          </cell>
          <cell r="BZ432">
            <v>62.022815975946422</v>
          </cell>
          <cell r="CB432">
            <v>5.3808451791704126E-2</v>
          </cell>
        </row>
        <row r="433">
          <cell r="B433" t="str">
            <v>y/y change</v>
          </cell>
          <cell r="AR433">
            <v>0.65000000000000013</v>
          </cell>
          <cell r="AS433">
            <v>9.4117647058823639E-2</v>
          </cell>
          <cell r="AT433">
            <v>-4.3478260869565188E-2</v>
          </cell>
          <cell r="AU433">
            <v>-0.23232323232323238</v>
          </cell>
          <cell r="AV433">
            <v>8.6206896551723977E-2</v>
          </cell>
          <cell r="AW433">
            <v>2.2727272727272707E-2</v>
          </cell>
          <cell r="AX433">
            <v>-0.26344086021505386</v>
          </cell>
          <cell r="AY433">
            <v>-0.16363636363636369</v>
          </cell>
          <cell r="AZ433">
            <v>0.13605263157894742</v>
          </cell>
          <cell r="BA433">
            <v>-0.10646825396825388</v>
          </cell>
          <cell r="BB433">
            <v>0.13239722222222206</v>
          </cell>
          <cell r="BC433">
            <v>2.5271441605839495E-2</v>
          </cell>
          <cell r="BD433">
            <v>5.189402173913038E-2</v>
          </cell>
          <cell r="BE433">
            <v>9.2287757702105289E-3</v>
          </cell>
          <cell r="BF433">
            <v>5.9747912688190796E-2</v>
          </cell>
          <cell r="BG433">
            <v>2.1851276053995727E-2</v>
          </cell>
          <cell r="BH433">
            <v>3.9018380169040023E-2</v>
          </cell>
          <cell r="BI433">
            <v>7.9587135459587621E-2</v>
          </cell>
          <cell r="BJ433">
            <v>0.10009447087159651</v>
          </cell>
          <cell r="BK433">
            <v>5.2897128549820316E-2</v>
          </cell>
          <cell r="BL433">
            <v>5.7397372829599114E-2</v>
          </cell>
          <cell r="BM433">
            <v>6.2889776481449777E-2</v>
          </cell>
          <cell r="BN433">
            <v>8.9545250627826034E-2</v>
          </cell>
          <cell r="BO433">
            <v>9.9054632595146908E-2</v>
          </cell>
          <cell r="BP433">
            <v>7.3623462043022059E-2</v>
          </cell>
          <cell r="BQ433">
            <v>5.8236150399160191E-2</v>
          </cell>
          <cell r="BR433">
            <v>6.2846999373224133E-2</v>
          </cell>
          <cell r="BS433">
            <v>8.6801986080327298E-2</v>
          </cell>
          <cell r="BT433">
            <v>9.5053826250695028E-2</v>
          </cell>
          <cell r="BU433">
            <v>7.2779266586104674E-2</v>
          </cell>
          <cell r="BV433">
            <v>5.8078871062045456E-2</v>
          </cell>
          <cell r="BW433">
            <v>6.244610838248521E-2</v>
          </cell>
          <cell r="BX433">
            <v>8.4399931966695485E-2</v>
          </cell>
          <cell r="BY433">
            <v>9.1781268471302191E-2</v>
          </cell>
          <cell r="BZ433">
            <v>7.1667550387827239E-2</v>
          </cell>
        </row>
        <row r="436">
          <cell r="AM436" t="str">
            <v>1Q13R</v>
          </cell>
          <cell r="AN436" t="str">
            <v>2Q13R</v>
          </cell>
          <cell r="AO436" t="str">
            <v>3Q13R</v>
          </cell>
          <cell r="AP436" t="str">
            <v>4Q13R</v>
          </cell>
          <cell r="AQ436" t="str">
            <v>2013R</v>
          </cell>
          <cell r="AR436" t="str">
            <v>1Q14</v>
          </cell>
          <cell r="AS436" t="str">
            <v>2Q14</v>
          </cell>
          <cell r="AT436" t="str">
            <v>3Q14</v>
          </cell>
          <cell r="AU436" t="str">
            <v>4Q14</v>
          </cell>
          <cell r="AV436">
            <v>2014</v>
          </cell>
          <cell r="AW436" t="str">
            <v>1Q15</v>
          </cell>
          <cell r="AX436" t="str">
            <v>2Q15</v>
          </cell>
          <cell r="AY436" t="str">
            <v>3Q15</v>
          </cell>
          <cell r="AZ436" t="str">
            <v>4Q15</v>
          </cell>
          <cell r="BA436">
            <v>2015</v>
          </cell>
          <cell r="BB436" t="str">
            <v>1Q16</v>
          </cell>
          <cell r="BC436" t="str">
            <v>2Q16</v>
          </cell>
          <cell r="BD436" t="str">
            <v>3Q16</v>
          </cell>
          <cell r="BE436" t="str">
            <v>4Q16</v>
          </cell>
          <cell r="BF436" t="str">
            <v>2016E</v>
          </cell>
          <cell r="BG436" t="str">
            <v>1Q17E</v>
          </cell>
          <cell r="BH436" t="str">
            <v>2Q17E</v>
          </cell>
          <cell r="BI436" t="str">
            <v>3Q17E</v>
          </cell>
          <cell r="BJ436" t="str">
            <v>4Q17E</v>
          </cell>
          <cell r="BK436" t="str">
            <v>2017E</v>
          </cell>
          <cell r="BL436" t="str">
            <v>1Q18E</v>
          </cell>
          <cell r="BM436" t="str">
            <v>2Q18E</v>
          </cell>
          <cell r="BN436" t="str">
            <v>3Q18E</v>
          </cell>
          <cell r="BO436" t="str">
            <v>4Q18E</v>
          </cell>
          <cell r="BP436" t="str">
            <v>2018E</v>
          </cell>
          <cell r="BQ436" t="str">
            <v>1Q19E</v>
          </cell>
          <cell r="BR436" t="str">
            <v>2Q19E</v>
          </cell>
          <cell r="BS436" t="str">
            <v>3Q19E</v>
          </cell>
          <cell r="BT436" t="str">
            <v>4Q19E</v>
          </cell>
          <cell r="BU436" t="str">
            <v>2019E</v>
          </cell>
          <cell r="BV436" t="str">
            <v>1Q20E</v>
          </cell>
          <cell r="BW436" t="str">
            <v>2Q20E</v>
          </cell>
          <cell r="BX436" t="str">
            <v>3Q20E</v>
          </cell>
          <cell r="BY436" t="str">
            <v>4Q20E</v>
          </cell>
          <cell r="BZ436" t="str">
            <v>2020E</v>
          </cell>
        </row>
        <row r="437">
          <cell r="A437" t="str">
            <v>All Other</v>
          </cell>
        </row>
        <row r="439">
          <cell r="B439" t="str">
            <v>Annualized run rate</v>
          </cell>
          <cell r="AM439">
            <v>59</v>
          </cell>
          <cell r="AN439">
            <v>60.9</v>
          </cell>
          <cell r="AO439">
            <v>64</v>
          </cell>
          <cell r="AP439">
            <v>66.400000000000006</v>
          </cell>
          <cell r="AQ439">
            <v>66.400000000000006</v>
          </cell>
          <cell r="AR439">
            <v>69.900000000000006</v>
          </cell>
          <cell r="AS439">
            <v>73.400000000000006</v>
          </cell>
          <cell r="AT439">
            <v>79.400000000000006</v>
          </cell>
          <cell r="AU439">
            <v>79.2</v>
          </cell>
          <cell r="AV439">
            <v>79.2</v>
          </cell>
          <cell r="AW439">
            <v>78.099999999999994</v>
          </cell>
          <cell r="AX439">
            <v>83.1</v>
          </cell>
          <cell r="AY439">
            <v>82.8</v>
          </cell>
          <cell r="AZ439">
            <v>82.699999999999989</v>
          </cell>
          <cell r="BA439">
            <v>82.699999999999989</v>
          </cell>
          <cell r="BB439">
            <v>86.99</v>
          </cell>
          <cell r="BC439">
            <v>86.924000000000007</v>
          </cell>
          <cell r="BD439">
            <v>86.738</v>
          </cell>
          <cell r="BE439">
            <v>88.073999999999998</v>
          </cell>
          <cell r="BF439">
            <v>88.073999999999998</v>
          </cell>
          <cell r="BG439">
            <v>92.090569500000001</v>
          </cell>
          <cell r="BH439">
            <v>94.617334</v>
          </cell>
          <cell r="BI439">
            <v>96.850114500000004</v>
          </cell>
          <cell r="BJ439">
            <v>101.08342999999999</v>
          </cell>
          <cell r="BK439">
            <v>101.08342999999999</v>
          </cell>
          <cell r="BL439">
            <v>105.2562518025</v>
          </cell>
          <cell r="BM439">
            <v>107.78365038000001</v>
          </cell>
          <cell r="BN439">
            <v>110.02386307750001</v>
          </cell>
          <cell r="BO439">
            <v>114.35331635000001</v>
          </cell>
          <cell r="BP439">
            <v>114.35331635000001</v>
          </cell>
          <cell r="BQ439">
            <v>118.70519433461253</v>
          </cell>
          <cell r="BR439">
            <v>121.25001412160003</v>
          </cell>
          <cell r="BS439">
            <v>123.51232120198753</v>
          </cell>
          <cell r="BT439">
            <v>127.96366035075002</v>
          </cell>
          <cell r="BU439">
            <v>127.96366035075002</v>
          </cell>
          <cell r="BV439">
            <v>132.51786737790883</v>
          </cell>
          <cell r="BW439">
            <v>135.09648004468701</v>
          </cell>
          <cell r="BX439">
            <v>137.39522656282821</v>
          </cell>
          <cell r="BY439">
            <v>141.99419530520876</v>
          </cell>
          <cell r="BZ439">
            <v>141.99419530520876</v>
          </cell>
          <cell r="CB439">
            <v>0.10023276469342379</v>
          </cell>
        </row>
        <row r="440">
          <cell r="B440" t="str">
            <v>Revenue</v>
          </cell>
          <cell r="AR440">
            <v>0.18474576271186449</v>
          </cell>
          <cell r="AS440">
            <v>0.20525451559934327</v>
          </cell>
          <cell r="AT440">
            <v>0.24062500000000009</v>
          </cell>
          <cell r="AU440">
            <v>0.19277108433734935</v>
          </cell>
          <cell r="AW440">
            <v>0.11731044349070086</v>
          </cell>
          <cell r="AX440">
            <v>0.1321525885558581</v>
          </cell>
          <cell r="AY440">
            <v>4.2821158690176109E-2</v>
          </cell>
          <cell r="AZ440">
            <v>4.4191919191919116E-2</v>
          </cell>
          <cell r="BB440">
            <v>0.11382842509603064</v>
          </cell>
          <cell r="BC440">
            <v>4.6016847172081876E-2</v>
          </cell>
          <cell r="BD440">
            <v>4.7560386473429972E-2</v>
          </cell>
          <cell r="BE440">
            <v>6.4981862152358127E-2</v>
          </cell>
          <cell r="BG440">
            <v>4.8844694792504972E-2</v>
          </cell>
        </row>
        <row r="441">
          <cell r="B441" t="str">
            <v>Subscription revenue - 1st quarter, 12.5%</v>
          </cell>
          <cell r="AR441">
            <v>1.84375</v>
          </cell>
          <cell r="AS441">
            <v>1.903125</v>
          </cell>
          <cell r="AT441">
            <v>2</v>
          </cell>
          <cell r="AU441">
            <v>2.0750000000000002</v>
          </cell>
          <cell r="AW441">
            <v>2.1843750000000002</v>
          </cell>
          <cell r="AX441">
            <v>2.2937500000000002</v>
          </cell>
          <cell r="AY441">
            <v>2.4812500000000002</v>
          </cell>
          <cell r="AZ441">
            <v>2.4750000000000001</v>
          </cell>
          <cell r="BA441">
            <v>9.4343750000000011</v>
          </cell>
          <cell r="BB441">
            <v>2.4406249999999998</v>
          </cell>
          <cell r="BC441">
            <v>2.5968749999999998</v>
          </cell>
          <cell r="BD441">
            <v>2.5874999999999999</v>
          </cell>
          <cell r="BE441">
            <v>2.5843749999999996</v>
          </cell>
          <cell r="BF441">
            <v>10.209375</v>
          </cell>
          <cell r="BG441">
            <v>2.7184374999999998</v>
          </cell>
          <cell r="BH441">
            <v>2.7163750000000002</v>
          </cell>
          <cell r="BI441">
            <v>2.7105625</v>
          </cell>
          <cell r="BJ441">
            <v>2.7523124999999999</v>
          </cell>
          <cell r="BK441">
            <v>10.8976875</v>
          </cell>
          <cell r="BL441">
            <v>2.877830296875</v>
          </cell>
          <cell r="BM441">
            <v>2.9567916875</v>
          </cell>
          <cell r="BN441">
            <v>3.0265660781250001</v>
          </cell>
          <cell r="BO441">
            <v>3.1588571874999998</v>
          </cell>
          <cell r="BP441">
            <v>12.020045249999999</v>
          </cell>
          <cell r="BQ441">
            <v>3.2892578688281251</v>
          </cell>
          <cell r="BR441">
            <v>3.3682390743750004</v>
          </cell>
          <cell r="BS441">
            <v>3.4382457211718753</v>
          </cell>
          <cell r="BT441">
            <v>3.5735411359375004</v>
          </cell>
          <cell r="BU441">
            <v>13.669283800312501</v>
          </cell>
          <cell r="BV441">
            <v>3.7095373229566415</v>
          </cell>
          <cell r="BW441">
            <v>3.789062941300001</v>
          </cell>
          <cell r="BX441">
            <v>3.8597600375621104</v>
          </cell>
          <cell r="BY441">
            <v>3.9988643859609381</v>
          </cell>
          <cell r="BZ441">
            <v>15.357224687779691</v>
          </cell>
        </row>
        <row r="442">
          <cell r="B442" t="str">
            <v>Subscription revenue - 2nd quarter, 25%</v>
          </cell>
          <cell r="AR442">
            <v>3.8062499999999999</v>
          </cell>
          <cell r="AS442">
            <v>4</v>
          </cell>
          <cell r="AT442">
            <v>4.1500000000000004</v>
          </cell>
          <cell r="AU442">
            <v>4.1500000000000004</v>
          </cell>
          <cell r="AW442">
            <v>4.5875000000000004</v>
          </cell>
          <cell r="AX442">
            <v>4.9625000000000004</v>
          </cell>
          <cell r="AY442">
            <v>4.95</v>
          </cell>
          <cell r="AZ442">
            <v>4.95</v>
          </cell>
          <cell r="BA442">
            <v>19.45</v>
          </cell>
          <cell r="BB442">
            <v>5.1937499999999996</v>
          </cell>
          <cell r="BC442">
            <v>5.1749999999999998</v>
          </cell>
          <cell r="BD442">
            <v>5.1687499999999993</v>
          </cell>
          <cell r="BE442">
            <v>5.4368749999999997</v>
          </cell>
          <cell r="BF442">
            <v>20.974374999999998</v>
          </cell>
          <cell r="BG442">
            <v>5.4327500000000004</v>
          </cell>
          <cell r="BH442">
            <v>5.421125</v>
          </cell>
          <cell r="BI442">
            <v>5.5046249999999999</v>
          </cell>
          <cell r="BJ442">
            <v>5.7556605937500001</v>
          </cell>
          <cell r="BK442">
            <v>22.11416059375</v>
          </cell>
          <cell r="BL442">
            <v>5.913583375</v>
          </cell>
          <cell r="BM442">
            <v>6.0531321562500002</v>
          </cell>
          <cell r="BN442">
            <v>6.3177143749999995</v>
          </cell>
          <cell r="BO442">
            <v>6.5785157376562502</v>
          </cell>
          <cell r="BP442">
            <v>24.862945643906247</v>
          </cell>
          <cell r="BQ442">
            <v>6.7364781487500007</v>
          </cell>
          <cell r="BR442">
            <v>6.8764914423437506</v>
          </cell>
          <cell r="BS442">
            <v>7.1470822718750009</v>
          </cell>
          <cell r="BT442">
            <v>7.419074645913283</v>
          </cell>
          <cell r="BU442">
            <v>28.179126508882035</v>
          </cell>
          <cell r="BV442">
            <v>7.578125882600002</v>
          </cell>
          <cell r="BW442">
            <v>7.7195200751242208</v>
          </cell>
          <cell r="BX442">
            <v>7.9977287719218761</v>
          </cell>
          <cell r="BY442">
            <v>8.2823667111193018</v>
          </cell>
          <cell r="BZ442">
            <v>31.577741440765401</v>
          </cell>
        </row>
        <row r="443">
          <cell r="B443" t="str">
            <v>Subscription revenue - 3rd quarter, 25%</v>
          </cell>
          <cell r="AR443">
            <v>4</v>
          </cell>
          <cell r="AS443">
            <v>4.1500000000000004</v>
          </cell>
          <cell r="AT443">
            <v>4.1500000000000004</v>
          </cell>
          <cell r="AU443">
            <v>4.3687500000000004</v>
          </cell>
          <cell r="AW443">
            <v>4.9625000000000004</v>
          </cell>
          <cell r="AX443">
            <v>4.95</v>
          </cell>
          <cell r="AY443">
            <v>4.95</v>
          </cell>
          <cell r="AZ443">
            <v>4.8812499999999996</v>
          </cell>
          <cell r="BA443">
            <v>19.743749999999999</v>
          </cell>
          <cell r="BB443">
            <v>5.1749999999999998</v>
          </cell>
          <cell r="BC443">
            <v>5.1687499999999993</v>
          </cell>
          <cell r="BD443">
            <v>5.4368749999999997</v>
          </cell>
          <cell r="BE443">
            <v>5.4327500000000004</v>
          </cell>
          <cell r="BF443">
            <v>21.213374999999999</v>
          </cell>
          <cell r="BG443">
            <v>5.421125</v>
          </cell>
          <cell r="BH443">
            <v>5.5046249999999999</v>
          </cell>
          <cell r="BI443">
            <v>5.7556605937500001</v>
          </cell>
          <cell r="BJ443">
            <v>5.913583375</v>
          </cell>
          <cell r="BK443">
            <v>22.594993968750003</v>
          </cell>
          <cell r="BL443">
            <v>6.0531321562500002</v>
          </cell>
          <cell r="BM443">
            <v>6.3177143749999995</v>
          </cell>
          <cell r="BN443">
            <v>6.5785157376562502</v>
          </cell>
          <cell r="BO443">
            <v>6.7364781487500007</v>
          </cell>
          <cell r="BP443">
            <v>25.685840417656252</v>
          </cell>
          <cell r="BQ443">
            <v>6.8764914423437506</v>
          </cell>
          <cell r="BR443">
            <v>7.1470822718750009</v>
          </cell>
          <cell r="BS443">
            <v>7.419074645913283</v>
          </cell>
          <cell r="BT443">
            <v>7.578125882600002</v>
          </cell>
          <cell r="BU443">
            <v>29.020774242732038</v>
          </cell>
          <cell r="BV443">
            <v>7.7195200751242208</v>
          </cell>
          <cell r="BW443">
            <v>7.9977287719218761</v>
          </cell>
          <cell r="BX443">
            <v>8.2823667111193018</v>
          </cell>
          <cell r="BY443">
            <v>8.4435300027929383</v>
          </cell>
          <cell r="BZ443">
            <v>32.443145560958335</v>
          </cell>
        </row>
        <row r="444">
          <cell r="B444" t="str">
            <v>Subscription revenue - 4th quarter, 25%</v>
          </cell>
          <cell r="AR444">
            <v>4.1500000000000004</v>
          </cell>
          <cell r="AS444">
            <v>4.3687500000000004</v>
          </cell>
          <cell r="AT444">
            <v>4.5875000000000004</v>
          </cell>
          <cell r="AU444">
            <v>4.9625000000000004</v>
          </cell>
          <cell r="AW444">
            <v>4.95</v>
          </cell>
          <cell r="AX444">
            <v>4.8812499999999996</v>
          </cell>
          <cell r="AY444">
            <v>5.1937499999999996</v>
          </cell>
          <cell r="AZ444">
            <v>5.1749999999999998</v>
          </cell>
          <cell r="BA444">
            <v>20.2</v>
          </cell>
          <cell r="BB444">
            <v>5.1687499999999993</v>
          </cell>
          <cell r="BC444">
            <v>5.4368749999999997</v>
          </cell>
          <cell r="BD444">
            <v>5.4327500000000004</v>
          </cell>
          <cell r="BE444">
            <v>5.421125</v>
          </cell>
          <cell r="BF444">
            <v>21.459500000000002</v>
          </cell>
          <cell r="BG444">
            <v>5.5046249999999999</v>
          </cell>
          <cell r="BH444">
            <v>5.7556605937500001</v>
          </cell>
          <cell r="BI444">
            <v>5.913583375</v>
          </cell>
          <cell r="BJ444">
            <v>6.0531321562500002</v>
          </cell>
          <cell r="BK444">
            <v>23.227001125000001</v>
          </cell>
          <cell r="BL444">
            <v>6.3177143749999995</v>
          </cell>
          <cell r="BM444">
            <v>6.5785157376562502</v>
          </cell>
          <cell r="BN444">
            <v>6.7364781487500007</v>
          </cell>
          <cell r="BO444">
            <v>6.8764914423437506</v>
          </cell>
          <cell r="BP444">
            <v>26.509199703749999</v>
          </cell>
          <cell r="BQ444">
            <v>7.1470822718750009</v>
          </cell>
          <cell r="BR444">
            <v>7.419074645913283</v>
          </cell>
          <cell r="BS444">
            <v>7.578125882600002</v>
          </cell>
          <cell r="BT444">
            <v>7.7195200751242208</v>
          </cell>
          <cell r="BU444">
            <v>29.863802875512505</v>
          </cell>
          <cell r="BV444">
            <v>7.9977287719218761</v>
          </cell>
          <cell r="BW444">
            <v>8.2823667111193018</v>
          </cell>
          <cell r="BX444">
            <v>8.4435300027929383</v>
          </cell>
          <cell r="BY444">
            <v>8.5872016601767633</v>
          </cell>
          <cell r="BZ444">
            <v>33.31082714601088</v>
          </cell>
        </row>
        <row r="445">
          <cell r="B445" t="str">
            <v>Subscription revenue - 5th quarter, 12.5%</v>
          </cell>
          <cell r="AR445">
            <v>2.1843750000000002</v>
          </cell>
          <cell r="AS445">
            <v>2.2937500000000002</v>
          </cell>
          <cell r="AT445">
            <v>2.4812500000000002</v>
          </cell>
          <cell r="AU445">
            <v>2.4750000000000001</v>
          </cell>
          <cell r="AW445">
            <v>2.4406249999999998</v>
          </cell>
          <cell r="AX445">
            <v>2.5968749999999998</v>
          </cell>
          <cell r="AY445">
            <v>2.5874999999999999</v>
          </cell>
          <cell r="AZ445">
            <v>2.5843749999999996</v>
          </cell>
          <cell r="BA445">
            <v>10.209375</v>
          </cell>
          <cell r="BB445">
            <v>2.7184374999999998</v>
          </cell>
          <cell r="BC445">
            <v>2.7163750000000002</v>
          </cell>
          <cell r="BD445">
            <v>2.7105625</v>
          </cell>
          <cell r="BE445">
            <v>2.7523124999999999</v>
          </cell>
          <cell r="BF445">
            <v>10.8976875</v>
          </cell>
          <cell r="BG445">
            <v>2.877830296875</v>
          </cell>
          <cell r="BH445">
            <v>2.9567916875</v>
          </cell>
          <cell r="BI445">
            <v>3.0265660781250001</v>
          </cell>
          <cell r="BJ445">
            <v>3.1588571874999998</v>
          </cell>
          <cell r="BK445">
            <v>12.020045249999999</v>
          </cell>
          <cell r="BL445">
            <v>3.2892578688281251</v>
          </cell>
          <cell r="BM445">
            <v>3.3682390743750004</v>
          </cell>
          <cell r="BN445">
            <v>3.4382457211718753</v>
          </cell>
          <cell r="BO445">
            <v>3.5735411359375004</v>
          </cell>
          <cell r="BP445">
            <v>13.669283800312501</v>
          </cell>
          <cell r="BQ445">
            <v>3.7095373229566415</v>
          </cell>
          <cell r="BR445">
            <v>3.789062941300001</v>
          </cell>
          <cell r="BS445">
            <v>3.8597600375621104</v>
          </cell>
          <cell r="BT445">
            <v>3.9988643859609381</v>
          </cell>
          <cell r="BU445">
            <v>15.357224687779691</v>
          </cell>
          <cell r="BV445">
            <v>4.1411833555596509</v>
          </cell>
          <cell r="BW445">
            <v>4.2217650013964692</v>
          </cell>
          <cell r="BX445">
            <v>4.2936008300883817</v>
          </cell>
          <cell r="BY445">
            <v>4.4373186032877738</v>
          </cell>
          <cell r="BZ445">
            <v>17.093867790332276</v>
          </cell>
        </row>
        <row r="447">
          <cell r="B447" t="str">
            <v>Quarterly new sales</v>
          </cell>
          <cell r="AM447">
            <v>2.7</v>
          </cell>
          <cell r="AN447">
            <v>4.8</v>
          </cell>
          <cell r="AO447">
            <v>3.3</v>
          </cell>
          <cell r="AP447">
            <v>3.9</v>
          </cell>
          <cell r="AQ447">
            <v>3.9</v>
          </cell>
          <cell r="AR447">
            <v>4.7</v>
          </cell>
          <cell r="AS447">
            <v>4.9000000000000004</v>
          </cell>
          <cell r="AT447">
            <v>3</v>
          </cell>
          <cell r="AU447">
            <v>5</v>
          </cell>
          <cell r="AV447">
            <v>5</v>
          </cell>
          <cell r="AW447">
            <v>4.5</v>
          </cell>
          <cell r="AX447">
            <v>4.5999999999999996</v>
          </cell>
          <cell r="AY447">
            <v>3.3</v>
          </cell>
          <cell r="AZ447">
            <v>4.1999999999999993</v>
          </cell>
          <cell r="BA447">
            <v>4.1999999999999993</v>
          </cell>
          <cell r="BB447">
            <v>5.2560000000000002</v>
          </cell>
          <cell r="BC447">
            <v>4.4809999999999999</v>
          </cell>
          <cell r="BD447">
            <v>3.8769999999999998</v>
          </cell>
          <cell r="BE447">
            <v>6.3639999999999999</v>
          </cell>
          <cell r="BF447">
            <v>19.978000000000002</v>
          </cell>
          <cell r="BG447">
            <v>5.6239200000000009</v>
          </cell>
          <cell r="BH447">
            <v>4.79467</v>
          </cell>
          <cell r="BI447">
            <v>4.14839</v>
          </cell>
          <cell r="BJ447">
            <v>6.8094800000000006</v>
          </cell>
          <cell r="BK447">
            <v>21.376460000000002</v>
          </cell>
          <cell r="BL447">
            <v>6.017594400000001</v>
          </cell>
          <cell r="BM447">
            <v>5.1302969000000003</v>
          </cell>
          <cell r="BN447">
            <v>4.4387772999999999</v>
          </cell>
          <cell r="BO447">
            <v>7.2861436000000008</v>
          </cell>
          <cell r="BP447">
            <v>22.872812200000002</v>
          </cell>
          <cell r="BQ447">
            <v>6.4388260080000013</v>
          </cell>
          <cell r="BR447">
            <v>5.489417683000001</v>
          </cell>
          <cell r="BS447">
            <v>4.7494917110000001</v>
          </cell>
          <cell r="BT447">
            <v>7.7961736520000011</v>
          </cell>
          <cell r="BU447">
            <v>24.473909054000003</v>
          </cell>
          <cell r="BV447">
            <v>6.8895438285600017</v>
          </cell>
          <cell r="BW447">
            <v>5.8736769208100013</v>
          </cell>
          <cell r="BX447">
            <v>5.0819561307700001</v>
          </cell>
          <cell r="BY447">
            <v>8.3419058076400017</v>
          </cell>
          <cell r="BZ447">
            <v>26.187082687780006</v>
          </cell>
        </row>
        <row r="448">
          <cell r="B448" t="str">
            <v>y/y change</v>
          </cell>
          <cell r="AR448">
            <v>0.7407407407407407</v>
          </cell>
          <cell r="AS448">
            <v>2.0833333333333481E-2</v>
          </cell>
          <cell r="AT448">
            <v>-9.0909090909090828E-2</v>
          </cell>
          <cell r="AU448">
            <v>0.28205128205128216</v>
          </cell>
          <cell r="AV448">
            <v>0.28205128205128216</v>
          </cell>
          <cell r="AW448">
            <v>-4.2553191489361764E-2</v>
          </cell>
          <cell r="AX448">
            <v>-6.1224489795918546E-2</v>
          </cell>
          <cell r="AY448">
            <v>9.9999999999999867E-2</v>
          </cell>
          <cell r="AZ448">
            <v>-0.16000000000000014</v>
          </cell>
          <cell r="BA448">
            <v>-0.16000000000000014</v>
          </cell>
          <cell r="BB448">
            <v>0.16800000000000015</v>
          </cell>
          <cell r="BC448">
            <v>-2.5869565217391255E-2</v>
          </cell>
          <cell r="BD448">
            <v>0.17484848484848481</v>
          </cell>
          <cell r="BE448">
            <v>0.51523809523809549</v>
          </cell>
          <cell r="BF448">
            <v>3.7566666666666677</v>
          </cell>
          <cell r="BG448">
            <v>7.0000000000000062E-2</v>
          </cell>
          <cell r="BH448">
            <v>7.0000000000000062E-2</v>
          </cell>
          <cell r="BI448">
            <v>7.0000000000000062E-2</v>
          </cell>
          <cell r="BJ448">
            <v>7.0000000000000062E-2</v>
          </cell>
          <cell r="BK448">
            <v>7.0000000000000062E-2</v>
          </cell>
          <cell r="BL448">
            <v>7.0000000000000062E-2</v>
          </cell>
          <cell r="BM448">
            <v>7.0000000000000062E-2</v>
          </cell>
          <cell r="BN448">
            <v>7.0000000000000062E-2</v>
          </cell>
          <cell r="BO448">
            <v>7.0000000000000062E-2</v>
          </cell>
          <cell r="BP448">
            <v>7.0000000000000062E-2</v>
          </cell>
          <cell r="BQ448">
            <v>7.0000000000000062E-2</v>
          </cell>
          <cell r="BR448">
            <v>7.0000000000000062E-2</v>
          </cell>
          <cell r="BS448">
            <v>7.0000000000000062E-2</v>
          </cell>
          <cell r="BT448">
            <v>7.0000000000000062E-2</v>
          </cell>
          <cell r="BU448">
            <v>7.0000000000000062E-2</v>
          </cell>
          <cell r="BV448">
            <v>7.0000000000000062E-2</v>
          </cell>
          <cell r="BW448">
            <v>7.0000000000000062E-2</v>
          </cell>
          <cell r="BX448">
            <v>7.0000000000000062E-2</v>
          </cell>
          <cell r="BY448">
            <v>7.0000000000000062E-2</v>
          </cell>
          <cell r="BZ448">
            <v>7.0000000000000062E-2</v>
          </cell>
        </row>
        <row r="449">
          <cell r="B449" t="str">
            <v>BULL</v>
          </cell>
          <cell r="BE449">
            <v>4.7187000000000001</v>
          </cell>
          <cell r="BG449">
            <v>5.9051160000000014</v>
          </cell>
          <cell r="BH449">
            <v>5.0344034999999998</v>
          </cell>
          <cell r="BI449">
            <v>4.3558095000000003</v>
          </cell>
          <cell r="BJ449">
            <v>7.149954000000001</v>
          </cell>
          <cell r="BL449">
            <v>6.3184741200000012</v>
          </cell>
          <cell r="BM449">
            <v>5.3868117450000002</v>
          </cell>
          <cell r="BN449">
            <v>4.6607161650000002</v>
          </cell>
          <cell r="BO449">
            <v>7.6504507800000008</v>
          </cell>
          <cell r="BQ449">
            <v>6.760767308400002</v>
          </cell>
          <cell r="BR449">
            <v>5.7638885671500013</v>
          </cell>
          <cell r="BS449">
            <v>4.9869662965500003</v>
          </cell>
          <cell r="BT449">
            <v>8.185982334600002</v>
          </cell>
          <cell r="BV449">
            <v>7.2340210199880017</v>
          </cell>
          <cell r="BW449">
            <v>6.1673607668505017</v>
          </cell>
          <cell r="BX449">
            <v>5.3360539373085007</v>
          </cell>
          <cell r="BY449">
            <v>8.7590010980220026</v>
          </cell>
        </row>
        <row r="450">
          <cell r="B450" t="str">
            <v>BASE</v>
          </cell>
          <cell r="AM450">
            <v>2.7</v>
          </cell>
          <cell r="AN450">
            <v>4.8</v>
          </cell>
          <cell r="AO450">
            <v>3.3</v>
          </cell>
          <cell r="AP450">
            <v>3.9</v>
          </cell>
          <cell r="AR450">
            <v>4.7</v>
          </cell>
          <cell r="AS450">
            <v>4.9000000000000004</v>
          </cell>
          <cell r="AT450">
            <v>3</v>
          </cell>
          <cell r="AU450">
            <v>5</v>
          </cell>
          <cell r="AW450">
            <v>4.5</v>
          </cell>
          <cell r="AX450">
            <v>4.5999999999999996</v>
          </cell>
          <cell r="AY450">
            <v>3.3</v>
          </cell>
          <cell r="AZ450">
            <v>4.1999999999999993</v>
          </cell>
          <cell r="BB450">
            <v>5.2560000000000002</v>
          </cell>
          <cell r="BC450">
            <v>4.4809999999999999</v>
          </cell>
          <cell r="BD450">
            <v>3.8769999999999998</v>
          </cell>
          <cell r="BE450">
            <v>6.3639999999999999</v>
          </cell>
          <cell r="BG450">
            <v>5.6239200000000009</v>
          </cell>
          <cell r="BH450">
            <v>4.79467</v>
          </cell>
          <cell r="BI450">
            <v>4.14839</v>
          </cell>
          <cell r="BJ450">
            <v>6.8094800000000006</v>
          </cell>
          <cell r="BL450">
            <v>6.017594400000001</v>
          </cell>
          <cell r="BM450">
            <v>5.1302969000000003</v>
          </cell>
          <cell r="BN450">
            <v>4.4387772999999999</v>
          </cell>
          <cell r="BO450">
            <v>7.2861436000000008</v>
          </cell>
          <cell r="BQ450">
            <v>6.4388260080000013</v>
          </cell>
          <cell r="BR450">
            <v>5.489417683000001</v>
          </cell>
          <cell r="BS450">
            <v>4.7494917110000001</v>
          </cell>
          <cell r="BT450">
            <v>7.7961736520000011</v>
          </cell>
          <cell r="BV450">
            <v>6.8895438285600017</v>
          </cell>
          <cell r="BW450">
            <v>5.8736769208100013</v>
          </cell>
          <cell r="BX450">
            <v>5.0819561307700001</v>
          </cell>
          <cell r="BY450">
            <v>8.3419058076400017</v>
          </cell>
        </row>
        <row r="451">
          <cell r="B451" t="str">
            <v>BEAR</v>
          </cell>
          <cell r="BE451">
            <v>3.5952000000000002</v>
          </cell>
          <cell r="BG451">
            <v>4.4991360000000009</v>
          </cell>
          <cell r="BH451">
            <v>3.8357360000000003</v>
          </cell>
          <cell r="BI451">
            <v>3.3187120000000001</v>
          </cell>
          <cell r="BJ451">
            <v>5.4475840000000009</v>
          </cell>
          <cell r="BL451">
            <v>4.8140755200000012</v>
          </cell>
          <cell r="BM451">
            <v>4.1042375200000007</v>
          </cell>
          <cell r="BN451">
            <v>3.5510218400000002</v>
          </cell>
          <cell r="BO451">
            <v>5.828914880000001</v>
          </cell>
          <cell r="BQ451">
            <v>5.1510608064000012</v>
          </cell>
          <cell r="BR451">
            <v>4.3915341464000006</v>
          </cell>
          <cell r="BS451">
            <v>3.7995933688000001</v>
          </cell>
          <cell r="BT451">
            <v>6.2369389216000011</v>
          </cell>
          <cell r="BV451">
            <v>5.5116350628480015</v>
          </cell>
          <cell r="BW451">
            <v>4.6989415366480012</v>
          </cell>
          <cell r="BX451">
            <v>4.0655649046160001</v>
          </cell>
          <cell r="BY451">
            <v>6.6735246461120017</v>
          </cell>
        </row>
        <row r="459">
          <cell r="B459" t="str">
            <v>Quarterly cancellations</v>
          </cell>
          <cell r="AM459">
            <v>-1.2000000000000002</v>
          </cell>
          <cell r="AN459">
            <v>-1.5</v>
          </cell>
          <cell r="AO459">
            <v>-0.5</v>
          </cell>
          <cell r="AP459">
            <v>-2.4</v>
          </cell>
          <cell r="AQ459">
            <v>-2.4</v>
          </cell>
          <cell r="AR459">
            <v>-1.2148750000000001</v>
          </cell>
          <cell r="AS459">
            <v>-1.9404500000000002</v>
          </cell>
          <cell r="AT459">
            <v>-0.97337500000000021</v>
          </cell>
          <cell r="AU459">
            <v>-2.8623000000000003</v>
          </cell>
          <cell r="AV459">
            <v>-2.8623000000000003</v>
          </cell>
          <cell r="AW459">
            <v>-1.8175000000000006</v>
          </cell>
          <cell r="AX459">
            <v>-1.8471500000000005</v>
          </cell>
          <cell r="AY459">
            <v>-2.1718999999999995</v>
          </cell>
          <cell r="AZ459">
            <v>-3.1695000000000002</v>
          </cell>
          <cell r="BA459">
            <v>-3.1695000000000002</v>
          </cell>
          <cell r="BB459">
            <v>-1.6160000000000001</v>
          </cell>
          <cell r="BC459">
            <v>-2.2429999999999999</v>
          </cell>
          <cell r="BD459">
            <v>-1.903</v>
          </cell>
          <cell r="BE459">
            <v>-2.5259999999999998</v>
          </cell>
          <cell r="BF459">
            <v>-8.2880000000000003</v>
          </cell>
          <cell r="BG459">
            <v>-1.607350499999999</v>
          </cell>
          <cell r="BH459">
            <v>-2.2679054999999995</v>
          </cell>
          <cell r="BI459">
            <v>-1.9156094999999993</v>
          </cell>
          <cell r="BJ459">
            <v>-2.5761645</v>
          </cell>
          <cell r="BK459">
            <v>-8.367029999999998</v>
          </cell>
          <cell r="BL459">
            <v>-1.8447725974999987</v>
          </cell>
          <cell r="BM459">
            <v>-2.6028983224999993</v>
          </cell>
          <cell r="BN459">
            <v>-2.198564602499999</v>
          </cell>
          <cell r="BO459">
            <v>-2.9566903274999996</v>
          </cell>
          <cell r="BP459">
            <v>-9.6029258499999983</v>
          </cell>
          <cell r="BQ459">
            <v>-2.0869480233874991</v>
          </cell>
          <cell r="BR459">
            <v>-2.9445978960124997</v>
          </cell>
          <cell r="BS459">
            <v>-2.4871846306124992</v>
          </cell>
          <cell r="BT459">
            <v>-3.3448345032375002</v>
          </cell>
          <cell r="BU459">
            <v>-10.863565053249999</v>
          </cell>
          <cell r="BV459">
            <v>-2.3353368014011862</v>
          </cell>
          <cell r="BW459">
            <v>-3.2950642540318125</v>
          </cell>
          <cell r="BX459">
            <v>-2.7832096126288119</v>
          </cell>
          <cell r="BY459">
            <v>-3.7429370652594378</v>
          </cell>
          <cell r="BZ459">
            <v>-12.156547733321249</v>
          </cell>
        </row>
        <row r="460">
          <cell r="B460" t="str">
            <v>Cancellation rate (as % of beginning of year run rate)</v>
          </cell>
          <cell r="AQ460">
            <v>9.4750000000000112E-2</v>
          </cell>
          <cell r="AR460">
            <v>7.5999999999999956E-2</v>
          </cell>
          <cell r="AS460">
            <v>0.11499999999999999</v>
          </cell>
          <cell r="AT460">
            <v>5.7000000000000051E-2</v>
          </cell>
          <cell r="AU460">
            <v>0.16100000000000003</v>
          </cell>
          <cell r="AV460">
            <v>0.10224999999999995</v>
          </cell>
          <cell r="AW460">
            <v>9.2999999999999972E-2</v>
          </cell>
          <cell r="AX460">
            <v>9.2999999999999972E-2</v>
          </cell>
          <cell r="AY460">
            <v>0.10899999999999999</v>
          </cell>
          <cell r="AZ460">
            <v>0.16100000000000003</v>
          </cell>
          <cell r="BA460">
            <v>0.11399999999999999</v>
          </cell>
          <cell r="BB460">
            <v>7.7999999999999958E-2</v>
          </cell>
          <cell r="BC460">
            <v>0.10799999999999998</v>
          </cell>
          <cell r="BD460">
            <v>9.1999999999999971E-2</v>
          </cell>
          <cell r="BE460">
            <v>0.122</v>
          </cell>
          <cell r="BF460">
            <v>9.9999999999999978E-2</v>
          </cell>
          <cell r="BG460">
            <v>7.2999999999999954E-2</v>
          </cell>
          <cell r="BH460">
            <v>0.10299999999999998</v>
          </cell>
          <cell r="BI460">
            <v>8.6999999999999966E-2</v>
          </cell>
          <cell r="BJ460">
            <v>0.11699999999999999</v>
          </cell>
          <cell r="BK460">
            <v>9.4999999999999973E-2</v>
          </cell>
          <cell r="BL460">
            <v>7.2999999999999954E-2</v>
          </cell>
          <cell r="BM460">
            <v>0.10299999999999998</v>
          </cell>
          <cell r="BN460">
            <v>8.6999999999999966E-2</v>
          </cell>
          <cell r="BO460">
            <v>0.11699999999999999</v>
          </cell>
          <cell r="BP460">
            <v>9.4999999999999973E-2</v>
          </cell>
          <cell r="BQ460">
            <v>7.2999999999999954E-2</v>
          </cell>
          <cell r="BR460">
            <v>0.10299999999999998</v>
          </cell>
          <cell r="BS460">
            <v>8.6999999999999966E-2</v>
          </cell>
          <cell r="BT460">
            <v>0.11699999999999999</v>
          </cell>
          <cell r="BU460">
            <v>9.4999999999999973E-2</v>
          </cell>
          <cell r="BV460">
            <v>7.2999999999999954E-2</v>
          </cell>
          <cell r="BW460">
            <v>0.10299999999999998</v>
          </cell>
          <cell r="BX460">
            <v>8.6999999999999966E-2</v>
          </cell>
          <cell r="BY460">
            <v>0.11699999999999999</v>
          </cell>
          <cell r="BZ460">
            <v>9.4999999999999973E-2</v>
          </cell>
        </row>
        <row r="461">
          <cell r="B461" t="str">
            <v>BULL - Retention rate</v>
          </cell>
          <cell r="BE461">
            <v>0.86899999999999999</v>
          </cell>
          <cell r="BF461">
            <v>0.86899999999999999</v>
          </cell>
          <cell r="BG461">
            <v>0.94200000000000006</v>
          </cell>
          <cell r="BH461">
            <v>0.91200000000000003</v>
          </cell>
          <cell r="BI461">
            <v>0.93800000000000006</v>
          </cell>
          <cell r="BJ461">
            <v>0.90800000000000003</v>
          </cell>
          <cell r="BK461">
            <v>0.92500000000000004</v>
          </cell>
          <cell r="BL461">
            <v>0.94200000000000006</v>
          </cell>
          <cell r="BM461">
            <v>0.91200000000000003</v>
          </cell>
          <cell r="BN461">
            <v>0.93800000000000006</v>
          </cell>
          <cell r="BO461">
            <v>0.90800000000000003</v>
          </cell>
          <cell r="BP461">
            <v>0.92500000000000004</v>
          </cell>
          <cell r="BQ461">
            <v>0.94200000000000006</v>
          </cell>
          <cell r="BR461">
            <v>0.91200000000000003</v>
          </cell>
          <cell r="BS461">
            <v>0.93800000000000006</v>
          </cell>
          <cell r="BT461">
            <v>0.90800000000000003</v>
          </cell>
          <cell r="BU461">
            <v>0.92500000000000004</v>
          </cell>
          <cell r="BV461">
            <v>0.94200000000000006</v>
          </cell>
          <cell r="BW461">
            <v>0.91200000000000003</v>
          </cell>
          <cell r="BX461">
            <v>0.93800000000000006</v>
          </cell>
          <cell r="BY461">
            <v>0.90800000000000003</v>
          </cell>
          <cell r="BZ461">
            <v>0.92500000000000004</v>
          </cell>
        </row>
        <row r="462">
          <cell r="B462" t="str">
            <v>BASE - Retention rate</v>
          </cell>
          <cell r="AM462">
            <v>0.92</v>
          </cell>
          <cell r="AN462">
            <v>0.90200000000000002</v>
          </cell>
          <cell r="AO462">
            <v>0.96199999999999997</v>
          </cell>
          <cell r="AP462">
            <v>0.83699999999999997</v>
          </cell>
          <cell r="AQ462">
            <v>0.90524999999999989</v>
          </cell>
          <cell r="AR462">
            <v>0.92400000000000004</v>
          </cell>
          <cell r="AS462">
            <v>0.88500000000000001</v>
          </cell>
          <cell r="AT462">
            <v>0.94299999999999995</v>
          </cell>
          <cell r="AU462">
            <v>0.83899999999999997</v>
          </cell>
          <cell r="AV462">
            <v>0.89775000000000005</v>
          </cell>
          <cell r="AW462">
            <v>0.90700000000000003</v>
          </cell>
          <cell r="AX462">
            <v>0.90700000000000003</v>
          </cell>
          <cell r="AY462">
            <v>0.89100000000000001</v>
          </cell>
          <cell r="AZ462">
            <v>0.83899999999999997</v>
          </cell>
          <cell r="BA462">
            <v>0.88600000000000001</v>
          </cell>
          <cell r="BB462">
            <v>0.92200000000000004</v>
          </cell>
          <cell r="BC462">
            <v>0.89200000000000002</v>
          </cell>
          <cell r="BD462">
            <v>0.90800000000000003</v>
          </cell>
          <cell r="BE462">
            <v>0.878</v>
          </cell>
          <cell r="BF462">
            <v>0.9</v>
          </cell>
          <cell r="BG462">
            <v>0.92700000000000005</v>
          </cell>
          <cell r="BH462">
            <v>0.89700000000000002</v>
          </cell>
          <cell r="BI462">
            <v>0.91300000000000003</v>
          </cell>
          <cell r="BJ462">
            <v>0.88300000000000001</v>
          </cell>
          <cell r="BK462">
            <v>0.90500000000000003</v>
          </cell>
          <cell r="BL462">
            <v>0.92700000000000005</v>
          </cell>
          <cell r="BM462">
            <v>0.89700000000000002</v>
          </cell>
          <cell r="BN462">
            <v>0.91300000000000003</v>
          </cell>
          <cell r="BO462">
            <v>0.88300000000000001</v>
          </cell>
          <cell r="BP462">
            <v>0.90500000000000003</v>
          </cell>
          <cell r="BQ462">
            <v>0.92700000000000005</v>
          </cell>
          <cell r="BR462">
            <v>0.89700000000000002</v>
          </cell>
          <cell r="BS462">
            <v>0.91300000000000003</v>
          </cell>
          <cell r="BT462">
            <v>0.88300000000000001</v>
          </cell>
          <cell r="BU462">
            <v>0.90500000000000003</v>
          </cell>
          <cell r="BV462">
            <v>0.92700000000000005</v>
          </cell>
          <cell r="BW462">
            <v>0.89700000000000002</v>
          </cell>
          <cell r="BX462">
            <v>0.91300000000000003</v>
          </cell>
          <cell r="BY462">
            <v>0.88300000000000001</v>
          </cell>
          <cell r="BZ462">
            <v>0.90500000000000003</v>
          </cell>
        </row>
        <row r="463">
          <cell r="B463" t="str">
            <v>BEAR - Retention rate</v>
          </cell>
          <cell r="BE463">
            <v>0.80399999999999994</v>
          </cell>
          <cell r="BF463">
            <v>0.80399999999999994</v>
          </cell>
          <cell r="BG463">
            <v>0.88700000000000001</v>
          </cell>
          <cell r="BH463">
            <v>0.85699999999999998</v>
          </cell>
          <cell r="BI463">
            <v>0.873</v>
          </cell>
          <cell r="BJ463">
            <v>0.84299999999999997</v>
          </cell>
          <cell r="BK463">
            <v>0.86499999999999999</v>
          </cell>
          <cell r="BL463">
            <v>0.88700000000000001</v>
          </cell>
          <cell r="BM463">
            <v>0.85699999999999998</v>
          </cell>
          <cell r="BN463">
            <v>0.873</v>
          </cell>
          <cell r="BO463">
            <v>0.84299999999999997</v>
          </cell>
          <cell r="BP463">
            <v>0.86499999999999999</v>
          </cell>
          <cell r="BQ463">
            <v>0.88700000000000001</v>
          </cell>
          <cell r="BR463">
            <v>0.85699999999999998</v>
          </cell>
          <cell r="BS463">
            <v>0.873</v>
          </cell>
          <cell r="BT463">
            <v>0.84299999999999997</v>
          </cell>
          <cell r="BU463">
            <v>0.86499999999999999</v>
          </cell>
          <cell r="BV463">
            <v>0.88700000000000001</v>
          </cell>
          <cell r="BW463">
            <v>0.85699999999999998</v>
          </cell>
          <cell r="BX463">
            <v>0.873</v>
          </cell>
          <cell r="BY463">
            <v>0.84299999999999997</v>
          </cell>
          <cell r="BZ463">
            <v>0.86499999999999999</v>
          </cell>
        </row>
        <row r="464">
          <cell r="B464" t="str">
            <v>Cancellation rate (as % of beginning of qtr run rate)</v>
          </cell>
          <cell r="AR464">
            <v>7.3185240963855425E-2</v>
          </cell>
          <cell r="AS464">
            <v>0.11104148783977111</v>
          </cell>
          <cell r="AT464">
            <v>5.3044959128065401E-2</v>
          </cell>
          <cell r="AU464">
            <v>0.14419647355163728</v>
          </cell>
          <cell r="AV464">
            <v>4.3106927710843373E-2</v>
          </cell>
          <cell r="AW464">
            <v>9.1792929292929315E-2</v>
          </cell>
          <cell r="AX464">
            <v>9.4604353393085816E-2</v>
          </cell>
          <cell r="AY464">
            <v>0.10454392298435618</v>
          </cell>
          <cell r="AZ464">
            <v>0.15311594202898551</v>
          </cell>
          <cell r="BA464">
            <v>4.0018939393939398E-2</v>
          </cell>
          <cell r="BB464">
            <v>7.8162031438935922E-2</v>
          </cell>
          <cell r="BC464">
            <v>0.10313829175767329</v>
          </cell>
          <cell r="BD464">
            <v>8.7570751461046425E-2</v>
          </cell>
          <cell r="BE464">
            <v>0.11648873619405566</v>
          </cell>
          <cell r="BF464">
            <v>0.10021765417170497</v>
          </cell>
          <cell r="BG464">
            <v>7.2999999999999954E-2</v>
          </cell>
          <cell r="BH464">
            <v>9.8507611031768E-2</v>
          </cell>
          <cell r="BI464">
            <v>8.0983448550769749E-2</v>
          </cell>
          <cell r="BJ464">
            <v>0.10639799501734197</v>
          </cell>
          <cell r="BK464">
            <v>9.4999999999999973E-2</v>
          </cell>
          <cell r="BL464">
            <v>7.2999999999999954E-2</v>
          </cell>
          <cell r="BM464">
            <v>9.8916625964755339E-2</v>
          </cell>
          <cell r="BN464">
            <v>8.1591766274338673E-2</v>
          </cell>
          <cell r="BO464">
            <v>0.10749269275947268</v>
          </cell>
          <cell r="BP464">
            <v>9.4999999999999987E-2</v>
          </cell>
          <cell r="BQ464">
            <v>7.2999999999999954E-2</v>
          </cell>
          <cell r="BR464">
            <v>9.9223893697932386E-2</v>
          </cell>
          <cell r="BS464">
            <v>8.2051442175277101E-2</v>
          </cell>
          <cell r="BT464">
            <v>0.10832391362048747</v>
          </cell>
          <cell r="BU464">
            <v>9.4999999999999987E-2</v>
          </cell>
          <cell r="BV464">
            <v>7.2999999999999954E-2</v>
          </cell>
          <cell r="BW464">
            <v>9.9460225831588076E-2</v>
          </cell>
          <cell r="BX464">
            <v>8.2406576743026497E-2</v>
          </cell>
          <cell r="BY464">
            <v>0.10896847463759199</v>
          </cell>
          <cell r="BZ464">
            <v>9.4999999999999973E-2</v>
          </cell>
        </row>
        <row r="472">
          <cell r="B472" t="str">
            <v>Subtotal</v>
          </cell>
          <cell r="AR472">
            <v>15.984375</v>
          </cell>
          <cell r="AS472">
            <v>16.715625000000003</v>
          </cell>
          <cell r="AT472">
            <v>17.368750000000002</v>
          </cell>
          <cell r="AU472">
            <v>18.03125</v>
          </cell>
          <cell r="AV472">
            <v>68.100000000000009</v>
          </cell>
          <cell r="AW472">
            <v>19.125</v>
          </cell>
          <cell r="AX472">
            <v>19.684374999999999</v>
          </cell>
          <cell r="AY472">
            <v>20.162500000000001</v>
          </cell>
          <cell r="AZ472">
            <v>20.065624999999997</v>
          </cell>
          <cell r="BA472">
            <v>79.037499999999994</v>
          </cell>
          <cell r="BB472">
            <v>20.696562499999999</v>
          </cell>
          <cell r="BC472">
            <v>21.093874999999997</v>
          </cell>
          <cell r="BD472">
            <v>21.336437500000002</v>
          </cell>
          <cell r="BE472">
            <v>21.627437499999996</v>
          </cell>
          <cell r="BF472">
            <v>84.754312499999997</v>
          </cell>
          <cell r="BG472">
            <v>21.954767796875</v>
          </cell>
          <cell r="BH472">
            <v>22.354577281250002</v>
          </cell>
          <cell r="BI472">
            <v>22.910997546875002</v>
          </cell>
          <cell r="BJ472">
            <v>23.6335458125</v>
          </cell>
          <cell r="BK472">
            <v>90.853888437500004</v>
          </cell>
          <cell r="BL472">
            <v>24.451518071953124</v>
          </cell>
          <cell r="BM472">
            <v>25.274393030781251</v>
          </cell>
          <cell r="BN472">
            <v>26.097520060703125</v>
          </cell>
          <cell r="BO472">
            <v>26.923883652187502</v>
          </cell>
          <cell r="BP472">
            <v>102.747314815625</v>
          </cell>
          <cell r="BQ472">
            <v>27.758847054753517</v>
          </cell>
          <cell r="BR472">
            <v>28.599950375807033</v>
          </cell>
          <cell r="BS472">
            <v>29.442288559122272</v>
          </cell>
          <cell r="BT472">
            <v>30.289126125535947</v>
          </cell>
          <cell r="BU472">
            <v>116.09021211521876</v>
          </cell>
          <cell r="BV472">
            <v>31.146095408162392</v>
          </cell>
          <cell r="BW472">
            <v>32.010443500861868</v>
          </cell>
          <cell r="BX472">
            <v>32.876986353484604</v>
          </cell>
          <cell r="BY472">
            <v>33.749281363337715</v>
          </cell>
          <cell r="BZ472">
            <v>129.7828066258466</v>
          </cell>
        </row>
        <row r="473">
          <cell r="B473" t="str">
            <v>Adjustments (FX, Other)</v>
          </cell>
          <cell r="AM473">
            <v>12.5</v>
          </cell>
          <cell r="AN473">
            <v>19.7</v>
          </cell>
          <cell r="AO473">
            <v>16.2</v>
          </cell>
          <cell r="AP473">
            <v>14.3</v>
          </cell>
          <cell r="AQ473">
            <v>62.7</v>
          </cell>
          <cell r="AR473">
            <v>1.6156250000000014</v>
          </cell>
          <cell r="AS473">
            <v>6.1843749999999957</v>
          </cell>
          <cell r="AT473">
            <v>-1.0687500000000014</v>
          </cell>
          <cell r="AU473">
            <v>-3.53125</v>
          </cell>
          <cell r="AV473">
            <v>3.1999999999999957</v>
          </cell>
          <cell r="AW473">
            <v>2.6750000000000007</v>
          </cell>
          <cell r="AX473">
            <v>2.015625</v>
          </cell>
          <cell r="AY473">
            <v>-2.5625</v>
          </cell>
          <cell r="AZ473">
            <v>-3.4246249999999989</v>
          </cell>
          <cell r="BA473">
            <v>-1.2964999999999982</v>
          </cell>
          <cell r="BB473">
            <v>2.3664375</v>
          </cell>
          <cell r="BC473">
            <v>4.0471250000000012</v>
          </cell>
          <cell r="BD473">
            <v>-3.0074375000000018</v>
          </cell>
          <cell r="BE473">
            <v>-3.7034374999999962</v>
          </cell>
          <cell r="BF473">
            <v>-0.29731249999999676</v>
          </cell>
          <cell r="BG473">
            <v>2.3664375</v>
          </cell>
          <cell r="BH473">
            <v>4.0471250000000012</v>
          </cell>
          <cell r="BI473">
            <v>-3.0074375000000018</v>
          </cell>
          <cell r="BJ473">
            <v>-3.7034374999999962</v>
          </cell>
          <cell r="BK473">
            <v>-0.29731249999999676</v>
          </cell>
          <cell r="BL473">
            <v>2.3664375</v>
          </cell>
          <cell r="BM473">
            <v>4.0471250000000012</v>
          </cell>
          <cell r="BN473">
            <v>-3.0074375000000018</v>
          </cell>
          <cell r="BO473">
            <v>-3.7034374999999962</v>
          </cell>
          <cell r="BP473">
            <v>-0.29731249999999676</v>
          </cell>
          <cell r="BQ473">
            <v>2.3664375</v>
          </cell>
          <cell r="BR473">
            <v>4.0471250000000012</v>
          </cell>
          <cell r="BS473">
            <v>-3.0074375000000018</v>
          </cell>
          <cell r="BT473">
            <v>-3.7034374999999962</v>
          </cell>
          <cell r="BU473">
            <v>-0.29731249999999676</v>
          </cell>
          <cell r="BV473">
            <v>2.3664375</v>
          </cell>
          <cell r="BW473">
            <v>4.0471250000000012</v>
          </cell>
          <cell r="BX473">
            <v>-3.0074375000000018</v>
          </cell>
          <cell r="BY473">
            <v>-3.7034374999999962</v>
          </cell>
          <cell r="BZ473">
            <v>-0.29731249999999676</v>
          </cell>
        </row>
        <row r="474">
          <cell r="B474" t="str">
            <v>All Other recurring</v>
          </cell>
          <cell r="AM474">
            <v>12.5</v>
          </cell>
          <cell r="AN474">
            <v>19.7</v>
          </cell>
          <cell r="AO474">
            <v>16.2</v>
          </cell>
          <cell r="AP474">
            <v>14.3</v>
          </cell>
          <cell r="AQ474">
            <v>62.7</v>
          </cell>
          <cell r="AR474">
            <v>17.600000000000001</v>
          </cell>
          <cell r="AS474">
            <v>22.9</v>
          </cell>
          <cell r="AT474">
            <v>16.3</v>
          </cell>
          <cell r="AU474">
            <v>14.5</v>
          </cell>
          <cell r="AV474">
            <v>71.3</v>
          </cell>
          <cell r="AW474">
            <v>21.8</v>
          </cell>
          <cell r="AX474">
            <v>21.7</v>
          </cell>
          <cell r="AY474">
            <v>17.600000000000001</v>
          </cell>
          <cell r="AZ474">
            <v>16.640999999999998</v>
          </cell>
          <cell r="BA474">
            <v>77.741</v>
          </cell>
          <cell r="BB474">
            <v>23.062999999999999</v>
          </cell>
          <cell r="BC474">
            <v>25.140999999999998</v>
          </cell>
          <cell r="BD474">
            <v>18.329000000000001</v>
          </cell>
          <cell r="BE474">
            <v>17.923999999999999</v>
          </cell>
          <cell r="BF474">
            <v>84.456999999999994</v>
          </cell>
          <cell r="BG474">
            <v>24.321205296875</v>
          </cell>
          <cell r="BH474">
            <v>26.401702281250003</v>
          </cell>
          <cell r="BI474">
            <v>19.903560046875</v>
          </cell>
          <cell r="BJ474">
            <v>19.930108312500003</v>
          </cell>
          <cell r="BK474">
            <v>90.556575937500014</v>
          </cell>
          <cell r="BL474">
            <v>26.817955571953124</v>
          </cell>
          <cell r="BM474">
            <v>29.321518030781252</v>
          </cell>
          <cell r="BN474">
            <v>23.090082560703124</v>
          </cell>
          <cell r="BO474">
            <v>23.220446152187506</v>
          </cell>
          <cell r="BP474">
            <v>102.45000231562501</v>
          </cell>
          <cell r="BQ474">
            <v>30.125284554753517</v>
          </cell>
          <cell r="BR474">
            <v>32.647075375807034</v>
          </cell>
          <cell r="BS474">
            <v>26.43485105912227</v>
          </cell>
          <cell r="BT474">
            <v>26.585688625535951</v>
          </cell>
          <cell r="BU474">
            <v>115.79289961521877</v>
          </cell>
          <cell r="BV474">
            <v>33.512532908162392</v>
          </cell>
          <cell r="BW474">
            <v>36.057568500861869</v>
          </cell>
          <cell r="BX474">
            <v>29.869548853484602</v>
          </cell>
          <cell r="BY474">
            <v>30.045843863337719</v>
          </cell>
          <cell r="BZ474">
            <v>129.48549412584657</v>
          </cell>
          <cell r="CB474">
            <v>8.9223727871292846E-2</v>
          </cell>
        </row>
        <row r="476">
          <cell r="B476" t="str">
            <v>All Other non-recurring revenue</v>
          </cell>
          <cell r="AM476">
            <v>0.60000000000000009</v>
          </cell>
          <cell r="AN476">
            <v>2.5</v>
          </cell>
          <cell r="AO476">
            <v>0.7</v>
          </cell>
          <cell r="AP476">
            <v>1.3</v>
          </cell>
          <cell r="AQ476">
            <v>5.0999999999999996</v>
          </cell>
          <cell r="AR476">
            <v>1.5</v>
          </cell>
          <cell r="AS476">
            <v>1.9000000000000001</v>
          </cell>
          <cell r="AT476">
            <v>2.2000000000000002</v>
          </cell>
          <cell r="AU476">
            <v>1.7000000000000002</v>
          </cell>
          <cell r="AV476">
            <v>7.3000000000000007</v>
          </cell>
          <cell r="AW476">
            <v>0.6</v>
          </cell>
          <cell r="AX476">
            <v>1.2000000000000002</v>
          </cell>
          <cell r="AY476">
            <v>1.3</v>
          </cell>
          <cell r="AZ476">
            <v>1.8819999999999999</v>
          </cell>
          <cell r="BA476">
            <v>4.9820000000000002</v>
          </cell>
          <cell r="BB476">
            <v>0.88900000000000001</v>
          </cell>
          <cell r="BC476">
            <v>0.94499999999999995</v>
          </cell>
          <cell r="BD476">
            <v>1.0620000000000001</v>
          </cell>
          <cell r="BE476">
            <v>1.4119999999999999</v>
          </cell>
          <cell r="BF476">
            <v>4.3079999999999998</v>
          </cell>
          <cell r="BG476">
            <v>0.88900000000000001</v>
          </cell>
          <cell r="BH476">
            <v>0.94499999999999995</v>
          </cell>
          <cell r="BI476">
            <v>1.0620000000000001</v>
          </cell>
          <cell r="BJ476">
            <v>1.4119999999999999</v>
          </cell>
          <cell r="BK476">
            <v>4.3079999999999998</v>
          </cell>
          <cell r="BL476">
            <v>1.4119999999999999</v>
          </cell>
          <cell r="BM476">
            <v>1.4119999999999999</v>
          </cell>
          <cell r="BN476">
            <v>1.4119999999999999</v>
          </cell>
          <cell r="BO476">
            <v>1.4119999999999999</v>
          </cell>
          <cell r="BP476">
            <v>5.6479999999999997</v>
          </cell>
          <cell r="BQ476">
            <v>1.4119999999999999</v>
          </cell>
          <cell r="BR476">
            <v>1.4119999999999999</v>
          </cell>
          <cell r="BS476">
            <v>1.4119999999999999</v>
          </cell>
          <cell r="BT476">
            <v>1.4119999999999999</v>
          </cell>
          <cell r="BU476">
            <v>5.6479999999999997</v>
          </cell>
          <cell r="BV476">
            <v>1.4119999999999999</v>
          </cell>
          <cell r="BW476">
            <v>1.4119999999999999</v>
          </cell>
          <cell r="BX476">
            <v>1.4119999999999999</v>
          </cell>
          <cell r="BY476">
            <v>1.4119999999999999</v>
          </cell>
          <cell r="BZ476">
            <v>5.6479999999999997</v>
          </cell>
          <cell r="CB476">
            <v>5.5659350173518085E-2</v>
          </cell>
        </row>
        <row r="478">
          <cell r="B478" t="str">
            <v>All Other revenue</v>
          </cell>
          <cell r="D478">
            <v>0</v>
          </cell>
          <cell r="E478">
            <v>0</v>
          </cell>
          <cell r="F478">
            <v>0</v>
          </cell>
          <cell r="G478">
            <v>0</v>
          </cell>
          <cell r="I478">
            <v>0</v>
          </cell>
          <cell r="J478">
            <v>0</v>
          </cell>
          <cell r="K478">
            <v>0</v>
          </cell>
          <cell r="L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13.1</v>
          </cell>
          <cell r="AN478">
            <v>22.2</v>
          </cell>
          <cell r="AO478">
            <v>16.899999999999999</v>
          </cell>
          <cell r="AP478">
            <v>15.600000000000001</v>
          </cell>
          <cell r="AQ478">
            <v>67.8</v>
          </cell>
          <cell r="AR478">
            <v>19.100000000000001</v>
          </cell>
          <cell r="AS478">
            <v>24.799999999999997</v>
          </cell>
          <cell r="AT478">
            <v>18.5</v>
          </cell>
          <cell r="AU478">
            <v>16.2</v>
          </cell>
          <cell r="AV478">
            <v>78.599999999999994</v>
          </cell>
          <cell r="AW478">
            <v>22.400000000000002</v>
          </cell>
          <cell r="AX478">
            <v>22.9</v>
          </cell>
          <cell r="AY478">
            <v>18.900000000000002</v>
          </cell>
          <cell r="AZ478">
            <v>18.523</v>
          </cell>
          <cell r="BA478">
            <v>82.722999999999999</v>
          </cell>
          <cell r="BB478">
            <v>23.951999999999998</v>
          </cell>
          <cell r="BC478">
            <v>26.085999999999999</v>
          </cell>
          <cell r="BD478">
            <v>19.391000000000002</v>
          </cell>
          <cell r="BE478">
            <v>19.335999999999999</v>
          </cell>
          <cell r="BF478">
            <v>88.764999999999986</v>
          </cell>
          <cell r="BG478">
            <v>25.210205296874999</v>
          </cell>
          <cell r="BH478">
            <v>27.346702281250003</v>
          </cell>
          <cell r="BI478">
            <v>20.965560046875002</v>
          </cell>
          <cell r="BJ478">
            <v>21.342108312500002</v>
          </cell>
          <cell r="BK478">
            <v>94.864575937500007</v>
          </cell>
          <cell r="BL478">
            <v>28.229955571953123</v>
          </cell>
          <cell r="BM478">
            <v>30.733518030781251</v>
          </cell>
          <cell r="BN478">
            <v>24.502082560703123</v>
          </cell>
          <cell r="BO478">
            <v>24.632446152187505</v>
          </cell>
          <cell r="BP478">
            <v>108.09800231562501</v>
          </cell>
          <cell r="BQ478">
            <v>31.537284554753516</v>
          </cell>
          <cell r="BR478">
            <v>34.059075375807033</v>
          </cell>
          <cell r="BS478">
            <v>27.846851059122269</v>
          </cell>
          <cell r="BT478">
            <v>27.99768862553595</v>
          </cell>
          <cell r="BU478">
            <v>121.44089961521877</v>
          </cell>
          <cell r="BV478">
            <v>34.924532908162391</v>
          </cell>
          <cell r="BW478">
            <v>37.469568500861868</v>
          </cell>
          <cell r="BX478">
            <v>31.281548853484601</v>
          </cell>
          <cell r="BY478">
            <v>31.457843863337718</v>
          </cell>
          <cell r="BZ478">
            <v>135.13349412584657</v>
          </cell>
          <cell r="CB478">
            <v>8.7687781169322854E-2</v>
          </cell>
        </row>
        <row r="479">
          <cell r="B479" t="str">
            <v>y/y change</v>
          </cell>
          <cell r="AR479">
            <v>0.45801526717557262</v>
          </cell>
          <cell r="AS479">
            <v>0.11711711711711703</v>
          </cell>
          <cell r="AT479">
            <v>9.4674556213017791E-2</v>
          </cell>
          <cell r="AU479">
            <v>3.8461538461538325E-2</v>
          </cell>
          <cell r="AV479">
            <v>0.15929203539823011</v>
          </cell>
          <cell r="AW479">
            <v>0.17277486910994777</v>
          </cell>
          <cell r="AX479">
            <v>-7.6612903225806384E-2</v>
          </cell>
          <cell r="AY479">
            <v>2.1621621621621845E-2</v>
          </cell>
          <cell r="AZ479">
            <v>0.143395061728395</v>
          </cell>
          <cell r="BA479">
            <v>5.2455470737913457E-2</v>
          </cell>
          <cell r="BB479">
            <v>6.9285714285714173E-2</v>
          </cell>
          <cell r="BC479">
            <v>0.13912663755458521</v>
          </cell>
          <cell r="BD479">
            <v>2.597883597883599E-2</v>
          </cell>
          <cell r="BE479">
            <v>4.3891378286454508E-2</v>
          </cell>
          <cell r="BF479">
            <v>7.3038937175875951E-2</v>
          </cell>
          <cell r="BG479">
            <v>5.2530281265656287E-2</v>
          </cell>
          <cell r="BH479">
            <v>4.8328692833320641E-2</v>
          </cell>
          <cell r="BI479">
            <v>8.1200559376772619E-2</v>
          </cell>
          <cell r="BJ479">
            <v>0.10374991272755496</v>
          </cell>
          <cell r="BK479">
            <v>6.8716002224976203E-2</v>
          </cell>
          <cell r="BL479">
            <v>0.1197828514094823</v>
          </cell>
          <cell r="BM479">
            <v>0.12384731857973907</v>
          </cell>
          <cell r="BN479">
            <v>0.16868247287080007</v>
          </cell>
          <cell r="BO479">
            <v>0.15417117144702908</v>
          </cell>
          <cell r="BP479">
            <v>0.1394980818429381</v>
          </cell>
          <cell r="BQ479">
            <v>0.11715671937104544</v>
          </cell>
          <cell r="BR479">
            <v>0.10820620475973697</v>
          </cell>
          <cell r="BS479">
            <v>0.136509559549993</v>
          </cell>
          <cell r="BT479">
            <v>0.13661828194231496</v>
          </cell>
          <cell r="BU479">
            <v>0.12343333839449788</v>
          </cell>
          <cell r="BV479">
            <v>0.10740456577763058</v>
          </cell>
          <cell r="BW479">
            <v>0.10013463628778929</v>
          </cell>
          <cell r="BX479">
            <v>0.12334241265089729</v>
          </cell>
          <cell r="BY479">
            <v>0.12358717478720194</v>
          </cell>
          <cell r="BZ479">
            <v>0.11275109583354781</v>
          </cell>
        </row>
        <row r="495">
          <cell r="B495" t="str">
            <v>All Other recurring</v>
          </cell>
          <cell r="AM495">
            <v>12.5</v>
          </cell>
          <cell r="AN495">
            <v>19.7</v>
          </cell>
          <cell r="AO495">
            <v>16.2</v>
          </cell>
          <cell r="AP495">
            <v>14.3</v>
          </cell>
          <cell r="AQ495">
            <v>62.7</v>
          </cell>
          <cell r="AR495">
            <v>17.600000000000001</v>
          </cell>
          <cell r="AS495">
            <v>22.9</v>
          </cell>
          <cell r="AT495">
            <v>16.3</v>
          </cell>
          <cell r="AU495">
            <v>14.5</v>
          </cell>
          <cell r="AV495">
            <v>71.3</v>
          </cell>
          <cell r="AW495">
            <v>21.8</v>
          </cell>
          <cell r="AX495">
            <v>21.7</v>
          </cell>
          <cell r="AY495">
            <v>17.600000000000001</v>
          </cell>
          <cell r="AZ495">
            <v>16.640999999999998</v>
          </cell>
          <cell r="BA495">
            <v>77.741</v>
          </cell>
          <cell r="BB495">
            <v>23.062999999999999</v>
          </cell>
          <cell r="BC495">
            <v>25.140999999999998</v>
          </cell>
          <cell r="BD495">
            <v>18.329000000000001</v>
          </cell>
          <cell r="BE495">
            <v>17.923999999999999</v>
          </cell>
          <cell r="BF495">
            <v>84.456999999999994</v>
          </cell>
          <cell r="BG495">
            <v>24.321205296875</v>
          </cell>
          <cell r="BH495">
            <v>26.401702281250003</v>
          </cell>
          <cell r="BI495">
            <v>19.903560046875</v>
          </cell>
          <cell r="BJ495">
            <v>19.930108312500003</v>
          </cell>
          <cell r="BK495">
            <v>90.556575937500014</v>
          </cell>
          <cell r="BL495">
            <v>26.817955571953124</v>
          </cell>
          <cell r="BM495">
            <v>29.321518030781252</v>
          </cell>
          <cell r="BN495">
            <v>23.090082560703124</v>
          </cell>
          <cell r="BO495">
            <v>23.220446152187506</v>
          </cell>
          <cell r="BP495">
            <v>102.45000231562501</v>
          </cell>
          <cell r="BQ495">
            <v>30.125284554753517</v>
          </cell>
          <cell r="BR495">
            <v>32.647075375807034</v>
          </cell>
          <cell r="BS495">
            <v>26.43485105912227</v>
          </cell>
          <cell r="BT495">
            <v>26.585688625535951</v>
          </cell>
          <cell r="BU495">
            <v>115.79289961521877</v>
          </cell>
          <cell r="BV495">
            <v>33.512532908162392</v>
          </cell>
          <cell r="BW495">
            <v>36.057568500861869</v>
          </cell>
          <cell r="BX495">
            <v>29.869548853484602</v>
          </cell>
          <cell r="BY495">
            <v>30.045843863337719</v>
          </cell>
          <cell r="BZ495">
            <v>129.48549412584657</v>
          </cell>
          <cell r="CB495">
            <v>8.9223727871292846E-2</v>
          </cell>
        </row>
        <row r="496">
          <cell r="AR496">
            <v>0.40800000000000014</v>
          </cell>
          <cell r="AS496">
            <v>0.1624365482233503</v>
          </cell>
          <cell r="AT496">
            <v>6.1728395061728669E-3</v>
          </cell>
          <cell r="AU496">
            <v>1.3986013986013957E-2</v>
          </cell>
          <cell r="AV496">
            <v>0.13716108452950548</v>
          </cell>
          <cell r="AW496">
            <v>0.23863636363636354</v>
          </cell>
          <cell r="AX496">
            <v>-5.2401746724890841E-2</v>
          </cell>
          <cell r="AY496">
            <v>7.9754601226993849E-2</v>
          </cell>
          <cell r="AZ496">
            <v>0.14765517241379289</v>
          </cell>
          <cell r="BA496">
            <v>9.0336605890603217E-2</v>
          </cell>
          <cell r="BB496">
            <v>5.7935779816513655E-2</v>
          </cell>
          <cell r="BC496">
            <v>0.15857142857142859</v>
          </cell>
          <cell r="BD496">
            <v>4.1420454545454399E-2</v>
          </cell>
          <cell r="BE496">
            <v>7.7098732047353069E-2</v>
          </cell>
          <cell r="BF496">
            <v>8.6389421283492585E-2</v>
          </cell>
          <cell r="BG496">
            <v>5.4555144468412697E-2</v>
          </cell>
          <cell r="BH496">
            <v>5.0145271916391732E-2</v>
          </cell>
          <cell r="BI496">
            <v>8.5905398378252951E-2</v>
          </cell>
          <cell r="BJ496">
            <v>0.11192302569181001</v>
          </cell>
          <cell r="BK496">
            <v>7.2221082177913232E-2</v>
          </cell>
          <cell r="BL496">
            <v>0.10265734138591109</v>
          </cell>
          <cell r="BM496">
            <v>0.11059195041392655</v>
          </cell>
          <cell r="BN496">
            <v>0.1600981184433099</v>
          </cell>
          <cell r="BO496">
            <v>0.16509382629013758</v>
          </cell>
          <cell r="BP496">
            <v>0.1313369708935721</v>
          </cell>
          <cell r="BQ496">
            <v>0.12332517197020332</v>
          </cell>
          <cell r="BR496">
            <v>0.11341695684154773</v>
          </cell>
          <cell r="BS496">
            <v>0.14485736417900852</v>
          </cell>
          <cell r="BT496">
            <v>0.14492583179894747</v>
          </cell>
          <cell r="BU496">
            <v>0.13023813565652587</v>
          </cell>
          <cell r="BV496">
            <v>0.11243871729252741</v>
          </cell>
          <cell r="BW496">
            <v>0.10446550221715012</v>
          </cell>
          <cell r="BX496">
            <v>0.12993066564591338</v>
          </cell>
          <cell r="BY496">
            <v>0.13015104805215527</v>
          </cell>
          <cell r="BZ496">
            <v>0.11825072656551883</v>
          </cell>
        </row>
        <row r="498">
          <cell r="B498" t="str">
            <v>All Other non-recurring</v>
          </cell>
          <cell r="AM498">
            <v>0.60000000000000009</v>
          </cell>
          <cell r="AN498">
            <v>2.5</v>
          </cell>
          <cell r="AO498">
            <v>0.7</v>
          </cell>
          <cell r="AP498">
            <v>1.3</v>
          </cell>
          <cell r="AQ498">
            <v>5.0999999999999996</v>
          </cell>
          <cell r="AR498">
            <v>1.5</v>
          </cell>
          <cell r="AS498">
            <v>1.9000000000000001</v>
          </cell>
          <cell r="AT498">
            <v>2.2000000000000002</v>
          </cell>
          <cell r="AU498">
            <v>1.7000000000000002</v>
          </cell>
          <cell r="AV498">
            <v>7.3000000000000007</v>
          </cell>
          <cell r="AW498">
            <v>0.6</v>
          </cell>
          <cell r="AX498">
            <v>1.2000000000000002</v>
          </cell>
          <cell r="AY498">
            <v>1.3</v>
          </cell>
          <cell r="AZ498">
            <v>1.8819999999999999</v>
          </cell>
          <cell r="BA498">
            <v>4.9820000000000002</v>
          </cell>
          <cell r="BB498">
            <v>0.88900000000000001</v>
          </cell>
          <cell r="BC498">
            <v>0.94499999999999995</v>
          </cell>
          <cell r="BD498">
            <v>1.0620000000000001</v>
          </cell>
          <cell r="BE498">
            <v>1.4119999999999999</v>
          </cell>
          <cell r="BF498">
            <v>4.3079999999999998</v>
          </cell>
          <cell r="BG498">
            <v>0.88900000000000001</v>
          </cell>
          <cell r="BH498">
            <v>0.94499999999999995</v>
          </cell>
          <cell r="BI498">
            <v>1.0620000000000001</v>
          </cell>
          <cell r="BJ498">
            <v>1.4119999999999999</v>
          </cell>
          <cell r="BK498">
            <v>4.3079999999999998</v>
          </cell>
          <cell r="BL498">
            <v>1.4119999999999999</v>
          </cell>
          <cell r="BM498">
            <v>1.4119999999999999</v>
          </cell>
          <cell r="BN498">
            <v>1.4119999999999999</v>
          </cell>
          <cell r="BO498">
            <v>1.4119999999999999</v>
          </cell>
          <cell r="BP498">
            <v>5.6479999999999997</v>
          </cell>
          <cell r="BQ498">
            <v>1.4119999999999999</v>
          </cell>
          <cell r="BR498">
            <v>1.4119999999999999</v>
          </cell>
          <cell r="BS498">
            <v>1.4119999999999999</v>
          </cell>
          <cell r="BT498">
            <v>1.4119999999999999</v>
          </cell>
          <cell r="BU498">
            <v>5.6479999999999997</v>
          </cell>
          <cell r="BV498">
            <v>1.4119999999999999</v>
          </cell>
          <cell r="BW498">
            <v>1.4119999999999999</v>
          </cell>
          <cell r="BX498">
            <v>1.4119999999999999</v>
          </cell>
          <cell r="BY498">
            <v>1.4119999999999999</v>
          </cell>
          <cell r="BZ498">
            <v>5.6479999999999997</v>
          </cell>
          <cell r="CB498">
            <v>5.5659350173518085E-2</v>
          </cell>
        </row>
        <row r="499">
          <cell r="AR499">
            <v>1.4999999999999996</v>
          </cell>
          <cell r="AS499">
            <v>-0.24</v>
          </cell>
          <cell r="AT499">
            <v>2.1428571428571432</v>
          </cell>
          <cell r="AU499">
            <v>0.30769230769230771</v>
          </cell>
          <cell r="AV499">
            <v>0.43137254901960809</v>
          </cell>
          <cell r="AW499">
            <v>-0.60000000000000009</v>
          </cell>
          <cell r="AX499">
            <v>-0.36842105263157887</v>
          </cell>
          <cell r="AY499">
            <v>-0.40909090909090917</v>
          </cell>
          <cell r="AZ499">
            <v>0.10705882352941165</v>
          </cell>
          <cell r="BA499">
            <v>-0.31753424657534246</v>
          </cell>
          <cell r="BB499">
            <v>0.48166666666666669</v>
          </cell>
          <cell r="BC499">
            <v>-0.21250000000000013</v>
          </cell>
          <cell r="BD499">
            <v>-0.18307692307692303</v>
          </cell>
          <cell r="BE499">
            <v>-0.24973432518597238</v>
          </cell>
          <cell r="BF499">
            <v>-0.13528703331995184</v>
          </cell>
          <cell r="BG499">
            <v>0</v>
          </cell>
          <cell r="BH499">
            <v>0</v>
          </cell>
          <cell r="BI499">
            <v>0</v>
          </cell>
          <cell r="BJ499">
            <v>0</v>
          </cell>
          <cell r="BK499">
            <v>0</v>
          </cell>
          <cell r="BL499">
            <v>0.58830146231721026</v>
          </cell>
          <cell r="BM499">
            <v>0.49417989417989427</v>
          </cell>
          <cell r="BN499">
            <v>0.32956685499058369</v>
          </cell>
          <cell r="BO499">
            <v>0</v>
          </cell>
          <cell r="BP499">
            <v>0.31104921077065928</v>
          </cell>
          <cell r="BQ499">
            <v>0</v>
          </cell>
          <cell r="BR499">
            <v>0</v>
          </cell>
          <cell r="BS499">
            <v>0</v>
          </cell>
          <cell r="BT499">
            <v>0</v>
          </cell>
          <cell r="BU499">
            <v>0</v>
          </cell>
          <cell r="BV499">
            <v>0</v>
          </cell>
          <cell r="BW499">
            <v>0</v>
          </cell>
          <cell r="BX499">
            <v>0</v>
          </cell>
          <cell r="BY499">
            <v>0</v>
          </cell>
          <cell r="BZ499">
            <v>0</v>
          </cell>
        </row>
        <row r="502">
          <cell r="A502" t="str">
            <v>Revenue by Segment</v>
          </cell>
          <cell r="C502">
            <v>2006</v>
          </cell>
          <cell r="D502" t="str">
            <v>1Q07</v>
          </cell>
          <cell r="E502" t="str">
            <v>2Q07</v>
          </cell>
          <cell r="F502" t="str">
            <v>3Q07</v>
          </cell>
          <cell r="G502" t="str">
            <v>4Q07</v>
          </cell>
          <cell r="H502">
            <v>2007</v>
          </cell>
          <cell r="I502" t="str">
            <v>1Q08</v>
          </cell>
          <cell r="J502" t="str">
            <v>2Q08</v>
          </cell>
          <cell r="K502" t="str">
            <v>3Q08</v>
          </cell>
          <cell r="L502" t="str">
            <v>4Q08</v>
          </cell>
          <cell r="M502">
            <v>2008</v>
          </cell>
          <cell r="N502" t="str">
            <v>1Q09</v>
          </cell>
          <cell r="O502" t="str">
            <v>2Q09</v>
          </cell>
          <cell r="P502" t="str">
            <v>3Q09</v>
          </cell>
          <cell r="Q502" t="str">
            <v>4Q09</v>
          </cell>
          <cell r="R502">
            <v>2009</v>
          </cell>
          <cell r="S502" t="str">
            <v>1Q10</v>
          </cell>
          <cell r="T502" t="str">
            <v>2Q10</v>
          </cell>
          <cell r="U502" t="str">
            <v>3Q10</v>
          </cell>
          <cell r="V502" t="str">
            <v>4Q10</v>
          </cell>
          <cell r="W502">
            <v>2010</v>
          </cell>
          <cell r="X502" t="str">
            <v>1Q11</v>
          </cell>
          <cell r="Y502" t="str">
            <v>2Q11</v>
          </cell>
          <cell r="Z502" t="str">
            <v>3Q11</v>
          </cell>
          <cell r="AA502" t="str">
            <v>4Q11</v>
          </cell>
          <cell r="AB502">
            <v>2011</v>
          </cell>
          <cell r="AC502" t="str">
            <v>1Q12</v>
          </cell>
          <cell r="AD502" t="str">
            <v>2Q12</v>
          </cell>
          <cell r="AE502" t="str">
            <v>3Q12</v>
          </cell>
          <cell r="AF502" t="str">
            <v>4Q12</v>
          </cell>
          <cell r="AG502">
            <v>2012</v>
          </cell>
          <cell r="AH502" t="str">
            <v>1Q13</v>
          </cell>
          <cell r="AI502" t="str">
            <v>2Q13</v>
          </cell>
          <cell r="AJ502" t="str">
            <v>3Q13</v>
          </cell>
          <cell r="AK502" t="str">
            <v>4Q13</v>
          </cell>
          <cell r="AL502">
            <v>2013</v>
          </cell>
          <cell r="AM502" t="str">
            <v>1Q13R</v>
          </cell>
          <cell r="AN502" t="str">
            <v>2Q13R</v>
          </cell>
          <cell r="AO502" t="str">
            <v>3Q13R</v>
          </cell>
          <cell r="AP502" t="str">
            <v>4Q13R</v>
          </cell>
          <cell r="AQ502" t="str">
            <v>2013R</v>
          </cell>
          <cell r="AR502" t="str">
            <v>1Q14</v>
          </cell>
          <cell r="AS502" t="str">
            <v>2Q14</v>
          </cell>
          <cell r="AT502" t="str">
            <v>3Q14</v>
          </cell>
          <cell r="AU502" t="str">
            <v>4Q14</v>
          </cell>
          <cell r="AV502">
            <v>2014</v>
          </cell>
          <cell r="AW502" t="str">
            <v>1Q15</v>
          </cell>
          <cell r="AX502" t="str">
            <v>2Q15</v>
          </cell>
          <cell r="AY502" t="str">
            <v>3Q15</v>
          </cell>
          <cell r="AZ502" t="str">
            <v>4Q15</v>
          </cell>
          <cell r="BA502" t="str">
            <v>2015E</v>
          </cell>
          <cell r="BB502" t="str">
            <v>1Q16E</v>
          </cell>
          <cell r="BC502" t="str">
            <v>2Q16</v>
          </cell>
          <cell r="BD502" t="str">
            <v>3Q16</v>
          </cell>
          <cell r="BE502" t="str">
            <v>4Q16</v>
          </cell>
          <cell r="BF502" t="str">
            <v>2016E</v>
          </cell>
          <cell r="BG502" t="str">
            <v>1Q17E</v>
          </cell>
          <cell r="BH502" t="str">
            <v>2Q17E</v>
          </cell>
          <cell r="BI502" t="str">
            <v>3Q17E</v>
          </cell>
          <cell r="BJ502" t="str">
            <v>4Q17E</v>
          </cell>
          <cell r="BK502" t="str">
            <v>2017E</v>
          </cell>
          <cell r="BL502" t="str">
            <v>1Q18E</v>
          </cell>
          <cell r="BM502" t="str">
            <v>2Q18E</v>
          </cell>
          <cell r="BN502" t="str">
            <v>3Q18E</v>
          </cell>
          <cell r="BO502" t="str">
            <v>4Q18E</v>
          </cell>
          <cell r="BP502" t="str">
            <v>2018E</v>
          </cell>
          <cell r="BQ502" t="str">
            <v>1Q19E</v>
          </cell>
          <cell r="BR502" t="str">
            <v>2Q19E</v>
          </cell>
          <cell r="BS502" t="str">
            <v>3Q19E</v>
          </cell>
          <cell r="BT502" t="str">
            <v>4Q19E</v>
          </cell>
          <cell r="BU502" t="str">
            <v>2019E</v>
          </cell>
          <cell r="BV502" t="str">
            <v>1Q20E</v>
          </cell>
          <cell r="BW502" t="str">
            <v>2Q20E</v>
          </cell>
          <cell r="BX502" t="str">
            <v>3Q20E</v>
          </cell>
          <cell r="BY502" t="str">
            <v>4Q20E</v>
          </cell>
          <cell r="BZ502" t="str">
            <v>2020E</v>
          </cell>
        </row>
        <row r="504">
          <cell r="B504" t="str">
            <v>Index</v>
          </cell>
          <cell r="AM504">
            <v>108.41499999999999</v>
          </cell>
          <cell r="AN504">
            <v>109.86999999999999</v>
          </cell>
          <cell r="AO504">
            <v>112.801</v>
          </cell>
          <cell r="AP504">
            <v>117.3</v>
          </cell>
          <cell r="AQ504">
            <v>448.38599999999997</v>
          </cell>
          <cell r="AR504">
            <v>119.1</v>
          </cell>
          <cell r="AS504">
            <v>125.495</v>
          </cell>
          <cell r="AT504">
            <v>129.857</v>
          </cell>
          <cell r="AU504">
            <v>129.453</v>
          </cell>
          <cell r="AV504">
            <v>503.90499999999997</v>
          </cell>
          <cell r="AW504">
            <v>133.57999999999998</v>
          </cell>
          <cell r="AX504">
            <v>140.06</v>
          </cell>
          <cell r="AY504">
            <v>141.536</v>
          </cell>
          <cell r="AZ504">
            <v>143.702</v>
          </cell>
          <cell r="BA504">
            <v>558.87799999999993</v>
          </cell>
          <cell r="BB504">
            <v>144.613</v>
          </cell>
          <cell r="BC504">
            <v>152.11699999999999</v>
          </cell>
          <cell r="BD504">
            <v>157.72900000000001</v>
          </cell>
          <cell r="BE504">
            <v>159.07</v>
          </cell>
          <cell r="BF504">
            <v>613.529</v>
          </cell>
          <cell r="BG504">
            <v>161.16705848046871</v>
          </cell>
          <cell r="BH504">
            <v>165.0175283709375</v>
          </cell>
          <cell r="BI504">
            <v>170.3308090406133</v>
          </cell>
          <cell r="BJ504">
            <v>172.70947044999846</v>
          </cell>
          <cell r="BK504">
            <v>669.224866342018</v>
          </cell>
          <cell r="BL504">
            <v>175.01334893643286</v>
          </cell>
          <cell r="BM504">
            <v>179.25505117382764</v>
          </cell>
          <cell r="BN504">
            <v>185.30468559244051</v>
          </cell>
          <cell r="BO504">
            <v>188.14487919752503</v>
          </cell>
          <cell r="BP504">
            <v>727.71796490022609</v>
          </cell>
          <cell r="BQ504">
            <v>190.56995920555593</v>
          </cell>
          <cell r="BR504">
            <v>195.19038676024837</v>
          </cell>
          <cell r="BS504">
            <v>201.98033374639564</v>
          </cell>
          <cell r="BT504">
            <v>205.30561101361343</v>
          </cell>
          <cell r="BU504">
            <v>793.04629072581338</v>
          </cell>
          <cell r="BV504">
            <v>207.83161924682543</v>
          </cell>
          <cell r="BW504">
            <v>212.79202018666282</v>
          </cell>
          <cell r="BX504">
            <v>220.28566333413471</v>
          </cell>
          <cell r="BY504">
            <v>224.06822424762845</v>
          </cell>
          <cell r="BZ504">
            <v>864.97752701525144</v>
          </cell>
          <cell r="CB504">
            <v>7.11096837572327E-2</v>
          </cell>
        </row>
        <row r="505">
          <cell r="B505" t="str">
            <v>y/y change</v>
          </cell>
          <cell r="AR505">
            <v>9.8556472812802776E-2</v>
          </cell>
          <cell r="AS505">
            <v>0.14221352507508889</v>
          </cell>
          <cell r="AT505">
            <v>0.15120433329491756</v>
          </cell>
          <cell r="AU505">
            <v>0.10360613810741692</v>
          </cell>
          <cell r="AV505">
            <v>0.12381965538620743</v>
          </cell>
          <cell r="AW505">
            <v>0.12157850545759863</v>
          </cell>
          <cell r="AX505">
            <v>0.11606040081278146</v>
          </cell>
          <cell r="AY505">
            <v>8.9937392670399019E-2</v>
          </cell>
          <cell r="AZ505">
            <v>0.11007083651981797</v>
          </cell>
          <cell r="BA505">
            <v>0.10909397604707238</v>
          </cell>
          <cell r="BB505">
            <v>8.2594699805360161E-2</v>
          </cell>
          <cell r="BC505">
            <v>8.608453519920034E-2</v>
          </cell>
          <cell r="BD505">
            <v>0.11440905494008602</v>
          </cell>
          <cell r="BE505">
            <v>0.10694353592851868</v>
          </cell>
          <cell r="BF505">
            <v>9.7786994657152571E-2</v>
          </cell>
          <cell r="BG505">
            <v>0.11447144088338335</v>
          </cell>
          <cell r="BH505">
            <v>8.4806618398584721E-2</v>
          </cell>
          <cell r="BI505">
            <v>7.9895320712191742E-2</v>
          </cell>
          <cell r="BJ505">
            <v>8.5745083610979211E-2</v>
          </cell>
          <cell r="BK505">
            <v>9.0779517092131057E-2</v>
          </cell>
          <cell r="BL505">
            <v>8.5912658495545635E-2</v>
          </cell>
          <cell r="BM505">
            <v>8.6278851364723463E-2</v>
          </cell>
          <cell r="BN505">
            <v>8.7910558495949198E-2</v>
          </cell>
          <cell r="BO505">
            <v>8.9372103957642057E-2</v>
          </cell>
          <cell r="BP505">
            <v>8.7404251545420308E-2</v>
          </cell>
          <cell r="BQ505">
            <v>8.8888135468874641E-2</v>
          </cell>
          <cell r="BR505">
            <v>8.8897553971675203E-2</v>
          </cell>
          <cell r="BS505">
            <v>8.9990429009612738E-2</v>
          </cell>
          <cell r="BT505">
            <v>9.1210198700502954E-2</v>
          </cell>
          <cell r="BU505">
            <v>8.9771489748152744E-2</v>
          </cell>
          <cell r="BV505">
            <v>9.0579124397305533E-2</v>
          </cell>
          <cell r="BW505">
            <v>9.0176743427607731E-2</v>
          </cell>
          <cell r="BX505">
            <v>9.0629266959836974E-2</v>
          </cell>
          <cell r="BY505">
            <v>9.1388701659843585E-2</v>
          </cell>
          <cell r="BZ505">
            <v>9.0702443389029774E-2</v>
          </cell>
        </row>
        <row r="507">
          <cell r="B507" t="str">
            <v>Analytics</v>
          </cell>
          <cell r="AM507">
            <v>98.066000000000003</v>
          </cell>
          <cell r="AN507">
            <v>96.253</v>
          </cell>
          <cell r="AO507">
            <v>98.992000000000004</v>
          </cell>
          <cell r="AP507">
            <v>103.893</v>
          </cell>
          <cell r="AQ507">
            <v>397.20400000000006</v>
          </cell>
          <cell r="AR507">
            <v>101.5</v>
          </cell>
          <cell r="AS507">
            <v>104</v>
          </cell>
          <cell r="AT507">
            <v>103.2</v>
          </cell>
          <cell r="AU507">
            <v>105.5</v>
          </cell>
          <cell r="AV507">
            <v>414.2</v>
          </cell>
          <cell r="AW507">
            <v>106.80000000000001</v>
          </cell>
          <cell r="AX507">
            <v>107.60000000000001</v>
          </cell>
          <cell r="AY507">
            <v>108.34099999999999</v>
          </cell>
          <cell r="AZ507">
            <v>110.66800000000001</v>
          </cell>
          <cell r="BA507">
            <v>433.40900000000005</v>
          </cell>
          <cell r="BB507">
            <v>110.26299999999999</v>
          </cell>
          <cell r="BC507">
            <v>112.393</v>
          </cell>
          <cell r="BD507">
            <v>111.291</v>
          </cell>
          <cell r="BE507">
            <v>114.40599999999999</v>
          </cell>
          <cell r="BF507">
            <v>448.35300000000001</v>
          </cell>
          <cell r="BG507">
            <v>114.45773537499998</v>
          </cell>
          <cell r="BH507">
            <v>115.43877238281252</v>
          </cell>
          <cell r="BI507">
            <v>115.92263746093749</v>
          </cell>
          <cell r="BJ507">
            <v>118.25272999218748</v>
          </cell>
          <cell r="BK507">
            <v>464.07187521093749</v>
          </cell>
          <cell r="BL507">
            <v>117.81972914243748</v>
          </cell>
          <cell r="BM507">
            <v>119.27468738940428</v>
          </cell>
          <cell r="BN507">
            <v>120.25004680352538</v>
          </cell>
          <cell r="BO507">
            <v>122.91441870337694</v>
          </cell>
          <cell r="BP507">
            <v>480.2588820387441</v>
          </cell>
          <cell r="BQ507">
            <v>122.64012225426481</v>
          </cell>
          <cell r="BR507">
            <v>124.25473417124581</v>
          </cell>
          <cell r="BS507">
            <v>125.39019140331656</v>
          </cell>
          <cell r="BT507">
            <v>128.21547990966698</v>
          </cell>
          <cell r="BU507">
            <v>500.50052773849416</v>
          </cell>
          <cell r="BV507">
            <v>128.10353742279128</v>
          </cell>
          <cell r="BW507">
            <v>129.88165719850841</v>
          </cell>
          <cell r="BX507">
            <v>131.18126578549618</v>
          </cell>
          <cell r="BY507">
            <v>134.17179042789414</v>
          </cell>
          <cell r="BZ507">
            <v>523.33825083469003</v>
          </cell>
          <cell r="CB507">
            <v>3.1412711955268735E-2</v>
          </cell>
        </row>
        <row r="508">
          <cell r="B508" t="str">
            <v>y/y change</v>
          </cell>
          <cell r="AR508">
            <v>3.5017233291864569E-2</v>
          </cell>
          <cell r="AS508">
            <v>8.0485803039905157E-2</v>
          </cell>
          <cell r="AT508">
            <v>4.2508485534184626E-2</v>
          </cell>
          <cell r="AU508">
            <v>1.5467837101633464E-2</v>
          </cell>
          <cell r="AV508">
            <v>4.278909577949852E-2</v>
          </cell>
          <cell r="AW508">
            <v>5.2216748768473042E-2</v>
          </cell>
          <cell r="AX508">
            <v>3.4615384615384714E-2</v>
          </cell>
          <cell r="AY508">
            <v>4.9815891472868135E-2</v>
          </cell>
          <cell r="AZ508">
            <v>4.8985781990521282E-2</v>
          </cell>
          <cell r="BA508">
            <v>4.6376146788990935E-2</v>
          </cell>
          <cell r="BB508">
            <v>3.2425093632958646E-2</v>
          </cell>
          <cell r="BC508">
            <v>4.4544609665427393E-2</v>
          </cell>
          <cell r="BD508">
            <v>2.7228842266547426E-2</v>
          </cell>
          <cell r="BE508">
            <v>3.3776701485524141E-2</v>
          </cell>
          <cell r="BF508">
            <v>3.4480133084453524E-2</v>
          </cell>
          <cell r="BG508">
            <v>3.8043000598568799E-2</v>
          </cell>
          <cell r="BH508">
            <v>2.7099306743413765E-2</v>
          </cell>
          <cell r="BI508">
            <v>4.1617358644791658E-2</v>
          </cell>
          <cell r="BJ508">
            <v>3.3623498699259624E-2</v>
          </cell>
          <cell r="BK508">
            <v>3.5059150292152674E-2</v>
          </cell>
          <cell r="BL508">
            <v>2.9373233328638948E-2</v>
          </cell>
          <cell r="BM508">
            <v>3.3229000338562908E-2</v>
          </cell>
          <cell r="BN508">
            <v>3.7330149118165901E-2</v>
          </cell>
          <cell r="BO508">
            <v>3.9421404575585184E-2</v>
          </cell>
          <cell r="BP508">
            <v>3.4880387484048647E-2</v>
          </cell>
          <cell r="BQ508">
            <v>4.091329310390579E-2</v>
          </cell>
          <cell r="BR508">
            <v>4.1752754845483908E-2</v>
          </cell>
          <cell r="BS508">
            <v>4.2745468600021264E-2</v>
          </cell>
          <cell r="BT508">
            <v>4.3128066358779416E-2</v>
          </cell>
          <cell r="BU508">
            <v>4.2147363550721462E-2</v>
          </cell>
          <cell r="BV508">
            <v>4.4548350638458967E-2</v>
          </cell>
          <cell r="BW508">
            <v>4.5285381396475977E-2</v>
          </cell>
          <cell r="BX508">
            <v>4.6184428920382326E-2</v>
          </cell>
          <cell r="BY508">
            <v>4.6455471074347887E-2</v>
          </cell>
          <cell r="BZ508">
            <v>4.5629768262958503E-2</v>
          </cell>
        </row>
        <row r="510">
          <cell r="B510" t="str">
            <v>All Other</v>
          </cell>
          <cell r="AM510">
            <v>13.1</v>
          </cell>
          <cell r="AN510">
            <v>22.2</v>
          </cell>
          <cell r="AO510">
            <v>16.899999999999999</v>
          </cell>
          <cell r="AP510">
            <v>15.600000000000001</v>
          </cell>
          <cell r="AQ510">
            <v>67.8</v>
          </cell>
          <cell r="AR510">
            <v>19.100000000000001</v>
          </cell>
          <cell r="AS510">
            <v>24.799999999999997</v>
          </cell>
          <cell r="AT510">
            <v>18.5</v>
          </cell>
          <cell r="AU510">
            <v>16.2</v>
          </cell>
          <cell r="AV510">
            <v>78.599999999999994</v>
          </cell>
          <cell r="AW510">
            <v>22.400000000000002</v>
          </cell>
          <cell r="AX510">
            <v>22.9</v>
          </cell>
          <cell r="AY510">
            <v>18.900000000000002</v>
          </cell>
          <cell r="AZ510">
            <v>18.523</v>
          </cell>
          <cell r="BA510">
            <v>82.722999999999999</v>
          </cell>
          <cell r="BB510">
            <v>23.951999999999998</v>
          </cell>
          <cell r="BC510">
            <v>26.085999999999999</v>
          </cell>
          <cell r="BD510">
            <v>19.391000000000002</v>
          </cell>
          <cell r="BE510">
            <v>19.335999999999999</v>
          </cell>
          <cell r="BF510">
            <v>88.764999999999986</v>
          </cell>
          <cell r="BG510">
            <v>25.210205296874999</v>
          </cell>
          <cell r="BH510">
            <v>27.346702281250003</v>
          </cell>
          <cell r="BI510">
            <v>20.965560046875002</v>
          </cell>
          <cell r="BJ510">
            <v>21.342108312500002</v>
          </cell>
          <cell r="BK510">
            <v>94.864575937500007</v>
          </cell>
          <cell r="BL510">
            <v>28.229955571953123</v>
          </cell>
          <cell r="BM510">
            <v>30.733518030781251</v>
          </cell>
          <cell r="BN510">
            <v>24.502082560703123</v>
          </cell>
          <cell r="BO510">
            <v>24.632446152187505</v>
          </cell>
          <cell r="BP510">
            <v>108.09800231562501</v>
          </cell>
          <cell r="BQ510">
            <v>31.537284554753516</v>
          </cell>
          <cell r="BR510">
            <v>34.059075375807033</v>
          </cell>
          <cell r="BS510">
            <v>27.846851059122269</v>
          </cell>
          <cell r="BT510">
            <v>27.99768862553595</v>
          </cell>
          <cell r="BU510">
            <v>121.44089961521877</v>
          </cell>
          <cell r="BV510">
            <v>34.924532908162391</v>
          </cell>
          <cell r="BW510">
            <v>37.469568500861868</v>
          </cell>
          <cell r="BX510">
            <v>31.281548853484601</v>
          </cell>
          <cell r="BY510">
            <v>31.457843863337718</v>
          </cell>
          <cell r="BZ510">
            <v>135.13349412584657</v>
          </cell>
          <cell r="CB510">
            <v>8.7687781169322854E-2</v>
          </cell>
        </row>
        <row r="511">
          <cell r="B511" t="str">
            <v>y/y change</v>
          </cell>
          <cell r="AR511">
            <v>0.45801526717557262</v>
          </cell>
          <cell r="AS511">
            <v>0.11711711711711703</v>
          </cell>
          <cell r="AT511">
            <v>9.4674556213017791E-2</v>
          </cell>
          <cell r="AU511">
            <v>3.8461538461538325E-2</v>
          </cell>
          <cell r="AV511">
            <v>0.15929203539823011</v>
          </cell>
          <cell r="AW511">
            <v>0.17277486910994777</v>
          </cell>
          <cell r="AX511">
            <v>-7.6612903225806384E-2</v>
          </cell>
          <cell r="AY511">
            <v>2.1621621621621845E-2</v>
          </cell>
          <cell r="AZ511">
            <v>0.143395061728395</v>
          </cell>
          <cell r="BA511">
            <v>5.2455470737913457E-2</v>
          </cell>
          <cell r="BB511">
            <v>6.9285714285714173E-2</v>
          </cell>
          <cell r="BC511">
            <v>0.13912663755458521</v>
          </cell>
          <cell r="BD511">
            <v>2.597883597883599E-2</v>
          </cell>
          <cell r="BE511">
            <v>4.3891378286454508E-2</v>
          </cell>
          <cell r="BF511">
            <v>7.3038937175875951E-2</v>
          </cell>
          <cell r="BG511">
            <v>5.2530281265656287E-2</v>
          </cell>
          <cell r="BH511">
            <v>4.8328692833320641E-2</v>
          </cell>
          <cell r="BI511">
            <v>8.1200559376772619E-2</v>
          </cell>
          <cell r="BJ511">
            <v>0.10374991272755496</v>
          </cell>
          <cell r="BK511">
            <v>6.8716002224976203E-2</v>
          </cell>
          <cell r="BL511">
            <v>0.1197828514094823</v>
          </cell>
          <cell r="BM511">
            <v>0.12384731857973907</v>
          </cell>
          <cell r="BN511">
            <v>0.16868247287080007</v>
          </cell>
          <cell r="BO511">
            <v>0.15417117144702908</v>
          </cell>
          <cell r="BP511">
            <v>0.1394980818429381</v>
          </cell>
          <cell r="BQ511">
            <v>0.11715671937104544</v>
          </cell>
          <cell r="BR511">
            <v>0.10820620475973697</v>
          </cell>
          <cell r="BS511">
            <v>0.136509559549993</v>
          </cell>
          <cell r="BT511">
            <v>0.13661828194231496</v>
          </cell>
          <cell r="BU511">
            <v>0.12343333839449788</v>
          </cell>
          <cell r="BV511">
            <v>0.10740456577763058</v>
          </cell>
          <cell r="BW511">
            <v>0.10013463628778929</v>
          </cell>
          <cell r="BX511">
            <v>0.12334241265089729</v>
          </cell>
          <cell r="BY511">
            <v>0.12358717478720194</v>
          </cell>
          <cell r="BZ511">
            <v>0.11275109583354781</v>
          </cell>
        </row>
        <row r="513">
          <cell r="B513" t="str">
            <v>Total</v>
          </cell>
          <cell r="AM513">
            <v>219.58099999999999</v>
          </cell>
          <cell r="AN513">
            <v>228.32299999999998</v>
          </cell>
          <cell r="AO513">
            <v>228.69300000000001</v>
          </cell>
          <cell r="AP513">
            <v>236.79299999999998</v>
          </cell>
          <cell r="AQ513">
            <v>913.39</v>
          </cell>
          <cell r="AR513">
            <v>239.7</v>
          </cell>
          <cell r="AS513">
            <v>254.29500000000002</v>
          </cell>
          <cell r="AT513">
            <v>251.55700000000002</v>
          </cell>
          <cell r="AU513">
            <v>251.15299999999999</v>
          </cell>
          <cell r="AV513">
            <v>996.70500000000004</v>
          </cell>
          <cell r="AW513">
            <v>262.77999999999997</v>
          </cell>
          <cell r="AX513">
            <v>270.56</v>
          </cell>
          <cell r="AY513">
            <v>268.77699999999999</v>
          </cell>
          <cell r="AZ513">
            <v>272.89300000000003</v>
          </cell>
          <cell r="BA513">
            <v>1075.01</v>
          </cell>
          <cell r="BB513">
            <v>278.82799999999997</v>
          </cell>
          <cell r="BC513">
            <v>290.596</v>
          </cell>
          <cell r="BD513">
            <v>288.411</v>
          </cell>
          <cell r="BE513">
            <v>292.81200000000001</v>
          </cell>
          <cell r="BF513">
            <v>1150.6469999999999</v>
          </cell>
          <cell r="BG513">
            <v>300.8349991523437</v>
          </cell>
          <cell r="BH513">
            <v>307.80300303500007</v>
          </cell>
          <cell r="BI513">
            <v>307.2190065484258</v>
          </cell>
          <cell r="BJ513">
            <v>312.30430875468591</v>
          </cell>
          <cell r="BK513">
            <v>1228.1613174904555</v>
          </cell>
          <cell r="BL513">
            <v>321.06303365082346</v>
          </cell>
          <cell r="BM513">
            <v>329.26325659401317</v>
          </cell>
          <cell r="BN513">
            <v>330.05681495666897</v>
          </cell>
          <cell r="BO513">
            <v>335.69174405308951</v>
          </cell>
          <cell r="BP513">
            <v>1316.0748492545952</v>
          </cell>
          <cell r="BQ513">
            <v>344.74736601457425</v>
          </cell>
          <cell r="BR513">
            <v>353.50419630730124</v>
          </cell>
          <cell r="BS513">
            <v>355.21737620883448</v>
          </cell>
          <cell r="BT513">
            <v>361.51877954881638</v>
          </cell>
          <cell r="BU513">
            <v>1414.9877180795263</v>
          </cell>
          <cell r="BV513">
            <v>370.85968957777914</v>
          </cell>
          <cell r="BW513">
            <v>380.14324588603313</v>
          </cell>
          <cell r="BX513">
            <v>382.74847797311548</v>
          </cell>
          <cell r="BY513">
            <v>389.69785853886032</v>
          </cell>
          <cell r="BZ513">
            <v>1523.449271975788</v>
          </cell>
        </row>
        <row r="514">
          <cell r="AR514">
            <v>9.1624503030772297E-2</v>
          </cell>
          <cell r="AS514">
            <v>0.11375113326296526</v>
          </cell>
          <cell r="AT514">
            <v>9.9976824826295552E-2</v>
          </cell>
          <cell r="AU514">
            <v>6.0643684568378431E-2</v>
          </cell>
          <cell r="AV514">
            <v>9.1215143585982039E-2</v>
          </cell>
          <cell r="AW514">
            <v>9.6287025448477115E-2</v>
          </cell>
          <cell r="AX514">
            <v>6.3961147486187198E-2</v>
          </cell>
          <cell r="AY514">
            <v>6.8453670539877498E-2</v>
          </cell>
          <cell r="AZ514">
            <v>8.6560781674915432E-2</v>
          </cell>
          <cell r="BA514">
            <v>7.8563867944878352E-2</v>
          </cell>
          <cell r="BB514">
            <v>6.1070096658802031E-2</v>
          </cell>
          <cell r="BC514">
            <v>7.4053814311058508E-2</v>
          </cell>
          <cell r="BD514">
            <v>7.3049405269052015E-2</v>
          </cell>
          <cell r="BE514">
            <v>7.2991978541039781E-2</v>
          </cell>
          <cell r="BF514">
            <v>7.0359345494460435E-2</v>
          </cell>
          <cell r="BG514">
            <v>7.8926790538768499E-2</v>
          </cell>
          <cell r="BH514">
            <v>5.9212800709576463E-2</v>
          </cell>
          <cell r="BI514">
            <v>6.5212514600434091E-2</v>
          </cell>
          <cell r="BJ514">
            <v>6.6569364488770599E-2</v>
          </cell>
          <cell r="BK514">
            <v>6.7365853724431268E-2</v>
          </cell>
          <cell r="BL514">
            <v>6.7239631543789313E-2</v>
          </cell>
          <cell r="BM514">
            <v>6.9720741342386594E-2</v>
          </cell>
          <cell r="BN514">
            <v>7.4337224981044114E-2</v>
          </cell>
          <cell r="BO514">
            <v>7.4886687896369653E-2</v>
          </cell>
          <cell r="BP514">
            <v>7.1581420544799768E-2</v>
          </cell>
          <cell r="BQ514">
            <v>7.3768481205809033E-2</v>
          </cell>
          <cell r="BR514">
            <v>7.3621757751055616E-2</v>
          </cell>
          <cell r="BS514">
            <v>7.623100057930543E-2</v>
          </cell>
          <cell r="BT514">
            <v>7.6936761041231705E-2</v>
          </cell>
          <cell r="BU514">
            <v>7.5157479744373035E-2</v>
          </cell>
          <cell r="BV514">
            <v>7.5743359159126999E-2</v>
          </cell>
          <cell r="BW514">
            <v>7.5357095777088157E-2</v>
          </cell>
          <cell r="BX514">
            <v>7.7504940940995137E-2</v>
          </cell>
          <cell r="BY514">
            <v>7.7946376742066059E-2</v>
          </cell>
          <cell r="BZ514">
            <v>7.6651940162045795E-2</v>
          </cell>
        </row>
        <row r="516">
          <cell r="A516" t="str">
            <v>Adj. EBITDA</v>
          </cell>
        </row>
        <row r="517">
          <cell r="B517" t="str">
            <v>Index (Long-Term Target 68-72%)</v>
          </cell>
          <cell r="AM517">
            <v>78.084000000000003</v>
          </cell>
          <cell r="AN517">
            <v>80.412999999999997</v>
          </cell>
          <cell r="AO517">
            <v>80.603999999999999</v>
          </cell>
          <cell r="AP517">
            <v>84.456999999999994</v>
          </cell>
          <cell r="AQ517">
            <v>323.55799999999999</v>
          </cell>
          <cell r="AR517">
            <v>82.088999999999999</v>
          </cell>
          <cell r="AS517">
            <v>86.168999999999997</v>
          </cell>
          <cell r="AT517">
            <v>91.031000000000006</v>
          </cell>
          <cell r="AU517">
            <v>90.396000000000001</v>
          </cell>
          <cell r="AV517">
            <v>349.685</v>
          </cell>
          <cell r="AW517">
            <v>93.052999999999997</v>
          </cell>
          <cell r="AX517">
            <v>98.016999999999996</v>
          </cell>
          <cell r="AY517">
            <v>102.92700000000001</v>
          </cell>
          <cell r="AZ517">
            <v>98.99</v>
          </cell>
          <cell r="BA517">
            <v>392.98700000000002</v>
          </cell>
          <cell r="BB517">
            <v>100.04900000000001</v>
          </cell>
          <cell r="BC517">
            <v>106.518</v>
          </cell>
          <cell r="BD517">
            <v>111.75</v>
          </cell>
          <cell r="BE517">
            <v>113.161</v>
          </cell>
          <cell r="BF517">
            <v>431.47800000000001</v>
          </cell>
          <cell r="BG517">
            <v>111.9046708351428</v>
          </cell>
          <cell r="BH517">
            <v>115.96397519950779</v>
          </cell>
          <cell r="BI517">
            <v>120.93487441883543</v>
          </cell>
          <cell r="BJ517">
            <v>122.86399940650203</v>
          </cell>
          <cell r="BK517">
            <v>471.66751985998803</v>
          </cell>
          <cell r="BL517">
            <v>121.78121862806351</v>
          </cell>
          <cell r="BM517">
            <v>126.23809635616931</v>
          </cell>
          <cell r="BN517">
            <v>131.84428379902141</v>
          </cell>
          <cell r="BO517">
            <v>134.12683085290789</v>
          </cell>
          <cell r="BP517">
            <v>513.99042963616216</v>
          </cell>
          <cell r="BQ517">
            <v>132.89197902584777</v>
          </cell>
          <cell r="BR517">
            <v>137.75313992041376</v>
          </cell>
          <cell r="BS517">
            <v>144.01197796118007</v>
          </cell>
          <cell r="BT517">
            <v>146.66852416259078</v>
          </cell>
          <cell r="BU517">
            <v>561.3256210700323</v>
          </cell>
          <cell r="BV517">
            <v>145.24096555430441</v>
          </cell>
          <cell r="BW517">
            <v>150.49445750564425</v>
          </cell>
          <cell r="BX517">
            <v>157.39410645223921</v>
          </cell>
          <cell r="BY517">
            <v>160.40847249654678</v>
          </cell>
          <cell r="BZ517">
            <v>613.53800200873457</v>
          </cell>
        </row>
        <row r="518">
          <cell r="B518" t="str">
            <v>Margin %</v>
          </cell>
          <cell r="AM518">
            <v>0.72023244016049448</v>
          </cell>
          <cell r="AN518">
            <v>0.73189223627923916</v>
          </cell>
          <cell r="AO518">
            <v>0.71456813326122992</v>
          </cell>
          <cell r="AP518">
            <v>0.72000852514919012</v>
          </cell>
          <cell r="AQ518">
            <v>0.72160593774114268</v>
          </cell>
          <cell r="AR518">
            <v>0.68924433249370276</v>
          </cell>
          <cell r="AS518">
            <v>0.68663293358301125</v>
          </cell>
          <cell r="AT518">
            <v>0.70100957206773606</v>
          </cell>
          <cell r="AU518">
            <v>0.69829204421682001</v>
          </cell>
          <cell r="AV518">
            <v>0.6939502485587562</v>
          </cell>
          <cell r="AW518">
            <v>0.69660877376852826</v>
          </cell>
          <cell r="AX518">
            <v>0.699821505069256</v>
          </cell>
          <cell r="AY518">
            <v>0.72721427763961122</v>
          </cell>
          <cell r="AZ518">
            <v>0.68885610499505923</v>
          </cell>
          <cell r="BA518">
            <v>0.70317135403433317</v>
          </cell>
          <cell r="BB518">
            <v>0.69183959948275753</v>
          </cell>
          <cell r="BC518">
            <v>0.70023731732810934</v>
          </cell>
          <cell r="BD518">
            <v>0.70849368220175102</v>
          </cell>
          <cell r="BE518">
            <v>0.71139121141635764</v>
          </cell>
          <cell r="BF518">
            <v>0.70327237995269987</v>
          </cell>
          <cell r="BG518">
            <v>0.69433959948275747</v>
          </cell>
          <cell r="BH518">
            <v>0.70273731732810929</v>
          </cell>
          <cell r="BI518">
            <v>0.71</v>
          </cell>
          <cell r="BJ518">
            <v>0.71139121141635764</v>
          </cell>
          <cell r="BK518">
            <v>0.70479676351257226</v>
          </cell>
          <cell r="BL518">
            <v>0.69583959948275742</v>
          </cell>
          <cell r="BM518">
            <v>0.70423731732810924</v>
          </cell>
          <cell r="BN518">
            <v>0.71149999999999991</v>
          </cell>
          <cell r="BO518">
            <v>0.71289121141635758</v>
          </cell>
          <cell r="BP518">
            <v>0.70630443994416559</v>
          </cell>
          <cell r="BQ518">
            <v>0.69733959948275737</v>
          </cell>
          <cell r="BR518">
            <v>0.70573731732810918</v>
          </cell>
          <cell r="BS518">
            <v>0.71299999999999986</v>
          </cell>
          <cell r="BT518">
            <v>0.71439121141635753</v>
          </cell>
          <cell r="BU518">
            <v>0.70780940234433831</v>
          </cell>
          <cell r="BV518">
            <v>0.69883959948275731</v>
          </cell>
          <cell r="BW518">
            <v>0.70723731732810913</v>
          </cell>
          <cell r="BX518">
            <v>0.7144999999999998</v>
          </cell>
          <cell r="BY518">
            <v>0.71589121141635748</v>
          </cell>
          <cell r="BZ518">
            <v>0.70931091600246454</v>
          </cell>
        </row>
        <row r="519">
          <cell r="B519" t="str">
            <v>BULL</v>
          </cell>
          <cell r="BE519">
            <v>0.7163561049950592</v>
          </cell>
          <cell r="BG519">
            <v>0.71433959948275749</v>
          </cell>
          <cell r="BH519">
            <v>0.72273731732810931</v>
          </cell>
          <cell r="BI519">
            <v>0.73</v>
          </cell>
          <cell r="BJ519">
            <v>0.73139121141635766</v>
          </cell>
          <cell r="BL519">
            <v>0.71583959948275744</v>
          </cell>
          <cell r="BM519">
            <v>0.72423731732810925</v>
          </cell>
          <cell r="BN519">
            <v>0.73149999999999993</v>
          </cell>
          <cell r="BO519">
            <v>0.7328912114163576</v>
          </cell>
          <cell r="BQ519">
            <v>0.71733959948275738</v>
          </cell>
          <cell r="BR519">
            <v>0.7257373173281092</v>
          </cell>
          <cell r="BS519">
            <v>0.73299999999999987</v>
          </cell>
          <cell r="BT519">
            <v>0.73439121141635755</v>
          </cell>
          <cell r="BV519">
            <v>0.71883959948275733</v>
          </cell>
          <cell r="BW519">
            <v>0.72723731732810915</v>
          </cell>
          <cell r="BX519">
            <v>0.73449999999999982</v>
          </cell>
          <cell r="BY519">
            <v>0.73589121141635749</v>
          </cell>
        </row>
        <row r="520">
          <cell r="B520" t="str">
            <v>BASE</v>
          </cell>
          <cell r="BE520">
            <v>0.69635610499505918</v>
          </cell>
          <cell r="BG520">
            <v>0.69433959948275747</v>
          </cell>
          <cell r="BH520">
            <v>0.70273731732810929</v>
          </cell>
          <cell r="BI520">
            <v>0.71</v>
          </cell>
          <cell r="BJ520">
            <v>0.71139121141635764</v>
          </cell>
          <cell r="BL520">
            <v>0.69583959948275742</v>
          </cell>
          <cell r="BM520">
            <v>0.70423731732810924</v>
          </cell>
          <cell r="BN520">
            <v>0.71149999999999991</v>
          </cell>
          <cell r="BO520">
            <v>0.71289121141635758</v>
          </cell>
          <cell r="BQ520">
            <v>0.69733959948275737</v>
          </cell>
          <cell r="BR520">
            <v>0.70573731732810918</v>
          </cell>
          <cell r="BS520">
            <v>0.71299999999999986</v>
          </cell>
          <cell r="BT520">
            <v>0.71439121141635753</v>
          </cell>
          <cell r="BV520">
            <v>0.69883959948275731</v>
          </cell>
          <cell r="BW520">
            <v>0.70723731732810913</v>
          </cell>
          <cell r="BX520">
            <v>0.7144999999999998</v>
          </cell>
          <cell r="BY520">
            <v>0.71589121141635748</v>
          </cell>
        </row>
        <row r="521">
          <cell r="B521" t="str">
            <v>BEAR</v>
          </cell>
          <cell r="BE521">
            <v>0.68135610499505916</v>
          </cell>
          <cell r="BG521">
            <v>0.67933959948275746</v>
          </cell>
          <cell r="BH521">
            <v>0.68773731732810928</v>
          </cell>
          <cell r="BI521">
            <v>0.69499999999999995</v>
          </cell>
          <cell r="BJ521">
            <v>0.69639121141635763</v>
          </cell>
          <cell r="BL521">
            <v>0.68083959948275741</v>
          </cell>
          <cell r="BM521">
            <v>0.68923731732810922</v>
          </cell>
          <cell r="BN521">
            <v>0.6964999999999999</v>
          </cell>
          <cell r="BO521">
            <v>0.69789121141635757</v>
          </cell>
          <cell r="BQ521">
            <v>0.68233959948275735</v>
          </cell>
          <cell r="BR521">
            <v>0.69073731732810917</v>
          </cell>
          <cell r="BS521">
            <v>0.69799999999999984</v>
          </cell>
          <cell r="BT521">
            <v>0.69939121141635752</v>
          </cell>
          <cell r="BV521">
            <v>0.6838395994827573</v>
          </cell>
          <cell r="BW521">
            <v>0.69223731732810911</v>
          </cell>
          <cell r="BX521">
            <v>0.69949999999999979</v>
          </cell>
          <cell r="BY521">
            <v>0.70089121141635746</v>
          </cell>
        </row>
        <row r="522">
          <cell r="B522" t="str">
            <v>y/y change</v>
          </cell>
          <cell r="AR522">
            <v>5.1290917473490127E-2</v>
          </cell>
          <cell r="AS522">
            <v>7.1580465845074714E-2</v>
          </cell>
          <cell r="AT522">
            <v>0.12936082576547081</v>
          </cell>
          <cell r="AU522">
            <v>7.0319807712800664E-2</v>
          </cell>
          <cell r="AV522">
            <v>8.0749046538796776E-2</v>
          </cell>
          <cell r="AW522">
            <v>0.13356235305582964</v>
          </cell>
          <cell r="AX522">
            <v>0.13749724378836925</v>
          </cell>
          <cell r="AY522">
            <v>0.1306807571047226</v>
          </cell>
          <cell r="AZ522">
            <v>9.5070578344174539E-2</v>
          </cell>
          <cell r="BA522">
            <v>0.12383144830347326</v>
          </cell>
          <cell r="BB522">
            <v>7.5182960248460606E-2</v>
          </cell>
          <cell r="BC522">
            <v>8.6729852984686273E-2</v>
          </cell>
          <cell r="BD522">
            <v>8.5720947856247509E-2</v>
          </cell>
          <cell r="BE522">
            <v>0.14315587433074062</v>
          </cell>
          <cell r="BF522">
            <v>9.7944715728510046E-2</v>
          </cell>
          <cell r="BG522">
            <v>0.11849864401586019</v>
          </cell>
          <cell r="BH522">
            <v>8.8679614708385257E-2</v>
          </cell>
          <cell r="BI522">
            <v>8.2191269967207381E-2</v>
          </cell>
          <cell r="BJ522">
            <v>8.5745083610979211E-2</v>
          </cell>
          <cell r="BK522">
            <v>9.314384478464266E-2</v>
          </cell>
          <cell r="BL522">
            <v>8.8258584018094943E-2</v>
          </cell>
          <cell r="BM522">
            <v>8.8597524696662378E-2</v>
          </cell>
          <cell r="BN522">
            <v>9.0208961084321082E-2</v>
          </cell>
          <cell r="BO522">
            <v>9.1669093475804653E-2</v>
          </cell>
          <cell r="BP522">
            <v>8.973038844976533E-2</v>
          </cell>
          <cell r="BQ522">
            <v>9.1235418096102583E-2</v>
          </cell>
          <cell r="BR522">
            <v>9.1216866355112058E-2</v>
          </cell>
          <cell r="BS522">
            <v>9.228837088384223E-2</v>
          </cell>
          <cell r="BT522">
            <v>9.3506222654562876E-2</v>
          </cell>
          <cell r="BU522">
            <v>9.2093526852975227E-2</v>
          </cell>
          <cell r="BV522">
            <v>9.2924995315591952E-2</v>
          </cell>
          <cell r="BW522">
            <v>9.2493845095594329E-2</v>
          </cell>
          <cell r="BX522">
            <v>9.292371843310443E-2</v>
          </cell>
          <cell r="BY522">
            <v>9.3680279476491046E-2</v>
          </cell>
          <cell r="BZ522">
            <v>9.3016208380390486E-2</v>
          </cell>
        </row>
        <row r="523">
          <cell r="B523" t="str">
            <v>Margin change (bps)</v>
          </cell>
          <cell r="AR523">
            <v>-309.88107666791723</v>
          </cell>
          <cell r="AS523">
            <v>-452.59302696227911</v>
          </cell>
          <cell r="AT523">
            <v>-135.58561193493856</v>
          </cell>
          <cell r="AU523">
            <v>-217.16480932370109</v>
          </cell>
          <cell r="AV523">
            <v>-276.55689182386476</v>
          </cell>
          <cell r="AW523">
            <v>73.64441274825495</v>
          </cell>
          <cell r="AX523">
            <v>131.88571486244749</v>
          </cell>
          <cell r="AY523">
            <v>262.04705571875155</v>
          </cell>
          <cell r="AZ523">
            <v>-94.359392217607805</v>
          </cell>
          <cell r="BA523">
            <v>92.211054755769737</v>
          </cell>
          <cell r="BB523">
            <v>-47.691742857707276</v>
          </cell>
          <cell r="BC523">
            <v>4.1581225885334305</v>
          </cell>
          <cell r="BD523">
            <v>-187.205954378602</v>
          </cell>
          <cell r="BE523">
            <v>225.35106421298411</v>
          </cell>
          <cell r="BF523">
            <v>1.0102591836669284</v>
          </cell>
          <cell r="BG523">
            <v>24.999999999999467</v>
          </cell>
          <cell r="BH523">
            <v>24.999999999999467</v>
          </cell>
          <cell r="BI523">
            <v>15.063177982489462</v>
          </cell>
          <cell r="BJ523">
            <v>0</v>
          </cell>
          <cell r="BK523">
            <v>15.243835598723887</v>
          </cell>
          <cell r="BL523">
            <v>14.999999999999458</v>
          </cell>
          <cell r="BM523">
            <v>14.999999999999458</v>
          </cell>
          <cell r="BN523">
            <v>14.999999999999458</v>
          </cell>
          <cell r="BO523">
            <v>14.999999999999458</v>
          </cell>
          <cell r="BP523">
            <v>15.0767643159333</v>
          </cell>
          <cell r="BQ523">
            <v>14.999999999999458</v>
          </cell>
          <cell r="BR523">
            <v>14.999999999999458</v>
          </cell>
          <cell r="BS523">
            <v>14.999999999999458</v>
          </cell>
          <cell r="BT523">
            <v>14.999999999999458</v>
          </cell>
          <cell r="BU523">
            <v>15.049624001727269</v>
          </cell>
          <cell r="BV523">
            <v>14.999999999999458</v>
          </cell>
          <cell r="BW523">
            <v>14.999999999999458</v>
          </cell>
          <cell r="BX523">
            <v>14.999999999999458</v>
          </cell>
          <cell r="BY523">
            <v>14.999999999999458</v>
          </cell>
          <cell r="BZ523">
            <v>15.015136581262301</v>
          </cell>
        </row>
        <row r="525">
          <cell r="B525" t="str">
            <v>Analytics (Long-Term Target 30-35%)</v>
          </cell>
          <cell r="AM525">
            <v>26.78</v>
          </cell>
          <cell r="AN525">
            <v>23.279</v>
          </cell>
          <cell r="AO525">
            <v>23.132000000000001</v>
          </cell>
          <cell r="AP525">
            <v>24.614999999999998</v>
          </cell>
          <cell r="AQ525">
            <v>97.805999999999997</v>
          </cell>
          <cell r="AR525">
            <v>17.849</v>
          </cell>
          <cell r="AS525">
            <v>17.707999999999998</v>
          </cell>
          <cell r="AT525">
            <v>16.788</v>
          </cell>
          <cell r="AU525">
            <v>19.829000000000001</v>
          </cell>
          <cell r="AV525">
            <v>72.174000000000007</v>
          </cell>
          <cell r="AW525">
            <v>14.08</v>
          </cell>
          <cell r="AX525">
            <v>21.263999999999999</v>
          </cell>
          <cell r="AY525">
            <v>29.216000000000001</v>
          </cell>
          <cell r="AZ525">
            <v>30.908000000000001</v>
          </cell>
          <cell r="BA525">
            <v>95.468000000000004</v>
          </cell>
          <cell r="BB525">
            <v>30.36</v>
          </cell>
          <cell r="BC525">
            <v>33.302</v>
          </cell>
          <cell r="BD525">
            <v>31.501000000000001</v>
          </cell>
          <cell r="BE525">
            <v>33.344000000000001</v>
          </cell>
          <cell r="BF525">
            <v>128.50700000000001</v>
          </cell>
          <cell r="BG525">
            <v>32.620454581874995</v>
          </cell>
          <cell r="BH525">
            <v>33.477243991015627</v>
          </cell>
          <cell r="BI525">
            <v>33.617564863671873</v>
          </cell>
          <cell r="BJ525">
            <v>35.180187172675772</v>
          </cell>
          <cell r="BK525">
            <v>134.89545060923825</v>
          </cell>
          <cell r="BL525">
            <v>33.873172128450776</v>
          </cell>
          <cell r="BM525">
            <v>34.887846061400751</v>
          </cell>
          <cell r="BN525">
            <v>35.173138690031173</v>
          </cell>
          <cell r="BO525">
            <v>36.874325611013077</v>
          </cell>
          <cell r="BP525">
            <v>140.80848249089576</v>
          </cell>
          <cell r="BQ525">
            <v>35.565635453736789</v>
          </cell>
          <cell r="BR525">
            <v>36.655146580517517</v>
          </cell>
          <cell r="BS525">
            <v>36.990106463978385</v>
          </cell>
          <cell r="BT525">
            <v>38.78518267267426</v>
          </cell>
          <cell r="BU525">
            <v>147.99607117090696</v>
          </cell>
          <cell r="BV525">
            <v>37.470284696166445</v>
          </cell>
          <cell r="BW525">
            <v>38.639793016556247</v>
          </cell>
          <cell r="BX525">
            <v>39.026426571185112</v>
          </cell>
          <cell r="BY525">
            <v>40.92239608050771</v>
          </cell>
          <cell r="BZ525">
            <v>156.05890036441554</v>
          </cell>
        </row>
        <row r="526">
          <cell r="B526" t="str">
            <v>Margin %</v>
          </cell>
          <cell r="AM526">
            <v>0.27308139416311467</v>
          </cell>
          <cell r="AN526">
            <v>0.24185220200928803</v>
          </cell>
          <cell r="AO526">
            <v>0.23367544852109262</v>
          </cell>
          <cell r="AP526">
            <v>0.23692645317778868</v>
          </cell>
          <cell r="AQ526">
            <v>0.24623619097491461</v>
          </cell>
          <cell r="AR526">
            <v>0.17585221674876847</v>
          </cell>
          <cell r="AS526">
            <v>0.17026923076923076</v>
          </cell>
          <cell r="AT526">
            <v>0.16267441860465115</v>
          </cell>
          <cell r="AU526">
            <v>0.1879526066350711</v>
          </cell>
          <cell r="AV526">
            <v>0.17424915499758573</v>
          </cell>
          <cell r="AW526">
            <v>0.13183520599250936</v>
          </cell>
          <cell r="AX526">
            <v>0.19762081784386615</v>
          </cell>
          <cell r="AY526">
            <v>0.26966706971506632</v>
          </cell>
          <cell r="AZ526">
            <v>0.27928579173744894</v>
          </cell>
          <cell r="BA526">
            <v>0.220272306297285</v>
          </cell>
          <cell r="BB526">
            <v>0.27534168306684925</v>
          </cell>
          <cell r="BC526">
            <v>0.29629959161157721</v>
          </cell>
          <cell r="BD526">
            <v>0.28305074085056298</v>
          </cell>
          <cell r="BE526">
            <v>0.2914532454591543</v>
          </cell>
          <cell r="BF526">
            <v>0.28662014082653625</v>
          </cell>
          <cell r="BG526">
            <v>0.28499999999999998</v>
          </cell>
          <cell r="BH526">
            <v>0.28999999999999998</v>
          </cell>
          <cell r="BI526">
            <v>0.28999999999999998</v>
          </cell>
          <cell r="BJ526">
            <v>0.29749999999999999</v>
          </cell>
          <cell r="BK526">
            <v>0.29067792687915722</v>
          </cell>
          <cell r="BL526">
            <v>0.28749999999999998</v>
          </cell>
          <cell r="BM526">
            <v>0.29249999999999998</v>
          </cell>
          <cell r="BN526">
            <v>0.29249999999999998</v>
          </cell>
          <cell r="BO526">
            <v>0.3</v>
          </cell>
          <cell r="BP526">
            <v>0.29319287525334359</v>
          </cell>
          <cell r="BQ526">
            <v>0.28999999999999998</v>
          </cell>
          <cell r="BR526">
            <v>0.29499999999999998</v>
          </cell>
          <cell r="BS526">
            <v>0.29499999999999998</v>
          </cell>
          <cell r="BT526">
            <v>0.30249999999999999</v>
          </cell>
          <cell r="BU526">
            <v>0.2956961341072416</v>
          </cell>
          <cell r="BV526">
            <v>0.29249999999999998</v>
          </cell>
          <cell r="BW526">
            <v>0.29749999999999999</v>
          </cell>
          <cell r="BX526">
            <v>0.29749999999999999</v>
          </cell>
          <cell r="BY526">
            <v>0.30499999999999999</v>
          </cell>
          <cell r="BZ526">
            <v>0.29819891841559809</v>
          </cell>
        </row>
        <row r="527">
          <cell r="B527" t="str">
            <v>BULL</v>
          </cell>
          <cell r="BE527">
            <v>0.30000000000000004</v>
          </cell>
          <cell r="BG527">
            <v>0.30499999999999999</v>
          </cell>
          <cell r="BH527">
            <v>0.31</v>
          </cell>
          <cell r="BI527">
            <v>0.31</v>
          </cell>
          <cell r="BJ527">
            <v>0.3175</v>
          </cell>
          <cell r="BL527">
            <v>0.3075</v>
          </cell>
          <cell r="BM527">
            <v>0.3125</v>
          </cell>
          <cell r="BN527">
            <v>0.3125</v>
          </cell>
          <cell r="BO527">
            <v>0.32</v>
          </cell>
          <cell r="BQ527">
            <v>0.31</v>
          </cell>
          <cell r="BR527">
            <v>0.315</v>
          </cell>
          <cell r="BS527">
            <v>0.315</v>
          </cell>
          <cell r="BT527">
            <v>0.32250000000000001</v>
          </cell>
          <cell r="BV527">
            <v>0.3125</v>
          </cell>
          <cell r="BW527">
            <v>0.3175</v>
          </cell>
          <cell r="BX527">
            <v>0.3175</v>
          </cell>
          <cell r="BY527">
            <v>0.32500000000000001</v>
          </cell>
        </row>
        <row r="528">
          <cell r="B528" t="str">
            <v>BASE</v>
          </cell>
          <cell r="BE528">
            <v>0.28000000000000003</v>
          </cell>
          <cell r="BG528">
            <v>0.28499999999999998</v>
          </cell>
          <cell r="BH528">
            <v>0.28999999999999998</v>
          </cell>
          <cell r="BI528">
            <v>0.28999999999999998</v>
          </cell>
          <cell r="BJ528">
            <v>0.29749999999999999</v>
          </cell>
          <cell r="BL528">
            <v>0.28749999999999998</v>
          </cell>
          <cell r="BM528">
            <v>0.29249999999999998</v>
          </cell>
          <cell r="BN528">
            <v>0.29249999999999998</v>
          </cell>
          <cell r="BO528">
            <v>0.3</v>
          </cell>
          <cell r="BQ528">
            <v>0.28999999999999998</v>
          </cell>
          <cell r="BR528">
            <v>0.29499999999999998</v>
          </cell>
          <cell r="BS528">
            <v>0.29499999999999998</v>
          </cell>
          <cell r="BT528">
            <v>0.30249999999999999</v>
          </cell>
          <cell r="BV528">
            <v>0.29249999999999998</v>
          </cell>
          <cell r="BW528">
            <v>0.29749999999999999</v>
          </cell>
          <cell r="BX528">
            <v>0.29749999999999999</v>
          </cell>
          <cell r="BY528">
            <v>0.30499999999999999</v>
          </cell>
        </row>
        <row r="529">
          <cell r="B529" t="str">
            <v>BEAR</v>
          </cell>
          <cell r="BE529">
            <v>0.26500000000000001</v>
          </cell>
          <cell r="BG529">
            <v>0.26999999999999996</v>
          </cell>
          <cell r="BH529">
            <v>0.27499999999999997</v>
          </cell>
          <cell r="BI529">
            <v>0.27499999999999997</v>
          </cell>
          <cell r="BJ529">
            <v>0.28249999999999997</v>
          </cell>
          <cell r="BL529">
            <v>0.27249999999999996</v>
          </cell>
          <cell r="BM529">
            <v>0.27749999999999997</v>
          </cell>
          <cell r="BN529">
            <v>0.27749999999999997</v>
          </cell>
          <cell r="BO529">
            <v>0.28499999999999998</v>
          </cell>
          <cell r="BQ529">
            <v>0.27499999999999997</v>
          </cell>
          <cell r="BR529">
            <v>0.27999999999999997</v>
          </cell>
          <cell r="BS529">
            <v>0.27999999999999997</v>
          </cell>
          <cell r="BT529">
            <v>0.28749999999999998</v>
          </cell>
          <cell r="BV529">
            <v>0.27749999999999997</v>
          </cell>
          <cell r="BW529">
            <v>0.28249999999999997</v>
          </cell>
          <cell r="BX529">
            <v>0.28249999999999997</v>
          </cell>
          <cell r="BY529">
            <v>0.28999999999999998</v>
          </cell>
        </row>
        <row r="530">
          <cell r="B530" t="str">
            <v>y/y change</v>
          </cell>
          <cell r="AR530">
            <v>-0.33349514563106797</v>
          </cell>
          <cell r="AS530">
            <v>-0.23931440353967104</v>
          </cell>
          <cell r="AT530">
            <v>-0.27425211827771057</v>
          </cell>
          <cell r="AU530">
            <v>-0.19443428803575047</v>
          </cell>
          <cell r="AV530">
            <v>-0.2620698116679957</v>
          </cell>
          <cell r="AW530">
            <v>-0.21116028909182583</v>
          </cell>
          <cell r="AX530">
            <v>0.20081319177772761</v>
          </cell>
          <cell r="AY530">
            <v>0.74029068382177754</v>
          </cell>
          <cell r="AZ530">
            <v>0.55872711684905951</v>
          </cell>
          <cell r="BA530">
            <v>0.32274780391830848</v>
          </cell>
          <cell r="BB530">
            <v>1.15625</v>
          </cell>
          <cell r="BC530">
            <v>0.56612114371708055</v>
          </cell>
          <cell r="BD530">
            <v>7.8210569550930975E-2</v>
          </cell>
          <cell r="BE530">
            <v>7.8814546395755247E-2</v>
          </cell>
          <cell r="BF530">
            <v>0.34607407717769312</v>
          </cell>
          <cell r="BG530">
            <v>7.4455025753458415E-2</v>
          </cell>
          <cell r="BH530">
            <v>5.2622662607539894E-3</v>
          </cell>
          <cell r="BI530">
            <v>6.7190402326017251E-2</v>
          </cell>
          <cell r="BJ530">
            <v>5.5067993422377892E-2</v>
          </cell>
          <cell r="BK530">
            <v>4.9712860849901119E-2</v>
          </cell>
          <cell r="BL530">
            <v>3.8402823094679794E-2</v>
          </cell>
          <cell r="BM530">
            <v>4.2136146893205773E-2</v>
          </cell>
          <cell r="BN530">
            <v>4.6272650403667459E-2</v>
          </cell>
          <cell r="BO530">
            <v>4.8156038227480824E-2</v>
          </cell>
          <cell r="BP530">
            <v>4.3834183102188007E-2</v>
          </cell>
          <cell r="BQ530">
            <v>4.9964713043939568E-2</v>
          </cell>
          <cell r="BR530">
            <v>5.0656624545018181E-2</v>
          </cell>
          <cell r="BS530">
            <v>5.1657823032499994E-2</v>
          </cell>
          <cell r="BT530">
            <v>5.1820800245102605E-2</v>
          </cell>
          <cell r="BU530">
            <v>5.1045139844298371E-2</v>
          </cell>
          <cell r="BV530">
            <v>5.355307779913554E-2</v>
          </cell>
          <cell r="BW530">
            <v>5.4143732086276319E-2</v>
          </cell>
          <cell r="BX530">
            <v>5.505039865699568E-2</v>
          </cell>
          <cell r="BY530">
            <v>5.5103863397276243E-2</v>
          </cell>
          <cell r="BZ530">
            <v>5.4480021866239792E-2</v>
          </cell>
        </row>
        <row r="531">
          <cell r="B531" t="str">
            <v>Margin change (bps)</v>
          </cell>
          <cell r="AR531">
            <v>-972.29177414346191</v>
          </cell>
          <cell r="AS531">
            <v>-715.8297124005727</v>
          </cell>
          <cell r="AT531">
            <v>-710.01029916441473</v>
          </cell>
          <cell r="AU531">
            <v>-489.73846542717581</v>
          </cell>
          <cell r="AV531">
            <v>-719.8703597732889</v>
          </cell>
          <cell r="AW531">
            <v>-440.17010756259106</v>
          </cell>
          <cell r="AX531">
            <v>273.51587074635393</v>
          </cell>
          <cell r="AY531">
            <v>1069.9265111041518</v>
          </cell>
          <cell r="AZ531">
            <v>913.33185102377843</v>
          </cell>
          <cell r="BA531">
            <v>460.23151299699276</v>
          </cell>
          <cell r="BB531">
            <v>1435.0647707433989</v>
          </cell>
          <cell r="BC531">
            <v>986.78773767711061</v>
          </cell>
          <cell r="BD531">
            <v>133.83671135496655</v>
          </cell>
          <cell r="BE531">
            <v>121.67453721705357</v>
          </cell>
          <cell r="BF531">
            <v>663.47834529251247</v>
          </cell>
          <cell r="BG531">
            <v>96.583169331507236</v>
          </cell>
          <cell r="BH531">
            <v>-62.995916115772268</v>
          </cell>
          <cell r="BI531">
            <v>69.492591494370032</v>
          </cell>
          <cell r="BJ531">
            <v>60.467545408456893</v>
          </cell>
          <cell r="BK531">
            <v>40.577860526209705</v>
          </cell>
          <cell r="BL531">
            <v>25.000000000000021</v>
          </cell>
          <cell r="BM531">
            <v>25.000000000000021</v>
          </cell>
          <cell r="BN531">
            <v>25.000000000000021</v>
          </cell>
          <cell r="BO531">
            <v>25.000000000000021</v>
          </cell>
          <cell r="BP531">
            <v>25.149483741863655</v>
          </cell>
          <cell r="BQ531">
            <v>25.000000000000021</v>
          </cell>
          <cell r="BR531">
            <v>25.000000000000021</v>
          </cell>
          <cell r="BS531">
            <v>25.000000000000021</v>
          </cell>
          <cell r="BT531">
            <v>25.000000000000021</v>
          </cell>
          <cell r="BU531">
            <v>25.032588538980161</v>
          </cell>
          <cell r="BV531">
            <v>25.000000000000021</v>
          </cell>
          <cell r="BW531">
            <v>25.000000000000021</v>
          </cell>
          <cell r="BX531">
            <v>25.000000000000021</v>
          </cell>
          <cell r="BY531">
            <v>25.000000000000021</v>
          </cell>
          <cell r="BZ531">
            <v>25.027843083564871</v>
          </cell>
        </row>
        <row r="533">
          <cell r="B533" t="str">
            <v>All Other (Long-Term Target 15-20%)</v>
          </cell>
          <cell r="AM533">
            <v>-6.21</v>
          </cell>
          <cell r="AN533">
            <v>1.8280000000000001</v>
          </cell>
          <cell r="AO533">
            <v>-3.1960000000000002</v>
          </cell>
          <cell r="AP533">
            <v>-8.6379999999999999</v>
          </cell>
          <cell r="AQ533">
            <v>-16.216000000000001</v>
          </cell>
          <cell r="AR533">
            <v>-3.335</v>
          </cell>
          <cell r="AS533">
            <v>2.0169999999999999</v>
          </cell>
          <cell r="AT533">
            <v>-5.867</v>
          </cell>
          <cell r="AU533">
            <v>-5.92</v>
          </cell>
          <cell r="AV533">
            <v>-13.105</v>
          </cell>
          <cell r="AW533">
            <v>0.51800000000000002</v>
          </cell>
          <cell r="AX533">
            <v>-1.01</v>
          </cell>
          <cell r="AY533">
            <v>-3.282</v>
          </cell>
          <cell r="AZ533">
            <v>-2.984</v>
          </cell>
          <cell r="BA533">
            <v>-6.758</v>
          </cell>
          <cell r="BB533">
            <v>2.74</v>
          </cell>
          <cell r="BC533">
            <v>6.2069999999999999</v>
          </cell>
          <cell r="BD533">
            <v>7.2999999999999995E-2</v>
          </cell>
          <cell r="BE533">
            <v>0.45200000000000001</v>
          </cell>
          <cell r="BF533">
            <v>9.4719999999999995</v>
          </cell>
          <cell r="BG533">
            <v>1.2605102648437501</v>
          </cell>
          <cell r="BH533">
            <v>3.8285383193750007</v>
          </cell>
          <cell r="BI533">
            <v>0.64993236145312505</v>
          </cell>
          <cell r="BJ533">
            <v>0.21342108312500002</v>
          </cell>
          <cell r="BK533">
            <v>5.9524020287968753</v>
          </cell>
          <cell r="BL533">
            <v>1.9760968900367188</v>
          </cell>
          <cell r="BM533">
            <v>4.9173628849250006</v>
          </cell>
          <cell r="BN533">
            <v>1.2496062105958594</v>
          </cell>
          <cell r="BO533">
            <v>0.73897338456562511</v>
          </cell>
          <cell r="BP533">
            <v>8.8820393701232039</v>
          </cell>
          <cell r="BQ533">
            <v>2.8383556099278167</v>
          </cell>
          <cell r="BR533">
            <v>6.1306335676452655</v>
          </cell>
          <cell r="BS533">
            <v>1.9771264251976812</v>
          </cell>
          <cell r="BT533">
            <v>1.3998844312767975</v>
          </cell>
          <cell r="BU533">
            <v>12.346000034047561</v>
          </cell>
          <cell r="BV533">
            <v>3.8416986198978633</v>
          </cell>
          <cell r="BW533">
            <v>7.4939137001723726</v>
          </cell>
          <cell r="BX533">
            <v>2.846620945667099</v>
          </cell>
          <cell r="BY533">
            <v>2.0447598511169516</v>
          </cell>
          <cell r="BZ533">
            <v>16.226993116854285</v>
          </cell>
        </row>
        <row r="534">
          <cell r="B534" t="str">
            <v>Margin %</v>
          </cell>
          <cell r="AM534">
            <v>-0.47404580152671755</v>
          </cell>
          <cell r="AN534">
            <v>8.2342342342342348E-2</v>
          </cell>
          <cell r="AO534">
            <v>-0.18911242603550299</v>
          </cell>
          <cell r="AP534">
            <v>-0.55371794871794866</v>
          </cell>
          <cell r="AQ534">
            <v>-0.23917404129793512</v>
          </cell>
          <cell r="AR534">
            <v>-0.17460732984293192</v>
          </cell>
          <cell r="AS534">
            <v>8.1330645161290321E-2</v>
          </cell>
          <cell r="AT534">
            <v>-0.31713513513513514</v>
          </cell>
          <cell r="AU534">
            <v>-0.36543209876543209</v>
          </cell>
          <cell r="AV534">
            <v>-0.16673027989821884</v>
          </cell>
          <cell r="AW534">
            <v>2.3125E-2</v>
          </cell>
          <cell r="AX534">
            <v>-4.4104803493449786E-2</v>
          </cell>
          <cell r="AY534">
            <v>-0.17365079365079364</v>
          </cell>
          <cell r="AZ534">
            <v>-0.16109701452248557</v>
          </cell>
          <cell r="BA534">
            <v>-8.1694329267555585E-2</v>
          </cell>
          <cell r="BB534">
            <v>0.11439545758183034</v>
          </cell>
          <cell r="BC534">
            <v>0.23794372460323546</v>
          </cell>
          <cell r="BD534">
            <v>3.7646330772007626E-3</v>
          </cell>
          <cell r="BE534">
            <v>2.3376086057095576E-2</v>
          </cell>
          <cell r="BF534">
            <v>0.1067087252858672</v>
          </cell>
          <cell r="BG534">
            <v>0.05</v>
          </cell>
          <cell r="BH534">
            <v>0.14000000000000001</v>
          </cell>
          <cell r="BI534">
            <v>3.1E-2</v>
          </cell>
          <cell r="BJ534">
            <v>0.01</v>
          </cell>
          <cell r="BK534">
            <v>6.274630935701983E-2</v>
          </cell>
          <cell r="BL534">
            <v>7.0000000000000007E-2</v>
          </cell>
          <cell r="BM534">
            <v>0.16</v>
          </cell>
          <cell r="BN534">
            <v>5.1000000000000004E-2</v>
          </cell>
          <cell r="BO534">
            <v>0.03</v>
          </cell>
          <cell r="BP534">
            <v>8.2166544985626908E-2</v>
          </cell>
          <cell r="BQ534">
            <v>9.0000000000000011E-2</v>
          </cell>
          <cell r="BR534">
            <v>0.18</v>
          </cell>
          <cell r="BS534">
            <v>7.1000000000000008E-2</v>
          </cell>
          <cell r="BT534">
            <v>0.05</v>
          </cell>
          <cell r="BU534">
            <v>0.10166262003299902</v>
          </cell>
          <cell r="BV534">
            <v>0.11000000000000001</v>
          </cell>
          <cell r="BW534">
            <v>0.19999999999999998</v>
          </cell>
          <cell r="BX534">
            <v>9.1000000000000011E-2</v>
          </cell>
          <cell r="BY534">
            <v>6.5000000000000002E-2</v>
          </cell>
          <cell r="BZ534">
            <v>0.12008120726710786</v>
          </cell>
        </row>
        <row r="535">
          <cell r="B535" t="str">
            <v>BULL</v>
          </cell>
          <cell r="BE535">
            <v>-5.000000000000001E-3</v>
          </cell>
          <cell r="BG535">
            <v>7.0000000000000007E-2</v>
          </cell>
          <cell r="BH535">
            <v>0.16</v>
          </cell>
          <cell r="BI535">
            <v>5.1000000000000004E-2</v>
          </cell>
          <cell r="BJ535">
            <v>0.03</v>
          </cell>
          <cell r="BL535">
            <v>9.0000000000000011E-2</v>
          </cell>
          <cell r="BM535">
            <v>0.18</v>
          </cell>
          <cell r="BN535">
            <v>7.1000000000000008E-2</v>
          </cell>
          <cell r="BO535">
            <v>0.05</v>
          </cell>
          <cell r="BQ535">
            <v>0.11000000000000001</v>
          </cell>
          <cell r="BR535">
            <v>0.19999999999999998</v>
          </cell>
          <cell r="BS535">
            <v>9.1000000000000011E-2</v>
          </cell>
          <cell r="BT535">
            <v>7.0000000000000007E-2</v>
          </cell>
          <cell r="BV535">
            <v>0.13</v>
          </cell>
          <cell r="BW535">
            <v>0.21999999999999997</v>
          </cell>
          <cell r="BX535">
            <v>0.11100000000000002</v>
          </cell>
          <cell r="BY535">
            <v>8.5000000000000006E-2</v>
          </cell>
        </row>
        <row r="536">
          <cell r="B536" t="str">
            <v>BASE</v>
          </cell>
          <cell r="BE536">
            <v>-2.5000000000000001E-2</v>
          </cell>
          <cell r="BG536">
            <v>0.05</v>
          </cell>
          <cell r="BH536">
            <v>0.14000000000000001</v>
          </cell>
          <cell r="BI536">
            <v>3.1E-2</v>
          </cell>
          <cell r="BJ536">
            <v>0.01</v>
          </cell>
          <cell r="BL536">
            <v>7.0000000000000007E-2</v>
          </cell>
          <cell r="BM536">
            <v>0.16</v>
          </cell>
          <cell r="BN536">
            <v>5.1000000000000004E-2</v>
          </cell>
          <cell r="BO536">
            <v>0.03</v>
          </cell>
          <cell r="BQ536">
            <v>9.0000000000000011E-2</v>
          </cell>
          <cell r="BR536">
            <v>0.18</v>
          </cell>
          <cell r="BS536">
            <v>7.1000000000000008E-2</v>
          </cell>
          <cell r="BT536">
            <v>0.05</v>
          </cell>
          <cell r="BV536">
            <v>0.11000000000000001</v>
          </cell>
          <cell r="BW536">
            <v>0.19999999999999998</v>
          </cell>
          <cell r="BX536">
            <v>9.1000000000000011E-2</v>
          </cell>
          <cell r="BY536">
            <v>6.5000000000000002E-2</v>
          </cell>
        </row>
        <row r="537">
          <cell r="B537" t="str">
            <v>BEAR</v>
          </cell>
          <cell r="BE537">
            <v>-0.04</v>
          </cell>
          <cell r="BG537">
            <v>3.5000000000000003E-2</v>
          </cell>
          <cell r="BH537">
            <v>0.125</v>
          </cell>
          <cell r="BI537">
            <v>1.6E-2</v>
          </cell>
          <cell r="BJ537">
            <v>-4.9999999999999992E-3</v>
          </cell>
          <cell r="BL537">
            <v>5.5000000000000007E-2</v>
          </cell>
          <cell r="BM537">
            <v>0.14500000000000002</v>
          </cell>
          <cell r="BN537">
            <v>3.6000000000000004E-2</v>
          </cell>
          <cell r="BO537">
            <v>1.4999999999999999E-2</v>
          </cell>
          <cell r="BQ537">
            <v>7.5000000000000011E-2</v>
          </cell>
          <cell r="BR537">
            <v>0.16499999999999998</v>
          </cell>
          <cell r="BS537">
            <v>5.6000000000000008E-2</v>
          </cell>
          <cell r="BT537">
            <v>3.5000000000000003E-2</v>
          </cell>
          <cell r="BV537">
            <v>9.5000000000000015E-2</v>
          </cell>
          <cell r="BW537">
            <v>0.185</v>
          </cell>
          <cell r="BX537">
            <v>7.6000000000000012E-2</v>
          </cell>
          <cell r="BY537">
            <v>0.05</v>
          </cell>
        </row>
        <row r="538">
          <cell r="B538" t="str">
            <v>y/y change</v>
          </cell>
          <cell r="AR538">
            <v>-0.46296296296296302</v>
          </cell>
          <cell r="AS538">
            <v>0.10339168490153172</v>
          </cell>
          <cell r="AT538">
            <v>0.83573216520650795</v>
          </cell>
          <cell r="AU538">
            <v>-0.31465617040981708</v>
          </cell>
          <cell r="AV538">
            <v>-0.19184755796743957</v>
          </cell>
          <cell r="AW538">
            <v>-1.1553223388305847</v>
          </cell>
          <cell r="AX538">
            <v>-1.5007436787307884</v>
          </cell>
          <cell r="AY538">
            <v>-0.44059996591102779</v>
          </cell>
          <cell r="AZ538">
            <v>-0.49594594594594599</v>
          </cell>
          <cell r="BA538">
            <v>-0.48431896222815718</v>
          </cell>
          <cell r="BB538">
            <v>4.2895752895752901</v>
          </cell>
          <cell r="BC538">
            <v>-7.1455445544554452</v>
          </cell>
          <cell r="BD538">
            <v>-1.02224253503961</v>
          </cell>
          <cell r="BE538">
            <v>-1.1514745308310992</v>
          </cell>
          <cell r="BF538">
            <v>-2.4015981059485054</v>
          </cell>
          <cell r="BG538">
            <v>-0.53995975735629564</v>
          </cell>
          <cell r="BH538">
            <v>-0.38319021759706773</v>
          </cell>
          <cell r="BI538">
            <v>7.9031830336044528</v>
          </cell>
          <cell r="BJ538">
            <v>-0.52782946211283188</v>
          </cell>
          <cell r="BK538">
            <v>-0.37157917770303261</v>
          </cell>
          <cell r="BL538">
            <v>0.56769599197327536</v>
          </cell>
          <cell r="BM538">
            <v>0.2843969355197018</v>
          </cell>
          <cell r="BN538">
            <v>0.92267116504550994</v>
          </cell>
          <cell r="BO538">
            <v>2.462513514341087</v>
          </cell>
          <cell r="BP538">
            <v>0.49217733062268976</v>
          </cell>
          <cell r="BQ538">
            <v>0.43634435347705836</v>
          </cell>
          <cell r="BR538">
            <v>0.24673198035470389</v>
          </cell>
          <cell r="BS538">
            <v>0.58219958290293117</v>
          </cell>
          <cell r="BT538">
            <v>0.89436380323719189</v>
          </cell>
          <cell r="BU538">
            <v>0.38999609431772964</v>
          </cell>
          <cell r="BV538">
            <v>0.35349446928377071</v>
          </cell>
          <cell r="BW538">
            <v>0.22237181809754358</v>
          </cell>
          <cell r="BX538">
            <v>0.43977689508776963</v>
          </cell>
          <cell r="BY538">
            <v>0.46066332722336245</v>
          </cell>
          <cell r="BZ538">
            <v>0.31435226568149965</v>
          </cell>
        </row>
        <row r="539">
          <cell r="B539" t="str">
            <v>Margin change (bps)</v>
          </cell>
          <cell r="AR539">
            <v>2994.3847168378561</v>
          </cell>
          <cell r="AS539">
            <v>-10.116971810520264</v>
          </cell>
          <cell r="AT539">
            <v>-1280.2270909963215</v>
          </cell>
          <cell r="AU539">
            <v>1882.8584995251656</v>
          </cell>
          <cell r="AV539">
            <v>724.43761399716288</v>
          </cell>
          <cell r="AW539">
            <v>1977.3232984293193</v>
          </cell>
          <cell r="AX539">
            <v>-1254.3544865474009</v>
          </cell>
          <cell r="AY539">
            <v>1434.8434148434151</v>
          </cell>
          <cell r="AZ539">
            <v>2043.3508424294653</v>
          </cell>
          <cell r="BA539">
            <v>850.35950630663251</v>
          </cell>
          <cell r="BB539">
            <v>912.70457581830328</v>
          </cell>
          <cell r="BC539">
            <v>2820.4852809668523</v>
          </cell>
          <cell r="BD539">
            <v>1774.154267279944</v>
          </cell>
          <cell r="BE539">
            <v>1844.7310057958114</v>
          </cell>
          <cell r="BF539">
            <v>1884.0305455342277</v>
          </cell>
          <cell r="BG539">
            <v>-643.9545758183034</v>
          </cell>
          <cell r="BH539">
            <v>-979.43724603235444</v>
          </cell>
          <cell r="BI539">
            <v>272.35366922799238</v>
          </cell>
          <cell r="BJ539">
            <v>-133.76086057095574</v>
          </cell>
          <cell r="BK539">
            <v>-439.62415928847366</v>
          </cell>
          <cell r="BL539">
            <v>200.00000000000003</v>
          </cell>
          <cell r="BM539">
            <v>199.99999999999989</v>
          </cell>
          <cell r="BN539">
            <v>200.00000000000003</v>
          </cell>
          <cell r="BO539">
            <v>199.99999999999997</v>
          </cell>
          <cell r="BP539">
            <v>194.20235628607077</v>
          </cell>
          <cell r="BQ539">
            <v>200.00000000000003</v>
          </cell>
          <cell r="BR539">
            <v>199.99999999999989</v>
          </cell>
          <cell r="BS539">
            <v>200.00000000000003</v>
          </cell>
          <cell r="BT539">
            <v>200.00000000000003</v>
          </cell>
          <cell r="BU539">
            <v>194.96075047372108</v>
          </cell>
          <cell r="BV539">
            <v>200.00000000000003</v>
          </cell>
          <cell r="BW539">
            <v>199.99999999999989</v>
          </cell>
          <cell r="BX539">
            <v>200.00000000000003</v>
          </cell>
          <cell r="BY539">
            <v>150</v>
          </cell>
          <cell r="BZ539">
            <v>184.18587234108844</v>
          </cell>
        </row>
        <row r="541">
          <cell r="A541" t="str">
            <v>Total Adj. EBITDA</v>
          </cell>
          <cell r="AM541">
            <v>98.654000000000011</v>
          </cell>
          <cell r="AN541">
            <v>105.52</v>
          </cell>
          <cell r="AO541">
            <v>100.54</v>
          </cell>
          <cell r="AP541">
            <v>100.43399999999998</v>
          </cell>
          <cell r="AQ541">
            <v>405.14799999999997</v>
          </cell>
          <cell r="AR541">
            <v>96.603000000000009</v>
          </cell>
          <cell r="AS541">
            <v>105.89399999999999</v>
          </cell>
          <cell r="AT541">
            <v>101.952</v>
          </cell>
          <cell r="AU541">
            <v>104.30499999999999</v>
          </cell>
          <cell r="AV541">
            <v>408.75400000000002</v>
          </cell>
          <cell r="AW541">
            <v>107.651</v>
          </cell>
          <cell r="AX541">
            <v>118.27099999999999</v>
          </cell>
          <cell r="AY541">
            <v>128.86099999999999</v>
          </cell>
          <cell r="AZ541">
            <v>126.914</v>
          </cell>
          <cell r="BA541">
            <v>481.69700000000006</v>
          </cell>
          <cell r="BB541">
            <v>133.149</v>
          </cell>
          <cell r="BC541">
            <v>146.02699999999999</v>
          </cell>
          <cell r="BD541">
            <v>143.32400000000001</v>
          </cell>
          <cell r="BE541">
            <v>146.95699999999999</v>
          </cell>
          <cell r="BF541">
            <v>569.45699999999999</v>
          </cell>
          <cell r="BG541">
            <v>145.78563568186155</v>
          </cell>
          <cell r="BH541">
            <v>153.26975750989843</v>
          </cell>
          <cell r="BI541">
            <v>155.20237164396042</v>
          </cell>
          <cell r="BJ541">
            <v>158.2576076623028</v>
          </cell>
          <cell r="BK541">
            <v>612.51537249802311</v>
          </cell>
          <cell r="BL541">
            <v>157.63048764655102</v>
          </cell>
          <cell r="BM541">
            <v>166.04330530249507</v>
          </cell>
          <cell r="BN541">
            <v>168.26702869964845</v>
          </cell>
          <cell r="BO541">
            <v>171.74012984848656</v>
          </cell>
          <cell r="BP541">
            <v>663.68095149718113</v>
          </cell>
          <cell r="BQ541">
            <v>171.29597008951237</v>
          </cell>
          <cell r="BR541">
            <v>180.53892006857654</v>
          </cell>
          <cell r="BS541">
            <v>182.97921085035611</v>
          </cell>
          <cell r="BT541">
            <v>186.85359126654186</v>
          </cell>
          <cell r="BU541">
            <v>721.66769227498673</v>
          </cell>
          <cell r="BV541">
            <v>186.55294887036874</v>
          </cell>
          <cell r="BW541">
            <v>196.62816422237287</v>
          </cell>
          <cell r="BX541">
            <v>199.26715396909142</v>
          </cell>
          <cell r="BY541">
            <v>203.37562842817147</v>
          </cell>
          <cell r="BZ541">
            <v>785.82389549000436</v>
          </cell>
        </row>
        <row r="542">
          <cell r="B542" t="str">
            <v>Margin %</v>
          </cell>
          <cell r="AM542">
            <v>0.44928295253232292</v>
          </cell>
          <cell r="AN542">
            <v>0.46215230178300043</v>
          </cell>
          <cell r="AO542">
            <v>0.43962867249981424</v>
          </cell>
          <cell r="AP542">
            <v>0.42414260556688743</v>
          </cell>
          <cell r="AQ542">
            <v>0.44356518026253844</v>
          </cell>
          <cell r="AR542">
            <v>0.40301627033792242</v>
          </cell>
          <cell r="AS542">
            <v>0.4164218722350026</v>
          </cell>
          <cell r="AT542">
            <v>0.40528389192111525</v>
          </cell>
          <cell r="AU542">
            <v>0.4153046151150892</v>
          </cell>
          <cell r="AV542">
            <v>0.41010529695346165</v>
          </cell>
          <cell r="AW542">
            <v>0.40966207473932559</v>
          </cell>
          <cell r="AX542">
            <v>0.43713409225310462</v>
          </cell>
          <cell r="AY542">
            <v>0.47943462424240169</v>
          </cell>
          <cell r="AZ542">
            <v>0.46506872657048737</v>
          </cell>
          <cell r="BA542">
            <v>0.44808606431568082</v>
          </cell>
          <cell r="BB542">
            <v>0.47753095098053283</v>
          </cell>
          <cell r="BC542">
            <v>0.50250863742102436</v>
          </cell>
          <cell r="BD542">
            <v>0.49690569386998024</v>
          </cell>
          <cell r="BE542">
            <v>0.5018817534800486</v>
          </cell>
          <cell r="BF542">
            <v>0.49490156407655866</v>
          </cell>
          <cell r="BG542">
            <v>0.48572868511682138</v>
          </cell>
          <cell r="BH542">
            <v>0.49960967339219131</v>
          </cell>
          <cell r="BI542">
            <v>0.50655829028350208</v>
          </cell>
          <cell r="BJ542">
            <v>0.51050790335675933</v>
          </cell>
          <cell r="BK542">
            <v>0.5007060503641626</v>
          </cell>
          <cell r="BL542">
            <v>0.49203246002776069</v>
          </cell>
          <cell r="BM542">
            <v>0.50586059396261618</v>
          </cell>
          <cell r="BN542">
            <v>0.51110223821990208</v>
          </cell>
          <cell r="BO542">
            <v>0.51513630273444677</v>
          </cell>
          <cell r="BP542">
            <v>0.50615651551036167</v>
          </cell>
          <cell r="BQ542">
            <v>0.49788050532768835</v>
          </cell>
          <cell r="BR542">
            <v>0.51219592465041097</v>
          </cell>
          <cell r="BS542">
            <v>0.51632979085547681</v>
          </cell>
          <cell r="BT542">
            <v>0.52017233673189933</v>
          </cell>
          <cell r="BU542">
            <v>0.51177397584233253</v>
          </cell>
          <cell r="BV542">
            <v>0.50397556026826418</v>
          </cell>
          <cell r="BW542">
            <v>0.51864463847736497</v>
          </cell>
          <cell r="BX542">
            <v>0.52175720928262204</v>
          </cell>
          <cell r="BY542">
            <v>0.52498413164123625</v>
          </cell>
          <cell r="BZ542">
            <v>0.51746899247458156</v>
          </cell>
        </row>
        <row r="543">
          <cell r="B543" t="str">
            <v>Margin change (bps)</v>
          </cell>
          <cell r="AR543">
            <v>-462.66682194400499</v>
          </cell>
          <cell r="AS543">
            <v>-457.30429547997829</v>
          </cell>
          <cell r="AT543">
            <v>-343.44780578698999</v>
          </cell>
          <cell r="AU543">
            <v>-88.379904517982283</v>
          </cell>
          <cell r="AV543">
            <v>-334.59883309076787</v>
          </cell>
          <cell r="AW543">
            <v>66.458044014031657</v>
          </cell>
          <cell r="AX543">
            <v>207.12220018102022</v>
          </cell>
          <cell r="AY543">
            <v>741.50732321286443</v>
          </cell>
          <cell r="AZ543">
            <v>497.64111455398165</v>
          </cell>
          <cell r="BA543">
            <v>379.80767362219171</v>
          </cell>
          <cell r="BB543">
            <v>678.68876241207238</v>
          </cell>
          <cell r="BC543">
            <v>653.74545167919734</v>
          </cell>
          <cell r="BD543">
            <v>174.71069627578549</v>
          </cell>
          <cell r="BE543">
            <v>368.13026909561233</v>
          </cell>
          <cell r="BF543">
            <v>468.15499760877844</v>
          </cell>
          <cell r="BG543">
            <v>81.977341362885483</v>
          </cell>
          <cell r="BH543">
            <v>-28.989640288330509</v>
          </cell>
          <cell r="BI543">
            <v>96.525964135218416</v>
          </cell>
          <cell r="BJ543">
            <v>86.261498767107312</v>
          </cell>
          <cell r="BK543">
            <v>58.044862876039382</v>
          </cell>
          <cell r="BL543">
            <v>63.037749109393083</v>
          </cell>
          <cell r="BM543">
            <v>62.509205704248672</v>
          </cell>
          <cell r="BN543">
            <v>45.439479364000057</v>
          </cell>
          <cell r="BO543">
            <v>46.283993776874425</v>
          </cell>
          <cell r="BP543">
            <v>54.504651461990683</v>
          </cell>
          <cell r="BQ543">
            <v>58.480452999276622</v>
          </cell>
          <cell r="BR543">
            <v>63.353306877947936</v>
          </cell>
          <cell r="BS543">
            <v>52.275526355747282</v>
          </cell>
          <cell r="BT543">
            <v>50.360339974525601</v>
          </cell>
          <cell r="BU543">
            <v>56.174603319708581</v>
          </cell>
          <cell r="BV543">
            <v>60.950549405758281</v>
          </cell>
          <cell r="BW543">
            <v>64.487138269539997</v>
          </cell>
          <cell r="BX543">
            <v>54.274184271452256</v>
          </cell>
          <cell r="BY543">
            <v>48.117949093369191</v>
          </cell>
          <cell r="BZ543">
            <v>56.950166322490283</v>
          </cell>
        </row>
        <row r="544">
          <cell r="A544" t="str">
            <v>Adj. EBITDA (from inc statement)</v>
          </cell>
          <cell r="BB544">
            <v>133.14899999999997</v>
          </cell>
          <cell r="BC544">
            <v>146.02700000000002</v>
          </cell>
          <cell r="BD544">
            <v>143.32400000000004</v>
          </cell>
          <cell r="BE544">
            <v>146.95699999999999</v>
          </cell>
          <cell r="BF544">
            <v>569.45699999999999</v>
          </cell>
          <cell r="BG544">
            <v>145.91428572708907</v>
          </cell>
          <cell r="BH544">
            <v>153.13465263404231</v>
          </cell>
          <cell r="BI544">
            <v>154.96301616810473</v>
          </cell>
          <cell r="BJ544">
            <v>158.30135564094968</v>
          </cell>
          <cell r="BK544">
            <v>612.31331017018579</v>
          </cell>
          <cell r="BL544">
            <v>684.02545943090399</v>
          </cell>
          <cell r="BM544">
            <v>741.42874661289022</v>
          </cell>
          <cell r="BN544">
            <v>805.05596177833309</v>
          </cell>
          <cell r="BO544">
            <v>0.10818168112015636</v>
          </cell>
          <cell r="BP544">
            <v>664.56089039928088</v>
          </cell>
          <cell r="BU544">
            <v>723.70503222588422</v>
          </cell>
          <cell r="BZ544">
            <v>789.08084731887675</v>
          </cell>
        </row>
        <row r="545">
          <cell r="B545" t="str">
            <v>var</v>
          </cell>
          <cell r="BB545">
            <v>0</v>
          </cell>
          <cell r="BC545">
            <v>0</v>
          </cell>
          <cell r="BD545">
            <v>0</v>
          </cell>
          <cell r="BE545">
            <v>0</v>
          </cell>
          <cell r="BF545">
            <v>0</v>
          </cell>
          <cell r="BG545">
            <v>-0.12865004522751633</v>
          </cell>
          <cell r="BH545">
            <v>0.13510487585611486</v>
          </cell>
          <cell r="BI545">
            <v>0.23935547585568884</v>
          </cell>
          <cell r="BJ545">
            <v>-4.3747978646877073E-2</v>
          </cell>
          <cell r="BK545">
            <v>0.20206232783732503</v>
          </cell>
          <cell r="BP545">
            <v>-0.87993890209975234</v>
          </cell>
          <cell r="BU545">
            <v>-2.0373399508974899</v>
          </cell>
          <cell r="BZ545">
            <v>-3.2569518288723884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A1" t="str">
            <v>Performance Statistics</v>
          </cell>
        </row>
        <row r="3">
          <cell r="A3" t="str">
            <v>Run Rate</v>
          </cell>
          <cell r="B3" t="str">
            <v>Q410</v>
          </cell>
          <cell r="C3" t="str">
            <v>Q409</v>
          </cell>
          <cell r="D3" t="str">
            <v>% chg</v>
          </cell>
          <cell r="F3" t="str">
            <v>Q310</v>
          </cell>
          <cell r="G3" t="str">
            <v>% chg</v>
          </cell>
        </row>
        <row r="4">
          <cell r="A4" t="str">
            <v>Index and ESG products</v>
          </cell>
          <cell r="B4">
            <v>235.37</v>
          </cell>
          <cell r="C4">
            <v>202.785</v>
          </cell>
          <cell r="D4">
            <v>0.16068742757107279</v>
          </cell>
          <cell r="F4">
            <v>224.49600000000001</v>
          </cell>
          <cell r="G4">
            <v>4.8437388639441137E-2</v>
          </cell>
        </row>
        <row r="5">
          <cell r="A5" t="str">
            <v>Risk management analytics</v>
          </cell>
          <cell r="B5">
            <v>235.422</v>
          </cell>
          <cell r="C5">
            <v>197.99700000000001</v>
          </cell>
          <cell r="D5">
            <v>0.18901801542447605</v>
          </cell>
          <cell r="F5">
            <v>224.58099999999999</v>
          </cell>
          <cell r="G5">
            <v>4.8272115628659629E-2</v>
          </cell>
        </row>
        <row r="6">
          <cell r="A6" t="str">
            <v>Portfolio management analytics</v>
          </cell>
          <cell r="B6">
            <v>117.256</v>
          </cell>
          <cell r="C6">
            <v>122.19199999999999</v>
          </cell>
          <cell r="D6">
            <v>-4.0395443236873052E-2</v>
          </cell>
          <cell r="F6">
            <v>121.795</v>
          </cell>
          <cell r="G6">
            <v>-3.7267539718379261E-2</v>
          </cell>
        </row>
        <row r="7">
          <cell r="A7" t="str">
            <v>Energy and commodity analytics</v>
          </cell>
          <cell r="B7">
            <v>15.33</v>
          </cell>
          <cell r="C7">
            <v>15.365</v>
          </cell>
          <cell r="D7">
            <v>-2.277904328018221E-3</v>
          </cell>
          <cell r="F7">
            <v>15.254</v>
          </cell>
          <cell r="G7">
            <v>4.9822997246624645E-3</v>
          </cell>
        </row>
        <row r="8">
          <cell r="A8" t="str">
            <v>Governance</v>
          </cell>
          <cell r="B8">
            <v>105.53400000000001</v>
          </cell>
          <cell r="C8">
            <v>111.84099999999999</v>
          </cell>
          <cell r="D8">
            <v>-5.6392557291154333E-2</v>
          </cell>
          <cell r="F8">
            <v>105.735</v>
          </cell>
          <cell r="G8">
            <v>-1.9009788622499357E-3</v>
          </cell>
        </row>
        <row r="9">
          <cell r="A9" t="str">
            <v>Total Subscription runrate</v>
          </cell>
          <cell r="B9">
            <v>708.91200000000003</v>
          </cell>
          <cell r="C9">
            <v>522.97400000000005</v>
          </cell>
          <cell r="D9">
            <v>0.35553966353967881</v>
          </cell>
          <cell r="F9">
            <v>691.86099999999999</v>
          </cell>
          <cell r="G9">
            <v>2.4645123803769931E-2</v>
          </cell>
        </row>
        <row r="12">
          <cell r="I12" t="str">
            <v>Retention Rates:</v>
          </cell>
          <cell r="J12" t="str">
            <v>Q109</v>
          </cell>
          <cell r="K12" t="str">
            <v>Q209</v>
          </cell>
          <cell r="L12" t="str">
            <v>Q309</v>
          </cell>
          <cell r="M12" t="str">
            <v>Q409</v>
          </cell>
          <cell r="O12" t="str">
            <v>Q110</v>
          </cell>
          <cell r="P12" t="str">
            <v>Q210</v>
          </cell>
          <cell r="Q12" t="str">
            <v>Q310</v>
          </cell>
          <cell r="R12" t="str">
            <v>Q410</v>
          </cell>
        </row>
        <row r="13">
          <cell r="I13" t="str">
            <v>Aggregate Retention Rate</v>
          </cell>
        </row>
        <row r="14">
          <cell r="I14" t="str">
            <v>Index and ESG products</v>
          </cell>
          <cell r="J14">
            <v>0.93799999999999994</v>
          </cell>
          <cell r="K14">
            <v>0.92800000000000005</v>
          </cell>
          <cell r="L14">
            <v>0.90500000000000003</v>
          </cell>
          <cell r="M14">
            <v>0.88500000000000001</v>
          </cell>
          <cell r="O14">
            <v>0.93799999999999994</v>
          </cell>
          <cell r="P14">
            <v>0.92400000000000004</v>
          </cell>
          <cell r="Q14">
            <v>0.90900000000000003</v>
          </cell>
          <cell r="R14">
            <v>0.92100000000000004</v>
          </cell>
        </row>
        <row r="15">
          <cell r="I15" t="str">
            <v>Risk management analytics</v>
          </cell>
          <cell r="J15">
            <v>0.85499999999999998</v>
          </cell>
          <cell r="K15">
            <v>0.79500000000000004</v>
          </cell>
          <cell r="L15">
            <v>0.80400000000000005</v>
          </cell>
          <cell r="M15">
            <v>0.80200000000000005</v>
          </cell>
          <cell r="O15">
            <v>0.81499999999999995</v>
          </cell>
          <cell r="P15">
            <v>0.91300000000000003</v>
          </cell>
          <cell r="Q15">
            <v>0.89700000000000002</v>
          </cell>
          <cell r="R15">
            <v>0.85399999999999998</v>
          </cell>
        </row>
        <row r="16">
          <cell r="I16" t="str">
            <v>Portfolio management analytics</v>
          </cell>
          <cell r="J16">
            <v>0.86499999999999999</v>
          </cell>
          <cell r="K16">
            <v>0.82199999999999995</v>
          </cell>
          <cell r="L16">
            <v>0.69099999999999995</v>
          </cell>
          <cell r="M16">
            <v>0.77700000000000002</v>
          </cell>
          <cell r="O16">
            <v>0.92300000000000004</v>
          </cell>
          <cell r="P16">
            <v>0.84599999999999997</v>
          </cell>
          <cell r="Q16">
            <v>0.83699999999999997</v>
          </cell>
          <cell r="R16">
            <v>0.69099999999999995</v>
          </cell>
        </row>
        <row r="17">
          <cell r="I17" t="str">
            <v>Energy and commodity analytics</v>
          </cell>
          <cell r="J17">
            <v>0.90500000000000003</v>
          </cell>
          <cell r="K17">
            <v>0.91300000000000003</v>
          </cell>
          <cell r="L17">
            <v>0.84499999999999997</v>
          </cell>
          <cell r="M17">
            <v>0.88500000000000001</v>
          </cell>
          <cell r="O17">
            <v>0.85499999999999998</v>
          </cell>
          <cell r="P17">
            <v>0.80500000000000005</v>
          </cell>
          <cell r="Q17">
            <v>0.90500000000000003</v>
          </cell>
          <cell r="R17">
            <v>0.83399999999999996</v>
          </cell>
        </row>
        <row r="18">
          <cell r="I18" t="str">
            <v>Governance</v>
          </cell>
          <cell r="J18">
            <v>0.73</v>
          </cell>
          <cell r="K18">
            <v>0.84599999999999997</v>
          </cell>
          <cell r="L18">
            <v>0.85399999999999998</v>
          </cell>
          <cell r="M18">
            <v>0.78700000000000003</v>
          </cell>
          <cell r="O18">
            <v>0.74199999999999999</v>
          </cell>
          <cell r="P18">
            <v>0.86</v>
          </cell>
          <cell r="Q18">
            <v>0.86399999999999999</v>
          </cell>
          <cell r="R18">
            <v>0.86299999999999999</v>
          </cell>
        </row>
        <row r="19">
          <cell r="I19" t="str">
            <v xml:space="preserve">  Total aggregate retention</v>
          </cell>
          <cell r="J19">
            <v>0.85599999999999998</v>
          </cell>
          <cell r="K19">
            <v>0.85099999999999998</v>
          </cell>
          <cell r="L19">
            <v>0.81899999999999995</v>
          </cell>
          <cell r="M19">
            <v>0.82</v>
          </cell>
          <cell r="O19">
            <v>0.86199999999999999</v>
          </cell>
          <cell r="P19">
            <v>0.89200000000000002</v>
          </cell>
          <cell r="Q19">
            <v>0.88400000000000001</v>
          </cell>
          <cell r="R19">
            <v>0.84599999999999997</v>
          </cell>
        </row>
        <row r="21">
          <cell r="I21" t="str">
            <v>Core Retention Rate</v>
          </cell>
        </row>
        <row r="22">
          <cell r="I22" t="str">
            <v>Index and ESG products</v>
          </cell>
          <cell r="J22">
            <v>0.94</v>
          </cell>
          <cell r="K22">
            <v>0.93100000000000005</v>
          </cell>
          <cell r="L22">
            <v>0.91200000000000003</v>
          </cell>
          <cell r="M22">
            <v>0.89100000000000001</v>
          </cell>
          <cell r="O22">
            <v>0.94499999999999995</v>
          </cell>
          <cell r="P22">
            <v>0.92900000000000005</v>
          </cell>
          <cell r="Q22">
            <v>0.91200000000000003</v>
          </cell>
          <cell r="R22">
            <v>0.92400000000000004</v>
          </cell>
        </row>
        <row r="23">
          <cell r="I23" t="str">
            <v>Risk management analytics</v>
          </cell>
          <cell r="J23">
            <v>0.85499999999999998</v>
          </cell>
          <cell r="K23">
            <v>0.81399999999999995</v>
          </cell>
          <cell r="L23">
            <v>0.81</v>
          </cell>
          <cell r="M23">
            <v>0.81200000000000006</v>
          </cell>
          <cell r="O23">
            <v>0.82899999999999996</v>
          </cell>
          <cell r="P23">
            <v>0.92300000000000004</v>
          </cell>
          <cell r="Q23">
            <v>0.92</v>
          </cell>
          <cell r="R23">
            <v>0.85399999999999998</v>
          </cell>
        </row>
        <row r="24">
          <cell r="I24" t="str">
            <v>Portfolio management analytics</v>
          </cell>
          <cell r="J24">
            <v>0.878</v>
          </cell>
          <cell r="K24">
            <v>0.83699999999999997</v>
          </cell>
          <cell r="L24">
            <v>0.70499999999999996</v>
          </cell>
          <cell r="M24">
            <v>0.78400000000000003</v>
          </cell>
          <cell r="O24">
            <v>0.94299999999999995</v>
          </cell>
          <cell r="P24">
            <v>0.86299999999999999</v>
          </cell>
          <cell r="Q24">
            <v>0.86799999999999999</v>
          </cell>
          <cell r="R24">
            <v>0.71199999999999997</v>
          </cell>
        </row>
        <row r="25">
          <cell r="I25" t="str">
            <v>Energy and commodity analytics</v>
          </cell>
          <cell r="J25">
            <v>0.90600000000000003</v>
          </cell>
          <cell r="K25">
            <v>0.91300000000000003</v>
          </cell>
          <cell r="L25">
            <v>0.84499999999999997</v>
          </cell>
          <cell r="M25">
            <v>0.89900000000000002</v>
          </cell>
          <cell r="O25">
            <v>0.85499999999999998</v>
          </cell>
          <cell r="P25">
            <v>0.80500000000000005</v>
          </cell>
          <cell r="Q25">
            <v>0.90500000000000003</v>
          </cell>
          <cell r="R25">
            <v>0.83399999999999996</v>
          </cell>
        </row>
        <row r="26">
          <cell r="I26" t="str">
            <v>Governance</v>
          </cell>
          <cell r="J26">
            <v>0.73</v>
          </cell>
          <cell r="K26">
            <v>0.84599999999999997</v>
          </cell>
          <cell r="L26">
            <v>0.85399999999999998</v>
          </cell>
          <cell r="M26">
            <v>0.78700000000000003</v>
          </cell>
          <cell r="O26">
            <v>0.74199999999999999</v>
          </cell>
          <cell r="P26">
            <v>0.86</v>
          </cell>
          <cell r="Q26">
            <v>0.86399999999999999</v>
          </cell>
          <cell r="R26">
            <v>0.86299999999999999</v>
          </cell>
        </row>
        <row r="27">
          <cell r="I27" t="str">
            <v xml:space="preserve">  Total core retention</v>
          </cell>
          <cell r="J27">
            <v>0.85899999999999999</v>
          </cell>
          <cell r="K27">
            <v>0.86099999999999999</v>
          </cell>
          <cell r="L27">
            <v>0.82599999999999996</v>
          </cell>
          <cell r="M27">
            <v>0.82599999999999996</v>
          </cell>
          <cell r="O27">
            <v>0.872</v>
          </cell>
          <cell r="P27">
            <v>0.9</v>
          </cell>
          <cell r="Q27">
            <v>0.89800000000000002</v>
          </cell>
          <cell r="R27">
            <v>0.85</v>
          </cell>
        </row>
        <row r="29">
          <cell r="I29" t="str">
            <v>New recurring subscription sales</v>
          </cell>
          <cell r="J29">
            <v>24.710999999999999</v>
          </cell>
          <cell r="K29">
            <v>21.254000000000001</v>
          </cell>
          <cell r="L29">
            <v>23.469000000000001</v>
          </cell>
          <cell r="M29">
            <v>27.757000000000001</v>
          </cell>
          <cell r="O29">
            <v>30.273</v>
          </cell>
          <cell r="P29">
            <v>34.28</v>
          </cell>
          <cell r="Q29">
            <v>34.555999999999997</v>
          </cell>
          <cell r="R29">
            <v>37.283999999999999</v>
          </cell>
        </row>
        <row r="30">
          <cell r="I30" t="str">
            <v>Subscription cancellations</v>
          </cell>
          <cell r="J30">
            <v>-22.692</v>
          </cell>
          <cell r="K30">
            <v>-23.712</v>
          </cell>
          <cell r="L30">
            <v>-28.69</v>
          </cell>
          <cell r="M30">
            <v>-28.64</v>
          </cell>
          <cell r="O30">
            <v>-22.434000000000001</v>
          </cell>
          <cell r="P30">
            <v>-17.495000000000001</v>
          </cell>
          <cell r="Q30">
            <v>-19.113</v>
          </cell>
          <cell r="R30">
            <v>-25.524999999999999</v>
          </cell>
        </row>
        <row r="31">
          <cell r="I31" t="str">
            <v>Net new recurring subscription sales</v>
          </cell>
          <cell r="J31">
            <v>2.0189999999999984</v>
          </cell>
          <cell r="K31">
            <v>-2.4579999999999984</v>
          </cell>
          <cell r="L31">
            <v>-5.2210000000000001</v>
          </cell>
          <cell r="M31">
            <v>-0.88299999999999912</v>
          </cell>
          <cell r="O31">
            <v>7.8389999999999986</v>
          </cell>
          <cell r="P31">
            <v>16.785</v>
          </cell>
          <cell r="Q31">
            <v>15.442999999999998</v>
          </cell>
          <cell r="R31">
            <v>11.759</v>
          </cell>
        </row>
        <row r="34">
          <cell r="T34" t="str">
            <v>Run Rate</v>
          </cell>
          <cell r="U34" t="str">
            <v>Q109</v>
          </cell>
          <cell r="V34" t="str">
            <v>Q209</v>
          </cell>
          <cell r="W34" t="str">
            <v>Q309</v>
          </cell>
          <cell r="X34" t="str">
            <v>Q409</v>
          </cell>
          <cell r="Y34" t="str">
            <v>Q110</v>
          </cell>
          <cell r="Z34" t="str">
            <v>Q210</v>
          </cell>
          <cell r="AA34" t="str">
            <v>Q310</v>
          </cell>
          <cell r="AB34" t="str">
            <v>Q410</v>
          </cell>
        </row>
        <row r="35">
          <cell r="T35" t="str">
            <v>Index and ESG products</v>
          </cell>
          <cell r="W35">
            <v>193.26400000000001</v>
          </cell>
          <cell r="X35">
            <v>202.785</v>
          </cell>
          <cell r="Y35">
            <v>209</v>
          </cell>
          <cell r="Z35">
            <v>218.78</v>
          </cell>
          <cell r="AA35">
            <v>224.49600000000001</v>
          </cell>
          <cell r="AB35">
            <v>235.37</v>
          </cell>
        </row>
        <row r="36">
          <cell r="T36" t="str">
            <v>Risk management analytics</v>
          </cell>
          <cell r="W36">
            <v>191.715</v>
          </cell>
          <cell r="X36">
            <v>197.99700000000001</v>
          </cell>
          <cell r="Y36">
            <v>122</v>
          </cell>
          <cell r="Z36">
            <v>196.71700000000001</v>
          </cell>
          <cell r="AA36">
            <v>224.58099999999999</v>
          </cell>
          <cell r="AB36">
            <v>235.422</v>
          </cell>
        </row>
        <row r="37">
          <cell r="T37" t="str">
            <v>Portfolio management analytics</v>
          </cell>
          <cell r="W37">
            <v>125.01900000000001</v>
          </cell>
          <cell r="X37">
            <v>122.19199999999999</v>
          </cell>
          <cell r="Y37">
            <v>194</v>
          </cell>
          <cell r="Z37">
            <v>121.38800000000001</v>
          </cell>
          <cell r="AA37">
            <v>121.795</v>
          </cell>
          <cell r="AB37">
            <v>117.256</v>
          </cell>
        </row>
        <row r="38">
          <cell r="T38" t="str">
            <v>Energy and commodity analytics</v>
          </cell>
          <cell r="W38">
            <v>14.706</v>
          </cell>
          <cell r="X38">
            <v>15.365</v>
          </cell>
          <cell r="Y38">
            <v>15.452999999999999</v>
          </cell>
          <cell r="Z38">
            <v>15.34</v>
          </cell>
          <cell r="AA38">
            <v>15.254</v>
          </cell>
          <cell r="AB38">
            <v>15.33</v>
          </cell>
        </row>
        <row r="39">
          <cell r="T39" t="str">
            <v>Governance</v>
          </cell>
          <cell r="W39">
            <v>113.907</v>
          </cell>
          <cell r="X39">
            <v>111.84099999999999</v>
          </cell>
          <cell r="Y39">
            <v>107</v>
          </cell>
          <cell r="Z39">
            <v>105.48099999999999</v>
          </cell>
          <cell r="AA39">
            <v>105.735</v>
          </cell>
          <cell r="AB39">
            <v>105.53400000000001</v>
          </cell>
        </row>
        <row r="40">
          <cell r="T40" t="str">
            <v>Total Subscription runrate</v>
          </cell>
          <cell r="W40">
            <v>638.6110000000001</v>
          </cell>
          <cell r="X40">
            <v>522.97400000000005</v>
          </cell>
          <cell r="Y40">
            <v>530.625</v>
          </cell>
          <cell r="Z40">
            <v>657.70600000000002</v>
          </cell>
          <cell r="AA40">
            <v>691.86099999999999</v>
          </cell>
          <cell r="AB40">
            <v>708.91200000000003</v>
          </cell>
        </row>
        <row r="42">
          <cell r="AD42" t="str">
            <v>From Q3:</v>
          </cell>
        </row>
        <row r="44">
          <cell r="AD44" t="str">
            <v>Run Rate</v>
          </cell>
          <cell r="AE44" t="str">
            <v>Q310</v>
          </cell>
          <cell r="AF44" t="str">
            <v>Q309</v>
          </cell>
          <cell r="AG44" t="str">
            <v>% chg</v>
          </cell>
          <cell r="AI44" t="str">
            <v>Q210</v>
          </cell>
          <cell r="AJ44" t="str">
            <v>% chg</v>
          </cell>
        </row>
        <row r="45">
          <cell r="AD45" t="str">
            <v>Index and ESG products</v>
          </cell>
          <cell r="AE45">
            <v>224.49600000000001</v>
          </cell>
          <cell r="AF45">
            <v>193.26400000000001</v>
          </cell>
          <cell r="AG45">
            <v>0.16160278168722586</v>
          </cell>
          <cell r="AI45">
            <v>218.78</v>
          </cell>
          <cell r="AJ45">
            <v>2.6126702623640252E-2</v>
          </cell>
        </row>
        <row r="46">
          <cell r="AD46" t="str">
            <v>Risk management analytics</v>
          </cell>
          <cell r="AE46">
            <v>224.58099999999999</v>
          </cell>
          <cell r="AF46">
            <v>191.715</v>
          </cell>
          <cell r="AG46">
            <v>0.17143155204339777</v>
          </cell>
          <cell r="AI46">
            <v>196.71700000000001</v>
          </cell>
          <cell r="AJ46">
            <v>0.14164510438853761</v>
          </cell>
        </row>
        <row r="47">
          <cell r="AD47" t="str">
            <v>Portfolio management analytics</v>
          </cell>
          <cell r="AE47">
            <v>121.795</v>
          </cell>
          <cell r="AF47">
            <v>125.01900000000001</v>
          </cell>
          <cell r="AG47">
            <v>-2.5788080211807785E-2</v>
          </cell>
          <cell r="AI47">
            <v>121.38800000000001</v>
          </cell>
          <cell r="AJ47">
            <v>3.3528849639172797E-3</v>
          </cell>
        </row>
        <row r="48">
          <cell r="AD48" t="str">
            <v>Energy and commodity analytics</v>
          </cell>
          <cell r="AE48">
            <v>15.254</v>
          </cell>
          <cell r="AF48">
            <v>14.706</v>
          </cell>
          <cell r="AG48">
            <v>3.726370189038497E-2</v>
          </cell>
          <cell r="AI48">
            <v>15.34</v>
          </cell>
          <cell r="AJ48">
            <v>-5.606258148631027E-3</v>
          </cell>
        </row>
        <row r="49">
          <cell r="AD49" t="str">
            <v>Governance</v>
          </cell>
          <cell r="AE49">
            <v>105.735</v>
          </cell>
          <cell r="AF49">
            <v>113.907</v>
          </cell>
          <cell r="AG49">
            <v>-7.1742737496378606E-2</v>
          </cell>
          <cell r="AI49">
            <v>105.48099999999999</v>
          </cell>
          <cell r="AJ49">
            <v>2.4080166096265287E-3</v>
          </cell>
        </row>
        <row r="50">
          <cell r="AD50" t="str">
            <v>Total Subscription runrate</v>
          </cell>
          <cell r="AE50">
            <v>691.86099999999999</v>
          </cell>
          <cell r="AF50">
            <v>638.6110000000001</v>
          </cell>
          <cell r="AG50">
            <v>8.3384094542686915E-2</v>
          </cell>
          <cell r="AI50">
            <v>657.70600000000002</v>
          </cell>
          <cell r="AJ50">
            <v>5.1930497821214949E-2</v>
          </cell>
        </row>
      </sheetData>
      <sheetData sheetId="18" refreshError="1"/>
      <sheetData sheetId="19" refreshError="1">
        <row r="1">
          <cell r="B1" t="str">
            <v>Multiple Valuation</v>
          </cell>
        </row>
        <row r="3">
          <cell r="B3" t="str">
            <v>Key Metrics</v>
          </cell>
          <cell r="C3" t="str">
            <v>2011E</v>
          </cell>
          <cell r="D3" t="str">
            <v>2012E</v>
          </cell>
        </row>
        <row r="4">
          <cell r="B4" t="str">
            <v>Adj. EBITDA</v>
          </cell>
          <cell r="C4">
            <v>418.74200000000008</v>
          </cell>
          <cell r="D4">
            <v>434.46</v>
          </cell>
          <cell r="G4" t="str">
            <v>Diluted Shares</v>
          </cell>
          <cell r="I4">
            <v>96.888000000000005</v>
          </cell>
        </row>
        <row r="5">
          <cell r="B5" t="str">
            <v>GAAP Net Income</v>
          </cell>
          <cell r="C5">
            <v>173.45400000000012</v>
          </cell>
          <cell r="D5">
            <v>184.238</v>
          </cell>
          <cell r="G5" t="str">
            <v>Net Debt</v>
          </cell>
          <cell r="I5">
            <v>1175.9389999999999</v>
          </cell>
        </row>
        <row r="6">
          <cell r="B6" t="str">
            <v>Cash Net Income</v>
          </cell>
          <cell r="C6">
            <v>227.26404919999999</v>
          </cell>
          <cell r="D6">
            <v>241.23527232227909</v>
          </cell>
        </row>
        <row r="7">
          <cell r="B7" t="str">
            <v>Free Cash Flow</v>
          </cell>
          <cell r="C7">
            <v>264.86145285919849</v>
          </cell>
          <cell r="D7">
            <v>182.32119741265819</v>
          </cell>
        </row>
        <row r="10">
          <cell r="B10" t="str">
            <v>Share</v>
          </cell>
          <cell r="C10" t="str">
            <v>EV</v>
          </cell>
          <cell r="D10" t="str">
            <v>EV / Adj. EBITDA</v>
          </cell>
          <cell r="F10" t="str">
            <v>P/E - GAAP</v>
          </cell>
          <cell r="H10" t="str">
            <v>Adj. P/E</v>
          </cell>
          <cell r="J10" t="str">
            <v>EV / FCF</v>
          </cell>
        </row>
        <row r="11">
          <cell r="B11" t="str">
            <v>Price</v>
          </cell>
          <cell r="D11" t="str">
            <v>2011E</v>
          </cell>
          <cell r="E11" t="str">
            <v>2012E</v>
          </cell>
          <cell r="F11" t="str">
            <v>2011E</v>
          </cell>
          <cell r="G11" t="str">
            <v>2012E</v>
          </cell>
          <cell r="H11" t="str">
            <v>2011E</v>
          </cell>
          <cell r="I11" t="str">
            <v>2012E</v>
          </cell>
          <cell r="J11" t="str">
            <v>2011E</v>
          </cell>
          <cell r="K11" t="str">
            <v>2012E</v>
          </cell>
          <cell r="M11" t="str">
            <v>Equity Value</v>
          </cell>
        </row>
        <row r="13">
          <cell r="B13">
            <v>57</v>
          </cell>
          <cell r="C13">
            <v>6698.5550000000003</v>
          </cell>
          <cell r="D13">
            <v>15.996854865286977</v>
          </cell>
          <cell r="E13">
            <v>15.418116742623027</v>
          </cell>
          <cell r="F13">
            <v>0.13328366981525649</v>
          </cell>
          <cell r="G13">
            <v>0.12556450059253438</v>
          </cell>
          <cell r="H13">
            <v>24.300438276270931</v>
          </cell>
          <cell r="I13">
            <v>22.893070100553299</v>
          </cell>
          <cell r="J13">
            <v>20.850961664609788</v>
          </cell>
          <cell r="K13">
            <v>30.290586494451006</v>
          </cell>
          <cell r="M13">
            <v>5522.616</v>
          </cell>
        </row>
        <row r="14">
          <cell r="B14">
            <v>56</v>
          </cell>
          <cell r="C14">
            <v>6601.6669999999995</v>
          </cell>
          <cell r="D14">
            <v>15.765476116558641</v>
          </cell>
          <cell r="E14">
            <v>15.19510887078212</v>
          </cell>
          <cell r="F14">
            <v>0.13094535981849761</v>
          </cell>
          <cell r="G14">
            <v>0.12336161461722678</v>
          </cell>
          <cell r="H14">
            <v>23.874114797739864</v>
          </cell>
          <cell r="I14">
            <v>22.491437291771661</v>
          </cell>
          <cell r="J14">
            <v>20.485155319616634</v>
          </cell>
          <cell r="K14">
            <v>29.759172696302745</v>
          </cell>
          <cell r="M14">
            <v>5425.7280000000001</v>
          </cell>
        </row>
        <row r="15">
          <cell r="B15">
            <v>55</v>
          </cell>
          <cell r="C15">
            <v>6504.7790000000005</v>
          </cell>
          <cell r="D15">
            <v>15.534097367830309</v>
          </cell>
          <cell r="E15">
            <v>14.972100998941215</v>
          </cell>
          <cell r="F15">
            <v>0.12860704982173873</v>
          </cell>
          <cell r="G15">
            <v>0.12115872864191915</v>
          </cell>
          <cell r="H15">
            <v>23.447791319208793</v>
          </cell>
          <cell r="I15">
            <v>22.089804482990026</v>
          </cell>
          <cell r="J15">
            <v>20.119348974623477</v>
          </cell>
          <cell r="K15">
            <v>29.22775889815448</v>
          </cell>
          <cell r="M15">
            <v>5328.84</v>
          </cell>
        </row>
        <row r="16">
          <cell r="B16">
            <v>54</v>
          </cell>
          <cell r="C16">
            <v>6407.8909999999996</v>
          </cell>
          <cell r="D16">
            <v>15.302718619101974</v>
          </cell>
          <cell r="E16">
            <v>14.749093127100307</v>
          </cell>
          <cell r="F16">
            <v>0.12626873982497985</v>
          </cell>
          <cell r="G16">
            <v>0.11895584266661154</v>
          </cell>
          <cell r="H16">
            <v>23.021467840677726</v>
          </cell>
          <cell r="I16">
            <v>21.688171674208387</v>
          </cell>
          <cell r="J16">
            <v>19.753542629630324</v>
          </cell>
          <cell r="K16">
            <v>28.696345100006219</v>
          </cell>
          <cell r="M16">
            <v>5231.9520000000002</v>
          </cell>
        </row>
        <row r="17">
          <cell r="B17">
            <v>53</v>
          </cell>
          <cell r="C17">
            <v>6311.0030000000006</v>
          </cell>
          <cell r="D17">
            <v>15.071339870373642</v>
          </cell>
          <cell r="E17">
            <v>14.526085255259405</v>
          </cell>
          <cell r="F17">
            <v>0.12393042982822096</v>
          </cell>
          <cell r="G17">
            <v>0.11675295669130391</v>
          </cell>
          <cell r="H17">
            <v>22.595144362146659</v>
          </cell>
          <cell r="I17">
            <v>21.286538865426753</v>
          </cell>
          <cell r="J17">
            <v>19.387736284637171</v>
          </cell>
          <cell r="K17">
            <v>28.164931301857955</v>
          </cell>
          <cell r="M17">
            <v>5135.0640000000003</v>
          </cell>
        </row>
        <row r="18">
          <cell r="B18">
            <v>52</v>
          </cell>
          <cell r="C18">
            <v>6214.1149999999998</v>
          </cell>
          <cell r="D18">
            <v>14.839961121645306</v>
          </cell>
          <cell r="E18">
            <v>14.303077383418497</v>
          </cell>
          <cell r="F18">
            <v>0.12159211983146206</v>
          </cell>
          <cell r="G18">
            <v>0.11455007071599628</v>
          </cell>
          <cell r="H18">
            <v>22.168820883615588</v>
          </cell>
          <cell r="I18">
            <v>20.884906056645114</v>
          </cell>
          <cell r="J18">
            <v>19.021929939644018</v>
          </cell>
          <cell r="K18">
            <v>27.63351750370969</v>
          </cell>
          <cell r="M18">
            <v>5038.1760000000004</v>
          </cell>
        </row>
        <row r="19">
          <cell r="B19">
            <v>51</v>
          </cell>
          <cell r="C19">
            <v>6117.2270000000008</v>
          </cell>
          <cell r="D19">
            <v>14.608582372916974</v>
          </cell>
          <cell r="E19">
            <v>14.080069511577593</v>
          </cell>
          <cell r="F19">
            <v>28.487599017606957</v>
          </cell>
          <cell r="G19">
            <v>26.820134825606011</v>
          </cell>
          <cell r="H19">
            <v>21.742497405084521</v>
          </cell>
          <cell r="I19">
            <v>20.48327324786348</v>
          </cell>
          <cell r="J19">
            <v>23.095950482654587</v>
          </cell>
          <cell r="K19">
            <v>33.551924223898794</v>
          </cell>
          <cell r="M19">
            <v>4941.2880000000005</v>
          </cell>
        </row>
        <row r="20">
          <cell r="B20">
            <v>48</v>
          </cell>
          <cell r="C20">
            <v>5826.5630000000001</v>
          </cell>
          <cell r="D20">
            <v>13.914446126731971</v>
          </cell>
          <cell r="E20">
            <v>13.411045896054874</v>
          </cell>
          <cell r="F20">
            <v>26.811857898924192</v>
          </cell>
          <cell r="G20">
            <v>25.242479835864479</v>
          </cell>
          <cell r="H20">
            <v>20.463526969491312</v>
          </cell>
          <cell r="I20">
            <v>19.278374821518565</v>
          </cell>
          <cell r="J20">
            <v>21.998531447675123</v>
          </cell>
          <cell r="K20">
            <v>31.957682829454001</v>
          </cell>
          <cell r="M20">
            <v>4650.6239999999998</v>
          </cell>
        </row>
        <row r="21">
          <cell r="B21">
            <v>46</v>
          </cell>
          <cell r="C21">
            <v>5632.7870000000003</v>
          </cell>
          <cell r="D21">
            <v>13.451688629275305</v>
          </cell>
          <cell r="E21">
            <v>12.965030152373062</v>
          </cell>
          <cell r="F21">
            <v>25.694697153135685</v>
          </cell>
          <cell r="G21">
            <v>24.190709842703459</v>
          </cell>
          <cell r="H21">
            <v>19.610880012429174</v>
          </cell>
          <cell r="I21">
            <v>18.475109203955292</v>
          </cell>
          <cell r="J21">
            <v>21.266918757688813</v>
          </cell>
          <cell r="K21">
            <v>30.894855233157475</v>
          </cell>
          <cell r="M21">
            <v>4456.848</v>
          </cell>
        </row>
        <row r="22">
          <cell r="B22">
            <v>44</v>
          </cell>
          <cell r="C22">
            <v>5439.0110000000004</v>
          </cell>
          <cell r="D22">
            <v>12.988931131818637</v>
          </cell>
          <cell r="E22">
            <v>12.51901440869125</v>
          </cell>
          <cell r="F22">
            <v>24.577536407347175</v>
          </cell>
          <cell r="G22">
            <v>23.138939849542439</v>
          </cell>
          <cell r="H22">
            <v>18.758233055367036</v>
          </cell>
          <cell r="I22">
            <v>17.671843586392018</v>
          </cell>
          <cell r="J22">
            <v>20.535306067702507</v>
          </cell>
          <cell r="K22">
            <v>29.83202763686095</v>
          </cell>
          <cell r="M22">
            <v>4263.0720000000001</v>
          </cell>
        </row>
        <row r="23">
          <cell r="B23">
            <v>42</v>
          </cell>
          <cell r="C23">
            <v>5245.2350000000006</v>
          </cell>
          <cell r="D23">
            <v>12.526173634361969</v>
          </cell>
          <cell r="E23">
            <v>12.07299866500944</v>
          </cell>
          <cell r="F23">
            <v>23.460375661558668</v>
          </cell>
          <cell r="G23">
            <v>22.087169856381422</v>
          </cell>
          <cell r="H23">
            <v>17.905586098304898</v>
          </cell>
          <cell r="I23">
            <v>16.868577968828749</v>
          </cell>
          <cell r="J23">
            <v>19.803693377716201</v>
          </cell>
          <cell r="K23">
            <v>28.769200040564424</v>
          </cell>
          <cell r="M23">
            <v>4069.2960000000003</v>
          </cell>
        </row>
        <row r="24">
          <cell r="B24">
            <v>40</v>
          </cell>
          <cell r="C24">
            <v>5051.4590000000007</v>
          </cell>
          <cell r="D24">
            <v>12.063416136905301</v>
          </cell>
          <cell r="E24">
            <v>11.626982921327627</v>
          </cell>
          <cell r="F24">
            <v>22.343214915770162</v>
          </cell>
          <cell r="G24">
            <v>21.035399863220402</v>
          </cell>
          <cell r="H24">
            <v>17.05293914124276</v>
          </cell>
          <cell r="I24">
            <v>16.065312351265476</v>
          </cell>
          <cell r="J24">
            <v>19.072080687729891</v>
          </cell>
          <cell r="K24">
            <v>27.706372444267899</v>
          </cell>
          <cell r="M24">
            <v>3875.5200000000004</v>
          </cell>
        </row>
        <row r="25">
          <cell r="B25">
            <v>38</v>
          </cell>
          <cell r="C25">
            <v>4857.683</v>
          </cell>
          <cell r="D25">
            <v>11.600658639448632</v>
          </cell>
          <cell r="E25">
            <v>11.180967177645813</v>
          </cell>
          <cell r="F25">
            <v>21.226054169981651</v>
          </cell>
          <cell r="G25">
            <v>19.983629870059382</v>
          </cell>
          <cell r="H25">
            <v>16.200292184180622</v>
          </cell>
          <cell r="I25">
            <v>15.262046733702199</v>
          </cell>
          <cell r="J25">
            <v>18.34046799774358</v>
          </cell>
          <cell r="K25">
            <v>26.64354484797137</v>
          </cell>
          <cell r="M25">
            <v>3681.7440000000001</v>
          </cell>
        </row>
        <row r="26">
          <cell r="B26">
            <v>36</v>
          </cell>
          <cell r="C26">
            <v>4663.9070000000002</v>
          </cell>
          <cell r="D26">
            <v>11.137901141991964</v>
          </cell>
          <cell r="E26">
            <v>10.734951433964001</v>
          </cell>
          <cell r="F26">
            <v>20.108893424193145</v>
          </cell>
          <cell r="G26">
            <v>18.931859876898361</v>
          </cell>
          <cell r="H26">
            <v>15.347645227118484</v>
          </cell>
          <cell r="I26">
            <v>14.458781116138926</v>
          </cell>
          <cell r="J26">
            <v>17.608855307757274</v>
          </cell>
          <cell r="K26">
            <v>25.580717251674844</v>
          </cell>
          <cell r="M26">
            <v>3487.9680000000003</v>
          </cell>
        </row>
        <row r="27">
          <cell r="B27">
            <v>34</v>
          </cell>
          <cell r="C27">
            <v>4470.1309999999994</v>
          </cell>
          <cell r="D27">
            <v>10.675143644535295</v>
          </cell>
          <cell r="E27">
            <v>10.288935690282189</v>
          </cell>
          <cell r="F27">
            <v>18.991732678404635</v>
          </cell>
          <cell r="G27">
            <v>17.880089883737341</v>
          </cell>
          <cell r="H27">
            <v>14.494998270056346</v>
          </cell>
          <cell r="I27">
            <v>13.655515498575651</v>
          </cell>
          <cell r="J27">
            <v>16.87724261777096</v>
          </cell>
          <cell r="K27">
            <v>24.517889655378312</v>
          </cell>
          <cell r="M27">
            <v>3294.192</v>
          </cell>
        </row>
        <row r="28">
          <cell r="B28">
            <v>32</v>
          </cell>
          <cell r="C28">
            <v>4276.3549999999996</v>
          </cell>
          <cell r="D28">
            <v>10.212386147078627</v>
          </cell>
          <cell r="E28">
            <v>9.8429199466003769</v>
          </cell>
          <cell r="F28">
            <v>17.874571932616128</v>
          </cell>
          <cell r="G28">
            <v>16.828319890576321</v>
          </cell>
          <cell r="H28">
            <v>13.642351312994208</v>
          </cell>
          <cell r="I28">
            <v>12.852249881012378</v>
          </cell>
          <cell r="J28">
            <v>16.145629927784654</v>
          </cell>
          <cell r="K28">
            <v>23.455062059081786</v>
          </cell>
          <cell r="M28">
            <v>3100.4160000000002</v>
          </cell>
        </row>
        <row r="29">
          <cell r="B29">
            <v>30</v>
          </cell>
          <cell r="C29">
            <v>4082.5790000000002</v>
          </cell>
          <cell r="D29">
            <v>9.7496286496219611</v>
          </cell>
          <cell r="E29">
            <v>9.3969042029185665</v>
          </cell>
          <cell r="F29">
            <v>16.757411186827621</v>
          </cell>
          <cell r="G29">
            <v>15.776549897415302</v>
          </cell>
          <cell r="H29">
            <v>12.789704355932072</v>
          </cell>
          <cell r="I29">
            <v>12.048984263449105</v>
          </cell>
          <cell r="J29">
            <v>15.414017237798348</v>
          </cell>
          <cell r="K29">
            <v>22.392234462785265</v>
          </cell>
          <cell r="M29">
            <v>2906.6400000000003</v>
          </cell>
        </row>
        <row r="30">
          <cell r="B30">
            <v>25</v>
          </cell>
          <cell r="C30">
            <v>3598.1390000000001</v>
          </cell>
          <cell r="D30">
            <v>8.5927349059802918</v>
          </cell>
          <cell r="E30">
            <v>8.2818648437140361</v>
          </cell>
          <cell r="F30">
            <v>13.964509322356351</v>
          </cell>
          <cell r="G30">
            <v>13.147124914512752</v>
          </cell>
          <cell r="H30">
            <v>10.658086963276725</v>
          </cell>
          <cell r="I30">
            <v>10.040820219540921</v>
          </cell>
          <cell r="J30">
            <v>13.584985512832578</v>
          </cell>
          <cell r="K30">
            <v>19.735165472043946</v>
          </cell>
          <cell r="M30">
            <v>2422.2000000000003</v>
          </cell>
        </row>
        <row r="31">
          <cell r="B31">
            <v>24</v>
          </cell>
          <cell r="C31">
            <v>3501.2509999999997</v>
          </cell>
          <cell r="D31">
            <v>8.3613561572519579</v>
          </cell>
          <cell r="E31">
            <v>8.05885697187313</v>
          </cell>
          <cell r="F31">
            <v>10.231763484745656</v>
          </cell>
          <cell r="G31">
            <v>9.6391874107592823</v>
          </cell>
          <cell r="H31">
            <v>8.7793522798356989</v>
          </cell>
          <cell r="I31">
            <v>12.753931155558318</v>
          </cell>
          <cell r="K31">
            <v>2325.3119999999999</v>
          </cell>
        </row>
        <row r="32">
          <cell r="B32">
            <v>23</v>
          </cell>
          <cell r="C32">
            <v>3404.3629999999998</v>
          </cell>
          <cell r="D32">
            <v>8.129977408523624</v>
          </cell>
          <cell r="E32">
            <v>7.8358491000322239</v>
          </cell>
          <cell r="F32">
            <v>9.805440006214587</v>
          </cell>
          <cell r="G32">
            <v>9.2375546019776458</v>
          </cell>
          <cell r="H32">
            <v>8.4135459348425456</v>
          </cell>
          <cell r="I32">
            <v>12.222517357410055</v>
          </cell>
          <cell r="K32">
            <v>2228.424</v>
          </cell>
        </row>
        <row r="33">
          <cell r="B33">
            <v>22</v>
          </cell>
          <cell r="C33">
            <v>3307.4749999999999</v>
          </cell>
          <cell r="D33">
            <v>7.8985986597952902</v>
          </cell>
          <cell r="E33">
            <v>7.6128412281913178</v>
          </cell>
          <cell r="F33">
            <v>9.379116527683518</v>
          </cell>
          <cell r="G33">
            <v>8.8359217931960092</v>
          </cell>
          <cell r="H33">
            <v>8.0477395898493924</v>
          </cell>
          <cell r="I33">
            <v>11.691103559261792</v>
          </cell>
          <cell r="K33">
            <v>2131.5360000000001</v>
          </cell>
        </row>
        <row r="34">
          <cell r="B34">
            <v>21</v>
          </cell>
          <cell r="C34">
            <v>3210.587</v>
          </cell>
          <cell r="D34">
            <v>7.6672199110669563</v>
          </cell>
          <cell r="E34">
            <v>7.3898333563504126</v>
          </cell>
          <cell r="F34">
            <v>8.952793049152449</v>
          </cell>
          <cell r="G34">
            <v>8.4342889844143745</v>
          </cell>
          <cell r="H34">
            <v>7.6819332448562374</v>
          </cell>
          <cell r="I34">
            <v>11.15968976111353</v>
          </cell>
          <cell r="K34">
            <v>2034.6480000000001</v>
          </cell>
        </row>
        <row r="35">
          <cell r="B35">
            <v>20</v>
          </cell>
          <cell r="C35">
            <v>3113.6990000000001</v>
          </cell>
          <cell r="D35">
            <v>7.4358411623386225</v>
          </cell>
          <cell r="E35">
            <v>7.1668254845095065</v>
          </cell>
          <cell r="F35">
            <v>8.52646957062138</v>
          </cell>
          <cell r="G35">
            <v>8.0326561756327379</v>
          </cell>
          <cell r="H35">
            <v>7.3161268998630842</v>
          </cell>
          <cell r="I35">
            <v>10.628275962965267</v>
          </cell>
          <cell r="K35">
            <v>1937.7600000000002</v>
          </cell>
        </row>
        <row r="38">
          <cell r="D38" t="str">
            <v>Implied Multiple</v>
          </cell>
          <cell r="H38" t="str">
            <v>Implied Share Price</v>
          </cell>
        </row>
        <row r="39">
          <cell r="B39" t="str">
            <v>Input share price</v>
          </cell>
          <cell r="D39">
            <v>2010</v>
          </cell>
          <cell r="E39">
            <v>2011</v>
          </cell>
          <cell r="F39" t="str">
            <v>Input Multiple</v>
          </cell>
          <cell r="H39">
            <v>2010</v>
          </cell>
          <cell r="I39">
            <v>2011</v>
          </cell>
        </row>
        <row r="40">
          <cell r="B40">
            <v>32.25</v>
          </cell>
          <cell r="D40">
            <v>10.270230834260714</v>
          </cell>
          <cell r="E40">
            <v>9.8986719145606052</v>
          </cell>
          <cell r="F40">
            <v>15</v>
          </cell>
          <cell r="H40">
            <v>64.82877136487491</v>
          </cell>
          <cell r="I40">
            <v>67.262199653207816</v>
          </cell>
        </row>
      </sheetData>
      <sheetData sheetId="20" refreshError="1"/>
      <sheetData sheetId="21" refreshError="1">
        <row r="2">
          <cell r="B2" t="str">
            <v>Metric Definition &amp; Tagging Guidance</v>
          </cell>
        </row>
        <row r="3">
          <cell r="B3" t="str">
            <v>Free cash flow from operations (FCFO) for DCF : "Free cash flow from operations (FCFO) for DCF" measures the cash flows generated from (or used by) the company's operating business, disregarding any cash flows related to financing and nonoperating activit</v>
          </cell>
        </row>
        <row r="5">
          <cell r="B5" t="str">
            <v xml:space="preserve"> </v>
          </cell>
        </row>
        <row r="8">
          <cell r="B8" t="str">
            <v>Year 2015 EBITDA Multiple:</v>
          </cell>
          <cell r="E8">
            <v>9</v>
          </cell>
          <cell r="F8" t="str">
            <v>Disc. Rate:</v>
          </cell>
          <cell r="G8">
            <v>9.1903626255810555E-2</v>
          </cell>
          <cell r="H8" t="str">
            <v>FCF Growth:</v>
          </cell>
          <cell r="I8">
            <v>2.4184406974347906E-2</v>
          </cell>
        </row>
        <row r="10">
          <cell r="C10" t="str">
            <v>2009</v>
          </cell>
          <cell r="D10" t="str">
            <v>2010</v>
          </cell>
          <cell r="E10" t="str">
            <v>2011E</v>
          </cell>
          <cell r="F10" t="str">
            <v>2012E</v>
          </cell>
          <cell r="G10" t="str">
            <v>2013E</v>
          </cell>
          <cell r="H10" t="str">
            <v>2014E</v>
          </cell>
          <cell r="I10" t="str">
            <v>2015E</v>
          </cell>
        </row>
        <row r="12">
          <cell r="B12" t="str">
            <v>Operating revenue</v>
          </cell>
          <cell r="C12">
            <v>442.94799999999998</v>
          </cell>
          <cell r="D12">
            <v>662.90100000000007</v>
          </cell>
          <cell r="E12">
            <v>900.94100000000003</v>
          </cell>
          <cell r="F12">
            <v>950.14100000000008</v>
          </cell>
          <cell r="G12">
            <v>1035.6669999999999</v>
          </cell>
          <cell r="H12">
            <v>996.70500000000004</v>
          </cell>
          <cell r="I12">
            <v>1075.01</v>
          </cell>
        </row>
        <row r="13">
          <cell r="B13" t="str">
            <v>-  Operating expense</v>
          </cell>
          <cell r="C13">
            <v>254.44499999999999</v>
          </cell>
          <cell r="D13">
            <v>418.97200000000004</v>
          </cell>
          <cell r="E13">
            <v>493.71299999999997</v>
          </cell>
          <cell r="F13">
            <v>525.00300000000004</v>
          </cell>
          <cell r="G13">
            <v>585.11200000000008</v>
          </cell>
          <cell r="H13">
            <v>587.92599999999993</v>
          </cell>
          <cell r="I13">
            <v>593.31600000000003</v>
          </cell>
        </row>
        <row r="14">
          <cell r="B14" t="str">
            <v>-  Depreciation</v>
          </cell>
          <cell r="C14">
            <v>37.511000000000003</v>
          </cell>
          <cell r="D14">
            <v>59.012</v>
          </cell>
          <cell r="E14">
            <v>85.22999999999999</v>
          </cell>
          <cell r="F14">
            <v>81.99799999999999</v>
          </cell>
          <cell r="G14">
            <v>80.504999999999995</v>
          </cell>
          <cell r="H14">
            <v>71.588000000000008</v>
          </cell>
          <cell r="I14">
            <v>77.798999999999992</v>
          </cell>
        </row>
        <row r="15">
          <cell r="B15" t="str">
            <v>Pretax operating profit</v>
          </cell>
          <cell r="C15">
            <v>150.99199999999999</v>
          </cell>
          <cell r="D15">
            <v>184.91700000000003</v>
          </cell>
          <cell r="E15">
            <v>321.99800000000005</v>
          </cell>
          <cell r="F15">
            <v>343.14000000000004</v>
          </cell>
          <cell r="G15">
            <v>370.04999999999984</v>
          </cell>
          <cell r="H15">
            <v>337.19100000000009</v>
          </cell>
          <cell r="I15">
            <v>403.89499999999998</v>
          </cell>
        </row>
        <row r="16">
          <cell r="B16" t="str">
            <v xml:space="preserve">   - Tax expense from operations</v>
          </cell>
          <cell r="C16">
            <v>57.225967999999995</v>
          </cell>
          <cell r="D16">
            <v>71.119078200000004</v>
          </cell>
          <cell r="E16">
            <v>109.96654714080168</v>
          </cell>
          <cell r="F16">
            <v>124.69680258734181</v>
          </cell>
          <cell r="G16">
            <v>131.76234430199554</v>
          </cell>
          <cell r="H16">
            <v>119.62312805362512</v>
          </cell>
          <cell r="I16">
            <v>138.09691524269707</v>
          </cell>
        </row>
        <row r="17">
          <cell r="B17" t="str">
            <v>Net operating profit after tax (NOPAT)</v>
          </cell>
          <cell r="C17">
            <v>93.766031999999996</v>
          </cell>
          <cell r="D17">
            <v>113.79792180000003</v>
          </cell>
          <cell r="E17">
            <v>212.03145285919837</v>
          </cell>
          <cell r="F17">
            <v>218.44319741265824</v>
          </cell>
          <cell r="G17">
            <v>238.2876556980043</v>
          </cell>
          <cell r="H17">
            <v>217.56787194637496</v>
          </cell>
          <cell r="I17">
            <v>265.79808475730295</v>
          </cell>
        </row>
        <row r="19">
          <cell r="B19" t="str">
            <v>Change in net operating assets</v>
          </cell>
          <cell r="L19" t="str">
            <v>Acquired Amount</v>
          </cell>
        </row>
        <row r="20">
          <cell r="B20" t="str">
            <v>+  Decr (Incr) in accounts receivables</v>
          </cell>
          <cell r="C20">
            <v>8.5429999999999922</v>
          </cell>
          <cell r="D20">
            <v>-36.138999999999996</v>
          </cell>
          <cell r="E20">
            <v>-32.903999999999996</v>
          </cell>
          <cell r="F20">
            <v>27.009000000000015</v>
          </cell>
          <cell r="G20">
            <v>-15.933000000000021</v>
          </cell>
          <cell r="H20">
            <v>-9.2270000000000039</v>
          </cell>
          <cell r="I20">
            <v>-29.521999999999991</v>
          </cell>
          <cell r="L20">
            <v>34.343000000000004</v>
          </cell>
        </row>
        <row r="21">
          <cell r="B21" t="str">
            <v>+  Decr (Incr) due from related parties</v>
          </cell>
          <cell r="C21">
            <v>1.7649999999999999</v>
          </cell>
          <cell r="D21">
            <v>0</v>
          </cell>
          <cell r="E21">
            <v>0</v>
          </cell>
          <cell r="F21">
            <v>0</v>
          </cell>
          <cell r="G21">
            <v>0</v>
          </cell>
          <cell r="H21">
            <v>0</v>
          </cell>
          <cell r="I21">
            <v>0</v>
          </cell>
        </row>
        <row r="22">
          <cell r="B22" t="str">
            <v>+  Decr (Incr) in prepaid expenses</v>
          </cell>
          <cell r="C22">
            <v>-11.298999999999999</v>
          </cell>
          <cell r="D22">
            <v>22.413000000000004</v>
          </cell>
          <cell r="E22">
            <v>-23.380000000000003</v>
          </cell>
          <cell r="F22">
            <v>6.2050000000000054</v>
          </cell>
          <cell r="G22">
            <v>1.2959999999999994</v>
          </cell>
          <cell r="H22">
            <v>-4.6839999999999975</v>
          </cell>
          <cell r="I22">
            <v>-16.418999999999997</v>
          </cell>
          <cell r="L22">
            <v>33.358000000000004</v>
          </cell>
        </row>
        <row r="23">
          <cell r="B23" t="str">
            <v>+  Decr (Incr) in other assets</v>
          </cell>
          <cell r="C23">
            <v>0.2240000000000002</v>
          </cell>
          <cell r="D23">
            <v>-17.233000000000004</v>
          </cell>
          <cell r="E23">
            <v>5.6300000000000026</v>
          </cell>
          <cell r="F23">
            <v>11.062999999999999</v>
          </cell>
          <cell r="G23">
            <v>-4.4849999999999994</v>
          </cell>
          <cell r="H23">
            <v>-13.551000000000002</v>
          </cell>
          <cell r="I23">
            <v>3.2580000000000027</v>
          </cell>
          <cell r="L23">
            <v>5.7690000000000001</v>
          </cell>
        </row>
        <row r="24">
          <cell r="B24" t="str">
            <v>+  Incr (decr) in payables</v>
          </cell>
          <cell r="C24">
            <v>-34.013999999999996</v>
          </cell>
          <cell r="D24">
            <v>-3.5720000000000001</v>
          </cell>
          <cell r="E24">
            <v>-1.923</v>
          </cell>
          <cell r="F24">
            <v>2.746</v>
          </cell>
          <cell r="G24">
            <v>-1.7869999999999999</v>
          </cell>
          <cell r="H24">
            <v>1.637</v>
          </cell>
          <cell r="I24">
            <v>-0.32299999999999995</v>
          </cell>
          <cell r="L24">
            <v>-3.8559999999999999</v>
          </cell>
        </row>
        <row r="25">
          <cell r="B25" t="str">
            <v>+  Incr (decr) in accrued expenses</v>
          </cell>
          <cell r="C25">
            <v>7.1849999999999916</v>
          </cell>
          <cell r="D25">
            <v>19.559000000000005</v>
          </cell>
          <cell r="E25">
            <v>14.463999999999984</v>
          </cell>
          <cell r="F25">
            <v>2.8350000000000009</v>
          </cell>
          <cell r="G25">
            <v>6.491000000000021</v>
          </cell>
          <cell r="H25">
            <v>-3.034000000000006</v>
          </cell>
          <cell r="I25">
            <v>18.749999999999993</v>
          </cell>
          <cell r="L25">
            <v>-23.396999999999998</v>
          </cell>
        </row>
        <row r="26">
          <cell r="B26" t="str">
            <v>+  Incr (decr) in deferred revenue</v>
          </cell>
          <cell r="C26">
            <v>8.2329999999999757</v>
          </cell>
          <cell r="D26">
            <v>3.8920000000000243</v>
          </cell>
          <cell r="E26">
            <v>17.916999999999973</v>
          </cell>
          <cell r="F26">
            <v>18.805000000000007</v>
          </cell>
          <cell r="G26">
            <v>11.713000000000022</v>
          </cell>
          <cell r="H26">
            <v>-8.9600000000000364</v>
          </cell>
          <cell r="I26">
            <v>6.7770000000000437</v>
          </cell>
          <cell r="L26">
            <v>-114.464</v>
          </cell>
        </row>
        <row r="27">
          <cell r="B27" t="str">
            <v>+  Incr (decr) in other liabilities</v>
          </cell>
          <cell r="C27">
            <v>14.511999999999999</v>
          </cell>
          <cell r="D27">
            <v>-13.815999999999999</v>
          </cell>
          <cell r="E27">
            <v>0.45499999999999829</v>
          </cell>
          <cell r="F27">
            <v>10.84</v>
          </cell>
          <cell r="G27">
            <v>7.472999999999999</v>
          </cell>
          <cell r="H27">
            <v>4.5240000000000009</v>
          </cell>
          <cell r="I27">
            <v>6.4510000000000005</v>
          </cell>
          <cell r="L27">
            <v>-18.105</v>
          </cell>
        </row>
        <row r="28">
          <cell r="B28" t="str">
            <v>+ Change in tax accruals</v>
          </cell>
          <cell r="C28">
            <v>-15.271000000000001</v>
          </cell>
          <cell r="D28">
            <v>-69.260999999999996</v>
          </cell>
          <cell r="E28">
            <v>6.3710000000000093</v>
          </cell>
          <cell r="F28">
            <v>-14.810999999999979</v>
          </cell>
          <cell r="G28">
            <v>-16.526999999999987</v>
          </cell>
          <cell r="H28">
            <v>-52.537000000000006</v>
          </cell>
          <cell r="I28">
            <v>-4.6920000000000073</v>
          </cell>
          <cell r="L28">
            <v>-246.89099999999999</v>
          </cell>
        </row>
        <row r="29">
          <cell r="B29" t="str">
            <v>+ Add back noncash portion of one-time items</v>
          </cell>
          <cell r="C29">
            <v>0.67100000000000004</v>
          </cell>
          <cell r="D29">
            <v>0</v>
          </cell>
          <cell r="E29">
            <v>0</v>
          </cell>
          <cell r="F29">
            <v>0</v>
          </cell>
          <cell r="G29">
            <v>0</v>
          </cell>
          <cell r="H29">
            <v>-84.62</v>
          </cell>
          <cell r="I29">
            <v>0</v>
          </cell>
        </row>
        <row r="30">
          <cell r="B30" t="str">
            <v>+ Founders Grant and one-time items</v>
          </cell>
          <cell r="C30">
            <v>0</v>
          </cell>
          <cell r="D30">
            <v>0</v>
          </cell>
          <cell r="E30">
            <v>0</v>
          </cell>
          <cell r="F30">
            <v>0</v>
          </cell>
          <cell r="G30">
            <v>0</v>
          </cell>
          <cell r="H30">
            <v>0</v>
          </cell>
          <cell r="I30">
            <v>0</v>
          </cell>
        </row>
        <row r="31">
          <cell r="B31" t="str">
            <v>Decr (incr) in cash required for operations</v>
          </cell>
          <cell r="C31">
            <v>-19.451000000000043</v>
          </cell>
          <cell r="D31">
            <v>-94.156999999999968</v>
          </cell>
          <cell r="E31">
            <v>-13.370000000000033</v>
          </cell>
          <cell r="F31">
            <v>64.69200000000005</v>
          </cell>
          <cell r="G31">
            <v>-11.758999999999965</v>
          </cell>
          <cell r="H31">
            <v>-170.45200000000006</v>
          </cell>
          <cell r="I31">
            <v>-15.719999999999956</v>
          </cell>
          <cell r="L31">
            <v>-333.24299999999999</v>
          </cell>
        </row>
        <row r="32">
          <cell r="B32" t="str">
            <v>+ Add back noncash portion of one-time items</v>
          </cell>
          <cell r="C32">
            <v>0.67100000000000004</v>
          </cell>
          <cell r="D32">
            <v>0</v>
          </cell>
          <cell r="E32">
            <v>0</v>
          </cell>
          <cell r="F32">
            <v>0</v>
          </cell>
          <cell r="G32">
            <v>0</v>
          </cell>
          <cell r="H32">
            <v>-84.62</v>
          </cell>
          <cell r="I32">
            <v>0</v>
          </cell>
        </row>
        <row r="33">
          <cell r="B33" t="str">
            <v>Change in PPE, goodwill and intangibles</v>
          </cell>
          <cell r="C33">
            <v>24.783999999999992</v>
          </cell>
          <cell r="D33">
            <v>29.494000000000142</v>
          </cell>
          <cell r="E33">
            <v>66.200000000000159</v>
          </cell>
          <cell r="F33">
            <v>-100.81400000000008</v>
          </cell>
          <cell r="G33">
            <v>11.787000000000035</v>
          </cell>
          <cell r="H33">
            <v>387.50999999999982</v>
          </cell>
          <cell r="I33">
            <v>36.568999999999789</v>
          </cell>
          <cell r="L33">
            <v>1895.5900000000001</v>
          </cell>
        </row>
        <row r="34">
          <cell r="B34" t="str">
            <v>Change in net operating assets</v>
          </cell>
          <cell r="C34">
            <v>4.6619999999999484</v>
          </cell>
          <cell r="D34">
            <v>-64.662999999999826</v>
          </cell>
          <cell r="E34">
            <v>52.830000000000126</v>
          </cell>
          <cell r="F34">
            <v>-36.122000000000028</v>
          </cell>
          <cell r="G34">
            <v>2.8000000000069747E-2</v>
          </cell>
          <cell r="H34">
            <v>301.67799999999977</v>
          </cell>
          <cell r="I34">
            <v>20.848999999999833</v>
          </cell>
          <cell r="L34">
            <v>1562.3470000000002</v>
          </cell>
        </row>
        <row r="36">
          <cell r="B36" t="str">
            <v>Free cash flow from operations</v>
          </cell>
          <cell r="C36">
            <v>98.428031999999945</v>
          </cell>
          <cell r="D36">
            <v>49.1349218000002</v>
          </cell>
          <cell r="E36">
            <v>264.86145285919849</v>
          </cell>
          <cell r="F36">
            <v>182.32119741265819</v>
          </cell>
          <cell r="G36">
            <v>238.31565569800438</v>
          </cell>
          <cell r="H36">
            <v>519.24587194637479</v>
          </cell>
          <cell r="I36">
            <v>286.64708475730276</v>
          </cell>
        </row>
        <row r="37">
          <cell r="B37" t="str">
            <v xml:space="preserve">  Year-over-Year Growth</v>
          </cell>
          <cell r="E37" t="str">
            <v>NM</v>
          </cell>
          <cell r="F37">
            <v>-0.31163559119498996</v>
          </cell>
          <cell r="G37">
            <v>0.30711984717065377</v>
          </cell>
          <cell r="H37">
            <v>1.1788156150528675</v>
          </cell>
          <cell r="I37">
            <v>-0.44795500504834773</v>
          </cell>
        </row>
        <row r="39">
          <cell r="B39" t="str">
            <v>Value of Modeled Cash Flows</v>
          </cell>
          <cell r="C39">
            <v>1078.5370424898986</v>
          </cell>
          <cell r="D39">
            <v>1128.5235859459376</v>
          </cell>
          <cell r="E39">
            <v>967.37754295038178</v>
          </cell>
          <cell r="F39">
            <v>873.96184969329988</v>
          </cell>
          <cell r="G39">
            <v>715.9664571913454</v>
          </cell>
          <cell r="H39">
            <v>262.52049893838085</v>
          </cell>
          <cell r="I39">
            <v>0</v>
          </cell>
        </row>
        <row r="40">
          <cell r="B40" t="str">
            <v>Terminal Value</v>
          </cell>
          <cell r="C40">
            <v>2558.0433287153278</v>
          </cell>
          <cell r="D40">
            <v>2793.1367867437511</v>
          </cell>
          <cell r="E40">
            <v>3049.8361860740047</v>
          </cell>
          <cell r="F40">
            <v>3330.1271910603969</v>
          </cell>
          <cell r="G40">
            <v>3636.1779558119238</v>
          </cell>
          <cell r="H40">
            <v>3970.3558956624802</v>
          </cell>
          <cell r="I40">
            <v>4335.2459999999992</v>
          </cell>
        </row>
        <row r="42">
          <cell r="C42" t="str">
            <v xml:space="preserve">_______ </v>
          </cell>
          <cell r="D42" t="str">
            <v xml:space="preserve">_______ </v>
          </cell>
          <cell r="E42" t="str">
            <v xml:space="preserve">_______ </v>
          </cell>
          <cell r="F42" t="str">
            <v xml:space="preserve">_______ </v>
          </cell>
          <cell r="G42" t="str">
            <v xml:space="preserve">_______ </v>
          </cell>
          <cell r="H42" t="str">
            <v xml:space="preserve">_______ </v>
          </cell>
          <cell r="I42" t="str">
            <v xml:space="preserve">_______ </v>
          </cell>
        </row>
        <row r="43">
          <cell r="B43" t="str">
            <v>Enterprise Value</v>
          </cell>
          <cell r="C43">
            <v>3636.5803712052266</v>
          </cell>
          <cell r="D43">
            <v>3921.6603726896888</v>
          </cell>
          <cell r="E43">
            <v>4017.2137290243863</v>
          </cell>
          <cell r="F43">
            <v>4204.0890407536972</v>
          </cell>
          <cell r="G43">
            <v>4352.1444130032687</v>
          </cell>
          <cell r="H43">
            <v>4232.8763946008612</v>
          </cell>
          <cell r="I43">
            <v>4335.2459999999992</v>
          </cell>
        </row>
        <row r="45">
          <cell r="B45" t="str">
            <v>Projected Year-end Cash</v>
          </cell>
          <cell r="C45">
            <v>471.32800000000009</v>
          </cell>
          <cell r="D45">
            <v>300.46600000000024</v>
          </cell>
          <cell r="E45">
            <v>392.70100000000048</v>
          </cell>
          <cell r="F45">
            <v>254.20700000000053</v>
          </cell>
          <cell r="G45">
            <v>358.43400000000042</v>
          </cell>
          <cell r="H45">
            <v>508.83100000000047</v>
          </cell>
          <cell r="I45">
            <v>777.73500000000024</v>
          </cell>
        </row>
        <row r="46">
          <cell r="B46" t="str">
            <v>Projected Year-end Debt &amp; Pref.</v>
          </cell>
          <cell r="C46">
            <v>-379.71000000000004</v>
          </cell>
          <cell r="D46">
            <v>-1262.797</v>
          </cell>
          <cell r="E46">
            <v>-1076.8869999999999</v>
          </cell>
          <cell r="F46">
            <v>-854.71600000000001</v>
          </cell>
          <cell r="G46">
            <v>-807.78200000000004</v>
          </cell>
          <cell r="H46">
            <v>-800</v>
          </cell>
          <cell r="I46">
            <v>-1579.404</v>
          </cell>
        </row>
        <row r="47">
          <cell r="B47" t="str">
            <v>Options Proceeds</v>
          </cell>
          <cell r="D47">
            <v>22.503819999999997</v>
          </cell>
          <cell r="E47">
            <v>22.503819999999997</v>
          </cell>
          <cell r="F47">
            <v>22.503819999999997</v>
          </cell>
          <cell r="G47">
            <v>22.503819999999997</v>
          </cell>
          <cell r="H47">
            <v>22.503819999999997</v>
          </cell>
          <cell r="I47">
            <v>22.503819999999997</v>
          </cell>
        </row>
        <row r="48">
          <cell r="C48" t="str">
            <v xml:space="preserve">_______ </v>
          </cell>
          <cell r="D48" t="str">
            <v xml:space="preserve">_______ </v>
          </cell>
          <cell r="E48" t="str">
            <v xml:space="preserve">_______ </v>
          </cell>
          <cell r="F48" t="str">
            <v xml:space="preserve">_______ </v>
          </cell>
          <cell r="G48" t="str">
            <v xml:space="preserve">_______ </v>
          </cell>
          <cell r="H48" t="str">
            <v xml:space="preserve">_______ </v>
          </cell>
          <cell r="I48" t="str">
            <v xml:space="preserve">_______ </v>
          </cell>
        </row>
        <row r="49">
          <cell r="B49" t="str">
            <v>Public Equity Value</v>
          </cell>
          <cell r="C49">
            <v>3728.198371205227</v>
          </cell>
          <cell r="D49">
            <v>2981.8331926896885</v>
          </cell>
          <cell r="E49">
            <v>3355.5315490243875</v>
          </cell>
          <cell r="F49">
            <v>3626.0838607536975</v>
          </cell>
          <cell r="G49">
            <v>3925.3002330032687</v>
          </cell>
          <cell r="H49">
            <v>3964.2112146008612</v>
          </cell>
          <cell r="I49">
            <v>3556.0808199999997</v>
          </cell>
        </row>
        <row r="52">
          <cell r="B52" t="str">
            <v>Fully Diluted Shares</v>
          </cell>
          <cell r="C52">
            <v>101.61675</v>
          </cell>
          <cell r="D52">
            <v>113.357</v>
          </cell>
          <cell r="E52">
            <v>122.27175</v>
          </cell>
          <cell r="F52">
            <v>123.20399999999999</v>
          </cell>
          <cell r="G52">
            <v>121.05650000000001</v>
          </cell>
          <cell r="H52">
            <v>116.706</v>
          </cell>
          <cell r="I52">
            <v>109.87075000000002</v>
          </cell>
        </row>
        <row r="54">
          <cell r="B54" t="str">
            <v>Year-end Value per Share</v>
          </cell>
        </row>
        <row r="55">
          <cell r="B55" t="str">
            <v>Share Price</v>
          </cell>
          <cell r="C55">
            <v>36.688817259017114</v>
          </cell>
          <cell r="D55">
            <v>26.304799815535773</v>
          </cell>
          <cell r="E55">
            <v>27.443228292916292</v>
          </cell>
          <cell r="F55">
            <v>29.431543300166371</v>
          </cell>
          <cell r="G55">
            <v>32.425357027530687</v>
          </cell>
          <cell r="H55">
            <v>33.967501367546326</v>
          </cell>
          <cell r="I55">
            <v>32.366037548665126</v>
          </cell>
        </row>
        <row r="58">
          <cell r="B58" t="str">
            <v>Projected EBITDA</v>
          </cell>
          <cell r="C58">
            <v>227.874</v>
          </cell>
          <cell r="D58">
            <v>307.60300000000007</v>
          </cell>
          <cell r="E58">
            <v>418.74200000000008</v>
          </cell>
          <cell r="F58">
            <v>434.46</v>
          </cell>
          <cell r="G58">
            <v>453.46699999999987</v>
          </cell>
          <cell r="H58">
            <v>408.77900000000011</v>
          </cell>
          <cell r="I58">
            <v>481.69399999999996</v>
          </cell>
          <cell r="J58">
            <v>550.43083434814389</v>
          </cell>
          <cell r="K58">
            <v>613.2671961557628</v>
          </cell>
          <cell r="L58">
            <v>669.2749297603292</v>
          </cell>
        </row>
        <row r="59">
          <cell r="B59" t="str">
            <v xml:space="preserve">  Year-over-year growth</v>
          </cell>
          <cell r="D59">
            <v>0.34988195230697694</v>
          </cell>
          <cell r="E59">
            <v>0.36130661924623619</v>
          </cell>
          <cell r="F59">
            <v>3.7536239498306534E-2</v>
          </cell>
          <cell r="G59">
            <v>4.3748561432582767E-2</v>
          </cell>
          <cell r="H59">
            <v>-9.8547413593491395E-2</v>
          </cell>
          <cell r="I59">
            <v>0.17837266591483369</v>
          </cell>
          <cell r="J59">
            <v>0.14269813273186696</v>
          </cell>
          <cell r="K59">
            <v>0.11415850618549357</v>
          </cell>
          <cell r="L59">
            <v>9.132680494839486E-2</v>
          </cell>
        </row>
        <row r="61">
          <cell r="B61" t="str">
            <v>1-Year Forward EBITDA Multiple</v>
          </cell>
          <cell r="C61">
            <v>11.822317634110284</v>
          </cell>
          <cell r="D61">
            <v>9.3653380188509576</v>
          </cell>
          <cell r="E61">
            <v>9.2464524444698863</v>
          </cell>
          <cell r="F61">
            <v>9.2709922458606648</v>
          </cell>
          <cell r="G61">
            <v>10.646692743519768</v>
          </cell>
          <cell r="H61">
            <v>8.7874800072262929</v>
          </cell>
          <cell r="I61">
            <v>7.8760958316117602</v>
          </cell>
        </row>
        <row r="62">
          <cell r="B62" t="str">
            <v>3-Year Forward EBITDA Growth</v>
          </cell>
          <cell r="C62">
            <v>0.25161887024944507</v>
          </cell>
          <cell r="D62">
            <v>0.12763062903925904</v>
          </cell>
          <cell r="E62">
            <v>-2.9379072195349076E-3</v>
          </cell>
          <cell r="F62">
            <v>2.0800139156871511E-2</v>
          </cell>
          <cell r="G62">
            <v>7.7396067386178435E-2</v>
          </cell>
          <cell r="H62">
            <v>0.14456773502007891</v>
          </cell>
          <cell r="I62">
            <v>0.11569296372905113</v>
          </cell>
        </row>
        <row r="64">
          <cell r="B64" t="str">
            <v>Projected Earnings</v>
          </cell>
          <cell r="C64">
            <v>1.1131778859071442</v>
          </cell>
          <cell r="D64">
            <v>1.35343946778761</v>
          </cell>
          <cell r="E64">
            <v>1.8485794895386709</v>
          </cell>
          <cell r="F64">
            <v>1.9580149371958631</v>
          </cell>
          <cell r="G64">
            <v>2.1624530694345188</v>
          </cell>
          <cell r="H64">
            <v>2.0014052858652156</v>
          </cell>
          <cell r="I64">
            <v>2.3174792095701484</v>
          </cell>
          <cell r="J64">
            <v>2.6102713799702708</v>
          </cell>
          <cell r="K64">
            <v>2.8740983932245827</v>
          </cell>
          <cell r="L64">
            <v>3.1064925575101654</v>
          </cell>
        </row>
        <row r="65">
          <cell r="B65" t="str">
            <v xml:space="preserve">  Year-over-Year Growth</v>
          </cell>
          <cell r="D65">
            <v>0.21583395153836826</v>
          </cell>
          <cell r="E65">
            <v>0.36583832046839748</v>
          </cell>
          <cell r="F65">
            <v>5.9199752175386644E-2</v>
          </cell>
          <cell r="G65">
            <v>0.10441091554257409</v>
          </cell>
          <cell r="H65">
            <v>-7.4474579747257685E-2</v>
          </cell>
          <cell r="I65">
            <v>0.15792599626731407</v>
          </cell>
          <cell r="J65">
            <v>0.12634079701385126</v>
          </cell>
          <cell r="K65">
            <v>0.10107263761108101</v>
          </cell>
          <cell r="L65">
            <v>8.0858110088864815E-2</v>
          </cell>
        </row>
        <row r="67">
          <cell r="B67" t="str">
            <v>1-Year Forward EPS Multiple</v>
          </cell>
          <cell r="C67">
            <v>27.107837573992299</v>
          </cell>
          <cell r="D67">
            <v>14.22973692199753</v>
          </cell>
          <cell r="E67">
            <v>14.015842152981035</v>
          </cell>
          <cell r="F67">
            <v>13.610257589480412</v>
          </cell>
          <cell r="G67">
            <v>16.201294788483121</v>
          </cell>
          <cell r="H67">
            <v>14.657090008521241</v>
          </cell>
          <cell r="I67">
            <v>12.399491408067215</v>
          </cell>
        </row>
        <row r="68">
          <cell r="B68" t="str">
            <v>3-Year Forward Growth</v>
          </cell>
          <cell r="C68">
            <v>0.22212424095222527</v>
          </cell>
          <cell r="D68">
            <v>0.15757767736034989</v>
          </cell>
          <cell r="E68">
            <v>3.433719606135277E-2</v>
          </cell>
          <cell r="F68">
            <v>4.375552883788103E-2</v>
          </cell>
          <cell r="G68">
            <v>7.3716857440750072E-2</v>
          </cell>
          <cell r="H68">
            <v>0.12802041164654399</v>
          </cell>
          <cell r="I68">
            <v>0.10244755405821571</v>
          </cell>
        </row>
        <row r="72">
          <cell r="B72" t="str">
            <v>WACC</v>
          </cell>
        </row>
        <row r="73">
          <cell r="B73" t="str">
            <v>Cost of Debt</v>
          </cell>
          <cell r="E73">
            <v>4.7E-2</v>
          </cell>
          <cell r="I73" t="str">
            <v>Rf</v>
          </cell>
          <cell r="J73">
            <v>0.04</v>
          </cell>
          <cell r="K73" t="str">
            <v>30-YR Treas</v>
          </cell>
        </row>
        <row r="74">
          <cell r="B74" t="str">
            <v>Cost of Equity</v>
          </cell>
          <cell r="E74">
            <v>0.10930000000000001</v>
          </cell>
          <cell r="I74" t="str">
            <v>Mrp</v>
          </cell>
          <cell r="J74">
            <v>5.5E-2</v>
          </cell>
        </row>
        <row r="75">
          <cell r="B75" t="str">
            <v>Debt / Total Capital</v>
          </cell>
          <cell r="E75">
            <v>0.21702063054128562</v>
          </cell>
          <cell r="I75" t="str">
            <v>Equity Beta</v>
          </cell>
          <cell r="J75">
            <v>1.26</v>
          </cell>
        </row>
        <row r="76">
          <cell r="B76" t="str">
            <v>Tax Rate</v>
          </cell>
          <cell r="E76">
            <v>0.38</v>
          </cell>
          <cell r="J76">
            <v>0.10930000000000001</v>
          </cell>
        </row>
        <row r="78">
          <cell r="B78" t="str">
            <v>WACC</v>
          </cell>
          <cell r="E78">
            <v>9.1903626255810555E-2</v>
          </cell>
          <cell r="I78" t="str">
            <v>Debt</v>
          </cell>
          <cell r="J78">
            <v>1117.0309999999999</v>
          </cell>
        </row>
        <row r="79">
          <cell r="I79" t="str">
            <v>Capital</v>
          </cell>
          <cell r="J79">
            <v>5147.11895</v>
          </cell>
          <cell r="L79" t="str">
            <v>Price</v>
          </cell>
          <cell r="M79">
            <v>32.97</v>
          </cell>
        </row>
        <row r="80">
          <cell r="B80" t="str">
            <v>2015 Terminal Multiple</v>
          </cell>
        </row>
        <row r="81">
          <cell r="B81" t="str">
            <v>Bull</v>
          </cell>
          <cell r="E81">
            <v>10</v>
          </cell>
          <cell r="L81" t="str">
            <v>2015 EBITDA</v>
          </cell>
          <cell r="M81">
            <v>481.69399999999996</v>
          </cell>
        </row>
        <row r="82">
          <cell r="B82" t="str">
            <v>Base</v>
          </cell>
          <cell r="E82">
            <v>9</v>
          </cell>
          <cell r="L82" t="str">
            <v>2015 EV/EBITDA</v>
          </cell>
          <cell r="M82">
            <v>8.9999999999999982</v>
          </cell>
        </row>
        <row r="83">
          <cell r="B83" t="str">
            <v>Bear</v>
          </cell>
          <cell r="E83">
            <v>8</v>
          </cell>
        </row>
        <row r="86">
          <cell r="E86" t="str">
            <v>Latest Q</v>
          </cell>
        </row>
        <row r="87">
          <cell r="D87" t="str">
            <v>Date</v>
          </cell>
          <cell r="E87" t="str">
            <v>Shares</v>
          </cell>
          <cell r="G87" t="str">
            <v>Exercise</v>
          </cell>
          <cell r="H87" t="str">
            <v>Proceeds</v>
          </cell>
        </row>
        <row r="88">
          <cell r="B88" t="str">
            <v>Common Stock</v>
          </cell>
          <cell r="D88" t="str">
            <v>24/01/2011</v>
          </cell>
          <cell r="E88">
            <v>119.699741</v>
          </cell>
        </row>
        <row r="89">
          <cell r="B89" t="str">
            <v>Stock options and restricted stock units</v>
          </cell>
          <cell r="D89">
            <v>40512</v>
          </cell>
          <cell r="E89">
            <v>1.2829999999999999</v>
          </cell>
          <cell r="G89">
            <v>17.54</v>
          </cell>
          <cell r="H89">
            <v>22.503819999999997</v>
          </cell>
        </row>
        <row r="90">
          <cell r="E90" t="str">
            <v xml:space="preserve">_______  </v>
          </cell>
          <cell r="H90" t="str">
            <v xml:space="preserve">_______  </v>
          </cell>
        </row>
        <row r="91">
          <cell r="B91" t="str">
            <v>Totals</v>
          </cell>
          <cell r="E91">
            <v>120.982741</v>
          </cell>
          <cell r="H91">
            <v>22.503819999999997</v>
          </cell>
        </row>
        <row r="96">
          <cell r="C96" t="str">
            <v>2008</v>
          </cell>
          <cell r="D96">
            <v>2009</v>
          </cell>
          <cell r="E96" t="str">
            <v>2010E</v>
          </cell>
          <cell r="F96" t="str">
            <v>2011E</v>
          </cell>
          <cell r="G96" t="str">
            <v>2012E</v>
          </cell>
          <cell r="H96" t="str">
            <v>2013E</v>
          </cell>
          <cell r="I96" t="str">
            <v>2014E</v>
          </cell>
          <cell r="J96" t="str">
            <v>2015E</v>
          </cell>
        </row>
        <row r="97">
          <cell r="B97" t="str">
            <v>NOL Usage times Tax Rate</v>
          </cell>
          <cell r="C97">
            <v>0</v>
          </cell>
          <cell r="D97">
            <v>0</v>
          </cell>
          <cell r="E97">
            <v>0</v>
          </cell>
          <cell r="F97">
            <v>0</v>
          </cell>
          <cell r="G97">
            <v>0</v>
          </cell>
          <cell r="H97">
            <v>0</v>
          </cell>
          <cell r="I97">
            <v>0</v>
          </cell>
          <cell r="J97">
            <v>0</v>
          </cell>
        </row>
        <row r="98">
          <cell r="B98" t="str">
            <v>Discounted Value</v>
          </cell>
          <cell r="C98">
            <v>0</v>
          </cell>
          <cell r="D98">
            <v>0</v>
          </cell>
          <cell r="E98">
            <v>0</v>
          </cell>
          <cell r="F98">
            <v>0</v>
          </cell>
          <cell r="G98">
            <v>0</v>
          </cell>
          <cell r="H98">
            <v>0</v>
          </cell>
          <cell r="I98">
            <v>0</v>
          </cell>
          <cell r="J98">
            <v>0</v>
          </cell>
        </row>
        <row r="99">
          <cell r="B99" t="str">
            <v xml:space="preserve">  Discount Rate</v>
          </cell>
          <cell r="C99">
            <v>9.1903626255810555E-2</v>
          </cell>
        </row>
      </sheetData>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ck Pick"/>
      <sheetName val="Data"/>
      <sheetName val="USD Price"/>
      <sheetName val="NPL to Total Loan"/>
      <sheetName val="LLR to NPL"/>
      <sheetName val="PB 06 vs ROE 06"/>
      <sheetName val="PB 07 vs ROE 07"/>
      <sheetName val="PPPE 06 vs ROE 06"/>
      <sheetName val="PPPE 07 vs ROE 07"/>
      <sheetName val="PE 07 vs Rev growth"/>
      <sheetName val="1-3. PriceToRWA, PPPtoRWA"/>
      <sheetName val="1-4. PriceToRWA, EarningtoRWA"/>
      <sheetName val="1-2. Div growth 04-06"/>
      <sheetName val="1-3. YTD"/>
      <sheetName val="1-4. PE 06E"/>
      <sheetName val="1-5. PPPE 06E"/>
      <sheetName val="1-6. DivYld06 vs Div CAGR "/>
      <sheetName val="1-7. PE 06 vs PPPE 06"/>
      <sheetName val="1-8. PE 06 vs Yield-3MRate"/>
      <sheetName val="1-9. Div Payout 06E"/>
      <sheetName val="2. Provision exp of total loan"/>
      <sheetName val="3. Overweight banks details"/>
      <sheetName val="4. MSCI vs MSCI Banks"/>
      <sheetName val="5-1. Model Portfolio"/>
      <sheetName val="5-2. Buy Model Perf (USD)"/>
      <sheetName val="5-3. Sell Model Perf (USD)"/>
      <sheetName val="5-4. Buy Model Perf (Local)"/>
      <sheetName val="5-5. Sell Model Perf (Local)"/>
      <sheetName val="Index"/>
      <sheetName val="B1"/>
      <sheetName val="B2"/>
      <sheetName val="B3&amp;4"/>
      <sheetName val="C1"/>
      <sheetName val="C2"/>
      <sheetName val="C3"/>
      <sheetName val="C4"/>
      <sheetName val="D1"/>
      <sheetName val="D2"/>
      <sheetName val="D3"/>
      <sheetName val="E1 &amp; E2"/>
      <sheetName val="E3"/>
      <sheetName val="Data1"/>
      <sheetName val="Data2"/>
      <sheetName val="HK"/>
      <sheetName val="Regional"/>
      <sheetName val="HK (rebased)"/>
      <sheetName val="Inter bank Rate 3M"/>
      <sheetName val="MSCI banks"/>
      <sheetName val="PE vs GDP"/>
      <sheetName val="Mkt Cap Explained"/>
      <sheetName val="By Country"/>
      <sheetName val="05 Deposit to GDP"/>
      <sheetName val="Deposit 05"/>
      <sheetName val="Loan, Deposit and GDP"/>
      <sheetName val="__FDSCACHE__"/>
      <sheetName val="YTD perf"/>
      <sheetName val="7-5. PE 06 vs PPPE 06"/>
      <sheetName val="7. Backup"/>
    </sheetNames>
    <sheetDataSet>
      <sheetData sheetId="0"/>
      <sheetData sheetId="1"/>
      <sheetData sheetId="2" refreshError="1">
        <row r="3">
          <cell r="A3" t="str">
            <v>Bank</v>
          </cell>
          <cell r="B3" t="str">
            <v>Ticker</v>
          </cell>
          <cell r="C3" t="str">
            <v>Country</v>
          </cell>
          <cell r="D3" t="str">
            <v>Sedol</v>
          </cell>
          <cell r="E3" t="str">
            <v>Rating</v>
          </cell>
          <cell r="F3" t="str">
            <v>USD Price</v>
          </cell>
          <cell r="G3" t="str">
            <v>USD Price</v>
          </cell>
          <cell r="H3" t="str">
            <v>Chg</v>
          </cell>
        </row>
        <row r="4">
          <cell r="E4" t="str">
            <v>mscalc:stockRating</v>
          </cell>
          <cell r="F4">
            <v>38717</v>
          </cell>
          <cell r="G4">
            <v>38845</v>
          </cell>
        </row>
        <row r="5">
          <cell r="A5" t="str">
            <v>HSBC</v>
          </cell>
          <cell r="B5" t="str">
            <v>0005.HK</v>
          </cell>
          <cell r="C5" t="str">
            <v>Hong Kong</v>
          </cell>
          <cell r="D5">
            <v>615816</v>
          </cell>
          <cell r="E5" t="str">
            <v>#Refresh</v>
          </cell>
          <cell r="F5">
            <v>16.057170000000003</v>
          </cell>
          <cell r="G5">
            <v>17.698230000000002</v>
          </cell>
          <cell r="H5">
            <v>0.10220107279178081</v>
          </cell>
        </row>
        <row r="6">
          <cell r="A6" t="str">
            <v>Hang Seng</v>
          </cell>
          <cell r="B6" t="str">
            <v>0011.HK</v>
          </cell>
          <cell r="C6" t="str">
            <v>Hong Kong</v>
          </cell>
          <cell r="D6">
            <v>640837</v>
          </cell>
          <cell r="E6" t="str">
            <v>#Refresh</v>
          </cell>
          <cell r="F6">
            <v>13.052092</v>
          </cell>
          <cell r="G6">
            <v>13.041482999999999</v>
          </cell>
          <cell r="H6">
            <v>-8.1281989124815102E-4</v>
          </cell>
        </row>
        <row r="7">
          <cell r="A7" t="str">
            <v>BEA</v>
          </cell>
          <cell r="B7" t="str">
            <v>0023.HK</v>
          </cell>
          <cell r="C7" t="str">
            <v>Hong Kong</v>
          </cell>
          <cell r="D7">
            <v>607564</v>
          </cell>
          <cell r="E7" t="str">
            <v>#Refresh</v>
          </cell>
          <cell r="F7">
            <v>3.0244230000000001</v>
          </cell>
          <cell r="G7">
            <v>4.211716</v>
          </cell>
          <cell r="H7">
            <v>0.39256843371446393</v>
          </cell>
        </row>
        <row r="8">
          <cell r="A8" t="str">
            <v>Dah Sing</v>
          </cell>
          <cell r="B8" t="str">
            <v>0440.HK</v>
          </cell>
          <cell r="C8" t="str">
            <v>Hong Kong</v>
          </cell>
          <cell r="D8">
            <v>624979</v>
          </cell>
          <cell r="E8" t="str">
            <v>#Refresh</v>
          </cell>
          <cell r="F8">
            <v>6.9516580000000001</v>
          </cell>
          <cell r="G8">
            <v>8.5137280000000004</v>
          </cell>
          <cell r="H8">
            <v>0.22470466757714491</v>
          </cell>
        </row>
        <row r="9">
          <cell r="A9" t="str">
            <v>Wing Hang</v>
          </cell>
          <cell r="B9" t="str">
            <v>0302.HK</v>
          </cell>
          <cell r="C9" t="str">
            <v>Hong Kong</v>
          </cell>
          <cell r="D9">
            <v>697237</v>
          </cell>
          <cell r="E9" t="str">
            <v>#Refresh</v>
          </cell>
          <cell r="F9">
            <v>7.196707</v>
          </cell>
          <cell r="G9">
            <v>9.2619049999999987</v>
          </cell>
          <cell r="H9">
            <v>0.28696430186750677</v>
          </cell>
        </row>
        <row r="10">
          <cell r="A10" t="str">
            <v>BOC (HK)</v>
          </cell>
          <cell r="B10" t="str">
            <v>2388.HK</v>
          </cell>
          <cell r="C10" t="str">
            <v>Hong Kong</v>
          </cell>
          <cell r="D10">
            <v>653611</v>
          </cell>
          <cell r="E10" t="str">
            <v>#Refresh</v>
          </cell>
          <cell r="F10">
            <v>1.9217000000000002</v>
          </cell>
          <cell r="G10">
            <v>2.109083</v>
          </cell>
          <cell r="H10">
            <v>9.7508976427121752E-2</v>
          </cell>
        </row>
        <row r="11">
          <cell r="A11" t="str">
            <v>Stan Chart</v>
          </cell>
          <cell r="B11" t="str">
            <v>2888.HK</v>
          </cell>
          <cell r="C11" t="str">
            <v>Hong Kong</v>
          </cell>
          <cell r="D11">
            <v>655848</v>
          </cell>
          <cell r="E11" t="str">
            <v>#Refresh</v>
          </cell>
          <cell r="F11">
            <v>22.35106</v>
          </cell>
          <cell r="G11">
            <v>26.573150000000002</v>
          </cell>
          <cell r="H11">
            <v>0.1888988710155135</v>
          </cell>
        </row>
        <row r="12">
          <cell r="A12" t="str">
            <v>CIFH</v>
          </cell>
          <cell r="B12" t="str">
            <v>0183.HK</v>
          </cell>
          <cell r="C12" t="str">
            <v>Hong Kong</v>
          </cell>
          <cell r="D12">
            <v>648449</v>
          </cell>
          <cell r="E12" t="str">
            <v>#Refresh</v>
          </cell>
          <cell r="F12">
            <v>0.37079809999999996</v>
          </cell>
          <cell r="G12">
            <v>0.58370639999999996</v>
          </cell>
          <cell r="H12">
            <v>0.57418929600771951</v>
          </cell>
        </row>
        <row r="13">
          <cell r="A13" t="str">
            <v>ICBCA</v>
          </cell>
          <cell r="B13" t="str">
            <v>0349.HK</v>
          </cell>
          <cell r="C13" t="str">
            <v>Hong Kong</v>
          </cell>
          <cell r="D13">
            <v>691253</v>
          </cell>
          <cell r="E13" t="str">
            <v>#Refresh</v>
          </cell>
          <cell r="F13">
            <v>1.2252459999999998</v>
          </cell>
          <cell r="G13">
            <v>1.5544</v>
          </cell>
          <cell r="H13">
            <v>0.26864319491759225</v>
          </cell>
        </row>
        <row r="14">
          <cell r="A14" t="str">
            <v>Wing Lung</v>
          </cell>
          <cell r="B14" t="str">
            <v>0096.HK</v>
          </cell>
          <cell r="C14" t="str">
            <v>Hong Kong</v>
          </cell>
          <cell r="D14">
            <v>697221</v>
          </cell>
          <cell r="E14" t="str">
            <v>#Refresh</v>
          </cell>
          <cell r="F14">
            <v>7.7383949999999997</v>
          </cell>
          <cell r="G14">
            <v>9.6101929999999989</v>
          </cell>
          <cell r="H14">
            <v>0.24188452515024106</v>
          </cell>
        </row>
        <row r="15">
          <cell r="A15" t="str">
            <v>DBS</v>
          </cell>
          <cell r="B15" t="str">
            <v>DBSM.SI</v>
          </cell>
          <cell r="C15" t="str">
            <v>Singapore</v>
          </cell>
          <cell r="D15">
            <v>617520</v>
          </cell>
          <cell r="E15" t="str">
            <v>#Refresh</v>
          </cell>
          <cell r="F15">
            <v>9.9230629999999991</v>
          </cell>
          <cell r="G15">
            <v>11.902096</v>
          </cell>
          <cell r="H15">
            <v>0.1994377139397383</v>
          </cell>
        </row>
        <row r="16">
          <cell r="A16" t="str">
            <v>OCBC</v>
          </cell>
          <cell r="B16" t="str">
            <v>OCBC.SI</v>
          </cell>
          <cell r="C16" t="str">
            <v>Singapore</v>
          </cell>
          <cell r="D16">
            <v>666368</v>
          </cell>
          <cell r="E16" t="str">
            <v>#Refresh</v>
          </cell>
          <cell r="F16">
            <v>4.0293649999999994</v>
          </cell>
          <cell r="G16">
            <v>4.4235059999999997</v>
          </cell>
          <cell r="H16">
            <v>9.7817149848673512E-2</v>
          </cell>
        </row>
        <row r="17">
          <cell r="A17" t="str">
            <v>UOB</v>
          </cell>
          <cell r="B17" t="str">
            <v>UOBH.SI</v>
          </cell>
          <cell r="C17" t="str">
            <v>Singapore</v>
          </cell>
          <cell r="D17">
            <v>691678</v>
          </cell>
          <cell r="E17" t="str">
            <v>#Refresh</v>
          </cell>
          <cell r="F17">
            <v>8.7804070000000003</v>
          </cell>
          <cell r="G17">
            <v>10.183610999999999</v>
          </cell>
          <cell r="H17">
            <v>0.15981081514786255</v>
          </cell>
        </row>
        <row r="18">
          <cell r="A18" t="str">
            <v>BBL</v>
          </cell>
          <cell r="B18" t="str">
            <v>BBLf.BK</v>
          </cell>
          <cell r="C18" t="str">
            <v>Thailand</v>
          </cell>
          <cell r="D18">
            <v>607701</v>
          </cell>
          <cell r="E18" t="str">
            <v>#Refresh</v>
          </cell>
          <cell r="F18">
            <v>2.8048759999999997</v>
          </cell>
          <cell r="G18">
            <v>3.1320509999999997</v>
          </cell>
          <cell r="H18">
            <v>0.11664508520162742</v>
          </cell>
        </row>
        <row r="19">
          <cell r="A19" t="str">
            <v>Kbank</v>
          </cell>
          <cell r="B19" t="str">
            <v>KBANf.BK</v>
          </cell>
          <cell r="C19" t="str">
            <v>Thailand</v>
          </cell>
          <cell r="D19">
            <v>688879</v>
          </cell>
          <cell r="E19" t="str">
            <v>#Refresh</v>
          </cell>
          <cell r="F19">
            <v>1.829267</v>
          </cell>
          <cell r="G19">
            <v>1.818182</v>
          </cell>
          <cell r="H19">
            <v>-6.059804282261716E-3</v>
          </cell>
        </row>
        <row r="20">
          <cell r="A20" t="str">
            <v>SCB</v>
          </cell>
          <cell r="B20" t="str">
            <v>SCBf.BK</v>
          </cell>
          <cell r="C20" t="str">
            <v>Thailand</v>
          </cell>
          <cell r="D20">
            <v>688993</v>
          </cell>
          <cell r="E20" t="str">
            <v>#Refresh</v>
          </cell>
          <cell r="F20">
            <v>1.268292</v>
          </cell>
          <cell r="G20">
            <v>1.698739</v>
          </cell>
          <cell r="H20">
            <v>0.33939108659520056</v>
          </cell>
        </row>
        <row r="21">
          <cell r="A21" t="str">
            <v>First</v>
          </cell>
          <cell r="B21" t="str">
            <v>2892.TW</v>
          </cell>
          <cell r="C21" t="str">
            <v>Taiwan</v>
          </cell>
          <cell r="D21">
            <v>658011</v>
          </cell>
          <cell r="E21" t="str">
            <v>#Refresh</v>
          </cell>
          <cell r="F21">
            <v>0.71552569999999993</v>
          </cell>
          <cell r="G21">
            <v>0.80670639999999993</v>
          </cell>
          <cell r="H21">
            <v>0.12743176101151921</v>
          </cell>
        </row>
        <row r="22">
          <cell r="A22" t="str">
            <v>Fubon</v>
          </cell>
          <cell r="B22" t="str">
            <v>2881.TW</v>
          </cell>
          <cell r="C22" t="str">
            <v>Taiwan</v>
          </cell>
          <cell r="D22">
            <v>641167</v>
          </cell>
          <cell r="E22" t="str">
            <v>#Refresh</v>
          </cell>
          <cell r="F22">
            <v>0.85863079999999992</v>
          </cell>
          <cell r="G22">
            <v>1.017083</v>
          </cell>
          <cell r="H22">
            <v>0.18454054990806301</v>
          </cell>
        </row>
        <row r="23">
          <cell r="A23" t="str">
            <v>Chinatrust</v>
          </cell>
          <cell r="B23" t="str">
            <v>2891.TW</v>
          </cell>
          <cell r="C23" t="str">
            <v>Taiwan</v>
          </cell>
          <cell r="D23">
            <v>652766</v>
          </cell>
          <cell r="E23" t="str">
            <v>#Refresh</v>
          </cell>
          <cell r="F23">
            <v>0.79164539999999994</v>
          </cell>
          <cell r="G23">
            <v>0.89844950000000001</v>
          </cell>
          <cell r="H23">
            <v>0.13491406632312919</v>
          </cell>
        </row>
        <row r="24">
          <cell r="A24" t="str">
            <v>Sinopac</v>
          </cell>
          <cell r="B24" t="str">
            <v>2890.TW</v>
          </cell>
          <cell r="C24" t="str">
            <v>Taiwan</v>
          </cell>
          <cell r="D24">
            <v>652587</v>
          </cell>
          <cell r="E24" t="str">
            <v>#Refresh</v>
          </cell>
          <cell r="F24">
            <v>0.48259919999999995</v>
          </cell>
          <cell r="G24">
            <v>0.55678559999999999</v>
          </cell>
          <cell r="H24">
            <v>0.15372259216343509</v>
          </cell>
        </row>
        <row r="25">
          <cell r="A25" t="str">
            <v>Taishin</v>
          </cell>
          <cell r="B25" t="str">
            <v>2887.TW</v>
          </cell>
          <cell r="C25" t="str">
            <v>Taiwan</v>
          </cell>
          <cell r="D25">
            <v>687600</v>
          </cell>
          <cell r="E25" t="str">
            <v>#Refresh</v>
          </cell>
          <cell r="F25">
            <v>0.5237039</v>
          </cell>
          <cell r="G25">
            <v>0.70863619999999994</v>
          </cell>
          <cell r="H25">
            <v>0.35312377853210553</v>
          </cell>
        </row>
        <row r="26">
          <cell r="A26" t="str">
            <v>E. Sun</v>
          </cell>
          <cell r="B26" t="str">
            <v>2884.TW</v>
          </cell>
          <cell r="C26" t="str">
            <v>Taiwan</v>
          </cell>
          <cell r="D26">
            <v>643391</v>
          </cell>
          <cell r="E26" t="str">
            <v>#Refresh</v>
          </cell>
          <cell r="F26">
            <v>0.63483879999999993</v>
          </cell>
          <cell r="G26">
            <v>0.72603580000000001</v>
          </cell>
          <cell r="H26">
            <v>0.14365379053706251</v>
          </cell>
        </row>
        <row r="27">
          <cell r="A27" t="str">
            <v>Mega</v>
          </cell>
          <cell r="B27" t="str">
            <v>2886.TW</v>
          </cell>
          <cell r="C27" t="str">
            <v>Taiwan</v>
          </cell>
          <cell r="D27">
            <v>644406</v>
          </cell>
          <cell r="E27" t="str">
            <v>#Refresh</v>
          </cell>
          <cell r="F27">
            <v>0.65006269999999999</v>
          </cell>
          <cell r="G27">
            <v>0.79247040000000002</v>
          </cell>
          <cell r="H27">
            <v>0.2190676376294165</v>
          </cell>
        </row>
        <row r="28">
          <cell r="A28" t="str">
            <v>NAB</v>
          </cell>
          <cell r="B28" t="str">
            <v>NAB.AX</v>
          </cell>
          <cell r="C28" t="str">
            <v>Australia</v>
          </cell>
          <cell r="D28">
            <v>662460</v>
          </cell>
          <cell r="E28" t="str">
            <v>#Refresh</v>
          </cell>
          <cell r="F28">
            <v>23.766830000000002</v>
          </cell>
          <cell r="G28">
            <v>28.193360000000002</v>
          </cell>
          <cell r="H28">
            <v>0.18624822914961725</v>
          </cell>
        </row>
        <row r="29">
          <cell r="A29" t="str">
            <v>CBA</v>
          </cell>
          <cell r="B29" t="str">
            <v>CBA.AX</v>
          </cell>
          <cell r="C29" t="str">
            <v>Australia</v>
          </cell>
          <cell r="D29">
            <v>621503</v>
          </cell>
          <cell r="E29" t="str">
            <v>#Refresh</v>
          </cell>
          <cell r="F29">
            <v>31.359000000000002</v>
          </cell>
          <cell r="G29">
            <v>35.540440000000004</v>
          </cell>
          <cell r="H29">
            <v>0.13334098663860461</v>
          </cell>
        </row>
        <row r="30">
          <cell r="A30" t="str">
            <v>WBC</v>
          </cell>
          <cell r="B30" t="str">
            <v>WBC.AX</v>
          </cell>
          <cell r="C30" t="str">
            <v>Australia</v>
          </cell>
          <cell r="D30">
            <v>607614</v>
          </cell>
          <cell r="E30" t="str">
            <v>#Refresh</v>
          </cell>
          <cell r="F30">
            <v>16.688130000000001</v>
          </cell>
          <cell r="G30">
            <v>18.834120000000002</v>
          </cell>
          <cell r="H30">
            <v>0.1285937969083415</v>
          </cell>
        </row>
        <row r="31">
          <cell r="A31" t="str">
            <v>ANZ</v>
          </cell>
          <cell r="B31" t="str">
            <v>ANZ.AX</v>
          </cell>
          <cell r="C31" t="str">
            <v>Australia</v>
          </cell>
          <cell r="D31">
            <v>606558</v>
          </cell>
          <cell r="E31" t="str">
            <v>#Refresh</v>
          </cell>
          <cell r="F31">
            <v>17.568380000000001</v>
          </cell>
          <cell r="G31">
            <v>21.524710000000002</v>
          </cell>
          <cell r="H31">
            <v>0.22519606247132629</v>
          </cell>
        </row>
        <row r="32">
          <cell r="A32" t="str">
            <v>St. George</v>
          </cell>
          <cell r="B32" t="str">
            <v>SGB.AX</v>
          </cell>
          <cell r="C32" t="str">
            <v>Australia</v>
          </cell>
          <cell r="D32">
            <v>676842</v>
          </cell>
          <cell r="E32" t="str">
            <v>#Refresh</v>
          </cell>
          <cell r="F32">
            <v>21.756920000000001</v>
          </cell>
          <cell r="G32">
            <v>23.321000000000002</v>
          </cell>
          <cell r="H32">
            <v>7.188885191470118E-2</v>
          </cell>
        </row>
        <row r="33">
          <cell r="A33" t="str">
            <v>HDFC Bank</v>
          </cell>
          <cell r="B33" t="str">
            <v>HDBK.BO</v>
          </cell>
          <cell r="C33" t="str">
            <v>India</v>
          </cell>
          <cell r="D33">
            <v>610013</v>
          </cell>
          <cell r="E33" t="str">
            <v>#Refresh</v>
          </cell>
          <cell r="F33">
            <v>15.717623999999999</v>
          </cell>
          <cell r="G33">
            <v>19.581940000000003</v>
          </cell>
          <cell r="H33">
            <v>0.24585878883475032</v>
          </cell>
        </row>
        <row r="34">
          <cell r="A34" t="str">
            <v>ICICI Bank</v>
          </cell>
          <cell r="B34" t="str">
            <v>ICBK.BO</v>
          </cell>
          <cell r="C34" t="str">
            <v>India</v>
          </cell>
          <cell r="D34">
            <v>607110</v>
          </cell>
          <cell r="E34" t="str">
            <v>#Refresh</v>
          </cell>
          <cell r="F34">
            <v>12.990451</v>
          </cell>
          <cell r="G34">
            <v>14.238570000000001</v>
          </cell>
          <cell r="H34">
            <v>9.6079728101818862E-2</v>
          </cell>
        </row>
        <row r="35">
          <cell r="A35" t="str">
            <v>PNB</v>
          </cell>
          <cell r="B35" t="str">
            <v>PNBK.BO</v>
          </cell>
          <cell r="C35" t="str">
            <v>India</v>
          </cell>
          <cell r="D35">
            <v>652675</v>
          </cell>
          <cell r="E35" t="str">
            <v>#Refresh</v>
          </cell>
          <cell r="F35">
            <v>10.361034</v>
          </cell>
          <cell r="G35">
            <v>10.238571</v>
          </cell>
          <cell r="H35">
            <v>-1.1819573220201773E-2</v>
          </cell>
        </row>
        <row r="36">
          <cell r="A36" t="str">
            <v>HDFC</v>
          </cell>
          <cell r="B36" t="str">
            <v>HDFC.BO</v>
          </cell>
          <cell r="C36" t="str">
            <v>India</v>
          </cell>
          <cell r="D36">
            <v>617158</v>
          </cell>
          <cell r="E36" t="str">
            <v>#Refresh</v>
          </cell>
          <cell r="F36">
            <v>26.779610000000002</v>
          </cell>
          <cell r="G36">
            <v>28.675580000000004</v>
          </cell>
          <cell r="H36">
            <v>7.0799014623439405E-2</v>
          </cell>
        </row>
        <row r="37">
          <cell r="A37" t="str">
            <v>SBI</v>
          </cell>
          <cell r="B37" t="str">
            <v>SBI.BO</v>
          </cell>
          <cell r="C37" t="str">
            <v>India</v>
          </cell>
          <cell r="D37">
            <v>684219</v>
          </cell>
          <cell r="E37" t="str">
            <v>#Refresh</v>
          </cell>
          <cell r="F37">
            <v>20.161080000000002</v>
          </cell>
          <cell r="G37">
            <v>21.246370000000002</v>
          </cell>
          <cell r="H37">
            <v>5.3830945564424137E-2</v>
          </cell>
        </row>
        <row r="38">
          <cell r="A38" t="str">
            <v>Corp</v>
          </cell>
          <cell r="B38" t="str">
            <v>CRBK.BO</v>
          </cell>
          <cell r="C38" t="str">
            <v>India</v>
          </cell>
          <cell r="D38">
            <v>609565</v>
          </cell>
          <cell r="E38" t="str">
            <v>#Refresh</v>
          </cell>
          <cell r="F38">
            <v>8.028217999999999</v>
          </cell>
          <cell r="G38">
            <v>8.2630999999999997</v>
          </cell>
          <cell r="H38">
            <v>2.9257053059595695E-2</v>
          </cell>
        </row>
        <row r="39">
          <cell r="A39" t="str">
            <v>OBC</v>
          </cell>
          <cell r="B39" t="str">
            <v>ORBC.BO</v>
          </cell>
          <cell r="C39" t="str">
            <v>India</v>
          </cell>
          <cell r="D39">
            <v>665414</v>
          </cell>
          <cell r="E39" t="str">
            <v>#Refresh</v>
          </cell>
          <cell r="F39">
            <v>6.0231079999999997</v>
          </cell>
          <cell r="G39">
            <v>5.4002219999999994</v>
          </cell>
          <cell r="H39">
            <v>-0.10341604367711821</v>
          </cell>
        </row>
        <row r="40">
          <cell r="A40" t="str">
            <v>Canara</v>
          </cell>
          <cell r="B40" t="str">
            <v>CNBK.BO</v>
          </cell>
          <cell r="C40" t="str">
            <v>India</v>
          </cell>
          <cell r="D40">
            <v>658001</v>
          </cell>
          <cell r="E40" t="str">
            <v>#Refresh</v>
          </cell>
          <cell r="F40">
            <v>5.3443700000000005</v>
          </cell>
          <cell r="G40">
            <v>5.9587500000000002</v>
          </cell>
          <cell r="H40">
            <v>0.11495835804781485</v>
          </cell>
        </row>
        <row r="41">
          <cell r="A41" t="str">
            <v>UTI</v>
          </cell>
          <cell r="B41" t="str">
            <v>UTBK.BO</v>
          </cell>
          <cell r="C41" t="str">
            <v>India</v>
          </cell>
          <cell r="D41">
            <v>613648</v>
          </cell>
          <cell r="E41" t="str">
            <v>#Refresh</v>
          </cell>
          <cell r="F41">
            <v>6.3619219999999999</v>
          </cell>
          <cell r="G41">
            <v>8.0535110000000003</v>
          </cell>
          <cell r="H41">
            <v>0.26589276008099438</v>
          </cell>
        </row>
        <row r="42">
          <cell r="A42" t="str">
            <v>IDFC</v>
          </cell>
          <cell r="B42" t="str">
            <v>IDFC.BO</v>
          </cell>
          <cell r="C42" t="str">
            <v>India</v>
          </cell>
          <cell r="D42">
            <v>609955</v>
          </cell>
          <cell r="E42" t="str">
            <v>#Refresh</v>
          </cell>
          <cell r="F42">
            <v>2.1584100000000004</v>
          </cell>
          <cell r="G42">
            <v>2.1081379999999998</v>
          </cell>
          <cell r="H42">
            <v>-2.3291218999170971E-2</v>
          </cell>
        </row>
        <row r="43">
          <cell r="A43" t="str">
            <v>IDBI</v>
          </cell>
          <cell r="B43" t="str">
            <v>IDBI.BO</v>
          </cell>
          <cell r="C43" t="str">
            <v>India</v>
          </cell>
          <cell r="D43" t="str">
            <v>B0C5QR</v>
          </cell>
          <cell r="E43" t="str">
            <v>#Refresh</v>
          </cell>
          <cell r="F43">
            <v>1.6251949999999999</v>
          </cell>
          <cell r="G43">
            <v>1.6075809999999999</v>
          </cell>
          <cell r="H43">
            <v>-1.0838084045299179E-2</v>
          </cell>
        </row>
        <row r="44">
          <cell r="A44" t="str">
            <v>Kotak</v>
          </cell>
          <cell r="B44" t="str">
            <v>KTKM.BO</v>
          </cell>
          <cell r="C44" t="str">
            <v>India</v>
          </cell>
          <cell r="D44">
            <v>613566</v>
          </cell>
          <cell r="E44" t="str">
            <v>#Refresh</v>
          </cell>
          <cell r="F44">
            <v>4.9722300000000006</v>
          </cell>
          <cell r="G44">
            <v>8.3578589999999995</v>
          </cell>
          <cell r="H44">
            <v>0.68090756059152513</v>
          </cell>
        </row>
        <row r="45">
          <cell r="A45" t="str">
            <v>Kookmin</v>
          </cell>
          <cell r="B45" t="str">
            <v>060000.KS</v>
          </cell>
          <cell r="C45" t="str">
            <v>Korea</v>
          </cell>
          <cell r="D45">
            <v>641936</v>
          </cell>
          <cell r="E45" t="str">
            <v>#Refresh</v>
          </cell>
          <cell r="F45">
            <v>75.678870000000003</v>
          </cell>
          <cell r="G45">
            <v>93.124730000000014</v>
          </cell>
          <cell r="H45">
            <v>0.23052484795293604</v>
          </cell>
        </row>
        <row r="46">
          <cell r="A46" t="str">
            <v>Shinhan</v>
          </cell>
          <cell r="B46" t="str">
            <v>055550.KS</v>
          </cell>
          <cell r="C46" t="str">
            <v>Korea</v>
          </cell>
          <cell r="D46">
            <v>680598</v>
          </cell>
          <cell r="E46" t="str">
            <v>#Refresh</v>
          </cell>
          <cell r="F46">
            <v>40.609380000000002</v>
          </cell>
          <cell r="G46">
            <v>49.329500000000003</v>
          </cell>
          <cell r="H46">
            <v>0.21473167036778196</v>
          </cell>
        </row>
        <row r="47">
          <cell r="A47" t="str">
            <v xml:space="preserve">Hana </v>
          </cell>
          <cell r="B47" t="str">
            <v>086790.KS</v>
          </cell>
          <cell r="C47" t="str">
            <v>Korea</v>
          </cell>
          <cell r="D47" t="str">
            <v>B0RNRF</v>
          </cell>
          <cell r="E47" t="str">
            <v>#Refresh</v>
          </cell>
          <cell r="F47">
            <v>45.704110000000007</v>
          </cell>
          <cell r="G47">
            <v>53.746270000000003</v>
          </cell>
          <cell r="H47">
            <v>0.17596141791186826</v>
          </cell>
        </row>
        <row r="48">
          <cell r="A48" t="str">
            <v>KEB</v>
          </cell>
          <cell r="B48" t="str">
            <v>004940.KS</v>
          </cell>
          <cell r="C48" t="str">
            <v>Korea</v>
          </cell>
          <cell r="D48">
            <v>649504</v>
          </cell>
          <cell r="E48" t="str">
            <v>#Refresh</v>
          </cell>
          <cell r="F48">
            <v>13.948654999999999</v>
          </cell>
          <cell r="G48">
            <v>13.622817</v>
          </cell>
          <cell r="H48">
            <v>-2.3359814978576754E-2</v>
          </cell>
        </row>
        <row r="49">
          <cell r="A49" t="str">
            <v>Woori</v>
          </cell>
          <cell r="B49" t="str">
            <v>053000.KS</v>
          </cell>
          <cell r="C49" t="str">
            <v>Korea</v>
          </cell>
          <cell r="D49">
            <v>653426</v>
          </cell>
          <cell r="E49" t="str">
            <v>#Refresh</v>
          </cell>
          <cell r="F49">
            <v>19.884250000000002</v>
          </cell>
          <cell r="G49">
            <v>23.361000000000001</v>
          </cell>
          <cell r="H49">
            <v>0.17484944114060119</v>
          </cell>
        </row>
        <row r="50">
          <cell r="A50" t="str">
            <v>Sh Pudong</v>
          </cell>
          <cell r="B50" t="str">
            <v>600000.SS</v>
          </cell>
          <cell r="C50" t="str">
            <v>China</v>
          </cell>
          <cell r="D50">
            <v>618204</v>
          </cell>
          <cell r="E50" t="str">
            <v>#Refresh</v>
          </cell>
          <cell r="F50">
            <v>1.2081500000000001</v>
          </cell>
          <cell r="G50" t="e">
            <v>#N/A</v>
          </cell>
          <cell r="H50" t="e">
            <v>#N/A</v>
          </cell>
        </row>
        <row r="51">
          <cell r="A51" t="str">
            <v>Merchants</v>
          </cell>
          <cell r="B51" t="str">
            <v>600036.SS</v>
          </cell>
          <cell r="C51" t="str">
            <v>China</v>
          </cell>
          <cell r="D51">
            <v>651872</v>
          </cell>
          <cell r="E51" t="str">
            <v>#Refresh</v>
          </cell>
          <cell r="F51">
            <v>0.81534629999999997</v>
          </cell>
          <cell r="G51">
            <v>0.89718149999999997</v>
          </cell>
          <cell r="H51">
            <v>0.1003686409075506</v>
          </cell>
        </row>
        <row r="52">
          <cell r="A52" t="str">
            <v>Minsheng</v>
          </cell>
          <cell r="B52" t="str">
            <v>600016.SS</v>
          </cell>
          <cell r="C52" t="str">
            <v>China</v>
          </cell>
          <cell r="D52">
            <v>631074</v>
          </cell>
          <cell r="E52" t="str">
            <v>#Refresh</v>
          </cell>
          <cell r="F52">
            <v>0.35934719999999998</v>
          </cell>
          <cell r="G52">
            <v>0.53032289999999993</v>
          </cell>
          <cell r="H52">
            <v>0.47579527543278477</v>
          </cell>
        </row>
        <row r="53">
          <cell r="A53" t="str">
            <v>BoComm</v>
          </cell>
          <cell r="B53" t="str">
            <v>3328.HK</v>
          </cell>
          <cell r="C53" t="str">
            <v>China</v>
          </cell>
          <cell r="D53" t="str">
            <v>B0B8Z2</v>
          </cell>
          <cell r="E53" t="str">
            <v>#Refresh</v>
          </cell>
          <cell r="F53">
            <v>0.4546307</v>
          </cell>
          <cell r="G53">
            <v>0.62885489999999999</v>
          </cell>
          <cell r="H53">
            <v>0.38322137066414563</v>
          </cell>
        </row>
        <row r="54">
          <cell r="A54" t="str">
            <v>CCB</v>
          </cell>
          <cell r="B54" t="str">
            <v>0939.HK</v>
          </cell>
          <cell r="C54" t="str">
            <v>China</v>
          </cell>
          <cell r="D54" t="str">
            <v>B0LMTQ</v>
          </cell>
          <cell r="E54" t="str">
            <v>#Refresh</v>
          </cell>
          <cell r="F54">
            <v>0.34822779999999998</v>
          </cell>
          <cell r="G54">
            <v>0.44503579999999998</v>
          </cell>
          <cell r="H54">
            <v>0.27800192862258566</v>
          </cell>
        </row>
        <row r="55">
          <cell r="A55" t="str">
            <v>Maybank</v>
          </cell>
          <cell r="B55" t="str">
            <v>MBBM.KL</v>
          </cell>
          <cell r="C55" t="str">
            <v>Malaysia</v>
          </cell>
          <cell r="D55">
            <v>655632</v>
          </cell>
          <cell r="E55" t="str">
            <v>#Refresh</v>
          </cell>
          <cell r="F55">
            <v>2.936877</v>
          </cell>
          <cell r="G55">
            <v>3.0781959999999997</v>
          </cell>
          <cell r="H55">
            <v>4.8118801025715419E-2</v>
          </cell>
        </row>
        <row r="56">
          <cell r="A56" t="str">
            <v>CAHB</v>
          </cell>
          <cell r="B56" t="str">
            <v>COMM.KL</v>
          </cell>
          <cell r="C56" t="str">
            <v>Malaysia</v>
          </cell>
          <cell r="D56">
            <v>607574</v>
          </cell>
          <cell r="E56" t="str">
            <v>#Refresh</v>
          </cell>
          <cell r="F56">
            <v>1.5081259999999999</v>
          </cell>
          <cell r="G56">
            <v>1.719352</v>
          </cell>
          <cell r="H56">
            <v>0.14005858926906645</v>
          </cell>
        </row>
        <row r="57">
          <cell r="A57" t="str">
            <v>Public</v>
          </cell>
          <cell r="B57" t="str">
            <v>PUBMe.KL</v>
          </cell>
          <cell r="C57" t="str">
            <v>Malaysia</v>
          </cell>
          <cell r="D57" t="str">
            <v>B012W4</v>
          </cell>
          <cell r="E57" t="str">
            <v>#Refresh</v>
          </cell>
          <cell r="F57">
            <v>1.7330219999999998</v>
          </cell>
          <cell r="G57">
            <v>1.830279</v>
          </cell>
          <cell r="H57">
            <v>5.6119887687519299E-2</v>
          </cell>
        </row>
        <row r="58">
          <cell r="A58" t="str">
            <v>Hong Leong</v>
          </cell>
          <cell r="B58" t="str">
            <v>HLBB.KL</v>
          </cell>
          <cell r="C58" t="str">
            <v>Malaysia</v>
          </cell>
          <cell r="D58">
            <v>643689</v>
          </cell>
          <cell r="E58" t="str">
            <v>#Refresh</v>
          </cell>
          <cell r="F58">
            <v>1.3493759999999999</v>
          </cell>
          <cell r="G58">
            <v>1.428172</v>
          </cell>
          <cell r="H58">
            <v>5.8394398596091968E-2</v>
          </cell>
        </row>
        <row r="59">
          <cell r="A59" t="str">
            <v>BCA</v>
          </cell>
          <cell r="B59" t="str">
            <v>BBCA.JK</v>
          </cell>
          <cell r="C59" t="str">
            <v>Indonesia</v>
          </cell>
          <cell r="D59" t="str">
            <v>B01C1P</v>
          </cell>
          <cell r="E59" t="str">
            <v>#Refresh</v>
          </cell>
          <cell r="F59">
            <v>0.34552839999999996</v>
          </cell>
          <cell r="G59">
            <v>0.49516209999999999</v>
          </cell>
          <cell r="H59">
            <v>0.43305760105392221</v>
          </cell>
        </row>
        <row r="60">
          <cell r="A60" t="str">
            <v>Mandiri</v>
          </cell>
          <cell r="B60" t="str">
            <v>BMRI.JK</v>
          </cell>
          <cell r="C60" t="str">
            <v>Indonesia</v>
          </cell>
          <cell r="D60">
            <v>665104</v>
          </cell>
          <cell r="E60" t="str">
            <v>#Refresh</v>
          </cell>
          <cell r="F60">
            <v>0.1666667</v>
          </cell>
          <cell r="G60">
            <v>0.25327260000000001</v>
          </cell>
          <cell r="H60">
            <v>0.5196352960729409</v>
          </cell>
        </row>
        <row r="61">
          <cell r="A61" t="str">
            <v>Rakyat</v>
          </cell>
          <cell r="B61" t="str">
            <v>BBRI.JK</v>
          </cell>
          <cell r="C61" t="str">
            <v>Indonesia</v>
          </cell>
          <cell r="D61">
            <v>670909</v>
          </cell>
          <cell r="E61" t="str">
            <v>#Refresh</v>
          </cell>
          <cell r="F61">
            <v>0.30741869999999999</v>
          </cell>
          <cell r="G61">
            <v>0.48662489999999997</v>
          </cell>
          <cell r="H61">
            <v>0.58293851349966674</v>
          </cell>
        </row>
        <row r="66">
          <cell r="A66" t="str">
            <v>Sorting</v>
          </cell>
          <cell r="C66" t="str">
            <v>YTD Performance</v>
          </cell>
        </row>
        <row r="67">
          <cell r="A67" t="str">
            <v>Sh Pudong</v>
          </cell>
          <cell r="B67" t="str">
            <v>China</v>
          </cell>
          <cell r="C67" t="e">
            <v>#N/A</v>
          </cell>
        </row>
        <row r="68">
          <cell r="A68" t="str">
            <v>Kotak</v>
          </cell>
          <cell r="B68" t="str">
            <v>India</v>
          </cell>
          <cell r="C68">
            <v>0.68090756059152513</v>
          </cell>
        </row>
        <row r="69">
          <cell r="A69" t="str">
            <v>Rakyat</v>
          </cell>
          <cell r="B69" t="str">
            <v>Indonesia</v>
          </cell>
          <cell r="C69">
            <v>0.58293851349966674</v>
          </cell>
        </row>
        <row r="70">
          <cell r="A70" t="str">
            <v>CIFH</v>
          </cell>
          <cell r="B70" t="str">
            <v>Hong Kong</v>
          </cell>
          <cell r="C70">
            <v>0.57418929600771951</v>
          </cell>
        </row>
        <row r="71">
          <cell r="A71" t="str">
            <v>Mandiri</v>
          </cell>
          <cell r="B71" t="str">
            <v>Indonesia</v>
          </cell>
          <cell r="C71">
            <v>0.5196352960729409</v>
          </cell>
        </row>
        <row r="72">
          <cell r="A72" t="str">
            <v>Minsheng</v>
          </cell>
          <cell r="B72" t="str">
            <v>China</v>
          </cell>
          <cell r="C72">
            <v>0.47579527543278477</v>
          </cell>
        </row>
        <row r="73">
          <cell r="A73" t="str">
            <v>BCA</v>
          </cell>
          <cell r="B73" t="str">
            <v>Indonesia</v>
          </cell>
          <cell r="C73">
            <v>0.43305760105392221</v>
          </cell>
        </row>
        <row r="74">
          <cell r="A74" t="str">
            <v>BEA</v>
          </cell>
          <cell r="B74" t="str">
            <v>Hong Kong</v>
          </cell>
          <cell r="C74">
            <v>0.39256843371446393</v>
          </cell>
        </row>
        <row r="75">
          <cell r="A75" t="str">
            <v>BoComm</v>
          </cell>
          <cell r="B75" t="str">
            <v>China</v>
          </cell>
          <cell r="C75">
            <v>0.38322137066414563</v>
          </cell>
        </row>
        <row r="76">
          <cell r="A76" t="str">
            <v>Taishin</v>
          </cell>
          <cell r="B76" t="str">
            <v>Taiwan</v>
          </cell>
          <cell r="C76">
            <v>0.35312377853210553</v>
          </cell>
        </row>
        <row r="77">
          <cell r="A77" t="str">
            <v>SCB</v>
          </cell>
          <cell r="B77" t="str">
            <v>Thailand</v>
          </cell>
          <cell r="C77">
            <v>0.33939108659520056</v>
          </cell>
        </row>
        <row r="78">
          <cell r="A78" t="str">
            <v>Wing Hang</v>
          </cell>
          <cell r="B78" t="str">
            <v>Hong Kong</v>
          </cell>
          <cell r="C78">
            <v>0.28696430186750677</v>
          </cell>
        </row>
        <row r="79">
          <cell r="A79" t="str">
            <v>CCB</v>
          </cell>
          <cell r="B79" t="str">
            <v>China</v>
          </cell>
          <cell r="C79">
            <v>0.27800192862258566</v>
          </cell>
        </row>
        <row r="80">
          <cell r="A80" t="str">
            <v>ICBCA</v>
          </cell>
          <cell r="B80" t="str">
            <v>Hong Kong</v>
          </cell>
          <cell r="C80">
            <v>0.26864319491759225</v>
          </cell>
        </row>
        <row r="81">
          <cell r="A81" t="str">
            <v>UTI</v>
          </cell>
          <cell r="B81" t="str">
            <v>India</v>
          </cell>
          <cell r="C81">
            <v>0.26589276008099438</v>
          </cell>
        </row>
        <row r="82">
          <cell r="A82" t="str">
            <v>HDFC Bank</v>
          </cell>
          <cell r="B82" t="str">
            <v>India</v>
          </cell>
          <cell r="C82">
            <v>0.24585878883475032</v>
          </cell>
        </row>
        <row r="83">
          <cell r="A83" t="str">
            <v>Wing Lung</v>
          </cell>
          <cell r="B83" t="str">
            <v>Hong Kong</v>
          </cell>
          <cell r="C83">
            <v>0.24188452515024106</v>
          </cell>
        </row>
        <row r="84">
          <cell r="A84" t="str">
            <v>Kookmin</v>
          </cell>
          <cell r="B84" t="str">
            <v>Korea</v>
          </cell>
          <cell r="C84">
            <v>0.23052484795293604</v>
          </cell>
        </row>
        <row r="85">
          <cell r="A85" t="str">
            <v>ANZ</v>
          </cell>
          <cell r="B85" t="str">
            <v>Australia</v>
          </cell>
          <cell r="C85">
            <v>0.22519606247132629</v>
          </cell>
        </row>
        <row r="86">
          <cell r="A86" t="str">
            <v>Dah Sing</v>
          </cell>
          <cell r="B86" t="str">
            <v>Hong Kong</v>
          </cell>
          <cell r="C86">
            <v>0.22470466757714491</v>
          </cell>
        </row>
        <row r="87">
          <cell r="A87" t="str">
            <v>Mega</v>
          </cell>
          <cell r="B87" t="str">
            <v>Taiwan</v>
          </cell>
          <cell r="C87">
            <v>0.2190676376294165</v>
          </cell>
        </row>
        <row r="88">
          <cell r="A88" t="str">
            <v>Shinhan</v>
          </cell>
          <cell r="B88" t="str">
            <v>Korea</v>
          </cell>
          <cell r="C88">
            <v>0.21473167036778196</v>
          </cell>
        </row>
        <row r="89">
          <cell r="A89" t="str">
            <v>DBS</v>
          </cell>
          <cell r="B89" t="str">
            <v>Singapore</v>
          </cell>
          <cell r="C89">
            <v>0.1994377139397383</v>
          </cell>
        </row>
        <row r="90">
          <cell r="A90" t="str">
            <v>Stan Chart</v>
          </cell>
          <cell r="B90" t="str">
            <v>Hong Kong</v>
          </cell>
          <cell r="C90">
            <v>0.1888988710155135</v>
          </cell>
        </row>
        <row r="91">
          <cell r="A91" t="str">
            <v>NAB</v>
          </cell>
          <cell r="B91" t="str">
            <v>Australia</v>
          </cell>
          <cell r="C91">
            <v>0.18624822914961725</v>
          </cell>
        </row>
        <row r="92">
          <cell r="A92" t="str">
            <v>Fubon</v>
          </cell>
          <cell r="B92" t="str">
            <v>Taiwan</v>
          </cell>
          <cell r="C92">
            <v>0.18454054990806301</v>
          </cell>
        </row>
        <row r="93">
          <cell r="A93" t="str">
            <v xml:space="preserve">Hana </v>
          </cell>
          <cell r="B93" t="str">
            <v>Korea</v>
          </cell>
          <cell r="C93">
            <v>0.17596141791186826</v>
          </cell>
        </row>
        <row r="94">
          <cell r="A94" t="str">
            <v>Woori</v>
          </cell>
          <cell r="B94" t="str">
            <v>Korea</v>
          </cell>
          <cell r="C94">
            <v>0.17484944114060119</v>
          </cell>
        </row>
        <row r="95">
          <cell r="A95" t="str">
            <v>UOB</v>
          </cell>
          <cell r="B95" t="str">
            <v>Singapore</v>
          </cell>
          <cell r="C95">
            <v>0.15981081514786255</v>
          </cell>
        </row>
        <row r="96">
          <cell r="A96" t="str">
            <v>Sinopac</v>
          </cell>
          <cell r="B96" t="str">
            <v>Taiwan</v>
          </cell>
          <cell r="C96">
            <v>0.15372259216343509</v>
          </cell>
        </row>
        <row r="97">
          <cell r="A97" t="str">
            <v>E. Sun</v>
          </cell>
          <cell r="B97" t="str">
            <v>Taiwan</v>
          </cell>
          <cell r="C97">
            <v>0.14365379053706251</v>
          </cell>
        </row>
        <row r="98">
          <cell r="A98" t="str">
            <v>CAHB</v>
          </cell>
          <cell r="B98" t="str">
            <v>Malaysia</v>
          </cell>
          <cell r="C98">
            <v>0.14005858926906645</v>
          </cell>
        </row>
        <row r="99">
          <cell r="A99" t="str">
            <v>Chinatrust</v>
          </cell>
          <cell r="B99" t="str">
            <v>Taiwan</v>
          </cell>
          <cell r="C99">
            <v>0.13491406632312919</v>
          </cell>
        </row>
        <row r="100">
          <cell r="A100" t="str">
            <v>CBA</v>
          </cell>
          <cell r="B100" t="str">
            <v>Australia</v>
          </cell>
          <cell r="C100">
            <v>0.13334098663860461</v>
          </cell>
        </row>
        <row r="101">
          <cell r="A101" t="str">
            <v>WBC</v>
          </cell>
          <cell r="B101" t="str">
            <v>Australia</v>
          </cell>
          <cell r="C101">
            <v>0.1285937969083415</v>
          </cell>
        </row>
        <row r="102">
          <cell r="A102" t="str">
            <v>First</v>
          </cell>
          <cell r="B102" t="str">
            <v>Taiwan</v>
          </cell>
          <cell r="C102">
            <v>0.12743176101151921</v>
          </cell>
        </row>
        <row r="103">
          <cell r="A103" t="str">
            <v>BBL</v>
          </cell>
          <cell r="B103" t="str">
            <v>Thailand</v>
          </cell>
          <cell r="C103">
            <v>0.11664508520162742</v>
          </cell>
        </row>
        <row r="104">
          <cell r="A104" t="str">
            <v>Canara</v>
          </cell>
          <cell r="B104" t="str">
            <v>India</v>
          </cell>
          <cell r="C104">
            <v>0.11495835804781485</v>
          </cell>
        </row>
        <row r="105">
          <cell r="A105" t="str">
            <v>HSBC</v>
          </cell>
          <cell r="B105" t="str">
            <v>Hong Kong</v>
          </cell>
          <cell r="C105">
            <v>0.10220107279178081</v>
          </cell>
        </row>
        <row r="106">
          <cell r="A106" t="str">
            <v>Merchants</v>
          </cell>
          <cell r="B106" t="str">
            <v>China</v>
          </cell>
          <cell r="C106">
            <v>0.1003686409075506</v>
          </cell>
        </row>
        <row r="107">
          <cell r="A107" t="str">
            <v>OCBC</v>
          </cell>
          <cell r="B107" t="str">
            <v>Singapore</v>
          </cell>
          <cell r="C107">
            <v>9.7817149848673512E-2</v>
          </cell>
        </row>
        <row r="108">
          <cell r="A108" t="str">
            <v>BOC (HK)</v>
          </cell>
          <cell r="B108" t="str">
            <v>Hong Kong</v>
          </cell>
          <cell r="C108">
            <v>9.7508976427121752E-2</v>
          </cell>
        </row>
        <row r="109">
          <cell r="A109" t="str">
            <v>ICICI Bank</v>
          </cell>
          <cell r="B109" t="str">
            <v>India</v>
          </cell>
          <cell r="C109">
            <v>9.6079728101818862E-2</v>
          </cell>
        </row>
        <row r="110">
          <cell r="A110" t="str">
            <v>St. George</v>
          </cell>
          <cell r="B110" t="str">
            <v>Australia</v>
          </cell>
          <cell r="C110">
            <v>7.188885191470118E-2</v>
          </cell>
        </row>
        <row r="111">
          <cell r="A111" t="str">
            <v>HDFC</v>
          </cell>
          <cell r="B111" t="str">
            <v>India</v>
          </cell>
          <cell r="C111">
            <v>7.0799014623439405E-2</v>
          </cell>
        </row>
        <row r="112">
          <cell r="A112" t="str">
            <v>Hong Leong</v>
          </cell>
          <cell r="B112" t="str">
            <v>Malaysia</v>
          </cell>
          <cell r="C112">
            <v>5.8394398596091968E-2</v>
          </cell>
        </row>
        <row r="113">
          <cell r="A113" t="str">
            <v>Public</v>
          </cell>
          <cell r="B113" t="str">
            <v>Malaysia</v>
          </cell>
          <cell r="C113">
            <v>5.6119887687519299E-2</v>
          </cell>
        </row>
        <row r="114">
          <cell r="A114" t="str">
            <v>OBC</v>
          </cell>
          <cell r="B114" t="str">
            <v>India</v>
          </cell>
          <cell r="C114">
            <v>-0.10341604367711821</v>
          </cell>
        </row>
        <row r="115">
          <cell r="A115" t="str">
            <v>KEB</v>
          </cell>
          <cell r="B115" t="str">
            <v>Korea</v>
          </cell>
          <cell r="C115">
            <v>-2.3359814978576754E-2</v>
          </cell>
        </row>
        <row r="116">
          <cell r="A116" t="str">
            <v>IDFC</v>
          </cell>
          <cell r="B116" t="str">
            <v>India</v>
          </cell>
          <cell r="C116">
            <v>-2.3291218999170971E-2</v>
          </cell>
        </row>
        <row r="117">
          <cell r="A117" t="str">
            <v>PNB</v>
          </cell>
          <cell r="B117" t="str">
            <v>India</v>
          </cell>
          <cell r="C117">
            <v>-1.1819573220201773E-2</v>
          </cell>
        </row>
        <row r="118">
          <cell r="A118" t="str">
            <v>IDBI</v>
          </cell>
          <cell r="B118" t="str">
            <v>India</v>
          </cell>
          <cell r="C118">
            <v>-1.0838084045299179E-2</v>
          </cell>
        </row>
        <row r="119">
          <cell r="A119" t="str">
            <v>Kbank</v>
          </cell>
          <cell r="B119" t="str">
            <v>Thailand</v>
          </cell>
          <cell r="C119">
            <v>-6.059804282261716E-3</v>
          </cell>
        </row>
        <row r="120">
          <cell r="A120" t="str">
            <v>Hang Seng</v>
          </cell>
          <cell r="B120" t="str">
            <v>Hong Kong</v>
          </cell>
          <cell r="C120">
            <v>-8.1281989124815102E-4</v>
          </cell>
        </row>
        <row r="121">
          <cell r="A121" t="str">
            <v>Corp</v>
          </cell>
          <cell r="B121" t="str">
            <v>India</v>
          </cell>
          <cell r="C121">
            <v>2.9257053059595695E-2</v>
          </cell>
        </row>
        <row r="122">
          <cell r="A122" t="str">
            <v>Maybank</v>
          </cell>
          <cell r="B122" t="str">
            <v>Malaysia</v>
          </cell>
          <cell r="C122">
            <v>4.8118801025715419E-2</v>
          </cell>
        </row>
        <row r="123">
          <cell r="A123" t="str">
            <v>SBI</v>
          </cell>
          <cell r="B123" t="str">
            <v>India</v>
          </cell>
          <cell r="C123">
            <v>5.3830945564424137E-2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row r="4">
          <cell r="C4" t="str">
            <v>Company name</v>
          </cell>
          <cell r="D4" t="str">
            <v>Stock rating</v>
          </cell>
          <cell r="E4" t="str">
            <v>Mkt Cap</v>
          </cell>
          <cell r="F4" t="str">
            <v>Mkt Cap</v>
          </cell>
          <cell r="G4" t="str">
            <v>Share price, last close</v>
          </cell>
          <cell r="H4" t="str">
            <v>Price target</v>
          </cell>
          <cell r="I4" t="str">
            <v>Upside</v>
          </cell>
          <cell r="J4" t="str">
            <v>Div Yld</v>
          </cell>
          <cell r="K4" t="str">
            <v>Total</v>
          </cell>
          <cell r="L4" t="str">
            <v>P/E</v>
          </cell>
          <cell r="N4" t="str">
            <v>P/B</v>
          </cell>
          <cell r="P4" t="str">
            <v>ROE</v>
          </cell>
          <cell r="Q4" t="str">
            <v>EPS</v>
          </cell>
        </row>
        <row r="5">
          <cell r="F5" t="str">
            <v>US$mn</v>
          </cell>
          <cell r="J5">
            <v>2005</v>
          </cell>
          <cell r="K5" t="str">
            <v>Return</v>
          </cell>
          <cell r="L5">
            <v>2005</v>
          </cell>
          <cell r="M5">
            <v>2006</v>
          </cell>
          <cell r="N5">
            <v>2005</v>
          </cell>
          <cell r="O5">
            <v>2006</v>
          </cell>
          <cell r="P5">
            <v>2005</v>
          </cell>
          <cell r="T5" t="str">
            <v>CAGR</v>
          </cell>
          <cell r="U5" t="str">
            <v>P/E 05</v>
          </cell>
        </row>
        <row r="6">
          <cell r="B6" t="str">
            <v>BBLf.BK</v>
          </cell>
          <cell r="C6" t="str">
            <v>#Refresh</v>
          </cell>
          <cell r="D6" t="str">
            <v>#Refresh</v>
          </cell>
          <cell r="E6" t="str">
            <v>#Refresh</v>
          </cell>
          <cell r="F6">
            <v>5847.3418481012659</v>
          </cell>
          <cell r="G6" t="str">
            <v>#Refresh</v>
          </cell>
          <cell r="H6" t="str">
            <v>#Refresh</v>
          </cell>
          <cell r="I6" t="e">
            <v>#VALUE!</v>
          </cell>
          <cell r="J6" t="str">
            <v>#Refresh</v>
          </cell>
          <cell r="K6" t="e">
            <v>#VALUE!</v>
          </cell>
          <cell r="L6" t="str">
            <v>#Refresh</v>
          </cell>
          <cell r="M6" t="str">
            <v>#Refresh</v>
          </cell>
          <cell r="N6" t="str">
            <v>#Refresh</v>
          </cell>
          <cell r="O6" t="str">
            <v>#Refresh</v>
          </cell>
          <cell r="P6" t="str">
            <v>#Refresh</v>
          </cell>
          <cell r="Q6" t="str">
            <v>#Refresh</v>
          </cell>
          <cell r="R6" t="str">
            <v>#Refresh</v>
          </cell>
          <cell r="S6" t="str">
            <v>#Refresh</v>
          </cell>
          <cell r="T6" t="e">
            <v>#VALUE!</v>
          </cell>
          <cell r="U6" t="str">
            <v>#Refresh</v>
          </cell>
          <cell r="V6" t="str">
            <v>Bangkok Bank</v>
          </cell>
          <cell r="W6" t="str">
            <v>ok</v>
          </cell>
        </row>
        <row r="7">
          <cell r="B7" t="str">
            <v>KBANf.BK</v>
          </cell>
          <cell r="C7" t="str">
            <v>#Refresh</v>
          </cell>
          <cell r="D7" t="str">
            <v>#Refresh</v>
          </cell>
          <cell r="E7" t="str">
            <v>#Refresh</v>
          </cell>
          <cell r="F7">
            <v>7188.9266264628423</v>
          </cell>
          <cell r="G7" t="str">
            <v>#Refresh</v>
          </cell>
          <cell r="H7" t="str">
            <v>#Refresh</v>
          </cell>
          <cell r="I7" t="e">
            <v>#VALUE!</v>
          </cell>
          <cell r="J7" t="str">
            <v>#Refresh</v>
          </cell>
          <cell r="K7" t="e">
            <v>#VALUE!</v>
          </cell>
          <cell r="L7" t="str">
            <v>#Refresh</v>
          </cell>
          <cell r="M7" t="str">
            <v>#Refresh</v>
          </cell>
          <cell r="N7" t="str">
            <v>#Refresh</v>
          </cell>
          <cell r="O7" t="str">
            <v>#Refresh</v>
          </cell>
          <cell r="P7" t="str">
            <v>#Refresh</v>
          </cell>
          <cell r="Q7" t="str">
            <v>#Refresh</v>
          </cell>
          <cell r="R7" t="str">
            <v>#Refresh</v>
          </cell>
          <cell r="S7" t="str">
            <v>#Refresh</v>
          </cell>
          <cell r="T7" t="e">
            <v>#VALUE!</v>
          </cell>
          <cell r="U7" t="str">
            <v>#Refresh</v>
          </cell>
          <cell r="V7" t="str">
            <v>Fubon Financial Holdings</v>
          </cell>
          <cell r="W7" t="str">
            <v>ok</v>
          </cell>
        </row>
        <row r="8">
          <cell r="B8" t="str">
            <v>0440.HK</v>
          </cell>
          <cell r="C8" t="str">
            <v>#Refresh</v>
          </cell>
          <cell r="D8" t="str">
            <v>#Refresh</v>
          </cell>
          <cell r="E8" t="str">
            <v>#Refresh</v>
          </cell>
          <cell r="F8">
            <v>10113.448977285569</v>
          </cell>
          <cell r="G8" t="str">
            <v>#Refresh</v>
          </cell>
          <cell r="H8" t="str">
            <v>#Refresh</v>
          </cell>
          <cell r="I8" t="e">
            <v>#VALUE!</v>
          </cell>
          <cell r="J8" t="str">
            <v>#Refresh</v>
          </cell>
          <cell r="K8" t="e">
            <v>#VALUE!</v>
          </cell>
          <cell r="L8" t="str">
            <v>#Refresh</v>
          </cell>
          <cell r="M8" t="str">
            <v>#Refresh</v>
          </cell>
          <cell r="N8" t="str">
            <v>#Refresh</v>
          </cell>
          <cell r="O8" t="str">
            <v>#Refresh</v>
          </cell>
          <cell r="P8" t="str">
            <v>#Refresh</v>
          </cell>
          <cell r="Q8" t="str">
            <v>#Refresh</v>
          </cell>
          <cell r="R8" t="str">
            <v>#Refresh</v>
          </cell>
          <cell r="S8" t="str">
            <v>#Refresh</v>
          </cell>
          <cell r="T8" t="e">
            <v>#VALUE!</v>
          </cell>
          <cell r="U8" t="str">
            <v>#Refresh</v>
          </cell>
          <cell r="V8" t="str">
            <v>ICICI Bank</v>
          </cell>
          <cell r="W8" t="str">
            <v>ok</v>
          </cell>
        </row>
        <row r="9">
          <cell r="B9" t="str">
            <v>060000.KS</v>
          </cell>
          <cell r="C9" t="str">
            <v>#Refresh</v>
          </cell>
          <cell r="D9" t="str">
            <v>#Refresh</v>
          </cell>
          <cell r="E9" t="str">
            <v>#Refresh</v>
          </cell>
          <cell r="F9">
            <v>7563.3123565158685</v>
          </cell>
          <cell r="G9" t="str">
            <v>#Refresh</v>
          </cell>
          <cell r="H9" t="str">
            <v>#Refresh</v>
          </cell>
          <cell r="I9" t="e">
            <v>#VALUE!</v>
          </cell>
          <cell r="J9" t="str">
            <v>#Refresh</v>
          </cell>
          <cell r="K9" t="e">
            <v>#VALUE!</v>
          </cell>
          <cell r="L9" t="str">
            <v>#Refresh</v>
          </cell>
          <cell r="M9" t="str">
            <v>#Refresh</v>
          </cell>
          <cell r="N9" t="str">
            <v>#Refresh</v>
          </cell>
          <cell r="O9" t="str">
            <v>#Refresh</v>
          </cell>
          <cell r="P9" t="str">
            <v>#Refresh</v>
          </cell>
          <cell r="Q9" t="str">
            <v>#Refresh</v>
          </cell>
          <cell r="R9" t="str">
            <v>#Refresh</v>
          </cell>
          <cell r="S9" t="str">
            <v>#Refresh</v>
          </cell>
          <cell r="T9" t="e">
            <v>#VALUE!</v>
          </cell>
          <cell r="U9" t="str">
            <v>#Refresh</v>
          </cell>
          <cell r="V9" t="str">
            <v>IDBI</v>
          </cell>
          <cell r="W9" t="str">
            <v>ok</v>
          </cell>
        </row>
        <row r="10">
          <cell r="B10" t="str">
            <v>DBSM.SI</v>
          </cell>
          <cell r="C10" t="str">
            <v>#Refresh</v>
          </cell>
          <cell r="D10" t="str">
            <v>#Refresh</v>
          </cell>
          <cell r="E10" t="str">
            <v>#Refresh</v>
          </cell>
          <cell r="F10">
            <v>25408.166839593279</v>
          </cell>
          <cell r="G10" t="str">
            <v>#Refresh</v>
          </cell>
          <cell r="H10" t="str">
            <v>#Refresh</v>
          </cell>
          <cell r="I10" t="e">
            <v>#VALUE!</v>
          </cell>
          <cell r="J10" t="str">
            <v>#Refresh</v>
          </cell>
          <cell r="K10" t="e">
            <v>#VALUE!</v>
          </cell>
          <cell r="L10" t="str">
            <v>#Refresh</v>
          </cell>
          <cell r="M10" t="str">
            <v>#Refresh</v>
          </cell>
          <cell r="N10" t="str">
            <v>#Refresh</v>
          </cell>
          <cell r="O10" t="str">
            <v>#Refresh</v>
          </cell>
          <cell r="P10" t="str">
            <v>#Refresh</v>
          </cell>
          <cell r="Q10" t="str">
            <v>#Refresh</v>
          </cell>
          <cell r="R10" t="str">
            <v>#Refresh</v>
          </cell>
          <cell r="S10" t="str">
            <v>#Refresh</v>
          </cell>
          <cell r="T10" t="e">
            <v>#VALUE!</v>
          </cell>
          <cell r="U10" t="str">
            <v>#Refresh</v>
          </cell>
          <cell r="V10" t="str">
            <v>Kookmin Bank</v>
          </cell>
          <cell r="W10" t="str">
            <v>ok</v>
          </cell>
        </row>
        <row r="11">
          <cell r="P11" t="str">
            <v>Focus stocl ave</v>
          </cell>
          <cell r="T11" t="e">
            <v>#VALUE!</v>
          </cell>
          <cell r="U11" t="e">
            <v>#DIV/0!</v>
          </cell>
          <cell r="V11" t="str">
            <v>Focus stocl ave</v>
          </cell>
          <cell r="W11" t="str">
            <v>ok</v>
          </cell>
        </row>
        <row r="12">
          <cell r="P12" t="str">
            <v>Asia averge</v>
          </cell>
          <cell r="T12">
            <v>0.1</v>
          </cell>
          <cell r="U12">
            <v>12.45</v>
          </cell>
          <cell r="V12" t="str">
            <v>Asia averge</v>
          </cell>
        </row>
        <row r="14">
          <cell r="B14" t="str">
            <v>e=Morgan Stanley Estimates.  All other values are actual.</v>
          </cell>
        </row>
        <row r="16">
          <cell r="B16" t="str">
            <v>ND = Not Disclosed, NA = Not Available, and NM = Non Meaningful</v>
          </cell>
        </row>
        <row r="18">
          <cell r="B18" t="str">
            <v>Consensus EPS provided by Thomson Financial/First Call</v>
          </cell>
        </row>
        <row r="20">
          <cell r="B20" t="str">
            <v>Ratios for companies are based on the currency reported by the companies unless explicitly noted.</v>
          </cell>
        </row>
        <row r="22">
          <cell r="B22" t="str">
            <v xml:space="preserve">Although the information provided to you on this site is obtained or compiled from sources we believe to be reliable, </v>
          </cell>
        </row>
        <row r="23">
          <cell r="B23" t="str">
            <v xml:space="preserve">Morgan Stanley cannot and does not guarantee the accuracy, validity, timeliness or completeness of any information or </v>
          </cell>
        </row>
        <row r="24">
          <cell r="B24" t="str">
            <v>data made available to you for any particular purpose.</v>
          </cell>
        </row>
      </sheetData>
      <sheetData sheetId="22"/>
      <sheetData sheetId="23" refreshError="1">
        <row r="1">
          <cell r="A1" t="str">
            <v>LONG PORTFOLIO (in US$)</v>
          </cell>
        </row>
        <row r="2">
          <cell r="B2" t="str">
            <v>FactSet</v>
          </cell>
          <cell r="C2">
            <v>38576</v>
          </cell>
          <cell r="D2">
            <v>38630</v>
          </cell>
          <cell r="F2" t="str">
            <v>% Chg</v>
          </cell>
          <cell r="H2" t="str">
            <v>Contribution to</v>
          </cell>
          <cell r="J2" t="str">
            <v>Rel. % Chg.</v>
          </cell>
          <cell r="L2" t="str">
            <v>Contribution to</v>
          </cell>
        </row>
        <row r="3">
          <cell r="A3" t="str">
            <v>(US$)</v>
          </cell>
          <cell r="B3" t="str">
            <v>Code</v>
          </cell>
          <cell r="C3" t="str">
            <v>Price at Start</v>
          </cell>
          <cell r="D3" t="str">
            <v>Price at End</v>
          </cell>
          <cell r="F3" t="str">
            <v>Over Period</v>
          </cell>
          <cell r="H3" t="str">
            <v>Abs. Perf. Index</v>
          </cell>
          <cell r="J3" t="str">
            <v>Over Period</v>
          </cell>
          <cell r="L3" t="str">
            <v>Rel. Perf. Index</v>
          </cell>
        </row>
        <row r="4">
          <cell r="A4" t="str">
            <v>MSCI Asia Ex-Japan Banks</v>
          </cell>
          <cell r="B4">
            <v>107948</v>
          </cell>
          <cell r="C4">
            <v>166.2757</v>
          </cell>
          <cell r="D4">
            <v>167.02510000000001</v>
          </cell>
          <cell r="F4">
            <v>0.45069724559874125</v>
          </cell>
        </row>
        <row r="5">
          <cell r="A5" t="str">
            <v>Absolute Performance Index</v>
          </cell>
          <cell r="C5">
            <v>100</v>
          </cell>
          <cell r="D5">
            <v>100.82005121390188</v>
          </cell>
          <cell r="F5">
            <v>0.82005121390187696</v>
          </cell>
        </row>
        <row r="6">
          <cell r="A6" t="str">
            <v>Relative Performance Index</v>
          </cell>
          <cell r="C6">
            <v>100</v>
          </cell>
          <cell r="D6">
            <v>100.36935396830313</v>
          </cell>
          <cell r="F6">
            <v>0.36935396830313572</v>
          </cell>
        </row>
        <row r="7">
          <cell r="A7" t="str">
            <v>Bangkok Bank</v>
          </cell>
          <cell r="B7">
            <v>607700</v>
          </cell>
          <cell r="C7">
            <v>2.4103749999999997</v>
          </cell>
          <cell r="D7">
            <v>2.4856819999999997</v>
          </cell>
          <cell r="F7">
            <v>3.1242856402012187</v>
          </cell>
          <cell r="H7">
            <v>0.62485712804024374</v>
          </cell>
          <cell r="J7">
            <v>2.6735883946024774</v>
          </cell>
          <cell r="L7">
            <v>0.53471767892049549</v>
          </cell>
        </row>
        <row r="8">
          <cell r="A8" t="str">
            <v>Kasikornbank</v>
          </cell>
          <cell r="B8">
            <v>688878</v>
          </cell>
          <cell r="C8">
            <v>1.4193069999999999</v>
          </cell>
          <cell r="D8">
            <v>1.4865359999999999</v>
          </cell>
          <cell r="F8">
            <v>4.7367482863115651</v>
          </cell>
          <cell r="H8">
            <v>0.94734965726231302</v>
          </cell>
          <cell r="J8">
            <v>4.2860510407128238</v>
          </cell>
          <cell r="L8">
            <v>0.85721020814256477</v>
          </cell>
        </row>
        <row r="9">
          <cell r="A9" t="str">
            <v>Dah Sing Financial</v>
          </cell>
          <cell r="B9">
            <v>624979</v>
          </cell>
          <cell r="C9">
            <v>7.3817959999999996</v>
          </cell>
          <cell r="D9">
            <v>6.6270569999999998</v>
          </cell>
          <cell r="F9">
            <v>-10.224327521378262</v>
          </cell>
          <cell r="H9">
            <v>-2.0448655042756525</v>
          </cell>
          <cell r="J9">
            <v>-10.675024766977003</v>
          </cell>
          <cell r="L9">
            <v>-2.1350049533954008</v>
          </cell>
        </row>
        <row r="10">
          <cell r="A10" t="str">
            <v>Kookmin Bank</v>
          </cell>
          <cell r="B10">
            <v>641936</v>
          </cell>
          <cell r="C10">
            <v>54.509610000000002</v>
          </cell>
          <cell r="D10">
            <v>58.682050000000004</v>
          </cell>
          <cell r="F10">
            <v>7.6545034903019893</v>
          </cell>
          <cell r="H10">
            <v>1.5309006980603979</v>
          </cell>
          <cell r="J10">
            <v>7.203806244703248</v>
          </cell>
          <cell r="L10">
            <v>1.4407612489406496</v>
          </cell>
        </row>
        <row r="11">
          <cell r="A11" t="str">
            <v>DBS</v>
          </cell>
          <cell r="B11">
            <v>617520</v>
          </cell>
          <cell r="C11">
            <v>9.5684649999999998</v>
          </cell>
          <cell r="D11">
            <v>9.4545089999999998</v>
          </cell>
          <cell r="F11">
            <v>-1.1909538259271435</v>
          </cell>
          <cell r="H11">
            <v>-0.2381907651854287</v>
          </cell>
          <cell r="J11">
            <v>-1.6416510715258847</v>
          </cell>
          <cell r="L11">
            <v>-0.32833021430517695</v>
          </cell>
        </row>
        <row r="12">
          <cell r="E12" t="str">
            <v>Ave.</v>
          </cell>
          <cell r="F12">
            <v>0.82005121390187341</v>
          </cell>
          <cell r="G12" t="str">
            <v>Total</v>
          </cell>
          <cell r="H12">
            <v>0.82005121390187341</v>
          </cell>
          <cell r="I12" t="str">
            <v>Ave.</v>
          </cell>
          <cell r="J12">
            <v>0.36935396830313227</v>
          </cell>
          <cell r="K12" t="str">
            <v>Total</v>
          </cell>
          <cell r="L12">
            <v>0.36935396830313216</v>
          </cell>
        </row>
        <row r="17">
          <cell r="A17" t="str">
            <v>SHORT PORTFOLIO (US$)</v>
          </cell>
        </row>
        <row r="18">
          <cell r="B18" t="str">
            <v>FactSet</v>
          </cell>
          <cell r="C18">
            <v>38576</v>
          </cell>
          <cell r="D18">
            <v>38630</v>
          </cell>
          <cell r="F18" t="str">
            <v>% Chg</v>
          </cell>
          <cell r="H18" t="str">
            <v>Contribution to</v>
          </cell>
          <cell r="J18" t="str">
            <v>Rel. % Chg.</v>
          </cell>
          <cell r="L18" t="str">
            <v>Contribution to</v>
          </cell>
        </row>
        <row r="19">
          <cell r="A19" t="str">
            <v>(US$)</v>
          </cell>
          <cell r="B19" t="str">
            <v>Code</v>
          </cell>
          <cell r="C19" t="str">
            <v>Price at Start</v>
          </cell>
          <cell r="D19" t="str">
            <v>Price at End</v>
          </cell>
          <cell r="F19" t="str">
            <v>Over Period</v>
          </cell>
          <cell r="H19" t="str">
            <v>Abs. Perf. Index</v>
          </cell>
          <cell r="J19" t="str">
            <v>Over Period</v>
          </cell>
          <cell r="L19" t="str">
            <v>Rel. Perf. Index</v>
          </cell>
        </row>
        <row r="20">
          <cell r="A20" t="str">
            <v>MSCI Asia Ex-Japan Banks</v>
          </cell>
          <cell r="B20">
            <v>107948</v>
          </cell>
          <cell r="C20">
            <v>166.2757</v>
          </cell>
          <cell r="D20">
            <v>167.02510000000001</v>
          </cell>
          <cell r="F20">
            <v>0.45069724559874125</v>
          </cell>
        </row>
        <row r="21">
          <cell r="A21" t="str">
            <v>Absolute Performance Index</v>
          </cell>
          <cell r="C21">
            <v>100</v>
          </cell>
          <cell r="D21">
            <v>96.477939338169563</v>
          </cell>
          <cell r="F21">
            <v>-3.5220606618304373</v>
          </cell>
        </row>
        <row r="22">
          <cell r="A22" t="str">
            <v>Relative Performance Index</v>
          </cell>
          <cell r="C22">
            <v>100</v>
          </cell>
          <cell r="D22">
            <v>96.027242092570816</v>
          </cell>
          <cell r="F22">
            <v>-3.9727579074291786</v>
          </cell>
        </row>
        <row r="23">
          <cell r="A23" t="str">
            <v>Bank of China (HK)</v>
          </cell>
          <cell r="B23">
            <v>653611</v>
          </cell>
          <cell r="C23">
            <v>2.1302309999999998</v>
          </cell>
          <cell r="D23">
            <v>1.9919849999999999</v>
          </cell>
          <cell r="F23">
            <v>-6.4897187206457874</v>
          </cell>
          <cell r="H23">
            <v>-1.2979437441291575</v>
          </cell>
          <cell r="J23">
            <v>-6.9404159662445286</v>
          </cell>
          <cell r="L23">
            <v>-1.3880831932489057</v>
          </cell>
        </row>
        <row r="24">
          <cell r="A24" t="str">
            <v>Corporation Bank</v>
          </cell>
          <cell r="B24">
            <v>610099</v>
          </cell>
          <cell r="C24">
            <v>10.032187</v>
          </cell>
          <cell r="D24">
            <v>9.5873369999999998</v>
          </cell>
          <cell r="F24">
            <v>-4.4342275517790908</v>
          </cell>
          <cell r="H24">
            <v>-0.88684551035581816</v>
          </cell>
          <cell r="J24">
            <v>-4.884924797377832</v>
          </cell>
          <cell r="L24">
            <v>-0.97698495947556641</v>
          </cell>
        </row>
        <row r="25">
          <cell r="A25" t="str">
            <v>UOB</v>
          </cell>
          <cell r="B25">
            <v>629438</v>
          </cell>
          <cell r="C25">
            <v>0.62376699999999996</v>
          </cell>
          <cell r="D25">
            <v>0.62045209999999995</v>
          </cell>
          <cell r="F25">
            <v>-0.53143240985816798</v>
          </cell>
          <cell r="H25">
            <v>-0.1062864819716336</v>
          </cell>
          <cell r="J25">
            <v>-0.98212965545690922</v>
          </cell>
          <cell r="L25">
            <v>-0.19642593109138184</v>
          </cell>
        </row>
        <row r="26">
          <cell r="A26" t="str">
            <v>Hang Seng Bank</v>
          </cell>
          <cell r="B26">
            <v>640837</v>
          </cell>
          <cell r="C26">
            <v>13.862587999999999</v>
          </cell>
          <cell r="D26">
            <v>13.370151</v>
          </cell>
          <cell r="F26">
            <v>-3.5522732118995259</v>
          </cell>
          <cell r="H26">
            <v>-0.71045464237990519</v>
          </cell>
          <cell r="J26">
            <v>-4.0029704574982672</v>
          </cell>
          <cell r="L26">
            <v>-0.80059409149965344</v>
          </cell>
        </row>
        <row r="27">
          <cell r="A27" t="str">
            <v>Bank of East Asia</v>
          </cell>
          <cell r="B27">
            <v>607564</v>
          </cell>
          <cell r="C27">
            <v>3.0247999999999999</v>
          </cell>
          <cell r="D27">
            <v>2.946075</v>
          </cell>
          <cell r="F27">
            <v>-2.6026514149695812</v>
          </cell>
          <cell r="H27">
            <v>-0.52053028299391624</v>
          </cell>
          <cell r="J27">
            <v>-3.0533486605683224</v>
          </cell>
          <cell r="L27">
            <v>-0.61066973211366449</v>
          </cell>
        </row>
        <row r="28">
          <cell r="E28" t="str">
            <v>Ave.</v>
          </cell>
          <cell r="F28">
            <v>-3.5220606618304311</v>
          </cell>
          <cell r="G28" t="str">
            <v>Total</v>
          </cell>
          <cell r="H28">
            <v>-3.5220606618304307</v>
          </cell>
          <cell r="I28" t="str">
            <v>Ave.</v>
          </cell>
          <cell r="J28">
            <v>-3.9727579074291719</v>
          </cell>
          <cell r="K28" t="str">
            <v>Total</v>
          </cell>
          <cell r="L28">
            <v>-3.9727579074291719</v>
          </cell>
        </row>
        <row r="31">
          <cell r="A31" t="str">
            <v>LONG PORTFOLIO (Local ccy)</v>
          </cell>
        </row>
        <row r="32">
          <cell r="B32" t="str">
            <v>FactSet</v>
          </cell>
          <cell r="C32">
            <v>38576</v>
          </cell>
          <cell r="D32">
            <v>38630</v>
          </cell>
          <cell r="F32" t="str">
            <v>% Chg</v>
          </cell>
          <cell r="H32" t="str">
            <v>Contribution to</v>
          </cell>
          <cell r="J32" t="str">
            <v>Rel. % Chg.</v>
          </cell>
          <cell r="L32" t="str">
            <v>Contribution to</v>
          </cell>
        </row>
        <row r="33">
          <cell r="A33" t="str">
            <v>(Local Curr.)</v>
          </cell>
          <cell r="B33" t="str">
            <v>Code</v>
          </cell>
          <cell r="C33" t="str">
            <v>Price at Start</v>
          </cell>
          <cell r="D33" t="str">
            <v>Price at End</v>
          </cell>
          <cell r="F33" t="str">
            <v>Over Period</v>
          </cell>
          <cell r="H33" t="str">
            <v>Abs. Perf. Index</v>
          </cell>
          <cell r="J33" t="str">
            <v>Over Period</v>
          </cell>
          <cell r="L33" t="str">
            <v>Rel. Perf. Index</v>
          </cell>
        </row>
        <row r="34">
          <cell r="A34" t="str">
            <v>MSCI Asia Ex-Japan Banks</v>
          </cell>
          <cell r="B34">
            <v>107948</v>
          </cell>
          <cell r="C34">
            <v>166.2757</v>
          </cell>
          <cell r="D34">
            <v>167.02510000000001</v>
          </cell>
          <cell r="F34">
            <v>0.45069724559874125</v>
          </cell>
        </row>
        <row r="35">
          <cell r="A35" t="str">
            <v>Absolute Performance Index</v>
          </cell>
          <cell r="C35">
            <v>100</v>
          </cell>
          <cell r="D35">
            <v>101.98481183102589</v>
          </cell>
          <cell r="F35">
            <v>1.984811831025894</v>
          </cell>
        </row>
        <row r="36">
          <cell r="A36" t="str">
            <v>Relative Performance Index</v>
          </cell>
          <cell r="C36">
            <v>100</v>
          </cell>
          <cell r="D36">
            <v>101.53411458542715</v>
          </cell>
          <cell r="F36">
            <v>1.5341145854271527</v>
          </cell>
        </row>
        <row r="37">
          <cell r="A37" t="str">
            <v>Bangkok Bank</v>
          </cell>
          <cell r="B37">
            <v>607700</v>
          </cell>
          <cell r="C37">
            <v>98.5</v>
          </cell>
          <cell r="D37">
            <v>102</v>
          </cell>
          <cell r="F37">
            <v>3.5532994923857864</v>
          </cell>
          <cell r="H37">
            <v>0.71065989847715727</v>
          </cell>
          <cell r="J37">
            <v>3.1026022467870451</v>
          </cell>
          <cell r="L37">
            <v>0.62052044935740902</v>
          </cell>
        </row>
        <row r="38">
          <cell r="A38" t="str">
            <v>Kasikornbank</v>
          </cell>
          <cell r="B38">
            <v>688878</v>
          </cell>
          <cell r="C38">
            <v>58</v>
          </cell>
          <cell r="D38">
            <v>61</v>
          </cell>
          <cell r="F38">
            <v>5.1724137931034475</v>
          </cell>
          <cell r="H38">
            <v>1.0344827586206895</v>
          </cell>
          <cell r="J38">
            <v>4.7217165475047063</v>
          </cell>
          <cell r="L38">
            <v>0.94434330950094125</v>
          </cell>
        </row>
        <row r="39">
          <cell r="A39" t="str">
            <v>Dah Sing Financial</v>
          </cell>
          <cell r="B39">
            <v>624979</v>
          </cell>
          <cell r="C39">
            <v>57.35</v>
          </cell>
          <cell r="D39">
            <v>51.400000000000006</v>
          </cell>
          <cell r="F39">
            <v>-10.374891020052301</v>
          </cell>
          <cell r="H39">
            <v>-2.0749782040104603</v>
          </cell>
          <cell r="J39">
            <v>-10.825588265651042</v>
          </cell>
          <cell r="L39">
            <v>-2.1651176531302085</v>
          </cell>
        </row>
        <row r="40">
          <cell r="A40" t="str">
            <v>Kookmin Bank</v>
          </cell>
          <cell r="B40">
            <v>641936</v>
          </cell>
          <cell r="C40">
            <v>55300</v>
          </cell>
          <cell r="D40">
            <v>61000</v>
          </cell>
          <cell r="F40">
            <v>10.307414104882451</v>
          </cell>
          <cell r="H40">
            <v>2.0614828209764902</v>
          </cell>
          <cell r="J40">
            <v>9.8567168592837096</v>
          </cell>
          <cell r="L40">
            <v>1.9713433718567419</v>
          </cell>
        </row>
        <row r="41">
          <cell r="A41" t="str">
            <v>DBS</v>
          </cell>
          <cell r="B41">
            <v>617520</v>
          </cell>
          <cell r="C41">
            <v>15.8</v>
          </cell>
          <cell r="D41">
            <v>16</v>
          </cell>
          <cell r="F41">
            <v>1.2658227848101111</v>
          </cell>
          <cell r="H41">
            <v>0.25316455696202222</v>
          </cell>
          <cell r="J41">
            <v>0.81512553921136988</v>
          </cell>
          <cell r="L41">
            <v>0.16302510784227398</v>
          </cell>
        </row>
        <row r="42">
          <cell r="E42" t="str">
            <v>Ave.</v>
          </cell>
          <cell r="F42">
            <v>1.9848118310258989</v>
          </cell>
          <cell r="G42" t="str">
            <v>Total</v>
          </cell>
          <cell r="H42">
            <v>1.9848118310258989</v>
          </cell>
          <cell r="I42" t="str">
            <v>Ave.</v>
          </cell>
          <cell r="J42">
            <v>1.5341145854271576</v>
          </cell>
          <cell r="K42" t="str">
            <v>Total</v>
          </cell>
          <cell r="L42">
            <v>1.5341145854271576</v>
          </cell>
        </row>
        <row r="47">
          <cell r="A47" t="str">
            <v>SHORT PORTFOLIO (Local ccy)</v>
          </cell>
        </row>
        <row r="48">
          <cell r="B48" t="str">
            <v>FactSet</v>
          </cell>
          <cell r="C48">
            <v>38576</v>
          </cell>
          <cell r="D48">
            <v>38630</v>
          </cell>
          <cell r="F48" t="str">
            <v>% Chg</v>
          </cell>
          <cell r="H48" t="str">
            <v>Contribution to</v>
          </cell>
          <cell r="J48" t="str">
            <v>Rel. % Chg.</v>
          </cell>
          <cell r="L48" t="str">
            <v>Contribution to</v>
          </cell>
        </row>
        <row r="49">
          <cell r="A49" t="str">
            <v>(Local Curr.)</v>
          </cell>
          <cell r="B49" t="str">
            <v>Code</v>
          </cell>
          <cell r="C49" t="str">
            <v>Price at Start</v>
          </cell>
          <cell r="D49" t="str">
            <v>Price at End</v>
          </cell>
          <cell r="F49" t="str">
            <v>Over Period</v>
          </cell>
          <cell r="H49" t="str">
            <v>Abs. Perf. Index</v>
          </cell>
          <cell r="J49" t="str">
            <v>Over Period</v>
          </cell>
          <cell r="L49" t="str">
            <v>Rel. Perf. Index</v>
          </cell>
        </row>
        <row r="50">
          <cell r="A50" t="str">
            <v>MSCI Asia Ex-Japan Banks</v>
          </cell>
          <cell r="B50">
            <v>107948</v>
          </cell>
          <cell r="C50">
            <v>166.2757</v>
          </cell>
          <cell r="D50">
            <v>167.02510000000001</v>
          </cell>
          <cell r="F50">
            <v>0.45069724559874125</v>
          </cell>
        </row>
        <row r="51">
          <cell r="A51" t="str">
            <v>Absolute Performance Index</v>
          </cell>
          <cell r="C51">
            <v>100</v>
          </cell>
          <cell r="D51">
            <v>97.196989447805734</v>
          </cell>
          <cell r="F51">
            <v>-2.8030105521942659</v>
          </cell>
        </row>
        <row r="52">
          <cell r="A52" t="str">
            <v>Relative Performance Index</v>
          </cell>
          <cell r="C52">
            <v>100</v>
          </cell>
          <cell r="D52">
            <v>96.746292202206988</v>
          </cell>
          <cell r="F52">
            <v>-3.2537077977930071</v>
          </cell>
        </row>
        <row r="53">
          <cell r="A53" t="str">
            <v>Bank of China (HK)</v>
          </cell>
          <cell r="B53">
            <v>653611</v>
          </cell>
          <cell r="C53">
            <v>16.55</v>
          </cell>
          <cell r="D53">
            <v>15.450000000000001</v>
          </cell>
          <cell r="F53">
            <v>-6.6465256797583088</v>
          </cell>
          <cell r="H53">
            <v>-1.3293051359516617</v>
          </cell>
          <cell r="J53">
            <v>-7.09722292535705</v>
          </cell>
          <cell r="L53">
            <v>-1.4194445850714099</v>
          </cell>
        </row>
        <row r="54">
          <cell r="A54" t="str">
            <v>Corporation Bank</v>
          </cell>
          <cell r="B54">
            <v>610099</v>
          </cell>
          <cell r="C54">
            <v>436.35</v>
          </cell>
          <cell r="D54">
            <v>424</v>
          </cell>
          <cell r="F54">
            <v>-2.8302967801077217</v>
          </cell>
          <cell r="H54">
            <v>-0.56605935602154434</v>
          </cell>
          <cell r="J54">
            <v>-3.2809940257064629</v>
          </cell>
          <cell r="L54">
            <v>-0.65619880514129258</v>
          </cell>
        </row>
        <row r="55">
          <cell r="A55" t="str">
            <v>UOB</v>
          </cell>
          <cell r="B55">
            <v>629438</v>
          </cell>
          <cell r="C55">
            <v>1.03</v>
          </cell>
          <cell r="D55">
            <v>1.05</v>
          </cell>
          <cell r="F55">
            <v>1.9417475728155331</v>
          </cell>
          <cell r="H55">
            <v>0.38834951456310662</v>
          </cell>
          <cell r="J55">
            <v>1.4910503272167919</v>
          </cell>
          <cell r="L55">
            <v>0.29821006544335837</v>
          </cell>
        </row>
        <row r="56">
          <cell r="A56" t="str">
            <v>Hang Seng Bank</v>
          </cell>
          <cell r="B56">
            <v>640837</v>
          </cell>
          <cell r="C56">
            <v>107.7</v>
          </cell>
          <cell r="D56">
            <v>103.7</v>
          </cell>
          <cell r="F56">
            <v>-3.7140204271123523</v>
          </cell>
          <cell r="H56">
            <v>-0.74280408542247045</v>
          </cell>
          <cell r="J56">
            <v>-4.1647176727110935</v>
          </cell>
          <cell r="L56">
            <v>-0.8329435345422187</v>
          </cell>
        </row>
        <row r="57">
          <cell r="A57" t="str">
            <v>Bank of East Asia</v>
          </cell>
          <cell r="B57">
            <v>607564</v>
          </cell>
          <cell r="C57">
            <v>23.5</v>
          </cell>
          <cell r="D57">
            <v>22.85</v>
          </cell>
          <cell r="F57">
            <v>-2.7659574468085091</v>
          </cell>
          <cell r="H57">
            <v>-0.55319148936170182</v>
          </cell>
          <cell r="J57">
            <v>-3.2166546924072503</v>
          </cell>
          <cell r="L57">
            <v>-0.64333093848145007</v>
          </cell>
        </row>
        <row r="58">
          <cell r="E58" t="str">
            <v>Ave.</v>
          </cell>
          <cell r="F58">
            <v>-2.8030105521942716</v>
          </cell>
          <cell r="G58" t="str">
            <v>Total</v>
          </cell>
          <cell r="H58">
            <v>-2.8030105521942716</v>
          </cell>
          <cell r="I58" t="str">
            <v>Ave.</v>
          </cell>
          <cell r="J58">
            <v>-3.2537077977930133</v>
          </cell>
          <cell r="K58" t="str">
            <v>Total</v>
          </cell>
          <cell r="L58">
            <v>-3.2537077977930129</v>
          </cell>
        </row>
        <row r="66">
          <cell r="A66" t="str">
            <v>Key Characteristics of Performance Tracking Methodology</v>
          </cell>
        </row>
        <row r="67">
          <cell r="A67" t="str">
            <v>Initial Portfolio Price</v>
          </cell>
          <cell r="C67" t="str">
            <v>100 at 01 Jan 2004</v>
          </cell>
        </row>
        <row r="68">
          <cell r="A68" t="str">
            <v>Weighting</v>
          </cell>
          <cell r="C68" t="str">
            <v>Equal Weighted (or non-weighted)</v>
          </cell>
        </row>
        <row r="69">
          <cell r="A69" t="str">
            <v>Currency Hedging</v>
          </cell>
          <cell r="C69" t="str">
            <v>None</v>
          </cell>
        </row>
        <row r="70">
          <cell r="A70" t="str">
            <v>Trading Costs</v>
          </cell>
          <cell r="C70" t="str">
            <v>None</v>
          </cell>
        </row>
        <row r="71">
          <cell r="A71" t="str">
            <v>Number of Stocks in Portfolio</v>
          </cell>
          <cell r="C71" t="str">
            <v>No discipline on number of stocks</v>
          </cell>
        </row>
        <row r="72">
          <cell r="A72" t="str">
            <v>Portfolio Changes/Rebalancing</v>
          </cell>
          <cell r="C72" t="str">
            <v>The Portfolio is rebalanced and equally weighted</v>
          </cell>
        </row>
      </sheetData>
      <sheetData sheetId="24" refreshError="1">
        <row r="1">
          <cell r="A1" t="str">
            <v>Price - Closing - US Dollars</v>
          </cell>
        </row>
        <row r="2">
          <cell r="G2" t="str">
            <v>US$Price</v>
          </cell>
        </row>
        <row r="3">
          <cell r="B3" t="str">
            <v>BANGKOK BANK</v>
          </cell>
          <cell r="C3" t="str">
            <v>KASIKORNBANK PLC</v>
          </cell>
          <cell r="D3" t="str">
            <v>DAH SING FINANCIAL</v>
          </cell>
          <cell r="E3" t="str">
            <v>KOOKMIN BANK</v>
          </cell>
          <cell r="F3" t="str">
            <v>DBS GROUP HLDGS</v>
          </cell>
          <cell r="G3" t="str">
            <v>MSCI AC ASIA PACIFIC EX JP /</v>
          </cell>
          <cell r="I3" t="str">
            <v>Absolute Performance</v>
          </cell>
        </row>
        <row r="4">
          <cell r="A4" t="str">
            <v xml:space="preserve"> </v>
          </cell>
          <cell r="B4" t="str">
            <v>BangKok</v>
          </cell>
          <cell r="C4" t="str">
            <v>KBANKf</v>
          </cell>
          <cell r="D4" t="str">
            <v>DSF</v>
          </cell>
          <cell r="E4" t="str">
            <v>Kookmin</v>
          </cell>
          <cell r="F4" t="str">
            <v>DBS</v>
          </cell>
          <cell r="I4" t="str">
            <v>BangKok</v>
          </cell>
          <cell r="J4" t="str">
            <v>KBANKf</v>
          </cell>
          <cell r="K4" t="str">
            <v>DSF</v>
          </cell>
          <cell r="L4" t="str">
            <v>Kookmin</v>
          </cell>
          <cell r="M4" t="str">
            <v>DBS</v>
          </cell>
          <cell r="N4" t="str">
            <v>Absolute Performance</v>
          </cell>
          <cell r="P4" t="str">
            <v>Relative Performance</v>
          </cell>
        </row>
        <row r="5">
          <cell r="A5" t="str">
            <v>12/08/2005</v>
          </cell>
          <cell r="B5">
            <v>2.4103749999999997</v>
          </cell>
          <cell r="C5">
            <v>1.4193069999999999</v>
          </cell>
          <cell r="D5">
            <v>7.3817959999999996</v>
          </cell>
          <cell r="E5">
            <v>54.509610000000002</v>
          </cell>
          <cell r="F5">
            <v>9.5684649999999998</v>
          </cell>
          <cell r="G5">
            <v>166.2757</v>
          </cell>
          <cell r="I5">
            <v>100</v>
          </cell>
          <cell r="J5">
            <v>100</v>
          </cell>
          <cell r="K5">
            <v>100</v>
          </cell>
          <cell r="L5">
            <v>100</v>
          </cell>
          <cell r="M5">
            <v>100</v>
          </cell>
          <cell r="N5">
            <v>100</v>
          </cell>
          <cell r="P5">
            <v>100</v>
          </cell>
        </row>
        <row r="6">
          <cell r="A6" t="str">
            <v>15/08/2005</v>
          </cell>
          <cell r="B6">
            <v>2.4033169999999999</v>
          </cell>
          <cell r="C6">
            <v>1.402952</v>
          </cell>
          <cell r="D6">
            <v>7.4272329999999993</v>
          </cell>
          <cell r="E6">
            <v>54.509610000000002</v>
          </cell>
          <cell r="F6">
            <v>9.4618489999999991</v>
          </cell>
          <cell r="G6">
            <v>164.1979</v>
          </cell>
          <cell r="I6">
            <v>99.707182492350782</v>
          </cell>
          <cell r="J6">
            <v>98.847677070570356</v>
          </cell>
          <cell r="K6">
            <v>100.61552771168425</v>
          </cell>
          <cell r="L6">
            <v>100</v>
          </cell>
          <cell r="M6">
            <v>98.885756492812575</v>
          </cell>
          <cell r="N6">
            <v>99.611228753483587</v>
          </cell>
          <cell r="P6">
            <v>100.87173337080199</v>
          </cell>
        </row>
        <row r="7">
          <cell r="A7" t="str">
            <v>16/08/2005</v>
          </cell>
          <cell r="B7">
            <v>2.370072</v>
          </cell>
          <cell r="C7">
            <v>1.38558</v>
          </cell>
          <cell r="D7">
            <v>7.4560449999999996</v>
          </cell>
          <cell r="E7">
            <v>53.325460000000007</v>
          </cell>
          <cell r="F7">
            <v>9.538727999999999</v>
          </cell>
          <cell r="G7">
            <v>164.73940000000002</v>
          </cell>
          <cell r="I7">
            <v>98.327936524399746</v>
          </cell>
          <cell r="J7">
            <v>97.623699453324761</v>
          </cell>
          <cell r="K7">
            <v>101.00583922936912</v>
          </cell>
          <cell r="L7">
            <v>97.827630760887857</v>
          </cell>
          <cell r="M7">
            <v>99.689218699133036</v>
          </cell>
          <cell r="N7">
            <v>98.894864933422895</v>
          </cell>
          <cell r="P7">
            <v>99.817122638605852</v>
          </cell>
        </row>
        <row r="8">
          <cell r="A8" t="str">
            <v>17/08/2005</v>
          </cell>
          <cell r="B8">
            <v>2.362063</v>
          </cell>
          <cell r="C8">
            <v>1.393011</v>
          </cell>
          <cell r="D8">
            <v>7.3085739999999992</v>
          </cell>
          <cell r="E8">
            <v>53.730170000000001</v>
          </cell>
          <cell r="F8">
            <v>9.4063610000000004</v>
          </cell>
          <cell r="G8">
            <v>164.464</v>
          </cell>
          <cell r="I8">
            <v>97.995664575014274</v>
          </cell>
          <cell r="J8">
            <v>98.147264827130428</v>
          </cell>
          <cell r="K8">
            <v>99.008073374013577</v>
          </cell>
          <cell r="L8">
            <v>98.570086999338287</v>
          </cell>
          <cell r="M8">
            <v>98.305851565533246</v>
          </cell>
          <cell r="N8">
            <v>98.405388268205968</v>
          </cell>
          <cell r="P8">
            <v>99.489400829772691</v>
          </cell>
        </row>
        <row r="9">
          <cell r="A9" t="str">
            <v>18/08/2005</v>
          </cell>
          <cell r="B9">
            <v>2.3846989999999999</v>
          </cell>
          <cell r="C9">
            <v>1.4283979999999998</v>
          </cell>
          <cell r="D9">
            <v>6.5505719999999998</v>
          </cell>
          <cell r="E9">
            <v>52.029340000000005</v>
          </cell>
          <cell r="F9">
            <v>9.3031620000000004</v>
          </cell>
          <cell r="G9">
            <v>162.08930000000001</v>
          </cell>
          <cell r="I9">
            <v>98.934771560441845</v>
          </cell>
          <cell r="J9">
            <v>100.64052386129288</v>
          </cell>
          <cell r="K9">
            <v>88.739542517837123</v>
          </cell>
          <cell r="L9">
            <v>95.44984820107868</v>
          </cell>
          <cell r="M9">
            <v>97.227319115448523</v>
          </cell>
          <cell r="N9">
            <v>96.198401051219804</v>
          </cell>
          <cell r="P9">
            <v>98.682988165611846</v>
          </cell>
        </row>
        <row r="10">
          <cell r="A10" t="str">
            <v>19/08/2005</v>
          </cell>
          <cell r="B10">
            <v>2.3878789999999999</v>
          </cell>
          <cell r="C10">
            <v>1.4303029999999999</v>
          </cell>
          <cell r="D10">
            <v>6.7040629999999997</v>
          </cell>
          <cell r="E10">
            <v>50.997020000000006</v>
          </cell>
          <cell r="F10">
            <v>9.220243</v>
          </cell>
          <cell r="G10">
            <v>161.1788</v>
          </cell>
          <cell r="I10">
            <v>99.066701239433712</v>
          </cell>
          <cell r="J10">
            <v>100.77474429422246</v>
          </cell>
          <cell r="K10">
            <v>90.81886034238822</v>
          </cell>
          <cell r="L10">
            <v>93.556017003240356</v>
          </cell>
          <cell r="M10">
            <v>96.360732886622884</v>
          </cell>
          <cell r="N10">
            <v>96.115411153181526</v>
          </cell>
          <cell r="P10">
            <v>99.154834694656287</v>
          </cell>
        </row>
        <row r="11">
          <cell r="A11" t="str">
            <v>22/08/2005</v>
          </cell>
          <cell r="B11">
            <v>2.4384289999999997</v>
          </cell>
          <cell r="C11">
            <v>1.4508649999999998</v>
          </cell>
          <cell r="D11">
            <v>6.820144</v>
          </cell>
          <cell r="E11">
            <v>52.989790000000006</v>
          </cell>
          <cell r="F11">
            <v>9.3558500000000002</v>
          </cell>
          <cell r="G11">
            <v>162.45270000000002</v>
          </cell>
          <cell r="I11">
            <v>101.163885287559</v>
          </cell>
          <cell r="J11">
            <v>102.22347948681998</v>
          </cell>
          <cell r="K11">
            <v>92.391390929795421</v>
          </cell>
          <cell r="L11">
            <v>97.211831088132911</v>
          </cell>
          <cell r="M11">
            <v>97.777961250838047</v>
          </cell>
          <cell r="N11">
            <v>98.153709608629057</v>
          </cell>
          <cell r="P11">
            <v>100.4635612259539</v>
          </cell>
        </row>
        <row r="12">
          <cell r="A12" t="str">
            <v>23/08/2005</v>
          </cell>
          <cell r="B12">
            <v>2.4283090000000001</v>
          </cell>
          <cell r="C12">
            <v>1.4521039999999998</v>
          </cell>
          <cell r="D12">
            <v>6.6255419999999994</v>
          </cell>
          <cell r="E12">
            <v>53.281470000000006</v>
          </cell>
          <cell r="F12">
            <v>9.2827669999999998</v>
          </cell>
          <cell r="G12">
            <v>161.44450000000001</v>
          </cell>
          <cell r="I12">
            <v>100.74403360472957</v>
          </cell>
          <cell r="J12">
            <v>102.31077561091433</v>
          </cell>
          <cell r="K12">
            <v>89.755149017935466</v>
          </cell>
          <cell r="L12">
            <v>97.746929394651701</v>
          </cell>
          <cell r="M12">
            <v>97.014171029522501</v>
          </cell>
          <cell r="N12">
            <v>97.514211731550716</v>
          </cell>
          <cell r="P12">
            <v>100.43230841318105</v>
          </cell>
        </row>
        <row r="13">
          <cell r="A13" t="str">
            <v>24/08/2005</v>
          </cell>
          <cell r="B13">
            <v>2.432204</v>
          </cell>
          <cell r="C13">
            <v>1.4471609999999999</v>
          </cell>
          <cell r="D13">
            <v>6.5672249999999996</v>
          </cell>
          <cell r="E13">
            <v>51.581510000000002</v>
          </cell>
          <cell r="F13">
            <v>9.2754000000000012</v>
          </cell>
          <cell r="G13">
            <v>160.16580000000002</v>
          </cell>
          <cell r="I13">
            <v>100.90562671783438</v>
          </cell>
          <cell r="J13">
            <v>101.96250705449914</v>
          </cell>
          <cell r="K13">
            <v>88.96513802332116</v>
          </cell>
          <cell r="L13">
            <v>94.628286645235576</v>
          </cell>
          <cell r="M13">
            <v>96.937178533860973</v>
          </cell>
          <cell r="N13">
            <v>96.67974739495024</v>
          </cell>
          <cell r="P13">
            <v>100.36782305534967</v>
          </cell>
        </row>
        <row r="14">
          <cell r="A14" t="str">
            <v>25/08/2005</v>
          </cell>
          <cell r="B14">
            <v>2.4223979999999998</v>
          </cell>
          <cell r="C14">
            <v>1.4120509999999999</v>
          </cell>
          <cell r="D14">
            <v>6.5623909999999999</v>
          </cell>
          <cell r="E14">
            <v>51.436930000000004</v>
          </cell>
          <cell r="F14">
            <v>9.2096959999999992</v>
          </cell>
          <cell r="G14">
            <v>160.75239999999999</v>
          </cell>
          <cell r="I14">
            <v>100.49880205362236</v>
          </cell>
          <cell r="J14">
            <v>99.488764587224622</v>
          </cell>
          <cell r="K14">
            <v>88.899652604867441</v>
          </cell>
          <cell r="L14">
            <v>94.363049010990906</v>
          </cell>
          <cell r="M14">
            <v>96.250506220172198</v>
          </cell>
          <cell r="N14">
            <v>95.900154895375493</v>
          </cell>
          <cell r="P14">
            <v>99.195193262041428</v>
          </cell>
        </row>
        <row r="15">
          <cell r="A15" t="str">
            <v>26/08/2005</v>
          </cell>
          <cell r="B15">
            <v>2.4868939999999999</v>
          </cell>
          <cell r="C15">
            <v>1.462879</v>
          </cell>
          <cell r="D15">
            <v>6.609782</v>
          </cell>
          <cell r="E15">
            <v>50.058320000000002</v>
          </cell>
          <cell r="F15">
            <v>9.2722610000000003</v>
          </cell>
          <cell r="G15">
            <v>161.0076</v>
          </cell>
          <cell r="I15">
            <v>103.1745682725717</v>
          </cell>
          <cell r="J15">
            <v>103.06994892577859</v>
          </cell>
          <cell r="K15">
            <v>89.541650839443406</v>
          </cell>
          <cell r="L15">
            <v>91.833935337273559</v>
          </cell>
          <cell r="M15">
            <v>96.904372853953063</v>
          </cell>
          <cell r="N15">
            <v>96.904895245804056</v>
          </cell>
          <cell r="P15">
            <v>100.07558208694958</v>
          </cell>
        </row>
        <row r="16">
          <cell r="A16" t="str">
            <v>29/08/2005</v>
          </cell>
          <cell r="B16">
            <v>2.4467049999999997</v>
          </cell>
          <cell r="C16">
            <v>1.4534879999999999</v>
          </cell>
          <cell r="D16">
            <v>6.5384739999999999</v>
          </cell>
          <cell r="E16">
            <v>49.296460000000003</v>
          </cell>
          <cell r="F16">
            <v>9.2767269999999993</v>
          </cell>
          <cell r="G16">
            <v>158.11870000000002</v>
          </cell>
          <cell r="I16">
            <v>101.50723435150132</v>
          </cell>
          <cell r="J16">
            <v>102.4082879884338</v>
          </cell>
          <cell r="K16">
            <v>88.575652862799245</v>
          </cell>
          <cell r="L16">
            <v>90.436273530483888</v>
          </cell>
          <cell r="M16">
            <v>96.951047007017323</v>
          </cell>
          <cell r="N16">
            <v>95.975699148047127</v>
          </cell>
          <cell r="P16">
            <v>100.92687682627633</v>
          </cell>
        </row>
        <row r="17">
          <cell r="A17" t="str">
            <v>30/08/2005</v>
          </cell>
          <cell r="B17">
            <v>2.4664489999999999</v>
          </cell>
          <cell r="C17">
            <v>1.475033</v>
          </cell>
          <cell r="D17">
            <v>6.6013279999999996</v>
          </cell>
          <cell r="E17">
            <v>49.410180000000004</v>
          </cell>
          <cell r="F17">
            <v>9.2545009999999994</v>
          </cell>
          <cell r="G17">
            <v>158.68450000000001</v>
          </cell>
          <cell r="I17">
            <v>102.3263600062231</v>
          </cell>
          <cell r="J17">
            <v>103.92628233356137</v>
          </cell>
          <cell r="K17">
            <v>89.427125864762445</v>
          </cell>
          <cell r="L17">
            <v>90.644897294256921</v>
          </cell>
          <cell r="M17">
            <v>96.718763145394789</v>
          </cell>
          <cell r="N17">
            <v>96.608685728839731</v>
          </cell>
          <cell r="P17">
            <v>101.23028301846011</v>
          </cell>
        </row>
        <row r="18">
          <cell r="A18" t="str">
            <v>31/08/2005</v>
          </cell>
          <cell r="B18">
            <v>2.4936449999999999</v>
          </cell>
          <cell r="C18">
            <v>1.4768189999999999</v>
          </cell>
          <cell r="D18">
            <v>6.5618910000000001</v>
          </cell>
          <cell r="E18">
            <v>49.879870000000004</v>
          </cell>
          <cell r="F18">
            <v>9.2584859999999995</v>
          </cell>
          <cell r="G18">
            <v>159.66220000000001</v>
          </cell>
          <cell r="I18">
            <v>103.45464917284654</v>
          </cell>
          <cell r="J18">
            <v>104.05211839299038</v>
          </cell>
          <cell r="K18">
            <v>88.892879185499041</v>
          </cell>
          <cell r="L18">
            <v>91.506561870466513</v>
          </cell>
          <cell r="M18">
            <v>96.760410368852263</v>
          </cell>
          <cell r="N18">
            <v>96.933323798130942</v>
          </cell>
          <cell r="P18">
            <v>100.94847915073748</v>
          </cell>
        </row>
        <row r="19">
          <cell r="A19" t="str">
            <v>01/09/2005</v>
          </cell>
          <cell r="B19">
            <v>2.58379</v>
          </cell>
          <cell r="C19">
            <v>1.5112729999999999</v>
          </cell>
          <cell r="D19">
            <v>6.7251769999999995</v>
          </cell>
          <cell r="E19">
            <v>52.300240000000002</v>
          </cell>
          <cell r="F19">
            <v>9.3586019999999994</v>
          </cell>
          <cell r="G19">
            <v>162.41130000000001</v>
          </cell>
          <cell r="I19">
            <v>107.19452367370224</v>
          </cell>
          <cell r="J19">
            <v>106.4796411206314</v>
          </cell>
          <cell r="K19">
            <v>91.104888295477139</v>
          </cell>
          <cell r="L19">
            <v>95.946824789243593</v>
          </cell>
          <cell r="M19">
            <v>97.806722394866881</v>
          </cell>
          <cell r="N19">
            <v>99.706520054784249</v>
          </cell>
          <cell r="P19">
            <v>102.07892810828612</v>
          </cell>
        </row>
        <row r="20">
          <cell r="A20" t="str">
            <v>02/09/2005</v>
          </cell>
          <cell r="B20">
            <v>2.5550539999999997</v>
          </cell>
          <cell r="C20">
            <v>1.5208659999999998</v>
          </cell>
          <cell r="D20">
            <v>6.8098619999999999</v>
          </cell>
          <cell r="E20">
            <v>52.118850000000002</v>
          </cell>
          <cell r="F20">
            <v>9.4868279999999992</v>
          </cell>
          <cell r="G20">
            <v>162.2176</v>
          </cell>
          <cell r="I20">
            <v>106.00234403360473</v>
          </cell>
          <cell r="J20">
            <v>107.15553435585112</v>
          </cell>
          <cell r="K20">
            <v>92.252102333903565</v>
          </cell>
          <cell r="L20">
            <v>95.614057778068855</v>
          </cell>
          <cell r="M20">
            <v>99.146811949461068</v>
          </cell>
          <cell r="N20">
            <v>100.03417009017787</v>
          </cell>
          <cell r="P20">
            <v>102.53666467549382</v>
          </cell>
        </row>
        <row r="21">
          <cell r="A21" t="str">
            <v>06/09/2005</v>
          </cell>
          <cell r="B21">
            <v>2.5494729999999999</v>
          </cell>
          <cell r="C21">
            <v>1.5296839999999998</v>
          </cell>
          <cell r="D21">
            <v>6.9450430000000001</v>
          </cell>
          <cell r="E21">
            <v>52.122990000000001</v>
          </cell>
          <cell r="F21">
            <v>9.4243600000000001</v>
          </cell>
          <cell r="G21">
            <v>163.3006</v>
          </cell>
          <cell r="I21">
            <v>105.77080329824197</v>
          </cell>
          <cell r="J21">
            <v>107.77682347793676</v>
          </cell>
          <cell r="K21">
            <v>94.083377541183751</v>
          </cell>
          <cell r="L21">
            <v>95.621652769117233</v>
          </cell>
          <cell r="M21">
            <v>98.493959062399256</v>
          </cell>
          <cell r="N21">
            <v>100.34932322977579</v>
          </cell>
          <cell r="P21">
            <v>102.17754230270575</v>
          </cell>
        </row>
        <row r="22">
          <cell r="A22" t="str">
            <v>07/09/2005</v>
          </cell>
          <cell r="B22">
            <v>2.5850500000000003</v>
          </cell>
          <cell r="C22">
            <v>1.5607849999999999</v>
          </cell>
          <cell r="D22">
            <v>6.9199440000000001</v>
          </cell>
          <cell r="E22">
            <v>53.190450000000006</v>
          </cell>
          <cell r="F22">
            <v>9.5334529999999997</v>
          </cell>
          <cell r="G22">
            <v>164.49250000000001</v>
          </cell>
          <cell r="I22">
            <v>107.24679769745373</v>
          </cell>
          <cell r="J22">
            <v>109.96810415223767</v>
          </cell>
          <cell r="K22">
            <v>93.743365435728649</v>
          </cell>
          <cell r="L22">
            <v>97.579949663921653</v>
          </cell>
          <cell r="M22">
            <v>99.634089689412036</v>
          </cell>
          <cell r="N22">
            <v>101.63446132775076</v>
          </cell>
          <cell r="P22">
            <v>102.73624147845455</v>
          </cell>
        </row>
        <row r="23">
          <cell r="A23" t="str">
            <v>08/09/2005</v>
          </cell>
          <cell r="B23">
            <v>2.6357520000000001</v>
          </cell>
          <cell r="C23">
            <v>1.5619269999999998</v>
          </cell>
          <cell r="D23">
            <v>6.7275609999999997</v>
          </cell>
          <cell r="E23">
            <v>53.041360000000005</v>
          </cell>
          <cell r="F23">
            <v>9.5354689999999991</v>
          </cell>
          <cell r="G23">
            <v>165.2064</v>
          </cell>
          <cell r="I23">
            <v>109.35028781828555</v>
          </cell>
          <cell r="J23">
            <v>110.04856595507526</v>
          </cell>
          <cell r="K23">
            <v>91.137183959025691</v>
          </cell>
          <cell r="L23">
            <v>97.306438259235392</v>
          </cell>
          <cell r="M23">
            <v>99.655158899572712</v>
          </cell>
          <cell r="N23">
            <v>101.49952697823892</v>
          </cell>
          <cell r="P23">
            <v>102.15648363486862</v>
          </cell>
        </row>
        <row r="24">
          <cell r="A24" t="str">
            <v>09/09/2005</v>
          </cell>
          <cell r="B24">
            <v>2.5869429999999998</v>
          </cell>
          <cell r="C24">
            <v>1.5253200000000002</v>
          </cell>
          <cell r="D24">
            <v>6.8248329999999999</v>
          </cell>
          <cell r="E24">
            <v>53.534850000000006</v>
          </cell>
          <cell r="F24">
            <v>9.495063</v>
          </cell>
          <cell r="G24">
            <v>165.61410000000001</v>
          </cell>
          <cell r="I24">
            <v>107.32533319504228</v>
          </cell>
          <cell r="J24">
            <v>107.46934947830175</v>
          </cell>
          <cell r="K24">
            <v>92.454912056632281</v>
          </cell>
          <cell r="L24">
            <v>98.211764861278596</v>
          </cell>
          <cell r="M24">
            <v>99.232875910608442</v>
          </cell>
          <cell r="N24">
            <v>100.93884710037267</v>
          </cell>
          <cell r="P24">
            <v>101.34208052821248</v>
          </cell>
        </row>
        <row r="25">
          <cell r="A25" t="str">
            <v>12/09/2005</v>
          </cell>
          <cell r="B25">
            <v>2.5916859999999997</v>
          </cell>
          <cell r="C25">
            <v>1.5281169999999999</v>
          </cell>
          <cell r="D25">
            <v>6.8669889999999993</v>
          </cell>
          <cell r="E25">
            <v>54.749150000000007</v>
          </cell>
          <cell r="F25">
            <v>9.5999420000000004</v>
          </cell>
          <cell r="G25">
            <v>165.85510000000002</v>
          </cell>
          <cell r="I25">
            <v>107.52210755587824</v>
          </cell>
          <cell r="J25">
            <v>107.66641748402566</v>
          </cell>
          <cell r="K25">
            <v>93.025992590421083</v>
          </cell>
          <cell r="L25">
            <v>100.43944544824299</v>
          </cell>
          <cell r="M25">
            <v>100.32896603582707</v>
          </cell>
          <cell r="N25">
            <v>101.796585822879</v>
          </cell>
          <cell r="P25">
            <v>102.05473672687353</v>
          </cell>
        </row>
        <row r="26">
          <cell r="A26" t="str">
            <v>13/09/2005</v>
          </cell>
          <cell r="B26">
            <v>2.5637889999999999</v>
          </cell>
          <cell r="C26">
            <v>1.5016479999999999</v>
          </cell>
          <cell r="D26">
            <v>6.8284669999999998</v>
          </cell>
          <cell r="E26">
            <v>55.276620000000001</v>
          </cell>
          <cell r="F26">
            <v>9.508697999999999</v>
          </cell>
          <cell r="G26">
            <v>165.52520000000001</v>
          </cell>
          <cell r="I26">
            <v>106.36473577762797</v>
          </cell>
          <cell r="J26">
            <v>105.80149326396615</v>
          </cell>
          <cell r="K26">
            <v>92.504141268601842</v>
          </cell>
          <cell r="L26">
            <v>101.40710968212761</v>
          </cell>
          <cell r="M26">
            <v>99.375375256114737</v>
          </cell>
          <cell r="N26">
            <v>101.09057104968767</v>
          </cell>
          <cell r="P26">
            <v>101.54892103852798</v>
          </cell>
        </row>
        <row r="27">
          <cell r="A27" t="str">
            <v>14/09/2005</v>
          </cell>
          <cell r="B27">
            <v>2.5910539999999997</v>
          </cell>
          <cell r="C27">
            <v>1.515522</v>
          </cell>
          <cell r="D27">
            <v>6.868906</v>
          </cell>
          <cell r="E27">
            <v>55.777670000000008</v>
          </cell>
          <cell r="F27">
            <v>9.5371569999999988</v>
          </cell>
          <cell r="G27">
            <v>167.03790000000001</v>
          </cell>
          <cell r="I27">
            <v>107.49588756936161</v>
          </cell>
          <cell r="J27">
            <v>106.77901257444655</v>
          </cell>
          <cell r="K27">
            <v>93.051961880279549</v>
          </cell>
          <cell r="L27">
            <v>102.32630539825914</v>
          </cell>
          <cell r="M27">
            <v>99.672800182683417</v>
          </cell>
          <cell r="N27">
            <v>101.86519352100606</v>
          </cell>
          <cell r="P27">
            <v>101.40037894598019</v>
          </cell>
        </row>
        <row r="28">
          <cell r="A28" t="str">
            <v>15/09/2005</v>
          </cell>
          <cell r="B28">
            <v>2.5637879999999997</v>
          </cell>
          <cell r="C28">
            <v>1.501647</v>
          </cell>
          <cell r="D28">
            <v>6.8306059999999995</v>
          </cell>
          <cell r="E28">
            <v>56.947830000000003</v>
          </cell>
          <cell r="F28">
            <v>9.4693529999999999</v>
          </cell>
          <cell r="G28">
            <v>166.4716</v>
          </cell>
          <cell r="I28">
            <v>106.36469429030753</v>
          </cell>
          <cell r="J28">
            <v>105.80142280704598</v>
          </cell>
          <cell r="K28">
            <v>92.533117956659865</v>
          </cell>
          <cell r="L28">
            <v>104.47300943815227</v>
          </cell>
          <cell r="M28">
            <v>98.96418077507731</v>
          </cell>
          <cell r="N28">
            <v>101.62728505344859</v>
          </cell>
          <cell r="P28">
            <v>101.5076923713216</v>
          </cell>
        </row>
        <row r="29">
          <cell r="A29" t="str">
            <v>16/09/2005</v>
          </cell>
          <cell r="B29">
            <v>2.5344219999999997</v>
          </cell>
          <cell r="C29">
            <v>1.5230900000000001</v>
          </cell>
          <cell r="D29">
            <v>6.7647069999999996</v>
          </cell>
          <cell r="E29">
            <v>58.030080000000005</v>
          </cell>
          <cell r="F29">
            <v>9.4531410000000005</v>
          </cell>
          <cell r="G29">
            <v>167.13900000000001</v>
          </cell>
          <cell r="I29">
            <v>105.14637763833427</v>
          </cell>
          <cell r="J29">
            <v>107.31223054631593</v>
          </cell>
          <cell r="K29">
            <v>91.640394830743091</v>
          </cell>
          <cell r="L29">
            <v>106.45843916329616</v>
          </cell>
          <cell r="M29">
            <v>98.794749210035263</v>
          </cell>
          <cell r="N29">
            <v>101.87043827774495</v>
          </cell>
          <cell r="P29">
            <v>101.34426096804958</v>
          </cell>
        </row>
        <row r="30">
          <cell r="A30" t="str">
            <v>19/09/2005</v>
          </cell>
          <cell r="B30">
            <v>2.5553659999999998</v>
          </cell>
          <cell r="C30">
            <v>1.5332189999999999</v>
          </cell>
          <cell r="D30">
            <v>6.7639359999999993</v>
          </cell>
          <cell r="E30">
            <v>58.086450000000006</v>
          </cell>
          <cell r="F30">
            <v>9.4514990000000001</v>
          </cell>
          <cell r="G30">
            <v>166.73140000000001</v>
          </cell>
          <cell r="I30">
            <v>106.01528807758129</v>
          </cell>
          <cell r="J30">
            <v>108.02588869074839</v>
          </cell>
          <cell r="K30">
            <v>91.629950218076999</v>
          </cell>
          <cell r="L30">
            <v>106.56185212112139</v>
          </cell>
          <cell r="M30">
            <v>98.77758867279131</v>
          </cell>
          <cell r="N30">
            <v>102.20211355606386</v>
          </cell>
          <cell r="P30">
            <v>101.922781029932</v>
          </cell>
        </row>
        <row r="31">
          <cell r="A31" t="str">
            <v>20/09/2005</v>
          </cell>
          <cell r="B31">
            <v>2.5825309999999999</v>
          </cell>
          <cell r="C31">
            <v>1.559264</v>
          </cell>
          <cell r="D31">
            <v>6.8731819999999999</v>
          </cell>
          <cell r="E31">
            <v>59.718850000000003</v>
          </cell>
          <cell r="F31">
            <v>9.5184029999999993</v>
          </cell>
          <cell r="G31">
            <v>168.7473</v>
          </cell>
          <cell r="I31">
            <v>107.14229113727119</v>
          </cell>
          <cell r="J31">
            <v>109.86093917665454</v>
          </cell>
          <cell r="K31">
            <v>93.109888162718121</v>
          </cell>
          <cell r="L31">
            <v>109.55655342241488</v>
          </cell>
          <cell r="M31">
            <v>99.476802183004267</v>
          </cell>
          <cell r="N31">
            <v>103.82929481641258</v>
          </cell>
          <cell r="P31">
            <v>102.30853279492693</v>
          </cell>
        </row>
        <row r="32">
          <cell r="A32" t="str">
            <v>21/09/2005</v>
          </cell>
          <cell r="B32">
            <v>2.5600389999999997</v>
          </cell>
          <cell r="C32">
            <v>1.5360229999999999</v>
          </cell>
          <cell r="D32">
            <v>6.7957659999999995</v>
          </cell>
          <cell r="E32">
            <v>59.446330000000003</v>
          </cell>
          <cell r="F32">
            <v>9.4676559999999998</v>
          </cell>
          <cell r="G32">
            <v>168.7868</v>
          </cell>
          <cell r="I32">
            <v>106.20915832598664</v>
          </cell>
          <cell r="J32">
            <v>108.2234498949135</v>
          </cell>
          <cell r="K32">
            <v>92.061146095069546</v>
          </cell>
          <cell r="L32">
            <v>109.05660488123104</v>
          </cell>
          <cell r="M32">
            <v>98.946445432992647</v>
          </cell>
          <cell r="N32">
            <v>102.89936092603867</v>
          </cell>
          <cell r="P32">
            <v>101.36849130103616</v>
          </cell>
        </row>
        <row r="33">
          <cell r="A33" t="str">
            <v>22/09/2005</v>
          </cell>
          <cell r="B33">
            <v>2.5819030000000001</v>
          </cell>
          <cell r="C33">
            <v>1.5467059999999999</v>
          </cell>
          <cell r="D33">
            <v>6.6618269999999997</v>
          </cell>
          <cell r="E33">
            <v>60.331820000000008</v>
          </cell>
          <cell r="F33">
            <v>9.3960209999999993</v>
          </cell>
          <cell r="G33">
            <v>167.28149999999999</v>
          </cell>
          <cell r="I33">
            <v>107.11623710003633</v>
          </cell>
          <cell r="J33">
            <v>108.97614117312182</v>
          </cell>
          <cell r="K33">
            <v>90.246696061500487</v>
          </cell>
          <cell r="L33">
            <v>110.68107073229841</v>
          </cell>
          <cell r="M33">
            <v>98.197788255482976</v>
          </cell>
          <cell r="N33">
            <v>103.043586664488</v>
          </cell>
          <cell r="P33">
            <v>102.42402479143486</v>
          </cell>
        </row>
        <row r="34">
          <cell r="A34" t="str">
            <v>23/09/2005</v>
          </cell>
          <cell r="B34">
            <v>2.5787619999999998</v>
          </cell>
          <cell r="C34">
            <v>1.556988</v>
          </cell>
          <cell r="D34">
            <v>6.6763509999999995</v>
          </cell>
          <cell r="E34">
            <v>58.418240000000004</v>
          </cell>
          <cell r="F34">
            <v>9.3758500000000016</v>
          </cell>
          <cell r="G34">
            <v>165.3845</v>
          </cell>
          <cell r="I34">
            <v>106.98592542654151</v>
          </cell>
          <cell r="J34">
            <v>109.70057922634075</v>
          </cell>
          <cell r="K34">
            <v>90.443450347313842</v>
          </cell>
          <cell r="L34">
            <v>107.17053378294213</v>
          </cell>
          <cell r="M34">
            <v>97.986981192908189</v>
          </cell>
          <cell r="N34">
            <v>102.45749399520928</v>
          </cell>
          <cell r="P34">
            <v>103.00960207455485</v>
          </cell>
        </row>
        <row r="35">
          <cell r="A35" t="str">
            <v>26/09/2005</v>
          </cell>
          <cell r="B35">
            <v>2.545763</v>
          </cell>
          <cell r="C35">
            <v>1.5153349999999999</v>
          </cell>
          <cell r="D35">
            <v>6.6450569999999995</v>
          </cell>
          <cell r="E35">
            <v>60.357320000000001</v>
          </cell>
          <cell r="F35">
            <v>9.4701620000000002</v>
          </cell>
          <cell r="G35">
            <v>167.2397</v>
          </cell>
          <cell r="I35">
            <v>105.61688533941816</v>
          </cell>
          <cell r="J35">
            <v>106.76583713037419</v>
          </cell>
          <cell r="K35">
            <v>90.019515575884242</v>
          </cell>
          <cell r="L35">
            <v>110.72785147426299</v>
          </cell>
          <cell r="M35">
            <v>98.972635631734036</v>
          </cell>
          <cell r="N35">
            <v>102.42054503033474</v>
          </cell>
          <cell r="P35">
            <v>101.83017441014562</v>
          </cell>
        </row>
        <row r="36">
          <cell r="A36" t="str">
            <v>27/09/2005</v>
          </cell>
          <cell r="B36">
            <v>2.5209069999999998</v>
          </cell>
          <cell r="C36">
            <v>1.527088</v>
          </cell>
          <cell r="D36">
            <v>6.6125289999999994</v>
          </cell>
          <cell r="E36">
            <v>60.550460000000008</v>
          </cell>
          <cell r="F36">
            <v>9.3870319999999996</v>
          </cell>
          <cell r="G36">
            <v>167.63290000000001</v>
          </cell>
          <cell r="I36">
            <v>104.5856765026189</v>
          </cell>
          <cell r="J36">
            <v>107.59391731316764</v>
          </cell>
          <cell r="K36">
            <v>89.578864005453411</v>
          </cell>
          <cell r="L36">
            <v>111.08217431751943</v>
          </cell>
          <cell r="M36">
            <v>98.103844242519571</v>
          </cell>
          <cell r="N36">
            <v>102.18889527625579</v>
          </cell>
          <cell r="P36">
            <v>101.36154713237153</v>
          </cell>
        </row>
        <row r="37">
          <cell r="A37" t="str">
            <v>28/09/2005</v>
          </cell>
          <cell r="B37">
            <v>2.5264169999999999</v>
          </cell>
          <cell r="C37">
            <v>1.5304259999999998</v>
          </cell>
          <cell r="D37">
            <v>6.6367989999999999</v>
          </cell>
          <cell r="E37">
            <v>62.168670000000006</v>
          </cell>
          <cell r="F37">
            <v>9.3875209999999996</v>
          </cell>
          <cell r="G37">
            <v>168.8954</v>
          </cell>
          <cell r="I37">
            <v>104.81427163823058</v>
          </cell>
          <cell r="J37">
            <v>107.82910251270515</v>
          </cell>
          <cell r="K37">
            <v>89.907645781595704</v>
          </cell>
          <cell r="L37">
            <v>114.05084351181381</v>
          </cell>
          <cell r="M37">
            <v>98.10895478010319</v>
          </cell>
          <cell r="N37">
            <v>102.94216364488969</v>
          </cell>
          <cell r="P37">
            <v>101.3454500215434</v>
          </cell>
        </row>
        <row r="38">
          <cell r="A38" t="str">
            <v>29/09/2005</v>
          </cell>
          <cell r="B38">
            <v>2.5325700000000002</v>
          </cell>
          <cell r="C38">
            <v>1.5341529999999999</v>
          </cell>
          <cell r="D38">
            <v>6.6371560000000001</v>
          </cell>
          <cell r="E38">
            <v>61.108430000000006</v>
          </cell>
          <cell r="F38">
            <v>9.3452269999999995</v>
          </cell>
          <cell r="G38">
            <v>169.87970000000001</v>
          </cell>
          <cell r="I38">
            <v>105.06954312088371</v>
          </cell>
          <cell r="J38">
            <v>108.09169545418997</v>
          </cell>
          <cell r="K38">
            <v>89.912482003024735</v>
          </cell>
          <cell r="L38">
            <v>112.1057919878715</v>
          </cell>
          <cell r="M38">
            <v>97.666940308607479</v>
          </cell>
          <cell r="N38">
            <v>102.56929057491547</v>
          </cell>
          <cell r="P38">
            <v>100.3932817684954</v>
          </cell>
        </row>
        <row r="39">
          <cell r="A39" t="str">
            <v>30/09/2005</v>
          </cell>
          <cell r="B39">
            <v>2.556924</v>
          </cell>
          <cell r="C39">
            <v>1.5219779999999998</v>
          </cell>
          <cell r="D39">
            <v>6.7029920000000001</v>
          </cell>
          <cell r="E39">
            <v>59.049450000000007</v>
          </cell>
          <cell r="F39">
            <v>9.3518629999999998</v>
          </cell>
          <cell r="G39">
            <v>169.28970000000001</v>
          </cell>
          <cell r="I39">
            <v>106.07992532282321</v>
          </cell>
          <cell r="J39">
            <v>107.23388245108352</v>
          </cell>
          <cell r="K39">
            <v>90.804351678101099</v>
          </cell>
          <cell r="L39">
            <v>108.32851308237208</v>
          </cell>
          <cell r="M39">
            <v>97.736293125386368</v>
          </cell>
          <cell r="N39">
            <v>102.03659313195325</v>
          </cell>
          <cell r="P39">
            <v>100.21995401155959</v>
          </cell>
        </row>
        <row r="40">
          <cell r="A40" t="str">
            <v>03/10/2005</v>
          </cell>
          <cell r="B40">
            <v>2.5</v>
          </cell>
          <cell r="C40">
            <v>1.4805819999999998</v>
          </cell>
          <cell r="D40">
            <v>6.6966459999999994</v>
          </cell>
          <cell r="E40">
            <v>58.936270000000007</v>
          </cell>
          <cell r="F40">
            <v>9.2562889999999989</v>
          </cell>
          <cell r="G40">
            <v>168.82660000000001</v>
          </cell>
          <cell r="I40">
            <v>103.71830109422808</v>
          </cell>
          <cell r="J40">
            <v>104.31724778360143</v>
          </cell>
          <cell r="K40">
            <v>90.718383439477321</v>
          </cell>
          <cell r="L40">
            <v>108.12087996960538</v>
          </cell>
          <cell r="M40">
            <v>96.737449528215862</v>
          </cell>
          <cell r="N40">
            <v>100.72245236302561</v>
          </cell>
          <cell r="P40">
            <v>99.20057782588016</v>
          </cell>
        </row>
        <row r="41">
          <cell r="A41" t="str">
            <v>04/10/2005</v>
          </cell>
          <cell r="B41">
            <v>2.4571209999999999</v>
          </cell>
          <cell r="C41">
            <v>1.4475119999999999</v>
          </cell>
          <cell r="D41">
            <v>6.7038880000000001</v>
          </cell>
          <cell r="E41">
            <v>60.143890000000006</v>
          </cell>
          <cell r="F41">
            <v>9.3852440000000001</v>
          </cell>
          <cell r="G41">
            <v>169.87650000000002</v>
          </cell>
          <cell r="I41">
            <v>101.93936628118033</v>
          </cell>
          <cell r="J41">
            <v>101.98723743347986</v>
          </cell>
          <cell r="K41">
            <v>90.816489645609295</v>
          </cell>
          <cell r="L41">
            <v>110.33630583671395</v>
          </cell>
          <cell r="M41">
            <v>98.085157859698498</v>
          </cell>
          <cell r="N41">
            <v>100.63291141133638</v>
          </cell>
          <cell r="P41">
            <v>98.499838341135742</v>
          </cell>
        </row>
        <row r="42">
          <cell r="A42" t="str">
            <v>05/10/2005</v>
          </cell>
          <cell r="B42">
            <v>2.4856819999999997</v>
          </cell>
          <cell r="C42">
            <v>1.4865359999999999</v>
          </cell>
          <cell r="D42">
            <v>6.6270569999999998</v>
          </cell>
          <cell r="E42">
            <v>58.682050000000004</v>
          </cell>
          <cell r="F42">
            <v>9.4545089999999998</v>
          </cell>
          <cell r="G42">
            <v>167.02510000000001</v>
          </cell>
          <cell r="I42">
            <v>103.12428564020122</v>
          </cell>
          <cell r="J42">
            <v>104.73674828631157</v>
          </cell>
          <cell r="K42">
            <v>89.775672478621743</v>
          </cell>
          <cell r="L42">
            <v>107.65450349030199</v>
          </cell>
          <cell r="M42">
            <v>98.809046174072861</v>
          </cell>
          <cell r="N42">
            <v>100.82005121390188</v>
          </cell>
          <cell r="P42">
            <v>100.36769676909267</v>
          </cell>
        </row>
      </sheetData>
      <sheetData sheetId="25"/>
      <sheetData sheetId="26" refreshError="1">
        <row r="1">
          <cell r="A1" t="str">
            <v>Price - Closing - US Dollars</v>
          </cell>
        </row>
        <row r="2">
          <cell r="G2" t="str">
            <v>US$Price</v>
          </cell>
        </row>
        <row r="3">
          <cell r="B3" t="str">
            <v>BANGKOK BANK</v>
          </cell>
          <cell r="C3" t="str">
            <v>KASIKORNBANK PLC</v>
          </cell>
          <cell r="D3" t="str">
            <v>DAH SING FINANCIAL</v>
          </cell>
          <cell r="E3" t="str">
            <v>KOOKMIN BANK</v>
          </cell>
          <cell r="F3" t="str">
            <v>DBS GROUP HLDGS</v>
          </cell>
          <cell r="G3" t="str">
            <v>MSCI AC ASIA PACIFIC EX JP /</v>
          </cell>
          <cell r="I3" t="str">
            <v>Absolute Performance</v>
          </cell>
        </row>
        <row r="4">
          <cell r="A4" t="str">
            <v xml:space="preserve"> </v>
          </cell>
          <cell r="B4" t="str">
            <v>BangKok</v>
          </cell>
          <cell r="C4" t="str">
            <v>KBANKf</v>
          </cell>
          <cell r="D4" t="str">
            <v>DSF</v>
          </cell>
          <cell r="E4" t="str">
            <v>Kookmin</v>
          </cell>
          <cell r="F4" t="str">
            <v>DBS</v>
          </cell>
          <cell r="I4" t="str">
            <v>BangKok</v>
          </cell>
          <cell r="J4" t="str">
            <v>KBANKf</v>
          </cell>
          <cell r="K4" t="str">
            <v>DSF</v>
          </cell>
          <cell r="L4" t="str">
            <v>Kookmin</v>
          </cell>
          <cell r="M4" t="str">
            <v>DBS</v>
          </cell>
          <cell r="N4" t="str">
            <v>Absolute Performance</v>
          </cell>
          <cell r="P4" t="str">
            <v>Relative Performance</v>
          </cell>
        </row>
        <row r="5">
          <cell r="A5" t="str">
            <v>12/08/2005</v>
          </cell>
          <cell r="B5">
            <v>98.5</v>
          </cell>
          <cell r="C5">
            <v>58</v>
          </cell>
          <cell r="D5">
            <v>57.35</v>
          </cell>
          <cell r="E5">
            <v>55300</v>
          </cell>
          <cell r="F5">
            <v>15.8</v>
          </cell>
          <cell r="G5">
            <v>166.2757</v>
          </cell>
          <cell r="I5">
            <v>100</v>
          </cell>
          <cell r="J5">
            <v>100</v>
          </cell>
          <cell r="K5">
            <v>100</v>
          </cell>
          <cell r="L5">
            <v>100</v>
          </cell>
          <cell r="M5">
            <v>100</v>
          </cell>
          <cell r="N5">
            <v>100</v>
          </cell>
          <cell r="P5">
            <v>100</v>
          </cell>
        </row>
        <row r="6">
          <cell r="A6" t="str">
            <v>15/08/2005</v>
          </cell>
          <cell r="B6">
            <v>98.5</v>
          </cell>
          <cell r="C6">
            <v>57.5</v>
          </cell>
          <cell r="D6">
            <v>57.7</v>
          </cell>
          <cell r="E6">
            <v>55300</v>
          </cell>
          <cell r="F6">
            <v>15.7</v>
          </cell>
          <cell r="G6">
            <v>164.1979</v>
          </cell>
          <cell r="I6">
            <v>100</v>
          </cell>
          <cell r="J6">
            <v>99.137931034482762</v>
          </cell>
          <cell r="K6">
            <v>100.6102877070619</v>
          </cell>
          <cell r="L6">
            <v>100</v>
          </cell>
          <cell r="M6">
            <v>99.367088607594923</v>
          </cell>
          <cell r="N6">
            <v>99.82306146982792</v>
          </cell>
          <cell r="P6">
            <v>101.08624666965088</v>
          </cell>
        </row>
        <row r="7">
          <cell r="A7" t="str">
            <v>16/08/2005</v>
          </cell>
          <cell r="B7">
            <v>97.5</v>
          </cell>
          <cell r="C7">
            <v>57</v>
          </cell>
          <cell r="D7">
            <v>57.95</v>
          </cell>
          <cell r="E7">
            <v>54200</v>
          </cell>
          <cell r="F7">
            <v>15.8</v>
          </cell>
          <cell r="G7">
            <v>164.73940000000002</v>
          </cell>
          <cell r="I7">
            <v>98.984771573604064</v>
          </cell>
          <cell r="J7">
            <v>98.275862068965509</v>
          </cell>
          <cell r="K7">
            <v>101.0462074978204</v>
          </cell>
          <cell r="L7">
            <v>98.010849909584081</v>
          </cell>
          <cell r="M7">
            <v>100</v>
          </cell>
          <cell r="N7">
            <v>99.26353820999482</v>
          </cell>
          <cell r="P7">
            <v>100.18923402867578</v>
          </cell>
        </row>
        <row r="8">
          <cell r="A8" t="str">
            <v>17/08/2005</v>
          </cell>
          <cell r="B8">
            <v>97.5</v>
          </cell>
          <cell r="C8">
            <v>57.5</v>
          </cell>
          <cell r="D8">
            <v>56.8</v>
          </cell>
          <cell r="E8">
            <v>54700</v>
          </cell>
          <cell r="F8">
            <v>15.6</v>
          </cell>
          <cell r="G8">
            <v>164.464</v>
          </cell>
          <cell r="I8">
            <v>98.984771573604064</v>
          </cell>
          <cell r="J8">
            <v>99.137931034482762</v>
          </cell>
          <cell r="K8">
            <v>99.040976460331294</v>
          </cell>
          <cell r="L8">
            <v>98.915009041591318</v>
          </cell>
          <cell r="M8">
            <v>98.734177215189874</v>
          </cell>
          <cell r="N8">
            <v>98.962573065039848</v>
          </cell>
          <cell r="P8">
            <v>100.05272345431612</v>
          </cell>
        </row>
        <row r="9">
          <cell r="A9" t="str">
            <v>18/08/2005</v>
          </cell>
          <cell r="B9">
            <v>98.5</v>
          </cell>
          <cell r="C9">
            <v>59</v>
          </cell>
          <cell r="D9">
            <v>50.9</v>
          </cell>
          <cell r="E9">
            <v>53200</v>
          </cell>
          <cell r="F9">
            <v>15.5</v>
          </cell>
          <cell r="G9">
            <v>162.08930000000001</v>
          </cell>
          <cell r="I9">
            <v>100</v>
          </cell>
          <cell r="J9">
            <v>101.72413793103448</v>
          </cell>
          <cell r="K9">
            <v>88.753269398430675</v>
          </cell>
          <cell r="L9">
            <v>96.202531645569621</v>
          </cell>
          <cell r="M9">
            <v>98.101265822784811</v>
          </cell>
          <cell r="N9">
            <v>96.956240959563928</v>
          </cell>
          <cell r="P9">
            <v>99.460401364680848</v>
          </cell>
        </row>
        <row r="10">
          <cell r="A10" t="str">
            <v>19/08/2005</v>
          </cell>
          <cell r="B10">
            <v>98.5</v>
          </cell>
          <cell r="C10">
            <v>59</v>
          </cell>
          <cell r="D10">
            <v>52.1</v>
          </cell>
          <cell r="E10">
            <v>52300</v>
          </cell>
          <cell r="F10">
            <v>15.4</v>
          </cell>
          <cell r="G10">
            <v>161.1788</v>
          </cell>
          <cell r="I10">
            <v>100</v>
          </cell>
          <cell r="J10">
            <v>101.72413793103448</v>
          </cell>
          <cell r="K10">
            <v>90.845684394071498</v>
          </cell>
          <cell r="L10">
            <v>94.575045207956592</v>
          </cell>
          <cell r="M10">
            <v>97.468354430379748</v>
          </cell>
          <cell r="N10">
            <v>96.922644392688454</v>
          </cell>
          <cell r="P10">
            <v>99.987594784458921</v>
          </cell>
        </row>
        <row r="11">
          <cell r="A11" t="str">
            <v>22/08/2005</v>
          </cell>
          <cell r="B11">
            <v>100</v>
          </cell>
          <cell r="C11">
            <v>59.5</v>
          </cell>
          <cell r="D11">
            <v>53</v>
          </cell>
          <cell r="E11">
            <v>54500</v>
          </cell>
          <cell r="F11">
            <v>15.6</v>
          </cell>
          <cell r="G11">
            <v>162.45270000000002</v>
          </cell>
          <cell r="I11">
            <v>101.5228426395939</v>
          </cell>
          <cell r="J11">
            <v>102.58620689655173</v>
          </cell>
          <cell r="K11">
            <v>92.41499564080209</v>
          </cell>
          <cell r="L11">
            <v>98.553345388788429</v>
          </cell>
          <cell r="M11">
            <v>98.734177215189874</v>
          </cell>
          <cell r="N11">
            <v>98.762313556185205</v>
          </cell>
          <cell r="P11">
            <v>101.08648745249653</v>
          </cell>
        </row>
        <row r="12">
          <cell r="A12" t="str">
            <v>23/08/2005</v>
          </cell>
          <cell r="B12">
            <v>99.5</v>
          </cell>
          <cell r="C12">
            <v>59.5</v>
          </cell>
          <cell r="D12">
            <v>51.5</v>
          </cell>
          <cell r="E12">
            <v>54800</v>
          </cell>
          <cell r="F12">
            <v>15.5</v>
          </cell>
          <cell r="G12">
            <v>161.44450000000001</v>
          </cell>
          <cell r="I12">
            <v>101.01522842639594</v>
          </cell>
          <cell r="J12">
            <v>102.58620689655173</v>
          </cell>
          <cell r="K12">
            <v>89.799476896251079</v>
          </cell>
          <cell r="L12">
            <v>99.095840867992763</v>
          </cell>
          <cell r="M12">
            <v>98.101265822784811</v>
          </cell>
          <cell r="N12">
            <v>98.119603781995266</v>
          </cell>
          <cell r="P12">
            <v>101.05581672075488</v>
          </cell>
        </row>
        <row r="13">
          <cell r="A13" t="str">
            <v>24/08/2005</v>
          </cell>
          <cell r="B13">
            <v>100</v>
          </cell>
          <cell r="C13">
            <v>59.5</v>
          </cell>
          <cell r="D13">
            <v>51.05</v>
          </cell>
          <cell r="E13">
            <v>53000</v>
          </cell>
          <cell r="F13">
            <v>15.5</v>
          </cell>
          <cell r="G13">
            <v>160.16580000000002</v>
          </cell>
          <cell r="I13">
            <v>101.5228426395939</v>
          </cell>
          <cell r="J13">
            <v>102.58620689655173</v>
          </cell>
          <cell r="K13">
            <v>89.014821272885783</v>
          </cell>
          <cell r="L13">
            <v>95.840867992766732</v>
          </cell>
          <cell r="M13">
            <v>98.101265822784811</v>
          </cell>
          <cell r="N13">
            <v>97.413200924916595</v>
          </cell>
          <cell r="P13">
            <v>101.12925589002866</v>
          </cell>
        </row>
        <row r="14">
          <cell r="A14" t="str">
            <v>25/08/2005</v>
          </cell>
          <cell r="B14">
            <v>99.5</v>
          </cell>
          <cell r="C14">
            <v>58</v>
          </cell>
          <cell r="D14">
            <v>51</v>
          </cell>
          <cell r="E14">
            <v>52800</v>
          </cell>
          <cell r="F14">
            <v>15.4</v>
          </cell>
          <cell r="G14">
            <v>160.75239999999999</v>
          </cell>
          <cell r="I14">
            <v>101.01522842639594</v>
          </cell>
          <cell r="J14">
            <v>100</v>
          </cell>
          <cell r="K14">
            <v>88.927637314734085</v>
          </cell>
          <cell r="L14">
            <v>95.479204339963829</v>
          </cell>
          <cell r="M14">
            <v>97.468354430379748</v>
          </cell>
          <cell r="N14">
            <v>96.578084902294719</v>
          </cell>
          <cell r="P14">
            <v>99.896416301022484</v>
          </cell>
        </row>
        <row r="15">
          <cell r="A15" t="str">
            <v>26/08/2005</v>
          </cell>
          <cell r="B15">
            <v>102</v>
          </cell>
          <cell r="C15">
            <v>60</v>
          </cell>
          <cell r="D15">
            <v>51.35</v>
          </cell>
          <cell r="E15">
            <v>51500</v>
          </cell>
          <cell r="F15">
            <v>15.5</v>
          </cell>
          <cell r="G15">
            <v>161.0076</v>
          </cell>
          <cell r="I15">
            <v>103.55329949238579</v>
          </cell>
          <cell r="J15">
            <v>103.44827586206897</v>
          </cell>
          <cell r="K15">
            <v>89.537925021795999</v>
          </cell>
          <cell r="L15">
            <v>93.128390596745021</v>
          </cell>
          <cell r="M15">
            <v>98.101265822784811</v>
          </cell>
          <cell r="N15">
            <v>97.553831359156121</v>
          </cell>
          <cell r="P15">
            <v>100.74575111315016</v>
          </cell>
        </row>
        <row r="16">
          <cell r="A16" t="str">
            <v>29/08/2005</v>
          </cell>
          <cell r="B16">
            <v>101</v>
          </cell>
          <cell r="C16">
            <v>60</v>
          </cell>
          <cell r="D16">
            <v>50.8</v>
          </cell>
          <cell r="E16">
            <v>50800</v>
          </cell>
          <cell r="F16">
            <v>15.6</v>
          </cell>
          <cell r="G16">
            <v>158.11870000000002</v>
          </cell>
          <cell r="I16">
            <v>102.53807106598984</v>
          </cell>
          <cell r="J16">
            <v>103.44827586206897</v>
          </cell>
          <cell r="K16">
            <v>88.578901482127279</v>
          </cell>
          <cell r="L16">
            <v>91.862567811934909</v>
          </cell>
          <cell r="M16">
            <v>98.734177215189874</v>
          </cell>
          <cell r="N16">
            <v>97.032398687462177</v>
          </cell>
          <cell r="P16">
            <v>102.03808919777897</v>
          </cell>
        </row>
        <row r="17">
          <cell r="A17" t="str">
            <v>30/08/2005</v>
          </cell>
          <cell r="B17">
            <v>102</v>
          </cell>
          <cell r="C17">
            <v>61</v>
          </cell>
          <cell r="D17">
            <v>51.3</v>
          </cell>
          <cell r="E17">
            <v>51100</v>
          </cell>
          <cell r="F17">
            <v>15.6</v>
          </cell>
          <cell r="G17">
            <v>158.68450000000001</v>
          </cell>
          <cell r="I17">
            <v>103.55329949238579</v>
          </cell>
          <cell r="J17">
            <v>105.17241379310344</v>
          </cell>
          <cell r="K17">
            <v>89.450741063644273</v>
          </cell>
          <cell r="L17">
            <v>92.405063291139243</v>
          </cell>
          <cell r="M17">
            <v>98.734177215189874</v>
          </cell>
          <cell r="N17">
            <v>97.863138971092525</v>
          </cell>
          <cell r="P17">
            <v>102.54474719721011</v>
          </cell>
        </row>
        <row r="18">
          <cell r="A18" t="str">
            <v>31/08/2005</v>
          </cell>
          <cell r="B18">
            <v>103</v>
          </cell>
          <cell r="C18">
            <v>61</v>
          </cell>
          <cell r="D18">
            <v>51</v>
          </cell>
          <cell r="E18">
            <v>51900</v>
          </cell>
          <cell r="F18">
            <v>15.6</v>
          </cell>
          <cell r="G18">
            <v>159.66220000000001</v>
          </cell>
          <cell r="I18">
            <v>104.56852791878173</v>
          </cell>
          <cell r="J18">
            <v>105.17241379310344</v>
          </cell>
          <cell r="K18">
            <v>88.927637314734085</v>
          </cell>
          <cell r="L18">
            <v>93.851717902350813</v>
          </cell>
          <cell r="M18">
            <v>98.734177215189874</v>
          </cell>
          <cell r="N18">
            <v>98.250894828831974</v>
          </cell>
          <cell r="P18">
            <v>102.32062638051093</v>
          </cell>
        </row>
        <row r="19">
          <cell r="A19" t="str">
            <v>01/09/2005</v>
          </cell>
          <cell r="B19">
            <v>106</v>
          </cell>
          <cell r="C19">
            <v>62</v>
          </cell>
          <cell r="D19">
            <v>52.25</v>
          </cell>
          <cell r="E19">
            <v>54000</v>
          </cell>
          <cell r="F19">
            <v>15.7</v>
          </cell>
          <cell r="G19">
            <v>162.41130000000001</v>
          </cell>
          <cell r="I19">
            <v>107.61421319796953</v>
          </cell>
          <cell r="J19">
            <v>106.89655172413792</v>
          </cell>
          <cell r="K19">
            <v>91.107236268526592</v>
          </cell>
          <cell r="L19">
            <v>97.649186256781192</v>
          </cell>
          <cell r="M19">
            <v>99.367088607594923</v>
          </cell>
          <cell r="N19">
            <v>100.52685521100204</v>
          </cell>
          <cell r="P19">
            <v>102.91878224611226</v>
          </cell>
        </row>
        <row r="20">
          <cell r="A20" t="str">
            <v>02/09/2005</v>
          </cell>
          <cell r="B20">
            <v>105</v>
          </cell>
          <cell r="C20">
            <v>62.5</v>
          </cell>
          <cell r="D20">
            <v>52.9</v>
          </cell>
          <cell r="E20">
            <v>53500</v>
          </cell>
          <cell r="F20">
            <v>15.9</v>
          </cell>
          <cell r="G20">
            <v>162.2176</v>
          </cell>
          <cell r="I20">
            <v>106.59898477157361</v>
          </cell>
          <cell r="J20">
            <v>107.75862068965519</v>
          </cell>
          <cell r="K20">
            <v>92.240627724498694</v>
          </cell>
          <cell r="L20">
            <v>96.745027124773969</v>
          </cell>
          <cell r="M20">
            <v>100.63291139240506</v>
          </cell>
          <cell r="N20">
            <v>100.7952343405813</v>
          </cell>
          <cell r="P20">
            <v>103.31676801188155</v>
          </cell>
        </row>
        <row r="21">
          <cell r="A21" t="str">
            <v>06/09/2005</v>
          </cell>
          <cell r="B21">
            <v>105</v>
          </cell>
          <cell r="C21">
            <v>63</v>
          </cell>
          <cell r="D21">
            <v>53.95</v>
          </cell>
          <cell r="E21">
            <v>53400</v>
          </cell>
          <cell r="F21">
            <v>15.8</v>
          </cell>
          <cell r="G21">
            <v>163.3006</v>
          </cell>
          <cell r="I21">
            <v>106.59898477157361</v>
          </cell>
          <cell r="J21">
            <v>108.62068965517241</v>
          </cell>
          <cell r="K21">
            <v>94.071490845684394</v>
          </cell>
          <cell r="L21">
            <v>96.56419529837251</v>
          </cell>
          <cell r="M21">
            <v>100</v>
          </cell>
          <cell r="N21">
            <v>101.17107211416058</v>
          </cell>
          <cell r="P21">
            <v>103.0142622594928</v>
          </cell>
        </row>
        <row r="22">
          <cell r="A22" t="str">
            <v>07/09/2005</v>
          </cell>
          <cell r="B22">
            <v>106</v>
          </cell>
          <cell r="C22">
            <v>64</v>
          </cell>
          <cell r="D22">
            <v>53.75</v>
          </cell>
          <cell r="E22">
            <v>54600</v>
          </cell>
          <cell r="F22">
            <v>16</v>
          </cell>
          <cell r="G22">
            <v>164.49250000000001</v>
          </cell>
          <cell r="I22">
            <v>107.61421319796953</v>
          </cell>
          <cell r="J22">
            <v>110.34482758620689</v>
          </cell>
          <cell r="K22">
            <v>93.722755013077602</v>
          </cell>
          <cell r="L22">
            <v>98.734177215189874</v>
          </cell>
          <cell r="M22">
            <v>101.26582278481011</v>
          </cell>
          <cell r="N22">
            <v>102.33635915945081</v>
          </cell>
          <cell r="P22">
            <v>103.44574831490247</v>
          </cell>
        </row>
        <row r="23">
          <cell r="A23" t="str">
            <v>08/09/2005</v>
          </cell>
          <cell r="B23">
            <v>108</v>
          </cell>
          <cell r="C23">
            <v>64</v>
          </cell>
          <cell r="D23">
            <v>52.25</v>
          </cell>
          <cell r="E23">
            <v>54500</v>
          </cell>
          <cell r="F23">
            <v>16</v>
          </cell>
          <cell r="G23">
            <v>165.2064</v>
          </cell>
          <cell r="I23">
            <v>109.64467005076142</v>
          </cell>
          <cell r="J23">
            <v>110.34482758620689</v>
          </cell>
          <cell r="K23">
            <v>91.107236268526592</v>
          </cell>
          <cell r="L23">
            <v>98.553345388788429</v>
          </cell>
          <cell r="M23">
            <v>101.26582278481011</v>
          </cell>
          <cell r="N23">
            <v>102.18318041581868</v>
          </cell>
          <cell r="P23">
            <v>102.84456202584489</v>
          </cell>
        </row>
        <row r="24">
          <cell r="A24" t="str">
            <v>09/09/2005</v>
          </cell>
          <cell r="B24">
            <v>106</v>
          </cell>
          <cell r="C24">
            <v>62.5</v>
          </cell>
          <cell r="D24">
            <v>53</v>
          </cell>
          <cell r="E24">
            <v>54900</v>
          </cell>
          <cell r="F24">
            <v>15.9</v>
          </cell>
          <cell r="G24">
            <v>165.61410000000001</v>
          </cell>
          <cell r="I24">
            <v>107.61421319796953</v>
          </cell>
          <cell r="J24">
            <v>107.75862068965519</v>
          </cell>
          <cell r="K24">
            <v>92.41499564080209</v>
          </cell>
          <cell r="L24">
            <v>99.276672694394207</v>
          </cell>
          <cell r="M24">
            <v>100.63291139240506</v>
          </cell>
          <cell r="N24">
            <v>101.53948272304521</v>
          </cell>
          <cell r="P24">
            <v>101.9451155874545</v>
          </cell>
        </row>
        <row r="25">
          <cell r="A25" t="str">
            <v>12/09/2005</v>
          </cell>
          <cell r="B25">
            <v>106</v>
          </cell>
          <cell r="C25">
            <v>62.5</v>
          </cell>
          <cell r="D25">
            <v>53.3</v>
          </cell>
          <cell r="E25">
            <v>56200</v>
          </cell>
          <cell r="F25">
            <v>16.100000000000001</v>
          </cell>
          <cell r="G25">
            <v>165.85510000000002</v>
          </cell>
          <cell r="I25">
            <v>107.61421319796953</v>
          </cell>
          <cell r="J25">
            <v>107.75862068965519</v>
          </cell>
          <cell r="K25">
            <v>92.938099389712278</v>
          </cell>
          <cell r="L25">
            <v>101.62748643761302</v>
          </cell>
          <cell r="M25">
            <v>101.8987341772152</v>
          </cell>
          <cell r="N25">
            <v>102.36743077843303</v>
          </cell>
          <cell r="P25">
            <v>102.62702931586362</v>
          </cell>
        </row>
        <row r="26">
          <cell r="A26" t="str">
            <v>13/09/2005</v>
          </cell>
          <cell r="B26">
            <v>105</v>
          </cell>
          <cell r="C26">
            <v>61.5</v>
          </cell>
          <cell r="D26">
            <v>53</v>
          </cell>
          <cell r="E26">
            <v>56700</v>
          </cell>
          <cell r="F26">
            <v>16</v>
          </cell>
          <cell r="G26">
            <v>165.52520000000001</v>
          </cell>
          <cell r="I26">
            <v>106.59898477157361</v>
          </cell>
          <cell r="J26">
            <v>106.03448275862068</v>
          </cell>
          <cell r="K26">
            <v>92.41499564080209</v>
          </cell>
          <cell r="L26">
            <v>102.53164556962024</v>
          </cell>
          <cell r="M26">
            <v>101.26582278481011</v>
          </cell>
          <cell r="N26">
            <v>101.76918630508536</v>
          </cell>
          <cell r="P26">
            <v>102.23061317133875</v>
          </cell>
        </row>
        <row r="27">
          <cell r="A27" t="str">
            <v>14/09/2005</v>
          </cell>
          <cell r="B27">
            <v>106</v>
          </cell>
          <cell r="C27">
            <v>62</v>
          </cell>
          <cell r="D27">
            <v>53.3</v>
          </cell>
          <cell r="E27">
            <v>57200</v>
          </cell>
          <cell r="F27">
            <v>16</v>
          </cell>
          <cell r="G27">
            <v>167.03790000000001</v>
          </cell>
          <cell r="I27">
            <v>107.61421319796953</v>
          </cell>
          <cell r="J27">
            <v>106.89655172413792</v>
          </cell>
          <cell r="K27">
            <v>92.938099389712278</v>
          </cell>
          <cell r="L27">
            <v>103.43580470162748</v>
          </cell>
          <cell r="M27">
            <v>101.26582278481011</v>
          </cell>
          <cell r="N27">
            <v>102.43009835965147</v>
          </cell>
          <cell r="P27">
            <v>101.96270610334479</v>
          </cell>
        </row>
        <row r="28">
          <cell r="A28" t="str">
            <v>15/09/2005</v>
          </cell>
          <cell r="B28">
            <v>105</v>
          </cell>
          <cell r="C28">
            <v>61.5</v>
          </cell>
          <cell r="D28">
            <v>53</v>
          </cell>
          <cell r="E28">
            <v>58400</v>
          </cell>
          <cell r="F28">
            <v>15.9</v>
          </cell>
          <cell r="G28">
            <v>166.4716</v>
          </cell>
          <cell r="I28">
            <v>106.59898477157361</v>
          </cell>
          <cell r="J28">
            <v>106.03448275862068</v>
          </cell>
          <cell r="K28">
            <v>92.41499564080209</v>
          </cell>
          <cell r="L28">
            <v>105.60578661844484</v>
          </cell>
          <cell r="M28">
            <v>100.63291139240506</v>
          </cell>
          <cell r="N28">
            <v>102.25743223636925</v>
          </cell>
          <cell r="P28">
            <v>102.13709801134165</v>
          </cell>
        </row>
        <row r="29">
          <cell r="A29" t="str">
            <v>16/09/2005</v>
          </cell>
          <cell r="B29">
            <v>104</v>
          </cell>
          <cell r="C29">
            <v>62.5</v>
          </cell>
          <cell r="D29">
            <v>52.5</v>
          </cell>
          <cell r="E29">
            <v>59800</v>
          </cell>
          <cell r="F29">
            <v>15.9</v>
          </cell>
          <cell r="G29">
            <v>167.13900000000001</v>
          </cell>
          <cell r="I29">
            <v>105.58375634517768</v>
          </cell>
          <cell r="J29">
            <v>107.75862068965519</v>
          </cell>
          <cell r="K29">
            <v>91.543156059285096</v>
          </cell>
          <cell r="L29">
            <v>108.13743218806511</v>
          </cell>
          <cell r="M29">
            <v>100.63291139240506</v>
          </cell>
          <cell r="N29">
            <v>102.73117533491761</v>
          </cell>
          <cell r="P29">
            <v>102.20055217894183</v>
          </cell>
        </row>
        <row r="30">
          <cell r="A30" t="str">
            <v>19/09/2005</v>
          </cell>
          <cell r="B30">
            <v>105</v>
          </cell>
          <cell r="C30">
            <v>63</v>
          </cell>
          <cell r="D30">
            <v>52.5</v>
          </cell>
          <cell r="E30">
            <v>59800</v>
          </cell>
          <cell r="F30">
            <v>15.9</v>
          </cell>
          <cell r="G30">
            <v>166.73140000000001</v>
          </cell>
          <cell r="I30">
            <v>106.59898477157361</v>
          </cell>
          <cell r="J30">
            <v>108.62068965517241</v>
          </cell>
          <cell r="K30">
            <v>91.543156059285096</v>
          </cell>
          <cell r="L30">
            <v>108.13743218806511</v>
          </cell>
          <cell r="M30">
            <v>100.63291139240506</v>
          </cell>
          <cell r="N30">
            <v>103.10663481330025</v>
          </cell>
          <cell r="P30">
            <v>102.82483010534229</v>
          </cell>
        </row>
        <row r="31">
          <cell r="A31" t="str">
            <v>20/09/2005</v>
          </cell>
          <cell r="B31">
            <v>106</v>
          </cell>
          <cell r="C31">
            <v>64</v>
          </cell>
          <cell r="D31">
            <v>53.35</v>
          </cell>
          <cell r="E31">
            <v>61600</v>
          </cell>
          <cell r="F31">
            <v>16</v>
          </cell>
          <cell r="G31">
            <v>168.7473</v>
          </cell>
          <cell r="I31">
            <v>107.61421319796953</v>
          </cell>
          <cell r="J31">
            <v>110.34482758620689</v>
          </cell>
          <cell r="K31">
            <v>93.02528334786399</v>
          </cell>
          <cell r="L31">
            <v>111.39240506329114</v>
          </cell>
          <cell r="M31">
            <v>101.26582278481011</v>
          </cell>
          <cell r="N31">
            <v>104.72851039602833</v>
          </cell>
          <cell r="P31">
            <v>103.19457778617429</v>
          </cell>
        </row>
        <row r="32">
          <cell r="A32" t="str">
            <v>21/09/2005</v>
          </cell>
          <cell r="B32">
            <v>105</v>
          </cell>
          <cell r="C32">
            <v>63</v>
          </cell>
          <cell r="D32">
            <v>52.75</v>
          </cell>
          <cell r="E32">
            <v>61200</v>
          </cell>
          <cell r="F32">
            <v>15.9</v>
          </cell>
          <cell r="G32">
            <v>168.7868</v>
          </cell>
          <cell r="I32">
            <v>106.59898477157361</v>
          </cell>
          <cell r="J32">
            <v>108.62068965517241</v>
          </cell>
          <cell r="K32">
            <v>91.979075850043586</v>
          </cell>
          <cell r="L32">
            <v>110.66907775768536</v>
          </cell>
          <cell r="M32">
            <v>100.63291139240506</v>
          </cell>
          <cell r="N32">
            <v>103.70014788537601</v>
          </cell>
          <cell r="P32">
            <v>102.15736467392247</v>
          </cell>
        </row>
        <row r="33">
          <cell r="A33" t="str">
            <v>22/09/2005</v>
          </cell>
          <cell r="B33">
            <v>106</v>
          </cell>
          <cell r="C33">
            <v>63.5</v>
          </cell>
          <cell r="D33">
            <v>51.7</v>
          </cell>
          <cell r="E33">
            <v>62000</v>
          </cell>
          <cell r="F33">
            <v>15.8</v>
          </cell>
          <cell r="G33">
            <v>167.28149999999999</v>
          </cell>
          <cell r="I33">
            <v>107.61421319796953</v>
          </cell>
          <cell r="J33">
            <v>109.48275862068965</v>
          </cell>
          <cell r="K33">
            <v>90.148212728857885</v>
          </cell>
          <cell r="L33">
            <v>112.11573236889694</v>
          </cell>
          <cell r="M33">
            <v>100</v>
          </cell>
          <cell r="N33">
            <v>103.8721833832828</v>
          </cell>
          <cell r="P33">
            <v>103.24763947348463</v>
          </cell>
        </row>
        <row r="34">
          <cell r="A34" t="str">
            <v>23/09/2005</v>
          </cell>
          <cell r="B34">
            <v>106</v>
          </cell>
          <cell r="C34">
            <v>64</v>
          </cell>
          <cell r="D34">
            <v>51.8</v>
          </cell>
          <cell r="E34">
            <v>60200</v>
          </cell>
          <cell r="F34">
            <v>15.8</v>
          </cell>
          <cell r="G34">
            <v>165.3845</v>
          </cell>
          <cell r="I34">
            <v>107.61421319796953</v>
          </cell>
          <cell r="J34">
            <v>110.34482758620689</v>
          </cell>
          <cell r="K34">
            <v>90.322580645161281</v>
          </cell>
          <cell r="L34">
            <v>108.86075949367088</v>
          </cell>
          <cell r="M34">
            <v>100</v>
          </cell>
          <cell r="N34">
            <v>103.42847618460171</v>
          </cell>
          <cell r="P34">
            <v>103.98581655190166</v>
          </cell>
        </row>
        <row r="35">
          <cell r="A35" t="str">
            <v>26/09/2005</v>
          </cell>
          <cell r="B35">
            <v>105</v>
          </cell>
          <cell r="C35">
            <v>62.5</v>
          </cell>
          <cell r="D35">
            <v>51.55</v>
          </cell>
          <cell r="E35">
            <v>62500</v>
          </cell>
          <cell r="F35">
            <v>16</v>
          </cell>
          <cell r="G35">
            <v>167.2397</v>
          </cell>
          <cell r="I35">
            <v>106.59898477157361</v>
          </cell>
          <cell r="J35">
            <v>107.75862068965519</v>
          </cell>
          <cell r="K35">
            <v>89.886660854402777</v>
          </cell>
          <cell r="L35">
            <v>113.01989150090417</v>
          </cell>
          <cell r="M35">
            <v>101.26582278481011</v>
          </cell>
          <cell r="N35">
            <v>103.70599612026918</v>
          </cell>
          <cell r="P35">
            <v>103.10821592657153</v>
          </cell>
        </row>
        <row r="36">
          <cell r="A36" t="str">
            <v>27/09/2005</v>
          </cell>
          <cell r="B36">
            <v>104</v>
          </cell>
          <cell r="C36">
            <v>63</v>
          </cell>
          <cell r="D36">
            <v>51.3</v>
          </cell>
          <cell r="E36">
            <v>62700</v>
          </cell>
          <cell r="F36">
            <v>15.9</v>
          </cell>
          <cell r="G36">
            <v>167.63290000000001</v>
          </cell>
          <cell r="I36">
            <v>105.58375634517768</v>
          </cell>
          <cell r="J36">
            <v>108.62068965517241</v>
          </cell>
          <cell r="K36">
            <v>89.450741063644273</v>
          </cell>
          <cell r="L36">
            <v>113.38155515370704</v>
          </cell>
          <cell r="M36">
            <v>100.63291139240506</v>
          </cell>
          <cell r="N36">
            <v>103.5339307220213</v>
          </cell>
          <cell r="P36">
            <v>102.69569281779172</v>
          </cell>
        </row>
        <row r="37">
          <cell r="A37" t="str">
            <v>28/09/2005</v>
          </cell>
          <cell r="B37">
            <v>104</v>
          </cell>
          <cell r="C37">
            <v>63</v>
          </cell>
          <cell r="D37">
            <v>51.5</v>
          </cell>
          <cell r="E37">
            <v>64500</v>
          </cell>
          <cell r="F37">
            <v>15.9</v>
          </cell>
          <cell r="G37">
            <v>168.8954</v>
          </cell>
          <cell r="I37">
            <v>105.58375634517768</v>
          </cell>
          <cell r="J37">
            <v>108.62068965517241</v>
          </cell>
          <cell r="K37">
            <v>89.799476896251079</v>
          </cell>
          <cell r="L37">
            <v>116.6365280289331</v>
          </cell>
          <cell r="M37">
            <v>100.63291139240506</v>
          </cell>
          <cell r="N37">
            <v>104.25467246358787</v>
          </cell>
          <cell r="P37">
            <v>102.63760079998505</v>
          </cell>
        </row>
        <row r="38">
          <cell r="A38" t="str">
            <v>29/09/2005</v>
          </cell>
          <cell r="B38">
            <v>104</v>
          </cell>
          <cell r="C38">
            <v>63</v>
          </cell>
          <cell r="D38">
            <v>51.5</v>
          </cell>
          <cell r="E38">
            <v>63400</v>
          </cell>
          <cell r="F38">
            <v>15.8</v>
          </cell>
          <cell r="G38">
            <v>169.87970000000001</v>
          </cell>
          <cell r="I38">
            <v>105.58375634517768</v>
          </cell>
          <cell r="J38">
            <v>108.62068965517241</v>
          </cell>
          <cell r="K38">
            <v>89.799476896251079</v>
          </cell>
          <cell r="L38">
            <v>114.64737793851718</v>
          </cell>
          <cell r="M38">
            <v>100</v>
          </cell>
          <cell r="N38">
            <v>103.73026016702367</v>
          </cell>
          <cell r="P38">
            <v>101.52962137591469</v>
          </cell>
        </row>
        <row r="39">
          <cell r="A39" t="str">
            <v>30/09/2005</v>
          </cell>
          <cell r="B39">
            <v>105</v>
          </cell>
          <cell r="C39">
            <v>62.5</v>
          </cell>
          <cell r="D39">
            <v>52</v>
          </cell>
          <cell r="E39">
            <v>61500</v>
          </cell>
          <cell r="F39">
            <v>15.8</v>
          </cell>
          <cell r="G39">
            <v>169.28970000000001</v>
          </cell>
          <cell r="I39">
            <v>106.59898477157361</v>
          </cell>
          <cell r="J39">
            <v>107.75862068965519</v>
          </cell>
          <cell r="K39">
            <v>90.671316477768087</v>
          </cell>
          <cell r="L39">
            <v>111.21157323688968</v>
          </cell>
          <cell r="M39">
            <v>100</v>
          </cell>
          <cell r="N39">
            <v>103.2480990351773</v>
          </cell>
          <cell r="P39">
            <v>101.4098905057037</v>
          </cell>
        </row>
        <row r="40">
          <cell r="A40" t="str">
            <v>03/10/2005</v>
          </cell>
          <cell r="B40">
            <v>103</v>
          </cell>
          <cell r="C40">
            <v>61</v>
          </cell>
          <cell r="D40">
            <v>51.95</v>
          </cell>
          <cell r="E40">
            <v>61500</v>
          </cell>
          <cell r="F40">
            <v>15.7</v>
          </cell>
          <cell r="G40">
            <v>168.82660000000001</v>
          </cell>
          <cell r="I40">
            <v>104.56852791878173</v>
          </cell>
          <cell r="J40">
            <v>105.17241379310344</v>
          </cell>
          <cell r="K40">
            <v>90.584132519616389</v>
          </cell>
          <cell r="L40">
            <v>111.21157323688968</v>
          </cell>
          <cell r="M40">
            <v>99.367088607594923</v>
          </cell>
          <cell r="N40">
            <v>102.18074721519724</v>
          </cell>
          <cell r="P40">
            <v>100.63683844684412</v>
          </cell>
        </row>
        <row r="41">
          <cell r="A41" t="str">
            <v>04/10/2005</v>
          </cell>
          <cell r="B41">
            <v>101</v>
          </cell>
          <cell r="C41">
            <v>59.5</v>
          </cell>
          <cell r="D41">
            <v>52</v>
          </cell>
          <cell r="E41">
            <v>62700</v>
          </cell>
          <cell r="F41">
            <v>15.9</v>
          </cell>
          <cell r="G41">
            <v>169.87650000000002</v>
          </cell>
          <cell r="I41">
            <v>102.53807106598984</v>
          </cell>
          <cell r="J41">
            <v>102.58620689655173</v>
          </cell>
          <cell r="K41">
            <v>90.671316477768087</v>
          </cell>
          <cell r="L41">
            <v>113.38155515370704</v>
          </cell>
          <cell r="M41">
            <v>100.63291139240506</v>
          </cell>
          <cell r="N41">
            <v>101.96201219728434</v>
          </cell>
          <cell r="P41">
            <v>99.800766742380432</v>
          </cell>
        </row>
        <row r="42">
          <cell r="A42" t="str">
            <v>05/10/2005</v>
          </cell>
          <cell r="B42">
            <v>102</v>
          </cell>
          <cell r="C42">
            <v>61</v>
          </cell>
          <cell r="D42">
            <v>51.4</v>
          </cell>
          <cell r="E42">
            <v>61000</v>
          </cell>
          <cell r="F42">
            <v>16</v>
          </cell>
          <cell r="G42">
            <v>167.02510000000001</v>
          </cell>
          <cell r="I42">
            <v>103.55329949238579</v>
          </cell>
          <cell r="J42">
            <v>105.17241379310344</v>
          </cell>
          <cell r="K42">
            <v>89.625108979947683</v>
          </cell>
          <cell r="L42">
            <v>110.30741410488245</v>
          </cell>
          <cell r="M42">
            <v>101.26582278481011</v>
          </cell>
          <cell r="N42">
            <v>101.98481183102589</v>
          </cell>
          <cell r="P42">
            <v>101.5272313955933</v>
          </cell>
        </row>
      </sheetData>
      <sheetData sheetId="27" refreshError="1">
        <row r="1">
          <cell r="A1" t="str">
            <v>Price - Closing - US Dollars</v>
          </cell>
        </row>
        <row r="2">
          <cell r="G2" t="str">
            <v>US$Price</v>
          </cell>
        </row>
        <row r="3">
          <cell r="B3" t="str">
            <v>BK OF EAST ASIA</v>
          </cell>
          <cell r="C3" t="str">
            <v>BOC HONG KONG HLDG</v>
          </cell>
          <cell r="D3" t="str">
            <v>HANG SENG BANK</v>
          </cell>
          <cell r="E3" t="str">
            <v>UOB-KAY HIAN HOLDI</v>
          </cell>
          <cell r="F3" t="str">
            <v>CORPORATION BANK</v>
          </cell>
          <cell r="G3" t="str">
            <v>MSCI AC ASIA PACIFIC EX JP /</v>
          </cell>
          <cell r="I3" t="str">
            <v>Absolute Performance</v>
          </cell>
        </row>
        <row r="4">
          <cell r="A4" t="str">
            <v xml:space="preserve"> </v>
          </cell>
          <cell r="B4" t="str">
            <v>BEA</v>
          </cell>
          <cell r="C4" t="str">
            <v>BOCHK</v>
          </cell>
          <cell r="D4" t="str">
            <v>HSB</v>
          </cell>
          <cell r="E4" t="str">
            <v>UOB</v>
          </cell>
          <cell r="F4" t="str">
            <v>Corp</v>
          </cell>
          <cell r="I4" t="str">
            <v>BEA</v>
          </cell>
          <cell r="J4" t="str">
            <v>BOCHK</v>
          </cell>
          <cell r="K4" t="str">
            <v>HSB</v>
          </cell>
          <cell r="L4" t="str">
            <v>UOB</v>
          </cell>
          <cell r="M4" t="str">
            <v>Corp</v>
          </cell>
          <cell r="N4" t="str">
            <v>Absolute Performance</v>
          </cell>
          <cell r="P4" t="str">
            <v>Relative Performance</v>
          </cell>
        </row>
        <row r="5">
          <cell r="A5" t="str">
            <v>12/08/2005</v>
          </cell>
          <cell r="B5">
            <v>23.5</v>
          </cell>
          <cell r="C5">
            <v>16.55</v>
          </cell>
          <cell r="D5">
            <v>107.7</v>
          </cell>
          <cell r="E5">
            <v>1.03</v>
          </cell>
          <cell r="F5">
            <v>436.35</v>
          </cell>
          <cell r="G5">
            <v>166.2757</v>
          </cell>
          <cell r="I5">
            <v>100</v>
          </cell>
          <cell r="J5">
            <v>100</v>
          </cell>
          <cell r="K5">
            <v>100</v>
          </cell>
          <cell r="L5">
            <v>100</v>
          </cell>
          <cell r="M5">
            <v>100</v>
          </cell>
          <cell r="N5">
            <v>100</v>
          </cell>
          <cell r="P5">
            <v>100</v>
          </cell>
        </row>
        <row r="6">
          <cell r="A6" t="str">
            <v>15/08/2005</v>
          </cell>
          <cell r="B6">
            <v>23.7</v>
          </cell>
          <cell r="C6">
            <v>16.8</v>
          </cell>
          <cell r="D6">
            <v>107.6</v>
          </cell>
          <cell r="E6">
            <v>1.03</v>
          </cell>
          <cell r="F6">
            <v>436.35</v>
          </cell>
          <cell r="G6">
            <v>164.1979</v>
          </cell>
          <cell r="I6">
            <v>100.85106382978724</v>
          </cell>
          <cell r="J6">
            <v>101.51057401812689</v>
          </cell>
          <cell r="K6">
            <v>99.90714948932218</v>
          </cell>
          <cell r="L6">
            <v>100</v>
          </cell>
          <cell r="M6">
            <v>100</v>
          </cell>
          <cell r="N6">
            <v>100.45375746744726</v>
          </cell>
          <cell r="P6">
            <v>101.72492364719659</v>
          </cell>
        </row>
        <row r="7">
          <cell r="A7" t="str">
            <v>16/08/2005</v>
          </cell>
          <cell r="B7">
            <v>23.6</v>
          </cell>
          <cell r="C7">
            <v>16.649999999999999</v>
          </cell>
          <cell r="D7">
            <v>107.3</v>
          </cell>
          <cell r="E7">
            <v>1.01</v>
          </cell>
          <cell r="F7">
            <v>428.9</v>
          </cell>
          <cell r="G7">
            <v>164.73940000000002</v>
          </cell>
          <cell r="I7">
            <v>100.42553191489363</v>
          </cell>
          <cell r="J7">
            <v>100.60422960725074</v>
          </cell>
          <cell r="K7">
            <v>99.628597957288761</v>
          </cell>
          <cell r="L7">
            <v>98.05825242718447</v>
          </cell>
          <cell r="M7">
            <v>98.292654978801409</v>
          </cell>
          <cell r="N7">
            <v>99.40185337708381</v>
          </cell>
          <cell r="P7">
            <v>100.32883907293564</v>
          </cell>
        </row>
        <row r="8">
          <cell r="A8" t="str">
            <v>17/08/2005</v>
          </cell>
          <cell r="B8">
            <v>23.65</v>
          </cell>
          <cell r="C8">
            <v>16.600000000000001</v>
          </cell>
          <cell r="D8">
            <v>107.6</v>
          </cell>
          <cell r="E8">
            <v>1.01</v>
          </cell>
          <cell r="F8">
            <v>428.15</v>
          </cell>
          <cell r="G8">
            <v>164.464</v>
          </cell>
          <cell r="I8">
            <v>100.63829787234042</v>
          </cell>
          <cell r="J8">
            <v>100.30211480362539</v>
          </cell>
          <cell r="K8">
            <v>99.90714948932218</v>
          </cell>
          <cell r="L8">
            <v>98.05825242718447</v>
          </cell>
          <cell r="M8">
            <v>98.120774607539801</v>
          </cell>
          <cell r="N8">
            <v>99.405317840002454</v>
          </cell>
          <cell r="P8">
            <v>100.50034541035664</v>
          </cell>
        </row>
        <row r="9">
          <cell r="A9" t="str">
            <v>18/08/2005</v>
          </cell>
          <cell r="B9">
            <v>23.05</v>
          </cell>
          <cell r="C9">
            <v>15.95</v>
          </cell>
          <cell r="D9">
            <v>107.4</v>
          </cell>
          <cell r="E9">
            <v>1.01</v>
          </cell>
          <cell r="F9">
            <v>428.75</v>
          </cell>
          <cell r="G9">
            <v>162.08930000000001</v>
          </cell>
          <cell r="I9">
            <v>98.085106382978722</v>
          </cell>
          <cell r="J9">
            <v>96.374622356495465</v>
          </cell>
          <cell r="K9">
            <v>99.721448467966582</v>
          </cell>
          <cell r="L9">
            <v>98.05825242718447</v>
          </cell>
          <cell r="M9">
            <v>98.258278904549087</v>
          </cell>
          <cell r="N9">
            <v>98.099541707834874</v>
          </cell>
          <cell r="P9">
            <v>100.63323098532375</v>
          </cell>
        </row>
        <row r="10">
          <cell r="A10" t="str">
            <v>19/08/2005</v>
          </cell>
          <cell r="B10">
            <v>23</v>
          </cell>
          <cell r="C10">
            <v>15.7</v>
          </cell>
          <cell r="D10">
            <v>107.3</v>
          </cell>
          <cell r="E10">
            <v>1.03</v>
          </cell>
          <cell r="F10">
            <v>422.25</v>
          </cell>
          <cell r="G10">
            <v>161.1788</v>
          </cell>
          <cell r="I10">
            <v>97.872340425531917</v>
          </cell>
          <cell r="J10">
            <v>94.864048338368562</v>
          </cell>
          <cell r="K10">
            <v>99.628597957288761</v>
          </cell>
          <cell r="L10">
            <v>100</v>
          </cell>
          <cell r="M10">
            <v>96.768649020281885</v>
          </cell>
          <cell r="N10">
            <v>97.826727148294225</v>
          </cell>
          <cell r="P10">
            <v>100.92026702824211</v>
          </cell>
        </row>
        <row r="11">
          <cell r="A11" t="str">
            <v>22/08/2005</v>
          </cell>
          <cell r="B11">
            <v>23</v>
          </cell>
          <cell r="C11">
            <v>15.85</v>
          </cell>
          <cell r="D11">
            <v>106.2</v>
          </cell>
          <cell r="E11">
            <v>1.02</v>
          </cell>
          <cell r="F11">
            <v>423.85</v>
          </cell>
          <cell r="G11">
            <v>162.45270000000002</v>
          </cell>
          <cell r="I11">
            <v>97.872340425531917</v>
          </cell>
          <cell r="J11">
            <v>95.770392749244706</v>
          </cell>
          <cell r="K11">
            <v>98.607242339832865</v>
          </cell>
          <cell r="L11">
            <v>99.029126213592235</v>
          </cell>
          <cell r="M11">
            <v>97.135327145639977</v>
          </cell>
          <cell r="N11">
            <v>97.682885774768337</v>
          </cell>
          <cell r="P11">
            <v>99.981657493040402</v>
          </cell>
        </row>
        <row r="12">
          <cell r="A12" t="str">
            <v>23/08/2005</v>
          </cell>
          <cell r="B12">
            <v>22.85</v>
          </cell>
          <cell r="C12">
            <v>15.65</v>
          </cell>
          <cell r="D12">
            <v>105.5</v>
          </cell>
          <cell r="E12">
            <v>1.04</v>
          </cell>
          <cell r="F12">
            <v>419.7</v>
          </cell>
          <cell r="G12">
            <v>161.44450000000001</v>
          </cell>
          <cell r="I12">
            <v>97.234042553191486</v>
          </cell>
          <cell r="J12">
            <v>94.561933534743204</v>
          </cell>
          <cell r="K12">
            <v>97.957288765088208</v>
          </cell>
          <cell r="L12">
            <v>100.97087378640776</v>
          </cell>
          <cell r="M12">
            <v>96.184255757992432</v>
          </cell>
          <cell r="N12">
            <v>97.38167887948461</v>
          </cell>
          <cell r="P12">
            <v>100.29580953740462</v>
          </cell>
        </row>
        <row r="13">
          <cell r="A13" t="str">
            <v>24/08/2005</v>
          </cell>
          <cell r="B13">
            <v>22.75</v>
          </cell>
          <cell r="C13">
            <v>15.7</v>
          </cell>
          <cell r="D13">
            <v>105.3</v>
          </cell>
          <cell r="E13">
            <v>1.03</v>
          </cell>
          <cell r="F13">
            <v>399.9</v>
          </cell>
          <cell r="G13">
            <v>160.16580000000002</v>
          </cell>
          <cell r="I13">
            <v>96.808510638297875</v>
          </cell>
          <cell r="J13">
            <v>94.864048338368562</v>
          </cell>
          <cell r="K13">
            <v>97.771587743732582</v>
          </cell>
          <cell r="L13">
            <v>100</v>
          </cell>
          <cell r="M13">
            <v>91.646613956686139</v>
          </cell>
          <cell r="N13">
            <v>96.218152135417043</v>
          </cell>
          <cell r="P13">
            <v>99.888619162286602</v>
          </cell>
        </row>
        <row r="14">
          <cell r="A14" t="str">
            <v>25/08/2005</v>
          </cell>
          <cell r="B14">
            <v>22.6</v>
          </cell>
          <cell r="C14">
            <v>15.8</v>
          </cell>
          <cell r="D14">
            <v>104.9</v>
          </cell>
          <cell r="E14">
            <v>1.03</v>
          </cell>
          <cell r="F14">
            <v>405.2</v>
          </cell>
          <cell r="G14">
            <v>160.75239999999999</v>
          </cell>
          <cell r="I14">
            <v>96.170212765957459</v>
          </cell>
          <cell r="J14">
            <v>95.468277945619334</v>
          </cell>
          <cell r="K14">
            <v>97.400185701021357</v>
          </cell>
          <cell r="L14">
            <v>100</v>
          </cell>
          <cell r="M14">
            <v>92.861235246934797</v>
          </cell>
          <cell r="N14">
            <v>96.379982331906575</v>
          </cell>
          <cell r="P14">
            <v>99.6915071142042</v>
          </cell>
        </row>
        <row r="15">
          <cell r="A15" t="str">
            <v>26/08/2005</v>
          </cell>
          <cell r="B15">
            <v>22.8</v>
          </cell>
          <cell r="C15">
            <v>15.85</v>
          </cell>
          <cell r="D15">
            <v>105</v>
          </cell>
          <cell r="E15">
            <v>1.03</v>
          </cell>
          <cell r="F15">
            <v>405.8</v>
          </cell>
          <cell r="G15">
            <v>161.0076</v>
          </cell>
          <cell r="I15">
            <v>97.021276595744695</v>
          </cell>
          <cell r="J15">
            <v>95.770392749244706</v>
          </cell>
          <cell r="K15">
            <v>97.493036211699163</v>
          </cell>
          <cell r="L15">
            <v>100</v>
          </cell>
          <cell r="M15">
            <v>92.998739543944069</v>
          </cell>
          <cell r="N15">
            <v>96.656689020126521</v>
          </cell>
          <cell r="P15">
            <v>99.819254659431294</v>
          </cell>
        </row>
        <row r="16">
          <cell r="A16" t="str">
            <v>29/08/2005</v>
          </cell>
          <cell r="B16">
            <v>22.65</v>
          </cell>
          <cell r="C16">
            <v>15.65</v>
          </cell>
          <cell r="D16">
            <v>104.9</v>
          </cell>
          <cell r="E16">
            <v>1.02</v>
          </cell>
          <cell r="F16">
            <v>393.7</v>
          </cell>
          <cell r="G16">
            <v>158.11870000000002</v>
          </cell>
          <cell r="I16">
            <v>96.38297872340425</v>
          </cell>
          <cell r="J16">
            <v>94.561933534743204</v>
          </cell>
          <cell r="K16">
            <v>97.400185701021357</v>
          </cell>
          <cell r="L16">
            <v>99.029126213592235</v>
          </cell>
          <cell r="M16">
            <v>90.225736220923551</v>
          </cell>
          <cell r="N16">
            <v>95.519992078736919</v>
          </cell>
          <cell r="P16">
            <v>100.44766081991843</v>
          </cell>
        </row>
        <row r="17">
          <cell r="A17" t="str">
            <v>30/08/2005</v>
          </cell>
          <cell r="B17">
            <v>22.65</v>
          </cell>
          <cell r="C17">
            <v>15.65</v>
          </cell>
          <cell r="D17">
            <v>104.8</v>
          </cell>
          <cell r="E17">
            <v>1.02</v>
          </cell>
          <cell r="F17">
            <v>390.6</v>
          </cell>
          <cell r="G17">
            <v>158.68450000000001</v>
          </cell>
          <cell r="I17">
            <v>96.38297872340425</v>
          </cell>
          <cell r="J17">
            <v>94.561933534743204</v>
          </cell>
          <cell r="K17">
            <v>97.307335190343551</v>
          </cell>
          <cell r="L17">
            <v>99.029126213592235</v>
          </cell>
          <cell r="M17">
            <v>89.515297353042271</v>
          </cell>
          <cell r="N17">
            <v>95.359334203025099</v>
          </cell>
          <cell r="P17">
            <v>99.921164613695339</v>
          </cell>
        </row>
        <row r="18">
          <cell r="A18" t="str">
            <v>31/08/2005</v>
          </cell>
          <cell r="B18">
            <v>22.7</v>
          </cell>
          <cell r="C18">
            <v>15.65</v>
          </cell>
          <cell r="D18">
            <v>105</v>
          </cell>
          <cell r="E18">
            <v>1.01</v>
          </cell>
          <cell r="F18">
            <v>382.1</v>
          </cell>
          <cell r="G18">
            <v>159.66220000000001</v>
          </cell>
          <cell r="I18">
            <v>96.595744680851055</v>
          </cell>
          <cell r="J18">
            <v>94.561933534743204</v>
          </cell>
          <cell r="K18">
            <v>97.493036211699163</v>
          </cell>
          <cell r="L18">
            <v>98.05825242718447</v>
          </cell>
          <cell r="M18">
            <v>87.567319812077457</v>
          </cell>
          <cell r="N18">
            <v>94.855257333311073</v>
          </cell>
          <cell r="P18">
            <v>98.784335376666675</v>
          </cell>
        </row>
        <row r="19">
          <cell r="A19" t="str">
            <v>01/09/2005</v>
          </cell>
          <cell r="B19">
            <v>22.95</v>
          </cell>
          <cell r="C19">
            <v>16.05</v>
          </cell>
          <cell r="D19">
            <v>105.5</v>
          </cell>
          <cell r="E19">
            <v>1.02</v>
          </cell>
          <cell r="F19">
            <v>389.6</v>
          </cell>
          <cell r="G19">
            <v>162.41130000000001</v>
          </cell>
          <cell r="I19">
            <v>97.659574468085111</v>
          </cell>
          <cell r="J19">
            <v>96.978851963746223</v>
          </cell>
          <cell r="K19">
            <v>97.957288765088208</v>
          </cell>
          <cell r="L19">
            <v>99.029126213592235</v>
          </cell>
          <cell r="M19">
            <v>89.28612352469348</v>
          </cell>
          <cell r="N19">
            <v>96.182192987041049</v>
          </cell>
          <cell r="P19">
            <v>98.470743516339937</v>
          </cell>
        </row>
        <row r="20">
          <cell r="A20" t="str">
            <v>02/09/2005</v>
          </cell>
          <cell r="B20">
            <v>23.05</v>
          </cell>
          <cell r="C20">
            <v>16.05</v>
          </cell>
          <cell r="D20">
            <v>105.4</v>
          </cell>
          <cell r="E20">
            <v>1.01</v>
          </cell>
          <cell r="F20">
            <v>392.8</v>
          </cell>
          <cell r="G20">
            <v>162.2176</v>
          </cell>
          <cell r="I20">
            <v>98.085106382978722</v>
          </cell>
          <cell r="J20">
            <v>96.978851963746223</v>
          </cell>
          <cell r="K20">
            <v>97.864438254410402</v>
          </cell>
          <cell r="L20">
            <v>98.05825242718447</v>
          </cell>
          <cell r="M20">
            <v>90.01947977540965</v>
          </cell>
          <cell r="N20">
            <v>96.201225760745885</v>
          </cell>
          <cell r="P20">
            <v>98.607833886249423</v>
          </cell>
        </row>
        <row r="21">
          <cell r="A21" t="str">
            <v>06/09/2005</v>
          </cell>
          <cell r="B21">
            <v>23</v>
          </cell>
          <cell r="C21">
            <v>16.05</v>
          </cell>
          <cell r="D21">
            <v>105.2</v>
          </cell>
          <cell r="E21">
            <v>1.01</v>
          </cell>
          <cell r="F21">
            <v>397.35</v>
          </cell>
          <cell r="G21">
            <v>163.3006</v>
          </cell>
          <cell r="I21">
            <v>97.872340425531917</v>
          </cell>
          <cell r="J21">
            <v>96.978851963746223</v>
          </cell>
          <cell r="K21">
            <v>97.678737233054775</v>
          </cell>
          <cell r="L21">
            <v>98.05825242718447</v>
          </cell>
          <cell r="M21">
            <v>91.0622206943967</v>
          </cell>
          <cell r="N21">
            <v>96.330080548782831</v>
          </cell>
          <cell r="P21">
            <v>98.085074851563604</v>
          </cell>
        </row>
        <row r="22">
          <cell r="A22" t="str">
            <v>07/09/2005</v>
          </cell>
          <cell r="B22">
            <v>22.95</v>
          </cell>
          <cell r="C22">
            <v>16.149999999999999</v>
          </cell>
          <cell r="D22">
            <v>105.4</v>
          </cell>
          <cell r="E22">
            <v>1.02</v>
          </cell>
          <cell r="F22">
            <v>397.35</v>
          </cell>
          <cell r="G22">
            <v>164.49250000000001</v>
          </cell>
          <cell r="I22">
            <v>97.659574468085111</v>
          </cell>
          <cell r="J22">
            <v>97.583081570996967</v>
          </cell>
          <cell r="K22">
            <v>97.864438254410402</v>
          </cell>
          <cell r="L22">
            <v>99.029126213592235</v>
          </cell>
          <cell r="M22">
            <v>91.0622206943967</v>
          </cell>
          <cell r="N22">
            <v>96.63968824029628</v>
          </cell>
          <cell r="P22">
            <v>97.687321974783231</v>
          </cell>
        </row>
        <row r="23">
          <cell r="A23" t="str">
            <v>08/09/2005</v>
          </cell>
          <cell r="B23">
            <v>22.9</v>
          </cell>
          <cell r="C23">
            <v>15.85</v>
          </cell>
          <cell r="D23">
            <v>105.3</v>
          </cell>
          <cell r="E23">
            <v>1.01</v>
          </cell>
          <cell r="F23">
            <v>396.75</v>
          </cell>
          <cell r="G23">
            <v>165.2064</v>
          </cell>
          <cell r="I23">
            <v>97.446808510638292</v>
          </cell>
          <cell r="J23">
            <v>95.770392749244706</v>
          </cell>
          <cell r="K23">
            <v>97.771587743732582</v>
          </cell>
          <cell r="L23">
            <v>98.05825242718447</v>
          </cell>
          <cell r="M23">
            <v>90.924716397387414</v>
          </cell>
          <cell r="N23">
            <v>95.994351565637501</v>
          </cell>
          <cell r="P23">
            <v>96.615675921892077</v>
          </cell>
        </row>
        <row r="24">
          <cell r="A24" t="str">
            <v>09/09/2005</v>
          </cell>
          <cell r="B24">
            <v>22.85</v>
          </cell>
          <cell r="C24">
            <v>15.75</v>
          </cell>
          <cell r="D24">
            <v>105.1</v>
          </cell>
          <cell r="E24">
            <v>1.01</v>
          </cell>
          <cell r="F24">
            <v>408.15</v>
          </cell>
          <cell r="G24">
            <v>165.61410000000001</v>
          </cell>
          <cell r="I24">
            <v>97.234042553191486</v>
          </cell>
          <cell r="J24">
            <v>95.166163141993948</v>
          </cell>
          <cell r="K24">
            <v>97.585886722376969</v>
          </cell>
          <cell r="L24">
            <v>98.05825242718447</v>
          </cell>
          <cell r="M24">
            <v>93.537298040563755</v>
          </cell>
          <cell r="N24">
            <v>96.316328577062137</v>
          </cell>
          <cell r="P24">
            <v>96.701095834116842</v>
          </cell>
        </row>
        <row r="25">
          <cell r="A25" t="str">
            <v>12/09/2005</v>
          </cell>
          <cell r="B25">
            <v>22.8</v>
          </cell>
          <cell r="C25">
            <v>15.75</v>
          </cell>
          <cell r="D25">
            <v>105.2</v>
          </cell>
          <cell r="E25">
            <v>1.02</v>
          </cell>
          <cell r="F25">
            <v>418.35</v>
          </cell>
          <cell r="G25">
            <v>165.85510000000002</v>
          </cell>
          <cell r="I25">
            <v>97.021276595744695</v>
          </cell>
          <cell r="J25">
            <v>95.166163141993948</v>
          </cell>
          <cell r="K25">
            <v>97.678737233054775</v>
          </cell>
          <cell r="L25">
            <v>99.029126213592235</v>
          </cell>
          <cell r="M25">
            <v>95.874871089721552</v>
          </cell>
          <cell r="N25">
            <v>96.954034854821458</v>
          </cell>
          <cell r="P25">
            <v>97.199905298720608</v>
          </cell>
        </row>
        <row r="26">
          <cell r="A26" t="str">
            <v>13/09/2005</v>
          </cell>
          <cell r="B26">
            <v>22.6</v>
          </cell>
          <cell r="C26">
            <v>15.6</v>
          </cell>
          <cell r="D26">
            <v>104.6</v>
          </cell>
          <cell r="E26">
            <v>1.01</v>
          </cell>
          <cell r="F26">
            <v>416</v>
          </cell>
          <cell r="G26">
            <v>165.52520000000001</v>
          </cell>
          <cell r="I26">
            <v>96.170212765957459</v>
          </cell>
          <cell r="J26">
            <v>94.259818731117818</v>
          </cell>
          <cell r="K26">
            <v>97.121634168987924</v>
          </cell>
          <cell r="L26">
            <v>98.05825242718447</v>
          </cell>
          <cell r="M26">
            <v>95.336312593101852</v>
          </cell>
          <cell r="N26">
            <v>96.189246137269905</v>
          </cell>
          <cell r="P26">
            <v>96.62537326006462</v>
          </cell>
        </row>
        <row r="27">
          <cell r="A27" t="str">
            <v>14/09/2005</v>
          </cell>
          <cell r="B27">
            <v>22.55</v>
          </cell>
          <cell r="C27">
            <v>15.45</v>
          </cell>
          <cell r="D27">
            <v>104.6</v>
          </cell>
          <cell r="E27">
            <v>1.02</v>
          </cell>
          <cell r="F27">
            <v>414.7</v>
          </cell>
          <cell r="G27">
            <v>167.03790000000001</v>
          </cell>
          <cell r="I27">
            <v>95.957446808510639</v>
          </cell>
          <cell r="J27">
            <v>93.353474320241673</v>
          </cell>
          <cell r="K27">
            <v>97.121634168987924</v>
          </cell>
          <cell r="L27">
            <v>99.029126213592235</v>
          </cell>
          <cell r="M27">
            <v>95.038386616248417</v>
          </cell>
          <cell r="N27">
            <v>96.100013625516183</v>
          </cell>
          <cell r="P27">
            <v>95.661505775588878</v>
          </cell>
        </row>
        <row r="28">
          <cell r="A28" t="str">
            <v>15/09/2005</v>
          </cell>
          <cell r="B28">
            <v>22.5</v>
          </cell>
          <cell r="C28">
            <v>15.4</v>
          </cell>
          <cell r="D28">
            <v>104.4</v>
          </cell>
          <cell r="E28">
            <v>1.02</v>
          </cell>
          <cell r="F28">
            <v>414.5</v>
          </cell>
          <cell r="G28">
            <v>166.4716</v>
          </cell>
          <cell r="I28">
            <v>95.744680851063833</v>
          </cell>
          <cell r="J28">
            <v>93.051359516616316</v>
          </cell>
          <cell r="K28">
            <v>96.935933147632312</v>
          </cell>
          <cell r="L28">
            <v>99.029126213592235</v>
          </cell>
          <cell r="M28">
            <v>94.99255185057865</v>
          </cell>
          <cell r="N28">
            <v>95.950730315896664</v>
          </cell>
          <cell r="P28">
            <v>95.837817674527912</v>
          </cell>
        </row>
        <row r="29">
          <cell r="A29" t="str">
            <v>16/09/2005</v>
          </cell>
          <cell r="B29">
            <v>22.5</v>
          </cell>
          <cell r="C29">
            <v>15.35</v>
          </cell>
          <cell r="D29">
            <v>104.4</v>
          </cell>
          <cell r="E29">
            <v>1.01</v>
          </cell>
          <cell r="F29">
            <v>418.65</v>
          </cell>
          <cell r="G29">
            <v>167.13900000000001</v>
          </cell>
          <cell r="I29">
            <v>95.744680851063833</v>
          </cell>
          <cell r="J29">
            <v>92.749244712990929</v>
          </cell>
          <cell r="K29">
            <v>96.935933147632312</v>
          </cell>
          <cell r="L29">
            <v>98.05825242718447</v>
          </cell>
          <cell r="M29">
            <v>95.943623238226181</v>
          </cell>
          <cell r="N29">
            <v>95.886346875419548</v>
          </cell>
          <cell r="P29">
            <v>95.3910783668276</v>
          </cell>
        </row>
        <row r="30">
          <cell r="A30" t="str">
            <v>19/09/2005</v>
          </cell>
          <cell r="B30">
            <v>22.5</v>
          </cell>
          <cell r="C30">
            <v>15.35</v>
          </cell>
          <cell r="D30">
            <v>104.4</v>
          </cell>
          <cell r="E30">
            <v>1.01</v>
          </cell>
          <cell r="F30">
            <v>420.6</v>
          </cell>
          <cell r="G30">
            <v>166.73140000000001</v>
          </cell>
          <cell r="I30">
            <v>95.744680851063833</v>
          </cell>
          <cell r="J30">
            <v>92.749244712990929</v>
          </cell>
          <cell r="K30">
            <v>96.935933147632312</v>
          </cell>
          <cell r="L30">
            <v>98.05825242718447</v>
          </cell>
          <cell r="M30">
            <v>96.390512203506361</v>
          </cell>
          <cell r="N30">
            <v>95.975724668475578</v>
          </cell>
          <cell r="P30">
            <v>95.713409725210994</v>
          </cell>
        </row>
        <row r="31">
          <cell r="A31" t="str">
            <v>20/09/2005</v>
          </cell>
          <cell r="B31">
            <v>22.6</v>
          </cell>
          <cell r="C31">
            <v>15.55</v>
          </cell>
          <cell r="D31">
            <v>104.5</v>
          </cell>
          <cell r="E31">
            <v>1.01</v>
          </cell>
          <cell r="F31">
            <v>421.35</v>
          </cell>
          <cell r="G31">
            <v>168.7473</v>
          </cell>
          <cell r="I31">
            <v>96.170212765957459</v>
          </cell>
          <cell r="J31">
            <v>93.957703927492446</v>
          </cell>
          <cell r="K31">
            <v>97.028783658310118</v>
          </cell>
          <cell r="L31">
            <v>98.05825242718447</v>
          </cell>
          <cell r="M31">
            <v>96.562392574767969</v>
          </cell>
          <cell r="N31">
            <v>96.355469070742487</v>
          </cell>
          <cell r="P31">
            <v>94.944174327921431</v>
          </cell>
        </row>
        <row r="32">
          <cell r="A32" t="str">
            <v>21/09/2005</v>
          </cell>
          <cell r="B32">
            <v>22.6</v>
          </cell>
          <cell r="C32">
            <v>15.45</v>
          </cell>
          <cell r="D32">
            <v>104.3</v>
          </cell>
          <cell r="E32">
            <v>1.02</v>
          </cell>
          <cell r="F32">
            <v>424.15</v>
          </cell>
          <cell r="G32">
            <v>168.7868</v>
          </cell>
          <cell r="I32">
            <v>96.170212765957459</v>
          </cell>
          <cell r="J32">
            <v>93.353474320241673</v>
          </cell>
          <cell r="K32">
            <v>96.843082636954506</v>
          </cell>
          <cell r="L32">
            <v>99.029126213592235</v>
          </cell>
          <cell r="M32">
            <v>97.204079294144591</v>
          </cell>
          <cell r="N32">
            <v>96.519995046178096</v>
          </cell>
          <cell r="P32">
            <v>95.084033468848247</v>
          </cell>
        </row>
        <row r="33">
          <cell r="A33" t="str">
            <v>22/09/2005</v>
          </cell>
          <cell r="B33">
            <v>22.7</v>
          </cell>
          <cell r="C33">
            <v>15.35</v>
          </cell>
          <cell r="D33">
            <v>103.9</v>
          </cell>
          <cell r="E33">
            <v>1.02</v>
          </cell>
          <cell r="F33">
            <v>392.05</v>
          </cell>
          <cell r="G33">
            <v>167.28149999999999</v>
          </cell>
          <cell r="I33">
            <v>96.595744680851055</v>
          </cell>
          <cell r="J33">
            <v>92.749244712990929</v>
          </cell>
          <cell r="K33">
            <v>96.471680594243267</v>
          </cell>
          <cell r="L33">
            <v>99.029126213592235</v>
          </cell>
          <cell r="M33">
            <v>89.847599404148042</v>
          </cell>
          <cell r="N33">
            <v>94.938679121165109</v>
          </cell>
          <cell r="P33">
            <v>94.367848972821946</v>
          </cell>
        </row>
        <row r="34">
          <cell r="A34" t="str">
            <v>23/09/2005</v>
          </cell>
          <cell r="B34">
            <v>22.6</v>
          </cell>
          <cell r="C34">
            <v>15.35</v>
          </cell>
          <cell r="D34">
            <v>103.8</v>
          </cell>
          <cell r="E34">
            <v>1</v>
          </cell>
          <cell r="F34">
            <v>392.1</v>
          </cell>
          <cell r="G34">
            <v>165.3845</v>
          </cell>
          <cell r="I34">
            <v>96.170212765957459</v>
          </cell>
          <cell r="J34">
            <v>92.749244712990929</v>
          </cell>
          <cell r="K34">
            <v>96.378830083565461</v>
          </cell>
          <cell r="L34">
            <v>97.087378640776706</v>
          </cell>
          <cell r="M34">
            <v>89.859058095565487</v>
          </cell>
          <cell r="N34">
            <v>94.448944859771217</v>
          </cell>
          <cell r="P34">
            <v>94.957897631397515</v>
          </cell>
        </row>
        <row r="35">
          <cell r="A35" t="str">
            <v>26/09/2005</v>
          </cell>
          <cell r="B35">
            <v>22.8</v>
          </cell>
          <cell r="C35">
            <v>15.35</v>
          </cell>
          <cell r="D35">
            <v>104</v>
          </cell>
          <cell r="E35">
            <v>1.01</v>
          </cell>
          <cell r="F35">
            <v>400</v>
          </cell>
          <cell r="G35">
            <v>167.2397</v>
          </cell>
          <cell r="I35">
            <v>97.021276595744695</v>
          </cell>
          <cell r="J35">
            <v>92.749244712990929</v>
          </cell>
          <cell r="K35">
            <v>96.564531104921073</v>
          </cell>
          <cell r="L35">
            <v>98.05825242718447</v>
          </cell>
          <cell r="M35">
            <v>91.669531339521029</v>
          </cell>
          <cell r="N35">
            <v>95.212567236072431</v>
          </cell>
          <cell r="P35">
            <v>94.663744708792279</v>
          </cell>
        </row>
        <row r="36">
          <cell r="A36" t="str">
            <v>27/09/2005</v>
          </cell>
          <cell r="B36">
            <v>22.65</v>
          </cell>
          <cell r="C36">
            <v>15.4</v>
          </cell>
          <cell r="D36">
            <v>103.8</v>
          </cell>
          <cell r="E36">
            <v>1.02</v>
          </cell>
          <cell r="F36">
            <v>429.65</v>
          </cell>
          <cell r="G36">
            <v>167.63290000000001</v>
          </cell>
          <cell r="I36">
            <v>96.38297872340425</v>
          </cell>
          <cell r="J36">
            <v>93.051359516616316</v>
          </cell>
          <cell r="K36">
            <v>96.378830083565461</v>
          </cell>
          <cell r="L36">
            <v>99.029126213592235</v>
          </cell>
          <cell r="M36">
            <v>98.464535350063016</v>
          </cell>
          <cell r="N36">
            <v>96.661365977448256</v>
          </cell>
          <cell r="P36">
            <v>95.878770162995409</v>
          </cell>
        </row>
        <row r="37">
          <cell r="A37" t="str">
            <v>28/09/2005</v>
          </cell>
          <cell r="B37">
            <v>22.8</v>
          </cell>
          <cell r="C37">
            <v>15.4</v>
          </cell>
          <cell r="D37">
            <v>103.9</v>
          </cell>
          <cell r="E37">
            <v>1.02</v>
          </cell>
          <cell r="F37">
            <v>431.25</v>
          </cell>
          <cell r="G37">
            <v>168.8954</v>
          </cell>
          <cell r="I37">
            <v>97.021276595744695</v>
          </cell>
          <cell r="J37">
            <v>93.051359516616316</v>
          </cell>
          <cell r="K37">
            <v>96.471680594243267</v>
          </cell>
          <cell r="L37">
            <v>99.029126213592235</v>
          </cell>
          <cell r="M37">
            <v>98.831213475421094</v>
          </cell>
          <cell r="N37">
            <v>96.88093127912353</v>
          </cell>
          <cell r="P37">
            <v>95.378232119336346</v>
          </cell>
        </row>
        <row r="38">
          <cell r="A38" t="str">
            <v>29/09/2005</v>
          </cell>
          <cell r="B38">
            <v>22.8</v>
          </cell>
          <cell r="C38">
            <v>15.65</v>
          </cell>
          <cell r="D38">
            <v>104.3</v>
          </cell>
          <cell r="E38">
            <v>1.02</v>
          </cell>
          <cell r="F38">
            <v>419.2</v>
          </cell>
          <cell r="G38">
            <v>169.87970000000001</v>
          </cell>
          <cell r="I38">
            <v>97.021276595744695</v>
          </cell>
          <cell r="J38">
            <v>94.561933534743204</v>
          </cell>
          <cell r="K38">
            <v>96.843082636954506</v>
          </cell>
          <cell r="L38">
            <v>99.029126213592235</v>
          </cell>
          <cell r="M38">
            <v>96.069668843818022</v>
          </cell>
          <cell r="N38">
            <v>96.705017564970532</v>
          </cell>
          <cell r="P38">
            <v>94.653419385175326</v>
          </cell>
        </row>
        <row r="39">
          <cell r="A39" t="str">
            <v>30/09/2005</v>
          </cell>
          <cell r="B39">
            <v>22.7</v>
          </cell>
          <cell r="C39">
            <v>15.55</v>
          </cell>
          <cell r="D39">
            <v>104.3</v>
          </cell>
          <cell r="E39">
            <v>1.02</v>
          </cell>
          <cell r="F39">
            <v>424.7</v>
          </cell>
          <cell r="G39">
            <v>169.28970000000001</v>
          </cell>
          <cell r="I39">
            <v>96.595744680851055</v>
          </cell>
          <cell r="J39">
            <v>93.957703927492446</v>
          </cell>
          <cell r="K39">
            <v>96.843082636954506</v>
          </cell>
          <cell r="L39">
            <v>99.029126213592235</v>
          </cell>
          <cell r="M39">
            <v>97.330124899736447</v>
          </cell>
          <cell r="N39">
            <v>96.751156471725338</v>
          </cell>
          <cell r="P39">
            <v>95.028618209765042</v>
          </cell>
        </row>
        <row r="40">
          <cell r="A40" t="str">
            <v>03/10/2005</v>
          </cell>
          <cell r="B40">
            <v>22.8</v>
          </cell>
          <cell r="C40">
            <v>15.5</v>
          </cell>
          <cell r="D40">
            <v>104.8</v>
          </cell>
          <cell r="E40">
            <v>1.03</v>
          </cell>
          <cell r="F40">
            <v>424.05</v>
          </cell>
          <cell r="G40">
            <v>168.82660000000001</v>
          </cell>
          <cell r="I40">
            <v>97.021276595744695</v>
          </cell>
          <cell r="J40">
            <v>93.65558912386706</v>
          </cell>
          <cell r="K40">
            <v>97.307335190343551</v>
          </cell>
          <cell r="L40">
            <v>100</v>
          </cell>
          <cell r="M40">
            <v>97.181161911309715</v>
          </cell>
          <cell r="N40">
            <v>97.033072564253004</v>
          </cell>
          <cell r="P40">
            <v>95.566943027769113</v>
          </cell>
        </row>
        <row r="41">
          <cell r="A41" t="str">
            <v>04/10/2005</v>
          </cell>
          <cell r="B41">
            <v>22.9</v>
          </cell>
          <cell r="C41">
            <v>15.65</v>
          </cell>
          <cell r="D41">
            <v>104.4</v>
          </cell>
          <cell r="E41">
            <v>1.05</v>
          </cell>
          <cell r="F41">
            <v>423.95</v>
          </cell>
          <cell r="G41">
            <v>169.87650000000002</v>
          </cell>
          <cell r="I41">
            <v>97.446808510638292</v>
          </cell>
          <cell r="J41">
            <v>94.561933534743204</v>
          </cell>
          <cell r="K41">
            <v>96.935933147632312</v>
          </cell>
          <cell r="L41">
            <v>101.94174757281553</v>
          </cell>
          <cell r="M41">
            <v>97.158244528474839</v>
          </cell>
          <cell r="N41">
            <v>97.608933458860832</v>
          </cell>
          <cell r="P41">
            <v>95.539958364609035</v>
          </cell>
        </row>
        <row r="42">
          <cell r="A42" t="str">
            <v>05/10/2005</v>
          </cell>
          <cell r="B42">
            <v>22.85</v>
          </cell>
          <cell r="C42">
            <v>15.45</v>
          </cell>
          <cell r="D42">
            <v>103.7</v>
          </cell>
          <cell r="E42">
            <v>1.05</v>
          </cell>
          <cell r="F42">
            <v>424</v>
          </cell>
          <cell r="G42">
            <v>167.02510000000001</v>
          </cell>
          <cell r="I42">
            <v>97.234042553191486</v>
          </cell>
          <cell r="J42">
            <v>93.353474320241673</v>
          </cell>
          <cell r="K42">
            <v>96.285979572887641</v>
          </cell>
          <cell r="L42">
            <v>101.94174757281553</v>
          </cell>
          <cell r="M42">
            <v>97.169703219892284</v>
          </cell>
          <cell r="N42">
            <v>97.196989447805734</v>
          </cell>
          <cell r="P42">
            <v>96.760890778251351</v>
          </cell>
        </row>
      </sheetData>
      <sheetData sheetId="28"/>
      <sheetData sheetId="29"/>
      <sheetData sheetId="30"/>
      <sheetData sheetId="31"/>
      <sheetData sheetId="32"/>
      <sheetData sheetId="33"/>
      <sheetData sheetId="34"/>
      <sheetData sheetId="35"/>
      <sheetData sheetId="36" refreshError="1">
        <row r="4">
          <cell r="C4" t="str">
            <v>Company name</v>
          </cell>
          <cell r="D4" t="str">
            <v>Dividends per share</v>
          </cell>
          <cell r="V4" t="str">
            <v>DPS Growth</v>
          </cell>
        </row>
        <row r="5">
          <cell r="D5">
            <v>1990</v>
          </cell>
          <cell r="E5">
            <v>1991</v>
          </cell>
          <cell r="F5">
            <v>1992</v>
          </cell>
          <cell r="G5">
            <v>1993</v>
          </cell>
          <cell r="H5">
            <v>1994</v>
          </cell>
          <cell r="I5">
            <v>1995</v>
          </cell>
          <cell r="J5">
            <v>1996</v>
          </cell>
          <cell r="K5">
            <v>1997</v>
          </cell>
          <cell r="L5">
            <v>1998</v>
          </cell>
          <cell r="M5">
            <v>1999</v>
          </cell>
          <cell r="N5">
            <v>2000</v>
          </cell>
          <cell r="O5">
            <v>2001</v>
          </cell>
          <cell r="P5">
            <v>2002</v>
          </cell>
          <cell r="Q5">
            <v>2003</v>
          </cell>
          <cell r="R5">
            <v>2004</v>
          </cell>
          <cell r="S5">
            <v>2005</v>
          </cell>
          <cell r="T5">
            <v>2006</v>
          </cell>
          <cell r="V5">
            <v>1990</v>
          </cell>
          <cell r="W5">
            <v>1991</v>
          </cell>
          <cell r="X5">
            <v>1992</v>
          </cell>
          <cell r="Y5">
            <v>1993</v>
          </cell>
          <cell r="Z5">
            <v>1994</v>
          </cell>
          <cell r="AA5">
            <v>1995</v>
          </cell>
          <cell r="AB5">
            <v>1996</v>
          </cell>
          <cell r="AC5">
            <v>1997</v>
          </cell>
          <cell r="AD5">
            <v>1998</v>
          </cell>
          <cell r="AE5">
            <v>1999</v>
          </cell>
          <cell r="AF5">
            <v>2000</v>
          </cell>
          <cell r="AG5">
            <v>2001</v>
          </cell>
          <cell r="AH5">
            <v>2002</v>
          </cell>
          <cell r="AI5">
            <v>2003</v>
          </cell>
          <cell r="AJ5">
            <v>2004</v>
          </cell>
          <cell r="AK5">
            <v>2005</v>
          </cell>
          <cell r="AL5">
            <v>2006</v>
          </cell>
        </row>
        <row r="6">
          <cell r="B6" t="str">
            <v>ANZ.AX</v>
          </cell>
          <cell r="C6" t="str">
            <v>#Refresh</v>
          </cell>
          <cell r="D6" t="str">
            <v>#Refresh</v>
          </cell>
          <cell r="E6" t="str">
            <v>#Refresh</v>
          </cell>
          <cell r="F6" t="str">
            <v>#Refresh</v>
          </cell>
          <cell r="G6" t="str">
            <v>#Refresh</v>
          </cell>
          <cell r="H6" t="str">
            <v>#Refresh</v>
          </cell>
          <cell r="I6" t="str">
            <v>#Refresh</v>
          </cell>
          <cell r="J6" t="str">
            <v>#Refresh</v>
          </cell>
          <cell r="K6" t="str">
            <v>#Refresh</v>
          </cell>
          <cell r="L6" t="str">
            <v>#Refresh</v>
          </cell>
          <cell r="M6" t="str">
            <v>#Refresh</v>
          </cell>
          <cell r="N6" t="str">
            <v>#Refresh</v>
          </cell>
          <cell r="O6" t="str">
            <v>#Refresh</v>
          </cell>
          <cell r="P6" t="str">
            <v>#Refresh</v>
          </cell>
          <cell r="Q6" t="str">
            <v>#Refresh</v>
          </cell>
          <cell r="R6" t="str">
            <v>#Refresh</v>
          </cell>
          <cell r="S6" t="str">
            <v>#Refresh</v>
          </cell>
          <cell r="T6" t="str">
            <v>#Refresh</v>
          </cell>
          <cell r="W6" t="e">
            <v>#VALUE!</v>
          </cell>
          <cell r="X6" t="e">
            <v>#VALUE!</v>
          </cell>
          <cell r="Y6" t="e">
            <v>#VALUE!</v>
          </cell>
          <cell r="Z6" t="e">
            <v>#VALUE!</v>
          </cell>
          <cell r="AA6" t="e">
            <v>#VALUE!</v>
          </cell>
          <cell r="AB6" t="e">
            <v>#VALUE!</v>
          </cell>
          <cell r="AC6" t="e">
            <v>#VALUE!</v>
          </cell>
          <cell r="AD6" t="e">
            <v>#VALUE!</v>
          </cell>
          <cell r="AE6" t="e">
            <v>#VALUE!</v>
          </cell>
          <cell r="AF6" t="e">
            <v>#VALUE!</v>
          </cell>
          <cell r="AG6" t="e">
            <v>#VALUE!</v>
          </cell>
          <cell r="AH6" t="e">
            <v>#VALUE!</v>
          </cell>
          <cell r="AI6" t="e">
            <v>#VALUE!</v>
          </cell>
          <cell r="AJ6" t="e">
            <v>#VALUE!</v>
          </cell>
          <cell r="AK6" t="e">
            <v>#VALUE!</v>
          </cell>
          <cell r="AL6" t="e">
            <v>#VALUE!</v>
          </cell>
        </row>
        <row r="7">
          <cell r="B7" t="str">
            <v>BBLf.BK</v>
          </cell>
          <cell r="C7" t="str">
            <v>#Refresh</v>
          </cell>
          <cell r="D7" t="str">
            <v>#Refresh</v>
          </cell>
          <cell r="E7" t="str">
            <v>#Refresh</v>
          </cell>
          <cell r="F7" t="str">
            <v>#Refresh</v>
          </cell>
          <cell r="G7" t="str">
            <v>#Refresh</v>
          </cell>
          <cell r="H7" t="str">
            <v>#Refresh</v>
          </cell>
          <cell r="I7" t="str">
            <v>#Refresh</v>
          </cell>
          <cell r="J7" t="str">
            <v>#Refresh</v>
          </cell>
          <cell r="K7" t="str">
            <v>#Refresh</v>
          </cell>
          <cell r="L7" t="str">
            <v>#Refresh</v>
          </cell>
          <cell r="M7" t="str">
            <v>#Refresh</v>
          </cell>
          <cell r="N7" t="str">
            <v>#Refresh</v>
          </cell>
          <cell r="O7" t="str">
            <v>#Refresh</v>
          </cell>
          <cell r="P7" t="str">
            <v>#Refresh</v>
          </cell>
          <cell r="Q7" t="str">
            <v>#Refresh</v>
          </cell>
          <cell r="R7" t="str">
            <v>#Refresh</v>
          </cell>
          <cell r="S7" t="str">
            <v>#Refresh</v>
          </cell>
          <cell r="T7" t="str">
            <v>#Refresh</v>
          </cell>
          <cell r="W7" t="e">
            <v>#VALUE!</v>
          </cell>
          <cell r="X7" t="e">
            <v>#VALUE!</v>
          </cell>
          <cell r="Y7" t="e">
            <v>#VALUE!</v>
          </cell>
          <cell r="Z7" t="e">
            <v>#VALUE!</v>
          </cell>
          <cell r="AA7" t="e">
            <v>#VALUE!</v>
          </cell>
          <cell r="AB7" t="e">
            <v>#VALUE!</v>
          </cell>
          <cell r="AC7" t="e">
            <v>#VALUE!</v>
          </cell>
          <cell r="AD7" t="e">
            <v>#VALUE!</v>
          </cell>
          <cell r="AE7" t="str">
            <v>NA</v>
          </cell>
          <cell r="AF7" t="str">
            <v>NA</v>
          </cell>
          <cell r="AG7" t="str">
            <v>NA</v>
          </cell>
          <cell r="AH7" t="str">
            <v>NA</v>
          </cell>
          <cell r="AI7" t="str">
            <v>NA</v>
          </cell>
          <cell r="AJ7" t="str">
            <v>NA</v>
          </cell>
          <cell r="AK7" t="e">
            <v>#VALUE!</v>
          </cell>
          <cell r="AL7" t="e">
            <v>#VALUE!</v>
          </cell>
        </row>
        <row r="8">
          <cell r="B8" t="str">
            <v>0023.HK</v>
          </cell>
          <cell r="C8" t="str">
            <v>#Refresh</v>
          </cell>
          <cell r="D8" t="str">
            <v>#Refresh</v>
          </cell>
          <cell r="E8" t="str">
            <v>#Refresh</v>
          </cell>
          <cell r="F8" t="str">
            <v>#Refresh</v>
          </cell>
          <cell r="G8" t="str">
            <v>#Refresh</v>
          </cell>
          <cell r="H8" t="str">
            <v>#Refresh</v>
          </cell>
          <cell r="I8" t="str">
            <v>#Refresh</v>
          </cell>
          <cell r="J8" t="str">
            <v>#Refresh</v>
          </cell>
          <cell r="K8" t="str">
            <v>#Refresh</v>
          </cell>
          <cell r="L8" t="str">
            <v>#Refresh</v>
          </cell>
          <cell r="M8" t="str">
            <v>#Refresh</v>
          </cell>
          <cell r="N8" t="str">
            <v>#Refresh</v>
          </cell>
          <cell r="O8" t="str">
            <v>#Refresh</v>
          </cell>
          <cell r="P8" t="str">
            <v>#Refresh</v>
          </cell>
          <cell r="Q8" t="str">
            <v>#Refresh</v>
          </cell>
          <cell r="R8" t="str">
            <v>#Refresh</v>
          </cell>
          <cell r="S8" t="str">
            <v>#Refresh</v>
          </cell>
          <cell r="T8" t="str">
            <v>#Refresh</v>
          </cell>
          <cell r="W8" t="e">
            <v>#VALUE!</v>
          </cell>
          <cell r="X8" t="e">
            <v>#VALUE!</v>
          </cell>
          <cell r="Y8" t="e">
            <v>#VALUE!</v>
          </cell>
          <cell r="Z8" t="e">
            <v>#VALUE!</v>
          </cell>
          <cell r="AA8" t="e">
            <v>#VALUE!</v>
          </cell>
          <cell r="AB8" t="e">
            <v>#VALUE!</v>
          </cell>
          <cell r="AC8" t="e">
            <v>#VALUE!</v>
          </cell>
          <cell r="AD8" t="e">
            <v>#VALUE!</v>
          </cell>
          <cell r="AE8" t="e">
            <v>#VALUE!</v>
          </cell>
          <cell r="AF8" t="e">
            <v>#VALUE!</v>
          </cell>
          <cell r="AG8" t="e">
            <v>#VALUE!</v>
          </cell>
          <cell r="AH8" t="e">
            <v>#VALUE!</v>
          </cell>
          <cell r="AI8" t="e">
            <v>#VALUE!</v>
          </cell>
          <cell r="AJ8" t="e">
            <v>#VALUE!</v>
          </cell>
          <cell r="AK8" t="e">
            <v>#VALUE!</v>
          </cell>
          <cell r="AL8" t="e">
            <v>#VALUE!</v>
          </cell>
        </row>
        <row r="9">
          <cell r="B9" t="str">
            <v>2388.HK</v>
          </cell>
          <cell r="C9" t="str">
            <v>#Refresh</v>
          </cell>
          <cell r="D9" t="str">
            <v>#Refresh</v>
          </cell>
          <cell r="E9" t="str">
            <v>#Refresh</v>
          </cell>
          <cell r="F9" t="str">
            <v>#Refresh</v>
          </cell>
          <cell r="G9" t="str">
            <v>#Refresh</v>
          </cell>
          <cell r="H9" t="str">
            <v>#Refresh</v>
          </cell>
          <cell r="I9" t="str">
            <v>#Refresh</v>
          </cell>
          <cell r="J9" t="str">
            <v>#Refresh</v>
          </cell>
          <cell r="K9" t="str">
            <v>#Refresh</v>
          </cell>
          <cell r="L9" t="str">
            <v>#Refresh</v>
          </cell>
          <cell r="M9" t="str">
            <v>#Refresh</v>
          </cell>
          <cell r="N9" t="str">
            <v>#Refresh</v>
          </cell>
          <cell r="O9" t="str">
            <v>#Refresh</v>
          </cell>
          <cell r="P9" t="str">
            <v>#Refresh</v>
          </cell>
          <cell r="Q9" t="str">
            <v>#Refresh</v>
          </cell>
          <cell r="R9" t="str">
            <v>#Refresh</v>
          </cell>
          <cell r="S9" t="str">
            <v>#Refresh</v>
          </cell>
          <cell r="T9" t="str">
            <v>#Refresh</v>
          </cell>
          <cell r="W9" t="e">
            <v>#VALUE!</v>
          </cell>
          <cell r="X9" t="e">
            <v>#VALUE!</v>
          </cell>
          <cell r="Y9" t="e">
            <v>#VALUE!</v>
          </cell>
          <cell r="Z9" t="e">
            <v>#VALUE!</v>
          </cell>
          <cell r="AA9" t="e">
            <v>#VALUE!</v>
          </cell>
          <cell r="AB9" t="e">
            <v>#VALUE!</v>
          </cell>
          <cell r="AC9" t="e">
            <v>#VALUE!</v>
          </cell>
          <cell r="AD9" t="e">
            <v>#VALUE!</v>
          </cell>
          <cell r="AE9" t="e">
            <v>#VALUE!</v>
          </cell>
          <cell r="AF9" t="e">
            <v>#VALUE!</v>
          </cell>
          <cell r="AG9" t="e">
            <v>#VALUE!</v>
          </cell>
          <cell r="AH9" t="e">
            <v>#VALUE!</v>
          </cell>
          <cell r="AI9" t="e">
            <v>#VALUE!</v>
          </cell>
          <cell r="AJ9" t="e">
            <v>#VALUE!</v>
          </cell>
          <cell r="AK9" t="e">
            <v>#VALUE!</v>
          </cell>
          <cell r="AL9" t="e">
            <v>#VALUE!</v>
          </cell>
        </row>
        <row r="10">
          <cell r="B10" t="str">
            <v>2891.TW</v>
          </cell>
          <cell r="C10" t="str">
            <v>#Refresh</v>
          </cell>
          <cell r="D10" t="str">
            <v>#Refresh</v>
          </cell>
          <cell r="E10" t="str">
            <v>#Refresh</v>
          </cell>
          <cell r="F10" t="str">
            <v>#Refresh</v>
          </cell>
          <cell r="G10" t="str">
            <v>#Refresh</v>
          </cell>
          <cell r="H10" t="str">
            <v>#Refresh</v>
          </cell>
          <cell r="I10" t="str">
            <v>#Refresh</v>
          </cell>
          <cell r="J10" t="str">
            <v>#Refresh</v>
          </cell>
          <cell r="K10" t="str">
            <v>#Refresh</v>
          </cell>
          <cell r="L10" t="str">
            <v>#Refresh</v>
          </cell>
          <cell r="M10" t="str">
            <v>#Refresh</v>
          </cell>
          <cell r="N10" t="str">
            <v>#Refresh</v>
          </cell>
          <cell r="O10" t="str">
            <v>#Refresh</v>
          </cell>
          <cell r="P10" t="str">
            <v>#Refresh</v>
          </cell>
          <cell r="Q10" t="str">
            <v>#Refresh</v>
          </cell>
          <cell r="R10" t="str">
            <v>#Refresh</v>
          </cell>
          <cell r="S10" t="str">
            <v>#Refresh</v>
          </cell>
          <cell r="T10" t="str">
            <v>#Refresh</v>
          </cell>
          <cell r="W10" t="e">
            <v>#VALUE!</v>
          </cell>
          <cell r="X10" t="e">
            <v>#VALUE!</v>
          </cell>
          <cell r="Y10" t="e">
            <v>#VALUE!</v>
          </cell>
          <cell r="Z10" t="e">
            <v>#VALUE!</v>
          </cell>
          <cell r="AA10" t="e">
            <v>#VALUE!</v>
          </cell>
          <cell r="AB10" t="e">
            <v>#VALUE!</v>
          </cell>
          <cell r="AC10" t="e">
            <v>#VALUE!</v>
          </cell>
          <cell r="AD10" t="e">
            <v>#VALUE!</v>
          </cell>
          <cell r="AE10" t="e">
            <v>#VALUE!</v>
          </cell>
          <cell r="AF10" t="e">
            <v>#VALUE!</v>
          </cell>
          <cell r="AG10" t="e">
            <v>#VALUE!</v>
          </cell>
          <cell r="AH10" t="e">
            <v>#VALUE!</v>
          </cell>
          <cell r="AI10" t="e">
            <v>#VALUE!</v>
          </cell>
          <cell r="AJ10" t="e">
            <v>#VALUE!</v>
          </cell>
          <cell r="AK10" t="e">
            <v>#VALUE!</v>
          </cell>
          <cell r="AL10" t="e">
            <v>#VALUE!</v>
          </cell>
        </row>
        <row r="11">
          <cell r="B11" t="str">
            <v>0183.HK</v>
          </cell>
          <cell r="C11" t="str">
            <v>#Refresh</v>
          </cell>
          <cell r="D11" t="str">
            <v>#Refresh</v>
          </cell>
          <cell r="E11" t="str">
            <v>#Refresh</v>
          </cell>
          <cell r="F11" t="str">
            <v>#Refresh</v>
          </cell>
          <cell r="G11" t="str">
            <v>#Refresh</v>
          </cell>
          <cell r="H11" t="str">
            <v>#Refresh</v>
          </cell>
          <cell r="I11" t="str">
            <v>#Refresh</v>
          </cell>
          <cell r="J11" t="str">
            <v>#Refresh</v>
          </cell>
          <cell r="K11" t="str">
            <v>#Refresh</v>
          </cell>
          <cell r="L11" t="str">
            <v>#Refresh</v>
          </cell>
          <cell r="M11" t="str">
            <v>#Refresh</v>
          </cell>
          <cell r="N11" t="str">
            <v>#Refresh</v>
          </cell>
          <cell r="O11" t="str">
            <v>#Refresh</v>
          </cell>
          <cell r="P11" t="str">
            <v>#Refresh</v>
          </cell>
          <cell r="Q11" t="str">
            <v>#Refresh</v>
          </cell>
          <cell r="R11" t="str">
            <v>#Refresh</v>
          </cell>
          <cell r="S11" t="str">
            <v>#Refresh</v>
          </cell>
          <cell r="T11" t="str">
            <v>#Refresh</v>
          </cell>
          <cell r="W11" t="e">
            <v>#VALUE!</v>
          </cell>
          <cell r="X11" t="e">
            <v>#VALUE!</v>
          </cell>
          <cell r="Y11" t="e">
            <v>#VALUE!</v>
          </cell>
          <cell r="Z11" t="e">
            <v>#VALUE!</v>
          </cell>
          <cell r="AA11" t="e">
            <v>#VALUE!</v>
          </cell>
          <cell r="AB11" t="e">
            <v>#VALUE!</v>
          </cell>
          <cell r="AC11" t="e">
            <v>#VALUE!</v>
          </cell>
          <cell r="AD11" t="e">
            <v>#VALUE!</v>
          </cell>
          <cell r="AE11" t="e">
            <v>#VALUE!</v>
          </cell>
          <cell r="AF11" t="e">
            <v>#VALUE!</v>
          </cell>
          <cell r="AG11" t="e">
            <v>#VALUE!</v>
          </cell>
          <cell r="AH11" t="e">
            <v>#VALUE!</v>
          </cell>
          <cell r="AI11" t="e">
            <v>#VALUE!</v>
          </cell>
          <cell r="AJ11" t="e">
            <v>#VALUE!</v>
          </cell>
          <cell r="AK11" t="e">
            <v>#VALUE!</v>
          </cell>
          <cell r="AL11" t="e">
            <v>#VALUE!</v>
          </cell>
        </row>
        <row r="12">
          <cell r="B12" t="str">
            <v>CBA.AX</v>
          </cell>
          <cell r="C12" t="str">
            <v>#Refresh</v>
          </cell>
          <cell r="D12" t="str">
            <v>#Refresh</v>
          </cell>
          <cell r="E12" t="str">
            <v>#Refresh</v>
          </cell>
          <cell r="F12" t="str">
            <v>#Refresh</v>
          </cell>
          <cell r="G12" t="str">
            <v>#Refresh</v>
          </cell>
          <cell r="H12" t="str">
            <v>#Refresh</v>
          </cell>
          <cell r="I12" t="str">
            <v>#Refresh</v>
          </cell>
          <cell r="J12" t="str">
            <v>#Refresh</v>
          </cell>
          <cell r="K12" t="str">
            <v>#Refresh</v>
          </cell>
          <cell r="L12" t="str">
            <v>#Refresh</v>
          </cell>
          <cell r="M12" t="str">
            <v>#Refresh</v>
          </cell>
          <cell r="N12" t="str">
            <v>#Refresh</v>
          </cell>
          <cell r="O12" t="str">
            <v>#Refresh</v>
          </cell>
          <cell r="P12" t="str">
            <v>#Refresh</v>
          </cell>
          <cell r="Q12" t="str">
            <v>#Refresh</v>
          </cell>
          <cell r="R12" t="str">
            <v>#Refresh</v>
          </cell>
          <cell r="S12" t="str">
            <v>#Refresh</v>
          </cell>
          <cell r="T12" t="str">
            <v>#Refresh</v>
          </cell>
          <cell r="W12" t="e">
            <v>#VALUE!</v>
          </cell>
          <cell r="X12" t="e">
            <v>#VALUE!</v>
          </cell>
          <cell r="Y12" t="e">
            <v>#VALUE!</v>
          </cell>
          <cell r="Z12" t="e">
            <v>#VALUE!</v>
          </cell>
          <cell r="AA12" t="e">
            <v>#VALUE!</v>
          </cell>
          <cell r="AB12" t="e">
            <v>#VALUE!</v>
          </cell>
          <cell r="AC12" t="e">
            <v>#VALUE!</v>
          </cell>
          <cell r="AD12" t="e">
            <v>#VALUE!</v>
          </cell>
          <cell r="AE12" t="e">
            <v>#VALUE!</v>
          </cell>
          <cell r="AF12" t="e">
            <v>#VALUE!</v>
          </cell>
          <cell r="AG12" t="e">
            <v>#VALUE!</v>
          </cell>
          <cell r="AH12" t="e">
            <v>#VALUE!</v>
          </cell>
          <cell r="AI12" t="e">
            <v>#VALUE!</v>
          </cell>
          <cell r="AJ12" t="e">
            <v>#VALUE!</v>
          </cell>
          <cell r="AK12" t="e">
            <v>#VALUE!</v>
          </cell>
          <cell r="AL12" t="e">
            <v>#VALUE!</v>
          </cell>
        </row>
        <row r="13">
          <cell r="B13" t="str">
            <v>CRBK.BO</v>
          </cell>
          <cell r="C13" t="str">
            <v>#Refresh</v>
          </cell>
          <cell r="D13" t="str">
            <v>#Refresh</v>
          </cell>
          <cell r="E13" t="str">
            <v>#Refresh</v>
          </cell>
          <cell r="F13" t="str">
            <v>#Refresh</v>
          </cell>
          <cell r="G13" t="str">
            <v>#Refresh</v>
          </cell>
          <cell r="H13" t="str">
            <v>#Refresh</v>
          </cell>
          <cell r="I13" t="str">
            <v>#Refresh</v>
          </cell>
          <cell r="J13" t="str">
            <v>#Refresh</v>
          </cell>
          <cell r="K13" t="str">
            <v>#Refresh</v>
          </cell>
          <cell r="L13" t="str">
            <v>#Refresh</v>
          </cell>
          <cell r="M13" t="str">
            <v>#Refresh</v>
          </cell>
          <cell r="N13" t="str">
            <v>#Refresh</v>
          </cell>
          <cell r="O13" t="str">
            <v>#Refresh</v>
          </cell>
          <cell r="P13" t="str">
            <v>#Refresh</v>
          </cell>
          <cell r="Q13" t="str">
            <v>#Refresh</v>
          </cell>
          <cell r="R13" t="str">
            <v>#Refresh</v>
          </cell>
          <cell r="S13" t="str">
            <v>#Refresh</v>
          </cell>
          <cell r="T13" t="str">
            <v>#Refresh</v>
          </cell>
          <cell r="W13" t="e">
            <v>#VALUE!</v>
          </cell>
          <cell r="X13" t="e">
            <v>#VALUE!</v>
          </cell>
          <cell r="Y13" t="e">
            <v>#VALUE!</v>
          </cell>
          <cell r="Z13" t="e">
            <v>#VALUE!</v>
          </cell>
          <cell r="AA13" t="e">
            <v>#VALUE!</v>
          </cell>
          <cell r="AB13" t="e">
            <v>#VALUE!</v>
          </cell>
          <cell r="AC13" t="e">
            <v>#VALUE!</v>
          </cell>
          <cell r="AD13" t="e">
            <v>#VALUE!</v>
          </cell>
          <cell r="AE13" t="e">
            <v>#VALUE!</v>
          </cell>
          <cell r="AF13" t="e">
            <v>#VALUE!</v>
          </cell>
          <cell r="AG13" t="e">
            <v>#VALUE!</v>
          </cell>
          <cell r="AH13" t="e">
            <v>#VALUE!</v>
          </cell>
          <cell r="AI13" t="e">
            <v>#VALUE!</v>
          </cell>
          <cell r="AJ13" t="e">
            <v>#VALUE!</v>
          </cell>
          <cell r="AK13" t="e">
            <v>#VALUE!</v>
          </cell>
          <cell r="AL13" t="e">
            <v>#VALUE!</v>
          </cell>
        </row>
        <row r="14">
          <cell r="B14" t="str">
            <v>0440.HK</v>
          </cell>
          <cell r="C14" t="str">
            <v>#Refresh</v>
          </cell>
          <cell r="D14" t="str">
            <v>#Refresh</v>
          </cell>
          <cell r="E14" t="str">
            <v>#Refresh</v>
          </cell>
          <cell r="F14" t="str">
            <v>#Refresh</v>
          </cell>
          <cell r="G14" t="str">
            <v>#Refresh</v>
          </cell>
          <cell r="H14" t="str">
            <v>#Refresh</v>
          </cell>
          <cell r="I14" t="str">
            <v>#Refresh</v>
          </cell>
          <cell r="J14" t="str">
            <v>#Refresh</v>
          </cell>
          <cell r="K14" t="str">
            <v>#Refresh</v>
          </cell>
          <cell r="L14" t="str">
            <v>#Refresh</v>
          </cell>
          <cell r="M14" t="str">
            <v>#Refresh</v>
          </cell>
          <cell r="N14" t="str">
            <v>#Refresh</v>
          </cell>
          <cell r="O14" t="str">
            <v>#Refresh</v>
          </cell>
          <cell r="P14" t="str">
            <v>#Refresh</v>
          </cell>
          <cell r="Q14" t="str">
            <v>#Refresh</v>
          </cell>
          <cell r="R14" t="str">
            <v>#Refresh</v>
          </cell>
          <cell r="S14" t="str">
            <v>#Refresh</v>
          </cell>
          <cell r="T14" t="str">
            <v>#Refresh</v>
          </cell>
          <cell r="W14" t="e">
            <v>#VALUE!</v>
          </cell>
          <cell r="X14" t="e">
            <v>#VALUE!</v>
          </cell>
          <cell r="Y14" t="e">
            <v>#VALUE!</v>
          </cell>
          <cell r="Z14" t="e">
            <v>#VALUE!</v>
          </cell>
          <cell r="AA14" t="e">
            <v>#VALUE!</v>
          </cell>
          <cell r="AB14" t="e">
            <v>#VALUE!</v>
          </cell>
          <cell r="AC14" t="e">
            <v>#VALUE!</v>
          </cell>
          <cell r="AD14" t="e">
            <v>#VALUE!</v>
          </cell>
          <cell r="AE14" t="e">
            <v>#VALUE!</v>
          </cell>
          <cell r="AF14" t="e">
            <v>#VALUE!</v>
          </cell>
          <cell r="AG14" t="e">
            <v>#VALUE!</v>
          </cell>
          <cell r="AH14" t="e">
            <v>#VALUE!</v>
          </cell>
          <cell r="AI14" t="e">
            <v>#VALUE!</v>
          </cell>
          <cell r="AJ14" t="e">
            <v>#VALUE!</v>
          </cell>
          <cell r="AK14" t="e">
            <v>#VALUE!</v>
          </cell>
          <cell r="AL14" t="e">
            <v>#VALUE!</v>
          </cell>
        </row>
        <row r="15">
          <cell r="B15" t="str">
            <v>DBSM.SI</v>
          </cell>
          <cell r="C15" t="str">
            <v>#Refresh</v>
          </cell>
          <cell r="D15" t="str">
            <v>#Refresh</v>
          </cell>
          <cell r="E15" t="str">
            <v>#Refresh</v>
          </cell>
          <cell r="F15" t="str">
            <v>#Refresh</v>
          </cell>
          <cell r="G15" t="str">
            <v>#Refresh</v>
          </cell>
          <cell r="H15" t="str">
            <v>#Refresh</v>
          </cell>
          <cell r="I15" t="str">
            <v>#Refresh</v>
          </cell>
          <cell r="J15" t="str">
            <v>#Refresh</v>
          </cell>
          <cell r="K15" t="str">
            <v>#Refresh</v>
          </cell>
          <cell r="L15" t="str">
            <v>#Refresh</v>
          </cell>
          <cell r="M15" t="str">
            <v>#Refresh</v>
          </cell>
          <cell r="N15" t="str">
            <v>#Refresh</v>
          </cell>
          <cell r="O15" t="str">
            <v>#Refresh</v>
          </cell>
          <cell r="P15" t="str">
            <v>#Refresh</v>
          </cell>
          <cell r="Q15" t="str">
            <v>#Refresh</v>
          </cell>
          <cell r="R15" t="str">
            <v>#Refresh</v>
          </cell>
          <cell r="S15" t="str">
            <v>#Refresh</v>
          </cell>
          <cell r="T15" t="str">
            <v>#Refresh</v>
          </cell>
          <cell r="W15" t="e">
            <v>#VALUE!</v>
          </cell>
          <cell r="X15" t="e">
            <v>#VALUE!</v>
          </cell>
          <cell r="Y15" t="e">
            <v>#VALUE!</v>
          </cell>
          <cell r="Z15" t="e">
            <v>#VALUE!</v>
          </cell>
          <cell r="AA15" t="e">
            <v>#VALUE!</v>
          </cell>
          <cell r="AB15" t="e">
            <v>#VALUE!</v>
          </cell>
          <cell r="AC15" t="e">
            <v>#VALUE!</v>
          </cell>
          <cell r="AD15" t="e">
            <v>#VALUE!</v>
          </cell>
          <cell r="AE15" t="e">
            <v>#VALUE!</v>
          </cell>
          <cell r="AF15" t="e">
            <v>#VALUE!</v>
          </cell>
          <cell r="AG15" t="e">
            <v>#VALUE!</v>
          </cell>
          <cell r="AH15" t="e">
            <v>#VALUE!</v>
          </cell>
          <cell r="AI15" t="e">
            <v>#VALUE!</v>
          </cell>
          <cell r="AJ15" t="e">
            <v>#VALUE!</v>
          </cell>
          <cell r="AK15" t="e">
            <v>#VALUE!</v>
          </cell>
          <cell r="AL15" t="e">
            <v>#VALUE!</v>
          </cell>
        </row>
        <row r="16">
          <cell r="B16" t="str">
            <v>2884.TW</v>
          </cell>
          <cell r="C16" t="str">
            <v>#Refresh</v>
          </cell>
          <cell r="D16" t="str">
            <v>#Refresh</v>
          </cell>
          <cell r="E16" t="str">
            <v>#Refresh</v>
          </cell>
          <cell r="F16" t="str">
            <v>#Refresh</v>
          </cell>
          <cell r="G16" t="str">
            <v>#Refresh</v>
          </cell>
          <cell r="H16" t="str">
            <v>#Refresh</v>
          </cell>
          <cell r="I16" t="str">
            <v>#Refresh</v>
          </cell>
          <cell r="J16" t="str">
            <v>#Refresh</v>
          </cell>
          <cell r="K16" t="str">
            <v>#Refresh</v>
          </cell>
          <cell r="L16" t="str">
            <v>#Refresh</v>
          </cell>
          <cell r="M16" t="str">
            <v>#Refresh</v>
          </cell>
          <cell r="N16" t="str">
            <v>#Refresh</v>
          </cell>
          <cell r="O16" t="str">
            <v>#Refresh</v>
          </cell>
          <cell r="P16" t="str">
            <v>#Refresh</v>
          </cell>
          <cell r="Q16" t="str">
            <v>#Refresh</v>
          </cell>
          <cell r="R16" t="str">
            <v>#Refresh</v>
          </cell>
          <cell r="S16" t="str">
            <v>#Refresh</v>
          </cell>
          <cell r="T16" t="str">
            <v>#Refresh</v>
          </cell>
          <cell r="W16" t="e">
            <v>#VALUE!</v>
          </cell>
          <cell r="X16" t="e">
            <v>#VALUE!</v>
          </cell>
          <cell r="Y16" t="e">
            <v>#VALUE!</v>
          </cell>
          <cell r="Z16" t="e">
            <v>#VALUE!</v>
          </cell>
          <cell r="AA16" t="e">
            <v>#VALUE!</v>
          </cell>
          <cell r="AB16" t="e">
            <v>#VALUE!</v>
          </cell>
          <cell r="AC16" t="e">
            <v>#VALUE!</v>
          </cell>
          <cell r="AD16" t="e">
            <v>#VALUE!</v>
          </cell>
          <cell r="AE16" t="e">
            <v>#VALUE!</v>
          </cell>
          <cell r="AF16" t="e">
            <v>#VALUE!</v>
          </cell>
          <cell r="AG16" t="e">
            <v>#VALUE!</v>
          </cell>
          <cell r="AH16" t="e">
            <v>#VALUE!</v>
          </cell>
          <cell r="AI16" t="e">
            <v>#VALUE!</v>
          </cell>
          <cell r="AJ16" t="e">
            <v>#VALUE!</v>
          </cell>
          <cell r="AK16" t="e">
            <v>#VALUE!</v>
          </cell>
          <cell r="AL16" t="e">
            <v>#VALUE!</v>
          </cell>
        </row>
        <row r="17">
          <cell r="B17" t="str">
            <v>2892.TW</v>
          </cell>
          <cell r="C17" t="str">
            <v>#Refresh</v>
          </cell>
          <cell r="D17" t="str">
            <v>#Refresh</v>
          </cell>
          <cell r="E17" t="str">
            <v>#Refresh</v>
          </cell>
          <cell r="F17" t="str">
            <v>#Refresh</v>
          </cell>
          <cell r="G17" t="str">
            <v>#Refresh</v>
          </cell>
          <cell r="H17" t="str">
            <v>#Refresh</v>
          </cell>
          <cell r="I17" t="str">
            <v>#Refresh</v>
          </cell>
          <cell r="J17" t="str">
            <v>#Refresh</v>
          </cell>
          <cell r="K17" t="str">
            <v>#Refresh</v>
          </cell>
          <cell r="L17" t="str">
            <v>#Refresh</v>
          </cell>
          <cell r="M17" t="str">
            <v>#Refresh</v>
          </cell>
          <cell r="N17" t="str">
            <v>#Refresh</v>
          </cell>
          <cell r="O17" t="str">
            <v>#Refresh</v>
          </cell>
          <cell r="P17" t="str">
            <v>#Refresh</v>
          </cell>
          <cell r="Q17" t="str">
            <v>#Refresh</v>
          </cell>
          <cell r="R17" t="str">
            <v>#Refresh</v>
          </cell>
          <cell r="S17" t="str">
            <v>#Refresh</v>
          </cell>
          <cell r="T17" t="str">
            <v>#Refresh</v>
          </cell>
          <cell r="W17" t="e">
            <v>#VALUE!</v>
          </cell>
          <cell r="X17" t="e">
            <v>#VALUE!</v>
          </cell>
          <cell r="Y17" t="e">
            <v>#VALUE!</v>
          </cell>
          <cell r="Z17" t="e">
            <v>#VALUE!</v>
          </cell>
          <cell r="AA17" t="e">
            <v>#VALUE!</v>
          </cell>
          <cell r="AB17" t="e">
            <v>#VALUE!</v>
          </cell>
          <cell r="AC17" t="e">
            <v>#VALUE!</v>
          </cell>
          <cell r="AD17" t="e">
            <v>#VALUE!</v>
          </cell>
          <cell r="AE17" t="e">
            <v>#VALUE!</v>
          </cell>
          <cell r="AF17" t="e">
            <v>#VALUE!</v>
          </cell>
          <cell r="AG17" t="e">
            <v>#VALUE!</v>
          </cell>
          <cell r="AH17" t="e">
            <v>#VALUE!</v>
          </cell>
          <cell r="AI17" t="e">
            <v>#VALUE!</v>
          </cell>
          <cell r="AJ17" t="str">
            <v>NA</v>
          </cell>
          <cell r="AK17" t="e">
            <v>#VALUE!</v>
          </cell>
          <cell r="AL17" t="e">
            <v>#VALUE!</v>
          </cell>
        </row>
        <row r="18">
          <cell r="B18" t="str">
            <v>2881.TW</v>
          </cell>
          <cell r="C18" t="str">
            <v>#Refresh</v>
          </cell>
          <cell r="D18" t="str">
            <v>#Refresh</v>
          </cell>
          <cell r="E18" t="str">
            <v>#Refresh</v>
          </cell>
          <cell r="F18" t="str">
            <v>#Refresh</v>
          </cell>
          <cell r="G18" t="str">
            <v>#Refresh</v>
          </cell>
          <cell r="H18" t="str">
            <v>#Refresh</v>
          </cell>
          <cell r="I18" t="str">
            <v>#Refresh</v>
          </cell>
          <cell r="J18" t="str">
            <v>#Refresh</v>
          </cell>
          <cell r="K18" t="str">
            <v>#Refresh</v>
          </cell>
          <cell r="L18" t="str">
            <v>#Refresh</v>
          </cell>
          <cell r="M18" t="str">
            <v>#Refresh</v>
          </cell>
          <cell r="N18" t="str">
            <v>#Refresh</v>
          </cell>
          <cell r="O18" t="str">
            <v>#Refresh</v>
          </cell>
          <cell r="P18" t="str">
            <v>#Refresh</v>
          </cell>
          <cell r="Q18" t="str">
            <v>#Refresh</v>
          </cell>
          <cell r="R18" t="str">
            <v>#Refresh</v>
          </cell>
          <cell r="S18" t="str">
            <v>#Refresh</v>
          </cell>
          <cell r="T18" t="str">
            <v>#Refresh</v>
          </cell>
          <cell r="W18" t="e">
            <v>#VALUE!</v>
          </cell>
          <cell r="X18" t="e">
            <v>#VALUE!</v>
          </cell>
          <cell r="Y18" t="e">
            <v>#VALUE!</v>
          </cell>
          <cell r="Z18" t="e">
            <v>#VALUE!</v>
          </cell>
          <cell r="AA18" t="e">
            <v>#VALUE!</v>
          </cell>
          <cell r="AB18" t="e">
            <v>#VALUE!</v>
          </cell>
          <cell r="AC18" t="e">
            <v>#VALUE!</v>
          </cell>
          <cell r="AD18" t="e">
            <v>#VALUE!</v>
          </cell>
          <cell r="AE18" t="e">
            <v>#VALUE!</v>
          </cell>
          <cell r="AF18" t="e">
            <v>#VALUE!</v>
          </cell>
          <cell r="AG18" t="e">
            <v>#VALUE!</v>
          </cell>
          <cell r="AH18" t="e">
            <v>#VALUE!</v>
          </cell>
          <cell r="AI18" t="e">
            <v>#VALUE!</v>
          </cell>
          <cell r="AJ18" t="e">
            <v>#VALUE!</v>
          </cell>
          <cell r="AK18" t="e">
            <v>#VALUE!</v>
          </cell>
          <cell r="AL18" t="e">
            <v>#VALUE!</v>
          </cell>
        </row>
        <row r="19">
          <cell r="B19" t="str">
            <v>002860.KS</v>
          </cell>
          <cell r="C19" t="str">
            <v>#Refresh</v>
          </cell>
          <cell r="D19" t="str">
            <v>#Refresh</v>
          </cell>
          <cell r="E19" t="str">
            <v>#Refresh</v>
          </cell>
          <cell r="F19" t="str">
            <v>#Refresh</v>
          </cell>
          <cell r="G19" t="str">
            <v>#Refresh</v>
          </cell>
          <cell r="H19" t="str">
            <v>#Refresh</v>
          </cell>
          <cell r="I19" t="str">
            <v>#Refresh</v>
          </cell>
          <cell r="J19" t="str">
            <v>#Refresh</v>
          </cell>
          <cell r="K19" t="str">
            <v>#Refresh</v>
          </cell>
          <cell r="L19" t="str">
            <v>#Refresh</v>
          </cell>
          <cell r="M19" t="str">
            <v>#Refresh</v>
          </cell>
          <cell r="N19" t="str">
            <v>#Refresh</v>
          </cell>
          <cell r="O19" t="str">
            <v>#Refresh</v>
          </cell>
          <cell r="P19" t="str">
            <v>#Refresh</v>
          </cell>
          <cell r="Q19" t="str">
            <v>#Refresh</v>
          </cell>
          <cell r="R19" t="str">
            <v>#Refresh</v>
          </cell>
          <cell r="S19" t="str">
            <v>#Refresh</v>
          </cell>
          <cell r="T19" t="str">
            <v>#Refresh</v>
          </cell>
          <cell r="W19" t="e">
            <v>#VALUE!</v>
          </cell>
          <cell r="X19" t="e">
            <v>#VALUE!</v>
          </cell>
          <cell r="Y19" t="e">
            <v>#VALUE!</v>
          </cell>
          <cell r="Z19" t="e">
            <v>#VALUE!</v>
          </cell>
          <cell r="AA19" t="e">
            <v>#VALUE!</v>
          </cell>
          <cell r="AB19" t="e">
            <v>#VALUE!</v>
          </cell>
          <cell r="AC19" t="e">
            <v>#VALUE!</v>
          </cell>
          <cell r="AD19" t="e">
            <v>#VALUE!</v>
          </cell>
          <cell r="AE19" t="e">
            <v>#VALUE!</v>
          </cell>
          <cell r="AF19" t="e">
            <v>#VALUE!</v>
          </cell>
          <cell r="AG19" t="e">
            <v>#VALUE!</v>
          </cell>
          <cell r="AH19" t="e">
            <v>#VALUE!</v>
          </cell>
          <cell r="AI19" t="e">
            <v>#VALUE!</v>
          </cell>
          <cell r="AJ19" t="e">
            <v>#VALUE!</v>
          </cell>
          <cell r="AK19" t="e">
            <v>#VALUE!</v>
          </cell>
          <cell r="AL19" t="e">
            <v>#VALUE!</v>
          </cell>
        </row>
        <row r="20">
          <cell r="B20" t="str">
            <v>0011.HK</v>
          </cell>
          <cell r="C20" t="str">
            <v>#Refresh</v>
          </cell>
          <cell r="D20" t="str">
            <v>#Refresh</v>
          </cell>
          <cell r="E20" t="str">
            <v>#Refresh</v>
          </cell>
          <cell r="F20" t="str">
            <v>#Refresh</v>
          </cell>
          <cell r="G20" t="str">
            <v>#Refresh</v>
          </cell>
          <cell r="H20" t="str">
            <v>#Refresh</v>
          </cell>
          <cell r="I20" t="str">
            <v>#Refresh</v>
          </cell>
          <cell r="J20" t="str">
            <v>#Refresh</v>
          </cell>
          <cell r="K20" t="str">
            <v>#Refresh</v>
          </cell>
          <cell r="L20" t="str">
            <v>#Refresh</v>
          </cell>
          <cell r="M20" t="str">
            <v>#Refresh</v>
          </cell>
          <cell r="N20" t="str">
            <v>#Refresh</v>
          </cell>
          <cell r="O20" t="str">
            <v>#Refresh</v>
          </cell>
          <cell r="P20" t="str">
            <v>#Refresh</v>
          </cell>
          <cell r="Q20" t="str">
            <v>#Refresh</v>
          </cell>
          <cell r="R20" t="str">
            <v>#Refresh</v>
          </cell>
          <cell r="S20" t="str">
            <v>#Refresh</v>
          </cell>
          <cell r="T20" t="str">
            <v>#Refresh</v>
          </cell>
          <cell r="W20" t="e">
            <v>#VALUE!</v>
          </cell>
          <cell r="X20" t="e">
            <v>#VALUE!</v>
          </cell>
          <cell r="Y20" t="e">
            <v>#VALUE!</v>
          </cell>
          <cell r="Z20" t="e">
            <v>#VALUE!</v>
          </cell>
          <cell r="AA20" t="e">
            <v>#VALUE!</v>
          </cell>
          <cell r="AB20" t="e">
            <v>#VALUE!</v>
          </cell>
          <cell r="AC20" t="e">
            <v>#VALUE!</v>
          </cell>
          <cell r="AD20" t="e">
            <v>#VALUE!</v>
          </cell>
          <cell r="AE20" t="e">
            <v>#VALUE!</v>
          </cell>
          <cell r="AF20" t="e">
            <v>#VALUE!</v>
          </cell>
          <cell r="AG20" t="e">
            <v>#VALUE!</v>
          </cell>
          <cell r="AH20" t="e">
            <v>#VALUE!</v>
          </cell>
          <cell r="AI20" t="e">
            <v>#VALUE!</v>
          </cell>
          <cell r="AJ20" t="e">
            <v>#VALUE!</v>
          </cell>
          <cell r="AK20" t="e">
            <v>#VALUE!</v>
          </cell>
          <cell r="AL20" t="e">
            <v>#VALUE!</v>
          </cell>
        </row>
        <row r="21">
          <cell r="B21" t="str">
            <v>HDFC.BO</v>
          </cell>
          <cell r="C21" t="str">
            <v>#Refresh</v>
          </cell>
          <cell r="D21" t="str">
            <v>#Refresh</v>
          </cell>
          <cell r="E21" t="str">
            <v>#Refresh</v>
          </cell>
          <cell r="F21" t="str">
            <v>#Refresh</v>
          </cell>
          <cell r="G21" t="str">
            <v>#Refresh</v>
          </cell>
          <cell r="H21" t="str">
            <v>#Refresh</v>
          </cell>
          <cell r="I21" t="str">
            <v>#Refresh</v>
          </cell>
          <cell r="J21" t="str">
            <v>#Refresh</v>
          </cell>
          <cell r="K21" t="str">
            <v>#Refresh</v>
          </cell>
          <cell r="L21" t="str">
            <v>#Refresh</v>
          </cell>
          <cell r="M21" t="str">
            <v>#Refresh</v>
          </cell>
          <cell r="N21" t="str">
            <v>#Refresh</v>
          </cell>
          <cell r="O21" t="str">
            <v>#Refresh</v>
          </cell>
          <cell r="P21" t="str">
            <v>#Refresh</v>
          </cell>
          <cell r="Q21" t="str">
            <v>#Refresh</v>
          </cell>
          <cell r="R21" t="str">
            <v>#Refresh</v>
          </cell>
          <cell r="S21" t="str">
            <v>#Refresh</v>
          </cell>
          <cell r="T21" t="str">
            <v>#Refresh</v>
          </cell>
          <cell r="W21" t="e">
            <v>#VALUE!</v>
          </cell>
          <cell r="X21" t="e">
            <v>#VALUE!</v>
          </cell>
          <cell r="Y21" t="e">
            <v>#VALUE!</v>
          </cell>
          <cell r="Z21" t="e">
            <v>#VALUE!</v>
          </cell>
          <cell r="AA21" t="e">
            <v>#VALUE!</v>
          </cell>
          <cell r="AB21" t="e">
            <v>#VALUE!</v>
          </cell>
          <cell r="AC21" t="e">
            <v>#VALUE!</v>
          </cell>
          <cell r="AD21" t="e">
            <v>#VALUE!</v>
          </cell>
          <cell r="AE21" t="e">
            <v>#VALUE!</v>
          </cell>
          <cell r="AF21" t="e">
            <v>#VALUE!</v>
          </cell>
          <cell r="AG21" t="e">
            <v>#VALUE!</v>
          </cell>
          <cell r="AH21" t="e">
            <v>#VALUE!</v>
          </cell>
          <cell r="AI21" t="e">
            <v>#VALUE!</v>
          </cell>
          <cell r="AJ21" t="e">
            <v>#VALUE!</v>
          </cell>
          <cell r="AK21" t="e">
            <v>#VALUE!</v>
          </cell>
          <cell r="AL21" t="e">
            <v>#VALUE!</v>
          </cell>
        </row>
        <row r="22">
          <cell r="B22" t="str">
            <v>HDBK.BO</v>
          </cell>
          <cell r="C22" t="str">
            <v>#Refresh</v>
          </cell>
          <cell r="D22" t="str">
            <v>#Refresh</v>
          </cell>
          <cell r="E22" t="str">
            <v>#Refresh</v>
          </cell>
          <cell r="F22" t="str">
            <v>#Refresh</v>
          </cell>
          <cell r="G22" t="str">
            <v>#Refresh</v>
          </cell>
          <cell r="H22" t="str">
            <v>#Refresh</v>
          </cell>
          <cell r="I22" t="str">
            <v>#Refresh</v>
          </cell>
          <cell r="J22" t="str">
            <v>#Refresh</v>
          </cell>
          <cell r="K22" t="str">
            <v>#Refresh</v>
          </cell>
          <cell r="L22" t="str">
            <v>#Refresh</v>
          </cell>
          <cell r="M22" t="str">
            <v>#Refresh</v>
          </cell>
          <cell r="N22" t="str">
            <v>#Refresh</v>
          </cell>
          <cell r="O22" t="str">
            <v>#Refresh</v>
          </cell>
          <cell r="P22" t="str">
            <v>#Refresh</v>
          </cell>
          <cell r="Q22" t="str">
            <v>#Refresh</v>
          </cell>
          <cell r="R22" t="str">
            <v>#Refresh</v>
          </cell>
          <cell r="S22" t="str">
            <v>#Refresh</v>
          </cell>
          <cell r="T22" t="str">
            <v>#Refresh</v>
          </cell>
          <cell r="W22" t="e">
            <v>#VALUE!</v>
          </cell>
          <cell r="X22" t="e">
            <v>#VALUE!</v>
          </cell>
          <cell r="Y22" t="e">
            <v>#VALUE!</v>
          </cell>
          <cell r="Z22" t="e">
            <v>#VALUE!</v>
          </cell>
          <cell r="AA22" t="e">
            <v>#VALUE!</v>
          </cell>
          <cell r="AB22" t="e">
            <v>#VALUE!</v>
          </cell>
          <cell r="AC22" t="e">
            <v>#VALUE!</v>
          </cell>
          <cell r="AD22" t="e">
            <v>#VALUE!</v>
          </cell>
          <cell r="AE22" t="e">
            <v>#VALUE!</v>
          </cell>
          <cell r="AF22" t="e">
            <v>#VALUE!</v>
          </cell>
          <cell r="AG22" t="e">
            <v>#VALUE!</v>
          </cell>
          <cell r="AH22" t="e">
            <v>#VALUE!</v>
          </cell>
          <cell r="AI22" t="e">
            <v>#VALUE!</v>
          </cell>
          <cell r="AJ22" t="e">
            <v>#VALUE!</v>
          </cell>
          <cell r="AK22" t="e">
            <v>#VALUE!</v>
          </cell>
          <cell r="AL22" t="e">
            <v>#VALUE!</v>
          </cell>
        </row>
        <row r="23">
          <cell r="B23" t="str">
            <v>0005.HK</v>
          </cell>
          <cell r="C23" t="str">
            <v>#Refresh</v>
          </cell>
          <cell r="D23" t="str">
            <v>#Refresh</v>
          </cell>
          <cell r="E23" t="str">
            <v>#Refresh</v>
          </cell>
          <cell r="F23" t="str">
            <v>#Refresh</v>
          </cell>
          <cell r="G23" t="str">
            <v>#Refresh</v>
          </cell>
          <cell r="H23" t="str">
            <v>#Refresh</v>
          </cell>
          <cell r="I23" t="str">
            <v>#Refresh</v>
          </cell>
          <cell r="J23" t="str">
            <v>#Refresh</v>
          </cell>
          <cell r="K23" t="str">
            <v>#Refresh</v>
          </cell>
          <cell r="L23" t="str">
            <v>#Refresh</v>
          </cell>
          <cell r="M23" t="str">
            <v>#Refresh</v>
          </cell>
          <cell r="N23" t="str">
            <v>#Refresh</v>
          </cell>
          <cell r="O23" t="str">
            <v>#Refresh</v>
          </cell>
          <cell r="P23" t="str">
            <v>#Refresh</v>
          </cell>
          <cell r="Q23" t="str">
            <v>#Refresh</v>
          </cell>
          <cell r="R23" t="str">
            <v>#Refresh</v>
          </cell>
          <cell r="S23" t="str">
            <v>#Refresh</v>
          </cell>
          <cell r="T23" t="str">
            <v>#Refresh</v>
          </cell>
          <cell r="W23" t="e">
            <v>#VALUE!</v>
          </cell>
          <cell r="X23" t="e">
            <v>#VALUE!</v>
          </cell>
          <cell r="Y23" t="e">
            <v>#VALUE!</v>
          </cell>
          <cell r="Z23" t="e">
            <v>#VALUE!</v>
          </cell>
          <cell r="AA23" t="e">
            <v>#VALUE!</v>
          </cell>
          <cell r="AB23" t="e">
            <v>#VALUE!</v>
          </cell>
          <cell r="AC23" t="e">
            <v>#VALUE!</v>
          </cell>
          <cell r="AD23" t="e">
            <v>#VALUE!</v>
          </cell>
          <cell r="AE23" t="e">
            <v>#VALUE!</v>
          </cell>
          <cell r="AF23" t="e">
            <v>#VALUE!</v>
          </cell>
          <cell r="AG23" t="e">
            <v>#VALUE!</v>
          </cell>
          <cell r="AH23" t="e">
            <v>#VALUE!</v>
          </cell>
          <cell r="AI23" t="e">
            <v>#VALUE!</v>
          </cell>
          <cell r="AJ23" t="e">
            <v>#VALUE!</v>
          </cell>
          <cell r="AK23" t="e">
            <v>#VALUE!</v>
          </cell>
          <cell r="AL23" t="e">
            <v>#VALUE!</v>
          </cell>
        </row>
        <row r="24">
          <cell r="B24" t="str">
            <v>0349.HK</v>
          </cell>
          <cell r="C24" t="str">
            <v>#Refresh</v>
          </cell>
          <cell r="D24" t="str">
            <v>#Refresh</v>
          </cell>
          <cell r="E24" t="str">
            <v>#Refresh</v>
          </cell>
          <cell r="F24" t="str">
            <v>#Refresh</v>
          </cell>
          <cell r="G24" t="str">
            <v>#Refresh</v>
          </cell>
          <cell r="H24" t="str">
            <v>#Refresh</v>
          </cell>
          <cell r="I24" t="str">
            <v>#Refresh</v>
          </cell>
          <cell r="J24" t="str">
            <v>#Refresh</v>
          </cell>
          <cell r="K24" t="str">
            <v>#Refresh</v>
          </cell>
          <cell r="L24" t="str">
            <v>#Refresh</v>
          </cell>
          <cell r="M24" t="str">
            <v>#Refresh</v>
          </cell>
          <cell r="N24" t="str">
            <v>#Refresh</v>
          </cell>
          <cell r="O24" t="str">
            <v>#Refresh</v>
          </cell>
          <cell r="P24" t="str">
            <v>#Refresh</v>
          </cell>
          <cell r="Q24" t="str">
            <v>#Refresh</v>
          </cell>
          <cell r="R24" t="str">
            <v>#Refresh</v>
          </cell>
          <cell r="S24" t="str">
            <v>#Refresh</v>
          </cell>
          <cell r="T24" t="str">
            <v>#Refresh</v>
          </cell>
          <cell r="W24" t="e">
            <v>#VALUE!</v>
          </cell>
          <cell r="X24" t="e">
            <v>#VALUE!</v>
          </cell>
          <cell r="Y24" t="e">
            <v>#VALUE!</v>
          </cell>
          <cell r="Z24" t="e">
            <v>#VALUE!</v>
          </cell>
          <cell r="AA24" t="e">
            <v>#VALUE!</v>
          </cell>
          <cell r="AB24" t="e">
            <v>#VALUE!</v>
          </cell>
          <cell r="AC24" t="e">
            <v>#VALUE!</v>
          </cell>
          <cell r="AD24" t="e">
            <v>#VALUE!</v>
          </cell>
          <cell r="AE24" t="e">
            <v>#VALUE!</v>
          </cell>
          <cell r="AF24" t="str">
            <v>NA</v>
          </cell>
          <cell r="AG24" t="e">
            <v>#VALUE!</v>
          </cell>
          <cell r="AH24" t="e">
            <v>#VALUE!</v>
          </cell>
          <cell r="AI24" t="e">
            <v>#VALUE!</v>
          </cell>
          <cell r="AJ24" t="e">
            <v>#VALUE!</v>
          </cell>
          <cell r="AK24" t="e">
            <v>#VALUE!</v>
          </cell>
          <cell r="AL24" t="e">
            <v>#VALUE!</v>
          </cell>
        </row>
        <row r="25">
          <cell r="B25" t="str">
            <v>ICBK.BO</v>
          </cell>
          <cell r="C25" t="str">
            <v>#Refresh</v>
          </cell>
          <cell r="D25" t="str">
            <v>#Refresh</v>
          </cell>
          <cell r="E25" t="str">
            <v>#Refresh</v>
          </cell>
          <cell r="F25" t="str">
            <v>#Refresh</v>
          </cell>
          <cell r="G25" t="str">
            <v>#Refresh</v>
          </cell>
          <cell r="H25" t="str">
            <v>#Refresh</v>
          </cell>
          <cell r="I25" t="str">
            <v>#Refresh</v>
          </cell>
          <cell r="J25" t="str">
            <v>#Refresh</v>
          </cell>
          <cell r="K25" t="str">
            <v>#Refresh</v>
          </cell>
          <cell r="L25" t="str">
            <v>#Refresh</v>
          </cell>
          <cell r="M25" t="str">
            <v>#Refresh</v>
          </cell>
          <cell r="N25" t="str">
            <v>#Refresh</v>
          </cell>
          <cell r="O25" t="str">
            <v>#Refresh</v>
          </cell>
          <cell r="P25" t="str">
            <v>#Refresh</v>
          </cell>
          <cell r="Q25" t="str">
            <v>#Refresh</v>
          </cell>
          <cell r="R25" t="str">
            <v>#Refresh</v>
          </cell>
          <cell r="S25" t="str">
            <v>#Refresh</v>
          </cell>
          <cell r="T25" t="str">
            <v>#Refresh</v>
          </cell>
          <cell r="W25" t="e">
            <v>#VALUE!</v>
          </cell>
          <cell r="X25" t="e">
            <v>#VALUE!</v>
          </cell>
          <cell r="Y25" t="e">
            <v>#VALUE!</v>
          </cell>
          <cell r="Z25" t="e">
            <v>#VALUE!</v>
          </cell>
          <cell r="AA25" t="e">
            <v>#VALUE!</v>
          </cell>
          <cell r="AB25" t="e">
            <v>#VALUE!</v>
          </cell>
          <cell r="AC25" t="e">
            <v>#VALUE!</v>
          </cell>
          <cell r="AD25" t="e">
            <v>#VALUE!</v>
          </cell>
          <cell r="AE25" t="e">
            <v>#VALUE!</v>
          </cell>
          <cell r="AF25" t="e">
            <v>#VALUE!</v>
          </cell>
          <cell r="AG25" t="e">
            <v>#VALUE!</v>
          </cell>
          <cell r="AH25" t="e">
            <v>#VALUE!</v>
          </cell>
          <cell r="AI25" t="e">
            <v>#VALUE!</v>
          </cell>
          <cell r="AJ25" t="e">
            <v>#VALUE!</v>
          </cell>
          <cell r="AK25" t="e">
            <v>#VALUE!</v>
          </cell>
          <cell r="AL25" t="e">
            <v>#VALUE!</v>
          </cell>
          <cell r="AM25" t="str">
            <v>`</v>
          </cell>
        </row>
        <row r="26">
          <cell r="B26" t="str">
            <v>IDBI.BO</v>
          </cell>
          <cell r="C26" t="str">
            <v>#Refresh</v>
          </cell>
          <cell r="D26" t="str">
            <v>#Refresh</v>
          </cell>
          <cell r="E26" t="str">
            <v>#Refresh</v>
          </cell>
          <cell r="F26" t="str">
            <v>#Refresh</v>
          </cell>
          <cell r="G26" t="str">
            <v>#Refresh</v>
          </cell>
          <cell r="H26" t="str">
            <v>#Refresh</v>
          </cell>
          <cell r="I26" t="str">
            <v>#Refresh</v>
          </cell>
          <cell r="J26" t="str">
            <v>#Refresh</v>
          </cell>
          <cell r="K26" t="str">
            <v>#Refresh</v>
          </cell>
          <cell r="L26" t="str">
            <v>#Refresh</v>
          </cell>
          <cell r="M26" t="str">
            <v>#Refresh</v>
          </cell>
          <cell r="N26" t="str">
            <v>#Refresh</v>
          </cell>
          <cell r="O26" t="str">
            <v>#Refresh</v>
          </cell>
          <cell r="P26" t="str">
            <v>#Refresh</v>
          </cell>
          <cell r="Q26" t="str">
            <v>#Refresh</v>
          </cell>
          <cell r="R26" t="str">
            <v>#Refresh</v>
          </cell>
          <cell r="S26" t="str">
            <v>#Refresh</v>
          </cell>
          <cell r="T26" t="str">
            <v>#Refresh</v>
          </cell>
          <cell r="W26" t="e">
            <v>#VALUE!</v>
          </cell>
          <cell r="X26" t="e">
            <v>#VALUE!</v>
          </cell>
          <cell r="Y26" t="e">
            <v>#VALUE!</v>
          </cell>
          <cell r="Z26" t="e">
            <v>#VALUE!</v>
          </cell>
          <cell r="AA26" t="e">
            <v>#VALUE!</v>
          </cell>
          <cell r="AB26" t="e">
            <v>#VALUE!</v>
          </cell>
          <cell r="AC26" t="e">
            <v>#VALUE!</v>
          </cell>
          <cell r="AD26" t="e">
            <v>#VALUE!</v>
          </cell>
          <cell r="AE26" t="e">
            <v>#VALUE!</v>
          </cell>
          <cell r="AF26" t="e">
            <v>#VALUE!</v>
          </cell>
          <cell r="AG26" t="e">
            <v>#VALUE!</v>
          </cell>
          <cell r="AH26" t="e">
            <v>#VALUE!</v>
          </cell>
          <cell r="AI26" t="e">
            <v>#VALUE!</v>
          </cell>
          <cell r="AJ26" t="e">
            <v>#VALUE!</v>
          </cell>
          <cell r="AK26" t="e">
            <v>#VALUE!</v>
          </cell>
          <cell r="AL26" t="e">
            <v>#VALUE!</v>
          </cell>
        </row>
        <row r="27">
          <cell r="B27" t="str">
            <v>KBANf.BK</v>
          </cell>
          <cell r="C27" t="str">
            <v>#Refresh</v>
          </cell>
          <cell r="D27" t="str">
            <v>#Refresh</v>
          </cell>
          <cell r="E27" t="str">
            <v>#Refresh</v>
          </cell>
          <cell r="F27" t="str">
            <v>#Refresh</v>
          </cell>
          <cell r="G27" t="str">
            <v>#Refresh</v>
          </cell>
          <cell r="H27" t="str">
            <v>#Refresh</v>
          </cell>
          <cell r="I27" t="str">
            <v>#Refresh</v>
          </cell>
          <cell r="J27" t="str">
            <v>#Refresh</v>
          </cell>
          <cell r="K27" t="str">
            <v>#Refresh</v>
          </cell>
          <cell r="L27" t="str">
            <v>#Refresh</v>
          </cell>
          <cell r="M27" t="str">
            <v>#Refresh</v>
          </cell>
          <cell r="N27" t="str">
            <v>#Refresh</v>
          </cell>
          <cell r="O27" t="str">
            <v>#Refresh</v>
          </cell>
          <cell r="P27" t="str">
            <v>#Refresh</v>
          </cell>
          <cell r="Q27" t="str">
            <v>#Refresh</v>
          </cell>
          <cell r="R27" t="str">
            <v>#Refresh</v>
          </cell>
          <cell r="S27" t="str">
            <v>#Refresh</v>
          </cell>
          <cell r="T27" t="str">
            <v>#Refresh</v>
          </cell>
          <cell r="W27" t="e">
            <v>#VALUE!</v>
          </cell>
          <cell r="X27" t="e">
            <v>#VALUE!</v>
          </cell>
          <cell r="Y27" t="e">
            <v>#VALUE!</v>
          </cell>
          <cell r="Z27" t="e">
            <v>#VALUE!</v>
          </cell>
          <cell r="AA27" t="e">
            <v>#VALUE!</v>
          </cell>
          <cell r="AB27" t="e">
            <v>#VALUE!</v>
          </cell>
          <cell r="AC27" t="e">
            <v>#VALUE!</v>
          </cell>
          <cell r="AD27" t="e">
            <v>#VALUE!</v>
          </cell>
          <cell r="AE27" t="str">
            <v>NA</v>
          </cell>
          <cell r="AF27" t="str">
            <v>NA</v>
          </cell>
          <cell r="AG27" t="str">
            <v>NA</v>
          </cell>
          <cell r="AH27" t="str">
            <v>NA</v>
          </cell>
          <cell r="AI27" t="str">
            <v>NA</v>
          </cell>
          <cell r="AJ27" t="str">
            <v>NA</v>
          </cell>
          <cell r="AK27" t="e">
            <v>#VALUE!</v>
          </cell>
          <cell r="AL27" t="e">
            <v>#VALUE!</v>
          </cell>
        </row>
        <row r="28">
          <cell r="B28" t="str">
            <v>060000.KS</v>
          </cell>
          <cell r="C28" t="str">
            <v>#Refresh</v>
          </cell>
          <cell r="D28" t="str">
            <v>#Refresh</v>
          </cell>
          <cell r="E28" t="str">
            <v>#Refresh</v>
          </cell>
          <cell r="F28" t="str">
            <v>#Refresh</v>
          </cell>
          <cell r="G28" t="str">
            <v>#Refresh</v>
          </cell>
          <cell r="H28" t="str">
            <v>#Refresh</v>
          </cell>
          <cell r="I28" t="str">
            <v>#Refresh</v>
          </cell>
          <cell r="J28" t="str">
            <v>#Refresh</v>
          </cell>
          <cell r="K28" t="str">
            <v>#Refresh</v>
          </cell>
          <cell r="L28" t="str">
            <v>#Refresh</v>
          </cell>
          <cell r="M28" t="str">
            <v>#Refresh</v>
          </cell>
          <cell r="N28" t="str">
            <v>#Refresh</v>
          </cell>
          <cell r="O28" t="str">
            <v>#Refresh</v>
          </cell>
          <cell r="P28" t="str">
            <v>#Refresh</v>
          </cell>
          <cell r="Q28" t="str">
            <v>#Refresh</v>
          </cell>
          <cell r="R28" t="str">
            <v>#Refresh</v>
          </cell>
          <cell r="S28" t="str">
            <v>#Refresh</v>
          </cell>
          <cell r="T28" t="str">
            <v>#Refresh</v>
          </cell>
          <cell r="W28" t="e">
            <v>#VALUE!</v>
          </cell>
          <cell r="X28" t="e">
            <v>#VALUE!</v>
          </cell>
          <cell r="Y28" t="e">
            <v>#VALUE!</v>
          </cell>
          <cell r="Z28" t="e">
            <v>#VALUE!</v>
          </cell>
          <cell r="AA28" t="e">
            <v>#VALUE!</v>
          </cell>
          <cell r="AB28" t="e">
            <v>#VALUE!</v>
          </cell>
          <cell r="AC28" t="e">
            <v>#VALUE!</v>
          </cell>
          <cell r="AD28" t="e">
            <v>#VALUE!</v>
          </cell>
          <cell r="AE28" t="e">
            <v>#VALUE!</v>
          </cell>
          <cell r="AF28" t="e">
            <v>#VALUE!</v>
          </cell>
          <cell r="AG28" t="e">
            <v>#VALUE!</v>
          </cell>
          <cell r="AH28" t="e">
            <v>#VALUE!</v>
          </cell>
          <cell r="AI28" t="e">
            <v>#VALUE!</v>
          </cell>
          <cell r="AJ28" t="str">
            <v>NA</v>
          </cell>
          <cell r="AK28" t="e">
            <v>#VALUE!</v>
          </cell>
          <cell r="AL28" t="e">
            <v>#VALUE!</v>
          </cell>
        </row>
        <row r="29">
          <cell r="B29" t="str">
            <v>004940.KS</v>
          </cell>
          <cell r="C29" t="str">
            <v>#Refresh</v>
          </cell>
          <cell r="D29" t="str">
            <v>#Refresh</v>
          </cell>
          <cell r="E29" t="str">
            <v>#Refresh</v>
          </cell>
          <cell r="F29" t="str">
            <v>#Refresh</v>
          </cell>
          <cell r="G29" t="str">
            <v>#Refresh</v>
          </cell>
          <cell r="H29" t="str">
            <v>#Refresh</v>
          </cell>
          <cell r="I29" t="str">
            <v>#Refresh</v>
          </cell>
          <cell r="J29" t="str">
            <v>#Refresh</v>
          </cell>
          <cell r="K29" t="str">
            <v>#Refresh</v>
          </cell>
          <cell r="L29" t="str">
            <v>#Refresh</v>
          </cell>
          <cell r="M29" t="str">
            <v>#Refresh</v>
          </cell>
          <cell r="N29" t="str">
            <v>#Refresh</v>
          </cell>
          <cell r="O29" t="str">
            <v>#Refresh</v>
          </cell>
          <cell r="P29" t="str">
            <v>#Refresh</v>
          </cell>
          <cell r="Q29" t="str">
            <v>#Refresh</v>
          </cell>
          <cell r="R29" t="str">
            <v>#Refresh</v>
          </cell>
          <cell r="S29" t="str">
            <v>#Refresh</v>
          </cell>
          <cell r="T29" t="str">
            <v>#Refresh</v>
          </cell>
          <cell r="W29" t="e">
            <v>#VALUE!</v>
          </cell>
          <cell r="X29" t="e">
            <v>#VALUE!</v>
          </cell>
          <cell r="Y29" t="e">
            <v>#VALUE!</v>
          </cell>
          <cell r="Z29" t="e">
            <v>#VALUE!</v>
          </cell>
          <cell r="AA29" t="e">
            <v>#VALUE!</v>
          </cell>
          <cell r="AB29" t="e">
            <v>#VALUE!</v>
          </cell>
          <cell r="AC29" t="e">
            <v>#VALUE!</v>
          </cell>
          <cell r="AD29" t="e">
            <v>#VALUE!</v>
          </cell>
          <cell r="AE29" t="e">
            <v>#VALUE!</v>
          </cell>
          <cell r="AF29" t="e">
            <v>#VALUE!</v>
          </cell>
          <cell r="AG29" t="e">
            <v>#VALUE!</v>
          </cell>
          <cell r="AH29" t="e">
            <v>#VALUE!</v>
          </cell>
          <cell r="AI29" t="str">
            <v>NA</v>
          </cell>
          <cell r="AJ29" t="str">
            <v>NA</v>
          </cell>
          <cell r="AK29" t="str">
            <v>NA</v>
          </cell>
          <cell r="AL29" t="str">
            <v>NA</v>
          </cell>
        </row>
        <row r="30">
          <cell r="B30" t="str">
            <v>NAB.AX</v>
          </cell>
          <cell r="C30" t="str">
            <v>#Refresh</v>
          </cell>
          <cell r="D30" t="str">
            <v>#Refresh</v>
          </cell>
          <cell r="E30" t="str">
            <v>#Refresh</v>
          </cell>
          <cell r="F30" t="str">
            <v>#Refresh</v>
          </cell>
          <cell r="G30" t="str">
            <v>#Refresh</v>
          </cell>
          <cell r="H30" t="str">
            <v>#Refresh</v>
          </cell>
          <cell r="I30" t="str">
            <v>#Refresh</v>
          </cell>
          <cell r="J30" t="str">
            <v>#Refresh</v>
          </cell>
          <cell r="K30" t="str">
            <v>#Refresh</v>
          </cell>
          <cell r="L30" t="str">
            <v>#Refresh</v>
          </cell>
          <cell r="M30" t="str">
            <v>#Refresh</v>
          </cell>
          <cell r="N30" t="str">
            <v>#Refresh</v>
          </cell>
          <cell r="O30" t="str">
            <v>#Refresh</v>
          </cell>
          <cell r="P30" t="str">
            <v>#Refresh</v>
          </cell>
          <cell r="Q30" t="str">
            <v>#Refresh</v>
          </cell>
          <cell r="R30" t="str">
            <v>#Refresh</v>
          </cell>
          <cell r="S30" t="str">
            <v>#Refresh</v>
          </cell>
          <cell r="T30" t="str">
            <v>#Refresh</v>
          </cell>
          <cell r="W30" t="e">
            <v>#VALUE!</v>
          </cell>
          <cell r="X30" t="e">
            <v>#VALUE!</v>
          </cell>
          <cell r="Y30" t="e">
            <v>#VALUE!</v>
          </cell>
          <cell r="Z30" t="e">
            <v>#VALUE!</v>
          </cell>
          <cell r="AA30" t="e">
            <v>#VALUE!</v>
          </cell>
          <cell r="AB30" t="e">
            <v>#VALUE!</v>
          </cell>
          <cell r="AC30" t="e">
            <v>#VALUE!</v>
          </cell>
          <cell r="AD30" t="e">
            <v>#VALUE!</v>
          </cell>
          <cell r="AE30" t="e">
            <v>#VALUE!</v>
          </cell>
          <cell r="AF30" t="e">
            <v>#VALUE!</v>
          </cell>
          <cell r="AG30" t="e">
            <v>#VALUE!</v>
          </cell>
          <cell r="AH30" t="e">
            <v>#VALUE!</v>
          </cell>
          <cell r="AI30" t="e">
            <v>#VALUE!</v>
          </cell>
          <cell r="AJ30" t="e">
            <v>#VALUE!</v>
          </cell>
          <cell r="AK30" t="e">
            <v>#VALUE!</v>
          </cell>
          <cell r="AL30" t="e">
            <v>#VALUE!</v>
          </cell>
        </row>
        <row r="31">
          <cell r="B31" t="str">
            <v>OCBC.SI</v>
          </cell>
          <cell r="C31" t="str">
            <v>#Refresh</v>
          </cell>
          <cell r="D31" t="str">
            <v>#Refresh</v>
          </cell>
          <cell r="E31" t="str">
            <v>#Refresh</v>
          </cell>
          <cell r="F31" t="str">
            <v>#Refresh</v>
          </cell>
          <cell r="G31" t="str">
            <v>#Refresh</v>
          </cell>
          <cell r="H31" t="str">
            <v>#Refresh</v>
          </cell>
          <cell r="I31" t="str">
            <v>#Refresh</v>
          </cell>
          <cell r="J31" t="str">
            <v>#Refresh</v>
          </cell>
          <cell r="K31" t="str">
            <v>#Refresh</v>
          </cell>
          <cell r="L31" t="str">
            <v>#Refresh</v>
          </cell>
          <cell r="M31" t="str">
            <v>#Refresh</v>
          </cell>
          <cell r="N31" t="str">
            <v>#Refresh</v>
          </cell>
          <cell r="O31" t="str">
            <v>#Refresh</v>
          </cell>
          <cell r="P31" t="str">
            <v>#Refresh</v>
          </cell>
          <cell r="Q31" t="str">
            <v>#Refresh</v>
          </cell>
          <cell r="R31" t="str">
            <v>#Refresh</v>
          </cell>
          <cell r="S31" t="str">
            <v>#Refresh</v>
          </cell>
          <cell r="T31" t="str">
            <v>#Refresh</v>
          </cell>
          <cell r="W31" t="e">
            <v>#VALUE!</v>
          </cell>
          <cell r="X31" t="e">
            <v>#VALUE!</v>
          </cell>
          <cell r="Y31" t="e">
            <v>#VALUE!</v>
          </cell>
          <cell r="Z31" t="e">
            <v>#VALUE!</v>
          </cell>
          <cell r="AA31" t="e">
            <v>#VALUE!</v>
          </cell>
          <cell r="AB31" t="e">
            <v>#VALUE!</v>
          </cell>
          <cell r="AC31" t="e">
            <v>#VALUE!</v>
          </cell>
          <cell r="AD31" t="e">
            <v>#VALUE!</v>
          </cell>
          <cell r="AE31" t="e">
            <v>#VALUE!</v>
          </cell>
          <cell r="AF31" t="e">
            <v>#VALUE!</v>
          </cell>
          <cell r="AG31" t="e">
            <v>#VALUE!</v>
          </cell>
          <cell r="AH31" t="e">
            <v>#VALUE!</v>
          </cell>
          <cell r="AI31" t="e">
            <v>#VALUE!</v>
          </cell>
          <cell r="AJ31" t="e">
            <v>#VALUE!</v>
          </cell>
          <cell r="AK31" t="e">
            <v>#VALUE!</v>
          </cell>
          <cell r="AL31" t="e">
            <v>#VALUE!</v>
          </cell>
        </row>
        <row r="32">
          <cell r="B32" t="str">
            <v>ORBC.BO</v>
          </cell>
          <cell r="C32" t="str">
            <v>#Refresh</v>
          </cell>
          <cell r="D32" t="str">
            <v>#Refresh</v>
          </cell>
          <cell r="E32" t="str">
            <v>#Refresh</v>
          </cell>
          <cell r="F32" t="str">
            <v>#Refresh</v>
          </cell>
          <cell r="G32" t="str">
            <v>#Refresh</v>
          </cell>
          <cell r="H32" t="str">
            <v>#Refresh</v>
          </cell>
          <cell r="I32" t="str">
            <v>#Refresh</v>
          </cell>
          <cell r="J32" t="str">
            <v>#Refresh</v>
          </cell>
          <cell r="K32" t="str">
            <v>#Refresh</v>
          </cell>
          <cell r="L32" t="str">
            <v>#Refresh</v>
          </cell>
          <cell r="M32" t="str">
            <v>#Refresh</v>
          </cell>
          <cell r="N32" t="str">
            <v>#Refresh</v>
          </cell>
          <cell r="O32" t="str">
            <v>#Refresh</v>
          </cell>
          <cell r="P32" t="str">
            <v>#Refresh</v>
          </cell>
          <cell r="Q32" t="str">
            <v>#Refresh</v>
          </cell>
          <cell r="R32" t="str">
            <v>#Refresh</v>
          </cell>
          <cell r="S32" t="str">
            <v>#Refresh</v>
          </cell>
          <cell r="T32" t="str">
            <v>#Refresh</v>
          </cell>
          <cell r="W32" t="e">
            <v>#VALUE!</v>
          </cell>
          <cell r="X32" t="e">
            <v>#VALUE!</v>
          </cell>
          <cell r="Y32" t="e">
            <v>#VALUE!</v>
          </cell>
          <cell r="Z32" t="e">
            <v>#VALUE!</v>
          </cell>
          <cell r="AA32" t="e">
            <v>#VALUE!</v>
          </cell>
          <cell r="AB32" t="e">
            <v>#VALUE!</v>
          </cell>
          <cell r="AC32" t="e">
            <v>#VALUE!</v>
          </cell>
          <cell r="AD32" t="e">
            <v>#VALUE!</v>
          </cell>
          <cell r="AE32" t="e">
            <v>#VALUE!</v>
          </cell>
          <cell r="AF32" t="e">
            <v>#VALUE!</v>
          </cell>
          <cell r="AG32" t="e">
            <v>#VALUE!</v>
          </cell>
          <cell r="AH32" t="e">
            <v>#VALUE!</v>
          </cell>
          <cell r="AI32" t="e">
            <v>#VALUE!</v>
          </cell>
          <cell r="AJ32" t="e">
            <v>#VALUE!</v>
          </cell>
          <cell r="AK32" t="e">
            <v>#VALUE!</v>
          </cell>
          <cell r="AL32" t="e">
            <v>#VALUE!</v>
          </cell>
        </row>
        <row r="33">
          <cell r="B33" t="str">
            <v>PNBK.BO</v>
          </cell>
          <cell r="C33" t="str">
            <v>#Refresh</v>
          </cell>
          <cell r="D33" t="str">
            <v>#Refresh</v>
          </cell>
          <cell r="E33" t="str">
            <v>#Refresh</v>
          </cell>
          <cell r="F33" t="str">
            <v>#Refresh</v>
          </cell>
          <cell r="G33" t="str">
            <v>#Refresh</v>
          </cell>
          <cell r="H33" t="str">
            <v>#Refresh</v>
          </cell>
          <cell r="I33" t="str">
            <v>#Refresh</v>
          </cell>
          <cell r="J33" t="str">
            <v>#Refresh</v>
          </cell>
          <cell r="K33" t="str">
            <v>#Refresh</v>
          </cell>
          <cell r="L33" t="str">
            <v>#Refresh</v>
          </cell>
          <cell r="M33" t="str">
            <v>#Refresh</v>
          </cell>
          <cell r="N33" t="str">
            <v>#Refresh</v>
          </cell>
          <cell r="O33" t="str">
            <v>#Refresh</v>
          </cell>
          <cell r="P33" t="str">
            <v>#Refresh</v>
          </cell>
          <cell r="Q33" t="str">
            <v>#Refresh</v>
          </cell>
          <cell r="R33" t="str">
            <v>#Refresh</v>
          </cell>
          <cell r="S33" t="str">
            <v>#Refresh</v>
          </cell>
          <cell r="T33" t="str">
            <v>#Refresh</v>
          </cell>
          <cell r="W33" t="e">
            <v>#VALUE!</v>
          </cell>
          <cell r="X33" t="e">
            <v>#VALUE!</v>
          </cell>
          <cell r="Y33" t="e">
            <v>#VALUE!</v>
          </cell>
          <cell r="Z33" t="e">
            <v>#VALUE!</v>
          </cell>
          <cell r="AA33" t="e">
            <v>#VALUE!</v>
          </cell>
          <cell r="AB33" t="e">
            <v>#VALUE!</v>
          </cell>
          <cell r="AC33" t="e">
            <v>#VALUE!</v>
          </cell>
          <cell r="AD33" t="e">
            <v>#VALUE!</v>
          </cell>
          <cell r="AE33" t="e">
            <v>#VALUE!</v>
          </cell>
          <cell r="AF33" t="e">
            <v>#VALUE!</v>
          </cell>
          <cell r="AG33" t="e">
            <v>#VALUE!</v>
          </cell>
          <cell r="AH33" t="e">
            <v>#VALUE!</v>
          </cell>
          <cell r="AI33" t="e">
            <v>#VALUE!</v>
          </cell>
          <cell r="AJ33" t="e">
            <v>#VALUE!</v>
          </cell>
          <cell r="AK33" t="e">
            <v>#VALUE!</v>
          </cell>
          <cell r="AL33" t="e">
            <v>#VALUE!</v>
          </cell>
        </row>
        <row r="34">
          <cell r="B34" t="str">
            <v>055550.KS</v>
          </cell>
          <cell r="C34" t="str">
            <v>#Refresh</v>
          </cell>
          <cell r="D34" t="str">
            <v>#Refresh</v>
          </cell>
          <cell r="E34" t="str">
            <v>#Refresh</v>
          </cell>
          <cell r="F34" t="str">
            <v>#Refresh</v>
          </cell>
          <cell r="G34" t="str">
            <v>#Refresh</v>
          </cell>
          <cell r="H34" t="str">
            <v>#Refresh</v>
          </cell>
          <cell r="I34" t="str">
            <v>#Refresh</v>
          </cell>
          <cell r="J34" t="str">
            <v>#Refresh</v>
          </cell>
          <cell r="K34" t="str">
            <v>#Refresh</v>
          </cell>
          <cell r="L34" t="str">
            <v>#Refresh</v>
          </cell>
          <cell r="M34" t="str">
            <v>#Refresh</v>
          </cell>
          <cell r="N34" t="str">
            <v>#Refresh</v>
          </cell>
          <cell r="O34" t="str">
            <v>#Refresh</v>
          </cell>
          <cell r="P34" t="str">
            <v>#Refresh</v>
          </cell>
          <cell r="Q34" t="str">
            <v>#Refresh</v>
          </cell>
          <cell r="R34" t="str">
            <v>#Refresh</v>
          </cell>
          <cell r="S34" t="str">
            <v>#Refresh</v>
          </cell>
          <cell r="T34" t="str">
            <v>#Refresh</v>
          </cell>
          <cell r="W34" t="e">
            <v>#VALUE!</v>
          </cell>
          <cell r="X34" t="e">
            <v>#VALUE!</v>
          </cell>
          <cell r="Y34" t="e">
            <v>#VALUE!</v>
          </cell>
          <cell r="Z34" t="e">
            <v>#VALUE!</v>
          </cell>
          <cell r="AA34" t="e">
            <v>#VALUE!</v>
          </cell>
          <cell r="AB34" t="e">
            <v>#VALUE!</v>
          </cell>
          <cell r="AC34" t="e">
            <v>#VALUE!</v>
          </cell>
          <cell r="AD34" t="e">
            <v>#VALUE!</v>
          </cell>
          <cell r="AE34" t="e">
            <v>#VALUE!</v>
          </cell>
          <cell r="AF34" t="e">
            <v>#VALUE!</v>
          </cell>
          <cell r="AG34" t="e">
            <v>#VALUE!</v>
          </cell>
          <cell r="AH34" t="e">
            <v>#VALUE!</v>
          </cell>
          <cell r="AI34" t="str">
            <v>NA</v>
          </cell>
          <cell r="AJ34" t="e">
            <v>#VALUE!</v>
          </cell>
          <cell r="AK34" t="e">
            <v>#VALUE!</v>
          </cell>
          <cell r="AL34" t="e">
            <v>#VALUE!</v>
          </cell>
        </row>
        <row r="35">
          <cell r="B35" t="str">
            <v>SCBf.BK</v>
          </cell>
          <cell r="C35" t="str">
            <v>#Refresh</v>
          </cell>
          <cell r="D35" t="str">
            <v>#Refresh</v>
          </cell>
          <cell r="E35" t="str">
            <v>#Refresh</v>
          </cell>
          <cell r="F35" t="str">
            <v>#Refresh</v>
          </cell>
          <cell r="G35" t="str">
            <v>#Refresh</v>
          </cell>
          <cell r="H35" t="str">
            <v>#Refresh</v>
          </cell>
          <cell r="I35" t="str">
            <v>#Refresh</v>
          </cell>
          <cell r="J35" t="str">
            <v>#Refresh</v>
          </cell>
          <cell r="K35" t="str">
            <v>#Refresh</v>
          </cell>
          <cell r="L35" t="str">
            <v>#Refresh</v>
          </cell>
          <cell r="M35" t="str">
            <v>#Refresh</v>
          </cell>
          <cell r="N35" t="str">
            <v>#Refresh</v>
          </cell>
          <cell r="O35" t="str">
            <v>#Refresh</v>
          </cell>
          <cell r="P35" t="str">
            <v>#Refresh</v>
          </cell>
          <cell r="Q35" t="str">
            <v>#Refresh</v>
          </cell>
          <cell r="R35" t="str">
            <v>#Refresh</v>
          </cell>
          <cell r="S35" t="str">
            <v>#Refresh</v>
          </cell>
          <cell r="T35" t="str">
            <v>#Refresh</v>
          </cell>
          <cell r="W35" t="e">
            <v>#VALUE!</v>
          </cell>
          <cell r="X35" t="e">
            <v>#VALUE!</v>
          </cell>
          <cell r="Y35" t="e">
            <v>#VALUE!</v>
          </cell>
          <cell r="Z35" t="e">
            <v>#VALUE!</v>
          </cell>
          <cell r="AA35" t="e">
            <v>#VALUE!</v>
          </cell>
          <cell r="AB35" t="e">
            <v>#VALUE!</v>
          </cell>
          <cell r="AC35" t="e">
            <v>#VALUE!</v>
          </cell>
          <cell r="AD35" t="e">
            <v>#VALUE!</v>
          </cell>
          <cell r="AE35" t="str">
            <v>NA</v>
          </cell>
          <cell r="AF35" t="str">
            <v>NA</v>
          </cell>
          <cell r="AG35" t="str">
            <v>NA</v>
          </cell>
          <cell r="AH35" t="str">
            <v>NA</v>
          </cell>
          <cell r="AI35" t="str">
            <v>NA</v>
          </cell>
          <cell r="AJ35" t="str">
            <v>NA</v>
          </cell>
          <cell r="AK35" t="e">
            <v>#VALUE!</v>
          </cell>
          <cell r="AL35" t="e">
            <v>#VALUE!</v>
          </cell>
        </row>
        <row r="36">
          <cell r="B36" t="str">
            <v>SGB.AX</v>
          </cell>
          <cell r="C36" t="str">
            <v>#Refresh</v>
          </cell>
          <cell r="D36" t="str">
            <v>#Refresh</v>
          </cell>
          <cell r="E36" t="str">
            <v>#Refresh</v>
          </cell>
          <cell r="F36" t="str">
            <v>#Refresh</v>
          </cell>
          <cell r="G36" t="str">
            <v>#Refresh</v>
          </cell>
          <cell r="H36" t="str">
            <v>#Refresh</v>
          </cell>
          <cell r="I36" t="str">
            <v>#Refresh</v>
          </cell>
          <cell r="J36" t="str">
            <v>#Refresh</v>
          </cell>
          <cell r="K36" t="str">
            <v>#Refresh</v>
          </cell>
          <cell r="L36" t="str">
            <v>#Refresh</v>
          </cell>
          <cell r="M36" t="str">
            <v>#Refresh</v>
          </cell>
          <cell r="N36" t="str">
            <v>#Refresh</v>
          </cell>
          <cell r="O36" t="str">
            <v>#Refresh</v>
          </cell>
          <cell r="P36" t="str">
            <v>#Refresh</v>
          </cell>
          <cell r="Q36" t="str">
            <v>#Refresh</v>
          </cell>
          <cell r="R36" t="str">
            <v>#Refresh</v>
          </cell>
          <cell r="S36" t="str">
            <v>#Refresh</v>
          </cell>
          <cell r="T36" t="str">
            <v>#Refresh</v>
          </cell>
          <cell r="W36" t="e">
            <v>#VALUE!</v>
          </cell>
          <cell r="X36" t="e">
            <v>#VALUE!</v>
          </cell>
          <cell r="Y36" t="e">
            <v>#VALUE!</v>
          </cell>
          <cell r="Z36" t="e">
            <v>#VALUE!</v>
          </cell>
          <cell r="AA36" t="e">
            <v>#VALUE!</v>
          </cell>
          <cell r="AB36" t="e">
            <v>#VALUE!</v>
          </cell>
          <cell r="AC36" t="e">
            <v>#VALUE!</v>
          </cell>
          <cell r="AD36" t="e">
            <v>#VALUE!</v>
          </cell>
          <cell r="AE36" t="e">
            <v>#VALUE!</v>
          </cell>
          <cell r="AF36" t="e">
            <v>#VALUE!</v>
          </cell>
          <cell r="AG36" t="e">
            <v>#VALUE!</v>
          </cell>
          <cell r="AH36" t="e">
            <v>#VALUE!</v>
          </cell>
          <cell r="AI36" t="e">
            <v>#VALUE!</v>
          </cell>
          <cell r="AJ36" t="e">
            <v>#VALUE!</v>
          </cell>
          <cell r="AK36" t="e">
            <v>#VALUE!</v>
          </cell>
          <cell r="AL36" t="e">
            <v>#VALUE!</v>
          </cell>
        </row>
        <row r="37">
          <cell r="B37" t="str">
            <v>2888.HK</v>
          </cell>
          <cell r="C37" t="str">
            <v>#Refresh</v>
          </cell>
          <cell r="D37" t="str">
            <v>#Refresh</v>
          </cell>
          <cell r="E37" t="str">
            <v>#Refresh</v>
          </cell>
          <cell r="F37" t="str">
            <v>#Refresh</v>
          </cell>
          <cell r="G37" t="str">
            <v>#Refresh</v>
          </cell>
          <cell r="H37" t="str">
            <v>#Refresh</v>
          </cell>
          <cell r="I37" t="str">
            <v>#Refresh</v>
          </cell>
          <cell r="J37" t="str">
            <v>#Refresh</v>
          </cell>
          <cell r="K37" t="str">
            <v>#Refresh</v>
          </cell>
          <cell r="L37" t="str">
            <v>#Refresh</v>
          </cell>
          <cell r="M37" t="str">
            <v>#Refresh</v>
          </cell>
          <cell r="N37" t="str">
            <v>#Refresh</v>
          </cell>
          <cell r="O37" t="str">
            <v>#Refresh</v>
          </cell>
          <cell r="P37" t="str">
            <v>#Refresh</v>
          </cell>
          <cell r="Q37" t="str">
            <v>#Refresh</v>
          </cell>
          <cell r="R37" t="str">
            <v>#Refresh</v>
          </cell>
          <cell r="S37" t="str">
            <v>#Refresh</v>
          </cell>
          <cell r="T37" t="str">
            <v>#Refresh</v>
          </cell>
          <cell r="W37" t="e">
            <v>#VALUE!</v>
          </cell>
          <cell r="X37" t="e">
            <v>#VALUE!</v>
          </cell>
          <cell r="Y37" t="e">
            <v>#VALUE!</v>
          </cell>
          <cell r="Z37" t="e">
            <v>#VALUE!</v>
          </cell>
          <cell r="AA37" t="e">
            <v>#VALUE!</v>
          </cell>
          <cell r="AB37" t="e">
            <v>#VALUE!</v>
          </cell>
          <cell r="AC37" t="e">
            <v>#VALUE!</v>
          </cell>
          <cell r="AD37" t="e">
            <v>#VALUE!</v>
          </cell>
          <cell r="AE37" t="e">
            <v>#VALUE!</v>
          </cell>
          <cell r="AF37" t="e">
            <v>#VALUE!</v>
          </cell>
          <cell r="AG37" t="e">
            <v>#VALUE!</v>
          </cell>
          <cell r="AH37" t="e">
            <v>#VALUE!</v>
          </cell>
          <cell r="AI37" t="e">
            <v>#VALUE!</v>
          </cell>
          <cell r="AJ37" t="e">
            <v>#VALUE!</v>
          </cell>
          <cell r="AK37" t="e">
            <v>#VALUE!</v>
          </cell>
          <cell r="AL37" t="e">
            <v>#VALUE!</v>
          </cell>
        </row>
        <row r="38">
          <cell r="B38" t="str">
            <v>SBI.BO</v>
          </cell>
          <cell r="C38" t="str">
            <v>#Refresh</v>
          </cell>
          <cell r="D38" t="str">
            <v>#Refresh</v>
          </cell>
          <cell r="E38" t="str">
            <v>#Refresh</v>
          </cell>
          <cell r="F38" t="str">
            <v>#Refresh</v>
          </cell>
          <cell r="G38" t="str">
            <v>#Refresh</v>
          </cell>
          <cell r="H38" t="str">
            <v>#Refresh</v>
          </cell>
          <cell r="I38" t="str">
            <v>#Refresh</v>
          </cell>
          <cell r="J38" t="str">
            <v>#Refresh</v>
          </cell>
          <cell r="K38" t="str">
            <v>#Refresh</v>
          </cell>
          <cell r="L38" t="str">
            <v>#Refresh</v>
          </cell>
          <cell r="M38" t="str">
            <v>#Refresh</v>
          </cell>
          <cell r="N38" t="str">
            <v>#Refresh</v>
          </cell>
          <cell r="O38" t="str">
            <v>#Refresh</v>
          </cell>
          <cell r="P38" t="str">
            <v>#Refresh</v>
          </cell>
          <cell r="Q38" t="str">
            <v>#Refresh</v>
          </cell>
          <cell r="R38" t="str">
            <v>#Refresh</v>
          </cell>
          <cell r="S38" t="str">
            <v>#Refresh</v>
          </cell>
          <cell r="T38" t="str">
            <v>#Refresh</v>
          </cell>
          <cell r="W38" t="e">
            <v>#VALUE!</v>
          </cell>
          <cell r="X38" t="e">
            <v>#VALUE!</v>
          </cell>
          <cell r="Y38" t="e">
            <v>#VALUE!</v>
          </cell>
          <cell r="Z38" t="e">
            <v>#VALUE!</v>
          </cell>
          <cell r="AA38" t="e">
            <v>#VALUE!</v>
          </cell>
          <cell r="AB38" t="e">
            <v>#VALUE!</v>
          </cell>
          <cell r="AC38" t="e">
            <v>#VALUE!</v>
          </cell>
          <cell r="AD38" t="e">
            <v>#VALUE!</v>
          </cell>
          <cell r="AE38" t="e">
            <v>#VALUE!</v>
          </cell>
          <cell r="AF38" t="e">
            <v>#VALUE!</v>
          </cell>
          <cell r="AG38" t="e">
            <v>#VALUE!</v>
          </cell>
          <cell r="AH38" t="e">
            <v>#VALUE!</v>
          </cell>
          <cell r="AI38" t="e">
            <v>#VALUE!</v>
          </cell>
          <cell r="AJ38" t="e">
            <v>#VALUE!</v>
          </cell>
          <cell r="AK38" t="e">
            <v>#VALUE!</v>
          </cell>
          <cell r="AL38" t="e">
            <v>#VALUE!</v>
          </cell>
        </row>
        <row r="39">
          <cell r="B39" t="str">
            <v>2887.TW</v>
          </cell>
          <cell r="C39" t="str">
            <v>#Refresh</v>
          </cell>
          <cell r="D39" t="str">
            <v>#Refresh</v>
          </cell>
          <cell r="E39" t="str">
            <v>#Refresh</v>
          </cell>
          <cell r="F39" t="str">
            <v>#Refresh</v>
          </cell>
          <cell r="G39" t="str">
            <v>#Refresh</v>
          </cell>
          <cell r="H39" t="str">
            <v>#Refresh</v>
          </cell>
          <cell r="I39" t="str">
            <v>#Refresh</v>
          </cell>
          <cell r="J39" t="str">
            <v>#Refresh</v>
          </cell>
          <cell r="K39" t="str">
            <v>#Refresh</v>
          </cell>
          <cell r="L39" t="str">
            <v>#Refresh</v>
          </cell>
          <cell r="M39" t="str">
            <v>#Refresh</v>
          </cell>
          <cell r="N39" t="str">
            <v>#Refresh</v>
          </cell>
          <cell r="O39" t="str">
            <v>#Refresh</v>
          </cell>
          <cell r="P39" t="str">
            <v>#Refresh</v>
          </cell>
          <cell r="Q39" t="str">
            <v>#Refresh</v>
          </cell>
          <cell r="R39" t="str">
            <v>#Refresh</v>
          </cell>
          <cell r="S39" t="str">
            <v>#Refresh</v>
          </cell>
          <cell r="T39" t="str">
            <v>#Refresh</v>
          </cell>
          <cell r="W39" t="e">
            <v>#VALUE!</v>
          </cell>
          <cell r="X39" t="e">
            <v>#VALUE!</v>
          </cell>
          <cell r="Y39" t="e">
            <v>#VALUE!</v>
          </cell>
          <cell r="Z39" t="e">
            <v>#VALUE!</v>
          </cell>
          <cell r="AA39" t="e">
            <v>#VALUE!</v>
          </cell>
          <cell r="AB39" t="e">
            <v>#VALUE!</v>
          </cell>
          <cell r="AC39" t="e">
            <v>#VALUE!</v>
          </cell>
          <cell r="AD39" t="e">
            <v>#VALUE!</v>
          </cell>
          <cell r="AE39" t="e">
            <v>#VALUE!</v>
          </cell>
          <cell r="AF39" t="e">
            <v>#VALUE!</v>
          </cell>
          <cell r="AG39" t="e">
            <v>#VALUE!</v>
          </cell>
          <cell r="AH39" t="e">
            <v>#VALUE!</v>
          </cell>
          <cell r="AI39" t="e">
            <v>#VALUE!</v>
          </cell>
          <cell r="AJ39" t="e">
            <v>#VALUE!</v>
          </cell>
          <cell r="AK39" t="e">
            <v>#VALUE!</v>
          </cell>
          <cell r="AL39" t="e">
            <v>#VALUE!</v>
          </cell>
        </row>
        <row r="40">
          <cell r="B40" t="str">
            <v>UOBH.SI</v>
          </cell>
          <cell r="C40" t="str">
            <v>#Refresh</v>
          </cell>
          <cell r="D40" t="str">
            <v>#Refresh</v>
          </cell>
          <cell r="E40" t="str">
            <v>#Refresh</v>
          </cell>
          <cell r="F40" t="str">
            <v>#Refresh</v>
          </cell>
          <cell r="G40" t="str">
            <v>#Refresh</v>
          </cell>
          <cell r="H40" t="str">
            <v>#Refresh</v>
          </cell>
          <cell r="I40" t="str">
            <v>#Refresh</v>
          </cell>
          <cell r="J40" t="str">
            <v>#Refresh</v>
          </cell>
          <cell r="K40" t="str">
            <v>#Refresh</v>
          </cell>
          <cell r="L40" t="str">
            <v>#Refresh</v>
          </cell>
          <cell r="M40" t="str">
            <v>#Refresh</v>
          </cell>
          <cell r="N40" t="str">
            <v>#Refresh</v>
          </cell>
          <cell r="O40" t="str">
            <v>#Refresh</v>
          </cell>
          <cell r="P40" t="str">
            <v>#Refresh</v>
          </cell>
          <cell r="Q40" t="str">
            <v>#Refresh</v>
          </cell>
          <cell r="R40" t="str">
            <v>#Refresh</v>
          </cell>
          <cell r="S40" t="str">
            <v>#Refresh</v>
          </cell>
          <cell r="T40" t="str">
            <v>#Refresh</v>
          </cell>
          <cell r="W40" t="e">
            <v>#VALUE!</v>
          </cell>
          <cell r="X40" t="e">
            <v>#VALUE!</v>
          </cell>
          <cell r="Y40" t="e">
            <v>#VALUE!</v>
          </cell>
          <cell r="Z40" t="e">
            <v>#VALUE!</v>
          </cell>
          <cell r="AA40" t="e">
            <v>#VALUE!</v>
          </cell>
          <cell r="AB40" t="e">
            <v>#VALUE!</v>
          </cell>
          <cell r="AC40" t="e">
            <v>#VALUE!</v>
          </cell>
          <cell r="AD40" t="e">
            <v>#VALUE!</v>
          </cell>
          <cell r="AE40" t="e">
            <v>#VALUE!</v>
          </cell>
          <cell r="AF40" t="e">
            <v>#VALUE!</v>
          </cell>
          <cell r="AG40" t="e">
            <v>#VALUE!</v>
          </cell>
          <cell r="AH40" t="e">
            <v>#VALUE!</v>
          </cell>
          <cell r="AI40" t="e">
            <v>#VALUE!</v>
          </cell>
          <cell r="AJ40" t="e">
            <v>#VALUE!</v>
          </cell>
          <cell r="AK40" t="e">
            <v>#VALUE!</v>
          </cell>
          <cell r="AL40" t="e">
            <v>#VALUE!</v>
          </cell>
        </row>
        <row r="41">
          <cell r="B41" t="str">
            <v>UTBK.BO</v>
          </cell>
          <cell r="C41" t="str">
            <v>#Refresh</v>
          </cell>
          <cell r="D41" t="str">
            <v>#Refresh</v>
          </cell>
          <cell r="E41" t="str">
            <v>#Refresh</v>
          </cell>
          <cell r="F41" t="str">
            <v>#Refresh</v>
          </cell>
          <cell r="G41" t="str">
            <v>#Refresh</v>
          </cell>
          <cell r="H41" t="str">
            <v>#Refresh</v>
          </cell>
          <cell r="I41" t="str">
            <v>#Refresh</v>
          </cell>
          <cell r="J41" t="str">
            <v>#Refresh</v>
          </cell>
          <cell r="K41" t="str">
            <v>#Refresh</v>
          </cell>
          <cell r="L41" t="str">
            <v>#Refresh</v>
          </cell>
          <cell r="M41" t="str">
            <v>#Refresh</v>
          </cell>
          <cell r="N41" t="str">
            <v>#Refresh</v>
          </cell>
          <cell r="O41" t="str">
            <v>#Refresh</v>
          </cell>
          <cell r="P41" t="str">
            <v>#Refresh</v>
          </cell>
          <cell r="Q41" t="str">
            <v>#Refresh</v>
          </cell>
          <cell r="R41" t="str">
            <v>#Refresh</v>
          </cell>
          <cell r="S41" t="str">
            <v>#Refresh</v>
          </cell>
          <cell r="T41" t="str">
            <v>#Refresh</v>
          </cell>
          <cell r="W41" t="e">
            <v>#VALUE!</v>
          </cell>
          <cell r="X41" t="e">
            <v>#VALUE!</v>
          </cell>
          <cell r="Y41" t="e">
            <v>#VALUE!</v>
          </cell>
          <cell r="Z41" t="e">
            <v>#VALUE!</v>
          </cell>
          <cell r="AA41" t="e">
            <v>#VALUE!</v>
          </cell>
          <cell r="AB41" t="e">
            <v>#VALUE!</v>
          </cell>
          <cell r="AC41" t="e">
            <v>#VALUE!</v>
          </cell>
          <cell r="AD41" t="e">
            <v>#VALUE!</v>
          </cell>
          <cell r="AE41" t="e">
            <v>#VALUE!</v>
          </cell>
          <cell r="AF41" t="e">
            <v>#VALUE!</v>
          </cell>
          <cell r="AG41" t="e">
            <v>#VALUE!</v>
          </cell>
          <cell r="AH41" t="e">
            <v>#VALUE!</v>
          </cell>
          <cell r="AI41" t="e">
            <v>#VALUE!</v>
          </cell>
          <cell r="AJ41" t="e">
            <v>#VALUE!</v>
          </cell>
          <cell r="AK41" t="e">
            <v>#VALUE!</v>
          </cell>
          <cell r="AL41" t="e">
            <v>#VALUE!</v>
          </cell>
        </row>
        <row r="42">
          <cell r="B42" t="str">
            <v>WBC.AX</v>
          </cell>
          <cell r="C42" t="str">
            <v>#Refresh</v>
          </cell>
          <cell r="D42" t="str">
            <v>#Refresh</v>
          </cell>
          <cell r="E42" t="str">
            <v>#Refresh</v>
          </cell>
          <cell r="F42" t="str">
            <v>#Refresh</v>
          </cell>
          <cell r="G42" t="str">
            <v>#Refresh</v>
          </cell>
          <cell r="H42" t="str">
            <v>#Refresh</v>
          </cell>
          <cell r="I42" t="str">
            <v>#Refresh</v>
          </cell>
          <cell r="J42" t="str">
            <v>#Refresh</v>
          </cell>
          <cell r="K42" t="str">
            <v>#Refresh</v>
          </cell>
          <cell r="L42" t="str">
            <v>#Refresh</v>
          </cell>
          <cell r="M42" t="str">
            <v>#Refresh</v>
          </cell>
          <cell r="N42" t="str">
            <v>#Refresh</v>
          </cell>
          <cell r="O42" t="str">
            <v>#Refresh</v>
          </cell>
          <cell r="P42" t="str">
            <v>#Refresh</v>
          </cell>
          <cell r="Q42" t="str">
            <v>#Refresh</v>
          </cell>
          <cell r="R42" t="str">
            <v>#Refresh</v>
          </cell>
          <cell r="S42" t="str">
            <v>#Refresh</v>
          </cell>
          <cell r="T42" t="str">
            <v>#Refresh</v>
          </cell>
          <cell r="W42" t="e">
            <v>#VALUE!</v>
          </cell>
          <cell r="X42" t="e">
            <v>#VALUE!</v>
          </cell>
          <cell r="Y42" t="e">
            <v>#VALUE!</v>
          </cell>
          <cell r="Z42" t="e">
            <v>#VALUE!</v>
          </cell>
          <cell r="AA42" t="e">
            <v>#VALUE!</v>
          </cell>
          <cell r="AB42" t="e">
            <v>#VALUE!</v>
          </cell>
          <cell r="AC42" t="e">
            <v>#VALUE!</v>
          </cell>
          <cell r="AD42" t="e">
            <v>#VALUE!</v>
          </cell>
          <cell r="AE42" t="e">
            <v>#VALUE!</v>
          </cell>
          <cell r="AF42" t="e">
            <v>#VALUE!</v>
          </cell>
          <cell r="AG42" t="e">
            <v>#VALUE!</v>
          </cell>
          <cell r="AH42" t="e">
            <v>#VALUE!</v>
          </cell>
          <cell r="AI42" t="e">
            <v>#VALUE!</v>
          </cell>
          <cell r="AJ42" t="e">
            <v>#VALUE!</v>
          </cell>
          <cell r="AK42" t="e">
            <v>#VALUE!</v>
          </cell>
          <cell r="AL42" t="e">
            <v>#VALUE!</v>
          </cell>
        </row>
        <row r="43">
          <cell r="B43" t="str">
            <v>0302.HK</v>
          </cell>
          <cell r="C43" t="str">
            <v>#Refresh</v>
          </cell>
          <cell r="D43" t="str">
            <v>#Refresh</v>
          </cell>
          <cell r="E43" t="str">
            <v>#Refresh</v>
          </cell>
          <cell r="F43" t="str">
            <v>#Refresh</v>
          </cell>
          <cell r="G43" t="str">
            <v>#Refresh</v>
          </cell>
          <cell r="H43" t="str">
            <v>#Refresh</v>
          </cell>
          <cell r="I43" t="str">
            <v>#Refresh</v>
          </cell>
          <cell r="J43" t="str">
            <v>#Refresh</v>
          </cell>
          <cell r="K43" t="str">
            <v>#Refresh</v>
          </cell>
          <cell r="L43" t="str">
            <v>#Refresh</v>
          </cell>
          <cell r="M43" t="str">
            <v>#Refresh</v>
          </cell>
          <cell r="N43" t="str">
            <v>#Refresh</v>
          </cell>
          <cell r="O43" t="str">
            <v>#Refresh</v>
          </cell>
          <cell r="P43" t="str">
            <v>#Refresh</v>
          </cell>
          <cell r="Q43" t="str">
            <v>#Refresh</v>
          </cell>
          <cell r="R43" t="str">
            <v>#Refresh</v>
          </cell>
          <cell r="S43" t="str">
            <v>#Refresh</v>
          </cell>
          <cell r="T43" t="str">
            <v>#Refresh</v>
          </cell>
          <cell r="W43" t="e">
            <v>#VALUE!</v>
          </cell>
          <cell r="X43" t="e">
            <v>#VALUE!</v>
          </cell>
          <cell r="Y43" t="e">
            <v>#VALUE!</v>
          </cell>
          <cell r="Z43" t="e">
            <v>#VALUE!</v>
          </cell>
          <cell r="AA43" t="e">
            <v>#VALUE!</v>
          </cell>
          <cell r="AB43" t="e">
            <v>#VALUE!</v>
          </cell>
          <cell r="AC43" t="e">
            <v>#VALUE!</v>
          </cell>
          <cell r="AD43" t="e">
            <v>#VALUE!</v>
          </cell>
          <cell r="AE43" t="e">
            <v>#VALUE!</v>
          </cell>
          <cell r="AF43" t="e">
            <v>#VALUE!</v>
          </cell>
          <cell r="AG43" t="e">
            <v>#VALUE!</v>
          </cell>
          <cell r="AH43" t="e">
            <v>#VALUE!</v>
          </cell>
          <cell r="AI43" t="e">
            <v>#VALUE!</v>
          </cell>
          <cell r="AJ43" t="e">
            <v>#VALUE!</v>
          </cell>
          <cell r="AK43" t="e">
            <v>#VALUE!</v>
          </cell>
          <cell r="AL43" t="e">
            <v>#VALUE!</v>
          </cell>
        </row>
        <row r="44">
          <cell r="B44" t="str">
            <v>0096.HK</v>
          </cell>
          <cell r="C44" t="str">
            <v>#Refresh</v>
          </cell>
          <cell r="D44" t="str">
            <v>#Refresh</v>
          </cell>
          <cell r="E44" t="str">
            <v>#Refresh</v>
          </cell>
          <cell r="F44" t="str">
            <v>#Refresh</v>
          </cell>
          <cell r="G44" t="str">
            <v>#Refresh</v>
          </cell>
          <cell r="H44" t="str">
            <v>#Refresh</v>
          </cell>
          <cell r="I44" t="str">
            <v>#Refresh</v>
          </cell>
          <cell r="J44" t="str">
            <v>#Refresh</v>
          </cell>
          <cell r="K44" t="str">
            <v>#Refresh</v>
          </cell>
          <cell r="L44" t="str">
            <v>#Refresh</v>
          </cell>
          <cell r="M44" t="str">
            <v>#Refresh</v>
          </cell>
          <cell r="N44" t="str">
            <v>#Refresh</v>
          </cell>
          <cell r="O44" t="str">
            <v>#Refresh</v>
          </cell>
          <cell r="P44" t="str">
            <v>#Refresh</v>
          </cell>
          <cell r="Q44" t="str">
            <v>#Refresh</v>
          </cell>
          <cell r="R44" t="str">
            <v>#Refresh</v>
          </cell>
          <cell r="S44" t="str">
            <v>#Refresh</v>
          </cell>
          <cell r="T44" t="str">
            <v>#Refresh</v>
          </cell>
          <cell r="W44" t="e">
            <v>#VALUE!</v>
          </cell>
          <cell r="X44" t="e">
            <v>#VALUE!</v>
          </cell>
          <cell r="Y44" t="e">
            <v>#VALUE!</v>
          </cell>
          <cell r="Z44" t="e">
            <v>#VALUE!</v>
          </cell>
          <cell r="AA44" t="e">
            <v>#VALUE!</v>
          </cell>
          <cell r="AB44" t="e">
            <v>#VALUE!</v>
          </cell>
          <cell r="AC44" t="e">
            <v>#VALUE!</v>
          </cell>
          <cell r="AD44" t="e">
            <v>#VALUE!</v>
          </cell>
          <cell r="AE44" t="e">
            <v>#VALUE!</v>
          </cell>
          <cell r="AF44" t="e">
            <v>#VALUE!</v>
          </cell>
          <cell r="AG44" t="e">
            <v>#VALUE!</v>
          </cell>
          <cell r="AH44" t="e">
            <v>#VALUE!</v>
          </cell>
          <cell r="AI44" t="e">
            <v>#VALUE!</v>
          </cell>
          <cell r="AJ44" t="e">
            <v>#VALUE!</v>
          </cell>
          <cell r="AK44" t="e">
            <v>#VALUE!</v>
          </cell>
          <cell r="AL44" t="e">
            <v>#VALUE!</v>
          </cell>
        </row>
        <row r="45">
          <cell r="B45" t="str">
            <v>053000.KS</v>
          </cell>
          <cell r="C45" t="str">
            <v>#Refresh</v>
          </cell>
          <cell r="D45" t="str">
            <v>#Refresh</v>
          </cell>
          <cell r="E45" t="str">
            <v>#Refresh</v>
          </cell>
          <cell r="F45" t="str">
            <v>#Refresh</v>
          </cell>
          <cell r="G45" t="str">
            <v>#Refresh</v>
          </cell>
          <cell r="H45" t="str">
            <v>#Refresh</v>
          </cell>
          <cell r="I45" t="str">
            <v>#Refresh</v>
          </cell>
          <cell r="J45" t="str">
            <v>#Refresh</v>
          </cell>
          <cell r="K45" t="str">
            <v>#Refresh</v>
          </cell>
          <cell r="L45" t="str">
            <v>#Refresh</v>
          </cell>
          <cell r="M45" t="str">
            <v>#Refresh</v>
          </cell>
          <cell r="N45" t="str">
            <v>#Refresh</v>
          </cell>
          <cell r="O45" t="str">
            <v>#Refresh</v>
          </cell>
          <cell r="P45" t="str">
            <v>#Refresh</v>
          </cell>
          <cell r="Q45" t="str">
            <v>#Refresh</v>
          </cell>
          <cell r="R45" t="str">
            <v>#Refresh</v>
          </cell>
          <cell r="S45" t="str">
            <v>#Refresh</v>
          </cell>
          <cell r="T45" t="str">
            <v>#Refresh</v>
          </cell>
          <cell r="W45" t="e">
            <v>#VALUE!</v>
          </cell>
          <cell r="X45" t="e">
            <v>#VALUE!</v>
          </cell>
          <cell r="Y45" t="e">
            <v>#VALUE!</v>
          </cell>
          <cell r="Z45" t="e">
            <v>#VALUE!</v>
          </cell>
          <cell r="AA45" t="e">
            <v>#VALUE!</v>
          </cell>
          <cell r="AB45" t="e">
            <v>#VALUE!</v>
          </cell>
          <cell r="AC45" t="e">
            <v>#VALUE!</v>
          </cell>
          <cell r="AD45" t="e">
            <v>#VALUE!</v>
          </cell>
          <cell r="AE45" t="e">
            <v>#VALUE!</v>
          </cell>
          <cell r="AF45" t="e">
            <v>#VALUE!</v>
          </cell>
          <cell r="AG45" t="e">
            <v>#VALUE!</v>
          </cell>
          <cell r="AH45" t="e">
            <v>#VALUE!</v>
          </cell>
          <cell r="AI45" t="e">
            <v>#VALUE!</v>
          </cell>
          <cell r="AJ45" t="e">
            <v>#VALUE!</v>
          </cell>
          <cell r="AK45" t="e">
            <v>#VALUE!</v>
          </cell>
          <cell r="AL45" t="e">
            <v>#VALUE!</v>
          </cell>
        </row>
        <row r="47">
          <cell r="B47" t="str">
            <v>Average DPS Growth YoY</v>
          </cell>
          <cell r="W47" t="e">
            <v>#VALUE!</v>
          </cell>
          <cell r="X47" t="e">
            <v>#VALUE!</v>
          </cell>
          <cell r="Y47" t="e">
            <v>#VALUE!</v>
          </cell>
          <cell r="Z47" t="e">
            <v>#VALUE!</v>
          </cell>
          <cell r="AA47" t="e">
            <v>#VALUE!</v>
          </cell>
          <cell r="AB47" t="e">
            <v>#VALUE!</v>
          </cell>
          <cell r="AC47" t="e">
            <v>#VALUE!</v>
          </cell>
          <cell r="AD47" t="e">
            <v>#VALUE!</v>
          </cell>
          <cell r="AE47" t="e">
            <v>#VALUE!</v>
          </cell>
          <cell r="AF47" t="e">
            <v>#VALUE!</v>
          </cell>
          <cell r="AG47" t="e">
            <v>#VALUE!</v>
          </cell>
          <cell r="AH47" t="e">
            <v>#VALUE!</v>
          </cell>
          <cell r="AI47" t="e">
            <v>#VALUE!</v>
          </cell>
          <cell r="AJ47" t="e">
            <v>#VALUE!</v>
          </cell>
          <cell r="AK47" t="e">
            <v>#VALUE!</v>
          </cell>
          <cell r="AL47" t="e">
            <v>#VALUE!</v>
          </cell>
        </row>
        <row r="48">
          <cell r="B48" t="str">
            <v>MSCI Asia Pacific Banks Growth YoY</v>
          </cell>
          <cell r="AD48">
            <v>-6.1356761868557208E-2</v>
          </cell>
          <cell r="AE48">
            <v>0.29256500000000019</v>
          </cell>
          <cell r="AF48">
            <v>-0.2169523389539405</v>
          </cell>
          <cell r="AG48">
            <v>-3.1784140533918204E-2</v>
          </cell>
          <cell r="AH48">
            <v>-6.9287835341897974E-3</v>
          </cell>
          <cell r="AI48">
            <v>0.38912431410427684</v>
          </cell>
          <cell r="AJ48">
            <v>0.14092722070498009</v>
          </cell>
          <cell r="AK48">
            <v>9.7585359797144999E-2</v>
          </cell>
        </row>
        <row r="50">
          <cell r="B50" t="str">
            <v>MSCI AC Asia Pacific ex JP / Banks -IG</v>
          </cell>
          <cell r="Z50">
            <v>134.03640000000001</v>
          </cell>
          <cell r="AA50">
            <v>153.72470000000001</v>
          </cell>
          <cell r="AB50">
            <v>176.2294</v>
          </cell>
          <cell r="AC50">
            <v>106.53675000000001</v>
          </cell>
          <cell r="AD50">
            <v>100</v>
          </cell>
          <cell r="AE50">
            <v>129.25650000000002</v>
          </cell>
          <cell r="AF50">
            <v>101.214</v>
          </cell>
          <cell r="AG50">
            <v>97.997</v>
          </cell>
          <cell r="AH50">
            <v>97.317999999999998</v>
          </cell>
          <cell r="AI50">
            <v>135.18680000000001</v>
          </cell>
          <cell r="AJ50">
            <v>154.23830000000001</v>
          </cell>
          <cell r="AK50">
            <v>169.28970000000001</v>
          </cell>
        </row>
        <row r="52">
          <cell r="B52" t="str">
            <v>e=Morgan Stanley Estimates.  All other values are actual.</v>
          </cell>
        </row>
        <row r="54">
          <cell r="B54" t="str">
            <v>ND = Not Disclosed, NA = Not Available, and NM = Non Meaningful</v>
          </cell>
        </row>
        <row r="56">
          <cell r="B56" t="str">
            <v>Consensus EPS provided by Thomson Financial/First Call</v>
          </cell>
        </row>
        <row r="58">
          <cell r="B58" t="str">
            <v>Ratios for companies are based on the currency reported by the companies unless explicitly noted.</v>
          </cell>
        </row>
        <row r="60">
          <cell r="B60" t="str">
            <v xml:space="preserve">Although the information provided to you on this site is obtained or compiled from sources we believe to be reliable, </v>
          </cell>
        </row>
        <row r="61">
          <cell r="B61" t="str">
            <v xml:space="preserve">Morgan Stanley cannot and does not guarantee the accuracy, validity, timeliness or completeness of any information or </v>
          </cell>
        </row>
        <row r="62">
          <cell r="B62" t="str">
            <v>data made available to you for any particular purpose.</v>
          </cell>
        </row>
      </sheetData>
      <sheetData sheetId="37"/>
      <sheetData sheetId="38"/>
      <sheetData sheetId="39"/>
      <sheetData sheetId="40" refreshError="1"/>
      <sheetData sheetId="41"/>
      <sheetData sheetId="42"/>
      <sheetData sheetId="43" refreshError="1">
        <row r="1">
          <cell r="A1" t="str">
            <v>PPP, Modelware Earnings, RWA</v>
          </cell>
        </row>
        <row r="3">
          <cell r="A3" t="str">
            <v>PPP (HK$mn)</v>
          </cell>
          <cell r="C3">
            <v>1996</v>
          </cell>
          <cell r="D3">
            <v>1997</v>
          </cell>
          <cell r="E3">
            <v>1998</v>
          </cell>
          <cell r="F3">
            <v>1999</v>
          </cell>
          <cell r="G3">
            <v>2000</v>
          </cell>
          <cell r="H3">
            <v>2001</v>
          </cell>
          <cell r="I3">
            <v>2002</v>
          </cell>
          <cell r="J3">
            <v>2003</v>
          </cell>
          <cell r="K3">
            <v>2004</v>
          </cell>
          <cell r="L3" t="str">
            <v>2005E</v>
          </cell>
          <cell r="M3" t="str">
            <v>2006E</v>
          </cell>
          <cell r="N3" t="str">
            <v>96-05 CAGR</v>
          </cell>
          <cell r="P3" t="str">
            <v>PPP Growth YoY</v>
          </cell>
          <cell r="Q3">
            <v>1997</v>
          </cell>
          <cell r="R3">
            <v>1998</v>
          </cell>
          <cell r="S3">
            <v>1999</v>
          </cell>
          <cell r="T3">
            <v>2000</v>
          </cell>
          <cell r="U3">
            <v>2001</v>
          </cell>
          <cell r="V3">
            <v>2002</v>
          </cell>
          <cell r="W3">
            <v>2003</v>
          </cell>
          <cell r="X3">
            <v>2004</v>
          </cell>
          <cell r="Y3" t="str">
            <v>2005E</v>
          </cell>
          <cell r="Z3" t="str">
            <v>2006E</v>
          </cell>
        </row>
        <row r="4">
          <cell r="A4" t="str">
            <v>HSB</v>
          </cell>
          <cell r="C4">
            <v>1996</v>
          </cell>
          <cell r="D4">
            <v>1997</v>
          </cell>
          <cell r="E4">
            <v>1998</v>
          </cell>
          <cell r="F4">
            <v>1999</v>
          </cell>
          <cell r="G4">
            <v>2000</v>
          </cell>
          <cell r="H4">
            <v>2001</v>
          </cell>
          <cell r="I4">
            <v>2002</v>
          </cell>
          <cell r="J4">
            <v>2003</v>
          </cell>
          <cell r="K4">
            <v>2004</v>
          </cell>
          <cell r="L4">
            <v>2005</v>
          </cell>
          <cell r="M4">
            <v>2006</v>
          </cell>
          <cell r="N4">
            <v>5.0000083312751187E-4</v>
          </cell>
          <cell r="P4" t="str">
            <v>HSB</v>
          </cell>
          <cell r="Q4">
            <v>5.0100200400793327E-4</v>
          </cell>
          <cell r="R4">
            <v>5.0075112669012434E-4</v>
          </cell>
          <cell r="S4">
            <v>5.0050050050054473E-4</v>
          </cell>
          <cell r="T4">
            <v>5.002501250626068E-4</v>
          </cell>
          <cell r="U4">
            <v>4.9999999999994493E-4</v>
          </cell>
          <cell r="V4">
            <v>4.997501249375258E-4</v>
          </cell>
          <cell r="W4">
            <v>4.995004995005381E-4</v>
          </cell>
          <cell r="X4">
            <v>4.9925112331505872E-4</v>
          </cell>
          <cell r="Y4">
            <v>4.9900199600805273E-4</v>
          </cell>
          <cell r="Z4">
            <v>4.9875311720692928E-4</v>
          </cell>
        </row>
        <row r="5">
          <cell r="A5" t="str">
            <v>BEA</v>
          </cell>
          <cell r="C5">
            <v>9803</v>
          </cell>
          <cell r="D5">
            <v>10773</v>
          </cell>
          <cell r="E5">
            <v>10632</v>
          </cell>
          <cell r="F5">
            <v>11065</v>
          </cell>
          <cell r="G5">
            <v>11540</v>
          </cell>
          <cell r="H5">
            <v>11716</v>
          </cell>
          <cell r="I5">
            <v>11255</v>
          </cell>
          <cell r="J5">
            <v>11475</v>
          </cell>
          <cell r="K5">
            <v>11821</v>
          </cell>
          <cell r="L5">
            <v>11686</v>
          </cell>
          <cell r="M5">
            <v>12850.335488078852</v>
          </cell>
          <cell r="N5">
            <v>1.9714376212658813E-2</v>
          </cell>
          <cell r="P5" t="str">
            <v>BEA</v>
          </cell>
          <cell r="Q5">
            <v>9.8949301234316112E-2</v>
          </cell>
          <cell r="R5">
            <v>-1.3088276246171038E-2</v>
          </cell>
          <cell r="S5">
            <v>4.0726109857035286E-2</v>
          </cell>
          <cell r="T5">
            <v>4.2928151830094796E-2</v>
          </cell>
          <cell r="U5">
            <v>1.5251299826689824E-2</v>
          </cell>
          <cell r="V5">
            <v>-3.9347900307272088E-2</v>
          </cell>
          <cell r="W5">
            <v>1.9546868058640587E-2</v>
          </cell>
          <cell r="X5">
            <v>3.0152505446623179E-2</v>
          </cell>
          <cell r="Y5">
            <v>-1.1420353607985767E-2</v>
          </cell>
          <cell r="Z5">
            <v>9.9635075139384854E-2</v>
          </cell>
        </row>
        <row r="6">
          <cell r="A6" t="str">
            <v>BOCHK</v>
          </cell>
          <cell r="F6">
            <v>2657</v>
          </cell>
          <cell r="G6">
            <v>2735.3300000000008</v>
          </cell>
          <cell r="H6">
            <v>2352</v>
          </cell>
          <cell r="I6">
            <v>2513</v>
          </cell>
          <cell r="J6">
            <v>2871</v>
          </cell>
          <cell r="K6">
            <v>2775</v>
          </cell>
          <cell r="L6">
            <v>2964</v>
          </cell>
          <cell r="M6">
            <v>4099</v>
          </cell>
          <cell r="N6">
            <v>1.8390737879095065E-2</v>
          </cell>
          <cell r="P6" t="str">
            <v>BOCHK</v>
          </cell>
          <cell r="T6">
            <v>2.9480617237486184E-2</v>
          </cell>
          <cell r="U6">
            <v>-0.14014031213784106</v>
          </cell>
          <cell r="V6">
            <v>6.8452380952380931E-2</v>
          </cell>
          <cell r="W6">
            <v>0.14245921209709511</v>
          </cell>
          <cell r="X6">
            <v>-3.3437826541274807E-2</v>
          </cell>
          <cell r="Y6">
            <v>6.8108108108108079E-2</v>
          </cell>
          <cell r="Z6">
            <v>0.38292847503373828</v>
          </cell>
        </row>
        <row r="7">
          <cell r="A7" t="str">
            <v>DSF</v>
          </cell>
          <cell r="C7">
            <v>0</v>
          </cell>
          <cell r="D7">
            <v>0</v>
          </cell>
          <cell r="E7">
            <v>0</v>
          </cell>
          <cell r="F7">
            <v>13147</v>
          </cell>
          <cell r="G7">
            <v>14964</v>
          </cell>
          <cell r="H7">
            <v>13162</v>
          </cell>
          <cell r="I7">
            <v>12089</v>
          </cell>
          <cell r="J7">
            <v>11595</v>
          </cell>
          <cell r="K7">
            <v>10352</v>
          </cell>
          <cell r="L7">
            <v>12166</v>
          </cell>
          <cell r="M7">
            <v>15277.794464760202</v>
          </cell>
          <cell r="N7" t="e">
            <v>#DIV/0!</v>
          </cell>
          <cell r="P7" t="str">
            <v>DSF</v>
          </cell>
          <cell r="Q7" t="e">
            <v>#DIV/0!</v>
          </cell>
          <cell r="R7" t="e">
            <v>#DIV/0!</v>
          </cell>
          <cell r="S7" t="e">
            <v>#DIV/0!</v>
          </cell>
          <cell r="T7">
            <v>0.13820643492812046</v>
          </cell>
          <cell r="U7">
            <v>-0.12042234696605181</v>
          </cell>
          <cell r="V7">
            <v>-8.1522564959732535E-2</v>
          </cell>
          <cell r="W7">
            <v>-4.0863595003722386E-2</v>
          </cell>
          <cell r="X7">
            <v>-0.10720137990513157</v>
          </cell>
          <cell r="Y7">
            <v>0.17523183925811447</v>
          </cell>
          <cell r="Z7">
            <v>0.25577794384022701</v>
          </cell>
        </row>
        <row r="8">
          <cell r="A8" t="str">
            <v>WHB</v>
          </cell>
          <cell r="C8">
            <v>827.02899999999988</v>
          </cell>
          <cell r="D8">
            <v>823.4689999999996</v>
          </cell>
          <cell r="E8">
            <v>704</v>
          </cell>
          <cell r="F8">
            <v>1102</v>
          </cell>
          <cell r="G8">
            <v>1214</v>
          </cell>
          <cell r="H8">
            <v>1301</v>
          </cell>
          <cell r="I8">
            <v>1587.5590000000002</v>
          </cell>
          <cell r="J8">
            <v>1557</v>
          </cell>
          <cell r="K8">
            <v>1509.5929999999998</v>
          </cell>
          <cell r="L8">
            <v>1257.7059999999997</v>
          </cell>
          <cell r="M8">
            <v>1801.2819406582817</v>
          </cell>
          <cell r="N8">
            <v>4.7680137699528613E-2</v>
          </cell>
          <cell r="P8" t="str">
            <v>WHB</v>
          </cell>
          <cell r="Q8">
            <v>-4.304564894338947E-3</v>
          </cell>
          <cell r="R8">
            <v>-0.14508014266475078</v>
          </cell>
          <cell r="S8">
            <v>0.56534090909090917</v>
          </cell>
          <cell r="T8">
            <v>0.10163339382940118</v>
          </cell>
          <cell r="U8">
            <v>7.1663920922570012E-2</v>
          </cell>
          <cell r="V8">
            <v>0.22026056879323619</v>
          </cell>
          <cell r="W8">
            <v>-1.9249048381824063E-2</v>
          </cell>
          <cell r="X8">
            <v>-3.0447655748233826E-2</v>
          </cell>
          <cell r="Y8">
            <v>-0.16685755697065385</v>
          </cell>
          <cell r="Z8">
            <v>0.4321963484775313</v>
          </cell>
        </row>
        <row r="9">
          <cell r="A9" t="str">
            <v>CIFH</v>
          </cell>
          <cell r="C9">
            <v>1031.385</v>
          </cell>
          <cell r="D9">
            <v>1231.7930000000001</v>
          </cell>
          <cell r="E9">
            <v>1119.2860000000001</v>
          </cell>
          <cell r="F9">
            <v>1264.8009999999997</v>
          </cell>
          <cell r="G9">
            <v>1428.6270000000004</v>
          </cell>
          <cell r="H9">
            <v>1291.306</v>
          </cell>
          <cell r="I9">
            <v>1242.1289999999999</v>
          </cell>
          <cell r="J9">
            <v>1319.3049999999998</v>
          </cell>
          <cell r="K9">
            <v>1400.961</v>
          </cell>
          <cell r="L9">
            <v>1645.0109999999993</v>
          </cell>
          <cell r="M9">
            <v>2005.248188104059</v>
          </cell>
          <cell r="N9">
            <v>5.3240510850341316E-2</v>
          </cell>
          <cell r="P9" t="str">
            <v>CIFH</v>
          </cell>
          <cell r="Q9">
            <v>0.19430959341080212</v>
          </cell>
          <cell r="R9">
            <v>-9.1335963104190454E-2</v>
          </cell>
          <cell r="S9">
            <v>0.13000698659681231</v>
          </cell>
          <cell r="T9">
            <v>0.12952709556681308</v>
          </cell>
          <cell r="U9">
            <v>-9.612096089462141E-2</v>
          </cell>
          <cell r="V9">
            <v>-3.8083149927283011E-2</v>
          </cell>
          <cell r="W9">
            <v>6.2132032985301899E-2</v>
          </cell>
          <cell r="X9">
            <v>6.189319376489899E-2</v>
          </cell>
          <cell r="Y9">
            <v>0.17420185144340161</v>
          </cell>
          <cell r="Z9">
            <v>0.21898770774423992</v>
          </cell>
        </row>
        <row r="10">
          <cell r="A10" t="str">
            <v>ICBCA</v>
          </cell>
          <cell r="D10">
            <v>745.39599999999996</v>
          </cell>
          <cell r="E10">
            <v>681.78599999999972</v>
          </cell>
          <cell r="F10">
            <v>669.27199999999993</v>
          </cell>
          <cell r="G10">
            <v>942.23199999999963</v>
          </cell>
          <cell r="H10">
            <v>1030.2230000000004</v>
          </cell>
          <cell r="I10">
            <v>1133.8710000000001</v>
          </cell>
          <cell r="J10">
            <v>1005.7790000000001</v>
          </cell>
          <cell r="K10">
            <v>1036.8779999999999</v>
          </cell>
          <cell r="L10">
            <v>875.35999999999967</v>
          </cell>
          <cell r="M10">
            <v>1006.7380109515116</v>
          </cell>
          <cell r="N10">
            <v>2.0293112480201048E-2</v>
          </cell>
          <cell r="P10" t="str">
            <v>ICBCA</v>
          </cell>
          <cell r="R10">
            <v>-8.5337189896377508E-2</v>
          </cell>
          <cell r="S10">
            <v>-1.8354733010064406E-2</v>
          </cell>
          <cell r="T10">
            <v>0.40784613729544894</v>
          </cell>
          <cell r="U10">
            <v>9.33857054313596E-2</v>
          </cell>
          <cell r="V10">
            <v>0.10060734423517981</v>
          </cell>
          <cell r="W10">
            <v>-0.11296875923275218</v>
          </cell>
          <cell r="X10">
            <v>3.0920311519727406E-2</v>
          </cell>
          <cell r="Y10">
            <v>-0.15577338896186466</v>
          </cell>
          <cell r="Z10">
            <v>0.15008454915864555</v>
          </cell>
        </row>
        <row r="11">
          <cell r="A11" t="str">
            <v>WLB</v>
          </cell>
          <cell r="C11">
            <v>0</v>
          </cell>
          <cell r="D11">
            <v>465.13700000000006</v>
          </cell>
          <cell r="E11">
            <v>313.94399999999996</v>
          </cell>
          <cell r="F11">
            <v>190.20700000000005</v>
          </cell>
          <cell r="G11">
            <v>291.01299999999998</v>
          </cell>
          <cell r="H11">
            <v>383.74400000000014</v>
          </cell>
          <cell r="I11">
            <v>737.16299999999978</v>
          </cell>
          <cell r="J11">
            <v>794.93400000000008</v>
          </cell>
          <cell r="K11">
            <v>900.64600000000019</v>
          </cell>
          <cell r="L11">
            <v>1142.7599999999998</v>
          </cell>
          <cell r="M11">
            <v>1515.0542813871612</v>
          </cell>
          <cell r="N11" t="e">
            <v>#DIV/0!</v>
          </cell>
          <cell r="P11" t="str">
            <v>WLB</v>
          </cell>
          <cell r="Q11" t="e">
            <v>#DIV/0!</v>
          </cell>
          <cell r="R11">
            <v>-0.32505046900160617</v>
          </cell>
          <cell r="S11">
            <v>-0.39413717096042578</v>
          </cell>
          <cell r="T11">
            <v>0.52998049493446553</v>
          </cell>
          <cell r="U11">
            <v>0.31864899506207678</v>
          </cell>
          <cell r="V11">
            <v>0.92097596314209351</v>
          </cell>
          <cell r="W11">
            <v>7.8369370139304673E-2</v>
          </cell>
          <cell r="X11">
            <v>0.13298210920655062</v>
          </cell>
          <cell r="Y11">
            <v>0.26882260066663211</v>
          </cell>
          <cell r="Z11">
            <v>0.32578518795474243</v>
          </cell>
        </row>
        <row r="12">
          <cell r="A12" t="str">
            <v>HSBC</v>
          </cell>
          <cell r="C12">
            <v>54580</v>
          </cell>
          <cell r="D12">
            <v>66230</v>
          </cell>
          <cell r="E12">
            <v>70597.8</v>
          </cell>
          <cell r="F12">
            <v>74898</v>
          </cell>
          <cell r="G12">
            <v>81790.8</v>
          </cell>
          <cell r="H12">
            <v>81775.199999999997</v>
          </cell>
          <cell r="I12" t="e">
            <v>#VALUE!</v>
          </cell>
          <cell r="J12" t="e">
            <v>#VALUE!</v>
          </cell>
          <cell r="K12" t="e">
            <v>#VALUE!</v>
          </cell>
          <cell r="L12" t="e">
            <v>#VALUE!</v>
          </cell>
          <cell r="M12" t="e">
            <v>#VALUE!</v>
          </cell>
          <cell r="N12" t="e">
            <v>#VALUE!</v>
          </cell>
          <cell r="P12" t="str">
            <v>HSBC</v>
          </cell>
          <cell r="Q12">
            <v>0.21344814950531332</v>
          </cell>
          <cell r="R12">
            <v>6.5948965725502129E-2</v>
          </cell>
          <cell r="S12">
            <v>6.0911246526095697E-2</v>
          </cell>
          <cell r="T12">
            <v>9.2029159657133652E-2</v>
          </cell>
          <cell r="U12">
            <v>-1.9073049780671258E-4</v>
          </cell>
          <cell r="V12" t="e">
            <v>#VALUE!</v>
          </cell>
          <cell r="W12" t="e">
            <v>#VALUE!</v>
          </cell>
          <cell r="X12" t="e">
            <v>#VALUE!</v>
          </cell>
          <cell r="Y12" t="e">
            <v>#VALUE!</v>
          </cell>
          <cell r="Z12" t="e">
            <v>#VALUE!</v>
          </cell>
        </row>
        <row r="13">
          <cell r="A13" t="str">
            <v>Industry</v>
          </cell>
          <cell r="C13">
            <v>68237.414000000004</v>
          </cell>
          <cell r="D13">
            <v>82265.794999999998</v>
          </cell>
          <cell r="E13">
            <v>86046.816000000006</v>
          </cell>
          <cell r="F13">
            <v>106992.28</v>
          </cell>
          <cell r="G13">
            <v>116906.00200000001</v>
          </cell>
          <cell r="H13">
            <v>115012.473</v>
          </cell>
          <cell r="I13" t="e">
            <v>#VALUE!</v>
          </cell>
          <cell r="J13" t="e">
            <v>#VALUE!</v>
          </cell>
          <cell r="K13" t="e">
            <v>#VALUE!</v>
          </cell>
          <cell r="L13" t="e">
            <v>#VALUE!</v>
          </cell>
          <cell r="M13" t="e">
            <v>#VALUE!</v>
          </cell>
          <cell r="N13" t="e">
            <v>#VALUE!</v>
          </cell>
          <cell r="P13" t="str">
            <v>Industry</v>
          </cell>
          <cell r="Q13">
            <v>0.2055819553771483</v>
          </cell>
          <cell r="R13">
            <v>4.5961033987454991E-2</v>
          </cell>
          <cell r="S13">
            <v>0.24341939625052467</v>
          </cell>
          <cell r="T13">
            <v>9.265829272915771E-2</v>
          </cell>
          <cell r="U13">
            <v>-1.6197021261577405E-2</v>
          </cell>
          <cell r="V13" t="e">
            <v>#VALUE!</v>
          </cell>
          <cell r="W13" t="e">
            <v>#VALUE!</v>
          </cell>
          <cell r="X13" t="e">
            <v>#VALUE!</v>
          </cell>
          <cell r="Y13" t="e">
            <v>#VALUE!</v>
          </cell>
          <cell r="Z13" t="e">
            <v>#VALUE!</v>
          </cell>
        </row>
        <row r="14">
          <cell r="A14" t="str">
            <v>Industry (Ex. HSBC)</v>
          </cell>
          <cell r="C14">
            <v>13657.414000000001</v>
          </cell>
          <cell r="D14">
            <v>16035.795</v>
          </cell>
          <cell r="E14">
            <v>15449.016</v>
          </cell>
          <cell r="F14">
            <v>32094.28</v>
          </cell>
          <cell r="G14">
            <v>35115.201999999997</v>
          </cell>
          <cell r="H14">
            <v>33237.273000000001</v>
          </cell>
          <cell r="I14">
            <v>32559.722000000002</v>
          </cell>
          <cell r="J14">
            <v>32621.018</v>
          </cell>
          <cell r="K14">
            <v>31800.078000000001</v>
          </cell>
          <cell r="L14">
            <v>33741.837</v>
          </cell>
          <cell r="M14">
            <v>40561.452373940061</v>
          </cell>
          <cell r="N14">
            <v>0.11182211253805074</v>
          </cell>
          <cell r="P14" t="str">
            <v>Industry (Ex. HSBC)</v>
          </cell>
          <cell r="Q14">
            <v>0.17414577898861383</v>
          </cell>
          <cell r="R14">
            <v>-3.6591824727118305E-2</v>
          </cell>
          <cell r="S14">
            <v>1.0774319866067845</v>
          </cell>
          <cell r="T14">
            <v>9.4126492321996214E-2</v>
          </cell>
          <cell r="U14">
            <v>-5.3479088629477256E-2</v>
          </cell>
          <cell r="V14">
            <v>-2.0385276493652182E-2</v>
          </cell>
          <cell r="W14">
            <v>1.8825713561068103E-3</v>
          </cell>
          <cell r="X14">
            <v>-2.5165983477278275E-2</v>
          </cell>
          <cell r="Y14">
            <v>6.1061454000207016E-2</v>
          </cell>
          <cell r="Z14">
            <v>0.20211156179611867</v>
          </cell>
        </row>
        <row r="15">
          <cell r="A15" t="str">
            <v>hsbc NII</v>
          </cell>
          <cell r="I15" t="e">
            <v>#VALUE!</v>
          </cell>
          <cell r="J15" t="e">
            <v>#VALUE!</v>
          </cell>
          <cell r="K15" t="e">
            <v>#VALUE!</v>
          </cell>
          <cell r="L15" t="e">
            <v>#VALUE!</v>
          </cell>
          <cell r="M15" t="e">
            <v>#VALUE!</v>
          </cell>
        </row>
        <row r="16">
          <cell r="A16" t="str">
            <v>hsbc non-interest income</v>
          </cell>
          <cell r="I16" t="e">
            <v>#VALUE!</v>
          </cell>
          <cell r="J16" t="e">
            <v>#VALUE!</v>
          </cell>
          <cell r="K16" t="e">
            <v>#VALUE!</v>
          </cell>
          <cell r="L16" t="e">
            <v>#VALUE!</v>
          </cell>
          <cell r="M16" t="e">
            <v>#VALUE!</v>
          </cell>
        </row>
        <row r="17">
          <cell r="A17" t="str">
            <v>hsbc operating exp</v>
          </cell>
          <cell r="I17" t="e">
            <v>#VALUE!</v>
          </cell>
          <cell r="J17" t="e">
            <v>#VALUE!</v>
          </cell>
          <cell r="K17" t="e">
            <v>#VALUE!</v>
          </cell>
          <cell r="L17" t="e">
            <v>#VALUE!</v>
          </cell>
          <cell r="M17" t="e">
            <v>#VALUE!</v>
          </cell>
        </row>
        <row r="18">
          <cell r="A18" t="str">
            <v>hsbc NII (USD)</v>
          </cell>
          <cell r="I18" t="e">
            <v>#VALUE!</v>
          </cell>
          <cell r="J18" t="e">
            <v>#VALUE!</v>
          </cell>
          <cell r="K18" t="e">
            <v>#VALUE!</v>
          </cell>
          <cell r="L18" t="e">
            <v>#VALUE!</v>
          </cell>
          <cell r="M18" t="e">
            <v>#VALUE!</v>
          </cell>
        </row>
        <row r="19">
          <cell r="A19" t="str">
            <v>hsbc non-interest income(USD)</v>
          </cell>
          <cell r="I19" t="e">
            <v>#VALUE!</v>
          </cell>
          <cell r="J19" t="e">
            <v>#VALUE!</v>
          </cell>
          <cell r="K19" t="e">
            <v>#VALUE!</v>
          </cell>
          <cell r="L19" t="e">
            <v>#VALUE!</v>
          </cell>
          <cell r="M19" t="e">
            <v>#VALUE!</v>
          </cell>
        </row>
        <row r="20">
          <cell r="A20" t="str">
            <v>hsbc operating exp(USD)</v>
          </cell>
          <cell r="I20" t="e">
            <v>#VALUE!</v>
          </cell>
          <cell r="J20" t="e">
            <v>#VALUE!</v>
          </cell>
          <cell r="K20" t="e">
            <v>#VALUE!</v>
          </cell>
          <cell r="L20" t="e">
            <v>#VALUE!</v>
          </cell>
          <cell r="M20" t="e">
            <v>#VALUE!</v>
          </cell>
        </row>
        <row r="22">
          <cell r="A22" t="str">
            <v>Modelware Earnings (HK$mn)</v>
          </cell>
          <cell r="C22">
            <v>1996</v>
          </cell>
          <cell r="D22">
            <v>1997</v>
          </cell>
          <cell r="E22">
            <v>1998</v>
          </cell>
          <cell r="F22">
            <v>1999</v>
          </cell>
          <cell r="G22">
            <v>2000</v>
          </cell>
          <cell r="H22">
            <v>2001</v>
          </cell>
          <cell r="I22">
            <v>2002</v>
          </cell>
          <cell r="J22">
            <v>2003</v>
          </cell>
          <cell r="K22">
            <v>2004</v>
          </cell>
          <cell r="L22" t="str">
            <v>2005E</v>
          </cell>
          <cell r="M22" t="str">
            <v>2006E</v>
          </cell>
          <cell r="N22" t="str">
            <v>96-05 CAGR</v>
          </cell>
          <cell r="P22" t="str">
            <v>Modelware Earnings Growth YoY</v>
          </cell>
          <cell r="Q22">
            <v>1997</v>
          </cell>
          <cell r="R22">
            <v>1998</v>
          </cell>
          <cell r="S22">
            <v>1999</v>
          </cell>
          <cell r="T22">
            <v>2000</v>
          </cell>
          <cell r="U22">
            <v>2001</v>
          </cell>
          <cell r="V22">
            <v>2002</v>
          </cell>
          <cell r="W22">
            <v>2003</v>
          </cell>
          <cell r="X22">
            <v>2004</v>
          </cell>
          <cell r="Y22" t="str">
            <v>2005E</v>
          </cell>
          <cell r="Z22" t="str">
            <v>2006E</v>
          </cell>
        </row>
        <row r="23">
          <cell r="A23" t="str">
            <v>HSB</v>
          </cell>
          <cell r="C23">
            <v>1996</v>
          </cell>
          <cell r="D23">
            <v>1997</v>
          </cell>
          <cell r="E23">
            <v>1998</v>
          </cell>
          <cell r="F23">
            <v>1999</v>
          </cell>
          <cell r="G23">
            <v>2000</v>
          </cell>
          <cell r="H23">
            <v>2001</v>
          </cell>
          <cell r="I23">
            <v>2002</v>
          </cell>
          <cell r="J23">
            <v>2003</v>
          </cell>
          <cell r="K23">
            <v>2004</v>
          </cell>
          <cell r="L23">
            <v>2005</v>
          </cell>
          <cell r="M23">
            <v>2006</v>
          </cell>
          <cell r="N23">
            <v>5.0000083312751187E-4</v>
          </cell>
          <cell r="P23" t="str">
            <v>HSB</v>
          </cell>
          <cell r="Q23">
            <v>5.0100200400793327E-4</v>
          </cell>
          <cell r="R23">
            <v>5.0075112669012434E-4</v>
          </cell>
          <cell r="S23">
            <v>5.0050050050054473E-4</v>
          </cell>
          <cell r="T23">
            <v>5.002501250626068E-4</v>
          </cell>
          <cell r="U23">
            <v>4.9999999999994493E-4</v>
          </cell>
          <cell r="V23">
            <v>4.997501249375258E-4</v>
          </cell>
          <cell r="W23">
            <v>4.995004995005381E-4</v>
          </cell>
          <cell r="X23">
            <v>4.9925112331505872E-4</v>
          </cell>
          <cell r="Y23">
            <v>4.9900199600805273E-4</v>
          </cell>
          <cell r="Z23">
            <v>4.9875311720692928E-4</v>
          </cell>
        </row>
        <row r="24">
          <cell r="A24" t="str">
            <v>BEA</v>
          </cell>
          <cell r="C24">
            <v>8487</v>
          </cell>
          <cell r="D24">
            <v>9363</v>
          </cell>
          <cell r="E24">
            <v>7093</v>
          </cell>
          <cell r="F24">
            <v>8307</v>
          </cell>
          <cell r="G24">
            <v>10014</v>
          </cell>
          <cell r="H24">
            <v>10115</v>
          </cell>
          <cell r="I24">
            <v>9920</v>
          </cell>
          <cell r="J24">
            <v>9539</v>
          </cell>
          <cell r="K24">
            <v>11364</v>
          </cell>
          <cell r="L24">
            <v>11342</v>
          </cell>
          <cell r="M24">
            <v>12067.907280927164</v>
          </cell>
          <cell r="N24">
            <v>3.2744347769170901E-2</v>
          </cell>
          <cell r="P24" t="str">
            <v>BEA</v>
          </cell>
          <cell r="Q24">
            <v>0.10321668434075648</v>
          </cell>
          <cell r="R24">
            <v>-0.24244366121969452</v>
          </cell>
          <cell r="S24">
            <v>0.17115465952347386</v>
          </cell>
          <cell r="T24">
            <v>0.20548934633441673</v>
          </cell>
          <cell r="U24">
            <v>1.0085879768324313E-2</v>
          </cell>
          <cell r="V24">
            <v>-1.9278299555116174E-2</v>
          </cell>
          <cell r="W24">
            <v>-3.840725806451617E-2</v>
          </cell>
          <cell r="X24">
            <v>0.19131984484746822</v>
          </cell>
          <cell r="Y24">
            <v>-1.9359380499823775E-3</v>
          </cell>
          <cell r="Z24">
            <v>6.4001699958311065E-2</v>
          </cell>
        </row>
        <row r="25">
          <cell r="A25" t="str">
            <v>BOCHK</v>
          </cell>
          <cell r="F25">
            <v>491.79999999999995</v>
          </cell>
          <cell r="G25">
            <v>1775.4900000000011</v>
          </cell>
          <cell r="H25">
            <v>1697</v>
          </cell>
          <cell r="I25">
            <v>1407</v>
          </cell>
          <cell r="J25">
            <v>2062</v>
          </cell>
          <cell r="K25">
            <v>2567</v>
          </cell>
          <cell r="L25">
            <v>2747</v>
          </cell>
          <cell r="M25">
            <v>3437</v>
          </cell>
          <cell r="N25">
            <v>0.33202289363682636</v>
          </cell>
          <cell r="P25" t="str">
            <v>BOCHK</v>
          </cell>
          <cell r="T25">
            <v>2.6101870679137886</v>
          </cell>
          <cell r="U25">
            <v>-4.4207514545281046E-2</v>
          </cell>
          <cell r="V25">
            <v>-0.17088980553918676</v>
          </cell>
          <cell r="W25">
            <v>0.46552949538024158</v>
          </cell>
          <cell r="X25">
            <v>0.24490785645004842</v>
          </cell>
          <cell r="Y25">
            <v>7.0120763537202979E-2</v>
          </cell>
          <cell r="Z25">
            <v>0.25118310884601391</v>
          </cell>
        </row>
        <row r="26">
          <cell r="A26" t="str">
            <v>DSF</v>
          </cell>
          <cell r="C26">
            <v>0</v>
          </cell>
          <cell r="D26">
            <v>0</v>
          </cell>
          <cell r="E26">
            <v>0</v>
          </cell>
          <cell r="F26">
            <v>3038</v>
          </cell>
          <cell r="G26">
            <v>5047</v>
          </cell>
          <cell r="H26">
            <v>3705</v>
          </cell>
          <cell r="I26">
            <v>6673</v>
          </cell>
          <cell r="J26">
            <v>7963</v>
          </cell>
          <cell r="K26">
            <v>11961</v>
          </cell>
          <cell r="L26">
            <v>13494</v>
          </cell>
          <cell r="M26">
            <v>13381.474227333205</v>
          </cell>
          <cell r="N26" t="e">
            <v>#DIV/0!</v>
          </cell>
          <cell r="P26" t="str">
            <v>DSF</v>
          </cell>
          <cell r="Q26" t="e">
            <v>#DIV/0!</v>
          </cell>
          <cell r="R26" t="e">
            <v>#DIV/0!</v>
          </cell>
          <cell r="S26" t="e">
            <v>#DIV/0!</v>
          </cell>
          <cell r="T26">
            <v>0.66129032258064524</v>
          </cell>
          <cell r="U26">
            <v>-0.26590053497127009</v>
          </cell>
          <cell r="V26">
            <v>0.80107962213225381</v>
          </cell>
          <cell r="W26">
            <v>0.19331634946800547</v>
          </cell>
          <cell r="X26">
            <v>0.50207208338565867</v>
          </cell>
          <cell r="Y26">
            <v>0.12816654125909199</v>
          </cell>
          <cell r="Z26">
            <v>-8.338948619148856E-3</v>
          </cell>
        </row>
        <row r="27">
          <cell r="A27" t="str">
            <v>WHB</v>
          </cell>
          <cell r="C27">
            <v>602.66</v>
          </cell>
          <cell r="D27">
            <v>663.24599999999964</v>
          </cell>
          <cell r="E27">
            <v>257</v>
          </cell>
          <cell r="F27">
            <v>588</v>
          </cell>
          <cell r="G27">
            <v>810.6</v>
          </cell>
          <cell r="H27">
            <v>864.9</v>
          </cell>
          <cell r="I27">
            <v>828.99000000000012</v>
          </cell>
          <cell r="J27">
            <v>992</v>
          </cell>
          <cell r="K27">
            <v>1149.5729999999999</v>
          </cell>
          <cell r="L27">
            <v>1018.7999999999997</v>
          </cell>
          <cell r="M27">
            <v>1192.3597242431192</v>
          </cell>
          <cell r="N27">
            <v>6.007153824684508E-2</v>
          </cell>
          <cell r="P27" t="str">
            <v>WHB</v>
          </cell>
          <cell r="Q27">
            <v>0.100530979324992</v>
          </cell>
          <cell r="R27">
            <v>-0.61251179803572109</v>
          </cell>
          <cell r="S27">
            <v>1.2879377431906613</v>
          </cell>
          <cell r="T27">
            <v>0.37857142857142856</v>
          </cell>
          <cell r="U27">
            <v>6.6987416728349292E-2</v>
          </cell>
          <cell r="V27">
            <v>-4.1519250780436834E-2</v>
          </cell>
          <cell r="W27">
            <v>0.19663687137359909</v>
          </cell>
          <cell r="X27">
            <v>0.15884374999999995</v>
          </cell>
          <cell r="Y27">
            <v>-0.11375789097343114</v>
          </cell>
          <cell r="Z27">
            <v>0.17035701240981505</v>
          </cell>
        </row>
        <row r="28">
          <cell r="A28" t="str">
            <v>CIFH</v>
          </cell>
          <cell r="C28">
            <v>770.72699999999998</v>
          </cell>
          <cell r="D28">
            <v>871.2900000000003</v>
          </cell>
          <cell r="E28">
            <v>503.15700000000004</v>
          </cell>
          <cell r="F28">
            <v>682.11299999999972</v>
          </cell>
          <cell r="G28">
            <v>902.13600000000054</v>
          </cell>
          <cell r="H28">
            <v>778.30600000000004</v>
          </cell>
          <cell r="I28">
            <v>668.57600000000002</v>
          </cell>
          <cell r="J28">
            <v>876.31199999999978</v>
          </cell>
          <cell r="K28">
            <v>1211.454</v>
          </cell>
          <cell r="L28">
            <v>1348.7479999999994</v>
          </cell>
          <cell r="M28">
            <v>1676.4353506754926</v>
          </cell>
          <cell r="N28">
            <v>6.4151251277914101E-2</v>
          </cell>
          <cell r="P28" t="str">
            <v>CIFH</v>
          </cell>
          <cell r="Q28">
            <v>0.13047810703400864</v>
          </cell>
          <cell r="R28">
            <v>-0.42251489171228884</v>
          </cell>
          <cell r="S28">
            <v>0.35566632283760269</v>
          </cell>
          <cell r="T28">
            <v>0.32256092465618003</v>
          </cell>
          <cell r="U28">
            <v>-0.13726311775608158</v>
          </cell>
          <cell r="V28">
            <v>-0.14098567915447136</v>
          </cell>
          <cell r="W28">
            <v>0.31071411477528321</v>
          </cell>
          <cell r="X28">
            <v>0.38244597814477066</v>
          </cell>
          <cell r="Y28">
            <v>0.11332993246132284</v>
          </cell>
          <cell r="Z28">
            <v>0.24295669070537529</v>
          </cell>
        </row>
        <row r="29">
          <cell r="A29" t="str">
            <v>ICBCA</v>
          </cell>
          <cell r="D29">
            <v>516.01699999999994</v>
          </cell>
          <cell r="E29">
            <v>102.82299999999972</v>
          </cell>
          <cell r="F29">
            <v>108.56099999999998</v>
          </cell>
          <cell r="G29">
            <v>522.49699999999962</v>
          </cell>
          <cell r="H29">
            <v>616.5840000000004</v>
          </cell>
          <cell r="I29">
            <v>598.18899999999996</v>
          </cell>
          <cell r="J29">
            <v>708.32400000000018</v>
          </cell>
          <cell r="K29">
            <v>944.31</v>
          </cell>
          <cell r="L29">
            <v>1102.8369999999998</v>
          </cell>
          <cell r="M29">
            <v>1016.9353184269862</v>
          </cell>
          <cell r="N29">
            <v>9.9590337362583936E-2</v>
          </cell>
          <cell r="P29" t="str">
            <v>ICBCA</v>
          </cell>
          <cell r="R29">
            <v>-0.80073718501522284</v>
          </cell>
          <cell r="S29">
            <v>5.580463514972589E-2</v>
          </cell>
          <cell r="T29">
            <v>3.8129346634610934</v>
          </cell>
          <cell r="U29">
            <v>0.18007184730247427</v>
          </cell>
          <cell r="V29">
            <v>-2.9833729062058723E-2</v>
          </cell>
          <cell r="W29">
            <v>0.18411405091033139</v>
          </cell>
          <cell r="X29">
            <v>0.33316109576973219</v>
          </cell>
          <cell r="Y29">
            <v>0.16787601529158835</v>
          </cell>
          <cell r="Z29">
            <v>-7.7891548409251388E-2</v>
          </cell>
        </row>
        <row r="30">
          <cell r="A30" t="str">
            <v>WLB</v>
          </cell>
          <cell r="C30">
            <v>0</v>
          </cell>
          <cell r="D30">
            <v>340.93200000000013</v>
          </cell>
          <cell r="E30">
            <v>32.956999999999937</v>
          </cell>
          <cell r="F30">
            <v>-545.01</v>
          </cell>
          <cell r="G30">
            <v>150.06299999999999</v>
          </cell>
          <cell r="H30">
            <v>293.56110000000018</v>
          </cell>
          <cell r="I30">
            <v>447.98799999999983</v>
          </cell>
          <cell r="J30">
            <v>480.78500000000008</v>
          </cell>
          <cell r="K30">
            <v>760.28100000000018</v>
          </cell>
          <cell r="L30">
            <v>980.6239999999998</v>
          </cell>
          <cell r="M30">
            <v>1149.8560881792714</v>
          </cell>
          <cell r="N30" t="e">
            <v>#DIV/0!</v>
          </cell>
          <cell r="P30" t="str">
            <v>WLB</v>
          </cell>
          <cell r="Q30" t="e">
            <v>#DIV/0!</v>
          </cell>
          <cell r="R30">
            <v>-0.90333262938063918</v>
          </cell>
          <cell r="S30">
            <v>-17.537002761173682</v>
          </cell>
          <cell r="T30">
            <v>-1.2753399020201464</v>
          </cell>
          <cell r="U30">
            <v>0.95625237400292007</v>
          </cell>
          <cell r="V30">
            <v>0.52604687746434919</v>
          </cell>
          <cell r="W30">
            <v>7.3209550255810996E-2</v>
          </cell>
          <cell r="X30">
            <v>0.58133261229031707</v>
          </cell>
          <cell r="Y30">
            <v>0.28981784366569663</v>
          </cell>
          <cell r="Z30">
            <v>0.17257591918948711</v>
          </cell>
        </row>
        <row r="31">
          <cell r="A31" t="str">
            <v>HSBC</v>
          </cell>
          <cell r="C31">
            <v>37587</v>
          </cell>
          <cell r="D31">
            <v>42550</v>
          </cell>
          <cell r="E31">
            <v>33758.400000000001</v>
          </cell>
          <cell r="F31">
            <v>42240</v>
          </cell>
          <cell r="G31">
            <v>55676.4</v>
          </cell>
          <cell r="H31">
            <v>48399</v>
          </cell>
          <cell r="I31" t="e">
            <v>#VALUE!</v>
          </cell>
          <cell r="J31" t="e">
            <v>#VALUE!</v>
          </cell>
          <cell r="K31" t="e">
            <v>#VALUE!</v>
          </cell>
          <cell r="L31" t="e">
            <v>#VALUE!</v>
          </cell>
          <cell r="M31" t="e">
            <v>#VALUE!</v>
          </cell>
          <cell r="N31" t="e">
            <v>#VALUE!</v>
          </cell>
          <cell r="P31" t="str">
            <v>HSBC</v>
          </cell>
          <cell r="Q31">
            <v>0.13204033309388885</v>
          </cell>
          <cell r="R31">
            <v>-0.20661809635722672</v>
          </cell>
          <cell r="S31">
            <v>0.25124413479311802</v>
          </cell>
          <cell r="T31">
            <v>0.31809659090909093</v>
          </cell>
          <cell r="U31">
            <v>-0.13070888203978703</v>
          </cell>
          <cell r="V31" t="e">
            <v>#VALUE!</v>
          </cell>
          <cell r="W31" t="e">
            <v>#VALUE!</v>
          </cell>
          <cell r="X31" t="e">
            <v>#VALUE!</v>
          </cell>
          <cell r="Y31" t="e">
            <v>#VALUE!</v>
          </cell>
          <cell r="Z31" t="e">
            <v>#VALUE!</v>
          </cell>
        </row>
        <row r="32">
          <cell r="A32" t="str">
            <v>Industry</v>
          </cell>
          <cell r="C32">
            <v>49443.387000000002</v>
          </cell>
          <cell r="D32">
            <v>56301.485000000001</v>
          </cell>
          <cell r="E32">
            <v>43745.337</v>
          </cell>
          <cell r="F32">
            <v>56909.464</v>
          </cell>
          <cell r="G32">
            <v>76898.186000000002</v>
          </cell>
          <cell r="H32">
            <v>68470.3511</v>
          </cell>
          <cell r="I32" t="e">
            <v>#VALUE!</v>
          </cell>
          <cell r="J32" t="e">
            <v>#VALUE!</v>
          </cell>
          <cell r="K32" t="e">
            <v>#VALUE!</v>
          </cell>
          <cell r="L32" t="e">
            <v>#VALUE!</v>
          </cell>
          <cell r="M32" t="e">
            <v>#VALUE!</v>
          </cell>
          <cell r="N32" t="e">
            <v>#VALUE!</v>
          </cell>
          <cell r="P32" t="str">
            <v>Industry</v>
          </cell>
          <cell r="Q32">
            <v>0.13870607205772534</v>
          </cell>
          <cell r="R32">
            <v>-0.2230162845615884</v>
          </cell>
          <cell r="S32">
            <v>0.30092640502460877</v>
          </cell>
          <cell r="T32">
            <v>0.3512372212818593</v>
          </cell>
          <cell r="U32">
            <v>-0.10959731741916512</v>
          </cell>
          <cell r="V32" t="e">
            <v>#VALUE!</v>
          </cell>
          <cell r="W32" t="e">
            <v>#VALUE!</v>
          </cell>
          <cell r="X32" t="e">
            <v>#VALUE!</v>
          </cell>
          <cell r="Y32" t="e">
            <v>#VALUE!</v>
          </cell>
          <cell r="Z32" t="e">
            <v>#VALUE!</v>
          </cell>
        </row>
        <row r="33">
          <cell r="A33" t="str">
            <v>Industry (Ex. HSBC)</v>
          </cell>
          <cell r="C33">
            <v>11856.387000000001</v>
          </cell>
          <cell r="D33">
            <v>13751.485000000001</v>
          </cell>
          <cell r="E33">
            <v>9986.9369999999999</v>
          </cell>
          <cell r="F33">
            <v>14669.463999999998</v>
          </cell>
          <cell r="G33">
            <v>21221.786</v>
          </cell>
          <cell r="H33">
            <v>20071.3511</v>
          </cell>
          <cell r="I33">
            <v>22545.743000000002</v>
          </cell>
          <cell r="J33">
            <v>24624.420999999998</v>
          </cell>
          <cell r="K33">
            <v>31961.618000000002</v>
          </cell>
          <cell r="L33">
            <v>34039.009000000005</v>
          </cell>
          <cell r="M33">
            <v>35927.96798978524</v>
          </cell>
          <cell r="N33">
            <v>0.11457966135113784</v>
          </cell>
          <cell r="P33" t="str">
            <v>Industry (Ex. HSBC)</v>
          </cell>
          <cell r="Q33">
            <v>0.15983773134260892</v>
          </cell>
          <cell r="R33">
            <v>-0.27375574347061427</v>
          </cell>
          <cell r="S33">
            <v>0.46886517858278243</v>
          </cell>
          <cell r="T33">
            <v>0.44666403625926643</v>
          </cell>
          <cell r="U33">
            <v>-5.4210088632502429E-2</v>
          </cell>
          <cell r="V33">
            <v>0.12327978757742941</v>
          </cell>
          <cell r="W33">
            <v>9.2198247802256716E-2</v>
          </cell>
          <cell r="X33">
            <v>0.29796424451969883</v>
          </cell>
          <cell r="Y33">
            <v>6.4996427902993092E-2</v>
          </cell>
          <cell r="Z33">
            <v>5.5493947834533985E-2</v>
          </cell>
        </row>
        <row r="35">
          <cell r="A35" t="str">
            <v>RWA (HK$mn)</v>
          </cell>
          <cell r="C35">
            <v>1996</v>
          </cell>
          <cell r="D35">
            <v>1997</v>
          </cell>
          <cell r="E35">
            <v>1998</v>
          </cell>
          <cell r="F35">
            <v>1999</v>
          </cell>
          <cell r="G35">
            <v>2000</v>
          </cell>
          <cell r="H35">
            <v>2001</v>
          </cell>
          <cell r="I35">
            <v>2002</v>
          </cell>
          <cell r="J35">
            <v>2003</v>
          </cell>
          <cell r="K35">
            <v>2004</v>
          </cell>
          <cell r="L35" t="str">
            <v>2005E</v>
          </cell>
          <cell r="M35" t="str">
            <v>2006E</v>
          </cell>
          <cell r="N35" t="str">
            <v>96-05 CAGR</v>
          </cell>
          <cell r="P35" t="str">
            <v>RWA Growth YoY</v>
          </cell>
          <cell r="Q35">
            <v>1997</v>
          </cell>
          <cell r="R35">
            <v>1998</v>
          </cell>
          <cell r="S35">
            <v>1999</v>
          </cell>
          <cell r="T35">
            <v>2000</v>
          </cell>
          <cell r="U35">
            <v>2001</v>
          </cell>
          <cell r="V35">
            <v>2002</v>
          </cell>
          <cell r="W35">
            <v>2003</v>
          </cell>
          <cell r="X35">
            <v>2004</v>
          </cell>
          <cell r="Y35" t="str">
            <v>2005E</v>
          </cell>
          <cell r="Z35" t="str">
            <v>2006E</v>
          </cell>
        </row>
        <row r="36">
          <cell r="A36" t="str">
            <v>HSB</v>
          </cell>
          <cell r="C36">
            <v>1996</v>
          </cell>
          <cell r="D36">
            <v>1997</v>
          </cell>
          <cell r="E36">
            <v>1998</v>
          </cell>
          <cell r="F36">
            <v>1999</v>
          </cell>
          <cell r="G36">
            <v>2000</v>
          </cell>
          <cell r="H36">
            <v>2001</v>
          </cell>
          <cell r="I36">
            <v>2002</v>
          </cell>
          <cell r="J36">
            <v>2003</v>
          </cell>
          <cell r="K36">
            <v>2004</v>
          </cell>
          <cell r="L36">
            <v>2005</v>
          </cell>
          <cell r="M36">
            <v>2006</v>
          </cell>
          <cell r="N36">
            <v>5.0000083312751187E-4</v>
          </cell>
          <cell r="P36" t="str">
            <v>HSB</v>
          </cell>
          <cell r="Q36">
            <v>5.0100200400793327E-4</v>
          </cell>
          <cell r="R36">
            <v>5.0075112669012434E-4</v>
          </cell>
          <cell r="S36">
            <v>5.0050050050054473E-4</v>
          </cell>
          <cell r="T36">
            <v>5.002501250626068E-4</v>
          </cell>
          <cell r="U36">
            <v>4.9999999999994493E-4</v>
          </cell>
          <cell r="V36">
            <v>4.997501249375258E-4</v>
          </cell>
          <cell r="W36">
            <v>4.995004995005381E-4</v>
          </cell>
          <cell r="X36">
            <v>4.9925112331505872E-4</v>
          </cell>
          <cell r="Y36">
            <v>4.9900199600805273E-4</v>
          </cell>
          <cell r="Z36">
            <v>4.9875311720692928E-4</v>
          </cell>
        </row>
        <row r="37">
          <cell r="A37" t="str">
            <v>BEA</v>
          </cell>
          <cell r="C37">
            <v>187475</v>
          </cell>
          <cell r="D37">
            <v>210064</v>
          </cell>
          <cell r="E37">
            <v>198074.28571428574</v>
          </cell>
          <cell r="F37">
            <v>204141</v>
          </cell>
          <cell r="G37">
            <v>235453</v>
          </cell>
          <cell r="H37">
            <v>240776.50359050746</v>
          </cell>
          <cell r="I37">
            <v>243077.7985546024</v>
          </cell>
          <cell r="J37">
            <v>253326</v>
          </cell>
          <cell r="K37">
            <v>277029</v>
          </cell>
          <cell r="L37">
            <v>291570</v>
          </cell>
          <cell r="M37">
            <v>306148.5</v>
          </cell>
          <cell r="N37">
            <v>5.0294406837913863E-2</v>
          </cell>
          <cell r="P37" t="str">
            <v>BEA</v>
          </cell>
          <cell r="Q37">
            <v>0.12049073209761296</v>
          </cell>
          <cell r="R37">
            <v>-5.7076482813400942E-2</v>
          </cell>
          <cell r="S37">
            <v>3.0628479935377761E-2</v>
          </cell>
          <cell r="T37">
            <v>0.1533841805418803</v>
          </cell>
          <cell r="U37">
            <v>2.2609623111650601E-2</v>
          </cell>
          <cell r="V37">
            <v>9.5578053912137584E-3</v>
          </cell>
          <cell r="W37">
            <v>4.2160170555829435E-2</v>
          </cell>
          <cell r="X37">
            <v>9.3567182207906052E-2</v>
          </cell>
          <cell r="Y37">
            <v>5.2489089589898619E-2</v>
          </cell>
          <cell r="Z37">
            <v>5.0000000000000044E-2</v>
          </cell>
        </row>
        <row r="38">
          <cell r="A38" t="str">
            <v>BOCHK</v>
          </cell>
          <cell r="F38">
            <v>83764.951399879486</v>
          </cell>
          <cell r="G38">
            <v>105233.9982135367</v>
          </cell>
          <cell r="H38">
            <v>113584.18121318781</v>
          </cell>
          <cell r="I38">
            <v>121252.94117647057</v>
          </cell>
          <cell r="J38">
            <v>123207.01754385965</v>
          </cell>
          <cell r="K38">
            <v>139975.15527950309</v>
          </cell>
          <cell r="L38">
            <v>162145.34883720931</v>
          </cell>
          <cell r="M38">
            <v>196021.72111905881</v>
          </cell>
          <cell r="N38">
            <v>0.11636709143015311</v>
          </cell>
          <cell r="P38" t="str">
            <v>BOCHK</v>
          </cell>
          <cell r="T38">
            <v>0.25630107168769989</v>
          </cell>
          <cell r="U38">
            <v>7.9348719438629089E-2</v>
          </cell>
          <cell r="V38">
            <v>6.7516091425523062E-2</v>
          </cell>
          <cell r="W38">
            <v>1.6115702831035916E-2</v>
          </cell>
          <cell r="X38">
            <v>0.13609726190859428</v>
          </cell>
          <cell r="Y38">
            <v>0.1583866330666801</v>
          </cell>
          <cell r="Z38">
            <v>0.20892595763484212</v>
          </cell>
        </row>
        <row r="39">
          <cell r="A39" t="str">
            <v>DSF</v>
          </cell>
          <cell r="C39">
            <v>0</v>
          </cell>
          <cell r="D39">
            <v>0</v>
          </cell>
          <cell r="E39">
            <v>0</v>
          </cell>
          <cell r="F39">
            <v>376756.89158016146</v>
          </cell>
          <cell r="G39">
            <v>384292.0294117647</v>
          </cell>
          <cell r="H39">
            <v>391977.87</v>
          </cell>
          <cell r="I39">
            <v>414067.19085060759</v>
          </cell>
          <cell r="J39">
            <v>402231.87441287254</v>
          </cell>
          <cell r="K39">
            <v>414451.87214365747</v>
          </cell>
          <cell r="L39">
            <v>436363.63636363635</v>
          </cell>
          <cell r="M39">
            <v>458181.81818181818</v>
          </cell>
          <cell r="N39" t="e">
            <v>#DIV/0!</v>
          </cell>
          <cell r="P39" t="str">
            <v>DSF</v>
          </cell>
          <cell r="Q39" t="e">
            <v>#DIV/0!</v>
          </cell>
          <cell r="R39" t="e">
            <v>#DIV/0!</v>
          </cell>
          <cell r="S39" t="e">
            <v>#DIV/0!</v>
          </cell>
          <cell r="T39">
            <v>2.0000000000000018E-2</v>
          </cell>
          <cell r="U39">
            <v>2.0000000000000018E-2</v>
          </cell>
          <cell r="V39">
            <v>5.6353489676872703E-2</v>
          </cell>
          <cell r="W39">
            <v>-2.8583081923061915E-2</v>
          </cell>
          <cell r="X39">
            <v>3.038048078268818E-2</v>
          </cell>
          <cell r="Y39">
            <v>5.2869261047477689E-2</v>
          </cell>
          <cell r="Z39">
            <v>5.0000000000000044E-2</v>
          </cell>
        </row>
        <row r="40">
          <cell r="A40" t="str">
            <v>WHB</v>
          </cell>
          <cell r="C40">
            <v>22527.352083333331</v>
          </cell>
          <cell r="D40">
            <v>26500.884563758391</v>
          </cell>
          <cell r="E40">
            <v>25391</v>
          </cell>
          <cell r="F40">
            <v>27187</v>
          </cell>
          <cell r="G40">
            <v>29790</v>
          </cell>
          <cell r="H40">
            <v>30556</v>
          </cell>
          <cell r="I40">
            <v>31381</v>
          </cell>
          <cell r="J40">
            <v>32382.352941176472</v>
          </cell>
          <cell r="K40">
            <v>41248.46820809249</v>
          </cell>
          <cell r="L40">
            <v>56630.313953488381</v>
          </cell>
          <cell r="M40">
            <v>60564.581692551481</v>
          </cell>
          <cell r="N40">
            <v>0.10785288091896894</v>
          </cell>
          <cell r="P40" t="str">
            <v>WHB</v>
          </cell>
          <cell r="Q40">
            <v>0.17638701902141629</v>
          </cell>
          <cell r="R40">
            <v>-4.1881038389044112E-2</v>
          </cell>
          <cell r="S40">
            <v>7.0733724548068144E-2</v>
          </cell>
          <cell r="T40">
            <v>9.5744289550152573E-2</v>
          </cell>
          <cell r="U40">
            <v>2.5713326619670962E-2</v>
          </cell>
          <cell r="V40">
            <v>2.699960727843953E-2</v>
          </cell>
          <cell r="W40">
            <v>3.1909529370525824E-2</v>
          </cell>
          <cell r="X40">
            <v>0.27379465856053109</v>
          </cell>
          <cell r="Y40">
            <v>0.37290707785309096</v>
          </cell>
          <cell r="Z40">
            <v>6.9472822317290905E-2</v>
          </cell>
        </row>
        <row r="41">
          <cell r="A41" t="str">
            <v>CIFH</v>
          </cell>
          <cell r="C41">
            <v>26139.807638888884</v>
          </cell>
          <cell r="D41">
            <v>29349.818791946309</v>
          </cell>
          <cell r="E41">
            <v>30243.582154204429</v>
          </cell>
          <cell r="F41">
            <v>30692.463458551869</v>
          </cell>
          <cell r="G41">
            <v>31953.997789994923</v>
          </cell>
          <cell r="H41">
            <v>35066.666666666664</v>
          </cell>
          <cell r="I41">
            <v>35981.818181818177</v>
          </cell>
          <cell r="J41">
            <v>50397.502629601797</v>
          </cell>
          <cell r="K41">
            <v>54407.643312101907</v>
          </cell>
          <cell r="L41">
            <v>61232.268456375845</v>
          </cell>
          <cell r="M41">
            <v>69192.463355704691</v>
          </cell>
          <cell r="N41">
            <v>9.9196480276907195E-2</v>
          </cell>
          <cell r="P41" t="str">
            <v>CIFH</v>
          </cell>
          <cell r="Q41">
            <v>0.12280163639313879</v>
          </cell>
          <cell r="R41">
            <v>3.0452091326143682E-2</v>
          </cell>
          <cell r="S41">
            <v>1.4842200307447317E-2</v>
          </cell>
          <cell r="T41">
            <v>4.1102413729242393E-2</v>
          </cell>
          <cell r="U41">
            <v>9.7410937345884907E-2</v>
          </cell>
          <cell r="V41">
            <v>2.6097476667818809E-2</v>
          </cell>
          <cell r="W41">
            <v>0.40063802154022188</v>
          </cell>
          <cell r="X41">
            <v>7.9570226167212654E-2</v>
          </cell>
          <cell r="Y41">
            <v>0.12543504421107565</v>
          </cell>
          <cell r="Z41">
            <v>0.12999999999999967</v>
          </cell>
        </row>
        <row r="42">
          <cell r="A42" t="str">
            <v>ICBCA</v>
          </cell>
          <cell r="D42">
            <v>21464.044072499997</v>
          </cell>
          <cell r="E42">
            <v>32435.374</v>
          </cell>
          <cell r="F42">
            <v>34354.641000000003</v>
          </cell>
          <cell r="G42">
            <v>34680.287425149698</v>
          </cell>
          <cell r="H42">
            <v>52478.321400000008</v>
          </cell>
          <cell r="I42">
            <v>68594.532999999996</v>
          </cell>
          <cell r="J42">
            <v>51324.915806626828</v>
          </cell>
          <cell r="K42">
            <v>56403.469773299745</v>
          </cell>
          <cell r="L42">
            <v>58578.500936914432</v>
          </cell>
          <cell r="M42">
            <v>69990.900243794749</v>
          </cell>
          <cell r="N42">
            <v>0.13371355123714501</v>
          </cell>
          <cell r="P42" t="str">
            <v>ICBCA</v>
          </cell>
          <cell r="Q42" t="str">
            <v>NA</v>
          </cell>
          <cell r="R42">
            <v>0.51114924524202809</v>
          </cell>
          <cell r="S42">
            <v>5.9172032361951565E-2</v>
          </cell>
          <cell r="T42">
            <v>9.4789645786050869E-3</v>
          </cell>
          <cell r="U42">
            <v>0.5132031853329857</v>
          </cell>
          <cell r="V42">
            <v>0.30710226947159902</v>
          </cell>
          <cell r="W42">
            <v>-0.25176375489535252</v>
          </cell>
          <cell r="X42">
            <v>9.8949094934846382E-2</v>
          </cell>
          <cell r="Y42">
            <v>3.856200996776793E-2</v>
          </cell>
          <cell r="Z42">
            <v>0.19482231747737622</v>
          </cell>
        </row>
        <row r="43">
          <cell r="A43" t="str">
            <v>WLB</v>
          </cell>
          <cell r="C43">
            <v>0</v>
          </cell>
          <cell r="D43">
            <v>11814.797338173017</v>
          </cell>
          <cell r="E43">
            <v>14355.360280076386</v>
          </cell>
          <cell r="F43">
            <v>11912.550999999998</v>
          </cell>
          <cell r="G43">
            <v>13950.244382022473</v>
          </cell>
          <cell r="H43">
            <v>24286</v>
          </cell>
          <cell r="I43">
            <v>26473</v>
          </cell>
          <cell r="J43">
            <v>52769.437125748496</v>
          </cell>
          <cell r="K43">
            <v>72242.281609195416</v>
          </cell>
          <cell r="L43">
            <v>84036.373417721508</v>
          </cell>
          <cell r="M43">
            <v>90759.283291139232</v>
          </cell>
          <cell r="N43" t="e">
            <v>#DIV/0!</v>
          </cell>
          <cell r="P43" t="str">
            <v>WLB</v>
          </cell>
          <cell r="Q43" t="e">
            <v>#DIV/0!</v>
          </cell>
          <cell r="R43">
            <v>0.21503229121797429</v>
          </cell>
          <cell r="S43">
            <v>-0.17016704787735148</v>
          </cell>
          <cell r="T43">
            <v>0.17105432598126757</v>
          </cell>
          <cell r="U43">
            <v>0.74090140179172082</v>
          </cell>
          <cell r="V43">
            <v>9.005188174256773E-2</v>
          </cell>
          <cell r="W43">
            <v>0.9933304546424091</v>
          </cell>
          <cell r="X43">
            <v>0.36901747572261434</v>
          </cell>
          <cell r="Y43">
            <v>0.16325746565325638</v>
          </cell>
          <cell r="Z43">
            <v>8.0000000000000071E-2</v>
          </cell>
        </row>
        <row r="44">
          <cell r="A44" t="str">
            <v>HSBC</v>
          </cell>
          <cell r="C44">
            <v>2019902</v>
          </cell>
          <cell r="D44">
            <v>2262308</v>
          </cell>
          <cell r="E44">
            <v>2355210</v>
          </cell>
          <cell r="F44">
            <v>2621782.7999999998</v>
          </cell>
          <cell r="G44">
            <v>2992758.6</v>
          </cell>
          <cell r="H44">
            <v>3053528.4</v>
          </cell>
          <cell r="I44" t="e">
            <v>#VALUE!</v>
          </cell>
          <cell r="J44" t="e">
            <v>#VALUE!</v>
          </cell>
          <cell r="K44" t="e">
            <v>#VALUE!</v>
          </cell>
          <cell r="L44" t="e">
            <v>#VALUE!</v>
          </cell>
          <cell r="M44" t="e">
            <v>#VALUE!</v>
          </cell>
          <cell r="N44" t="e">
            <v>#VALUE!</v>
          </cell>
          <cell r="P44" t="str">
            <v>HSBC</v>
          </cell>
          <cell r="Q44">
            <v>0.12000879250577512</v>
          </cell>
          <cell r="R44">
            <v>4.1065142323680082E-2</v>
          </cell>
          <cell r="S44">
            <v>0.11318430203676089</v>
          </cell>
          <cell r="T44">
            <v>0.1414975336629718</v>
          </cell>
          <cell r="U44">
            <v>2.0305613690325686E-2</v>
          </cell>
          <cell r="V44" t="e">
            <v>#VALUE!</v>
          </cell>
          <cell r="W44" t="e">
            <v>#VALUE!</v>
          </cell>
          <cell r="X44" t="e">
            <v>#VALUE!</v>
          </cell>
          <cell r="Y44" t="e">
            <v>#VALUE!</v>
          </cell>
          <cell r="Z44" t="e">
            <v>#VALUE!</v>
          </cell>
        </row>
        <row r="45">
          <cell r="A45" t="str">
            <v>Industry</v>
          </cell>
          <cell r="C45">
            <v>2258040.159722222</v>
          </cell>
          <cell r="D45">
            <v>2563498.5447663777</v>
          </cell>
          <cell r="E45">
            <v>2657707.6021485664</v>
          </cell>
          <cell r="F45">
            <v>3392591.2984385928</v>
          </cell>
          <cell r="G45">
            <v>3830112.1572224684</v>
          </cell>
          <cell r="H45">
            <v>3944254.9428703617</v>
          </cell>
          <cell r="I45" t="e">
            <v>#VALUE!</v>
          </cell>
          <cell r="J45" t="e">
            <v>#VALUE!</v>
          </cell>
          <cell r="K45" t="e">
            <v>#VALUE!</v>
          </cell>
          <cell r="L45" t="e">
            <v>#VALUE!</v>
          </cell>
          <cell r="M45" t="e">
            <v>#VALUE!</v>
          </cell>
          <cell r="N45" t="e">
            <v>#VALUE!</v>
          </cell>
          <cell r="P45" t="str">
            <v>Industry</v>
          </cell>
          <cell r="Q45">
            <v>0.13527588680341829</v>
          </cell>
          <cell r="R45">
            <v>3.6750189530836863E-2</v>
          </cell>
          <cell r="S45">
            <v>0.27651036393015005</v>
          </cell>
          <cell r="T45">
            <v>0.12896362110733484</v>
          </cell>
          <cell r="U45">
            <v>2.9801421201897105E-2</v>
          </cell>
          <cell r="V45" t="e">
            <v>#VALUE!</v>
          </cell>
          <cell r="W45" t="e">
            <v>#VALUE!</v>
          </cell>
          <cell r="X45" t="e">
            <v>#VALUE!</v>
          </cell>
          <cell r="Y45" t="e">
            <v>#VALUE!</v>
          </cell>
          <cell r="Z45" t="e">
            <v>#VALUE!</v>
          </cell>
        </row>
        <row r="46">
          <cell r="A46" t="str">
            <v>Industry (Ex. HSBC)</v>
          </cell>
          <cell r="C46">
            <v>238138.15972222222</v>
          </cell>
          <cell r="D46">
            <v>301190.54476637772</v>
          </cell>
          <cell r="E46">
            <v>302497.60214856657</v>
          </cell>
          <cell r="F46">
            <v>770808.49843859277</v>
          </cell>
          <cell r="G46">
            <v>837353.55722246855</v>
          </cell>
          <cell r="H46">
            <v>890726.54287036194</v>
          </cell>
          <cell r="I46">
            <v>942830.28176349867</v>
          </cell>
          <cell r="J46">
            <v>967642.10045988567</v>
          </cell>
          <cell r="K46">
            <v>1057761.8903258503</v>
          </cell>
          <cell r="L46">
            <v>1152561.4419653458</v>
          </cell>
          <cell r="M46">
            <v>1252865.267884067</v>
          </cell>
          <cell r="N46">
            <v>0.17112321704174671</v>
          </cell>
          <cell r="P46" t="str">
            <v>Industry (Ex. HSBC)</v>
          </cell>
          <cell r="Q46">
            <v>0.26477228646472861</v>
          </cell>
          <cell r="R46">
            <v>4.3396361701948383E-3</v>
          </cell>
          <cell r="S46">
            <v>1.54814746617404</v>
          </cell>
          <cell r="T46">
            <v>8.6331506358160892E-2</v>
          </cell>
          <cell r="U46">
            <v>6.3740083489862265E-2</v>
          </cell>
          <cell r="V46">
            <v>5.8495774387987476E-2</v>
          </cell>
          <cell r="W46">
            <v>2.6316315010563862E-2</v>
          </cell>
          <cell r="X46">
            <v>9.313339076827476E-2</v>
          </cell>
          <cell r="Y46">
            <v>8.9622770971916843E-2</v>
          </cell>
          <cell r="Z46">
            <v>8.7026879666981971E-2</v>
          </cell>
        </row>
        <row r="48">
          <cell r="A48" t="str">
            <v>PPP/RWA (%)</v>
          </cell>
          <cell r="C48">
            <v>1996</v>
          </cell>
          <cell r="D48">
            <v>1997</v>
          </cell>
          <cell r="E48">
            <v>1998</v>
          </cell>
          <cell r="F48">
            <v>1999</v>
          </cell>
          <cell r="G48">
            <v>2000</v>
          </cell>
          <cell r="H48">
            <v>2001</v>
          </cell>
          <cell r="I48">
            <v>2002</v>
          </cell>
          <cell r="J48">
            <v>2003</v>
          </cell>
          <cell r="K48">
            <v>2004</v>
          </cell>
          <cell r="L48" t="str">
            <v>2005E</v>
          </cell>
          <cell r="M48" t="str">
            <v>2006E</v>
          </cell>
          <cell r="N48" t="str">
            <v>96-05 Ave.</v>
          </cell>
          <cell r="P48" t="str">
            <v>PPP/RWA Growth YoY</v>
          </cell>
          <cell r="Q48">
            <v>1997</v>
          </cell>
          <cell r="R48">
            <v>1998</v>
          </cell>
          <cell r="S48">
            <v>1999</v>
          </cell>
          <cell r="T48">
            <v>2000</v>
          </cell>
          <cell r="U48">
            <v>2001</v>
          </cell>
          <cell r="V48">
            <v>2002</v>
          </cell>
          <cell r="W48">
            <v>2003</v>
          </cell>
          <cell r="X48">
            <v>2004</v>
          </cell>
          <cell r="Y48" t="str">
            <v>2005E</v>
          </cell>
          <cell r="Z48" t="str">
            <v>2006E</v>
          </cell>
        </row>
        <row r="49">
          <cell r="A49" t="str">
            <v>HSB</v>
          </cell>
          <cell r="C49">
            <v>1</v>
          </cell>
          <cell r="D49">
            <v>1</v>
          </cell>
          <cell r="E49">
            <v>1</v>
          </cell>
          <cell r="F49">
            <v>1</v>
          </cell>
          <cell r="G49">
            <v>1</v>
          </cell>
          <cell r="H49">
            <v>1</v>
          </cell>
          <cell r="I49">
            <v>1</v>
          </cell>
          <cell r="J49">
            <v>1</v>
          </cell>
          <cell r="K49">
            <v>1</v>
          </cell>
          <cell r="L49">
            <v>1</v>
          </cell>
          <cell r="M49">
            <v>1</v>
          </cell>
          <cell r="N49">
            <v>1</v>
          </cell>
          <cell r="P49" t="str">
            <v>HSB</v>
          </cell>
          <cell r="Q49">
            <v>0</v>
          </cell>
          <cell r="R49">
            <v>0</v>
          </cell>
          <cell r="S49">
            <v>0</v>
          </cell>
          <cell r="T49">
            <v>0</v>
          </cell>
          <cell r="U49">
            <v>0</v>
          </cell>
          <cell r="V49">
            <v>0</v>
          </cell>
          <cell r="W49">
            <v>0</v>
          </cell>
          <cell r="X49">
            <v>0</v>
          </cell>
          <cell r="Y49">
            <v>0</v>
          </cell>
          <cell r="Z49">
            <v>0</v>
          </cell>
        </row>
        <row r="50">
          <cell r="A50" t="str">
            <v>BEA</v>
          </cell>
          <cell r="C50">
            <v>5.2289638618482466E-2</v>
          </cell>
          <cell r="D50">
            <v>5.1284370477568744E-2</v>
          </cell>
          <cell r="E50">
            <v>5.3676831203300343E-2</v>
          </cell>
          <cell r="F50">
            <v>5.4202732425137526E-2</v>
          </cell>
          <cell r="G50">
            <v>4.9011904711343666E-2</v>
          </cell>
          <cell r="H50">
            <v>4.8659233045121347E-2</v>
          </cell>
          <cell r="I50">
            <v>4.6302048426161785E-2</v>
          </cell>
          <cell r="J50">
            <v>4.5297363871059426E-2</v>
          </cell>
          <cell r="K50">
            <v>4.2670622931173269E-2</v>
          </cell>
          <cell r="L50">
            <v>4.0079569228658643E-2</v>
          </cell>
          <cell r="M50">
            <v>4.1974190590771641E-2</v>
          </cell>
          <cell r="N50">
            <v>4.8347431493800719E-2</v>
          </cell>
          <cell r="P50" t="str">
            <v>BEA</v>
          </cell>
          <cell r="Q50">
            <v>-1.9224996910925274E-2</v>
          </cell>
          <cell r="R50">
            <v>4.6650874398039832E-2</v>
          </cell>
          <cell r="S50">
            <v>9.7975459811578958E-3</v>
          </cell>
          <cell r="T50">
            <v>-9.5766901068377042E-2</v>
          </cell>
          <cell r="U50">
            <v>-7.1956327406450526E-3</v>
          </cell>
          <cell r="V50">
            <v>-4.8442699801161337E-2</v>
          </cell>
          <cell r="W50">
            <v>-2.1698490439457263E-2</v>
          </cell>
          <cell r="X50">
            <v>-5.7988825737481542E-2</v>
          </cell>
          <cell r="Y50">
            <v>-6.0722190690628897E-2</v>
          </cell>
          <cell r="Z50">
            <v>4.7271500132747502E-2</v>
          </cell>
        </row>
        <row r="51">
          <cell r="A51" t="str">
            <v>BOCHK</v>
          </cell>
          <cell r="F51">
            <v>3.1719710399113567E-2</v>
          </cell>
          <cell r="G51">
            <v>2.5992835456556316E-2</v>
          </cell>
          <cell r="H51">
            <v>2.0707108814611224E-2</v>
          </cell>
          <cell r="I51">
            <v>2.0725270460389078E-2</v>
          </cell>
          <cell r="J51">
            <v>2.3302244119154752E-2</v>
          </cell>
          <cell r="K51">
            <v>1.9824946751863689E-2</v>
          </cell>
          <cell r="L51">
            <v>1.8279895299221915E-2</v>
          </cell>
          <cell r="M51">
            <v>2.0910947912299818E-2</v>
          </cell>
          <cell r="N51">
            <v>2.293600161441579E-2</v>
          </cell>
          <cell r="P51" t="str">
            <v>BOCHK</v>
          </cell>
          <cell r="T51">
            <v>-0.18054625564038229</v>
          </cell>
          <cell r="U51">
            <v>-0.20335321441862331</v>
          </cell>
          <cell r="V51">
            <v>8.7707298688832758E-4</v>
          </cell>
          <cell r="W51">
            <v>0.12433968780725357</v>
          </cell>
          <cell r="X51">
            <v>-0.14922585779764785</v>
          </cell>
          <cell r="Y51">
            <v>-7.7934708828235721E-2</v>
          </cell>
          <cell r="Z51">
            <v>0.14393149249546822</v>
          </cell>
        </row>
        <row r="52">
          <cell r="A52" t="str">
            <v>DSF</v>
          </cell>
          <cell r="C52" t="e">
            <v>#DIV/0!</v>
          </cell>
          <cell r="D52" t="e">
            <v>#DIV/0!</v>
          </cell>
          <cell r="E52" t="e">
            <v>#DIV/0!</v>
          </cell>
          <cell r="F52">
            <v>3.4895181199897846E-2</v>
          </cell>
          <cell r="G52">
            <v>3.8939137048731857E-2</v>
          </cell>
          <cell r="H52">
            <v>3.3578426251461596E-2</v>
          </cell>
          <cell r="I52">
            <v>2.9195744717580446E-2</v>
          </cell>
          <cell r="J52">
            <v>2.8826656308441299E-2</v>
          </cell>
          <cell r="K52">
            <v>2.4977568436249663E-2</v>
          </cell>
          <cell r="L52">
            <v>2.7880416666666668E-2</v>
          </cell>
          <cell r="M52">
            <v>3.3344392681024251E-2</v>
          </cell>
          <cell r="N52" t="e">
            <v>#DIV/0!</v>
          </cell>
          <cell r="P52" t="str">
            <v>DSF</v>
          </cell>
          <cell r="Q52" t="e">
            <v>#DIV/0!</v>
          </cell>
          <cell r="R52" t="e">
            <v>#DIV/0!</v>
          </cell>
          <cell r="S52" t="e">
            <v>#DIV/0!</v>
          </cell>
          <cell r="T52">
            <v>0.11588866169423562</v>
          </cell>
          <cell r="U52">
            <v>-0.13766896761377623</v>
          </cell>
          <cell r="V52">
            <v>-0.13052075463752211</v>
          </cell>
          <cell r="W52">
            <v>-1.2641856294794085E-2</v>
          </cell>
          <cell r="X52">
            <v>-0.1335252979397582</v>
          </cell>
          <cell r="Y52">
            <v>0.1162182074618654</v>
          </cell>
          <cell r="Z52">
            <v>0.19597899413354947</v>
          </cell>
        </row>
        <row r="53">
          <cell r="A53" t="str">
            <v>WHB</v>
          </cell>
          <cell r="C53">
            <v>3.671221530789099E-2</v>
          </cell>
          <cell r="D53">
            <v>3.1073264668536563E-2</v>
          </cell>
          <cell r="E53">
            <v>2.7726359733763931E-2</v>
          </cell>
          <cell r="F53">
            <v>4.0534078787655865E-2</v>
          </cell>
          <cell r="G53">
            <v>4.0751930177912052E-2</v>
          </cell>
          <cell r="H53">
            <v>4.2577562508181697E-2</v>
          </cell>
          <cell r="I53">
            <v>5.0589815493451457E-2</v>
          </cell>
          <cell r="J53">
            <v>4.8081743869209805E-2</v>
          </cell>
          <cell r="K53">
            <v>3.6597552965708297E-2</v>
          </cell>
          <cell r="L53">
            <v>2.2209059286391719E-2</v>
          </cell>
          <cell r="M53">
            <v>2.9741507170019995E-2</v>
          </cell>
          <cell r="N53">
            <v>3.768535827987024E-2</v>
          </cell>
          <cell r="P53" t="str">
            <v>WHB</v>
          </cell>
          <cell r="Q53">
            <v>-0.15359875703666348</v>
          </cell>
          <cell r="R53">
            <v>-0.10771011576912171</v>
          </cell>
          <cell r="S53">
            <v>0.46193294672921903</v>
          </cell>
          <cell r="T53">
            <v>5.3745242712295305E-3</v>
          </cell>
          <cell r="U53">
            <v>4.4798671432234594E-2</v>
          </cell>
          <cell r="V53">
            <v>0.18818017080545957</v>
          </cell>
          <cell r="W53">
            <v>-4.9576611414333116E-2</v>
          </cell>
          <cell r="X53">
            <v>-0.23884722098974576</v>
          </cell>
          <cell r="Y53">
            <v>-0.39315452846802401</v>
          </cell>
          <cell r="Z53">
            <v>0.33916105074489455</v>
          </cell>
        </row>
        <row r="54">
          <cell r="A54" t="str">
            <v>CIFH</v>
          </cell>
          <cell r="C54">
            <v>3.9456487754163168E-2</v>
          </cell>
          <cell r="D54">
            <v>4.1969356224373297E-2</v>
          </cell>
          <cell r="E54">
            <v>3.700904192807062E-2</v>
          </cell>
          <cell r="F54">
            <v>4.1208845999215066E-2</v>
          </cell>
          <cell r="G54">
            <v>4.470886583234715E-2</v>
          </cell>
          <cell r="H54">
            <v>3.6824315589353618E-2</v>
          </cell>
          <cell r="I54">
            <v>3.4521018191005559E-2</v>
          </cell>
          <cell r="J54">
            <v>2.6177983653203573E-2</v>
          </cell>
          <cell r="K54">
            <v>2.5749341723249827E-2</v>
          </cell>
          <cell r="L54">
            <v>2.6865099750011164E-2</v>
          </cell>
          <cell r="M54">
            <v>2.8980731294324311E-2</v>
          </cell>
          <cell r="N54">
            <v>3.5449035664499307E-2</v>
          </cell>
          <cell r="P54" t="str">
            <v>CIFH</v>
          </cell>
          <cell r="Q54">
            <v>6.3687079444748385E-2</v>
          </cell>
          <cell r="R54">
            <v>-0.11818895362092841</v>
          </cell>
          <cell r="S54">
            <v>0.11348048618245854</v>
          </cell>
          <cell r="T54">
            <v>8.49337016911067E-2</v>
          </cell>
          <cell r="U54">
            <v>-0.17635317058946753</v>
          </cell>
          <cell r="V54">
            <v>-6.2548274461724729E-2</v>
          </cell>
          <cell r="W54">
            <v>-0.24167985114575097</v>
          </cell>
          <cell r="X54">
            <v>-1.6374138498680413E-2</v>
          </cell>
          <cell r="Y54">
            <v>4.3331516539464987E-2</v>
          </cell>
          <cell r="Z54">
            <v>7.875018384446042E-2</v>
          </cell>
        </row>
        <row r="55">
          <cell r="A55" t="str">
            <v>ICBCA</v>
          </cell>
          <cell r="D55">
            <v>3.4727658845753615E-2</v>
          </cell>
          <cell r="E55">
            <v>2.101982853658477E-2</v>
          </cell>
          <cell r="F55">
            <v>1.9481268920842454E-2</v>
          </cell>
          <cell r="G55">
            <v>2.7169094317156816E-2</v>
          </cell>
          <cell r="H55">
            <v>1.9631401548602129E-2</v>
          </cell>
          <cell r="I55">
            <v>1.653004912213631E-2</v>
          </cell>
          <cell r="J55">
            <v>1.9596310762386847E-2</v>
          </cell>
          <cell r="K55">
            <v>1.8383230751006684E-2</v>
          </cell>
          <cell r="L55">
            <v>1.4943366354538681E-2</v>
          </cell>
          <cell r="M55">
            <v>1.4383841434312268E-2</v>
          </cell>
          <cell r="N55">
            <v>2.127580101766759E-2</v>
          </cell>
          <cell r="P55" t="str">
            <v>ICBCA</v>
          </cell>
          <cell r="R55">
            <v>-0.39472370913494481</v>
          </cell>
          <cell r="S55">
            <v>-7.3195631118706417E-2</v>
          </cell>
          <cell r="T55">
            <v>0.39462652189403213</v>
          </cell>
          <cell r="U55">
            <v>-0.27743629141861992</v>
          </cell>
          <cell r="V55">
            <v>-0.1579791651038106</v>
          </cell>
          <cell r="W55">
            <v>0.185496220706588</v>
          </cell>
          <cell r="X55">
            <v>-6.1903489186778349E-2</v>
          </cell>
          <cell r="Y55">
            <v>-0.18711968766859077</v>
          </cell>
          <cell r="Z55">
            <v>-3.7443030368888075E-2</v>
          </cell>
        </row>
        <row r="56">
          <cell r="A56" t="str">
            <v>WLB</v>
          </cell>
          <cell r="C56" t="e">
            <v>#DIV/0!</v>
          </cell>
          <cell r="D56">
            <v>3.9369020617659331E-2</v>
          </cell>
          <cell r="E56">
            <v>2.18694615721849E-2</v>
          </cell>
          <cell r="F56">
            <v>1.5966941085918548E-2</v>
          </cell>
          <cell r="G56">
            <v>2.0860781505378161E-2</v>
          </cell>
          <cell r="H56">
            <v>1.5801037634851359E-2</v>
          </cell>
          <cell r="I56">
            <v>2.784584293431042E-2</v>
          </cell>
          <cell r="J56">
            <v>1.5064288029180386E-2</v>
          </cell>
          <cell r="K56">
            <v>1.2467020419872242E-2</v>
          </cell>
          <cell r="L56">
            <v>1.3598397378711914E-2</v>
          </cell>
          <cell r="M56">
            <v>1.6693105393165604E-2</v>
          </cell>
          <cell r="N56" t="e">
            <v>#DIV/0!</v>
          </cell>
          <cell r="P56" t="str">
            <v>WLB</v>
          </cell>
          <cell r="Q56" t="e">
            <v>#DIV/0!</v>
          </cell>
          <cell r="R56">
            <v>-0.44450074629554903</v>
          </cell>
          <cell r="S56">
            <v>-0.26989784210204726</v>
          </cell>
          <cell r="T56">
            <v>0.30649830754217255</v>
          </cell>
          <cell r="U56">
            <v>-0.24254814563022664</v>
          </cell>
          <cell r="V56">
            <v>0.76227938808857632</v>
          </cell>
          <cell r="W56">
            <v>-0.45901124039528229</v>
          </cell>
          <cell r="X56">
            <v>-0.17241223775574976</v>
          </cell>
          <cell r="Y56">
            <v>9.0749587370232865E-2</v>
          </cell>
          <cell r="Z56">
            <v>0.22757887773587271</v>
          </cell>
        </row>
        <row r="57">
          <cell r="A57" t="str">
            <v>HSBC</v>
          </cell>
          <cell r="C57">
            <v>2.7021112905477592E-2</v>
          </cell>
          <cell r="D57">
            <v>2.9275412543296492E-2</v>
          </cell>
          <cell r="E57">
            <v>2.9975161450571289E-2</v>
          </cell>
          <cell r="F57">
            <v>2.856758385934945E-2</v>
          </cell>
          <cell r="G57">
            <v>2.7329568111507559E-2</v>
          </cell>
          <cell r="H57">
            <v>2.6780559827116721E-2</v>
          </cell>
          <cell r="I57" t="e">
            <v>#VALUE!</v>
          </cell>
          <cell r="J57" t="e">
            <v>#VALUE!</v>
          </cell>
          <cell r="K57" t="e">
            <v>#VALUE!</v>
          </cell>
          <cell r="L57" t="e">
            <v>#VALUE!</v>
          </cell>
          <cell r="M57" t="e">
            <v>#VALUE!</v>
          </cell>
          <cell r="N57" t="e">
            <v>#VALUE!</v>
          </cell>
          <cell r="P57" t="str">
            <v>HSBC</v>
          </cell>
          <cell r="Q57">
            <v>8.3427342378704195E-2</v>
          </cell>
          <cell r="R57">
            <v>2.3902273152937248E-2</v>
          </cell>
          <cell r="S57">
            <v>-4.695813210357247E-2</v>
          </cell>
          <cell r="T57">
            <v>-4.3336382731461565E-2</v>
          </cell>
          <cell r="U57">
            <v>-2.0088436163748558E-2</v>
          </cell>
          <cell r="V57" t="e">
            <v>#VALUE!</v>
          </cell>
          <cell r="W57" t="e">
            <v>#VALUE!</v>
          </cell>
          <cell r="X57" t="e">
            <v>#VALUE!</v>
          </cell>
          <cell r="Y57" t="e">
            <v>#VALUE!</v>
          </cell>
          <cell r="Z57" t="e">
            <v>#VALUE!</v>
          </cell>
        </row>
        <row r="58">
          <cell r="A58" t="str">
            <v>Average</v>
          </cell>
          <cell r="C58">
            <v>3.0219752162598555E-2</v>
          </cell>
          <cell r="D58">
            <v>3.209121969971597E-2</v>
          </cell>
          <cell r="E58">
            <v>3.2376329108001693E-2</v>
          </cell>
          <cell r="F58">
            <v>3.1537037794455866E-2</v>
          </cell>
          <cell r="G58">
            <v>3.0522866485658801E-2</v>
          </cell>
          <cell r="H58">
            <v>2.9159492645853595E-2</v>
          </cell>
          <cell r="I58" t="e">
            <v>#VALUE!</v>
          </cell>
          <cell r="J58" t="e">
            <v>#VALUE!</v>
          </cell>
          <cell r="K58" t="e">
            <v>#VALUE!</v>
          </cell>
          <cell r="L58" t="e">
            <v>#VALUE!</v>
          </cell>
          <cell r="M58" t="e">
            <v>#VALUE!</v>
          </cell>
          <cell r="N58" t="e">
            <v>#VALUE!</v>
          </cell>
          <cell r="P58" t="str">
            <v>Average</v>
          </cell>
          <cell r="Q58">
            <v>6.1928619634201931E-2</v>
          </cell>
          <cell r="R58">
            <v>8.8843431615734936E-3</v>
          </cell>
          <cell r="S58">
            <v>-2.5922991786564209E-2</v>
          </cell>
          <cell r="T58">
            <v>-3.2158102971083569E-2</v>
          </cell>
          <cell r="U58">
            <v>-4.4667293631998395E-2</v>
          </cell>
          <cell r="V58" t="e">
            <v>#VALUE!</v>
          </cell>
          <cell r="W58" t="e">
            <v>#VALUE!</v>
          </cell>
          <cell r="X58" t="e">
            <v>#VALUE!</v>
          </cell>
          <cell r="Y58" t="e">
            <v>#VALUE!</v>
          </cell>
          <cell r="Z58" t="e">
            <v>#VALUE!</v>
          </cell>
        </row>
        <row r="59">
          <cell r="A59" t="str">
            <v>Average (Ex. HSBC)</v>
          </cell>
          <cell r="C59">
            <v>5.7350800123469416E-2</v>
          </cell>
          <cell r="D59">
            <v>5.3241362581412932E-2</v>
          </cell>
          <cell r="E59">
            <v>5.1071532105608157E-2</v>
          </cell>
          <cell r="F59">
            <v>4.1637164178927148E-2</v>
          </cell>
          <cell r="G59">
            <v>4.1935932196285601E-2</v>
          </cell>
          <cell r="H59">
            <v>3.7314788995613683E-2</v>
          </cell>
          <cell r="I59">
            <v>3.4534022325947461E-2</v>
          </cell>
          <cell r="J59">
            <v>3.3711863078814366E-2</v>
          </cell>
          <cell r="K59">
            <v>3.0063550493583942E-2</v>
          </cell>
          <cell r="L59">
            <v>2.9275521261984506E-2</v>
          </cell>
          <cell r="M59">
            <v>3.2374951571962157E-2</v>
          </cell>
          <cell r="N59">
            <v>4.1013653734164719E-2</v>
          </cell>
          <cell r="P59" t="str">
            <v>Average (Ex. HSBC)</v>
          </cell>
          <cell r="Q59">
            <v>-7.1654406446106322E-2</v>
          </cell>
          <cell r="R59">
            <v>-4.0754600757762827E-2</v>
          </cell>
          <cell r="S59">
            <v>-0.1847285079909522</v>
          </cell>
          <cell r="T59">
            <v>7.1755131083028889E-3</v>
          </cell>
          <cell r="U59">
            <v>-0.11019531362846935</v>
          </cell>
          <cell r="V59">
            <v>-7.4521838244699712E-2</v>
          </cell>
          <cell r="W59">
            <v>-2.3807225216141648E-2</v>
          </cell>
          <cell r="X59">
            <v>-0.10822043791234848</v>
          </cell>
          <cell r="Y59">
            <v>-2.6212114625902672E-2</v>
          </cell>
          <cell r="Z59">
            <v>0.10587105460022639</v>
          </cell>
        </row>
        <row r="61">
          <cell r="A61" t="str">
            <v>Modelware Earnings/RWA (%)</v>
          </cell>
          <cell r="C61">
            <v>1996</v>
          </cell>
          <cell r="D61">
            <v>1997</v>
          </cell>
          <cell r="E61">
            <v>1998</v>
          </cell>
          <cell r="F61">
            <v>1999</v>
          </cell>
          <cell r="G61">
            <v>2000</v>
          </cell>
          <cell r="H61">
            <v>2001</v>
          </cell>
          <cell r="I61">
            <v>2002</v>
          </cell>
          <cell r="J61">
            <v>2003</v>
          </cell>
          <cell r="K61">
            <v>2004</v>
          </cell>
          <cell r="L61" t="str">
            <v>2005E</v>
          </cell>
          <cell r="M61" t="str">
            <v>2006E</v>
          </cell>
          <cell r="N61" t="str">
            <v>96-05 Ave.</v>
          </cell>
          <cell r="P61" t="str">
            <v>Modelware Earnings/RWA Growth YoY</v>
          </cell>
          <cell r="Q61">
            <v>1997</v>
          </cell>
          <cell r="R61">
            <v>1998</v>
          </cell>
          <cell r="S61">
            <v>1999</v>
          </cell>
          <cell r="T61">
            <v>2000</v>
          </cell>
          <cell r="U61">
            <v>2001</v>
          </cell>
          <cell r="V61">
            <v>2002</v>
          </cell>
          <cell r="W61">
            <v>2003</v>
          </cell>
          <cell r="X61">
            <v>2004</v>
          </cell>
          <cell r="Y61" t="str">
            <v>2005E</v>
          </cell>
          <cell r="Z61" t="str">
            <v>2006E</v>
          </cell>
        </row>
        <row r="62">
          <cell r="A62" t="str">
            <v>HSB</v>
          </cell>
          <cell r="C62">
            <v>1</v>
          </cell>
          <cell r="D62">
            <v>1</v>
          </cell>
          <cell r="E62">
            <v>1</v>
          </cell>
          <cell r="F62">
            <v>1</v>
          </cell>
          <cell r="G62">
            <v>1</v>
          </cell>
          <cell r="H62">
            <v>1</v>
          </cell>
          <cell r="I62">
            <v>1</v>
          </cell>
          <cell r="J62">
            <v>1</v>
          </cell>
          <cell r="K62">
            <v>1</v>
          </cell>
          <cell r="L62">
            <v>1</v>
          </cell>
          <cell r="M62">
            <v>1</v>
          </cell>
          <cell r="N62">
            <v>1</v>
          </cell>
          <cell r="P62" t="str">
            <v>HSB</v>
          </cell>
          <cell r="Q62">
            <v>0</v>
          </cell>
          <cell r="R62">
            <v>0</v>
          </cell>
          <cell r="S62">
            <v>0</v>
          </cell>
          <cell r="T62">
            <v>0</v>
          </cell>
          <cell r="U62">
            <v>0</v>
          </cell>
          <cell r="V62">
            <v>0</v>
          </cell>
          <cell r="W62">
            <v>0</v>
          </cell>
          <cell r="X62">
            <v>0</v>
          </cell>
          <cell r="Y62">
            <v>0</v>
          </cell>
          <cell r="Z62">
            <v>0</v>
          </cell>
        </row>
        <row r="63">
          <cell r="A63" t="str">
            <v>BEA</v>
          </cell>
          <cell r="C63">
            <v>4.5270036004800639E-2</v>
          </cell>
          <cell r="D63">
            <v>4.4572130398354788E-2</v>
          </cell>
          <cell r="E63">
            <v>3.5809797190087408E-2</v>
          </cell>
          <cell r="F63">
            <v>4.069246256264053E-2</v>
          </cell>
          <cell r="G63">
            <v>4.2530781090068928E-2</v>
          </cell>
          <cell r="H63">
            <v>4.2009913131734591E-2</v>
          </cell>
          <cell r="I63">
            <v>4.0809979599069297E-2</v>
          </cell>
          <cell r="J63">
            <v>3.7655037382661079E-2</v>
          </cell>
          <cell r="K63">
            <v>4.1020976143291858E-2</v>
          </cell>
          <cell r="L63">
            <v>3.8899749631306373E-2</v>
          </cell>
          <cell r="M63">
            <v>3.9418475938726348E-2</v>
          </cell>
          <cell r="N63">
            <v>4.0927086313401542E-2</v>
          </cell>
          <cell r="P63" t="str">
            <v>BEA</v>
          </cell>
          <cell r="Q63">
            <v>-1.5416502128954401E-2</v>
          </cell>
          <cell r="R63">
            <v>-0.19658771366671779</v>
          </cell>
          <cell r="S63">
            <v>0.13634998675459409</v>
          </cell>
          <cell r="T63">
            <v>4.5175897737782744E-2</v>
          </cell>
          <cell r="U63">
            <v>-1.2246846753913965E-2</v>
          </cell>
          <cell r="V63">
            <v>-2.8563104353549695E-2</v>
          </cell>
          <cell r="W63">
            <v>-7.7308105698738694E-2</v>
          </cell>
          <cell r="X63">
            <v>8.9388804117365828E-2</v>
          </cell>
          <cell r="Y63">
            <v>-5.1710776081382193E-2</v>
          </cell>
          <cell r="Z63">
            <v>1.3334952341248707E-2</v>
          </cell>
        </row>
        <row r="64">
          <cell r="A64" t="str">
            <v>BOCHK</v>
          </cell>
          <cell r="F64">
            <v>5.8711906564862821E-3</v>
          </cell>
          <cell r="G64">
            <v>1.6871828782911456E-2</v>
          </cell>
          <cell r="H64">
            <v>1.4940460739113625E-2</v>
          </cell>
          <cell r="I64">
            <v>1.1603842235482465E-2</v>
          </cell>
          <cell r="J64">
            <v>1.6736059691291223E-2</v>
          </cell>
          <cell r="K64">
            <v>1.8338968761093363E-2</v>
          </cell>
          <cell r="L64">
            <v>1.6941589874143927E-2</v>
          </cell>
          <cell r="M64">
            <v>1.7533771157495603E-2</v>
          </cell>
          <cell r="N64">
            <v>1.4471991534360336E-2</v>
          </cell>
          <cell r="P64" t="str">
            <v>BOCHK</v>
          </cell>
          <cell r="T64">
            <v>1.8736639244157507</v>
          </cell>
          <cell r="U64">
            <v>-0.11447295184467532</v>
          </cell>
          <cell r="V64">
            <v>-0.2233276845938228</v>
          </cell>
          <cell r="W64">
            <v>0.44228604212795641</v>
          </cell>
          <cell r="X64">
            <v>9.5775773949720699E-2</v>
          </cell>
          <cell r="Y64">
            <v>-7.6197244520859519E-2</v>
          </cell>
          <cell r="Z64">
            <v>3.4954292232953765E-2</v>
          </cell>
        </row>
        <row r="65">
          <cell r="A65" t="str">
            <v>DSF</v>
          </cell>
          <cell r="C65" t="e">
            <v>#DIV/0!</v>
          </cell>
          <cell r="D65" t="e">
            <v>#DIV/0!</v>
          </cell>
          <cell r="E65" t="e">
            <v>#DIV/0!</v>
          </cell>
          <cell r="F65">
            <v>8.0635552206046734E-3</v>
          </cell>
          <cell r="G65">
            <v>1.3133241425083514E-2</v>
          </cell>
          <cell r="H65">
            <v>9.4520642198499625E-3</v>
          </cell>
          <cell r="I65">
            <v>1.6115741955531004E-2</v>
          </cell>
          <cell r="J65">
            <v>1.9797038739466845E-2</v>
          </cell>
          <cell r="K65">
            <v>2.8859804488599518E-2</v>
          </cell>
          <cell r="L65">
            <v>3.092375E-2</v>
          </cell>
          <cell r="M65">
            <v>2.9205598512036756E-2</v>
          </cell>
          <cell r="N65" t="e">
            <v>#DIV/0!</v>
          </cell>
          <cell r="P65" t="str">
            <v>DSF</v>
          </cell>
          <cell r="Q65" t="e">
            <v>#DIV/0!</v>
          </cell>
          <cell r="R65" t="e">
            <v>#DIV/0!</v>
          </cell>
          <cell r="S65" t="e">
            <v>#DIV/0!</v>
          </cell>
          <cell r="T65">
            <v>0.62871600253004445</v>
          </cell>
          <cell r="U65">
            <v>-0.28029464212869615</v>
          </cell>
          <cell r="V65">
            <v>0.70499708642339476</v>
          </cell>
          <cell r="W65">
            <v>0.22842862550752119</v>
          </cell>
          <cell r="X65">
            <v>0.45778390740153418</v>
          </cell>
          <cell r="Y65">
            <v>7.1516267971108549E-2</v>
          </cell>
          <cell r="Z65">
            <v>-5.5560903446808529E-2</v>
          </cell>
        </row>
        <row r="66">
          <cell r="A66" t="str">
            <v>WHB</v>
          </cell>
          <cell r="C66">
            <v>2.6752367422972573E-2</v>
          </cell>
          <cell r="D66">
            <v>2.5027315537498315E-2</v>
          </cell>
          <cell r="E66">
            <v>1.0121696664172345E-2</v>
          </cell>
          <cell r="F66">
            <v>2.1627983962923456E-2</v>
          </cell>
          <cell r="G66">
            <v>2.7210473313192346E-2</v>
          </cell>
          <cell r="H66">
            <v>2.8305406466815026E-2</v>
          </cell>
          <cell r="I66">
            <v>2.6416940186737202E-2</v>
          </cell>
          <cell r="J66">
            <v>3.0633969118982741E-2</v>
          </cell>
          <cell r="K66">
            <v>2.7869471278316862E-2</v>
          </cell>
          <cell r="L66">
            <v>1.7990364680597757E-2</v>
          </cell>
          <cell r="M66">
            <v>1.9687409553920211E-2</v>
          </cell>
          <cell r="N66">
            <v>2.4195598863220865E-2</v>
          </cell>
          <cell r="P66" t="str">
            <v>WHB</v>
          </cell>
          <cell r="Q66">
            <v>-6.4482214160715201E-2</v>
          </cell>
          <cell r="R66">
            <v>-0.59557401795621856</v>
          </cell>
          <cell r="S66">
            <v>1.136794322189064</v>
          </cell>
          <cell r="T66">
            <v>0.258114180213878</v>
          </cell>
          <cell r="U66">
            <v>4.0239401241573658E-2</v>
          </cell>
          <cell r="V66">
            <v>-6.671751145110183E-2</v>
          </cell>
          <cell r="W66">
            <v>0.15963351177070551</v>
          </cell>
          <cell r="X66">
            <v>-9.0242887884639855E-2</v>
          </cell>
          <cell r="Y66">
            <v>-0.35447771861410571</v>
          </cell>
          <cell r="Z66">
            <v>9.4330765576569053E-2</v>
          </cell>
        </row>
        <row r="67">
          <cell r="A67" t="str">
            <v>CIFH</v>
          </cell>
          <cell r="C67">
            <v>2.9484799989628423E-2</v>
          </cell>
          <cell r="D67">
            <v>2.9686384307050142E-2</v>
          </cell>
          <cell r="E67">
            <v>1.6636818926889309E-2</v>
          </cell>
          <cell r="F67">
            <v>2.2224120293281378E-2</v>
          </cell>
          <cell r="G67">
            <v>2.8232335932703457E-2</v>
          </cell>
          <cell r="H67">
            <v>2.2195038022813692E-2</v>
          </cell>
          <cell r="I67">
            <v>1.858093986862052E-2</v>
          </cell>
          <cell r="J67">
            <v>1.7388004450150742E-2</v>
          </cell>
          <cell r="K67">
            <v>2.2266246546476236E-2</v>
          </cell>
          <cell r="L67">
            <v>2.2026752135777851E-2</v>
          </cell>
          <cell r="M67">
            <v>2.4228583134224779E-2</v>
          </cell>
          <cell r="N67">
            <v>2.2872144047339178E-2</v>
          </cell>
          <cell r="P67" t="str">
            <v>CIFH</v>
          </cell>
          <cell r="Q67">
            <v>6.8368894309145389E-3</v>
          </cell>
          <cell r="R67">
            <v>-0.43958082753317063</v>
          </cell>
          <cell r="S67">
            <v>0.33583952502852421</v>
          </cell>
          <cell r="T67">
            <v>0.27034661260533377</v>
          </cell>
          <cell r="U67">
            <v>-0.2138433718088607</v>
          </cell>
          <cell r="V67">
            <v>-0.16283360949768755</v>
          </cell>
          <cell r="W67">
            <v>-6.420210317156283E-2</v>
          </cell>
          <cell r="X67">
            <v>0.28055215365919706</v>
          </cell>
          <cell r="Y67">
            <v>-1.0755939946972659E-2</v>
          </cell>
          <cell r="Z67">
            <v>9.9961673190597899E-2</v>
          </cell>
        </row>
        <row r="68">
          <cell r="A68" t="str">
            <v>ICBCA</v>
          </cell>
          <cell r="D68">
            <v>2.4040996107584749E-2</v>
          </cell>
          <cell r="E68">
            <v>3.1700883116069427E-3</v>
          </cell>
          <cell r="F68">
            <v>3.1600097349292625E-3</v>
          </cell>
          <cell r="G68">
            <v>1.506610927397019E-2</v>
          </cell>
          <cell r="H68">
            <v>1.174930873455873E-2</v>
          </cell>
          <cell r="I68">
            <v>8.7206512507345159E-3</v>
          </cell>
          <cell r="J68">
            <v>1.3800782502375673E-2</v>
          </cell>
          <cell r="K68">
            <v>1.6742055121704891E-2</v>
          </cell>
          <cell r="L68">
            <v>1.8826651115358684E-2</v>
          </cell>
          <cell r="M68">
            <v>1.452953619520197E-2</v>
          </cell>
          <cell r="N68">
            <v>1.2808516905869292E-2</v>
          </cell>
          <cell r="P68" t="str">
            <v>ICBCA</v>
          </cell>
          <cell r="R68">
            <v>-0.8681382294884693</v>
          </cell>
          <cell r="S68">
            <v>-3.1792731580311262E-3</v>
          </cell>
          <cell r="T68">
            <v>3.7677414115015209</v>
          </cell>
          <cell r="U68">
            <v>-0.22014977318277629</v>
          </cell>
          <cell r="V68">
            <v>-0.25777324881385555</v>
          </cell>
          <cell r="W68">
            <v>0.58254035227165768</v>
          </cell>
          <cell r="X68">
            <v>0.2131236122895861</v>
          </cell>
          <cell r="Y68">
            <v>0.12451255108766546</v>
          </cell>
          <cell r="Z68">
            <v>-0.22824637763915168</v>
          </cell>
        </row>
        <row r="69">
          <cell r="A69" t="str">
            <v>WLB</v>
          </cell>
          <cell r="C69" t="e">
            <v>#DIV/0!</v>
          </cell>
          <cell r="D69">
            <v>2.8856356164355518E-2</v>
          </cell>
          <cell r="E69">
            <v>2.2957974831004781E-3</v>
          </cell>
          <cell r="F69">
            <v>-4.5750905914274796E-2</v>
          </cell>
          <cell r="G69">
            <v>1.0757015855104628E-2</v>
          </cell>
          <cell r="H69">
            <v>1.208766779214363E-2</v>
          </cell>
          <cell r="I69">
            <v>1.6922449287953757E-2</v>
          </cell>
          <cell r="J69">
            <v>9.1110503766469817E-3</v>
          </cell>
          <cell r="K69">
            <v>1.0524044687747338E-2</v>
          </cell>
          <cell r="L69">
            <v>1.1669042345813637E-2</v>
          </cell>
          <cell r="M69">
            <v>1.2669294495095809E-2</v>
          </cell>
          <cell r="N69" t="e">
            <v>#DIV/0!</v>
          </cell>
          <cell r="P69" t="str">
            <v>WLB</v>
          </cell>
          <cell r="Q69" t="e">
            <v>#DIV/0!</v>
          </cell>
          <cell r="R69">
            <v>-0.92044049255476212</v>
          </cell>
          <cell r="S69">
            <v>-20.928110493652134</v>
          </cell>
          <cell r="T69">
            <v>-1.2351213738862452</v>
          </cell>
          <cell r="U69">
            <v>0.12370084370634782</v>
          </cell>
          <cell r="V69">
            <v>0.39997637087217841</v>
          </cell>
          <cell r="W69">
            <v>-0.46159978253664014</v>
          </cell>
          <cell r="X69">
            <v>0.15508577526056455</v>
          </cell>
          <cell r="Y69">
            <v>0.10879825124644027</v>
          </cell>
          <cell r="Z69">
            <v>8.5718443693969526E-2</v>
          </cell>
        </row>
        <row r="70">
          <cell r="A70" t="str">
            <v>HSBC</v>
          </cell>
          <cell r="C70">
            <v>1.8608328522868933E-2</v>
          </cell>
          <cell r="D70">
            <v>1.8808225935637413E-2</v>
          </cell>
          <cell r="E70">
            <v>1.4333498923662858E-2</v>
          </cell>
          <cell r="F70">
            <v>1.6111174426806065E-2</v>
          </cell>
          <cell r="G70">
            <v>1.8603705624636747E-2</v>
          </cell>
          <cell r="H70">
            <v>1.5850188260898443E-2</v>
          </cell>
          <cell r="I70" t="e">
            <v>#VALUE!</v>
          </cell>
          <cell r="J70" t="e">
            <v>#VALUE!</v>
          </cell>
          <cell r="K70" t="e">
            <v>#VALUE!</v>
          </cell>
          <cell r="L70" t="e">
            <v>#VALUE!</v>
          </cell>
          <cell r="M70" t="e">
            <v>#VALUE!</v>
          </cell>
          <cell r="N70" t="e">
            <v>#VALUE!</v>
          </cell>
          <cell r="P70" t="str">
            <v>HSBC</v>
          </cell>
          <cell r="Q70">
            <v>1.0742362621275481E-2</v>
          </cell>
          <cell r="R70">
            <v>-0.23791329534679506</v>
          </cell>
          <cell r="S70">
            <v>0.12402243950418002</v>
          </cell>
          <cell r="T70">
            <v>0.15470822497480774</v>
          </cell>
          <cell r="U70">
            <v>-0.14800908051844475</v>
          </cell>
          <cell r="V70" t="e">
            <v>#VALUE!</v>
          </cell>
          <cell r="W70" t="e">
            <v>#VALUE!</v>
          </cell>
          <cell r="X70" t="e">
            <v>#VALUE!</v>
          </cell>
          <cell r="Y70" t="e">
            <v>#VALUE!</v>
          </cell>
          <cell r="Z70" t="e">
            <v>#VALUE!</v>
          </cell>
        </row>
        <row r="71">
          <cell r="A71" t="str">
            <v>Average</v>
          </cell>
          <cell r="C71">
            <v>2.189659328560498E-2</v>
          </cell>
          <cell r="D71">
            <v>2.1962752861687695E-2</v>
          </cell>
          <cell r="E71">
            <v>1.6459800530590735E-2</v>
          </cell>
          <cell r="F71">
            <v>1.6774630067049937E-2</v>
          </cell>
          <cell r="G71">
            <v>2.0077267412389629E-2</v>
          </cell>
          <cell r="H71">
            <v>1.7359514557690307E-2</v>
          </cell>
          <cell r="I71" t="e">
            <v>#VALUE!</v>
          </cell>
          <cell r="J71" t="e">
            <v>#VALUE!</v>
          </cell>
          <cell r="K71" t="e">
            <v>#VALUE!</v>
          </cell>
          <cell r="L71" t="e">
            <v>#VALUE!</v>
          </cell>
          <cell r="M71" t="e">
            <v>#VALUE!</v>
          </cell>
          <cell r="N71" t="e">
            <v>#VALUE!</v>
          </cell>
          <cell r="P71" t="str">
            <v>Average</v>
          </cell>
          <cell r="Q71">
            <v>3.0214552199867573E-3</v>
          </cell>
          <cell r="R71">
            <v>-0.25055840521232797</v>
          </cell>
          <cell r="S71">
            <v>1.9127178113373056E-2</v>
          </cell>
          <cell r="T71">
            <v>0.19688287205969424</v>
          </cell>
          <cell r="U71">
            <v>-0.1353646788119286</v>
          </cell>
          <cell r="V71" t="e">
            <v>#VALUE!</v>
          </cell>
          <cell r="W71" t="e">
            <v>#VALUE!</v>
          </cell>
          <cell r="X71" t="e">
            <v>#VALUE!</v>
          </cell>
          <cell r="Y71" t="e">
            <v>#VALUE!</v>
          </cell>
          <cell r="Z71" t="e">
            <v>#VALUE!</v>
          </cell>
        </row>
        <row r="72">
          <cell r="A72" t="str">
            <v>Average (Ex. HSBC)</v>
          </cell>
          <cell r="C72">
            <v>4.9787850102772105E-2</v>
          </cell>
          <cell r="D72">
            <v>4.5657093952489493E-2</v>
          </cell>
          <cell r="E72">
            <v>3.3014929470730432E-2</v>
          </cell>
          <cell r="F72">
            <v>1.903126915403185E-2</v>
          </cell>
          <cell r="G72">
            <v>2.5343877525753181E-2</v>
          </cell>
          <cell r="H72">
            <v>2.2533684732600614E-2</v>
          </cell>
          <cell r="I72">
            <v>2.3912832920289485E-2</v>
          </cell>
          <cell r="J72">
            <v>2.5447860307335628E-2</v>
          </cell>
          <cell r="K72">
            <v>3.0216269173919681E-2</v>
          </cell>
          <cell r="L72">
            <v>2.9533357407789684E-2</v>
          </cell>
          <cell r="M72">
            <v>2.8676641384163433E-2</v>
          </cell>
          <cell r="N72">
            <v>3.0447902474771214E-2</v>
          </cell>
          <cell r="P72" t="str">
            <v>Average (Ex. HSBC)</v>
          </cell>
          <cell r="Q72">
            <v>-8.2967152463018667E-2</v>
          </cell>
          <cell r="R72">
            <v>-0.27689376145828348</v>
          </cell>
          <cell r="S72">
            <v>-0.42355566226775898</v>
          </cell>
          <cell r="T72">
            <v>0.33169665778091217</v>
          </cell>
          <cell r="U72">
            <v>-0.11088251157688833</v>
          </cell>
          <cell r="V72">
            <v>6.1203846776714199E-2</v>
          </cell>
          <cell r="W72">
            <v>6.4192619593126832E-2</v>
          </cell>
          <cell r="X72">
            <v>0.18737955997068667</v>
          </cell>
          <cell r="Y72">
            <v>-2.2600797014326046E-2</v>
          </cell>
          <cell r="Z72">
            <v>-2.9008419591342594E-2</v>
          </cell>
        </row>
        <row r="75">
          <cell r="A75" t="str">
            <v>DPS (HK$)</v>
          </cell>
          <cell r="C75">
            <v>1996</v>
          </cell>
          <cell r="D75">
            <v>1997</v>
          </cell>
          <cell r="E75">
            <v>1998</v>
          </cell>
          <cell r="F75">
            <v>1999</v>
          </cell>
          <cell r="G75">
            <v>2000</v>
          </cell>
          <cell r="H75">
            <v>2001</v>
          </cell>
          <cell r="I75">
            <v>2002</v>
          </cell>
          <cell r="J75">
            <v>2003</v>
          </cell>
          <cell r="K75">
            <v>2004</v>
          </cell>
          <cell r="L75" t="str">
            <v>2005E</v>
          </cell>
          <cell r="M75" t="str">
            <v>2006E</v>
          </cell>
          <cell r="N75" t="str">
            <v>96-05 CAGR</v>
          </cell>
          <cell r="P75" t="str">
            <v>DPS Growth YoY</v>
          </cell>
          <cell r="Q75">
            <v>1997</v>
          </cell>
          <cell r="R75">
            <v>1998</v>
          </cell>
          <cell r="S75">
            <v>1999</v>
          </cell>
          <cell r="T75">
            <v>2000</v>
          </cell>
          <cell r="U75">
            <v>2001</v>
          </cell>
          <cell r="V75">
            <v>2002</v>
          </cell>
          <cell r="W75">
            <v>2003</v>
          </cell>
          <cell r="X75">
            <v>2004</v>
          </cell>
          <cell r="Y75" t="str">
            <v>2005E</v>
          </cell>
          <cell r="Z75" t="str">
            <v>2006E</v>
          </cell>
        </row>
        <row r="76">
          <cell r="A76" t="str">
            <v>HSB</v>
          </cell>
          <cell r="B76" t="str">
            <v>0011.HK</v>
          </cell>
          <cell r="C76">
            <v>0</v>
          </cell>
          <cell r="D76" t="str">
            <v>#Refresh</v>
          </cell>
          <cell r="E76" t="str">
            <v>#Refresh</v>
          </cell>
          <cell r="F76" t="str">
            <v>#Refresh</v>
          </cell>
          <cell r="G76" t="str">
            <v>#Refresh</v>
          </cell>
          <cell r="H76" t="str">
            <v>#Refresh</v>
          </cell>
          <cell r="I76" t="str">
            <v>#Refresh</v>
          </cell>
          <cell r="J76" t="str">
            <v>#Refresh</v>
          </cell>
          <cell r="K76" t="str">
            <v>#Refresh</v>
          </cell>
          <cell r="L76" t="str">
            <v>#Refresh</v>
          </cell>
          <cell r="M76" t="str">
            <v>#Refresh</v>
          </cell>
          <cell r="N76" t="e">
            <v>#VALUE!</v>
          </cell>
          <cell r="P76" t="str">
            <v>HSB</v>
          </cell>
          <cell r="R76" t="e">
            <v>#VALUE!</v>
          </cell>
          <cell r="S76" t="e">
            <v>#VALUE!</v>
          </cell>
          <cell r="T76" t="e">
            <v>#VALUE!</v>
          </cell>
          <cell r="U76" t="e">
            <v>#VALUE!</v>
          </cell>
          <cell r="V76" t="e">
            <v>#VALUE!</v>
          </cell>
          <cell r="W76" t="e">
            <v>#VALUE!</v>
          </cell>
          <cell r="X76" t="e">
            <v>#VALUE!</v>
          </cell>
          <cell r="Y76" t="e">
            <v>#VALUE!</v>
          </cell>
          <cell r="Z76" t="e">
            <v>#VALUE!</v>
          </cell>
        </row>
        <row r="77">
          <cell r="A77" t="str">
            <v>BEA</v>
          </cell>
          <cell r="B77" t="str">
            <v>0023.HK</v>
          </cell>
          <cell r="C77">
            <v>8.7991745283018865</v>
          </cell>
          <cell r="D77" t="str">
            <v>#Refresh</v>
          </cell>
          <cell r="E77" t="str">
            <v>#Refresh</v>
          </cell>
          <cell r="F77" t="str">
            <v>#Refresh</v>
          </cell>
          <cell r="G77" t="str">
            <v>#Refresh</v>
          </cell>
          <cell r="H77" t="str">
            <v>#Refresh</v>
          </cell>
          <cell r="I77" t="str">
            <v>#Refresh</v>
          </cell>
          <cell r="J77" t="str">
            <v>#Refresh</v>
          </cell>
          <cell r="K77" t="str">
            <v>#Refresh</v>
          </cell>
          <cell r="L77" t="str">
            <v>#Refresh</v>
          </cell>
          <cell r="M77" t="str">
            <v>#Refresh</v>
          </cell>
          <cell r="N77" t="e">
            <v>#VALUE!</v>
          </cell>
          <cell r="P77" t="str">
            <v>BEA</v>
          </cell>
          <cell r="R77" t="e">
            <v>#VALUE!</v>
          </cell>
          <cell r="S77" t="e">
            <v>#VALUE!</v>
          </cell>
          <cell r="T77" t="e">
            <v>#VALUE!</v>
          </cell>
          <cell r="U77" t="e">
            <v>#VALUE!</v>
          </cell>
          <cell r="V77" t="e">
            <v>#VALUE!</v>
          </cell>
          <cell r="W77" t="e">
            <v>#VALUE!</v>
          </cell>
          <cell r="X77" t="e">
            <v>#VALUE!</v>
          </cell>
          <cell r="Y77" t="e">
            <v>#VALUE!</v>
          </cell>
          <cell r="Z77" t="e">
            <v>#VALUE!</v>
          </cell>
        </row>
        <row r="78">
          <cell r="A78" t="str">
            <v>BOCHK</v>
          </cell>
          <cell r="B78" t="str">
            <v>2388.HK</v>
          </cell>
          <cell r="G78" t="str">
            <v>#Refresh</v>
          </cell>
          <cell r="H78" t="str">
            <v>#Refresh</v>
          </cell>
          <cell r="I78" t="str">
            <v>#Refresh</v>
          </cell>
          <cell r="J78" t="str">
            <v>#Refresh</v>
          </cell>
          <cell r="K78" t="str">
            <v>#Refresh</v>
          </cell>
          <cell r="L78" t="str">
            <v>#Refresh</v>
          </cell>
          <cell r="M78" t="str">
            <v>#Refresh</v>
          </cell>
          <cell r="N78" t="e">
            <v>#VALUE!</v>
          </cell>
          <cell r="P78" t="str">
            <v>BOCHK</v>
          </cell>
          <cell r="U78" t="e">
            <v>#VALUE!</v>
          </cell>
          <cell r="V78" t="e">
            <v>#VALUE!</v>
          </cell>
          <cell r="W78" t="e">
            <v>#VALUE!</v>
          </cell>
          <cell r="X78" t="e">
            <v>#VALUE!</v>
          </cell>
          <cell r="Y78" t="e">
            <v>#VALUE!</v>
          </cell>
          <cell r="Z78" t="e">
            <v>#VALUE!</v>
          </cell>
        </row>
        <row r="79">
          <cell r="A79" t="str">
            <v>DSF</v>
          </cell>
          <cell r="B79" t="str">
            <v>0440.HK</v>
          </cell>
          <cell r="C79">
            <v>0</v>
          </cell>
          <cell r="D79" t="str">
            <v>#Refresh</v>
          </cell>
          <cell r="E79" t="str">
            <v>#Refresh</v>
          </cell>
          <cell r="F79" t="str">
            <v>#Refresh</v>
          </cell>
          <cell r="G79" t="str">
            <v>#Refresh</v>
          </cell>
          <cell r="H79" t="str">
            <v>#Refresh</v>
          </cell>
          <cell r="I79" t="str">
            <v>#Refresh</v>
          </cell>
          <cell r="J79" t="str">
            <v>#Refresh</v>
          </cell>
          <cell r="K79" t="str">
            <v>#Refresh</v>
          </cell>
          <cell r="L79" t="str">
            <v>#Refresh</v>
          </cell>
          <cell r="M79" t="str">
            <v>#Refresh</v>
          </cell>
          <cell r="N79" t="e">
            <v>#VALUE!</v>
          </cell>
          <cell r="P79" t="str">
            <v>DSF</v>
          </cell>
          <cell r="R79" t="e">
            <v>#VALUE!</v>
          </cell>
          <cell r="S79" t="e">
            <v>#VALUE!</v>
          </cell>
          <cell r="T79" t="e">
            <v>#VALUE!</v>
          </cell>
          <cell r="U79" t="e">
            <v>#VALUE!</v>
          </cell>
          <cell r="V79" t="e">
            <v>#VALUE!</v>
          </cell>
          <cell r="W79" t="e">
            <v>#VALUE!</v>
          </cell>
          <cell r="X79" t="e">
            <v>#VALUE!</v>
          </cell>
          <cell r="Y79" t="e">
            <v>#VALUE!</v>
          </cell>
          <cell r="Z79" t="e">
            <v>#VALUE!</v>
          </cell>
        </row>
        <row r="80">
          <cell r="A80" t="str">
            <v>WHB</v>
          </cell>
          <cell r="B80" t="str">
            <v>0302.HK</v>
          </cell>
          <cell r="C80">
            <v>0.12767382585731166</v>
          </cell>
          <cell r="D80" t="str">
            <v>#Refresh</v>
          </cell>
          <cell r="E80" t="str">
            <v>#Refresh</v>
          </cell>
          <cell r="F80" t="str">
            <v>#Refresh</v>
          </cell>
          <cell r="G80" t="str">
            <v>#Refresh</v>
          </cell>
          <cell r="H80" t="str">
            <v>#Refresh</v>
          </cell>
          <cell r="I80" t="str">
            <v>#Refresh</v>
          </cell>
          <cell r="J80" t="str">
            <v>#Refresh</v>
          </cell>
          <cell r="K80" t="str">
            <v>#Refresh</v>
          </cell>
          <cell r="L80" t="str">
            <v>#Refresh</v>
          </cell>
          <cell r="M80" t="str">
            <v>#Refresh</v>
          </cell>
          <cell r="N80" t="e">
            <v>#VALUE!</v>
          </cell>
          <cell r="P80" t="str">
            <v>WHB</v>
          </cell>
          <cell r="R80" t="e">
            <v>#VALUE!</v>
          </cell>
          <cell r="S80" t="e">
            <v>#VALUE!</v>
          </cell>
          <cell r="T80" t="e">
            <v>#VALUE!</v>
          </cell>
          <cell r="U80" t="e">
            <v>#VALUE!</v>
          </cell>
          <cell r="V80" t="e">
            <v>#VALUE!</v>
          </cell>
          <cell r="W80" t="e">
            <v>#VALUE!</v>
          </cell>
          <cell r="X80" t="e">
            <v>#VALUE!</v>
          </cell>
          <cell r="Y80" t="e">
            <v>#VALUE!</v>
          </cell>
          <cell r="Z80" t="e">
            <v>#VALUE!</v>
          </cell>
        </row>
        <row r="81">
          <cell r="A81" t="str">
            <v>CIFH</v>
          </cell>
          <cell r="B81" t="str">
            <v>0183.HK</v>
          </cell>
          <cell r="C81">
            <v>0</v>
          </cell>
          <cell r="D81" t="str">
            <v>#Refresh</v>
          </cell>
          <cell r="E81" t="str">
            <v>#Refresh</v>
          </cell>
          <cell r="F81" t="str">
            <v>#Refresh</v>
          </cell>
          <cell r="G81" t="str">
            <v>#Refresh</v>
          </cell>
          <cell r="H81" t="str">
            <v>#Refresh</v>
          </cell>
          <cell r="I81" t="str">
            <v>#Refresh</v>
          </cell>
          <cell r="J81" t="str">
            <v>#Refresh</v>
          </cell>
          <cell r="K81" t="str">
            <v>#Refresh</v>
          </cell>
          <cell r="L81" t="str">
            <v>#Refresh</v>
          </cell>
          <cell r="M81" t="str">
            <v>#Refresh</v>
          </cell>
          <cell r="N81" t="e">
            <v>#VALUE!</v>
          </cell>
          <cell r="P81" t="str">
            <v>CIFH</v>
          </cell>
          <cell r="R81" t="e">
            <v>#VALUE!</v>
          </cell>
          <cell r="S81" t="e">
            <v>#VALUE!</v>
          </cell>
          <cell r="T81" t="e">
            <v>#VALUE!</v>
          </cell>
          <cell r="U81" t="e">
            <v>#VALUE!</v>
          </cell>
          <cell r="V81" t="e">
            <v>#VALUE!</v>
          </cell>
          <cell r="W81" t="e">
            <v>#VALUE!</v>
          </cell>
          <cell r="X81" t="e">
            <v>#VALUE!</v>
          </cell>
          <cell r="Y81" t="e">
            <v>#VALUE!</v>
          </cell>
          <cell r="Z81" t="e">
            <v>#VALUE!</v>
          </cell>
        </row>
        <row r="82">
          <cell r="A82" t="str">
            <v>ICBCA</v>
          </cell>
          <cell r="B82" t="str">
            <v>0349.HK</v>
          </cell>
          <cell r="E82" t="str">
            <v>#Refresh</v>
          </cell>
          <cell r="F82" t="str">
            <v>#Refresh</v>
          </cell>
          <cell r="G82" t="str">
            <v>#Refresh</v>
          </cell>
          <cell r="H82" t="str">
            <v>#Refresh</v>
          </cell>
          <cell r="I82" t="str">
            <v>#Refresh</v>
          </cell>
          <cell r="J82" t="str">
            <v>#Refresh</v>
          </cell>
          <cell r="K82" t="str">
            <v>#Refresh</v>
          </cell>
          <cell r="L82" t="str">
            <v>#Refresh</v>
          </cell>
          <cell r="M82" t="str">
            <v>#Refresh</v>
          </cell>
          <cell r="N82" t="e">
            <v>#VALUE!</v>
          </cell>
          <cell r="P82" t="str">
            <v>ICBCA</v>
          </cell>
          <cell r="S82" t="e">
            <v>#VALUE!</v>
          </cell>
          <cell r="T82" t="str">
            <v>NM</v>
          </cell>
          <cell r="U82" t="e">
            <v>#VALUE!</v>
          </cell>
          <cell r="V82" t="e">
            <v>#VALUE!</v>
          </cell>
          <cell r="W82" t="e">
            <v>#VALUE!</v>
          </cell>
          <cell r="X82" t="e">
            <v>#VALUE!</v>
          </cell>
          <cell r="Y82" t="e">
            <v>#VALUE!</v>
          </cell>
          <cell r="Z82" t="e">
            <v>#VALUE!</v>
          </cell>
        </row>
        <row r="83">
          <cell r="A83" t="str">
            <v>WLB</v>
          </cell>
          <cell r="B83" t="str">
            <v>0096.HK</v>
          </cell>
          <cell r="C83">
            <v>0</v>
          </cell>
          <cell r="D83">
            <v>0</v>
          </cell>
          <cell r="E83" t="str">
            <v>#Refresh</v>
          </cell>
          <cell r="F83" t="str">
            <v>#Refresh</v>
          </cell>
          <cell r="G83" t="str">
            <v>#Refresh</v>
          </cell>
          <cell r="H83" t="str">
            <v>#Refresh</v>
          </cell>
          <cell r="I83" t="str">
            <v>#Refresh</v>
          </cell>
          <cell r="J83" t="str">
            <v>#Refresh</v>
          </cell>
          <cell r="K83" t="str">
            <v>#Refresh</v>
          </cell>
          <cell r="L83" t="str">
            <v>#Refresh</v>
          </cell>
          <cell r="M83" t="str">
            <v>#Refresh</v>
          </cell>
          <cell r="N83" t="e">
            <v>#VALUE!</v>
          </cell>
          <cell r="P83" t="str">
            <v>WLB</v>
          </cell>
          <cell r="S83" t="e">
            <v>#VALUE!</v>
          </cell>
          <cell r="T83" t="e">
            <v>#VALUE!</v>
          </cell>
          <cell r="U83" t="e">
            <v>#VALUE!</v>
          </cell>
          <cell r="V83" t="e">
            <v>#VALUE!</v>
          </cell>
          <cell r="W83" t="e">
            <v>#VALUE!</v>
          </cell>
          <cell r="X83" t="e">
            <v>#VALUE!</v>
          </cell>
          <cell r="Y83" t="e">
            <v>#VALUE!</v>
          </cell>
          <cell r="Z83" t="e">
            <v>#VALUE!</v>
          </cell>
        </row>
        <row r="84">
          <cell r="A84" t="str">
            <v>HSBC</v>
          </cell>
          <cell r="B84" t="str">
            <v>0005.HK</v>
          </cell>
          <cell r="C84">
            <v>1.2375</v>
          </cell>
          <cell r="D84">
            <v>1.585</v>
          </cell>
          <cell r="E84">
            <v>2.4024000000000001</v>
          </cell>
          <cell r="F84">
            <v>2.64</v>
          </cell>
          <cell r="G84">
            <v>3.3929999999999998</v>
          </cell>
          <cell r="H84">
            <v>3.7439999999999998</v>
          </cell>
          <cell r="I84" t="str">
            <v>#Refresh</v>
          </cell>
          <cell r="J84" t="str">
            <v>#Refresh</v>
          </cell>
          <cell r="K84" t="str">
            <v>#Refresh</v>
          </cell>
          <cell r="L84" t="str">
            <v>#Refresh</v>
          </cell>
          <cell r="M84" t="str">
            <v>#Refresh</v>
          </cell>
          <cell r="N84" t="e">
            <v>#VALUE!</v>
          </cell>
          <cell r="P84" t="str">
            <v>HSBC</v>
          </cell>
          <cell r="W84" t="e">
            <v>#VALUE!</v>
          </cell>
          <cell r="X84" t="e">
            <v>#VALUE!</v>
          </cell>
          <cell r="Y84" t="e">
            <v>#VALUE!</v>
          </cell>
          <cell r="Z84" t="e">
            <v>#VALUE!</v>
          </cell>
        </row>
        <row r="85">
          <cell r="A85" t="str">
            <v>Average</v>
          </cell>
          <cell r="N85" t="e">
            <v>#VALUE!</v>
          </cell>
        </row>
        <row r="86">
          <cell r="A86" t="str">
            <v>Average (Ex. HSBC)</v>
          </cell>
          <cell r="N86" t="e">
            <v>#VALUE!</v>
          </cell>
        </row>
        <row r="150">
          <cell r="C150" t="str">
            <v>(Auto)</v>
          </cell>
        </row>
        <row r="151">
          <cell r="A151" t="str">
            <v>PPP (HK$mn)</v>
          </cell>
          <cell r="C151" t="str">
            <v>96-05 CAGR</v>
          </cell>
        </row>
        <row r="152">
          <cell r="A152" t="str">
            <v>HSBC</v>
          </cell>
          <cell r="C152" t="e">
            <v>#VALUE!</v>
          </cell>
        </row>
        <row r="153">
          <cell r="A153" t="str">
            <v>ICBCA</v>
          </cell>
          <cell r="C153">
            <v>2.0293112480201048E-2</v>
          </cell>
        </row>
        <row r="154">
          <cell r="A154" t="str">
            <v>CIFH</v>
          </cell>
          <cell r="C154">
            <v>5.3240510850341316E-2</v>
          </cell>
        </row>
        <row r="155">
          <cell r="A155" t="str">
            <v>WHB</v>
          </cell>
          <cell r="C155">
            <v>4.7680137699528613E-2</v>
          </cell>
        </row>
        <row r="156">
          <cell r="A156" t="str">
            <v>DSF</v>
          </cell>
          <cell r="C156" t="e">
            <v>#DIV/0!</v>
          </cell>
        </row>
        <row r="157">
          <cell r="A157" t="str">
            <v>Industry (Ex. HSBC)</v>
          </cell>
          <cell r="C157">
            <v>0.11182211253805074</v>
          </cell>
        </row>
        <row r="158">
          <cell r="A158" t="str">
            <v>HSB</v>
          </cell>
          <cell r="C158">
            <v>5.0000083312751187E-4</v>
          </cell>
        </row>
        <row r="159">
          <cell r="A159" t="str">
            <v>BEA</v>
          </cell>
          <cell r="C159">
            <v>1.9714376212658813E-2</v>
          </cell>
        </row>
        <row r="160">
          <cell r="A160" t="str">
            <v>WLB</v>
          </cell>
          <cell r="C160" t="e">
            <v>#DIV/0!</v>
          </cell>
        </row>
        <row r="161">
          <cell r="A161" t="str">
            <v>BOCHK</v>
          </cell>
          <cell r="C161">
            <v>1.8390737879095065E-2</v>
          </cell>
        </row>
        <row r="165">
          <cell r="C165" t="str">
            <v>(Auto)</v>
          </cell>
        </row>
        <row r="166">
          <cell r="A166" t="str">
            <v>Modelware Earnings (HK$mn)</v>
          </cell>
          <cell r="C166" t="str">
            <v>96-05 CAGR</v>
          </cell>
        </row>
        <row r="167">
          <cell r="A167" t="str">
            <v>BOCHK</v>
          </cell>
          <cell r="C167">
            <v>0.33202289363682636</v>
          </cell>
        </row>
        <row r="168">
          <cell r="A168" t="str">
            <v>HSBC</v>
          </cell>
          <cell r="C168" t="e">
            <v>#VALUE!</v>
          </cell>
        </row>
        <row r="169">
          <cell r="A169" t="str">
            <v>ICBCA</v>
          </cell>
          <cell r="C169">
            <v>9.9590337362583936E-2</v>
          </cell>
        </row>
        <row r="170">
          <cell r="A170" t="str">
            <v>CIFH</v>
          </cell>
          <cell r="C170">
            <v>6.4151251277914101E-2</v>
          </cell>
        </row>
        <row r="171">
          <cell r="A171" t="str">
            <v>WHB</v>
          </cell>
          <cell r="C171">
            <v>6.007153824684508E-2</v>
          </cell>
        </row>
        <row r="172">
          <cell r="A172" t="str">
            <v>DSF</v>
          </cell>
          <cell r="C172" t="e">
            <v>#DIV/0!</v>
          </cell>
        </row>
        <row r="173">
          <cell r="A173" t="str">
            <v>HSB</v>
          </cell>
          <cell r="C173">
            <v>5.0000083312751187E-4</v>
          </cell>
        </row>
        <row r="174">
          <cell r="A174" t="str">
            <v>Industry (Ex. HSBC)</v>
          </cell>
          <cell r="C174">
            <v>0.11457966135113784</v>
          </cell>
        </row>
        <row r="175">
          <cell r="A175" t="str">
            <v>BEA</v>
          </cell>
          <cell r="C175">
            <v>3.2744347769170901E-2</v>
          </cell>
        </row>
        <row r="176">
          <cell r="A176" t="str">
            <v>WLB</v>
          </cell>
          <cell r="C176" t="e">
            <v>#DIV/0!</v>
          </cell>
        </row>
        <row r="178">
          <cell r="C178" t="str">
            <v>(Auto)</v>
          </cell>
        </row>
        <row r="179">
          <cell r="A179" t="str">
            <v>RWA (HK$mn)</v>
          </cell>
          <cell r="C179" t="str">
            <v>96-05 CAGR</v>
          </cell>
        </row>
        <row r="180">
          <cell r="A180" t="str">
            <v>ICBCA</v>
          </cell>
          <cell r="C180">
            <v>0.13371355123714501</v>
          </cell>
        </row>
        <row r="181">
          <cell r="A181" t="str">
            <v>CIFH</v>
          </cell>
          <cell r="C181">
            <v>9.9196480276907195E-2</v>
          </cell>
        </row>
        <row r="182">
          <cell r="A182" t="str">
            <v>HSBC</v>
          </cell>
          <cell r="C182" t="e">
            <v>#VALUE!</v>
          </cell>
        </row>
        <row r="183">
          <cell r="A183" t="str">
            <v>BEA</v>
          </cell>
          <cell r="C183">
            <v>5.0294406837913863E-2</v>
          </cell>
        </row>
        <row r="184">
          <cell r="A184" t="str">
            <v>WHB</v>
          </cell>
          <cell r="C184">
            <v>0.10785288091896894</v>
          </cell>
        </row>
        <row r="185">
          <cell r="A185" t="str">
            <v>Industry (Ex. HSBC)</v>
          </cell>
          <cell r="C185">
            <v>0.17112321704174671</v>
          </cell>
        </row>
        <row r="186">
          <cell r="A186" t="str">
            <v>DSF</v>
          </cell>
          <cell r="C186" t="e">
            <v>#DIV/0!</v>
          </cell>
        </row>
        <row r="187">
          <cell r="A187" t="str">
            <v>HSB</v>
          </cell>
          <cell r="C187">
            <v>5.0000083312751187E-4</v>
          </cell>
        </row>
        <row r="188">
          <cell r="A188" t="str">
            <v>WLB</v>
          </cell>
          <cell r="C188" t="e">
            <v>#DIV/0!</v>
          </cell>
        </row>
        <row r="189">
          <cell r="A189" t="str">
            <v>BOCHK</v>
          </cell>
          <cell r="C189">
            <v>0.11636709143015311</v>
          </cell>
        </row>
        <row r="191">
          <cell r="C191" t="str">
            <v>(Auto)</v>
          </cell>
        </row>
        <row r="192">
          <cell r="A192" t="str">
            <v>DPS (HK$)</v>
          </cell>
          <cell r="C192" t="str">
            <v>96-05 CAGR</v>
          </cell>
        </row>
        <row r="193">
          <cell r="A193" t="str">
            <v>BOCHK</v>
          </cell>
          <cell r="C193" t="e">
            <v>#VALUE!</v>
          </cell>
        </row>
        <row r="194">
          <cell r="A194" t="str">
            <v>ICBCA</v>
          </cell>
          <cell r="C194" t="e">
            <v>#VALUE!</v>
          </cell>
        </row>
        <row r="195">
          <cell r="A195" t="str">
            <v>CIFH</v>
          </cell>
          <cell r="C195" t="e">
            <v>#VALUE!</v>
          </cell>
        </row>
        <row r="196">
          <cell r="A196" t="str">
            <v>HSBC</v>
          </cell>
          <cell r="C196" t="e">
            <v>#VALUE!</v>
          </cell>
        </row>
        <row r="197">
          <cell r="A197" t="str">
            <v>Industry (Ex. HSBC)</v>
          </cell>
          <cell r="C197" t="e">
            <v>#VALUE!</v>
          </cell>
        </row>
        <row r="198">
          <cell r="A198" t="str">
            <v>DSF</v>
          </cell>
          <cell r="C198" t="e">
            <v>#VALUE!</v>
          </cell>
        </row>
        <row r="199">
          <cell r="A199" t="str">
            <v>WHB</v>
          </cell>
          <cell r="C199" t="e">
            <v>#VALUE!</v>
          </cell>
        </row>
        <row r="200">
          <cell r="A200" t="str">
            <v>WLB</v>
          </cell>
          <cell r="C200" t="e">
            <v>#VALUE!</v>
          </cell>
        </row>
        <row r="201">
          <cell r="A201" t="str">
            <v>HSB</v>
          </cell>
          <cell r="C201" t="e">
            <v>#VALUE!</v>
          </cell>
        </row>
        <row r="202">
          <cell r="A202" t="str">
            <v>BEA</v>
          </cell>
          <cell r="C202" t="e">
            <v>#VALUE!</v>
          </cell>
        </row>
        <row r="204">
          <cell r="B204" t="str">
            <v>e=Morgan Stanley Estimates.  All other values are actual.</v>
          </cell>
        </row>
        <row r="206">
          <cell r="B206" t="str">
            <v xml:space="preserve">From USD to HKD : @7.7531 for Current (Last Close), @7.798 for 2001FY, @7.7983 for 2002FY, @7.7629 for 2003FY, @7.7723 for 2004FY, @7.7531 for 2005FY, @7.7531 for 2006FY, @7.7531 for 2007FY  </v>
          </cell>
        </row>
        <row r="208">
          <cell r="B208" t="str">
            <v>ND = Not Disclosed, NA = Not Available, and NM = Non Meaningful</v>
          </cell>
        </row>
        <row r="210">
          <cell r="B210" t="str">
            <v>Consensus EPS provided by Thomson Financial/First Call</v>
          </cell>
        </row>
        <row r="212">
          <cell r="B212" t="str">
            <v>Ratios for companies are based on the currency reported by the companies unless explicitly noted.</v>
          </cell>
        </row>
        <row r="214">
          <cell r="B214" t="str">
            <v xml:space="preserve">Although the information provided to you on this site is obtained or compiled from sources we believe to be reliable, </v>
          </cell>
        </row>
        <row r="215">
          <cell r="B215" t="str">
            <v xml:space="preserve">Morgan Stanley cannot and does not guarantee the accuracy, validity, timeliness or completeness of any information or </v>
          </cell>
        </row>
        <row r="216">
          <cell r="B216" t="str">
            <v>data made available to you for any particular purpose.</v>
          </cell>
        </row>
      </sheetData>
      <sheetData sheetId="44" refreshError="1">
        <row r="1">
          <cell r="A1" t="str">
            <v>Australia</v>
          </cell>
          <cell r="B1" t="str">
            <v>EPS</v>
          </cell>
          <cell r="C1">
            <v>1995</v>
          </cell>
          <cell r="D1">
            <v>1996</v>
          </cell>
          <cell r="E1">
            <v>1997</v>
          </cell>
          <cell r="F1">
            <v>1998</v>
          </cell>
          <cell r="G1">
            <v>1999</v>
          </cell>
          <cell r="H1">
            <v>2000</v>
          </cell>
          <cell r="I1">
            <v>2001</v>
          </cell>
          <cell r="J1">
            <v>2002</v>
          </cell>
          <cell r="K1">
            <v>2003</v>
          </cell>
          <cell r="L1">
            <v>2004</v>
          </cell>
          <cell r="M1">
            <v>2005</v>
          </cell>
          <cell r="N1">
            <v>2006</v>
          </cell>
          <cell r="P1" t="str">
            <v>EPS growth</v>
          </cell>
          <cell r="Q1">
            <v>1996</v>
          </cell>
          <cell r="R1">
            <v>1997</v>
          </cell>
          <cell r="S1">
            <v>1998</v>
          </cell>
          <cell r="T1">
            <v>1999</v>
          </cell>
          <cell r="U1">
            <v>2000</v>
          </cell>
          <cell r="V1">
            <v>2001</v>
          </cell>
          <cell r="W1">
            <v>2002</v>
          </cell>
          <cell r="X1">
            <v>2003</v>
          </cell>
          <cell r="Y1">
            <v>2004</v>
          </cell>
          <cell r="Z1">
            <v>2005</v>
          </cell>
          <cell r="AA1">
            <v>2006</v>
          </cell>
        </row>
        <row r="2">
          <cell r="B2" t="str">
            <v>ANZ</v>
          </cell>
          <cell r="C2">
            <v>69.2</v>
          </cell>
          <cell r="D2">
            <v>75.921982679447325</v>
          </cell>
          <cell r="E2">
            <v>78.117188776234258</v>
          </cell>
          <cell r="F2">
            <v>77.035398669789316</v>
          </cell>
          <cell r="G2">
            <v>91.152096305123109</v>
          </cell>
          <cell r="H2">
            <v>104.21454674889445</v>
          </cell>
          <cell r="I2">
            <v>117.44812724032157</v>
          </cell>
          <cell r="J2">
            <v>132.15375593886989</v>
          </cell>
          <cell r="K2">
            <v>144.30204178107897</v>
          </cell>
          <cell r="L2">
            <v>154.8526930310889</v>
          </cell>
          <cell r="M2">
            <v>171.86801374631858</v>
          </cell>
          <cell r="N2">
            <v>186.43677837656563</v>
          </cell>
          <cell r="P2" t="str">
            <v>ANZ</v>
          </cell>
          <cell r="Q2">
            <v>9.7138478026695507E-2</v>
          </cell>
          <cell r="R2">
            <v>2.8913972202957217E-2</v>
          </cell>
          <cell r="S2">
            <v>-1.3848297966068901E-2</v>
          </cell>
          <cell r="T2">
            <v>0.18324949152070635</v>
          </cell>
          <cell r="U2">
            <v>0.143303895063982</v>
          </cell>
          <cell r="V2">
            <v>0.12698400467368054</v>
          </cell>
          <cell r="W2">
            <v>0.12520956309893094</v>
          </cell>
          <cell r="X2">
            <v>9.1925392175977949E-2</v>
          </cell>
          <cell r="Y2">
            <v>7.3115051733061209E-2</v>
          </cell>
          <cell r="Z2">
            <v>0.10988068971983322</v>
          </cell>
          <cell r="AA2">
            <v>8.4767167041046365E-2</v>
          </cell>
        </row>
        <row r="3">
          <cell r="B3" t="str">
            <v>CBA</v>
          </cell>
          <cell r="C3">
            <v>111.82772427226499</v>
          </cell>
          <cell r="D3">
            <v>118.33849329205373</v>
          </cell>
          <cell r="E3">
            <v>136.04923479113339</v>
          </cell>
          <cell r="F3">
            <v>138.95622129072868</v>
          </cell>
          <cell r="G3">
            <v>157.43082327264815</v>
          </cell>
          <cell r="H3">
            <v>181.77565694325136</v>
          </cell>
          <cell r="I3">
            <v>178.25827721315687</v>
          </cell>
          <cell r="J3">
            <v>196.67481765477268</v>
          </cell>
          <cell r="K3">
            <v>215.26078283161078</v>
          </cell>
          <cell r="L3">
            <v>248.08669200786721</v>
          </cell>
          <cell r="M3">
            <v>275.33124795287176</v>
          </cell>
          <cell r="N3">
            <v>309.38209258288083</v>
          </cell>
          <cell r="P3" t="str">
            <v>CBA</v>
          </cell>
          <cell r="Q3">
            <v>5.8221421048836541E-2</v>
          </cell>
          <cell r="R3">
            <v>0.14966171197879286</v>
          </cell>
          <cell r="S3">
            <v>2.1367165379931663E-2</v>
          </cell>
          <cell r="T3">
            <v>0.13295267970238145</v>
          </cell>
          <cell r="U3">
            <v>0.15463829232755377</v>
          </cell>
          <cell r="V3">
            <v>-1.9350114252056239E-2</v>
          </cell>
          <cell r="W3">
            <v>0.10331380247545963</v>
          </cell>
          <cell r="X3">
            <v>9.4500991018903191E-2</v>
          </cell>
          <cell r="Y3">
            <v>0.15249368112692752</v>
          </cell>
          <cell r="Z3">
            <v>0.10981869170209491</v>
          </cell>
          <cell r="AA3">
            <v>0.12367228523163321</v>
          </cell>
        </row>
        <row r="4">
          <cell r="B4" t="str">
            <v>NAB</v>
          </cell>
          <cell r="C4">
            <v>146.20695582421362</v>
          </cell>
          <cell r="D4">
            <v>154.02164568959819</v>
          </cell>
          <cell r="E4">
            <v>161.34853261525845</v>
          </cell>
          <cell r="F4">
            <v>186.80037053157889</v>
          </cell>
          <cell r="G4">
            <v>200.59178993359345</v>
          </cell>
          <cell r="H4">
            <v>208.64421975118955</v>
          </cell>
          <cell r="I4">
            <v>229.7183064101263</v>
          </cell>
          <cell r="J4">
            <v>240.41944423544609</v>
          </cell>
          <cell r="K4">
            <v>258.86943966847662</v>
          </cell>
          <cell r="L4">
            <v>222.70950608631409</v>
          </cell>
          <cell r="M4">
            <v>213.97369369275089</v>
          </cell>
          <cell r="N4">
            <v>243.82639665259353</v>
          </cell>
          <cell r="P4" t="str">
            <v>NAB</v>
          </cell>
          <cell r="Q4">
            <v>5.3449508071149898E-2</v>
          </cell>
          <cell r="R4">
            <v>4.7570501489292205E-2</v>
          </cell>
          <cell r="S4">
            <v>0.15774446475451565</v>
          </cell>
          <cell r="T4">
            <v>7.3829721872436416E-2</v>
          </cell>
          <cell r="U4">
            <v>4.0143366885862619E-2</v>
          </cell>
          <cell r="V4">
            <v>0.10100489092900733</v>
          </cell>
          <cell r="W4">
            <v>4.6583739853168549E-2</v>
          </cell>
          <cell r="X4">
            <v>7.6740862169875745E-2</v>
          </cell>
          <cell r="Y4">
            <v>-0.13968405706162557</v>
          </cell>
          <cell r="Z4">
            <v>-3.9225143762734227E-2</v>
          </cell>
          <cell r="AA4">
            <v>0.13951576216985218</v>
          </cell>
        </row>
        <row r="5">
          <cell r="B5" t="str">
            <v>WBC</v>
          </cell>
          <cell r="C5">
            <v>54.308185206239109</v>
          </cell>
          <cell r="D5">
            <v>61.786956521739135</v>
          </cell>
          <cell r="E5">
            <v>73.778775968556985</v>
          </cell>
          <cell r="F5">
            <v>75.784992017030333</v>
          </cell>
          <cell r="G5">
            <v>82.296650717703344</v>
          </cell>
          <cell r="H5">
            <v>89.405925812353189</v>
          </cell>
          <cell r="I5">
            <v>104.06392589086013</v>
          </cell>
          <cell r="J5">
            <v>112.03804019207786</v>
          </cell>
          <cell r="K5">
            <v>122.59356710423144</v>
          </cell>
          <cell r="L5">
            <v>135.26142393649855</v>
          </cell>
          <cell r="M5">
            <v>152.04245781641498</v>
          </cell>
          <cell r="N5">
            <v>168.93512155922937</v>
          </cell>
          <cell r="P5" t="str">
            <v>WBC</v>
          </cell>
          <cell r="Q5">
            <v>0.13770983668665915</v>
          </cell>
          <cell r="R5">
            <v>0.19408334900908497</v>
          </cell>
          <cell r="S5">
            <v>2.7192319500236151E-2</v>
          </cell>
          <cell r="T5">
            <v>8.5922799849470488E-2</v>
          </cell>
          <cell r="U5">
            <v>8.6385958998942858E-2</v>
          </cell>
          <cell r="V5">
            <v>0.16394886519347085</v>
          </cell>
          <cell r="W5">
            <v>7.6627075453416849E-2</v>
          </cell>
          <cell r="X5">
            <v>9.4213776803460769E-2</v>
          </cell>
          <cell r="Y5">
            <v>0.10333214973259275</v>
          </cell>
          <cell r="Z5">
            <v>0.1240637085692271</v>
          </cell>
          <cell r="AA5">
            <v>0.11110491099276754</v>
          </cell>
        </row>
        <row r="6">
          <cell r="B6" t="str">
            <v>SGB</v>
          </cell>
          <cell r="C6">
            <v>77.723006931558103</v>
          </cell>
          <cell r="D6">
            <v>80.564476203879593</v>
          </cell>
          <cell r="E6">
            <v>70.125243493504527</v>
          </cell>
          <cell r="F6">
            <v>74.65963987703114</v>
          </cell>
          <cell r="G6">
            <v>77.514496710292335</v>
          </cell>
          <cell r="H6">
            <v>78.967984195248945</v>
          </cell>
          <cell r="I6">
            <v>99.35251822686395</v>
          </cell>
          <cell r="J6">
            <v>124.02871474889399</v>
          </cell>
          <cell r="K6">
            <v>141.96708486277703</v>
          </cell>
          <cell r="L6">
            <v>160.30162875790793</v>
          </cell>
          <cell r="M6">
            <v>179.55925999820232</v>
          </cell>
          <cell r="N6">
            <v>193.98779798412181</v>
          </cell>
          <cell r="P6" t="str">
            <v>SGB</v>
          </cell>
          <cell r="Q6">
            <v>3.6558921026095259E-2</v>
          </cell>
          <cell r="R6">
            <v>-0.12957612588403278</v>
          </cell>
          <cell r="S6">
            <v>6.466139948514571E-2</v>
          </cell>
          <cell r="T6">
            <v>3.8238288290210365E-2</v>
          </cell>
          <cell r="U6">
            <v>1.875116973782287E-2</v>
          </cell>
          <cell r="V6">
            <v>0.25813668968950876</v>
          </cell>
          <cell r="W6">
            <v>0.24837011645425844</v>
          </cell>
          <cell r="X6">
            <v>0.14463078288121189</v>
          </cell>
          <cell r="Y6">
            <v>0.12914644202811343</v>
          </cell>
          <cell r="Z6">
            <v>0.12013372159416935</v>
          </cell>
          <cell r="AA6">
            <v>8.0355298780268702E-2</v>
          </cell>
        </row>
        <row r="7">
          <cell r="P7" t="str">
            <v>Ave.</v>
          </cell>
          <cell r="Q7">
            <v>7.6615632971887268E-2</v>
          </cell>
          <cell r="R7">
            <v>5.8130681759218893E-2</v>
          </cell>
          <cell r="S7">
            <v>5.1423410230752052E-2</v>
          </cell>
          <cell r="T7">
            <v>0.10283859624704102</v>
          </cell>
          <cell r="U7">
            <v>8.8644536602832821E-2</v>
          </cell>
          <cell r="V7">
            <v>0.12614486724672225</v>
          </cell>
          <cell r="W7">
            <v>0.12002085946704688</v>
          </cell>
          <cell r="X7">
            <v>0.10040236100988591</v>
          </cell>
          <cell r="Y7">
            <v>6.3680653511813873E-2</v>
          </cell>
          <cell r="Z7">
            <v>8.4934333564518072E-2</v>
          </cell>
          <cell r="AA7">
            <v>0.1078830848431136</v>
          </cell>
        </row>
        <row r="9">
          <cell r="B9" t="str">
            <v>PPP</v>
          </cell>
          <cell r="C9" t="str">
            <v>Pre tax goodwill and loan loss provision profits</v>
          </cell>
          <cell r="P9" t="str">
            <v>PPP growth</v>
          </cell>
        </row>
        <row r="10">
          <cell r="B10" t="str">
            <v>ANZ</v>
          </cell>
          <cell r="C10">
            <v>1722</v>
          </cell>
          <cell r="D10">
            <v>1769</v>
          </cell>
          <cell r="E10">
            <v>2045</v>
          </cell>
          <cell r="F10">
            <v>2208</v>
          </cell>
          <cell r="G10">
            <v>2742</v>
          </cell>
          <cell r="H10">
            <v>3082</v>
          </cell>
          <cell r="I10">
            <v>3331</v>
          </cell>
          <cell r="J10">
            <v>3699</v>
          </cell>
          <cell r="K10">
            <v>3953</v>
          </cell>
          <cell r="L10">
            <v>4694</v>
          </cell>
          <cell r="M10">
            <v>5115</v>
          </cell>
          <cell r="N10">
            <v>5596.70658</v>
          </cell>
          <cell r="P10" t="str">
            <v>ANZ</v>
          </cell>
          <cell r="Q10">
            <v>2.7293844367015208E-2</v>
          </cell>
          <cell r="R10">
            <v>0.15602035048049756</v>
          </cell>
          <cell r="S10">
            <v>7.970660146699271E-2</v>
          </cell>
          <cell r="T10">
            <v>0.24184782608695654</v>
          </cell>
          <cell r="U10">
            <v>0.12399708242159013</v>
          </cell>
          <cell r="V10">
            <v>8.0791693705386081E-2</v>
          </cell>
          <cell r="W10">
            <v>0.11047733413389382</v>
          </cell>
          <cell r="X10">
            <v>6.8667207353338755E-2</v>
          </cell>
          <cell r="Y10">
            <v>0.18745256767012397</v>
          </cell>
          <cell r="Z10">
            <v>8.9688964635705082E-2</v>
          </cell>
          <cell r="AA10">
            <v>9.4175284457477915E-2</v>
          </cell>
        </row>
        <row r="11">
          <cell r="B11" t="str">
            <v>CBA</v>
          </cell>
          <cell r="C11">
            <v>1723.8</v>
          </cell>
          <cell r="D11">
            <v>1909.6</v>
          </cell>
          <cell r="E11">
            <v>1957</v>
          </cell>
          <cell r="F11">
            <v>2191</v>
          </cell>
          <cell r="G11">
            <v>2454</v>
          </cell>
          <cell r="H11">
            <v>2732</v>
          </cell>
          <cell r="I11">
            <v>3654</v>
          </cell>
          <cell r="J11">
            <v>3867</v>
          </cell>
          <cell r="K11">
            <v>4087</v>
          </cell>
          <cell r="L11">
            <v>4991</v>
          </cell>
          <cell r="M11">
            <v>5657</v>
          </cell>
          <cell r="N11">
            <v>6253.1041024026736</v>
          </cell>
          <cell r="P11" t="str">
            <v>CBA</v>
          </cell>
          <cell r="Q11">
            <v>0.10778512588467337</v>
          </cell>
          <cell r="R11">
            <v>2.4821952241307121E-2</v>
          </cell>
          <cell r="S11">
            <v>0.11957077158916718</v>
          </cell>
          <cell r="T11">
            <v>0.12003651300775897</v>
          </cell>
          <cell r="U11">
            <v>0.11328443357783202</v>
          </cell>
          <cell r="V11">
            <v>0.33748169838945818</v>
          </cell>
          <cell r="W11">
            <v>5.8292282430213449E-2</v>
          </cell>
          <cell r="X11">
            <v>5.689164727178686E-2</v>
          </cell>
          <cell r="Y11">
            <v>0.22118913628578429</v>
          </cell>
          <cell r="Z11">
            <v>0.13344019234622317</v>
          </cell>
          <cell r="AA11">
            <v>0.10537459826810558</v>
          </cell>
        </row>
        <row r="12">
          <cell r="B12" t="str">
            <v>NAB</v>
          </cell>
          <cell r="C12">
            <v>3074</v>
          </cell>
          <cell r="D12">
            <v>3529</v>
          </cell>
          <cell r="E12">
            <v>3790</v>
          </cell>
          <cell r="F12">
            <v>4469</v>
          </cell>
          <cell r="G12">
            <v>4887</v>
          </cell>
          <cell r="H12">
            <v>5660</v>
          </cell>
          <cell r="I12">
            <v>6177</v>
          </cell>
          <cell r="J12">
            <v>6137</v>
          </cell>
          <cell r="K12">
            <v>6393</v>
          </cell>
          <cell r="L12">
            <v>5921</v>
          </cell>
          <cell r="M12">
            <v>6135.2183770794118</v>
          </cell>
          <cell r="N12">
            <v>6844.7283405417857</v>
          </cell>
          <cell r="P12" t="str">
            <v>NAB</v>
          </cell>
          <cell r="Q12">
            <v>0.14801561483409231</v>
          </cell>
          <cell r="R12">
            <v>7.395862850665913E-2</v>
          </cell>
          <cell r="S12">
            <v>0.17915567282321909</v>
          </cell>
          <cell r="T12">
            <v>9.3533228910270827E-2</v>
          </cell>
          <cell r="U12">
            <v>0.15817474933497033</v>
          </cell>
          <cell r="V12">
            <v>9.1342756183745655E-2</v>
          </cell>
          <cell r="W12">
            <v>-6.4756354217258005E-3</v>
          </cell>
          <cell r="X12">
            <v>4.1714192602248623E-2</v>
          </cell>
          <cell r="Y12">
            <v>-7.3830752385421583E-2</v>
          </cell>
          <cell r="Z12">
            <v>3.6179425279414312E-2</v>
          </cell>
          <cell r="AA12">
            <v>0.11564542936450883</v>
          </cell>
        </row>
        <row r="13">
          <cell r="B13" t="str">
            <v>WBC</v>
          </cell>
          <cell r="C13">
            <v>1737.6</v>
          </cell>
          <cell r="D13">
            <v>1722</v>
          </cell>
          <cell r="E13">
            <v>1926</v>
          </cell>
          <cell r="F13">
            <v>2209</v>
          </cell>
          <cell r="G13">
            <v>2297</v>
          </cell>
          <cell r="H13">
            <v>2593</v>
          </cell>
          <cell r="I13">
            <v>3053</v>
          </cell>
          <cell r="J13">
            <v>3212</v>
          </cell>
          <cell r="K13">
            <v>3567</v>
          </cell>
          <cell r="L13">
            <v>4070</v>
          </cell>
          <cell r="M13">
            <v>4700</v>
          </cell>
          <cell r="N13">
            <v>5283.2307921250022</v>
          </cell>
          <cell r="P13" t="str">
            <v>WBC</v>
          </cell>
          <cell r="Q13">
            <v>-8.977900552486151E-3</v>
          </cell>
          <cell r="R13">
            <v>0.11846689895470375</v>
          </cell>
          <cell r="S13">
            <v>0.14693665628245078</v>
          </cell>
          <cell r="T13">
            <v>3.9837030330466261E-2</v>
          </cell>
          <cell r="U13">
            <v>0.12886373530692197</v>
          </cell>
          <cell r="V13">
            <v>0.17740069417662929</v>
          </cell>
          <cell r="W13">
            <v>5.2079921388797912E-2</v>
          </cell>
          <cell r="X13">
            <v>0.11052303860523049</v>
          </cell>
          <cell r="Y13">
            <v>0.14101485842444639</v>
          </cell>
          <cell r="Z13">
            <v>0.15479115479115468</v>
          </cell>
          <cell r="AA13">
            <v>0.12409165789893661</v>
          </cell>
        </row>
        <row r="14">
          <cell r="B14" t="str">
            <v>SGB</v>
          </cell>
          <cell r="C14">
            <v>246.4</v>
          </cell>
          <cell r="D14">
            <v>303.3</v>
          </cell>
          <cell r="E14">
            <v>500.5</v>
          </cell>
          <cell r="F14">
            <v>645.20000000000005</v>
          </cell>
          <cell r="G14">
            <v>673</v>
          </cell>
          <cell r="H14">
            <v>721</v>
          </cell>
          <cell r="I14">
            <v>887</v>
          </cell>
          <cell r="J14">
            <v>1031</v>
          </cell>
          <cell r="K14">
            <v>1188</v>
          </cell>
          <cell r="L14">
            <v>1350</v>
          </cell>
          <cell r="M14">
            <v>1515</v>
          </cell>
          <cell r="N14">
            <v>1659.7745296000003</v>
          </cell>
          <cell r="P14" t="str">
            <v>SGB</v>
          </cell>
          <cell r="Q14">
            <v>0.23092532467532467</v>
          </cell>
          <cell r="R14">
            <v>0.65018133860863836</v>
          </cell>
          <cell r="S14">
            <v>0.28911088911088911</v>
          </cell>
          <cell r="T14">
            <v>4.3087414755114573E-2</v>
          </cell>
          <cell r="U14">
            <v>7.1322436849925674E-2</v>
          </cell>
          <cell r="V14">
            <v>0.23023578363384178</v>
          </cell>
          <cell r="W14">
            <v>0.1623449830890642</v>
          </cell>
          <cell r="X14">
            <v>0.15227934044616886</v>
          </cell>
          <cell r="Y14">
            <v>0.13636363636363646</v>
          </cell>
          <cell r="Z14">
            <v>0.12222222222222223</v>
          </cell>
          <cell r="AA14">
            <v>9.556074561056116E-2</v>
          </cell>
        </row>
        <row r="15">
          <cell r="P15" t="str">
            <v>Ave.</v>
          </cell>
          <cell r="Q15">
            <v>0.10100840184172388</v>
          </cell>
          <cell r="R15">
            <v>0.20468983375836119</v>
          </cell>
          <cell r="S15">
            <v>0.16289611825454378</v>
          </cell>
          <cell r="T15">
            <v>0.10766840261811343</v>
          </cell>
          <cell r="U15">
            <v>0.11912848749824803</v>
          </cell>
          <cell r="V15">
            <v>0.18345052521781219</v>
          </cell>
          <cell r="W15">
            <v>7.5343777124048716E-2</v>
          </cell>
          <cell r="X15">
            <v>8.6015085255754714E-2</v>
          </cell>
          <cell r="Y15">
            <v>0.12243788927171391</v>
          </cell>
          <cell r="Z15">
            <v>0.10726439185494389</v>
          </cell>
          <cell r="AA15">
            <v>0.10696954311991802</v>
          </cell>
        </row>
        <row r="17">
          <cell r="B17" t="str">
            <v>DPS</v>
          </cell>
          <cell r="P17" t="str">
            <v>DPS growth</v>
          </cell>
        </row>
        <row r="18">
          <cell r="B18" t="str">
            <v>ANZ</v>
          </cell>
          <cell r="C18">
            <v>33</v>
          </cell>
          <cell r="D18">
            <v>42</v>
          </cell>
          <cell r="E18">
            <v>48</v>
          </cell>
          <cell r="F18">
            <v>52</v>
          </cell>
          <cell r="G18">
            <v>56</v>
          </cell>
          <cell r="H18">
            <v>64</v>
          </cell>
          <cell r="I18">
            <v>73</v>
          </cell>
          <cell r="J18">
            <v>85</v>
          </cell>
          <cell r="K18">
            <v>95</v>
          </cell>
          <cell r="L18">
            <v>101</v>
          </cell>
          <cell r="M18">
            <v>110</v>
          </cell>
          <cell r="N18">
            <v>119.319538161002</v>
          </cell>
          <cell r="P18" t="str">
            <v>ANZ</v>
          </cell>
          <cell r="Q18">
            <v>0.27272727272727271</v>
          </cell>
          <cell r="R18">
            <v>0.14285714285714279</v>
          </cell>
          <cell r="S18">
            <v>8.3333333333333259E-2</v>
          </cell>
          <cell r="T18">
            <v>7.6923076923076872E-2</v>
          </cell>
          <cell r="U18">
            <v>0.14285714285714279</v>
          </cell>
          <cell r="V18">
            <v>0.140625</v>
          </cell>
          <cell r="W18">
            <v>0.16438356164383561</v>
          </cell>
          <cell r="X18">
            <v>0.11764705882352944</v>
          </cell>
          <cell r="Y18">
            <v>6.315789473684208E-2</v>
          </cell>
          <cell r="Z18">
            <v>8.9108910891089188E-2</v>
          </cell>
          <cell r="AA18">
            <v>8.4723074190927283E-2</v>
          </cell>
        </row>
        <row r="19">
          <cell r="B19" t="str">
            <v>CBA</v>
          </cell>
          <cell r="C19">
            <v>60</v>
          </cell>
          <cell r="D19">
            <v>90</v>
          </cell>
          <cell r="E19">
            <v>111</v>
          </cell>
          <cell r="F19">
            <v>104</v>
          </cell>
          <cell r="G19">
            <v>115</v>
          </cell>
          <cell r="H19">
            <v>130</v>
          </cell>
          <cell r="I19">
            <v>136</v>
          </cell>
          <cell r="J19">
            <v>150</v>
          </cell>
          <cell r="K19">
            <v>154</v>
          </cell>
          <cell r="L19">
            <v>183</v>
          </cell>
          <cell r="M19">
            <v>197</v>
          </cell>
          <cell r="N19">
            <v>222.7551066596742</v>
          </cell>
          <cell r="P19" t="str">
            <v>CBA</v>
          </cell>
          <cell r="Q19">
            <v>0.5</v>
          </cell>
          <cell r="R19">
            <v>0.23333333333333339</v>
          </cell>
          <cell r="S19">
            <v>-6.3063063063063085E-2</v>
          </cell>
          <cell r="T19">
            <v>0.10576923076923084</v>
          </cell>
          <cell r="U19">
            <v>0.13043478260869557</v>
          </cell>
          <cell r="V19">
            <v>4.6153846153846212E-2</v>
          </cell>
          <cell r="W19">
            <v>0.10294117647058831</v>
          </cell>
          <cell r="X19">
            <v>2.6666666666666616E-2</v>
          </cell>
          <cell r="Y19">
            <v>0.18831168831168821</v>
          </cell>
          <cell r="Z19">
            <v>7.6502732240437243E-2</v>
          </cell>
          <cell r="AA19">
            <v>0.13073658202880312</v>
          </cell>
        </row>
        <row r="20">
          <cell r="B20" t="str">
            <v>NAB</v>
          </cell>
          <cell r="C20">
            <v>83</v>
          </cell>
          <cell r="D20">
            <v>87</v>
          </cell>
          <cell r="E20">
            <v>94</v>
          </cell>
          <cell r="F20">
            <v>99</v>
          </cell>
          <cell r="G20">
            <v>112</v>
          </cell>
          <cell r="H20">
            <v>123</v>
          </cell>
          <cell r="I20">
            <v>135</v>
          </cell>
          <cell r="J20">
            <v>147</v>
          </cell>
          <cell r="K20">
            <v>163</v>
          </cell>
          <cell r="L20">
            <v>166</v>
          </cell>
          <cell r="M20">
            <v>165.82961261188194</v>
          </cell>
          <cell r="N20">
            <v>174.33587360660437</v>
          </cell>
          <cell r="P20" t="str">
            <v>NAB</v>
          </cell>
          <cell r="Q20">
            <v>4.8192771084337283E-2</v>
          </cell>
          <cell r="R20">
            <v>8.0459770114942541E-2</v>
          </cell>
          <cell r="S20">
            <v>5.3191489361702038E-2</v>
          </cell>
          <cell r="T20">
            <v>0.13131313131313127</v>
          </cell>
          <cell r="U20">
            <v>9.8214285714285809E-2</v>
          </cell>
          <cell r="V20">
            <v>9.7560975609756184E-2</v>
          </cell>
          <cell r="W20">
            <v>8.8888888888888795E-2</v>
          </cell>
          <cell r="X20">
            <v>0.10884353741496589</v>
          </cell>
          <cell r="Y20">
            <v>1.8404907975460016E-2</v>
          </cell>
          <cell r="Z20">
            <v>-1.0264300489040146E-3</v>
          </cell>
          <cell r="AA20">
            <v>5.1295187034121614E-2</v>
          </cell>
        </row>
        <row r="21">
          <cell r="B21" t="str">
            <v>WBC</v>
          </cell>
          <cell r="C21">
            <v>28</v>
          </cell>
          <cell r="D21">
            <v>33</v>
          </cell>
          <cell r="E21">
            <v>39</v>
          </cell>
          <cell r="F21">
            <v>43</v>
          </cell>
          <cell r="G21">
            <v>47</v>
          </cell>
          <cell r="H21">
            <v>54</v>
          </cell>
          <cell r="I21">
            <v>62</v>
          </cell>
          <cell r="J21">
            <v>70</v>
          </cell>
          <cell r="K21">
            <v>78</v>
          </cell>
          <cell r="L21">
            <v>86</v>
          </cell>
          <cell r="M21">
            <v>100</v>
          </cell>
          <cell r="N21">
            <v>109.89481658991404</v>
          </cell>
          <cell r="P21" t="str">
            <v>WBC</v>
          </cell>
          <cell r="Q21">
            <v>0.1785714285714286</v>
          </cell>
          <cell r="R21">
            <v>0.18181818181818188</v>
          </cell>
          <cell r="S21">
            <v>0.10256410256410264</v>
          </cell>
          <cell r="T21">
            <v>9.3023255813953432E-2</v>
          </cell>
          <cell r="U21">
            <v>0.14893617021276606</v>
          </cell>
          <cell r="V21">
            <v>0.14814814814814814</v>
          </cell>
          <cell r="W21">
            <v>0.12903225806451624</v>
          </cell>
          <cell r="X21">
            <v>0.11428571428571432</v>
          </cell>
          <cell r="Y21">
            <v>0.10256410256410264</v>
          </cell>
          <cell r="Z21">
            <v>0.16279069767441867</v>
          </cell>
          <cell r="AA21">
            <v>9.8948165899140461E-2</v>
          </cell>
        </row>
        <row r="22">
          <cell r="B22" t="str">
            <v>SGB</v>
          </cell>
          <cell r="C22">
            <v>51</v>
          </cell>
          <cell r="D22">
            <v>52</v>
          </cell>
          <cell r="E22">
            <v>52</v>
          </cell>
          <cell r="F22">
            <v>52</v>
          </cell>
          <cell r="G22">
            <v>52</v>
          </cell>
          <cell r="H22">
            <v>55</v>
          </cell>
          <cell r="I22">
            <v>65</v>
          </cell>
          <cell r="J22">
            <v>80</v>
          </cell>
          <cell r="K22">
            <v>95</v>
          </cell>
          <cell r="L22">
            <v>122</v>
          </cell>
          <cell r="M22">
            <v>137</v>
          </cell>
          <cell r="N22">
            <v>143.55097050825015</v>
          </cell>
          <cell r="P22" t="str">
            <v>SGB</v>
          </cell>
          <cell r="Q22">
            <v>1.9607843137254832E-2</v>
          </cell>
          <cell r="R22">
            <v>0</v>
          </cell>
          <cell r="S22">
            <v>0</v>
          </cell>
          <cell r="T22">
            <v>0</v>
          </cell>
          <cell r="U22">
            <v>5.7692307692307709E-2</v>
          </cell>
          <cell r="V22">
            <v>0.18181818181818188</v>
          </cell>
          <cell r="W22">
            <v>0.23076923076923084</v>
          </cell>
          <cell r="X22">
            <v>0.1875</v>
          </cell>
          <cell r="Y22">
            <v>0.28421052631578947</v>
          </cell>
          <cell r="Z22">
            <v>0.12295081967213117</v>
          </cell>
          <cell r="AA22">
            <v>4.7817302979928034E-2</v>
          </cell>
        </row>
        <row r="23">
          <cell r="P23" t="str">
            <v>Ave.</v>
          </cell>
          <cell r="Q23">
            <v>0.2038198631040587</v>
          </cell>
          <cell r="R23">
            <v>0.12769368562472011</v>
          </cell>
          <cell r="S23">
            <v>3.520517243921497E-2</v>
          </cell>
          <cell r="T23">
            <v>8.1405738963878482E-2</v>
          </cell>
          <cell r="U23">
            <v>0.11562693781703959</v>
          </cell>
          <cell r="V23">
            <v>0.12286123034598648</v>
          </cell>
          <cell r="W23">
            <v>0.14320302316741196</v>
          </cell>
          <cell r="X23">
            <v>0.11098859543817526</v>
          </cell>
          <cell r="Y23">
            <v>0.13132982398077647</v>
          </cell>
          <cell r="Z23">
            <v>9.0065346085834455E-2</v>
          </cell>
          <cell r="AA23">
            <v>8.2704062426584096E-2</v>
          </cell>
        </row>
        <row r="27">
          <cell r="A27" t="str">
            <v>Singapore</v>
          </cell>
          <cell r="B27" t="str">
            <v>EPS</v>
          </cell>
          <cell r="C27">
            <v>1995</v>
          </cell>
          <cell r="D27">
            <v>1996</v>
          </cell>
          <cell r="E27">
            <v>1997</v>
          </cell>
          <cell r="F27">
            <v>1998</v>
          </cell>
          <cell r="G27">
            <v>1999</v>
          </cell>
          <cell r="H27">
            <v>2000</v>
          </cell>
          <cell r="I27">
            <v>2001</v>
          </cell>
          <cell r="J27">
            <v>2002</v>
          </cell>
          <cell r="K27">
            <v>2003</v>
          </cell>
          <cell r="L27">
            <v>2004</v>
          </cell>
          <cell r="M27">
            <v>2005</v>
          </cell>
          <cell r="N27">
            <v>2006</v>
          </cell>
          <cell r="P27" t="str">
            <v>EPS growth</v>
          </cell>
          <cell r="Q27">
            <v>1996</v>
          </cell>
          <cell r="R27">
            <v>1997</v>
          </cell>
          <cell r="S27">
            <v>1998</v>
          </cell>
          <cell r="T27">
            <v>1999</v>
          </cell>
          <cell r="U27">
            <v>2000</v>
          </cell>
          <cell r="V27">
            <v>2001</v>
          </cell>
          <cell r="W27">
            <v>2002</v>
          </cell>
          <cell r="X27">
            <v>2003</v>
          </cell>
          <cell r="Y27">
            <v>2004</v>
          </cell>
          <cell r="Z27">
            <v>2005</v>
          </cell>
          <cell r="AA27">
            <v>2006</v>
          </cell>
        </row>
        <row r="28">
          <cell r="B28" t="str">
            <v>DBS</v>
          </cell>
          <cell r="C28">
            <v>0.72020671259823332</v>
          </cell>
          <cell r="D28">
            <v>0.79497037284223515</v>
          </cell>
          <cell r="E28">
            <v>0.53216919834197673</v>
          </cell>
          <cell r="F28">
            <v>9.255895196997832E-2</v>
          </cell>
          <cell r="G28">
            <v>0.95634819857452857</v>
          </cell>
          <cell r="H28">
            <v>1.1247233230658444</v>
          </cell>
          <cell r="I28">
            <v>0.87568367024099669</v>
          </cell>
          <cell r="J28">
            <v>0.84289898871730329</v>
          </cell>
          <cell r="K28">
            <v>0.9490384376463521</v>
          </cell>
          <cell r="L28">
            <v>1.2676593246368273</v>
          </cell>
          <cell r="M28">
            <v>1.2060324960550723</v>
          </cell>
          <cell r="N28">
            <v>1.3407366950597037</v>
          </cell>
          <cell r="P28" t="str">
            <v>DBS</v>
          </cell>
          <cell r="Q28">
            <v>0.10380861346637937</v>
          </cell>
          <cell r="R28">
            <v>-0.33057983476877606</v>
          </cell>
          <cell r="S28">
            <v>-0.82607232388053564</v>
          </cell>
          <cell r="T28">
            <v>9.3323144679157775</v>
          </cell>
          <cell r="U28">
            <v>0.1760604816763236</v>
          </cell>
          <cell r="V28">
            <v>-0.22142303597474899</v>
          </cell>
          <cell r="W28">
            <v>-3.7438954999207352E-2</v>
          </cell>
          <cell r="X28">
            <v>0.1259219080219427</v>
          </cell>
          <cell r="Y28">
            <v>0.33573022372061767</v>
          </cell>
          <cell r="Z28">
            <v>-4.8614661198039477E-2</v>
          </cell>
          <cell r="AA28">
            <v>0.11169201447328181</v>
          </cell>
        </row>
        <row r="29">
          <cell r="B29" t="str">
            <v>OCBC</v>
          </cell>
          <cell r="C29">
            <v>0.50638162376654949</v>
          </cell>
          <cell r="D29">
            <v>0.58887106066625483</v>
          </cell>
          <cell r="E29">
            <v>0.4585082983262867</v>
          </cell>
          <cell r="F29">
            <v>0.37409920892772913</v>
          </cell>
          <cell r="G29">
            <v>0.4641127066512396</v>
          </cell>
          <cell r="H29">
            <v>0.2692023279969063</v>
          </cell>
          <cell r="I29">
            <v>0.26643570771039266</v>
          </cell>
          <cell r="J29">
            <v>0.25189548286283808</v>
          </cell>
          <cell r="K29">
            <v>0.30127860605321277</v>
          </cell>
          <cell r="L29">
            <v>0.36412034127622289</v>
          </cell>
          <cell r="M29">
            <v>0.37974542903967651</v>
          </cell>
          <cell r="N29">
            <v>0.40484221565392231</v>
          </cell>
          <cell r="P29" t="str">
            <v>OCBC</v>
          </cell>
          <cell r="Q29">
            <v>0.16289974404310992</v>
          </cell>
          <cell r="R29">
            <v>-0.22137743055750503</v>
          </cell>
          <cell r="S29">
            <v>-0.18409500919978949</v>
          </cell>
          <cell r="T29">
            <v>0.24061397505093329</v>
          </cell>
          <cell r="U29">
            <v>-0.41996346116160088</v>
          </cell>
          <cell r="V29">
            <v>-1.0277103868676196E-2</v>
          </cell>
          <cell r="W29">
            <v>-5.4573108734206732E-2</v>
          </cell>
          <cell r="X29">
            <v>0.19604608478535024</v>
          </cell>
          <cell r="Y29">
            <v>0.20858346381193371</v>
          </cell>
          <cell r="Z29">
            <v>4.2911878278177218E-2</v>
          </cell>
          <cell r="AA29">
            <v>6.6088449511326752E-2</v>
          </cell>
        </row>
        <row r="30">
          <cell r="B30" t="str">
            <v>UOB</v>
          </cell>
          <cell r="C30">
            <v>0.60310220642742463</v>
          </cell>
          <cell r="D30">
            <v>0.66935751452230519</v>
          </cell>
          <cell r="E30">
            <v>0.44302015050099264</v>
          </cell>
          <cell r="F30">
            <v>0.28869327775417164</v>
          </cell>
          <cell r="G30">
            <v>0.72306519068489516</v>
          </cell>
          <cell r="H30">
            <v>0.86532603235505112</v>
          </cell>
          <cell r="I30">
            <v>0.81179385924659553</v>
          </cell>
          <cell r="J30">
            <v>0.7635287071837239</v>
          </cell>
          <cell r="K30">
            <v>0.89083285595716399</v>
          </cell>
          <cell r="L30">
            <v>0.99502597152091388</v>
          </cell>
          <cell r="M30">
            <v>1.1152049928657697</v>
          </cell>
          <cell r="N30">
            <v>1.1367856034446737</v>
          </cell>
          <cell r="P30" t="str">
            <v>UOB</v>
          </cell>
          <cell r="Q30">
            <v>0.10985751235657859</v>
          </cell>
          <cell r="R30">
            <v>-0.33814121618226822</v>
          </cell>
          <cell r="S30">
            <v>-0.34835181328050047</v>
          </cell>
          <cell r="T30">
            <v>1.5046138805511098</v>
          </cell>
          <cell r="U30">
            <v>0.1967469095496146</v>
          </cell>
          <cell r="V30">
            <v>-6.1863587950501953E-2</v>
          </cell>
          <cell r="W30">
            <v>-5.9454936143105597E-2</v>
          </cell>
          <cell r="X30">
            <v>0.16673131943263986</v>
          </cell>
          <cell r="Y30">
            <v>0.1169614646193069</v>
          </cell>
          <cell r="Z30">
            <v>0.12077978342732121</v>
          </cell>
          <cell r="AA30">
            <v>1.9351249964769002E-2</v>
          </cell>
        </row>
        <row r="31">
          <cell r="P31" t="str">
            <v>Ave.</v>
          </cell>
          <cell r="Q31">
            <v>0.12552195662202262</v>
          </cell>
          <cell r="R31">
            <v>-0.2966994938361831</v>
          </cell>
          <cell r="S31">
            <v>-0.45283971545360852</v>
          </cell>
          <cell r="T31">
            <v>3.692514107839274</v>
          </cell>
          <cell r="U31">
            <v>-1.5718689978554228E-2</v>
          </cell>
          <cell r="V31">
            <v>-9.7854575931309043E-2</v>
          </cell>
          <cell r="W31">
            <v>-5.0488999958839896E-2</v>
          </cell>
          <cell r="X31">
            <v>0.16289977074664427</v>
          </cell>
          <cell r="Y31">
            <v>0.2204250507172861</v>
          </cell>
          <cell r="Z31">
            <v>3.8359000169152981E-2</v>
          </cell>
          <cell r="AA31">
            <v>6.5710571316459188E-2</v>
          </cell>
        </row>
        <row r="33">
          <cell r="B33" t="str">
            <v>PPP</v>
          </cell>
          <cell r="P33" t="str">
            <v>PPP growth</v>
          </cell>
        </row>
        <row r="34">
          <cell r="B34" t="str">
            <v>DBS</v>
          </cell>
          <cell r="C34">
            <v>0</v>
          </cell>
          <cell r="D34">
            <v>0</v>
          </cell>
          <cell r="E34">
            <v>0</v>
          </cell>
          <cell r="F34">
            <v>0</v>
          </cell>
          <cell r="G34">
            <v>0</v>
          </cell>
          <cell r="H34">
            <v>0</v>
          </cell>
          <cell r="I34">
            <v>0</v>
          </cell>
          <cell r="J34">
            <v>0</v>
          </cell>
          <cell r="K34">
            <v>0</v>
          </cell>
          <cell r="L34">
            <v>0</v>
          </cell>
          <cell r="M34">
            <v>0</v>
          </cell>
          <cell r="N34">
            <v>0</v>
          </cell>
          <cell r="P34" t="str">
            <v>DBS</v>
          </cell>
          <cell r="Q34" t="e">
            <v>#DIV/0!</v>
          </cell>
          <cell r="R34" t="e">
            <v>#DIV/0!</v>
          </cell>
          <cell r="S34" t="e">
            <v>#DIV/0!</v>
          </cell>
          <cell r="T34" t="e">
            <v>#DIV/0!</v>
          </cell>
          <cell r="U34" t="e">
            <v>#DIV/0!</v>
          </cell>
          <cell r="V34" t="e">
            <v>#DIV/0!</v>
          </cell>
          <cell r="W34" t="e">
            <v>#DIV/0!</v>
          </cell>
          <cell r="X34" t="e">
            <v>#DIV/0!</v>
          </cell>
          <cell r="Y34" t="e">
            <v>#DIV/0!</v>
          </cell>
          <cell r="Z34" t="e">
            <v>#DIV/0!</v>
          </cell>
          <cell r="AA34" t="e">
            <v>#DIV/0!</v>
          </cell>
        </row>
        <row r="35">
          <cell r="B35" t="str">
            <v>OCBC</v>
          </cell>
          <cell r="C35">
            <v>0</v>
          </cell>
          <cell r="D35">
            <v>0</v>
          </cell>
          <cell r="E35">
            <v>0</v>
          </cell>
          <cell r="F35">
            <v>0</v>
          </cell>
          <cell r="G35">
            <v>0</v>
          </cell>
          <cell r="H35">
            <v>0</v>
          </cell>
          <cell r="I35">
            <v>0</v>
          </cell>
          <cell r="J35">
            <v>0</v>
          </cell>
          <cell r="K35">
            <v>0</v>
          </cell>
          <cell r="L35">
            <v>0</v>
          </cell>
          <cell r="M35">
            <v>0</v>
          </cell>
          <cell r="N35">
            <v>0</v>
          </cell>
          <cell r="P35" t="str">
            <v>OCBC</v>
          </cell>
          <cell r="Q35" t="e">
            <v>#DIV/0!</v>
          </cell>
          <cell r="R35" t="e">
            <v>#DIV/0!</v>
          </cell>
          <cell r="S35" t="e">
            <v>#DIV/0!</v>
          </cell>
          <cell r="T35" t="e">
            <v>#DIV/0!</v>
          </cell>
          <cell r="U35" t="e">
            <v>#DIV/0!</v>
          </cell>
          <cell r="V35" t="e">
            <v>#DIV/0!</v>
          </cell>
          <cell r="W35" t="e">
            <v>#DIV/0!</v>
          </cell>
          <cell r="X35" t="e">
            <v>#DIV/0!</v>
          </cell>
          <cell r="Y35" t="e">
            <v>#DIV/0!</v>
          </cell>
          <cell r="Z35" t="e">
            <v>#DIV/0!</v>
          </cell>
          <cell r="AA35" t="e">
            <v>#DIV/0!</v>
          </cell>
        </row>
        <row r="36">
          <cell r="B36" t="str">
            <v>UOB</v>
          </cell>
          <cell r="C36">
            <v>0</v>
          </cell>
          <cell r="D36">
            <v>0</v>
          </cell>
          <cell r="E36">
            <v>0</v>
          </cell>
          <cell r="F36">
            <v>0</v>
          </cell>
          <cell r="G36">
            <v>0</v>
          </cell>
          <cell r="H36">
            <v>0</v>
          </cell>
          <cell r="I36">
            <v>0</v>
          </cell>
          <cell r="J36">
            <v>0</v>
          </cell>
          <cell r="K36">
            <v>0</v>
          </cell>
          <cell r="L36">
            <v>0</v>
          </cell>
          <cell r="M36">
            <v>0</v>
          </cell>
          <cell r="N36">
            <v>0</v>
          </cell>
          <cell r="P36" t="str">
            <v>UOB</v>
          </cell>
          <cell r="Q36" t="e">
            <v>#DIV/0!</v>
          </cell>
          <cell r="R36" t="e">
            <v>#DIV/0!</v>
          </cell>
          <cell r="S36" t="e">
            <v>#DIV/0!</v>
          </cell>
          <cell r="T36" t="e">
            <v>#DIV/0!</v>
          </cell>
          <cell r="U36" t="e">
            <v>#DIV/0!</v>
          </cell>
          <cell r="V36" t="e">
            <v>#DIV/0!</v>
          </cell>
          <cell r="W36" t="e">
            <v>#DIV/0!</v>
          </cell>
          <cell r="X36" t="e">
            <v>#DIV/0!</v>
          </cell>
          <cell r="Y36" t="e">
            <v>#DIV/0!</v>
          </cell>
          <cell r="Z36" t="e">
            <v>#DIV/0!</v>
          </cell>
          <cell r="AA36" t="e">
            <v>#DIV/0!</v>
          </cell>
        </row>
        <row r="37">
          <cell r="P37" t="str">
            <v>Ave.</v>
          </cell>
          <cell r="Q37" t="e">
            <v>#DIV/0!</v>
          </cell>
          <cell r="R37" t="e">
            <v>#DIV/0!</v>
          </cell>
          <cell r="S37" t="e">
            <v>#DIV/0!</v>
          </cell>
          <cell r="T37" t="e">
            <v>#DIV/0!</v>
          </cell>
          <cell r="U37" t="e">
            <v>#DIV/0!</v>
          </cell>
          <cell r="V37" t="e">
            <v>#DIV/0!</v>
          </cell>
          <cell r="W37" t="e">
            <v>#DIV/0!</v>
          </cell>
          <cell r="X37" t="e">
            <v>#DIV/0!</v>
          </cell>
          <cell r="Y37" t="e">
            <v>#DIV/0!</v>
          </cell>
          <cell r="Z37" t="e">
            <v>#DIV/0!</v>
          </cell>
          <cell r="AA37" t="e">
            <v>#DIV/0!</v>
          </cell>
        </row>
        <row r="39">
          <cell r="B39" t="str">
            <v>DPS</v>
          </cell>
          <cell r="P39" t="str">
            <v>DPS growth</v>
          </cell>
        </row>
        <row r="40">
          <cell r="B40" t="str">
            <v>DBS</v>
          </cell>
          <cell r="C40">
            <v>0.13</v>
          </cell>
          <cell r="D40">
            <v>0.13</v>
          </cell>
          <cell r="E40">
            <v>0.15</v>
          </cell>
          <cell r="F40">
            <v>0.16</v>
          </cell>
          <cell r="G40">
            <v>0.25</v>
          </cell>
          <cell r="H40">
            <v>0.30000000000000004</v>
          </cell>
          <cell r="I40">
            <v>0.30000000000000004</v>
          </cell>
          <cell r="J40">
            <v>0.30000000000000004</v>
          </cell>
          <cell r="K40">
            <v>0.30000000000000004</v>
          </cell>
          <cell r="L40">
            <v>0.4</v>
          </cell>
          <cell r="M40">
            <v>0.56000000000000005</v>
          </cell>
          <cell r="N40">
            <v>0.62</v>
          </cell>
          <cell r="P40" t="str">
            <v>DBS</v>
          </cell>
          <cell r="Q40">
            <v>0</v>
          </cell>
          <cell r="R40">
            <v>0.15384615384615374</v>
          </cell>
          <cell r="S40">
            <v>6.6666666666666652E-2</v>
          </cell>
          <cell r="T40">
            <v>0.5625</v>
          </cell>
          <cell r="U40">
            <v>0.20000000000000018</v>
          </cell>
          <cell r="V40">
            <v>0</v>
          </cell>
          <cell r="W40">
            <v>0</v>
          </cell>
          <cell r="X40">
            <v>0</v>
          </cell>
          <cell r="Y40">
            <v>0.33333333333333326</v>
          </cell>
          <cell r="Z40">
            <v>0.40000000000000013</v>
          </cell>
          <cell r="AA40">
            <v>0.10714285714285698</v>
          </cell>
        </row>
        <row r="42">
          <cell r="B42" t="str">
            <v>UOB</v>
          </cell>
          <cell r="C42">
            <v>0.18</v>
          </cell>
          <cell r="D42">
            <v>0.18</v>
          </cell>
          <cell r="E42">
            <v>0.18</v>
          </cell>
          <cell r="F42">
            <v>0.18</v>
          </cell>
          <cell r="G42">
            <v>0.2</v>
          </cell>
          <cell r="H42">
            <v>0.4</v>
          </cell>
          <cell r="I42">
            <v>0.4</v>
          </cell>
          <cell r="J42">
            <v>0.39999999999999997</v>
          </cell>
          <cell r="K42">
            <v>0.60000000000000009</v>
          </cell>
          <cell r="L42">
            <v>0.60000000000000009</v>
          </cell>
          <cell r="M42">
            <v>0.64996985339409663</v>
          </cell>
          <cell r="N42">
            <v>0.67731826210122481</v>
          </cell>
          <cell r="P42" t="str">
            <v>UOB</v>
          </cell>
          <cell r="Q42">
            <v>0</v>
          </cell>
          <cell r="R42">
            <v>0</v>
          </cell>
          <cell r="S42">
            <v>0</v>
          </cell>
          <cell r="T42">
            <v>0.11111111111111116</v>
          </cell>
          <cell r="U42">
            <v>1</v>
          </cell>
          <cell r="V42">
            <v>0</v>
          </cell>
          <cell r="W42">
            <v>0</v>
          </cell>
          <cell r="X42">
            <v>0.50000000000000044</v>
          </cell>
          <cell r="Y42">
            <v>0</v>
          </cell>
          <cell r="Z42">
            <v>8.3283088990160792E-2</v>
          </cell>
          <cell r="AA42">
            <v>4.2076426413189427E-2</v>
          </cell>
        </row>
        <row r="43">
          <cell r="P43" t="str">
            <v>Ave.</v>
          </cell>
          <cell r="Q43">
            <v>0</v>
          </cell>
          <cell r="R43">
            <v>7.6923076923076872E-2</v>
          </cell>
          <cell r="S43">
            <v>3.3333333333333326E-2</v>
          </cell>
          <cell r="T43">
            <v>0.33680555555555558</v>
          </cell>
          <cell r="U43">
            <v>0.60000000000000009</v>
          </cell>
          <cell r="V43">
            <v>0</v>
          </cell>
          <cell r="W43">
            <v>0</v>
          </cell>
          <cell r="X43">
            <v>0.25000000000000022</v>
          </cell>
          <cell r="Y43">
            <v>0.16666666666666663</v>
          </cell>
          <cell r="Z43">
            <v>0.24164154449508046</v>
          </cell>
          <cell r="AA43">
            <v>7.4609641778023206E-2</v>
          </cell>
        </row>
        <row r="44">
          <cell r="B44" t="str">
            <v>OCBC</v>
          </cell>
          <cell r="C44">
            <v>0.16</v>
          </cell>
          <cell r="D44">
            <v>0.16</v>
          </cell>
          <cell r="E44">
            <v>0.16</v>
          </cell>
          <cell r="F44">
            <v>0.16</v>
          </cell>
          <cell r="G44">
            <v>0.16</v>
          </cell>
          <cell r="H44">
            <v>0.18000000000000002</v>
          </cell>
          <cell r="I44">
            <v>0.18</v>
          </cell>
          <cell r="J44">
            <v>0.1</v>
          </cell>
          <cell r="K44">
            <v>-0.20390000000000003</v>
          </cell>
          <cell r="L44">
            <v>0.19</v>
          </cell>
          <cell r="M44">
            <v>-1.0299999999999998</v>
          </cell>
          <cell r="N44">
            <v>0.24</v>
          </cell>
          <cell r="P44" t="str">
            <v>OCBC</v>
          </cell>
          <cell r="Q44">
            <v>0</v>
          </cell>
          <cell r="R44">
            <v>0</v>
          </cell>
          <cell r="S44">
            <v>0</v>
          </cell>
          <cell r="T44">
            <v>0</v>
          </cell>
          <cell r="U44">
            <v>0.125</v>
          </cell>
          <cell r="V44">
            <v>0</v>
          </cell>
          <cell r="W44">
            <v>0</v>
          </cell>
          <cell r="X44">
            <v>0</v>
          </cell>
          <cell r="Y44">
            <v>0</v>
          </cell>
        </row>
        <row r="47">
          <cell r="A47" t="str">
            <v>Hong Kong</v>
          </cell>
          <cell r="B47" t="str">
            <v>EPS</v>
          </cell>
          <cell r="C47">
            <v>1995</v>
          </cell>
          <cell r="D47">
            <v>1996</v>
          </cell>
          <cell r="E47">
            <v>1997</v>
          </cell>
          <cell r="F47">
            <v>1998</v>
          </cell>
          <cell r="G47">
            <v>1999</v>
          </cell>
          <cell r="H47">
            <v>2000</v>
          </cell>
          <cell r="I47">
            <v>2001</v>
          </cell>
          <cell r="J47">
            <v>2002</v>
          </cell>
          <cell r="K47">
            <v>2003</v>
          </cell>
          <cell r="L47">
            <v>2004</v>
          </cell>
          <cell r="M47">
            <v>2005</v>
          </cell>
          <cell r="N47">
            <v>2006</v>
          </cell>
          <cell r="P47" t="str">
            <v>EPS growth</v>
          </cell>
          <cell r="Q47">
            <v>1996</v>
          </cell>
          <cell r="R47">
            <v>1997</v>
          </cell>
          <cell r="S47">
            <v>1998</v>
          </cell>
          <cell r="T47">
            <v>1999</v>
          </cell>
          <cell r="U47">
            <v>2000</v>
          </cell>
          <cell r="V47">
            <v>2001</v>
          </cell>
          <cell r="W47">
            <v>2002</v>
          </cell>
          <cell r="X47">
            <v>2003</v>
          </cell>
          <cell r="Y47">
            <v>2004</v>
          </cell>
          <cell r="Z47">
            <v>2005</v>
          </cell>
          <cell r="AA47">
            <v>2006</v>
          </cell>
        </row>
        <row r="48">
          <cell r="B48" t="str">
            <v>HSB</v>
          </cell>
          <cell r="C48">
            <v>1995</v>
          </cell>
          <cell r="D48">
            <v>1996</v>
          </cell>
          <cell r="E48">
            <v>1997</v>
          </cell>
          <cell r="F48">
            <v>1998</v>
          </cell>
          <cell r="G48">
            <v>1999</v>
          </cell>
          <cell r="H48">
            <v>2000</v>
          </cell>
          <cell r="I48">
            <v>2001</v>
          </cell>
          <cell r="J48">
            <v>2002</v>
          </cell>
          <cell r="K48">
            <v>2003</v>
          </cell>
          <cell r="L48">
            <v>2004</v>
          </cell>
          <cell r="M48">
            <v>2005</v>
          </cell>
          <cell r="N48">
            <v>2006</v>
          </cell>
          <cell r="P48" t="str">
            <v>HSB</v>
          </cell>
          <cell r="Q48">
            <v>5.0125313283211348E-4</v>
          </cell>
          <cell r="R48">
            <v>5.0100200400793327E-4</v>
          </cell>
          <cell r="S48">
            <v>5.0075112669012434E-4</v>
          </cell>
          <cell r="T48">
            <v>5.0050050050054473E-4</v>
          </cell>
          <cell r="U48">
            <v>5.002501250626068E-4</v>
          </cell>
          <cell r="V48">
            <v>4.9999999999994493E-4</v>
          </cell>
          <cell r="W48">
            <v>4.997501249375258E-4</v>
          </cell>
          <cell r="X48">
            <v>4.995004995005381E-4</v>
          </cell>
          <cell r="Y48">
            <v>4.9925112331505872E-4</v>
          </cell>
          <cell r="Z48">
            <v>4.9900199600805273E-4</v>
          </cell>
          <cell r="AA48">
            <v>4.9875311720692928E-4</v>
          </cell>
        </row>
        <row r="49">
          <cell r="B49" t="str">
            <v>BEA</v>
          </cell>
          <cell r="C49">
            <v>4.1333609442948847</v>
          </cell>
          <cell r="D49">
            <v>4.3937668254296955</v>
          </cell>
          <cell r="E49">
            <v>4.8938950449508676</v>
          </cell>
          <cell r="F49">
            <v>3.5505806046657602</v>
          </cell>
          <cell r="G49">
            <v>4.3451197824040175</v>
          </cell>
          <cell r="H49">
            <v>5.2379956062349615</v>
          </cell>
          <cell r="I49">
            <v>5.290825400146459</v>
          </cell>
          <cell r="J49">
            <v>5.1888272831886182</v>
          </cell>
          <cell r="K49">
            <v>4.9895386546709908</v>
          </cell>
          <cell r="L49">
            <v>5.9441364159430901</v>
          </cell>
          <cell r="M49">
            <v>5.9326289360811799</v>
          </cell>
          <cell r="N49">
            <v>6.3123272732122411</v>
          </cell>
          <cell r="P49" t="str">
            <v>BEA</v>
          </cell>
          <cell r="Q49">
            <v>6.3001002004008155E-2</v>
          </cell>
          <cell r="R49">
            <v>0.11382675489891558</v>
          </cell>
          <cell r="S49">
            <v>-0.27448779100218601</v>
          </cell>
          <cell r="T49">
            <v>0.2237772539776075</v>
          </cell>
          <cell r="U49">
            <v>0.20548934633441651</v>
          </cell>
          <cell r="V49">
            <v>1.0085879768324535E-2</v>
          </cell>
          <cell r="W49">
            <v>-1.9278299555116174E-2</v>
          </cell>
          <cell r="X49">
            <v>-3.840725806451617E-2</v>
          </cell>
          <cell r="Y49">
            <v>0.19131984484746822</v>
          </cell>
          <cell r="Z49">
            <v>-1.9359380499823775E-3</v>
          </cell>
          <cell r="AA49">
            <v>6.4001699958310843E-2</v>
          </cell>
        </row>
        <row r="50">
          <cell r="B50" t="str">
            <v>BOCHK</v>
          </cell>
          <cell r="G50">
            <v>0.35310166570936241</v>
          </cell>
          <cell r="H50">
            <v>1.33</v>
          </cell>
          <cell r="I50">
            <v>1.1840636338264026</v>
          </cell>
          <cell r="J50">
            <v>0.97302904564315351</v>
          </cell>
          <cell r="K50">
            <v>1.4053980370774264</v>
          </cell>
          <cell r="L50">
            <v>1.7205093833780161</v>
          </cell>
          <cell r="M50">
            <v>1.8192052980132449</v>
          </cell>
          <cell r="N50">
            <v>2.2174193548387096</v>
          </cell>
          <cell r="P50" t="str">
            <v>BOCHK</v>
          </cell>
          <cell r="U50">
            <v>2.7666205774705168</v>
          </cell>
          <cell r="V50">
            <v>-0.10972659110796801</v>
          </cell>
          <cell r="W50">
            <v>-0.17822909356760908</v>
          </cell>
          <cell r="X50">
            <v>0.4443536329878881</v>
          </cell>
          <cell r="Y50">
            <v>0.22421501808546318</v>
          </cell>
          <cell r="Z50">
            <v>5.7364357084441542E-2</v>
          </cell>
          <cell r="AA50">
            <v>0.2188945124886974</v>
          </cell>
        </row>
        <row r="51">
          <cell r="B51" t="str">
            <v>DSF</v>
          </cell>
          <cell r="C51">
            <v>0</v>
          </cell>
          <cell r="D51">
            <v>0</v>
          </cell>
          <cell r="E51">
            <v>0</v>
          </cell>
          <cell r="F51">
            <v>0</v>
          </cell>
          <cell r="G51">
            <v>0.27277542372881358</v>
          </cell>
          <cell r="H51">
            <v>0.46884458232445519</v>
          </cell>
          <cell r="I51">
            <v>0.46742584745762711</v>
          </cell>
          <cell r="J51">
            <v>0.63114785108958837</v>
          </cell>
          <cell r="K51">
            <v>0.75315904963680391</v>
          </cell>
          <cell r="L51">
            <v>1.1312991828087167</v>
          </cell>
          <cell r="M51">
            <v>1.2762938861985471</v>
          </cell>
          <cell r="N51">
            <v>1.2656509370586038</v>
          </cell>
          <cell r="P51" t="str">
            <v>DSF</v>
          </cell>
          <cell r="Q51" t="e">
            <v>#DIV/0!</v>
          </cell>
          <cell r="R51" t="e">
            <v>#DIV/0!</v>
          </cell>
          <cell r="S51" t="e">
            <v>#DIV/0!</v>
          </cell>
          <cell r="T51" t="e">
            <v>#DIV/0!</v>
          </cell>
          <cell r="U51">
            <v>0.71879334257975014</v>
          </cell>
          <cell r="V51">
            <v>-3.0260238047206123E-3</v>
          </cell>
          <cell r="W51">
            <v>0.35026305139619596</v>
          </cell>
          <cell r="X51">
            <v>0.19331634946800547</v>
          </cell>
          <cell r="Y51">
            <v>0.50207208338565845</v>
          </cell>
          <cell r="Z51">
            <v>0.12816654125909199</v>
          </cell>
          <cell r="AA51">
            <v>-8.338948619148745E-3</v>
          </cell>
        </row>
        <row r="52">
          <cell r="B52" t="str">
            <v>WHB</v>
          </cell>
          <cell r="C52">
            <v>2.0858046373195882</v>
          </cell>
          <cell r="D52">
            <v>2.6377791637943298</v>
          </cell>
          <cell r="E52">
            <v>2.9004187210967634</v>
          </cell>
          <cell r="F52">
            <v>1.0593242170996362</v>
          </cell>
          <cell r="G52">
            <v>2.4236678585781561</v>
          </cell>
          <cell r="H52">
            <v>3.2951219512195125</v>
          </cell>
          <cell r="I52">
            <v>3.5087221095334686</v>
          </cell>
          <cell r="J52">
            <v>3.363042596348885</v>
          </cell>
          <cell r="K52">
            <v>4.024340770791075</v>
          </cell>
          <cell r="L52">
            <v>4.6439325692909916</v>
          </cell>
          <cell r="M52">
            <v>4.0921907761023766</v>
          </cell>
          <cell r="N52">
            <v>4.789324170930179</v>
          </cell>
          <cell r="P52" t="str">
            <v>WHB</v>
          </cell>
          <cell r="Q52">
            <v>0.26463385716893861</v>
          </cell>
          <cell r="R52">
            <v>9.956844034078971E-2</v>
          </cell>
          <cell r="S52">
            <v>-0.63476852173293663</v>
          </cell>
          <cell r="T52">
            <v>1.2879377431906618</v>
          </cell>
          <cell r="U52">
            <v>0.35956003193960528</v>
          </cell>
          <cell r="V52">
            <v>6.4823142049387217E-2</v>
          </cell>
          <cell r="W52">
            <v>-4.1519250780436834E-2</v>
          </cell>
          <cell r="X52">
            <v>0.19663687137359886</v>
          </cell>
          <cell r="Y52">
            <v>0.15396106686515076</v>
          </cell>
          <cell r="Z52">
            <v>-0.11880917411185665</v>
          </cell>
          <cell r="AA52">
            <v>0.17035701240981482</v>
          </cell>
        </row>
        <row r="53">
          <cell r="B53" t="str">
            <v>CIFH</v>
          </cell>
          <cell r="D53">
            <v>2.1920563139931741</v>
          </cell>
          <cell r="E53">
            <v>2.4780716723549499</v>
          </cell>
          <cell r="F53">
            <v>1.7172593856655292</v>
          </cell>
          <cell r="G53">
            <v>2.3280307167235486</v>
          </cell>
          <cell r="H53">
            <v>3.078962457337886</v>
          </cell>
          <cell r="I53">
            <v>2.6563344709897612</v>
          </cell>
          <cell r="J53">
            <v>2.2818293515358361</v>
          </cell>
          <cell r="K53">
            <v>2.9847138964577646</v>
          </cell>
          <cell r="L53">
            <v>4.1262057220708446</v>
          </cell>
          <cell r="M53">
            <v>4.5880454316467079</v>
          </cell>
          <cell r="N53">
            <v>5.7027417665255067</v>
          </cell>
          <cell r="P53" t="str">
            <v>CIFH</v>
          </cell>
          <cell r="R53">
            <v>0.13047810703400864</v>
          </cell>
          <cell r="S53">
            <v>-0.30701787005474668</v>
          </cell>
          <cell r="T53">
            <v>0.35566632283760269</v>
          </cell>
          <cell r="U53">
            <v>0.32256092465618003</v>
          </cell>
          <cell r="V53">
            <v>-0.13726311775608169</v>
          </cell>
          <cell r="W53">
            <v>-0.14098567915447147</v>
          </cell>
          <cell r="X53">
            <v>0.30803554369604225</v>
          </cell>
          <cell r="Y53">
            <v>0.38244597814477088</v>
          </cell>
          <cell r="Z53">
            <v>0.1119284254552575</v>
          </cell>
          <cell r="AA53">
            <v>0.24295669070537529</v>
          </cell>
        </row>
        <row r="54">
          <cell r="B54" t="str">
            <v>ICBCA</v>
          </cell>
          <cell r="E54">
            <v>0.24544304339347123</v>
          </cell>
          <cell r="F54">
            <v>4.1796608240382317E-2</v>
          </cell>
          <cell r="G54">
            <v>4.034794954322795E-2</v>
          </cell>
          <cell r="H54">
            <v>0.19408889136531624</v>
          </cell>
          <cell r="I54">
            <v>0.23293488571878687</v>
          </cell>
          <cell r="J54">
            <v>0.19774927958368083</v>
          </cell>
          <cell r="K54">
            <v>0.22653739899230577</v>
          </cell>
          <cell r="L54">
            <v>0.29582202823398462</v>
          </cell>
          <cell r="M54">
            <v>0.34548345156938176</v>
          </cell>
          <cell r="N54">
            <v>0.31051460104640799</v>
          </cell>
          <cell r="P54" t="str">
            <v>ICBCA</v>
          </cell>
          <cell r="S54">
            <v>-0.82970954213039994</v>
          </cell>
          <cell r="T54">
            <v>-3.4659719009322076E-2</v>
          </cell>
          <cell r="U54">
            <v>3.8103780628895016</v>
          </cell>
          <cell r="V54">
            <v>0.20014537710122871</v>
          </cell>
          <cell r="W54">
            <v>-0.15105339857759326</v>
          </cell>
          <cell r="X54">
            <v>0.14557888387372242</v>
          </cell>
          <cell r="Y54">
            <v>0.30584190314656201</v>
          </cell>
          <cell r="Z54">
            <v>0.16787601529158858</v>
          </cell>
          <cell r="AA54">
            <v>-0.1012171505295707</v>
          </cell>
        </row>
        <row r="55">
          <cell r="B55" t="str">
            <v>WLB</v>
          </cell>
          <cell r="C55">
            <v>0</v>
          </cell>
          <cell r="D55">
            <v>0</v>
          </cell>
          <cell r="E55">
            <v>1.196227569562043</v>
          </cell>
          <cell r="F55">
            <v>0.10978182912563038</v>
          </cell>
          <cell r="G55">
            <v>-1.5931306635486699</v>
          </cell>
          <cell r="H55">
            <v>0.33285991762615935</v>
          </cell>
          <cell r="I55">
            <v>0.5978841140529535</v>
          </cell>
          <cell r="J55">
            <v>0.76059083191850563</v>
          </cell>
          <cell r="K55">
            <v>0.77002688438632483</v>
          </cell>
          <cell r="L55">
            <v>0.80019306826835657</v>
          </cell>
          <cell r="M55">
            <v>0.91095506740029275</v>
          </cell>
          <cell r="N55">
            <v>1.0255044447172967</v>
          </cell>
          <cell r="P55" t="str">
            <v>WLB</v>
          </cell>
          <cell r="Q55" t="e">
            <v>#DIV/0!</v>
          </cell>
          <cell r="R55" t="e">
            <v>#DIV/0!</v>
          </cell>
          <cell r="S55">
            <v>-0.90822663519966929</v>
          </cell>
          <cell r="T55">
            <v>-15.51178830082662</v>
          </cell>
          <cell r="U55">
            <v>-1.2089344742663606</v>
          </cell>
          <cell r="V55">
            <v>0.79620339486007841</v>
          </cell>
          <cell r="W55">
            <v>0.27213754980474603</v>
          </cell>
          <cell r="X55">
            <v>1.240621379042639E-2</v>
          </cell>
          <cell r="Y55">
            <v>3.9175494380397913E-2</v>
          </cell>
          <cell r="Z55">
            <v>0.13841909349655923</v>
          </cell>
          <cell r="AA55">
            <v>0.12574646260425104</v>
          </cell>
        </row>
        <row r="56">
          <cell r="B56" t="str">
            <v>HSBC</v>
          </cell>
          <cell r="C56">
            <v>2.8675000000000002</v>
          </cell>
          <cell r="D56">
            <v>3.55</v>
          </cell>
          <cell r="E56">
            <v>3.9849999999999999</v>
          </cell>
          <cell r="F56">
            <v>4.1340000000000003</v>
          </cell>
          <cell r="G56">
            <v>5.1479999999999997</v>
          </cell>
          <cell r="H56">
            <v>6.3180000000000005</v>
          </cell>
          <cell r="I56">
            <v>5.226</v>
          </cell>
          <cell r="J56" t="str">
            <v>#Refresh</v>
          </cell>
          <cell r="K56" t="str">
            <v>#Refresh</v>
          </cell>
          <cell r="L56" t="str">
            <v>#Refresh</v>
          </cell>
          <cell r="M56" t="str">
            <v>#Refresh</v>
          </cell>
          <cell r="N56" t="str">
            <v>#Refresh</v>
          </cell>
          <cell r="P56" t="str">
            <v>HSBC</v>
          </cell>
          <cell r="Q56">
            <v>0.23801220575414117</v>
          </cell>
          <cell r="R56">
            <v>0.12253521126760569</v>
          </cell>
          <cell r="S56">
            <v>3.7390213299874686E-2</v>
          </cell>
          <cell r="T56">
            <v>0.24528301886792425</v>
          </cell>
          <cell r="U56">
            <v>0.22727272727272751</v>
          </cell>
          <cell r="V56">
            <v>-0.17283950617283961</v>
          </cell>
          <cell r="W56" t="e">
            <v>#VALUE!</v>
          </cell>
          <cell r="X56" t="e">
            <v>#VALUE!</v>
          </cell>
          <cell r="Y56" t="e">
            <v>#VALUE!</v>
          </cell>
          <cell r="Z56" t="e">
            <v>#VALUE!</v>
          </cell>
          <cell r="AA56" t="e">
            <v>#VALUE!</v>
          </cell>
        </row>
        <row r="57">
          <cell r="P57" t="str">
            <v>Ave.</v>
          </cell>
          <cell r="Q57" t="e">
            <v>#DIV/0!</v>
          </cell>
          <cell r="R57" t="e">
            <v>#DIV/0!</v>
          </cell>
          <cell r="S57" t="e">
            <v>#DIV/0!</v>
          </cell>
          <cell r="T57" t="e">
            <v>#DIV/0!</v>
          </cell>
          <cell r="U57">
            <v>0.80024897655571114</v>
          </cell>
          <cell r="V57">
            <v>7.2100283881934318E-2</v>
          </cell>
          <cell r="W57" t="e">
            <v>#VALUE!</v>
          </cell>
          <cell r="X57" t="e">
            <v>#VALUE!</v>
          </cell>
          <cell r="Y57" t="e">
            <v>#VALUE!</v>
          </cell>
          <cell r="Z57" t="e">
            <v>#VALUE!</v>
          </cell>
          <cell r="AA57" t="e">
            <v>#VALUE!</v>
          </cell>
        </row>
        <row r="59">
          <cell r="B59" t="str">
            <v>PPP</v>
          </cell>
          <cell r="P59" t="str">
            <v>PPP growth</v>
          </cell>
        </row>
        <row r="60">
          <cell r="B60" t="str">
            <v>HSB</v>
          </cell>
          <cell r="C60">
            <v>1995</v>
          </cell>
          <cell r="D60">
            <v>1996</v>
          </cell>
          <cell r="E60">
            <v>1997</v>
          </cell>
          <cell r="F60">
            <v>1998</v>
          </cell>
          <cell r="G60">
            <v>1999</v>
          </cell>
          <cell r="H60">
            <v>2000</v>
          </cell>
          <cell r="I60">
            <v>2001</v>
          </cell>
          <cell r="J60">
            <v>2002</v>
          </cell>
          <cell r="K60">
            <v>2003</v>
          </cell>
          <cell r="L60">
            <v>2004</v>
          </cell>
          <cell r="M60">
            <v>2005</v>
          </cell>
          <cell r="N60">
            <v>2006</v>
          </cell>
          <cell r="P60" t="str">
            <v>HSB</v>
          </cell>
          <cell r="Q60">
            <v>5.0125313283211348E-4</v>
          </cell>
          <cell r="R60">
            <v>5.0100200400793327E-4</v>
          </cell>
          <cell r="S60">
            <v>5.0075112669012434E-4</v>
          </cell>
          <cell r="T60">
            <v>5.0050050050054473E-4</v>
          </cell>
          <cell r="U60">
            <v>5.002501250626068E-4</v>
          </cell>
          <cell r="V60">
            <v>4.9999999999994493E-4</v>
          </cell>
          <cell r="W60">
            <v>4.997501249375258E-4</v>
          </cell>
          <cell r="X60">
            <v>4.995004995005381E-4</v>
          </cell>
          <cell r="Y60">
            <v>4.9925112331505872E-4</v>
          </cell>
          <cell r="Z60">
            <v>4.9900199600805273E-4</v>
          </cell>
          <cell r="AA60">
            <v>4.9875311720692928E-4</v>
          </cell>
        </row>
        <row r="61">
          <cell r="B61" t="str">
            <v>BEA</v>
          </cell>
          <cell r="C61">
            <v>8026</v>
          </cell>
          <cell r="D61">
            <v>9803</v>
          </cell>
          <cell r="E61">
            <v>10773</v>
          </cell>
          <cell r="F61">
            <v>10632</v>
          </cell>
          <cell r="G61">
            <v>11065</v>
          </cell>
          <cell r="H61">
            <v>11540</v>
          </cell>
          <cell r="I61">
            <v>11716</v>
          </cell>
          <cell r="J61">
            <v>11255</v>
          </cell>
          <cell r="K61">
            <v>11475</v>
          </cell>
          <cell r="L61">
            <v>11821</v>
          </cell>
          <cell r="M61">
            <v>11686</v>
          </cell>
          <cell r="N61">
            <v>12850.335488078852</v>
          </cell>
          <cell r="P61" t="str">
            <v>BEA</v>
          </cell>
          <cell r="Q61">
            <v>0.22140543234487908</v>
          </cell>
          <cell r="R61">
            <v>9.8949301234316112E-2</v>
          </cell>
          <cell r="S61">
            <v>-1.3088276246171038E-2</v>
          </cell>
          <cell r="T61">
            <v>4.0726109857035286E-2</v>
          </cell>
          <cell r="U61">
            <v>4.2928151830094796E-2</v>
          </cell>
          <cell r="V61">
            <v>1.5251299826689824E-2</v>
          </cell>
          <cell r="W61">
            <v>-3.9347900307272088E-2</v>
          </cell>
          <cell r="X61">
            <v>1.9546868058640587E-2</v>
          </cell>
          <cell r="Y61">
            <v>3.0152505446623179E-2</v>
          </cell>
          <cell r="Z61">
            <v>-1.1420353607985767E-2</v>
          </cell>
          <cell r="AA61">
            <v>9.9635075139384854E-2</v>
          </cell>
        </row>
        <row r="62">
          <cell r="B62" t="str">
            <v>BOCHK</v>
          </cell>
          <cell r="G62">
            <v>2657</v>
          </cell>
          <cell r="H62">
            <v>2735.3300000000008</v>
          </cell>
          <cell r="I62">
            <v>2352</v>
          </cell>
          <cell r="J62">
            <v>2513</v>
          </cell>
          <cell r="K62">
            <v>2871</v>
          </cell>
          <cell r="L62">
            <v>2775</v>
          </cell>
          <cell r="M62">
            <v>2964</v>
          </cell>
          <cell r="N62">
            <v>4099</v>
          </cell>
          <cell r="P62" t="str">
            <v>BOCHK</v>
          </cell>
          <cell r="U62">
            <v>2.9480617237486184E-2</v>
          </cell>
          <cell r="V62">
            <v>-0.14014031213784106</v>
          </cell>
          <cell r="W62">
            <v>6.8452380952380931E-2</v>
          </cell>
          <cell r="X62">
            <v>0.14245921209709511</v>
          </cell>
          <cell r="Y62">
            <v>-3.3437826541274807E-2</v>
          </cell>
          <cell r="Z62">
            <v>6.8108108108108079E-2</v>
          </cell>
          <cell r="AA62">
            <v>0.38292847503373828</v>
          </cell>
        </row>
        <row r="63">
          <cell r="B63" t="str">
            <v>DSF</v>
          </cell>
          <cell r="C63">
            <v>0</v>
          </cell>
          <cell r="D63">
            <v>0</v>
          </cell>
          <cell r="E63">
            <v>0</v>
          </cell>
          <cell r="F63">
            <v>0</v>
          </cell>
          <cell r="G63">
            <v>13147</v>
          </cell>
          <cell r="H63">
            <v>14964</v>
          </cell>
          <cell r="I63">
            <v>13162</v>
          </cell>
          <cell r="J63">
            <v>12089</v>
          </cell>
          <cell r="K63">
            <v>11595</v>
          </cell>
          <cell r="L63">
            <v>10352</v>
          </cell>
          <cell r="M63">
            <v>12166</v>
          </cell>
          <cell r="N63">
            <v>15277.794464760202</v>
          </cell>
          <cell r="P63" t="str">
            <v>DSF</v>
          </cell>
          <cell r="Q63" t="e">
            <v>#DIV/0!</v>
          </cell>
          <cell r="R63" t="e">
            <v>#DIV/0!</v>
          </cell>
          <cell r="S63" t="e">
            <v>#DIV/0!</v>
          </cell>
          <cell r="T63" t="e">
            <v>#DIV/0!</v>
          </cell>
          <cell r="U63">
            <v>0.13820643492812046</v>
          </cell>
          <cell r="V63">
            <v>-0.12042234696605181</v>
          </cell>
          <cell r="W63">
            <v>-8.1522564959732535E-2</v>
          </cell>
          <cell r="X63">
            <v>-4.0863595003722386E-2</v>
          </cell>
          <cell r="Y63">
            <v>-0.10720137990513157</v>
          </cell>
          <cell r="Z63">
            <v>0.17523183925811447</v>
          </cell>
          <cell r="AA63">
            <v>0.25577794384022701</v>
          </cell>
        </row>
        <row r="64">
          <cell r="B64" t="str">
            <v>WHB</v>
          </cell>
          <cell r="C64">
            <v>586.11199999999963</v>
          </cell>
          <cell r="D64">
            <v>827.02899999999988</v>
          </cell>
          <cell r="E64">
            <v>823.4689999999996</v>
          </cell>
          <cell r="F64">
            <v>704</v>
          </cell>
          <cell r="G64">
            <v>1102</v>
          </cell>
          <cell r="H64">
            <v>1214</v>
          </cell>
          <cell r="I64">
            <v>1301</v>
          </cell>
          <cell r="J64">
            <v>1587.5590000000002</v>
          </cell>
          <cell r="K64">
            <v>1557</v>
          </cell>
          <cell r="L64">
            <v>1509.5929999999998</v>
          </cell>
          <cell r="M64">
            <v>1257.7059999999997</v>
          </cell>
          <cell r="N64">
            <v>1801.2819406582817</v>
          </cell>
          <cell r="P64" t="str">
            <v>WHB</v>
          </cell>
          <cell r="Q64">
            <v>0.41104259936667464</v>
          </cell>
          <cell r="R64">
            <v>-4.304564894338947E-3</v>
          </cell>
          <cell r="S64">
            <v>-0.14508014266475078</v>
          </cell>
          <cell r="T64">
            <v>0.56534090909090917</v>
          </cell>
          <cell r="U64">
            <v>0.10163339382940118</v>
          </cell>
          <cell r="V64">
            <v>7.1663920922570012E-2</v>
          </cell>
          <cell r="W64">
            <v>0.22026056879323619</v>
          </cell>
          <cell r="X64">
            <v>-1.9249048381824063E-2</v>
          </cell>
          <cell r="Y64">
            <v>-3.0447655748233826E-2</v>
          </cell>
          <cell r="Z64">
            <v>-0.16685755697065385</v>
          </cell>
          <cell r="AA64">
            <v>0.4321963484775313</v>
          </cell>
        </row>
        <row r="65">
          <cell r="B65" t="str">
            <v>CIFH</v>
          </cell>
          <cell r="C65">
            <v>820.82899999999972</v>
          </cell>
          <cell r="D65">
            <v>1031.385</v>
          </cell>
          <cell r="E65">
            <v>1231.7930000000001</v>
          </cell>
          <cell r="F65">
            <v>1119.2860000000001</v>
          </cell>
          <cell r="G65">
            <v>1264.8009999999997</v>
          </cell>
          <cell r="H65">
            <v>1428.6270000000004</v>
          </cell>
          <cell r="I65">
            <v>1291.306</v>
          </cell>
          <cell r="J65">
            <v>1242.1289999999999</v>
          </cell>
          <cell r="K65">
            <v>1319.3049999999998</v>
          </cell>
          <cell r="L65">
            <v>1400.961</v>
          </cell>
          <cell r="M65">
            <v>1645.0109999999993</v>
          </cell>
          <cell r="N65">
            <v>2005.248188104059</v>
          </cell>
          <cell r="P65" t="str">
            <v>CIFH</v>
          </cell>
          <cell r="Q65">
            <v>0.25651627805547839</v>
          </cell>
          <cell r="R65">
            <v>0.19430959341080212</v>
          </cell>
          <cell r="S65">
            <v>-9.1335963104190454E-2</v>
          </cell>
          <cell r="T65">
            <v>0.13000698659681231</v>
          </cell>
          <cell r="U65">
            <v>0.12952709556681308</v>
          </cell>
          <cell r="V65">
            <v>-9.612096089462141E-2</v>
          </cell>
          <cell r="W65">
            <v>-3.8083149927283011E-2</v>
          </cell>
          <cell r="X65">
            <v>6.2132032985301899E-2</v>
          </cell>
          <cell r="Y65">
            <v>6.189319376489899E-2</v>
          </cell>
          <cell r="Z65">
            <v>0.17420185144340161</v>
          </cell>
          <cell r="AA65">
            <v>0.21898770774423992</v>
          </cell>
        </row>
        <row r="66">
          <cell r="B66" t="str">
            <v>ICBCA</v>
          </cell>
          <cell r="C66">
            <v>430.488</v>
          </cell>
          <cell r="D66">
            <v>515.89899999999989</v>
          </cell>
          <cell r="E66">
            <v>745.39599999999996</v>
          </cell>
          <cell r="F66">
            <v>681.78599999999972</v>
          </cell>
          <cell r="G66">
            <v>669.27199999999993</v>
          </cell>
          <cell r="H66">
            <v>942.23199999999963</v>
          </cell>
          <cell r="I66">
            <v>1030.2230000000004</v>
          </cell>
          <cell r="J66">
            <v>1133.8710000000001</v>
          </cell>
          <cell r="K66">
            <v>1005.7790000000001</v>
          </cell>
          <cell r="L66">
            <v>1036.8779999999999</v>
          </cell>
          <cell r="M66">
            <v>875.35999999999967</v>
          </cell>
          <cell r="N66">
            <v>1006.7380109515116</v>
          </cell>
          <cell r="P66" t="str">
            <v>ICBCA</v>
          </cell>
          <cell r="S66">
            <v>-8.5337189896377508E-2</v>
          </cell>
          <cell r="T66">
            <v>-1.8354733010064406E-2</v>
          </cell>
          <cell r="U66">
            <v>0.40784613729544894</v>
          </cell>
          <cell r="V66">
            <v>9.33857054313596E-2</v>
          </cell>
          <cell r="W66">
            <v>0.10060734423517981</v>
          </cell>
          <cell r="X66">
            <v>-0.11296875923275218</v>
          </cell>
          <cell r="Y66">
            <v>3.0920311519727406E-2</v>
          </cell>
          <cell r="Z66">
            <v>-0.15577338896186466</v>
          </cell>
          <cell r="AA66">
            <v>0.15008454915864555</v>
          </cell>
        </row>
        <row r="67">
          <cell r="B67" t="str">
            <v>WLB</v>
          </cell>
          <cell r="C67">
            <v>0</v>
          </cell>
          <cell r="D67">
            <v>0</v>
          </cell>
          <cell r="E67">
            <v>465.13700000000006</v>
          </cell>
          <cell r="F67">
            <v>313.94399999999996</v>
          </cell>
          <cell r="G67">
            <v>190.20700000000005</v>
          </cell>
          <cell r="H67">
            <v>291.01299999999998</v>
          </cell>
          <cell r="I67">
            <v>383.74400000000014</v>
          </cell>
          <cell r="J67">
            <v>737.16299999999978</v>
          </cell>
          <cell r="K67">
            <v>794.93400000000008</v>
          </cell>
          <cell r="L67">
            <v>900.64600000000019</v>
          </cell>
          <cell r="M67">
            <v>1142.7599999999998</v>
          </cell>
          <cell r="N67">
            <v>1515.0542813871612</v>
          </cell>
          <cell r="P67" t="str">
            <v>WLB</v>
          </cell>
          <cell r="Q67" t="e">
            <v>#DIV/0!</v>
          </cell>
          <cell r="R67" t="e">
            <v>#DIV/0!</v>
          </cell>
          <cell r="S67">
            <v>-0.32505046900160617</v>
          </cell>
          <cell r="T67">
            <v>-0.39413717096042578</v>
          </cell>
          <cell r="U67">
            <v>0.52998049493446553</v>
          </cell>
          <cell r="V67">
            <v>0.31864899506207678</v>
          </cell>
          <cell r="W67">
            <v>0.92097596314209351</v>
          </cell>
          <cell r="X67">
            <v>7.8369370139304673E-2</v>
          </cell>
          <cell r="Y67">
            <v>0.13298210920655062</v>
          </cell>
          <cell r="Z67">
            <v>0.26882260066663211</v>
          </cell>
          <cell r="AA67">
            <v>0.32578518795474243</v>
          </cell>
        </row>
        <row r="68">
          <cell r="B68" t="str">
            <v>HSBC</v>
          </cell>
          <cell r="C68">
            <v>46030</v>
          </cell>
          <cell r="D68">
            <v>54580</v>
          </cell>
          <cell r="E68">
            <v>66230</v>
          </cell>
          <cell r="F68">
            <v>70597.8</v>
          </cell>
          <cell r="G68">
            <v>74898</v>
          </cell>
          <cell r="H68">
            <v>81790.8</v>
          </cell>
          <cell r="I68">
            <v>81775.199999999997</v>
          </cell>
          <cell r="J68" t="e">
            <v>#VALUE!</v>
          </cell>
          <cell r="K68" t="e">
            <v>#VALUE!</v>
          </cell>
          <cell r="L68" t="e">
            <v>#VALUE!</v>
          </cell>
          <cell r="M68" t="e">
            <v>#VALUE!</v>
          </cell>
          <cell r="N68" t="e">
            <v>#VALUE!</v>
          </cell>
          <cell r="P68" t="str">
            <v>HSBC</v>
          </cell>
          <cell r="Q68">
            <v>0.18574842494025634</v>
          </cell>
          <cell r="R68">
            <v>0.21344814950531332</v>
          </cell>
          <cell r="S68">
            <v>6.5948965725502129E-2</v>
          </cell>
          <cell r="T68">
            <v>6.0911246526095697E-2</v>
          </cell>
          <cell r="U68">
            <v>9.2029159657133652E-2</v>
          </cell>
          <cell r="V68">
            <v>-1.9073049780671258E-4</v>
          </cell>
          <cell r="W68" t="e">
            <v>#VALUE!</v>
          </cell>
          <cell r="X68" t="e">
            <v>#VALUE!</v>
          </cell>
          <cell r="Y68" t="e">
            <v>#VALUE!</v>
          </cell>
          <cell r="Z68" t="e">
            <v>#VALUE!</v>
          </cell>
          <cell r="AA68" t="e">
            <v>#VALUE!</v>
          </cell>
        </row>
        <row r="69">
          <cell r="P69" t="str">
            <v>Ave.</v>
          </cell>
          <cell r="Q69" t="e">
            <v>#DIV/0!</v>
          </cell>
          <cell r="R69" t="e">
            <v>#DIV/0!</v>
          </cell>
          <cell r="S69" t="e">
            <v>#DIV/0!</v>
          </cell>
          <cell r="T69" t="e">
            <v>#DIV/0!</v>
          </cell>
          <cell r="U69">
            <v>0.1635701928226696</v>
          </cell>
          <cell r="V69">
            <v>1.5841730082930574E-2</v>
          </cell>
          <cell r="W69" t="e">
            <v>#VALUE!</v>
          </cell>
          <cell r="X69" t="e">
            <v>#VALUE!</v>
          </cell>
          <cell r="Y69" t="e">
            <v>#VALUE!</v>
          </cell>
          <cell r="Z69" t="e">
            <v>#VALUE!</v>
          </cell>
          <cell r="AA69" t="e">
            <v>#VALUE!</v>
          </cell>
        </row>
        <row r="71">
          <cell r="B71" t="str">
            <v>DPS</v>
          </cell>
          <cell r="P71" t="str">
            <v>DPS growth</v>
          </cell>
        </row>
        <row r="72">
          <cell r="B72" t="str">
            <v>HSB</v>
          </cell>
          <cell r="C72">
            <v>0</v>
          </cell>
          <cell r="D72">
            <v>0</v>
          </cell>
          <cell r="E72">
            <v>0</v>
          </cell>
          <cell r="F72">
            <v>0</v>
          </cell>
          <cell r="G72">
            <v>1879.06</v>
          </cell>
          <cell r="H72">
            <v>0</v>
          </cell>
          <cell r="I72">
            <v>0</v>
          </cell>
          <cell r="J72">
            <v>1881.8799999999999</v>
          </cell>
          <cell r="K72">
            <v>0</v>
          </cell>
          <cell r="L72">
            <v>0</v>
          </cell>
          <cell r="M72">
            <v>0</v>
          </cell>
          <cell r="N72">
            <v>0</v>
          </cell>
          <cell r="P72" t="str">
            <v>HSB</v>
          </cell>
          <cell r="Q72" t="e">
            <v>#DIV/0!</v>
          </cell>
          <cell r="R72" t="e">
            <v>#DIV/0!</v>
          </cell>
          <cell r="S72" t="e">
            <v>#DIV/0!</v>
          </cell>
          <cell r="T72" t="e">
            <v>#DIV/0!</v>
          </cell>
          <cell r="U72">
            <v>-1</v>
          </cell>
          <cell r="V72" t="e">
            <v>#DIV/0!</v>
          </cell>
          <cell r="W72" t="e">
            <v>#DIV/0!</v>
          </cell>
          <cell r="X72">
            <v>-1</v>
          </cell>
          <cell r="Y72" t="e">
            <v>#DIV/0!</v>
          </cell>
          <cell r="Z72" t="e">
            <v>#DIV/0!</v>
          </cell>
          <cell r="AA72" t="e">
            <v>#DIV/0!</v>
          </cell>
        </row>
        <row r="73">
          <cell r="B73" t="str">
            <v>BEA</v>
          </cell>
          <cell r="C73">
            <v>0</v>
          </cell>
          <cell r="D73">
            <v>0</v>
          </cell>
          <cell r="E73">
            <v>0</v>
          </cell>
          <cell r="F73">
            <v>0</v>
          </cell>
          <cell r="G73">
            <v>0</v>
          </cell>
          <cell r="H73">
            <v>0</v>
          </cell>
          <cell r="I73">
            <v>0</v>
          </cell>
          <cell r="J73">
            <v>0</v>
          </cell>
          <cell r="K73">
            <v>0</v>
          </cell>
          <cell r="L73">
            <v>0</v>
          </cell>
          <cell r="M73">
            <v>0</v>
          </cell>
          <cell r="N73">
            <v>0</v>
          </cell>
          <cell r="P73" t="str">
            <v>BEA</v>
          </cell>
          <cell r="Q73" t="e">
            <v>#DIV/0!</v>
          </cell>
          <cell r="R73" t="e">
            <v>#DIV/0!</v>
          </cell>
          <cell r="S73" t="e">
            <v>#DIV/0!</v>
          </cell>
          <cell r="T73" t="e">
            <v>#DIV/0!</v>
          </cell>
          <cell r="U73" t="e">
            <v>#DIV/0!</v>
          </cell>
          <cell r="V73" t="e">
            <v>#DIV/0!</v>
          </cell>
          <cell r="W73" t="e">
            <v>#DIV/0!</v>
          </cell>
          <cell r="X73" t="e">
            <v>#DIV/0!</v>
          </cell>
          <cell r="Y73" t="e">
            <v>#DIV/0!</v>
          </cell>
          <cell r="Z73" t="e">
            <v>#DIV/0!</v>
          </cell>
          <cell r="AA73" t="e">
            <v>#DIV/0!</v>
          </cell>
        </row>
        <row r="74">
          <cell r="B74" t="str">
            <v>BOCHK</v>
          </cell>
          <cell r="G74">
            <v>0</v>
          </cell>
          <cell r="H74">
            <v>0</v>
          </cell>
          <cell r="I74">
            <v>0</v>
          </cell>
          <cell r="J74">
            <v>-0.183</v>
          </cell>
          <cell r="K74">
            <v>0</v>
          </cell>
          <cell r="L74">
            <v>0</v>
          </cell>
          <cell r="M74">
            <v>0</v>
          </cell>
          <cell r="N74">
            <v>0</v>
          </cell>
          <cell r="P74" t="str">
            <v>BOCHK</v>
          </cell>
          <cell r="U74" t="e">
            <v>#DIV/0!</v>
          </cell>
          <cell r="V74" t="e">
            <v>#DIV/0!</v>
          </cell>
          <cell r="W74" t="e">
            <v>#DIV/0!</v>
          </cell>
          <cell r="X74">
            <v>-1</v>
          </cell>
          <cell r="Y74" t="e">
            <v>#DIV/0!</v>
          </cell>
          <cell r="Z74" t="e">
            <v>#DIV/0!</v>
          </cell>
          <cell r="AA74" t="e">
            <v>#DIV/0!</v>
          </cell>
        </row>
        <row r="75">
          <cell r="B75" t="str">
            <v>DSF</v>
          </cell>
          <cell r="C75">
            <v>0</v>
          </cell>
          <cell r="D75">
            <v>0</v>
          </cell>
          <cell r="E75">
            <v>0</v>
          </cell>
          <cell r="F75">
            <v>0</v>
          </cell>
          <cell r="G75">
            <v>0</v>
          </cell>
          <cell r="H75">
            <v>0</v>
          </cell>
          <cell r="I75">
            <v>0</v>
          </cell>
          <cell r="J75">
            <v>0</v>
          </cell>
          <cell r="K75">
            <v>0</v>
          </cell>
          <cell r="L75">
            <v>-0.8</v>
          </cell>
          <cell r="M75">
            <v>0</v>
          </cell>
          <cell r="N75">
            <v>0</v>
          </cell>
          <cell r="P75" t="str">
            <v>DSF</v>
          </cell>
          <cell r="Q75" t="e">
            <v>#DIV/0!</v>
          </cell>
          <cell r="R75" t="e">
            <v>#DIV/0!</v>
          </cell>
          <cell r="S75" t="e">
            <v>#DIV/0!</v>
          </cell>
          <cell r="T75" t="e">
            <v>#DIV/0!</v>
          </cell>
          <cell r="U75" t="e">
            <v>#DIV/0!</v>
          </cell>
          <cell r="V75" t="e">
            <v>#DIV/0!</v>
          </cell>
          <cell r="W75" t="e">
            <v>#DIV/0!</v>
          </cell>
          <cell r="X75" t="e">
            <v>#DIV/0!</v>
          </cell>
          <cell r="Y75" t="e">
            <v>#DIV/0!</v>
          </cell>
          <cell r="Z75">
            <v>-1</v>
          </cell>
          <cell r="AA75" t="e">
            <v>#DIV/0!</v>
          </cell>
        </row>
        <row r="76">
          <cell r="B76" t="str">
            <v>WHB</v>
          </cell>
          <cell r="C76">
            <v>0</v>
          </cell>
          <cell r="D76">
            <v>0</v>
          </cell>
          <cell r="E76">
            <v>0</v>
          </cell>
          <cell r="F76">
            <v>0</v>
          </cell>
          <cell r="G76">
            <v>0</v>
          </cell>
          <cell r="H76">
            <v>0</v>
          </cell>
          <cell r="I76">
            <v>0</v>
          </cell>
          <cell r="J76">
            <v>0</v>
          </cell>
          <cell r="K76">
            <v>0</v>
          </cell>
          <cell r="L76">
            <v>0</v>
          </cell>
          <cell r="M76">
            <v>0</v>
          </cell>
          <cell r="N76">
            <v>0</v>
          </cell>
          <cell r="P76" t="str">
            <v>WHB</v>
          </cell>
          <cell r="Q76" t="e">
            <v>#DIV/0!</v>
          </cell>
          <cell r="R76" t="e">
            <v>#DIV/0!</v>
          </cell>
          <cell r="S76" t="e">
            <v>#DIV/0!</v>
          </cell>
          <cell r="T76" t="e">
            <v>#DIV/0!</v>
          </cell>
          <cell r="U76" t="e">
            <v>#DIV/0!</v>
          </cell>
          <cell r="V76" t="e">
            <v>#DIV/0!</v>
          </cell>
          <cell r="W76" t="e">
            <v>#DIV/0!</v>
          </cell>
          <cell r="X76" t="e">
            <v>#DIV/0!</v>
          </cell>
          <cell r="Y76" t="e">
            <v>#DIV/0!</v>
          </cell>
          <cell r="Z76" t="e">
            <v>#DIV/0!</v>
          </cell>
          <cell r="AA76" t="e">
            <v>#DIV/0!</v>
          </cell>
        </row>
        <row r="77">
          <cell r="B77" t="str">
            <v>CIFH</v>
          </cell>
          <cell r="C77">
            <v>0</v>
          </cell>
          <cell r="D77">
            <v>0</v>
          </cell>
          <cell r="E77">
            <v>0</v>
          </cell>
          <cell r="F77">
            <v>0</v>
          </cell>
          <cell r="G77">
            <v>0</v>
          </cell>
          <cell r="H77">
            <v>0</v>
          </cell>
          <cell r="I77">
            <v>0</v>
          </cell>
          <cell r="J77">
            <v>0</v>
          </cell>
          <cell r="K77">
            <v>0</v>
          </cell>
          <cell r="L77">
            <v>0</v>
          </cell>
          <cell r="M77">
            <v>0</v>
          </cell>
          <cell r="N77">
            <v>0</v>
          </cell>
          <cell r="P77" t="str">
            <v>CIFH</v>
          </cell>
          <cell r="Q77" t="e">
            <v>#DIV/0!</v>
          </cell>
          <cell r="R77" t="e">
            <v>#DIV/0!</v>
          </cell>
          <cell r="S77" t="e">
            <v>#DIV/0!</v>
          </cell>
          <cell r="T77" t="e">
            <v>#DIV/0!</v>
          </cell>
          <cell r="U77" t="e">
            <v>#DIV/0!</v>
          </cell>
          <cell r="V77" t="e">
            <v>#DIV/0!</v>
          </cell>
          <cell r="W77" t="e">
            <v>#DIV/0!</v>
          </cell>
          <cell r="X77" t="e">
            <v>#DIV/0!</v>
          </cell>
          <cell r="Y77" t="e">
            <v>#DIV/0!</v>
          </cell>
          <cell r="Z77" t="e">
            <v>#DIV/0!</v>
          </cell>
          <cell r="AA77" t="e">
            <v>#DIV/0!</v>
          </cell>
        </row>
        <row r="78">
          <cell r="B78" t="str">
            <v>ICBCA</v>
          </cell>
          <cell r="E78">
            <v>0</v>
          </cell>
          <cell r="F78">
            <v>0</v>
          </cell>
          <cell r="G78">
            <v>0</v>
          </cell>
          <cell r="H78">
            <v>0</v>
          </cell>
          <cell r="I78">
            <v>0</v>
          </cell>
          <cell r="J78">
            <v>0</v>
          </cell>
          <cell r="K78">
            <v>0</v>
          </cell>
          <cell r="L78">
            <v>0</v>
          </cell>
          <cell r="M78">
            <v>0</v>
          </cell>
          <cell r="N78">
            <v>0</v>
          </cell>
          <cell r="P78" t="str">
            <v>ICBCA</v>
          </cell>
          <cell r="S78" t="e">
            <v>#DIV/0!</v>
          </cell>
          <cell r="T78" t="e">
            <v>#DIV/0!</v>
          </cell>
          <cell r="U78" t="str">
            <v>NM</v>
          </cell>
          <cell r="V78" t="e">
            <v>#DIV/0!</v>
          </cell>
          <cell r="W78" t="e">
            <v>#DIV/0!</v>
          </cell>
          <cell r="X78" t="e">
            <v>#DIV/0!</v>
          </cell>
          <cell r="Y78" t="e">
            <v>#DIV/0!</v>
          </cell>
          <cell r="Z78" t="e">
            <v>#DIV/0!</v>
          </cell>
          <cell r="AA78" t="e">
            <v>#DIV/0!</v>
          </cell>
        </row>
        <row r="79">
          <cell r="B79" t="str">
            <v>WLB</v>
          </cell>
          <cell r="C79">
            <v>0</v>
          </cell>
          <cell r="D79">
            <v>0</v>
          </cell>
          <cell r="E79">
            <v>0</v>
          </cell>
          <cell r="F79">
            <v>0</v>
          </cell>
          <cell r="G79">
            <v>0</v>
          </cell>
          <cell r="H79">
            <v>0</v>
          </cell>
          <cell r="I79">
            <v>0</v>
          </cell>
          <cell r="J79">
            <v>0</v>
          </cell>
          <cell r="K79">
            <v>0</v>
          </cell>
          <cell r="L79">
            <v>0</v>
          </cell>
          <cell r="M79">
            <v>0</v>
          </cell>
          <cell r="N79">
            <v>0</v>
          </cell>
          <cell r="P79" t="str">
            <v>WLB</v>
          </cell>
          <cell r="Q79" t="e">
            <v>#DIV/0!</v>
          </cell>
          <cell r="R79" t="e">
            <v>#DIV/0!</v>
          </cell>
          <cell r="S79" t="e">
            <v>#DIV/0!</v>
          </cell>
          <cell r="T79" t="e">
            <v>#DIV/0!</v>
          </cell>
          <cell r="U79" t="e">
            <v>#DIV/0!</v>
          </cell>
          <cell r="V79" t="e">
            <v>#DIV/0!</v>
          </cell>
          <cell r="W79" t="e">
            <v>#DIV/0!</v>
          </cell>
          <cell r="X79" t="e">
            <v>#DIV/0!</v>
          </cell>
          <cell r="Y79" t="e">
            <v>#DIV/0!</v>
          </cell>
          <cell r="Z79" t="e">
            <v>#DIV/0!</v>
          </cell>
          <cell r="AA79" t="e">
            <v>#DIV/0!</v>
          </cell>
        </row>
        <row r="80">
          <cell r="B80" t="str">
            <v>HSBC</v>
          </cell>
          <cell r="C80">
            <v>0.97499999999999998</v>
          </cell>
          <cell r="D80">
            <v>1.2375</v>
          </cell>
          <cell r="E80">
            <v>1.585</v>
          </cell>
          <cell r="F80">
            <v>2.4024000000000001</v>
          </cell>
          <cell r="G80">
            <v>2.64</v>
          </cell>
          <cell r="H80">
            <v>3.3929999999999998</v>
          </cell>
          <cell r="I80">
            <v>3.7439999999999998</v>
          </cell>
          <cell r="J80" t="str">
            <v>#Refresh</v>
          </cell>
          <cell r="K80" t="str">
            <v>#Refresh</v>
          </cell>
          <cell r="L80" t="str">
            <v>#Refresh</v>
          </cell>
          <cell r="M80" t="str">
            <v>#Refresh</v>
          </cell>
          <cell r="N80" t="str">
            <v>#Refresh</v>
          </cell>
          <cell r="P80" t="str">
            <v>HSBC</v>
          </cell>
          <cell r="Q80">
            <v>0.26923076923076938</v>
          </cell>
          <cell r="R80">
            <v>0.28080808080808084</v>
          </cell>
          <cell r="S80">
            <v>0.51570977917981087</v>
          </cell>
          <cell r="T80">
            <v>9.8901098901098994E-2</v>
          </cell>
          <cell r="U80">
            <v>0.28522727272727266</v>
          </cell>
          <cell r="V80">
            <v>0.10344827586206895</v>
          </cell>
          <cell r="W80" t="e">
            <v>#VALUE!</v>
          </cell>
          <cell r="X80" t="e">
            <v>#VALUE!</v>
          </cell>
          <cell r="Y80" t="e">
            <v>#VALUE!</v>
          </cell>
          <cell r="Z80" t="e">
            <v>#VALUE!</v>
          </cell>
          <cell r="AA80" t="e">
            <v>#VALUE!</v>
          </cell>
        </row>
        <row r="81">
          <cell r="P81" t="str">
            <v>Ave.</v>
          </cell>
          <cell r="Q81" t="e">
            <v>#DIV/0!</v>
          </cell>
          <cell r="R81" t="e">
            <v>#DIV/0!</v>
          </cell>
          <cell r="S81" t="e">
            <v>#DIV/0!</v>
          </cell>
          <cell r="T81" t="e">
            <v>#DIV/0!</v>
          </cell>
          <cell r="U81" t="e">
            <v>#DIV/0!</v>
          </cell>
          <cell r="V81" t="e">
            <v>#DIV/0!</v>
          </cell>
          <cell r="W81" t="e">
            <v>#DIV/0!</v>
          </cell>
          <cell r="X81" t="e">
            <v>#DIV/0!</v>
          </cell>
          <cell r="Y81" t="e">
            <v>#DIV/0!</v>
          </cell>
          <cell r="Z81" t="e">
            <v>#DIV/0!</v>
          </cell>
          <cell r="AA81" t="e">
            <v>#DIV/0!</v>
          </cell>
        </row>
        <row r="85">
          <cell r="A85" t="str">
            <v>Australia</v>
          </cell>
          <cell r="B85" t="str">
            <v>EPS</v>
          </cell>
          <cell r="C85">
            <v>1995</v>
          </cell>
          <cell r="D85">
            <v>1996</v>
          </cell>
          <cell r="E85">
            <v>1997</v>
          </cell>
          <cell r="F85">
            <v>1998</v>
          </cell>
          <cell r="G85">
            <v>1999</v>
          </cell>
          <cell r="H85">
            <v>2000</v>
          </cell>
          <cell r="I85">
            <v>2001</v>
          </cell>
          <cell r="J85">
            <v>2002</v>
          </cell>
          <cell r="K85">
            <v>2003</v>
          </cell>
          <cell r="L85">
            <v>2004</v>
          </cell>
          <cell r="M85">
            <v>2005</v>
          </cell>
          <cell r="N85">
            <v>2006</v>
          </cell>
          <cell r="P85" t="str">
            <v>EPS growth</v>
          </cell>
          <cell r="Q85">
            <v>1996</v>
          </cell>
          <cell r="R85">
            <v>1997</v>
          </cell>
          <cell r="S85">
            <v>1998</v>
          </cell>
          <cell r="T85">
            <v>1999</v>
          </cell>
          <cell r="U85">
            <v>2000</v>
          </cell>
          <cell r="V85">
            <v>2001</v>
          </cell>
          <cell r="W85">
            <v>2002</v>
          </cell>
          <cell r="X85">
            <v>2003</v>
          </cell>
          <cell r="Y85">
            <v>2004</v>
          </cell>
          <cell r="Z85">
            <v>2005</v>
          </cell>
          <cell r="AA85">
            <v>2006</v>
          </cell>
        </row>
        <row r="86">
          <cell r="B86" t="str">
            <v>Kookmin</v>
          </cell>
          <cell r="I86">
            <v>4959.3079303420991</v>
          </cell>
          <cell r="J86">
            <v>4111.0532920003825</v>
          </cell>
          <cell r="K86">
            <v>-2834.2189940838884</v>
          </cell>
          <cell r="L86">
            <v>1071.5704181471383</v>
          </cell>
          <cell r="M86">
            <v>5548.1894937455791</v>
          </cell>
          <cell r="N86">
            <v>7327.318363808612</v>
          </cell>
          <cell r="P86" t="str">
            <v>Kookmin</v>
          </cell>
          <cell r="W86">
            <v>-0.17104294596266434</v>
          </cell>
          <cell r="X86">
            <v>-1.6894143161799775</v>
          </cell>
          <cell r="Y86">
            <v>-1.3780831404997005</v>
          </cell>
          <cell r="Z86">
            <v>4.1776247270235416</v>
          </cell>
          <cell r="AA86">
            <v>0.32066836795474063</v>
          </cell>
        </row>
        <row r="87">
          <cell r="B87" t="str">
            <v>Shinhan</v>
          </cell>
          <cell r="I87">
            <v>756.03767123287673</v>
          </cell>
          <cell r="J87">
            <v>2059.715708090062</v>
          </cell>
          <cell r="K87">
            <v>1149.6373717202787</v>
          </cell>
          <cell r="L87">
            <v>2987.3519501301957</v>
          </cell>
          <cell r="M87">
            <v>4434.4375899124752</v>
          </cell>
          <cell r="N87">
            <v>4184.4717216649524</v>
          </cell>
          <cell r="P87" t="str">
            <v>Shinhan</v>
          </cell>
          <cell r="W87">
            <v>1.7243559236026784</v>
          </cell>
          <cell r="X87">
            <v>-0.44184657756175627</v>
          </cell>
          <cell r="Y87">
            <v>1.5985167354641776</v>
          </cell>
          <cell r="Z87">
            <v>0.48440413581640818</v>
          </cell>
          <cell r="AA87">
            <v>-5.636923807793548E-2</v>
          </cell>
        </row>
        <row r="88">
          <cell r="B88" t="str">
            <v>Woori</v>
          </cell>
          <cell r="I88">
            <v>897.71505411507417</v>
          </cell>
          <cell r="J88">
            <v>772.20953034697538</v>
          </cell>
          <cell r="K88">
            <v>73.275820630632225</v>
          </cell>
          <cell r="L88">
            <v>1644.4344393867757</v>
          </cell>
          <cell r="M88">
            <v>1800.2413287504414</v>
          </cell>
          <cell r="N88">
            <v>1816.4290121831652</v>
          </cell>
          <cell r="P88" t="str">
            <v>Woori</v>
          </cell>
          <cell r="W88">
            <v>-0.13980552425047199</v>
          </cell>
          <cell r="X88">
            <v>-0.90510888851927618</v>
          </cell>
          <cell r="Y88">
            <v>21.441706216789012</v>
          </cell>
          <cell r="Z88">
            <v>9.4748009182882065E-2</v>
          </cell>
          <cell r="AA88">
            <v>8.9919518978935908E-3</v>
          </cell>
        </row>
        <row r="89">
          <cell r="B89" t="str">
            <v>KEB</v>
          </cell>
          <cell r="C89">
            <v>1259.0961642240643</v>
          </cell>
          <cell r="D89">
            <v>1193.0845415251124</v>
          </cell>
          <cell r="E89">
            <v>-783.80344258250238</v>
          </cell>
          <cell r="F89">
            <v>-8173.3603820146618</v>
          </cell>
          <cell r="G89">
            <v>-3987.0784929839297</v>
          </cell>
          <cell r="H89">
            <v>-1817.0501873588971</v>
          </cell>
          <cell r="I89">
            <v>1001.6746668866974</v>
          </cell>
          <cell r="J89">
            <v>508.62174004681037</v>
          </cell>
          <cell r="K89">
            <v>-512.07528519505377</v>
          </cell>
          <cell r="L89">
            <v>830.10624766727062</v>
          </cell>
          <cell r="M89">
            <v>2200.0271634867704</v>
          </cell>
          <cell r="N89">
            <v>1596.3827159560315</v>
          </cell>
          <cell r="P89" t="str">
            <v>KEB</v>
          </cell>
          <cell r="Q89">
            <v>-5.2427784767045571E-2</v>
          </cell>
          <cell r="R89">
            <v>-1.656955492508998</v>
          </cell>
          <cell r="S89">
            <v>9.4278189377234618</v>
          </cell>
          <cell r="T89">
            <v>-0.51218613805927027</v>
          </cell>
          <cell r="U89">
            <v>-0.54426525824451066</v>
          </cell>
          <cell r="V89">
            <v>-1.5512641719283731</v>
          </cell>
          <cell r="W89">
            <v>-0.49222860788956924</v>
          </cell>
          <cell r="X89">
            <v>-2.0067900069468632</v>
          </cell>
          <cell r="Y89">
            <v>-2.6210629016221239</v>
          </cell>
          <cell r="Z89">
            <v>1.6502958743765554</v>
          </cell>
          <cell r="AA89">
            <v>-0.27438045200043681</v>
          </cell>
        </row>
        <row r="90">
          <cell r="B90" t="str">
            <v>Hana</v>
          </cell>
          <cell r="C90">
            <v>402.01022321796989</v>
          </cell>
          <cell r="D90">
            <v>-1152.5371213012538</v>
          </cell>
          <cell r="E90">
            <v>-7185.0679455300815</v>
          </cell>
          <cell r="F90">
            <v>-11887.941235193077</v>
          </cell>
          <cell r="G90">
            <v>-5341.3019882086037</v>
          </cell>
          <cell r="H90">
            <v>-1240.862936914476</v>
          </cell>
          <cell r="I90">
            <v>1762.0053151130012</v>
          </cell>
          <cell r="J90">
            <v>1836.4606762469746</v>
          </cell>
          <cell r="K90">
            <v>2619.3852479070997</v>
          </cell>
          <cell r="L90">
            <v>6981.6996469956703</v>
          </cell>
          <cell r="M90">
            <v>4518.2400464246493</v>
          </cell>
          <cell r="N90">
            <v>4154.9388415258145</v>
          </cell>
          <cell r="P90" t="str">
            <v>Hana</v>
          </cell>
          <cell r="Q90">
            <v>-3.8669348557246721</v>
          </cell>
          <cell r="R90">
            <v>5.2341314763188658</v>
          </cell>
          <cell r="S90">
            <v>0.65453428211332509</v>
          </cell>
          <cell r="T90">
            <v>-0.55069579479445885</v>
          </cell>
          <cell r="U90">
            <v>-0.76768530600707641</v>
          </cell>
          <cell r="V90">
            <v>-2.4199838376141649</v>
          </cell>
          <cell r="W90">
            <v>4.2256036627902116E-2</v>
          </cell>
          <cell r="X90">
            <v>0.42632253540006326</v>
          </cell>
          <cell r="Y90">
            <v>1.6653962614220563</v>
          </cell>
          <cell r="Z90">
            <v>-0.35284525618788032</v>
          </cell>
          <cell r="AA90">
            <v>-8.0407681124937236E-2</v>
          </cell>
        </row>
        <row r="91">
          <cell r="P91" t="str">
            <v>Ave.</v>
          </cell>
          <cell r="Q91">
            <v>-1.9596813202458589</v>
          </cell>
          <cell r="R91">
            <v>1.7885879919049339</v>
          </cell>
          <cell r="S91">
            <v>5.0411766099183932</v>
          </cell>
          <cell r="T91">
            <v>-0.53144096642686456</v>
          </cell>
          <cell r="U91">
            <v>-0.65597528212579359</v>
          </cell>
          <cell r="V91">
            <v>-1.985624004771269</v>
          </cell>
          <cell r="W91">
            <v>0.19270697642557497</v>
          </cell>
          <cell r="X91">
            <v>-0.92336745076156213</v>
          </cell>
          <cell r="Y91">
            <v>4.1412946343106842</v>
          </cell>
          <cell r="Z91">
            <v>1.2108454980423016</v>
          </cell>
          <cell r="AA91">
            <v>-1.629941027013506E-2</v>
          </cell>
        </row>
        <row r="93">
          <cell r="B93" t="str">
            <v>PPP</v>
          </cell>
          <cell r="P93" t="str">
            <v>PPP growth</v>
          </cell>
        </row>
        <row r="94">
          <cell r="B94" t="str">
            <v>Kookmin</v>
          </cell>
          <cell r="I94">
            <v>3557912</v>
          </cell>
          <cell r="J94">
            <v>3487097</v>
          </cell>
          <cell r="K94">
            <v>2653775</v>
          </cell>
          <cell r="L94">
            <v>5023746</v>
          </cell>
          <cell r="M94">
            <v>4733793.1139084427</v>
          </cell>
          <cell r="N94">
            <v>5119293.2670806982</v>
          </cell>
          <cell r="P94" t="str">
            <v>Kookmin</v>
          </cell>
          <cell r="W94">
            <v>-1.9903527687025413E-2</v>
          </cell>
          <cell r="X94">
            <v>-0.23897299100082392</v>
          </cell>
          <cell r="Y94">
            <v>0.89305649499298179</v>
          </cell>
          <cell r="Z94">
            <v>-5.7716470158236E-2</v>
          </cell>
          <cell r="AA94">
            <v>8.1435783925497329E-2</v>
          </cell>
        </row>
        <row r="95">
          <cell r="B95" t="str">
            <v>Shinhan</v>
          </cell>
          <cell r="I95">
            <v>635593</v>
          </cell>
          <cell r="J95">
            <v>1045006.1371303996</v>
          </cell>
          <cell r="K95">
            <v>1781470</v>
          </cell>
          <cell r="L95">
            <v>2650737</v>
          </cell>
          <cell r="M95">
            <v>2757207.009564992</v>
          </cell>
          <cell r="N95">
            <v>2962097.918822486</v>
          </cell>
          <cell r="P95" t="str">
            <v>Shinhan</v>
          </cell>
          <cell r="W95">
            <v>0.64414355905492915</v>
          </cell>
          <cell r="X95">
            <v>0.70474596914037235</v>
          </cell>
          <cell r="Y95">
            <v>0.48794927784357855</v>
          </cell>
          <cell r="Z95">
            <v>4.016619135168531E-2</v>
          </cell>
          <cell r="AA95">
            <v>7.43110359674517E-2</v>
          </cell>
        </row>
        <row r="96">
          <cell r="B96" t="str">
            <v>Woori</v>
          </cell>
          <cell r="I96">
            <v>2712762</v>
          </cell>
          <cell r="J96">
            <v>2518667</v>
          </cell>
          <cell r="K96">
            <v>2994480</v>
          </cell>
          <cell r="L96">
            <v>2643685</v>
          </cell>
          <cell r="M96">
            <v>2830750.7528213635</v>
          </cell>
          <cell r="N96">
            <v>3006823.7887877543</v>
          </cell>
          <cell r="P96" t="str">
            <v>Woori</v>
          </cell>
          <cell r="W96">
            <v>-7.1548849475184362E-2</v>
          </cell>
          <cell r="X96">
            <v>0.1889146123723382</v>
          </cell>
          <cell r="Y96">
            <v>-0.11714721754695301</v>
          </cell>
          <cell r="Z96">
            <v>7.075947127640525E-2</v>
          </cell>
          <cell r="AA96">
            <v>6.2200119805992049E-2</v>
          </cell>
        </row>
        <row r="97">
          <cell r="B97" t="str">
            <v>KEB</v>
          </cell>
          <cell r="C97">
            <v>295344.44699999999</v>
          </cell>
          <cell r="D97">
            <v>258831.864</v>
          </cell>
          <cell r="E97">
            <v>222790</v>
          </cell>
          <cell r="F97">
            <v>-590102</v>
          </cell>
          <cell r="G97">
            <v>709165</v>
          </cell>
          <cell r="H97">
            <v>764525</v>
          </cell>
          <cell r="I97">
            <v>1116504</v>
          </cell>
          <cell r="J97">
            <v>544246</v>
          </cell>
          <cell r="K97">
            <v>635570</v>
          </cell>
          <cell r="L97">
            <v>1371753</v>
          </cell>
          <cell r="M97">
            <v>1544034.6439879965</v>
          </cell>
          <cell r="N97">
            <v>1410836.8172682445</v>
          </cell>
          <cell r="P97" t="str">
            <v>KEB</v>
          </cell>
          <cell r="Q97">
            <v>-0.12362711867746745</v>
          </cell>
          <cell r="R97">
            <v>-0.13924817231930919</v>
          </cell>
          <cell r="S97">
            <v>-3.6486915929799362</v>
          </cell>
          <cell r="T97">
            <v>-2.201766813195007</v>
          </cell>
          <cell r="U97">
            <v>7.8063638222416465E-2</v>
          </cell>
          <cell r="V97">
            <v>0.4603891305058696</v>
          </cell>
          <cell r="W97">
            <v>-0.51254451394710632</v>
          </cell>
          <cell r="X97">
            <v>0.16779912025076893</v>
          </cell>
          <cell r="Y97">
            <v>1.1583035700237581</v>
          </cell>
          <cell r="Z97">
            <v>0.12559232164099265</v>
          </cell>
          <cell r="AA97">
            <v>-8.626608686429682E-2</v>
          </cell>
        </row>
        <row r="98">
          <cell r="B98" t="str">
            <v>Hana</v>
          </cell>
          <cell r="C98">
            <v>296717.1219999998</v>
          </cell>
          <cell r="D98">
            <v>196583.98099999991</v>
          </cell>
          <cell r="E98">
            <v>-667420.62400000042</v>
          </cell>
          <cell r="F98">
            <v>-1208152.7940000002</v>
          </cell>
          <cell r="G98">
            <v>-1612553.7180000003</v>
          </cell>
          <cell r="H98">
            <v>1017876.5239999996</v>
          </cell>
          <cell r="I98">
            <v>1141418.0729999999</v>
          </cell>
          <cell r="J98">
            <v>885192.87704000017</v>
          </cell>
          <cell r="K98">
            <v>1114164</v>
          </cell>
          <cell r="L98">
            <v>1369496</v>
          </cell>
          <cell r="M98">
            <v>1255850.0442256078</v>
          </cell>
          <cell r="N98">
            <v>1334417.5040922919</v>
          </cell>
          <cell r="P98" t="str">
            <v>Hana</v>
          </cell>
          <cell r="Q98">
            <v>-0.3374700466392363</v>
          </cell>
          <cell r="R98">
            <v>-4.3950916071844155</v>
          </cell>
          <cell r="S98">
            <v>0.81018199101980315</v>
          </cell>
          <cell r="T98">
            <v>0.33472663888902132</v>
          </cell>
          <cell r="U98">
            <v>-1.631220227046104</v>
          </cell>
          <cell r="V98">
            <v>0.12137184234735354</v>
          </cell>
          <cell r="W98">
            <v>-0.22447970819890783</v>
          </cell>
          <cell r="X98">
            <v>0.25866805856556052</v>
          </cell>
          <cell r="Y98">
            <v>0.22916913488499002</v>
          </cell>
          <cell r="Z98">
            <v>-8.2983780729839474E-2</v>
          </cell>
          <cell r="AA98">
            <v>6.2561179360495212E-2</v>
          </cell>
        </row>
        <row r="99">
          <cell r="P99" t="str">
            <v>Ave.</v>
          </cell>
          <cell r="Q99">
            <v>-0.23054858265835187</v>
          </cell>
          <cell r="R99">
            <v>-2.2671698897518624</v>
          </cell>
          <cell r="S99">
            <v>-1.4192548009800665</v>
          </cell>
          <cell r="T99">
            <v>-0.93352008715299284</v>
          </cell>
          <cell r="U99">
            <v>-0.77657829441184378</v>
          </cell>
          <cell r="V99">
            <v>0.29088048642661157</v>
          </cell>
          <cell r="W99">
            <v>-3.6866608050658958E-2</v>
          </cell>
          <cell r="X99">
            <v>0.2162309538656432</v>
          </cell>
          <cell r="Y99">
            <v>0.53026625203967104</v>
          </cell>
          <cell r="Z99">
            <v>1.916354667620155E-2</v>
          </cell>
          <cell r="AA99">
            <v>3.8848406439027892E-2</v>
          </cell>
        </row>
        <row r="101">
          <cell r="B101" t="str">
            <v>DPS</v>
          </cell>
          <cell r="P101" t="str">
            <v>DPS growth</v>
          </cell>
        </row>
        <row r="102">
          <cell r="B102" t="str">
            <v>Kookmin</v>
          </cell>
          <cell r="I102">
            <v>400</v>
          </cell>
          <cell r="J102">
            <v>1000</v>
          </cell>
          <cell r="K102">
            <v>0</v>
          </cell>
          <cell r="L102">
            <v>550</v>
          </cell>
          <cell r="M102">
            <v>2000</v>
          </cell>
          <cell r="N102">
            <v>2800</v>
          </cell>
          <cell r="P102" t="str">
            <v>Kookmin</v>
          </cell>
          <cell r="W102">
            <v>1.5</v>
          </cell>
          <cell r="X102">
            <v>-1</v>
          </cell>
          <cell r="Z102">
            <v>2.6363636363636362</v>
          </cell>
          <cell r="AA102">
            <v>0.39999999999999991</v>
          </cell>
        </row>
        <row r="103">
          <cell r="B103" t="str">
            <v>Shinhan</v>
          </cell>
          <cell r="I103">
            <v>0</v>
          </cell>
          <cell r="J103">
            <v>0</v>
          </cell>
          <cell r="K103">
            <v>600</v>
          </cell>
          <cell r="L103">
            <v>750</v>
          </cell>
          <cell r="M103">
            <v>750</v>
          </cell>
          <cell r="N103">
            <v>750</v>
          </cell>
          <cell r="P103" t="str">
            <v>Shinhan</v>
          </cell>
          <cell r="Y103">
            <v>0.25</v>
          </cell>
          <cell r="Z103">
            <v>0</v>
          </cell>
          <cell r="AA103">
            <v>0</v>
          </cell>
        </row>
        <row r="104">
          <cell r="B104" t="str">
            <v>Woori</v>
          </cell>
          <cell r="I104">
            <v>0</v>
          </cell>
          <cell r="J104">
            <v>74.577794046000037</v>
          </cell>
          <cell r="K104">
            <v>100</v>
          </cell>
          <cell r="L104">
            <v>150.03717928532362</v>
          </cell>
          <cell r="M104">
            <v>500</v>
          </cell>
          <cell r="N104">
            <v>600</v>
          </cell>
          <cell r="P104" t="str">
            <v>Woori</v>
          </cell>
          <cell r="X104">
            <v>0.34088170988698585</v>
          </cell>
          <cell r="Y104">
            <v>0.50037179285323607</v>
          </cell>
          <cell r="Z104">
            <v>2.3325073317271379</v>
          </cell>
          <cell r="AA104">
            <v>0.19999999999999996</v>
          </cell>
        </row>
        <row r="105">
          <cell r="B105" t="str">
            <v>KEB</v>
          </cell>
          <cell r="C105">
            <v>200</v>
          </cell>
          <cell r="D105">
            <v>250</v>
          </cell>
          <cell r="E105">
            <v>0</v>
          </cell>
          <cell r="F105">
            <v>0</v>
          </cell>
          <cell r="G105">
            <v>0</v>
          </cell>
          <cell r="H105">
            <v>0</v>
          </cell>
          <cell r="I105">
            <v>0</v>
          </cell>
          <cell r="J105">
            <v>0</v>
          </cell>
          <cell r="K105">
            <v>0</v>
          </cell>
          <cell r="L105">
            <v>0</v>
          </cell>
          <cell r="M105">
            <v>0</v>
          </cell>
          <cell r="N105">
            <v>500</v>
          </cell>
          <cell r="P105" t="str">
            <v>KEB</v>
          </cell>
        </row>
        <row r="106">
          <cell r="B106" t="str">
            <v>Hana</v>
          </cell>
          <cell r="C106" t="str">
            <v>NA</v>
          </cell>
          <cell r="D106" t="str">
            <v>NA</v>
          </cell>
          <cell r="E106">
            <v>400</v>
          </cell>
          <cell r="F106">
            <v>200</v>
          </cell>
          <cell r="G106">
            <v>400</v>
          </cell>
          <cell r="H106">
            <v>200</v>
          </cell>
          <cell r="I106">
            <v>400</v>
          </cell>
          <cell r="J106">
            <v>500</v>
          </cell>
          <cell r="K106">
            <v>500</v>
          </cell>
          <cell r="L106">
            <v>750</v>
          </cell>
          <cell r="M106">
            <v>1000</v>
          </cell>
          <cell r="N106">
            <v>1400</v>
          </cell>
          <cell r="P106" t="str">
            <v>Hana</v>
          </cell>
          <cell r="S106">
            <v>-0.5</v>
          </cell>
          <cell r="T106">
            <v>1</v>
          </cell>
          <cell r="U106">
            <v>-0.5</v>
          </cell>
          <cell r="V106">
            <v>1</v>
          </cell>
          <cell r="W106">
            <v>0.25</v>
          </cell>
          <cell r="X106">
            <v>0</v>
          </cell>
          <cell r="Y106">
            <v>0.5</v>
          </cell>
          <cell r="Z106">
            <v>0.33333333333333326</v>
          </cell>
          <cell r="AA106">
            <v>0.39999999999999991</v>
          </cell>
        </row>
        <row r="107">
          <cell r="P107" t="str">
            <v>Ave.</v>
          </cell>
          <cell r="S107">
            <v>-0.5</v>
          </cell>
          <cell r="T107">
            <v>1</v>
          </cell>
          <cell r="U107">
            <v>-0.5</v>
          </cell>
          <cell r="V107">
            <v>1</v>
          </cell>
          <cell r="W107">
            <v>0.875</v>
          </cell>
          <cell r="X107">
            <v>-0.21970609670433805</v>
          </cell>
          <cell r="Y107">
            <v>0.41679059761774534</v>
          </cell>
          <cell r="Z107">
            <v>1.3255510753560269</v>
          </cell>
          <cell r="AA107">
            <v>0.24999999999999994</v>
          </cell>
        </row>
        <row r="113">
          <cell r="A113" t="str">
            <v>Summary</v>
          </cell>
          <cell r="C113" t="str">
            <v>EPS growth</v>
          </cell>
          <cell r="D113">
            <v>1996</v>
          </cell>
          <cell r="E113">
            <v>1997</v>
          </cell>
          <cell r="F113">
            <v>1998</v>
          </cell>
          <cell r="G113">
            <v>1999</v>
          </cell>
          <cell r="H113">
            <v>2000</v>
          </cell>
          <cell r="I113">
            <v>2001</v>
          </cell>
          <cell r="J113">
            <v>2002</v>
          </cell>
          <cell r="K113">
            <v>2003</v>
          </cell>
          <cell r="L113">
            <v>2004</v>
          </cell>
          <cell r="M113" t="str">
            <v>2005E</v>
          </cell>
          <cell r="N113" t="str">
            <v>2006E</v>
          </cell>
        </row>
        <row r="114">
          <cell r="C114" t="str">
            <v>AU</v>
          </cell>
          <cell r="D114">
            <v>7.6615632971887268E-2</v>
          </cell>
          <cell r="E114">
            <v>5.8130681759218893E-2</v>
          </cell>
          <cell r="F114">
            <v>5.1423410230752052E-2</v>
          </cell>
          <cell r="G114">
            <v>0.10283859624704102</v>
          </cell>
          <cell r="H114">
            <v>8.8644536602832821E-2</v>
          </cell>
          <cell r="I114">
            <v>0.12614486724672225</v>
          </cell>
          <cell r="J114">
            <v>0.12002085946704688</v>
          </cell>
          <cell r="K114">
            <v>0.10040236100988591</v>
          </cell>
          <cell r="L114">
            <v>6.3680653511813873E-2</v>
          </cell>
          <cell r="M114">
            <v>8.4934333564518072E-2</v>
          </cell>
          <cell r="N114">
            <v>0.1078830848431136</v>
          </cell>
        </row>
        <row r="115">
          <cell r="C115" t="str">
            <v>SG</v>
          </cell>
          <cell r="D115">
            <v>0.12552195662202262</v>
          </cell>
          <cell r="E115">
            <v>-0.2966994938361831</v>
          </cell>
          <cell r="F115">
            <v>-0.45283971545360852</v>
          </cell>
          <cell r="G115">
            <v>3.692514107839274</v>
          </cell>
          <cell r="H115">
            <v>-1.5718689978554228E-2</v>
          </cell>
          <cell r="I115">
            <v>-9.7854575931309043E-2</v>
          </cell>
          <cell r="J115">
            <v>-5.0488999958839896E-2</v>
          </cell>
          <cell r="K115">
            <v>0.16289977074664427</v>
          </cell>
          <cell r="L115">
            <v>0.2204250507172861</v>
          </cell>
          <cell r="M115">
            <v>3.8359000169152981E-2</v>
          </cell>
          <cell r="N115">
            <v>6.5710571316459188E-2</v>
          </cell>
        </row>
        <row r="116">
          <cell r="C116" t="str">
            <v>HK</v>
          </cell>
          <cell r="D116" t="e">
            <v>#DIV/0!</v>
          </cell>
          <cell r="E116" t="e">
            <v>#DIV/0!</v>
          </cell>
          <cell r="F116" t="e">
            <v>#DIV/0!</v>
          </cell>
          <cell r="G116" t="e">
            <v>#DIV/0!</v>
          </cell>
          <cell r="H116">
            <v>0.80024897655571114</v>
          </cell>
          <cell r="I116">
            <v>7.2100283881934318E-2</v>
          </cell>
          <cell r="J116" t="e">
            <v>#VALUE!</v>
          </cell>
          <cell r="K116" t="e">
            <v>#VALUE!</v>
          </cell>
          <cell r="L116" t="e">
            <v>#VALUE!</v>
          </cell>
          <cell r="M116" t="e">
            <v>#VALUE!</v>
          </cell>
          <cell r="N116" t="e">
            <v>#VALUE!</v>
          </cell>
        </row>
        <row r="117">
          <cell r="C117" t="str">
            <v>KO</v>
          </cell>
          <cell r="D117">
            <v>-1.9596813202458589</v>
          </cell>
          <cell r="E117">
            <v>1.7885879919049339</v>
          </cell>
          <cell r="F117">
            <v>5.0411766099183932</v>
          </cell>
          <cell r="G117">
            <v>-0.53144096642686456</v>
          </cell>
          <cell r="H117">
            <v>-0.65597528212579359</v>
          </cell>
          <cell r="I117">
            <v>-1.985624004771269</v>
          </cell>
          <cell r="J117">
            <v>0.19270697642557497</v>
          </cell>
          <cell r="K117">
            <v>-0.92336745076156213</v>
          </cell>
          <cell r="L117">
            <v>4.1412946343106842</v>
          </cell>
          <cell r="M117">
            <v>1.2108454980423016</v>
          </cell>
          <cell r="N117">
            <v>-1.629941027013506E-2</v>
          </cell>
        </row>
        <row r="132">
          <cell r="C132" t="str">
            <v>PPP growth</v>
          </cell>
          <cell r="D132">
            <v>1996</v>
          </cell>
          <cell r="E132">
            <v>1997</v>
          </cell>
          <cell r="F132">
            <v>1998</v>
          </cell>
          <cell r="G132">
            <v>1999</v>
          </cell>
          <cell r="H132">
            <v>2000</v>
          </cell>
          <cell r="I132">
            <v>2001</v>
          </cell>
          <cell r="J132">
            <v>2002</v>
          </cell>
          <cell r="K132">
            <v>2003</v>
          </cell>
          <cell r="L132">
            <v>2004</v>
          </cell>
          <cell r="M132" t="str">
            <v>2005E</v>
          </cell>
          <cell r="N132" t="str">
            <v>2006E</v>
          </cell>
        </row>
        <row r="133">
          <cell r="C133" t="str">
            <v>AU</v>
          </cell>
          <cell r="D133">
            <v>0.10100840184172388</v>
          </cell>
          <cell r="E133">
            <v>0.20468983375836119</v>
          </cell>
          <cell r="F133">
            <v>0.16289611825454378</v>
          </cell>
          <cell r="G133">
            <v>0.10766840261811343</v>
          </cell>
          <cell r="H133">
            <v>0.11912848749824803</v>
          </cell>
          <cell r="I133">
            <v>0.18345052521781219</v>
          </cell>
          <cell r="J133">
            <v>7.5343777124048716E-2</v>
          </cell>
          <cell r="K133">
            <v>8.6015085255754714E-2</v>
          </cell>
          <cell r="L133">
            <v>0.12243788927171391</v>
          </cell>
          <cell r="M133">
            <v>0.10726439185494389</v>
          </cell>
          <cell r="N133">
            <v>0.10696954311991802</v>
          </cell>
        </row>
        <row r="134">
          <cell r="C134" t="str">
            <v>SG</v>
          </cell>
          <cell r="D134" t="e">
            <v>#DIV/0!</v>
          </cell>
          <cell r="E134" t="e">
            <v>#DIV/0!</v>
          </cell>
          <cell r="F134" t="e">
            <v>#DIV/0!</v>
          </cell>
          <cell r="G134" t="e">
            <v>#DIV/0!</v>
          </cell>
          <cell r="H134" t="e">
            <v>#DIV/0!</v>
          </cell>
          <cell r="I134" t="e">
            <v>#DIV/0!</v>
          </cell>
          <cell r="J134" t="e">
            <v>#DIV/0!</v>
          </cell>
          <cell r="K134" t="e">
            <v>#DIV/0!</v>
          </cell>
          <cell r="L134" t="e">
            <v>#DIV/0!</v>
          </cell>
          <cell r="M134" t="e">
            <v>#DIV/0!</v>
          </cell>
          <cell r="N134" t="e">
            <v>#DIV/0!</v>
          </cell>
        </row>
        <row r="135">
          <cell r="C135" t="str">
            <v>HK</v>
          </cell>
          <cell r="D135" t="e">
            <v>#DIV/0!</v>
          </cell>
          <cell r="E135" t="e">
            <v>#DIV/0!</v>
          </cell>
          <cell r="F135" t="e">
            <v>#DIV/0!</v>
          </cell>
          <cell r="G135" t="e">
            <v>#DIV/0!</v>
          </cell>
          <cell r="H135">
            <v>0.1635701928226696</v>
          </cell>
          <cell r="I135">
            <v>1.5841730082930574E-2</v>
          </cell>
          <cell r="J135" t="e">
            <v>#VALUE!</v>
          </cell>
          <cell r="K135" t="e">
            <v>#VALUE!</v>
          </cell>
          <cell r="L135" t="e">
            <v>#VALUE!</v>
          </cell>
          <cell r="M135" t="e">
            <v>#VALUE!</v>
          </cell>
          <cell r="N135" t="e">
            <v>#VALUE!</v>
          </cell>
        </row>
        <row r="136">
          <cell r="C136" t="str">
            <v>KO</v>
          </cell>
          <cell r="D136">
            <v>-0.23054858265835187</v>
          </cell>
          <cell r="E136">
            <v>-2.2671698897518624</v>
          </cell>
          <cell r="F136">
            <v>-1.4192548009800665</v>
          </cell>
          <cell r="G136">
            <v>-0.93352008715299284</v>
          </cell>
          <cell r="H136">
            <v>-0.77657829441184378</v>
          </cell>
          <cell r="I136">
            <v>0.29088048642661157</v>
          </cell>
          <cell r="J136">
            <v>-3.6866608050658958E-2</v>
          </cell>
          <cell r="K136">
            <v>0.2162309538656432</v>
          </cell>
          <cell r="L136">
            <v>0.53026625203967104</v>
          </cell>
          <cell r="M136">
            <v>1.916354667620155E-2</v>
          </cell>
          <cell r="N136">
            <v>3.8848406439027892E-2</v>
          </cell>
        </row>
        <row r="149">
          <cell r="C149" t="str">
            <v>DPS growth</v>
          </cell>
          <cell r="D149">
            <v>1996</v>
          </cell>
          <cell r="E149">
            <v>1997</v>
          </cell>
          <cell r="F149">
            <v>1998</v>
          </cell>
          <cell r="G149">
            <v>1999</v>
          </cell>
          <cell r="H149">
            <v>2000</v>
          </cell>
          <cell r="I149">
            <v>2001</v>
          </cell>
          <cell r="J149">
            <v>2002</v>
          </cell>
          <cell r="K149">
            <v>2003</v>
          </cell>
          <cell r="L149">
            <v>2004</v>
          </cell>
          <cell r="M149" t="str">
            <v>2005E</v>
          </cell>
          <cell r="N149" t="str">
            <v>2006E</v>
          </cell>
        </row>
        <row r="150">
          <cell r="C150" t="str">
            <v>AU</v>
          </cell>
          <cell r="D150">
            <v>0.2038198631040587</v>
          </cell>
          <cell r="E150">
            <v>0.12769368562472011</v>
          </cell>
          <cell r="F150">
            <v>3.520517243921497E-2</v>
          </cell>
          <cell r="G150">
            <v>8.1405738963878482E-2</v>
          </cell>
          <cell r="H150">
            <v>0.11562693781703959</v>
          </cell>
          <cell r="I150">
            <v>0.12286123034598648</v>
          </cell>
          <cell r="J150">
            <v>0.14320302316741196</v>
          </cell>
          <cell r="K150">
            <v>0.11098859543817526</v>
          </cell>
          <cell r="L150">
            <v>0.13132982398077647</v>
          </cell>
          <cell r="M150">
            <v>9.0065346085834455E-2</v>
          </cell>
          <cell r="N150">
            <v>8.2704062426584096E-2</v>
          </cell>
        </row>
        <row r="151">
          <cell r="C151" t="str">
            <v>SG</v>
          </cell>
          <cell r="D151">
            <v>0</v>
          </cell>
          <cell r="E151">
            <v>7.6923076923076872E-2</v>
          </cell>
          <cell r="F151">
            <v>3.3333333333333326E-2</v>
          </cell>
          <cell r="G151">
            <v>0.33680555555555558</v>
          </cell>
          <cell r="H151">
            <v>0.60000000000000009</v>
          </cell>
          <cell r="I151">
            <v>0</v>
          </cell>
          <cell r="J151">
            <v>0</v>
          </cell>
          <cell r="K151">
            <v>0.25000000000000022</v>
          </cell>
          <cell r="L151">
            <v>0.16666666666666663</v>
          </cell>
          <cell r="M151">
            <v>0.24164154449508046</v>
          </cell>
          <cell r="N151">
            <v>7.4609641778023206E-2</v>
          </cell>
        </row>
        <row r="152">
          <cell r="C152" t="str">
            <v>HK</v>
          </cell>
          <cell r="D152" t="e">
            <v>#DIV/0!</v>
          </cell>
          <cell r="E152" t="e">
            <v>#DIV/0!</v>
          </cell>
          <cell r="F152" t="e">
            <v>#DIV/0!</v>
          </cell>
          <cell r="G152" t="e">
            <v>#DIV/0!</v>
          </cell>
          <cell r="H152" t="e">
            <v>#DIV/0!</v>
          </cell>
          <cell r="I152" t="e">
            <v>#DIV/0!</v>
          </cell>
          <cell r="J152" t="e">
            <v>#DIV/0!</v>
          </cell>
          <cell r="K152" t="e">
            <v>#DIV/0!</v>
          </cell>
          <cell r="L152" t="e">
            <v>#DIV/0!</v>
          </cell>
          <cell r="M152" t="e">
            <v>#DIV/0!</v>
          </cell>
          <cell r="N152" t="e">
            <v>#DIV/0!</v>
          </cell>
        </row>
        <row r="153">
          <cell r="C153" t="str">
            <v>KO</v>
          </cell>
          <cell r="D153">
            <v>0</v>
          </cell>
          <cell r="E153">
            <v>0</v>
          </cell>
          <cell r="F153">
            <v>-0.5</v>
          </cell>
          <cell r="G153">
            <v>1</v>
          </cell>
          <cell r="H153">
            <v>-0.5</v>
          </cell>
          <cell r="I153">
            <v>1</v>
          </cell>
          <cell r="J153">
            <v>0.875</v>
          </cell>
          <cell r="K153">
            <v>-0.21970609670433805</v>
          </cell>
          <cell r="L153">
            <v>0.41679059761774534</v>
          </cell>
          <cell r="M153">
            <v>1.3255510753560269</v>
          </cell>
          <cell r="N153">
            <v>0.24999999999999994</v>
          </cell>
        </row>
      </sheetData>
      <sheetData sheetId="45" refreshError="1">
        <row r="1">
          <cell r="A1" t="str">
            <v>Pre Provision Profit</v>
          </cell>
          <cell r="B1">
            <v>1996</v>
          </cell>
          <cell r="C1">
            <v>1997</v>
          </cell>
          <cell r="D1">
            <v>1998</v>
          </cell>
          <cell r="E1">
            <v>1999</v>
          </cell>
          <cell r="F1">
            <v>2000</v>
          </cell>
          <cell r="G1">
            <v>2001</v>
          </cell>
          <cell r="H1">
            <v>2002</v>
          </cell>
          <cell r="I1">
            <v>2003</v>
          </cell>
          <cell r="J1">
            <v>2004</v>
          </cell>
          <cell r="K1" t="str">
            <v>2005E</v>
          </cell>
          <cell r="L1" t="str">
            <v>2006E</v>
          </cell>
        </row>
        <row r="2">
          <cell r="A2" t="str">
            <v>HSB</v>
          </cell>
          <cell r="B2">
            <v>1996</v>
          </cell>
          <cell r="C2">
            <v>1997</v>
          </cell>
          <cell r="D2">
            <v>1998</v>
          </cell>
          <cell r="E2">
            <v>1999</v>
          </cell>
          <cell r="F2">
            <v>2000</v>
          </cell>
          <cell r="G2">
            <v>2001</v>
          </cell>
          <cell r="H2">
            <v>2002</v>
          </cell>
          <cell r="I2">
            <v>2003</v>
          </cell>
          <cell r="J2">
            <v>2004</v>
          </cell>
          <cell r="K2">
            <v>2005</v>
          </cell>
          <cell r="L2">
            <v>2006</v>
          </cell>
        </row>
        <row r="3">
          <cell r="A3" t="str">
            <v>BEA</v>
          </cell>
          <cell r="B3">
            <v>9803</v>
          </cell>
          <cell r="C3">
            <v>10773</v>
          </cell>
          <cell r="D3">
            <v>10632</v>
          </cell>
          <cell r="E3">
            <v>11065</v>
          </cell>
          <cell r="F3">
            <v>11540</v>
          </cell>
          <cell r="G3">
            <v>11716</v>
          </cell>
          <cell r="H3">
            <v>11255</v>
          </cell>
          <cell r="I3">
            <v>11475</v>
          </cell>
          <cell r="J3">
            <v>11821</v>
          </cell>
          <cell r="K3">
            <v>11686</v>
          </cell>
          <cell r="L3">
            <v>12850.335488078852</v>
          </cell>
        </row>
        <row r="4">
          <cell r="A4" t="str">
            <v>BOCHK</v>
          </cell>
          <cell r="B4">
            <v>2373.59</v>
          </cell>
          <cell r="C4">
            <v>2716.8599999999997</v>
          </cell>
          <cell r="D4">
            <v>2645</v>
          </cell>
          <cell r="E4">
            <v>2657</v>
          </cell>
          <cell r="F4">
            <v>2735.3300000000008</v>
          </cell>
          <cell r="G4">
            <v>2352</v>
          </cell>
          <cell r="H4">
            <v>2513</v>
          </cell>
          <cell r="I4">
            <v>2871</v>
          </cell>
          <cell r="J4">
            <v>2775</v>
          </cell>
          <cell r="K4">
            <v>2964</v>
          </cell>
          <cell r="L4">
            <v>4099</v>
          </cell>
        </row>
        <row r="5">
          <cell r="A5" t="str">
            <v>DSF</v>
          </cell>
          <cell r="B5">
            <v>0</v>
          </cell>
          <cell r="C5">
            <v>0</v>
          </cell>
          <cell r="D5">
            <v>0</v>
          </cell>
          <cell r="E5">
            <v>13147</v>
          </cell>
          <cell r="F5">
            <v>14964</v>
          </cell>
          <cell r="G5">
            <v>13162</v>
          </cell>
          <cell r="H5">
            <v>12089</v>
          </cell>
          <cell r="I5">
            <v>11595</v>
          </cell>
          <cell r="J5">
            <v>10352</v>
          </cell>
          <cell r="K5">
            <v>12166</v>
          </cell>
          <cell r="L5">
            <v>15277.794464760202</v>
          </cell>
        </row>
        <row r="6">
          <cell r="A6" t="str">
            <v>WHB</v>
          </cell>
          <cell r="B6">
            <v>827.02899999999988</v>
          </cell>
          <cell r="C6">
            <v>823.4689999999996</v>
          </cell>
          <cell r="D6">
            <v>704</v>
          </cell>
          <cell r="E6">
            <v>1102</v>
          </cell>
          <cell r="F6">
            <v>1214</v>
          </cell>
          <cell r="G6">
            <v>1301</v>
          </cell>
          <cell r="H6">
            <v>1587.5590000000002</v>
          </cell>
          <cell r="I6">
            <v>1557</v>
          </cell>
          <cell r="J6">
            <v>1509.5929999999998</v>
          </cell>
          <cell r="K6">
            <v>1257.7059999999997</v>
          </cell>
          <cell r="L6">
            <v>1801.2819406582817</v>
          </cell>
        </row>
        <row r="7">
          <cell r="A7" t="str">
            <v>CIFH</v>
          </cell>
          <cell r="B7">
            <v>1031.385</v>
          </cell>
          <cell r="C7">
            <v>1231.7930000000001</v>
          </cell>
          <cell r="D7">
            <v>1119.2860000000001</v>
          </cell>
          <cell r="E7">
            <v>1264.8009999999997</v>
          </cell>
          <cell r="F7">
            <v>1428.6270000000004</v>
          </cell>
          <cell r="G7">
            <v>1291.306</v>
          </cell>
          <cell r="H7">
            <v>1242.1289999999999</v>
          </cell>
          <cell r="I7">
            <v>1319.3049999999998</v>
          </cell>
          <cell r="J7">
            <v>1400.961</v>
          </cell>
          <cell r="K7">
            <v>1645.0109999999993</v>
          </cell>
          <cell r="L7">
            <v>2005.248188104059</v>
          </cell>
        </row>
        <row r="8">
          <cell r="A8" t="str">
            <v>ICBCA</v>
          </cell>
          <cell r="B8">
            <v>515.89899999999989</v>
          </cell>
          <cell r="C8">
            <v>745.39599999999996</v>
          </cell>
          <cell r="D8">
            <v>681.78599999999972</v>
          </cell>
          <cell r="E8">
            <v>669.27199999999993</v>
          </cell>
          <cell r="F8">
            <v>942.23199999999963</v>
          </cell>
          <cell r="G8">
            <v>1030.2230000000004</v>
          </cell>
          <cell r="H8">
            <v>1133.8710000000001</v>
          </cell>
          <cell r="I8">
            <v>1005.7790000000001</v>
          </cell>
          <cell r="J8">
            <v>1036.8779999999999</v>
          </cell>
          <cell r="K8">
            <v>875.35999999999967</v>
          </cell>
          <cell r="L8">
            <v>1006.7380109515116</v>
          </cell>
        </row>
        <row r="9">
          <cell r="A9" t="str">
            <v>WLB</v>
          </cell>
          <cell r="B9">
            <v>0</v>
          </cell>
          <cell r="C9">
            <v>465.13700000000006</v>
          </cell>
          <cell r="D9">
            <v>313.94399999999996</v>
          </cell>
          <cell r="E9">
            <v>190.20700000000005</v>
          </cell>
          <cell r="F9">
            <v>291.01299999999998</v>
          </cell>
          <cell r="G9">
            <v>383.74400000000014</v>
          </cell>
          <cell r="H9">
            <v>737.16299999999978</v>
          </cell>
          <cell r="I9">
            <v>794.93400000000008</v>
          </cell>
          <cell r="J9">
            <v>900.64600000000019</v>
          </cell>
          <cell r="K9">
            <v>1142.7599999999998</v>
          </cell>
          <cell r="L9">
            <v>1515.0542813871612</v>
          </cell>
        </row>
        <row r="10">
          <cell r="A10" t="str">
            <v>HSBC</v>
          </cell>
          <cell r="B10">
            <v>54580</v>
          </cell>
          <cell r="C10">
            <v>66230</v>
          </cell>
          <cell r="D10">
            <v>70597.8</v>
          </cell>
          <cell r="E10">
            <v>74898</v>
          </cell>
          <cell r="F10">
            <v>81790.8</v>
          </cell>
          <cell r="G10">
            <v>81775.199999999997</v>
          </cell>
          <cell r="H10" t="e">
            <v>#VALUE!</v>
          </cell>
          <cell r="I10" t="e">
            <v>#VALUE!</v>
          </cell>
          <cell r="J10" t="e">
            <v>#VALUE!</v>
          </cell>
          <cell r="K10" t="e">
            <v>#VALUE!</v>
          </cell>
          <cell r="L10" t="e">
            <v>#VALUE!</v>
          </cell>
        </row>
        <row r="12">
          <cell r="A12" t="str">
            <v>Earnings</v>
          </cell>
          <cell r="B12">
            <v>1996</v>
          </cell>
          <cell r="C12">
            <v>1997</v>
          </cell>
          <cell r="D12">
            <v>1998</v>
          </cell>
          <cell r="E12">
            <v>1999</v>
          </cell>
          <cell r="F12">
            <v>2000</v>
          </cell>
          <cell r="G12">
            <v>2001</v>
          </cell>
          <cell r="H12">
            <v>2002</v>
          </cell>
          <cell r="I12">
            <v>2003</v>
          </cell>
          <cell r="J12">
            <v>2004</v>
          </cell>
          <cell r="K12" t="str">
            <v>2005E</v>
          </cell>
          <cell r="L12" t="str">
            <v>2006E</v>
          </cell>
        </row>
        <row r="13">
          <cell r="A13" t="str">
            <v>HSB</v>
          </cell>
          <cell r="B13">
            <v>1996</v>
          </cell>
          <cell r="C13">
            <v>1997</v>
          </cell>
          <cell r="D13">
            <v>1998</v>
          </cell>
          <cell r="E13">
            <v>1999</v>
          </cell>
          <cell r="F13">
            <v>2000</v>
          </cell>
          <cell r="G13">
            <v>2001</v>
          </cell>
          <cell r="H13">
            <v>2002</v>
          </cell>
          <cell r="I13">
            <v>2003</v>
          </cell>
          <cell r="J13">
            <v>2004</v>
          </cell>
          <cell r="K13">
            <v>2005</v>
          </cell>
          <cell r="L13">
            <v>2006</v>
          </cell>
        </row>
        <row r="14">
          <cell r="A14" t="str">
            <v>BEA</v>
          </cell>
          <cell r="B14">
            <v>8487</v>
          </cell>
          <cell r="C14">
            <v>9363</v>
          </cell>
          <cell r="D14">
            <v>7093</v>
          </cell>
          <cell r="E14">
            <v>8307</v>
          </cell>
          <cell r="F14">
            <v>10014</v>
          </cell>
          <cell r="G14">
            <v>10115</v>
          </cell>
          <cell r="H14">
            <v>9920</v>
          </cell>
          <cell r="I14">
            <v>9539</v>
          </cell>
          <cell r="J14">
            <v>11364</v>
          </cell>
          <cell r="K14">
            <v>11342</v>
          </cell>
          <cell r="L14">
            <v>12067.907280927164</v>
          </cell>
        </row>
        <row r="15">
          <cell r="A15" t="str">
            <v>BOCHK</v>
          </cell>
          <cell r="B15">
            <v>1856.1605000000002</v>
          </cell>
          <cell r="C15">
            <v>2230.2888499999999</v>
          </cell>
          <cell r="D15">
            <v>973.15</v>
          </cell>
          <cell r="E15">
            <v>491.79999999999995</v>
          </cell>
          <cell r="F15">
            <v>1775.4900000000011</v>
          </cell>
          <cell r="G15">
            <v>1697</v>
          </cell>
          <cell r="H15">
            <v>1407</v>
          </cell>
          <cell r="I15">
            <v>2062</v>
          </cell>
          <cell r="J15">
            <v>2567</v>
          </cell>
          <cell r="K15">
            <v>2747</v>
          </cell>
          <cell r="L15">
            <v>3437</v>
          </cell>
        </row>
        <row r="16">
          <cell r="A16" t="str">
            <v>DSF</v>
          </cell>
          <cell r="B16">
            <v>0</v>
          </cell>
          <cell r="C16">
            <v>0</v>
          </cell>
          <cell r="D16">
            <v>0</v>
          </cell>
          <cell r="E16">
            <v>3038</v>
          </cell>
          <cell r="F16">
            <v>5047</v>
          </cell>
          <cell r="G16">
            <v>3705</v>
          </cell>
          <cell r="H16">
            <v>6673</v>
          </cell>
          <cell r="I16">
            <v>7963</v>
          </cell>
          <cell r="J16">
            <v>11961</v>
          </cell>
          <cell r="K16">
            <v>13494</v>
          </cell>
          <cell r="L16">
            <v>13381.474227333205</v>
          </cell>
        </row>
        <row r="17">
          <cell r="A17" t="str">
            <v>WHB</v>
          </cell>
          <cell r="B17">
            <v>602.66</v>
          </cell>
          <cell r="C17">
            <v>663.24599999999964</v>
          </cell>
          <cell r="D17">
            <v>257</v>
          </cell>
          <cell r="E17">
            <v>588</v>
          </cell>
          <cell r="F17">
            <v>810.6</v>
          </cell>
          <cell r="G17">
            <v>864.9</v>
          </cell>
          <cell r="H17">
            <v>828.99000000000012</v>
          </cell>
          <cell r="I17">
            <v>992</v>
          </cell>
          <cell r="J17">
            <v>1149.5729999999999</v>
          </cell>
          <cell r="K17">
            <v>1018.7999999999997</v>
          </cell>
          <cell r="L17">
            <v>1192.3597242431192</v>
          </cell>
        </row>
        <row r="18">
          <cell r="A18" t="str">
            <v>CIFH</v>
          </cell>
          <cell r="B18">
            <v>770.72699999999998</v>
          </cell>
          <cell r="C18">
            <v>871.2900000000003</v>
          </cell>
          <cell r="D18">
            <v>503.15700000000004</v>
          </cell>
          <cell r="E18">
            <v>682.11299999999972</v>
          </cell>
          <cell r="F18">
            <v>902.13600000000054</v>
          </cell>
          <cell r="G18">
            <v>778.30600000000004</v>
          </cell>
          <cell r="H18">
            <v>668.57600000000002</v>
          </cell>
          <cell r="I18">
            <v>876.31199999999978</v>
          </cell>
          <cell r="J18">
            <v>1211.454</v>
          </cell>
          <cell r="K18">
            <v>1348.7479999999994</v>
          </cell>
          <cell r="L18">
            <v>1676.4353506754926</v>
          </cell>
        </row>
        <row r="19">
          <cell r="A19" t="str">
            <v>ICBCA</v>
          </cell>
          <cell r="B19">
            <v>409.45699999999988</v>
          </cell>
          <cell r="C19">
            <v>516.01699999999994</v>
          </cell>
          <cell r="D19">
            <v>102.82299999999972</v>
          </cell>
          <cell r="E19">
            <v>108.56099999999998</v>
          </cell>
          <cell r="F19">
            <v>522.49699999999962</v>
          </cell>
          <cell r="G19">
            <v>616.5840000000004</v>
          </cell>
          <cell r="H19">
            <v>598.18899999999996</v>
          </cell>
          <cell r="I19">
            <v>708.32400000000018</v>
          </cell>
          <cell r="J19">
            <v>944.31</v>
          </cell>
          <cell r="K19">
            <v>1102.8369999999998</v>
          </cell>
          <cell r="L19">
            <v>1016.9353184269862</v>
          </cell>
        </row>
        <row r="20">
          <cell r="A20" t="str">
            <v>WLB</v>
          </cell>
          <cell r="B20">
            <v>0</v>
          </cell>
          <cell r="C20">
            <v>340.93200000000013</v>
          </cell>
          <cell r="D20">
            <v>32.956999999999937</v>
          </cell>
          <cell r="E20">
            <v>-545.01</v>
          </cell>
          <cell r="F20">
            <v>150.06299999999999</v>
          </cell>
          <cell r="G20">
            <v>293.56110000000018</v>
          </cell>
          <cell r="H20">
            <v>447.98799999999983</v>
          </cell>
          <cell r="I20">
            <v>480.78500000000008</v>
          </cell>
          <cell r="J20">
            <v>760.28100000000018</v>
          </cell>
          <cell r="K20">
            <v>980.6239999999998</v>
          </cell>
          <cell r="L20">
            <v>1149.8560881792714</v>
          </cell>
        </row>
        <row r="21">
          <cell r="A21" t="str">
            <v>HSBC</v>
          </cell>
          <cell r="B21">
            <v>37587</v>
          </cell>
          <cell r="C21">
            <v>42550</v>
          </cell>
          <cell r="D21">
            <v>33758.400000000001</v>
          </cell>
          <cell r="E21">
            <v>42240</v>
          </cell>
          <cell r="F21">
            <v>55676.4</v>
          </cell>
          <cell r="G21">
            <v>48399</v>
          </cell>
          <cell r="H21" t="e">
            <v>#VALUE!</v>
          </cell>
          <cell r="I21" t="e">
            <v>#VALUE!</v>
          </cell>
          <cell r="J21" t="e">
            <v>#VALUE!</v>
          </cell>
          <cell r="K21" t="e">
            <v>#VALUE!</v>
          </cell>
          <cell r="L21" t="e">
            <v>#VALUE!</v>
          </cell>
        </row>
        <row r="23">
          <cell r="A23" t="str">
            <v>RWA</v>
          </cell>
          <cell r="B23">
            <v>1996</v>
          </cell>
          <cell r="C23">
            <v>1997</v>
          </cell>
          <cell r="D23">
            <v>1998</v>
          </cell>
          <cell r="E23">
            <v>1999</v>
          </cell>
          <cell r="F23">
            <v>2000</v>
          </cell>
          <cell r="G23">
            <v>2001</v>
          </cell>
          <cell r="H23">
            <v>2002</v>
          </cell>
          <cell r="I23">
            <v>2003</v>
          </cell>
          <cell r="J23">
            <v>2004</v>
          </cell>
          <cell r="K23" t="str">
            <v>2005E</v>
          </cell>
          <cell r="L23" t="str">
            <v>2006E</v>
          </cell>
        </row>
        <row r="24">
          <cell r="A24" t="str">
            <v>HSB</v>
          </cell>
          <cell r="B24">
            <v>1996</v>
          </cell>
          <cell r="C24">
            <v>1997</v>
          </cell>
          <cell r="D24">
            <v>1998</v>
          </cell>
          <cell r="E24">
            <v>1999</v>
          </cell>
          <cell r="F24">
            <v>2000</v>
          </cell>
          <cell r="G24">
            <v>2001</v>
          </cell>
          <cell r="H24">
            <v>2002</v>
          </cell>
          <cell r="I24">
            <v>2003</v>
          </cell>
          <cell r="J24">
            <v>2004</v>
          </cell>
          <cell r="K24">
            <v>2005</v>
          </cell>
          <cell r="L24">
            <v>2006</v>
          </cell>
        </row>
        <row r="25">
          <cell r="A25" t="str">
            <v>BEA</v>
          </cell>
          <cell r="B25">
            <v>187475</v>
          </cell>
          <cell r="C25">
            <v>210064</v>
          </cell>
          <cell r="D25">
            <v>198074.28571428574</v>
          </cell>
          <cell r="E25">
            <v>204141</v>
          </cell>
          <cell r="F25">
            <v>235453</v>
          </cell>
          <cell r="G25">
            <v>240776.50359050746</v>
          </cell>
          <cell r="H25">
            <v>243077.7985546024</v>
          </cell>
          <cell r="I25">
            <v>253326</v>
          </cell>
          <cell r="J25">
            <v>277029</v>
          </cell>
          <cell r="K25">
            <v>291570</v>
          </cell>
          <cell r="L25">
            <v>306148.5</v>
          </cell>
        </row>
        <row r="26">
          <cell r="A26" t="str">
            <v>BOCHK</v>
          </cell>
          <cell r="B26">
            <v>68219.415204678357</v>
          </cell>
          <cell r="C26">
            <v>87720.503267973865</v>
          </cell>
          <cell r="D26">
            <v>83336.526946107784</v>
          </cell>
          <cell r="E26">
            <v>83764.951399879486</v>
          </cell>
          <cell r="F26">
            <v>105233.9982135367</v>
          </cell>
          <cell r="G26">
            <v>113584.18121318781</v>
          </cell>
          <cell r="H26">
            <v>121252.94117647057</v>
          </cell>
          <cell r="I26">
            <v>123207.01754385965</v>
          </cell>
          <cell r="J26">
            <v>139975.15527950309</v>
          </cell>
          <cell r="K26">
            <v>162145.34883720931</v>
          </cell>
          <cell r="L26">
            <v>196021.72111905881</v>
          </cell>
        </row>
        <row r="27">
          <cell r="A27" t="str">
            <v>DSF</v>
          </cell>
          <cell r="B27">
            <v>0</v>
          </cell>
          <cell r="C27">
            <v>0</v>
          </cell>
          <cell r="D27">
            <v>0</v>
          </cell>
          <cell r="E27">
            <v>376756.89158016146</v>
          </cell>
          <cell r="F27">
            <v>384292.0294117647</v>
          </cell>
          <cell r="G27">
            <v>391977.87</v>
          </cell>
          <cell r="H27">
            <v>414067.19085060759</v>
          </cell>
          <cell r="I27">
            <v>402231.87441287254</v>
          </cell>
          <cell r="J27">
            <v>414451.87214365747</v>
          </cell>
          <cell r="K27">
            <v>436363.63636363635</v>
          </cell>
          <cell r="L27">
            <v>458181.81818181818</v>
          </cell>
        </row>
        <row r="28">
          <cell r="A28" t="str">
            <v>WHB</v>
          </cell>
          <cell r="B28">
            <v>22527.352083333331</v>
          </cell>
          <cell r="C28">
            <v>26500.884563758391</v>
          </cell>
          <cell r="D28">
            <v>25391</v>
          </cell>
          <cell r="E28">
            <v>27187</v>
          </cell>
          <cell r="F28">
            <v>29790</v>
          </cell>
          <cell r="G28">
            <v>30556</v>
          </cell>
          <cell r="H28">
            <v>31381</v>
          </cell>
          <cell r="I28">
            <v>32382.352941176472</v>
          </cell>
          <cell r="J28">
            <v>41248.46820809249</v>
          </cell>
          <cell r="K28">
            <v>56630.313953488381</v>
          </cell>
          <cell r="L28">
            <v>60564.581692551481</v>
          </cell>
        </row>
        <row r="29">
          <cell r="A29" t="str">
            <v>CIFH</v>
          </cell>
          <cell r="B29">
            <v>26139.807638888884</v>
          </cell>
          <cell r="C29">
            <v>29349.818791946309</v>
          </cell>
          <cell r="D29">
            <v>30243.582154204429</v>
          </cell>
          <cell r="E29">
            <v>30692.463458551869</v>
          </cell>
          <cell r="F29">
            <v>31953.997789994923</v>
          </cell>
          <cell r="G29">
            <v>35066.666666666664</v>
          </cell>
          <cell r="H29">
            <v>35981.818181818177</v>
          </cell>
          <cell r="I29">
            <v>50397.502629601797</v>
          </cell>
          <cell r="J29">
            <v>54407.643312101907</v>
          </cell>
          <cell r="K29">
            <v>61232.268456375845</v>
          </cell>
          <cell r="L29">
            <v>69192.463355704691</v>
          </cell>
        </row>
        <row r="30">
          <cell r="A30" t="str">
            <v>ICBCA</v>
          </cell>
          <cell r="B30">
            <v>18664.386149999998</v>
          </cell>
          <cell r="C30">
            <v>21464.044072499997</v>
          </cell>
          <cell r="D30">
            <v>32435.374</v>
          </cell>
          <cell r="E30">
            <v>34354.641000000003</v>
          </cell>
          <cell r="F30">
            <v>34680.287425149698</v>
          </cell>
          <cell r="G30">
            <v>52478.321400000008</v>
          </cell>
          <cell r="H30">
            <v>68594.532999999996</v>
          </cell>
          <cell r="I30">
            <v>51324.915806626828</v>
          </cell>
          <cell r="J30">
            <v>56403.469773299745</v>
          </cell>
          <cell r="K30">
            <v>58578.500936914432</v>
          </cell>
          <cell r="L30">
            <v>69990.900243794749</v>
          </cell>
        </row>
        <row r="31">
          <cell r="A31" t="str">
            <v>WLB</v>
          </cell>
          <cell r="B31">
            <v>0</v>
          </cell>
          <cell r="C31">
            <v>11814.797338173017</v>
          </cell>
          <cell r="D31">
            <v>14355.360280076386</v>
          </cell>
          <cell r="E31">
            <v>11912.550999999998</v>
          </cell>
          <cell r="F31">
            <v>13950.244382022473</v>
          </cell>
          <cell r="G31">
            <v>24286</v>
          </cell>
          <cell r="H31">
            <v>26473</v>
          </cell>
          <cell r="I31">
            <v>52769.437125748496</v>
          </cell>
          <cell r="J31">
            <v>72242.281609195416</v>
          </cell>
          <cell r="K31">
            <v>84036.373417721508</v>
          </cell>
          <cell r="L31">
            <v>90759.283291139232</v>
          </cell>
        </row>
        <row r="32">
          <cell r="A32" t="str">
            <v>HSBC</v>
          </cell>
          <cell r="B32">
            <v>2019902</v>
          </cell>
          <cell r="C32">
            <v>2262308</v>
          </cell>
          <cell r="D32">
            <v>2355210</v>
          </cell>
          <cell r="E32">
            <v>2621782.7999999998</v>
          </cell>
          <cell r="F32">
            <v>2992758.6</v>
          </cell>
          <cell r="G32">
            <v>3053528.4</v>
          </cell>
          <cell r="H32" t="e">
            <v>#VALUE!</v>
          </cell>
          <cell r="I32" t="e">
            <v>#VALUE!</v>
          </cell>
          <cell r="J32" t="e">
            <v>#VALUE!</v>
          </cell>
          <cell r="K32" t="e">
            <v>#VALUE!</v>
          </cell>
          <cell r="L32" t="e">
            <v>#VALUE!</v>
          </cell>
        </row>
        <row r="36">
          <cell r="A36" t="str">
            <v>PPP/RWA</v>
          </cell>
          <cell r="B36">
            <v>1996</v>
          </cell>
          <cell r="C36">
            <v>1997</v>
          </cell>
          <cell r="D36">
            <v>1998</v>
          </cell>
          <cell r="E36">
            <v>1999</v>
          </cell>
          <cell r="F36">
            <v>2000</v>
          </cell>
          <cell r="G36">
            <v>2001</v>
          </cell>
          <cell r="H36">
            <v>2002</v>
          </cell>
          <cell r="I36">
            <v>2003</v>
          </cell>
          <cell r="J36">
            <v>2004</v>
          </cell>
          <cell r="K36" t="str">
            <v>2005E</v>
          </cell>
          <cell r="L36" t="str">
            <v>2006E</v>
          </cell>
        </row>
        <row r="37">
          <cell r="A37" t="str">
            <v>HSB</v>
          </cell>
          <cell r="B37">
            <v>1</v>
          </cell>
          <cell r="C37">
            <v>1</v>
          </cell>
          <cell r="D37">
            <v>1</v>
          </cell>
          <cell r="E37">
            <v>1</v>
          </cell>
          <cell r="F37">
            <v>1</v>
          </cell>
          <cell r="G37">
            <v>1</v>
          </cell>
          <cell r="H37">
            <v>1</v>
          </cell>
          <cell r="I37">
            <v>1</v>
          </cell>
          <cell r="J37">
            <v>1</v>
          </cell>
          <cell r="K37">
            <v>1</v>
          </cell>
          <cell r="L37">
            <v>1</v>
          </cell>
        </row>
        <row r="38">
          <cell r="A38" t="str">
            <v>BEA</v>
          </cell>
          <cell r="B38">
            <v>5.2289638618482466E-2</v>
          </cell>
          <cell r="C38">
            <v>5.1284370477568744E-2</v>
          </cell>
          <cell r="D38">
            <v>5.3676831203300343E-2</v>
          </cell>
          <cell r="E38">
            <v>5.4202732425137526E-2</v>
          </cell>
          <cell r="F38">
            <v>4.9011904711343666E-2</v>
          </cell>
          <cell r="G38">
            <v>4.8659233045121347E-2</v>
          </cell>
          <cell r="H38">
            <v>4.6302048426161785E-2</v>
          </cell>
          <cell r="I38">
            <v>4.5297363871059426E-2</v>
          </cell>
          <cell r="J38">
            <v>4.2670622931173269E-2</v>
          </cell>
          <cell r="K38">
            <v>4.0079569228658643E-2</v>
          </cell>
          <cell r="L38">
            <v>4.1974190590771641E-2</v>
          </cell>
        </row>
        <row r="39">
          <cell r="A39" t="str">
            <v>BOCHK</v>
          </cell>
          <cell r="E39">
            <v>3.1719710399113567E-2</v>
          </cell>
          <cell r="F39">
            <v>2.5992835456556316E-2</v>
          </cell>
          <cell r="G39">
            <v>2.0707108814611224E-2</v>
          </cell>
          <cell r="H39">
            <v>2.0725270460389078E-2</v>
          </cell>
          <cell r="I39">
            <v>2.3302244119154752E-2</v>
          </cell>
          <cell r="J39">
            <v>1.9824946751863689E-2</v>
          </cell>
          <cell r="K39">
            <v>1.8279895299221915E-2</v>
          </cell>
          <cell r="L39">
            <v>2.0910947912299818E-2</v>
          </cell>
        </row>
        <row r="40">
          <cell r="A40" t="str">
            <v>DSF</v>
          </cell>
          <cell r="B40" t="e">
            <v>#DIV/0!</v>
          </cell>
          <cell r="C40" t="e">
            <v>#DIV/0!</v>
          </cell>
          <cell r="D40" t="e">
            <v>#DIV/0!</v>
          </cell>
          <cell r="E40">
            <v>3.4895181199897846E-2</v>
          </cell>
          <cell r="F40">
            <v>3.8939137048731857E-2</v>
          </cell>
          <cell r="G40">
            <v>3.3578426251461596E-2</v>
          </cell>
          <cell r="H40">
            <v>2.9195744717580446E-2</v>
          </cell>
          <cell r="I40">
            <v>2.8826656308441299E-2</v>
          </cell>
          <cell r="J40">
            <v>2.4977568436249663E-2</v>
          </cell>
          <cell r="K40">
            <v>2.7880416666666668E-2</v>
          </cell>
          <cell r="L40">
            <v>3.3344392681024251E-2</v>
          </cell>
        </row>
        <row r="41">
          <cell r="A41" t="str">
            <v>WHB</v>
          </cell>
          <cell r="B41">
            <v>3.671221530789099E-2</v>
          </cell>
          <cell r="C41">
            <v>3.1073264668536563E-2</v>
          </cell>
          <cell r="D41">
            <v>2.7726359733763931E-2</v>
          </cell>
          <cell r="E41">
            <v>4.0534078787655865E-2</v>
          </cell>
          <cell r="F41">
            <v>4.0751930177912052E-2</v>
          </cell>
          <cell r="G41">
            <v>4.2577562508181697E-2</v>
          </cell>
          <cell r="H41">
            <v>5.0589815493451457E-2</v>
          </cell>
          <cell r="I41">
            <v>4.8081743869209805E-2</v>
          </cell>
          <cell r="J41">
            <v>3.6597552965708297E-2</v>
          </cell>
          <cell r="K41">
            <v>2.2209059286391719E-2</v>
          </cell>
          <cell r="L41">
            <v>2.9741507170019995E-2</v>
          </cell>
        </row>
        <row r="42">
          <cell r="A42" t="str">
            <v>CIFH</v>
          </cell>
          <cell r="B42">
            <v>3.9456487754163168E-2</v>
          </cell>
          <cell r="C42">
            <v>4.1969356224373297E-2</v>
          </cell>
          <cell r="D42">
            <v>3.700904192807062E-2</v>
          </cell>
          <cell r="E42">
            <v>4.1208845999215066E-2</v>
          </cell>
          <cell r="F42">
            <v>4.470886583234715E-2</v>
          </cell>
          <cell r="G42">
            <v>3.6824315589353618E-2</v>
          </cell>
          <cell r="H42">
            <v>3.4521018191005559E-2</v>
          </cell>
          <cell r="I42">
            <v>2.6177983653203573E-2</v>
          </cell>
          <cell r="J42">
            <v>2.5749341723249827E-2</v>
          </cell>
          <cell r="K42">
            <v>2.6865099750011164E-2</v>
          </cell>
          <cell r="L42">
            <v>2.8980731294324311E-2</v>
          </cell>
        </row>
        <row r="43">
          <cell r="A43" t="str">
            <v>ICBCA</v>
          </cell>
          <cell r="C43">
            <v>3.4727658845753615E-2</v>
          </cell>
          <cell r="D43">
            <v>2.101982853658477E-2</v>
          </cell>
          <cell r="E43">
            <v>1.9481268920842454E-2</v>
          </cell>
          <cell r="F43">
            <v>2.7169094317156816E-2</v>
          </cell>
          <cell r="G43">
            <v>1.9631401548602129E-2</v>
          </cell>
          <cell r="H43">
            <v>1.653004912213631E-2</v>
          </cell>
          <cell r="I43">
            <v>1.9596310762386847E-2</v>
          </cell>
          <cell r="J43">
            <v>1.8383230751006684E-2</v>
          </cell>
          <cell r="K43">
            <v>1.4943366354538681E-2</v>
          </cell>
          <cell r="L43">
            <v>1.4383841434312268E-2</v>
          </cell>
        </row>
        <row r="44">
          <cell r="A44" t="str">
            <v>WLB</v>
          </cell>
          <cell r="B44" t="e">
            <v>#DIV/0!</v>
          </cell>
          <cell r="C44">
            <v>3.9369020617659331E-2</v>
          </cell>
          <cell r="D44">
            <v>2.18694615721849E-2</v>
          </cell>
          <cell r="E44">
            <v>1.5966941085918548E-2</v>
          </cell>
          <cell r="F44">
            <v>2.0860781505378161E-2</v>
          </cell>
          <cell r="G44">
            <v>1.5801037634851359E-2</v>
          </cell>
          <cell r="H44">
            <v>2.784584293431042E-2</v>
          </cell>
          <cell r="I44">
            <v>1.5064288029180386E-2</v>
          </cell>
          <cell r="J44">
            <v>1.2467020419872242E-2</v>
          </cell>
          <cell r="K44">
            <v>1.3598397378711914E-2</v>
          </cell>
          <cell r="L44">
            <v>1.6693105393165604E-2</v>
          </cell>
        </row>
        <row r="45">
          <cell r="A45" t="str">
            <v>HSBC</v>
          </cell>
          <cell r="B45">
            <v>2.7021112905477592E-2</v>
          </cell>
          <cell r="C45">
            <v>2.9275412543296492E-2</v>
          </cell>
          <cell r="D45">
            <v>2.9975161450571289E-2</v>
          </cell>
          <cell r="E45">
            <v>2.856758385934945E-2</v>
          </cell>
          <cell r="F45">
            <v>2.7329568111507559E-2</v>
          </cell>
          <cell r="G45">
            <v>2.6780559827116721E-2</v>
          </cell>
          <cell r="H45" t="e">
            <v>#VALUE!</v>
          </cell>
          <cell r="I45" t="e">
            <v>#VALUE!</v>
          </cell>
          <cell r="J45" t="e">
            <v>#VALUE!</v>
          </cell>
          <cell r="K45" t="e">
            <v>#VALUE!</v>
          </cell>
          <cell r="L45" t="e">
            <v>#VALUE!</v>
          </cell>
        </row>
        <row r="47">
          <cell r="A47" t="str">
            <v>PPP/RWA (rebased)</v>
          </cell>
          <cell r="B47">
            <v>1996</v>
          </cell>
          <cell r="C47">
            <v>1997</v>
          </cell>
          <cell r="D47">
            <v>1998</v>
          </cell>
          <cell r="E47">
            <v>1999</v>
          </cell>
          <cell r="F47">
            <v>2000</v>
          </cell>
          <cell r="G47">
            <v>2001</v>
          </cell>
          <cell r="H47">
            <v>2002</v>
          </cell>
          <cell r="I47">
            <v>2003</v>
          </cell>
          <cell r="J47">
            <v>2004</v>
          </cell>
          <cell r="K47" t="str">
            <v>2005E</v>
          </cell>
          <cell r="L47" t="str">
            <v>2006E</v>
          </cell>
        </row>
        <row r="48">
          <cell r="A48" t="str">
            <v>HSB</v>
          </cell>
          <cell r="B48">
            <v>100</v>
          </cell>
          <cell r="C48">
            <v>100</v>
          </cell>
          <cell r="D48">
            <v>100</v>
          </cell>
          <cell r="E48">
            <v>100</v>
          </cell>
          <cell r="F48">
            <v>100</v>
          </cell>
          <cell r="G48">
            <v>100</v>
          </cell>
          <cell r="H48">
            <v>100</v>
          </cell>
          <cell r="I48">
            <v>100</v>
          </cell>
          <cell r="J48">
            <v>100</v>
          </cell>
          <cell r="K48">
            <v>100</v>
          </cell>
          <cell r="L48">
            <v>100</v>
          </cell>
        </row>
        <row r="49">
          <cell r="A49" t="str">
            <v>BEA</v>
          </cell>
          <cell r="B49">
            <v>100</v>
          </cell>
          <cell r="C49">
            <v>98.077500308907474</v>
          </cell>
          <cell r="D49">
            <v>102.65290145709203</v>
          </cell>
          <cell r="E49">
            <v>103.65864797921715</v>
          </cell>
          <cell r="F49">
            <v>93.731580493309735</v>
          </cell>
          <cell r="G49">
            <v>93.057122463879665</v>
          </cell>
          <cell r="H49">
            <v>88.549184216002047</v>
          </cell>
          <cell r="I49">
            <v>86.627800588869391</v>
          </cell>
          <cell r="J49">
            <v>81.604356156500131</v>
          </cell>
          <cell r="K49">
            <v>76.649160880779135</v>
          </cell>
          <cell r="L49">
            <v>80.272481699529877</v>
          </cell>
        </row>
        <row r="50">
          <cell r="A50" t="str">
            <v>BOCHK</v>
          </cell>
          <cell r="E50">
            <v>100</v>
          </cell>
          <cell r="F50">
            <v>81.945374435961767</v>
          </cell>
          <cell r="G50">
            <v>65.281519137671268</v>
          </cell>
          <cell r="H50">
            <v>65.338775794649948</v>
          </cell>
          <cell r="I50">
            <v>73.462978778664862</v>
          </cell>
          <cell r="J50">
            <v>62.500402754048203</v>
          </cell>
          <cell r="K50">
            <v>57.629452063763999</v>
          </cell>
          <cell r="L50">
            <v>65.924145110997586</v>
          </cell>
        </row>
        <row r="51">
          <cell r="A51" t="str">
            <v>DSF</v>
          </cell>
          <cell r="B51" t="e">
            <v>#DIV/0!</v>
          </cell>
          <cell r="C51" t="e">
            <v>#DIV/0!</v>
          </cell>
          <cell r="D51" t="e">
            <v>#DIV/0!</v>
          </cell>
          <cell r="E51" t="e">
            <v>#DIV/0!</v>
          </cell>
          <cell r="F51" t="e">
            <v>#DIV/0!</v>
          </cell>
          <cell r="G51" t="e">
            <v>#DIV/0!</v>
          </cell>
          <cell r="H51" t="e">
            <v>#DIV/0!</v>
          </cell>
          <cell r="I51" t="e">
            <v>#DIV/0!</v>
          </cell>
          <cell r="J51" t="e">
            <v>#DIV/0!</v>
          </cell>
          <cell r="K51" t="e">
            <v>#DIV/0!</v>
          </cell>
          <cell r="L51" t="e">
            <v>#DIV/0!</v>
          </cell>
        </row>
        <row r="52">
          <cell r="A52" t="str">
            <v>WHB</v>
          </cell>
          <cell r="B52">
            <v>100</v>
          </cell>
          <cell r="C52">
            <v>84.640124296333653</v>
          </cell>
          <cell r="D52">
            <v>75.523526709662704</v>
          </cell>
          <cell r="E52">
            <v>110.41033195004006</v>
          </cell>
          <cell r="F52">
            <v>111.00373495890005</v>
          </cell>
          <cell r="G52">
            <v>115.97655480907467</v>
          </cell>
          <cell r="H52">
            <v>137.80104270247509</v>
          </cell>
          <cell r="I52">
            <v>130.96933395592453</v>
          </cell>
          <cell r="J52">
            <v>99.687672505674016</v>
          </cell>
          <cell r="K52">
            <v>60.495012627630949</v>
          </cell>
          <cell r="L52">
            <v>81.012564675243937</v>
          </cell>
        </row>
        <row r="53">
          <cell r="A53" t="str">
            <v>CIFH</v>
          </cell>
          <cell r="B53">
            <v>100</v>
          </cell>
          <cell r="C53">
            <v>106.36870794447483</v>
          </cell>
          <cell r="D53">
            <v>93.797101654507216</v>
          </cell>
          <cell r="E53">
            <v>104.4412423527662</v>
          </cell>
          <cell r="F53">
            <v>113.31182367500459</v>
          </cell>
          <cell r="G53">
            <v>93.32892430464284</v>
          </cell>
          <cell r="H53">
            <v>87.491361132018525</v>
          </cell>
          <cell r="I53">
            <v>66.34646199709313</v>
          </cell>
          <cell r="J53">
            <v>65.260095839455303</v>
          </cell>
          <cell r="K53">
            <v>68.087914761689731</v>
          </cell>
          <cell r="L53">
            <v>73.449850566758741</v>
          </cell>
        </row>
        <row r="54">
          <cell r="A54" t="str">
            <v>ICBCA</v>
          </cell>
          <cell r="C54">
            <v>100</v>
          </cell>
          <cell r="D54">
            <v>60.52762908650552</v>
          </cell>
          <cell r="E54">
            <v>56.097271075399782</v>
          </cell>
          <cell r="F54">
            <v>78.234742047631471</v>
          </cell>
          <cell r="G54">
            <v>56.529585353844233</v>
          </cell>
          <cell r="H54">
            <v>47.59908865597933</v>
          </cell>
          <cell r="I54">
            <v>56.428539710741312</v>
          </cell>
          <cell r="J54">
            <v>52.935416212931742</v>
          </cell>
          <cell r="K54">
            <v>43.030157664561102</v>
          </cell>
          <cell r="L54">
            <v>41.4189781643489</v>
          </cell>
        </row>
        <row r="55">
          <cell r="A55" t="str">
            <v>WLB</v>
          </cell>
          <cell r="B55" t="e">
            <v>#DIV/0!</v>
          </cell>
          <cell r="C55" t="e">
            <v>#DIV/0!</v>
          </cell>
          <cell r="D55" t="e">
            <v>#DIV/0!</v>
          </cell>
          <cell r="E55" t="e">
            <v>#DIV/0!</v>
          </cell>
          <cell r="F55" t="e">
            <v>#DIV/0!</v>
          </cell>
          <cell r="G55" t="e">
            <v>#DIV/0!</v>
          </cell>
          <cell r="H55" t="e">
            <v>#DIV/0!</v>
          </cell>
          <cell r="I55" t="e">
            <v>#DIV/0!</v>
          </cell>
          <cell r="J55" t="e">
            <v>#DIV/0!</v>
          </cell>
          <cell r="K55" t="e">
            <v>#DIV/0!</v>
          </cell>
          <cell r="L55" t="e">
            <v>#DIV/0!</v>
          </cell>
        </row>
        <row r="56">
          <cell r="A56" t="str">
            <v>HSBC</v>
          </cell>
          <cell r="B56">
            <v>100</v>
          </cell>
          <cell r="C56">
            <v>108.34273423787042</v>
          </cell>
          <cell r="D56">
            <v>110.93237186576008</v>
          </cell>
          <cell r="E56">
            <v>105.7231948931251</v>
          </cell>
          <cell r="F56">
            <v>101.14153405564372</v>
          </cell>
          <cell r="G56">
            <v>99.109758805263311</v>
          </cell>
          <cell r="H56" t="e">
            <v>#VALUE!</v>
          </cell>
          <cell r="I56" t="e">
            <v>#VALUE!</v>
          </cell>
          <cell r="J56" t="e">
            <v>#VALUE!</v>
          </cell>
          <cell r="K56" t="e">
            <v>#VALUE!</v>
          </cell>
          <cell r="L56" t="e">
            <v>#VALUE!</v>
          </cell>
        </row>
        <row r="61">
          <cell r="A61" t="str">
            <v>Earnings/RWA</v>
          </cell>
          <cell r="B61">
            <v>1996</v>
          </cell>
          <cell r="C61">
            <v>1997</v>
          </cell>
          <cell r="D61">
            <v>1998</v>
          </cell>
          <cell r="E61">
            <v>1999</v>
          </cell>
          <cell r="F61">
            <v>2000</v>
          </cell>
          <cell r="G61">
            <v>2001</v>
          </cell>
          <cell r="H61">
            <v>2002</v>
          </cell>
          <cell r="I61">
            <v>2003</v>
          </cell>
          <cell r="J61">
            <v>2004</v>
          </cell>
          <cell r="K61" t="str">
            <v>2005E</v>
          </cell>
          <cell r="L61" t="str">
            <v>2006E</v>
          </cell>
        </row>
        <row r="62">
          <cell r="A62" t="str">
            <v>HSB</v>
          </cell>
          <cell r="B62">
            <v>1</v>
          </cell>
          <cell r="C62">
            <v>1</v>
          </cell>
          <cell r="D62">
            <v>1</v>
          </cell>
          <cell r="E62">
            <v>1</v>
          </cell>
          <cell r="F62">
            <v>1</v>
          </cell>
          <cell r="G62">
            <v>1</v>
          </cell>
          <cell r="H62">
            <v>1</v>
          </cell>
          <cell r="I62">
            <v>1</v>
          </cell>
          <cell r="J62">
            <v>1</v>
          </cell>
          <cell r="K62">
            <v>1</v>
          </cell>
          <cell r="L62">
            <v>1</v>
          </cell>
        </row>
        <row r="63">
          <cell r="A63" t="str">
            <v>BEA</v>
          </cell>
          <cell r="B63">
            <v>4.5270036004800639E-2</v>
          </cell>
          <cell r="C63">
            <v>4.4572130398354788E-2</v>
          </cell>
          <cell r="D63">
            <v>3.5809797190087408E-2</v>
          </cell>
          <cell r="E63">
            <v>4.069246256264053E-2</v>
          </cell>
          <cell r="F63">
            <v>4.2530781090068928E-2</v>
          </cell>
          <cell r="G63">
            <v>4.2009913131734591E-2</v>
          </cell>
          <cell r="H63">
            <v>4.0809979599069297E-2</v>
          </cell>
          <cell r="I63">
            <v>3.7655037382661079E-2</v>
          </cell>
          <cell r="J63">
            <v>4.1020976143291858E-2</v>
          </cell>
          <cell r="K63">
            <v>3.8899749631306373E-2</v>
          </cell>
          <cell r="L63">
            <v>3.9418475938726348E-2</v>
          </cell>
        </row>
        <row r="64">
          <cell r="A64" t="str">
            <v>BOCHK</v>
          </cell>
          <cell r="E64">
            <v>5.8711906564862821E-3</v>
          </cell>
          <cell r="F64">
            <v>1.6871828782911456E-2</v>
          </cell>
          <cell r="G64">
            <v>1.4940460739113625E-2</v>
          </cell>
          <cell r="H64">
            <v>1.1603842235482465E-2</v>
          </cell>
          <cell r="I64">
            <v>1.6736059691291223E-2</v>
          </cell>
          <cell r="J64">
            <v>1.8338968761093363E-2</v>
          </cell>
          <cell r="K64">
            <v>1.6941589874143927E-2</v>
          </cell>
          <cell r="L64">
            <v>1.7533771157495603E-2</v>
          </cell>
        </row>
        <row r="65">
          <cell r="A65" t="str">
            <v>DSF</v>
          </cell>
          <cell r="B65" t="e">
            <v>#DIV/0!</v>
          </cell>
          <cell r="C65" t="e">
            <v>#DIV/0!</v>
          </cell>
          <cell r="D65" t="e">
            <v>#DIV/0!</v>
          </cell>
          <cell r="E65">
            <v>8.0635552206046734E-3</v>
          </cell>
          <cell r="F65">
            <v>1.3133241425083514E-2</v>
          </cell>
          <cell r="G65">
            <v>9.4520642198499625E-3</v>
          </cell>
          <cell r="H65">
            <v>1.6115741955531004E-2</v>
          </cell>
          <cell r="I65">
            <v>1.9797038739466845E-2</v>
          </cell>
          <cell r="J65">
            <v>2.8859804488599518E-2</v>
          </cell>
          <cell r="K65">
            <v>3.092375E-2</v>
          </cell>
          <cell r="L65">
            <v>2.9205598512036756E-2</v>
          </cell>
        </row>
        <row r="66">
          <cell r="A66" t="str">
            <v>WHB</v>
          </cell>
          <cell r="B66">
            <v>2.6752367422972573E-2</v>
          </cell>
          <cell r="C66">
            <v>2.5027315537498315E-2</v>
          </cell>
          <cell r="D66">
            <v>1.0121696664172345E-2</v>
          </cell>
          <cell r="E66">
            <v>2.1627983962923456E-2</v>
          </cell>
          <cell r="F66">
            <v>2.7210473313192346E-2</v>
          </cell>
          <cell r="G66">
            <v>2.8305406466815026E-2</v>
          </cell>
          <cell r="H66">
            <v>2.6416940186737202E-2</v>
          </cell>
          <cell r="I66">
            <v>3.0633969118982741E-2</v>
          </cell>
          <cell r="J66">
            <v>2.7869471278316862E-2</v>
          </cell>
          <cell r="K66">
            <v>1.7990364680597757E-2</v>
          </cell>
          <cell r="L66">
            <v>1.9687409553920211E-2</v>
          </cell>
        </row>
        <row r="67">
          <cell r="A67" t="str">
            <v>CIFH</v>
          </cell>
          <cell r="B67">
            <v>2.9484799989628423E-2</v>
          </cell>
          <cell r="C67">
            <v>2.9686384307050142E-2</v>
          </cell>
          <cell r="D67">
            <v>1.6636818926889309E-2</v>
          </cell>
          <cell r="E67">
            <v>2.2224120293281378E-2</v>
          </cell>
          <cell r="F67">
            <v>2.8232335932703457E-2</v>
          </cell>
          <cell r="G67">
            <v>2.2195038022813692E-2</v>
          </cell>
          <cell r="H67">
            <v>1.858093986862052E-2</v>
          </cell>
          <cell r="I67">
            <v>1.7388004450150742E-2</v>
          </cell>
          <cell r="J67">
            <v>2.2266246546476236E-2</v>
          </cell>
          <cell r="K67">
            <v>2.2026752135777851E-2</v>
          </cell>
          <cell r="L67">
            <v>2.4228583134224779E-2</v>
          </cell>
        </row>
        <row r="68">
          <cell r="A68" t="str">
            <v>ICBCA</v>
          </cell>
          <cell r="C68">
            <v>2.4040996107584749E-2</v>
          </cell>
          <cell r="D68">
            <v>3.1700883116069427E-3</v>
          </cell>
          <cell r="E68">
            <v>3.1600097349292625E-3</v>
          </cell>
          <cell r="F68">
            <v>1.506610927397019E-2</v>
          </cell>
          <cell r="G68">
            <v>1.174930873455873E-2</v>
          </cell>
          <cell r="H68">
            <v>8.7206512507345159E-3</v>
          </cell>
          <cell r="I68">
            <v>1.3800782502375673E-2</v>
          </cell>
          <cell r="J68">
            <v>1.6742055121704891E-2</v>
          </cell>
          <cell r="K68">
            <v>1.8826651115358684E-2</v>
          </cell>
          <cell r="L68">
            <v>1.452953619520197E-2</v>
          </cell>
        </row>
        <row r="69">
          <cell r="A69" t="str">
            <v>WLB</v>
          </cell>
          <cell r="B69" t="e">
            <v>#DIV/0!</v>
          </cell>
          <cell r="C69">
            <v>2.8856356164355518E-2</v>
          </cell>
          <cell r="D69">
            <v>2.2957974831004781E-3</v>
          </cell>
          <cell r="E69">
            <v>-4.5750905914274796E-2</v>
          </cell>
          <cell r="F69">
            <v>1.0757015855104628E-2</v>
          </cell>
          <cell r="G69">
            <v>1.208766779214363E-2</v>
          </cell>
          <cell r="H69">
            <v>1.6922449287953757E-2</v>
          </cell>
          <cell r="I69">
            <v>9.1110503766469817E-3</v>
          </cell>
          <cell r="J69">
            <v>1.0524044687747338E-2</v>
          </cell>
          <cell r="K69">
            <v>1.1669042345813637E-2</v>
          </cell>
          <cell r="L69">
            <v>1.2669294495095809E-2</v>
          </cell>
        </row>
        <row r="70">
          <cell r="A70" t="str">
            <v>HSBC</v>
          </cell>
          <cell r="B70">
            <v>1.8608328522868933E-2</v>
          </cell>
          <cell r="C70">
            <v>1.8808225935637413E-2</v>
          </cell>
          <cell r="D70">
            <v>1.4333498923662858E-2</v>
          </cell>
          <cell r="E70">
            <v>1.6111174426806065E-2</v>
          </cell>
          <cell r="F70">
            <v>1.8603705624636747E-2</v>
          </cell>
          <cell r="G70">
            <v>1.5850188260898443E-2</v>
          </cell>
          <cell r="H70" t="e">
            <v>#VALUE!</v>
          </cell>
          <cell r="I70" t="e">
            <v>#VALUE!</v>
          </cell>
          <cell r="J70" t="e">
            <v>#VALUE!</v>
          </cell>
          <cell r="K70" t="e">
            <v>#VALUE!</v>
          </cell>
          <cell r="L70" t="e">
            <v>#VALUE!</v>
          </cell>
        </row>
        <row r="72">
          <cell r="A72" t="str">
            <v>Earnings/RWA (rebased)</v>
          </cell>
          <cell r="B72">
            <v>1996</v>
          </cell>
          <cell r="C72">
            <v>1997</v>
          </cell>
          <cell r="D72">
            <v>1998</v>
          </cell>
          <cell r="E72">
            <v>1999</v>
          </cell>
          <cell r="F72">
            <v>2000</v>
          </cell>
          <cell r="G72">
            <v>2001</v>
          </cell>
          <cell r="H72">
            <v>2002</v>
          </cell>
          <cell r="I72">
            <v>2003</v>
          </cell>
          <cell r="J72">
            <v>2004</v>
          </cell>
          <cell r="K72" t="str">
            <v>2005E</v>
          </cell>
          <cell r="L72" t="str">
            <v>2006E</v>
          </cell>
        </row>
        <row r="73">
          <cell r="A73" t="str">
            <v>HSB</v>
          </cell>
          <cell r="B73">
            <v>100</v>
          </cell>
          <cell r="C73">
            <v>100</v>
          </cell>
          <cell r="D73">
            <v>100</v>
          </cell>
          <cell r="E73">
            <v>100</v>
          </cell>
          <cell r="F73">
            <v>100</v>
          </cell>
          <cell r="G73">
            <v>100</v>
          </cell>
          <cell r="H73">
            <v>100</v>
          </cell>
          <cell r="I73">
            <v>100</v>
          </cell>
          <cell r="J73">
            <v>100</v>
          </cell>
          <cell r="K73">
            <v>100</v>
          </cell>
          <cell r="L73">
            <v>100</v>
          </cell>
        </row>
        <row r="74">
          <cell r="A74" t="str">
            <v>BEA</v>
          </cell>
          <cell r="B74">
            <v>100</v>
          </cell>
          <cell r="C74">
            <v>98.458349787104567</v>
          </cell>
          <cell r="D74">
            <v>79.102647911059705</v>
          </cell>
          <cell r="E74">
            <v>89.88829290598602</v>
          </cell>
          <cell r="F74">
            <v>93.949077234130698</v>
          </cell>
          <cell r="G74">
            <v>92.798497282572683</v>
          </cell>
          <cell r="H74">
            <v>90.147884120837958</v>
          </cell>
          <cell r="I74">
            <v>83.178721966706561</v>
          </cell>
          <cell r="J74">
            <v>90.613968451321341</v>
          </cell>
          <cell r="K74">
            <v>85.928249818889626</v>
          </cell>
          <cell r="L74">
            <v>87.074098934991426</v>
          </cell>
        </row>
        <row r="75">
          <cell r="A75" t="str">
            <v>BOCHK</v>
          </cell>
          <cell r="E75">
            <v>100</v>
          </cell>
          <cell r="F75">
            <v>287.36639244157504</v>
          </cell>
          <cell r="G75">
            <v>254.47071323783254</v>
          </cell>
          <cell r="H75">
            <v>197.64035805348877</v>
          </cell>
          <cell r="I75">
            <v>285.05392978171852</v>
          </cell>
          <cell r="J75">
            <v>312.35519052397194</v>
          </cell>
          <cell r="K75">
            <v>288.55458569425718</v>
          </cell>
          <cell r="L75">
            <v>298.64080700777305</v>
          </cell>
        </row>
        <row r="76">
          <cell r="A76" t="str">
            <v>DSF</v>
          </cell>
          <cell r="B76" t="e">
            <v>#DIV/0!</v>
          </cell>
          <cell r="C76" t="e">
            <v>#DIV/0!</v>
          </cell>
          <cell r="D76" t="e">
            <v>#DIV/0!</v>
          </cell>
          <cell r="E76" t="e">
            <v>#DIV/0!</v>
          </cell>
          <cell r="F76" t="e">
            <v>#DIV/0!</v>
          </cell>
          <cell r="G76" t="e">
            <v>#DIV/0!</v>
          </cell>
          <cell r="H76" t="e">
            <v>#DIV/0!</v>
          </cell>
          <cell r="I76" t="e">
            <v>#DIV/0!</v>
          </cell>
          <cell r="J76" t="e">
            <v>#DIV/0!</v>
          </cell>
          <cell r="K76" t="e">
            <v>#DIV/0!</v>
          </cell>
          <cell r="L76" t="e">
            <v>#DIV/0!</v>
          </cell>
        </row>
        <row r="77">
          <cell r="A77" t="str">
            <v>WHB</v>
          </cell>
          <cell r="B77">
            <v>100</v>
          </cell>
          <cell r="C77">
            <v>93.551778583928481</v>
          </cell>
          <cell r="D77">
            <v>37.834769925747672</v>
          </cell>
          <cell r="E77">
            <v>80.845121558667188</v>
          </cell>
          <cell r="F77">
            <v>101.71239383407389</v>
          </cell>
          <cell r="G77">
            <v>105.80523966080415</v>
          </cell>
          <cell r="H77">
            <v>98.746177372147869</v>
          </cell>
          <cell r="I77">
            <v>114.50937643999683</v>
          </cell>
          <cell r="J77">
            <v>104.17571962018218</v>
          </cell>
          <cell r="K77">
            <v>67.247748194237261</v>
          </cell>
          <cell r="L77">
            <v>73.591279764700005</v>
          </cell>
        </row>
        <row r="78">
          <cell r="A78" t="str">
            <v>CIFH</v>
          </cell>
          <cell r="B78">
            <v>100</v>
          </cell>
          <cell r="C78">
            <v>100.68368894309145</v>
          </cell>
          <cell r="D78">
            <v>56.425069638394966</v>
          </cell>
          <cell r="E78">
            <v>75.374838225454937</v>
          </cell>
          <cell r="F78">
            <v>95.752170415381713</v>
          </cell>
          <cell r="G78">
            <v>75.276203435739845</v>
          </cell>
          <cell r="H78">
            <v>63.01870752101609</v>
          </cell>
          <cell r="I78">
            <v>58.972773959013281</v>
          </cell>
          <cell r="J78">
            <v>75.517712700471478</v>
          </cell>
          <cell r="K78">
            <v>74.705448717732466</v>
          </cell>
          <cell r="L78">
            <v>82.1731303680114</v>
          </cell>
        </row>
        <row r="79">
          <cell r="A79" t="str">
            <v>ICBCA</v>
          </cell>
          <cell r="C79">
            <v>100</v>
          </cell>
          <cell r="D79">
            <v>13.18617705115307</v>
          </cell>
          <cell r="E79">
            <v>13.144254592397292</v>
          </cell>
          <cell r="F79">
            <v>62.668406943491618</v>
          </cell>
          <cell r="G79">
            <v>48.871971369156014</v>
          </cell>
          <cell r="H79">
            <v>36.274084533390933</v>
          </cell>
          <cell r="I79">
            <v>57.405202515804376</v>
          </cell>
          <cell r="J79">
            <v>69.63960664018785</v>
          </cell>
          <cell r="K79">
            <v>78.310611719699182</v>
          </cell>
          <cell r="L79">
            <v>60.436498263971735</v>
          </cell>
        </row>
        <row r="80">
          <cell r="A80" t="str">
            <v>WLB</v>
          </cell>
          <cell r="B80" t="e">
            <v>#DIV/0!</v>
          </cell>
          <cell r="C80" t="e">
            <v>#DIV/0!</v>
          </cell>
          <cell r="D80" t="e">
            <v>#DIV/0!</v>
          </cell>
          <cell r="E80" t="e">
            <v>#DIV/0!</v>
          </cell>
          <cell r="F80" t="e">
            <v>#DIV/0!</v>
          </cell>
          <cell r="G80" t="e">
            <v>#DIV/0!</v>
          </cell>
          <cell r="H80" t="e">
            <v>#DIV/0!</v>
          </cell>
          <cell r="I80" t="e">
            <v>#DIV/0!</v>
          </cell>
          <cell r="J80" t="e">
            <v>#DIV/0!</v>
          </cell>
          <cell r="K80" t="e">
            <v>#DIV/0!</v>
          </cell>
          <cell r="L80" t="e">
            <v>#DIV/0!</v>
          </cell>
        </row>
        <row r="81">
          <cell r="A81" t="str">
            <v>HSBC</v>
          </cell>
          <cell r="B81">
            <v>100</v>
          </cell>
          <cell r="C81">
            <v>101.07423626212754</v>
          </cell>
          <cell r="D81">
            <v>77.027331638344236</v>
          </cell>
          <cell r="E81">
            <v>86.580449216629219</v>
          </cell>
          <cell r="F81">
            <v>99.975156832455397</v>
          </cell>
          <cell r="G81">
            <v>85.177925794996369</v>
          </cell>
          <cell r="H81" t="e">
            <v>#VALUE!</v>
          </cell>
          <cell r="I81" t="e">
            <v>#VALUE!</v>
          </cell>
          <cell r="J81" t="e">
            <v>#VALUE!</v>
          </cell>
          <cell r="K81" t="e">
            <v>#VALUE!</v>
          </cell>
          <cell r="L81" t="e">
            <v>#VALUE!</v>
          </cell>
        </row>
        <row r="84">
          <cell r="A84" t="str">
            <v>Cash ROE</v>
          </cell>
          <cell r="B84">
            <v>1996</v>
          </cell>
          <cell r="C84">
            <v>1997</v>
          </cell>
          <cell r="D84">
            <v>1998</v>
          </cell>
          <cell r="E84">
            <v>1999</v>
          </cell>
          <cell r="F84">
            <v>2000</v>
          </cell>
          <cell r="G84">
            <v>2001</v>
          </cell>
          <cell r="H84">
            <v>2002</v>
          </cell>
          <cell r="I84">
            <v>2003</v>
          </cell>
          <cell r="J84">
            <v>2004</v>
          </cell>
          <cell r="K84" t="str">
            <v>2005E</v>
          </cell>
          <cell r="L84" t="str">
            <v>2006E</v>
          </cell>
        </row>
        <row r="85">
          <cell r="A85" t="str">
            <v>HSB</v>
          </cell>
          <cell r="B85">
            <v>1996</v>
          </cell>
          <cell r="C85">
            <v>1997</v>
          </cell>
          <cell r="D85">
            <v>1998</v>
          </cell>
          <cell r="E85">
            <v>1999</v>
          </cell>
          <cell r="F85">
            <v>2000</v>
          </cell>
          <cell r="G85">
            <v>2001</v>
          </cell>
          <cell r="H85">
            <v>2002</v>
          </cell>
          <cell r="I85">
            <v>2003</v>
          </cell>
          <cell r="J85">
            <v>2004</v>
          </cell>
          <cell r="K85">
            <v>2005</v>
          </cell>
          <cell r="L85">
            <v>2006</v>
          </cell>
        </row>
        <row r="86">
          <cell r="A86" t="str">
            <v>BEA</v>
          </cell>
          <cell r="B86">
            <v>16.827599881034995</v>
          </cell>
          <cell r="C86">
            <v>17.666037735849056</v>
          </cell>
          <cell r="D86">
            <v>14.511344340105158</v>
          </cell>
          <cell r="E86">
            <v>19.522914218566392</v>
          </cell>
          <cell r="F86">
            <v>23.421548104922174</v>
          </cell>
          <cell r="G86">
            <v>22.228815049226441</v>
          </cell>
          <cell r="H86">
            <v>22.383934111806848</v>
          </cell>
          <cell r="I86">
            <v>22.928910522204195</v>
          </cell>
          <cell r="J86">
            <v>29.54105306939444</v>
          </cell>
          <cell r="K86">
            <v>29.755752026654772</v>
          </cell>
          <cell r="L86">
            <v>30.215418693076717</v>
          </cell>
        </row>
        <row r="87">
          <cell r="A87" t="str">
            <v>BOCHK</v>
          </cell>
          <cell r="B87">
            <v>17.229296006964333</v>
          </cell>
          <cell r="C87">
            <v>16.689647600305662</v>
          </cell>
          <cell r="D87">
            <v>5.995223537495888</v>
          </cell>
          <cell r="E87">
            <v>10.20926243567753</v>
          </cell>
          <cell r="F87">
            <v>11.696137551411702</v>
          </cell>
          <cell r="G87">
            <v>9.546311141113268</v>
          </cell>
          <cell r="H87">
            <v>7.5808189655172411</v>
          </cell>
          <cell r="I87">
            <v>10.58141324985888</v>
          </cell>
          <cell r="J87">
            <v>12.284353839159667</v>
          </cell>
          <cell r="K87">
            <v>11.970542095171693</v>
          </cell>
          <cell r="L87">
            <v>13.356650150587779</v>
          </cell>
        </row>
        <row r="88">
          <cell r="A88" t="str">
            <v>DSF</v>
          </cell>
          <cell r="B88">
            <v>0</v>
          </cell>
          <cell r="C88">
            <v>0</v>
          </cell>
          <cell r="D88">
            <v>0</v>
          </cell>
          <cell r="E88">
            <v>10.099779365758883</v>
          </cell>
          <cell r="F88">
            <v>15.68584792777113</v>
          </cell>
          <cell r="G88">
            <v>7.305550423605796</v>
          </cell>
          <cell r="H88">
            <v>12.231580683890718</v>
          </cell>
          <cell r="I88">
            <v>13.588505315608948</v>
          </cell>
          <cell r="J88">
            <v>18.03813933146834</v>
          </cell>
          <cell r="K88">
            <v>17.779475996916855</v>
          </cell>
          <cell r="L88">
            <v>16.357239284753607</v>
          </cell>
        </row>
        <row r="89">
          <cell r="A89" t="str">
            <v>WHB</v>
          </cell>
          <cell r="B89">
            <v>19.545908658610813</v>
          </cell>
          <cell r="C89">
            <v>18.598393105842618</v>
          </cell>
          <cell r="D89">
            <v>7.1294954014754657</v>
          </cell>
          <cell r="E89">
            <v>15.325375433192145</v>
          </cell>
          <cell r="F89">
            <v>18.460159139302924</v>
          </cell>
          <cell r="G89">
            <v>16.928034371643395</v>
          </cell>
          <cell r="H89">
            <v>14.459210695156134</v>
          </cell>
          <cell r="I89">
            <v>15.526254236047352</v>
          </cell>
          <cell r="J89">
            <v>15.297308496712718</v>
          </cell>
          <cell r="K89">
            <v>11.752169041132356</v>
          </cell>
          <cell r="L89">
            <v>12.418454391565737</v>
          </cell>
        </row>
        <row r="90">
          <cell r="A90" t="str">
            <v>CIFH</v>
          </cell>
          <cell r="B90">
            <v>22.961429010646437</v>
          </cell>
          <cell r="C90">
            <v>22.702501577051173</v>
          </cell>
          <cell r="D90">
            <v>11.847722097254282</v>
          </cell>
          <cell r="E90">
            <v>14.754769630110312</v>
          </cell>
          <cell r="F90">
            <v>17.591690173967688</v>
          </cell>
          <cell r="G90">
            <v>13.596794304868595</v>
          </cell>
          <cell r="H90">
            <v>10.809875659331501</v>
          </cell>
          <cell r="I90">
            <v>13.456239030390137</v>
          </cell>
          <cell r="J90">
            <v>17.206078414691181</v>
          </cell>
          <cell r="K90">
            <v>17.169739179340617</v>
          </cell>
          <cell r="L90">
            <v>19.170915231737499</v>
          </cell>
        </row>
        <row r="91">
          <cell r="A91" t="str">
            <v>ICBCA</v>
          </cell>
          <cell r="B91">
            <v>22.951509773773555</v>
          </cell>
          <cell r="C91">
            <v>15.137277530053176</v>
          </cell>
          <cell r="D91">
            <v>2.0567393051976404</v>
          </cell>
          <cell r="E91">
            <v>2.0409444733233002</v>
          </cell>
          <cell r="F91">
            <v>9.4353340028094816</v>
          </cell>
          <cell r="G91">
            <v>10.304639865551549</v>
          </cell>
          <cell r="H91">
            <v>8.7795290845227942</v>
          </cell>
          <cell r="I91">
            <v>9.329260980426934</v>
          </cell>
          <cell r="J91">
            <v>11.70600330127367</v>
          </cell>
          <cell r="K91">
            <v>12.407235736320208</v>
          </cell>
          <cell r="L91">
            <v>7.934988124591424</v>
          </cell>
        </row>
        <row r="92">
          <cell r="A92" t="str">
            <v>WLB</v>
          </cell>
          <cell r="B92">
            <v>0</v>
          </cell>
          <cell r="C92">
            <v>14.164123055524055</v>
          </cell>
          <cell r="D92">
            <v>1.3666450206217946</v>
          </cell>
          <cell r="E92">
            <v>-22.494406424779882</v>
          </cell>
          <cell r="F92">
            <v>6.0577705016372327</v>
          </cell>
          <cell r="G92">
            <v>7.7299799312504165</v>
          </cell>
          <cell r="H92">
            <v>8.12895038104568</v>
          </cell>
          <cell r="I92">
            <v>8.1017625253482883</v>
          </cell>
          <cell r="J92">
            <v>10.516571899191931</v>
          </cell>
          <cell r="K92">
            <v>10.652430750031826</v>
          </cell>
          <cell r="L92">
            <v>11.295841064345799</v>
          </cell>
        </row>
        <row r="93">
          <cell r="A93" t="str">
            <v>HSBC</v>
          </cell>
          <cell r="B93">
            <v>20.852270000000001</v>
          </cell>
          <cell r="C93">
            <v>20.773160000000001</v>
          </cell>
          <cell r="D93">
            <v>15.849051999999999</v>
          </cell>
          <cell r="E93">
            <v>17.784100000000002</v>
          </cell>
          <cell r="F93">
            <v>16.917930000000002</v>
          </cell>
          <cell r="G93">
            <v>11.956673</v>
          </cell>
          <cell r="H93">
            <v>12.822607999999999</v>
          </cell>
          <cell r="I93">
            <v>13.900487999999999</v>
          </cell>
          <cell r="J93">
            <v>14.740088</v>
          </cell>
          <cell r="K93" t="e">
            <v>#VALUE!</v>
          </cell>
          <cell r="L93" t="e">
            <v>#VALUE!</v>
          </cell>
        </row>
        <row r="95">
          <cell r="A95" t="str">
            <v>Cash ROE (rebased)</v>
          </cell>
          <cell r="B95">
            <v>1996</v>
          </cell>
          <cell r="C95">
            <v>1997</v>
          </cell>
          <cell r="D95">
            <v>1998</v>
          </cell>
          <cell r="E95">
            <v>1999</v>
          </cell>
          <cell r="F95">
            <v>2000</v>
          </cell>
          <cell r="G95">
            <v>2001</v>
          </cell>
          <cell r="H95">
            <v>2002</v>
          </cell>
          <cell r="I95">
            <v>2003</v>
          </cell>
          <cell r="J95">
            <v>2004</v>
          </cell>
          <cell r="K95" t="str">
            <v>2005E</v>
          </cell>
          <cell r="L95" t="str">
            <v>2006E</v>
          </cell>
        </row>
        <row r="96">
          <cell r="A96" t="str">
            <v>HSB</v>
          </cell>
          <cell r="B96">
            <v>100</v>
          </cell>
          <cell r="C96">
            <v>100.05010020040079</v>
          </cell>
          <cell r="D96">
            <v>100.10020040080161</v>
          </cell>
          <cell r="E96">
            <v>100.1503006012024</v>
          </cell>
          <cell r="F96">
            <v>100.20040080160319</v>
          </cell>
          <cell r="G96">
            <v>100.25050100200401</v>
          </cell>
          <cell r="H96">
            <v>100.30060120240481</v>
          </cell>
          <cell r="I96">
            <v>100.35070140280563</v>
          </cell>
          <cell r="J96">
            <v>100.40080160320642</v>
          </cell>
          <cell r="K96">
            <v>100.45090180360721</v>
          </cell>
          <cell r="L96">
            <v>100.50100200400803</v>
          </cell>
        </row>
        <row r="97">
          <cell r="A97" t="str">
            <v>BEA</v>
          </cell>
          <cell r="B97">
            <v>100</v>
          </cell>
          <cell r="C97">
            <v>104.98251599004915</v>
          </cell>
          <cell r="D97">
            <v>86.235377847673348</v>
          </cell>
          <cell r="E97">
            <v>116.01722382625144</v>
          </cell>
          <cell r="F97">
            <v>139.18531620970305</v>
          </cell>
          <cell r="G97">
            <v>132.09735913841587</v>
          </cell>
          <cell r="H97">
            <v>133.01917249074802</v>
          </cell>
          <cell r="I97">
            <v>136.25775918314699</v>
          </cell>
          <cell r="J97">
            <v>175.55119730822534</v>
          </cell>
          <cell r="K97">
            <v>176.82707122237932</v>
          </cell>
          <cell r="L97">
            <v>179.55869468426113</v>
          </cell>
        </row>
        <row r="98">
          <cell r="A98" t="str">
            <v>BOCHK</v>
          </cell>
          <cell r="E98">
            <v>100</v>
          </cell>
          <cell r="F98">
            <v>114.56398172837739</v>
          </cell>
          <cell r="G98">
            <v>93.506374248471687</v>
          </cell>
          <cell r="H98">
            <v>74.254325552697438</v>
          </cell>
          <cell r="I98">
            <v>103.64522722896045</v>
          </cell>
          <cell r="J98">
            <v>120.32557607913449</v>
          </cell>
          <cell r="K98">
            <v>117.25178161097271</v>
          </cell>
          <cell r="L98">
            <v>130.82874727474251</v>
          </cell>
        </row>
        <row r="99">
          <cell r="A99" t="str">
            <v>DSF</v>
          </cell>
          <cell r="B99" t="e">
            <v>#DIV/0!</v>
          </cell>
          <cell r="C99" t="e">
            <v>#DIV/0!</v>
          </cell>
          <cell r="D99" t="e">
            <v>#DIV/0!</v>
          </cell>
          <cell r="E99" t="e">
            <v>#DIV/0!</v>
          </cell>
          <cell r="F99" t="e">
            <v>#DIV/0!</v>
          </cell>
          <cell r="G99" t="e">
            <v>#DIV/0!</v>
          </cell>
          <cell r="H99" t="e">
            <v>#DIV/0!</v>
          </cell>
          <cell r="I99" t="e">
            <v>#DIV/0!</v>
          </cell>
          <cell r="J99" t="e">
            <v>#DIV/0!</v>
          </cell>
          <cell r="K99" t="e">
            <v>#DIV/0!</v>
          </cell>
          <cell r="L99" t="e">
            <v>#DIV/0!</v>
          </cell>
        </row>
        <row r="100">
          <cell r="A100" t="str">
            <v>WHB</v>
          </cell>
          <cell r="B100">
            <v>100</v>
          </cell>
          <cell r="C100">
            <v>95.152358637720468</v>
          </cell>
          <cell r="D100">
            <v>36.475640636612802</v>
          </cell>
          <cell r="E100">
            <v>78.407075878975107</v>
          </cell>
          <cell r="F100">
            <v>94.445131519482629</v>
          </cell>
          <cell r="G100">
            <v>86.606535757987729</v>
          </cell>
          <cell r="H100">
            <v>73.975638317465638</v>
          </cell>
          <cell r="I100">
            <v>79.434804015659665</v>
          </cell>
          <cell r="J100">
            <v>78.263480935554227</v>
          </cell>
          <cell r="K100">
            <v>60.125979540761954</v>
          </cell>
          <cell r="L100">
            <v>63.534802134127823</v>
          </cell>
        </row>
        <row r="101">
          <cell r="A101" t="str">
            <v>CIFH</v>
          </cell>
          <cell r="B101">
            <v>100</v>
          </cell>
          <cell r="C101">
            <v>98.872337460028263</v>
          </cell>
          <cell r="D101">
            <v>51.598365640748646</v>
          </cell>
          <cell r="E101">
            <v>64.258934508253049</v>
          </cell>
          <cell r="F101">
            <v>76.614091247591858</v>
          </cell>
          <cell r="G101">
            <v>59.215801849981645</v>
          </cell>
          <cell r="H101">
            <v>47.078409859940898</v>
          </cell>
          <cell r="I101">
            <v>58.603665408415715</v>
          </cell>
          <cell r="J101">
            <v>74.934702046258977</v>
          </cell>
          <cell r="K101">
            <v>74.776439965385393</v>
          </cell>
          <cell r="L101">
            <v>83.491821100718923</v>
          </cell>
        </row>
        <row r="102">
          <cell r="A102" t="str">
            <v>ICBCA</v>
          </cell>
          <cell r="C102">
            <v>100</v>
          </cell>
          <cell r="D102">
            <v>13.587247119663632</v>
          </cell>
          <cell r="E102">
            <v>13.482903179064131</v>
          </cell>
          <cell r="F102">
            <v>62.331776530335816</v>
          </cell>
          <cell r="G102">
            <v>68.074591650268502</v>
          </cell>
          <cell r="H102">
            <v>57.99939300242157</v>
          </cell>
          <cell r="I102">
            <v>61.631036108737845</v>
          </cell>
          <cell r="J102">
            <v>77.332289627595586</v>
          </cell>
          <cell r="K102">
            <v>81.964776768393065</v>
          </cell>
          <cell r="L102">
            <v>52.42017997514742</v>
          </cell>
        </row>
        <row r="103">
          <cell r="A103" t="str">
            <v>WLB</v>
          </cell>
          <cell r="B103" t="e">
            <v>#DIV/0!</v>
          </cell>
          <cell r="C103" t="e">
            <v>#DIV/0!</v>
          </cell>
          <cell r="D103" t="e">
            <v>#DIV/0!</v>
          </cell>
          <cell r="E103" t="e">
            <v>#DIV/0!</v>
          </cell>
          <cell r="F103" t="e">
            <v>#DIV/0!</v>
          </cell>
          <cell r="G103" t="e">
            <v>#DIV/0!</v>
          </cell>
          <cell r="H103" t="e">
            <v>#DIV/0!</v>
          </cell>
          <cell r="I103" t="e">
            <v>#DIV/0!</v>
          </cell>
          <cell r="J103" t="e">
            <v>#DIV/0!</v>
          </cell>
          <cell r="K103" t="e">
            <v>#DIV/0!</v>
          </cell>
          <cell r="L103" t="e">
            <v>#DIV/0!</v>
          </cell>
        </row>
        <row r="104">
          <cell r="A104" t="str">
            <v>HSBC</v>
          </cell>
          <cell r="B104">
            <v>100</v>
          </cell>
          <cell r="C104">
            <v>99.620616844113371</v>
          </cell>
          <cell r="D104">
            <v>76.006362856418022</v>
          </cell>
          <cell r="E104">
            <v>85.286158293557492</v>
          </cell>
          <cell r="F104">
            <v>81.132317968259585</v>
          </cell>
          <cell r="G104">
            <v>57.339910714756712</v>
          </cell>
          <cell r="H104">
            <v>61.492624064430387</v>
          </cell>
          <cell r="I104">
            <v>66.661749536141627</v>
          </cell>
          <cell r="J104">
            <v>70.688169681286496</v>
          </cell>
          <cell r="K104" t="e">
            <v>#VALUE!</v>
          </cell>
          <cell r="L104" t="e">
            <v>#VALUE!</v>
          </cell>
        </row>
        <row r="106">
          <cell r="B106" t="str">
            <v>e=Morgan Stanley Estimates.  All other values are actual.</v>
          </cell>
        </row>
        <row r="108">
          <cell r="B108" t="str">
            <v>ND = Not Disclosed, NA = Not Available, and NM = Non Meaningful</v>
          </cell>
        </row>
        <row r="110">
          <cell r="B110" t="str">
            <v>Consensus EPS provided by Thomson Financial/First Call</v>
          </cell>
        </row>
        <row r="112">
          <cell r="B112" t="str">
            <v>Ratios for companies are based on the currency reported by the companies unless explicitly noted.</v>
          </cell>
        </row>
        <row r="114">
          <cell r="B114" t="str">
            <v xml:space="preserve">Although the information provided to you on this site is obtained or compiled from sources we believe to be reliable, </v>
          </cell>
        </row>
        <row r="115">
          <cell r="B115" t="str">
            <v xml:space="preserve">Morgan Stanley cannot and does not guarantee the accuracy, validity, timeliness or completeness of any information or </v>
          </cell>
        </row>
        <row r="116">
          <cell r="B116" t="str">
            <v>data made available to you for any particular purpose.</v>
          </cell>
        </row>
      </sheetData>
      <sheetData sheetId="46" refreshError="1">
        <row r="1">
          <cell r="A1" t="str">
            <v>(%)</v>
          </cell>
          <cell r="B1" t="str">
            <v>End 2004</v>
          </cell>
          <cell r="C1" t="str">
            <v>Current</v>
          </cell>
          <cell r="D1" t="str">
            <v>Change (bps)</v>
          </cell>
        </row>
        <row r="2">
          <cell r="A2" t="str">
            <v>Austrailia</v>
          </cell>
          <cell r="B2">
            <v>5.4</v>
          </cell>
          <cell r="C2">
            <v>5.5933000000000002</v>
          </cell>
          <cell r="D2">
            <v>19.329999999999981</v>
          </cell>
        </row>
        <row r="3">
          <cell r="A3" t="str">
            <v>Taiwan</v>
          </cell>
          <cell r="B3">
            <v>1.5</v>
          </cell>
          <cell r="C3">
            <v>1.8317000000000001</v>
          </cell>
          <cell r="D3">
            <v>33.170000000000009</v>
          </cell>
        </row>
        <row r="4">
          <cell r="A4" t="str">
            <v>Malaysia</v>
          </cell>
          <cell r="B4">
            <v>2.83</v>
          </cell>
          <cell r="C4">
            <v>3.47</v>
          </cell>
          <cell r="D4">
            <v>64.000000000000014</v>
          </cell>
        </row>
        <row r="5">
          <cell r="A5" t="str">
            <v>Korea</v>
          </cell>
          <cell r="B5">
            <v>3.4</v>
          </cell>
          <cell r="C5">
            <v>4.3600000000000003</v>
          </cell>
          <cell r="D5">
            <v>96.000000000000043</v>
          </cell>
        </row>
        <row r="6">
          <cell r="A6" t="str">
            <v>India</v>
          </cell>
          <cell r="B6">
            <v>5.6</v>
          </cell>
          <cell r="C6">
            <v>10.25</v>
          </cell>
          <cell r="D6">
            <v>465.00000000000006</v>
          </cell>
        </row>
        <row r="7">
          <cell r="A7" t="str">
            <v>Singapore</v>
          </cell>
          <cell r="B7">
            <v>1.5</v>
          </cell>
          <cell r="C7">
            <v>3.375</v>
          </cell>
          <cell r="D7">
            <v>187.5</v>
          </cell>
        </row>
        <row r="8">
          <cell r="A8" t="str">
            <v>Thailand</v>
          </cell>
          <cell r="B8">
            <v>2.4</v>
          </cell>
          <cell r="C8">
            <v>4.3499999999999996</v>
          </cell>
          <cell r="D8">
            <v>194.99999999999997</v>
          </cell>
        </row>
        <row r="9">
          <cell r="A9" t="str">
            <v>US</v>
          </cell>
          <cell r="B9">
            <v>2.2000000000000002</v>
          </cell>
          <cell r="C9">
            <v>4.4468800000000002</v>
          </cell>
          <cell r="D9">
            <v>224.68799999999999</v>
          </cell>
        </row>
        <row r="10">
          <cell r="A10" t="str">
            <v>Hong Kong</v>
          </cell>
          <cell r="B10">
            <v>0.3</v>
          </cell>
          <cell r="C10">
            <v>4.5057099999999997</v>
          </cell>
          <cell r="D10">
            <v>420.57099999999997</v>
          </cell>
        </row>
        <row r="11">
          <cell r="A11" t="str">
            <v>Indonesia</v>
          </cell>
          <cell r="B11">
            <v>7.6</v>
          </cell>
          <cell r="C11">
            <v>14.445</v>
          </cell>
          <cell r="D11">
            <v>684.50000000000011</v>
          </cell>
        </row>
      </sheetData>
      <sheetData sheetId="47" refreshError="1">
        <row r="1">
          <cell r="A1" t="str">
            <v xml:space="preserve"> </v>
          </cell>
        </row>
        <row r="2">
          <cell r="A2" t="str">
            <v>^Psetcal Fiveday</v>
          </cell>
        </row>
        <row r="4">
          <cell r="B4" t="str">
            <v>mkt U$ index</v>
          </cell>
          <cell r="C4" t="str">
            <v>mkt U$ index</v>
          </cell>
          <cell r="D4" t="str">
            <v>mkt U$ index</v>
          </cell>
          <cell r="E4" t="str">
            <v>mkt U$ index</v>
          </cell>
          <cell r="F4" t="str">
            <v>mkt U$ index</v>
          </cell>
          <cell r="G4" t="str">
            <v>mkt U$ index</v>
          </cell>
          <cell r="H4" t="str">
            <v>mkt U$ index</v>
          </cell>
          <cell r="I4" t="str">
            <v>mkt U$ index</v>
          </cell>
          <cell r="K4" t="str">
            <v>local price</v>
          </cell>
          <cell r="L4" t="str">
            <v>local price</v>
          </cell>
          <cell r="M4" t="str">
            <v>local price</v>
          </cell>
          <cell r="N4" t="str">
            <v>local price</v>
          </cell>
          <cell r="O4" t="str">
            <v>local price</v>
          </cell>
          <cell r="P4" t="str">
            <v>local price</v>
          </cell>
          <cell r="Q4" t="str">
            <v>local price</v>
          </cell>
          <cell r="S4" t="str">
            <v>US$Price</v>
          </cell>
          <cell r="T4" t="str">
            <v>US$Price</v>
          </cell>
          <cell r="U4" t="str">
            <v>US$Price</v>
          </cell>
          <cell r="V4" t="str">
            <v>US$Price</v>
          </cell>
          <cell r="X4" t="str">
            <v>U$ Price</v>
          </cell>
          <cell r="Y4" t="str">
            <v>U$ Price</v>
          </cell>
          <cell r="Z4" t="str">
            <v>U$ Price</v>
          </cell>
          <cell r="AA4" t="str">
            <v>U$ Price</v>
          </cell>
          <cell r="AB4" t="str">
            <v>U$ Price</v>
          </cell>
          <cell r="AC4" t="str">
            <v>U$ Price</v>
          </cell>
          <cell r="AD4" t="str">
            <v>U$ Price</v>
          </cell>
          <cell r="AE4" t="str">
            <v>U$ Price</v>
          </cell>
          <cell r="AF4" t="str">
            <v>U$ Price</v>
          </cell>
          <cell r="AG4" t="str">
            <v>U$ Price</v>
          </cell>
          <cell r="AH4" t="str">
            <v>U$ Price</v>
          </cell>
          <cell r="AI4" t="str">
            <v>U$ Price</v>
          </cell>
          <cell r="AJ4" t="str">
            <v>U$ Price</v>
          </cell>
          <cell r="AK4" t="str">
            <v>U$ Price</v>
          </cell>
          <cell r="AL4" t="str">
            <v>U$ Price</v>
          </cell>
          <cell r="AM4" t="str">
            <v>U$ Price</v>
          </cell>
          <cell r="AN4" t="str">
            <v>U$ Price</v>
          </cell>
          <cell r="AO4" t="str">
            <v>U$ Price</v>
          </cell>
          <cell r="AP4" t="str">
            <v>U$ Price</v>
          </cell>
          <cell r="AQ4" t="str">
            <v>U$ Price</v>
          </cell>
          <cell r="AR4" t="str">
            <v>U$ Price</v>
          </cell>
          <cell r="AS4" t="str">
            <v>U$ Price</v>
          </cell>
          <cell r="AT4" t="str">
            <v>U$ Price</v>
          </cell>
          <cell r="AU4" t="str">
            <v>U$ Price</v>
          </cell>
          <cell r="AV4" t="str">
            <v>U$ Price</v>
          </cell>
          <cell r="AW4" t="str">
            <v>U$ Price</v>
          </cell>
          <cell r="AX4" t="str">
            <v>U$ Price</v>
          </cell>
          <cell r="AY4" t="str">
            <v>U$ Price</v>
          </cell>
          <cell r="AZ4" t="str">
            <v>U$ Price</v>
          </cell>
          <cell r="BA4" t="str">
            <v>U$ Price</v>
          </cell>
          <cell r="BB4" t="str">
            <v>U$ Price</v>
          </cell>
          <cell r="BC4" t="str">
            <v>U$ Price</v>
          </cell>
          <cell r="BD4" t="str">
            <v>U$ Price</v>
          </cell>
          <cell r="BE4" t="str">
            <v>U$ Price</v>
          </cell>
          <cell r="BF4" t="str">
            <v>U$ Price</v>
          </cell>
          <cell r="BH4" t="str">
            <v>Local Price</v>
          </cell>
          <cell r="BI4" t="str">
            <v>Local Price</v>
          </cell>
          <cell r="BJ4" t="str">
            <v>Local Price</v>
          </cell>
          <cell r="BK4" t="str">
            <v>Local Price</v>
          </cell>
          <cell r="BL4" t="str">
            <v>Local Price</v>
          </cell>
          <cell r="BM4" t="str">
            <v>Local Price</v>
          </cell>
          <cell r="BN4" t="str">
            <v>Local Price</v>
          </cell>
          <cell r="BO4" t="str">
            <v>Local Price</v>
          </cell>
          <cell r="BP4" t="str">
            <v>Local Price</v>
          </cell>
          <cell r="BQ4" t="str">
            <v>Local Price</v>
          </cell>
          <cell r="BR4" t="str">
            <v>US$ price</v>
          </cell>
          <cell r="BS4" t="str">
            <v>US$ price</v>
          </cell>
          <cell r="BT4" t="str">
            <v>US$ price</v>
          </cell>
          <cell r="BU4" t="str">
            <v>US$ price</v>
          </cell>
          <cell r="BW4" t="str">
            <v>U$ Price</v>
          </cell>
          <cell r="BX4" t="str">
            <v>U$ Price</v>
          </cell>
          <cell r="BY4" t="str">
            <v>Local price</v>
          </cell>
          <cell r="BZ4" t="str">
            <v>Local price</v>
          </cell>
          <cell r="CA4" t="str">
            <v>Local price</v>
          </cell>
          <cell r="CB4" t="str">
            <v>Local price</v>
          </cell>
          <cell r="CC4" t="str">
            <v>Local price</v>
          </cell>
          <cell r="CD4" t="str">
            <v>Local price</v>
          </cell>
          <cell r="CE4" t="str">
            <v>Local price</v>
          </cell>
          <cell r="CF4" t="str">
            <v>Local price</v>
          </cell>
          <cell r="CG4" t="str">
            <v>Local price</v>
          </cell>
          <cell r="CH4" t="str">
            <v>Local price</v>
          </cell>
          <cell r="CI4" t="str">
            <v>Local price</v>
          </cell>
          <cell r="CJ4" t="str">
            <v>Local price</v>
          </cell>
          <cell r="CK4" t="str">
            <v>Local price</v>
          </cell>
          <cell r="CL4" t="str">
            <v>Local price</v>
          </cell>
          <cell r="CM4" t="str">
            <v>Local price</v>
          </cell>
          <cell r="CN4" t="str">
            <v>Local price</v>
          </cell>
          <cell r="CO4" t="str">
            <v>Local price</v>
          </cell>
          <cell r="CP4" t="str">
            <v>Local price</v>
          </cell>
          <cell r="CQ4" t="str">
            <v>Local price</v>
          </cell>
          <cell r="CR4" t="str">
            <v>Local price</v>
          </cell>
          <cell r="CS4" t="str">
            <v>Local price</v>
          </cell>
          <cell r="CT4" t="str">
            <v>Local price</v>
          </cell>
          <cell r="CU4" t="str">
            <v>Local price</v>
          </cell>
          <cell r="CV4" t="str">
            <v>Local price</v>
          </cell>
          <cell r="CW4" t="str">
            <v>Local price</v>
          </cell>
          <cell r="CX4" t="str">
            <v>Local price</v>
          </cell>
          <cell r="CY4" t="str">
            <v>Local price</v>
          </cell>
          <cell r="CZ4" t="str">
            <v>Local price</v>
          </cell>
          <cell r="DA4" t="str">
            <v>Local price</v>
          </cell>
        </row>
        <row r="5">
          <cell r="B5" t="str">
            <v>934400^</v>
          </cell>
          <cell r="C5" t="str">
            <v>899903^</v>
          </cell>
          <cell r="D5" t="str">
            <v>982600^</v>
          </cell>
          <cell r="E5" t="str">
            <v>984000^</v>
          </cell>
          <cell r="F5" t="str">
            <v>892400^</v>
          </cell>
          <cell r="G5" t="str">
            <v>891800^</v>
          </cell>
          <cell r="H5" t="str">
            <v>106872^</v>
          </cell>
          <cell r="I5" t="str">
            <v>106853^</v>
          </cell>
          <cell r="K5" t="str">
            <v>SPX^</v>
          </cell>
          <cell r="L5" t="str">
            <v>COF</v>
          </cell>
          <cell r="M5" t="str">
            <v>KRB</v>
          </cell>
          <cell r="N5" t="str">
            <v>AXP</v>
          </cell>
          <cell r="O5" t="str">
            <v>HI</v>
          </cell>
          <cell r="P5" t="str">
            <v>180267</v>
          </cell>
          <cell r="Q5" t="str">
            <v>SP645</v>
          </cell>
          <cell r="S5" t="str">
            <v>115683^</v>
          </cell>
          <cell r="T5" t="str">
            <v>107948^</v>
          </cell>
          <cell r="U5" t="str">
            <v>115499^</v>
          </cell>
          <cell r="V5" t="str">
            <v>118995^</v>
          </cell>
          <cell r="X5" t="str">
            <v>108500^</v>
          </cell>
          <cell r="Y5" t="str">
            <v>892200^</v>
          </cell>
          <cell r="Z5" t="str">
            <v>113843^</v>
          </cell>
          <cell r="AA5" t="str">
            <v>116327^</v>
          </cell>
          <cell r="AB5" t="str">
            <v>115683^</v>
          </cell>
          <cell r="AC5" t="str">
            <v>122421^</v>
          </cell>
          <cell r="AD5" t="str">
            <v>116695^</v>
          </cell>
          <cell r="AE5" t="str">
            <v>117247^</v>
          </cell>
          <cell r="AF5" t="str">
            <v>117615^</v>
          </cell>
          <cell r="AG5" t="str">
            <v>117799^</v>
          </cell>
          <cell r="AH5" t="str">
            <v>118443^</v>
          </cell>
          <cell r="AI5" t="str">
            <v>118903^</v>
          </cell>
          <cell r="AJ5" t="str">
            <v>118627^</v>
          </cell>
          <cell r="AK5" t="str">
            <v>903600^</v>
          </cell>
          <cell r="AL5" t="str">
            <v>302400^</v>
          </cell>
          <cell r="AM5" t="str">
            <v>934400^</v>
          </cell>
          <cell r="AN5" t="str">
            <v>935600^</v>
          </cell>
          <cell r="AO5" t="str">
            <v>105767^</v>
          </cell>
          <cell r="AP5" t="str">
            <v>941000^</v>
          </cell>
          <cell r="AQ5" t="str">
            <v>105768^</v>
          </cell>
          <cell r="AR5" t="str">
            <v>955400^</v>
          </cell>
          <cell r="AS5" t="str">
            <v>958600^</v>
          </cell>
          <cell r="AT5" t="str">
            <v>860800^</v>
          </cell>
          <cell r="AU5" t="str">
            <v>870200^</v>
          </cell>
          <cell r="AV5" t="str">
            <v>914400^</v>
          </cell>
          <cell r="AW5" t="str">
            <v>915800^</v>
          </cell>
          <cell r="AX5" t="str">
            <v>105769^</v>
          </cell>
          <cell r="AY5" t="str">
            <v>106770</v>
          </cell>
          <cell r="AZ5" t="str">
            <v>892400</v>
          </cell>
          <cell r="BA5" t="str">
            <v>990100</v>
          </cell>
          <cell r="BB5" t="str">
            <v>106821</v>
          </cell>
          <cell r="BC5" t="str">
            <v>115758^</v>
          </cell>
          <cell r="BD5" t="str">
            <v>115750^</v>
          </cell>
          <cell r="BE5" t="str">
            <v>115766^</v>
          </cell>
          <cell r="BF5" t="str">
            <v>115702^</v>
          </cell>
          <cell r="BH5" t="str">
            <v>939200^</v>
          </cell>
          <cell r="BI5" t="str">
            <v>108133^</v>
          </cell>
          <cell r="BJ5" t="str">
            <v>107949^</v>
          </cell>
          <cell r="BK5" t="str">
            <v>116604^</v>
          </cell>
          <cell r="BL5" t="str">
            <v>118996^</v>
          </cell>
          <cell r="BM5" t="str">
            <v>115500^</v>
          </cell>
          <cell r="BN5" t="str">
            <v>934400^</v>
          </cell>
          <cell r="BO5" t="str">
            <v>115683^</v>
          </cell>
          <cell r="BP5" t="str">
            <v>998100^</v>
          </cell>
          <cell r="BQ5" t="str">
            <v>118535^</v>
          </cell>
          <cell r="BR5" t="str">
            <v>934400^</v>
          </cell>
          <cell r="BS5" t="str">
            <v>115683^</v>
          </cell>
          <cell r="BT5" t="str">
            <v>998100^</v>
          </cell>
          <cell r="BU5" t="str">
            <v>118535^</v>
          </cell>
          <cell r="BW5" t="str">
            <v>108500^</v>
          </cell>
          <cell r="BX5" t="str">
            <v>892200^</v>
          </cell>
          <cell r="BY5" t="str">
            <v>113843^</v>
          </cell>
          <cell r="BZ5" t="str">
            <v>116327^</v>
          </cell>
          <cell r="CA5" t="str">
            <v>115683^</v>
          </cell>
          <cell r="CB5" t="str">
            <v>122421^</v>
          </cell>
          <cell r="CC5" t="str">
            <v>116695^</v>
          </cell>
          <cell r="CD5" t="str">
            <v>117247^</v>
          </cell>
          <cell r="CE5" t="str">
            <v>117615^</v>
          </cell>
          <cell r="CF5" t="str">
            <v>117799^</v>
          </cell>
          <cell r="CG5" t="str">
            <v>118443^</v>
          </cell>
          <cell r="CH5" t="str">
            <v>118903^</v>
          </cell>
          <cell r="CI5" t="str">
            <v>118627^</v>
          </cell>
          <cell r="CJ5" t="str">
            <v>903600^</v>
          </cell>
          <cell r="CK5" t="str">
            <v>302400^</v>
          </cell>
          <cell r="CL5" t="str">
            <v>934400^</v>
          </cell>
          <cell r="CM5" t="str">
            <v>935600^</v>
          </cell>
          <cell r="CN5" t="str">
            <v>105767^</v>
          </cell>
          <cell r="CO5" t="str">
            <v>941000^</v>
          </cell>
          <cell r="CP5" t="str">
            <v>105768^</v>
          </cell>
          <cell r="CQ5" t="str">
            <v>955400^</v>
          </cell>
          <cell r="CR5" t="str">
            <v>958600^</v>
          </cell>
          <cell r="CS5" t="str">
            <v>860800^</v>
          </cell>
          <cell r="CT5" t="str">
            <v>870200^</v>
          </cell>
          <cell r="CU5" t="str">
            <v>914400^</v>
          </cell>
          <cell r="CV5" t="str">
            <v>915800^</v>
          </cell>
          <cell r="CW5" t="str">
            <v>105769^</v>
          </cell>
          <cell r="CX5" t="str">
            <v>106770</v>
          </cell>
          <cell r="CY5" t="str">
            <v>892400</v>
          </cell>
          <cell r="CZ5" t="str">
            <v>990100</v>
          </cell>
          <cell r="DA5" t="str">
            <v>106821</v>
          </cell>
        </row>
        <row r="6">
          <cell r="A6" t="str">
            <v>Date</v>
          </cell>
          <cell r="B6" t="str">
            <v>MSCI Hong Kong</v>
          </cell>
          <cell r="C6" t="str">
            <v>MSCI AC Asia Pacific ex JP</v>
          </cell>
          <cell r="D6" t="str">
            <v>MSCI United Kingdom</v>
          </cell>
          <cell r="E6" t="str">
            <v>MSCI USA</v>
          </cell>
          <cell r="F6" t="str">
            <v>MSCI AC World</v>
          </cell>
          <cell r="G6" t="str">
            <v>MSCI EM (Emerging Markets)</v>
          </cell>
          <cell r="H6" t="str">
            <v>MSCI EM / Banks -IG</v>
          </cell>
          <cell r="I6" t="str">
            <v>MSCI EM / Financials -SEC</v>
          </cell>
          <cell r="K6" t="str">
            <v>S&amp;P 500 INDEX (OPERATING BASIS)</v>
          </cell>
          <cell r="L6" t="str">
            <v>CAPITAL ONE FINL CORP COM</v>
          </cell>
          <cell r="M6" t="str">
            <v>MBNA CORP COM</v>
          </cell>
          <cell r="N6" t="str">
            <v>AMERICAN EXPRESS CO COM</v>
          </cell>
          <cell r="O6" t="str">
            <v>HOUSEHOLD INTL INC COM</v>
          </cell>
          <cell r="P6" t="str">
            <v>STANDARD &amp; POOR'S</v>
          </cell>
          <cell r="Q6" t="str">
            <v>S&amp;P 500 CONSUMER FINANCE SUBINDUSTRY</v>
          </cell>
          <cell r="S6" t="str">
            <v>MSCI Hong Kong / Banks -IG</v>
          </cell>
          <cell r="T6" t="str">
            <v>MSCI AC Asia Pacific ex JP / Banks -IG</v>
          </cell>
          <cell r="U6" t="str">
            <v>MSCI United Kingdom / Banks -IG</v>
          </cell>
          <cell r="V6" t="str">
            <v>MSCI USA / Banks -IG</v>
          </cell>
          <cell r="X6" t="str">
            <v>MSCI AC Far East ex JP / Banks -IG</v>
          </cell>
          <cell r="Y6" t="str">
            <v>MSCI AC Far East ex JP</v>
          </cell>
          <cell r="Z6" t="str">
            <v>MSCI Australia / Banks -IG</v>
          </cell>
          <cell r="AA6" t="str">
            <v>MSCI India / Banks -IG</v>
          </cell>
          <cell r="AB6" t="str">
            <v>MSCI Hong Kong / Banks -IG</v>
          </cell>
          <cell r="AC6" t="str">
            <v>MSCI Indonesia / Banks -IG</v>
          </cell>
          <cell r="AD6" t="str">
            <v>MSCI Korea / Banks -IG</v>
          </cell>
          <cell r="AE6" t="str">
            <v>MSCI Malaysia / Banks -IG</v>
          </cell>
          <cell r="AF6" t="str">
            <v>MSCI New Zealand / Banks -IG</v>
          </cell>
          <cell r="AG6" t="str">
            <v>MSCI Philippines / Banks -IG</v>
          </cell>
          <cell r="AH6" t="str">
            <v>MSCI Singapore Free / Banks -IG</v>
          </cell>
          <cell r="AI6" t="str">
            <v>MSCI Taiwan / Banks -IG</v>
          </cell>
          <cell r="AJ6" t="str">
            <v>MSCI Thailand / Banks -IG</v>
          </cell>
          <cell r="AK6" t="str">
            <v>MSCI Australia</v>
          </cell>
          <cell r="AL6" t="str">
            <v>MSCI China</v>
          </cell>
          <cell r="AM6" t="str">
            <v>MSCI Hong Kong</v>
          </cell>
          <cell r="AN6" t="str">
            <v>MSCI India</v>
          </cell>
          <cell r="AO6" t="str">
            <v>MSCI Indonesia</v>
          </cell>
          <cell r="AP6" t="str">
            <v>MSCI Korea</v>
          </cell>
          <cell r="AQ6" t="str">
            <v>MSCI Malaysia</v>
          </cell>
          <cell r="AR6" t="str">
            <v>MSCI New Zealand</v>
          </cell>
          <cell r="AS6" t="str">
            <v>MSCI Pakistan</v>
          </cell>
          <cell r="AT6" t="str">
            <v>MSCI Philippines</v>
          </cell>
          <cell r="AU6" t="str">
            <v>MSCI Singapore Free</v>
          </cell>
          <cell r="AV6" t="str">
            <v>MSCI Sri Lanka</v>
          </cell>
          <cell r="AW6" t="str">
            <v>MSCI Taiwan</v>
          </cell>
          <cell r="AX6" t="str">
            <v>MSCI Thailand</v>
          </cell>
          <cell r="AY6" t="str">
            <v>MSCI AC World / Banks -IG</v>
          </cell>
          <cell r="AZ6" t="str">
            <v>MSCI AC World</v>
          </cell>
          <cell r="BA6" t="str">
            <v>MSCI The World Index</v>
          </cell>
          <cell r="BB6" t="str">
            <v>MSCI The World Index / Banks -IG</v>
          </cell>
          <cell r="BC6" t="str">
            <v>MSCI Hong Kong / Telecommunications Services -SEC</v>
          </cell>
          <cell r="BD6" t="str">
            <v>MSCI Hong Kong / Real Estate -IND</v>
          </cell>
          <cell r="BE6" t="str">
            <v>MSCI Hong Kong / Utilities -IG</v>
          </cell>
          <cell r="BF6" t="str">
            <v>MSCI Hong Kong / Diversified Financial Services -IND</v>
          </cell>
          <cell r="BH6" t="str">
            <v>MSCI Japan</v>
          </cell>
          <cell r="BI6" t="str">
            <v>MSCI AC Europe / Commercial Banks -IND</v>
          </cell>
          <cell r="BJ6" t="str">
            <v>MSCI AC Asia Pacific ex JP / Commercial Banks -IND</v>
          </cell>
          <cell r="BK6" t="str">
            <v>MSCI Japan / Commercial Banks -IND</v>
          </cell>
          <cell r="BL6" t="str">
            <v>MSCI USA / Commercial Banks -IND</v>
          </cell>
          <cell r="BM6" t="str">
            <v>MSCI United Kingdom / Commercial Banks -IND</v>
          </cell>
          <cell r="BN6" t="str">
            <v>MSCI Hong Kong</v>
          </cell>
          <cell r="BO6" t="str">
            <v>MSCI Hong Kong / Banks -IG</v>
          </cell>
          <cell r="BP6" t="str">
            <v>MSCI Singapore</v>
          </cell>
          <cell r="BQ6" t="str">
            <v>MSCI Singapore / Banks -IG</v>
          </cell>
          <cell r="BR6" t="str">
            <v>MSCI Hong Kong</v>
          </cell>
          <cell r="BS6" t="str">
            <v>MSCI Hong Kong / Banks -IG</v>
          </cell>
          <cell r="BT6" t="str">
            <v>MSCI Singapore</v>
          </cell>
          <cell r="BU6" t="str">
            <v>MSCI Singapore / Banks -IG</v>
          </cell>
          <cell r="BW6" t="str">
            <v>MSCI AC Far East ex JP / Banks -IG</v>
          </cell>
          <cell r="BX6" t="str">
            <v>MSCI AC Far East ex JP</v>
          </cell>
          <cell r="BY6" t="str">
            <v>MSCI Australia / Banks -IG</v>
          </cell>
          <cell r="BZ6" t="str">
            <v>MSCI India / Banks -IG</v>
          </cell>
          <cell r="CA6" t="str">
            <v>MSCI Hong Kong / Banks -IG</v>
          </cell>
          <cell r="CB6" t="str">
            <v>MSCI Indonesia / Banks -IG</v>
          </cell>
          <cell r="CC6" t="str">
            <v>MSCI Korea / Banks -IG</v>
          </cell>
          <cell r="CD6" t="str">
            <v>MSCI Malaysia / Banks -IG</v>
          </cell>
          <cell r="CE6" t="str">
            <v>MSCI New Zealand / Banks -IG</v>
          </cell>
          <cell r="CF6" t="str">
            <v>MSCI Philippines / Banks -IG</v>
          </cell>
          <cell r="CG6" t="str">
            <v>MSCI Singapore Free / Banks -IG</v>
          </cell>
          <cell r="CH6" t="str">
            <v>MSCI Taiwan / Banks -IG</v>
          </cell>
          <cell r="CI6" t="str">
            <v>MSCI Thailand / Banks -IG</v>
          </cell>
          <cell r="CJ6" t="str">
            <v>MSCI Australia</v>
          </cell>
          <cell r="CK6" t="str">
            <v>MSCI China</v>
          </cell>
          <cell r="CL6" t="str">
            <v>MSCI Hong Kong</v>
          </cell>
          <cell r="CM6" t="str">
            <v>MSCI India</v>
          </cell>
          <cell r="CN6" t="str">
            <v>MSCI Indonesia</v>
          </cell>
          <cell r="CO6" t="str">
            <v>MSCI Korea</v>
          </cell>
          <cell r="CP6" t="str">
            <v>MSCI Malaysia</v>
          </cell>
          <cell r="CQ6" t="str">
            <v>MSCI New Zealand</v>
          </cell>
          <cell r="CR6" t="str">
            <v>MSCI Pakistan</v>
          </cell>
          <cell r="CS6" t="str">
            <v>MSCI Philippines</v>
          </cell>
          <cell r="CT6" t="str">
            <v>MSCI Singapore Free</v>
          </cell>
          <cell r="CU6" t="str">
            <v>MSCI Sri Lanka</v>
          </cell>
          <cell r="CV6" t="str">
            <v>MSCI Taiwan</v>
          </cell>
          <cell r="CW6" t="str">
            <v>MSCI Thailand</v>
          </cell>
          <cell r="CX6" t="str">
            <v>MSCI AC World / Banks -IG</v>
          </cell>
          <cell r="CY6" t="str">
            <v>MSCI AC World</v>
          </cell>
          <cell r="CZ6" t="str">
            <v>MSCI The World Index</v>
          </cell>
          <cell r="DA6" t="str">
            <v>MSCI The World Index / Banks -IG</v>
          </cell>
        </row>
        <row r="7">
          <cell r="A7" t="str">
            <v>12/89</v>
          </cell>
          <cell r="B7">
            <v>1492</v>
          </cell>
          <cell r="C7">
            <v>146.36000000000001</v>
          </cell>
          <cell r="D7">
            <v>484.6232</v>
          </cell>
          <cell r="E7">
            <v>325.02660000000003</v>
          </cell>
          <cell r="F7">
            <v>139.5694</v>
          </cell>
          <cell r="G7">
            <v>214.69900000000001</v>
          </cell>
          <cell r="H7" t="e">
            <v>#N/A</v>
          </cell>
          <cell r="I7" t="e">
            <v>#N/A</v>
          </cell>
          <cell r="K7" t="e">
            <v>#N/A</v>
          </cell>
          <cell r="L7" t="e">
            <v>#N/A</v>
          </cell>
          <cell r="M7" t="e">
            <v>#N/A</v>
          </cell>
          <cell r="N7">
            <v>11.625</v>
          </cell>
          <cell r="O7">
            <v>8.6458329999999997</v>
          </cell>
          <cell r="P7" t="e">
            <v>#N/A</v>
          </cell>
          <cell r="Q7" t="e">
            <v>#N/A</v>
          </cell>
          <cell r="S7" t="e">
            <v>#N/A</v>
          </cell>
          <cell r="T7" t="e">
            <v>#N/A</v>
          </cell>
          <cell r="U7" t="e">
            <v>#N/A</v>
          </cell>
          <cell r="V7" t="e">
            <v>#N/A</v>
          </cell>
          <cell r="X7" t="e">
            <v>#N/A</v>
          </cell>
          <cell r="Y7">
            <v>161.08600000000001</v>
          </cell>
          <cell r="Z7" t="e">
            <v>#N/A</v>
          </cell>
          <cell r="AA7" t="e">
            <v>#N/A</v>
          </cell>
          <cell r="AB7" t="e">
            <v>#N/A</v>
          </cell>
          <cell r="AC7" t="e">
            <v>#N/A</v>
          </cell>
          <cell r="AD7" t="e">
            <v>#N/A</v>
          </cell>
          <cell r="AE7" t="e">
            <v>#N/A</v>
          </cell>
          <cell r="AF7" t="e">
            <v>#N/A</v>
          </cell>
          <cell r="AG7" t="e">
            <v>#N/A</v>
          </cell>
          <cell r="AH7" t="e">
            <v>#N/A</v>
          </cell>
          <cell r="AI7" t="e">
            <v>#N/A</v>
          </cell>
          <cell r="AJ7" t="e">
            <v>#N/A</v>
          </cell>
          <cell r="AK7">
            <v>233.61060000000001</v>
          </cell>
          <cell r="AL7" t="e">
            <v>#N/A</v>
          </cell>
          <cell r="AM7">
            <v>1492</v>
          </cell>
          <cell r="AN7" t="e">
            <v>#N/A</v>
          </cell>
          <cell r="AO7">
            <v>580.44799999999998</v>
          </cell>
          <cell r="AP7">
            <v>194.83500000000001</v>
          </cell>
          <cell r="AQ7">
            <v>189.02030000000002</v>
          </cell>
          <cell r="AR7">
            <v>88.793599999999998</v>
          </cell>
          <cell r="AS7" t="e">
            <v>#N/A</v>
          </cell>
          <cell r="AT7">
            <v>228.15899999999999</v>
          </cell>
          <cell r="AU7">
            <v>189.59910000000002</v>
          </cell>
          <cell r="AV7" t="e">
            <v>#N/A</v>
          </cell>
          <cell r="AW7">
            <v>398.72700000000003</v>
          </cell>
          <cell r="AX7">
            <v>291.73399999999998</v>
          </cell>
          <cell r="AY7" t="e">
            <v>#N/A</v>
          </cell>
          <cell r="AZ7">
            <v>139.5694</v>
          </cell>
          <cell r="BA7">
            <v>567.33810000000005</v>
          </cell>
          <cell r="BB7" t="e">
            <v>#N/A</v>
          </cell>
          <cell r="BC7" t="e">
            <v>#N/A</v>
          </cell>
          <cell r="BD7" t="e">
            <v>#N/A</v>
          </cell>
          <cell r="BE7" t="e">
            <v>#N/A</v>
          </cell>
          <cell r="BF7" t="e">
            <v>#N/A</v>
          </cell>
          <cell r="BH7">
            <v>1655.25</v>
          </cell>
          <cell r="BI7" t="e">
            <v>#N/A</v>
          </cell>
          <cell r="BJ7" t="e">
            <v>#N/A</v>
          </cell>
          <cell r="BK7" t="e">
            <v>#N/A</v>
          </cell>
          <cell r="BL7" t="e">
            <v>#N/A</v>
          </cell>
          <cell r="BM7" t="e">
            <v>#N/A</v>
          </cell>
          <cell r="BN7">
            <v>2096.8809999999999</v>
          </cell>
          <cell r="BO7" t="str">
            <v>12/89</v>
          </cell>
          <cell r="BP7" t="str">
            <v>12/89</v>
          </cell>
          <cell r="BQ7" t="str">
            <v>12/89</v>
          </cell>
          <cell r="BR7" t="str">
            <v>12/89</v>
          </cell>
          <cell r="BS7" t="str">
            <v>12/89</v>
          </cell>
          <cell r="BT7" t="str">
            <v>12/89</v>
          </cell>
          <cell r="BU7" t="str">
            <v>12/89</v>
          </cell>
          <cell r="BV7" t="str">
            <v>12/89</v>
          </cell>
          <cell r="BW7" t="e">
            <v>#N/A</v>
          </cell>
          <cell r="BX7">
            <v>162.892</v>
          </cell>
          <cell r="BY7" t="e">
            <v>#N/A</v>
          </cell>
          <cell r="BZ7" t="e">
            <v>#N/A</v>
          </cell>
          <cell r="CA7" t="e">
            <v>#N/A</v>
          </cell>
          <cell r="CB7" t="e">
            <v>#N/A</v>
          </cell>
          <cell r="CC7" t="e">
            <v>#N/A</v>
          </cell>
          <cell r="CD7" t="e">
            <v>#N/A</v>
          </cell>
          <cell r="CE7" t="e">
            <v>#N/A</v>
          </cell>
          <cell r="CF7" t="e">
            <v>#N/A</v>
          </cell>
          <cell r="CG7" t="e">
            <v>#N/A</v>
          </cell>
          <cell r="CH7" t="e">
            <v>#N/A</v>
          </cell>
          <cell r="CI7" t="e">
            <v>#N/A</v>
          </cell>
          <cell r="CJ7">
            <v>331.18329999999997</v>
          </cell>
          <cell r="CK7" t="e">
            <v>#N/A</v>
          </cell>
          <cell r="CL7">
            <v>2096.8809999999999</v>
          </cell>
          <cell r="CM7" t="e">
            <v>#N/A</v>
          </cell>
          <cell r="CN7">
            <v>627.59299999999996</v>
          </cell>
          <cell r="CO7">
            <v>166.899</v>
          </cell>
          <cell r="CP7">
            <v>204.76740000000001</v>
          </cell>
          <cell r="CQ7">
            <v>98.269900000000007</v>
          </cell>
          <cell r="CR7" t="e">
            <v>#N/A</v>
          </cell>
          <cell r="CS7">
            <v>238.79900000000001</v>
          </cell>
          <cell r="CT7">
            <v>180.57013000000001</v>
          </cell>
          <cell r="CU7" t="e">
            <v>#N/A</v>
          </cell>
          <cell r="CV7">
            <v>364.65100000000001</v>
          </cell>
          <cell r="CW7">
            <v>298.98099999999999</v>
          </cell>
          <cell r="CX7" t="e">
            <v>#N/A</v>
          </cell>
          <cell r="CY7">
            <v>154.37182999999999</v>
          </cell>
          <cell r="CZ7">
            <v>464.90859999999998</v>
          </cell>
          <cell r="DA7" t="e">
            <v>#N/A</v>
          </cell>
        </row>
        <row r="8">
          <cell r="A8" t="str">
            <v>12/90</v>
          </cell>
          <cell r="B8">
            <v>1546.934</v>
          </cell>
          <cell r="C8">
            <v>123.245</v>
          </cell>
          <cell r="D8">
            <v>513.63390000000004</v>
          </cell>
          <cell r="E8">
            <v>306.85000000000002</v>
          </cell>
          <cell r="F8">
            <v>113.56446000000001</v>
          </cell>
          <cell r="G8">
            <v>185.16200000000001</v>
          </cell>
          <cell r="H8" t="e">
            <v>#N/A</v>
          </cell>
          <cell r="I8" t="e">
            <v>#N/A</v>
          </cell>
          <cell r="K8" t="e">
            <v>#N/A</v>
          </cell>
          <cell r="L8" t="e">
            <v>#N/A</v>
          </cell>
          <cell r="M8" t="e">
            <v>#N/A</v>
          </cell>
          <cell r="N8">
            <v>6.875</v>
          </cell>
          <cell r="O8">
            <v>5.4791669999999995</v>
          </cell>
          <cell r="P8" t="e">
            <v>#N/A</v>
          </cell>
          <cell r="Q8" t="e">
            <v>#N/A</v>
          </cell>
          <cell r="S8" t="e">
            <v>#N/A</v>
          </cell>
          <cell r="T8" t="e">
            <v>#N/A</v>
          </cell>
          <cell r="U8" t="e">
            <v>#N/A</v>
          </cell>
          <cell r="V8" t="e">
            <v>#N/A</v>
          </cell>
          <cell r="X8" t="e">
            <v>#N/A</v>
          </cell>
          <cell r="Y8">
            <v>145.50300000000001</v>
          </cell>
          <cell r="Z8" t="e">
            <v>#N/A</v>
          </cell>
          <cell r="AA8" t="e">
            <v>#N/A</v>
          </cell>
          <cell r="AB8" t="e">
            <v>#N/A</v>
          </cell>
          <cell r="AC8" t="e">
            <v>#N/A</v>
          </cell>
          <cell r="AD8" t="e">
            <v>#N/A</v>
          </cell>
          <cell r="AE8" t="e">
            <v>#N/A</v>
          </cell>
          <cell r="AF8" t="e">
            <v>#N/A</v>
          </cell>
          <cell r="AG8" t="e">
            <v>#N/A</v>
          </cell>
          <cell r="AH8" t="e">
            <v>#N/A</v>
          </cell>
          <cell r="AI8" t="e">
            <v>#N/A</v>
          </cell>
          <cell r="AJ8" t="e">
            <v>#N/A</v>
          </cell>
          <cell r="AK8">
            <v>184.6131</v>
          </cell>
          <cell r="AL8" t="e">
            <v>#N/A</v>
          </cell>
          <cell r="AM8">
            <v>1546.934</v>
          </cell>
          <cell r="AN8" t="e">
            <v>#N/A</v>
          </cell>
          <cell r="AO8">
            <v>610.83600000000001</v>
          </cell>
          <cell r="AP8">
            <v>139.363</v>
          </cell>
          <cell r="AQ8">
            <v>170.36530000000002</v>
          </cell>
          <cell r="AR8">
            <v>52.9908</v>
          </cell>
          <cell r="AS8" t="e">
            <v>#N/A</v>
          </cell>
          <cell r="AT8">
            <v>119.40900000000001</v>
          </cell>
          <cell r="AU8">
            <v>159.6909</v>
          </cell>
          <cell r="AV8" t="e">
            <v>#N/A</v>
          </cell>
          <cell r="AW8">
            <v>177.65600000000001</v>
          </cell>
          <cell r="AX8">
            <v>204.971</v>
          </cell>
          <cell r="AY8" t="e">
            <v>#N/A</v>
          </cell>
          <cell r="AZ8">
            <v>113.56446000000001</v>
          </cell>
          <cell r="BA8">
            <v>461.52680000000004</v>
          </cell>
          <cell r="BB8" t="e">
            <v>#N/A</v>
          </cell>
          <cell r="BC8" t="e">
            <v>#N/A</v>
          </cell>
          <cell r="BD8" t="e">
            <v>#N/A</v>
          </cell>
          <cell r="BE8" t="e">
            <v>#N/A</v>
          </cell>
          <cell r="BF8" t="e">
            <v>#N/A</v>
          </cell>
          <cell r="BH8">
            <v>994.13919999999996</v>
          </cell>
          <cell r="BI8" t="e">
            <v>#N/A</v>
          </cell>
          <cell r="BJ8" t="e">
            <v>#N/A</v>
          </cell>
          <cell r="BK8" t="e">
            <v>#N/A</v>
          </cell>
          <cell r="BL8" t="e">
            <v>#N/A</v>
          </cell>
          <cell r="BM8" t="e">
            <v>#N/A</v>
          </cell>
          <cell r="BN8">
            <v>2172.5515</v>
          </cell>
          <cell r="BO8" t="str">
            <v>12/90</v>
          </cell>
          <cell r="BP8" t="str">
            <v>12/90</v>
          </cell>
          <cell r="BQ8" t="str">
            <v>12/90</v>
          </cell>
          <cell r="BR8" t="str">
            <v>12/90</v>
          </cell>
          <cell r="BS8" t="str">
            <v>12/90</v>
          </cell>
          <cell r="BT8" t="str">
            <v>12/90</v>
          </cell>
          <cell r="BU8" t="str">
            <v>12/90</v>
          </cell>
          <cell r="BV8" t="str">
            <v>12/90</v>
          </cell>
          <cell r="BW8" t="e">
            <v>#N/A</v>
          </cell>
          <cell r="BX8">
            <v>144.88399999999999</v>
          </cell>
          <cell r="BY8" t="e">
            <v>#N/A</v>
          </cell>
          <cell r="BZ8" t="e">
            <v>#N/A</v>
          </cell>
          <cell r="CA8" t="e">
            <v>#N/A</v>
          </cell>
          <cell r="CB8" t="e">
            <v>#N/A</v>
          </cell>
          <cell r="CC8" t="e">
            <v>#N/A</v>
          </cell>
          <cell r="CD8" t="e">
            <v>#N/A</v>
          </cell>
          <cell r="CE8" t="e">
            <v>#N/A</v>
          </cell>
          <cell r="CF8" t="e">
            <v>#N/A</v>
          </cell>
          <cell r="CG8" t="e">
            <v>#N/A</v>
          </cell>
          <cell r="CH8" t="e">
            <v>#N/A</v>
          </cell>
          <cell r="CI8" t="e">
            <v>#N/A</v>
          </cell>
          <cell r="CJ8">
            <v>267.77280000000002</v>
          </cell>
          <cell r="CK8" t="e">
            <v>#N/A</v>
          </cell>
          <cell r="CL8">
            <v>2172.5515</v>
          </cell>
          <cell r="CM8" t="e">
            <v>#N/A</v>
          </cell>
          <cell r="CN8">
            <v>695.98900000000003</v>
          </cell>
          <cell r="CO8">
            <v>126.012</v>
          </cell>
          <cell r="CP8">
            <v>184.73</v>
          </cell>
          <cell r="CQ8">
            <v>59.369599999999998</v>
          </cell>
          <cell r="CR8" t="e">
            <v>#N/A</v>
          </cell>
          <cell r="CS8">
            <v>157.643</v>
          </cell>
          <cell r="CT8">
            <v>139.15942000000001</v>
          </cell>
          <cell r="CU8" t="e">
            <v>#N/A</v>
          </cell>
          <cell r="CV8">
            <v>168.68</v>
          </cell>
          <cell r="CW8">
            <v>206.613</v>
          </cell>
          <cell r="CX8" t="e">
            <v>#N/A</v>
          </cell>
          <cell r="CY8">
            <v>120.15841</v>
          </cell>
          <cell r="CZ8">
            <v>358.09429999999998</v>
          </cell>
          <cell r="DA8" t="e">
            <v>#N/A</v>
          </cell>
        </row>
        <row r="9">
          <cell r="A9" t="str">
            <v>12/91</v>
          </cell>
          <cell r="B9">
            <v>2208.6320000000001</v>
          </cell>
          <cell r="C9">
            <v>156.75300000000001</v>
          </cell>
          <cell r="D9">
            <v>573.471</v>
          </cell>
          <cell r="E9">
            <v>390.21500000000003</v>
          </cell>
          <cell r="F9">
            <v>132.78040000000001</v>
          </cell>
          <cell r="G9">
            <v>288.79599999999999</v>
          </cell>
          <cell r="H9" t="e">
            <v>#N/A</v>
          </cell>
          <cell r="I9" t="e">
            <v>#N/A</v>
          </cell>
          <cell r="K9" t="e">
            <v>#N/A</v>
          </cell>
          <cell r="L9" t="e">
            <v>#N/A</v>
          </cell>
          <cell r="M9" t="e">
            <v>#N/A</v>
          </cell>
          <cell r="N9">
            <v>6.8333329999999997</v>
          </cell>
          <cell r="O9">
            <v>8.5416670000000003</v>
          </cell>
          <cell r="P9" t="e">
            <v>#N/A</v>
          </cell>
          <cell r="Q9" t="e">
            <v>#N/A</v>
          </cell>
          <cell r="S9" t="e">
            <v>#N/A</v>
          </cell>
          <cell r="T9" t="e">
            <v>#N/A</v>
          </cell>
          <cell r="U9" t="e">
            <v>#N/A</v>
          </cell>
          <cell r="V9" t="e">
            <v>#N/A</v>
          </cell>
          <cell r="X9" t="e">
            <v>#N/A</v>
          </cell>
          <cell r="Y9">
            <v>184.44499999999999</v>
          </cell>
          <cell r="Z9" t="e">
            <v>#N/A</v>
          </cell>
          <cell r="AA9" t="e">
            <v>#N/A</v>
          </cell>
          <cell r="AB9" t="e">
            <v>#N/A</v>
          </cell>
          <cell r="AC9" t="e">
            <v>#N/A</v>
          </cell>
          <cell r="AD9" t="e">
            <v>#N/A</v>
          </cell>
          <cell r="AE9" t="e">
            <v>#N/A</v>
          </cell>
          <cell r="AF9" t="e">
            <v>#N/A</v>
          </cell>
          <cell r="AG9" t="e">
            <v>#N/A</v>
          </cell>
          <cell r="AH9" t="e">
            <v>#N/A</v>
          </cell>
          <cell r="AI9" t="e">
            <v>#N/A</v>
          </cell>
          <cell r="AJ9" t="e">
            <v>#N/A</v>
          </cell>
          <cell r="AK9">
            <v>238.345</v>
          </cell>
          <cell r="AL9" t="e">
            <v>#N/A</v>
          </cell>
          <cell r="AM9">
            <v>2208.6320000000001</v>
          </cell>
          <cell r="AN9" t="e">
            <v>#N/A</v>
          </cell>
          <cell r="AO9">
            <v>327.20800000000003</v>
          </cell>
          <cell r="AP9">
            <v>115.605</v>
          </cell>
          <cell r="AQ9">
            <v>175.60250000000002</v>
          </cell>
          <cell r="AR9">
            <v>59.681000000000004</v>
          </cell>
          <cell r="AS9" t="e">
            <v>#N/A</v>
          </cell>
          <cell r="AT9">
            <v>219.06</v>
          </cell>
          <cell r="AU9">
            <v>226.14400000000001</v>
          </cell>
          <cell r="AV9" t="e">
            <v>#N/A</v>
          </cell>
          <cell r="AW9">
            <v>198.626</v>
          </cell>
          <cell r="AX9">
            <v>241.98000000000002</v>
          </cell>
          <cell r="AY9" t="e">
            <v>#N/A</v>
          </cell>
          <cell r="AZ9">
            <v>132.78040000000001</v>
          </cell>
          <cell r="BA9">
            <v>535.36400000000003</v>
          </cell>
          <cell r="BB9" t="e">
            <v>#N/A</v>
          </cell>
          <cell r="BC9" t="e">
            <v>#N/A</v>
          </cell>
          <cell r="BD9" t="e">
            <v>#N/A</v>
          </cell>
          <cell r="BE9" t="e">
            <v>#N/A</v>
          </cell>
          <cell r="BF9" t="e">
            <v>#N/A</v>
          </cell>
          <cell r="BH9">
            <v>989.43799999999999</v>
          </cell>
          <cell r="BI9" t="e">
            <v>#N/A</v>
          </cell>
          <cell r="BJ9" t="e">
            <v>#N/A</v>
          </cell>
          <cell r="BK9" t="e">
            <v>#N/A</v>
          </cell>
          <cell r="BL9" t="e">
            <v>#N/A</v>
          </cell>
          <cell r="BM9" t="e">
            <v>#N/A</v>
          </cell>
          <cell r="BN9">
            <v>3095.69</v>
          </cell>
          <cell r="BO9" t="str">
            <v>12/91</v>
          </cell>
          <cell r="BP9" t="str">
            <v>12/91</v>
          </cell>
          <cell r="BQ9" t="str">
            <v>12/91</v>
          </cell>
          <cell r="BR9" t="str">
            <v>12/91</v>
          </cell>
          <cell r="BS9" t="str">
            <v>12/91</v>
          </cell>
          <cell r="BT9" t="str">
            <v>12/91</v>
          </cell>
          <cell r="BU9" t="str">
            <v>12/91</v>
          </cell>
          <cell r="BV9" t="str">
            <v>12/91</v>
          </cell>
          <cell r="BW9" t="e">
            <v>#N/A</v>
          </cell>
          <cell r="BX9">
            <v>181.64</v>
          </cell>
          <cell r="BY9" t="e">
            <v>#N/A</v>
          </cell>
          <cell r="BZ9" t="e">
            <v>#N/A</v>
          </cell>
          <cell r="CA9" t="e">
            <v>#N/A</v>
          </cell>
          <cell r="CB9" t="e">
            <v>#N/A</v>
          </cell>
          <cell r="CC9" t="e">
            <v>#N/A</v>
          </cell>
          <cell r="CD9" t="e">
            <v>#N/A</v>
          </cell>
          <cell r="CE9" t="e">
            <v>#N/A</v>
          </cell>
          <cell r="CF9" t="e">
            <v>#N/A</v>
          </cell>
          <cell r="CG9" t="e">
            <v>#N/A</v>
          </cell>
          <cell r="CH9" t="e">
            <v>#N/A</v>
          </cell>
          <cell r="CI9" t="e">
            <v>#N/A</v>
          </cell>
          <cell r="CJ9">
            <v>351.23500000000001</v>
          </cell>
          <cell r="CK9" t="e">
            <v>#N/A</v>
          </cell>
          <cell r="CL9">
            <v>3095.69</v>
          </cell>
          <cell r="CM9" t="e">
            <v>#N/A</v>
          </cell>
          <cell r="CN9">
            <v>395.529</v>
          </cell>
          <cell r="CO9">
            <v>111.008</v>
          </cell>
          <cell r="CP9">
            <v>191.8175</v>
          </cell>
          <cell r="CQ9">
            <v>72.751000000000005</v>
          </cell>
          <cell r="CR9" t="e">
            <v>#N/A</v>
          </cell>
          <cell r="CS9">
            <v>277.40699999999998</v>
          </cell>
          <cell r="CT9">
            <v>183.637</v>
          </cell>
          <cell r="CU9" t="e">
            <v>#N/A</v>
          </cell>
          <cell r="CV9">
            <v>179.12899999999999</v>
          </cell>
          <cell r="CW9">
            <v>243.822</v>
          </cell>
          <cell r="CX9" t="e">
            <v>#N/A</v>
          </cell>
          <cell r="CY9">
            <v>139.14613</v>
          </cell>
          <cell r="CZ9">
            <v>408.28300000000002</v>
          </cell>
          <cell r="DA9" t="e">
            <v>#N/A</v>
          </cell>
        </row>
        <row r="10">
          <cell r="A10" t="str">
            <v>12/92</v>
          </cell>
          <cell r="B10">
            <v>2814.252</v>
          </cell>
          <cell r="C10">
            <v>166.779</v>
          </cell>
          <cell r="D10">
            <v>531.98</v>
          </cell>
          <cell r="E10">
            <v>406.46199999999999</v>
          </cell>
          <cell r="F10">
            <v>123.88176000000001</v>
          </cell>
          <cell r="G10">
            <v>314.92900000000003</v>
          </cell>
          <cell r="H10" t="e">
            <v>#N/A</v>
          </cell>
          <cell r="I10" t="e">
            <v>#N/A</v>
          </cell>
          <cell r="K10" t="e">
            <v>#N/A</v>
          </cell>
          <cell r="L10" t="e">
            <v>#N/A</v>
          </cell>
          <cell r="M10">
            <v>1.5637859999999999</v>
          </cell>
          <cell r="N10">
            <v>8.2916670000000003</v>
          </cell>
          <cell r="O10">
            <v>9.875</v>
          </cell>
          <cell r="P10" t="e">
            <v>#N/A</v>
          </cell>
          <cell r="Q10" t="e">
            <v>#N/A</v>
          </cell>
          <cell r="S10" t="e">
            <v>#N/A</v>
          </cell>
          <cell r="T10" t="e">
            <v>#N/A</v>
          </cell>
          <cell r="U10" t="e">
            <v>#N/A</v>
          </cell>
          <cell r="V10" t="e">
            <v>#N/A</v>
          </cell>
          <cell r="X10" t="e">
            <v>#N/A</v>
          </cell>
          <cell r="Y10">
            <v>218.483</v>
          </cell>
          <cell r="Z10" t="e">
            <v>#N/A</v>
          </cell>
          <cell r="AA10" t="e">
            <v>#N/A</v>
          </cell>
          <cell r="AB10" t="e">
            <v>#N/A</v>
          </cell>
          <cell r="AC10" t="e">
            <v>#N/A</v>
          </cell>
          <cell r="AD10" t="e">
            <v>#N/A</v>
          </cell>
          <cell r="AE10" t="e">
            <v>#N/A</v>
          </cell>
          <cell r="AF10" t="e">
            <v>#N/A</v>
          </cell>
          <cell r="AG10" t="e">
            <v>#N/A</v>
          </cell>
          <cell r="AH10" t="e">
            <v>#N/A</v>
          </cell>
          <cell r="AI10" t="e">
            <v>#N/A</v>
          </cell>
          <cell r="AJ10" t="e">
            <v>#N/A</v>
          </cell>
          <cell r="AK10">
            <v>206.798</v>
          </cell>
          <cell r="AL10">
            <v>100</v>
          </cell>
          <cell r="AM10">
            <v>2814.252</v>
          </cell>
          <cell r="AN10">
            <v>100</v>
          </cell>
          <cell r="AO10">
            <v>320.286</v>
          </cell>
          <cell r="AP10">
            <v>115.611</v>
          </cell>
          <cell r="AQ10">
            <v>203.13390000000001</v>
          </cell>
          <cell r="AR10">
            <v>56.582000000000001</v>
          </cell>
          <cell r="AS10">
            <v>100</v>
          </cell>
          <cell r="AT10">
            <v>300.32</v>
          </cell>
          <cell r="AU10">
            <v>233.011</v>
          </cell>
          <cell r="AV10">
            <v>100</v>
          </cell>
          <cell r="AW10">
            <v>149.702</v>
          </cell>
          <cell r="AX10">
            <v>315.57800000000003</v>
          </cell>
          <cell r="AY10" t="e">
            <v>#N/A</v>
          </cell>
          <cell r="AZ10">
            <v>123.88176000000001</v>
          </cell>
          <cell r="BA10">
            <v>497.13200000000001</v>
          </cell>
          <cell r="BB10" t="e">
            <v>#N/A</v>
          </cell>
          <cell r="BC10" t="e">
            <v>#N/A</v>
          </cell>
          <cell r="BD10" t="e">
            <v>#N/A</v>
          </cell>
          <cell r="BE10" t="e">
            <v>#N/A</v>
          </cell>
          <cell r="BF10" t="e">
            <v>#N/A</v>
          </cell>
          <cell r="BH10">
            <v>770.06399999999996</v>
          </cell>
          <cell r="BI10" t="e">
            <v>#N/A</v>
          </cell>
          <cell r="BJ10" t="e">
            <v>#N/A</v>
          </cell>
          <cell r="BK10" t="e">
            <v>#N/A</v>
          </cell>
          <cell r="BL10" t="e">
            <v>#N/A</v>
          </cell>
          <cell r="BM10" t="e">
            <v>#N/A</v>
          </cell>
          <cell r="BN10">
            <v>3923.0079999999998</v>
          </cell>
          <cell r="BO10" t="str">
            <v>12/92</v>
          </cell>
          <cell r="BP10" t="str">
            <v>12/92</v>
          </cell>
          <cell r="BQ10" t="str">
            <v>12/92</v>
          </cell>
          <cell r="BR10" t="str">
            <v>12/92</v>
          </cell>
          <cell r="BS10" t="str">
            <v>12/92</v>
          </cell>
          <cell r="BT10" t="str">
            <v>12/92</v>
          </cell>
          <cell r="BU10" t="str">
            <v>12/92</v>
          </cell>
          <cell r="BV10" t="str">
            <v>12/92</v>
          </cell>
          <cell r="BW10" t="e">
            <v>#N/A</v>
          </cell>
          <cell r="BX10">
            <v>214.268</v>
          </cell>
          <cell r="BY10" t="e">
            <v>#N/A</v>
          </cell>
          <cell r="BZ10" t="e">
            <v>#N/A</v>
          </cell>
          <cell r="CA10" t="e">
            <v>#N/A</v>
          </cell>
          <cell r="CB10" t="e">
            <v>#N/A</v>
          </cell>
          <cell r="CC10" t="e">
            <v>#N/A</v>
          </cell>
          <cell r="CD10" t="e">
            <v>#N/A</v>
          </cell>
          <cell r="CE10" t="e">
            <v>#N/A</v>
          </cell>
          <cell r="CF10" t="e">
            <v>#N/A</v>
          </cell>
          <cell r="CG10" t="e">
            <v>#N/A</v>
          </cell>
          <cell r="CH10" t="e">
            <v>#N/A</v>
          </cell>
          <cell r="CI10" t="e">
            <v>#N/A</v>
          </cell>
          <cell r="CJ10">
            <v>335.96100000000001</v>
          </cell>
          <cell r="CK10">
            <v>100</v>
          </cell>
          <cell r="CL10">
            <v>3923.0079999999998</v>
          </cell>
          <cell r="CM10">
            <v>100</v>
          </cell>
          <cell r="CN10">
            <v>401.33199999999999</v>
          </cell>
          <cell r="CO10">
            <v>114.785</v>
          </cell>
          <cell r="CP10">
            <v>213.28870000000001</v>
          </cell>
          <cell r="CQ10">
            <v>72.489999999999995</v>
          </cell>
          <cell r="CR10">
            <v>100</v>
          </cell>
          <cell r="CS10">
            <v>346.524</v>
          </cell>
          <cell r="CT10">
            <v>191.607</v>
          </cell>
          <cell r="CU10">
            <v>100</v>
          </cell>
          <cell r="CV10">
            <v>133.185</v>
          </cell>
          <cell r="CW10">
            <v>321.01799999999997</v>
          </cell>
          <cell r="CX10" t="e">
            <v>#N/A</v>
          </cell>
          <cell r="CY10">
            <v>136.89903000000001</v>
          </cell>
          <cell r="CZ10">
            <v>394.75700000000001</v>
          </cell>
          <cell r="DA10" t="e">
            <v>#N/A</v>
          </cell>
        </row>
        <row r="11">
          <cell r="A11" t="str">
            <v>12/93</v>
          </cell>
          <cell r="B11">
            <v>5907.268</v>
          </cell>
          <cell r="C11">
            <v>300.512</v>
          </cell>
          <cell r="D11">
            <v>641.45699999999999</v>
          </cell>
          <cell r="E11">
            <v>434.983</v>
          </cell>
          <cell r="F11">
            <v>151.2792</v>
          </cell>
          <cell r="G11">
            <v>539.34400000000005</v>
          </cell>
          <cell r="H11" t="e">
            <v>#N/A</v>
          </cell>
          <cell r="I11" t="e">
            <v>#N/A</v>
          </cell>
          <cell r="K11" t="e">
            <v>#N/A</v>
          </cell>
          <cell r="L11" t="e">
            <v>#N/A</v>
          </cell>
          <cell r="M11">
            <v>2.1783259999999998</v>
          </cell>
          <cell r="N11">
            <v>10.291667</v>
          </cell>
          <cell r="O11">
            <v>10.875</v>
          </cell>
          <cell r="P11" t="e">
            <v>#N/A</v>
          </cell>
          <cell r="Q11" t="e">
            <v>#N/A</v>
          </cell>
          <cell r="S11" t="e">
            <v>#N/A</v>
          </cell>
          <cell r="T11" t="e">
            <v>#N/A</v>
          </cell>
          <cell r="U11" t="e">
            <v>#N/A</v>
          </cell>
          <cell r="V11" t="e">
            <v>#N/A</v>
          </cell>
          <cell r="X11" t="e">
            <v>#N/A</v>
          </cell>
          <cell r="Y11">
            <v>434.34100000000001</v>
          </cell>
          <cell r="Z11" t="e">
            <v>#N/A</v>
          </cell>
          <cell r="AA11" t="e">
            <v>#N/A</v>
          </cell>
          <cell r="AB11" t="e">
            <v>#N/A</v>
          </cell>
          <cell r="AC11" t="e">
            <v>#N/A</v>
          </cell>
          <cell r="AD11" t="e">
            <v>#N/A</v>
          </cell>
          <cell r="AE11" t="e">
            <v>#N/A</v>
          </cell>
          <cell r="AF11" t="e">
            <v>#N/A</v>
          </cell>
          <cell r="AG11" t="e">
            <v>#N/A</v>
          </cell>
          <cell r="AH11" t="e">
            <v>#N/A</v>
          </cell>
          <cell r="AI11" t="e">
            <v>#N/A</v>
          </cell>
          <cell r="AJ11" t="e">
            <v>#N/A</v>
          </cell>
          <cell r="AK11">
            <v>273.00400000000002</v>
          </cell>
          <cell r="AL11">
            <v>133.553</v>
          </cell>
          <cell r="AM11">
            <v>5907.268</v>
          </cell>
          <cell r="AN11">
            <v>133.04300000000001</v>
          </cell>
          <cell r="AO11">
            <v>647.57600000000002</v>
          </cell>
          <cell r="AP11">
            <v>149.238</v>
          </cell>
          <cell r="AQ11">
            <v>421.02410000000003</v>
          </cell>
          <cell r="AR11">
            <v>92.007999999999996</v>
          </cell>
          <cell r="AS11">
            <v>161.399</v>
          </cell>
          <cell r="AT11">
            <v>665.01400000000001</v>
          </cell>
          <cell r="AU11">
            <v>399.27500000000003</v>
          </cell>
          <cell r="AV11">
            <v>163.24</v>
          </cell>
          <cell r="AW11">
            <v>272.93900000000002</v>
          </cell>
          <cell r="AX11">
            <v>624.33299999999997</v>
          </cell>
          <cell r="AY11" t="e">
            <v>#N/A</v>
          </cell>
          <cell r="AZ11">
            <v>151.2792</v>
          </cell>
          <cell r="BA11">
            <v>598.49599999999998</v>
          </cell>
          <cell r="BB11" t="e">
            <v>#N/A</v>
          </cell>
          <cell r="BC11" t="e">
            <v>#N/A</v>
          </cell>
          <cell r="BD11" t="e">
            <v>#N/A</v>
          </cell>
          <cell r="BE11" t="e">
            <v>#N/A</v>
          </cell>
          <cell r="BF11" t="e">
            <v>#N/A</v>
          </cell>
          <cell r="BH11">
            <v>858.19200000000001</v>
          </cell>
          <cell r="BI11" t="e">
            <v>#N/A</v>
          </cell>
          <cell r="BJ11" t="e">
            <v>#N/A</v>
          </cell>
          <cell r="BK11" t="e">
            <v>#N/A</v>
          </cell>
          <cell r="BL11" t="e">
            <v>#N/A</v>
          </cell>
          <cell r="BM11" t="e">
            <v>#N/A</v>
          </cell>
          <cell r="BN11">
            <v>8219.7170000000006</v>
          </cell>
          <cell r="BO11" t="str">
            <v>12/93</v>
          </cell>
          <cell r="BP11" t="str">
            <v>12/93</v>
          </cell>
          <cell r="BQ11" t="str">
            <v>12/93</v>
          </cell>
          <cell r="BR11" t="str">
            <v>12/93</v>
          </cell>
          <cell r="BS11" t="str">
            <v>12/93</v>
          </cell>
          <cell r="BT11" t="str">
            <v>12/93</v>
          </cell>
          <cell r="BU11" t="str">
            <v>12/93</v>
          </cell>
          <cell r="BV11" t="str">
            <v>12/93</v>
          </cell>
          <cell r="BW11" t="e">
            <v>#N/A</v>
          </cell>
          <cell r="BX11">
            <v>430.33</v>
          </cell>
          <cell r="BY11" t="e">
            <v>#N/A</v>
          </cell>
          <cell r="BZ11" t="e">
            <v>#N/A</v>
          </cell>
          <cell r="CA11" t="e">
            <v>#N/A</v>
          </cell>
          <cell r="CB11" t="e">
            <v>#N/A</v>
          </cell>
          <cell r="CC11" t="e">
            <v>#N/A</v>
          </cell>
          <cell r="CD11" t="e">
            <v>#N/A</v>
          </cell>
          <cell r="CE11" t="e">
            <v>#N/A</v>
          </cell>
          <cell r="CF11" t="e">
            <v>#N/A</v>
          </cell>
          <cell r="CG11" t="e">
            <v>#N/A</v>
          </cell>
          <cell r="CH11" t="e">
            <v>#N/A</v>
          </cell>
          <cell r="CI11" t="e">
            <v>#N/A</v>
          </cell>
          <cell r="CJ11">
            <v>450.38</v>
          </cell>
          <cell r="CK11">
            <v>133.38200000000001</v>
          </cell>
          <cell r="CL11">
            <v>8219.7170000000006</v>
          </cell>
          <cell r="CM11">
            <v>135.364</v>
          </cell>
          <cell r="CN11">
            <v>828.61199999999997</v>
          </cell>
          <cell r="CO11">
            <v>152.03299999999999</v>
          </cell>
          <cell r="CP11">
            <v>455.33823000000001</v>
          </cell>
          <cell r="CQ11">
            <v>108.31699999999999</v>
          </cell>
          <cell r="CR11">
            <v>188.50700000000001</v>
          </cell>
          <cell r="CS11">
            <v>884.024</v>
          </cell>
          <cell r="CT11">
            <v>322.02300000000002</v>
          </cell>
          <cell r="CU11">
            <v>178.96799999999999</v>
          </cell>
          <cell r="CV11">
            <v>254.536</v>
          </cell>
          <cell r="CW11">
            <v>639.22299999999996</v>
          </cell>
          <cell r="CX11" t="e">
            <v>#N/A</v>
          </cell>
          <cell r="CY11">
            <v>168.76554999999999</v>
          </cell>
          <cell r="CZ11">
            <v>469.20499999999998</v>
          </cell>
          <cell r="DA11" t="e">
            <v>#N/A</v>
          </cell>
        </row>
        <row r="12">
          <cell r="A12" t="str">
            <v>12/94</v>
          </cell>
          <cell r="B12">
            <v>4075.7660000000001</v>
          </cell>
          <cell r="C12">
            <v>258.04700000000003</v>
          </cell>
          <cell r="D12">
            <v>611.077</v>
          </cell>
          <cell r="E12">
            <v>431.26400000000001</v>
          </cell>
          <cell r="F12">
            <v>155.5959</v>
          </cell>
          <cell r="G12">
            <v>492.57800000000003</v>
          </cell>
          <cell r="H12">
            <v>130.29060000000001</v>
          </cell>
          <cell r="I12">
            <v>155.46790000000001</v>
          </cell>
          <cell r="K12" t="e">
            <v>#N/A</v>
          </cell>
          <cell r="L12">
            <v>5.3333329999999997</v>
          </cell>
          <cell r="M12">
            <v>2.9300409999999997</v>
          </cell>
          <cell r="N12">
            <v>9.8333329999999997</v>
          </cell>
          <cell r="O12">
            <v>12.375</v>
          </cell>
          <cell r="P12" t="e">
            <v>#N/A</v>
          </cell>
          <cell r="Q12" t="e">
            <v>#N/A</v>
          </cell>
          <cell r="S12">
            <v>87.736670000000004</v>
          </cell>
          <cell r="T12">
            <v>134.03640000000001</v>
          </cell>
          <cell r="U12">
            <v>34.704630000000002</v>
          </cell>
          <cell r="V12">
            <v>32.67465</v>
          </cell>
          <cell r="X12">
            <v>181.0248</v>
          </cell>
          <cell r="Y12">
            <v>351.77500000000003</v>
          </cell>
          <cell r="Z12">
            <v>51.902190000000004</v>
          </cell>
          <cell r="AA12" t="e">
            <v>#N/A</v>
          </cell>
          <cell r="AB12">
            <v>87.736670000000004</v>
          </cell>
          <cell r="AC12">
            <v>1169.962</v>
          </cell>
          <cell r="AD12">
            <v>538.51520000000005</v>
          </cell>
          <cell r="AE12">
            <v>284.62870000000004</v>
          </cell>
          <cell r="AF12" t="e">
            <v>#N/A</v>
          </cell>
          <cell r="AG12">
            <v>220.2176</v>
          </cell>
          <cell r="AH12">
            <v>117.25896000000002</v>
          </cell>
          <cell r="AI12">
            <v>284.21870000000001</v>
          </cell>
          <cell r="AJ12">
            <v>633.2115</v>
          </cell>
          <cell r="AK12">
            <v>281.00400000000002</v>
          </cell>
          <cell r="AL12">
            <v>70.582999999999998</v>
          </cell>
          <cell r="AM12">
            <v>4075.7660000000001</v>
          </cell>
          <cell r="AN12">
            <v>145.136</v>
          </cell>
          <cell r="AO12">
            <v>472.815</v>
          </cell>
          <cell r="AP12">
            <v>182.25700000000001</v>
          </cell>
          <cell r="AQ12">
            <v>333.76499999999999</v>
          </cell>
          <cell r="AR12">
            <v>97.353000000000009</v>
          </cell>
          <cell r="AS12">
            <v>148.178</v>
          </cell>
          <cell r="AT12">
            <v>610.02300000000002</v>
          </cell>
          <cell r="AU12">
            <v>418.11400000000003</v>
          </cell>
          <cell r="AV12">
            <v>156.85300000000001</v>
          </cell>
          <cell r="AW12">
            <v>326.71100000000001</v>
          </cell>
          <cell r="AX12">
            <v>554.74900000000002</v>
          </cell>
          <cell r="AY12">
            <v>70.44832000000001</v>
          </cell>
          <cell r="AZ12">
            <v>155.5959</v>
          </cell>
          <cell r="BA12">
            <v>618.59</v>
          </cell>
          <cell r="BB12">
            <v>67.764310000000009</v>
          </cell>
          <cell r="BC12">
            <v>109.00030000000001</v>
          </cell>
          <cell r="BD12">
            <v>91.706760000000003</v>
          </cell>
          <cell r="BE12">
            <v>77.497740000000007</v>
          </cell>
          <cell r="BF12">
            <v>82.683040000000005</v>
          </cell>
          <cell r="BH12">
            <v>926.16899999999998</v>
          </cell>
          <cell r="BI12">
            <v>40.529699999999998</v>
          </cell>
          <cell r="BJ12">
            <v>106.26891999999999</v>
          </cell>
          <cell r="BK12">
            <v>251.4804</v>
          </cell>
          <cell r="BL12">
            <v>32.67465</v>
          </cell>
          <cell r="BM12">
            <v>36.906246000000003</v>
          </cell>
          <cell r="BN12">
            <v>5678.23</v>
          </cell>
          <cell r="BO12" t="str">
            <v>12/94</v>
          </cell>
          <cell r="BP12" t="str">
            <v>12/94</v>
          </cell>
          <cell r="BQ12" t="str">
            <v>12/94</v>
          </cell>
          <cell r="BR12" t="str">
            <v>12/94</v>
          </cell>
          <cell r="BS12" t="str">
            <v>12/94</v>
          </cell>
          <cell r="BT12" t="str">
            <v>12/94</v>
          </cell>
          <cell r="BU12" t="str">
            <v>12/94</v>
          </cell>
          <cell r="BV12" t="str">
            <v>12/94</v>
          </cell>
          <cell r="BW12">
            <v>145.0318</v>
          </cell>
          <cell r="BX12">
            <v>338.15600000000001</v>
          </cell>
          <cell r="BY12">
            <v>41.041977000000003</v>
          </cell>
          <cell r="BZ12" t="e">
            <v>#N/A</v>
          </cell>
          <cell r="CA12">
            <v>87.620590000000007</v>
          </cell>
          <cell r="CB12">
            <v>323.46884</v>
          </cell>
          <cell r="CC12">
            <v>353.11369999999999</v>
          </cell>
          <cell r="CD12">
            <v>133.84889000000001</v>
          </cell>
          <cell r="CE12" t="e">
            <v>#N/A</v>
          </cell>
          <cell r="CF12">
            <v>138.13132999999999</v>
          </cell>
          <cell r="CG12">
            <v>103.61427999999999</v>
          </cell>
          <cell r="CH12">
            <v>231.90941000000001</v>
          </cell>
          <cell r="CI12">
            <v>437.50583</v>
          </cell>
          <cell r="CJ12">
            <v>405.66500000000002</v>
          </cell>
          <cell r="CK12">
            <v>70.533000000000001</v>
          </cell>
          <cell r="CL12">
            <v>5678.23</v>
          </cell>
          <cell r="CM12">
            <v>147.66800000000001</v>
          </cell>
          <cell r="CN12">
            <v>629.85500000000002</v>
          </cell>
          <cell r="CO12">
            <v>181.37899999999999</v>
          </cell>
          <cell r="CP12">
            <v>342.14188000000001</v>
          </cell>
          <cell r="CQ12">
            <v>100.14400000000001</v>
          </cell>
          <cell r="CR12">
            <v>176.97300000000001</v>
          </cell>
          <cell r="CS12">
            <v>715.60799999999995</v>
          </cell>
          <cell r="CT12">
            <v>305.57</v>
          </cell>
          <cell r="CU12">
            <v>173.53800000000001</v>
          </cell>
          <cell r="CV12">
            <v>300.827</v>
          </cell>
          <cell r="CW12">
            <v>558.19600000000003</v>
          </cell>
          <cell r="CX12">
            <v>64.355869999999996</v>
          </cell>
          <cell r="CY12">
            <v>167.94719000000001</v>
          </cell>
          <cell r="CZ12">
            <v>457.74099999999999</v>
          </cell>
          <cell r="DA12">
            <v>63.196019999999997</v>
          </cell>
        </row>
        <row r="13">
          <cell r="A13" t="str">
            <v>12/95</v>
          </cell>
          <cell r="B13">
            <v>4818.4130000000005</v>
          </cell>
          <cell r="C13">
            <v>267.52699999999999</v>
          </cell>
          <cell r="D13">
            <v>716.42200000000003</v>
          </cell>
          <cell r="E13">
            <v>581.07100000000003</v>
          </cell>
          <cell r="F13">
            <v>181.89500000000001</v>
          </cell>
          <cell r="G13">
            <v>458.36900000000003</v>
          </cell>
          <cell r="H13">
            <v>141.9408</v>
          </cell>
          <cell r="I13">
            <v>159.91</v>
          </cell>
          <cell r="K13" t="e">
            <v>#N/A</v>
          </cell>
          <cell r="L13">
            <v>7.9583329999999997</v>
          </cell>
          <cell r="M13">
            <v>3.0781890000000001</v>
          </cell>
          <cell r="N13">
            <v>13.791666999999999</v>
          </cell>
          <cell r="O13">
            <v>19.83333</v>
          </cell>
          <cell r="P13" t="e">
            <v>#N/A</v>
          </cell>
          <cell r="Q13" t="e">
            <v>#N/A</v>
          </cell>
          <cell r="S13">
            <v>105.58983000000001</v>
          </cell>
          <cell r="T13">
            <v>153.72470000000001</v>
          </cell>
          <cell r="U13">
            <v>48.701230000000002</v>
          </cell>
          <cell r="V13">
            <v>49.526360000000004</v>
          </cell>
          <cell r="X13">
            <v>207.50560000000002</v>
          </cell>
          <cell r="Y13">
            <v>375.72899999999998</v>
          </cell>
          <cell r="Z13">
            <v>61.840470000000003</v>
          </cell>
          <cell r="AA13" t="e">
            <v>#N/A</v>
          </cell>
          <cell r="AB13">
            <v>105.58983000000001</v>
          </cell>
          <cell r="AC13">
            <v>1116.117</v>
          </cell>
          <cell r="AD13">
            <v>455.54570000000001</v>
          </cell>
          <cell r="AE13">
            <v>368.94960000000003</v>
          </cell>
          <cell r="AF13" t="e">
            <v>#N/A</v>
          </cell>
          <cell r="AG13">
            <v>197.34900000000002</v>
          </cell>
          <cell r="AH13">
            <v>138.25140000000002</v>
          </cell>
          <cell r="AI13">
            <v>179.19120000000001</v>
          </cell>
          <cell r="AJ13">
            <v>682.51420000000007</v>
          </cell>
          <cell r="AK13">
            <v>304.23900000000003</v>
          </cell>
          <cell r="AL13">
            <v>54.358000000000004</v>
          </cell>
          <cell r="AM13">
            <v>4818.4130000000005</v>
          </cell>
          <cell r="AN13">
            <v>98.832999999999998</v>
          </cell>
          <cell r="AO13">
            <v>508.22200000000004</v>
          </cell>
          <cell r="AP13">
            <v>173.81300000000002</v>
          </cell>
          <cell r="AQ13">
            <v>346.96710000000002</v>
          </cell>
          <cell r="AR13">
            <v>114.18600000000001</v>
          </cell>
          <cell r="AS13">
            <v>91.475999999999999</v>
          </cell>
          <cell r="AT13">
            <v>538.05899999999997</v>
          </cell>
          <cell r="AU13">
            <v>464.09800000000001</v>
          </cell>
          <cell r="AV13">
            <v>105.617</v>
          </cell>
          <cell r="AW13">
            <v>227.91800000000001</v>
          </cell>
          <cell r="AX13">
            <v>523.33500000000004</v>
          </cell>
          <cell r="AY13">
            <v>82.268680000000003</v>
          </cell>
          <cell r="AZ13">
            <v>181.89500000000001</v>
          </cell>
          <cell r="BA13">
            <v>734.28</v>
          </cell>
          <cell r="BB13">
            <v>79.476760000000013</v>
          </cell>
          <cell r="BC13">
            <v>102.04325000000001</v>
          </cell>
          <cell r="BD13">
            <v>122.01180000000001</v>
          </cell>
          <cell r="BE13">
            <v>86.206320000000005</v>
          </cell>
          <cell r="BF13">
            <v>110.87778000000002</v>
          </cell>
          <cell r="BH13">
            <v>957.79300000000001</v>
          </cell>
          <cell r="BI13">
            <v>45.751579999999997</v>
          </cell>
          <cell r="BJ13">
            <v>122.500015</v>
          </cell>
          <cell r="BK13">
            <v>270.00092000000001</v>
          </cell>
          <cell r="BL13">
            <v>49.526359999999997</v>
          </cell>
          <cell r="BM13">
            <v>52.189425999999997</v>
          </cell>
          <cell r="BN13">
            <v>6708.6989999999996</v>
          </cell>
          <cell r="BO13" t="str">
            <v>12/95</v>
          </cell>
          <cell r="BP13" t="str">
            <v>12/95</v>
          </cell>
          <cell r="BQ13" t="str">
            <v>12/95</v>
          </cell>
          <cell r="BR13" t="str">
            <v>12/95</v>
          </cell>
          <cell r="BS13" t="str">
            <v>12/95</v>
          </cell>
          <cell r="BT13" t="str">
            <v>12/95</v>
          </cell>
          <cell r="BU13" t="str">
            <v>12/95</v>
          </cell>
          <cell r="BV13" t="str">
            <v>12/95</v>
          </cell>
          <cell r="BW13">
            <v>165.29910000000001</v>
          </cell>
          <cell r="BX13">
            <v>360.76499999999999</v>
          </cell>
          <cell r="BY13">
            <v>50.991280000000003</v>
          </cell>
          <cell r="BZ13" t="e">
            <v>#N/A</v>
          </cell>
          <cell r="CA13">
            <v>105.384705</v>
          </cell>
          <cell r="CB13">
            <v>321.00650000000002</v>
          </cell>
          <cell r="CC13">
            <v>293.87909999999999</v>
          </cell>
          <cell r="CD13">
            <v>172.51624000000001</v>
          </cell>
          <cell r="CE13" t="e">
            <v>#N/A</v>
          </cell>
          <cell r="CF13">
            <v>133.07105999999999</v>
          </cell>
          <cell r="CG13">
            <v>118.51918999999999</v>
          </cell>
          <cell r="CH13">
            <v>151.76817</v>
          </cell>
          <cell r="CI13">
            <v>473.16726999999997</v>
          </cell>
          <cell r="CJ13">
            <v>457.98399999999998</v>
          </cell>
          <cell r="CK13">
            <v>54.304000000000002</v>
          </cell>
          <cell r="CL13">
            <v>6708.6989999999996</v>
          </cell>
          <cell r="CM13">
            <v>112.727</v>
          </cell>
          <cell r="CN13">
            <v>704.28099999999995</v>
          </cell>
          <cell r="CO13">
            <v>170.179</v>
          </cell>
          <cell r="CP13">
            <v>353.65559999999999</v>
          </cell>
          <cell r="CQ13">
            <v>115.01600000000001</v>
          </cell>
          <cell r="CR13">
            <v>121.49</v>
          </cell>
          <cell r="CS13">
            <v>678.52700000000004</v>
          </cell>
          <cell r="CT13">
            <v>329.05700000000002</v>
          </cell>
          <cell r="CU13">
            <v>125.874</v>
          </cell>
          <cell r="CV13">
            <v>217.83600000000001</v>
          </cell>
          <cell r="CW13">
            <v>528.37</v>
          </cell>
          <cell r="CX13">
            <v>74.697174000000004</v>
          </cell>
          <cell r="CY13">
            <v>195.13900000000001</v>
          </cell>
          <cell r="CZ13">
            <v>537.50400000000002</v>
          </cell>
          <cell r="DA13">
            <v>73.462770000000006</v>
          </cell>
        </row>
        <row r="14">
          <cell r="A14" t="str">
            <v>12/96</v>
          </cell>
          <cell r="B14">
            <v>6213.2510000000002</v>
          </cell>
          <cell r="C14">
            <v>292.09100000000001</v>
          </cell>
          <cell r="D14">
            <v>883.48099999999999</v>
          </cell>
          <cell r="E14">
            <v>705.16</v>
          </cell>
          <cell r="F14">
            <v>201.78399999999999</v>
          </cell>
          <cell r="G14">
            <v>476.315</v>
          </cell>
          <cell r="H14">
            <v>153.56030000000001</v>
          </cell>
          <cell r="I14">
            <v>163.72900000000001</v>
          </cell>
          <cell r="K14" t="e">
            <v>#N/A</v>
          </cell>
          <cell r="L14">
            <v>12</v>
          </cell>
          <cell r="M14">
            <v>4.8559669999999997</v>
          </cell>
          <cell r="N14">
            <v>18.83333</v>
          </cell>
          <cell r="O14">
            <v>30.75</v>
          </cell>
          <cell r="P14" t="e">
            <v>#N/A</v>
          </cell>
          <cell r="Q14" t="e">
            <v>#N/A</v>
          </cell>
          <cell r="S14">
            <v>145.7843</v>
          </cell>
          <cell r="T14">
            <v>176.2294</v>
          </cell>
          <cell r="U14">
            <v>68.354460000000003</v>
          </cell>
          <cell r="V14">
            <v>66.689000000000007</v>
          </cell>
          <cell r="X14">
            <v>233.56630000000001</v>
          </cell>
          <cell r="Y14">
            <v>410.23</v>
          </cell>
          <cell r="Z14">
            <v>80.193750000000009</v>
          </cell>
          <cell r="AA14">
            <v>181.2784</v>
          </cell>
          <cell r="AB14">
            <v>145.7843</v>
          </cell>
          <cell r="AC14">
            <v>1629.377</v>
          </cell>
          <cell r="AD14">
            <v>296.4393</v>
          </cell>
          <cell r="AE14">
            <v>504.6078</v>
          </cell>
          <cell r="AF14" t="e">
            <v>#N/A</v>
          </cell>
          <cell r="AG14">
            <v>277.81099999999998</v>
          </cell>
          <cell r="AH14">
            <v>151.90720000000002</v>
          </cell>
          <cell r="AI14">
            <v>268.28480000000002</v>
          </cell>
          <cell r="AJ14">
            <v>513.55460000000005</v>
          </cell>
          <cell r="AK14">
            <v>345.05900000000003</v>
          </cell>
          <cell r="AL14">
            <v>73.442999999999998</v>
          </cell>
          <cell r="AM14">
            <v>6213.2510000000002</v>
          </cell>
          <cell r="AN14">
            <v>95.105000000000004</v>
          </cell>
          <cell r="AO14">
            <v>637.22699999999998</v>
          </cell>
          <cell r="AP14">
            <v>107.099</v>
          </cell>
          <cell r="AQ14">
            <v>432.05770000000001</v>
          </cell>
          <cell r="AR14">
            <v>129.62700000000001</v>
          </cell>
          <cell r="AS14">
            <v>73.765000000000001</v>
          </cell>
          <cell r="AT14">
            <v>628.28300000000002</v>
          </cell>
          <cell r="AU14">
            <v>461.06200000000001</v>
          </cell>
          <cell r="AV14">
            <v>88.384</v>
          </cell>
          <cell r="AW14">
            <v>316.55599999999998</v>
          </cell>
          <cell r="AX14">
            <v>324.71800000000002</v>
          </cell>
          <cell r="AY14">
            <v>84.454250000000002</v>
          </cell>
          <cell r="AZ14">
            <v>201.78399999999999</v>
          </cell>
          <cell r="BA14">
            <v>820.36199999999997</v>
          </cell>
          <cell r="BB14">
            <v>81.410260000000008</v>
          </cell>
          <cell r="BC14">
            <v>92.027440000000013</v>
          </cell>
          <cell r="BD14">
            <v>182.1182</v>
          </cell>
          <cell r="BE14">
            <v>96.258250000000004</v>
          </cell>
          <cell r="BF14">
            <v>141.38220000000001</v>
          </cell>
          <cell r="BH14">
            <v>905.43899999999996</v>
          </cell>
          <cell r="BI14">
            <v>54.732613000000001</v>
          </cell>
          <cell r="BJ14">
            <v>139.36241000000001</v>
          </cell>
          <cell r="BK14">
            <v>209.703</v>
          </cell>
          <cell r="BL14">
            <v>66.688980000000001</v>
          </cell>
          <cell r="BM14">
            <v>66.455150000000003</v>
          </cell>
          <cell r="BN14">
            <v>8653.8709999999992</v>
          </cell>
          <cell r="BO14" t="str">
            <v>12/96</v>
          </cell>
          <cell r="BP14" t="str">
            <v>12/96</v>
          </cell>
          <cell r="BQ14" t="str">
            <v>12/96</v>
          </cell>
          <cell r="BR14" t="str">
            <v>12/96</v>
          </cell>
          <cell r="BS14" t="str">
            <v>12/96</v>
          </cell>
          <cell r="BT14" t="str">
            <v>12/96</v>
          </cell>
          <cell r="BU14" t="str">
            <v>12/96</v>
          </cell>
          <cell r="BV14" t="str">
            <v>12/96</v>
          </cell>
          <cell r="BW14">
            <v>186.46915000000001</v>
          </cell>
          <cell r="BX14">
            <v>395.87099999999998</v>
          </cell>
          <cell r="BY14">
            <v>61.928654000000002</v>
          </cell>
          <cell r="BZ14">
            <v>152.82052999999999</v>
          </cell>
          <cell r="CA14">
            <v>145.55376999999999</v>
          </cell>
          <cell r="CB14">
            <v>484.20157</v>
          </cell>
          <cell r="CC14">
            <v>208.43195</v>
          </cell>
          <cell r="CD14">
            <v>234.69373999999999</v>
          </cell>
          <cell r="CE14" t="e">
            <v>#N/A</v>
          </cell>
          <cell r="CF14">
            <v>187.82593</v>
          </cell>
          <cell r="CG14">
            <v>128.78043</v>
          </cell>
          <cell r="CH14">
            <v>229.00073</v>
          </cell>
          <cell r="CI14">
            <v>362.39272999999997</v>
          </cell>
          <cell r="CJ14">
            <v>486.47</v>
          </cell>
          <cell r="CK14">
            <v>73.387</v>
          </cell>
          <cell r="CL14">
            <v>8653.8709999999992</v>
          </cell>
          <cell r="CM14">
            <v>110.51</v>
          </cell>
          <cell r="CN14">
            <v>912.404</v>
          </cell>
          <cell r="CO14">
            <v>114.288</v>
          </cell>
          <cell r="CP14">
            <v>438.04498000000001</v>
          </cell>
          <cell r="CQ14">
            <v>120.812</v>
          </cell>
          <cell r="CR14">
            <v>114.759</v>
          </cell>
          <cell r="CS14">
            <v>794.42</v>
          </cell>
          <cell r="CT14">
            <v>323.27699999999999</v>
          </cell>
          <cell r="CU14">
            <v>111.696</v>
          </cell>
          <cell r="CV14">
            <v>304.91500000000002</v>
          </cell>
          <cell r="CW14">
            <v>333.69799999999998</v>
          </cell>
          <cell r="CX14">
            <v>80.314440000000005</v>
          </cell>
          <cell r="CY14">
            <v>223.245</v>
          </cell>
          <cell r="CZ14">
            <v>617.12800000000004</v>
          </cell>
          <cell r="DA14">
            <v>78.671999999999997</v>
          </cell>
        </row>
        <row r="15">
          <cell r="A15" t="str">
            <v>12/97</v>
          </cell>
          <cell r="B15">
            <v>4609.3910000000005</v>
          </cell>
          <cell r="C15">
            <v>187.631</v>
          </cell>
          <cell r="D15">
            <v>1052.0940000000001</v>
          </cell>
          <cell r="E15">
            <v>928.91200000000003</v>
          </cell>
          <cell r="F15">
            <v>227.875</v>
          </cell>
          <cell r="G15">
            <v>412.46500000000003</v>
          </cell>
          <cell r="H15">
            <v>127.20415000000001</v>
          </cell>
          <cell r="I15">
            <v>126.20864000000002</v>
          </cell>
          <cell r="K15" t="e">
            <v>#N/A</v>
          </cell>
          <cell r="L15">
            <v>18.0625</v>
          </cell>
          <cell r="M15">
            <v>8.2222220000000004</v>
          </cell>
          <cell r="N15">
            <v>29.75</v>
          </cell>
          <cell r="O15">
            <v>42.541670000000003</v>
          </cell>
          <cell r="P15" t="e">
            <v>#N/A</v>
          </cell>
          <cell r="Q15" t="e">
            <v>#N/A</v>
          </cell>
          <cell r="S15">
            <v>112.13963000000001</v>
          </cell>
          <cell r="T15">
            <v>106.53675000000001</v>
          </cell>
          <cell r="U15">
            <v>96.778250000000014</v>
          </cell>
          <cell r="V15">
            <v>96.429560000000009</v>
          </cell>
          <cell r="X15">
            <v>111.30549000000001</v>
          </cell>
          <cell r="Y15">
            <v>223.64400000000001</v>
          </cell>
          <cell r="Z15">
            <v>93.610030000000009</v>
          </cell>
          <cell r="AA15">
            <v>177.6943</v>
          </cell>
          <cell r="AB15">
            <v>112.13963000000001</v>
          </cell>
          <cell r="AC15">
            <v>224.89930000000001</v>
          </cell>
          <cell r="AD15">
            <v>83.188510000000008</v>
          </cell>
          <cell r="AE15">
            <v>105.86367000000001</v>
          </cell>
          <cell r="AF15" t="e">
            <v>#N/A</v>
          </cell>
          <cell r="AG15">
            <v>89.742100000000008</v>
          </cell>
          <cell r="AH15">
            <v>84.831180000000003</v>
          </cell>
          <cell r="AI15">
            <v>189.1258</v>
          </cell>
          <cell r="AJ15">
            <v>119.69192000000001</v>
          </cell>
          <cell r="AK15">
            <v>301.73500000000001</v>
          </cell>
          <cell r="AL15">
            <v>54.053000000000004</v>
          </cell>
          <cell r="AM15">
            <v>4609.3910000000005</v>
          </cell>
          <cell r="AN15">
            <v>104.22500000000001</v>
          </cell>
          <cell r="AO15">
            <v>162.19</v>
          </cell>
          <cell r="AP15">
            <v>35.075000000000003</v>
          </cell>
          <cell r="AQ15">
            <v>135.631</v>
          </cell>
          <cell r="AR15">
            <v>107.925</v>
          </cell>
          <cell r="AS15">
            <v>91.612000000000009</v>
          </cell>
          <cell r="AT15">
            <v>232.64500000000001</v>
          </cell>
          <cell r="AU15">
            <v>271.17200000000003</v>
          </cell>
          <cell r="AV15">
            <v>98.567000000000007</v>
          </cell>
          <cell r="AW15">
            <v>294.75</v>
          </cell>
          <cell r="AX15">
            <v>83.361000000000004</v>
          </cell>
          <cell r="AY15">
            <v>95.908650000000009</v>
          </cell>
          <cell r="AZ15">
            <v>227.875</v>
          </cell>
          <cell r="BA15">
            <v>936.59100000000001</v>
          </cell>
          <cell r="BB15">
            <v>94.531800000000004</v>
          </cell>
          <cell r="BC15">
            <v>117.69319000000002</v>
          </cell>
          <cell r="BD15">
            <v>105.60365</v>
          </cell>
          <cell r="BE15">
            <v>118.32064000000001</v>
          </cell>
          <cell r="BF15">
            <v>99.591750000000005</v>
          </cell>
          <cell r="BH15">
            <v>769.19500000000005</v>
          </cell>
          <cell r="BI15">
            <v>90.444725000000005</v>
          </cell>
          <cell r="BJ15">
            <v>104.61011499999999</v>
          </cell>
          <cell r="BK15">
            <v>134.41240999999999</v>
          </cell>
          <cell r="BL15">
            <v>96.429559999999995</v>
          </cell>
          <cell r="BM15">
            <v>97.860429999999994</v>
          </cell>
          <cell r="BN15">
            <v>6431.2049999999999</v>
          </cell>
          <cell r="BO15" t="str">
            <v>12/97</v>
          </cell>
          <cell r="BP15" t="str">
            <v>12/97</v>
          </cell>
          <cell r="BQ15" t="str">
            <v>12/97</v>
          </cell>
          <cell r="BR15" t="str">
            <v>12/97</v>
          </cell>
          <cell r="BS15" t="str">
            <v>12/97</v>
          </cell>
          <cell r="BT15" t="str">
            <v>12/97</v>
          </cell>
          <cell r="BU15" t="str">
            <v>12/97</v>
          </cell>
          <cell r="BV15" t="str">
            <v>12/97</v>
          </cell>
          <cell r="BW15">
            <v>111.91157</v>
          </cell>
          <cell r="BX15">
            <v>270.25</v>
          </cell>
          <cell r="BY15">
            <v>88.121769999999998</v>
          </cell>
          <cell r="BZ15">
            <v>163.95313999999999</v>
          </cell>
          <cell r="CA15">
            <v>112.15772</v>
          </cell>
          <cell r="CB15">
            <v>155.44925000000001</v>
          </cell>
          <cell r="CC15">
            <v>117.25947600000001</v>
          </cell>
          <cell r="CD15">
            <v>75.888459999999995</v>
          </cell>
          <cell r="CE15" t="e">
            <v>#N/A</v>
          </cell>
          <cell r="CF15">
            <v>92.049099999999996</v>
          </cell>
          <cell r="CG15">
            <v>86.630619999999993</v>
          </cell>
          <cell r="CH15">
            <v>191.77037000000001</v>
          </cell>
          <cell r="CI15">
            <v>158.61197000000001</v>
          </cell>
          <cell r="CJ15">
            <v>518.55899999999997</v>
          </cell>
          <cell r="CK15">
            <v>54.073999999999998</v>
          </cell>
          <cell r="CL15">
            <v>6431.2049999999999</v>
          </cell>
          <cell r="CM15">
            <v>132.55000000000001</v>
          </cell>
          <cell r="CN15">
            <v>540.14800000000002</v>
          </cell>
          <cell r="CO15">
            <v>75.036000000000001</v>
          </cell>
          <cell r="CP15">
            <v>211.94202999999999</v>
          </cell>
          <cell r="CQ15">
            <v>122.395</v>
          </cell>
          <cell r="CR15">
            <v>156.48500000000001</v>
          </cell>
          <cell r="CS15">
            <v>446.27800000000002</v>
          </cell>
          <cell r="CT15">
            <v>229.036</v>
          </cell>
          <cell r="CU15">
            <v>135.58699999999999</v>
          </cell>
          <cell r="CV15">
            <v>337.26600000000002</v>
          </cell>
          <cell r="CW15">
            <v>160.876</v>
          </cell>
          <cell r="CX15">
            <v>98.751660000000001</v>
          </cell>
          <cell r="CY15">
            <v>268.24799999999999</v>
          </cell>
          <cell r="CZ15">
            <v>745.26199999999994</v>
          </cell>
          <cell r="DA15">
            <v>97.965000000000003</v>
          </cell>
        </row>
        <row r="16">
          <cell r="A16" t="str">
            <v>12/98</v>
          </cell>
          <cell r="B16">
            <v>4259.0219999999999</v>
          </cell>
          <cell r="C16">
            <v>174.26599999999999</v>
          </cell>
          <cell r="D16">
            <v>1208.2470000000001</v>
          </cell>
          <cell r="E16">
            <v>1196.3430000000001</v>
          </cell>
          <cell r="F16">
            <v>273.30099999999999</v>
          </cell>
          <cell r="G16">
            <v>298.97300000000001</v>
          </cell>
          <cell r="H16">
            <v>100</v>
          </cell>
          <cell r="I16">
            <v>100</v>
          </cell>
          <cell r="K16" t="e">
            <v>#N/A</v>
          </cell>
          <cell r="L16">
            <v>38.333330000000004</v>
          </cell>
          <cell r="M16">
            <v>12.138888999999999</v>
          </cell>
          <cell r="N16">
            <v>34.166670000000003</v>
          </cell>
          <cell r="O16">
            <v>39.625</v>
          </cell>
          <cell r="P16" t="e">
            <v>#N/A</v>
          </cell>
          <cell r="Q16" t="e">
            <v>#N/A</v>
          </cell>
          <cell r="S16">
            <v>100</v>
          </cell>
          <cell r="T16">
            <v>100</v>
          </cell>
          <cell r="U16">
            <v>100</v>
          </cell>
          <cell r="V16">
            <v>100</v>
          </cell>
          <cell r="X16">
            <v>100</v>
          </cell>
          <cell r="Y16">
            <v>207.12200000000001</v>
          </cell>
          <cell r="Z16">
            <v>100</v>
          </cell>
          <cell r="AA16">
            <v>100</v>
          </cell>
          <cell r="AB16">
            <v>100</v>
          </cell>
          <cell r="AC16">
            <v>100</v>
          </cell>
          <cell r="AD16">
            <v>100</v>
          </cell>
          <cell r="AE16">
            <v>100</v>
          </cell>
          <cell r="AF16" t="e">
            <v>#N/A</v>
          </cell>
          <cell r="AG16">
            <v>100</v>
          </cell>
          <cell r="AH16">
            <v>100</v>
          </cell>
          <cell r="AI16">
            <v>100</v>
          </cell>
          <cell r="AJ16">
            <v>100</v>
          </cell>
          <cell r="AK16">
            <v>313.18700000000001</v>
          </cell>
          <cell r="AL16">
            <v>30.36</v>
          </cell>
          <cell r="AM16">
            <v>4259.0219999999999</v>
          </cell>
          <cell r="AN16">
            <v>80.37</v>
          </cell>
          <cell r="AO16">
            <v>109.64700000000001</v>
          </cell>
          <cell r="AP16">
            <v>83.317999999999998</v>
          </cell>
          <cell r="AQ16">
            <v>91.784130000000005</v>
          </cell>
          <cell r="AR16">
            <v>80.692000000000007</v>
          </cell>
          <cell r="AS16">
            <v>36.131999999999998</v>
          </cell>
          <cell r="AT16">
            <v>261.95499999999998</v>
          </cell>
          <cell r="AU16">
            <v>256.77800000000002</v>
          </cell>
          <cell r="AV16">
            <v>71.658000000000001</v>
          </cell>
          <cell r="AW16">
            <v>231.536</v>
          </cell>
          <cell r="AX16">
            <v>92.736000000000004</v>
          </cell>
          <cell r="AY16">
            <v>100</v>
          </cell>
          <cell r="AZ16">
            <v>273.30099999999999</v>
          </cell>
          <cell r="BA16">
            <v>1149.952</v>
          </cell>
          <cell r="BB16">
            <v>100</v>
          </cell>
          <cell r="BC16">
            <v>100</v>
          </cell>
          <cell r="BD16">
            <v>100</v>
          </cell>
          <cell r="BE16">
            <v>100</v>
          </cell>
          <cell r="BF16">
            <v>100</v>
          </cell>
          <cell r="BH16">
            <v>695.77300000000002</v>
          </cell>
          <cell r="BI16">
            <v>100</v>
          </cell>
          <cell r="BJ16">
            <v>100</v>
          </cell>
          <cell r="BK16">
            <v>100</v>
          </cell>
          <cell r="BL16">
            <v>100</v>
          </cell>
          <cell r="BM16">
            <v>100</v>
          </cell>
          <cell r="BN16">
            <v>5941.3969999999999</v>
          </cell>
          <cell r="BO16" t="str">
            <v>12/98</v>
          </cell>
          <cell r="BP16" t="str">
            <v>12/98</v>
          </cell>
          <cell r="BQ16" t="str">
            <v>12/98</v>
          </cell>
          <cell r="BR16" t="str">
            <v>12/98</v>
          </cell>
          <cell r="BS16" t="str">
            <v>12/98</v>
          </cell>
          <cell r="BT16" t="str">
            <v>12/98</v>
          </cell>
          <cell r="BU16" t="str">
            <v>12/98</v>
          </cell>
          <cell r="BV16" t="str">
            <v>12/98</v>
          </cell>
          <cell r="BW16">
            <v>100</v>
          </cell>
          <cell r="BX16">
            <v>248.25700000000001</v>
          </cell>
          <cell r="BY16">
            <v>100</v>
          </cell>
          <cell r="BZ16">
            <v>100</v>
          </cell>
          <cell r="CA16">
            <v>100</v>
          </cell>
          <cell r="CB16">
            <v>100</v>
          </cell>
          <cell r="CC16">
            <v>100</v>
          </cell>
          <cell r="CD16">
            <v>100</v>
          </cell>
          <cell r="CE16" t="e">
            <v>#N/A</v>
          </cell>
          <cell r="CF16">
            <v>100</v>
          </cell>
          <cell r="CG16">
            <v>100</v>
          </cell>
          <cell r="CH16">
            <v>100</v>
          </cell>
          <cell r="CI16">
            <v>100</v>
          </cell>
          <cell r="CJ16">
            <v>571.76300000000003</v>
          </cell>
          <cell r="CK16">
            <v>30.370999999999999</v>
          </cell>
          <cell r="CL16">
            <v>5941.3969999999999</v>
          </cell>
          <cell r="CM16">
            <v>110.779</v>
          </cell>
          <cell r="CN16">
            <v>528.30799999999999</v>
          </cell>
          <cell r="CO16">
            <v>126.452</v>
          </cell>
          <cell r="CP16">
            <v>200.07692</v>
          </cell>
          <cell r="CQ16">
            <v>100.58799999999999</v>
          </cell>
          <cell r="CR16">
            <v>68.754999999999995</v>
          </cell>
          <cell r="CS16">
            <v>489.90800000000002</v>
          </cell>
          <cell r="CT16">
            <v>212.374</v>
          </cell>
          <cell r="CU16">
            <v>109.235</v>
          </cell>
          <cell r="CV16">
            <v>261.27999999999997</v>
          </cell>
          <cell r="CW16">
            <v>135.05199999999999</v>
          </cell>
          <cell r="CX16">
            <v>100</v>
          </cell>
          <cell r="CY16">
            <v>313.52100000000002</v>
          </cell>
          <cell r="CZ16">
            <v>887.98699999999997</v>
          </cell>
          <cell r="DA16">
            <v>100</v>
          </cell>
        </row>
        <row r="17">
          <cell r="A17" t="str">
            <v>12/99</v>
          </cell>
          <cell r="B17">
            <v>6595.116</v>
          </cell>
          <cell r="C17">
            <v>255.821</v>
          </cell>
          <cell r="D17">
            <v>1325.9359999999999</v>
          </cell>
          <cell r="E17">
            <v>1445.856</v>
          </cell>
          <cell r="F17">
            <v>341.62600000000003</v>
          </cell>
          <cell r="G17">
            <v>489.42</v>
          </cell>
          <cell r="H17">
            <v>149.71350000000001</v>
          </cell>
          <cell r="I17">
            <v>148.69920000000002</v>
          </cell>
          <cell r="K17" t="e">
            <v>#N/A</v>
          </cell>
          <cell r="L17">
            <v>48.1875</v>
          </cell>
          <cell r="M17">
            <v>16.54167</v>
          </cell>
          <cell r="N17">
            <v>55.416670000000003</v>
          </cell>
          <cell r="O17">
            <v>37.25</v>
          </cell>
          <cell r="P17" t="e">
            <v>#N/A</v>
          </cell>
          <cell r="Q17" t="e">
            <v>#N/A</v>
          </cell>
          <cell r="S17">
            <v>136.5446</v>
          </cell>
          <cell r="T17">
            <v>129.25650000000002</v>
          </cell>
          <cell r="U17">
            <v>112.18523</v>
          </cell>
          <cell r="V17">
            <v>80.185560000000009</v>
          </cell>
          <cell r="X17">
            <v>145.10339999999999</v>
          </cell>
          <cell r="Y17">
            <v>330.154</v>
          </cell>
          <cell r="Z17">
            <v>100.9264</v>
          </cell>
          <cell r="AA17">
            <v>137.596</v>
          </cell>
          <cell r="AB17">
            <v>136.5446</v>
          </cell>
          <cell r="AC17">
            <v>180.49940000000001</v>
          </cell>
          <cell r="AD17">
            <v>151.76410000000001</v>
          </cell>
          <cell r="AE17">
            <v>277.1157</v>
          </cell>
          <cell r="AF17" t="e">
            <v>#N/A</v>
          </cell>
          <cell r="AG17">
            <v>131.24440000000001</v>
          </cell>
          <cell r="AH17">
            <v>169.8681</v>
          </cell>
          <cell r="AI17">
            <v>105.52171000000001</v>
          </cell>
          <cell r="AJ17">
            <v>158.83150000000001</v>
          </cell>
          <cell r="AK17">
            <v>360.75299999999999</v>
          </cell>
          <cell r="AL17">
            <v>33.378</v>
          </cell>
          <cell r="AM17">
            <v>6595.116</v>
          </cell>
          <cell r="AN17">
            <v>148.41900000000001</v>
          </cell>
          <cell r="AO17">
            <v>210.572</v>
          </cell>
          <cell r="AP17">
            <v>158.44900000000001</v>
          </cell>
          <cell r="AQ17">
            <v>194.21100000000001</v>
          </cell>
          <cell r="AR17">
            <v>88.519000000000005</v>
          </cell>
          <cell r="AS17">
            <v>51.393000000000001</v>
          </cell>
          <cell r="AT17">
            <v>268.06400000000002</v>
          </cell>
          <cell r="AU17">
            <v>406.81299999999999</v>
          </cell>
          <cell r="AV17">
            <v>64.683999999999997</v>
          </cell>
          <cell r="AW17">
            <v>350.81200000000001</v>
          </cell>
          <cell r="AX17">
            <v>136.08799999999999</v>
          </cell>
          <cell r="AY17">
            <v>104.50827000000001</v>
          </cell>
          <cell r="AZ17">
            <v>341.62600000000003</v>
          </cell>
          <cell r="BA17">
            <v>1420.885</v>
          </cell>
          <cell r="BB17">
            <v>102.46969000000001</v>
          </cell>
          <cell r="BC17">
            <v>165.1232</v>
          </cell>
          <cell r="BD17">
            <v>145.1704</v>
          </cell>
          <cell r="BE17">
            <v>100.9593</v>
          </cell>
          <cell r="BF17">
            <v>188.89000000000001</v>
          </cell>
          <cell r="BH17">
            <v>1013.6609999999999</v>
          </cell>
          <cell r="BI17">
            <v>121.52939000000001</v>
          </cell>
          <cell r="BJ17">
            <v>125.92479</v>
          </cell>
          <cell r="BK17">
            <v>137.45316</v>
          </cell>
          <cell r="BL17">
            <v>80.185559999999995</v>
          </cell>
          <cell r="BM17">
            <v>115.808266</v>
          </cell>
          <cell r="BN17">
            <v>9231.4560000000001</v>
          </cell>
          <cell r="BO17" t="str">
            <v>12/99</v>
          </cell>
          <cell r="BP17" t="str">
            <v>12/99</v>
          </cell>
          <cell r="BQ17" t="str">
            <v>12/99</v>
          </cell>
          <cell r="BR17" t="str">
            <v>12/99</v>
          </cell>
          <cell r="BS17" t="str">
            <v>12/99</v>
          </cell>
          <cell r="BT17" t="str">
            <v>12/99</v>
          </cell>
          <cell r="BU17" t="str">
            <v>12/99</v>
          </cell>
          <cell r="BV17" t="str">
            <v>12/99</v>
          </cell>
          <cell r="BW17">
            <v>144.62018</v>
          </cell>
          <cell r="BX17">
            <v>388.65499999999997</v>
          </cell>
          <cell r="BY17">
            <v>94.602615</v>
          </cell>
          <cell r="BZ17">
            <v>140.90266</v>
          </cell>
          <cell r="CA17">
            <v>137.00722999999999</v>
          </cell>
          <cell r="CB17">
            <v>160.06554</v>
          </cell>
          <cell r="CC17">
            <v>142.96742</v>
          </cell>
          <cell r="CD17">
            <v>193.92995999999999</v>
          </cell>
          <cell r="CE17" t="e">
            <v>#N/A</v>
          </cell>
          <cell r="CF17">
            <v>135.96786</v>
          </cell>
          <cell r="CG17">
            <v>171.51536999999999</v>
          </cell>
          <cell r="CH17">
            <v>102.68039</v>
          </cell>
          <cell r="CI17">
            <v>164.25197</v>
          </cell>
          <cell r="CJ17">
            <v>617.33399999999995</v>
          </cell>
          <cell r="CK17">
            <v>33.479999999999997</v>
          </cell>
          <cell r="CL17">
            <v>9231.4560000000001</v>
          </cell>
          <cell r="CM17">
            <v>209.49100000000001</v>
          </cell>
          <cell r="CN17">
            <v>899.72799999999995</v>
          </cell>
          <cell r="CO17">
            <v>226.54</v>
          </cell>
          <cell r="CP17">
            <v>296.27</v>
          </cell>
          <cell r="CQ17">
            <v>111.773</v>
          </cell>
          <cell r="CR17">
            <v>103.483</v>
          </cell>
          <cell r="CS17">
            <v>519.37699999999995</v>
          </cell>
          <cell r="CT17">
            <v>339.726</v>
          </cell>
          <cell r="CU17">
            <v>102.595</v>
          </cell>
          <cell r="CV17">
            <v>385.21800000000002</v>
          </cell>
          <cell r="CW17">
            <v>204.95</v>
          </cell>
          <cell r="CX17">
            <v>108.67229500000001</v>
          </cell>
          <cell r="CY17">
            <v>401.22500000000002</v>
          </cell>
          <cell r="CZ17">
            <v>1121.298</v>
          </cell>
          <cell r="DA17">
            <v>105.76477</v>
          </cell>
        </row>
        <row r="18">
          <cell r="A18" t="str">
            <v>12/00</v>
          </cell>
          <cell r="B18">
            <v>5475.3289999999997</v>
          </cell>
          <cell r="C18">
            <v>175.48500000000001</v>
          </cell>
          <cell r="D18">
            <v>1146.2540000000001</v>
          </cell>
          <cell r="E18">
            <v>1249.864</v>
          </cell>
          <cell r="F18">
            <v>290.113</v>
          </cell>
          <cell r="G18">
            <v>333.79300000000001</v>
          </cell>
          <cell r="H18">
            <v>105.871</v>
          </cell>
          <cell r="I18">
            <v>112.55500000000001</v>
          </cell>
          <cell r="K18" t="e">
            <v>#N/A</v>
          </cell>
          <cell r="L18">
            <v>65.8125</v>
          </cell>
          <cell r="M18">
            <v>18.16667</v>
          </cell>
          <cell r="N18">
            <v>54.9375</v>
          </cell>
          <cell r="O18">
            <v>55</v>
          </cell>
          <cell r="P18" t="e">
            <v>#N/A</v>
          </cell>
          <cell r="Q18" t="e">
            <v>#N/A</v>
          </cell>
          <cell r="S18">
            <v>155.67099999999999</v>
          </cell>
          <cell r="T18">
            <v>101.214</v>
          </cell>
          <cell r="U18">
            <v>118.238</v>
          </cell>
          <cell r="V18">
            <v>90.594999999999999</v>
          </cell>
          <cell r="X18">
            <v>99.564000000000007</v>
          </cell>
          <cell r="Y18">
            <v>205.10400000000001</v>
          </cell>
          <cell r="Z18">
            <v>107.21900000000001</v>
          </cell>
          <cell r="AA18">
            <v>107.27200000000001</v>
          </cell>
          <cell r="AB18">
            <v>155.67099999999999</v>
          </cell>
          <cell r="AC18">
            <v>33.125250000000001</v>
          </cell>
          <cell r="AD18">
            <v>103.893</v>
          </cell>
          <cell r="AE18">
            <v>242.60400000000001</v>
          </cell>
          <cell r="AF18" t="e">
            <v>#N/A</v>
          </cell>
          <cell r="AG18">
            <v>66.974999999999994</v>
          </cell>
          <cell r="AH18">
            <v>129.667</v>
          </cell>
          <cell r="AI18">
            <v>60.06</v>
          </cell>
          <cell r="AJ18">
            <v>53.369</v>
          </cell>
          <cell r="AK18">
            <v>317.65100000000001</v>
          </cell>
          <cell r="AL18">
            <v>22.634</v>
          </cell>
          <cell r="AM18">
            <v>5475.3289999999997</v>
          </cell>
          <cell r="AN18">
            <v>114.547</v>
          </cell>
          <cell r="AO18">
            <v>77.83</v>
          </cell>
          <cell r="AP18">
            <v>78.674000000000007</v>
          </cell>
          <cell r="AQ18">
            <v>160.70600000000002</v>
          </cell>
          <cell r="AR18">
            <v>56.383000000000003</v>
          </cell>
          <cell r="AS18">
            <v>44.576000000000001</v>
          </cell>
          <cell r="AT18">
            <v>146.66900000000001</v>
          </cell>
          <cell r="AU18">
            <v>290.26100000000002</v>
          </cell>
          <cell r="AV18">
            <v>36.283999999999999</v>
          </cell>
          <cell r="AW18">
            <v>191.73400000000001</v>
          </cell>
          <cell r="AX18">
            <v>58.93</v>
          </cell>
          <cell r="AY18">
            <v>103.66800000000001</v>
          </cell>
          <cell r="AZ18">
            <v>290.113</v>
          </cell>
          <cell r="BA18">
            <v>1221.2529999999999</v>
          </cell>
          <cell r="BB18">
            <v>104.557</v>
          </cell>
          <cell r="BC18">
            <v>38.523000000000003</v>
          </cell>
          <cell r="BD18">
            <v>140.08699999999999</v>
          </cell>
          <cell r="BE18">
            <v>113.196</v>
          </cell>
          <cell r="BF18">
            <v>184.09200000000001</v>
          </cell>
          <cell r="BH18">
            <v>808.21299999999997</v>
          </cell>
          <cell r="BI18">
            <v>132.27000000000001</v>
          </cell>
          <cell r="BJ18">
            <v>106.471</v>
          </cell>
          <cell r="BK18">
            <v>111.297</v>
          </cell>
          <cell r="BL18">
            <v>90.594999999999999</v>
          </cell>
          <cell r="BM18">
            <v>131.69</v>
          </cell>
          <cell r="BN18">
            <v>7690.0720000000001</v>
          </cell>
          <cell r="BO18" t="str">
            <v>12/00</v>
          </cell>
          <cell r="BP18" t="str">
            <v>12/00</v>
          </cell>
          <cell r="BQ18" t="str">
            <v>12/00</v>
          </cell>
          <cell r="BR18" t="str">
            <v>12/00</v>
          </cell>
          <cell r="BS18" t="str">
            <v>12/00</v>
          </cell>
          <cell r="BT18" t="str">
            <v>12/00</v>
          </cell>
          <cell r="BU18" t="str">
            <v>12/00</v>
          </cell>
          <cell r="BV18" t="str">
            <v>12/00</v>
          </cell>
          <cell r="BW18">
            <v>103.922</v>
          </cell>
          <cell r="BX18">
            <v>252.47900000000001</v>
          </cell>
          <cell r="BY18">
            <v>118.35299999999999</v>
          </cell>
          <cell r="BZ18">
            <v>117.833</v>
          </cell>
          <cell r="CA18">
            <v>156.72900000000001</v>
          </cell>
          <cell r="CB18">
            <v>40.312800000000003</v>
          </cell>
          <cell r="CC18">
            <v>109.29300000000001</v>
          </cell>
          <cell r="CD18">
            <v>169.77799999999999</v>
          </cell>
          <cell r="CE18" t="e">
            <v>#N/A</v>
          </cell>
          <cell r="CF18">
            <v>86.085999999999999</v>
          </cell>
          <cell r="CG18">
            <v>136.268</v>
          </cell>
          <cell r="CH18">
            <v>61.671999999999997</v>
          </cell>
          <cell r="CI18">
            <v>63.716999999999999</v>
          </cell>
          <cell r="CJ18">
            <v>640.13199999999995</v>
          </cell>
          <cell r="CK18">
            <v>22.766999999999999</v>
          </cell>
          <cell r="CL18">
            <v>7690.0720000000001</v>
          </cell>
          <cell r="CM18">
            <v>173.43100000000001</v>
          </cell>
          <cell r="CN18">
            <v>456.37</v>
          </cell>
          <cell r="CO18">
            <v>125.61</v>
          </cell>
          <cell r="CP18">
            <v>245.15799999999999</v>
          </cell>
          <cell r="CQ18">
            <v>83.906999999999996</v>
          </cell>
          <cell r="CR18">
            <v>99.662000000000006</v>
          </cell>
          <cell r="CS18">
            <v>352.572</v>
          </cell>
          <cell r="CT18">
            <v>252.28800000000001</v>
          </cell>
          <cell r="CU18">
            <v>66.844999999999999</v>
          </cell>
          <cell r="CV18">
            <v>222.17099999999999</v>
          </cell>
          <cell r="CW18">
            <v>102.46</v>
          </cell>
          <cell r="CX18">
            <v>114.038</v>
          </cell>
          <cell r="CY18">
            <v>354.33499999999998</v>
          </cell>
          <cell r="CZ18">
            <v>1000.482</v>
          </cell>
          <cell r="DA18">
            <v>113.79900000000001</v>
          </cell>
        </row>
        <row r="19">
          <cell r="A19" t="str">
            <v>12/01</v>
          </cell>
          <cell r="B19">
            <v>4314.4040000000005</v>
          </cell>
          <cell r="C19">
            <v>167.083</v>
          </cell>
          <cell r="D19">
            <v>962.02499999999998</v>
          </cell>
          <cell r="E19">
            <v>1084.5440000000001</v>
          </cell>
          <cell r="F19">
            <v>240.03300000000002</v>
          </cell>
          <cell r="G19">
            <v>317.40000000000003</v>
          </cell>
          <cell r="H19">
            <v>103.596</v>
          </cell>
          <cell r="I19">
            <v>107.717</v>
          </cell>
          <cell r="K19" t="e">
            <v>#N/A</v>
          </cell>
          <cell r="L19">
            <v>53.95</v>
          </cell>
          <cell r="M19">
            <v>24.625</v>
          </cell>
          <cell r="N19">
            <v>35.69</v>
          </cell>
          <cell r="O19">
            <v>57.94</v>
          </cell>
          <cell r="P19" t="e">
            <v>#N/A</v>
          </cell>
          <cell r="Q19" t="e">
            <v>#N/A</v>
          </cell>
          <cell r="S19">
            <v>127.51600000000001</v>
          </cell>
          <cell r="T19">
            <v>97.997</v>
          </cell>
          <cell r="U19">
            <v>110.056</v>
          </cell>
          <cell r="V19">
            <v>88.635000000000005</v>
          </cell>
          <cell r="X19">
            <v>95.677000000000007</v>
          </cell>
          <cell r="Y19">
            <v>196.518</v>
          </cell>
          <cell r="Z19">
            <v>106.67</v>
          </cell>
          <cell r="AA19">
            <v>100.131</v>
          </cell>
          <cell r="AB19">
            <v>127.51600000000001</v>
          </cell>
          <cell r="AC19">
            <v>33.535000000000004</v>
          </cell>
          <cell r="AD19">
            <v>200.90100000000001</v>
          </cell>
          <cell r="AE19">
            <v>232.74200000000002</v>
          </cell>
          <cell r="AF19" t="e">
            <v>#N/A</v>
          </cell>
          <cell r="AG19">
            <v>68.796999999999997</v>
          </cell>
          <cell r="AH19">
            <v>99.72</v>
          </cell>
          <cell r="AI19">
            <v>61.84</v>
          </cell>
          <cell r="AJ19">
            <v>53.021999999999998</v>
          </cell>
          <cell r="AK19">
            <v>315.798</v>
          </cell>
          <cell r="AL19">
            <v>16.741</v>
          </cell>
          <cell r="AM19">
            <v>4314.4040000000005</v>
          </cell>
          <cell r="AN19">
            <v>90.292000000000002</v>
          </cell>
          <cell r="AO19">
            <v>69.358999999999995</v>
          </cell>
          <cell r="AP19">
            <v>114.84100000000001</v>
          </cell>
          <cell r="AQ19">
            <v>164.33199999999999</v>
          </cell>
          <cell r="AR19">
            <v>59.556000000000004</v>
          </cell>
          <cell r="AS19">
            <v>28.975999999999999</v>
          </cell>
          <cell r="AT19">
            <v>117.76900000000001</v>
          </cell>
          <cell r="AU19">
            <v>217.63499999999999</v>
          </cell>
          <cell r="AV19">
            <v>49.377000000000002</v>
          </cell>
          <cell r="AW19">
            <v>208.55100000000002</v>
          </cell>
          <cell r="AX19">
            <v>60.640999999999998</v>
          </cell>
          <cell r="AY19">
            <v>89.204000000000008</v>
          </cell>
          <cell r="AZ19">
            <v>240.03300000000002</v>
          </cell>
          <cell r="BA19">
            <v>1003.5160000000001</v>
          </cell>
          <cell r="BB19">
            <v>89.231999999999999</v>
          </cell>
          <cell r="BC19">
            <v>16.405000000000001</v>
          </cell>
          <cell r="BD19">
            <v>113.161</v>
          </cell>
          <cell r="BE19">
            <v>104.38800000000001</v>
          </cell>
          <cell r="BF19">
            <v>159.773</v>
          </cell>
          <cell r="BH19">
            <v>650.322</v>
          </cell>
          <cell r="BI19">
            <v>118.44799999999999</v>
          </cell>
          <cell r="BJ19">
            <v>108.03700000000001</v>
          </cell>
          <cell r="BK19">
            <v>61.472000000000001</v>
          </cell>
          <cell r="BL19">
            <v>88.635000000000005</v>
          </cell>
          <cell r="BM19">
            <v>125.81100000000001</v>
          </cell>
          <cell r="BN19">
            <v>6057.9669999999996</v>
          </cell>
          <cell r="BO19" t="str">
            <v>12/01</v>
          </cell>
          <cell r="BP19" t="str">
            <v>12/01</v>
          </cell>
          <cell r="BQ19" t="str">
            <v>12/01</v>
          </cell>
          <cell r="BR19" t="str">
            <v>12/01</v>
          </cell>
          <cell r="BS19" t="str">
            <v>12/01</v>
          </cell>
          <cell r="BT19" t="str">
            <v>12/01</v>
          </cell>
          <cell r="BU19" t="str">
            <v>12/01</v>
          </cell>
          <cell r="BV19" t="str">
            <v>12/01</v>
          </cell>
          <cell r="BW19">
            <v>103.182</v>
          </cell>
          <cell r="BX19">
            <v>248.21700000000001</v>
          </cell>
          <cell r="BY19">
            <v>127.81</v>
          </cell>
          <cell r="BZ19">
            <v>113.61799999999999</v>
          </cell>
          <cell r="CA19">
            <v>128.34800000000001</v>
          </cell>
          <cell r="CB19">
            <v>43.87</v>
          </cell>
          <cell r="CC19">
            <v>219.44499999999999</v>
          </cell>
          <cell r="CD19">
            <v>162.876</v>
          </cell>
          <cell r="CE19" t="e">
            <v>#N/A</v>
          </cell>
          <cell r="CF19">
            <v>91.257999999999996</v>
          </cell>
          <cell r="CG19">
            <v>111.596</v>
          </cell>
          <cell r="CH19">
            <v>67.161000000000001</v>
          </cell>
          <cell r="CI19">
            <v>64.543000000000006</v>
          </cell>
          <cell r="CJ19">
            <v>690.78700000000003</v>
          </cell>
          <cell r="CK19">
            <v>16.835000000000001</v>
          </cell>
          <cell r="CL19">
            <v>6057.9669999999996</v>
          </cell>
          <cell r="CM19">
            <v>141.21799999999999</v>
          </cell>
          <cell r="CN19">
            <v>437.18</v>
          </cell>
          <cell r="CO19">
            <v>190.38300000000001</v>
          </cell>
          <cell r="CP19">
            <v>250.68899999999999</v>
          </cell>
          <cell r="CQ19">
            <v>94.183000000000007</v>
          </cell>
          <cell r="CR19">
            <v>67.370999999999995</v>
          </cell>
          <cell r="CS19">
            <v>292.16000000000003</v>
          </cell>
          <cell r="CT19">
            <v>201.429</v>
          </cell>
          <cell r="CU19">
            <v>102.47199999999999</v>
          </cell>
          <cell r="CV19">
            <v>255.59399999999999</v>
          </cell>
          <cell r="CW19">
            <v>107.502</v>
          </cell>
          <cell r="CX19">
            <v>102.90300000000001</v>
          </cell>
          <cell r="CY19">
            <v>303.44600000000003</v>
          </cell>
          <cell r="CZ19">
            <v>847.93299999999999</v>
          </cell>
          <cell r="DA19">
            <v>101.265</v>
          </cell>
        </row>
        <row r="20">
          <cell r="A20" t="str">
            <v>12/02</v>
          </cell>
          <cell r="B20">
            <v>3424.288</v>
          </cell>
          <cell r="C20">
            <v>154.43200000000002</v>
          </cell>
          <cell r="D20">
            <v>791.07600000000002</v>
          </cell>
          <cell r="E20">
            <v>824.58299999999997</v>
          </cell>
          <cell r="F20">
            <v>190.797</v>
          </cell>
          <cell r="G20">
            <v>292.09000000000003</v>
          </cell>
          <cell r="H20">
            <v>95.51</v>
          </cell>
          <cell r="I20">
            <v>98.637</v>
          </cell>
          <cell r="K20" t="e">
            <v>#N/A</v>
          </cell>
          <cell r="L20">
            <v>29.72</v>
          </cell>
          <cell r="M20">
            <v>23.466670000000001</v>
          </cell>
          <cell r="N20">
            <v>35.35</v>
          </cell>
          <cell r="O20">
            <v>27.810000000000002</v>
          </cell>
          <cell r="P20" t="e">
            <v>#N/A</v>
          </cell>
          <cell r="Q20" t="e">
            <v>#N/A</v>
          </cell>
          <cell r="S20">
            <v>117.223</v>
          </cell>
          <cell r="T20">
            <v>97.317999999999998</v>
          </cell>
          <cell r="U20">
            <v>95.129000000000005</v>
          </cell>
          <cell r="V20">
            <v>85.605000000000004</v>
          </cell>
          <cell r="X20">
            <v>90.555999999999997</v>
          </cell>
          <cell r="Y20">
            <v>174.803</v>
          </cell>
          <cell r="Z20">
            <v>110.756</v>
          </cell>
          <cell r="AA20">
            <v>137.84800000000001</v>
          </cell>
          <cell r="AB20">
            <v>117.223</v>
          </cell>
          <cell r="AC20">
            <v>94.787000000000006</v>
          </cell>
          <cell r="AD20">
            <v>183.38900000000001</v>
          </cell>
          <cell r="AE20">
            <v>216.43899999999999</v>
          </cell>
          <cell r="AF20" t="e">
            <v>#N/A</v>
          </cell>
          <cell r="AG20">
            <v>35.655999999999999</v>
          </cell>
          <cell r="AH20">
            <v>92.225999999999999</v>
          </cell>
          <cell r="AI20">
            <v>65.191000000000003</v>
          </cell>
          <cell r="AJ20">
            <v>74.067999999999998</v>
          </cell>
          <cell r="AK20">
            <v>303.91700000000003</v>
          </cell>
          <cell r="AL20">
            <v>14.034000000000001</v>
          </cell>
          <cell r="AM20">
            <v>3424.288</v>
          </cell>
          <cell r="AN20">
            <v>95.646000000000001</v>
          </cell>
          <cell r="AO20">
            <v>95.787999999999997</v>
          </cell>
          <cell r="AP20">
            <v>123.37100000000001</v>
          </cell>
          <cell r="AQ20">
            <v>159.96700000000001</v>
          </cell>
          <cell r="AR20">
            <v>71.483000000000004</v>
          </cell>
          <cell r="AS20">
            <v>64.438000000000002</v>
          </cell>
          <cell r="AT20">
            <v>81.87</v>
          </cell>
          <cell r="AU20">
            <v>189.15299999999999</v>
          </cell>
          <cell r="AV20">
            <v>64.070999999999998</v>
          </cell>
          <cell r="AW20">
            <v>155.625</v>
          </cell>
          <cell r="AX20">
            <v>75.391000000000005</v>
          </cell>
          <cell r="AY20">
            <v>80.451000000000008</v>
          </cell>
          <cell r="AZ20">
            <v>190.797</v>
          </cell>
          <cell r="BA20">
            <v>792.21500000000003</v>
          </cell>
          <cell r="BB20">
            <v>80.39</v>
          </cell>
          <cell r="BC20">
            <v>9.3849999999999998</v>
          </cell>
          <cell r="BD20">
            <v>77.983000000000004</v>
          </cell>
          <cell r="BE20">
            <v>113.10600000000001</v>
          </cell>
          <cell r="BF20">
            <v>116.429</v>
          </cell>
          <cell r="BH20">
            <v>524.31299999999999</v>
          </cell>
          <cell r="BI20">
            <v>87.126000000000005</v>
          </cell>
          <cell r="BJ20">
            <v>100.60599999999999</v>
          </cell>
          <cell r="BK20">
            <v>42.101999999999997</v>
          </cell>
          <cell r="BL20">
            <v>85.605000000000004</v>
          </cell>
          <cell r="BM20">
            <v>98.311000000000007</v>
          </cell>
          <cell r="BN20">
            <v>4808.4399999999996</v>
          </cell>
          <cell r="BO20" t="str">
            <v>12/02</v>
          </cell>
          <cell r="BP20" t="str">
            <v>12/02</v>
          </cell>
          <cell r="BQ20" t="str">
            <v>12/02</v>
          </cell>
          <cell r="BR20" t="str">
            <v>12/02</v>
          </cell>
          <cell r="BS20" t="str">
            <v>12/02</v>
          </cell>
          <cell r="BT20" t="str">
            <v>12/02</v>
          </cell>
          <cell r="BU20" t="str">
            <v>12/02</v>
          </cell>
          <cell r="BV20" t="str">
            <v>12/02</v>
          </cell>
          <cell r="BW20">
            <v>93.486000000000004</v>
          </cell>
          <cell r="BX20">
            <v>212.12899999999999</v>
          </cell>
          <cell r="BY20">
            <v>120.639</v>
          </cell>
          <cell r="BZ20">
            <v>155.53800000000001</v>
          </cell>
          <cell r="CA20">
            <v>117.996</v>
          </cell>
          <cell r="CB20">
            <v>106.71</v>
          </cell>
          <cell r="CC20">
            <v>180.88</v>
          </cell>
          <cell r="CD20">
            <v>151.46799999999999</v>
          </cell>
          <cell r="CE20" t="e">
            <v>#N/A</v>
          </cell>
          <cell r="CF20">
            <v>48.933</v>
          </cell>
          <cell r="CG20">
            <v>96.948999999999998</v>
          </cell>
          <cell r="CH20">
            <v>70.355999999999995</v>
          </cell>
          <cell r="CI20">
            <v>87.858000000000004</v>
          </cell>
          <cell r="CJ20">
            <v>604.35199999999998</v>
          </cell>
          <cell r="CK20">
            <v>14.114000000000001</v>
          </cell>
          <cell r="CL20">
            <v>4808.4399999999996</v>
          </cell>
          <cell r="CM20">
            <v>148.75399999999999</v>
          </cell>
          <cell r="CN20">
            <v>519.58600000000001</v>
          </cell>
          <cell r="CO20">
            <v>184.68</v>
          </cell>
          <cell r="CP20">
            <v>244.03100000000001</v>
          </cell>
          <cell r="CQ20">
            <v>89.994</v>
          </cell>
          <cell r="CR20">
            <v>145.959</v>
          </cell>
          <cell r="CS20">
            <v>210.12700000000001</v>
          </cell>
          <cell r="CT20">
            <v>164.495</v>
          </cell>
          <cell r="CU20">
            <v>138.04</v>
          </cell>
          <cell r="CV20">
            <v>189.53</v>
          </cell>
          <cell r="CW20">
            <v>130.23400000000001</v>
          </cell>
          <cell r="CX20">
            <v>86.304000000000002</v>
          </cell>
          <cell r="CY20">
            <v>228.94300000000001</v>
          </cell>
          <cell r="CZ20">
            <v>634.274</v>
          </cell>
          <cell r="DA20">
            <v>84.593000000000004</v>
          </cell>
        </row>
        <row r="21">
          <cell r="A21" t="str">
            <v>12/03</v>
          </cell>
          <cell r="B21">
            <v>4536.1230000000005</v>
          </cell>
          <cell r="C21">
            <v>221.887</v>
          </cell>
          <cell r="D21">
            <v>1006.0808000000001</v>
          </cell>
          <cell r="E21">
            <v>1045.4069999999999</v>
          </cell>
          <cell r="F21">
            <v>251.1311</v>
          </cell>
          <cell r="G21">
            <v>442.77809999999999</v>
          </cell>
          <cell r="H21">
            <v>140.27199999999999</v>
          </cell>
          <cell r="I21">
            <v>138.76</v>
          </cell>
          <cell r="K21" t="e">
            <v>#N/A</v>
          </cell>
          <cell r="L21">
            <v>61.29</v>
          </cell>
          <cell r="M21">
            <v>19.02</v>
          </cell>
          <cell r="N21">
            <v>48.230000000000004</v>
          </cell>
          <cell r="O21">
            <v>28.28</v>
          </cell>
          <cell r="P21" t="e">
            <v>#N/A</v>
          </cell>
          <cell r="Q21">
            <v>491.48</v>
          </cell>
          <cell r="S21">
            <v>170.791</v>
          </cell>
          <cell r="T21">
            <v>135.18680000000001</v>
          </cell>
          <cell r="U21">
            <v>125.23043000000001</v>
          </cell>
          <cell r="V21">
            <v>105.39853000000001</v>
          </cell>
          <cell r="X21">
            <v>120.61555000000001</v>
          </cell>
          <cell r="Y21">
            <v>246.07480000000001</v>
          </cell>
          <cell r="Z21">
            <v>154.8552</v>
          </cell>
          <cell r="AA21">
            <v>309.23680000000002</v>
          </cell>
          <cell r="AB21">
            <v>170.791</v>
          </cell>
          <cell r="AC21">
            <v>183.86</v>
          </cell>
          <cell r="AD21">
            <v>213.89580000000001</v>
          </cell>
          <cell r="AE21">
            <v>286.27420000000001</v>
          </cell>
          <cell r="AF21" t="e">
            <v>#N/A</v>
          </cell>
          <cell r="AG21">
            <v>40.339040000000004</v>
          </cell>
          <cell r="AH21">
            <v>117.48626000000002</v>
          </cell>
          <cell r="AI21">
            <v>80.673030000000011</v>
          </cell>
          <cell r="AJ21">
            <v>168.346</v>
          </cell>
          <cell r="AK21">
            <v>441.06650000000002</v>
          </cell>
          <cell r="AL21">
            <v>25.414160000000003</v>
          </cell>
          <cell r="AM21">
            <v>4536.1230000000005</v>
          </cell>
          <cell r="AN21">
            <v>166.35040000000001</v>
          </cell>
          <cell r="AO21">
            <v>162.81550000000001</v>
          </cell>
          <cell r="AP21">
            <v>163.5891</v>
          </cell>
          <cell r="AQ21">
            <v>196.94660000000002</v>
          </cell>
          <cell r="AR21">
            <v>107.297</v>
          </cell>
          <cell r="AS21">
            <v>84.483220000000003</v>
          </cell>
          <cell r="AT21">
            <v>113.78615000000001</v>
          </cell>
          <cell r="AU21">
            <v>253.87280000000001</v>
          </cell>
          <cell r="AV21">
            <v>91.035510000000002</v>
          </cell>
          <cell r="AW21">
            <v>217.89530000000002</v>
          </cell>
          <cell r="AX21">
            <v>176.60680000000002</v>
          </cell>
          <cell r="AY21">
            <v>109.51927000000001</v>
          </cell>
          <cell r="AZ21">
            <v>251.1311</v>
          </cell>
          <cell r="BA21">
            <v>1036.318</v>
          </cell>
          <cell r="BB21">
            <v>109.04063000000001</v>
          </cell>
          <cell r="BC21">
            <v>8.1018720000000002</v>
          </cell>
          <cell r="BD21">
            <v>105.61885000000001</v>
          </cell>
          <cell r="BE21">
            <v>128.95660000000001</v>
          </cell>
          <cell r="BF21">
            <v>185.5204</v>
          </cell>
          <cell r="BH21">
            <v>637.32378800000004</v>
          </cell>
          <cell r="BI21">
            <v>107.07597</v>
          </cell>
          <cell r="BJ21">
            <v>118.07594</v>
          </cell>
          <cell r="BK21">
            <v>66.877883999999995</v>
          </cell>
          <cell r="BL21">
            <v>108.59754</v>
          </cell>
          <cell r="BM21">
            <v>116.38796000000001</v>
          </cell>
          <cell r="BN21">
            <v>6341.3123420000002</v>
          </cell>
          <cell r="BO21" t="str">
            <v>12/03</v>
          </cell>
          <cell r="BP21" t="str">
            <v>12/03</v>
          </cell>
          <cell r="BQ21" t="str">
            <v>12/03</v>
          </cell>
          <cell r="BR21" t="str">
            <v>12/03</v>
          </cell>
          <cell r="BS21" t="str">
            <v>12/03</v>
          </cell>
          <cell r="BT21" t="str">
            <v>12/03</v>
          </cell>
          <cell r="BU21" t="str">
            <v>12/03</v>
          </cell>
          <cell r="BV21" t="str">
            <v>12/03</v>
          </cell>
          <cell r="BW21">
            <v>122.88428500000001</v>
          </cell>
          <cell r="BX21">
            <v>295.388983</v>
          </cell>
          <cell r="BY21">
            <v>126.060745</v>
          </cell>
          <cell r="BZ21">
            <v>332.00414999999998</v>
          </cell>
          <cell r="CA21">
            <v>171.15145999999999</v>
          </cell>
          <cell r="CB21">
            <v>194.78743</v>
          </cell>
          <cell r="CC21">
            <v>211.93912</v>
          </cell>
          <cell r="CD21">
            <v>200.33919</v>
          </cell>
          <cell r="CE21" t="e">
            <v>#N/A</v>
          </cell>
          <cell r="CF21">
            <v>57.573869999999999</v>
          </cell>
          <cell r="CG21">
            <v>120.9254</v>
          </cell>
          <cell r="CH21">
            <v>85.011229999999998</v>
          </cell>
          <cell r="CI21">
            <v>183.57749999999999</v>
          </cell>
          <cell r="CJ21">
            <v>655.49588400000005</v>
          </cell>
          <cell r="CK21">
            <v>25.446770000000001</v>
          </cell>
          <cell r="CL21">
            <v>6341.3123420000002</v>
          </cell>
          <cell r="CM21">
            <v>246.172222</v>
          </cell>
          <cell r="CN21">
            <v>831.10949700000003</v>
          </cell>
          <cell r="CO21">
            <v>246.00883200000001</v>
          </cell>
          <cell r="CP21">
            <v>300.44264600000002</v>
          </cell>
          <cell r="CQ21">
            <v>107.616057</v>
          </cell>
          <cell r="CR21">
            <v>188.19763599999999</v>
          </cell>
          <cell r="CS21">
            <v>303.72318799999999</v>
          </cell>
          <cell r="CT21">
            <v>216.19277600000001</v>
          </cell>
          <cell r="CU21">
            <v>196.611063</v>
          </cell>
          <cell r="CV21">
            <v>259.109264</v>
          </cell>
          <cell r="CW21">
            <v>280.46529099999998</v>
          </cell>
          <cell r="CX21">
            <v>107.376</v>
          </cell>
          <cell r="CY21">
            <v>282.83331399999997</v>
          </cell>
          <cell r="CZ21">
            <v>778.60021200000006</v>
          </cell>
          <cell r="DA21">
            <v>104.75093</v>
          </cell>
        </row>
        <row r="22">
          <cell r="A22" t="str">
            <v>12/04</v>
          </cell>
          <cell r="B22">
            <v>5479.0420000000004</v>
          </cell>
          <cell r="C22">
            <v>263.96260000000001</v>
          </cell>
          <cell r="D22">
            <v>1162.443</v>
          </cell>
          <cell r="E22">
            <v>1137.4290000000001</v>
          </cell>
          <cell r="F22">
            <v>284.52050000000003</v>
          </cell>
          <cell r="G22">
            <v>542.17450000000008</v>
          </cell>
          <cell r="H22">
            <v>195.82570000000001</v>
          </cell>
          <cell r="I22">
            <v>187.87090000000001</v>
          </cell>
          <cell r="K22" t="e">
            <v>#N/A</v>
          </cell>
          <cell r="L22">
            <v>84.210000000000008</v>
          </cell>
          <cell r="M22">
            <v>24.85</v>
          </cell>
          <cell r="N22">
            <v>56.370000000000005</v>
          </cell>
          <cell r="P22" t="e">
            <v>#N/A</v>
          </cell>
          <cell r="Q22">
            <v>600.57569999999998</v>
          </cell>
          <cell r="S22">
            <v>176.60060000000001</v>
          </cell>
          <cell r="T22">
            <v>154.23830000000001</v>
          </cell>
          <cell r="U22">
            <v>143.07850000000002</v>
          </cell>
          <cell r="V22">
            <v>116.82982000000001</v>
          </cell>
          <cell r="X22">
            <v>136.8664</v>
          </cell>
          <cell r="Y22">
            <v>281.09780000000001</v>
          </cell>
          <cell r="Z22">
            <v>175.93860000000001</v>
          </cell>
          <cell r="AA22">
            <v>405.69740000000002</v>
          </cell>
          <cell r="AB22">
            <v>176.60060000000001</v>
          </cell>
          <cell r="AC22">
            <v>327.33100000000002</v>
          </cell>
          <cell r="AD22">
            <v>247.1542</v>
          </cell>
          <cell r="AE22">
            <v>337.73580000000004</v>
          </cell>
          <cell r="AF22" t="e">
            <v>#N/A</v>
          </cell>
          <cell r="AG22">
            <v>50.305540000000001</v>
          </cell>
          <cell r="AH22">
            <v>132.46940000000001</v>
          </cell>
          <cell r="AI22">
            <v>99.612880000000004</v>
          </cell>
          <cell r="AJ22">
            <v>152.4228</v>
          </cell>
          <cell r="AK22">
            <v>558.59410000000003</v>
          </cell>
          <cell r="AL22">
            <v>25.211950000000002</v>
          </cell>
          <cell r="AM22">
            <v>5479.0420000000004</v>
          </cell>
          <cell r="AN22">
            <v>193.72560000000001</v>
          </cell>
          <cell r="AO22">
            <v>235.33860000000001</v>
          </cell>
          <cell r="AP22">
            <v>196.23950000000002</v>
          </cell>
          <cell r="AQ22">
            <v>220.21</v>
          </cell>
          <cell r="AR22">
            <v>139.26670000000001</v>
          </cell>
          <cell r="AS22">
            <v>91.757460000000009</v>
          </cell>
          <cell r="AT22">
            <v>141.22999999999999</v>
          </cell>
          <cell r="AU22">
            <v>301.6968</v>
          </cell>
          <cell r="AV22">
            <v>98.143960000000007</v>
          </cell>
          <cell r="AW22">
            <v>232.13750000000002</v>
          </cell>
          <cell r="AX22">
            <v>169.46680000000001</v>
          </cell>
          <cell r="AY22">
            <v>128.66580000000002</v>
          </cell>
          <cell r="AZ22">
            <v>284.52050000000003</v>
          </cell>
          <cell r="BA22">
            <v>1169.3410000000001</v>
          </cell>
          <cell r="BB22">
            <v>126.81716000000002</v>
          </cell>
          <cell r="BC22">
            <v>8.1339249999999996</v>
          </cell>
          <cell r="BD22">
            <v>133.28579999999999</v>
          </cell>
          <cell r="BE22">
            <v>159.66730000000001</v>
          </cell>
          <cell r="BF22">
            <v>255.78580000000002</v>
          </cell>
          <cell r="BH22">
            <v>699.09511799999996</v>
          </cell>
          <cell r="BI22">
            <v>118.11136</v>
          </cell>
          <cell r="BJ22">
            <v>129.05972</v>
          </cell>
          <cell r="BK22">
            <v>89.446420000000003</v>
          </cell>
          <cell r="BL22">
            <v>121.41524</v>
          </cell>
          <cell r="BM22">
            <v>123.98909999999999</v>
          </cell>
          <cell r="BN22">
            <v>7668.4529810000004</v>
          </cell>
          <cell r="BO22" t="str">
            <v>12/04</v>
          </cell>
          <cell r="BP22" t="str">
            <v>12/04</v>
          </cell>
          <cell r="BQ22" t="str">
            <v>12/04</v>
          </cell>
          <cell r="BR22" t="str">
            <v>12/04</v>
          </cell>
          <cell r="BS22" t="str">
            <v>12/04</v>
          </cell>
          <cell r="BT22" t="str">
            <v>12/04</v>
          </cell>
          <cell r="BU22" t="str">
            <v>12/04</v>
          </cell>
          <cell r="BV22" t="str">
            <v>12/04</v>
          </cell>
          <cell r="BW22">
            <v>133.25434999999999</v>
          </cell>
          <cell r="BX22">
            <v>320.59238800000003</v>
          </cell>
          <cell r="BY22">
            <v>137.66032000000001</v>
          </cell>
          <cell r="BZ22">
            <v>414.99340000000001</v>
          </cell>
          <cell r="CA22">
            <v>177.18075999999999</v>
          </cell>
          <cell r="CB22">
            <v>382.19497999999999</v>
          </cell>
          <cell r="CC22">
            <v>212.76839000000001</v>
          </cell>
          <cell r="CD22">
            <v>236.35287</v>
          </cell>
          <cell r="CE22" t="e">
            <v>#N/A</v>
          </cell>
          <cell r="CF22">
            <v>72.580929999999995</v>
          </cell>
          <cell r="CG22">
            <v>131.05641</v>
          </cell>
          <cell r="CH22">
            <v>97.981920000000002</v>
          </cell>
          <cell r="CI22">
            <v>162.97308000000001</v>
          </cell>
          <cell r="CJ22">
            <v>797.91387599999996</v>
          </cell>
          <cell r="CK22">
            <v>25.273336</v>
          </cell>
          <cell r="CL22">
            <v>7668.4529810000004</v>
          </cell>
          <cell r="CM22">
            <v>273.14231599999999</v>
          </cell>
          <cell r="CN22">
            <v>1323.9748890000001</v>
          </cell>
          <cell r="CO22">
            <v>256.396998</v>
          </cell>
          <cell r="CP22">
            <v>335.931442</v>
          </cell>
          <cell r="CQ22">
            <v>126.965903</v>
          </cell>
          <cell r="CR22">
            <v>211.64990700000001</v>
          </cell>
          <cell r="CS22">
            <v>381.084924</v>
          </cell>
          <cell r="CT22">
            <v>246.97665699999999</v>
          </cell>
          <cell r="CU22">
            <v>228.41533899999999</v>
          </cell>
          <cell r="CV22">
            <v>257.66935999999998</v>
          </cell>
          <cell r="CW22">
            <v>263.87943200000001</v>
          </cell>
          <cell r="CX22">
            <v>120.839905</v>
          </cell>
          <cell r="CY22">
            <v>310.18056799999999</v>
          </cell>
          <cell r="CZ22">
            <v>852.46122200000002</v>
          </cell>
          <cell r="DA22">
            <v>117.00937999999999</v>
          </cell>
        </row>
        <row r="23">
          <cell r="A23" t="str">
            <v>12/05</v>
          </cell>
          <cell r="B23">
            <v>5741.6670000000004</v>
          </cell>
          <cell r="C23">
            <v>308.0342</v>
          </cell>
          <cell r="D23">
            <v>1205.6420000000001</v>
          </cell>
          <cell r="E23">
            <v>1180.6400000000001</v>
          </cell>
          <cell r="F23">
            <v>309.63</v>
          </cell>
          <cell r="G23">
            <v>706.48329999999999</v>
          </cell>
          <cell r="H23">
            <v>258.77680000000004</v>
          </cell>
          <cell r="I23">
            <v>240.59490000000002</v>
          </cell>
          <cell r="K23" t="e">
            <v>#N/A</v>
          </cell>
          <cell r="M23">
            <v>28.19</v>
          </cell>
          <cell r="P23" t="e">
            <v>#N/A</v>
          </cell>
          <cell r="S23">
            <v>170.93899999999999</v>
          </cell>
          <cell r="T23">
            <v>176.04949999999999</v>
          </cell>
          <cell r="U23">
            <v>135.19030000000001</v>
          </cell>
          <cell r="V23">
            <v>111.46535000000002</v>
          </cell>
          <cell r="X23">
            <v>154.33520000000001</v>
          </cell>
          <cell r="Y23">
            <v>331.30060000000003</v>
          </cell>
          <cell r="Z23">
            <v>196.9871</v>
          </cell>
          <cell r="AA23">
            <v>580.83780000000002</v>
          </cell>
          <cell r="AB23">
            <v>170.93899999999999</v>
          </cell>
          <cell r="AC23">
            <v>322.74690000000004</v>
          </cell>
          <cell r="AD23">
            <v>465.69560000000001</v>
          </cell>
          <cell r="AE23">
            <v>331.27140000000003</v>
          </cell>
          <cell r="AF23" t="e">
            <v>#N/A</v>
          </cell>
          <cell r="AG23">
            <v>58.438600000000001</v>
          </cell>
          <cell r="AH23">
            <v>141.92500000000001</v>
          </cell>
          <cell r="AI23">
            <v>80.288050000000013</v>
          </cell>
          <cell r="AJ23">
            <v>162.2174</v>
          </cell>
          <cell r="AK23">
            <v>628.65719999999999</v>
          </cell>
          <cell r="AL23">
            <v>29.228380000000001</v>
          </cell>
          <cell r="AM23">
            <v>5741.6670000000004</v>
          </cell>
          <cell r="AN23">
            <v>262.25839999999999</v>
          </cell>
          <cell r="AO23">
            <v>264.89780000000002</v>
          </cell>
          <cell r="AP23">
            <v>302.75470000000001</v>
          </cell>
          <cell r="AQ23">
            <v>216.85430000000002</v>
          </cell>
          <cell r="AR23">
            <v>134.45920000000001</v>
          </cell>
          <cell r="AS23">
            <v>143.59299999999999</v>
          </cell>
          <cell r="AT23">
            <v>169.39070000000001</v>
          </cell>
          <cell r="AU23">
            <v>334.15590000000003</v>
          </cell>
          <cell r="AV23">
            <v>128.27260000000001</v>
          </cell>
          <cell r="AW23">
            <v>239.76150000000001</v>
          </cell>
          <cell r="AX23">
            <v>177.68049999999999</v>
          </cell>
          <cell r="AY23">
            <v>137.11600000000001</v>
          </cell>
          <cell r="AZ23">
            <v>309.63</v>
          </cell>
          <cell r="BA23">
            <v>1257.7750000000001</v>
          </cell>
          <cell r="BB23">
            <v>132.8261</v>
          </cell>
          <cell r="BC23">
            <v>9.6360689999999991</v>
          </cell>
          <cell r="BD23">
            <v>138.1234</v>
          </cell>
          <cell r="BE23">
            <v>165.91290000000001</v>
          </cell>
          <cell r="BF23">
            <v>396.33760000000001</v>
          </cell>
          <cell r="BH23">
            <v>999.314753</v>
          </cell>
          <cell r="BI23">
            <v>138.79866000000001</v>
          </cell>
          <cell r="BJ23">
            <v>152.43681000000001</v>
          </cell>
          <cell r="BK23">
            <v>145.30498</v>
          </cell>
          <cell r="BL23">
            <v>119.0635</v>
          </cell>
          <cell r="BM23">
            <v>131.01652999999999</v>
          </cell>
          <cell r="BN23">
            <v>8016.2224349999997</v>
          </cell>
          <cell r="BO23" t="str">
            <v>12/05</v>
          </cell>
          <cell r="BP23" t="str">
            <v>12/05</v>
          </cell>
          <cell r="BQ23" t="str">
            <v>12/05</v>
          </cell>
          <cell r="BR23" t="str">
            <v>12/05</v>
          </cell>
          <cell r="BS23" t="str">
            <v>12/05</v>
          </cell>
          <cell r="BT23" t="str">
            <v>12/05</v>
          </cell>
          <cell r="BU23" t="str">
            <v>12/05</v>
          </cell>
          <cell r="BV23" t="str">
            <v>12/05</v>
          </cell>
          <cell r="BW23">
            <v>151.90003999999999</v>
          </cell>
          <cell r="BX23">
            <v>379.73646200000002</v>
          </cell>
          <cell r="BY23">
            <v>164.70865000000001</v>
          </cell>
          <cell r="BZ23">
            <v>615.19569999999999</v>
          </cell>
          <cell r="CA23">
            <v>171.07804999999999</v>
          </cell>
          <cell r="CB23">
            <v>399.47543000000002</v>
          </cell>
          <cell r="CC23">
            <v>391.47473000000002</v>
          </cell>
          <cell r="CD23">
            <v>230.57834</v>
          </cell>
          <cell r="CE23" t="e">
            <v>#N/A</v>
          </cell>
          <cell r="CF23">
            <v>79.673293999999999</v>
          </cell>
          <cell r="CG23">
            <v>143.02596</v>
          </cell>
          <cell r="CH23">
            <v>81.846829999999997</v>
          </cell>
          <cell r="CI23">
            <v>183.04431</v>
          </cell>
          <cell r="CJ23">
            <v>959.63164200000006</v>
          </cell>
          <cell r="CK23">
            <v>29.227450999999999</v>
          </cell>
          <cell r="CL23">
            <v>8016.2224349999997</v>
          </cell>
          <cell r="CM23">
            <v>382.86943600000001</v>
          </cell>
          <cell r="CN23">
            <v>1579.774214</v>
          </cell>
          <cell r="CO23">
            <v>386.26007800000002</v>
          </cell>
          <cell r="CP23">
            <v>329.02725099999998</v>
          </cell>
          <cell r="CQ23">
            <v>130.007609</v>
          </cell>
          <cell r="CR23">
            <v>333.24945200000002</v>
          </cell>
          <cell r="CS23">
            <v>431.90808399999997</v>
          </cell>
          <cell r="CT23">
            <v>278.62365699999998</v>
          </cell>
          <cell r="CU23">
            <v>291.76310699999999</v>
          </cell>
          <cell r="CV23">
            <v>275.814729</v>
          </cell>
          <cell r="CW23">
            <v>291.98023000000001</v>
          </cell>
          <cell r="CX23">
            <v>137.80275</v>
          </cell>
          <cell r="CY23">
            <v>355.95698800000002</v>
          </cell>
          <cell r="CZ23">
            <v>969.56464500000004</v>
          </cell>
          <cell r="DA23">
            <v>131.6097</v>
          </cell>
        </row>
        <row r="24">
          <cell r="BZ24">
            <v>1.482422852989951</v>
          </cell>
          <cell r="CC24">
            <v>1.8399101953067372</v>
          </cell>
          <cell r="CD24">
            <v>0.97556818328459483</v>
          </cell>
          <cell r="CH24">
            <v>0.83532584378832331</v>
          </cell>
          <cell r="CM24">
            <v>1.4017214234941173</v>
          </cell>
          <cell r="CO24">
            <v>1.5064922015974618</v>
          </cell>
          <cell r="CP24">
            <v>0.9794476189579181</v>
          </cell>
          <cell r="CV24">
            <v>1.0704211358308182</v>
          </cell>
          <cell r="CW24">
            <v>-0.21962878363759453</v>
          </cell>
        </row>
        <row r="25">
          <cell r="CO25">
            <v>1.2213207564936108</v>
          </cell>
        </row>
        <row r="30">
          <cell r="BX30" t="str">
            <v>MSIC Banks to Local Index</v>
          </cell>
        </row>
        <row r="31">
          <cell r="BW31" t="str">
            <v>KO</v>
          </cell>
          <cell r="BX31">
            <v>0.22132075649361083</v>
          </cell>
        </row>
        <row r="32">
          <cell r="BW32" t="str">
            <v>IN</v>
          </cell>
          <cell r="BX32">
            <v>5.7573087022289027E-2</v>
          </cell>
        </row>
        <row r="33">
          <cell r="BW33" t="str">
            <v>TH</v>
          </cell>
          <cell r="BX33">
            <v>1.5061729868453888E-2</v>
          </cell>
        </row>
        <row r="34">
          <cell r="BW34" t="str">
            <v>MY</v>
          </cell>
          <cell r="BX34">
            <v>-3.9608403739352926E-3</v>
          </cell>
        </row>
        <row r="35">
          <cell r="BW35" t="str">
            <v>AU</v>
          </cell>
          <cell r="BX35">
            <v>-5.1465944290310928E-3</v>
          </cell>
        </row>
        <row r="36">
          <cell r="BW36" t="str">
            <v>SG</v>
          </cell>
          <cell r="BX36">
            <v>-3.2625747849992393E-2</v>
          </cell>
        </row>
        <row r="37">
          <cell r="BW37" t="str">
            <v>HK</v>
          </cell>
          <cell r="BX37">
            <v>-7.6332355802377072E-2</v>
          </cell>
        </row>
        <row r="38">
          <cell r="BW38" t="str">
            <v>INDO</v>
          </cell>
          <cell r="BX38">
            <v>-0.12402881180106362</v>
          </cell>
        </row>
        <row r="39">
          <cell r="BW39" t="str">
            <v>TW</v>
          </cell>
          <cell r="BX39">
            <v>-0.21962878363759453</v>
          </cell>
        </row>
      </sheetData>
      <sheetData sheetId="48"/>
      <sheetData sheetId="49"/>
      <sheetData sheetId="50"/>
      <sheetData sheetId="51" refreshError="1"/>
      <sheetData sheetId="52" refreshError="1"/>
      <sheetData sheetId="53" refreshError="1">
        <row r="1">
          <cell r="B1" t="str">
            <v>2005 Loan to Annualised GDP</v>
          </cell>
          <cell r="C1" t="str">
            <v>2005 Deposit to Annualised GDP</v>
          </cell>
          <cell r="D1" t="str">
            <v>2005 Loan to Deposit</v>
          </cell>
        </row>
        <row r="2">
          <cell r="A2" t="str">
            <v>KO</v>
          </cell>
          <cell r="B2">
            <v>0.95</v>
          </cell>
          <cell r="C2">
            <v>0.82149782828061257</v>
          </cell>
          <cell r="D2">
            <v>1.1564242378928027</v>
          </cell>
        </row>
        <row r="3">
          <cell r="A3" t="str">
            <v>TH</v>
          </cell>
          <cell r="B3">
            <v>0.84341729204244553</v>
          </cell>
          <cell r="C3">
            <v>0.90686805740064524</v>
          </cell>
          <cell r="D3">
            <v>0.93003307940951352</v>
          </cell>
        </row>
        <row r="4">
          <cell r="A4" t="str">
            <v>SG</v>
          </cell>
          <cell r="B4">
            <v>0.96396706571064572</v>
          </cell>
          <cell r="C4">
            <v>1.1753477157627636</v>
          </cell>
          <cell r="D4">
            <v>0.8201547957108688</v>
          </cell>
        </row>
        <row r="5">
          <cell r="A5" t="str">
            <v>CN</v>
          </cell>
          <cell r="B5">
            <v>1.2177434668935063</v>
          </cell>
          <cell r="C5">
            <v>1.8776945545978809</v>
          </cell>
          <cell r="D5">
            <v>0.64853118091631956</v>
          </cell>
        </row>
        <row r="6">
          <cell r="A6" t="str">
            <v>IN</v>
          </cell>
          <cell r="B6">
            <v>0.34</v>
          </cell>
          <cell r="C6">
            <v>0.55452381743517953</v>
          </cell>
          <cell r="D6">
            <v>0.61313867738376082</v>
          </cell>
        </row>
        <row r="7">
          <cell r="A7" t="str">
            <v>TW</v>
          </cell>
          <cell r="B7">
            <v>1.34</v>
          </cell>
          <cell r="C7">
            <v>2.2106736846609958</v>
          </cell>
          <cell r="D7">
            <v>0.60615006606254851</v>
          </cell>
        </row>
        <row r="8">
          <cell r="A8" t="str">
            <v>HK</v>
          </cell>
          <cell r="B8">
            <v>1.4373459841022382</v>
          </cell>
          <cell r="C8">
            <v>2.983421295652692</v>
          </cell>
          <cell r="D8">
            <v>0.48177774496571252</v>
          </cell>
        </row>
        <row r="17">
          <cell r="A17" t="str">
            <v>2005 Deposit to Annualised GDP</v>
          </cell>
        </row>
        <row r="18">
          <cell r="C18" t="str">
            <v>05 Deposit</v>
          </cell>
          <cell r="D18" t="str">
            <v>05 GDP</v>
          </cell>
        </row>
        <row r="19">
          <cell r="A19" t="str">
            <v>Hong Kong</v>
          </cell>
          <cell r="B19">
            <v>2.983421295652692</v>
          </cell>
        </row>
        <row r="20">
          <cell r="A20" t="str">
            <v>Taiwan</v>
          </cell>
          <cell r="B20">
            <v>2.2106736846609958</v>
          </cell>
        </row>
        <row r="21">
          <cell r="A21" t="str">
            <v>China</v>
          </cell>
          <cell r="B21">
            <v>1.8776945545978809</v>
          </cell>
        </row>
        <row r="22">
          <cell r="A22" t="str">
            <v>Singapore</v>
          </cell>
          <cell r="B22">
            <v>1.1753477157627636</v>
          </cell>
        </row>
        <row r="23">
          <cell r="A23" t="str">
            <v>Japan</v>
          </cell>
          <cell r="B23">
            <v>1.0433243717701406</v>
          </cell>
          <cell r="C23">
            <v>524248.9</v>
          </cell>
          <cell r="D23">
            <v>502479.3</v>
          </cell>
        </row>
        <row r="24">
          <cell r="A24" t="str">
            <v>Thailand</v>
          </cell>
          <cell r="B24">
            <v>0.90686805740064524</v>
          </cell>
        </row>
        <row r="25">
          <cell r="A25" t="str">
            <v>Korea</v>
          </cell>
          <cell r="B25">
            <v>0.82149782828061257</v>
          </cell>
        </row>
        <row r="26">
          <cell r="A26" t="str">
            <v>India</v>
          </cell>
          <cell r="B26">
            <v>0.55452381743517953</v>
          </cell>
        </row>
        <row r="27">
          <cell r="A27" t="str">
            <v>UK</v>
          </cell>
          <cell r="B27">
            <v>0.59589373854325289</v>
          </cell>
          <cell r="C27">
            <v>729800</v>
          </cell>
          <cell r="D27">
            <v>1224715</v>
          </cell>
        </row>
        <row r="28">
          <cell r="A28" t="str">
            <v>US</v>
          </cell>
          <cell r="B28">
            <v>0.47718332022029908</v>
          </cell>
          <cell r="C28">
            <v>5943.7000000000007</v>
          </cell>
          <cell r="D28">
            <v>12455.8</v>
          </cell>
        </row>
        <row r="29">
          <cell r="A29" t="str">
            <v>Asian average</v>
          </cell>
          <cell r="B29">
            <v>1.4466689156951136</v>
          </cell>
        </row>
        <row r="33">
          <cell r="A33" t="str">
            <v>Macau</v>
          </cell>
          <cell r="B33">
            <v>1.4330280480824271</v>
          </cell>
        </row>
        <row r="35">
          <cell r="A35" t="str">
            <v>Loan to GDP, 2005</v>
          </cell>
        </row>
        <row r="36">
          <cell r="A36" t="str">
            <v>HK</v>
          </cell>
          <cell r="B36">
            <v>1.4373459841022382</v>
          </cell>
        </row>
        <row r="37">
          <cell r="A37" t="str">
            <v>TW</v>
          </cell>
          <cell r="B37">
            <v>1.34</v>
          </cell>
        </row>
        <row r="38">
          <cell r="A38" t="str">
            <v>CN</v>
          </cell>
          <cell r="B38">
            <v>1.2177434668935063</v>
          </cell>
        </row>
        <row r="39">
          <cell r="A39" t="str">
            <v>SG</v>
          </cell>
          <cell r="B39">
            <v>0.96396706571064572</v>
          </cell>
        </row>
        <row r="40">
          <cell r="A40" t="str">
            <v>KO</v>
          </cell>
          <cell r="B40">
            <v>0.95</v>
          </cell>
        </row>
        <row r="41">
          <cell r="A41" t="str">
            <v>TH</v>
          </cell>
          <cell r="B41">
            <v>0.84341729204244553</v>
          </cell>
        </row>
        <row r="42">
          <cell r="A42" t="str">
            <v>Macau</v>
          </cell>
          <cell r="B42">
            <v>0.45910553827544498</v>
          </cell>
          <cell r="C42">
            <v>42509.5</v>
          </cell>
          <cell r="D42">
            <v>92592</v>
          </cell>
        </row>
        <row r="43">
          <cell r="A43" t="str">
            <v>IN</v>
          </cell>
          <cell r="B43">
            <v>0.34</v>
          </cell>
        </row>
        <row r="49">
          <cell r="C49" t="str">
            <v>05 Sep Loan</v>
          </cell>
          <cell r="D49" t="str">
            <v>05 Annualised 
GDP</v>
          </cell>
          <cell r="E49" t="str">
            <v>05 
Loan Penetration</v>
          </cell>
        </row>
        <row r="50">
          <cell r="A50" t="str">
            <v>US</v>
          </cell>
          <cell r="B50" t="str">
            <v>USD bn</v>
          </cell>
          <cell r="C50">
            <v>38828.821000000004</v>
          </cell>
          <cell r="D50">
            <v>49917.8</v>
          </cell>
          <cell r="E50">
            <v>0.7778552139717696</v>
          </cell>
          <cell r="I50" t="str">
            <v>US: Liabilities: Outs: Credit Market (CM)</v>
          </cell>
        </row>
        <row r="51">
          <cell r="A51" t="str">
            <v>UK</v>
          </cell>
          <cell r="B51" t="str">
            <v>GBPmn</v>
          </cell>
          <cell r="C51">
            <v>1583243</v>
          </cell>
          <cell r="D51">
            <v>1198361.3333333333</v>
          </cell>
          <cell r="E51">
            <v>1.3211733022093504</v>
          </cell>
          <cell r="I51" t="str">
            <v>UABBCAAA</v>
          </cell>
        </row>
        <row r="52">
          <cell r="A52" t="str">
            <v>Note: 05 Sep Loan is used since 05 Dec data is not available</v>
          </cell>
          <cell r="I52" t="str">
            <v>USD bn</v>
          </cell>
        </row>
        <row r="53">
          <cell r="I53" t="str">
            <v>Q:   Mar-1952:   Sep-2005</v>
          </cell>
        </row>
        <row r="54">
          <cell r="H54">
            <v>38596</v>
          </cell>
          <cell r="I54">
            <v>38828.821000000004</v>
          </cell>
        </row>
        <row r="59">
          <cell r="B59" t="str">
            <v>2005 Loan to Deposit</v>
          </cell>
          <cell r="C59" t="str">
            <v>2005 Tier 1 Ratio</v>
          </cell>
        </row>
        <row r="60">
          <cell r="A60" t="str">
            <v>KO</v>
          </cell>
          <cell r="B60">
            <v>1.1564242378928027</v>
          </cell>
          <cell r="C60" t="e">
            <v>#REF!</v>
          </cell>
        </row>
        <row r="61">
          <cell r="A61" t="str">
            <v>TH</v>
          </cell>
          <cell r="B61">
            <v>0.93003307940951352</v>
          </cell>
          <cell r="C61" t="e">
            <v>#REF!</v>
          </cell>
        </row>
        <row r="62">
          <cell r="A62" t="str">
            <v>SG</v>
          </cell>
          <cell r="B62">
            <v>0.8201547957108688</v>
          </cell>
          <cell r="C62" t="e">
            <v>#REF!</v>
          </cell>
          <cell r="H62" t="str">
            <v>US: Commercial Banks: Credit: Loans and Lease (LL)</v>
          </cell>
          <cell r="I62" t="str">
            <v>US: Commercial Banks: Credit: LL: Others Loans and Lease</v>
          </cell>
          <cell r="J62" t="str">
            <v>US: Commercial Banks: Interbank Loans</v>
          </cell>
          <cell r="K62" t="str">
            <v>US: Commercial Banks: sa: Credit: Loans and Lease (LL)</v>
          </cell>
          <cell r="L62" t="str">
            <v>US: Commercial Banks: sa: Credit: LL: Others Loans and Lease</v>
          </cell>
          <cell r="M62" t="str">
            <v>US: Commercial Banks: sa: Interbank Loans</v>
          </cell>
        </row>
        <row r="63">
          <cell r="A63" t="str">
            <v>CN</v>
          </cell>
          <cell r="B63">
            <v>0.64853118091631956</v>
          </cell>
          <cell r="C63" t="e">
            <v>#REF!</v>
          </cell>
          <cell r="H63" t="str">
            <v>UKRAB</v>
          </cell>
          <cell r="I63" t="str">
            <v>UKRAE</v>
          </cell>
          <cell r="J63" t="str">
            <v>UKRB</v>
          </cell>
          <cell r="K63" t="str">
            <v>UKSAB</v>
          </cell>
          <cell r="L63" t="str">
            <v>UKSAE</v>
          </cell>
          <cell r="M63" t="str">
            <v>UKSB</v>
          </cell>
        </row>
        <row r="64">
          <cell r="A64" t="str">
            <v>IN</v>
          </cell>
          <cell r="B64">
            <v>0.61313867738376082</v>
          </cell>
          <cell r="C64" t="e">
            <v>#REF!</v>
          </cell>
          <cell r="H64" t="str">
            <v>USD bn</v>
          </cell>
          <cell r="I64" t="str">
            <v>USD bn</v>
          </cell>
          <cell r="J64" t="str">
            <v>USD bn</v>
          </cell>
          <cell r="K64" t="str">
            <v>USD bn</v>
          </cell>
          <cell r="L64" t="str">
            <v>USD bn</v>
          </cell>
          <cell r="M64" t="str">
            <v>USD bn</v>
          </cell>
        </row>
        <row r="65">
          <cell r="A65" t="str">
            <v>TW</v>
          </cell>
          <cell r="B65">
            <v>0.60615006606254851</v>
          </cell>
          <cell r="C65" t="e">
            <v>#REF!</v>
          </cell>
          <cell r="H65" t="str">
            <v>M:   Jan-1947:   Jan-2006</v>
          </cell>
          <cell r="I65" t="str">
            <v>M:   Jan-1947:   Jan-2006</v>
          </cell>
          <cell r="J65" t="str">
            <v>M:   Jan-1973:   Jan-2006</v>
          </cell>
          <cell r="K65" t="str">
            <v>M:   Jan-1947:   Jan-2006</v>
          </cell>
          <cell r="L65" t="str">
            <v>M:   Jan-1947:   Jan-2006</v>
          </cell>
          <cell r="M65" t="str">
            <v>M:   Jan-1973:   Jan-2006</v>
          </cell>
        </row>
        <row r="66">
          <cell r="A66" t="str">
            <v>HK</v>
          </cell>
          <cell r="B66">
            <v>0.48177774496571252</v>
          </cell>
          <cell r="C66" t="e">
            <v>#REF!</v>
          </cell>
          <cell r="G66">
            <v>38687</v>
          </cell>
          <cell r="H66">
            <v>5477.7</v>
          </cell>
          <cell r="I66">
            <v>529.6</v>
          </cell>
          <cell r="J66">
            <v>280.5</v>
          </cell>
          <cell r="K66">
            <v>5438.5</v>
          </cell>
          <cell r="L66">
            <v>524.79999999999995</v>
          </cell>
          <cell r="M66">
            <v>277.8</v>
          </cell>
        </row>
        <row r="71">
          <cell r="N71" t="str">
            <v>US: FDIC Insured Inst: FHLB Advance</v>
          </cell>
        </row>
        <row r="72">
          <cell r="I72" t="str">
            <v>UK: Gross Domestic Product</v>
          </cell>
          <cell r="N72" t="str">
            <v>UKTANH</v>
          </cell>
        </row>
        <row r="73">
          <cell r="I73" t="str">
            <v>GAEA</v>
          </cell>
          <cell r="N73" t="str">
            <v>USD mn</v>
          </cell>
        </row>
        <row r="74">
          <cell r="I74" t="str">
            <v>GBP mn</v>
          </cell>
          <cell r="N74" t="str">
            <v>Q:   Mar-1998:   Sep-2005</v>
          </cell>
        </row>
        <row r="75">
          <cell r="I75" t="str">
            <v>Q:   Mar-1955:   Sep-2005</v>
          </cell>
          <cell r="M75">
            <v>38596</v>
          </cell>
          <cell r="N75">
            <v>591590</v>
          </cell>
        </row>
        <row r="76">
          <cell r="H76">
            <v>38412</v>
          </cell>
          <cell r="I76">
            <v>298013</v>
          </cell>
        </row>
        <row r="77">
          <cell r="H77">
            <v>38504</v>
          </cell>
          <cell r="I77">
            <v>298751</v>
          </cell>
        </row>
        <row r="78">
          <cell r="H78">
            <v>38596</v>
          </cell>
          <cell r="I78">
            <v>302007</v>
          </cell>
        </row>
        <row r="79">
          <cell r="H79" t="str">
            <v>US: Commercial Banks: Credit</v>
          </cell>
          <cell r="I79" t="str">
            <v>US: Commercial Banks: sa: Credit</v>
          </cell>
          <cell r="N79" t="str">
            <v>US: Gross Domestic Product (GDP): sa</v>
          </cell>
        </row>
        <row r="80">
          <cell r="H80" t="str">
            <v>UKRA</v>
          </cell>
          <cell r="I80" t="str">
            <v>UKSA</v>
          </cell>
          <cell r="N80" t="str">
            <v>UAAB</v>
          </cell>
        </row>
        <row r="81">
          <cell r="H81" t="str">
            <v>USD bn</v>
          </cell>
          <cell r="I81" t="str">
            <v>USD bn</v>
          </cell>
          <cell r="N81" t="str">
            <v>USD bn</v>
          </cell>
        </row>
        <row r="82">
          <cell r="H82" t="str">
            <v>M:   Jan-1947:   Jan-2006</v>
          </cell>
          <cell r="I82" t="str">
            <v>M:   Jan-1947:   Jan-2006</v>
          </cell>
          <cell r="N82" t="str">
            <v>Q:   Mar-1946:   Dec-2005</v>
          </cell>
        </row>
        <row r="83">
          <cell r="G83">
            <v>38687</v>
          </cell>
          <cell r="H83">
            <v>7527.9</v>
          </cell>
          <cell r="I83">
            <v>7480.1</v>
          </cell>
          <cell r="M83">
            <v>38412</v>
          </cell>
          <cell r="N83">
            <v>12198.8</v>
          </cell>
        </row>
        <row r="84">
          <cell r="G84">
            <v>38718</v>
          </cell>
          <cell r="H84">
            <v>7550.1</v>
          </cell>
          <cell r="I84">
            <v>7538.5</v>
          </cell>
          <cell r="M84">
            <v>38504</v>
          </cell>
          <cell r="N84">
            <v>12378</v>
          </cell>
        </row>
        <row r="85">
          <cell r="M85">
            <v>38596</v>
          </cell>
          <cell r="N85">
            <v>12605.7</v>
          </cell>
        </row>
        <row r="86">
          <cell r="M86">
            <v>38687</v>
          </cell>
          <cell r="N86">
            <v>12735.3</v>
          </cell>
        </row>
        <row r="99">
          <cell r="B99" t="str">
            <v>(US$bn)</v>
          </cell>
          <cell r="C99" t="str">
            <v>(US$bn)</v>
          </cell>
        </row>
        <row r="100">
          <cell r="B100" t="str">
            <v>US</v>
          </cell>
          <cell r="C100" t="str">
            <v>Asia</v>
          </cell>
        </row>
        <row r="101">
          <cell r="B101">
            <v>5943.7000000000007</v>
          </cell>
          <cell r="C101">
            <v>4447.309976247031</v>
          </cell>
          <cell r="D101" t="str">
            <v>Japan</v>
          </cell>
        </row>
        <row r="102">
          <cell r="C102">
            <v>4834.7051862919106</v>
          </cell>
          <cell r="D102" t="str">
            <v>Greater China</v>
          </cell>
        </row>
        <row r="103">
          <cell r="C103">
            <v>1358.4980583501667</v>
          </cell>
          <cell r="D103" t="str">
            <v>ASEAN</v>
          </cell>
        </row>
        <row r="104">
          <cell r="C104">
            <v>10640.513220889108</v>
          </cell>
        </row>
        <row r="112">
          <cell r="A112" t="str">
            <v>(US$bn)</v>
          </cell>
          <cell r="B112" t="str">
            <v>2005 Deposit to Annualised GDP</v>
          </cell>
          <cell r="C112" t="str">
            <v>GDP</v>
          </cell>
          <cell r="D112" t="str">
            <v>Deposit</v>
          </cell>
        </row>
        <row r="113">
          <cell r="A113" t="str">
            <v>KO</v>
          </cell>
          <cell r="B113">
            <v>0.82149782828061257</v>
          </cell>
          <cell r="C113">
            <v>799.74699999999996</v>
          </cell>
          <cell r="D113">
            <v>656.99042367393508</v>
          </cell>
        </row>
        <row r="114">
          <cell r="A114" t="str">
            <v>TH</v>
          </cell>
          <cell r="B114">
            <v>0.90686805740064524</v>
          </cell>
          <cell r="C114">
            <v>167.85300000000001</v>
          </cell>
          <cell r="D114">
            <v>152.22052403887051</v>
          </cell>
        </row>
        <row r="115">
          <cell r="A115" t="str">
            <v>SG</v>
          </cell>
          <cell r="B115">
            <v>1.1753477157627636</v>
          </cell>
          <cell r="C115">
            <v>115.324</v>
          </cell>
          <cell r="D115">
            <v>135.54579997262496</v>
          </cell>
        </row>
        <row r="116">
          <cell r="A116" t="str">
            <v>IN</v>
          </cell>
          <cell r="B116">
            <v>0.55452381743517953</v>
          </cell>
          <cell r="C116">
            <v>746.12</v>
          </cell>
          <cell r="D116">
            <v>413.74131066473615</v>
          </cell>
        </row>
        <row r="117">
          <cell r="A117" t="str">
            <v>TW</v>
          </cell>
          <cell r="B117">
            <v>2.2106736846609958</v>
          </cell>
          <cell r="C117">
            <v>330.74</v>
          </cell>
          <cell r="D117">
            <v>731.15821446477776</v>
          </cell>
        </row>
        <row r="118">
          <cell r="A118" t="str">
            <v>HK</v>
          </cell>
          <cell r="B118">
            <v>2.983421295652692</v>
          </cell>
          <cell r="C118">
            <v>173.55600000000001</v>
          </cell>
          <cell r="D118">
            <v>517.79066638829863</v>
          </cell>
        </row>
        <row r="119">
          <cell r="A119" t="str">
            <v>CN</v>
          </cell>
          <cell r="B119">
            <v>1.8776945545978809</v>
          </cell>
          <cell r="C119">
            <v>1909.6590000000001</v>
          </cell>
          <cell r="D119">
            <v>3585.7563054388347</v>
          </cell>
        </row>
        <row r="120">
          <cell r="F120" t="str">
            <v>Country</v>
          </cell>
          <cell r="G120" t="str">
            <v>Subject Description</v>
          </cell>
          <cell r="H120" t="str">
            <v>Units</v>
          </cell>
          <cell r="I120" t="str">
            <v>Scale</v>
          </cell>
          <cell r="J120">
            <v>2005</v>
          </cell>
        </row>
        <row r="121">
          <cell r="F121" t="str">
            <v>China</v>
          </cell>
          <cell r="G121" t="str">
            <v>Gross domestic product, current prices</v>
          </cell>
          <cell r="H121" t="str">
            <v>US dollars</v>
          </cell>
          <cell r="I121" t="str">
            <v>Billions</v>
          </cell>
          <cell r="J121">
            <v>1909.6590000000001</v>
          </cell>
        </row>
        <row r="122">
          <cell r="F122" t="str">
            <v>Hong Kong SAR</v>
          </cell>
          <cell r="G122" t="str">
            <v>Gross domestic product, current prices</v>
          </cell>
          <cell r="H122" t="str">
            <v>US dollars</v>
          </cell>
          <cell r="I122" t="str">
            <v>Billions</v>
          </cell>
          <cell r="J122">
            <v>173.55600000000001</v>
          </cell>
        </row>
        <row r="123">
          <cell r="F123" t="str">
            <v>India</v>
          </cell>
          <cell r="G123" t="str">
            <v>Gross domestic product, current prices</v>
          </cell>
          <cell r="H123" t="str">
            <v>US dollars</v>
          </cell>
          <cell r="I123" t="str">
            <v>Billions</v>
          </cell>
          <cell r="J123">
            <v>746.12</v>
          </cell>
        </row>
        <row r="124">
          <cell r="F124" t="str">
            <v>Korea</v>
          </cell>
          <cell r="G124" t="str">
            <v>Gross domestic product, current prices</v>
          </cell>
          <cell r="H124" t="str">
            <v>US dollars</v>
          </cell>
          <cell r="I124" t="str">
            <v>Billions</v>
          </cell>
          <cell r="J124">
            <v>799.74699999999996</v>
          </cell>
        </row>
        <row r="125">
          <cell r="F125" t="str">
            <v>Singapore</v>
          </cell>
          <cell r="G125" t="str">
            <v>Gross domestic product, current prices</v>
          </cell>
          <cell r="H125" t="str">
            <v>US dollars</v>
          </cell>
          <cell r="I125" t="str">
            <v>Billions</v>
          </cell>
          <cell r="J125">
            <v>115.324</v>
          </cell>
        </row>
        <row r="126">
          <cell r="F126" t="str">
            <v>Taiwan Province of China</v>
          </cell>
          <cell r="G126" t="str">
            <v>Gross domestic product, current prices</v>
          </cell>
          <cell r="H126" t="str">
            <v>US dollars</v>
          </cell>
          <cell r="I126" t="str">
            <v>Billions</v>
          </cell>
          <cell r="J126">
            <v>330.74</v>
          </cell>
        </row>
        <row r="127">
          <cell r="F127" t="str">
            <v>Thailand</v>
          </cell>
          <cell r="G127" t="str">
            <v>Gross domestic product, current prices</v>
          </cell>
          <cell r="H127" t="str">
            <v>US dollars</v>
          </cell>
          <cell r="I127" t="str">
            <v>Billions</v>
          </cell>
          <cell r="J127">
            <v>167.85300000000001</v>
          </cell>
        </row>
      </sheetData>
      <sheetData sheetId="54"/>
      <sheetData sheetId="55" refreshError="1">
        <row r="1">
          <cell r="A1" t="str">
            <v>Since 2006</v>
          </cell>
        </row>
        <row r="2">
          <cell r="A2" t="str">
            <v>Price</v>
          </cell>
          <cell r="I2" t="str">
            <v>Local Index</v>
          </cell>
        </row>
        <row r="3">
          <cell r="C3" t="str">
            <v>FactSet code</v>
          </cell>
          <cell r="D3" t="str">
            <v>Closing price</v>
          </cell>
          <cell r="E3" t="str">
            <v>Closing price</v>
          </cell>
          <cell r="F3" t="str">
            <v xml:space="preserve">Abs </v>
          </cell>
          <cell r="G3" t="str">
            <v>Relative</v>
          </cell>
          <cell r="K3" t="str">
            <v>FactSet code</v>
          </cell>
          <cell r="L3" t="str">
            <v>Closing price</v>
          </cell>
          <cell r="M3" t="str">
            <v>Closing price</v>
          </cell>
          <cell r="N3" t="str">
            <v xml:space="preserve">Abs </v>
          </cell>
        </row>
        <row r="4">
          <cell r="D4">
            <v>38718</v>
          </cell>
          <cell r="E4">
            <v>39128</v>
          </cell>
          <cell r="F4" t="str">
            <v>Perf</v>
          </cell>
          <cell r="G4" t="str">
            <v>Perf</v>
          </cell>
          <cell r="L4">
            <v>38718</v>
          </cell>
          <cell r="M4">
            <v>39128</v>
          </cell>
          <cell r="N4" t="str">
            <v>Perf</v>
          </cell>
        </row>
        <row r="6">
          <cell r="A6" t="str">
            <v>MSCI India Bks</v>
          </cell>
          <cell r="B6" t="str">
            <v>MSCI INDIA / BANKS -IG</v>
          </cell>
          <cell r="C6">
            <v>116327</v>
          </cell>
          <cell r="D6">
            <v>615.19569999999999</v>
          </cell>
          <cell r="E6">
            <v>927.38879999999995</v>
          </cell>
          <cell r="F6">
            <v>0.50746957431594519</v>
          </cell>
          <cell r="G6">
            <v>-3.0861618610782293E-2</v>
          </cell>
          <cell r="I6" t="str">
            <v>MSCI India</v>
          </cell>
          <cell r="J6" t="str">
            <v>MSCI INDIA</v>
          </cell>
          <cell r="K6">
            <v>935600</v>
          </cell>
          <cell r="L6">
            <v>382.86943600000001</v>
          </cell>
          <cell r="M6">
            <v>583.35121800000002</v>
          </cell>
          <cell r="N6">
            <v>0.52362963232197002</v>
          </cell>
        </row>
        <row r="7">
          <cell r="A7" t="str">
            <v>MSCI HK Bks</v>
          </cell>
          <cell r="B7" t="str">
            <v>MSCI HONG KONG / BANKS -IG</v>
          </cell>
          <cell r="C7">
            <v>115683</v>
          </cell>
          <cell r="D7">
            <v>171.07804999999999</v>
          </cell>
          <cell r="E7">
            <v>240.15051</v>
          </cell>
          <cell r="F7">
            <v>0.40374823070522492</v>
          </cell>
          <cell r="G7">
            <v>0.22236593726243892</v>
          </cell>
          <cell r="I7" t="str">
            <v>MSCI Hong Kong</v>
          </cell>
          <cell r="J7" t="str">
            <v>MSCI HONG KONG</v>
          </cell>
          <cell r="K7">
            <v>934400</v>
          </cell>
          <cell r="L7">
            <v>8016.2224349999997</v>
          </cell>
          <cell r="M7">
            <v>10663.985699999999</v>
          </cell>
          <cell r="N7">
            <v>0.33030062307646024</v>
          </cell>
        </row>
        <row r="8">
          <cell r="A8" t="str">
            <v>China Banks</v>
          </cell>
          <cell r="F8">
            <v>1.54</v>
          </cell>
          <cell r="I8" t="str">
            <v>MSCI China</v>
          </cell>
          <cell r="J8" t="str">
            <v>MSCI CHINA</v>
          </cell>
          <cell r="K8" t="str">
            <v>MS302400</v>
          </cell>
          <cell r="L8">
            <v>29.227450999999999</v>
          </cell>
          <cell r="M8">
            <v>52.025481999999997</v>
          </cell>
          <cell r="N8">
            <v>0.78002118624713446</v>
          </cell>
        </row>
        <row r="9">
          <cell r="A9" t="str">
            <v>HK Mid-Sized Bks</v>
          </cell>
          <cell r="F9" t="e">
            <v>#VALUE!</v>
          </cell>
        </row>
        <row r="10">
          <cell r="A10" t="str">
            <v>India Private Bks</v>
          </cell>
          <cell r="F10" t="e">
            <v>#VALUE!</v>
          </cell>
        </row>
        <row r="11">
          <cell r="A11" t="str">
            <v>MSCI Indonesia Bks</v>
          </cell>
          <cell r="B11" t="str">
            <v>MSCI INDONESIA / BANKS -IG</v>
          </cell>
          <cell r="C11">
            <v>122421</v>
          </cell>
          <cell r="D11">
            <v>399.47543000000002</v>
          </cell>
          <cell r="E11">
            <v>613.17290000000003</v>
          </cell>
          <cell r="F11">
            <v>0.53494521552927554</v>
          </cell>
          <cell r="G11">
            <v>5.1604750903874841E-2</v>
          </cell>
          <cell r="I11" t="str">
            <v>MSCI Indonesia</v>
          </cell>
          <cell r="J11" t="str">
            <v>MSCI INDONESIA</v>
          </cell>
          <cell r="K11">
            <v>105767</v>
          </cell>
          <cell r="L11">
            <v>1579.774214</v>
          </cell>
          <cell r="M11">
            <v>2383.3961610000001</v>
          </cell>
          <cell r="N11">
            <v>0.50869417912906889</v>
          </cell>
        </row>
        <row r="12">
          <cell r="A12" t="str">
            <v>MSCI Malaysia Bks</v>
          </cell>
          <cell r="B12" t="str">
            <v>MSCI MALAYSIA / BANKS -IG</v>
          </cell>
          <cell r="C12">
            <v>117247</v>
          </cell>
          <cell r="D12">
            <v>230.57834</v>
          </cell>
          <cell r="E12">
            <v>327.80189999999999</v>
          </cell>
          <cell r="F12">
            <v>0.42165088013037133</v>
          </cell>
          <cell r="G12">
            <v>-5.1763036355150449E-2</v>
          </cell>
          <cell r="I12" t="str">
            <v>MSCI Malaysia</v>
          </cell>
          <cell r="J12" t="str">
            <v>MSCI MALAYSIA</v>
          </cell>
          <cell r="K12">
            <v>105768</v>
          </cell>
          <cell r="L12">
            <v>329.02725099999998</v>
          </cell>
          <cell r="M12">
            <v>475.33522599999998</v>
          </cell>
          <cell r="N12">
            <v>0.44466825940809396</v>
          </cell>
        </row>
        <row r="13">
          <cell r="A13" t="str">
            <v>MSIC Singapore Bks</v>
          </cell>
          <cell r="B13" t="str">
            <v>MSCI SINGAPORE FREE / BANKS</v>
          </cell>
          <cell r="C13">
            <v>118443</v>
          </cell>
          <cell r="D13">
            <v>143.02596</v>
          </cell>
          <cell r="E13">
            <v>196.11969999999999</v>
          </cell>
          <cell r="F13">
            <v>0.37121750485016847</v>
          </cell>
          <cell r="G13">
            <v>-0.13732609715979516</v>
          </cell>
          <cell r="I13" t="str">
            <v>MSCI Singapore Free</v>
          </cell>
          <cell r="J13" t="str">
            <v>MSCI SINGAPORE FREE</v>
          </cell>
          <cell r="K13">
            <v>870200</v>
          </cell>
          <cell r="L13">
            <v>278.62365699999998</v>
          </cell>
          <cell r="M13">
            <v>398.51829900000001</v>
          </cell>
          <cell r="N13">
            <v>0.4303103451118655</v>
          </cell>
        </row>
        <row r="14">
          <cell r="A14" t="str">
            <v>MSCI Asian Bks</v>
          </cell>
          <cell r="B14" t="str">
            <v>MSCI AC ASIA PACIFIC EX JP /</v>
          </cell>
          <cell r="C14">
            <v>107948</v>
          </cell>
          <cell r="D14">
            <v>153.87582</v>
          </cell>
          <cell r="E14">
            <v>198.15457000000001</v>
          </cell>
          <cell r="F14">
            <v>0.28775638693590722</v>
          </cell>
          <cell r="G14">
            <v>5.1412860417962669E-2</v>
          </cell>
          <cell r="I14" t="str">
            <v>MSCI AC Asia Pacific ex JP</v>
          </cell>
          <cell r="J14" t="str">
            <v>MSCI AC ASIA PACIFIC EX JP</v>
          </cell>
          <cell r="K14">
            <v>899903</v>
          </cell>
          <cell r="L14">
            <v>331.86312500000003</v>
          </cell>
          <cell r="M14">
            <v>422.68922900000001</v>
          </cell>
          <cell r="N14">
            <v>0.27368543582538729</v>
          </cell>
        </row>
        <row r="15">
          <cell r="A15" t="str">
            <v>HK Large-Sized Bks</v>
          </cell>
          <cell r="F15" t="e">
            <v>#VALUE!</v>
          </cell>
        </row>
        <row r="16">
          <cell r="A16" t="str">
            <v>MSCI Australia Bks</v>
          </cell>
          <cell r="B16" t="str">
            <v>MSCI AUSTRALIA / BANKS -IG</v>
          </cell>
          <cell r="C16">
            <v>113843</v>
          </cell>
          <cell r="D16">
            <v>164.70865000000001</v>
          </cell>
          <cell r="E16">
            <v>199.54794000000001</v>
          </cell>
          <cell r="F16">
            <v>0.21152070641098697</v>
          </cell>
          <cell r="G16">
            <v>-0.16173818052486533</v>
          </cell>
          <cell r="I16" t="str">
            <v>MSCI Australia</v>
          </cell>
          <cell r="J16" t="str">
            <v>MSCI AUSTRALIA</v>
          </cell>
          <cell r="K16">
            <v>903600</v>
          </cell>
          <cell r="L16">
            <v>959.63164200000006</v>
          </cell>
          <cell r="M16">
            <v>1201.7779</v>
          </cell>
          <cell r="N16">
            <v>0.25233250697667176</v>
          </cell>
        </row>
        <row r="17">
          <cell r="A17" t="str">
            <v>MSCI Korea Bks</v>
          </cell>
          <cell r="B17" t="str">
            <v>MSCI KOREA / BANKS -IG</v>
          </cell>
          <cell r="C17">
            <v>116695</v>
          </cell>
          <cell r="D17">
            <v>391.47473000000002</v>
          </cell>
          <cell r="E17">
            <v>464.17493000000002</v>
          </cell>
          <cell r="F17">
            <v>0.18570853858178782</v>
          </cell>
          <cell r="G17">
            <v>3.5624568108956112</v>
          </cell>
          <cell r="I17" t="str">
            <v>MSCI Korea</v>
          </cell>
          <cell r="J17" t="str">
            <v>MSCI KOREA</v>
          </cell>
          <cell r="K17">
            <v>941000</v>
          </cell>
          <cell r="L17">
            <v>386.26007800000002</v>
          </cell>
          <cell r="M17">
            <v>401.98226399999999</v>
          </cell>
          <cell r="N17">
            <v>4.0703626637801138E-2</v>
          </cell>
        </row>
        <row r="18">
          <cell r="A18" t="str">
            <v>MSCI Taiwan Bks</v>
          </cell>
          <cell r="B18" t="str">
            <v>MSCI TAIWAN / BANKS -IG</v>
          </cell>
          <cell r="C18">
            <v>118903</v>
          </cell>
          <cell r="D18">
            <v>81.846829999999997</v>
          </cell>
          <cell r="E18">
            <v>92.587969999999999</v>
          </cell>
          <cell r="F18">
            <v>0.13123464891676329</v>
          </cell>
          <cell r="G18">
            <v>-8.5161585755831548E-2</v>
          </cell>
          <cell r="I18" t="str">
            <v>MSCI Taiwan</v>
          </cell>
          <cell r="J18" t="str">
            <v>MSCI TAIWAN</v>
          </cell>
          <cell r="K18">
            <v>915800</v>
          </cell>
          <cell r="L18">
            <v>275.814729</v>
          </cell>
          <cell r="M18">
            <v>315.38067699999999</v>
          </cell>
          <cell r="N18">
            <v>0.14345117878023106</v>
          </cell>
        </row>
        <row r="19">
          <cell r="A19" t="str">
            <v>MSCI Thailand Bks</v>
          </cell>
          <cell r="B19" t="str">
            <v>MSCI THAILAND / BANKS -IG</v>
          </cell>
          <cell r="C19">
            <v>118627</v>
          </cell>
          <cell r="D19">
            <v>183.04431</v>
          </cell>
          <cell r="E19">
            <v>191.75380999999999</v>
          </cell>
          <cell r="F19">
            <v>4.7581375241874557E-2</v>
          </cell>
          <cell r="G19">
            <v>-2.4863827150322502</v>
          </cell>
          <cell r="I19" t="str">
            <v>MSCI Thailand</v>
          </cell>
          <cell r="J19" t="str">
            <v>MSCI THAILAND</v>
          </cell>
          <cell r="K19">
            <v>105769</v>
          </cell>
          <cell r="L19">
            <v>291.98023000000001</v>
          </cell>
          <cell r="M19">
            <v>282.63349799999997</v>
          </cell>
          <cell r="N19">
            <v>-3.2011523519931528E-2</v>
          </cell>
        </row>
        <row r="20">
          <cell r="A20" t="str">
            <v>India SOE Bks</v>
          </cell>
          <cell r="F20" t="e">
            <v>#VALUE!</v>
          </cell>
        </row>
        <row r="21">
          <cell r="A21" t="str">
            <v>MSCI Japan Bks</v>
          </cell>
          <cell r="B21" t="str">
            <v>MSCI JAPAN / BANKS -IG</v>
          </cell>
          <cell r="C21">
            <v>116603</v>
          </cell>
          <cell r="D21">
            <v>145.30498</v>
          </cell>
          <cell r="E21">
            <v>136.22713999999999</v>
          </cell>
          <cell r="F21">
            <v>-6.2474390072521979E-2</v>
          </cell>
          <cell r="G21">
            <v>-1.5114067707392127</v>
          </cell>
          <cell r="I21" t="str">
            <v>MSCI Japan</v>
          </cell>
          <cell r="J21" t="str">
            <v>MSCI JAPAN</v>
          </cell>
          <cell r="K21">
            <v>939200</v>
          </cell>
          <cell r="L21">
            <v>999.314753</v>
          </cell>
          <cell r="M21">
            <v>1121.3928780000001</v>
          </cell>
          <cell r="N21">
            <v>0.1221618360316552</v>
          </cell>
        </row>
        <row r="34">
          <cell r="I34" t="str">
            <v>MSCI Asian Bks</v>
          </cell>
          <cell r="J34">
            <v>5.1412860417962669E-2</v>
          </cell>
          <cell r="K34">
            <v>0.55000000000000004</v>
          </cell>
        </row>
        <row r="35">
          <cell r="I35" t="str">
            <v>HK Mid-Sized Bks</v>
          </cell>
          <cell r="J35">
            <v>0</v>
          </cell>
          <cell r="K35">
            <v>0.39853245413168659</v>
          </cell>
        </row>
        <row r="36">
          <cell r="I36" t="str">
            <v>MSCI India Bks</v>
          </cell>
          <cell r="J36">
            <v>-3.0861618610782293E-2</v>
          </cell>
          <cell r="K36">
            <v>0.21233475827127002</v>
          </cell>
        </row>
        <row r="37">
          <cell r="I37" t="str">
            <v>MSIC Singapore Bks</v>
          </cell>
          <cell r="J37">
            <v>-0.13732609715979516</v>
          </cell>
          <cell r="K37">
            <v>5.4928960311745545E-2</v>
          </cell>
        </row>
        <row r="38">
          <cell r="I38" t="str">
            <v>China Banks</v>
          </cell>
          <cell r="J38">
            <v>0</v>
          </cell>
          <cell r="K38">
            <v>4.355270171613923E-2</v>
          </cell>
        </row>
        <row r="39">
          <cell r="I39" t="str">
            <v>MSCI Malaysia Bks</v>
          </cell>
          <cell r="J39">
            <v>-5.1763036355150449E-2</v>
          </cell>
          <cell r="K39">
            <v>-1.7619655030106096E-2</v>
          </cell>
        </row>
        <row r="40">
          <cell r="I40" t="str">
            <v>HK Large-Sized Bks</v>
          </cell>
          <cell r="J40">
            <v>0</v>
          </cell>
          <cell r="K40">
            <v>-1.9272201820696555E-2</v>
          </cell>
        </row>
        <row r="41">
          <cell r="I41" t="str">
            <v>MSCI HK Bks</v>
          </cell>
          <cell r="J41">
            <v>0.22236593726243892</v>
          </cell>
          <cell r="K41">
            <v>-0.1023459015663033</v>
          </cell>
        </row>
        <row r="42">
          <cell r="I42" t="str">
            <v>MSCI Indonesia Bks</v>
          </cell>
          <cell r="J42">
            <v>5.1604750903874841E-2</v>
          </cell>
          <cell r="K42">
            <v>-0.1213096660671632</v>
          </cell>
        </row>
        <row r="43">
          <cell r="I43" t="str">
            <v>India Private Bks</v>
          </cell>
          <cell r="J43">
            <v>0</v>
          </cell>
          <cell r="K43">
            <v>-0.13717387778980206</v>
          </cell>
        </row>
        <row r="44">
          <cell r="I44" t="str">
            <v>MSCI Australia Bks</v>
          </cell>
          <cell r="J44">
            <v>-0.16173818052486533</v>
          </cell>
          <cell r="K44">
            <v>-0.26</v>
          </cell>
        </row>
        <row r="45">
          <cell r="I45" t="str">
            <v>MSCI Korea Bks</v>
          </cell>
          <cell r="J45">
            <v>3.5624568108956112</v>
          </cell>
          <cell r="K45">
            <v>-0.28000000000000003</v>
          </cell>
        </row>
        <row r="53">
          <cell r="A53" t="str">
            <v>Since 2005</v>
          </cell>
        </row>
        <row r="54">
          <cell r="A54" t="str">
            <v>Price</v>
          </cell>
          <cell r="I54" t="str">
            <v>Local Index</v>
          </cell>
        </row>
        <row r="55">
          <cell r="C55" t="str">
            <v>FactSet code</v>
          </cell>
          <cell r="D55" t="str">
            <v>Closing price</v>
          </cell>
          <cell r="E55" t="str">
            <v>Closing price</v>
          </cell>
          <cell r="F55" t="str">
            <v xml:space="preserve">Abs </v>
          </cell>
          <cell r="G55" t="str">
            <v>Relative</v>
          </cell>
          <cell r="K55" t="str">
            <v>FactSet code</v>
          </cell>
          <cell r="L55" t="str">
            <v>Closing price</v>
          </cell>
          <cell r="M55" t="str">
            <v>Closing price</v>
          </cell>
          <cell r="N55" t="str">
            <v xml:space="preserve">Abs </v>
          </cell>
        </row>
        <row r="56">
          <cell r="D56">
            <v>38353</v>
          </cell>
          <cell r="E56">
            <v>39052</v>
          </cell>
          <cell r="F56" t="str">
            <v>Perf</v>
          </cell>
          <cell r="G56" t="str">
            <v>Perf</v>
          </cell>
          <cell r="L56">
            <v>38353</v>
          </cell>
          <cell r="M56">
            <v>39052</v>
          </cell>
          <cell r="N56" t="str">
            <v>Perf</v>
          </cell>
        </row>
        <row r="58">
          <cell r="A58" t="str">
            <v>MSCI China Banks</v>
          </cell>
          <cell r="B58" t="str">
            <v>MSCI CHINA / BANKS -IG</v>
          </cell>
          <cell r="C58">
            <v>114671</v>
          </cell>
          <cell r="D58" t="e">
            <v>#N/A</v>
          </cell>
          <cell r="E58">
            <v>192.8416</v>
          </cell>
          <cell r="F58" t="e">
            <v>#N/A</v>
          </cell>
          <cell r="G58" t="e">
            <v>#N/A</v>
          </cell>
          <cell r="I58" t="str">
            <v>MSCI China</v>
          </cell>
          <cell r="J58" t="str">
            <v>MSCI CHINA</v>
          </cell>
          <cell r="K58" t="str">
            <v>MS302400</v>
          </cell>
          <cell r="L58">
            <v>25.273336</v>
          </cell>
          <cell r="M58">
            <v>45.401122999999998</v>
          </cell>
          <cell r="N58">
            <v>0.79640404416733901</v>
          </cell>
        </row>
        <row r="59">
          <cell r="A59" t="str">
            <v>MSCI India Banks</v>
          </cell>
          <cell r="B59" t="str">
            <v>MSCI INDIA / BANKS -IG</v>
          </cell>
          <cell r="C59">
            <v>116327</v>
          </cell>
          <cell r="D59">
            <v>414.99340000000001</v>
          </cell>
          <cell r="E59">
            <v>907.61333999999999</v>
          </cell>
          <cell r="F59">
            <v>1.1870548784631274</v>
          </cell>
          <cell r="G59">
            <v>0.14119354244161619</v>
          </cell>
          <cell r="I59" t="str">
            <v>MSCI India</v>
          </cell>
          <cell r="J59" t="str">
            <v>MSCI INDIA</v>
          </cell>
          <cell r="K59">
            <v>935600</v>
          </cell>
          <cell r="L59">
            <v>273.14231599999999</v>
          </cell>
          <cell r="M59">
            <v>557.26144799999997</v>
          </cell>
          <cell r="N59">
            <v>1.0401871674837815</v>
          </cell>
        </row>
        <row r="60">
          <cell r="A60" t="str">
            <v>MSCI Korea Banks</v>
          </cell>
          <cell r="B60" t="str">
            <v>MSCI KOREA / BANKS -IG</v>
          </cell>
          <cell r="C60">
            <v>116695</v>
          </cell>
          <cell r="D60">
            <v>212.76839000000001</v>
          </cell>
          <cell r="E60">
            <v>384.88299999999998</v>
          </cell>
          <cell r="F60">
            <v>0.80892941850995803</v>
          </cell>
          <cell r="G60">
            <v>0.47110785623132645</v>
          </cell>
          <cell r="I60" t="str">
            <v>MSCI Korea</v>
          </cell>
          <cell r="J60" t="str">
            <v>MSCI KOREA</v>
          </cell>
          <cell r="K60">
            <v>941000</v>
          </cell>
          <cell r="L60">
            <v>256.396998</v>
          </cell>
          <cell r="M60">
            <v>397.38399199999998</v>
          </cell>
          <cell r="N60">
            <v>0.54987770956663073</v>
          </cell>
        </row>
        <row r="61">
          <cell r="A61" t="str">
            <v>MSCI Indonesia Banks</v>
          </cell>
          <cell r="B61" t="str">
            <v>MSCI INDONESIA / BANKS -IG</v>
          </cell>
          <cell r="C61">
            <v>122421</v>
          </cell>
          <cell r="D61">
            <v>382.19497999999999</v>
          </cell>
          <cell r="E61">
            <v>647.74210000000005</v>
          </cell>
          <cell r="F61">
            <v>0.69479489238712677</v>
          </cell>
          <cell r="G61">
            <v>-0.13677318815059347</v>
          </cell>
          <cell r="I61" t="str">
            <v>MSCI Indonesia</v>
          </cell>
          <cell r="J61" t="str">
            <v>MSCI INDONESIA</v>
          </cell>
          <cell r="K61">
            <v>105767</v>
          </cell>
          <cell r="L61">
            <v>1323.9748890000001</v>
          </cell>
          <cell r="M61">
            <v>2389.6171720000002</v>
          </cell>
          <cell r="N61">
            <v>0.80488103804210454</v>
          </cell>
        </row>
        <row r="62">
          <cell r="A62" t="str">
            <v>MSCI Japan Banks</v>
          </cell>
          <cell r="B62" t="str">
            <v>MSCI JAPAN / BANKS -IG</v>
          </cell>
          <cell r="C62">
            <v>116603</v>
          </cell>
          <cell r="D62">
            <v>89.446420000000003</v>
          </cell>
          <cell r="E62">
            <v>132.98433</v>
          </cell>
          <cell r="F62">
            <v>0.48674849144325716</v>
          </cell>
          <cell r="G62">
            <v>0.11081190115412998</v>
          </cell>
          <cell r="I62" t="str">
            <v>MSCI Japan</v>
          </cell>
          <cell r="J62" t="str">
            <v>MSCI JAPAN</v>
          </cell>
          <cell r="K62">
            <v>939200</v>
          </cell>
          <cell r="L62">
            <v>699.09511799999996</v>
          </cell>
          <cell r="M62">
            <v>1005.432756</v>
          </cell>
          <cell r="N62">
            <v>0.43819164247117537</v>
          </cell>
        </row>
        <row r="63">
          <cell r="A63" t="str">
            <v>MSCI Asian Banks</v>
          </cell>
          <cell r="B63" t="str">
            <v>MSCI AC ASIA PACIFIC EX JP /</v>
          </cell>
          <cell r="C63">
            <v>107948</v>
          </cell>
          <cell r="D63">
            <v>129.7996</v>
          </cell>
          <cell r="E63">
            <v>181.17052000000001</v>
          </cell>
          <cell r="F63">
            <v>0.39577101932517511</v>
          </cell>
          <cell r="G63">
            <v>-4.94442793549702E-2</v>
          </cell>
          <cell r="I63" t="str">
            <v>MSCI AC Asia Pacific ex JP</v>
          </cell>
          <cell r="J63" t="str">
            <v>MSCI AC ASIA PACIFIC EX JP</v>
          </cell>
          <cell r="K63">
            <v>899903</v>
          </cell>
          <cell r="L63">
            <v>276.614665</v>
          </cell>
          <cell r="M63">
            <v>391.78525999999999</v>
          </cell>
          <cell r="N63">
            <v>0.41635751669203791</v>
          </cell>
        </row>
        <row r="64">
          <cell r="A64" t="str">
            <v>MSCI Australia Banks</v>
          </cell>
          <cell r="B64" t="str">
            <v>MSCI AUSTRALIA / BANKS -IG</v>
          </cell>
          <cell r="C64">
            <v>113843</v>
          </cell>
          <cell r="D64">
            <v>137.66032000000001</v>
          </cell>
          <cell r="E64">
            <v>186.30495999999999</v>
          </cell>
          <cell r="F64">
            <v>0.35336718671001188</v>
          </cell>
          <cell r="G64">
            <v>-2.7788119888828233E-2</v>
          </cell>
          <cell r="I64" t="str">
            <v>MSCI Australia</v>
          </cell>
          <cell r="J64" t="str">
            <v>MSCI AUSTRALIA</v>
          </cell>
          <cell r="K64">
            <v>903600</v>
          </cell>
          <cell r="L64">
            <v>797.91387599999996</v>
          </cell>
          <cell r="M64">
            <v>1087.929445</v>
          </cell>
          <cell r="N64">
            <v>0.36346725846386962</v>
          </cell>
        </row>
        <row r="65">
          <cell r="A65" t="str">
            <v>MSCI Singapore Banks</v>
          </cell>
          <cell r="B65" t="str">
            <v>MSCI SINGAPORE FREE / BANKS</v>
          </cell>
          <cell r="C65">
            <v>118443</v>
          </cell>
          <cell r="D65">
            <v>131.05641</v>
          </cell>
          <cell r="E65">
            <v>172.71494000000001</v>
          </cell>
          <cell r="F65">
            <v>0.31786716880158705</v>
          </cell>
          <cell r="G65">
            <v>-0.20442405482395598</v>
          </cell>
          <cell r="I65" t="str">
            <v>MSCI Singapore Free</v>
          </cell>
          <cell r="J65" t="str">
            <v>MSCI SINGAPORE FREE</v>
          </cell>
          <cell r="K65">
            <v>870200</v>
          </cell>
          <cell r="L65">
            <v>246.97665699999999</v>
          </cell>
          <cell r="M65">
            <v>345.65456599999999</v>
          </cell>
          <cell r="N65">
            <v>0.39954346373714178</v>
          </cell>
        </row>
        <row r="66">
          <cell r="A66" t="str">
            <v>MSCI Thailand Banks</v>
          </cell>
          <cell r="B66" t="str">
            <v>MSCI THAILAND / BANKS -IG</v>
          </cell>
          <cell r="C66">
            <v>118627</v>
          </cell>
          <cell r="D66">
            <v>162.97308000000001</v>
          </cell>
          <cell r="E66">
            <v>207.68637000000001</v>
          </cell>
          <cell r="F66">
            <v>0.27435997405215629</v>
          </cell>
          <cell r="G66">
            <v>0.76862959766100825</v>
          </cell>
          <cell r="I66" t="str">
            <v>MSCI Thailand</v>
          </cell>
          <cell r="J66" t="str">
            <v>MSCI THAILAND</v>
          </cell>
          <cell r="K66">
            <v>105769</v>
          </cell>
          <cell r="L66">
            <v>263.87943200000001</v>
          </cell>
          <cell r="M66">
            <v>304.81392399999999</v>
          </cell>
          <cell r="N66">
            <v>0.15512573939449736</v>
          </cell>
        </row>
        <row r="67">
          <cell r="A67" t="str">
            <v>MSCI HK Banks</v>
          </cell>
          <cell r="B67" t="str">
            <v>MSCI HONG KONG / BANKS -IG</v>
          </cell>
          <cell r="C67">
            <v>115683</v>
          </cell>
          <cell r="D67">
            <v>177.18075999999999</v>
          </cell>
          <cell r="E67">
            <v>213.95526000000001</v>
          </cell>
          <cell r="F67">
            <v>0.20755357410138675</v>
          </cell>
          <cell r="G67">
            <v>-0.10801332259532581</v>
          </cell>
          <cell r="I67" t="str">
            <v>MSCI Hong Kong</v>
          </cell>
          <cell r="J67" t="str">
            <v>MSCI HONG KONG</v>
          </cell>
          <cell r="K67">
            <v>934400</v>
          </cell>
          <cell r="L67">
            <v>7668.4529810000004</v>
          </cell>
          <cell r="M67">
            <v>9452.8011829999996</v>
          </cell>
          <cell r="N67">
            <v>0.23268685436567837</v>
          </cell>
        </row>
        <row r="68">
          <cell r="A68" t="str">
            <v>MSCI Malaysia Banks</v>
          </cell>
          <cell r="B68" t="str">
            <v>MSCI MALAYSIA / BANKS -IG</v>
          </cell>
          <cell r="C68">
            <v>117247</v>
          </cell>
          <cell r="D68">
            <v>236.35287</v>
          </cell>
          <cell r="E68">
            <v>275.33724999999998</v>
          </cell>
          <cell r="F68">
            <v>0.16494142846668192</v>
          </cell>
          <cell r="G68">
            <v>-0.15769826723613511</v>
          </cell>
          <cell r="I68" t="str">
            <v>MSCI Malaysia</v>
          </cell>
          <cell r="J68" t="str">
            <v>MSCI MALAYSIA</v>
          </cell>
          <cell r="K68">
            <v>105768</v>
          </cell>
          <cell r="L68">
            <v>335.931442</v>
          </cell>
          <cell r="M68">
            <v>401.71429599999999</v>
          </cell>
          <cell r="N68">
            <v>0.19582225947162146</v>
          </cell>
        </row>
        <row r="69">
          <cell r="A69" t="str">
            <v>MSCI Taiwan Banks</v>
          </cell>
          <cell r="B69" t="str">
            <v>MSCI TAIWAN / BANKS -IG</v>
          </cell>
          <cell r="C69">
            <v>118903</v>
          </cell>
          <cell r="D69">
            <v>97.981920000000002</v>
          </cell>
          <cell r="E69">
            <v>93.746955999999997</v>
          </cell>
          <cell r="F69">
            <v>-4.3221892365448711E-2</v>
          </cell>
          <cell r="G69">
            <v>-1.19830976017344</v>
          </cell>
          <cell r="I69" t="str">
            <v>MSCI Taiwan</v>
          </cell>
          <cell r="J69" t="str">
            <v>MSCI TAIWAN</v>
          </cell>
          <cell r="K69">
            <v>915800</v>
          </cell>
          <cell r="L69">
            <v>257.66935999999998</v>
          </cell>
          <cell r="M69">
            <v>313.82876099999999</v>
          </cell>
          <cell r="N69">
            <v>0.21795141261654094</v>
          </cell>
        </row>
        <row r="73">
          <cell r="I73" t="str">
            <v>MSCI China Banks</v>
          </cell>
          <cell r="J73" t="e">
            <v>#N/A</v>
          </cell>
          <cell r="K73" t="e">
            <v>#N/A</v>
          </cell>
        </row>
        <row r="74">
          <cell r="I74" t="str">
            <v>MSCI Thailand Banks</v>
          </cell>
          <cell r="J74">
            <v>0.76862959766100825</v>
          </cell>
          <cell r="K74">
            <v>0.76862959766100825</v>
          </cell>
        </row>
        <row r="75">
          <cell r="I75" t="str">
            <v>MSCI Korea Banks</v>
          </cell>
          <cell r="J75">
            <v>0.47110785623132645</v>
          </cell>
          <cell r="K75">
            <v>0.47110785623132645</v>
          </cell>
        </row>
        <row r="76">
          <cell r="I76" t="str">
            <v>MSCI India Banks</v>
          </cell>
          <cell r="J76">
            <v>0.14119354244161619</v>
          </cell>
          <cell r="K76">
            <v>0.14119354244161619</v>
          </cell>
        </row>
        <row r="77">
          <cell r="I77" t="str">
            <v>MSCI Japan Banks</v>
          </cell>
          <cell r="J77">
            <v>0.11081190115412998</v>
          </cell>
          <cell r="K77">
            <v>0.11081190115412998</v>
          </cell>
        </row>
        <row r="78">
          <cell r="I78" t="str">
            <v>MSCI Australia Banks</v>
          </cell>
          <cell r="J78">
            <v>-2.7788119888828233E-2</v>
          </cell>
          <cell r="K78">
            <v>-2.7788119888828233E-2</v>
          </cell>
        </row>
        <row r="79">
          <cell r="I79" t="str">
            <v>MSCI Asian Banks</v>
          </cell>
          <cell r="J79">
            <v>-4.94442793549702E-2</v>
          </cell>
          <cell r="K79">
            <v>-4.94442793549702E-2</v>
          </cell>
        </row>
        <row r="80">
          <cell r="I80" t="str">
            <v>MSCI HK Banks</v>
          </cell>
          <cell r="J80">
            <v>-0.10801332259532581</v>
          </cell>
          <cell r="K80">
            <v>-0.10801332259532581</v>
          </cell>
        </row>
        <row r="81">
          <cell r="I81" t="str">
            <v>MSCI Indonesia Banks</v>
          </cell>
          <cell r="J81">
            <v>-0.13677318815059347</v>
          </cell>
          <cell r="K81">
            <v>-0.13677318815059347</v>
          </cell>
        </row>
        <row r="82">
          <cell r="I82" t="str">
            <v>MSCI Malaysia Banks</v>
          </cell>
          <cell r="J82">
            <v>-0.15769826723613511</v>
          </cell>
          <cell r="K82">
            <v>-0.15769826723613511</v>
          </cell>
        </row>
        <row r="83">
          <cell r="I83" t="str">
            <v>MSCI Singapore Banks</v>
          </cell>
          <cell r="J83">
            <v>-0.20442405482395598</v>
          </cell>
          <cell r="K83">
            <v>-0.20442405482395598</v>
          </cell>
        </row>
        <row r="84">
          <cell r="I84" t="str">
            <v>MSCI Taiwan Banks</v>
          </cell>
          <cell r="J84">
            <v>-1.19830976017344</v>
          </cell>
          <cell r="K84">
            <v>-0.3</v>
          </cell>
        </row>
      </sheetData>
      <sheetData sheetId="56" refreshError="1"/>
      <sheetData sheetId="5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VA"/>
      <sheetName val="MW-Cache"/>
      <sheetName val="MiniVar"/>
      <sheetName val="Revenue_end_mkt"/>
      <sheetName val="Variance"/>
      <sheetName val="DCF_Rev"/>
      <sheetName val="Rev model"/>
      <sheetName val="Shares"/>
      <sheetName val="mwareSettings"/>
      <sheetName val="Valuation"/>
      <sheetName val="mwareDates"/>
      <sheetName val="MWA RR"/>
      <sheetName val="DCF"/>
      <sheetName val="MW Valuation"/>
      <sheetName val="Remarks"/>
    </sheetNames>
    <sheetDataSet>
      <sheetData sheetId="0"/>
      <sheetData sheetId="1"/>
      <sheetData sheetId="2"/>
      <sheetData sheetId="3"/>
      <sheetData sheetId="4"/>
      <sheetData sheetId="5"/>
      <sheetData sheetId="6" refreshError="1">
        <row r="2">
          <cell r="A2" t="str">
            <v>Verisk (USD mm)</v>
          </cell>
          <cell r="B2" t="str">
            <v>Terminal Multiple:</v>
          </cell>
          <cell r="D2">
            <v>8.25</v>
          </cell>
          <cell r="F2" t="str">
            <v>WACC:</v>
          </cell>
          <cell r="G2">
            <v>9.5283050977709366E-2</v>
          </cell>
          <cell r="I2" t="str">
            <v>Terminal Growth:</v>
          </cell>
          <cell r="K2">
            <v>2.247156048845252E-2</v>
          </cell>
        </row>
        <row r="3">
          <cell r="D3">
            <v>2011</v>
          </cell>
          <cell r="E3">
            <v>2012</v>
          </cell>
          <cell r="F3">
            <v>2013</v>
          </cell>
          <cell r="G3">
            <v>2014</v>
          </cell>
          <cell r="H3">
            <v>2015</v>
          </cell>
          <cell r="I3">
            <v>2016</v>
          </cell>
          <cell r="J3">
            <v>2017</v>
          </cell>
          <cell r="K3">
            <v>2018</v>
          </cell>
          <cell r="L3">
            <v>2019</v>
          </cell>
          <cell r="M3">
            <v>2020</v>
          </cell>
        </row>
        <row r="4">
          <cell r="B4">
            <v>2009</v>
          </cell>
          <cell r="C4">
            <v>2010</v>
          </cell>
          <cell r="D4" t="str">
            <v>2011E</v>
          </cell>
          <cell r="E4" t="str">
            <v>2012E</v>
          </cell>
          <cell r="F4" t="str">
            <v>2013E</v>
          </cell>
          <cell r="G4" t="str">
            <v>2014E</v>
          </cell>
          <cell r="H4">
            <v>2015</v>
          </cell>
          <cell r="I4">
            <v>2016</v>
          </cell>
          <cell r="J4">
            <v>2017</v>
          </cell>
          <cell r="K4">
            <v>2018</v>
          </cell>
          <cell r="L4">
            <v>2019</v>
          </cell>
          <cell r="M4">
            <v>2020</v>
          </cell>
        </row>
        <row r="5">
          <cell r="A5" t="str">
            <v>EBIT (pre exceptionals)</v>
          </cell>
          <cell r="B5">
            <v>376.2770000000001</v>
          </cell>
          <cell r="C5">
            <v>440.9140000000001</v>
          </cell>
          <cell r="D5">
            <v>500.60135767198358</v>
          </cell>
          <cell r="E5">
            <v>551.5029869175379</v>
          </cell>
          <cell r="F5">
            <v>601.5443621037532</v>
          </cell>
          <cell r="G5">
            <v>660.44151784705298</v>
          </cell>
          <cell r="H5">
            <v>724.69052292682159</v>
          </cell>
          <cell r="I5">
            <v>782.66576476096736</v>
          </cell>
          <cell r="J5">
            <v>837.45236829423516</v>
          </cell>
          <cell r="K5">
            <v>879.32498670894699</v>
          </cell>
          <cell r="L5">
            <v>914.49798617730494</v>
          </cell>
          <cell r="M5">
            <v>951.0779056243972</v>
          </cell>
        </row>
        <row r="6">
          <cell r="A6" t="str">
            <v>Sales Growth</v>
          </cell>
          <cell r="B6">
            <v>0.14946449555145214</v>
          </cell>
          <cell r="C6">
            <v>0.10830354082936111</v>
          </cell>
          <cell r="D6">
            <v>0.15647835845610669</v>
          </cell>
          <cell r="E6">
            <v>8.5413443827244251E-2</v>
          </cell>
          <cell r="F6">
            <v>7.6028121396062076E-2</v>
          </cell>
          <cell r="G6">
            <v>7.5062627643470936E-2</v>
          </cell>
          <cell r="H6">
            <v>7.448939815040112E-2</v>
          </cell>
        </row>
        <row r="7">
          <cell r="A7" t="str">
            <v>EBIT Growth</v>
          </cell>
          <cell r="B7">
            <v>0.16456569845715863</v>
          </cell>
          <cell r="C7">
            <v>0.17178036393401674</v>
          </cell>
          <cell r="D7">
            <v>0.1353718813010778</v>
          </cell>
          <cell r="E7">
            <v>0.10168096523403225</v>
          </cell>
          <cell r="F7">
            <v>9.0736362945025295E-2</v>
          </cell>
          <cell r="G7">
            <v>9.7909912308580926E-2</v>
          </cell>
          <cell r="H7">
            <v>9.7281899068385913E-2</v>
          </cell>
          <cell r="I7">
            <v>0.08</v>
          </cell>
          <cell r="J7">
            <v>7.0000000000000007E-2</v>
          </cell>
          <cell r="K7">
            <v>0.05</v>
          </cell>
          <cell r="L7">
            <v>0.04</v>
          </cell>
          <cell r="M7">
            <v>0.04</v>
          </cell>
        </row>
        <row r="8">
          <cell r="A8" t="str">
            <v>EBIT Margins</v>
          </cell>
          <cell r="B8">
            <v>0.36634751690189121</v>
          </cell>
          <cell r="C8">
            <v>0.38732965371597144</v>
          </cell>
          <cell r="D8">
            <v>0.38026063731125881</v>
          </cell>
          <cell r="E8">
            <v>0.38595975417110517</v>
          </cell>
          <cell r="F8">
            <v>0.39123544277036032</v>
          </cell>
          <cell r="G8">
            <v>0.39954999794343732</v>
          </cell>
          <cell r="H8">
            <v>0.40802541306673473</v>
          </cell>
        </row>
        <row r="9">
          <cell r="A9" t="str">
            <v>EBITDA Margins</v>
          </cell>
          <cell r="B9">
            <v>0.43566766364457749</v>
          </cell>
          <cell r="C9">
            <v>0.44669840285397289</v>
          </cell>
          <cell r="D9">
            <v>0.44241377663217424</v>
          </cell>
          <cell r="E9">
            <v>0.44345975417110517</v>
          </cell>
          <cell r="F9">
            <v>0.44623544277036031</v>
          </cell>
          <cell r="G9">
            <v>0.45204999794343736</v>
          </cell>
          <cell r="H9">
            <v>0.45802541306673472</v>
          </cell>
        </row>
        <row r="10">
          <cell r="A10" t="str">
            <v>Tax rate</v>
          </cell>
          <cell r="B10">
            <v>0.52149808204682435</v>
          </cell>
          <cell r="C10">
            <v>0.4035362105004302</v>
          </cell>
          <cell r="D10">
            <v>0.40206489839680193</v>
          </cell>
          <cell r="E10">
            <v>0.41000000000000003</v>
          </cell>
          <cell r="F10">
            <v>0.41</v>
          </cell>
          <cell r="G10">
            <v>0.41</v>
          </cell>
          <cell r="H10">
            <v>0.41</v>
          </cell>
          <cell r="I10">
            <v>0.41</v>
          </cell>
          <cell r="J10">
            <v>0.41</v>
          </cell>
          <cell r="K10">
            <v>0.41</v>
          </cell>
          <cell r="L10">
            <v>0.41</v>
          </cell>
          <cell r="M10">
            <v>0.41</v>
          </cell>
        </row>
        <row r="11">
          <cell r="A11" t="str">
            <v>=NOPAT</v>
          </cell>
          <cell r="B11">
            <v>180.04926618166712</v>
          </cell>
          <cell r="C11">
            <v>262.98923528341339</v>
          </cell>
          <cell r="D11">
            <v>299.3271236622964</v>
          </cell>
          <cell r="E11">
            <v>325.38676228134733</v>
          </cell>
          <cell r="F11">
            <v>354.91117364121442</v>
          </cell>
          <cell r="G11">
            <v>389.66049552976131</v>
          </cell>
          <cell r="H11">
            <v>427.56740852682481</v>
          </cell>
          <cell r="I11">
            <v>461.7728012089708</v>
          </cell>
          <cell r="J11">
            <v>494.09689729359883</v>
          </cell>
          <cell r="K11">
            <v>518.80174215827878</v>
          </cell>
          <cell r="L11">
            <v>539.55381184460998</v>
          </cell>
          <cell r="M11">
            <v>561.13596431839437</v>
          </cell>
        </row>
        <row r="12">
          <cell r="A12" t="str">
            <v>+Depreciation &amp; amortization</v>
          </cell>
          <cell r="B12">
            <v>71.199000000000012</v>
          </cell>
          <cell r="C12">
            <v>67.581999999999994</v>
          </cell>
          <cell r="D12">
            <v>78.458683903404307</v>
          </cell>
          <cell r="E12">
            <v>82.162508927549993</v>
          </cell>
          <cell r="F12">
            <v>84.565293168303199</v>
          </cell>
          <cell r="G12">
            <v>86.780577813640292</v>
          </cell>
          <cell r="H12">
            <v>88.804581739164206</v>
          </cell>
          <cell r="I12">
            <v>95.908948278297345</v>
          </cell>
          <cell r="J12">
            <v>102.62257465777816</v>
          </cell>
          <cell r="K12">
            <v>107.75370339066707</v>
          </cell>
          <cell r="L12">
            <v>112.06385152629376</v>
          </cell>
          <cell r="M12">
            <v>116.54640558734552</v>
          </cell>
        </row>
        <row r="13">
          <cell r="A13" t="str">
            <v xml:space="preserve">Gross Cash Flow </v>
          </cell>
          <cell r="B13">
            <v>251.24826618166713</v>
          </cell>
          <cell r="C13">
            <v>330.57123528341339</v>
          </cell>
          <cell r="D13">
            <v>377.78580756570068</v>
          </cell>
          <cell r="E13">
            <v>407.54927120889732</v>
          </cell>
          <cell r="F13">
            <v>439.4764668095176</v>
          </cell>
          <cell r="G13">
            <v>476.44107334340163</v>
          </cell>
          <cell r="H13">
            <v>516.37199026598898</v>
          </cell>
          <cell r="I13">
            <v>557.68174948726812</v>
          </cell>
          <cell r="J13">
            <v>596.71947195137705</v>
          </cell>
          <cell r="K13">
            <v>626.55544554894584</v>
          </cell>
          <cell r="L13">
            <v>651.61766337090376</v>
          </cell>
          <cell r="M13">
            <v>677.68236990573985</v>
          </cell>
        </row>
        <row r="15">
          <cell r="A15" t="str">
            <v xml:space="preserve">+Changes in working capital </v>
          </cell>
          <cell r="B15">
            <v>38.265000000000001</v>
          </cell>
          <cell r="C15">
            <v>28.506</v>
          </cell>
          <cell r="D15">
            <v>58.689160723514611</v>
          </cell>
          <cell r="E15">
            <v>20.889562634756647</v>
          </cell>
          <cell r="F15">
            <v>31.472130359871151</v>
          </cell>
          <cell r="G15">
            <v>34.185514761875105</v>
          </cell>
          <cell r="H15">
            <v>38.1146159737972</v>
          </cell>
          <cell r="I15">
            <v>38.1146159737972</v>
          </cell>
          <cell r="J15">
            <v>38.1146159737972</v>
          </cell>
          <cell r="K15">
            <v>38.1146159737972</v>
          </cell>
          <cell r="L15">
            <v>38.1146159737972</v>
          </cell>
          <cell r="M15">
            <v>38.1146159737972</v>
          </cell>
        </row>
        <row r="16">
          <cell r="A16" t="str">
            <v>+Capital expenditures, asset purchases</v>
          </cell>
          <cell r="B16">
            <v>-38.694000000000003</v>
          </cell>
          <cell r="C16">
            <v>-38.640999999999998</v>
          </cell>
          <cell r="D16">
            <v>-57.054991979999997</v>
          </cell>
          <cell r="E16">
            <v>-50.011961955900006</v>
          </cell>
          <cell r="F16">
            <v>-55.351828255616631</v>
          </cell>
          <cell r="G16">
            <v>-62.812608703206301</v>
          </cell>
          <cell r="H16">
            <v>-67.49148212176479</v>
          </cell>
          <cell r="I16">
            <v>-72.890800691505973</v>
          </cell>
          <cell r="J16">
            <v>-77.993156739911385</v>
          </cell>
          <cell r="K16">
            <v>-81.892814576906957</v>
          </cell>
          <cell r="L16">
            <v>-85.168527159983242</v>
          </cell>
          <cell r="M16">
            <v>-88.575268246382578</v>
          </cell>
        </row>
        <row r="17">
          <cell r="A17" t="str">
            <v xml:space="preserve">          Working Capital to Sales</v>
          </cell>
          <cell r="B17">
            <v>3.7255234134031215E-2</v>
          </cell>
          <cell r="C17">
            <v>2.5041661432450499E-2</v>
          </cell>
          <cell r="D17">
            <v>4.4580737383077135E-2</v>
          </cell>
          <cell r="E17">
            <v>1.4619196360686456E-2</v>
          </cell>
          <cell r="F17">
            <v>2.0469002175016585E-2</v>
          </cell>
          <cell r="G17">
            <v>2.0681350253885303E-2</v>
          </cell>
          <cell r="H17">
            <v>2.1459825173067652E-2</v>
          </cell>
        </row>
        <row r="18">
          <cell r="A18" t="str">
            <v xml:space="preserve">          Depreciation to Sales</v>
          </cell>
          <cell r="B18">
            <v>6.9320146742686245E-2</v>
          </cell>
          <cell r="C18">
            <v>5.9368749138001456E-2</v>
          </cell>
          <cell r="D18">
            <v>5.9597819075952622E-2</v>
          </cell>
          <cell r="E18">
            <v>5.7500000000000002E-2</v>
          </cell>
          <cell r="F18">
            <v>5.5E-2</v>
          </cell>
          <cell r="G18">
            <v>5.2500000000000005E-2</v>
          </cell>
          <cell r="H18">
            <v>0.05</v>
          </cell>
        </row>
        <row r="19">
          <cell r="A19" t="str">
            <v xml:space="preserve">         Capex to Sales</v>
          </cell>
          <cell r="B19">
            <v>3.7672913356388449E-2</v>
          </cell>
          <cell r="C19">
            <v>3.3944953322504724E-2</v>
          </cell>
          <cell r="D19">
            <v>4.3339410250500351E-2</v>
          </cell>
          <cell r="E19">
            <v>3.500000000000001E-2</v>
          </cell>
          <cell r="F19">
            <v>3.5999999999999997E-2</v>
          </cell>
          <cell r="G19">
            <v>3.7999999999999999E-2</v>
          </cell>
          <cell r="H19">
            <v>3.7999999999999999E-2</v>
          </cell>
        </row>
        <row r="20">
          <cell r="A20" t="str">
            <v xml:space="preserve">         Capex to Depreciation</v>
          </cell>
          <cell r="B20">
            <v>0.54346268908271178</v>
          </cell>
          <cell r="C20">
            <v>0.57176467106626028</v>
          </cell>
          <cell r="D20">
            <v>0.72719792305265007</v>
          </cell>
          <cell r="E20">
            <v>0.60869565217391319</v>
          </cell>
          <cell r="F20">
            <v>0.65454545454545443</v>
          </cell>
          <cell r="G20">
            <v>0.72380952380952379</v>
          </cell>
          <cell r="H20">
            <v>0.7599999999999999</v>
          </cell>
          <cell r="I20">
            <v>0.7599999999999999</v>
          </cell>
          <cell r="J20">
            <v>0.7599999999999999</v>
          </cell>
          <cell r="K20">
            <v>0.7599999999999999</v>
          </cell>
          <cell r="L20">
            <v>0.7599999999999999</v>
          </cell>
          <cell r="M20">
            <v>0.7599999999999999</v>
          </cell>
        </row>
        <row r="21">
          <cell r="A21" t="str">
            <v>= Gross investment</v>
          </cell>
          <cell r="B21">
            <v>-0.42900000000000205</v>
          </cell>
          <cell r="C21">
            <v>-10.134999999999998</v>
          </cell>
          <cell r="D21">
            <v>1.6341687435146142</v>
          </cell>
          <cell r="E21">
            <v>-29.122399321143359</v>
          </cell>
          <cell r="F21">
            <v>-23.87969789574548</v>
          </cell>
          <cell r="G21">
            <v>-28.627093941331196</v>
          </cell>
          <cell r="H21">
            <v>-29.37686614796759</v>
          </cell>
          <cell r="I21">
            <v>-34.776184717708773</v>
          </cell>
          <cell r="J21">
            <v>-39.878540766114185</v>
          </cell>
          <cell r="K21">
            <v>-43.778198603109757</v>
          </cell>
          <cell r="L21">
            <v>-47.053911186186042</v>
          </cell>
          <cell r="M21">
            <v>-50.460652272585378</v>
          </cell>
        </row>
        <row r="23">
          <cell r="A23" t="str">
            <v>Free cash flow from operations</v>
          </cell>
          <cell r="B23">
            <v>250.81926618166713</v>
          </cell>
          <cell r="C23">
            <v>320.4362352834134</v>
          </cell>
          <cell r="D23">
            <v>379.41997630921531</v>
          </cell>
          <cell r="E23">
            <v>378.42687188775398</v>
          </cell>
          <cell r="F23">
            <v>415.59676891377211</v>
          </cell>
          <cell r="G23">
            <v>447.81397940207046</v>
          </cell>
          <cell r="H23">
            <v>486.99512411802141</v>
          </cell>
          <cell r="I23">
            <v>522.90556476955931</v>
          </cell>
          <cell r="J23">
            <v>556.84093118526289</v>
          </cell>
          <cell r="K23">
            <v>582.77724694583605</v>
          </cell>
          <cell r="L23">
            <v>604.56375218471771</v>
          </cell>
          <cell r="M23">
            <v>627.22171763315441</v>
          </cell>
        </row>
        <row r="24">
          <cell r="A24" t="str">
            <v>FCF growth</v>
          </cell>
          <cell r="C24">
            <v>0.27755829989281233</v>
          </cell>
          <cell r="D24">
            <v>0.18407325555311527</v>
          </cell>
          <cell r="E24">
            <v>-2.6174278727274514E-3</v>
          </cell>
          <cell r="F24">
            <v>9.8222139565826483E-2</v>
          </cell>
          <cell r="G24">
            <v>7.7520358429405301E-2</v>
          </cell>
          <cell r="H24">
            <v>8.7494242069589667E-2</v>
          </cell>
          <cell r="I24">
            <v>7.3738809431765695E-2</v>
          </cell>
          <cell r="J24">
            <v>6.4897696069956101E-2</v>
          </cell>
          <cell r="K24">
            <v>4.6577602880891744E-2</v>
          </cell>
          <cell r="L24">
            <v>3.7383932459714719E-2</v>
          </cell>
          <cell r="M24">
            <v>3.747820699894322E-2</v>
          </cell>
        </row>
        <row r="26">
          <cell r="A26" t="str">
            <v>Present value of cash flows</v>
          </cell>
          <cell r="D26">
            <v>6878.6609615273965</v>
          </cell>
          <cell r="E26">
            <v>7154.6607882737753</v>
          </cell>
          <cell r="F26">
            <v>7457.9518250033307</v>
          </cell>
          <cell r="G26">
            <v>7752.9714600206516</v>
          </cell>
          <cell r="H26">
            <v>8043.8842554724542</v>
          </cell>
          <cell r="I26">
            <v>8323.3349649274078</v>
          </cell>
          <cell r="J26">
            <v>8593.5021499255781</v>
          </cell>
          <cell r="K26">
            <v>8855.4763221687281</v>
          </cell>
          <cell r="L26">
            <v>9116.4758770599929</v>
          </cell>
          <cell r="M26">
            <v>9380.5577606062398</v>
          </cell>
        </row>
        <row r="27">
          <cell r="A27" t="str">
            <v xml:space="preserve"> -Minority Interest</v>
          </cell>
          <cell r="D27">
            <v>0</v>
          </cell>
          <cell r="E27">
            <v>0</v>
          </cell>
          <cell r="F27">
            <v>0</v>
          </cell>
          <cell r="G27">
            <v>0</v>
          </cell>
          <cell r="H27">
            <v>0</v>
          </cell>
          <cell r="I27">
            <v>0</v>
          </cell>
          <cell r="J27">
            <v>0</v>
          </cell>
          <cell r="K27">
            <v>0</v>
          </cell>
          <cell r="L27">
            <v>0</v>
          </cell>
          <cell r="M27">
            <v>0</v>
          </cell>
        </row>
        <row r="28">
          <cell r="A28" t="str">
            <v xml:space="preserve"> -Net Debt  </v>
          </cell>
          <cell r="D28">
            <v>723.67600000000004</v>
          </cell>
          <cell r="E28">
            <v>723.67600000000004</v>
          </cell>
          <cell r="F28">
            <v>723.67600000000004</v>
          </cell>
          <cell r="G28">
            <v>723.67600000000004</v>
          </cell>
          <cell r="H28">
            <v>723.67600000000004</v>
          </cell>
          <cell r="I28">
            <v>723.67600000000004</v>
          </cell>
          <cell r="J28">
            <v>723.67600000000004</v>
          </cell>
          <cell r="K28">
            <v>723.67600000000004</v>
          </cell>
          <cell r="L28">
            <v>723.67600000000004</v>
          </cell>
          <cell r="M28">
            <v>723.67600000000004</v>
          </cell>
        </row>
        <row r="29">
          <cell r="A29" t="str">
            <v>+ Preferred Equity</v>
          </cell>
          <cell r="D29">
            <v>0</v>
          </cell>
          <cell r="E29">
            <v>0</v>
          </cell>
          <cell r="F29">
            <v>0</v>
          </cell>
          <cell r="G29">
            <v>0</v>
          </cell>
          <cell r="H29">
            <v>0</v>
          </cell>
          <cell r="I29">
            <v>0</v>
          </cell>
          <cell r="J29">
            <v>0</v>
          </cell>
          <cell r="K29">
            <v>0</v>
          </cell>
          <cell r="L29">
            <v>0</v>
          </cell>
          <cell r="M29">
            <v>0</v>
          </cell>
        </row>
        <row r="30">
          <cell r="A30" t="str">
            <v>Implied Market Cap</v>
          </cell>
          <cell r="D30">
            <v>6154.9849615273961</v>
          </cell>
          <cell r="E30">
            <v>6430.9847882737749</v>
          </cell>
          <cell r="F30">
            <v>6734.2758250033303</v>
          </cell>
          <cell r="G30">
            <v>7029.2954600206513</v>
          </cell>
          <cell r="H30">
            <v>7320.2082554724539</v>
          </cell>
          <cell r="I30">
            <v>7599.6589649274074</v>
          </cell>
          <cell r="J30">
            <v>7869.8261499255777</v>
          </cell>
          <cell r="K30">
            <v>8131.8003221687277</v>
          </cell>
          <cell r="L30">
            <v>8392.7998770599934</v>
          </cell>
          <cell r="M30">
            <v>8656.8817606062403</v>
          </cell>
        </row>
        <row r="31">
          <cell r="A31" t="str">
            <v>Fully-diluted shares</v>
          </cell>
          <cell r="D31">
            <v>172.85165953025427</v>
          </cell>
          <cell r="E31">
            <v>165.10550070179568</v>
          </cell>
          <cell r="F31">
            <v>154.49482725952348</v>
          </cell>
          <cell r="G31">
            <v>145.93638732087192</v>
          </cell>
          <cell r="H31">
            <v>138.12248028468449</v>
          </cell>
          <cell r="I31">
            <v>138.12248028468449</v>
          </cell>
          <cell r="J31">
            <v>138.12248028468449</v>
          </cell>
          <cell r="K31">
            <v>138.12248028468449</v>
          </cell>
          <cell r="L31">
            <v>138.12248028468449</v>
          </cell>
          <cell r="M31">
            <v>138.12248028468449</v>
          </cell>
        </row>
        <row r="32">
          <cell r="A32" t="str">
            <v>Implied Value per Share</v>
          </cell>
          <cell r="D32">
            <v>35.608480579557799</v>
          </cell>
          <cell r="E32">
            <v>38.950760337713156</v>
          </cell>
          <cell r="F32">
            <v>43.589005175499892</v>
          </cell>
          <cell r="G32">
            <v>48.166845767980149</v>
          </cell>
          <cell r="H32">
            <v>52.997949648636194</v>
          </cell>
          <cell r="I32">
            <v>55.021159113735408</v>
          </cell>
          <cell r="J32">
            <v>56.977156315938331</v>
          </cell>
          <cell r="K32">
            <v>58.873836506615433</v>
          </cell>
          <cell r="L32">
            <v>60.763460515345358</v>
          </cell>
          <cell r="M32">
            <v>62.675400432742926</v>
          </cell>
        </row>
        <row r="35">
          <cell r="A35" t="str">
            <v>WACC</v>
          </cell>
        </row>
        <row r="36">
          <cell r="A36" t="str">
            <v>Debt/total capital</v>
          </cell>
          <cell r="B36">
            <v>0.15008634398323012</v>
          </cell>
        </row>
        <row r="37">
          <cell r="A37" t="str">
            <v>Equity/total capital</v>
          </cell>
          <cell r="B37">
            <v>0.84991365601676994</v>
          </cell>
        </row>
        <row r="39">
          <cell r="A39" t="str">
            <v>Credit rating</v>
          </cell>
          <cell r="B39" t="str">
            <v>BBB-/Ba1</v>
          </cell>
        </row>
        <row r="40">
          <cell r="A40" t="str">
            <v xml:space="preserve"> Cost of long-term debt</v>
          </cell>
          <cell r="B40">
            <v>5.7103949693114692E-2</v>
          </cell>
        </row>
        <row r="41">
          <cell r="A41" t="str">
            <v xml:space="preserve"> After tax cost of long-term debt</v>
          </cell>
          <cell r="B41">
            <v>3.7117567300524554E-2</v>
          </cell>
        </row>
        <row r="43">
          <cell r="A43" t="str">
            <v>Current price</v>
          </cell>
          <cell r="B43">
            <v>33.72</v>
          </cell>
          <cell r="E43" t="str">
            <v>Beta</v>
          </cell>
          <cell r="G43" t="str">
            <v>Source: Thomson Reuters</v>
          </cell>
        </row>
        <row r="44">
          <cell r="A44" t="str">
            <v>Current shares</v>
          </cell>
          <cell r="B44">
            <v>171.169658</v>
          </cell>
          <cell r="E44" t="str">
            <v>FDS</v>
          </cell>
          <cell r="H44" t="str">
            <v>Contact Customer Support with log.</v>
          </cell>
        </row>
        <row r="45">
          <cell r="A45" t="str">
            <v>Current market cap</v>
          </cell>
          <cell r="B45">
            <v>5771.84086776</v>
          </cell>
          <cell r="E45" t="str">
            <v>IHS</v>
          </cell>
          <cell r="H45" t="str">
            <v>Contact Customer Support with log.</v>
          </cell>
        </row>
        <row r="46">
          <cell r="A46" t="str">
            <v xml:space="preserve">Risk free rate </v>
          </cell>
          <cell r="B46">
            <v>3.2199999999999999E-2</v>
          </cell>
          <cell r="E46" t="str">
            <v>MSCI</v>
          </cell>
          <cell r="H46" t="str">
            <v>Contact Customer Support with log.</v>
          </cell>
        </row>
        <row r="47">
          <cell r="A47" t="str">
            <v>Market risk premium</v>
          </cell>
          <cell r="B47">
            <v>7.4999999999999997E-2</v>
          </cell>
          <cell r="E47" t="str">
            <v>TRI</v>
          </cell>
          <cell r="H47" t="str">
            <v>Contact Customer Support with log.</v>
          </cell>
        </row>
        <row r="48">
          <cell r="A48" t="str">
            <v>Equity beta</v>
          </cell>
          <cell r="B48">
            <v>0.97806000000000004</v>
          </cell>
          <cell r="E48" t="str">
            <v>SLH</v>
          </cell>
          <cell r="H48" t="str">
            <v>Contact Customer Support with log.</v>
          </cell>
        </row>
        <row r="49">
          <cell r="A49" t="str">
            <v>Cost of equity</v>
          </cell>
          <cell r="B49">
            <v>0.1055545</v>
          </cell>
          <cell r="E49" t="str">
            <v>Average</v>
          </cell>
          <cell r="H49">
            <v>0.97806000000000004</v>
          </cell>
        </row>
        <row r="51">
          <cell r="A51" t="str">
            <v>WACC</v>
          </cell>
          <cell r="B51">
            <v>9.5283050977709366E-2</v>
          </cell>
        </row>
        <row r="52">
          <cell r="A52" t="str">
            <v>Terminal value</v>
          </cell>
          <cell r="B52">
            <v>8807.9005674968776</v>
          </cell>
          <cell r="D52">
            <v>3882.7112885129595</v>
          </cell>
          <cell r="E52">
            <v>4252.6678661480673</v>
          </cell>
          <cell r="F52">
            <v>4657.8750352295201</v>
          </cell>
          <cell r="G52">
            <v>5101.6915796590947</v>
          </cell>
          <cell r="H52">
            <v>5587.7963185163026</v>
          </cell>
          <cell r="I52">
            <v>6120.2185999865478</v>
          </cell>
          <cell r="J52">
            <v>6703.3717008437907</v>
          </cell>
          <cell r="K52">
            <v>7342.0894083378244</v>
          </cell>
          <cell r="L52">
            <v>8041.6660877153763</v>
          </cell>
          <cell r="M52">
            <v>8807.9005674968776</v>
          </cell>
        </row>
        <row r="53">
          <cell r="A53" t="str">
            <v>NPV of TV</v>
          </cell>
          <cell r="D53">
            <v>9</v>
          </cell>
          <cell r="E53">
            <v>8</v>
          </cell>
          <cell r="F53">
            <v>7</v>
          </cell>
          <cell r="G53">
            <v>6</v>
          </cell>
          <cell r="H53">
            <v>5</v>
          </cell>
          <cell r="I53">
            <v>4</v>
          </cell>
          <cell r="J53">
            <v>3</v>
          </cell>
          <cell r="K53">
            <v>2</v>
          </cell>
          <cell r="L53">
            <v>1</v>
          </cell>
          <cell r="M53">
            <v>0</v>
          </cell>
        </row>
        <row r="54">
          <cell r="A54" t="str">
            <v>Terminal EBITDA multiple</v>
          </cell>
          <cell r="B54">
            <v>8.25</v>
          </cell>
        </row>
        <row r="55">
          <cell r="A55" t="str">
            <v>BEAR</v>
          </cell>
          <cell r="B55">
            <v>7.25</v>
          </cell>
        </row>
        <row r="56">
          <cell r="A56" t="str">
            <v>BASE</v>
          </cell>
          <cell r="B56">
            <v>8.25</v>
          </cell>
        </row>
        <row r="57">
          <cell r="A57" t="str">
            <v>BULL</v>
          </cell>
          <cell r="B57">
            <v>9</v>
          </cell>
        </row>
        <row r="58">
          <cell r="A58" t="str">
            <v>Terminal growth rate</v>
          </cell>
          <cell r="B58">
            <v>2.247156048845252E-2</v>
          </cell>
        </row>
      </sheetData>
      <sheetData sheetId="7"/>
      <sheetData sheetId="8"/>
      <sheetData sheetId="9"/>
      <sheetData sheetId="10" refreshError="1">
        <row r="1">
          <cell r="B1" t="str">
            <v>Valuation</v>
          </cell>
        </row>
        <row r="11">
          <cell r="B11" t="str">
            <v>Sum of the Parts (SOTP)</v>
          </cell>
        </row>
        <row r="12">
          <cell r="C12" t="str">
            <v>Est EBITDA Multiples</v>
          </cell>
          <cell r="E12" t="str">
            <v>Enterprise Value</v>
          </cell>
          <cell r="G12" t="str">
            <v>Net Debt</v>
          </cell>
          <cell r="H12" t="str">
            <v>Equity Value</v>
          </cell>
          <cell r="I12" t="str">
            <v>Price</v>
          </cell>
        </row>
        <row r="13">
          <cell r="B13" t="str">
            <v>Risk Assessment</v>
          </cell>
          <cell r="C13">
            <v>9</v>
          </cell>
          <cell r="E13">
            <v>2578.9975761600008</v>
          </cell>
        </row>
        <row r="14">
          <cell r="B14" t="str">
            <v>Decision Analytics</v>
          </cell>
          <cell r="C14">
            <v>12.5</v>
          </cell>
          <cell r="E14">
            <v>3656.3094416923491</v>
          </cell>
        </row>
        <row r="15">
          <cell r="B15" t="str">
            <v>Total Company</v>
          </cell>
          <cell r="C15">
            <v>10.767980123250441</v>
          </cell>
          <cell r="E15">
            <v>6235.3070178523503</v>
          </cell>
          <cell r="G15">
            <v>961.57599999999991</v>
          </cell>
          <cell r="H15">
            <v>5273.7310178523503</v>
          </cell>
          <cell r="I15">
            <v>30.809964099200048</v>
          </cell>
        </row>
        <row r="55">
          <cell r="B55" t="str">
            <v>1. Discounted Cash Flow Valuation</v>
          </cell>
        </row>
        <row r="56">
          <cell r="B56" t="str">
            <v>(All values in millions, except per-share amounts)</v>
          </cell>
        </row>
        <row r="57">
          <cell r="B57" t="str">
            <v>Year 2015 EBITDA Multiple:</v>
          </cell>
          <cell r="C57">
            <v>8.25</v>
          </cell>
          <cell r="E57" t="str">
            <v>Disc. Rate:</v>
          </cell>
          <cell r="F57">
            <v>9.0924080089331505E-2</v>
          </cell>
          <cell r="H57" t="str">
            <v>FCF Growth:</v>
          </cell>
          <cell r="I57">
            <v>1.7118804816868172E-2</v>
          </cell>
        </row>
        <row r="59">
          <cell r="B59" t="str">
            <v>Fiscal Year Ending December 31</v>
          </cell>
          <cell r="C59" t="str">
            <v>2009E</v>
          </cell>
          <cell r="D59" t="str">
            <v>2010E</v>
          </cell>
          <cell r="E59" t="str">
            <v>2011E</v>
          </cell>
          <cell r="F59" t="str">
            <v>2012E</v>
          </cell>
          <cell r="G59" t="str">
            <v>2013E</v>
          </cell>
          <cell r="H59" t="str">
            <v>2014E</v>
          </cell>
          <cell r="I59" t="str">
            <v>2015E</v>
          </cell>
          <cell r="T59">
            <v>2007</v>
          </cell>
          <cell r="U59">
            <v>2008</v>
          </cell>
          <cell r="V59">
            <v>2009</v>
          </cell>
        </row>
        <row r="60">
          <cell r="B60" t="str">
            <v>Operating Cash Flow (EBITDA)</v>
          </cell>
          <cell r="C60">
            <v>447.47600000000011</v>
          </cell>
          <cell r="D60">
            <v>508.49600000000009</v>
          </cell>
          <cell r="E60">
            <v>582.42404157538795</v>
          </cell>
          <cell r="F60">
            <v>633.66549584508789</v>
          </cell>
          <cell r="G60">
            <v>686.10965527205644</v>
          </cell>
          <cell r="H60">
            <v>747.2220956606933</v>
          </cell>
          <cell r="I60">
            <v>813.49510466598576</v>
          </cell>
          <cell r="T60">
            <v>351.23199999999997</v>
          </cell>
          <cell r="U60">
            <v>387.97699999999986</v>
          </cell>
          <cell r="V60">
            <v>447.47600000000011</v>
          </cell>
        </row>
        <row r="61">
          <cell r="B61" t="str">
            <v>Tax Expense (% of EBIT)</v>
          </cell>
          <cell r="C61">
            <v>-196.41659400000006</v>
          </cell>
          <cell r="D61">
            <v>-178.12925600000003</v>
          </cell>
          <cell r="E61">
            <v>-202.62678032789404</v>
          </cell>
          <cell r="F61">
            <v>-226.11622463619057</v>
          </cell>
          <cell r="G61">
            <v>-246.63318846253881</v>
          </cell>
          <cell r="H61">
            <v>-270.78102231729173</v>
          </cell>
          <cell r="I61">
            <v>-297.12311439999684</v>
          </cell>
          <cell r="T61">
            <v>-117.35579135992218</v>
          </cell>
          <cell r="U61">
            <v>-137.96417108054251</v>
          </cell>
          <cell r="V61">
            <v>-196.41659400000006</v>
          </cell>
        </row>
        <row r="62">
          <cell r="B62" t="str">
            <v>Capital Expenditures</v>
          </cell>
          <cell r="C62">
            <v>-38.694000000000003</v>
          </cell>
          <cell r="D62">
            <v>-38.640999999999998</v>
          </cell>
          <cell r="E62">
            <v>-57.054991979999997</v>
          </cell>
          <cell r="F62">
            <v>-50.011961955900006</v>
          </cell>
          <cell r="G62">
            <v>-55.351828255616631</v>
          </cell>
          <cell r="H62">
            <v>-62.812608703206301</v>
          </cell>
          <cell r="I62">
            <v>-67.49148212176479</v>
          </cell>
          <cell r="T62">
            <v>-32.941000000000003</v>
          </cell>
          <cell r="U62">
            <v>-30.652000000000001</v>
          </cell>
          <cell r="V62">
            <v>-38.694000000000003</v>
          </cell>
        </row>
        <row r="63">
          <cell r="B63" t="str">
            <v>Working Capital</v>
          </cell>
          <cell r="C63">
            <v>38.265000000000001</v>
          </cell>
          <cell r="D63">
            <v>28.506</v>
          </cell>
          <cell r="E63">
            <v>58.689160723514611</v>
          </cell>
          <cell r="F63">
            <v>20.889562634756647</v>
          </cell>
          <cell r="G63">
            <v>31.472130359871151</v>
          </cell>
          <cell r="H63">
            <v>34.185514761875105</v>
          </cell>
          <cell r="I63">
            <v>38.1146159737972</v>
          </cell>
          <cell r="T63">
            <v>10.798000000000002</v>
          </cell>
          <cell r="U63">
            <v>-8.0350000000000019</v>
          </cell>
          <cell r="V63">
            <v>38.265000000000001</v>
          </cell>
        </row>
        <row r="64">
          <cell r="C64" t="str">
            <v xml:space="preserve">_______ </v>
          </cell>
          <cell r="D64" t="str">
            <v xml:space="preserve">_______ </v>
          </cell>
          <cell r="E64" t="str">
            <v xml:space="preserve">_______ </v>
          </cell>
          <cell r="F64" t="str">
            <v xml:space="preserve">_______ </v>
          </cell>
          <cell r="G64" t="str">
            <v xml:space="preserve">_______ </v>
          </cell>
          <cell r="H64" t="str">
            <v xml:space="preserve">_______ </v>
          </cell>
          <cell r="I64" t="str">
            <v xml:space="preserve">_______ </v>
          </cell>
          <cell r="T64" t="str">
            <v xml:space="preserve">_______ </v>
          </cell>
          <cell r="U64" t="str">
            <v xml:space="preserve">_______ </v>
          </cell>
          <cell r="V64" t="str">
            <v xml:space="preserve">_______ </v>
          </cell>
        </row>
        <row r="65">
          <cell r="B65" t="str">
            <v>Unleveraged Free Cash Flow</v>
          </cell>
          <cell r="C65">
            <v>250.63040600000005</v>
          </cell>
          <cell r="D65">
            <v>320.23174400000005</v>
          </cell>
          <cell r="E65">
            <v>381.43142999100849</v>
          </cell>
          <cell r="F65">
            <v>378.42687188775398</v>
          </cell>
          <cell r="G65">
            <v>415.59676891377217</v>
          </cell>
          <cell r="H65">
            <v>447.81397940207034</v>
          </cell>
          <cell r="I65">
            <v>486.99512411802129</v>
          </cell>
          <cell r="T65">
            <v>211.73320864007778</v>
          </cell>
          <cell r="U65">
            <v>211.32582891945734</v>
          </cell>
          <cell r="V65">
            <v>250.63040600000005</v>
          </cell>
        </row>
        <row r="66">
          <cell r="B66" t="str">
            <v xml:space="preserve">  Year-over-Year Growth</v>
          </cell>
          <cell r="D66">
            <v>0.27770508419477236</v>
          </cell>
          <cell r="E66">
            <v>0.19111061641349458</v>
          </cell>
          <cell r="F66">
            <v>-7.877059589256552E-3</v>
          </cell>
          <cell r="G66">
            <v>9.8222139565826705E-2</v>
          </cell>
          <cell r="H66">
            <v>7.7520358429404856E-2</v>
          </cell>
          <cell r="I66">
            <v>8.7494242069589667E-2</v>
          </cell>
        </row>
        <row r="68">
          <cell r="B68" t="str">
            <v>Value of Modeled Cash Flows</v>
          </cell>
          <cell r="C68">
            <v>1777.6615994215679</v>
          </cell>
          <cell r="D68">
            <v>1619.0621010591035</v>
          </cell>
          <cell r="E68">
            <v>1384.8424032143939</v>
          </cell>
          <cell r="F68">
            <v>1132.3310529076075</v>
          </cell>
          <cell r="G68">
            <v>819.69044333604381</v>
          </cell>
          <cell r="H68">
            <v>446.40606345231947</v>
          </cell>
          <cell r="I68">
            <v>0</v>
          </cell>
        </row>
        <row r="69">
          <cell r="B69" t="str">
            <v>Terminal Value</v>
          </cell>
          <cell r="C69">
            <v>3981.4541963196843</v>
          </cell>
          <cell r="D69">
            <v>4343.4642565378599</v>
          </cell>
          <cell r="E69">
            <v>4738.3897484644567</v>
          </cell>
          <cell r="F69">
            <v>5169.2234774483059</v>
          </cell>
          <cell r="G69">
            <v>5639.2303669114681</v>
          </cell>
          <cell r="H69">
            <v>6151.9722004347159</v>
          </cell>
          <cell r="I69">
            <v>6711.3346134943822</v>
          </cell>
        </row>
        <row r="70">
          <cell r="B70" t="str">
            <v>Value of NOL Tax Benefit</v>
          </cell>
          <cell r="C70">
            <v>0</v>
          </cell>
          <cell r="D70">
            <v>0</v>
          </cell>
          <cell r="E70">
            <v>0</v>
          </cell>
          <cell r="F70">
            <v>0</v>
          </cell>
          <cell r="G70">
            <v>0</v>
          </cell>
          <cell r="H70">
            <v>0</v>
          </cell>
          <cell r="I70">
            <v>0</v>
          </cell>
        </row>
        <row r="71">
          <cell r="C71" t="str">
            <v xml:space="preserve">_______ </v>
          </cell>
          <cell r="D71" t="str">
            <v xml:space="preserve">_______ </v>
          </cell>
          <cell r="E71" t="str">
            <v xml:space="preserve">_______ </v>
          </cell>
          <cell r="F71" t="str">
            <v xml:space="preserve">_______ </v>
          </cell>
          <cell r="G71" t="str">
            <v xml:space="preserve">_______ </v>
          </cell>
          <cell r="H71" t="str">
            <v xml:space="preserve">_______ </v>
          </cell>
          <cell r="I71" t="str">
            <v xml:space="preserve">_______ </v>
          </cell>
        </row>
        <row r="72">
          <cell r="B72" t="str">
            <v>Enterprise Value</v>
          </cell>
          <cell r="C72">
            <v>5759.1157957412524</v>
          </cell>
          <cell r="D72">
            <v>5962.5263575969639</v>
          </cell>
          <cell r="E72">
            <v>6123.2321516788506</v>
          </cell>
          <cell r="F72">
            <v>6301.5545303559138</v>
          </cell>
          <cell r="G72">
            <v>6458.9208102475122</v>
          </cell>
          <cell r="H72">
            <v>6598.3782638870352</v>
          </cell>
          <cell r="I72">
            <v>6711.3346134943822</v>
          </cell>
        </row>
        <row r="74">
          <cell r="B74" t="str">
            <v>Projected Year-end Cash</v>
          </cell>
          <cell r="C74">
            <v>71.527000000000115</v>
          </cell>
          <cell r="D74">
            <v>54.974000000000011</v>
          </cell>
          <cell r="E74">
            <v>61.597856353568311</v>
          </cell>
          <cell r="F74">
            <v>341.89008172502997</v>
          </cell>
          <cell r="G74">
            <v>227.72883908495578</v>
          </cell>
          <cell r="H74">
            <v>314.22019887492712</v>
          </cell>
          <cell r="I74">
            <v>278.35103260255897</v>
          </cell>
        </row>
        <row r="75">
          <cell r="B75" t="str">
            <v>Projected Year-end Debt &amp; Pref.</v>
          </cell>
          <cell r="C75">
            <v>-594.16899999999998</v>
          </cell>
          <cell r="D75">
            <v>-839.54300000000001</v>
          </cell>
          <cell r="E75">
            <v>-1019.25</v>
          </cell>
          <cell r="F75">
            <v>-1019.25</v>
          </cell>
          <cell r="G75">
            <v>-856.75</v>
          </cell>
          <cell r="H75">
            <v>-856.75</v>
          </cell>
          <cell r="I75">
            <v>-686.75</v>
          </cell>
        </row>
        <row r="76">
          <cell r="B76" t="str">
            <v>Options Proceeds</v>
          </cell>
          <cell r="C76">
            <v>0</v>
          </cell>
          <cell r="D76">
            <v>0</v>
          </cell>
          <cell r="E76">
            <v>0</v>
          </cell>
          <cell r="F76">
            <v>0</v>
          </cell>
          <cell r="G76">
            <v>0</v>
          </cell>
          <cell r="H76">
            <v>0</v>
          </cell>
          <cell r="I76">
            <v>0</v>
          </cell>
        </row>
        <row r="77">
          <cell r="C77" t="str">
            <v xml:space="preserve">_______ </v>
          </cell>
          <cell r="D77" t="str">
            <v xml:space="preserve">_______ </v>
          </cell>
          <cell r="E77" t="str">
            <v xml:space="preserve">_______ </v>
          </cell>
          <cell r="F77" t="str">
            <v xml:space="preserve">_______ </v>
          </cell>
          <cell r="G77" t="str">
            <v xml:space="preserve">_______ </v>
          </cell>
          <cell r="H77" t="str">
            <v xml:space="preserve">_______ </v>
          </cell>
          <cell r="I77" t="str">
            <v xml:space="preserve">_______ </v>
          </cell>
        </row>
        <row r="78">
          <cell r="B78" t="str">
            <v>Public Equity Value</v>
          </cell>
          <cell r="C78">
            <v>5236.4737957412526</v>
          </cell>
          <cell r="D78">
            <v>5177.9573575969644</v>
          </cell>
          <cell r="E78">
            <v>5165.5800080324188</v>
          </cell>
          <cell r="F78">
            <v>5624.1946120809434</v>
          </cell>
          <cell r="G78">
            <v>5829.8996493324685</v>
          </cell>
          <cell r="H78">
            <v>6055.8484627619628</v>
          </cell>
          <cell r="I78">
            <v>6302.9356460969411</v>
          </cell>
        </row>
        <row r="80">
          <cell r="B80" t="str">
            <v>Fully Diluted Shares</v>
          </cell>
          <cell r="C80">
            <v>182.165661</v>
          </cell>
          <cell r="D80">
            <v>186.39496199999999</v>
          </cell>
          <cell r="E80">
            <v>172.85165953025427</v>
          </cell>
          <cell r="F80">
            <v>165.10550070179568</v>
          </cell>
          <cell r="G80">
            <v>154.49482725952348</v>
          </cell>
          <cell r="H80">
            <v>145.93638732087192</v>
          </cell>
          <cell r="I80">
            <v>138.12248028468449</v>
          </cell>
        </row>
        <row r="81">
          <cell r="B81" t="str">
            <v>Fully Diluted Shares</v>
          </cell>
          <cell r="C81">
            <v>188.47902300000001</v>
          </cell>
          <cell r="D81">
            <v>186.39496199999999</v>
          </cell>
          <cell r="E81">
            <v>172.85165953025427</v>
          </cell>
          <cell r="F81">
            <v>165.10550070179568</v>
          </cell>
          <cell r="G81">
            <v>154.49482725952348</v>
          </cell>
          <cell r="H81">
            <v>145.93638732087192</v>
          </cell>
          <cell r="I81">
            <v>138.12248028468449</v>
          </cell>
        </row>
        <row r="83">
          <cell r="B83" t="str">
            <v>Year-end Value per Share</v>
          </cell>
          <cell r="C83">
            <v>27.782793609563925</v>
          </cell>
          <cell r="D83">
            <v>27.779492010073557</v>
          </cell>
          <cell r="E83">
            <v>29.884468694547223</v>
          </cell>
          <cell r="F83">
            <v>34.064247333824746</v>
          </cell>
          <cell r="G83">
            <v>37.735241708379576</v>
          </cell>
          <cell r="H83">
            <v>41.496494287246563</v>
          </cell>
          <cell r="I83">
            <v>45.632945724012117</v>
          </cell>
        </row>
        <row r="84">
          <cell r="B84" t="str">
            <v>Share Price</v>
          </cell>
          <cell r="C84">
            <v>27.782793609563925</v>
          </cell>
          <cell r="D84">
            <v>27.779492010073557</v>
          </cell>
          <cell r="E84">
            <v>29.884468694547223</v>
          </cell>
          <cell r="F84">
            <v>34.064247333824746</v>
          </cell>
          <cell r="G84">
            <v>37.735241708379576</v>
          </cell>
          <cell r="H84">
            <v>41.496494287246563</v>
          </cell>
          <cell r="I84">
            <v>45.632945724012117</v>
          </cell>
        </row>
        <row r="85">
          <cell r="B85" t="str">
            <v xml:space="preserve">  Price Appreciation</v>
          </cell>
          <cell r="D85">
            <v>-1.1883612342100669E-4</v>
          </cell>
          <cell r="E85">
            <v>7.5774484418590138E-2</v>
          </cell>
          <cell r="F85">
            <v>0.13986457922339346</v>
          </cell>
          <cell r="G85">
            <v>0.10776678370667092</v>
          </cell>
          <cell r="H85">
            <v>9.9674797578724883E-2</v>
          </cell>
          <cell r="I85">
            <v>9.9681949230030265E-2</v>
          </cell>
        </row>
        <row r="87">
          <cell r="B87" t="str">
            <v>Projected EBITDA</v>
          </cell>
          <cell r="C87">
            <v>447.47600000000011</v>
          </cell>
          <cell r="D87">
            <v>508.49600000000009</v>
          </cell>
          <cell r="E87">
            <v>582.42404157538795</v>
          </cell>
          <cell r="F87">
            <v>633.66549584508789</v>
          </cell>
          <cell r="G87">
            <v>686.10965527205644</v>
          </cell>
          <cell r="H87">
            <v>747.2220956606933</v>
          </cell>
          <cell r="I87">
            <v>813.49510466598576</v>
          </cell>
          <cell r="J87">
            <v>871.21584789386964</v>
          </cell>
          <cell r="K87">
            <v>920.66885722500047</v>
          </cell>
          <cell r="L87">
            <v>962.47695398751569</v>
          </cell>
        </row>
        <row r="88">
          <cell r="B88" t="str">
            <v xml:space="preserve">  Year-over-year growth</v>
          </cell>
          <cell r="D88">
            <v>0.1363648553218495</v>
          </cell>
          <cell r="E88">
            <v>0.14538568951454445</v>
          </cell>
          <cell r="F88">
            <v>8.7979634444858901E-2</v>
          </cell>
          <cell r="G88">
            <v>8.276316095927938E-2</v>
          </cell>
          <cell r="H88">
            <v>8.9070952316513408E-2</v>
          </cell>
          <cell r="I88">
            <v>8.8692517780398328E-2</v>
          </cell>
          <cell r="J88">
            <v>7.0954014224318671E-2</v>
          </cell>
          <cell r="K88">
            <v>5.6763211379454941E-2</v>
          </cell>
          <cell r="L88">
            <v>4.5410569103563954E-2</v>
          </cell>
        </row>
        <row r="90">
          <cell r="B90" t="str">
            <v>1-Year Forward EBITDA Multiple</v>
          </cell>
          <cell r="C90">
            <v>11.325783871930657</v>
          </cell>
          <cell r="D90">
            <v>10.237431719798238</v>
          </cell>
          <cell r="E90">
            <v>9.6631932649458889</v>
          </cell>
          <cell r="F90">
            <v>9.1844714353381587</v>
          </cell>
          <cell r="G90">
            <v>8.64391035510873</v>
          </cell>
          <cell r="H90">
            <v>8.1111468600616519</v>
          </cell>
          <cell r="I90">
            <v>7.7034119956825533</v>
          </cell>
        </row>
        <row r="91">
          <cell r="B91" t="str">
            <v>3-Year Forward EBITDA Growth</v>
          </cell>
          <cell r="C91">
            <v>0.12518068656784442</v>
          </cell>
          <cell r="D91">
            <v>0.10330064889332058</v>
          </cell>
          <cell r="E91">
            <v>8.6216687921145674E-2</v>
          </cell>
          <cell r="F91">
            <v>8.7061419709843157E-2</v>
          </cell>
          <cell r="G91">
            <v>8.3453294729965544E-2</v>
          </cell>
          <cell r="H91">
            <v>7.1946736580504878E-2</v>
          </cell>
          <cell r="I91">
            <v>5.7568209018305838E-2</v>
          </cell>
        </row>
        <row r="93">
          <cell r="B93" t="str">
            <v>Projected Earnings</v>
          </cell>
          <cell r="C93">
            <v>1.2134998373815367</v>
          </cell>
          <cell r="D93">
            <v>1.4006762693511003</v>
          </cell>
          <cell r="E93">
            <v>1.6883952373698452</v>
          </cell>
          <cell r="F93">
            <v>1.9125572428328357</v>
          </cell>
          <cell r="G93">
            <v>2.2398812728020356</v>
          </cell>
          <cell r="H93">
            <v>2.5923512485515334</v>
          </cell>
          <cell r="I93">
            <v>3.0343383425808588</v>
          </cell>
          <cell r="J93">
            <v>3.4482138579728194</v>
          </cell>
          <cell r="K93">
            <v>3.8244754679912605</v>
          </cell>
          <cell r="L93">
            <v>4.1583302360150514</v>
          </cell>
        </row>
        <row r="94">
          <cell r="B94" t="str">
            <v xml:space="preserve">  Year-over-Year Growth</v>
          </cell>
          <cell r="D94">
            <v>0.15424512324076534</v>
          </cell>
          <cell r="E94">
            <v>0.20541432329116138</v>
          </cell>
          <cell r="F94">
            <v>0.13276630998567995</v>
          </cell>
          <cell r="G94">
            <v>0.17114469707812519</v>
          </cell>
          <cell r="H94">
            <v>0.15736100838441613</v>
          </cell>
          <cell r="I94">
            <v>0.17049660777114362</v>
          </cell>
          <cell r="J94">
            <v>0.13639728621691491</v>
          </cell>
          <cell r="K94">
            <v>0.10911782897353194</v>
          </cell>
          <cell r="L94">
            <v>8.7294263178825549E-2</v>
          </cell>
        </row>
        <row r="96">
          <cell r="B96" t="str">
            <v>1-Year Forward EPS Multiple</v>
          </cell>
          <cell r="C96">
            <v>19.835271159719888</v>
          </cell>
          <cell r="D96">
            <v>16.453192590940969</v>
          </cell>
          <cell r="E96">
            <v>15.62539830195254</v>
          </cell>
          <cell r="F96">
            <v>15.208059350043683</v>
          </cell>
          <cell r="G96">
            <v>14.556376852659916</v>
          </cell>
          <cell r="H96">
            <v>13.675631917814309</v>
          </cell>
          <cell r="I96">
            <v>13.233792219267805</v>
          </cell>
        </row>
        <row r="97">
          <cell r="B97" t="str">
            <v>3-Year Forward Growth</v>
          </cell>
          <cell r="C97">
            <v>0.16784727243668773</v>
          </cell>
          <cell r="D97">
            <v>0.16568229650466759</v>
          </cell>
          <cell r="E97">
            <v>0.1553856619973244</v>
          </cell>
          <cell r="F97">
            <v>0.16541808563198224</v>
          </cell>
          <cell r="G97">
            <v>0.15623942632789656</v>
          </cell>
          <cell r="H97">
            <v>0.13819435925890633</v>
          </cell>
          <cell r="I97">
            <v>0.11059128200836277</v>
          </cell>
        </row>
        <row r="100">
          <cell r="C100" t="str">
            <v>WACC</v>
          </cell>
        </row>
        <row r="101">
          <cell r="C101" t="str">
            <v>Cost of Debt</v>
          </cell>
          <cell r="E101">
            <v>5.8000000000000003E-2</v>
          </cell>
        </row>
        <row r="102">
          <cell r="C102" t="str">
            <v>Cost of Equity</v>
          </cell>
          <cell r="E102">
            <v>0.10139999999999999</v>
          </cell>
        </row>
        <row r="103">
          <cell r="C103" t="str">
            <v>Debt / Total Capital</v>
          </cell>
          <cell r="E103">
            <v>0.15729609475478204</v>
          </cell>
        </row>
        <row r="104">
          <cell r="C104" t="str">
            <v>Tax Rate</v>
          </cell>
          <cell r="E104">
            <v>0.4</v>
          </cell>
        </row>
        <row r="106">
          <cell r="C106" t="str">
            <v>WACC</v>
          </cell>
          <cell r="E106">
            <v>9.0924080089331505E-2</v>
          </cell>
        </row>
        <row r="108">
          <cell r="C108" t="str">
            <v>2015 Terminal Multiple</v>
          </cell>
        </row>
        <row r="109">
          <cell r="C109" t="str">
            <v>Bull</v>
          </cell>
          <cell r="D109">
            <v>9.25</v>
          </cell>
        </row>
        <row r="110">
          <cell r="C110" t="str">
            <v>Base</v>
          </cell>
          <cell r="D110">
            <v>8.25</v>
          </cell>
        </row>
        <row r="111">
          <cell r="C111" t="str">
            <v>Bear</v>
          </cell>
          <cell r="D111">
            <v>7.25</v>
          </cell>
        </row>
        <row r="118">
          <cell r="C118" t="str">
            <v>Date</v>
          </cell>
          <cell r="D118" t="str">
            <v>Shares</v>
          </cell>
          <cell r="F118" t="str">
            <v>Exercise</v>
          </cell>
          <cell r="G118" t="str">
            <v>Proceeds</v>
          </cell>
        </row>
        <row r="119">
          <cell r="B119" t="str">
            <v>Common Stock</v>
          </cell>
          <cell r="D119">
            <v>186.39496199999999</v>
          </cell>
        </row>
        <row r="120">
          <cell r="B120" t="str">
            <v>Options, Warrants, Other</v>
          </cell>
          <cell r="G120">
            <v>0</v>
          </cell>
        </row>
        <row r="121">
          <cell r="D121" t="str">
            <v xml:space="preserve">_______  </v>
          </cell>
          <cell r="G121" t="str">
            <v xml:space="preserve">_______  </v>
          </cell>
        </row>
        <row r="122">
          <cell r="B122" t="str">
            <v>Totals</v>
          </cell>
          <cell r="D122">
            <v>186.39496199999999</v>
          </cell>
          <cell r="G122">
            <v>0</v>
          </cell>
        </row>
        <row r="134">
          <cell r="B134" t="str">
            <v>Sum of the Parts</v>
          </cell>
        </row>
        <row r="136">
          <cell r="B136" t="str">
            <v>Revenue by Segment</v>
          </cell>
          <cell r="C136" t="str">
            <v>2009E</v>
          </cell>
          <cell r="D136" t="str">
            <v>2010E</v>
          </cell>
          <cell r="E136" t="str">
            <v>2011E</v>
          </cell>
          <cell r="F136" t="str">
            <v>2012E</v>
          </cell>
          <cell r="G136" t="str">
            <v>2013E</v>
          </cell>
          <cell r="H136" t="str">
            <v>2014E</v>
          </cell>
          <cell r="I136" t="str">
            <v>2015E</v>
          </cell>
        </row>
        <row r="137">
          <cell r="B137" t="str">
            <v>Risk Assessment</v>
          </cell>
          <cell r="C137">
            <v>523.976</v>
          </cell>
          <cell r="D137">
            <v>542.13799999999992</v>
          </cell>
          <cell r="E137">
            <v>563.53208000000006</v>
          </cell>
          <cell r="F137">
            <v>587.76395944000001</v>
          </cell>
          <cell r="G137">
            <v>614.80110157424008</v>
          </cell>
          <cell r="H137">
            <v>644.92635555137781</v>
          </cell>
          <cell r="I137">
            <v>678.46252604004951</v>
          </cell>
        </row>
        <row r="138">
          <cell r="B138" t="str">
            <v>YoY Change</v>
          </cell>
          <cell r="D138">
            <v>3.4661892911125536E-2</v>
          </cell>
          <cell r="E138">
            <v>3.9462424696295351E-2</v>
          </cell>
          <cell r="F138">
            <v>4.2999999999999927E-2</v>
          </cell>
          <cell r="G138">
            <v>4.6000000000000041E-2</v>
          </cell>
          <cell r="H138">
            <v>4.8999999999999932E-2</v>
          </cell>
          <cell r="I138">
            <v>5.2000000000000046E-2</v>
          </cell>
        </row>
        <row r="139">
          <cell r="B139" t="str">
            <v>% of Total Revenue</v>
          </cell>
          <cell r="C139">
            <v>0.51014892357541197</v>
          </cell>
          <cell r="D139">
            <v>0.47625188541590707</v>
          </cell>
          <cell r="E139">
            <v>0.4280632974762148</v>
          </cell>
          <cell r="F139">
            <v>0.41133636385910904</v>
          </cell>
          <cell r="G139">
            <v>0.39985742755347542</v>
          </cell>
          <cell r="H139">
            <v>0.39016372694772944</v>
          </cell>
          <cell r="I139">
            <v>0.38199747848192217</v>
          </cell>
        </row>
        <row r="141">
          <cell r="B141" t="str">
            <v>Decision Analytics</v>
          </cell>
          <cell r="C141">
            <v>503.12800000000004</v>
          </cell>
          <cell r="D141">
            <v>596.20500000000004</v>
          </cell>
          <cell r="E141">
            <v>752.93696399999999</v>
          </cell>
          <cell r="F141">
            <v>841.14923929999986</v>
          </cell>
          <cell r="G141">
            <v>922.74968330399997</v>
          </cell>
          <cell r="H141">
            <v>1008.037031375104</v>
          </cell>
          <cell r="I141">
            <v>1097.6291087432344</v>
          </cell>
        </row>
        <row r="142">
          <cell r="B142" t="str">
            <v>YoY Change</v>
          </cell>
          <cell r="D142">
            <v>0.18499666088947553</v>
          </cell>
          <cell r="E142">
            <v>0.2628826729061311</v>
          </cell>
          <cell r="F142">
            <v>0.11715758359288087</v>
          </cell>
          <cell r="G142">
            <v>9.7010661356488503E-2</v>
          </cell>
          <cell r="H142">
            <v>9.2427393489558307E-2</v>
          </cell>
          <cell r="I142">
            <v>8.8877763990390601E-2</v>
          </cell>
        </row>
        <row r="143">
          <cell r="B143" t="str">
            <v>% of Total Revenue</v>
          </cell>
          <cell r="C143">
            <v>0.48985107642458797</v>
          </cell>
          <cell r="D143">
            <v>0.52374811458409287</v>
          </cell>
          <cell r="E143">
            <v>0.57193670252378526</v>
          </cell>
          <cell r="F143">
            <v>0.5886636361408909</v>
          </cell>
          <cell r="G143">
            <v>0.60014257244652469</v>
          </cell>
          <cell r="H143">
            <v>0.60983627305227062</v>
          </cell>
          <cell r="I143">
            <v>0.61800252151807777</v>
          </cell>
        </row>
        <row r="145">
          <cell r="B145" t="str">
            <v>Total Company</v>
          </cell>
          <cell r="C145">
            <v>1027.104</v>
          </cell>
          <cell r="D145">
            <v>1138.3430000000001</v>
          </cell>
          <cell r="E145">
            <v>1316.4690439999999</v>
          </cell>
          <cell r="F145">
            <v>1428.9131987399999</v>
          </cell>
          <cell r="G145">
            <v>1537.5507848782399</v>
          </cell>
          <cell r="H145">
            <v>1652.9633869264817</v>
          </cell>
          <cell r="I145">
            <v>1776.091634783284</v>
          </cell>
        </row>
        <row r="146">
          <cell r="B146" t="str">
            <v>YoY Change</v>
          </cell>
          <cell r="D146">
            <v>0.10830354082936111</v>
          </cell>
          <cell r="E146">
            <v>0.15647835845610669</v>
          </cell>
          <cell r="F146">
            <v>8.5413443827244251E-2</v>
          </cell>
          <cell r="G146">
            <v>7.6028121396062076E-2</v>
          </cell>
          <cell r="H146">
            <v>7.5062627643470936E-2</v>
          </cell>
          <cell r="I146">
            <v>7.448939815040112E-2</v>
          </cell>
        </row>
        <row r="149">
          <cell r="B149" t="str">
            <v>EBITDA by Segment</v>
          </cell>
          <cell r="C149" t="str">
            <v>2009E</v>
          </cell>
          <cell r="D149" t="str">
            <v>2010E</v>
          </cell>
          <cell r="E149" t="str">
            <v>2011E</v>
          </cell>
          <cell r="F149" t="str">
            <v>2012E</v>
          </cell>
          <cell r="G149" t="str">
            <v>2013E</v>
          </cell>
          <cell r="H149" t="str">
            <v>2014E</v>
          </cell>
          <cell r="I149" t="str">
            <v>2015E</v>
          </cell>
        </row>
        <row r="150">
          <cell r="B150" t="str">
            <v>Risk Assessment Adj. EBITDA</v>
          </cell>
          <cell r="C150">
            <v>253.346</v>
          </cell>
          <cell r="D150">
            <v>268.41699999999992</v>
          </cell>
          <cell r="E150">
            <v>286.5552862400001</v>
          </cell>
          <cell r="F150">
            <v>302.36014477340007</v>
          </cell>
          <cell r="G150">
            <v>322.37095761045282</v>
          </cell>
          <cell r="H150">
            <v>342.54811926662546</v>
          </cell>
          <cell r="I150">
            <v>364.9315184911755</v>
          </cell>
        </row>
        <row r="151">
          <cell r="B151" t="str">
            <v>YoY Change</v>
          </cell>
          <cell r="D151">
            <v>5.9487815082929663E-2</v>
          </cell>
          <cell r="E151">
            <v>6.7575027811204835E-2</v>
          </cell>
          <cell r="F151">
            <v>5.515465703244038E-2</v>
          </cell>
          <cell r="G151">
            <v>6.61820454281421E-2</v>
          </cell>
          <cell r="H151">
            <v>6.2589886526175142E-2</v>
          </cell>
          <cell r="I151">
            <v>6.5343810009733883E-2</v>
          </cell>
        </row>
        <row r="152">
          <cell r="B152" t="str">
            <v>% of total EBITDA</v>
          </cell>
          <cell r="C152">
            <v>0.56616667709553126</v>
          </cell>
          <cell r="D152">
            <v>0.52786452597463862</v>
          </cell>
          <cell r="E152">
            <v>0.49486282192844666</v>
          </cell>
          <cell r="F152">
            <v>0.47716049991037857</v>
          </cell>
          <cell r="G152">
            <v>0.46985340482145843</v>
          </cell>
          <cell r="H152">
            <v>0.45842878744604659</v>
          </cell>
          <cell r="I152">
            <v>0.44859706763817997</v>
          </cell>
        </row>
        <row r="154">
          <cell r="B154" t="str">
            <v>Decision Analytics Adj. EBITDA</v>
          </cell>
          <cell r="C154">
            <v>194.13</v>
          </cell>
          <cell r="D154">
            <v>240.07900000000001</v>
          </cell>
          <cell r="E154">
            <v>292.50475533538793</v>
          </cell>
          <cell r="F154">
            <v>331.30535107168788</v>
          </cell>
          <cell r="G154">
            <v>363.73869766160374</v>
          </cell>
          <cell r="H154">
            <v>404.67397639406795</v>
          </cell>
          <cell r="I154">
            <v>448.5635861748101</v>
          </cell>
        </row>
        <row r="155">
          <cell r="B155" t="str">
            <v>YoY Change</v>
          </cell>
          <cell r="D155">
            <v>0.23669190748467539</v>
          </cell>
          <cell r="E155">
            <v>0.21836876751147716</v>
          </cell>
          <cell r="F155">
            <v>0.13264945279884732</v>
          </cell>
          <cell r="G155">
            <v>9.7895631582774811E-2</v>
          </cell>
          <cell r="H155">
            <v>0.11254034557122505</v>
          </cell>
          <cell r="I155">
            <v>0.10845671414759539</v>
          </cell>
        </row>
        <row r="156">
          <cell r="B156" t="str">
            <v>% of total EBITDA</v>
          </cell>
          <cell r="C156">
            <v>0.43383332290446852</v>
          </cell>
          <cell r="D156">
            <v>0.47213547402536099</v>
          </cell>
          <cell r="E156">
            <v>0.50513717807155356</v>
          </cell>
          <cell r="F156">
            <v>0.52283950008962154</v>
          </cell>
          <cell r="G156">
            <v>0.53014659517854179</v>
          </cell>
          <cell r="H156">
            <v>0.54157121255395357</v>
          </cell>
          <cell r="I156">
            <v>0.55140293236181981</v>
          </cell>
        </row>
        <row r="158">
          <cell r="B158" t="str">
            <v>Company Adj. EBITDA</v>
          </cell>
          <cell r="C158">
            <v>447.47600000000011</v>
          </cell>
          <cell r="D158">
            <v>508.49600000000009</v>
          </cell>
          <cell r="E158">
            <v>579.06004157538791</v>
          </cell>
          <cell r="F158">
            <v>633.66549584508789</v>
          </cell>
          <cell r="G158">
            <v>686.10965527205644</v>
          </cell>
          <cell r="H158">
            <v>747.2220956606933</v>
          </cell>
          <cell r="I158">
            <v>813.49510466598576</v>
          </cell>
        </row>
        <row r="159">
          <cell r="B159" t="str">
            <v>YoY Change</v>
          </cell>
          <cell r="D159">
            <v>0.1363648553218495</v>
          </cell>
          <cell r="E159">
            <v>0.1387701015846492</v>
          </cell>
          <cell r="F159">
            <v>9.4300159481114587E-2</v>
          </cell>
          <cell r="G159">
            <v>8.276316095927938E-2</v>
          </cell>
          <cell r="H159">
            <v>8.9070952316513408E-2</v>
          </cell>
          <cell r="I159">
            <v>8.8692517780398328E-2</v>
          </cell>
          <cell r="R159" t="str">
            <v>Multiples</v>
          </cell>
        </row>
        <row r="160">
          <cell r="R160" t="str">
            <v>Risk</v>
          </cell>
          <cell r="S160" t="str">
            <v>Decision</v>
          </cell>
        </row>
        <row r="161">
          <cell r="B161" t="str">
            <v>12-Month Fair Value based on 2011 Multiples</v>
          </cell>
          <cell r="E161" t="str">
            <v>Enterprise Value</v>
          </cell>
          <cell r="N161" t="str">
            <v>Net Debt</v>
          </cell>
          <cell r="Q161" t="str">
            <v>Bear</v>
          </cell>
          <cell r="R161">
            <v>8.5</v>
          </cell>
          <cell r="S161">
            <v>12</v>
          </cell>
        </row>
        <row r="162">
          <cell r="B162" t="str">
            <v>Risk Assessment</v>
          </cell>
          <cell r="C162">
            <v>9</v>
          </cell>
          <cell r="E162">
            <v>2578.9975761600008</v>
          </cell>
          <cell r="N162" t="str">
            <v>YE 2009</v>
          </cell>
          <cell r="Q162" t="str">
            <v>Base</v>
          </cell>
          <cell r="R162">
            <v>9</v>
          </cell>
          <cell r="S162">
            <v>12</v>
          </cell>
        </row>
        <row r="163">
          <cell r="B163" t="str">
            <v>Decision Analytics</v>
          </cell>
          <cell r="C163">
            <v>12.5</v>
          </cell>
          <cell r="E163">
            <v>3656.3094416923491</v>
          </cell>
          <cell r="N163">
            <v>517.19699999999978</v>
          </cell>
          <cell r="Q163" t="str">
            <v>Bull</v>
          </cell>
          <cell r="R163">
            <v>9</v>
          </cell>
          <cell r="S163">
            <v>12</v>
          </cell>
        </row>
        <row r="164">
          <cell r="B164" t="str">
            <v>Total Company</v>
          </cell>
          <cell r="C164">
            <v>10.767980123250441</v>
          </cell>
          <cell r="E164">
            <v>6235.3070178523503</v>
          </cell>
        </row>
        <row r="166">
          <cell r="D166" t="str">
            <v>- Net Debt</v>
          </cell>
          <cell r="E166">
            <v>961.57599999999991</v>
          </cell>
          <cell r="N166" t="str">
            <v>Net Debt</v>
          </cell>
        </row>
        <row r="168">
          <cell r="D168" t="str">
            <v>Equity Value</v>
          </cell>
          <cell r="E168">
            <v>5273.7310178523503</v>
          </cell>
          <cell r="N168">
            <v>961.57599999999991</v>
          </cell>
        </row>
        <row r="169">
          <cell r="D169" t="str">
            <v>per Share</v>
          </cell>
          <cell r="E169">
            <v>28.950192856887284</v>
          </cell>
        </row>
        <row r="170">
          <cell r="D170" t="str">
            <v>Per share</v>
          </cell>
          <cell r="E170">
            <v>30.809964099200048</v>
          </cell>
        </row>
        <row r="174">
          <cell r="B174" t="str">
            <v>Multiple Valuation</v>
          </cell>
        </row>
        <row r="176">
          <cell r="B176" t="str">
            <v>Key Metrics</v>
          </cell>
          <cell r="C176" t="str">
            <v>2011E</v>
          </cell>
          <cell r="D176" t="str">
            <v>2012E</v>
          </cell>
        </row>
        <row r="177">
          <cell r="B177" t="str">
            <v>EBITDA</v>
          </cell>
          <cell r="C177">
            <v>579.06004157538791</v>
          </cell>
          <cell r="D177">
            <v>633.66549584508789</v>
          </cell>
          <cell r="F177" t="str">
            <v>Shares</v>
          </cell>
          <cell r="G177">
            <v>171.169658</v>
          </cell>
        </row>
        <row r="178">
          <cell r="B178" t="str">
            <v>Adjusted Net Income</v>
          </cell>
          <cell r="C178">
            <v>291.84191872235533</v>
          </cell>
          <cell r="D178">
            <v>315.77372119876117</v>
          </cell>
          <cell r="F178" t="str">
            <v>Net Debt</v>
          </cell>
          <cell r="G178">
            <v>961.57599999999991</v>
          </cell>
        </row>
        <row r="179">
          <cell r="B179" t="str">
            <v>Free Cash Flow</v>
          </cell>
          <cell r="C179">
            <v>231.24158174684277</v>
          </cell>
          <cell r="D179">
            <v>389.34393247924771</v>
          </cell>
        </row>
        <row r="182">
          <cell r="B182" t="str">
            <v>Share</v>
          </cell>
          <cell r="C182" t="str">
            <v>EV</v>
          </cell>
          <cell r="D182" t="str">
            <v>EV / EBITDA</v>
          </cell>
          <cell r="F182" t="str">
            <v>Price / Earnings</v>
          </cell>
          <cell r="H182" t="str">
            <v>Price / FCF</v>
          </cell>
          <cell r="N182" t="str">
            <v>Equity Value</v>
          </cell>
        </row>
        <row r="183">
          <cell r="B183" t="str">
            <v>Price</v>
          </cell>
          <cell r="D183" t="str">
            <v>2010E</v>
          </cell>
          <cell r="E183" t="str">
            <v>2011E</v>
          </cell>
          <cell r="F183" t="str">
            <v>2010E</v>
          </cell>
          <cell r="G183" t="str">
            <v>2011E</v>
          </cell>
          <cell r="H183" t="str">
            <v>2010E</v>
          </cell>
          <cell r="I183" t="str">
            <v>2011E</v>
          </cell>
        </row>
        <row r="184">
          <cell r="B184">
            <v>32.120742077270606</v>
          </cell>
          <cell r="C184">
            <v>6948.720498904655</v>
          </cell>
          <cell r="D184">
            <v>12</v>
          </cell>
          <cell r="E184">
            <v>10.965912684952958</v>
          </cell>
          <cell r="F184">
            <v>20.515025823279839</v>
          </cell>
          <cell r="G184">
            <v>18.960236704231939</v>
          </cell>
          <cell r="H184">
            <v>25.891297117398306</v>
          </cell>
          <cell r="I184">
            <v>15.377521002523325</v>
          </cell>
          <cell r="N184">
            <v>5987.1444989046549</v>
          </cell>
        </row>
        <row r="185">
          <cell r="B185">
            <v>30.567427450732072</v>
          </cell>
          <cell r="C185">
            <v>6659.1904781169615</v>
          </cell>
          <cell r="D185">
            <v>11.5</v>
          </cell>
          <cell r="E185">
            <v>10.508999656413252</v>
          </cell>
          <cell r="F185">
            <v>19.522947570590105</v>
          </cell>
          <cell r="G185">
            <v>18.043345901258974</v>
          </cell>
          <cell r="H185">
            <v>24.639229826556715</v>
          </cell>
          <cell r="I185">
            <v>14.633885371825199</v>
          </cell>
          <cell r="N185">
            <v>5697.6144781169614</v>
          </cell>
        </row>
        <row r="186">
          <cell r="B186">
            <v>29.014112824193539</v>
          </cell>
          <cell r="C186">
            <v>6369.660457329267</v>
          </cell>
          <cell r="D186">
            <v>11</v>
          </cell>
          <cell r="E186">
            <v>10.052086627873544</v>
          </cell>
          <cell r="F186">
            <v>18.530869317900368</v>
          </cell>
          <cell r="G186">
            <v>17.126455098286005</v>
          </cell>
          <cell r="H186">
            <v>23.387162535715124</v>
          </cell>
          <cell r="I186">
            <v>13.890249741127073</v>
          </cell>
          <cell r="N186">
            <v>5408.084457329267</v>
          </cell>
        </row>
        <row r="187">
          <cell r="B187">
            <v>27.460798197655002</v>
          </cell>
          <cell r="C187">
            <v>6080.1304365415726</v>
          </cell>
          <cell r="D187">
            <v>10.5</v>
          </cell>
          <cell r="E187">
            <v>9.5951735993338367</v>
          </cell>
          <cell r="F187">
            <v>17.538791065210631</v>
          </cell>
          <cell r="G187">
            <v>16.209564295313037</v>
          </cell>
          <cell r="H187">
            <v>22.135095244873529</v>
          </cell>
          <cell r="I187">
            <v>13.146614110428946</v>
          </cell>
          <cell r="N187">
            <v>5118.5544365415726</v>
          </cell>
        </row>
        <row r="188">
          <cell r="B188">
            <v>25.907483571116472</v>
          </cell>
          <cell r="C188">
            <v>5790.6004157538791</v>
          </cell>
          <cell r="D188">
            <v>10</v>
          </cell>
          <cell r="E188">
            <v>9.1382605707941309</v>
          </cell>
          <cell r="F188">
            <v>16.546712812520898</v>
          </cell>
          <cell r="G188">
            <v>15.292673492340072</v>
          </cell>
          <cell r="H188">
            <v>20.883027954031938</v>
          </cell>
          <cell r="I188">
            <v>12.402978479730821</v>
          </cell>
          <cell r="N188">
            <v>4829.0244157538791</v>
          </cell>
        </row>
        <row r="189">
          <cell r="B189">
            <v>24.354168944577943</v>
          </cell>
          <cell r="C189">
            <v>5501.0703949661856</v>
          </cell>
          <cell r="D189">
            <v>9.5</v>
          </cell>
          <cell r="E189">
            <v>8.6813475422544251</v>
          </cell>
          <cell r="F189">
            <v>15.554634559831163</v>
          </cell>
          <cell r="G189">
            <v>14.375782689367107</v>
          </cell>
          <cell r="H189">
            <v>19.630960663190347</v>
          </cell>
          <cell r="I189">
            <v>11.659342849032695</v>
          </cell>
          <cell r="N189">
            <v>4539.4943949661856</v>
          </cell>
        </row>
        <row r="190">
          <cell r="B190">
            <v>22.800854318039409</v>
          </cell>
          <cell r="C190">
            <v>5211.5403741784912</v>
          </cell>
          <cell r="D190">
            <v>9</v>
          </cell>
          <cell r="E190">
            <v>8.2244345137147175</v>
          </cell>
          <cell r="F190">
            <v>14.562556307141426</v>
          </cell>
          <cell r="G190">
            <v>13.458891886394138</v>
          </cell>
          <cell r="H190">
            <v>18.378893372348752</v>
          </cell>
          <cell r="I190">
            <v>10.915707218334569</v>
          </cell>
          <cell r="N190">
            <v>4249.9643741784912</v>
          </cell>
        </row>
        <row r="191">
          <cell r="B191">
            <v>21.247539691500872</v>
          </cell>
          <cell r="C191">
            <v>4922.0103533907968</v>
          </cell>
          <cell r="D191">
            <v>8.5</v>
          </cell>
          <cell r="E191">
            <v>7.7675214851750107</v>
          </cell>
          <cell r="F191">
            <v>13.570478054451691</v>
          </cell>
          <cell r="G191">
            <v>12.542001083421169</v>
          </cell>
          <cell r="H191">
            <v>17.126826081507161</v>
          </cell>
          <cell r="I191">
            <v>10.172071587636442</v>
          </cell>
          <cell r="N191">
            <v>3960.4343533907968</v>
          </cell>
        </row>
        <row r="192">
          <cell r="B192">
            <v>19.694225064962342</v>
          </cell>
          <cell r="C192">
            <v>4632.4803326031033</v>
          </cell>
          <cell r="D192">
            <v>8</v>
          </cell>
          <cell r="E192">
            <v>7.3106084566353049</v>
          </cell>
          <cell r="F192">
            <v>12.578399801761956</v>
          </cell>
          <cell r="G192">
            <v>11.625110280448204</v>
          </cell>
          <cell r="H192">
            <v>15.87475879066557</v>
          </cell>
          <cell r="I192">
            <v>9.4284359569383174</v>
          </cell>
          <cell r="N192">
            <v>3670.9043326031033</v>
          </cell>
        </row>
        <row r="194">
          <cell r="B194" t="str">
            <v>With IPO Discount</v>
          </cell>
          <cell r="C194">
            <v>0.15</v>
          </cell>
        </row>
        <row r="195">
          <cell r="B195" t="str">
            <v>Share</v>
          </cell>
          <cell r="C195" t="str">
            <v>EV</v>
          </cell>
          <cell r="D195" t="str">
            <v>EV / Adj. EBITDA</v>
          </cell>
          <cell r="F195" t="str">
            <v>Price / Earnings</v>
          </cell>
          <cell r="H195" t="str">
            <v>Price / FCF</v>
          </cell>
          <cell r="N195" t="str">
            <v>Equity Value</v>
          </cell>
        </row>
        <row r="196">
          <cell r="B196" t="str">
            <v>Price</v>
          </cell>
          <cell r="D196" t="str">
            <v>2010E</v>
          </cell>
          <cell r="E196" t="str">
            <v>2011E</v>
          </cell>
          <cell r="F196" t="str">
            <v>2010E</v>
          </cell>
          <cell r="G196" t="str">
            <v>2011E</v>
          </cell>
          <cell r="H196" t="str">
            <v>2010E</v>
          </cell>
          <cell r="I196" t="str">
            <v>2011E</v>
          </cell>
        </row>
        <row r="197">
          <cell r="B197">
            <v>26.528809421731882</v>
          </cell>
          <cell r="C197">
            <v>5906.4124240689562</v>
          </cell>
          <cell r="D197">
            <v>10.199999999999999</v>
          </cell>
          <cell r="E197">
            <v>9.3210257822100129</v>
          </cell>
          <cell r="F197">
            <v>16.94354411359679</v>
          </cell>
          <cell r="G197">
            <v>15.659429813529258</v>
          </cell>
          <cell r="H197">
            <v>21.383854870368573</v>
          </cell>
          <cell r="I197">
            <v>12.70043273201007</v>
          </cell>
          <cell r="N197">
            <v>4944.8364240689561</v>
          </cell>
        </row>
        <row r="198">
          <cell r="B198">
            <v>25.208491989174135</v>
          </cell>
          <cell r="C198">
            <v>5660.3119063994172</v>
          </cell>
          <cell r="D198">
            <v>9.7750000000000004</v>
          </cell>
          <cell r="E198">
            <v>8.9326497079512635</v>
          </cell>
          <cell r="F198">
            <v>16.100277598810518</v>
          </cell>
          <cell r="G198">
            <v>14.880072631002237</v>
          </cell>
          <cell r="H198">
            <v>20.319597673153222</v>
          </cell>
          <cell r="I198">
            <v>12.068342445916665</v>
          </cell>
          <cell r="N198">
            <v>4698.7359063994172</v>
          </cell>
        </row>
        <row r="199">
          <cell r="B199">
            <v>23.888174556616377</v>
          </cell>
          <cell r="C199">
            <v>5414.2113887298765</v>
          </cell>
          <cell r="D199">
            <v>9.35</v>
          </cell>
          <cell r="E199">
            <v>8.5442736336925122</v>
          </cell>
          <cell r="F199">
            <v>15.257011084024239</v>
          </cell>
          <cell r="G199">
            <v>14.100715448475214</v>
          </cell>
          <cell r="H199">
            <v>19.255340475937867</v>
          </cell>
          <cell r="I199">
            <v>11.436252159823256</v>
          </cell>
          <cell r="N199">
            <v>4452.6353887298765</v>
          </cell>
        </row>
        <row r="200">
          <cell r="B200">
            <v>22.567857124058627</v>
          </cell>
          <cell r="C200">
            <v>5168.1108710603366</v>
          </cell>
          <cell r="D200">
            <v>8.9249999999999989</v>
          </cell>
          <cell r="E200">
            <v>8.155897559433761</v>
          </cell>
          <cell r="F200">
            <v>14.413744569237965</v>
          </cell>
          <cell r="G200">
            <v>13.321358265948192</v>
          </cell>
          <cell r="H200">
            <v>18.191083278722513</v>
          </cell>
          <cell r="I200">
            <v>10.804161873729848</v>
          </cell>
          <cell r="N200">
            <v>4206.5348710603366</v>
          </cell>
        </row>
        <row r="201">
          <cell r="B201">
            <v>21.247539691500872</v>
          </cell>
          <cell r="C201">
            <v>4922.0103533907968</v>
          </cell>
          <cell r="D201">
            <v>8.5</v>
          </cell>
          <cell r="E201">
            <v>7.7675214851750107</v>
          </cell>
          <cell r="F201">
            <v>13.570478054451691</v>
          </cell>
          <cell r="G201">
            <v>12.542001083421169</v>
          </cell>
          <cell r="H201">
            <v>17.126826081507161</v>
          </cell>
          <cell r="I201">
            <v>10.172071587636442</v>
          </cell>
          <cell r="N201">
            <v>3960.4343533907968</v>
          </cell>
        </row>
        <row r="202">
          <cell r="B202">
            <v>19.927222258943122</v>
          </cell>
          <cell r="C202">
            <v>4675.909835721257</v>
          </cell>
          <cell r="D202">
            <v>8.0749999999999993</v>
          </cell>
          <cell r="E202">
            <v>7.3791454109162604</v>
          </cell>
          <cell r="F202">
            <v>12.727211539665415</v>
          </cell>
          <cell r="G202">
            <v>11.762643900894147</v>
          </cell>
          <cell r="H202">
            <v>16.062568884291807</v>
          </cell>
          <cell r="I202">
            <v>9.539981301543035</v>
          </cell>
          <cell r="N202">
            <v>3714.3338357212569</v>
          </cell>
        </row>
        <row r="203">
          <cell r="B203">
            <v>18.606904826385367</v>
          </cell>
          <cell r="C203">
            <v>4429.8093180517171</v>
          </cell>
          <cell r="D203">
            <v>7.6499999999999995</v>
          </cell>
          <cell r="E203">
            <v>6.9907693366575101</v>
          </cell>
          <cell r="F203">
            <v>11.883945024879141</v>
          </cell>
          <cell r="G203">
            <v>10.983286718367125</v>
          </cell>
          <cell r="H203">
            <v>14.998311687076454</v>
          </cell>
          <cell r="I203">
            <v>8.9078910154496267</v>
          </cell>
          <cell r="N203">
            <v>3468.2333180517171</v>
          </cell>
        </row>
        <row r="204">
          <cell r="B204">
            <v>17.286587393827617</v>
          </cell>
          <cell r="C204">
            <v>4183.7088003821773</v>
          </cell>
          <cell r="D204">
            <v>7.2249999999999996</v>
          </cell>
          <cell r="E204">
            <v>6.6023932623987589</v>
          </cell>
          <cell r="F204">
            <v>11.040678510092865</v>
          </cell>
          <cell r="G204">
            <v>10.203929535840103</v>
          </cell>
          <cell r="H204">
            <v>13.934054489861101</v>
          </cell>
          <cell r="I204">
            <v>8.2758007293562201</v>
          </cell>
          <cell r="N204">
            <v>3222.1328003821773</v>
          </cell>
        </row>
        <row r="205">
          <cell r="B205">
            <v>15.966269961269866</v>
          </cell>
          <cell r="C205">
            <v>3937.6082827126379</v>
          </cell>
          <cell r="D205">
            <v>6.8</v>
          </cell>
          <cell r="E205">
            <v>6.2140171881400095</v>
          </cell>
          <cell r="F205">
            <v>10.197411995306593</v>
          </cell>
          <cell r="G205">
            <v>9.4245723533130832</v>
          </cell>
          <cell r="H205">
            <v>12.86979729264575</v>
          </cell>
          <cell r="I205">
            <v>7.6437104432628145</v>
          </cell>
          <cell r="N205">
            <v>2976.0322827126379</v>
          </cell>
        </row>
        <row r="216">
          <cell r="D216" t="str">
            <v>Implied Multiple</v>
          </cell>
          <cell r="H216">
            <v>2011</v>
          </cell>
          <cell r="I216">
            <v>2012</v>
          </cell>
        </row>
        <row r="217">
          <cell r="B217" t="str">
            <v>Input share price</v>
          </cell>
          <cell r="D217">
            <v>2011</v>
          </cell>
          <cell r="E217">
            <v>2012</v>
          </cell>
          <cell r="F217" t="str">
            <v>Input Multiple</v>
          </cell>
          <cell r="H217" t="str">
            <v>Implied Share Price</v>
          </cell>
        </row>
        <row r="218">
          <cell r="B218">
            <v>33.72</v>
          </cell>
          <cell r="D218">
            <v>11.628184271601782</v>
          </cell>
          <cell r="E218">
            <v>10.626137783910705</v>
          </cell>
          <cell r="F218">
            <v>12.8</v>
          </cell>
          <cell r="H218">
            <v>37.684205293936884</v>
          </cell>
          <cell r="I218">
            <v>41.767579782259801</v>
          </cell>
        </row>
        <row r="220">
          <cell r="B220" t="str">
            <v>Multiples in increment of share price:</v>
          </cell>
        </row>
        <row r="223">
          <cell r="B223" t="str">
            <v>Share</v>
          </cell>
          <cell r="C223" t="str">
            <v>EV</v>
          </cell>
          <cell r="D223" t="str">
            <v>EV / Adj. EBITDA</v>
          </cell>
          <cell r="F223" t="str">
            <v>Price / Adj. Earnings</v>
          </cell>
          <cell r="H223" t="str">
            <v>Price / FCF</v>
          </cell>
          <cell r="N223" t="str">
            <v>Equity Value</v>
          </cell>
        </row>
        <row r="224">
          <cell r="B224" t="str">
            <v>Price</v>
          </cell>
          <cell r="D224" t="str">
            <v>2011E</v>
          </cell>
          <cell r="E224" t="str">
            <v>2012E</v>
          </cell>
          <cell r="F224" t="str">
            <v>2011E</v>
          </cell>
          <cell r="G224" t="str">
            <v>2012E</v>
          </cell>
          <cell r="H224" t="str">
            <v>2011E</v>
          </cell>
          <cell r="I224" t="str">
            <v>2012E</v>
          </cell>
        </row>
        <row r="226">
          <cell r="B226">
            <v>47</v>
          </cell>
          <cell r="C226">
            <v>9006.5499259999997</v>
          </cell>
          <cell r="D226">
            <v>15.55374102743616</v>
          </cell>
          <cell r="E226">
            <v>14.213413835936286</v>
          </cell>
          <cell r="F226">
            <v>27.566204201301215</v>
          </cell>
          <cell r="G226">
            <v>25.477021632639776</v>
          </cell>
          <cell r="H226">
            <v>34.790342918547523</v>
          </cell>
          <cell r="I226">
            <v>20.662897903073915</v>
          </cell>
          <cell r="N226">
            <v>8044.9739259999997</v>
          </cell>
        </row>
        <row r="227">
          <cell r="B227">
            <v>43</v>
          </cell>
          <cell r="C227">
            <v>8321.8712939999987</v>
          </cell>
          <cell r="D227">
            <v>14.371344414233032</v>
          </cell>
          <cell r="E227">
            <v>13.132909000988821</v>
          </cell>
          <cell r="F227">
            <v>25.220144269275579</v>
          </cell>
          <cell r="G227">
            <v>23.308764472415113</v>
          </cell>
          <cell r="H227">
            <v>31.829462670160499</v>
          </cell>
          <cell r="I227">
            <v>18.904353400684645</v>
          </cell>
          <cell r="N227">
            <v>7360.2952939999996</v>
          </cell>
        </row>
        <row r="228">
          <cell r="B228">
            <v>42</v>
          </cell>
          <cell r="C228">
            <v>8150.7016359999998</v>
          </cell>
          <cell r="D228">
            <v>14.075745260932253</v>
          </cell>
          <cell r="E228">
            <v>12.862782792251956</v>
          </cell>
          <cell r="F228">
            <v>24.633629286269173</v>
          </cell>
          <cell r="G228">
            <v>22.766700182358949</v>
          </cell>
          <cell r="H228">
            <v>31.089242608063746</v>
          </cell>
          <cell r="I228">
            <v>18.464717275087327</v>
          </cell>
          <cell r="N228">
            <v>7189.1256359999998</v>
          </cell>
        </row>
        <row r="229">
          <cell r="B229">
            <v>41</v>
          </cell>
          <cell r="C229">
            <v>7979.531978</v>
          </cell>
          <cell r="D229">
            <v>13.780146107631472</v>
          </cell>
          <cell r="E229">
            <v>12.59265658351509</v>
          </cell>
          <cell r="F229">
            <v>24.047114303262763</v>
          </cell>
          <cell r="G229">
            <v>22.224635892302786</v>
          </cell>
          <cell r="H229">
            <v>30.349022545966989</v>
          </cell>
          <cell r="I229">
            <v>18.025081149490013</v>
          </cell>
          <cell r="N229">
            <v>7017.955978</v>
          </cell>
        </row>
        <row r="230">
          <cell r="B230">
            <v>40</v>
          </cell>
          <cell r="C230">
            <v>7808.3623200000002</v>
          </cell>
          <cell r="D230">
            <v>13.484546954330691</v>
          </cell>
          <cell r="E230">
            <v>12.322530374778225</v>
          </cell>
          <cell r="F230">
            <v>23.460599320256357</v>
          </cell>
          <cell r="G230">
            <v>21.682571602246618</v>
          </cell>
          <cell r="H230">
            <v>29.608802483870235</v>
          </cell>
          <cell r="I230">
            <v>17.585445023892696</v>
          </cell>
          <cell r="N230">
            <v>6846.7863200000002</v>
          </cell>
        </row>
        <row r="231">
          <cell r="B231">
            <v>39</v>
          </cell>
          <cell r="C231">
            <v>7637.1926620000004</v>
          </cell>
          <cell r="D231">
            <v>13.18894780102991</v>
          </cell>
          <cell r="E231">
            <v>12.052404166041358</v>
          </cell>
          <cell r="F231">
            <v>22.874084337249947</v>
          </cell>
          <cell r="G231">
            <v>21.140507312190454</v>
          </cell>
          <cell r="H231">
            <v>28.868582421773478</v>
          </cell>
          <cell r="I231">
            <v>17.145808898295378</v>
          </cell>
          <cell r="N231">
            <v>6675.6166620000004</v>
          </cell>
        </row>
        <row r="232">
          <cell r="B232">
            <v>38</v>
          </cell>
          <cell r="C232">
            <v>7466.0230039999997</v>
          </cell>
          <cell r="D232">
            <v>12.893348647729127</v>
          </cell>
          <cell r="E232">
            <v>11.78227795730449</v>
          </cell>
          <cell r="F232">
            <v>22.287569354243537</v>
          </cell>
          <cell r="G232">
            <v>20.598443022134287</v>
          </cell>
          <cell r="H232">
            <v>28.128362359676721</v>
          </cell>
          <cell r="I232">
            <v>16.706172772698061</v>
          </cell>
          <cell r="N232">
            <v>6504.4470039999997</v>
          </cell>
        </row>
        <row r="233">
          <cell r="B233">
            <v>37</v>
          </cell>
          <cell r="C233">
            <v>7294.8533459999999</v>
          </cell>
          <cell r="D233">
            <v>12.597749494428346</v>
          </cell>
          <cell r="E233">
            <v>11.512151748567625</v>
          </cell>
          <cell r="F233">
            <v>21.701054371237127</v>
          </cell>
          <cell r="G233">
            <v>20.056378732078123</v>
          </cell>
          <cell r="H233">
            <v>27.388142297579964</v>
          </cell>
          <cell r="I233">
            <v>16.266536647100743</v>
          </cell>
          <cell r="N233">
            <v>6333.2773459999999</v>
          </cell>
        </row>
        <row r="234">
          <cell r="B234">
            <v>36</v>
          </cell>
          <cell r="C234">
            <v>7123.6836880000001</v>
          </cell>
          <cell r="D234">
            <v>12.302150341127565</v>
          </cell>
          <cell r="E234">
            <v>11.24202553983076</v>
          </cell>
          <cell r="F234">
            <v>21.114539388230721</v>
          </cell>
          <cell r="G234">
            <v>19.514314442021956</v>
          </cell>
          <cell r="H234">
            <v>26.647922235483211</v>
          </cell>
          <cell r="I234">
            <v>15.826900521503426</v>
          </cell>
          <cell r="N234">
            <v>6162.1076880000001</v>
          </cell>
        </row>
        <row r="235">
          <cell r="B235">
            <v>35</v>
          </cell>
          <cell r="C235">
            <v>6952.5140300000003</v>
          </cell>
          <cell r="D235">
            <v>12.006551187826783</v>
          </cell>
          <cell r="E235">
            <v>10.971899331093894</v>
          </cell>
          <cell r="F235">
            <v>20.528024405224311</v>
          </cell>
          <cell r="G235">
            <v>18.972250151965792</v>
          </cell>
          <cell r="H235">
            <v>25.907702173386458</v>
          </cell>
          <cell r="I235">
            <v>15.387264395906108</v>
          </cell>
          <cell r="N235">
            <v>5990.9380300000003</v>
          </cell>
        </row>
        <row r="236">
          <cell r="B236">
            <v>30</v>
          </cell>
          <cell r="C236">
            <v>6096.6657400000004</v>
          </cell>
          <cell r="D236">
            <v>10.528555421322876</v>
          </cell>
          <cell r="E236">
            <v>9.6212682874095634</v>
          </cell>
          <cell r="F236">
            <v>17.595449490192269</v>
          </cell>
          <cell r="G236">
            <v>16.261928701684965</v>
          </cell>
          <cell r="H236">
            <v>22.206601862902676</v>
          </cell>
          <cell r="I236">
            <v>13.189083767919522</v>
          </cell>
          <cell r="N236">
            <v>5135.0897400000003</v>
          </cell>
        </row>
        <row r="237">
          <cell r="B237">
            <v>29</v>
          </cell>
          <cell r="C237">
            <v>6367.0298979999998</v>
          </cell>
          <cell r="D237">
            <v>10.995457190722208</v>
          </cell>
          <cell r="E237">
            <v>10.047935290383156</v>
          </cell>
          <cell r="F237">
            <v>18.521855673319138</v>
          </cell>
          <cell r="G237">
            <v>17.118124578193072</v>
          </cell>
          <cell r="H237">
            <v>23.375786729904611</v>
          </cell>
          <cell r="I237">
            <v>13.883493351442208</v>
          </cell>
          <cell r="N237">
            <v>5405.4538979999998</v>
          </cell>
        </row>
        <row r="238">
          <cell r="B238">
            <v>28</v>
          </cell>
          <cell r="C238">
            <v>6180.6349359999995</v>
          </cell>
          <cell r="D238">
            <v>10.673564902155904</v>
          </cell>
          <cell r="E238">
            <v>9.7537817295183427</v>
          </cell>
          <cell r="F238">
            <v>17.883170994928822</v>
          </cell>
          <cell r="G238">
            <v>16.527844420324342</v>
          </cell>
          <cell r="H238">
            <v>22.569725118528588</v>
          </cell>
          <cell r="I238">
            <v>13.404752201392476</v>
          </cell>
          <cell r="N238">
            <v>5219.0589359999994</v>
          </cell>
        </row>
        <row r="239">
          <cell r="B239">
            <v>26.446685373461463</v>
          </cell>
          <cell r="C239">
            <v>5891.1049152123051</v>
          </cell>
          <cell r="D239">
            <v>10.173564902155904</v>
          </cell>
          <cell r="E239">
            <v>9.296868700978635</v>
          </cell>
          <cell r="F239">
            <v>16.891092742239085</v>
          </cell>
          <cell r="G239">
            <v>15.610953617351374</v>
          </cell>
          <cell r="H239">
            <v>21.317657827686997</v>
          </cell>
          <cell r="I239">
            <v>12.661116570694348</v>
          </cell>
          <cell r="N239">
            <v>4929.528915212305</v>
          </cell>
        </row>
        <row r="240">
          <cell r="B240">
            <v>24.893370746922933</v>
          </cell>
          <cell r="C240">
            <v>5601.5748944246116</v>
          </cell>
          <cell r="D240">
            <v>9.6735649021559045</v>
          </cell>
          <cell r="E240">
            <v>8.8399556724389292</v>
          </cell>
          <cell r="F240">
            <v>15.899014489549351</v>
          </cell>
          <cell r="G240">
            <v>14.694062814378409</v>
          </cell>
          <cell r="H240">
            <v>20.065590536845406</v>
          </cell>
          <cell r="I240">
            <v>11.917480939996224</v>
          </cell>
          <cell r="N240">
            <v>4639.9988944246115</v>
          </cell>
        </row>
        <row r="241">
          <cell r="B241">
            <v>23.340056120384396</v>
          </cell>
          <cell r="C241">
            <v>5312.0448736369171</v>
          </cell>
          <cell r="D241">
            <v>9.1735649021559045</v>
          </cell>
          <cell r="E241">
            <v>8.3830426438992216</v>
          </cell>
          <cell r="F241">
            <v>14.906936236859615</v>
          </cell>
          <cell r="G241">
            <v>13.77717201140544</v>
          </cell>
          <cell r="H241">
            <v>18.813523246003811</v>
          </cell>
          <cell r="I241">
            <v>11.173845309298096</v>
          </cell>
          <cell r="N241">
            <v>4350.4688736369171</v>
          </cell>
        </row>
        <row r="244">
          <cell r="B244" t="str">
            <v>(All values in millions, except per-share amounts)</v>
          </cell>
        </row>
        <row r="245">
          <cell r="B245" t="str">
            <v>Year 2015 EBITDA Multiple:</v>
          </cell>
          <cell r="C245">
            <v>8.25</v>
          </cell>
          <cell r="E245" t="str">
            <v>Disc. Rate:</v>
          </cell>
          <cell r="F245">
            <v>9.0924080089331505E-2</v>
          </cell>
          <cell r="H245" t="str">
            <v>FCF Growth:</v>
          </cell>
          <cell r="I245">
            <v>1.7118804816868172E-2</v>
          </cell>
        </row>
        <row r="247">
          <cell r="B247" t="str">
            <v>Fiscal Year Ending December 31</v>
          </cell>
          <cell r="D247" t="str">
            <v>2010E</v>
          </cell>
          <cell r="E247" t="str">
            <v>2011E</v>
          </cell>
          <cell r="F247" t="str">
            <v>2012E</v>
          </cell>
          <cell r="G247" t="str">
            <v>2013E</v>
          </cell>
          <cell r="H247" t="str">
            <v>2014E</v>
          </cell>
          <cell r="I247" t="str">
            <v>2015E</v>
          </cell>
        </row>
        <row r="248">
          <cell r="B248" t="str">
            <v>Operating Cash Flow (EBITDA)</v>
          </cell>
          <cell r="D248">
            <v>508.49600000000009</v>
          </cell>
          <cell r="E248">
            <v>582.42404157538795</v>
          </cell>
          <cell r="F248">
            <v>633.66549584508789</v>
          </cell>
          <cell r="G248">
            <v>686.10965527205644</v>
          </cell>
          <cell r="H248">
            <v>747.2220956606933</v>
          </cell>
          <cell r="I248">
            <v>813.49510466598576</v>
          </cell>
        </row>
        <row r="249">
          <cell r="B249" t="str">
            <v>Tax Expense (% of EBIT)</v>
          </cell>
          <cell r="D249">
            <v>-178.12925600000003</v>
          </cell>
          <cell r="E249">
            <v>-202.62678032789404</v>
          </cell>
          <cell r="F249">
            <v>-226.11622463619057</v>
          </cell>
          <cell r="G249">
            <v>-246.63318846253881</v>
          </cell>
          <cell r="H249">
            <v>-270.78102231729173</v>
          </cell>
          <cell r="I249">
            <v>-297.12311439999684</v>
          </cell>
        </row>
        <row r="250">
          <cell r="B250" t="str">
            <v>Capital Expenditures</v>
          </cell>
          <cell r="D250">
            <v>-38.640999999999998</v>
          </cell>
          <cell r="E250">
            <v>-57.054991979999997</v>
          </cell>
          <cell r="F250">
            <v>-50.011961955900006</v>
          </cell>
          <cell r="G250">
            <v>-55.351828255616631</v>
          </cell>
          <cell r="H250">
            <v>-62.812608703206301</v>
          </cell>
          <cell r="I250">
            <v>-67.49148212176479</v>
          </cell>
        </row>
        <row r="251">
          <cell r="B251" t="str">
            <v>Working Capital</v>
          </cell>
          <cell r="D251">
            <v>28.506</v>
          </cell>
          <cell r="E251">
            <v>58.689160723514611</v>
          </cell>
          <cell r="F251">
            <v>20.889562634756647</v>
          </cell>
          <cell r="G251">
            <v>31.472130359871151</v>
          </cell>
          <cell r="H251">
            <v>34.185514761875105</v>
          </cell>
          <cell r="I251">
            <v>38.1146159737972</v>
          </cell>
        </row>
        <row r="252">
          <cell r="D252" t="str">
            <v xml:space="preserve">_______ </v>
          </cell>
          <cell r="E252" t="str">
            <v xml:space="preserve">_______ </v>
          </cell>
          <cell r="F252" t="str">
            <v xml:space="preserve">_______ </v>
          </cell>
          <cell r="G252" t="str">
            <v xml:space="preserve">_______ </v>
          </cell>
          <cell r="H252" t="str">
            <v xml:space="preserve">_______ </v>
          </cell>
          <cell r="I252" t="str">
            <v xml:space="preserve">_______ </v>
          </cell>
        </row>
        <row r="253">
          <cell r="B253" t="str">
            <v>Unleveraged Free Cash Flow</v>
          </cell>
          <cell r="D253">
            <v>320.23174400000005</v>
          </cell>
          <cell r="E253">
            <v>381.43142999100849</v>
          </cell>
          <cell r="F253">
            <v>378.42687188775398</v>
          </cell>
          <cell r="G253">
            <v>415.59676891377217</v>
          </cell>
          <cell r="H253">
            <v>447.81397940207034</v>
          </cell>
          <cell r="I253">
            <v>486.99512411802129</v>
          </cell>
        </row>
        <row r="254">
          <cell r="B254" t="str">
            <v xml:space="preserve">  Year-over-Year Growth</v>
          </cell>
          <cell r="D254">
            <v>0.27770508419477236</v>
          </cell>
          <cell r="E254">
            <v>0.19111061641349458</v>
          </cell>
          <cell r="F254">
            <v>-7.877059589256552E-3</v>
          </cell>
          <cell r="G254">
            <v>9.8222139565826705E-2</v>
          </cell>
          <cell r="H254">
            <v>7.7520358429404856E-2</v>
          </cell>
          <cell r="I254">
            <v>8.7494242069589667E-2</v>
          </cell>
        </row>
        <row r="256">
          <cell r="B256" t="str">
            <v>Value of Modeled Cash Flows</v>
          </cell>
          <cell r="D256">
            <v>1619.0621010591035</v>
          </cell>
          <cell r="E256">
            <v>1384.8424032143939</v>
          </cell>
          <cell r="F256">
            <v>1132.3310529076075</v>
          </cell>
          <cell r="G256">
            <v>819.69044333604381</v>
          </cell>
          <cell r="H256">
            <v>446.40606345231947</v>
          </cell>
          <cell r="I256">
            <v>0</v>
          </cell>
        </row>
        <row r="257">
          <cell r="B257" t="str">
            <v>Terminal Value</v>
          </cell>
          <cell r="D257">
            <v>4343.4642565378599</v>
          </cell>
          <cell r="E257">
            <v>4738.3897484644567</v>
          </cell>
          <cell r="F257">
            <v>5169.2234774483059</v>
          </cell>
          <cell r="G257">
            <v>5639.2303669114681</v>
          </cell>
          <cell r="H257">
            <v>6151.9722004347159</v>
          </cell>
          <cell r="I257">
            <v>6711.3346134943822</v>
          </cell>
        </row>
        <row r="258">
          <cell r="B258" t="str">
            <v>Value of NOL Tax Benefit</v>
          </cell>
          <cell r="D258">
            <v>0</v>
          </cell>
          <cell r="E258">
            <v>0</v>
          </cell>
          <cell r="F258">
            <v>0</v>
          </cell>
          <cell r="G258">
            <v>0</v>
          </cell>
          <cell r="H258">
            <v>0</v>
          </cell>
          <cell r="I258">
            <v>0</v>
          </cell>
        </row>
        <row r="259">
          <cell r="D259" t="str">
            <v xml:space="preserve">_______ </v>
          </cell>
          <cell r="E259" t="str">
            <v xml:space="preserve">_______ </v>
          </cell>
          <cell r="F259" t="str">
            <v xml:space="preserve">_______ </v>
          </cell>
          <cell r="G259" t="str">
            <v xml:space="preserve">_______ </v>
          </cell>
          <cell r="H259" t="str">
            <v xml:space="preserve">_______ </v>
          </cell>
          <cell r="I259" t="str">
            <v xml:space="preserve">_______ </v>
          </cell>
        </row>
        <row r="260">
          <cell r="B260" t="str">
            <v>Enterprise Value</v>
          </cell>
          <cell r="D260">
            <v>5962.5263575969639</v>
          </cell>
          <cell r="E260">
            <v>6123.2321516788506</v>
          </cell>
          <cell r="F260">
            <v>6301.5545303559138</v>
          </cell>
          <cell r="G260">
            <v>6458.9208102475122</v>
          </cell>
          <cell r="H260">
            <v>6598.3782638870352</v>
          </cell>
          <cell r="I260">
            <v>6711.3346134943822</v>
          </cell>
        </row>
        <row r="262">
          <cell r="B262" t="str">
            <v>Projected Year-end Cash</v>
          </cell>
          <cell r="D262">
            <v>54.974000000000011</v>
          </cell>
          <cell r="E262">
            <v>61.597856353568311</v>
          </cell>
          <cell r="F262">
            <v>341.89008172502997</v>
          </cell>
          <cell r="G262">
            <v>227.72883908495578</v>
          </cell>
          <cell r="H262">
            <v>314.22019887492712</v>
          </cell>
          <cell r="I262">
            <v>278.35103260255897</v>
          </cell>
        </row>
        <row r="263">
          <cell r="B263" t="str">
            <v>Projected Year-end Debt &amp; Pref.</v>
          </cell>
          <cell r="D263">
            <v>-839.54300000000001</v>
          </cell>
          <cell r="E263">
            <v>-1019.25</v>
          </cell>
          <cell r="F263">
            <v>-1019.25</v>
          </cell>
          <cell r="G263">
            <v>-856.75</v>
          </cell>
          <cell r="H263">
            <v>-856.75</v>
          </cell>
          <cell r="I263">
            <v>-686.75</v>
          </cell>
        </row>
        <row r="264">
          <cell r="B264" t="str">
            <v>Options Proceeds</v>
          </cell>
          <cell r="D264">
            <v>0</v>
          </cell>
          <cell r="E264">
            <v>0</v>
          </cell>
          <cell r="F264">
            <v>0</v>
          </cell>
          <cell r="G264">
            <v>0</v>
          </cell>
          <cell r="H264">
            <v>0</v>
          </cell>
          <cell r="I264">
            <v>0</v>
          </cell>
        </row>
        <row r="265">
          <cell r="D265" t="str">
            <v xml:space="preserve">_______ </v>
          </cell>
          <cell r="E265" t="str">
            <v xml:space="preserve">_______ </v>
          </cell>
          <cell r="F265" t="str">
            <v xml:space="preserve">_______ </v>
          </cell>
          <cell r="G265" t="str">
            <v xml:space="preserve">_______ </v>
          </cell>
          <cell r="H265" t="str">
            <v xml:space="preserve">_______ </v>
          </cell>
          <cell r="I265" t="str">
            <v xml:space="preserve">_______ </v>
          </cell>
        </row>
        <row r="266">
          <cell r="B266" t="str">
            <v>Public Equity Value</v>
          </cell>
          <cell r="D266">
            <v>5177.9573575969644</v>
          </cell>
          <cell r="E266">
            <v>5165.5800080324188</v>
          </cell>
          <cell r="F266">
            <v>5624.1946120809434</v>
          </cell>
          <cell r="G266">
            <v>5829.8996493324685</v>
          </cell>
          <cell r="H266">
            <v>6055.8484627619628</v>
          </cell>
          <cell r="I266">
            <v>6302.9356460969411</v>
          </cell>
        </row>
        <row r="268">
          <cell r="B268" t="str">
            <v>Fully Diluted Shares</v>
          </cell>
          <cell r="D268">
            <v>186.39496199999999</v>
          </cell>
          <cell r="E268">
            <v>172.85165953025427</v>
          </cell>
          <cell r="F268">
            <v>165.10550070179568</v>
          </cell>
          <cell r="G268">
            <v>154.49482725952348</v>
          </cell>
          <cell r="H268">
            <v>145.93638732087192</v>
          </cell>
          <cell r="I268">
            <v>138.12248028468449</v>
          </cell>
        </row>
        <row r="270">
          <cell r="B270" t="str">
            <v>YE Fair Value per Share</v>
          </cell>
          <cell r="D270">
            <v>27.779492010073557</v>
          </cell>
        </row>
        <row r="275">
          <cell r="B275" t="str">
            <v>Profitability Analysis</v>
          </cell>
          <cell r="C275">
            <v>2008</v>
          </cell>
          <cell r="D275" t="str">
            <v>2009</v>
          </cell>
          <cell r="E275" t="str">
            <v>2010E</v>
          </cell>
          <cell r="F275" t="str">
            <v>2011E</v>
          </cell>
          <cell r="G275" t="str">
            <v>2012E</v>
          </cell>
          <cell r="H275" t="str">
            <v>2013E</v>
          </cell>
          <cell r="I275" t="str">
            <v>2014E</v>
          </cell>
          <cell r="J275" t="str">
            <v>2015E</v>
          </cell>
          <cell r="T275">
            <v>2007</v>
          </cell>
          <cell r="V275" t="str">
            <v>2009E</v>
          </cell>
        </row>
        <row r="277">
          <cell r="B277" t="str">
            <v>Net Income (excl. ESOP &amp; extra. items)</v>
          </cell>
          <cell r="C277">
            <v>170.79099999999994</v>
          </cell>
          <cell r="D277">
            <v>200.88400000000013</v>
          </cell>
          <cell r="E277">
            <v>242.55200000000013</v>
          </cell>
          <cell r="F277">
            <v>270.97395738902185</v>
          </cell>
          <cell r="G277">
            <v>295.75679119876116</v>
          </cell>
          <cell r="H277">
            <v>329.28581032339207</v>
          </cell>
          <cell r="I277">
            <v>365.75845588036248</v>
          </cell>
          <cell r="J277">
            <v>406.68316790018685</v>
          </cell>
          <cell r="T277">
            <v>164.178</v>
          </cell>
          <cell r="V277">
            <v>200.88400000000013</v>
          </cell>
        </row>
        <row r="278">
          <cell r="B278" t="str">
            <v>Revenue</v>
          </cell>
          <cell r="C278">
            <v>893.55</v>
          </cell>
          <cell r="D278">
            <v>1027.104</v>
          </cell>
          <cell r="E278">
            <v>1138.3430000000001</v>
          </cell>
          <cell r="F278">
            <v>1316.4690439999999</v>
          </cell>
          <cell r="G278">
            <v>1428.9131987399999</v>
          </cell>
          <cell r="H278">
            <v>1537.5507848782399</v>
          </cell>
          <cell r="I278">
            <v>1652.9633869264817</v>
          </cell>
          <cell r="J278">
            <v>1776.091634783284</v>
          </cell>
          <cell r="T278">
            <v>802.19499999999994</v>
          </cell>
          <cell r="V278">
            <v>1027.104</v>
          </cell>
        </row>
        <row r="279">
          <cell r="B279" t="str">
            <v>Average Assets</v>
          </cell>
          <cell r="C279">
            <v>879.45900000000006</v>
          </cell>
          <cell r="D279">
            <v>962.91499999999996</v>
          </cell>
          <cell r="E279">
            <v>1107.0214999999998</v>
          </cell>
          <cell r="F279">
            <v>1286.0551420826143</v>
          </cell>
          <cell r="G279">
            <v>1483.7636055008943</v>
          </cell>
          <cell r="H279">
            <v>1541.372400152477</v>
          </cell>
          <cell r="I279">
            <v>1501.4271741711555</v>
          </cell>
          <cell r="J279">
            <v>1503.2844339771191</v>
          </cell>
          <cell r="T279">
            <v>787.38599999999997</v>
          </cell>
          <cell r="V279">
            <v>962.91499999999996</v>
          </cell>
        </row>
        <row r="280">
          <cell r="B280" t="str">
            <v>Average Equity</v>
          </cell>
          <cell r="C280">
            <v>-146.22200000000001</v>
          </cell>
          <cell r="D280">
            <v>-147.6165</v>
          </cell>
          <cell r="E280">
            <v>-74.695499999999953</v>
          </cell>
          <cell r="F280">
            <v>-160.49230086548911</v>
          </cell>
          <cell r="G280">
            <v>-98.375074144197811</v>
          </cell>
          <cell r="H280">
            <v>-3.8891335469389716</v>
          </cell>
          <cell r="I280">
            <v>-11.546858727014573</v>
          </cell>
          <cell r="J280">
            <v>22.525253380357817</v>
          </cell>
          <cell r="T280">
            <v>-11.292000000000082</v>
          </cell>
          <cell r="V280">
            <v>-147.6165</v>
          </cell>
        </row>
        <row r="282">
          <cell r="B282" t="str">
            <v>Profit margin (ex ESOP &amp; extra.items)</v>
          </cell>
          <cell r="C282">
            <v>0.1911375972245537</v>
          </cell>
          <cell r="D282">
            <v>0.1955829205221673</v>
          </cell>
          <cell r="E282">
            <v>0.21307461810719627</v>
          </cell>
          <cell r="F282">
            <v>0.20583389987332043</v>
          </cell>
          <cell r="G282">
            <v>0.20698023607001201</v>
          </cell>
          <cell r="H282">
            <v>0.21416255876677825</v>
          </cell>
          <cell r="I282">
            <v>0.221274384401492</v>
          </cell>
          <cell r="J282">
            <v>0.22897645590781115</v>
          </cell>
          <cell r="T282">
            <v>0.20466096148692028</v>
          </cell>
          <cell r="V282">
            <v>0.1955829205221673</v>
          </cell>
        </row>
        <row r="283">
          <cell r="B283" t="str">
            <v>Asset turnover</v>
          </cell>
          <cell r="C283">
            <v>1.0160223501038705</v>
          </cell>
          <cell r="D283">
            <v>1.0666611279292566</v>
          </cell>
          <cell r="E283">
            <v>1.0282934884281834</v>
          </cell>
          <cell r="F283">
            <v>1.0236489874517618</v>
          </cell>
          <cell r="G283">
            <v>0.96303292077151481</v>
          </cell>
          <cell r="H283">
            <v>0.99752064116766392</v>
          </cell>
          <cell r="I283">
            <v>1.1009281138387415</v>
          </cell>
          <cell r="J283">
            <v>1.1814741073879285</v>
          </cell>
          <cell r="T283">
            <v>1.018807802018324</v>
          </cell>
          <cell r="V283">
            <v>1.0666611279292566</v>
          </cell>
        </row>
        <row r="284">
          <cell r="B284" t="str">
            <v>= ROA</v>
          </cell>
          <cell r="C284">
            <v>0.1942000707252981</v>
          </cell>
          <cell r="D284">
            <v>0.20862069860787313</v>
          </cell>
          <cell r="E284">
            <v>0.21910324234895182</v>
          </cell>
          <cell r="F284">
            <v>0.21070166318857178</v>
          </cell>
          <cell r="G284">
            <v>0.19932878128448131</v>
          </cell>
          <cell r="H284">
            <v>0.21363157293514415</v>
          </cell>
          <cell r="I284">
            <v>0.24360719065996322</v>
          </cell>
          <cell r="J284">
            <v>0.27052975385653255</v>
          </cell>
          <cell r="T284">
            <v>0.20851018433144611</v>
          </cell>
          <cell r="V284">
            <v>0.20862069860787313</v>
          </cell>
        </row>
        <row r="285">
          <cell r="B285" t="str">
            <v>x Avg. Assets / Avg. Equity</v>
          </cell>
          <cell r="C285">
            <v>-6.0145463746905392</v>
          </cell>
          <cell r="D285">
            <v>-6.5230851564696355</v>
          </cell>
          <cell r="E285">
            <v>-14.820457725030296</v>
          </cell>
          <cell r="F285">
            <v>-8.0131890137239381</v>
          </cell>
          <cell r="G285">
            <v>-15.082719056719583</v>
          </cell>
          <cell r="H285">
            <v>-396.32796908340885</v>
          </cell>
          <cell r="I285">
            <v>-130.02905895596314</v>
          </cell>
          <cell r="J285">
            <v>66.737736912118109</v>
          </cell>
          <cell r="T285">
            <v>-69.729543039319367</v>
          </cell>
          <cell r="V285">
            <v>-6.5230851564696355</v>
          </cell>
        </row>
        <row r="286">
          <cell r="B286" t="str">
            <v>= ROE</v>
          </cell>
          <cell r="C286">
            <v>-1.168025331345488</v>
          </cell>
          <cell r="D286">
            <v>-1.3608505824213428</v>
          </cell>
          <cell r="E286">
            <v>-3.2472103406497079</v>
          </cell>
          <cell r="F286">
            <v>-1.6883922526360249</v>
          </cell>
          <cell r="G286">
            <v>-3.0064200080321362</v>
          </cell>
          <cell r="H286">
            <v>-84.668167433479809</v>
          </cell>
          <cell r="I286">
            <v>-31.676013756420911</v>
          </cell>
          <cell r="J286">
            <v>18.054543539777338</v>
          </cell>
          <cell r="T286">
            <v>-14.539319872475986</v>
          </cell>
          <cell r="V286">
            <v>-1.3608505824213428</v>
          </cell>
        </row>
        <row r="288">
          <cell r="B288" t="str">
            <v>Modelware metrics:</v>
          </cell>
        </row>
        <row r="289">
          <cell r="B289" t="str">
            <v>Revenue</v>
          </cell>
          <cell r="C289">
            <v>893.55</v>
          </cell>
          <cell r="D289">
            <v>1027.104</v>
          </cell>
          <cell r="E289">
            <v>1138.3430000000001</v>
          </cell>
          <cell r="F289">
            <v>1316.4690439999999</v>
          </cell>
          <cell r="G289">
            <v>1428.9131987399999</v>
          </cell>
          <cell r="H289">
            <v>1537.5507848782399</v>
          </cell>
          <cell r="I289">
            <v>1652.9633869264817</v>
          </cell>
          <cell r="J289">
            <v>1776.091634783284</v>
          </cell>
          <cell r="T289">
            <v>802.19499999999994</v>
          </cell>
          <cell r="V289">
            <v>1027.104</v>
          </cell>
        </row>
        <row r="290">
          <cell r="B290" t="str">
            <v>Operating expenses</v>
          </cell>
          <cell r="C290">
            <v>518.13600000000008</v>
          </cell>
          <cell r="D290">
            <v>653.89799999999991</v>
          </cell>
          <cell r="E290">
            <v>629.84699999999998</v>
          </cell>
          <cell r="F290">
            <v>737.40900242461203</v>
          </cell>
          <cell r="G290">
            <v>795.24770289491198</v>
          </cell>
          <cell r="H290">
            <v>851.44112960618349</v>
          </cell>
          <cell r="I290">
            <v>905.74129126578839</v>
          </cell>
          <cell r="J290">
            <v>962.59653011729824</v>
          </cell>
          <cell r="T290">
            <v>464.76699999999994</v>
          </cell>
          <cell r="V290">
            <v>653.89799999999991</v>
          </cell>
        </row>
        <row r="291">
          <cell r="B291" t="str">
            <v>D&amp;A</v>
          </cell>
          <cell r="C291">
            <v>64.871999999999986</v>
          </cell>
          <cell r="D291">
            <v>71.199000000000012</v>
          </cell>
          <cell r="E291">
            <v>67.581999999999994</v>
          </cell>
          <cell r="F291">
            <v>78.458683903404307</v>
          </cell>
          <cell r="G291">
            <v>82.162508927549993</v>
          </cell>
          <cell r="H291">
            <v>84.565293168303199</v>
          </cell>
          <cell r="I291">
            <v>86.780577813640292</v>
          </cell>
          <cell r="J291">
            <v>88.804581739164206</v>
          </cell>
          <cell r="T291">
            <v>65.661000000000001</v>
          </cell>
          <cell r="V291">
            <v>71.199000000000012</v>
          </cell>
        </row>
        <row r="292">
          <cell r="B292" t="str">
            <v>Pre-tax operating profit</v>
          </cell>
          <cell r="C292">
            <v>310.54199999999992</v>
          </cell>
          <cell r="D292">
            <v>302.00700000000012</v>
          </cell>
          <cell r="E292">
            <v>440.9140000000001</v>
          </cell>
          <cell r="F292">
            <v>500.60135767198358</v>
          </cell>
          <cell r="G292">
            <v>551.5029869175379</v>
          </cell>
          <cell r="H292">
            <v>601.5443621037532</v>
          </cell>
          <cell r="I292">
            <v>660.44151784705298</v>
          </cell>
          <cell r="J292">
            <v>724.69052292682159</v>
          </cell>
          <cell r="T292">
            <v>271.767</v>
          </cell>
          <cell r="V292">
            <v>302.00700000000012</v>
          </cell>
        </row>
        <row r="293">
          <cell r="B293" t="str">
            <v>Statutory tax rate</v>
          </cell>
          <cell r="C293">
            <v>0.42699485022064826</v>
          </cell>
          <cell r="D293">
            <v>0.52200000000000002</v>
          </cell>
          <cell r="E293">
            <v>0.40399999999999997</v>
          </cell>
          <cell r="F293">
            <v>0.40206489839680193</v>
          </cell>
          <cell r="G293">
            <v>0.41000000000000003</v>
          </cell>
          <cell r="H293">
            <v>0.41</v>
          </cell>
          <cell r="I293">
            <v>0.41</v>
          </cell>
          <cell r="J293">
            <v>0.41</v>
          </cell>
          <cell r="T293">
            <v>0.41095136186770431</v>
          </cell>
          <cell r="V293">
            <v>0.52200000000000002</v>
          </cell>
        </row>
        <row r="294">
          <cell r="B294" t="str">
            <v>Tax from operations</v>
          </cell>
          <cell r="C294">
            <v>132.59983477722051</v>
          </cell>
          <cell r="D294">
            <v>157.64765400000007</v>
          </cell>
          <cell r="E294">
            <v>178.12925600000003</v>
          </cell>
          <cell r="F294">
            <v>201.27423400968718</v>
          </cell>
          <cell r="G294">
            <v>226.11622463619057</v>
          </cell>
          <cell r="H294">
            <v>246.63318846253881</v>
          </cell>
          <cell r="I294">
            <v>270.78102231729173</v>
          </cell>
          <cell r="J294">
            <v>297.12311439999684</v>
          </cell>
          <cell r="T294">
            <v>111.68301876070039</v>
          </cell>
          <cell r="V294">
            <v>157.64765400000007</v>
          </cell>
        </row>
        <row r="295">
          <cell r="B295" t="str">
            <v>Net operating profit after tax</v>
          </cell>
          <cell r="C295">
            <v>177.94216522277941</v>
          </cell>
          <cell r="D295">
            <v>144.35934600000004</v>
          </cell>
          <cell r="E295">
            <v>262.78474400000005</v>
          </cell>
          <cell r="F295">
            <v>299.3271236622964</v>
          </cell>
          <cell r="G295">
            <v>325.38676228134733</v>
          </cell>
          <cell r="H295">
            <v>354.91117364121442</v>
          </cell>
          <cell r="I295">
            <v>389.66049552976125</v>
          </cell>
          <cell r="J295">
            <v>427.56740852682475</v>
          </cell>
          <cell r="T295">
            <v>160.08398123929959</v>
          </cell>
          <cell r="V295">
            <v>144.35934600000004</v>
          </cell>
        </row>
        <row r="296">
          <cell r="B296" t="str">
            <v>NOPAT margin</v>
          </cell>
          <cell r="C296">
            <v>0.19914069187261979</v>
          </cell>
          <cell r="D296">
            <v>0.14054988199831764</v>
          </cell>
          <cell r="E296">
            <v>0.23084847361471897</v>
          </cell>
          <cell r="F296">
            <v>0.22737118280640439</v>
          </cell>
          <cell r="G296">
            <v>0.22771625496095202</v>
          </cell>
          <cell r="H296">
            <v>0.2308289112345126</v>
          </cell>
          <cell r="I296">
            <v>0.23573449878662803</v>
          </cell>
          <cell r="J296">
            <v>0.24073499370937348</v>
          </cell>
          <cell r="T296">
            <v>0.19955744082087223</v>
          </cell>
          <cell r="V296">
            <v>0.14054988199831764</v>
          </cell>
        </row>
        <row r="298">
          <cell r="B298" t="str">
            <v>Total assets (BOP)</v>
          </cell>
          <cell r="C298">
            <v>830.04100000000005</v>
          </cell>
          <cell r="D298">
            <v>928.87699999999995</v>
          </cell>
          <cell r="E298">
            <v>996.95299999999997</v>
          </cell>
          <cell r="F298">
            <v>1217.0899999999997</v>
          </cell>
          <cell r="G298">
            <v>1355.020284165229</v>
          </cell>
          <cell r="H298">
            <v>1612.5069268365594</v>
          </cell>
          <cell r="I298">
            <v>1470.2378734683944</v>
          </cell>
          <cell r="J298">
            <v>1532.6164748739163</v>
          </cell>
          <cell r="T298">
            <v>744.73099999999999</v>
          </cell>
          <cell r="V298">
            <v>928.87699999999995</v>
          </cell>
        </row>
        <row r="299">
          <cell r="B299" t="str">
            <v>Notes (BOP)</v>
          </cell>
          <cell r="C299">
            <v>12.702999999999999</v>
          </cell>
          <cell r="D299">
            <v>0</v>
          </cell>
          <cell r="E299">
            <v>0</v>
          </cell>
          <cell r="F299">
            <v>0</v>
          </cell>
          <cell r="G299">
            <v>0</v>
          </cell>
          <cell r="H299">
            <v>0</v>
          </cell>
          <cell r="I299">
            <v>0</v>
          </cell>
          <cell r="J299">
            <v>0</v>
          </cell>
          <cell r="T299">
            <v>16.154</v>
          </cell>
          <cell r="V299">
            <v>0</v>
          </cell>
        </row>
        <row r="300">
          <cell r="B300" t="str">
            <v>Cash and Cash Equivalents (BOP)</v>
          </cell>
          <cell r="C300">
            <v>24.049000000000035</v>
          </cell>
          <cell r="D300">
            <v>33.185000000000059</v>
          </cell>
          <cell r="E300">
            <v>71.527000000000115</v>
          </cell>
          <cell r="F300">
            <v>54.974000000000011</v>
          </cell>
          <cell r="G300">
            <v>61.597856353568311</v>
          </cell>
          <cell r="H300">
            <v>341.89008172502997</v>
          </cell>
          <cell r="I300">
            <v>227.72883908495578</v>
          </cell>
          <cell r="J300">
            <v>314.22019887492712</v>
          </cell>
          <cell r="T300">
            <v>99.152000000000015</v>
          </cell>
          <cell r="V300">
            <v>33.185000000000059</v>
          </cell>
        </row>
        <row r="301">
          <cell r="B301" t="str">
            <v>Securities Available for Sale (BOP)</v>
          </cell>
          <cell r="C301">
            <v>28.35</v>
          </cell>
          <cell r="D301">
            <v>5.1139999999999999</v>
          </cell>
          <cell r="E301">
            <v>5.4450000000000003</v>
          </cell>
          <cell r="F301">
            <v>5.6529999999999996</v>
          </cell>
          <cell r="G301">
            <v>4.8280000000000003</v>
          </cell>
          <cell r="H301">
            <v>4.8280000000000003</v>
          </cell>
          <cell r="I301">
            <v>4.8280000000000003</v>
          </cell>
          <cell r="J301">
            <v>4.8280000000000003</v>
          </cell>
          <cell r="T301">
            <v>7.2569999999999997</v>
          </cell>
          <cell r="V301">
            <v>5.1139999999999999</v>
          </cell>
        </row>
        <row r="302">
          <cell r="B302" t="str">
            <v>Total operating assets (BOP)</v>
          </cell>
          <cell r="C302">
            <v>764.93899999999996</v>
          </cell>
          <cell r="D302">
            <v>890.57799999999986</v>
          </cell>
          <cell r="E302">
            <v>919.98099999999977</v>
          </cell>
          <cell r="F302">
            <v>1156.4629999999997</v>
          </cell>
          <cell r="G302">
            <v>1288.5944278116608</v>
          </cell>
          <cell r="H302">
            <v>1265.7888451115296</v>
          </cell>
          <cell r="I302">
            <v>1237.6810343834386</v>
          </cell>
          <cell r="J302">
            <v>1213.5682759989893</v>
          </cell>
          <cell r="T302">
            <v>622.16800000000001</v>
          </cell>
          <cell r="V302">
            <v>890.57799999999986</v>
          </cell>
        </row>
        <row r="304">
          <cell r="B304" t="str">
            <v>Total liabilities (BOP)</v>
          </cell>
          <cell r="C304">
            <v>862.20100000000002</v>
          </cell>
          <cell r="D304">
            <v>1189.1609999999998</v>
          </cell>
          <cell r="E304">
            <v>1031.902</v>
          </cell>
          <cell r="F304">
            <v>1331.5320000000002</v>
          </cell>
          <cell r="G304">
            <v>1561.5138858962073</v>
          </cell>
          <cell r="H304">
            <v>1602.6654733939763</v>
          </cell>
          <cell r="I304">
            <v>1487.7595940048545</v>
          </cell>
          <cell r="J304">
            <v>1538.0904717914843</v>
          </cell>
          <cell r="T304">
            <v>735.15499999999986</v>
          </cell>
          <cell r="V304">
            <v>1189.1609999999998</v>
          </cell>
        </row>
        <row r="305">
          <cell r="B305" t="str">
            <v>Short term debt (BOP)</v>
          </cell>
          <cell r="C305">
            <v>35.170999999999999</v>
          </cell>
          <cell r="D305">
            <v>219.398</v>
          </cell>
          <cell r="E305">
            <v>66.66</v>
          </cell>
          <cell r="F305">
            <v>437.71699999999998</v>
          </cell>
          <cell r="G305">
            <v>165.67</v>
          </cell>
          <cell r="H305">
            <v>165.67</v>
          </cell>
          <cell r="I305">
            <v>165.67</v>
          </cell>
          <cell r="J305">
            <v>165.67</v>
          </cell>
          <cell r="T305">
            <v>120.851</v>
          </cell>
          <cell r="V305">
            <v>219.398</v>
          </cell>
        </row>
        <row r="306">
          <cell r="B306" t="str">
            <v>Long term debt (BOP)</v>
          </cell>
          <cell r="C306">
            <v>403.15899999999999</v>
          </cell>
          <cell r="D306">
            <v>450.35599999999999</v>
          </cell>
          <cell r="E306">
            <v>527.50900000000001</v>
          </cell>
          <cell r="F306">
            <v>401.82600000000002</v>
          </cell>
          <cell r="G306">
            <v>853.58</v>
          </cell>
          <cell r="H306">
            <v>853.58</v>
          </cell>
          <cell r="I306">
            <v>691.08</v>
          </cell>
          <cell r="J306">
            <v>691.08</v>
          </cell>
          <cell r="T306">
            <v>327.84699999999998</v>
          </cell>
          <cell r="V306">
            <v>450.35599999999999</v>
          </cell>
        </row>
        <row r="307">
          <cell r="B307" t="str">
            <v>Other liabilities, non current (BOP)</v>
          </cell>
          <cell r="C307">
            <v>62.085000000000001</v>
          </cell>
          <cell r="D307">
            <v>76.194000000000003</v>
          </cell>
          <cell r="E307">
            <v>76.959999999999994</v>
          </cell>
          <cell r="F307">
            <v>90.212999999999994</v>
          </cell>
          <cell r="G307">
            <v>79.805999999999997</v>
          </cell>
          <cell r="H307">
            <v>79.805999999999997</v>
          </cell>
          <cell r="I307">
            <v>79.805999999999997</v>
          </cell>
          <cell r="J307">
            <v>79.805999999999997</v>
          </cell>
          <cell r="T307">
            <v>22.163</v>
          </cell>
          <cell r="V307">
            <v>76.194000000000003</v>
          </cell>
        </row>
        <row r="308">
          <cell r="B308" t="str">
            <v>Total operating liabilities (BOP)</v>
          </cell>
          <cell r="C308">
            <v>361.78600000000006</v>
          </cell>
          <cell r="D308">
            <v>443.21299999999985</v>
          </cell>
          <cell r="E308">
            <v>360.77300000000002</v>
          </cell>
          <cell r="F308">
            <v>401.77600000000018</v>
          </cell>
          <cell r="G308">
            <v>462.45788589620724</v>
          </cell>
          <cell r="H308">
            <v>503.60947339397626</v>
          </cell>
          <cell r="I308">
            <v>551.20359400485449</v>
          </cell>
          <cell r="J308">
            <v>601.53447179148429</v>
          </cell>
          <cell r="T308">
            <v>264.29399999999987</v>
          </cell>
          <cell r="V308">
            <v>443.21299999999985</v>
          </cell>
        </row>
        <row r="309">
          <cell r="B309" t="str">
            <v>Net operating assets (BOP)</v>
          </cell>
          <cell r="C309">
            <v>403.15299999999991</v>
          </cell>
          <cell r="D309">
            <v>447.36500000000001</v>
          </cell>
          <cell r="E309">
            <v>559.20799999999974</v>
          </cell>
          <cell r="F309">
            <v>754.68699999999956</v>
          </cell>
          <cell r="G309">
            <v>826.13654191545356</v>
          </cell>
          <cell r="H309">
            <v>762.17937171755329</v>
          </cell>
          <cell r="I309">
            <v>686.47744037858411</v>
          </cell>
          <cell r="J309">
            <v>612.033804207505</v>
          </cell>
          <cell r="T309">
            <v>357.87400000000014</v>
          </cell>
          <cell r="V309">
            <v>447.36500000000001</v>
          </cell>
        </row>
        <row r="310">
          <cell r="B310" t="str">
            <v>Operating asset turnover</v>
          </cell>
          <cell r="C310">
            <v>2.2164041939412584</v>
          </cell>
          <cell r="D310">
            <v>2.2958970862718364</v>
          </cell>
          <cell r="E310">
            <v>2.0356343256891902</v>
          </cell>
          <cell r="F310">
            <v>1.7443907792237057</v>
          </cell>
          <cell r="G310">
            <v>1.7296332098165852</v>
          </cell>
          <cell r="H310">
            <v>2.0173083160377399</v>
          </cell>
          <cell r="I310">
            <v>2.407891781578273</v>
          </cell>
          <cell r="J310">
            <v>2.9019502232937362</v>
          </cell>
          <cell r="T310">
            <v>2.2415570843369443</v>
          </cell>
          <cell r="V310">
            <v>2.2958970862718364</v>
          </cell>
        </row>
        <row r="312">
          <cell r="B312" t="str">
            <v>Return on Net Op. Assets</v>
          </cell>
          <cell r="C312">
            <v>0.4413762646508384</v>
          </cell>
          <cell r="D312">
            <v>0.32268806455578791</v>
          </cell>
          <cell r="E312">
            <v>0.46992307692307728</v>
          </cell>
          <cell r="F312">
            <v>0.39662419474867938</v>
          </cell>
          <cell r="G312">
            <v>0.39386559699552331</v>
          </cell>
          <cell r="H312">
            <v>0.46565308221531954</v>
          </cell>
          <cell r="I312">
            <v>0.56762316226279497</v>
          </cell>
          <cell r="J312">
            <v>0.69860096874953259</v>
          </cell>
          <cell r="T312">
            <v>0.44731939520417668</v>
          </cell>
          <cell r="V312">
            <v>0.32268806455578791</v>
          </cell>
        </row>
        <row r="315">
          <cell r="A315" t="str">
            <v>Bull Case Multiple Valuation:</v>
          </cell>
        </row>
        <row r="318">
          <cell r="B318" t="str">
            <v>2013 EBITDA</v>
          </cell>
          <cell r="C318">
            <v>686.10965527205644</v>
          </cell>
          <cell r="D318" t="str">
            <v>(Set scenario to Bull Case)</v>
          </cell>
        </row>
        <row r="319">
          <cell r="B319" t="str">
            <v>Multiple</v>
          </cell>
          <cell r="C319">
            <v>11</v>
          </cell>
        </row>
        <row r="320">
          <cell r="B320" t="str">
            <v>EV</v>
          </cell>
          <cell r="C320">
            <v>7547.2062079926209</v>
          </cell>
        </row>
        <row r="321">
          <cell r="B321" t="str">
            <v>Net Debt</v>
          </cell>
          <cell r="C321">
            <v>961.57599999999991</v>
          </cell>
        </row>
        <row r="322">
          <cell r="B322" t="str">
            <v>Market value</v>
          </cell>
          <cell r="C322">
            <v>6585.6302079926209</v>
          </cell>
        </row>
        <row r="323">
          <cell r="B323" t="str">
            <v>Shares</v>
          </cell>
          <cell r="C323">
            <v>171.169658</v>
          </cell>
        </row>
        <row r="324">
          <cell r="B324" t="str">
            <v>Share price</v>
          </cell>
          <cell r="C324">
            <v>38.474285016054779</v>
          </cell>
        </row>
        <row r="325">
          <cell r="B325" t="str">
            <v>Discounted @ WACC (2010E)</v>
          </cell>
          <cell r="C325">
            <v>29.63377462705234</v>
          </cell>
        </row>
        <row r="330">
          <cell r="B330" t="str">
            <v>2015 EBITDA</v>
          </cell>
          <cell r="C330">
            <v>813.49510466598576</v>
          </cell>
        </row>
        <row r="331">
          <cell r="B331" t="str">
            <v>Multiple</v>
          </cell>
          <cell r="C331">
            <v>11.1</v>
          </cell>
        </row>
        <row r="332">
          <cell r="B332" t="str">
            <v>EV</v>
          </cell>
          <cell r="C332">
            <v>9029.795661792441</v>
          </cell>
        </row>
        <row r="333">
          <cell r="B333" t="str">
            <v>Net Debt</v>
          </cell>
          <cell r="C333">
            <v>961.57599999999991</v>
          </cell>
        </row>
        <row r="334">
          <cell r="B334" t="str">
            <v>Market value</v>
          </cell>
          <cell r="C334">
            <v>8068.219661792441</v>
          </cell>
        </row>
        <row r="335">
          <cell r="B335" t="str">
            <v>Shares</v>
          </cell>
          <cell r="C335">
            <v>171.169658</v>
          </cell>
        </row>
        <row r="336">
          <cell r="B336" t="str">
            <v>Share price</v>
          </cell>
          <cell r="C336">
            <v>47.13580523595158</v>
          </cell>
        </row>
        <row r="337">
          <cell r="B337" t="str">
            <v>Discounted @ WACC (2011E)</v>
          </cell>
          <cell r="C337">
            <v>33.279195447440223</v>
          </cell>
        </row>
        <row r="343">
          <cell r="B343" t="str">
            <v>Today's price</v>
          </cell>
          <cell r="C343">
            <v>29.39</v>
          </cell>
        </row>
        <row r="344">
          <cell r="B344" t="str">
            <v>Market value</v>
          </cell>
          <cell r="C344">
            <v>5030.6762486200005</v>
          </cell>
        </row>
        <row r="345">
          <cell r="B345" t="str">
            <v>Net debt</v>
          </cell>
          <cell r="C345">
            <v>961.57599999999991</v>
          </cell>
        </row>
        <row r="346">
          <cell r="B346" t="str">
            <v>EV</v>
          </cell>
          <cell r="C346">
            <v>5992.2522486200005</v>
          </cell>
        </row>
        <row r="347">
          <cell r="B347" t="str">
            <v>2013 EBITDA</v>
          </cell>
          <cell r="C347">
            <v>686.10965527205644</v>
          </cell>
        </row>
        <row r="348">
          <cell r="B348" t="str">
            <v>2013 Multiple</v>
          </cell>
          <cell r="C348">
            <v>8.7336655337461337</v>
          </cell>
        </row>
      </sheetData>
      <sheetData sheetId="11"/>
      <sheetData sheetId="12"/>
      <sheetData sheetId="13" refreshError="1">
        <row r="2">
          <cell r="B2" t="str">
            <v>Metric Definition &amp; Tagging Guidance</v>
          </cell>
        </row>
        <row r="3">
          <cell r="B3" t="str">
            <v>Free cash flow from operations (FCFO) for DCF : "Free cash flow from operations (FCFO) for DCF" measures the cash flows generated from (or used by) the company's operating business, disregarding any cash flows related to financing and nonoperating activit</v>
          </cell>
        </row>
        <row r="5">
          <cell r="B5" t="str">
            <v xml:space="preserve"> </v>
          </cell>
          <cell r="M5" t="str">
            <v xml:space="preserve"> </v>
          </cell>
        </row>
        <row r="8">
          <cell r="B8" t="str">
            <v>Year 2015 EBITDA Multiple:</v>
          </cell>
          <cell r="D8">
            <v>8.75</v>
          </cell>
          <cell r="E8" t="str">
            <v>Disc. Rate:</v>
          </cell>
          <cell r="F8">
            <v>9.0924080089331505E-2</v>
          </cell>
          <cell r="H8" t="str">
            <v>FCF Growth:</v>
          </cell>
          <cell r="I8">
            <v>1.8574134629385782E-2</v>
          </cell>
        </row>
        <row r="10">
          <cell r="C10" t="str">
            <v>2009E</v>
          </cell>
          <cell r="D10" t="str">
            <v>2010</v>
          </cell>
          <cell r="E10" t="str">
            <v>2011E</v>
          </cell>
          <cell r="F10" t="str">
            <v>2012E</v>
          </cell>
          <cell r="G10" t="str">
            <v>2013E</v>
          </cell>
          <cell r="H10" t="str">
            <v>2014E</v>
          </cell>
          <cell r="I10" t="str">
            <v>2015E</v>
          </cell>
        </row>
        <row r="12">
          <cell r="B12" t="str">
            <v>Operating revenue</v>
          </cell>
          <cell r="C12">
            <v>1027.104</v>
          </cell>
          <cell r="D12">
            <v>1138.3430000000001</v>
          </cell>
          <cell r="E12">
            <v>1316.4690439999999</v>
          </cell>
          <cell r="F12">
            <v>1428.9131987399999</v>
          </cell>
          <cell r="G12">
            <v>1537.5507848782399</v>
          </cell>
          <cell r="H12">
            <v>1652.9633869264817</v>
          </cell>
          <cell r="I12">
            <v>1776.091634783284</v>
          </cell>
          <cell r="T12" t="str">
            <v>mscalc:operatingRevenue</v>
          </cell>
        </row>
        <row r="13">
          <cell r="B13" t="str">
            <v>-  Operating expense</v>
          </cell>
          <cell r="C13">
            <v>653.89799999999991</v>
          </cell>
          <cell r="D13">
            <v>629.84699999999998</v>
          </cell>
          <cell r="E13">
            <v>737.40900242461203</v>
          </cell>
          <cell r="F13">
            <v>795.24770289491198</v>
          </cell>
          <cell r="G13">
            <v>851.44112960618349</v>
          </cell>
          <cell r="H13">
            <v>905.74129126578839</v>
          </cell>
          <cell r="I13">
            <v>962.59653011729824</v>
          </cell>
          <cell r="T13" t="str">
            <v>mscalc:operatingExpenses</v>
          </cell>
        </row>
        <row r="14">
          <cell r="B14" t="str">
            <v>-  Depreciation</v>
          </cell>
          <cell r="C14">
            <v>71.199000000000012</v>
          </cell>
          <cell r="D14">
            <v>67.581999999999994</v>
          </cell>
          <cell r="E14">
            <v>78.458683903404307</v>
          </cell>
          <cell r="F14">
            <v>82.162508927549993</v>
          </cell>
          <cell r="G14">
            <v>84.565293168303199</v>
          </cell>
          <cell r="H14">
            <v>86.780577813640292</v>
          </cell>
          <cell r="I14">
            <v>88.804581739164206</v>
          </cell>
        </row>
        <row r="15">
          <cell r="B15" t="str">
            <v>Pretax operating profit</v>
          </cell>
          <cell r="C15">
            <v>302.00700000000012</v>
          </cell>
          <cell r="D15">
            <v>440.9140000000001</v>
          </cell>
          <cell r="E15">
            <v>500.60135767198358</v>
          </cell>
          <cell r="F15">
            <v>551.5029869175379</v>
          </cell>
          <cell r="G15">
            <v>601.5443621037532</v>
          </cell>
          <cell r="H15">
            <v>660.44151784705298</v>
          </cell>
          <cell r="I15">
            <v>724.69052292682159</v>
          </cell>
        </row>
        <row r="16">
          <cell r="B16" t="str">
            <v xml:space="preserve">   - Tax expense from operations</v>
          </cell>
          <cell r="C16">
            <v>157.64765400000007</v>
          </cell>
          <cell r="D16">
            <v>178.12925600000003</v>
          </cell>
          <cell r="E16">
            <v>201.27423400968718</v>
          </cell>
          <cell r="F16">
            <v>226.11622463619057</v>
          </cell>
          <cell r="G16">
            <v>246.63318846253881</v>
          </cell>
          <cell r="H16">
            <v>270.78102231729173</v>
          </cell>
          <cell r="I16">
            <v>297.12311439999684</v>
          </cell>
          <cell r="T16" t="str">
            <v>mscalc:taxExpenseFromOperations</v>
          </cell>
        </row>
        <row r="17">
          <cell r="B17" t="str">
            <v>Net operating profit after tax (NOPAT)</v>
          </cell>
          <cell r="C17">
            <v>144.35934600000004</v>
          </cell>
          <cell r="D17">
            <v>262.78474400000005</v>
          </cell>
          <cell r="E17">
            <v>299.3271236622964</v>
          </cell>
          <cell r="F17">
            <v>325.38676228134733</v>
          </cell>
          <cell r="G17">
            <v>354.91117364121442</v>
          </cell>
          <cell r="H17">
            <v>389.66049552976125</v>
          </cell>
          <cell r="I17">
            <v>427.56740852682475</v>
          </cell>
        </row>
        <row r="19">
          <cell r="B19" t="str">
            <v>Change in net operating assets</v>
          </cell>
          <cell r="T19" t="str">
            <v>mscalc:decreaseInRestrictedCashRequiredForOperations</v>
          </cell>
        </row>
        <row r="20">
          <cell r="B20" t="str">
            <v>+  Decr (Incr) in accounts receivables</v>
          </cell>
          <cell r="C20">
            <v>-5.4950000000000045</v>
          </cell>
          <cell r="D20">
            <v>-37.127999999999986</v>
          </cell>
          <cell r="E20">
            <v>-18.591877638734047</v>
          </cell>
          <cell r="F20">
            <v>-7.6134554311899763</v>
          </cell>
          <cell r="G20">
            <v>-7.3437909977960487</v>
          </cell>
          <cell r="H20">
            <v>-7.4269468490434747</v>
          </cell>
          <cell r="I20">
            <v>-7.5463711742672217</v>
          </cell>
          <cell r="T20" t="str">
            <v>mscalc:netDecreaseInTradeReceivablesCalc</v>
          </cell>
        </row>
        <row r="21">
          <cell r="B21" t="str">
            <v>+  Decr (Incr) in prepaid expenses</v>
          </cell>
          <cell r="C21">
            <v>-3.1450000000000014</v>
          </cell>
          <cell r="D21">
            <v>-1.6359999999999992</v>
          </cell>
          <cell r="E21">
            <v>-2.6134453325646909</v>
          </cell>
          <cell r="F21">
            <v>-1.6374992621533089</v>
          </cell>
          <cell r="G21">
            <v>-0.13825685457425507</v>
          </cell>
          <cell r="H21">
            <v>-1.1940815518915571E-2</v>
          </cell>
          <cell r="I21">
            <v>0.12301231380942212</v>
          </cell>
          <cell r="T21" t="str">
            <v>mscalc:netDecreaseInPrepaidExpensesCalc</v>
          </cell>
        </row>
        <row r="22">
          <cell r="B22" t="str">
            <v>+  Decr (Incr) in other assets (short and long-term)</v>
          </cell>
          <cell r="C22">
            <v>-6.8539999999999974</v>
          </cell>
          <cell r="D22">
            <v>-1.8120000000000012</v>
          </cell>
          <cell r="E22">
            <v>-3.6147967637662646</v>
          </cell>
          <cell r="F22">
            <v>-9.4009578175374919E-2</v>
          </cell>
          <cell r="G22">
            <v>6.3763936677745763</v>
          </cell>
          <cell r="H22">
            <v>7.5836769385778222</v>
          </cell>
          <cell r="I22">
            <v>8.9051747642843821</v>
          </cell>
          <cell r="T22" t="str">
            <v>mscalc:netDecreaseInOtherAssetsCalc</v>
          </cell>
        </row>
        <row r="23">
          <cell r="B23" t="str">
            <v>+  Incr (decr) in accounts payable</v>
          </cell>
          <cell r="C23">
            <v>18.019999999999996</v>
          </cell>
          <cell r="D23">
            <v>10.594000000000008</v>
          </cell>
          <cell r="E23">
            <v>19.077233309841802</v>
          </cell>
          <cell r="F23">
            <v>10.89580745229614</v>
          </cell>
          <cell r="G23">
            <v>12.338869634333577</v>
          </cell>
          <cell r="H23">
            <v>12.164813413705872</v>
          </cell>
          <cell r="I23">
            <v>12.917336640593561</v>
          </cell>
          <cell r="T23" t="str">
            <v>mscalc:netIncreaseInTradeAndOtherPayablesCalc</v>
          </cell>
        </row>
        <row r="24">
          <cell r="B24" t="str">
            <v>+  Incr (decr) in fees received in advance</v>
          </cell>
          <cell r="C24">
            <v>11.497</v>
          </cell>
          <cell r="D24">
            <v>37.487000000000009</v>
          </cell>
          <cell r="E24">
            <v>27.681047148737804</v>
          </cell>
          <cell r="F24">
            <v>19.338719453979166</v>
          </cell>
          <cell r="G24">
            <v>20.238914910133303</v>
          </cell>
          <cell r="H24">
            <v>21.875912074153803</v>
          </cell>
          <cell r="I24">
            <v>23.715463429377053</v>
          </cell>
          <cell r="T24" t="str">
            <v>mscalc:netIncreaseInCustomerAdvancesAndDepositsCalc</v>
          </cell>
        </row>
        <row r="25">
          <cell r="B25" t="str">
            <v>+  Incr (decr) in deferred revenue</v>
          </cell>
          <cell r="D25">
            <v>-1.4139999999999999</v>
          </cell>
          <cell r="E25">
            <v>0</v>
          </cell>
          <cell r="F25">
            <v>0</v>
          </cell>
          <cell r="G25">
            <v>0</v>
          </cell>
          <cell r="H25">
            <v>0</v>
          </cell>
          <cell r="I25">
            <v>0</v>
          </cell>
        </row>
        <row r="26">
          <cell r="B26" t="str">
            <v>+  Incr (decr) in acquisition-related and other liabilities</v>
          </cell>
          <cell r="C26">
            <v>-82.7</v>
          </cell>
          <cell r="D26">
            <v>3.5</v>
          </cell>
          <cell r="E26">
            <v>-3.5</v>
          </cell>
          <cell r="F26">
            <v>0</v>
          </cell>
          <cell r="G26">
            <v>0</v>
          </cell>
          <cell r="H26">
            <v>0</v>
          </cell>
          <cell r="I26">
            <v>0</v>
          </cell>
          <cell r="T26" t="str">
            <v>mscalc:netIncreaseInOtherLiabilitiesOperatingCalc</v>
          </cell>
        </row>
        <row r="27">
          <cell r="B27" t="str">
            <v>-  Reversal of pension items</v>
          </cell>
          <cell r="C27">
            <v>30.444999999999979</v>
          </cell>
          <cell r="D27">
            <v>7.9220000000000033</v>
          </cell>
          <cell r="E27">
            <v>-17.423605437627472</v>
          </cell>
          <cell r="F27">
            <v>-10.917060591493801</v>
          </cell>
          <cell r="G27">
            <v>-15.01633606641122</v>
          </cell>
          <cell r="H27">
            <v>-16.290152298770074</v>
          </cell>
          <cell r="I27">
            <v>-18.606617540582725</v>
          </cell>
          <cell r="T27" t="str">
            <v>mscalc:reversalOfPostretirementContributionsNetOfExpensesEmbeddedInOperatingCashFlows</v>
          </cell>
        </row>
        <row r="28">
          <cell r="B28" t="str">
            <v>+  One-time items</v>
          </cell>
          <cell r="C28">
            <v>0</v>
          </cell>
          <cell r="D28">
            <v>0</v>
          </cell>
          <cell r="E28">
            <v>3.3639999999999999</v>
          </cell>
          <cell r="F28">
            <v>0</v>
          </cell>
          <cell r="G28">
            <v>0</v>
          </cell>
          <cell r="H28">
            <v>0</v>
          </cell>
          <cell r="I28">
            <v>0</v>
          </cell>
          <cell r="T28" t="str">
            <v>mscalc:oneTimeItems</v>
          </cell>
        </row>
        <row r="29">
          <cell r="B29" t="str">
            <v>+ Add back of noncash portion of recurring items</v>
          </cell>
          <cell r="C29">
            <v>0.81</v>
          </cell>
          <cell r="D29">
            <v>0.23899999999999999</v>
          </cell>
          <cell r="E29">
            <v>0.63500000000000001</v>
          </cell>
          <cell r="F29">
            <v>0</v>
          </cell>
          <cell r="G29">
            <v>0</v>
          </cell>
          <cell r="H29">
            <v>0</v>
          </cell>
          <cell r="I29">
            <v>0</v>
          </cell>
        </row>
        <row r="30">
          <cell r="B30" t="str">
            <v>+  Change in Tax accruals</v>
          </cell>
          <cell r="C30">
            <v>31.938999999999986</v>
          </cell>
          <cell r="D30">
            <v>41.88</v>
          </cell>
          <cell r="E30">
            <v>17.563000000000002</v>
          </cell>
          <cell r="F30">
            <v>0</v>
          </cell>
          <cell r="G30">
            <v>0</v>
          </cell>
          <cell r="H30">
            <v>0</v>
          </cell>
          <cell r="I30">
            <v>0</v>
          </cell>
          <cell r="T30" t="str">
            <v>mscalc:changeInTaxAccrualsOperating</v>
          </cell>
        </row>
        <row r="31">
          <cell r="B31" t="str">
            <v>Decr (incr) in cash required for operations</v>
          </cell>
          <cell r="C31">
            <v>-66.37299999999999</v>
          </cell>
          <cell r="D31">
            <v>43.788000000000032</v>
          </cell>
          <cell r="E31">
            <v>57.423766161142069</v>
          </cell>
          <cell r="F31">
            <v>31.806623226250448</v>
          </cell>
          <cell r="G31">
            <v>46.488466426282372</v>
          </cell>
          <cell r="H31">
            <v>50.475667060645179</v>
          </cell>
          <cell r="I31">
            <v>56.721233514379925</v>
          </cell>
        </row>
        <row r="32">
          <cell r="B32" t="str">
            <v>-Add back of noncash portion of recurring items</v>
          </cell>
          <cell r="C32">
            <v>0.81</v>
          </cell>
          <cell r="D32">
            <v>0.23899999999999999</v>
          </cell>
          <cell r="E32">
            <v>0.63500000000000001</v>
          </cell>
          <cell r="F32">
            <v>0</v>
          </cell>
          <cell r="G32">
            <v>0</v>
          </cell>
          <cell r="H32">
            <v>0</v>
          </cell>
          <cell r="I32">
            <v>0</v>
          </cell>
        </row>
        <row r="33">
          <cell r="B33" t="str">
            <v>Change in PPE, goodwill and intangibles</v>
          </cell>
          <cell r="C33">
            <v>-45.847999999999999</v>
          </cell>
          <cell r="D33">
            <v>-237.786</v>
          </cell>
          <cell r="E33">
            <v>-124.8743080765957</v>
          </cell>
          <cell r="F33">
            <v>32.150546971649931</v>
          </cell>
          <cell r="G33">
            <v>29.213464912686518</v>
          </cell>
          <cell r="H33">
            <v>23.967969110433998</v>
          </cell>
          <cell r="I33">
            <v>21.31309961739943</v>
          </cell>
          <cell r="T33" t="str">
            <v>mscalc:changeInPpeAndIntangibles</v>
          </cell>
        </row>
        <row r="34">
          <cell r="B34" t="str">
            <v>Change in net operating assets</v>
          </cell>
          <cell r="C34">
            <v>-113.03099999999999</v>
          </cell>
          <cell r="D34">
            <v>-194.23699999999997</v>
          </cell>
          <cell r="E34">
            <v>-68.085541915453632</v>
          </cell>
          <cell r="F34">
            <v>63.957170197900382</v>
          </cell>
          <cell r="G34">
            <v>75.70193133896889</v>
          </cell>
          <cell r="H34">
            <v>74.443636171079177</v>
          </cell>
          <cell r="I34">
            <v>78.034333131779363</v>
          </cell>
        </row>
        <row r="36">
          <cell r="B36" t="str">
            <v>Free cash flow from operations</v>
          </cell>
          <cell r="C36">
            <v>31.328346000000053</v>
          </cell>
          <cell r="D36">
            <v>68.54774400000008</v>
          </cell>
          <cell r="E36">
            <v>231.24158174684277</v>
          </cell>
          <cell r="F36">
            <v>389.34393247924771</v>
          </cell>
          <cell r="G36">
            <v>430.61310498018332</v>
          </cell>
          <cell r="H36">
            <v>464.10413170084041</v>
          </cell>
          <cell r="I36">
            <v>505.60174165860411</v>
          </cell>
        </row>
        <row r="37">
          <cell r="B37" t="str">
            <v xml:space="preserve">  Year-over-Year Growth</v>
          </cell>
          <cell r="E37">
            <v>2.3734382527139406</v>
          </cell>
          <cell r="F37">
            <v>0.68371073030235219</v>
          </cell>
          <cell r="G37">
            <v>0.10599670126652172</v>
          </cell>
          <cell r="H37">
            <v>7.7775214765464007E-2</v>
          </cell>
          <cell r="I37">
            <v>8.9414437673036806E-2</v>
          </cell>
        </row>
        <row r="39">
          <cell r="B39" t="str">
            <v>Value of Modeled Cash Flows</v>
          </cell>
          <cell r="C39">
            <v>1461.3482015579459</v>
          </cell>
          <cell r="D39">
            <v>1525.672198474801</v>
          </cell>
          <cell r="E39">
            <v>1433.1509578921473</v>
          </cell>
          <cell r="F39">
            <v>1174.1149578883874</v>
          </cell>
          <cell r="G39">
            <v>850.25717537332957</v>
          </cell>
          <cell r="H39">
            <v>463.46189518266243</v>
          </cell>
          <cell r="I39">
            <v>0</v>
          </cell>
        </row>
        <row r="40">
          <cell r="B40" t="str">
            <v>Terminal Value</v>
          </cell>
          <cell r="C40">
            <v>4222.75445064209</v>
          </cell>
          <cell r="D40">
            <v>4606.7045145098518</v>
          </cell>
          <cell r="E40">
            <v>5025.5648847350303</v>
          </cell>
          <cell r="F40">
            <v>5482.5097488088095</v>
          </cell>
          <cell r="G40">
            <v>5981.001904300042</v>
          </cell>
          <cell r="H40">
            <v>6524.8190004610624</v>
          </cell>
          <cell r="I40">
            <v>7118.0821658273753</v>
          </cell>
        </row>
        <row r="41">
          <cell r="B41" t="str">
            <v>Value of NOL Tax Benefit</v>
          </cell>
          <cell r="C41">
            <v>46.772000252763121</v>
          </cell>
          <cell r="D41">
            <v>21.73570134968358</v>
          </cell>
          <cell r="E41">
            <v>0</v>
          </cell>
          <cell r="F41">
            <v>0</v>
          </cell>
          <cell r="G41">
            <v>0</v>
          </cell>
          <cell r="H41">
            <v>0</v>
          </cell>
          <cell r="I41">
            <v>0</v>
          </cell>
        </row>
        <row r="42">
          <cell r="C42" t="str">
            <v xml:space="preserve">_______ </v>
          </cell>
          <cell r="D42" t="str">
            <v xml:space="preserve">_______ </v>
          </cell>
          <cell r="E42" t="str">
            <v xml:space="preserve">_______ </v>
          </cell>
          <cell r="F42" t="str">
            <v xml:space="preserve">_______ </v>
          </cell>
          <cell r="G42" t="str">
            <v xml:space="preserve">_______ </v>
          </cell>
          <cell r="H42" t="str">
            <v xml:space="preserve">_______ </v>
          </cell>
          <cell r="I42" t="str">
            <v xml:space="preserve">_______ </v>
          </cell>
        </row>
        <row r="43">
          <cell r="B43" t="str">
            <v>Enterprise Value</v>
          </cell>
          <cell r="C43">
            <v>5730.8746524527987</v>
          </cell>
          <cell r="D43">
            <v>6154.1124143343368</v>
          </cell>
          <cell r="E43">
            <v>6458.7158426271781</v>
          </cell>
          <cell r="F43">
            <v>6656.6247066971973</v>
          </cell>
          <cell r="G43">
            <v>6831.2590796733712</v>
          </cell>
          <cell r="H43">
            <v>6988.2808956437248</v>
          </cell>
          <cell r="I43">
            <v>7118.0821658273753</v>
          </cell>
        </row>
        <row r="45">
          <cell r="B45" t="str">
            <v>Projected Year-end Cash</v>
          </cell>
          <cell r="C45">
            <v>71.527000000000115</v>
          </cell>
          <cell r="D45">
            <v>54.974000000000011</v>
          </cell>
          <cell r="E45">
            <v>61.597856353568311</v>
          </cell>
          <cell r="F45">
            <v>341.89008172502997</v>
          </cell>
          <cell r="G45">
            <v>227.72883908495578</v>
          </cell>
          <cell r="H45">
            <v>314.22019887492712</v>
          </cell>
          <cell r="I45">
            <v>278.35103260255897</v>
          </cell>
        </row>
        <row r="46">
          <cell r="B46" t="str">
            <v>Projected Year-end Debt &amp; Pref.</v>
          </cell>
          <cell r="C46">
            <v>-594.16899999999998</v>
          </cell>
          <cell r="D46">
            <v>-839.54300000000001</v>
          </cell>
          <cell r="E46">
            <v>-1019.25</v>
          </cell>
          <cell r="F46">
            <v>-1019.25</v>
          </cell>
          <cell r="G46">
            <v>-856.75</v>
          </cell>
          <cell r="H46">
            <v>-856.75</v>
          </cell>
          <cell r="I46">
            <v>-686.75</v>
          </cell>
        </row>
        <row r="47">
          <cell r="B47" t="str">
            <v>Options Proceeds</v>
          </cell>
          <cell r="C47">
            <v>0</v>
          </cell>
          <cell r="D47">
            <v>0</v>
          </cell>
          <cell r="E47">
            <v>0</v>
          </cell>
          <cell r="F47">
            <v>0</v>
          </cell>
          <cell r="G47">
            <v>0</v>
          </cell>
          <cell r="H47">
            <v>0</v>
          </cell>
          <cell r="I47">
            <v>0</v>
          </cell>
        </row>
        <row r="48">
          <cell r="C48" t="str">
            <v xml:space="preserve">_______ </v>
          </cell>
          <cell r="D48" t="str">
            <v xml:space="preserve">_______ </v>
          </cell>
          <cell r="E48" t="str">
            <v xml:space="preserve">_______ </v>
          </cell>
          <cell r="F48" t="str">
            <v xml:space="preserve">_______ </v>
          </cell>
          <cell r="G48" t="str">
            <v xml:space="preserve">_______ </v>
          </cell>
          <cell r="H48" t="str">
            <v xml:space="preserve">_______ </v>
          </cell>
          <cell r="I48" t="str">
            <v xml:space="preserve">_______ </v>
          </cell>
        </row>
        <row r="49">
          <cell r="B49" t="str">
            <v>Public Equity Value</v>
          </cell>
          <cell r="C49">
            <v>5208.2326524527989</v>
          </cell>
          <cell r="D49">
            <v>5369.5434143343373</v>
          </cell>
          <cell r="E49">
            <v>5501.0636989807463</v>
          </cell>
          <cell r="F49">
            <v>5979.264788422227</v>
          </cell>
          <cell r="G49">
            <v>6202.2379187583265</v>
          </cell>
          <cell r="H49">
            <v>6445.7510945186523</v>
          </cell>
          <cell r="I49">
            <v>6709.6831984299342</v>
          </cell>
        </row>
        <row r="52">
          <cell r="B52" t="str">
            <v>Fully Diluted Shares</v>
          </cell>
          <cell r="C52">
            <v>188.47902300000001</v>
          </cell>
          <cell r="D52">
            <v>186.39496199999999</v>
          </cell>
          <cell r="E52">
            <v>172.85165953025427</v>
          </cell>
          <cell r="F52">
            <v>165.10550070179568</v>
          </cell>
          <cell r="G52">
            <v>154.49482725952348</v>
          </cell>
          <cell r="H52">
            <v>145.93638732087192</v>
          </cell>
          <cell r="I52">
            <v>138.12248028468449</v>
          </cell>
        </row>
        <row r="54">
          <cell r="B54" t="str">
            <v>Year-end Value per Share</v>
          </cell>
        </row>
        <row r="55">
          <cell r="B55" t="str">
            <v>Share Price</v>
          </cell>
          <cell r="C55">
            <v>27.632956546325044</v>
          </cell>
          <cell r="D55">
            <v>28.807341983493831</v>
          </cell>
          <cell r="E55">
            <v>31.825345003516695</v>
          </cell>
          <cell r="F55">
            <v>36.214812728872317</v>
          </cell>
          <cell r="G55">
            <v>40.145278834091215</v>
          </cell>
          <cell r="H55">
            <v>44.168224339734472</v>
          </cell>
          <cell r="I55">
            <v>48.577778103901657</v>
          </cell>
        </row>
        <row r="56">
          <cell r="B56" t="str">
            <v xml:space="preserve">  Price Appreciation</v>
          </cell>
          <cell r="D56">
            <v>4.2499449351356855E-2</v>
          </cell>
          <cell r="E56">
            <v>0.10476506377270534</v>
          </cell>
          <cell r="F56">
            <v>0.13792364937035528</v>
          </cell>
          <cell r="G56">
            <v>0.1085320013842106</v>
          </cell>
          <cell r="H56">
            <v>0.10020967900780864</v>
          </cell>
          <cell r="I56">
            <v>9.9835432147999503E-2</v>
          </cell>
        </row>
        <row r="59">
          <cell r="N59" t="str">
            <v>Beta</v>
          </cell>
          <cell r="P59" t="str">
            <v>Source: FactSet</v>
          </cell>
        </row>
        <row r="60">
          <cell r="B60" t="str">
            <v>WACC</v>
          </cell>
          <cell r="N60" t="str">
            <v>FactSet Research Systems Inc.</v>
          </cell>
          <cell r="Q60" t="e">
            <v>#REF!</v>
          </cell>
        </row>
        <row r="61">
          <cell r="B61" t="str">
            <v>Cost of Debt</v>
          </cell>
          <cell r="E61">
            <v>5.8000000000000003E-2</v>
          </cell>
          <cell r="H61" t="str">
            <v>Rf</v>
          </cell>
          <cell r="I61">
            <v>4.2000000000000003E-2</v>
          </cell>
          <cell r="J61" t="str">
            <v>30-YR Treas</v>
          </cell>
          <cell r="N61" t="str">
            <v>IHS Inc. Cl A</v>
          </cell>
          <cell r="Q61" t="e">
            <v>#REF!</v>
          </cell>
        </row>
        <row r="62">
          <cell r="B62" t="str">
            <v>Cost of Equity</v>
          </cell>
          <cell r="E62">
            <v>0.10139999999999999</v>
          </cell>
          <cell r="H62" t="str">
            <v>Mrp</v>
          </cell>
          <cell r="I62">
            <v>0.06</v>
          </cell>
          <cell r="N62" t="str">
            <v>MSCI Inc. (Cl A)</v>
          </cell>
          <cell r="Q62" t="e">
            <v>#REF!</v>
          </cell>
        </row>
        <row r="63">
          <cell r="B63" t="str">
            <v>Debt / Total Capital</v>
          </cell>
          <cell r="E63">
            <v>0.15729609475478204</v>
          </cell>
          <cell r="H63" t="str">
            <v>Equity Beta</v>
          </cell>
          <cell r="I63">
            <v>0.99</v>
          </cell>
          <cell r="N63" t="str">
            <v>Thomson Reuters Corporation</v>
          </cell>
          <cell r="Q63" t="e">
            <v>#REF!</v>
          </cell>
        </row>
        <row r="64">
          <cell r="B64" t="str">
            <v>Tax Rate</v>
          </cell>
          <cell r="E64">
            <v>0.4</v>
          </cell>
          <cell r="H64" t="str">
            <v>Cost of Eq</v>
          </cell>
          <cell r="I64">
            <v>0.10139999999999999</v>
          </cell>
          <cell r="N64" t="str">
            <v>Solera Holdings Inc.</v>
          </cell>
          <cell r="Q64" t="e">
            <v>#REF!</v>
          </cell>
        </row>
        <row r="65">
          <cell r="N65" t="str">
            <v>Average</v>
          </cell>
          <cell r="Q65" t="e">
            <v>#REF!</v>
          </cell>
        </row>
        <row r="66">
          <cell r="B66" t="str">
            <v>WACC</v>
          </cell>
          <cell r="E66">
            <v>9.0924080089331505E-2</v>
          </cell>
          <cell r="H66" t="str">
            <v>Debt</v>
          </cell>
          <cell r="I66">
            <v>1025.162</v>
          </cell>
        </row>
        <row r="67">
          <cell r="H67" t="str">
            <v>Capital</v>
          </cell>
          <cell r="I67">
            <v>6517.4027467000005</v>
          </cell>
          <cell r="K67" t="str">
            <v>Market price</v>
          </cell>
          <cell r="L67">
            <v>31.45</v>
          </cell>
        </row>
        <row r="68">
          <cell r="B68" t="str">
            <v>2015 Terminal Multiple</v>
          </cell>
        </row>
        <row r="69">
          <cell r="B69" t="str">
            <v>Bull</v>
          </cell>
          <cell r="D69">
            <v>9.5</v>
          </cell>
        </row>
        <row r="70">
          <cell r="B70" t="str">
            <v>Base</v>
          </cell>
          <cell r="D70">
            <v>8.75</v>
          </cell>
        </row>
        <row r="71">
          <cell r="B71" t="str">
            <v>Bear</v>
          </cell>
          <cell r="D71">
            <v>8</v>
          </cell>
        </row>
        <row r="75">
          <cell r="C75" t="str">
            <v>Date</v>
          </cell>
          <cell r="D75" t="str">
            <v>Shares</v>
          </cell>
          <cell r="F75" t="str">
            <v>Exercise</v>
          </cell>
          <cell r="G75" t="str">
            <v>Proceeds</v>
          </cell>
        </row>
        <row r="76">
          <cell r="B76" t="str">
            <v>Common Stock</v>
          </cell>
          <cell r="D76">
            <v>179.394531</v>
          </cell>
        </row>
        <row r="77">
          <cell r="B77" t="str">
            <v>Options, Warrants, Other</v>
          </cell>
          <cell r="G77">
            <v>0</v>
          </cell>
        </row>
        <row r="78">
          <cell r="D78" t="str">
            <v xml:space="preserve">_______  </v>
          </cell>
          <cell r="G78" t="str">
            <v xml:space="preserve">_______  </v>
          </cell>
        </row>
        <row r="79">
          <cell r="B79" t="str">
            <v>Totals</v>
          </cell>
          <cell r="D79">
            <v>179.394531</v>
          </cell>
          <cell r="G79">
            <v>0</v>
          </cell>
        </row>
        <row r="84">
          <cell r="C84" t="str">
            <v>WACC</v>
          </cell>
          <cell r="D84">
            <v>0</v>
          </cell>
          <cell r="E84">
            <v>0</v>
          </cell>
          <cell r="F84">
            <v>0</v>
          </cell>
          <cell r="G84">
            <v>0</v>
          </cell>
          <cell r="H84">
            <v>0</v>
          </cell>
          <cell r="I84">
            <v>0</v>
          </cell>
        </row>
        <row r="85">
          <cell r="B85" t="str">
            <v>NOL Usage times Tax Rate</v>
          </cell>
          <cell r="C85">
            <v>6.4681500000000005</v>
          </cell>
          <cell r="D85">
            <v>29.288999999999998</v>
          </cell>
          <cell r="E85">
            <v>23.712</v>
          </cell>
          <cell r="F85">
            <v>0</v>
          </cell>
          <cell r="G85">
            <v>0</v>
          </cell>
          <cell r="H85">
            <v>0</v>
          </cell>
          <cell r="I85">
            <v>0</v>
          </cell>
        </row>
        <row r="86">
          <cell r="B86" t="str">
            <v>Discounted Value</v>
          </cell>
          <cell r="C86">
            <v>46.772000252763121</v>
          </cell>
          <cell r="D86">
            <v>21.73570134968358</v>
          </cell>
          <cell r="E86">
            <v>0</v>
          </cell>
          <cell r="F86">
            <v>0</v>
          </cell>
          <cell r="G86">
            <v>0</v>
          </cell>
          <cell r="H86">
            <v>0</v>
          </cell>
          <cell r="I86">
            <v>0</v>
          </cell>
        </row>
        <row r="87">
          <cell r="B87" t="str">
            <v xml:space="preserve">  Discount Rate</v>
          </cell>
          <cell r="C87">
            <v>9.0924080089331505E-2</v>
          </cell>
        </row>
      </sheetData>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a"/>
      <sheetName val="Broker Participation"/>
      <sheetName val="Cash flow to net profit"/>
      <sheetName val="China listedCo in HK &amp; Sing"/>
      <sheetName val="Cost to income"/>
      <sheetName val="Derivatives"/>
      <sheetName val="Div yield- SG and HK BANKS "/>
      <sheetName val="Div payout and cash"/>
      <sheetName val="EPS changes"/>
      <sheetName val="Foregin Cap as Total%"/>
      <sheetName val="Future Vol"/>
      <sheetName val="Foregin Mkt Cap"/>
      <sheetName val="GDP YoY vs PE"/>
      <sheetName val="MWare_Cached"/>
      <sheetName val="IBES"/>
      <sheetName val="Listed co details"/>
      <sheetName val="Listing fee"/>
      <sheetName val="Mkt Cap per listed co"/>
      <sheetName val="Normalised Turnover Analysis"/>
      <sheetName val="PB vs ROE"/>
      <sheetName val="PBC"/>
      <sheetName val="PE Price band"/>
      <sheetName val="PE"/>
      <sheetName val="PE Prem or Disc"/>
      <sheetName val="PE ratios sensitivity tests"/>
      <sheetName val="Price"/>
      <sheetName val="Price vs GDP g"/>
      <sheetName val="Price vs Index"/>
      <sheetName val="Rel Perf vs TO"/>
      <sheetName val="Short Selling"/>
      <sheetName val="Summary table"/>
      <sheetName val="Since acquisition"/>
      <sheetName val="Since inititaion"/>
      <sheetName val="SGX IPO Pipeline 1H05"/>
      <sheetName val="SIBOR"/>
      <sheetName val="Impliedturnover"/>
      <sheetName val="Turnover sensitivity"/>
      <sheetName val="Trading days"/>
      <sheetName val="Turnover daily"/>
      <sheetName val="Turnover vs index"/>
      <sheetName val="Turnover by month analysis"/>
      <sheetName val="Turnover &amp; volume"/>
      <sheetName val="Turnover monthl vs stock price"/>
      <sheetName val="Velocity"/>
      <sheetName val="7. Price-to-book vs. ROE"/>
      <sheetName val="Rel Perf vs Mkt TO 10 days "/>
      <sheetName val="sensitivity"/>
      <sheetName val="Turnover monthly"/>
      <sheetName val="Div payout and cash (2)"/>
      <sheetName val="9. PE ratios sensitivity tests"/>
      <sheetName val="11. SGX beta (new)"/>
      <sheetName val="14. Foregin Cap as Total%"/>
      <sheetName val="17. China listedCo in HK &amp; Sing"/>
      <sheetName val="18. GDP YoY vs PE"/>
      <sheetName val="19. Velocity"/>
      <sheetName val="PE (2)"/>
      <sheetName val="Trading days (2)"/>
      <sheetName val="Bull Bear"/>
      <sheetName val="Premium Discount"/>
      <sheetName val="Turnover monthly vs stock price"/>
      <sheetName val="Premium Discount to Peers"/>
      <sheetName val="Rel Perf vs H Share Index"/>
    </sheetNames>
    <sheetDataSet>
      <sheetData sheetId="0" refreshError="1"/>
      <sheetData sheetId="1" refreshError="1">
        <row r="1">
          <cell r="B1" t="str">
            <v>Population (mn)</v>
          </cell>
          <cell r="C1" t="str">
            <v>Broker Participation (%)</v>
          </cell>
        </row>
        <row r="2">
          <cell r="A2" t="str">
            <v>HK</v>
          </cell>
          <cell r="B2">
            <v>6.9436</v>
          </cell>
          <cell r="C2">
            <v>46</v>
          </cell>
        </row>
        <row r="3">
          <cell r="A3" t="str">
            <v>Singapore</v>
          </cell>
          <cell r="B3">
            <v>4.2403000000000004</v>
          </cell>
          <cell r="C3">
            <v>40</v>
          </cell>
        </row>
        <row r="4">
          <cell r="A4" t="str">
            <v>Australia</v>
          </cell>
          <cell r="B4">
            <v>20.393051</v>
          </cell>
          <cell r="C4">
            <v>55</v>
          </cell>
        </row>
        <row r="5">
          <cell r="A5" t="str">
            <v>Malaysia</v>
          </cell>
          <cell r="B5">
            <v>25.5809</v>
          </cell>
          <cell r="C5">
            <v>12</v>
          </cell>
        </row>
      </sheetData>
      <sheetData sheetId="2" refreshError="1"/>
      <sheetData sheetId="3"/>
      <sheetData sheetId="4" refreshError="1">
        <row r="1">
          <cell r="B1" t="str">
            <v>F2000</v>
          </cell>
          <cell r="C1" t="str">
            <v>F2001</v>
          </cell>
          <cell r="D1" t="str">
            <v>F2002</v>
          </cell>
          <cell r="E1" t="str">
            <v>F2003</v>
          </cell>
          <cell r="F1" t="str">
            <v>F2004</v>
          </cell>
          <cell r="G1" t="str">
            <v>F2005</v>
          </cell>
          <cell r="H1" t="str">
            <v>F2006E</v>
          </cell>
          <cell r="I1" t="str">
            <v>F2007E</v>
          </cell>
        </row>
        <row r="2">
          <cell r="A2" t="str">
            <v>Cost to income ratio</v>
          </cell>
          <cell r="B2">
            <v>0.47104924896250316</v>
          </cell>
          <cell r="C2">
            <v>0.66789028951378293</v>
          </cell>
          <cell r="D2">
            <v>0.75097652828866701</v>
          </cell>
          <cell r="E2">
            <v>0.76157873540072507</v>
          </cell>
          <cell r="F2">
            <v>0.47386724331980218</v>
          </cell>
          <cell r="G2">
            <v>0.52094905974941208</v>
          </cell>
          <cell r="H2">
            <v>0.4506134066149769</v>
          </cell>
          <cell r="I2">
            <v>0.45595187094068784</v>
          </cell>
        </row>
      </sheetData>
      <sheetData sheetId="5" refreshError="1">
        <row r="1">
          <cell r="B1" t="str">
            <v>SG: Turnover: Simex Futures and Options</v>
          </cell>
        </row>
        <row r="2">
          <cell r="B2" t="str">
            <v>SZGM</v>
          </cell>
        </row>
        <row r="3">
          <cell r="B3" t="str">
            <v>Unit</v>
          </cell>
        </row>
        <row r="4">
          <cell r="B4" t="str">
            <v>M:   Jun-1992:   Oct-2005</v>
          </cell>
          <cell r="C4" t="str">
            <v>Millions</v>
          </cell>
        </row>
        <row r="5">
          <cell r="A5">
            <v>33756</v>
          </cell>
          <cell r="B5">
            <v>972393</v>
          </cell>
          <cell r="C5">
            <v>0.97239299999999995</v>
          </cell>
        </row>
        <row r="6">
          <cell r="A6">
            <v>33786</v>
          </cell>
          <cell r="B6">
            <v>1159904</v>
          </cell>
          <cell r="C6">
            <v>1.159904</v>
          </cell>
        </row>
        <row r="7">
          <cell r="A7">
            <v>33817</v>
          </cell>
          <cell r="B7">
            <v>1220276</v>
          </cell>
          <cell r="C7">
            <v>1.2202759999999999</v>
          </cell>
        </row>
        <row r="8">
          <cell r="A8">
            <v>33848</v>
          </cell>
          <cell r="B8">
            <v>1351026</v>
          </cell>
          <cell r="C8">
            <v>1.3510260000000001</v>
          </cell>
        </row>
        <row r="9">
          <cell r="A9">
            <v>33878</v>
          </cell>
          <cell r="B9">
            <v>1268904</v>
          </cell>
          <cell r="C9">
            <v>1.268904</v>
          </cell>
        </row>
        <row r="10">
          <cell r="A10">
            <v>33909</v>
          </cell>
          <cell r="B10">
            <v>1121146</v>
          </cell>
          <cell r="C10">
            <v>1.121146</v>
          </cell>
        </row>
        <row r="11">
          <cell r="A11">
            <v>33939</v>
          </cell>
          <cell r="B11">
            <v>865677</v>
          </cell>
          <cell r="C11">
            <v>0.86567700000000003</v>
          </cell>
        </row>
        <row r="12">
          <cell r="A12">
            <v>33970</v>
          </cell>
          <cell r="B12">
            <v>965510</v>
          </cell>
          <cell r="C12">
            <v>0.96550999999999998</v>
          </cell>
        </row>
        <row r="13">
          <cell r="A13">
            <v>34001</v>
          </cell>
          <cell r="B13">
            <v>1169159</v>
          </cell>
          <cell r="C13">
            <v>1.1691590000000001</v>
          </cell>
        </row>
        <row r="14">
          <cell r="A14">
            <v>34029</v>
          </cell>
          <cell r="B14">
            <v>1423596</v>
          </cell>
          <cell r="C14">
            <v>1.4235960000000001</v>
          </cell>
        </row>
        <row r="15">
          <cell r="A15">
            <v>34060</v>
          </cell>
          <cell r="B15">
            <v>1172122</v>
          </cell>
          <cell r="C15">
            <v>1.1721220000000001</v>
          </cell>
        </row>
        <row r="16">
          <cell r="A16">
            <v>34090</v>
          </cell>
          <cell r="B16">
            <v>1311590</v>
          </cell>
          <cell r="C16">
            <v>1.31159</v>
          </cell>
        </row>
        <row r="17">
          <cell r="A17">
            <v>34121</v>
          </cell>
          <cell r="B17">
            <v>1353018</v>
          </cell>
          <cell r="C17">
            <v>1.3530180000000001</v>
          </cell>
        </row>
        <row r="18">
          <cell r="A18">
            <v>34151</v>
          </cell>
          <cell r="B18">
            <v>1132576</v>
          </cell>
          <cell r="C18">
            <v>1.132576</v>
          </cell>
        </row>
        <row r="19">
          <cell r="A19">
            <v>34182</v>
          </cell>
          <cell r="B19">
            <v>1271197</v>
          </cell>
          <cell r="C19">
            <v>1.2711969999999999</v>
          </cell>
        </row>
        <row r="20">
          <cell r="A20">
            <v>34213</v>
          </cell>
          <cell r="B20">
            <v>1404224</v>
          </cell>
          <cell r="C20">
            <v>1.4042239999999999</v>
          </cell>
        </row>
        <row r="21">
          <cell r="A21">
            <v>34243</v>
          </cell>
          <cell r="B21">
            <v>1111849</v>
          </cell>
          <cell r="C21">
            <v>1.1118490000000001</v>
          </cell>
        </row>
        <row r="22">
          <cell r="A22">
            <v>34274</v>
          </cell>
          <cell r="B22">
            <v>1914749</v>
          </cell>
          <cell r="C22">
            <v>1.914749</v>
          </cell>
        </row>
        <row r="23">
          <cell r="A23">
            <v>34304</v>
          </cell>
          <cell r="B23">
            <v>1500197</v>
          </cell>
          <cell r="C23">
            <v>1.500197</v>
          </cell>
        </row>
        <row r="24">
          <cell r="A24">
            <v>34335</v>
          </cell>
          <cell r="B24">
            <v>1728513</v>
          </cell>
          <cell r="C24">
            <v>1.728513</v>
          </cell>
        </row>
        <row r="25">
          <cell r="A25">
            <v>34366</v>
          </cell>
          <cell r="B25">
            <v>1964243</v>
          </cell>
          <cell r="C25">
            <v>1.964243</v>
          </cell>
        </row>
        <row r="26">
          <cell r="A26">
            <v>34394</v>
          </cell>
          <cell r="B26">
            <v>2199056</v>
          </cell>
          <cell r="C26">
            <v>2.1990560000000001</v>
          </cell>
        </row>
        <row r="27">
          <cell r="A27">
            <v>34425</v>
          </cell>
          <cell r="B27">
            <v>1968171</v>
          </cell>
          <cell r="C27">
            <v>1.9681709999999999</v>
          </cell>
        </row>
        <row r="28">
          <cell r="A28">
            <v>34455</v>
          </cell>
          <cell r="B28">
            <v>2016222</v>
          </cell>
          <cell r="C28">
            <v>2.016222</v>
          </cell>
        </row>
        <row r="29">
          <cell r="A29">
            <v>34486</v>
          </cell>
          <cell r="B29">
            <v>2549565</v>
          </cell>
          <cell r="C29">
            <v>2.5495649999999999</v>
          </cell>
        </row>
        <row r="30">
          <cell r="A30">
            <v>34516</v>
          </cell>
          <cell r="B30">
            <v>1640118</v>
          </cell>
          <cell r="C30">
            <v>1.640118</v>
          </cell>
        </row>
        <row r="31">
          <cell r="A31">
            <v>34547</v>
          </cell>
          <cell r="B31">
            <v>1862560</v>
          </cell>
          <cell r="C31">
            <v>1.86256</v>
          </cell>
        </row>
        <row r="32">
          <cell r="A32">
            <v>34578</v>
          </cell>
          <cell r="B32">
            <v>2035041</v>
          </cell>
          <cell r="C32">
            <v>2.0350410000000001</v>
          </cell>
        </row>
        <row r="33">
          <cell r="A33">
            <v>34608</v>
          </cell>
          <cell r="B33">
            <v>1802619</v>
          </cell>
          <cell r="C33">
            <v>1.802619</v>
          </cell>
        </row>
        <row r="34">
          <cell r="A34">
            <v>34639</v>
          </cell>
          <cell r="B34">
            <v>2185095</v>
          </cell>
          <cell r="C34">
            <v>2.185095</v>
          </cell>
        </row>
        <row r="35">
          <cell r="A35">
            <v>34669</v>
          </cell>
          <cell r="B35">
            <v>2109071</v>
          </cell>
          <cell r="C35">
            <v>2.1090710000000001</v>
          </cell>
        </row>
        <row r="36">
          <cell r="A36">
            <v>34700</v>
          </cell>
          <cell r="B36">
            <v>2394132</v>
          </cell>
          <cell r="C36">
            <v>2.3941319999999999</v>
          </cell>
        </row>
        <row r="37">
          <cell r="A37">
            <v>34731</v>
          </cell>
          <cell r="B37">
            <v>2513218</v>
          </cell>
          <cell r="C37">
            <v>2.5132180000000002</v>
          </cell>
        </row>
        <row r="38">
          <cell r="A38">
            <v>34759</v>
          </cell>
          <cell r="B38">
            <v>2560960</v>
          </cell>
          <cell r="C38">
            <v>2.5609600000000001</v>
          </cell>
        </row>
        <row r="39">
          <cell r="A39">
            <v>34790</v>
          </cell>
          <cell r="B39">
            <v>1913459</v>
          </cell>
          <cell r="C39">
            <v>1.913459</v>
          </cell>
        </row>
        <row r="40">
          <cell r="A40">
            <v>34820</v>
          </cell>
          <cell r="B40">
            <v>2178661</v>
          </cell>
          <cell r="C40">
            <v>2.178661</v>
          </cell>
        </row>
        <row r="41">
          <cell r="A41">
            <v>34851</v>
          </cell>
          <cell r="B41">
            <v>2566308</v>
          </cell>
          <cell r="C41">
            <v>2.5663079999999998</v>
          </cell>
        </row>
        <row r="42">
          <cell r="A42">
            <v>34881</v>
          </cell>
          <cell r="B42">
            <v>1747823</v>
          </cell>
          <cell r="C42">
            <v>1.7478229999999999</v>
          </cell>
        </row>
        <row r="43">
          <cell r="A43">
            <v>34912</v>
          </cell>
          <cell r="B43">
            <v>2212988</v>
          </cell>
          <cell r="C43">
            <v>2.2129880000000002</v>
          </cell>
        </row>
        <row r="44">
          <cell r="A44">
            <v>34943</v>
          </cell>
          <cell r="B44">
            <v>1905033</v>
          </cell>
          <cell r="C44">
            <v>1.905033</v>
          </cell>
        </row>
        <row r="45">
          <cell r="A45">
            <v>34973</v>
          </cell>
          <cell r="B45">
            <v>1491172</v>
          </cell>
          <cell r="C45">
            <v>1.4911719999999999</v>
          </cell>
        </row>
        <row r="46">
          <cell r="A46">
            <v>35004</v>
          </cell>
          <cell r="B46">
            <v>1525029</v>
          </cell>
          <cell r="C46">
            <v>1.525029</v>
          </cell>
        </row>
        <row r="47">
          <cell r="A47">
            <v>35034</v>
          </cell>
          <cell r="B47">
            <v>1242556</v>
          </cell>
          <cell r="C47">
            <v>1.242556</v>
          </cell>
        </row>
        <row r="48">
          <cell r="A48">
            <v>35065</v>
          </cell>
          <cell r="B48">
            <v>1779053</v>
          </cell>
          <cell r="C48">
            <v>1.779053</v>
          </cell>
        </row>
        <row r="49">
          <cell r="A49">
            <v>35096</v>
          </cell>
          <cell r="B49">
            <v>2178058</v>
          </cell>
          <cell r="C49">
            <v>2.178058</v>
          </cell>
        </row>
        <row r="50">
          <cell r="A50">
            <v>35125</v>
          </cell>
          <cell r="B50">
            <v>2200872</v>
          </cell>
          <cell r="C50">
            <v>2.2008719999999999</v>
          </cell>
        </row>
        <row r="51">
          <cell r="A51">
            <v>35156</v>
          </cell>
          <cell r="B51">
            <v>1721440</v>
          </cell>
          <cell r="C51">
            <v>1.7214400000000001</v>
          </cell>
        </row>
        <row r="52">
          <cell r="A52">
            <v>35186</v>
          </cell>
          <cell r="B52">
            <v>1905033</v>
          </cell>
          <cell r="C52">
            <v>1.905033</v>
          </cell>
        </row>
        <row r="53">
          <cell r="A53">
            <v>35217</v>
          </cell>
          <cell r="B53">
            <v>2089040</v>
          </cell>
          <cell r="C53">
            <v>2.0890399999999998</v>
          </cell>
        </row>
        <row r="54">
          <cell r="A54">
            <v>35247</v>
          </cell>
          <cell r="B54">
            <v>1887166</v>
          </cell>
          <cell r="C54">
            <v>1.8871659999999999</v>
          </cell>
        </row>
        <row r="55">
          <cell r="A55">
            <v>35278</v>
          </cell>
          <cell r="B55">
            <v>1938764</v>
          </cell>
          <cell r="C55">
            <v>1.9387639999999999</v>
          </cell>
        </row>
        <row r="56">
          <cell r="A56">
            <v>35309</v>
          </cell>
          <cell r="B56">
            <v>1811645</v>
          </cell>
          <cell r="C56">
            <v>1.8116449999999999</v>
          </cell>
        </row>
        <row r="57">
          <cell r="A57">
            <v>35339</v>
          </cell>
          <cell r="B57">
            <v>1639111</v>
          </cell>
          <cell r="C57">
            <v>1.639111</v>
          </cell>
        </row>
        <row r="58">
          <cell r="A58">
            <v>35370</v>
          </cell>
          <cell r="B58">
            <v>1766369</v>
          </cell>
          <cell r="C58">
            <v>1.7663690000000001</v>
          </cell>
        </row>
        <row r="59">
          <cell r="A59">
            <v>35400</v>
          </cell>
          <cell r="B59">
            <v>1651994</v>
          </cell>
          <cell r="C59">
            <v>1.651994</v>
          </cell>
        </row>
        <row r="60">
          <cell r="A60">
            <v>35431</v>
          </cell>
          <cell r="B60">
            <v>1719389</v>
          </cell>
          <cell r="C60">
            <v>1.7193890000000001</v>
          </cell>
        </row>
        <row r="61">
          <cell r="A61">
            <v>35462</v>
          </cell>
          <cell r="B61">
            <v>1408144</v>
          </cell>
          <cell r="C61">
            <v>1.4081440000000001</v>
          </cell>
        </row>
        <row r="62">
          <cell r="A62">
            <v>35490</v>
          </cell>
          <cell r="B62">
            <v>2094096</v>
          </cell>
          <cell r="C62">
            <v>2.094096</v>
          </cell>
        </row>
        <row r="63">
          <cell r="A63">
            <v>35521</v>
          </cell>
          <cell r="B63">
            <v>1902189</v>
          </cell>
          <cell r="C63">
            <v>1.9021889999999999</v>
          </cell>
        </row>
        <row r="64">
          <cell r="A64">
            <v>35551</v>
          </cell>
          <cell r="B64">
            <v>2458937</v>
          </cell>
          <cell r="C64">
            <v>2.4589370000000002</v>
          </cell>
        </row>
        <row r="65">
          <cell r="A65">
            <v>35582</v>
          </cell>
          <cell r="B65">
            <v>2078379</v>
          </cell>
          <cell r="C65">
            <v>2.078379</v>
          </cell>
        </row>
        <row r="66">
          <cell r="A66">
            <v>35612</v>
          </cell>
          <cell r="B66">
            <v>1766665</v>
          </cell>
          <cell r="C66">
            <v>1.7666649999999999</v>
          </cell>
        </row>
        <row r="67">
          <cell r="A67">
            <v>35643</v>
          </cell>
          <cell r="B67">
            <v>2068266</v>
          </cell>
          <cell r="C67">
            <v>2.0682659999999999</v>
          </cell>
        </row>
        <row r="68">
          <cell r="A68">
            <v>35674</v>
          </cell>
          <cell r="B68">
            <v>1976284</v>
          </cell>
          <cell r="C68">
            <v>1.9762839999999999</v>
          </cell>
        </row>
        <row r="69">
          <cell r="A69">
            <v>35704</v>
          </cell>
          <cell r="B69">
            <v>2546263</v>
          </cell>
          <cell r="C69">
            <v>2.5462630000000002</v>
          </cell>
        </row>
        <row r="70">
          <cell r="A70">
            <v>35735</v>
          </cell>
          <cell r="B70">
            <v>2150415</v>
          </cell>
          <cell r="C70">
            <v>2.1504150000000002</v>
          </cell>
        </row>
        <row r="71">
          <cell r="A71">
            <v>35765</v>
          </cell>
          <cell r="B71">
            <v>1921258</v>
          </cell>
          <cell r="C71">
            <v>1.9212579999999999</v>
          </cell>
        </row>
        <row r="72">
          <cell r="A72">
            <v>35796</v>
          </cell>
          <cell r="B72">
            <v>2135408</v>
          </cell>
          <cell r="C72">
            <v>2.135408</v>
          </cell>
        </row>
        <row r="73">
          <cell r="A73">
            <v>35827</v>
          </cell>
          <cell r="B73">
            <v>1977369</v>
          </cell>
          <cell r="C73">
            <v>1.9773689999999999</v>
          </cell>
        </row>
        <row r="74">
          <cell r="A74">
            <v>35855</v>
          </cell>
          <cell r="B74">
            <v>2345887</v>
          </cell>
          <cell r="C74">
            <v>2.3458869999999998</v>
          </cell>
        </row>
        <row r="75">
          <cell r="A75">
            <v>35886</v>
          </cell>
          <cell r="B75">
            <v>2042076</v>
          </cell>
          <cell r="C75">
            <v>2.0420759999999998</v>
          </cell>
        </row>
        <row r="76">
          <cell r="A76">
            <v>35916</v>
          </cell>
          <cell r="B76">
            <v>1954543</v>
          </cell>
          <cell r="C76">
            <v>1.9545429999999999</v>
          </cell>
        </row>
        <row r="77">
          <cell r="A77">
            <v>35947</v>
          </cell>
          <cell r="B77">
            <v>2873544</v>
          </cell>
          <cell r="C77">
            <v>2.8735439999999999</v>
          </cell>
        </row>
        <row r="78">
          <cell r="A78">
            <v>35977</v>
          </cell>
          <cell r="B78">
            <v>1927165</v>
          </cell>
          <cell r="C78">
            <v>1.927165</v>
          </cell>
        </row>
        <row r="79">
          <cell r="A79">
            <v>36008</v>
          </cell>
          <cell r="B79">
            <v>2559881</v>
          </cell>
          <cell r="C79">
            <v>2.5598809999999999</v>
          </cell>
        </row>
        <row r="80">
          <cell r="A80">
            <v>36039</v>
          </cell>
          <cell r="B80">
            <v>3180314</v>
          </cell>
          <cell r="C80">
            <v>3.1803140000000001</v>
          </cell>
        </row>
        <row r="81">
          <cell r="A81">
            <v>36069</v>
          </cell>
          <cell r="B81">
            <v>2924604</v>
          </cell>
          <cell r="C81">
            <v>2.924604</v>
          </cell>
        </row>
        <row r="82">
          <cell r="A82">
            <v>36100</v>
          </cell>
          <cell r="B82">
            <v>2136008</v>
          </cell>
          <cell r="C82">
            <v>2.1360079999999999</v>
          </cell>
        </row>
        <row r="83">
          <cell r="A83">
            <v>36130</v>
          </cell>
          <cell r="B83">
            <v>1804363</v>
          </cell>
          <cell r="C83">
            <v>1.8043629999999999</v>
          </cell>
        </row>
        <row r="84">
          <cell r="A84">
            <v>36161</v>
          </cell>
          <cell r="B84">
            <v>1882274</v>
          </cell>
          <cell r="C84">
            <v>1.882274</v>
          </cell>
        </row>
        <row r="85">
          <cell r="A85">
            <v>36192</v>
          </cell>
          <cell r="B85">
            <v>1988551</v>
          </cell>
          <cell r="C85">
            <v>1.988551</v>
          </cell>
        </row>
        <row r="86">
          <cell r="A86">
            <v>36220</v>
          </cell>
          <cell r="B86">
            <v>2576511</v>
          </cell>
          <cell r="C86">
            <v>2.576511</v>
          </cell>
        </row>
        <row r="87">
          <cell r="A87">
            <v>36251</v>
          </cell>
          <cell r="B87">
            <v>1766518</v>
          </cell>
          <cell r="C87">
            <v>1.766518</v>
          </cell>
        </row>
        <row r="88">
          <cell r="A88">
            <v>36281</v>
          </cell>
          <cell r="B88">
            <v>1873902</v>
          </cell>
          <cell r="C88">
            <v>1.873902</v>
          </cell>
        </row>
        <row r="89">
          <cell r="A89">
            <v>36312</v>
          </cell>
          <cell r="B89">
            <v>3243192</v>
          </cell>
          <cell r="C89">
            <v>3.2431920000000001</v>
          </cell>
        </row>
        <row r="90">
          <cell r="A90">
            <v>36342</v>
          </cell>
          <cell r="B90">
            <v>2275615</v>
          </cell>
          <cell r="C90">
            <v>2.2756150000000002</v>
          </cell>
        </row>
        <row r="91">
          <cell r="A91">
            <v>36373</v>
          </cell>
          <cell r="B91">
            <v>2304577</v>
          </cell>
          <cell r="C91">
            <v>2.3045770000000001</v>
          </cell>
        </row>
        <row r="92">
          <cell r="A92">
            <v>36404</v>
          </cell>
          <cell r="B92">
            <v>2575999</v>
          </cell>
          <cell r="C92">
            <v>2.5759989999999999</v>
          </cell>
        </row>
        <row r="93">
          <cell r="A93">
            <v>36434</v>
          </cell>
          <cell r="B93">
            <v>1897418</v>
          </cell>
          <cell r="C93">
            <v>1.897418</v>
          </cell>
        </row>
        <row r="94">
          <cell r="A94">
            <v>36465</v>
          </cell>
          <cell r="B94">
            <v>1885653</v>
          </cell>
          <cell r="C94">
            <v>1.885653</v>
          </cell>
        </row>
        <row r="95">
          <cell r="A95">
            <v>36495</v>
          </cell>
          <cell r="B95">
            <v>1592980</v>
          </cell>
          <cell r="C95">
            <v>1.5929800000000001</v>
          </cell>
        </row>
        <row r="96">
          <cell r="A96">
            <v>36526</v>
          </cell>
          <cell r="B96">
            <v>2334573</v>
          </cell>
          <cell r="C96">
            <v>2.3345729999999998</v>
          </cell>
        </row>
        <row r="97">
          <cell r="A97">
            <v>36557</v>
          </cell>
          <cell r="B97">
            <v>2016239</v>
          </cell>
          <cell r="C97">
            <v>2.0162390000000001</v>
          </cell>
        </row>
        <row r="98">
          <cell r="A98">
            <v>36586</v>
          </cell>
          <cell r="B98">
            <v>2643809</v>
          </cell>
          <cell r="C98">
            <v>2.6438090000000001</v>
          </cell>
        </row>
        <row r="99">
          <cell r="A99">
            <v>36617</v>
          </cell>
          <cell r="B99">
            <v>2477504</v>
          </cell>
          <cell r="C99">
            <v>2.4775040000000002</v>
          </cell>
        </row>
        <row r="100">
          <cell r="A100">
            <v>36647</v>
          </cell>
          <cell r="B100">
            <v>2524376</v>
          </cell>
          <cell r="C100">
            <v>2.5243760000000002</v>
          </cell>
        </row>
        <row r="101">
          <cell r="A101">
            <v>36678</v>
          </cell>
          <cell r="B101">
            <v>2647505</v>
          </cell>
          <cell r="C101">
            <v>2.6475050000000002</v>
          </cell>
        </row>
        <row r="102">
          <cell r="A102">
            <v>36708</v>
          </cell>
          <cell r="B102">
            <v>1950176</v>
          </cell>
          <cell r="C102">
            <v>1.9501759999999999</v>
          </cell>
        </row>
        <row r="103">
          <cell r="A103">
            <v>36739</v>
          </cell>
          <cell r="B103">
            <v>2292919</v>
          </cell>
          <cell r="C103">
            <v>2.2929189999999999</v>
          </cell>
        </row>
        <row r="104">
          <cell r="A104">
            <v>36770</v>
          </cell>
          <cell r="B104">
            <v>2532624</v>
          </cell>
          <cell r="C104">
            <v>2.5326240000000002</v>
          </cell>
        </row>
        <row r="105">
          <cell r="A105">
            <v>36800</v>
          </cell>
          <cell r="B105">
            <v>1950179</v>
          </cell>
          <cell r="C105">
            <v>1.9501790000000001</v>
          </cell>
        </row>
        <row r="106">
          <cell r="A106">
            <v>36831</v>
          </cell>
          <cell r="B106">
            <v>1877994</v>
          </cell>
          <cell r="C106">
            <v>1.8779939999999999</v>
          </cell>
        </row>
        <row r="107">
          <cell r="A107">
            <v>36861</v>
          </cell>
          <cell r="B107">
            <v>2324066</v>
          </cell>
          <cell r="C107">
            <v>2.3240660000000002</v>
          </cell>
        </row>
        <row r="108">
          <cell r="A108">
            <v>36892</v>
          </cell>
          <cell r="B108">
            <v>2465832</v>
          </cell>
          <cell r="C108">
            <v>2.4658319999999998</v>
          </cell>
        </row>
        <row r="109">
          <cell r="A109">
            <v>36923</v>
          </cell>
          <cell r="B109">
            <v>2293679</v>
          </cell>
          <cell r="C109">
            <v>2.293679</v>
          </cell>
        </row>
        <row r="110">
          <cell r="A110">
            <v>36951</v>
          </cell>
          <cell r="B110">
            <v>3009471</v>
          </cell>
          <cell r="C110">
            <v>3.009471</v>
          </cell>
        </row>
        <row r="111">
          <cell r="A111">
            <v>36982</v>
          </cell>
          <cell r="B111">
            <v>2512370</v>
          </cell>
          <cell r="C111">
            <v>2.5123700000000002</v>
          </cell>
        </row>
        <row r="112">
          <cell r="A112">
            <v>37012</v>
          </cell>
          <cell r="B112">
            <v>2230905</v>
          </cell>
          <cell r="C112">
            <v>2.2309049999999999</v>
          </cell>
        </row>
        <row r="113">
          <cell r="A113">
            <v>37043</v>
          </cell>
          <cell r="B113">
            <v>2616572</v>
          </cell>
          <cell r="C113">
            <v>2.6165720000000001</v>
          </cell>
        </row>
        <row r="114">
          <cell r="A114">
            <v>37073</v>
          </cell>
          <cell r="B114">
            <v>2155944</v>
          </cell>
          <cell r="C114">
            <v>2.1559439999999999</v>
          </cell>
        </row>
        <row r="115">
          <cell r="A115">
            <v>37104</v>
          </cell>
          <cell r="B115">
            <v>2476105</v>
          </cell>
          <cell r="C115">
            <v>2.476105</v>
          </cell>
        </row>
        <row r="116">
          <cell r="A116">
            <v>37135</v>
          </cell>
          <cell r="B116">
            <v>3353661</v>
          </cell>
          <cell r="C116">
            <v>3.3536609999999998</v>
          </cell>
        </row>
        <row r="117">
          <cell r="A117">
            <v>37165</v>
          </cell>
          <cell r="B117">
            <v>2385536</v>
          </cell>
          <cell r="C117">
            <v>2.3855360000000001</v>
          </cell>
        </row>
        <row r="118">
          <cell r="A118">
            <v>37196</v>
          </cell>
          <cell r="B118">
            <v>3372838</v>
          </cell>
          <cell r="C118">
            <v>3.3728379999999998</v>
          </cell>
        </row>
        <row r="119">
          <cell r="A119">
            <v>37226</v>
          </cell>
          <cell r="B119">
            <v>2116949</v>
          </cell>
          <cell r="C119">
            <v>2.116949</v>
          </cell>
        </row>
        <row r="120">
          <cell r="A120">
            <v>37257</v>
          </cell>
          <cell r="B120">
            <v>2581566</v>
          </cell>
          <cell r="C120">
            <v>2.581566</v>
          </cell>
        </row>
        <row r="121">
          <cell r="A121">
            <v>37288</v>
          </cell>
          <cell r="B121">
            <v>2086294</v>
          </cell>
          <cell r="C121">
            <v>2.0862940000000001</v>
          </cell>
        </row>
        <row r="122">
          <cell r="A122">
            <v>37316</v>
          </cell>
          <cell r="B122">
            <v>2634570</v>
          </cell>
          <cell r="C122">
            <v>2.6345700000000001</v>
          </cell>
        </row>
        <row r="123">
          <cell r="A123">
            <v>37347</v>
          </cell>
          <cell r="B123">
            <v>2432488</v>
          </cell>
          <cell r="C123">
            <v>2.4324880000000002</v>
          </cell>
        </row>
        <row r="124">
          <cell r="A124">
            <v>37377</v>
          </cell>
          <cell r="B124">
            <v>2834496</v>
          </cell>
          <cell r="C124">
            <v>2.8344960000000001</v>
          </cell>
        </row>
        <row r="125">
          <cell r="A125">
            <v>37408</v>
          </cell>
          <cell r="B125">
            <v>3048809</v>
          </cell>
          <cell r="C125">
            <v>3.0488089999999999</v>
          </cell>
        </row>
        <row r="126">
          <cell r="A126">
            <v>37438</v>
          </cell>
          <cell r="B126">
            <v>3611883</v>
          </cell>
          <cell r="C126">
            <v>3.6118830000000002</v>
          </cell>
        </row>
        <row r="127">
          <cell r="A127">
            <v>37469</v>
          </cell>
          <cell r="B127">
            <v>3039500</v>
          </cell>
          <cell r="C127">
            <v>3.0394999999999999</v>
          </cell>
        </row>
        <row r="128">
          <cell r="A128">
            <v>37500</v>
          </cell>
          <cell r="B128">
            <v>3236923</v>
          </cell>
          <cell r="C128">
            <v>3.236923</v>
          </cell>
        </row>
        <row r="129">
          <cell r="A129">
            <v>37530</v>
          </cell>
          <cell r="B129">
            <v>3317764</v>
          </cell>
          <cell r="C129">
            <v>3.3177639999999999</v>
          </cell>
        </row>
        <row r="130">
          <cell r="A130">
            <v>37561</v>
          </cell>
          <cell r="B130">
            <v>2317397</v>
          </cell>
          <cell r="C130">
            <v>2.3173970000000002</v>
          </cell>
        </row>
        <row r="131">
          <cell r="A131">
            <v>37591</v>
          </cell>
          <cell r="B131">
            <v>1745705</v>
          </cell>
          <cell r="C131">
            <v>1.7457050000000001</v>
          </cell>
        </row>
        <row r="132">
          <cell r="A132">
            <v>37622</v>
          </cell>
          <cell r="B132">
            <v>2374374</v>
          </cell>
          <cell r="C132">
            <v>2.374374</v>
          </cell>
        </row>
        <row r="133">
          <cell r="A133">
            <v>37653</v>
          </cell>
          <cell r="B133">
            <v>2153565</v>
          </cell>
          <cell r="C133">
            <v>2.153565</v>
          </cell>
        </row>
        <row r="134">
          <cell r="A134">
            <v>37681</v>
          </cell>
          <cell r="B134">
            <v>3563849</v>
          </cell>
          <cell r="C134">
            <v>3.5638489999999998</v>
          </cell>
        </row>
        <row r="135">
          <cell r="A135">
            <v>37712</v>
          </cell>
          <cell r="B135">
            <v>2960226</v>
          </cell>
          <cell r="C135">
            <v>2.960226</v>
          </cell>
        </row>
        <row r="136">
          <cell r="A136">
            <v>37742</v>
          </cell>
          <cell r="B136">
            <v>2859670</v>
          </cell>
          <cell r="C136">
            <v>2.8596699999999999</v>
          </cell>
        </row>
        <row r="137">
          <cell r="A137">
            <v>37773</v>
          </cell>
          <cell r="B137">
            <v>3733596</v>
          </cell>
          <cell r="C137">
            <v>3.7335959999999999</v>
          </cell>
        </row>
        <row r="138">
          <cell r="A138">
            <v>37803</v>
          </cell>
          <cell r="B138">
            <v>3097973</v>
          </cell>
          <cell r="C138">
            <v>3.0979730000000001</v>
          </cell>
        </row>
        <row r="139">
          <cell r="A139">
            <v>37834</v>
          </cell>
          <cell r="B139">
            <v>3240762</v>
          </cell>
          <cell r="C139">
            <v>3.2407620000000001</v>
          </cell>
        </row>
        <row r="140">
          <cell r="A140">
            <v>37865</v>
          </cell>
          <cell r="B140">
            <v>3340825</v>
          </cell>
          <cell r="C140">
            <v>3.3408250000000002</v>
          </cell>
        </row>
        <row r="141">
          <cell r="A141">
            <v>37895</v>
          </cell>
          <cell r="B141">
            <v>3360324</v>
          </cell>
          <cell r="C141">
            <v>3.3603239999999999</v>
          </cell>
        </row>
        <row r="142">
          <cell r="A142">
            <v>37926</v>
          </cell>
          <cell r="B142">
            <v>2503057</v>
          </cell>
          <cell r="C142">
            <v>2.5030570000000001</v>
          </cell>
        </row>
        <row r="143">
          <cell r="A143">
            <v>37956</v>
          </cell>
          <cell r="B143">
            <v>2460003</v>
          </cell>
          <cell r="C143">
            <v>2.4600029999999999</v>
          </cell>
        </row>
        <row r="144">
          <cell r="A144">
            <v>37987</v>
          </cell>
          <cell r="B144">
            <v>2324708</v>
          </cell>
          <cell r="C144">
            <v>2.3247080000000002</v>
          </cell>
        </row>
        <row r="145">
          <cell r="A145">
            <v>38018</v>
          </cell>
          <cell r="B145">
            <v>2544571</v>
          </cell>
          <cell r="C145">
            <v>2.5445709999999999</v>
          </cell>
        </row>
        <row r="146">
          <cell r="A146">
            <v>38047</v>
          </cell>
          <cell r="B146">
            <v>3597744</v>
          </cell>
          <cell r="C146">
            <v>3.5977440000000001</v>
          </cell>
        </row>
        <row r="147">
          <cell r="A147">
            <v>38078</v>
          </cell>
          <cell r="B147">
            <v>2871843</v>
          </cell>
          <cell r="C147">
            <v>2.8718430000000001</v>
          </cell>
        </row>
        <row r="148">
          <cell r="A148">
            <v>38108</v>
          </cell>
          <cell r="B148">
            <v>2601421</v>
          </cell>
          <cell r="C148">
            <v>2.6014210000000002</v>
          </cell>
        </row>
        <row r="149">
          <cell r="A149">
            <v>38139</v>
          </cell>
          <cell r="B149">
            <v>3013607</v>
          </cell>
          <cell r="C149">
            <v>3.0136069999999999</v>
          </cell>
        </row>
        <row r="150">
          <cell r="A150">
            <v>38169</v>
          </cell>
          <cell r="B150">
            <v>2000725</v>
          </cell>
          <cell r="C150">
            <v>2.0007250000000001</v>
          </cell>
        </row>
        <row r="151">
          <cell r="A151">
            <v>38200</v>
          </cell>
          <cell r="B151">
            <v>1944938</v>
          </cell>
          <cell r="C151">
            <v>1.9449380000000001</v>
          </cell>
        </row>
        <row r="152">
          <cell r="A152">
            <v>38231</v>
          </cell>
          <cell r="B152">
            <v>2142693</v>
          </cell>
          <cell r="C152">
            <v>2.142693</v>
          </cell>
        </row>
        <row r="153">
          <cell r="A153">
            <v>38261</v>
          </cell>
          <cell r="B153">
            <v>1685749</v>
          </cell>
          <cell r="C153">
            <v>1.6857489999999999</v>
          </cell>
        </row>
        <row r="154">
          <cell r="A154">
            <v>38292</v>
          </cell>
          <cell r="B154">
            <v>1810829</v>
          </cell>
          <cell r="C154">
            <v>1.810829</v>
          </cell>
        </row>
        <row r="155">
          <cell r="A155">
            <v>38322</v>
          </cell>
          <cell r="B155">
            <v>1879956</v>
          </cell>
          <cell r="C155">
            <v>1.879956</v>
          </cell>
        </row>
        <row r="156">
          <cell r="A156">
            <v>38353</v>
          </cell>
          <cell r="B156">
            <v>1600922</v>
          </cell>
          <cell r="C156">
            <v>1.600922</v>
          </cell>
        </row>
        <row r="157">
          <cell r="A157">
            <v>38384</v>
          </cell>
          <cell r="B157">
            <v>1495529</v>
          </cell>
          <cell r="C157">
            <v>1.4955290000000001</v>
          </cell>
        </row>
        <row r="158">
          <cell r="A158">
            <v>38412</v>
          </cell>
          <cell r="B158">
            <v>2381702</v>
          </cell>
          <cell r="C158">
            <v>2.3817020000000002</v>
          </cell>
        </row>
        <row r="159">
          <cell r="A159">
            <v>38443</v>
          </cell>
          <cell r="B159">
            <v>1811936</v>
          </cell>
          <cell r="C159">
            <v>1.811936</v>
          </cell>
        </row>
        <row r="160">
          <cell r="A160">
            <v>38473</v>
          </cell>
          <cell r="B160">
            <v>1684686</v>
          </cell>
          <cell r="C160">
            <v>1.6846859999999999</v>
          </cell>
        </row>
        <row r="161">
          <cell r="A161">
            <v>38504</v>
          </cell>
          <cell r="B161">
            <v>2335947</v>
          </cell>
          <cell r="C161">
            <v>2.335947</v>
          </cell>
        </row>
        <row r="162">
          <cell r="A162">
            <v>38534</v>
          </cell>
          <cell r="B162">
            <v>1829364</v>
          </cell>
          <cell r="C162">
            <v>1.829364</v>
          </cell>
        </row>
        <row r="163">
          <cell r="A163">
            <v>38565</v>
          </cell>
          <cell r="B163">
            <v>2260104</v>
          </cell>
          <cell r="C163">
            <v>2.2601040000000001</v>
          </cell>
        </row>
        <row r="164">
          <cell r="A164">
            <v>38596</v>
          </cell>
          <cell r="B164">
            <v>2694730</v>
          </cell>
          <cell r="C164">
            <v>2.6947299999999998</v>
          </cell>
        </row>
        <row r="165">
          <cell r="A165">
            <v>38626</v>
          </cell>
          <cell r="B165">
            <v>2569569</v>
          </cell>
          <cell r="C165">
            <v>2.569569</v>
          </cell>
        </row>
        <row r="166">
          <cell r="A166">
            <v>38657</v>
          </cell>
          <cell r="B166">
            <v>2308685</v>
          </cell>
          <cell r="C166">
            <v>2.3086850000000001</v>
          </cell>
        </row>
        <row r="167">
          <cell r="A167">
            <v>38687</v>
          </cell>
          <cell r="B167">
            <v>3052954</v>
          </cell>
          <cell r="C167">
            <v>3.0529540000000002</v>
          </cell>
        </row>
        <row r="168">
          <cell r="A168">
            <v>38718</v>
          </cell>
          <cell r="B168">
            <v>2851291</v>
          </cell>
          <cell r="C168">
            <v>2.8512909999999998</v>
          </cell>
        </row>
        <row r="169">
          <cell r="A169">
            <v>38749</v>
          </cell>
          <cell r="B169">
            <v>3055733</v>
          </cell>
          <cell r="C169">
            <v>3.055733</v>
          </cell>
        </row>
        <row r="170">
          <cell r="A170">
            <v>38777</v>
          </cell>
          <cell r="B170">
            <v>3482017</v>
          </cell>
          <cell r="C170">
            <v>3.4820169999999999</v>
          </cell>
        </row>
        <row r="171">
          <cell r="A171">
            <v>38808</v>
          </cell>
          <cell r="B171">
            <v>2688658</v>
          </cell>
          <cell r="C171">
            <v>2.6886580000000002</v>
          </cell>
        </row>
        <row r="172">
          <cell r="A172">
            <v>38838</v>
          </cell>
        </row>
        <row r="173">
          <cell r="A173">
            <v>38869</v>
          </cell>
        </row>
        <row r="174">
          <cell r="A174">
            <v>38899</v>
          </cell>
        </row>
        <row r="175">
          <cell r="A175">
            <v>38930</v>
          </cell>
        </row>
      </sheetData>
      <sheetData sheetId="6" refreshError="1"/>
      <sheetData sheetId="7" refreshError="1"/>
      <sheetData sheetId="8" refreshError="1"/>
      <sheetData sheetId="9" refreshError="1"/>
      <sheetData sheetId="10" refreshError="1">
        <row r="1">
          <cell r="B1" t="str">
            <v>SG: Turnover: Simex Futures and Options</v>
          </cell>
          <cell r="E1" t="str">
            <v>http://info.sgx.com/infopubdtstats.nsf/vNewdtstats/Monthly+Volume+for+futures+&amp;+options?OpenDocument</v>
          </cell>
        </row>
        <row r="2">
          <cell r="B2" t="str">
            <v>SZGM</v>
          </cell>
        </row>
        <row r="3">
          <cell r="B3" t="str">
            <v>Unit</v>
          </cell>
        </row>
        <row r="4">
          <cell r="B4" t="str">
            <v>M:   Jun-1992:   Aug-2005</v>
          </cell>
        </row>
        <row r="5">
          <cell r="A5">
            <v>33756</v>
          </cell>
          <cell r="B5">
            <v>972393</v>
          </cell>
          <cell r="C5">
            <v>0.97239299999999995</v>
          </cell>
          <cell r="O5">
            <v>37987</v>
          </cell>
          <cell r="P5">
            <v>38018</v>
          </cell>
          <cell r="Q5">
            <v>38047</v>
          </cell>
          <cell r="R5">
            <v>38078</v>
          </cell>
          <cell r="S5">
            <v>38108</v>
          </cell>
          <cell r="T5">
            <v>38139</v>
          </cell>
          <cell r="U5">
            <v>38169</v>
          </cell>
          <cell r="V5">
            <v>38200</v>
          </cell>
          <cell r="W5">
            <v>38231</v>
          </cell>
          <cell r="X5">
            <v>38261</v>
          </cell>
          <cell r="Y5">
            <v>38292</v>
          </cell>
          <cell r="Z5">
            <v>38322</v>
          </cell>
          <cell r="AA5">
            <v>38353</v>
          </cell>
          <cell r="AB5">
            <v>38384</v>
          </cell>
          <cell r="AC5">
            <v>38412</v>
          </cell>
          <cell r="AD5">
            <v>38443</v>
          </cell>
          <cell r="AE5">
            <v>38473</v>
          </cell>
          <cell r="AF5">
            <v>38504</v>
          </cell>
          <cell r="AG5">
            <v>38534</v>
          </cell>
          <cell r="AH5">
            <v>38565</v>
          </cell>
          <cell r="AI5">
            <v>38596</v>
          </cell>
          <cell r="AJ5">
            <v>38626</v>
          </cell>
          <cell r="AK5">
            <v>38657</v>
          </cell>
          <cell r="AL5">
            <v>38687</v>
          </cell>
          <cell r="AM5">
            <v>38718</v>
          </cell>
          <cell r="AN5">
            <v>38749</v>
          </cell>
          <cell r="AO5">
            <v>38777</v>
          </cell>
          <cell r="AP5">
            <v>38808</v>
          </cell>
          <cell r="AQ5">
            <v>38838</v>
          </cell>
          <cell r="AR5">
            <v>38869</v>
          </cell>
          <cell r="AS5">
            <v>38904</v>
          </cell>
          <cell r="AT5">
            <v>38939</v>
          </cell>
          <cell r="AU5">
            <v>38974</v>
          </cell>
          <cell r="AV5">
            <v>39009</v>
          </cell>
          <cell r="AW5">
            <v>39044</v>
          </cell>
        </row>
        <row r="6">
          <cell r="A6">
            <v>33786</v>
          </cell>
          <cell r="B6">
            <v>1159904</v>
          </cell>
          <cell r="C6">
            <v>1.159904</v>
          </cell>
          <cell r="N6" t="str">
            <v>Nikkei</v>
          </cell>
          <cell r="O6">
            <v>425818</v>
          </cell>
          <cell r="P6">
            <v>512964</v>
          </cell>
          <cell r="Q6">
            <v>1055766</v>
          </cell>
          <cell r="R6">
            <v>552880</v>
          </cell>
          <cell r="S6">
            <v>651203</v>
          </cell>
          <cell r="T6">
            <v>862158</v>
          </cell>
          <cell r="U6">
            <v>507073</v>
          </cell>
          <cell r="V6">
            <v>481369</v>
          </cell>
          <cell r="W6">
            <v>767261</v>
          </cell>
          <cell r="X6">
            <v>522334</v>
          </cell>
          <cell r="Y6">
            <v>569335</v>
          </cell>
          <cell r="Z6">
            <v>861514</v>
          </cell>
          <cell r="AA6">
            <v>609805</v>
          </cell>
          <cell r="AB6">
            <v>595791</v>
          </cell>
          <cell r="AC6">
            <v>1166813</v>
          </cell>
          <cell r="AD6">
            <v>862222</v>
          </cell>
          <cell r="AE6">
            <v>645622</v>
          </cell>
          <cell r="AF6">
            <v>967076</v>
          </cell>
          <cell r="AG6">
            <v>631574</v>
          </cell>
          <cell r="AH6">
            <v>1017547</v>
          </cell>
          <cell r="AI6">
            <v>1345940</v>
          </cell>
          <cell r="AJ6">
            <v>1242946</v>
          </cell>
          <cell r="AK6">
            <v>1008765</v>
          </cell>
          <cell r="AL6">
            <v>1822456</v>
          </cell>
          <cell r="AM6">
            <v>1584684</v>
          </cell>
          <cell r="AN6">
            <v>1647296</v>
          </cell>
          <cell r="AO6">
            <v>1815594</v>
          </cell>
          <cell r="AP6">
            <v>1305504</v>
          </cell>
          <cell r="AQ6">
            <v>1440464</v>
          </cell>
          <cell r="AR6">
            <v>1977870</v>
          </cell>
          <cell r="AS6">
            <v>1209862</v>
          </cell>
          <cell r="AT6">
            <v>1266981</v>
          </cell>
          <cell r="AU6">
            <v>1940992</v>
          </cell>
          <cell r="AV6">
            <v>1197915</v>
          </cell>
        </row>
        <row r="7">
          <cell r="A7">
            <v>33817</v>
          </cell>
          <cell r="B7">
            <v>1220276</v>
          </cell>
          <cell r="C7">
            <v>1.2202759999999999</v>
          </cell>
          <cell r="D7">
            <v>1.1175243333333331</v>
          </cell>
          <cell r="N7" t="str">
            <v>MSCI TW</v>
          </cell>
          <cell r="O7">
            <v>441915</v>
          </cell>
          <cell r="P7">
            <v>574213</v>
          </cell>
          <cell r="Q7">
            <v>765117</v>
          </cell>
          <cell r="R7">
            <v>622098</v>
          </cell>
          <cell r="S7">
            <v>610316</v>
          </cell>
          <cell r="T7">
            <v>592440</v>
          </cell>
          <cell r="U7">
            <v>519352</v>
          </cell>
          <cell r="V7">
            <v>506704</v>
          </cell>
          <cell r="W7">
            <v>514476</v>
          </cell>
          <cell r="X7">
            <v>572811</v>
          </cell>
          <cell r="Y7">
            <v>710068</v>
          </cell>
          <cell r="Z7">
            <v>569116</v>
          </cell>
          <cell r="AA7">
            <v>561998</v>
          </cell>
          <cell r="AB7">
            <v>496590</v>
          </cell>
          <cell r="AC7">
            <v>618327</v>
          </cell>
          <cell r="AD7">
            <v>529285</v>
          </cell>
          <cell r="AE7">
            <v>691871</v>
          </cell>
          <cell r="AF7">
            <v>816250</v>
          </cell>
          <cell r="AG7">
            <v>695121</v>
          </cell>
          <cell r="AH7">
            <v>700855</v>
          </cell>
          <cell r="AI7">
            <v>720194</v>
          </cell>
          <cell r="AJ7">
            <v>726767</v>
          </cell>
          <cell r="AK7">
            <v>807000</v>
          </cell>
          <cell r="AL7">
            <v>735944</v>
          </cell>
          <cell r="AM7">
            <v>799258</v>
          </cell>
          <cell r="AN7">
            <v>808499</v>
          </cell>
          <cell r="AO7">
            <v>891083</v>
          </cell>
          <cell r="AP7">
            <v>893104</v>
          </cell>
          <cell r="AQ7">
            <v>1042618</v>
          </cell>
          <cell r="AR7">
            <v>1083006</v>
          </cell>
          <cell r="AS7">
            <v>761896</v>
          </cell>
          <cell r="AT7">
            <v>831408</v>
          </cell>
          <cell r="AU7">
            <v>931943</v>
          </cell>
          <cell r="AV7">
            <v>869269</v>
          </cell>
        </row>
        <row r="8">
          <cell r="A8">
            <v>33848</v>
          </cell>
          <cell r="B8">
            <v>1351026</v>
          </cell>
          <cell r="C8">
            <v>1.3510260000000001</v>
          </cell>
          <cell r="D8">
            <v>1.2437353333333334</v>
          </cell>
          <cell r="N8" t="str">
            <v>Euroyen</v>
          </cell>
          <cell r="O8">
            <v>124471</v>
          </cell>
          <cell r="P8">
            <v>147193</v>
          </cell>
          <cell r="Q8">
            <v>248437</v>
          </cell>
          <cell r="R8">
            <v>166142</v>
          </cell>
          <cell r="S8">
            <v>145849</v>
          </cell>
          <cell r="T8">
            <v>435623</v>
          </cell>
          <cell r="U8">
            <v>215106</v>
          </cell>
          <cell r="V8">
            <v>257136</v>
          </cell>
          <cell r="W8">
            <v>233867</v>
          </cell>
          <cell r="X8">
            <v>169898</v>
          </cell>
          <cell r="Y8">
            <v>210071</v>
          </cell>
          <cell r="Z8">
            <v>136597</v>
          </cell>
          <cell r="AA8">
            <v>205784</v>
          </cell>
          <cell r="AB8">
            <v>180334</v>
          </cell>
          <cell r="AC8">
            <v>268240</v>
          </cell>
          <cell r="AD8">
            <v>182205</v>
          </cell>
          <cell r="AE8">
            <v>132181</v>
          </cell>
          <cell r="AF8">
            <v>206345</v>
          </cell>
          <cell r="AG8">
            <v>265967</v>
          </cell>
          <cell r="AH8">
            <v>260391</v>
          </cell>
          <cell r="AI8">
            <v>302565</v>
          </cell>
          <cell r="AJ8">
            <v>313078</v>
          </cell>
          <cell r="AK8">
            <v>263889</v>
          </cell>
          <cell r="AL8">
            <v>193937</v>
          </cell>
          <cell r="AM8">
            <v>200543</v>
          </cell>
          <cell r="AN8">
            <v>315397</v>
          </cell>
          <cell r="AO8">
            <v>397486</v>
          </cell>
          <cell r="AP8">
            <v>209254</v>
          </cell>
          <cell r="AQ8">
            <v>349103</v>
          </cell>
          <cell r="AR8">
            <v>444775</v>
          </cell>
          <cell r="AS8">
            <v>297503</v>
          </cell>
          <cell r="AT8">
            <v>311788</v>
          </cell>
          <cell r="AU8">
            <v>290786</v>
          </cell>
          <cell r="AV8">
            <v>273266</v>
          </cell>
        </row>
        <row r="9">
          <cell r="A9">
            <v>33878</v>
          </cell>
          <cell r="B9">
            <v>1268904</v>
          </cell>
          <cell r="C9">
            <v>1.268904</v>
          </cell>
          <cell r="D9">
            <v>1.2800686666666667</v>
          </cell>
          <cell r="N9" t="str">
            <v>MSCI SG</v>
          </cell>
          <cell r="O9">
            <v>121439</v>
          </cell>
          <cell r="P9">
            <v>108333</v>
          </cell>
          <cell r="Q9">
            <v>132453</v>
          </cell>
          <cell r="R9">
            <v>131935</v>
          </cell>
          <cell r="S9">
            <v>149223</v>
          </cell>
          <cell r="T9">
            <v>137843</v>
          </cell>
          <cell r="U9">
            <v>150899</v>
          </cell>
          <cell r="V9">
            <v>142825</v>
          </cell>
          <cell r="W9">
            <v>160733</v>
          </cell>
          <cell r="X9">
            <v>148688</v>
          </cell>
          <cell r="Y9">
            <v>137222</v>
          </cell>
          <cell r="Z9">
            <v>137007</v>
          </cell>
          <cell r="AA9">
            <v>124645</v>
          </cell>
          <cell r="AB9">
            <v>136955</v>
          </cell>
          <cell r="AC9">
            <v>152145</v>
          </cell>
          <cell r="AD9">
            <v>153050</v>
          </cell>
          <cell r="AE9">
            <v>136386</v>
          </cell>
          <cell r="AF9">
            <v>132431</v>
          </cell>
          <cell r="AG9">
            <v>143241</v>
          </cell>
          <cell r="AH9">
            <v>170238</v>
          </cell>
          <cell r="AI9">
            <v>148749</v>
          </cell>
          <cell r="AJ9">
            <v>165160</v>
          </cell>
          <cell r="AK9">
            <v>127604</v>
          </cell>
          <cell r="AL9">
            <v>117261</v>
          </cell>
          <cell r="AM9">
            <v>143130</v>
          </cell>
          <cell r="AN9">
            <v>144241</v>
          </cell>
          <cell r="AO9">
            <v>168899</v>
          </cell>
          <cell r="AP9">
            <v>159770</v>
          </cell>
          <cell r="AQ9">
            <v>230844</v>
          </cell>
          <cell r="AR9">
            <v>197127</v>
          </cell>
          <cell r="AS9">
            <v>178399</v>
          </cell>
          <cell r="AT9">
            <v>189359</v>
          </cell>
          <cell r="AU9">
            <v>191961</v>
          </cell>
          <cell r="AV9">
            <v>198541</v>
          </cell>
        </row>
        <row r="10">
          <cell r="A10">
            <v>33909</v>
          </cell>
          <cell r="B10">
            <v>1121146</v>
          </cell>
          <cell r="C10">
            <v>1.121146</v>
          </cell>
          <cell r="D10">
            <v>1.2470253333333334</v>
          </cell>
        </row>
        <row r="11">
          <cell r="A11">
            <v>33939</v>
          </cell>
          <cell r="B11">
            <v>865677</v>
          </cell>
          <cell r="C11">
            <v>0.86567700000000003</v>
          </cell>
          <cell r="D11">
            <v>1.0852423333333334</v>
          </cell>
        </row>
        <row r="12">
          <cell r="A12">
            <v>33970</v>
          </cell>
          <cell r="B12">
            <v>965510</v>
          </cell>
          <cell r="C12">
            <v>0.96550999999999998</v>
          </cell>
          <cell r="D12">
            <v>0.98411099999999996</v>
          </cell>
          <cell r="N12" t="str">
            <v>Nikkei</v>
          </cell>
          <cell r="O12">
            <v>0.42581799999999997</v>
          </cell>
          <cell r="P12">
            <v>0.51296399999999998</v>
          </cell>
          <cell r="Q12">
            <v>1.055766</v>
          </cell>
          <cell r="R12">
            <v>0.55288000000000004</v>
          </cell>
          <cell r="S12">
            <v>0.65120299999999998</v>
          </cell>
          <cell r="T12">
            <v>0.86215799999999998</v>
          </cell>
          <cell r="U12">
            <v>0.507073</v>
          </cell>
          <cell r="V12">
            <v>0.48136899999999999</v>
          </cell>
          <cell r="W12">
            <v>0.76726099999999997</v>
          </cell>
          <cell r="X12">
            <v>0.52233399999999996</v>
          </cell>
          <cell r="Y12">
            <v>0.56933500000000004</v>
          </cell>
          <cell r="Z12">
            <v>0.861514</v>
          </cell>
          <cell r="AA12">
            <v>0.60980500000000004</v>
          </cell>
          <cell r="AB12">
            <v>0.59579099999999996</v>
          </cell>
          <cell r="AC12">
            <v>1.1668130000000001</v>
          </cell>
          <cell r="AD12">
            <v>0.86222200000000004</v>
          </cell>
          <cell r="AE12">
            <v>0.64562200000000003</v>
          </cell>
          <cell r="AF12">
            <v>0.96707600000000005</v>
          </cell>
          <cell r="AG12">
            <v>0.63157399999999997</v>
          </cell>
          <cell r="AH12">
            <v>1.017547</v>
          </cell>
          <cell r="AI12">
            <v>1.3459399999999999</v>
          </cell>
          <cell r="AJ12">
            <v>1.2429460000000001</v>
          </cell>
          <cell r="AK12">
            <v>1.0087649999999999</v>
          </cell>
          <cell r="AL12">
            <v>1.8224560000000001</v>
          </cell>
          <cell r="AM12">
            <v>1.584684</v>
          </cell>
          <cell r="AN12">
            <v>1.6472960000000001</v>
          </cell>
          <cell r="AO12">
            <v>1.8155939999999999</v>
          </cell>
          <cell r="AP12">
            <v>1.305504</v>
          </cell>
          <cell r="AQ12">
            <v>1.440464</v>
          </cell>
          <cell r="AR12">
            <v>1.97787</v>
          </cell>
          <cell r="AS12">
            <v>1.209862</v>
          </cell>
          <cell r="AT12">
            <v>1.2669809999999999</v>
          </cell>
          <cell r="AU12">
            <v>1.9409920000000001</v>
          </cell>
          <cell r="AV12">
            <v>1.1979150000000001</v>
          </cell>
        </row>
        <row r="13">
          <cell r="A13">
            <v>34001</v>
          </cell>
          <cell r="B13">
            <v>1169159</v>
          </cell>
          <cell r="C13">
            <v>1.1691590000000001</v>
          </cell>
          <cell r="D13">
            <v>1.0001153333333332</v>
          </cell>
          <cell r="N13" t="str">
            <v>MSCI TW</v>
          </cell>
          <cell r="O13">
            <v>0.441915</v>
          </cell>
          <cell r="P13">
            <v>0.57421299999999997</v>
          </cell>
          <cell r="Q13">
            <v>0.76511700000000005</v>
          </cell>
          <cell r="R13">
            <v>0.62209800000000004</v>
          </cell>
          <cell r="S13">
            <v>0.61031599999999997</v>
          </cell>
          <cell r="T13">
            <v>0.59243999999999997</v>
          </cell>
          <cell r="U13">
            <v>0.51935200000000004</v>
          </cell>
          <cell r="V13">
            <v>0.50670400000000004</v>
          </cell>
          <cell r="W13">
            <v>0.51447600000000004</v>
          </cell>
          <cell r="X13">
            <v>0.57281099999999996</v>
          </cell>
          <cell r="Y13">
            <v>0.71006800000000003</v>
          </cell>
          <cell r="Z13">
            <v>0.56911599999999996</v>
          </cell>
          <cell r="AA13">
            <v>0.561998</v>
          </cell>
          <cell r="AB13">
            <v>0.49658999999999998</v>
          </cell>
          <cell r="AC13">
            <v>0.61832699999999996</v>
          </cell>
          <cell r="AD13">
            <v>0.52928500000000001</v>
          </cell>
          <cell r="AE13">
            <v>0.69187100000000001</v>
          </cell>
          <cell r="AF13">
            <v>0.81625000000000003</v>
          </cell>
          <cell r="AG13">
            <v>0.69512099999999999</v>
          </cell>
          <cell r="AH13">
            <v>0.70085500000000001</v>
          </cell>
          <cell r="AI13">
            <v>0.720194</v>
          </cell>
          <cell r="AJ13">
            <v>0.72676700000000005</v>
          </cell>
          <cell r="AK13">
            <v>0.80700000000000005</v>
          </cell>
          <cell r="AL13">
            <v>0.73594400000000004</v>
          </cell>
          <cell r="AM13">
            <v>0.79925800000000002</v>
          </cell>
          <cell r="AN13">
            <v>0.80849899999999997</v>
          </cell>
          <cell r="AO13">
            <v>0.89108299999999996</v>
          </cell>
          <cell r="AP13">
            <v>0.89310400000000001</v>
          </cell>
          <cell r="AQ13">
            <v>1.042618</v>
          </cell>
          <cell r="AR13">
            <v>1.0830059999999999</v>
          </cell>
          <cell r="AS13">
            <v>0.76189600000000002</v>
          </cell>
          <cell r="AT13">
            <v>0.83140800000000004</v>
          </cell>
          <cell r="AU13">
            <v>0.93194299999999997</v>
          </cell>
          <cell r="AV13">
            <v>0.86926899999999996</v>
          </cell>
        </row>
        <row r="14">
          <cell r="A14">
            <v>34029</v>
          </cell>
          <cell r="B14">
            <v>1423596</v>
          </cell>
          <cell r="C14">
            <v>1.4235960000000001</v>
          </cell>
          <cell r="D14">
            <v>1.1860883333333334</v>
          </cell>
          <cell r="N14" t="str">
            <v>Euroyen</v>
          </cell>
          <cell r="O14">
            <v>0.124471</v>
          </cell>
          <cell r="P14">
            <v>0.14719299999999999</v>
          </cell>
          <cell r="Q14">
            <v>0.24843699999999999</v>
          </cell>
          <cell r="R14">
            <v>0.16614200000000001</v>
          </cell>
          <cell r="S14">
            <v>0.14584900000000001</v>
          </cell>
          <cell r="T14">
            <v>0.43562299999999998</v>
          </cell>
          <cell r="U14">
            <v>0.21510599999999999</v>
          </cell>
          <cell r="V14">
            <v>0.25713599999999998</v>
          </cell>
          <cell r="W14">
            <v>0.23386699999999999</v>
          </cell>
          <cell r="X14">
            <v>0.16989799999999999</v>
          </cell>
          <cell r="Y14">
            <v>0.21007100000000001</v>
          </cell>
          <cell r="Z14">
            <v>0.136597</v>
          </cell>
          <cell r="AA14">
            <v>0.20578399999999999</v>
          </cell>
          <cell r="AB14">
            <v>0.18033399999999999</v>
          </cell>
          <cell r="AC14">
            <v>0.26823999999999998</v>
          </cell>
          <cell r="AD14">
            <v>0.18220500000000001</v>
          </cell>
          <cell r="AE14">
            <v>0.13218099999999999</v>
          </cell>
          <cell r="AF14">
            <v>0.206345</v>
          </cell>
          <cell r="AG14">
            <v>0.26596700000000001</v>
          </cell>
          <cell r="AH14">
            <v>0.26039099999999998</v>
          </cell>
          <cell r="AI14">
            <v>0.30256499999999997</v>
          </cell>
          <cell r="AJ14">
            <v>0.31307800000000002</v>
          </cell>
          <cell r="AK14">
            <v>0.26388899999999998</v>
          </cell>
          <cell r="AL14">
            <v>0.193937</v>
          </cell>
          <cell r="AM14">
            <v>0.200543</v>
          </cell>
          <cell r="AN14">
            <v>0.31539699999999998</v>
          </cell>
          <cell r="AO14">
            <v>0.39748600000000001</v>
          </cell>
          <cell r="AP14">
            <v>0.209254</v>
          </cell>
          <cell r="AQ14">
            <v>0.349103</v>
          </cell>
          <cell r="AR14">
            <v>0.44477499999999998</v>
          </cell>
          <cell r="AS14">
            <v>0.29750300000000002</v>
          </cell>
          <cell r="AT14">
            <v>0.31178800000000001</v>
          </cell>
          <cell r="AU14">
            <v>0.29078599999999999</v>
          </cell>
          <cell r="AV14">
            <v>0.27326600000000001</v>
          </cell>
        </row>
        <row r="15">
          <cell r="A15">
            <v>34060</v>
          </cell>
          <cell r="B15">
            <v>1172122</v>
          </cell>
          <cell r="C15">
            <v>1.1721220000000001</v>
          </cell>
          <cell r="D15">
            <v>1.2549590000000002</v>
          </cell>
          <cell r="N15" t="str">
            <v>MSCI SG</v>
          </cell>
          <cell r="O15">
            <v>0.12143900000000001</v>
          </cell>
          <cell r="P15">
            <v>0.108333</v>
          </cell>
          <cell r="Q15">
            <v>0.13245299999999999</v>
          </cell>
          <cell r="R15">
            <v>0.131935</v>
          </cell>
          <cell r="S15">
            <v>0.14922299999999999</v>
          </cell>
          <cell r="T15">
            <v>0.13784299999999999</v>
          </cell>
          <cell r="U15">
            <v>0.15089900000000001</v>
          </cell>
          <cell r="V15">
            <v>0.14282500000000001</v>
          </cell>
          <cell r="W15">
            <v>0.16073299999999999</v>
          </cell>
          <cell r="X15">
            <v>0.14868799999999999</v>
          </cell>
          <cell r="Y15">
            <v>0.13722200000000001</v>
          </cell>
          <cell r="Z15">
            <v>0.13700699999999999</v>
          </cell>
          <cell r="AA15">
            <v>0.12464500000000001</v>
          </cell>
          <cell r="AB15">
            <v>0.13695499999999999</v>
          </cell>
          <cell r="AC15">
            <v>0.152145</v>
          </cell>
          <cell r="AD15">
            <v>0.15304999999999999</v>
          </cell>
          <cell r="AE15">
            <v>0.13638600000000001</v>
          </cell>
          <cell r="AF15">
            <v>0.13243099999999999</v>
          </cell>
          <cell r="AG15">
            <v>0.14324100000000001</v>
          </cell>
          <cell r="AH15">
            <v>0.170238</v>
          </cell>
          <cell r="AI15">
            <v>0.14874899999999999</v>
          </cell>
          <cell r="AJ15">
            <v>0.16516</v>
          </cell>
          <cell r="AK15">
            <v>0.127604</v>
          </cell>
          <cell r="AL15">
            <v>0.117261</v>
          </cell>
          <cell r="AM15">
            <v>0.14313000000000001</v>
          </cell>
          <cell r="AN15">
            <v>0.14424100000000001</v>
          </cell>
          <cell r="AO15">
            <v>0.16889899999999999</v>
          </cell>
          <cell r="AP15">
            <v>0.15977</v>
          </cell>
          <cell r="AQ15">
            <v>0.23084399999999999</v>
          </cell>
          <cell r="AR15">
            <v>0.197127</v>
          </cell>
          <cell r="AS15">
            <v>0.178399</v>
          </cell>
          <cell r="AT15">
            <v>0.189359</v>
          </cell>
          <cell r="AU15">
            <v>0.19196099999999999</v>
          </cell>
          <cell r="AV15">
            <v>0.198541</v>
          </cell>
        </row>
        <row r="16">
          <cell r="A16">
            <v>34090</v>
          </cell>
          <cell r="B16">
            <v>1311590</v>
          </cell>
          <cell r="C16">
            <v>1.31159</v>
          </cell>
          <cell r="D16">
            <v>1.3024360000000001</v>
          </cell>
          <cell r="AA16">
            <v>38353</v>
          </cell>
          <cell r="AB16">
            <v>38384</v>
          </cell>
          <cell r="AC16">
            <v>38412</v>
          </cell>
          <cell r="AD16">
            <v>38443</v>
          </cell>
          <cell r="AE16">
            <v>38473</v>
          </cell>
          <cell r="AF16">
            <v>38504</v>
          </cell>
          <cell r="AG16">
            <v>38534</v>
          </cell>
          <cell r="AH16">
            <v>38565</v>
          </cell>
          <cell r="AI16">
            <v>38596</v>
          </cell>
          <cell r="AJ16">
            <v>38626</v>
          </cell>
          <cell r="AK16">
            <v>38657</v>
          </cell>
          <cell r="AL16">
            <v>38687</v>
          </cell>
          <cell r="AM16">
            <v>38718</v>
          </cell>
          <cell r="AN16">
            <v>38749</v>
          </cell>
          <cell r="AO16">
            <v>38777</v>
          </cell>
          <cell r="AP16">
            <v>38808</v>
          </cell>
          <cell r="AQ16">
            <v>38838</v>
          </cell>
          <cell r="AR16">
            <v>38869</v>
          </cell>
          <cell r="AS16">
            <v>38904</v>
          </cell>
          <cell r="AT16">
            <v>38939</v>
          </cell>
          <cell r="AU16">
            <v>38974</v>
          </cell>
        </row>
        <row r="17">
          <cell r="A17">
            <v>34121</v>
          </cell>
          <cell r="B17">
            <v>1353018</v>
          </cell>
          <cell r="C17">
            <v>1.3530180000000001</v>
          </cell>
          <cell r="D17">
            <v>1.27891</v>
          </cell>
          <cell r="Z17" t="str">
            <v>Nikkei</v>
          </cell>
          <cell r="AA17">
            <v>0.43207896331296469</v>
          </cell>
          <cell r="AB17">
            <v>0.16146747140150186</v>
          </cell>
          <cell r="AC17">
            <v>0.10518145119278333</v>
          </cell>
          <cell r="AD17">
            <v>0.55951020112863548</v>
          </cell>
          <cell r="AE17">
            <v>-8.5702922130272974E-3</v>
          </cell>
          <cell r="AF17">
            <v>0.12169231161805616</v>
          </cell>
          <cell r="AG17">
            <v>0.24552875029828058</v>
          </cell>
          <cell r="AH17">
            <v>1.1138606765288168</v>
          </cell>
          <cell r="AI17">
            <v>0.75421401583033676</v>
          </cell>
          <cell r="AJ17">
            <v>1.3796000260369801</v>
          </cell>
          <cell r="AK17">
            <v>0.7718302932368466</v>
          </cell>
          <cell r="AL17">
            <v>1.1154107768416996</v>
          </cell>
          <cell r="AM17">
            <v>1.5986733463976188</v>
          </cell>
          <cell r="AN17">
            <v>1.764889029877927</v>
          </cell>
          <cell r="AO17">
            <v>0.55602825816990387</v>
          </cell>
          <cell r="AP17">
            <v>0.51411585415357064</v>
          </cell>
          <cell r="AQ17">
            <v>1.2311259529569933</v>
          </cell>
          <cell r="AR17">
            <v>1.0452063746799629</v>
          </cell>
          <cell r="AS17">
            <v>0.9156298391004063</v>
          </cell>
          <cell r="AT17">
            <v>0.24513265726300593</v>
          </cell>
          <cell r="AU17">
            <v>0.44210886072187461</v>
          </cell>
        </row>
        <row r="18">
          <cell r="A18">
            <v>34151</v>
          </cell>
          <cell r="B18">
            <v>1132576</v>
          </cell>
          <cell r="C18">
            <v>1.132576</v>
          </cell>
          <cell r="D18">
            <v>1.2657280000000002</v>
          </cell>
          <cell r="Z18" t="str">
            <v>MSCI TW</v>
          </cell>
          <cell r="AA18">
            <v>0.27173325186970354</v>
          </cell>
          <cell r="AB18">
            <v>-0.1351815441308365</v>
          </cell>
          <cell r="AC18">
            <v>-0.19185301071600813</v>
          </cell>
          <cell r="AD18">
            <v>-0.14919353542367919</v>
          </cell>
          <cell r="AE18">
            <v>0.13362749788634076</v>
          </cell>
          <cell r="AF18">
            <v>0.37777665248801573</v>
          </cell>
          <cell r="AG18">
            <v>0.33843905482216297</v>
          </cell>
          <cell r="AH18">
            <v>0.38316452998200123</v>
          </cell>
          <cell r="AI18">
            <v>0.39985927429073476</v>
          </cell>
          <cell r="AJ18">
            <v>0.26877277147261491</v>
          </cell>
          <cell r="AK18">
            <v>0.13651086938152401</v>
          </cell>
          <cell r="AL18">
            <v>0.29313531863451381</v>
          </cell>
          <cell r="AM18">
            <v>0.4221723208979391</v>
          </cell>
          <cell r="AN18">
            <v>0.62810165327533785</v>
          </cell>
          <cell r="AO18">
            <v>0.44111934300135691</v>
          </cell>
          <cell r="AP18">
            <v>0.68737825557119514</v>
          </cell>
          <cell r="AQ18">
            <v>0.5069543310819502</v>
          </cell>
          <cell r="AR18">
            <v>0.32680673813169991</v>
          </cell>
          <cell r="AS18">
            <v>9.6062412155581534E-2</v>
          </cell>
          <cell r="AT18">
            <v>0.18627676195504073</v>
          </cell>
          <cell r="AU18">
            <v>0.29401661219060427</v>
          </cell>
        </row>
        <row r="19">
          <cell r="A19">
            <v>34182</v>
          </cell>
          <cell r="B19">
            <v>1271197</v>
          </cell>
          <cell r="C19">
            <v>1.2711969999999999</v>
          </cell>
          <cell r="D19">
            <v>1.2522636666666667</v>
          </cell>
        </row>
        <row r="20">
          <cell r="A20">
            <v>34213</v>
          </cell>
          <cell r="B20">
            <v>1404224</v>
          </cell>
          <cell r="C20">
            <v>1.4042239999999999</v>
          </cell>
          <cell r="D20">
            <v>1.2693323333333335</v>
          </cell>
          <cell r="AS20">
            <v>2.4476599999999999</v>
          </cell>
        </row>
        <row r="21">
          <cell r="A21">
            <v>34243</v>
          </cell>
          <cell r="B21">
            <v>1111849</v>
          </cell>
          <cell r="C21">
            <v>1.1118490000000001</v>
          </cell>
          <cell r="D21">
            <v>1.2624233333333335</v>
          </cell>
          <cell r="AG21">
            <v>1.735903</v>
          </cell>
          <cell r="AH21">
            <v>2.1490309999999999</v>
          </cell>
          <cell r="AI21">
            <v>2.5174479999999999</v>
          </cell>
          <cell r="AJ21">
            <v>2.4479510000000002</v>
          </cell>
          <cell r="AK21">
            <v>2.2072579999999995</v>
          </cell>
          <cell r="AL21">
            <v>2.8695980000000003</v>
          </cell>
          <cell r="AM21">
            <v>2.7276150000000006</v>
          </cell>
          <cell r="AN21">
            <v>2.9154330000000002</v>
          </cell>
          <cell r="AO21">
            <v>3.2730619999999999</v>
          </cell>
          <cell r="AP21">
            <v>2.5676320000000001</v>
          </cell>
          <cell r="AQ21">
            <v>3.0630289999999998</v>
          </cell>
          <cell r="AR21">
            <v>3.7027779999999999</v>
          </cell>
          <cell r="AS21">
            <v>29.371919999999999</v>
          </cell>
        </row>
        <row r="22">
          <cell r="A22">
            <v>34274</v>
          </cell>
          <cell r="B22">
            <v>1914749</v>
          </cell>
          <cell r="C22">
            <v>1.914749</v>
          </cell>
          <cell r="D22">
            <v>1.4769406666666667</v>
          </cell>
        </row>
        <row r="23">
          <cell r="A23">
            <v>34304</v>
          </cell>
          <cell r="B23">
            <v>1500197</v>
          </cell>
          <cell r="C23">
            <v>1.500197</v>
          </cell>
          <cell r="D23">
            <v>1.5089316666666666</v>
          </cell>
          <cell r="AR23">
            <v>32.176738</v>
          </cell>
        </row>
        <row r="24">
          <cell r="A24">
            <v>34335</v>
          </cell>
          <cell r="B24">
            <v>1728513</v>
          </cell>
          <cell r="C24">
            <v>1.728513</v>
          </cell>
          <cell r="D24">
            <v>1.7144863333333333</v>
          </cell>
        </row>
        <row r="25">
          <cell r="A25">
            <v>34366</v>
          </cell>
          <cell r="B25">
            <v>1964243</v>
          </cell>
          <cell r="C25">
            <v>1.964243</v>
          </cell>
          <cell r="D25">
            <v>1.7309843333333335</v>
          </cell>
          <cell r="AV25" t="str">
            <v>mn Futures</v>
          </cell>
        </row>
        <row r="26">
          <cell r="A26">
            <v>34394</v>
          </cell>
          <cell r="B26">
            <v>2199056</v>
          </cell>
          <cell r="C26">
            <v>2.1990560000000001</v>
          </cell>
          <cell r="D26">
            <v>1.9639373333333332</v>
          </cell>
          <cell r="AU26" t="str">
            <v>Nikkei</v>
          </cell>
          <cell r="AV26">
            <v>1.209862</v>
          </cell>
        </row>
        <row r="27">
          <cell r="A27">
            <v>34425</v>
          </cell>
          <cell r="B27">
            <v>1968171</v>
          </cell>
          <cell r="C27">
            <v>1.9681709999999999</v>
          </cell>
          <cell r="D27">
            <v>2.0438233333333335</v>
          </cell>
          <cell r="AU27" t="str">
            <v>MSCI TW</v>
          </cell>
          <cell r="AV27">
            <v>0.76189600000000002</v>
          </cell>
        </row>
        <row r="28">
          <cell r="A28">
            <v>34455</v>
          </cell>
          <cell r="B28">
            <v>2016222</v>
          </cell>
          <cell r="C28">
            <v>2.016222</v>
          </cell>
          <cell r="D28">
            <v>2.0611496666666667</v>
          </cell>
          <cell r="AU28" t="str">
            <v>Euroyen</v>
          </cell>
          <cell r="AV28">
            <v>0.29750300000000002</v>
          </cell>
        </row>
        <row r="29">
          <cell r="A29">
            <v>34486</v>
          </cell>
          <cell r="B29">
            <v>2549565</v>
          </cell>
          <cell r="C29">
            <v>2.5495649999999999</v>
          </cell>
          <cell r="D29">
            <v>2.1779860000000002</v>
          </cell>
          <cell r="AU29" t="str">
            <v>MSCI SG</v>
          </cell>
          <cell r="AV29">
            <v>0.178399</v>
          </cell>
        </row>
        <row r="30">
          <cell r="A30">
            <v>34516</v>
          </cell>
          <cell r="B30">
            <v>1640118</v>
          </cell>
          <cell r="C30">
            <v>1.640118</v>
          </cell>
          <cell r="D30">
            <v>2.068635</v>
          </cell>
          <cell r="AU30" t="str">
            <v>Total</v>
          </cell>
          <cell r="AV30">
            <v>2.4476599999999999</v>
          </cell>
        </row>
        <row r="31">
          <cell r="A31">
            <v>34547</v>
          </cell>
          <cell r="B31">
            <v>1862560</v>
          </cell>
          <cell r="C31">
            <v>1.86256</v>
          </cell>
          <cell r="D31">
            <v>2.0174143333333334</v>
          </cell>
        </row>
        <row r="32">
          <cell r="A32">
            <v>34578</v>
          </cell>
          <cell r="B32">
            <v>2035041</v>
          </cell>
          <cell r="C32">
            <v>2.0350410000000001</v>
          </cell>
          <cell r="D32">
            <v>1.8459063333333334</v>
          </cell>
          <cell r="AU32" t="str">
            <v>Nikkei and TW as % of Total</v>
          </cell>
          <cell r="AV32">
            <v>0.80556858387194297</v>
          </cell>
        </row>
        <row r="33">
          <cell r="A33">
            <v>34608</v>
          </cell>
          <cell r="B33">
            <v>1802619</v>
          </cell>
          <cell r="C33">
            <v>1.802619</v>
          </cell>
          <cell r="D33">
            <v>1.9000733333333333</v>
          </cell>
          <cell r="AU33" t="str">
            <v>$mn/mn contracts</v>
          </cell>
          <cell r="AV33">
            <v>2.7</v>
          </cell>
        </row>
        <row r="34">
          <cell r="A34">
            <v>34639</v>
          </cell>
          <cell r="B34">
            <v>2185095</v>
          </cell>
          <cell r="C34">
            <v>2.185095</v>
          </cell>
          <cell r="D34">
            <v>2.0075850000000002</v>
          </cell>
          <cell r="AU34" t="str">
            <v>Annualized derivative fees for Nikkei and TW</v>
          </cell>
          <cell r="AV34">
            <v>63.884959200000004</v>
          </cell>
        </row>
        <row r="35">
          <cell r="A35">
            <v>34669</v>
          </cell>
          <cell r="B35">
            <v>2109071</v>
          </cell>
          <cell r="C35">
            <v>2.1090710000000001</v>
          </cell>
          <cell r="D35">
            <v>2.0322616666666669</v>
          </cell>
          <cell r="AU35" t="str">
            <v>% of Derivative Profits</v>
          </cell>
          <cell r="AV35">
            <v>0.6682527112970712</v>
          </cell>
        </row>
        <row r="36">
          <cell r="A36">
            <v>34700</v>
          </cell>
          <cell r="B36">
            <v>2394132</v>
          </cell>
          <cell r="C36">
            <v>2.3941319999999999</v>
          </cell>
          <cell r="D36">
            <v>2.2294326666666668</v>
          </cell>
          <cell r="AU36" t="str">
            <v>% of Total Revenue</v>
          </cell>
          <cell r="AV36">
            <v>0.15673444357212954</v>
          </cell>
        </row>
        <row r="37">
          <cell r="A37">
            <v>34731</v>
          </cell>
          <cell r="B37">
            <v>2513218</v>
          </cell>
          <cell r="C37">
            <v>2.5132180000000002</v>
          </cell>
          <cell r="D37">
            <v>2.3388070000000001</v>
          </cell>
        </row>
        <row r="38">
          <cell r="A38">
            <v>34759</v>
          </cell>
          <cell r="B38">
            <v>2560960</v>
          </cell>
          <cell r="C38">
            <v>2.5609600000000001</v>
          </cell>
          <cell r="D38">
            <v>2.4894366666666667</v>
          </cell>
        </row>
        <row r="39">
          <cell r="A39">
            <v>34790</v>
          </cell>
          <cell r="B39">
            <v>1913459</v>
          </cell>
          <cell r="C39">
            <v>1.913459</v>
          </cell>
          <cell r="D39">
            <v>2.329212333333333</v>
          </cell>
        </row>
        <row r="40">
          <cell r="A40">
            <v>34820</v>
          </cell>
          <cell r="B40">
            <v>2178661</v>
          </cell>
          <cell r="C40">
            <v>2.178661</v>
          </cell>
          <cell r="D40">
            <v>2.2176933333333335</v>
          </cell>
        </row>
        <row r="41">
          <cell r="A41">
            <v>34851</v>
          </cell>
          <cell r="B41">
            <v>2566308</v>
          </cell>
          <cell r="C41">
            <v>2.5663079999999998</v>
          </cell>
          <cell r="D41">
            <v>2.2194759999999998</v>
          </cell>
        </row>
        <row r="42">
          <cell r="A42">
            <v>34881</v>
          </cell>
          <cell r="B42">
            <v>1747823</v>
          </cell>
          <cell r="C42">
            <v>1.7478229999999999</v>
          </cell>
          <cell r="D42">
            <v>2.1642639999999997</v>
          </cell>
        </row>
        <row r="43">
          <cell r="A43">
            <v>34912</v>
          </cell>
          <cell r="B43">
            <v>2212988</v>
          </cell>
          <cell r="C43">
            <v>2.2129880000000002</v>
          </cell>
          <cell r="D43">
            <v>2.1757063333333333</v>
          </cell>
        </row>
        <row r="44">
          <cell r="A44">
            <v>34943</v>
          </cell>
          <cell r="B44">
            <v>1905033</v>
          </cell>
          <cell r="C44">
            <v>1.905033</v>
          </cell>
          <cell r="D44">
            <v>1.9552813333333334</v>
          </cell>
        </row>
        <row r="45">
          <cell r="A45">
            <v>34973</v>
          </cell>
          <cell r="B45">
            <v>1491172</v>
          </cell>
          <cell r="C45">
            <v>1.4911719999999999</v>
          </cell>
          <cell r="D45">
            <v>1.869731</v>
          </cell>
        </row>
        <row r="46">
          <cell r="A46">
            <v>35004</v>
          </cell>
          <cell r="B46">
            <v>1525029</v>
          </cell>
          <cell r="C46">
            <v>1.525029</v>
          </cell>
          <cell r="D46">
            <v>1.6404113333333334</v>
          </cell>
        </row>
        <row r="47">
          <cell r="A47">
            <v>35034</v>
          </cell>
          <cell r="B47">
            <v>1242556</v>
          </cell>
          <cell r="C47">
            <v>1.242556</v>
          </cell>
          <cell r="D47">
            <v>1.4195856666666664</v>
          </cell>
        </row>
        <row r="48">
          <cell r="A48">
            <v>35065</v>
          </cell>
          <cell r="B48">
            <v>1779053</v>
          </cell>
          <cell r="C48">
            <v>1.779053</v>
          </cell>
          <cell r="D48">
            <v>1.5155459999999998</v>
          </cell>
        </row>
        <row r="49">
          <cell r="A49">
            <v>35096</v>
          </cell>
          <cell r="B49">
            <v>2178058</v>
          </cell>
          <cell r="C49">
            <v>2.178058</v>
          </cell>
          <cell r="D49">
            <v>1.7332223333333332</v>
          </cell>
        </row>
        <row r="50">
          <cell r="A50">
            <v>35125</v>
          </cell>
          <cell r="B50">
            <v>2200872</v>
          </cell>
          <cell r="C50">
            <v>2.2008719999999999</v>
          </cell>
          <cell r="D50">
            <v>2.0526610000000001</v>
          </cell>
        </row>
        <row r="51">
          <cell r="A51">
            <v>35156</v>
          </cell>
          <cell r="B51">
            <v>1721440</v>
          </cell>
          <cell r="C51">
            <v>1.7214400000000001</v>
          </cell>
          <cell r="D51">
            <v>2.0334566666666669</v>
          </cell>
        </row>
        <row r="52">
          <cell r="A52">
            <v>35186</v>
          </cell>
          <cell r="B52">
            <v>1905033</v>
          </cell>
          <cell r="C52">
            <v>1.905033</v>
          </cell>
          <cell r="D52">
            <v>1.9424483333333331</v>
          </cell>
        </row>
        <row r="53">
          <cell r="A53">
            <v>35217</v>
          </cell>
          <cell r="B53">
            <v>2089040</v>
          </cell>
          <cell r="C53">
            <v>2.0890399999999998</v>
          </cell>
          <cell r="D53">
            <v>1.9051709999999999</v>
          </cell>
        </row>
        <row r="54">
          <cell r="A54">
            <v>35247</v>
          </cell>
          <cell r="B54">
            <v>1887166</v>
          </cell>
          <cell r="C54">
            <v>1.8871659999999999</v>
          </cell>
          <cell r="D54">
            <v>1.960413</v>
          </cell>
        </row>
        <row r="55">
          <cell r="A55">
            <v>35278</v>
          </cell>
          <cell r="B55">
            <v>1938764</v>
          </cell>
          <cell r="C55">
            <v>1.9387639999999999</v>
          </cell>
          <cell r="D55">
            <v>1.9716566666666664</v>
          </cell>
        </row>
        <row r="56">
          <cell r="A56">
            <v>35309</v>
          </cell>
          <cell r="B56">
            <v>1811645</v>
          </cell>
          <cell r="C56">
            <v>1.8116449999999999</v>
          </cell>
          <cell r="D56">
            <v>1.8791916666666666</v>
          </cell>
        </row>
        <row r="57">
          <cell r="A57">
            <v>35339</v>
          </cell>
          <cell r="B57">
            <v>1639111</v>
          </cell>
          <cell r="C57">
            <v>1.639111</v>
          </cell>
          <cell r="D57">
            <v>1.7965066666666667</v>
          </cell>
        </row>
        <row r="58">
          <cell r="A58">
            <v>35370</v>
          </cell>
          <cell r="B58">
            <v>1766369</v>
          </cell>
          <cell r="C58">
            <v>1.7663690000000001</v>
          </cell>
          <cell r="D58">
            <v>1.7390416666666668</v>
          </cell>
        </row>
        <row r="59">
          <cell r="A59">
            <v>35400</v>
          </cell>
          <cell r="B59">
            <v>1651994</v>
          </cell>
          <cell r="C59">
            <v>1.651994</v>
          </cell>
          <cell r="D59">
            <v>1.6858246666666667</v>
          </cell>
        </row>
        <row r="60">
          <cell r="A60">
            <v>35431</v>
          </cell>
          <cell r="B60">
            <v>1719389</v>
          </cell>
          <cell r="C60">
            <v>1.7193890000000001</v>
          </cell>
          <cell r="D60">
            <v>1.7125840000000003</v>
          </cell>
        </row>
        <row r="61">
          <cell r="A61">
            <v>35462</v>
          </cell>
          <cell r="B61">
            <v>1408144</v>
          </cell>
          <cell r="C61">
            <v>1.4081440000000001</v>
          </cell>
          <cell r="D61">
            <v>1.5931756666666665</v>
          </cell>
        </row>
        <row r="62">
          <cell r="A62">
            <v>35490</v>
          </cell>
          <cell r="B62">
            <v>2094096</v>
          </cell>
          <cell r="C62">
            <v>2.094096</v>
          </cell>
          <cell r="D62">
            <v>1.740543</v>
          </cell>
        </row>
        <row r="63">
          <cell r="A63">
            <v>35521</v>
          </cell>
          <cell r="B63">
            <v>1902189</v>
          </cell>
          <cell r="C63">
            <v>1.9021889999999999</v>
          </cell>
          <cell r="D63">
            <v>1.8014763333333335</v>
          </cell>
        </row>
        <row r="64">
          <cell r="A64">
            <v>35551</v>
          </cell>
          <cell r="B64">
            <v>2458937</v>
          </cell>
          <cell r="C64">
            <v>2.4589370000000002</v>
          </cell>
          <cell r="D64">
            <v>2.1517406666666665</v>
          </cell>
        </row>
        <row r="65">
          <cell r="A65">
            <v>35582</v>
          </cell>
          <cell r="B65">
            <v>2078379</v>
          </cell>
          <cell r="C65">
            <v>2.078379</v>
          </cell>
          <cell r="D65">
            <v>2.146501666666667</v>
          </cell>
        </row>
        <row r="66">
          <cell r="A66">
            <v>35612</v>
          </cell>
          <cell r="B66">
            <v>1766665</v>
          </cell>
          <cell r="C66">
            <v>1.7666649999999999</v>
          </cell>
          <cell r="D66">
            <v>2.1013269999999999</v>
          </cell>
        </row>
        <row r="67">
          <cell r="A67">
            <v>35643</v>
          </cell>
          <cell r="B67">
            <v>2068266</v>
          </cell>
          <cell r="C67">
            <v>2.0682659999999999</v>
          </cell>
          <cell r="D67">
            <v>1.971103333333333</v>
          </cell>
        </row>
        <row r="68">
          <cell r="A68">
            <v>35674</v>
          </cell>
          <cell r="B68">
            <v>1976284</v>
          </cell>
          <cell r="C68">
            <v>1.9762839999999999</v>
          </cell>
          <cell r="D68">
            <v>1.9370716666666665</v>
          </cell>
        </row>
        <row r="69">
          <cell r="A69">
            <v>35704</v>
          </cell>
          <cell r="B69">
            <v>2546263</v>
          </cell>
          <cell r="C69">
            <v>2.5462630000000002</v>
          </cell>
          <cell r="D69">
            <v>2.1969376666666669</v>
          </cell>
        </row>
        <row r="70">
          <cell r="A70">
            <v>35735</v>
          </cell>
          <cell r="B70">
            <v>2150415</v>
          </cell>
          <cell r="C70">
            <v>2.1504150000000002</v>
          </cell>
          <cell r="D70">
            <v>2.2243206666666668</v>
          </cell>
        </row>
        <row r="71">
          <cell r="A71">
            <v>35765</v>
          </cell>
          <cell r="B71">
            <v>1921258</v>
          </cell>
          <cell r="C71">
            <v>1.9212579999999999</v>
          </cell>
          <cell r="D71">
            <v>2.2059786666666668</v>
          </cell>
        </row>
        <row r="72">
          <cell r="A72">
            <v>35796</v>
          </cell>
          <cell r="B72">
            <v>2135408</v>
          </cell>
          <cell r="C72">
            <v>2.135408</v>
          </cell>
          <cell r="D72">
            <v>2.0690270000000002</v>
          </cell>
        </row>
        <row r="73">
          <cell r="A73">
            <v>35827</v>
          </cell>
          <cell r="B73">
            <v>1977369</v>
          </cell>
          <cell r="C73">
            <v>1.9773689999999999</v>
          </cell>
          <cell r="D73">
            <v>2.0113449999999999</v>
          </cell>
        </row>
        <row r="74">
          <cell r="A74">
            <v>35855</v>
          </cell>
          <cell r="B74">
            <v>2345887</v>
          </cell>
          <cell r="C74">
            <v>2.3458869999999998</v>
          </cell>
          <cell r="D74">
            <v>2.1528879999999995</v>
          </cell>
        </row>
        <row r="75">
          <cell r="A75">
            <v>35886</v>
          </cell>
          <cell r="B75">
            <v>2042076</v>
          </cell>
          <cell r="C75">
            <v>2.0420759999999998</v>
          </cell>
          <cell r="D75">
            <v>2.1217773333333332</v>
          </cell>
        </row>
        <row r="76">
          <cell r="A76">
            <v>35916</v>
          </cell>
          <cell r="B76">
            <v>1954543</v>
          </cell>
          <cell r="C76">
            <v>1.9545429999999999</v>
          </cell>
          <cell r="D76">
            <v>2.1141686666666666</v>
          </cell>
        </row>
        <row r="77">
          <cell r="A77">
            <v>35947</v>
          </cell>
          <cell r="B77">
            <v>2873544</v>
          </cell>
          <cell r="C77">
            <v>2.8735439999999999</v>
          </cell>
          <cell r="D77">
            <v>2.2900543333333334</v>
          </cell>
        </row>
        <row r="78">
          <cell r="A78">
            <v>35977</v>
          </cell>
          <cell r="B78">
            <v>1927165</v>
          </cell>
          <cell r="C78">
            <v>1.927165</v>
          </cell>
          <cell r="D78">
            <v>2.2517506666666667</v>
          </cell>
        </row>
        <row r="79">
          <cell r="A79">
            <v>36008</v>
          </cell>
          <cell r="B79">
            <v>2559881</v>
          </cell>
          <cell r="C79">
            <v>2.5598809999999999</v>
          </cell>
          <cell r="D79">
            <v>2.4535299999999998</v>
          </cell>
        </row>
        <row r="80">
          <cell r="A80">
            <v>36039</v>
          </cell>
          <cell r="B80">
            <v>3180314</v>
          </cell>
          <cell r="C80">
            <v>3.1803140000000001</v>
          </cell>
          <cell r="D80">
            <v>2.5557866666666667</v>
          </cell>
        </row>
        <row r="81">
          <cell r="A81">
            <v>36069</v>
          </cell>
          <cell r="B81">
            <v>2924604</v>
          </cell>
          <cell r="C81">
            <v>2.924604</v>
          </cell>
          <cell r="D81">
            <v>2.8882663333333336</v>
          </cell>
        </row>
        <row r="82">
          <cell r="A82">
            <v>36100</v>
          </cell>
          <cell r="B82">
            <v>2136008</v>
          </cell>
          <cell r="C82">
            <v>2.1360079999999999</v>
          </cell>
          <cell r="D82">
            <v>2.7469753333333333</v>
          </cell>
        </row>
        <row r="83">
          <cell r="A83">
            <v>36130</v>
          </cell>
          <cell r="B83">
            <v>1804363</v>
          </cell>
          <cell r="C83">
            <v>1.8043629999999999</v>
          </cell>
          <cell r="D83">
            <v>2.2883249999999999</v>
          </cell>
        </row>
        <row r="84">
          <cell r="A84">
            <v>36161</v>
          </cell>
          <cell r="B84">
            <v>1882274</v>
          </cell>
          <cell r="C84">
            <v>1.882274</v>
          </cell>
          <cell r="D84">
            <v>1.9408816666666666</v>
          </cell>
        </row>
        <row r="85">
          <cell r="A85">
            <v>36192</v>
          </cell>
          <cell r="B85">
            <v>1988551</v>
          </cell>
          <cell r="C85">
            <v>1.988551</v>
          </cell>
          <cell r="D85">
            <v>1.8917293333333334</v>
          </cell>
        </row>
        <row r="86">
          <cell r="A86">
            <v>36220</v>
          </cell>
          <cell r="B86">
            <v>2576511</v>
          </cell>
          <cell r="C86">
            <v>2.576511</v>
          </cell>
          <cell r="D86">
            <v>2.1491120000000001</v>
          </cell>
        </row>
        <row r="87">
          <cell r="A87">
            <v>36251</v>
          </cell>
          <cell r="B87">
            <v>1766518</v>
          </cell>
          <cell r="C87">
            <v>1.766518</v>
          </cell>
          <cell r="D87">
            <v>2.1105266666666669</v>
          </cell>
        </row>
        <row r="88">
          <cell r="A88">
            <v>36281</v>
          </cell>
          <cell r="B88">
            <v>1873902</v>
          </cell>
          <cell r="C88">
            <v>1.873902</v>
          </cell>
          <cell r="D88">
            <v>2.0723103333333333</v>
          </cell>
        </row>
        <row r="89">
          <cell r="A89">
            <v>36312</v>
          </cell>
          <cell r="B89">
            <v>3243192</v>
          </cell>
          <cell r="C89">
            <v>3.2431920000000001</v>
          </cell>
          <cell r="D89">
            <v>2.294537333333333</v>
          </cell>
        </row>
        <row r="90">
          <cell r="A90">
            <v>36342</v>
          </cell>
          <cell r="B90">
            <v>2275615</v>
          </cell>
          <cell r="C90">
            <v>2.2756150000000002</v>
          </cell>
          <cell r="D90">
            <v>2.4642363333333335</v>
          </cell>
        </row>
        <row r="91">
          <cell r="A91">
            <v>36373</v>
          </cell>
          <cell r="B91">
            <v>2304577</v>
          </cell>
          <cell r="C91">
            <v>2.3045770000000001</v>
          </cell>
          <cell r="D91">
            <v>2.6077946666666669</v>
          </cell>
        </row>
        <row r="92">
          <cell r="A92">
            <v>36404</v>
          </cell>
          <cell r="B92">
            <v>2575999</v>
          </cell>
          <cell r="C92">
            <v>2.5759989999999999</v>
          </cell>
          <cell r="D92">
            <v>2.3853969999999998</v>
          </cell>
        </row>
        <row r="93">
          <cell r="A93">
            <v>36434</v>
          </cell>
          <cell r="B93">
            <v>1897418</v>
          </cell>
          <cell r="C93">
            <v>1.897418</v>
          </cell>
          <cell r="D93">
            <v>2.2593313333333334</v>
          </cell>
        </row>
        <row r="94">
          <cell r="A94">
            <v>36465</v>
          </cell>
          <cell r="B94">
            <v>1885653</v>
          </cell>
          <cell r="C94">
            <v>1.885653</v>
          </cell>
          <cell r="D94">
            <v>2.1196899999999999</v>
          </cell>
        </row>
        <row r="95">
          <cell r="A95">
            <v>36495</v>
          </cell>
          <cell r="B95">
            <v>1592980</v>
          </cell>
          <cell r="C95">
            <v>1.5929800000000001</v>
          </cell>
          <cell r="D95">
            <v>1.7920170000000002</v>
          </cell>
        </row>
        <row r="96">
          <cell r="A96">
            <v>36526</v>
          </cell>
          <cell r="B96">
            <v>2334573</v>
          </cell>
          <cell r="C96">
            <v>2.3345729999999998</v>
          </cell>
          <cell r="D96">
            <v>1.9377353333333334</v>
          </cell>
        </row>
        <row r="97">
          <cell r="A97">
            <v>36557</v>
          </cell>
          <cell r="B97">
            <v>2016239</v>
          </cell>
          <cell r="C97">
            <v>2.0162390000000001</v>
          </cell>
          <cell r="D97">
            <v>1.9812640000000001</v>
          </cell>
        </row>
        <row r="98">
          <cell r="A98">
            <v>36586</v>
          </cell>
          <cell r="B98">
            <v>2643809</v>
          </cell>
          <cell r="C98">
            <v>2.6438090000000001</v>
          </cell>
          <cell r="D98">
            <v>2.3315403333333333</v>
          </cell>
        </row>
        <row r="99">
          <cell r="A99">
            <v>36617</v>
          </cell>
          <cell r="B99">
            <v>2477504</v>
          </cell>
          <cell r="C99">
            <v>2.4775040000000002</v>
          </cell>
          <cell r="D99">
            <v>2.379184</v>
          </cell>
        </row>
        <row r="100">
          <cell r="A100">
            <v>36647</v>
          </cell>
          <cell r="B100">
            <v>2524376</v>
          </cell>
          <cell r="C100">
            <v>2.5243760000000002</v>
          </cell>
          <cell r="D100">
            <v>2.5485630000000001</v>
          </cell>
        </row>
        <row r="101">
          <cell r="A101">
            <v>36678</v>
          </cell>
          <cell r="B101">
            <v>2647505</v>
          </cell>
          <cell r="C101">
            <v>2.6475050000000002</v>
          </cell>
          <cell r="D101">
            <v>2.549795</v>
          </cell>
        </row>
        <row r="102">
          <cell r="A102">
            <v>36708</v>
          </cell>
          <cell r="B102">
            <v>1950176</v>
          </cell>
          <cell r="C102">
            <v>1.9501759999999999</v>
          </cell>
          <cell r="D102">
            <v>2.3740190000000001</v>
          </cell>
        </row>
        <row r="103">
          <cell r="A103">
            <v>36739</v>
          </cell>
          <cell r="B103">
            <v>2292919</v>
          </cell>
          <cell r="C103">
            <v>2.2929189999999999</v>
          </cell>
          <cell r="D103">
            <v>2.2968666666666664</v>
          </cell>
        </row>
        <row r="104">
          <cell r="A104">
            <v>36770</v>
          </cell>
          <cell r="B104">
            <v>2532624</v>
          </cell>
          <cell r="C104">
            <v>2.5326240000000002</v>
          </cell>
          <cell r="D104">
            <v>2.2585730000000002</v>
          </cell>
        </row>
        <row r="105">
          <cell r="A105">
            <v>36800</v>
          </cell>
          <cell r="B105">
            <v>1950179</v>
          </cell>
          <cell r="C105">
            <v>1.9501790000000001</v>
          </cell>
          <cell r="D105">
            <v>2.2585739999999999</v>
          </cell>
        </row>
        <row r="106">
          <cell r="A106">
            <v>36831</v>
          </cell>
          <cell r="B106">
            <v>1877994</v>
          </cell>
          <cell r="C106">
            <v>1.8779939999999999</v>
          </cell>
          <cell r="D106">
            <v>2.120265666666667</v>
          </cell>
        </row>
        <row r="107">
          <cell r="A107">
            <v>36861</v>
          </cell>
          <cell r="B107">
            <v>2324066</v>
          </cell>
          <cell r="C107">
            <v>2.3240660000000002</v>
          </cell>
          <cell r="D107">
            <v>2.0507463333333331</v>
          </cell>
        </row>
        <row r="108">
          <cell r="A108">
            <v>36892</v>
          </cell>
          <cell r="B108">
            <v>2465832</v>
          </cell>
          <cell r="C108">
            <v>2.4658319999999998</v>
          </cell>
          <cell r="D108">
            <v>2.2226306666666669</v>
          </cell>
        </row>
        <row r="109">
          <cell r="A109">
            <v>36923</v>
          </cell>
          <cell r="B109">
            <v>2293679</v>
          </cell>
          <cell r="C109">
            <v>2.293679</v>
          </cell>
          <cell r="D109">
            <v>2.3611923333333333</v>
          </cell>
        </row>
        <row r="110">
          <cell r="A110">
            <v>36951</v>
          </cell>
          <cell r="B110">
            <v>3009471</v>
          </cell>
          <cell r="C110">
            <v>3.009471</v>
          </cell>
          <cell r="D110">
            <v>2.5896606666666666</v>
          </cell>
        </row>
        <row r="111">
          <cell r="A111">
            <v>36982</v>
          </cell>
          <cell r="B111">
            <v>2512370</v>
          </cell>
          <cell r="C111">
            <v>2.5123700000000002</v>
          </cell>
          <cell r="D111">
            <v>2.6051733333333336</v>
          </cell>
        </row>
        <row r="112">
          <cell r="A112">
            <v>37012</v>
          </cell>
          <cell r="B112">
            <v>2230905</v>
          </cell>
          <cell r="C112">
            <v>2.2309049999999999</v>
          </cell>
          <cell r="D112">
            <v>2.5842486666666669</v>
          </cell>
        </row>
        <row r="113">
          <cell r="A113">
            <v>37043</v>
          </cell>
          <cell r="B113">
            <v>2616572</v>
          </cell>
          <cell r="C113">
            <v>2.6165720000000001</v>
          </cell>
          <cell r="D113">
            <v>2.4532823333333336</v>
          </cell>
        </row>
        <row r="114">
          <cell r="A114">
            <v>37073</v>
          </cell>
          <cell r="B114">
            <v>2155944</v>
          </cell>
          <cell r="C114">
            <v>2.1559439999999999</v>
          </cell>
          <cell r="D114">
            <v>2.3344736666666663</v>
          </cell>
        </row>
        <row r="115">
          <cell r="A115">
            <v>37104</v>
          </cell>
          <cell r="B115">
            <v>2476105</v>
          </cell>
          <cell r="C115">
            <v>2.476105</v>
          </cell>
          <cell r="D115">
            <v>2.416207</v>
          </cell>
        </row>
        <row r="116">
          <cell r="A116">
            <v>37135</v>
          </cell>
          <cell r="B116">
            <v>3353661</v>
          </cell>
          <cell r="C116">
            <v>3.3536609999999998</v>
          </cell>
          <cell r="D116">
            <v>2.6619033333333335</v>
          </cell>
        </row>
        <row r="117">
          <cell r="A117">
            <v>37165</v>
          </cell>
          <cell r="B117">
            <v>2385536</v>
          </cell>
          <cell r="C117">
            <v>2.3855360000000001</v>
          </cell>
          <cell r="D117">
            <v>2.7384339999999998</v>
          </cell>
        </row>
        <row r="118">
          <cell r="A118">
            <v>37196</v>
          </cell>
          <cell r="B118">
            <v>3372838</v>
          </cell>
          <cell r="C118">
            <v>3.3728379999999998</v>
          </cell>
          <cell r="D118">
            <v>3.0373449999999997</v>
          </cell>
        </row>
        <row r="119">
          <cell r="A119">
            <v>37226</v>
          </cell>
          <cell r="B119">
            <v>2116949</v>
          </cell>
          <cell r="C119">
            <v>2.116949</v>
          </cell>
          <cell r="D119">
            <v>2.6251076666666666</v>
          </cell>
        </row>
        <row r="120">
          <cell r="A120">
            <v>37257</v>
          </cell>
          <cell r="B120">
            <v>2581566</v>
          </cell>
          <cell r="C120">
            <v>2.581566</v>
          </cell>
          <cell r="D120">
            <v>2.6904509999999999</v>
          </cell>
        </row>
        <row r="121">
          <cell r="A121">
            <v>37288</v>
          </cell>
          <cell r="B121">
            <v>2086294</v>
          </cell>
          <cell r="C121">
            <v>2.0862940000000001</v>
          </cell>
          <cell r="D121">
            <v>2.2616030000000005</v>
          </cell>
        </row>
        <row r="122">
          <cell r="A122">
            <v>37316</v>
          </cell>
          <cell r="B122">
            <v>2634570</v>
          </cell>
          <cell r="C122">
            <v>2.6345700000000001</v>
          </cell>
          <cell r="D122">
            <v>2.4341433333333335</v>
          </cell>
        </row>
        <row r="123">
          <cell r="A123">
            <v>37347</v>
          </cell>
          <cell r="B123">
            <v>2432488</v>
          </cell>
          <cell r="C123">
            <v>2.4324880000000002</v>
          </cell>
          <cell r="D123">
            <v>2.3844506666666669</v>
          </cell>
        </row>
        <row r="124">
          <cell r="A124">
            <v>37377</v>
          </cell>
          <cell r="B124">
            <v>2834496</v>
          </cell>
          <cell r="C124">
            <v>2.8344960000000001</v>
          </cell>
          <cell r="D124">
            <v>2.6338513333333338</v>
          </cell>
        </row>
        <row r="125">
          <cell r="A125">
            <v>37408</v>
          </cell>
          <cell r="B125">
            <v>3048809</v>
          </cell>
          <cell r="C125">
            <v>3.0488089999999999</v>
          </cell>
          <cell r="D125">
            <v>2.7719310000000004</v>
          </cell>
        </row>
        <row r="126">
          <cell r="A126">
            <v>37438</v>
          </cell>
          <cell r="B126">
            <v>3611883</v>
          </cell>
          <cell r="C126">
            <v>3.6118830000000002</v>
          </cell>
          <cell r="D126">
            <v>3.165062666666667</v>
          </cell>
        </row>
        <row r="127">
          <cell r="A127">
            <v>37469</v>
          </cell>
          <cell r="B127">
            <v>3039500</v>
          </cell>
          <cell r="C127">
            <v>3.0394999999999999</v>
          </cell>
          <cell r="D127">
            <v>3.233397333333333</v>
          </cell>
        </row>
        <row r="128">
          <cell r="A128">
            <v>37500</v>
          </cell>
          <cell r="B128">
            <v>3236923</v>
          </cell>
          <cell r="C128">
            <v>3.236923</v>
          </cell>
          <cell r="D128">
            <v>3.2961019999999999</v>
          </cell>
        </row>
        <row r="129">
          <cell r="A129">
            <v>37530</v>
          </cell>
          <cell r="B129">
            <v>3317764</v>
          </cell>
          <cell r="C129">
            <v>3.3177639999999999</v>
          </cell>
          <cell r="D129">
            <v>3.1980623333333331</v>
          </cell>
        </row>
        <row r="130">
          <cell r="A130">
            <v>37561</v>
          </cell>
          <cell r="B130">
            <v>2317397</v>
          </cell>
          <cell r="C130">
            <v>2.3173970000000002</v>
          </cell>
          <cell r="D130">
            <v>2.9573613333333331</v>
          </cell>
        </row>
        <row r="131">
          <cell r="A131">
            <v>37591</v>
          </cell>
          <cell r="B131">
            <v>1745705</v>
          </cell>
          <cell r="C131">
            <v>1.7457050000000001</v>
          </cell>
          <cell r="D131">
            <v>2.4602886666666666</v>
          </cell>
        </row>
        <row r="132">
          <cell r="A132">
            <v>37622</v>
          </cell>
          <cell r="B132">
            <v>2374374</v>
          </cell>
          <cell r="C132">
            <v>2.374374</v>
          </cell>
          <cell r="D132">
            <v>2.1458253333333333</v>
          </cell>
        </row>
        <row r="133">
          <cell r="A133">
            <v>37653</v>
          </cell>
          <cell r="B133">
            <v>2153565</v>
          </cell>
          <cell r="C133">
            <v>2.153565</v>
          </cell>
          <cell r="D133">
            <v>2.0912146666666671</v>
          </cell>
        </row>
        <row r="134">
          <cell r="A134">
            <v>37681</v>
          </cell>
          <cell r="B134">
            <v>3563849</v>
          </cell>
          <cell r="C134">
            <v>3.5638489999999998</v>
          </cell>
          <cell r="D134">
            <v>2.6972626666666666</v>
          </cell>
        </row>
        <row r="135">
          <cell r="A135">
            <v>37712</v>
          </cell>
          <cell r="B135">
            <v>2960226</v>
          </cell>
          <cell r="C135">
            <v>2.960226</v>
          </cell>
          <cell r="D135">
            <v>2.8925466666666666</v>
          </cell>
        </row>
        <row r="136">
          <cell r="A136">
            <v>37742</v>
          </cell>
          <cell r="B136">
            <v>2859670</v>
          </cell>
          <cell r="C136">
            <v>2.8596699999999999</v>
          </cell>
          <cell r="D136">
            <v>3.1279149999999998</v>
          </cell>
        </row>
        <row r="137">
          <cell r="A137">
            <v>37773</v>
          </cell>
          <cell r="B137">
            <v>3733596</v>
          </cell>
          <cell r="C137">
            <v>3.7335959999999999</v>
          </cell>
          <cell r="D137">
            <v>3.1844973333333333</v>
          </cell>
        </row>
        <row r="138">
          <cell r="A138">
            <v>37803</v>
          </cell>
          <cell r="B138">
            <v>3097973</v>
          </cell>
          <cell r="C138">
            <v>3.0979730000000001</v>
          </cell>
          <cell r="D138">
            <v>3.230413</v>
          </cell>
        </row>
        <row r="139">
          <cell r="A139">
            <v>37834</v>
          </cell>
          <cell r="B139">
            <v>3240762</v>
          </cell>
          <cell r="C139">
            <v>3.2407620000000001</v>
          </cell>
          <cell r="D139">
            <v>3.3574436666666667</v>
          </cell>
        </row>
        <row r="140">
          <cell r="A140">
            <v>37865</v>
          </cell>
          <cell r="B140">
            <v>3340825</v>
          </cell>
          <cell r="C140">
            <v>3.3408250000000002</v>
          </cell>
          <cell r="D140">
            <v>3.2265200000000003</v>
          </cell>
        </row>
        <row r="141">
          <cell r="A141">
            <v>37895</v>
          </cell>
          <cell r="B141">
            <v>3360324</v>
          </cell>
          <cell r="C141">
            <v>3.3603239999999999</v>
          </cell>
          <cell r="D141">
            <v>3.3139703333333337</v>
          </cell>
        </row>
        <row r="142">
          <cell r="A142">
            <v>37926</v>
          </cell>
          <cell r="B142">
            <v>2503057</v>
          </cell>
          <cell r="C142">
            <v>2.5030570000000001</v>
          </cell>
          <cell r="D142">
            <v>3.0680686666666666</v>
          </cell>
        </row>
        <row r="143">
          <cell r="A143">
            <v>37956</v>
          </cell>
          <cell r="B143">
            <v>2460003</v>
          </cell>
          <cell r="C143">
            <v>2.4600029999999999</v>
          </cell>
          <cell r="D143">
            <v>2.7744613333333334</v>
          </cell>
        </row>
        <row r="144">
          <cell r="A144">
            <v>37987</v>
          </cell>
          <cell r="B144">
            <v>2324708</v>
          </cell>
          <cell r="C144">
            <v>2.3247080000000002</v>
          </cell>
          <cell r="D144">
            <v>2.4292560000000001</v>
          </cell>
        </row>
        <row r="145">
          <cell r="A145">
            <v>38018</v>
          </cell>
          <cell r="B145">
            <v>2544571</v>
          </cell>
          <cell r="C145">
            <v>2.5445709999999999</v>
          </cell>
          <cell r="D145">
            <v>2.4430939999999999</v>
          </cell>
        </row>
        <row r="146">
          <cell r="A146">
            <v>38047</v>
          </cell>
          <cell r="B146">
            <v>3597744</v>
          </cell>
          <cell r="C146">
            <v>3.5977440000000001</v>
          </cell>
          <cell r="D146">
            <v>2.8223410000000002</v>
          </cell>
        </row>
        <row r="147">
          <cell r="A147">
            <v>38078</v>
          </cell>
          <cell r="B147">
            <v>2871843</v>
          </cell>
          <cell r="C147">
            <v>2.8718430000000001</v>
          </cell>
          <cell r="D147">
            <v>3.0047193333333335</v>
          </cell>
        </row>
        <row r="148">
          <cell r="A148">
            <v>38108</v>
          </cell>
          <cell r="B148">
            <v>2601421</v>
          </cell>
          <cell r="C148">
            <v>2.6014210000000002</v>
          </cell>
          <cell r="D148">
            <v>3.0236693333333338</v>
          </cell>
        </row>
        <row r="149">
          <cell r="A149">
            <v>38139</v>
          </cell>
          <cell r="B149">
            <v>3013607</v>
          </cell>
          <cell r="C149">
            <v>3.0136069999999999</v>
          </cell>
          <cell r="D149">
            <v>2.8289570000000004</v>
          </cell>
        </row>
        <row r="150">
          <cell r="A150">
            <v>38169</v>
          </cell>
          <cell r="B150">
            <v>2000725</v>
          </cell>
          <cell r="C150">
            <v>2.0007250000000001</v>
          </cell>
          <cell r="D150">
            <v>2.5385843333333336</v>
          </cell>
        </row>
        <row r="151">
          <cell r="A151">
            <v>38200</v>
          </cell>
          <cell r="B151">
            <v>1944938</v>
          </cell>
          <cell r="C151">
            <v>1.9449380000000001</v>
          </cell>
          <cell r="D151">
            <v>2.3197566666666667</v>
          </cell>
        </row>
        <row r="152">
          <cell r="A152">
            <v>38231</v>
          </cell>
          <cell r="B152">
            <v>2142693</v>
          </cell>
          <cell r="C152">
            <v>2.142693</v>
          </cell>
          <cell r="D152">
            <v>2.029452</v>
          </cell>
        </row>
        <row r="153">
          <cell r="A153">
            <v>38261</v>
          </cell>
          <cell r="B153">
            <v>1685749</v>
          </cell>
          <cell r="C153">
            <v>1.6857489999999999</v>
          </cell>
          <cell r="D153">
            <v>1.9244599999999998</v>
          </cell>
        </row>
        <row r="154">
          <cell r="A154">
            <v>38292</v>
          </cell>
          <cell r="B154">
            <v>1810829</v>
          </cell>
          <cell r="C154">
            <v>1.810829</v>
          </cell>
          <cell r="D154">
            <v>1.8797569999999999</v>
          </cell>
        </row>
        <row r="155">
          <cell r="A155">
            <v>38322</v>
          </cell>
          <cell r="B155">
            <v>1879956</v>
          </cell>
          <cell r="C155">
            <v>1.879956</v>
          </cell>
          <cell r="D155">
            <v>1.7921779999999998</v>
          </cell>
        </row>
        <row r="156">
          <cell r="A156">
            <v>38353</v>
          </cell>
          <cell r="B156">
            <v>1600922</v>
          </cell>
          <cell r="C156">
            <v>1.600922</v>
          </cell>
          <cell r="D156">
            <v>1.7639023333333332</v>
          </cell>
        </row>
        <row r="157">
          <cell r="A157">
            <v>38384</v>
          </cell>
          <cell r="B157">
            <v>1495529</v>
          </cell>
          <cell r="C157">
            <v>1.4955290000000001</v>
          </cell>
          <cell r="D157">
            <v>1.6588023333333333</v>
          </cell>
        </row>
        <row r="158">
          <cell r="A158">
            <v>38412</v>
          </cell>
          <cell r="B158">
            <v>2381702</v>
          </cell>
          <cell r="C158">
            <v>2.3817020000000002</v>
          </cell>
          <cell r="D158">
            <v>1.8260510000000003</v>
          </cell>
        </row>
        <row r="159">
          <cell r="A159">
            <v>38443</v>
          </cell>
          <cell r="B159">
            <v>1811936</v>
          </cell>
          <cell r="C159">
            <v>1.811936</v>
          </cell>
          <cell r="D159">
            <v>1.8963890000000001</v>
          </cell>
        </row>
        <row r="160">
          <cell r="A160">
            <v>38473</v>
          </cell>
          <cell r="B160">
            <v>1684686</v>
          </cell>
          <cell r="C160">
            <v>1.6846859999999999</v>
          </cell>
          <cell r="D160">
            <v>1.9594413333333334</v>
          </cell>
        </row>
        <row r="161">
          <cell r="A161">
            <v>38504</v>
          </cell>
          <cell r="B161">
            <v>2335947</v>
          </cell>
          <cell r="C161">
            <v>2.335947</v>
          </cell>
          <cell r="D161">
            <v>1.9441896666666665</v>
          </cell>
        </row>
        <row r="162">
          <cell r="A162">
            <v>38534</v>
          </cell>
          <cell r="B162">
            <v>1829364</v>
          </cell>
          <cell r="C162">
            <v>1.829364</v>
          </cell>
          <cell r="D162">
            <v>1.949999</v>
          </cell>
        </row>
        <row r="163">
          <cell r="A163">
            <v>38565</v>
          </cell>
          <cell r="B163">
            <v>2260104</v>
          </cell>
          <cell r="C163">
            <v>2.2601040000000001</v>
          </cell>
          <cell r="D163">
            <v>2.1418050000000002</v>
          </cell>
        </row>
      </sheetData>
      <sheetData sheetId="11" refreshError="1"/>
      <sheetData sheetId="12" refreshError="1">
        <row r="1">
          <cell r="A1" t="str">
            <v>SGX: GDP YoY vs. P/E</v>
          </cell>
        </row>
        <row r="3">
          <cell r="B3" t="str">
            <v>GDP</v>
          </cell>
          <cell r="C3" t="str">
            <v>GDP YoY (LS)</v>
          </cell>
          <cell r="D3" t="str">
            <v>Price</v>
          </cell>
          <cell r="E3" t="str">
            <v>Price YoY (RS)</v>
          </cell>
          <cell r="G3" t="str">
            <v>P/E</v>
          </cell>
        </row>
        <row r="4">
          <cell r="B4" t="str">
            <v>SG: Gross Domestic Product: 95p: MONTHLY</v>
          </cell>
          <cell r="G4" t="str">
            <v>Bloomberg</v>
          </cell>
        </row>
        <row r="5">
          <cell r="B5" t="str">
            <v>SAUCBA</v>
          </cell>
        </row>
        <row r="6">
          <cell r="B6" t="str">
            <v>SGD mn</v>
          </cell>
        </row>
        <row r="7">
          <cell r="C7" t="str">
            <v>(a)</v>
          </cell>
          <cell r="E7" t="str">
            <v>(b)</v>
          </cell>
          <cell r="G7" t="str">
            <v>(c )</v>
          </cell>
        </row>
        <row r="8">
          <cell r="A8">
            <v>36161</v>
          </cell>
          <cell r="B8">
            <v>11502</v>
          </cell>
        </row>
        <row r="9">
          <cell r="A9">
            <v>36192</v>
          </cell>
          <cell r="B9">
            <v>11502</v>
          </cell>
        </row>
        <row r="10">
          <cell r="A10">
            <v>36220</v>
          </cell>
          <cell r="B10">
            <v>11502</v>
          </cell>
        </row>
        <row r="11">
          <cell r="A11">
            <v>36251</v>
          </cell>
          <cell r="B11">
            <v>12008.6</v>
          </cell>
        </row>
        <row r="12">
          <cell r="A12">
            <v>36281</v>
          </cell>
          <cell r="B12">
            <v>12008.6</v>
          </cell>
        </row>
        <row r="13">
          <cell r="A13">
            <v>36312</v>
          </cell>
          <cell r="B13">
            <v>12008.6</v>
          </cell>
        </row>
        <row r="14">
          <cell r="A14">
            <v>36342</v>
          </cell>
          <cell r="B14">
            <v>12399.3</v>
          </cell>
        </row>
        <row r="15">
          <cell r="A15">
            <v>36373</v>
          </cell>
          <cell r="B15">
            <v>12399.3</v>
          </cell>
        </row>
        <row r="16">
          <cell r="A16">
            <v>36404</v>
          </cell>
          <cell r="B16">
            <v>12399.3</v>
          </cell>
        </row>
        <row r="17">
          <cell r="A17">
            <v>36434</v>
          </cell>
          <cell r="B17">
            <v>12513.1</v>
          </cell>
        </row>
        <row r="18">
          <cell r="A18">
            <v>36465</v>
          </cell>
          <cell r="B18">
            <v>12513.1</v>
          </cell>
        </row>
        <row r="19">
          <cell r="A19">
            <v>36495</v>
          </cell>
          <cell r="B19">
            <v>12513.1</v>
          </cell>
        </row>
        <row r="20">
          <cell r="A20">
            <v>36526</v>
          </cell>
          <cell r="B20">
            <v>12652.8</v>
          </cell>
          <cell r="C20">
            <v>0.10005216484089718</v>
          </cell>
        </row>
        <row r="21">
          <cell r="A21">
            <v>36557</v>
          </cell>
          <cell r="B21">
            <v>12652.8</v>
          </cell>
          <cell r="C21">
            <v>0.10005216484089718</v>
          </cell>
        </row>
        <row r="22">
          <cell r="A22">
            <v>36586</v>
          </cell>
          <cell r="B22">
            <v>12652.8</v>
          </cell>
          <cell r="C22">
            <v>0.10005216484089718</v>
          </cell>
        </row>
        <row r="23">
          <cell r="A23">
            <v>36617</v>
          </cell>
          <cell r="B23">
            <v>13098.1</v>
          </cell>
          <cell r="C23">
            <v>9.0726645903768999E-2</v>
          </cell>
        </row>
        <row r="24">
          <cell r="A24">
            <v>36647</v>
          </cell>
          <cell r="B24">
            <v>13098.1</v>
          </cell>
          <cell r="C24">
            <v>9.0726645903768999E-2</v>
          </cell>
        </row>
        <row r="25">
          <cell r="A25">
            <v>36678</v>
          </cell>
          <cell r="B25">
            <v>13098.1</v>
          </cell>
          <cell r="C25">
            <v>9.0726645903768999E-2</v>
          </cell>
        </row>
        <row r="26">
          <cell r="A26">
            <v>36708</v>
          </cell>
          <cell r="B26">
            <v>13750.7</v>
          </cell>
          <cell r="C26">
            <v>0.10899002363036625</v>
          </cell>
        </row>
        <row r="27">
          <cell r="A27">
            <v>36739</v>
          </cell>
          <cell r="B27">
            <v>13750.7</v>
          </cell>
          <cell r="C27">
            <v>0.10899002363036625</v>
          </cell>
        </row>
        <row r="28">
          <cell r="A28">
            <v>36770</v>
          </cell>
          <cell r="B28">
            <v>13750.7</v>
          </cell>
          <cell r="C28">
            <v>0.10899002363036625</v>
          </cell>
        </row>
        <row r="29">
          <cell r="A29">
            <v>36800</v>
          </cell>
          <cell r="B29">
            <v>13778.5</v>
          </cell>
          <cell r="C29">
            <v>0.10112601993111214</v>
          </cell>
        </row>
        <row r="30">
          <cell r="A30">
            <v>36831</v>
          </cell>
          <cell r="B30">
            <v>13778.5</v>
          </cell>
          <cell r="C30">
            <v>0.10112601993111214</v>
          </cell>
          <cell r="D30">
            <v>1.32</v>
          </cell>
        </row>
        <row r="31">
          <cell r="A31">
            <v>36861</v>
          </cell>
          <cell r="B31">
            <v>13778.5</v>
          </cell>
          <cell r="C31">
            <v>0.10112601993111214</v>
          </cell>
          <cell r="D31">
            <v>1.3</v>
          </cell>
        </row>
        <row r="32">
          <cell r="A32">
            <v>36892</v>
          </cell>
          <cell r="B32">
            <v>13248.7</v>
          </cell>
          <cell r="C32">
            <v>4.7096294891249446E-2</v>
          </cell>
          <cell r="D32">
            <v>1.39</v>
          </cell>
        </row>
        <row r="33">
          <cell r="A33">
            <v>36923</v>
          </cell>
          <cell r="B33">
            <v>13248.7</v>
          </cell>
          <cell r="C33">
            <v>4.7096294891249446E-2</v>
          </cell>
          <cell r="D33">
            <v>1.31</v>
          </cell>
        </row>
        <row r="34">
          <cell r="A34">
            <v>36951</v>
          </cell>
          <cell r="B34">
            <v>13248.7</v>
          </cell>
          <cell r="C34">
            <v>4.7096294891249446E-2</v>
          </cell>
          <cell r="D34">
            <v>1.1299999999999999</v>
          </cell>
        </row>
        <row r="35">
          <cell r="A35">
            <v>36982</v>
          </cell>
          <cell r="B35">
            <v>13012.9</v>
          </cell>
          <cell r="C35">
            <v>-6.5047602324002085E-3</v>
          </cell>
          <cell r="D35">
            <v>1.22</v>
          </cell>
        </row>
        <row r="36">
          <cell r="A36">
            <v>37012</v>
          </cell>
          <cell r="B36">
            <v>13012.9</v>
          </cell>
          <cell r="C36">
            <v>-6.5047602324002085E-3</v>
          </cell>
          <cell r="D36">
            <v>1.18</v>
          </cell>
        </row>
        <row r="37">
          <cell r="A37">
            <v>37043</v>
          </cell>
          <cell r="B37">
            <v>13012.9</v>
          </cell>
          <cell r="C37">
            <v>-6.5047602324002085E-3</v>
          </cell>
          <cell r="D37">
            <v>1.1599999999999999</v>
          </cell>
          <cell r="G37">
            <v>17.955100000000002</v>
          </cell>
        </row>
        <row r="38">
          <cell r="A38">
            <v>37073</v>
          </cell>
          <cell r="B38">
            <v>12857</v>
          </cell>
          <cell r="C38">
            <v>-6.4993054899023406E-2</v>
          </cell>
          <cell r="D38">
            <v>1.04</v>
          </cell>
          <cell r="G38">
            <v>16.0977</v>
          </cell>
        </row>
        <row r="39">
          <cell r="A39">
            <v>37104</v>
          </cell>
          <cell r="B39">
            <v>12857</v>
          </cell>
          <cell r="C39">
            <v>-6.4993054899023406E-2</v>
          </cell>
          <cell r="D39">
            <v>1.06</v>
          </cell>
          <cell r="G39">
            <v>16.4072</v>
          </cell>
        </row>
        <row r="40">
          <cell r="A40">
            <v>37135</v>
          </cell>
          <cell r="B40">
            <v>12857</v>
          </cell>
          <cell r="C40">
            <v>-6.4993054899023406E-2</v>
          </cell>
          <cell r="D40">
            <v>1.01</v>
          </cell>
          <cell r="G40">
            <v>12.6875</v>
          </cell>
        </row>
        <row r="41">
          <cell r="A41">
            <v>37165</v>
          </cell>
          <cell r="B41">
            <v>12944.8</v>
          </cell>
          <cell r="C41">
            <v>-6.0507312116703571E-2</v>
          </cell>
          <cell r="D41">
            <v>1.04</v>
          </cell>
          <cell r="G41">
            <v>13.064399999999999</v>
          </cell>
        </row>
        <row r="42">
          <cell r="A42">
            <v>37196</v>
          </cell>
          <cell r="B42">
            <v>12944.8</v>
          </cell>
          <cell r="C42">
            <v>-6.0507312116703571E-2</v>
          </cell>
          <cell r="D42">
            <v>1.22</v>
          </cell>
          <cell r="E42">
            <v>-7.5757575757575801E-2</v>
          </cell>
          <cell r="G42">
            <v>15.3255</v>
          </cell>
        </row>
        <row r="43">
          <cell r="A43">
            <v>37226</v>
          </cell>
          <cell r="B43">
            <v>12944.8</v>
          </cell>
          <cell r="C43">
            <v>-6.0507312116703571E-2</v>
          </cell>
          <cell r="D43">
            <v>1.24</v>
          </cell>
          <cell r="E43">
            <v>-4.6153846153846212E-2</v>
          </cell>
          <cell r="G43">
            <v>20.460100000000001</v>
          </cell>
        </row>
        <row r="44">
          <cell r="A44">
            <v>37257</v>
          </cell>
          <cell r="B44">
            <v>13169.6</v>
          </cell>
          <cell r="C44">
            <v>-5.9703970955641283E-3</v>
          </cell>
          <cell r="D44">
            <v>1.44</v>
          </cell>
          <cell r="E44">
            <v>3.5971223021582732E-2</v>
          </cell>
          <cell r="G44">
            <v>23.760100000000001</v>
          </cell>
        </row>
        <row r="45">
          <cell r="A45">
            <v>37288</v>
          </cell>
          <cell r="B45">
            <v>13169.6</v>
          </cell>
          <cell r="C45">
            <v>-5.9703970955641283E-3</v>
          </cell>
          <cell r="D45">
            <v>1.29</v>
          </cell>
          <cell r="E45">
            <v>-1.5267175572519109E-2</v>
          </cell>
          <cell r="G45">
            <v>21.2851</v>
          </cell>
        </row>
        <row r="46">
          <cell r="A46">
            <v>37316</v>
          </cell>
          <cell r="B46">
            <v>13169.6</v>
          </cell>
          <cell r="C46">
            <v>-5.9703970955641283E-3</v>
          </cell>
          <cell r="D46">
            <v>1.3</v>
          </cell>
          <cell r="E46">
            <v>0.15044247787610643</v>
          </cell>
          <cell r="G46">
            <v>25.190999999999999</v>
          </cell>
        </row>
        <row r="47">
          <cell r="A47">
            <v>37347</v>
          </cell>
          <cell r="B47">
            <v>13628.9</v>
          </cell>
          <cell r="C47">
            <v>4.7337641878443693E-2</v>
          </cell>
          <cell r="D47">
            <v>1.27</v>
          </cell>
          <cell r="E47">
            <v>4.0983606557376984E-2</v>
          </cell>
          <cell r="G47">
            <v>24.6097</v>
          </cell>
        </row>
        <row r="48">
          <cell r="A48">
            <v>37377</v>
          </cell>
          <cell r="B48">
            <v>13628.9</v>
          </cell>
          <cell r="C48">
            <v>4.7337641878443693E-2</v>
          </cell>
          <cell r="D48">
            <v>1.29</v>
          </cell>
          <cell r="E48">
            <v>9.3220338983051043E-2</v>
          </cell>
          <cell r="G48">
            <v>24.997199999999999</v>
          </cell>
        </row>
        <row r="49">
          <cell r="A49">
            <v>37408</v>
          </cell>
          <cell r="B49">
            <v>13628.9</v>
          </cell>
          <cell r="C49">
            <v>4.7337641878443693E-2</v>
          </cell>
          <cell r="D49">
            <v>1.1599999999999999</v>
          </cell>
          <cell r="E49">
            <v>0</v>
          </cell>
          <cell r="G49">
            <v>19.333300000000001</v>
          </cell>
        </row>
        <row r="50">
          <cell r="A50">
            <v>37438</v>
          </cell>
          <cell r="B50">
            <v>13679.3</v>
          </cell>
          <cell r="C50">
            <v>6.3957377304192153E-2</v>
          </cell>
          <cell r="D50">
            <v>1.1399999999999999</v>
          </cell>
          <cell r="E50">
            <v>9.6153846153846034E-2</v>
          </cell>
          <cell r="G50">
            <v>19</v>
          </cell>
        </row>
        <row r="51">
          <cell r="A51">
            <v>37469</v>
          </cell>
          <cell r="B51">
            <v>13679.3</v>
          </cell>
          <cell r="C51">
            <v>6.3957377304192153E-2</v>
          </cell>
          <cell r="D51">
            <v>1.22</v>
          </cell>
          <cell r="E51">
            <v>0.15094339622641506</v>
          </cell>
          <cell r="G51">
            <v>20.333300000000001</v>
          </cell>
        </row>
        <row r="52">
          <cell r="A52">
            <v>37500</v>
          </cell>
          <cell r="B52">
            <v>13679.3</v>
          </cell>
          <cell r="C52">
            <v>6.3957377304192153E-2</v>
          </cell>
          <cell r="D52">
            <v>1.1499999999999999</v>
          </cell>
          <cell r="E52">
            <v>0.13861386138613851</v>
          </cell>
          <cell r="G52">
            <v>17.692299999999999</v>
          </cell>
        </row>
        <row r="53">
          <cell r="A53">
            <v>37530</v>
          </cell>
          <cell r="B53">
            <v>13690.6</v>
          </cell>
          <cell r="C53">
            <v>5.7613868116927369E-2</v>
          </cell>
          <cell r="D53">
            <v>1.1599999999999999</v>
          </cell>
          <cell r="E53">
            <v>0.1153846153846152</v>
          </cell>
          <cell r="G53">
            <v>17.8462</v>
          </cell>
        </row>
        <row r="54">
          <cell r="A54">
            <v>37561</v>
          </cell>
          <cell r="B54">
            <v>13690.6</v>
          </cell>
          <cell r="C54">
            <v>5.7613868116927369E-2</v>
          </cell>
          <cell r="D54">
            <v>1.2</v>
          </cell>
          <cell r="E54">
            <v>-1.6393442622950838E-2</v>
          </cell>
          <cell r="G54">
            <v>18.461500000000001</v>
          </cell>
        </row>
        <row r="55">
          <cell r="A55">
            <v>37591</v>
          </cell>
          <cell r="B55">
            <v>13690.6</v>
          </cell>
          <cell r="C55">
            <v>5.7613868116927369E-2</v>
          </cell>
          <cell r="D55">
            <v>1.23</v>
          </cell>
          <cell r="E55">
            <v>-8.0645161290322509E-3</v>
          </cell>
          <cell r="G55">
            <v>17.571400000000001</v>
          </cell>
        </row>
        <row r="56">
          <cell r="A56">
            <v>37622</v>
          </cell>
          <cell r="B56">
            <v>13547.7</v>
          </cell>
          <cell r="C56">
            <v>2.8710059531041221E-2</v>
          </cell>
          <cell r="D56">
            <v>1.24</v>
          </cell>
          <cell r="E56">
            <v>-0.13888888888888884</v>
          </cell>
          <cell r="G56">
            <v>17.714300000000001</v>
          </cell>
        </row>
        <row r="57">
          <cell r="A57">
            <v>37653</v>
          </cell>
          <cell r="B57">
            <v>13547.7</v>
          </cell>
          <cell r="C57">
            <v>2.8710059531041221E-2</v>
          </cell>
          <cell r="D57">
            <v>1.24</v>
          </cell>
          <cell r="E57">
            <v>-3.8759689922480689E-2</v>
          </cell>
          <cell r="G57">
            <v>17.714300000000001</v>
          </cell>
        </row>
        <row r="58">
          <cell r="A58">
            <v>37681</v>
          </cell>
          <cell r="B58">
            <v>13547.7</v>
          </cell>
          <cell r="C58">
            <v>2.8710059531041221E-2</v>
          </cell>
          <cell r="D58">
            <v>1.25</v>
          </cell>
          <cell r="E58">
            <v>-3.8461538461538547E-2</v>
          </cell>
          <cell r="G58">
            <v>18.939399999999999</v>
          </cell>
        </row>
        <row r="59">
          <cell r="A59">
            <v>37712</v>
          </cell>
          <cell r="B59">
            <v>13308.4</v>
          </cell>
          <cell r="C59">
            <v>-2.3516204535949381E-2</v>
          </cell>
          <cell r="D59">
            <v>1.22</v>
          </cell>
          <cell r="E59">
            <v>-3.9370078740157521E-2</v>
          </cell>
          <cell r="G59">
            <v>18.4848</v>
          </cell>
        </row>
        <row r="60">
          <cell r="A60">
            <v>37742</v>
          </cell>
          <cell r="B60">
            <v>13308.4</v>
          </cell>
          <cell r="C60">
            <v>-2.3516204535949381E-2</v>
          </cell>
          <cell r="D60">
            <v>1.29</v>
          </cell>
          <cell r="E60">
            <v>0</v>
          </cell>
          <cell r="G60">
            <v>19.545500000000001</v>
          </cell>
        </row>
        <row r="61">
          <cell r="A61">
            <v>37773</v>
          </cell>
          <cell r="B61">
            <v>13308.4</v>
          </cell>
          <cell r="C61">
            <v>-2.3516204535949381E-2</v>
          </cell>
          <cell r="D61">
            <v>1.37</v>
          </cell>
          <cell r="E61">
            <v>0.18103448275862077</v>
          </cell>
          <cell r="G61">
            <v>85.625</v>
          </cell>
        </row>
        <row r="62">
          <cell r="A62">
            <v>37803</v>
          </cell>
          <cell r="B62">
            <v>14167.4</v>
          </cell>
          <cell r="C62">
            <v>3.5681650376846896E-2</v>
          </cell>
          <cell r="D62">
            <v>1.51</v>
          </cell>
          <cell r="E62">
            <v>0.32456140350877205</v>
          </cell>
          <cell r="G62">
            <v>94.375</v>
          </cell>
        </row>
        <row r="63">
          <cell r="A63">
            <v>37834</v>
          </cell>
          <cell r="B63">
            <v>14167.4</v>
          </cell>
          <cell r="C63">
            <v>3.5681650376846896E-2</v>
          </cell>
          <cell r="D63">
            <v>1.65</v>
          </cell>
          <cell r="E63">
            <v>0.35245901639344268</v>
          </cell>
          <cell r="G63">
            <v>103.125</v>
          </cell>
        </row>
        <row r="64">
          <cell r="A64">
            <v>37865</v>
          </cell>
          <cell r="B64">
            <v>14167.4</v>
          </cell>
          <cell r="C64">
            <v>3.5681650376846896E-2</v>
          </cell>
          <cell r="D64">
            <v>1.82</v>
          </cell>
          <cell r="E64">
            <v>0.5826086956521741</v>
          </cell>
          <cell r="G64">
            <v>60.666699999999999</v>
          </cell>
        </row>
        <row r="65">
          <cell r="A65">
            <v>37895</v>
          </cell>
          <cell r="B65">
            <v>14733.4</v>
          </cell>
          <cell r="C65">
            <v>7.6169050297284269E-2</v>
          </cell>
          <cell r="D65">
            <v>1.66</v>
          </cell>
          <cell r="E65">
            <v>0.43103448275862077</v>
          </cell>
          <cell r="G65">
            <v>55.333300000000001</v>
          </cell>
        </row>
        <row r="66">
          <cell r="A66">
            <v>37926</v>
          </cell>
          <cell r="B66">
            <v>14733.4</v>
          </cell>
          <cell r="C66">
            <v>7.6169050297284269E-2</v>
          </cell>
          <cell r="D66">
            <v>1.65</v>
          </cell>
          <cell r="E66">
            <v>0.375</v>
          </cell>
          <cell r="G66">
            <v>55</v>
          </cell>
        </row>
        <row r="67">
          <cell r="A67">
            <v>37956</v>
          </cell>
          <cell r="B67">
            <v>14733.4</v>
          </cell>
          <cell r="C67">
            <v>7.6169050297284269E-2</v>
          </cell>
          <cell r="D67">
            <v>1.69</v>
          </cell>
          <cell r="E67">
            <v>0.37398373983739841</v>
          </cell>
          <cell r="G67">
            <v>36.739100000000001</v>
          </cell>
        </row>
        <row r="68">
          <cell r="A68">
            <v>37987</v>
          </cell>
          <cell r="B68">
            <v>14696.8</v>
          </cell>
          <cell r="C68">
            <v>8.4818825335665649E-2</v>
          </cell>
          <cell r="D68">
            <v>1.77</v>
          </cell>
          <cell r="E68">
            <v>0.42741935483870974</v>
          </cell>
          <cell r="G68">
            <v>38.478299999999997</v>
          </cell>
        </row>
        <row r="69">
          <cell r="A69">
            <v>38018</v>
          </cell>
          <cell r="B69">
            <v>14696.8</v>
          </cell>
          <cell r="C69">
            <v>8.4818825335665649E-2</v>
          </cell>
          <cell r="D69">
            <v>1.76</v>
          </cell>
          <cell r="E69">
            <v>0.41935483870967749</v>
          </cell>
          <cell r="G69">
            <v>38.260899999999999</v>
          </cell>
        </row>
        <row r="70">
          <cell r="A70">
            <v>38047</v>
          </cell>
          <cell r="B70">
            <v>14696.8</v>
          </cell>
          <cell r="C70">
            <v>8.4818825335665649E-2</v>
          </cell>
          <cell r="D70">
            <v>1.66</v>
          </cell>
          <cell r="E70">
            <v>0.32799999999999985</v>
          </cell>
          <cell r="G70">
            <v>24.058</v>
          </cell>
        </row>
        <row r="71">
          <cell r="A71">
            <v>38078</v>
          </cell>
          <cell r="B71">
            <v>14947.7</v>
          </cell>
          <cell r="C71">
            <v>0.12317784256559783</v>
          </cell>
          <cell r="D71">
            <v>1.63</v>
          </cell>
          <cell r="E71">
            <v>0.33606557377049184</v>
          </cell>
          <cell r="G71">
            <v>23.623200000000001</v>
          </cell>
        </row>
        <row r="72">
          <cell r="A72">
            <v>38108</v>
          </cell>
          <cell r="B72">
            <v>14947.7</v>
          </cell>
          <cell r="C72">
            <v>0.12317784256559783</v>
          </cell>
          <cell r="D72">
            <v>1.59</v>
          </cell>
          <cell r="E72">
            <v>0.23255813953488369</v>
          </cell>
          <cell r="G72">
            <v>23.043500000000002</v>
          </cell>
        </row>
        <row r="73">
          <cell r="A73">
            <v>38139</v>
          </cell>
          <cell r="B73">
            <v>14947.7</v>
          </cell>
          <cell r="C73">
            <v>0.12317784256559783</v>
          </cell>
          <cell r="D73">
            <v>1.68</v>
          </cell>
          <cell r="E73">
            <v>0.22627737226277356</v>
          </cell>
          <cell r="G73">
            <v>12.9231</v>
          </cell>
        </row>
        <row r="74">
          <cell r="A74">
            <v>38169</v>
          </cell>
          <cell r="B74">
            <v>15222.8</v>
          </cell>
          <cell r="C74">
            <v>7.449496731933869E-2</v>
          </cell>
          <cell r="D74">
            <v>1.74</v>
          </cell>
          <cell r="E74">
            <v>0.15231788079470188</v>
          </cell>
          <cell r="G74">
            <v>13.384600000000001</v>
          </cell>
        </row>
        <row r="75">
          <cell r="A75">
            <v>38200</v>
          </cell>
          <cell r="B75">
            <v>15222.8</v>
          </cell>
          <cell r="C75">
            <v>7.449496731933869E-2</v>
          </cell>
          <cell r="D75">
            <v>1.78</v>
          </cell>
          <cell r="E75">
            <v>7.8787878787878851E-2</v>
          </cell>
          <cell r="G75">
            <v>13.692299999999999</v>
          </cell>
        </row>
        <row r="76">
          <cell r="A76">
            <v>38231</v>
          </cell>
          <cell r="B76">
            <v>15222.8</v>
          </cell>
          <cell r="C76">
            <v>7.449496731933869E-2</v>
          </cell>
          <cell r="D76">
            <v>1.77</v>
          </cell>
          <cell r="E76">
            <v>-2.7472527472527486E-2</v>
          </cell>
          <cell r="G76">
            <v>14.6281</v>
          </cell>
          <cell r="I76" t="str">
            <v>(a) vs (b)</v>
          </cell>
        </row>
        <row r="77">
          <cell r="A77">
            <v>38261</v>
          </cell>
          <cell r="B77">
            <v>15749.5</v>
          </cell>
          <cell r="C77">
            <v>6.89657512861932E-2</v>
          </cell>
          <cell r="D77">
            <v>1.76</v>
          </cell>
          <cell r="E77">
            <v>6.024096385542177E-2</v>
          </cell>
          <cell r="G77">
            <v>14.545500000000001</v>
          </cell>
          <cell r="J77" t="str">
            <v>Correlation</v>
          </cell>
          <cell r="K77">
            <v>0.45095142045117281</v>
          </cell>
        </row>
        <row r="78">
          <cell r="A78">
            <v>38292</v>
          </cell>
          <cell r="B78">
            <v>15749.5</v>
          </cell>
          <cell r="C78">
            <v>6.89657512861932E-2</v>
          </cell>
          <cell r="D78">
            <v>1.72</v>
          </cell>
          <cell r="E78">
            <v>4.2424242424242475E-2</v>
          </cell>
          <cell r="G78">
            <v>14.2149</v>
          </cell>
        </row>
        <row r="79">
          <cell r="A79">
            <v>38322</v>
          </cell>
          <cell r="B79">
            <v>15749.5</v>
          </cell>
          <cell r="C79">
            <v>6.89657512861932E-2</v>
          </cell>
          <cell r="D79">
            <v>1.79</v>
          </cell>
          <cell r="E79">
            <v>5.9171597633136175E-2</v>
          </cell>
          <cell r="G79">
            <v>15.042</v>
          </cell>
        </row>
        <row r="80">
          <cell r="A80">
            <v>38353</v>
          </cell>
          <cell r="B80">
            <v>15193.9</v>
          </cell>
          <cell r="C80">
            <v>3.3823689510641852E-2</v>
          </cell>
          <cell r="D80">
            <v>1.88</v>
          </cell>
          <cell r="E80">
            <v>6.2146892655367214E-2</v>
          </cell>
          <cell r="G80">
            <v>15.798299999999999</v>
          </cell>
        </row>
        <row r="81">
          <cell r="A81">
            <v>38384</v>
          </cell>
          <cell r="B81">
            <v>15193.9</v>
          </cell>
          <cell r="C81">
            <v>3.3823689510641852E-2</v>
          </cell>
          <cell r="D81">
            <v>1.91</v>
          </cell>
          <cell r="E81">
            <v>8.5227272727272707E-2</v>
          </cell>
          <cell r="G81">
            <v>16.0504</v>
          </cell>
        </row>
        <row r="82">
          <cell r="A82">
            <v>38412</v>
          </cell>
          <cell r="B82">
            <v>15193.9</v>
          </cell>
          <cell r="C82">
            <v>3.3823689510641852E-2</v>
          </cell>
          <cell r="D82">
            <v>2.1</v>
          </cell>
          <cell r="E82">
            <v>0.26506024096385561</v>
          </cell>
          <cell r="G82">
            <v>19.090900000000001</v>
          </cell>
        </row>
        <row r="83">
          <cell r="A83">
            <v>38443</v>
          </cell>
          <cell r="B83">
            <v>15797.5</v>
          </cell>
          <cell r="C83">
            <v>5.6851555757742034E-2</v>
          </cell>
          <cell r="D83">
            <v>1.86</v>
          </cell>
          <cell r="E83">
            <v>0.14110429447852768</v>
          </cell>
          <cell r="G83">
            <v>16.909099999999999</v>
          </cell>
        </row>
        <row r="84">
          <cell r="A84">
            <v>38473</v>
          </cell>
          <cell r="B84">
            <v>15797.5</v>
          </cell>
          <cell r="C84">
            <v>5.6851555757742034E-2</v>
          </cell>
          <cell r="D84">
            <v>1.9</v>
          </cell>
          <cell r="E84">
            <v>0.19496855345911945</v>
          </cell>
          <cell r="G84">
            <v>17.2727</v>
          </cell>
        </row>
        <row r="85">
          <cell r="A85">
            <v>38504</v>
          </cell>
          <cell r="B85">
            <v>15797.5</v>
          </cell>
          <cell r="C85">
            <v>5.6851555757742034E-2</v>
          </cell>
          <cell r="D85">
            <v>2.11</v>
          </cell>
          <cell r="E85">
            <v>0.25595238095238093</v>
          </cell>
          <cell r="G85">
            <v>18.899999999999999</v>
          </cell>
        </row>
        <row r="86">
          <cell r="A86">
            <v>38534</v>
          </cell>
          <cell r="B86">
            <v>16380.9</v>
          </cell>
          <cell r="C86">
            <v>7.6076674461991178E-2</v>
          </cell>
          <cell r="D86">
            <v>2.1800000000000002</v>
          </cell>
          <cell r="E86">
            <v>0.25287356321839094</v>
          </cell>
          <cell r="G86">
            <v>17.401698225126378</v>
          </cell>
        </row>
        <row r="87">
          <cell r="A87">
            <v>38565</v>
          </cell>
          <cell r="B87">
            <v>16380.9</v>
          </cell>
          <cell r="C87">
            <v>7.6076674461991178E-2</v>
          </cell>
          <cell r="D87">
            <v>2.33</v>
          </cell>
          <cell r="E87">
            <v>0.3089887640449438</v>
          </cell>
          <cell r="G87">
            <v>15.903396450252755</v>
          </cell>
        </row>
        <row r="88">
          <cell r="A88">
            <v>38596</v>
          </cell>
          <cell r="B88">
            <v>16380.9</v>
          </cell>
          <cell r="C88">
            <v>7.6076674461991178E-2</v>
          </cell>
          <cell r="D88">
            <v>2.52</v>
          </cell>
          <cell r="E88">
            <v>0.42372881355932202</v>
          </cell>
          <cell r="G88">
            <v>14.405094675379132</v>
          </cell>
        </row>
        <row r="89">
          <cell r="A89">
            <v>38626</v>
          </cell>
          <cell r="B89">
            <v>17111.900000000001</v>
          </cell>
          <cell r="C89">
            <v>8.6504333470903916E-2</v>
          </cell>
          <cell r="D89">
            <v>2.7</v>
          </cell>
          <cell r="E89">
            <v>0.53409090909090917</v>
          </cell>
          <cell r="G89">
            <v>12.90679290050551</v>
          </cell>
        </row>
        <row r="90">
          <cell r="A90">
            <v>38657</v>
          </cell>
          <cell r="B90">
            <v>17111.900000000001</v>
          </cell>
          <cell r="C90">
            <v>8.6504333470903916E-2</v>
          </cell>
          <cell r="D90">
            <v>2.75</v>
          </cell>
          <cell r="E90">
            <v>0.59883720930232553</v>
          </cell>
          <cell r="G90">
            <v>11.408491125631887</v>
          </cell>
        </row>
        <row r="91">
          <cell r="A91">
            <v>38687</v>
          </cell>
          <cell r="B91">
            <v>17111.900000000001</v>
          </cell>
          <cell r="C91">
            <v>8.6504333470903916E-2</v>
          </cell>
          <cell r="D91">
            <v>2.9</v>
          </cell>
          <cell r="E91">
            <v>0.62011173184357538</v>
          </cell>
          <cell r="G91">
            <v>9.9101893507582659</v>
          </cell>
        </row>
        <row r="92">
          <cell r="A92">
            <v>38718</v>
          </cell>
          <cell r="C92">
            <v>5.5E-2</v>
          </cell>
          <cell r="D92">
            <v>3.16</v>
          </cell>
          <cell r="E92">
            <v>0.68085106382978733</v>
          </cell>
          <cell r="G92">
            <v>9.7827597819014862</v>
          </cell>
        </row>
        <row r="93">
          <cell r="A93">
            <v>38749</v>
          </cell>
          <cell r="C93">
            <v>5.5E-2</v>
          </cell>
          <cell r="D93">
            <v>3.62</v>
          </cell>
          <cell r="E93">
            <v>0.89528795811518336</v>
          </cell>
          <cell r="G93">
            <v>9.6553302130447065</v>
          </cell>
          <cell r="S93" t="str">
            <v>630386</v>
          </cell>
          <cell r="T93" t="str">
            <v>SINGAPORE EXCHANGE</v>
          </cell>
        </row>
        <row r="94">
          <cell r="A94">
            <v>38777</v>
          </cell>
          <cell r="C94">
            <v>5.5E-2</v>
          </cell>
          <cell r="G94">
            <v>9.5279006441879268</v>
          </cell>
        </row>
        <row r="95">
          <cell r="A95">
            <v>38808</v>
          </cell>
          <cell r="C95">
            <v>5.5E-2</v>
          </cell>
          <cell r="G95">
            <v>9.4004710753311471</v>
          </cell>
          <cell r="T95" t="str">
            <v>Latest</v>
          </cell>
        </row>
        <row r="96">
          <cell r="A96">
            <v>38838</v>
          </cell>
          <cell r="C96">
            <v>5.5E-2</v>
          </cell>
          <cell r="G96">
            <v>9.2730415064743674</v>
          </cell>
          <cell r="T96" t="str">
            <v>Closing</v>
          </cell>
        </row>
        <row r="97">
          <cell r="A97">
            <v>38869</v>
          </cell>
          <cell r="C97">
            <v>5.5E-2</v>
          </cell>
          <cell r="G97">
            <v>9.1456119376175877</v>
          </cell>
          <cell r="T97" t="str">
            <v>Price</v>
          </cell>
        </row>
        <row r="98">
          <cell r="A98">
            <v>38899</v>
          </cell>
          <cell r="C98">
            <v>5.5E-2</v>
          </cell>
          <cell r="G98">
            <v>9.018182368760808</v>
          </cell>
          <cell r="T98" t="str">
            <v>Local</v>
          </cell>
        </row>
        <row r="99">
          <cell r="A99">
            <v>38930</v>
          </cell>
          <cell r="C99">
            <v>5.5E-2</v>
          </cell>
          <cell r="G99">
            <v>8.8907527999040283</v>
          </cell>
          <cell r="S99" t="str">
            <v xml:space="preserve"> </v>
          </cell>
        </row>
        <row r="100">
          <cell r="A100">
            <v>38961</v>
          </cell>
          <cell r="C100">
            <v>5.5E-2</v>
          </cell>
          <cell r="G100">
            <v>8.7633232310472486</v>
          </cell>
          <cell r="S100" t="str">
            <v>29/07/2005</v>
          </cell>
          <cell r="T100">
            <v>2.1800000000000002</v>
          </cell>
        </row>
        <row r="101">
          <cell r="A101">
            <v>38991</v>
          </cell>
          <cell r="C101">
            <v>5.5E-2</v>
          </cell>
          <cell r="G101">
            <v>8.6358936621904689</v>
          </cell>
          <cell r="S101" t="str">
            <v>31/08/2005</v>
          </cell>
          <cell r="T101">
            <v>2.33</v>
          </cell>
        </row>
        <row r="102">
          <cell r="A102">
            <v>39022</v>
          </cell>
          <cell r="C102">
            <v>5.5E-2</v>
          </cell>
          <cell r="G102">
            <v>8.5084640933336892</v>
          </cell>
          <cell r="S102" t="str">
            <v>30/09/2005</v>
          </cell>
          <cell r="T102">
            <v>2.52</v>
          </cell>
        </row>
        <row r="103">
          <cell r="A103">
            <v>39052</v>
          </cell>
          <cell r="C103">
            <v>5.5E-2</v>
          </cell>
          <cell r="G103">
            <v>8.3810345244769184</v>
          </cell>
          <cell r="S103" t="str">
            <v>31/10/2005</v>
          </cell>
          <cell r="T103">
            <v>2.7</v>
          </cell>
        </row>
        <row r="104">
          <cell r="I104" t="str">
            <v>(c ): PE</v>
          </cell>
          <cell r="S104" t="str">
            <v>30/11/2005</v>
          </cell>
          <cell r="T104">
            <v>2.75</v>
          </cell>
        </row>
        <row r="105">
          <cell r="S105" t="str">
            <v>30/12/2005</v>
          </cell>
          <cell r="T105">
            <v>2.9</v>
          </cell>
        </row>
      </sheetData>
      <sheetData sheetId="13" refreshError="1"/>
      <sheetData sheetId="14" refreshError="1">
        <row r="1">
          <cell r="C1" t="str">
            <v>F2007E</v>
          </cell>
          <cell r="F1" t="str">
            <v>F2008E</v>
          </cell>
          <cell r="G1" t="str">
            <v>F2007E</v>
          </cell>
        </row>
        <row r="2">
          <cell r="A2" t="str">
            <v>(S$)</v>
          </cell>
          <cell r="B2" t="str">
            <v xml:space="preserve">MS </v>
          </cell>
          <cell r="C2" t="str">
            <v>Con.</v>
          </cell>
          <cell r="D2" t="str">
            <v>% Var.</v>
          </cell>
          <cell r="E2" t="str">
            <v xml:space="preserve">MS </v>
          </cell>
          <cell r="F2" t="str">
            <v>Con.</v>
          </cell>
          <cell r="G2" t="str">
            <v>% Var.</v>
          </cell>
          <cell r="H2" t="str">
            <v>% Var.</v>
          </cell>
        </row>
        <row r="3">
          <cell r="A3" t="str">
            <v>SGX</v>
          </cell>
          <cell r="B3">
            <v>0.18118771988414628</v>
          </cell>
          <cell r="C3" t="str">
            <v>#Refresh</v>
          </cell>
          <cell r="D3" t="e">
            <v>#VALUE!</v>
          </cell>
          <cell r="E3">
            <v>0.22425541466722423</v>
          </cell>
          <cell r="F3" t="str">
            <v>#Refresh</v>
          </cell>
          <cell r="G3" t="e">
            <v>#VALUE!</v>
          </cell>
          <cell r="H3">
            <v>0.16327488375355337</v>
          </cell>
        </row>
        <row r="7">
          <cell r="A7" t="str">
            <v>ASX</v>
          </cell>
          <cell r="B7">
            <v>1.3239795745844158</v>
          </cell>
          <cell r="C7">
            <v>1.1859999999999999</v>
          </cell>
          <cell r="D7">
            <v>0.11634028211164926</v>
          </cell>
          <cell r="F7">
            <v>1.5204718426427106</v>
          </cell>
          <cell r="G7">
            <v>1.34</v>
          </cell>
          <cell r="H7">
            <v>0.13468047958411233</v>
          </cell>
        </row>
        <row r="8">
          <cell r="A8" t="str">
            <v>HKEx</v>
          </cell>
          <cell r="B8">
            <v>1.6234510442969345</v>
          </cell>
          <cell r="C8">
            <v>1.2430000000000001</v>
          </cell>
          <cell r="D8">
            <v>0.30607485462343886</v>
          </cell>
          <cell r="F8">
            <v>1.7641479225449441</v>
          </cell>
          <cell r="G8">
            <v>1.357</v>
          </cell>
          <cell r="H8">
            <v>0.30003531506628156</v>
          </cell>
        </row>
      </sheetData>
      <sheetData sheetId="15" refreshError="1"/>
      <sheetData sheetId="16" refreshError="1">
        <row r="1">
          <cell r="B1" t="str">
            <v>Main Board</v>
          </cell>
          <cell r="C1" t="str">
            <v>Current Fees</v>
          </cell>
          <cell r="D1" t="str">
            <v>New Fees</v>
          </cell>
        </row>
        <row r="2">
          <cell r="A2" t="str">
            <v>Initial</v>
          </cell>
          <cell r="B2" t="str">
            <v>Minimum</v>
          </cell>
          <cell r="C2">
            <v>25000</v>
          </cell>
          <cell r="D2">
            <v>50000</v>
          </cell>
        </row>
        <row r="3">
          <cell r="B3" t="str">
            <v>Maximum</v>
          </cell>
          <cell r="C3">
            <v>100000</v>
          </cell>
          <cell r="D3">
            <v>200000</v>
          </cell>
        </row>
        <row r="4">
          <cell r="B4" t="str">
            <v>Variable rate/$mil</v>
          </cell>
          <cell r="C4">
            <v>100</v>
          </cell>
          <cell r="D4">
            <v>100</v>
          </cell>
        </row>
        <row r="5">
          <cell r="B5" t="str">
            <v>Basis</v>
          </cell>
          <cell r="C5" t="str">
            <v>Market Value</v>
          </cell>
          <cell r="D5" t="str">
            <v>Market Value</v>
          </cell>
        </row>
        <row r="6">
          <cell r="B6" t="str">
            <v>Processing</v>
          </cell>
          <cell r="C6" t="str">
            <v>$2,000-$10,000
(Based on complexity)</v>
          </cell>
          <cell r="D6" t="str">
            <v>$20,000 (Fixed)</v>
          </cell>
        </row>
        <row r="7">
          <cell r="A7" t="str">
            <v>Additional</v>
          </cell>
          <cell r="B7" t="str">
            <v>Minimum</v>
          </cell>
          <cell r="C7">
            <v>5000</v>
          </cell>
          <cell r="D7" t="str">
            <v>No change</v>
          </cell>
        </row>
        <row r="8">
          <cell r="B8" t="str">
            <v>Maximum</v>
          </cell>
          <cell r="C8">
            <v>100000</v>
          </cell>
        </row>
        <row r="9">
          <cell r="B9" t="str">
            <v>Variable rate/$mil</v>
          </cell>
          <cell r="C9">
            <v>100</v>
          </cell>
        </row>
        <row r="10">
          <cell r="B10" t="str">
            <v>Basis</v>
          </cell>
          <cell r="C10" t="str">
            <v>Market Value</v>
          </cell>
        </row>
        <row r="11">
          <cell r="B11" t="str">
            <v>Processing</v>
          </cell>
          <cell r="C11" t="str">
            <v>$2,000-$10,000
(Based on complexity)</v>
          </cell>
        </row>
        <row r="12">
          <cell r="A12" t="str">
            <v>Annual</v>
          </cell>
          <cell r="B12" t="str">
            <v>Minimum</v>
          </cell>
          <cell r="C12">
            <v>10000</v>
          </cell>
          <cell r="D12">
            <v>25000</v>
          </cell>
        </row>
        <row r="13">
          <cell r="B13" t="str">
            <v>Maximum</v>
          </cell>
          <cell r="C13">
            <v>25000</v>
          </cell>
          <cell r="D13">
            <v>100000</v>
          </cell>
        </row>
        <row r="14">
          <cell r="B14" t="str">
            <v>Variable rate/$mil</v>
          </cell>
          <cell r="C14">
            <v>25</v>
          </cell>
          <cell r="D14">
            <v>25</v>
          </cell>
        </row>
        <row r="15">
          <cell r="B15" t="str">
            <v>Basis</v>
          </cell>
          <cell r="C15" t="str">
            <v>Market Value</v>
          </cell>
          <cell r="D15" t="str">
            <v>Market Value</v>
          </cell>
        </row>
      </sheetData>
      <sheetData sheetId="17"/>
      <sheetData sheetId="18" refreshError="1">
        <row r="1">
          <cell r="A1" t="str">
            <v>(SG$mn)</v>
          </cell>
          <cell r="C1" t="str">
            <v>F2006E</v>
          </cell>
        </row>
        <row r="2">
          <cell r="A2" t="str">
            <v>Current Market Cap.</v>
          </cell>
          <cell r="B2" t="str">
            <v>(a)</v>
          </cell>
          <cell r="C2">
            <v>520530</v>
          </cell>
        </row>
        <row r="3">
          <cell r="A3" t="str">
            <v>1998-2004 Ave. Velocity</v>
          </cell>
          <cell r="B3" t="str">
            <v>(b)</v>
          </cell>
          <cell r="C3">
            <v>0.43</v>
          </cell>
        </row>
        <row r="4">
          <cell r="A4" t="str">
            <v>Average Turnover</v>
          </cell>
          <cell r="B4" t="str">
            <v>(c=a*b)</v>
          </cell>
          <cell r="C4">
            <v>223827.9</v>
          </cell>
        </row>
        <row r="5">
          <cell r="A5" t="str">
            <v>Per Day Average</v>
          </cell>
          <cell r="B5" t="str">
            <v>(d=c/250 trading days)</v>
          </cell>
          <cell r="C5">
            <v>895.3116</v>
          </cell>
        </row>
        <row r="7">
          <cell r="A7" t="str">
            <v>Normalized EPS</v>
          </cell>
          <cell r="C7">
            <v>0.14949999999999999</v>
          </cell>
        </row>
        <row r="8">
          <cell r="A8" t="str">
            <v>Current EPS</v>
          </cell>
          <cell r="C8">
            <v>0.17775415478806103</v>
          </cell>
        </row>
        <row r="9">
          <cell r="A9" t="str">
            <v>Difference</v>
          </cell>
          <cell r="C9">
            <v>-0.15895074194889502</v>
          </cell>
        </row>
        <row r="10">
          <cell r="E10" t="str">
            <v>Price</v>
          </cell>
          <cell r="F10">
            <v>3</v>
          </cell>
        </row>
        <row r="11">
          <cell r="A11" t="str">
            <v>Normalized P/E</v>
          </cell>
          <cell r="C11">
            <v>20.066889632107024</v>
          </cell>
        </row>
        <row r="12">
          <cell r="A12" t="str">
            <v>Current P/E</v>
          </cell>
          <cell r="C12">
            <v>16.877242636477025</v>
          </cell>
        </row>
      </sheetData>
      <sheetData sheetId="19" refreshError="1">
        <row r="1">
          <cell r="A1" t="str">
            <v>SGX: P/B vs ROE, 2000-2005E</v>
          </cell>
        </row>
        <row r="3">
          <cell r="B3" t="str">
            <v>P/B (LS)</v>
          </cell>
          <cell r="C3" t="str">
            <v>ROE (RS)</v>
          </cell>
        </row>
        <row r="6">
          <cell r="B6" t="str">
            <v>(a)</v>
          </cell>
          <cell r="C6" t="str">
            <v>(b)</v>
          </cell>
        </row>
        <row r="7">
          <cell r="A7">
            <v>36678</v>
          </cell>
          <cell r="C7">
            <v>7.435706087360737E-2</v>
          </cell>
        </row>
        <row r="8">
          <cell r="A8">
            <v>36708</v>
          </cell>
          <cell r="C8">
            <v>7.2885775471551742E-2</v>
          </cell>
        </row>
        <row r="9">
          <cell r="A9">
            <v>36739</v>
          </cell>
          <cell r="C9">
            <v>7.1414490069496114E-2</v>
          </cell>
        </row>
        <row r="10">
          <cell r="A10">
            <v>36770</v>
          </cell>
          <cell r="C10">
            <v>6.9943204667440487E-2</v>
          </cell>
        </row>
        <row r="11">
          <cell r="A11">
            <v>36800</v>
          </cell>
          <cell r="C11">
            <v>6.8471919265384859E-2</v>
          </cell>
        </row>
        <row r="12">
          <cell r="A12">
            <v>36831</v>
          </cell>
          <cell r="C12">
            <v>6.7000633863329231E-2</v>
          </cell>
        </row>
        <row r="13">
          <cell r="A13">
            <v>36889</v>
          </cell>
          <cell r="B13">
            <v>1.6303799999999999</v>
          </cell>
          <cell r="C13">
            <v>6.5529348461273604E-2</v>
          </cell>
        </row>
        <row r="14">
          <cell r="A14">
            <v>36922</v>
          </cell>
          <cell r="B14">
            <v>1.7432529999999999</v>
          </cell>
          <cell r="C14">
            <v>6.4058063059217976E-2</v>
          </cell>
          <cell r="E14" t="str">
            <v>(a) vs (b)</v>
          </cell>
          <cell r="G14">
            <v>0.85237788605452591</v>
          </cell>
        </row>
        <row r="15">
          <cell r="A15">
            <v>36950</v>
          </cell>
          <cell r="B15">
            <v>1.642922</v>
          </cell>
          <cell r="C15">
            <v>6.2586777657162349E-2</v>
          </cell>
        </row>
        <row r="16">
          <cell r="A16">
            <v>36980</v>
          </cell>
          <cell r="B16">
            <v>1.4171769999999999</v>
          </cell>
          <cell r="C16">
            <v>6.1115492255106721E-2</v>
          </cell>
        </row>
        <row r="17">
          <cell r="A17">
            <v>37011</v>
          </cell>
          <cell r="B17">
            <v>1.530049</v>
          </cell>
          <cell r="C17">
            <v>5.9644206853051093E-2</v>
          </cell>
        </row>
        <row r="18">
          <cell r="A18">
            <v>37042</v>
          </cell>
          <cell r="B18">
            <v>1.479884</v>
          </cell>
          <cell r="C18">
            <v>5.8172921450995466E-2</v>
          </cell>
        </row>
        <row r="19">
          <cell r="A19">
            <v>37071</v>
          </cell>
          <cell r="B19">
            <v>1.4527600000000001</v>
          </cell>
          <cell r="C19">
            <v>5.6701636048939852E-2</v>
          </cell>
        </row>
        <row r="20">
          <cell r="A20">
            <v>37103</v>
          </cell>
          <cell r="B20">
            <v>1.302475</v>
          </cell>
          <cell r="C20">
            <v>5.7879331803256731E-2</v>
          </cell>
        </row>
        <row r="21">
          <cell r="A21">
            <v>37134</v>
          </cell>
          <cell r="B21">
            <v>1.3275220000000001</v>
          </cell>
          <cell r="C21">
            <v>5.905702755757361E-2</v>
          </cell>
        </row>
        <row r="22">
          <cell r="A22">
            <v>37162</v>
          </cell>
          <cell r="B22">
            <v>1.2649030000000001</v>
          </cell>
          <cell r="C22">
            <v>6.023472331189049E-2</v>
          </cell>
        </row>
        <row r="23">
          <cell r="A23">
            <v>37195</v>
          </cell>
          <cell r="B23">
            <v>1.302475</v>
          </cell>
          <cell r="C23">
            <v>6.1412419066207369E-2</v>
          </cell>
        </row>
        <row r="24">
          <cell r="A24">
            <v>37225</v>
          </cell>
          <cell r="B24">
            <v>1.527903</v>
          </cell>
          <cell r="C24">
            <v>6.2590114820524248E-2</v>
          </cell>
        </row>
        <row r="25">
          <cell r="A25">
            <v>37256</v>
          </cell>
          <cell r="B25">
            <v>1.552951</v>
          </cell>
          <cell r="C25">
            <v>6.3767810574841127E-2</v>
          </cell>
        </row>
        <row r="26">
          <cell r="A26">
            <v>37287</v>
          </cell>
          <cell r="B26">
            <v>1.8034269999999999</v>
          </cell>
          <cell r="C26">
            <v>6.4945506329158006E-2</v>
          </cell>
        </row>
        <row r="27">
          <cell r="A27">
            <v>37315</v>
          </cell>
          <cell r="B27">
            <v>1.61557</v>
          </cell>
          <cell r="C27">
            <v>6.6123202083474886E-2</v>
          </cell>
        </row>
        <row r="28">
          <cell r="A28">
            <v>37344</v>
          </cell>
          <cell r="B28">
            <v>1.628093</v>
          </cell>
          <cell r="C28">
            <v>6.7300897837791765E-2</v>
          </cell>
        </row>
        <row r="29">
          <cell r="A29">
            <v>37376</v>
          </cell>
          <cell r="B29">
            <v>1.590522</v>
          </cell>
          <cell r="C29">
            <v>6.8478593592108644E-2</v>
          </cell>
        </row>
        <row r="30">
          <cell r="A30">
            <v>37407</v>
          </cell>
          <cell r="B30">
            <v>1.61557</v>
          </cell>
          <cell r="C30">
            <v>6.9656289346425523E-2</v>
          </cell>
        </row>
        <row r="31">
          <cell r="A31">
            <v>37435</v>
          </cell>
          <cell r="B31">
            <v>1.386614</v>
          </cell>
          <cell r="C31">
            <v>7.0833985100742403E-2</v>
          </cell>
        </row>
        <row r="32">
          <cell r="A32">
            <v>37468</v>
          </cell>
          <cell r="B32">
            <v>1.3627069999999999</v>
          </cell>
          <cell r="C32">
            <v>6.6559322985034461E-2</v>
          </cell>
        </row>
        <row r="33">
          <cell r="A33">
            <v>37498</v>
          </cell>
          <cell r="B33">
            <v>1.4583360000000001</v>
          </cell>
          <cell r="C33">
            <v>6.2284660869326512E-2</v>
          </cell>
        </row>
        <row r="34">
          <cell r="A34">
            <v>37529</v>
          </cell>
          <cell r="B34">
            <v>1.3746609999999999</v>
          </cell>
          <cell r="C34">
            <v>5.8009998753618564E-2</v>
          </cell>
        </row>
        <row r="35">
          <cell r="A35">
            <v>37560</v>
          </cell>
          <cell r="B35">
            <v>1.386614</v>
          </cell>
          <cell r="C35">
            <v>5.3735336637910615E-2</v>
          </cell>
        </row>
        <row r="36">
          <cell r="A36">
            <v>37589</v>
          </cell>
          <cell r="B36">
            <v>1.434429</v>
          </cell>
          <cell r="C36">
            <v>4.9460674522202666E-2</v>
          </cell>
        </row>
        <row r="37">
          <cell r="A37">
            <v>37621</v>
          </cell>
          <cell r="B37">
            <v>1.470289</v>
          </cell>
          <cell r="C37">
            <v>4.5186012406494717E-2</v>
          </cell>
        </row>
        <row r="38">
          <cell r="A38">
            <v>37652</v>
          </cell>
          <cell r="B38">
            <v>1.482243</v>
          </cell>
          <cell r="C38">
            <v>4.0911350290786769E-2</v>
          </cell>
        </row>
        <row r="39">
          <cell r="A39">
            <v>37680</v>
          </cell>
          <cell r="B39">
            <v>1.482243</v>
          </cell>
          <cell r="C39">
            <v>3.663668817507882E-2</v>
          </cell>
        </row>
        <row r="40">
          <cell r="A40">
            <v>37711</v>
          </cell>
          <cell r="B40">
            <v>1.494197</v>
          </cell>
          <cell r="C40">
            <v>3.2362026059370871E-2</v>
          </cell>
        </row>
        <row r="41">
          <cell r="A41">
            <v>37741</v>
          </cell>
          <cell r="B41">
            <v>1.4583360000000001</v>
          </cell>
          <cell r="C41">
            <v>2.8087363943662926E-2</v>
          </cell>
        </row>
        <row r="42">
          <cell r="A42">
            <v>37771</v>
          </cell>
          <cell r="B42">
            <v>1.542011</v>
          </cell>
          <cell r="C42">
            <v>2.3812701827954981E-2</v>
          </cell>
        </row>
        <row r="43">
          <cell r="A43">
            <v>37802</v>
          </cell>
          <cell r="B43">
            <v>1.7191190000000001</v>
          </cell>
          <cell r="C43">
            <v>1.9538039712247053E-2</v>
          </cell>
        </row>
        <row r="44">
          <cell r="A44">
            <v>37833</v>
          </cell>
          <cell r="B44">
            <v>1.894795</v>
          </cell>
          <cell r="C44">
            <v>3.3287474806427478E-2</v>
          </cell>
        </row>
        <row r="45">
          <cell r="A45">
            <v>37862</v>
          </cell>
          <cell r="B45">
            <v>2.070471</v>
          </cell>
          <cell r="C45">
            <v>4.7036909900607903E-2</v>
          </cell>
        </row>
        <row r="46">
          <cell r="A46">
            <v>37894</v>
          </cell>
          <cell r="B46">
            <v>2.2837930000000002</v>
          </cell>
          <cell r="C46">
            <v>6.0786344994788327E-2</v>
          </cell>
        </row>
        <row r="47">
          <cell r="A47">
            <v>37925</v>
          </cell>
          <cell r="B47">
            <v>2.0830199999999999</v>
          </cell>
          <cell r="C47">
            <v>7.4535780088968745E-2</v>
          </cell>
        </row>
        <row r="48">
          <cell r="A48">
            <v>37953</v>
          </cell>
          <cell r="B48">
            <v>2.070471</v>
          </cell>
          <cell r="C48">
            <v>8.8285215183149163E-2</v>
          </cell>
        </row>
        <row r="49">
          <cell r="A49">
            <v>37986</v>
          </cell>
          <cell r="B49">
            <v>2.1206649999999998</v>
          </cell>
          <cell r="C49">
            <v>0.10203465027732958</v>
          </cell>
        </row>
        <row r="50">
          <cell r="A50">
            <v>38016</v>
          </cell>
          <cell r="B50">
            <v>2.2210510000000001</v>
          </cell>
          <cell r="C50">
            <v>0.11578408537151</v>
          </cell>
        </row>
        <row r="51">
          <cell r="A51">
            <v>38044</v>
          </cell>
          <cell r="B51">
            <v>2.2085029999999999</v>
          </cell>
          <cell r="C51">
            <v>0.12953352046569042</v>
          </cell>
        </row>
        <row r="52">
          <cell r="A52">
            <v>38077</v>
          </cell>
          <cell r="B52">
            <v>2.0830199999999999</v>
          </cell>
          <cell r="C52">
            <v>0.14328295555987083</v>
          </cell>
        </row>
        <row r="53">
          <cell r="A53">
            <v>38107</v>
          </cell>
          <cell r="B53">
            <v>2.0453749999999999</v>
          </cell>
          <cell r="C53">
            <v>0.15703239065405125</v>
          </cell>
        </row>
        <row r="54">
          <cell r="A54">
            <v>38138</v>
          </cell>
          <cell r="B54">
            <v>1.9951810000000001</v>
          </cell>
          <cell r="C54">
            <v>0.17078182574823167</v>
          </cell>
        </row>
        <row r="55">
          <cell r="A55">
            <v>38168</v>
          </cell>
          <cell r="B55">
            <v>2.7003569999999999</v>
          </cell>
          <cell r="C55">
            <v>0.18453126084241214</v>
          </cell>
        </row>
        <row r="56">
          <cell r="A56">
            <v>38198</v>
          </cell>
          <cell r="B56">
            <v>2.7967979999999999</v>
          </cell>
          <cell r="C56">
            <v>0.18474724013631721</v>
          </cell>
        </row>
        <row r="57">
          <cell r="A57">
            <v>38230</v>
          </cell>
          <cell r="B57">
            <v>2.8610920000000002</v>
          </cell>
          <cell r="C57">
            <v>0.18496321943022226</v>
          </cell>
        </row>
        <row r="58">
          <cell r="A58">
            <v>38260</v>
          </cell>
          <cell r="B58">
            <v>2.8450190000000002</v>
          </cell>
          <cell r="C58">
            <v>0.1851791987241273</v>
          </cell>
        </row>
        <row r="59">
          <cell r="A59">
            <v>38289</v>
          </cell>
          <cell r="B59">
            <v>2.828945</v>
          </cell>
          <cell r="C59">
            <v>0.18539517801803235</v>
          </cell>
        </row>
        <row r="60">
          <cell r="A60">
            <v>38321</v>
          </cell>
          <cell r="B60">
            <v>2.7646510000000002</v>
          </cell>
          <cell r="C60">
            <v>0.18561115731193739</v>
          </cell>
        </row>
        <row r="61">
          <cell r="A61">
            <v>38352</v>
          </cell>
          <cell r="B61">
            <v>2.8771659999999999</v>
          </cell>
          <cell r="C61">
            <v>0.18582713660584244</v>
          </cell>
        </row>
        <row r="62">
          <cell r="A62">
            <v>38383</v>
          </cell>
          <cell r="B62">
            <v>3.0218280000000002</v>
          </cell>
          <cell r="C62">
            <v>0.18604311589974748</v>
          </cell>
        </row>
        <row r="63">
          <cell r="A63">
            <v>38411</v>
          </cell>
          <cell r="B63">
            <v>3.070049</v>
          </cell>
          <cell r="C63">
            <v>0.18625909519365252</v>
          </cell>
        </row>
        <row r="64">
          <cell r="A64">
            <v>38442</v>
          </cell>
          <cell r="B64">
            <v>3.3754460000000002</v>
          </cell>
          <cell r="C64">
            <v>0.18647507448755757</v>
          </cell>
        </row>
        <row r="65">
          <cell r="A65">
            <v>38471</v>
          </cell>
          <cell r="B65">
            <v>2.989681</v>
          </cell>
          <cell r="C65">
            <v>0.18669105378146261</v>
          </cell>
        </row>
        <row r="66">
          <cell r="A66">
            <v>38503</v>
          </cell>
          <cell r="B66">
            <v>3.0539749999999999</v>
          </cell>
          <cell r="C66">
            <v>0.18690703307536766</v>
          </cell>
        </row>
        <row r="67">
          <cell r="A67">
            <v>38533</v>
          </cell>
          <cell r="B67">
            <v>4.6331870000000004</v>
          </cell>
          <cell r="C67">
            <v>0.18712301236927284</v>
          </cell>
        </row>
        <row r="68">
          <cell r="A68">
            <v>38563</v>
          </cell>
          <cell r="B68">
            <v>4.7868950000000003</v>
          </cell>
          <cell r="C68">
            <v>0.20098879783524473</v>
          </cell>
        </row>
        <row r="69">
          <cell r="A69">
            <v>38595</v>
          </cell>
          <cell r="B69">
            <v>5.12</v>
          </cell>
          <cell r="C69">
            <v>0.21485458330121662</v>
          </cell>
        </row>
        <row r="70">
          <cell r="A70">
            <v>38625</v>
          </cell>
          <cell r="B70">
            <v>5.53</v>
          </cell>
          <cell r="C70">
            <v>0.22872036876718851</v>
          </cell>
        </row>
        <row r="71">
          <cell r="A71" t="str">
            <v>MTD</v>
          </cell>
          <cell r="B71">
            <v>5.86</v>
          </cell>
          <cell r="C71">
            <v>0.24258615423316041</v>
          </cell>
        </row>
        <row r="72">
          <cell r="A72">
            <v>38686</v>
          </cell>
          <cell r="C72">
            <v>0.25645193969913233</v>
          </cell>
        </row>
        <row r="73">
          <cell r="A73">
            <v>38717</v>
          </cell>
          <cell r="C73">
            <v>0.27031772516510422</v>
          </cell>
        </row>
        <row r="74">
          <cell r="A74">
            <v>38748</v>
          </cell>
          <cell r="C74">
            <v>0.28418351063107611</v>
          </cell>
        </row>
        <row r="75">
          <cell r="A75">
            <v>38776</v>
          </cell>
          <cell r="C75">
            <v>0.298049296097048</v>
          </cell>
        </row>
        <row r="76">
          <cell r="A76">
            <v>38807</v>
          </cell>
          <cell r="C76">
            <v>0.31191508156301989</v>
          </cell>
        </row>
        <row r="77">
          <cell r="A77">
            <v>38836</v>
          </cell>
          <cell r="C77">
            <v>0.32578086702899178</v>
          </cell>
        </row>
        <row r="78">
          <cell r="A78">
            <v>38868</v>
          </cell>
          <cell r="C78">
            <v>0.33964665249496367</v>
          </cell>
        </row>
        <row r="79">
          <cell r="A79">
            <v>38898</v>
          </cell>
          <cell r="C79">
            <v>0.35351243796093562</v>
          </cell>
        </row>
        <row r="294">
          <cell r="D294" t="str">
            <v>As at 19 May 2005</v>
          </cell>
        </row>
      </sheetData>
      <sheetData sheetId="20"/>
      <sheetData sheetId="21" refreshError="1"/>
      <sheetData sheetId="22" refreshError="1">
        <row r="1">
          <cell r="A1" t="str">
            <v>630386</v>
          </cell>
          <cell r="B1" t="str">
            <v>SINGAPORE EXCHANGE</v>
          </cell>
        </row>
        <row r="3">
          <cell r="B3" t="str">
            <v>Price</v>
          </cell>
        </row>
        <row r="4">
          <cell r="B4" t="str">
            <v>/Earns</v>
          </cell>
        </row>
        <row r="5">
          <cell r="A5" t="str">
            <v xml:space="preserve"> </v>
          </cell>
        </row>
        <row r="6">
          <cell r="A6" t="str">
            <v>28/01/2000</v>
          </cell>
          <cell r="B6" t="e">
            <v>#N/A</v>
          </cell>
        </row>
        <row r="7">
          <cell r="A7" t="str">
            <v>04/02/2000</v>
          </cell>
          <cell r="B7" t="e">
            <v>#N/A</v>
          </cell>
        </row>
        <row r="8">
          <cell r="A8" t="str">
            <v>11/02/2000</v>
          </cell>
          <cell r="B8" t="e">
            <v>#N/A</v>
          </cell>
        </row>
        <row r="9">
          <cell r="A9" t="str">
            <v>18/02/2000</v>
          </cell>
          <cell r="B9" t="e">
            <v>#N/A</v>
          </cell>
        </row>
        <row r="10">
          <cell r="A10" t="str">
            <v>25/02/2000</v>
          </cell>
          <cell r="B10" t="e">
            <v>#N/A</v>
          </cell>
        </row>
        <row r="11">
          <cell r="A11" t="str">
            <v>03/03/2000</v>
          </cell>
          <cell r="B11" t="e">
            <v>#N/A</v>
          </cell>
        </row>
        <row r="12">
          <cell r="A12" t="str">
            <v>10/03/2000</v>
          </cell>
          <cell r="B12" t="e">
            <v>#N/A</v>
          </cell>
        </row>
        <row r="13">
          <cell r="A13" t="str">
            <v>17/03/2000</v>
          </cell>
          <cell r="B13" t="e">
            <v>#N/A</v>
          </cell>
        </row>
        <row r="14">
          <cell r="A14" t="str">
            <v>24/03/2000</v>
          </cell>
          <cell r="B14" t="e">
            <v>#N/A</v>
          </cell>
        </row>
        <row r="15">
          <cell r="A15" t="str">
            <v>31/03/2000</v>
          </cell>
          <cell r="B15" t="e">
            <v>#N/A</v>
          </cell>
        </row>
        <row r="16">
          <cell r="A16" t="str">
            <v>07/04/2000</v>
          </cell>
          <cell r="B16" t="e">
            <v>#N/A</v>
          </cell>
        </row>
        <row r="17">
          <cell r="A17" t="str">
            <v>14/04/2000</v>
          </cell>
          <cell r="B17" t="e">
            <v>#N/A</v>
          </cell>
        </row>
        <row r="18">
          <cell r="A18" t="str">
            <v>20/04/2000</v>
          </cell>
          <cell r="B18" t="e">
            <v>#N/A</v>
          </cell>
        </row>
        <row r="19">
          <cell r="A19" t="str">
            <v>28/04/2000</v>
          </cell>
          <cell r="B19" t="e">
            <v>#N/A</v>
          </cell>
        </row>
        <row r="20">
          <cell r="A20" t="str">
            <v>05/05/2000</v>
          </cell>
          <cell r="B20" t="e">
            <v>#N/A</v>
          </cell>
        </row>
        <row r="21">
          <cell r="A21" t="str">
            <v>12/05/2000</v>
          </cell>
          <cell r="B21" t="e">
            <v>#N/A</v>
          </cell>
        </row>
        <row r="22">
          <cell r="A22" t="str">
            <v>19/05/2000</v>
          </cell>
          <cell r="B22" t="e">
            <v>#N/A</v>
          </cell>
        </row>
        <row r="23">
          <cell r="A23" t="str">
            <v>26/05/2000</v>
          </cell>
          <cell r="B23" t="e">
            <v>#N/A</v>
          </cell>
        </row>
        <row r="24">
          <cell r="A24" t="str">
            <v>02/06/2000</v>
          </cell>
          <cell r="B24" t="e">
            <v>#N/A</v>
          </cell>
        </row>
        <row r="25">
          <cell r="A25" t="str">
            <v>09/06/2000</v>
          </cell>
          <cell r="B25" t="e">
            <v>#N/A</v>
          </cell>
        </row>
        <row r="26">
          <cell r="A26" t="str">
            <v>16/06/2000</v>
          </cell>
          <cell r="B26" t="e">
            <v>#N/A</v>
          </cell>
        </row>
        <row r="27">
          <cell r="A27" t="str">
            <v>23/06/2000</v>
          </cell>
          <cell r="B27" t="e">
            <v>#N/A</v>
          </cell>
        </row>
        <row r="28">
          <cell r="A28" t="str">
            <v>30/06/2000</v>
          </cell>
          <cell r="B28" t="e">
            <v>#N/A</v>
          </cell>
        </row>
        <row r="29">
          <cell r="A29" t="str">
            <v>07/07/2000</v>
          </cell>
          <cell r="B29" t="e">
            <v>#N/A</v>
          </cell>
        </row>
        <row r="30">
          <cell r="A30" t="str">
            <v>14/07/2000</v>
          </cell>
          <cell r="B30" t="e">
            <v>#N/A</v>
          </cell>
        </row>
        <row r="31">
          <cell r="A31" t="str">
            <v>21/07/2000</v>
          </cell>
          <cell r="B31" t="e">
            <v>#N/A</v>
          </cell>
        </row>
        <row r="32">
          <cell r="A32" t="str">
            <v>28/07/2000</v>
          </cell>
          <cell r="B32" t="e">
            <v>#N/A</v>
          </cell>
        </row>
        <row r="33">
          <cell r="A33" t="str">
            <v>04/08/2000</v>
          </cell>
          <cell r="B33" t="e">
            <v>#N/A</v>
          </cell>
        </row>
        <row r="34">
          <cell r="A34" t="str">
            <v>11/08/2000</v>
          </cell>
          <cell r="B34" t="e">
            <v>#N/A</v>
          </cell>
        </row>
        <row r="35">
          <cell r="A35" t="str">
            <v>18/08/2000</v>
          </cell>
          <cell r="B35" t="e">
            <v>#N/A</v>
          </cell>
        </row>
        <row r="36">
          <cell r="A36" t="str">
            <v>25/08/2000</v>
          </cell>
          <cell r="B36" t="e">
            <v>#N/A</v>
          </cell>
        </row>
        <row r="37">
          <cell r="A37" t="str">
            <v>01/09/2000</v>
          </cell>
          <cell r="B37" t="e">
            <v>#N/A</v>
          </cell>
        </row>
        <row r="38">
          <cell r="A38" t="str">
            <v>08/09/2000</v>
          </cell>
          <cell r="B38" t="e">
            <v>#N/A</v>
          </cell>
        </row>
        <row r="39">
          <cell r="A39" t="str">
            <v>15/09/2000</v>
          </cell>
          <cell r="B39" t="e">
            <v>#N/A</v>
          </cell>
        </row>
        <row r="40">
          <cell r="A40" t="str">
            <v>22/09/2000</v>
          </cell>
          <cell r="B40" t="e">
            <v>#N/A</v>
          </cell>
        </row>
        <row r="41">
          <cell r="A41" t="str">
            <v>29/09/2000</v>
          </cell>
          <cell r="B41" t="e">
            <v>#N/A</v>
          </cell>
        </row>
        <row r="42">
          <cell r="A42" t="str">
            <v>06/10/2000</v>
          </cell>
          <cell r="B42" t="e">
            <v>#N/A</v>
          </cell>
        </row>
        <row r="43">
          <cell r="A43" t="str">
            <v>13/10/2000</v>
          </cell>
          <cell r="B43" t="e">
            <v>#N/A</v>
          </cell>
        </row>
        <row r="44">
          <cell r="A44" t="str">
            <v>20/10/2000</v>
          </cell>
          <cell r="B44" t="e">
            <v>#N/A</v>
          </cell>
        </row>
        <row r="45">
          <cell r="A45" t="str">
            <v>27/10/2000</v>
          </cell>
          <cell r="B45" t="e">
            <v>#N/A</v>
          </cell>
        </row>
        <row r="46">
          <cell r="A46" t="str">
            <v>03/11/2000</v>
          </cell>
          <cell r="B46" t="e">
            <v>#N/A</v>
          </cell>
        </row>
        <row r="47">
          <cell r="A47" t="str">
            <v>10/11/2000</v>
          </cell>
          <cell r="B47" t="e">
            <v>#N/A</v>
          </cell>
        </row>
        <row r="48">
          <cell r="A48" t="str">
            <v>17/11/2000</v>
          </cell>
          <cell r="B48" t="e">
            <v>#N/A</v>
          </cell>
        </row>
        <row r="49">
          <cell r="A49" t="str">
            <v>24/11/2000</v>
          </cell>
          <cell r="B49">
            <v>16.190480000000001</v>
          </cell>
          <cell r="D49">
            <v>25.333105019607839</v>
          </cell>
        </row>
        <row r="50">
          <cell r="A50" t="str">
            <v>01/12/2000</v>
          </cell>
          <cell r="B50">
            <v>15.476190000000001</v>
          </cell>
        </row>
        <row r="51">
          <cell r="A51" t="str">
            <v>08/12/2000</v>
          </cell>
          <cell r="B51">
            <v>16.428570000000001</v>
          </cell>
        </row>
        <row r="52">
          <cell r="A52" t="str">
            <v>15/12/2000</v>
          </cell>
          <cell r="B52">
            <v>15.476190000000001</v>
          </cell>
        </row>
        <row r="53">
          <cell r="A53" t="str">
            <v>22/12/2000</v>
          </cell>
          <cell r="B53">
            <v>15.238099999999999</v>
          </cell>
        </row>
        <row r="54">
          <cell r="A54" t="str">
            <v>29/12/2000</v>
          </cell>
          <cell r="B54">
            <v>19.117650000000001</v>
          </cell>
        </row>
        <row r="55">
          <cell r="A55" t="str">
            <v>05/01/2001</v>
          </cell>
          <cell r="B55">
            <v>19.411760000000001</v>
          </cell>
        </row>
        <row r="56">
          <cell r="A56" t="str">
            <v>12/01/2001</v>
          </cell>
          <cell r="B56">
            <v>20</v>
          </cell>
        </row>
        <row r="57">
          <cell r="A57" t="str">
            <v>19/01/2001</v>
          </cell>
          <cell r="B57">
            <v>19.117650000000001</v>
          </cell>
        </row>
        <row r="58">
          <cell r="A58" t="str">
            <v>26/01/2001</v>
          </cell>
          <cell r="B58">
            <v>18.823530000000002</v>
          </cell>
        </row>
        <row r="59">
          <cell r="A59" t="str">
            <v>02/02/2001</v>
          </cell>
          <cell r="B59">
            <v>20.14706</v>
          </cell>
        </row>
        <row r="60">
          <cell r="A60" t="str">
            <v>09/02/2001</v>
          </cell>
          <cell r="B60">
            <v>18.676469999999998</v>
          </cell>
        </row>
        <row r="61">
          <cell r="A61" t="str">
            <v>16/02/2001</v>
          </cell>
          <cell r="B61">
            <v>19.411760000000001</v>
          </cell>
        </row>
        <row r="62">
          <cell r="A62" t="str">
            <v>23/02/2001</v>
          </cell>
          <cell r="B62">
            <v>19.705880000000001</v>
          </cell>
        </row>
        <row r="63">
          <cell r="A63" t="str">
            <v>02/03/2001</v>
          </cell>
          <cell r="B63">
            <v>18.970590000000001</v>
          </cell>
        </row>
        <row r="64">
          <cell r="A64" t="str">
            <v>09/03/2001</v>
          </cell>
          <cell r="B64">
            <v>19.411760000000001</v>
          </cell>
        </row>
        <row r="65">
          <cell r="A65" t="str">
            <v>16/03/2001</v>
          </cell>
          <cell r="B65">
            <v>17.794119999999999</v>
          </cell>
        </row>
        <row r="66">
          <cell r="A66" t="str">
            <v>23/03/2001</v>
          </cell>
          <cell r="B66">
            <v>16.764710000000001</v>
          </cell>
        </row>
        <row r="67">
          <cell r="A67" t="str">
            <v>30/03/2001</v>
          </cell>
          <cell r="B67">
            <v>17.030899999999999</v>
          </cell>
        </row>
        <row r="68">
          <cell r="A68" t="str">
            <v>06/04/2001</v>
          </cell>
          <cell r="B68">
            <v>17.483039999999999</v>
          </cell>
        </row>
        <row r="69">
          <cell r="A69" t="str">
            <v>12/04/2001</v>
          </cell>
          <cell r="B69">
            <v>17.030899999999999</v>
          </cell>
        </row>
        <row r="70">
          <cell r="A70" t="str">
            <v>20/04/2001</v>
          </cell>
          <cell r="B70">
            <v>17.784479999999999</v>
          </cell>
        </row>
        <row r="71">
          <cell r="A71" t="str">
            <v>27/04/2001</v>
          </cell>
          <cell r="B71">
            <v>18.085909999999998</v>
          </cell>
        </row>
        <row r="72">
          <cell r="A72" t="str">
            <v>04/05/2001</v>
          </cell>
          <cell r="B72">
            <v>18.688770000000002</v>
          </cell>
        </row>
        <row r="73">
          <cell r="A73" t="str">
            <v>11/05/2001</v>
          </cell>
          <cell r="B73">
            <v>17.483039999999999</v>
          </cell>
          <cell r="D73" t="str">
            <v>exclude 2003</v>
          </cell>
          <cell r="E73">
            <v>19.370785911330064</v>
          </cell>
        </row>
        <row r="74">
          <cell r="A74" t="str">
            <v>18/05/2001</v>
          </cell>
          <cell r="B74">
            <v>17.935189999999999</v>
          </cell>
        </row>
        <row r="75">
          <cell r="A75" t="str">
            <v>25/05/2001</v>
          </cell>
          <cell r="B75">
            <v>18.236630000000002</v>
          </cell>
        </row>
        <row r="76">
          <cell r="A76" t="str">
            <v>01/06/2001</v>
          </cell>
          <cell r="B76">
            <v>17.935189999999999</v>
          </cell>
        </row>
        <row r="77">
          <cell r="A77" t="str">
            <v>08/06/2001</v>
          </cell>
          <cell r="B77">
            <v>18.688770000000002</v>
          </cell>
        </row>
        <row r="78">
          <cell r="A78" t="str">
            <v>15/06/2001</v>
          </cell>
          <cell r="B78">
            <v>18.085909999999998</v>
          </cell>
        </row>
        <row r="79">
          <cell r="A79" t="str">
            <v>22/06/2001</v>
          </cell>
          <cell r="B79">
            <v>18.085909999999998</v>
          </cell>
        </row>
        <row r="80">
          <cell r="A80" t="str">
            <v>29/06/2001</v>
          </cell>
          <cell r="B80">
            <v>17.928899999999999</v>
          </cell>
        </row>
        <row r="81">
          <cell r="A81" t="str">
            <v>06/07/2001</v>
          </cell>
          <cell r="B81">
            <v>17.310669999999998</v>
          </cell>
        </row>
        <row r="82">
          <cell r="A82" t="str">
            <v>13/07/2001</v>
          </cell>
          <cell r="B82">
            <v>16.846990000000002</v>
          </cell>
        </row>
        <row r="83">
          <cell r="A83" t="str">
            <v>20/07/2001</v>
          </cell>
          <cell r="B83">
            <v>15.91963</v>
          </cell>
        </row>
        <row r="84">
          <cell r="A84" t="str">
            <v>27/07/2001</v>
          </cell>
          <cell r="B84">
            <v>16.383310000000002</v>
          </cell>
        </row>
        <row r="85">
          <cell r="A85" t="str">
            <v>03/08/2001</v>
          </cell>
          <cell r="B85">
            <v>16.383310000000002</v>
          </cell>
        </row>
        <row r="86">
          <cell r="A86" t="str">
            <v>10/08/2001</v>
          </cell>
          <cell r="B86">
            <v>15.61051</v>
          </cell>
        </row>
        <row r="87">
          <cell r="A87" t="str">
            <v>17/08/2001</v>
          </cell>
          <cell r="B87">
            <v>16.692430000000002</v>
          </cell>
        </row>
        <row r="88">
          <cell r="A88" t="str">
            <v>24/08/2001</v>
          </cell>
          <cell r="B88">
            <v>16.228750000000002</v>
          </cell>
        </row>
        <row r="89">
          <cell r="A89" t="str">
            <v>31/08/2001</v>
          </cell>
          <cell r="B89">
            <v>16.383310000000002</v>
          </cell>
        </row>
        <row r="90">
          <cell r="A90" t="str">
            <v>07/09/2001</v>
          </cell>
          <cell r="B90">
            <v>15.91963</v>
          </cell>
        </row>
        <row r="91">
          <cell r="A91" t="str">
            <v>10/09/2001</v>
          </cell>
          <cell r="B91">
            <v>16.074190000000002</v>
          </cell>
        </row>
        <row r="92">
          <cell r="A92" t="str">
            <v>21/09/2001</v>
          </cell>
          <cell r="B92">
            <v>13.910360000000001</v>
          </cell>
        </row>
        <row r="93">
          <cell r="A93" t="str">
            <v>28/09/2001</v>
          </cell>
          <cell r="B93">
            <v>15.17656</v>
          </cell>
        </row>
        <row r="94">
          <cell r="A94" t="str">
            <v>05/10/2001</v>
          </cell>
          <cell r="B94">
            <v>15.777609999999999</v>
          </cell>
        </row>
        <row r="95">
          <cell r="A95" t="str">
            <v>12/10/2001</v>
          </cell>
          <cell r="B95">
            <v>16.528919999999999</v>
          </cell>
        </row>
        <row r="96">
          <cell r="A96" t="str">
            <v>19/10/2001</v>
          </cell>
          <cell r="B96">
            <v>15.32682</v>
          </cell>
        </row>
        <row r="97">
          <cell r="A97" t="str">
            <v>26/10/2001</v>
          </cell>
          <cell r="B97">
            <v>15.32682</v>
          </cell>
        </row>
        <row r="98">
          <cell r="A98" t="str">
            <v>02/11/2001</v>
          </cell>
          <cell r="B98">
            <v>15.477080000000001</v>
          </cell>
        </row>
        <row r="99">
          <cell r="A99" t="str">
            <v>09/11/2001</v>
          </cell>
          <cell r="B99">
            <v>15.477080000000001</v>
          </cell>
        </row>
        <row r="100">
          <cell r="A100" t="str">
            <v>16/11/2001</v>
          </cell>
          <cell r="B100">
            <v>17.88129</v>
          </cell>
        </row>
        <row r="101">
          <cell r="A101" t="str">
            <v>23/11/2001</v>
          </cell>
          <cell r="B101">
            <v>18.332080000000001</v>
          </cell>
        </row>
        <row r="102">
          <cell r="A102" t="str">
            <v>30/11/2001</v>
          </cell>
          <cell r="B102">
            <v>18.332080000000001</v>
          </cell>
        </row>
        <row r="103">
          <cell r="A103" t="str">
            <v>07/12/2001</v>
          </cell>
          <cell r="B103">
            <v>18.63261</v>
          </cell>
        </row>
        <row r="104">
          <cell r="A104" t="str">
            <v>14/12/2001</v>
          </cell>
          <cell r="B104">
            <v>17.430499999999999</v>
          </cell>
        </row>
        <row r="105">
          <cell r="A105" t="str">
            <v>21/12/2001</v>
          </cell>
          <cell r="B105">
            <v>17.430499999999999</v>
          </cell>
        </row>
        <row r="106">
          <cell r="A106" t="str">
            <v>28/12/2001</v>
          </cell>
          <cell r="B106">
            <v>18.332080000000001</v>
          </cell>
        </row>
        <row r="107">
          <cell r="A107" t="str">
            <v>04/01/2002</v>
          </cell>
          <cell r="B107">
            <v>18.274850000000001</v>
          </cell>
        </row>
        <row r="108">
          <cell r="A108" t="str">
            <v>11/01/2002</v>
          </cell>
          <cell r="B108">
            <v>19.005849999999999</v>
          </cell>
        </row>
        <row r="109">
          <cell r="A109" t="str">
            <v>18/01/2002</v>
          </cell>
          <cell r="B109">
            <v>19.44444</v>
          </cell>
        </row>
        <row r="110">
          <cell r="A110" t="str">
            <v>25/01/2002</v>
          </cell>
          <cell r="B110">
            <v>20.029240000000001</v>
          </cell>
        </row>
        <row r="111">
          <cell r="A111" t="str">
            <v>01/02/2002</v>
          </cell>
          <cell r="B111">
            <v>20.61403</v>
          </cell>
        </row>
        <row r="112">
          <cell r="A112" t="str">
            <v>08/02/2002</v>
          </cell>
          <cell r="B112">
            <v>19.736840000000001</v>
          </cell>
        </row>
        <row r="113">
          <cell r="A113" t="str">
            <v>15/02/2002</v>
          </cell>
          <cell r="B113">
            <v>20.61403</v>
          </cell>
        </row>
        <row r="114">
          <cell r="A114" t="str">
            <v>22/02/2002</v>
          </cell>
          <cell r="B114">
            <v>18.567250000000001</v>
          </cell>
        </row>
        <row r="115">
          <cell r="A115" t="str">
            <v>01/03/2002</v>
          </cell>
          <cell r="B115">
            <v>19.44444</v>
          </cell>
        </row>
        <row r="116">
          <cell r="A116" t="str">
            <v>08/03/2002</v>
          </cell>
          <cell r="B116">
            <v>20.029240000000001</v>
          </cell>
        </row>
        <row r="117">
          <cell r="A117" t="str">
            <v>15/03/2002</v>
          </cell>
          <cell r="B117">
            <v>20.175439999999998</v>
          </cell>
        </row>
        <row r="118">
          <cell r="A118" t="str">
            <v>22/03/2002</v>
          </cell>
          <cell r="B118">
            <v>20.029240000000001</v>
          </cell>
        </row>
        <row r="119">
          <cell r="A119" t="str">
            <v>28/03/2002</v>
          </cell>
          <cell r="B119">
            <v>20.108280000000001</v>
          </cell>
        </row>
        <row r="120">
          <cell r="A120" t="str">
            <v>05/04/2002</v>
          </cell>
          <cell r="B120">
            <v>19.798919999999999</v>
          </cell>
        </row>
        <row r="121">
          <cell r="A121" t="str">
            <v>12/04/2002</v>
          </cell>
          <cell r="B121">
            <v>20.417629999999999</v>
          </cell>
        </row>
        <row r="122">
          <cell r="A122" t="str">
            <v>19/04/2002</v>
          </cell>
          <cell r="B122">
            <v>20.108280000000001</v>
          </cell>
        </row>
        <row r="123">
          <cell r="A123" t="str">
            <v>26/04/2002</v>
          </cell>
          <cell r="B123">
            <v>20.108280000000001</v>
          </cell>
        </row>
        <row r="124">
          <cell r="A124" t="str">
            <v>03/05/2002</v>
          </cell>
          <cell r="B124">
            <v>20.108280000000001</v>
          </cell>
        </row>
        <row r="125">
          <cell r="A125" t="str">
            <v>10/05/2002</v>
          </cell>
          <cell r="B125">
            <v>20.417629999999999</v>
          </cell>
        </row>
        <row r="126">
          <cell r="A126" t="str">
            <v>17/05/2002</v>
          </cell>
          <cell r="B126">
            <v>19.64424</v>
          </cell>
        </row>
        <row r="127">
          <cell r="A127" t="str">
            <v>24/05/2002</v>
          </cell>
          <cell r="B127">
            <v>19.953600000000002</v>
          </cell>
        </row>
        <row r="128">
          <cell r="A128" t="str">
            <v>31/05/2002</v>
          </cell>
          <cell r="B128">
            <v>19.953600000000002</v>
          </cell>
        </row>
        <row r="129">
          <cell r="A129" t="str">
            <v>07/06/2002</v>
          </cell>
          <cell r="B129">
            <v>19.180199999999999</v>
          </cell>
        </row>
        <row r="130">
          <cell r="A130" t="str">
            <v>14/06/2002</v>
          </cell>
          <cell r="B130">
            <v>18.561489999999999</v>
          </cell>
        </row>
        <row r="131">
          <cell r="A131" t="str">
            <v>21/06/2002</v>
          </cell>
          <cell r="B131">
            <v>17.942769999999999</v>
          </cell>
        </row>
        <row r="132">
          <cell r="A132" t="str">
            <v>28/06/2002</v>
          </cell>
          <cell r="B132">
            <v>19.047619999999998</v>
          </cell>
        </row>
        <row r="133">
          <cell r="A133" t="str">
            <v>05/07/2002</v>
          </cell>
          <cell r="B133">
            <v>20.361249999999998</v>
          </cell>
        </row>
        <row r="134">
          <cell r="A134" t="str">
            <v>12/07/2002</v>
          </cell>
          <cell r="B134">
            <v>19.704440000000002</v>
          </cell>
        </row>
        <row r="135">
          <cell r="A135" t="str">
            <v>19/07/2002</v>
          </cell>
          <cell r="B135">
            <v>19.047619999999998</v>
          </cell>
        </row>
        <row r="136">
          <cell r="A136" t="str">
            <v>26/07/2002</v>
          </cell>
          <cell r="B136">
            <v>18.555009999999999</v>
          </cell>
        </row>
        <row r="137">
          <cell r="A137" t="str">
            <v>02/08/2002</v>
          </cell>
          <cell r="B137">
            <v>19.047619999999998</v>
          </cell>
        </row>
        <row r="138">
          <cell r="A138" t="str">
            <v>09/08/2002</v>
          </cell>
          <cell r="B138">
            <v>18.883420000000001</v>
          </cell>
        </row>
        <row r="139">
          <cell r="A139" t="str">
            <v>16/08/2002</v>
          </cell>
          <cell r="B139">
            <v>19.704440000000002</v>
          </cell>
        </row>
        <row r="140">
          <cell r="A140" t="str">
            <v>23/08/2002</v>
          </cell>
          <cell r="B140">
            <v>20.197040000000001</v>
          </cell>
        </row>
        <row r="141">
          <cell r="A141" t="str">
            <v>30/08/2002</v>
          </cell>
          <cell r="B141">
            <v>20.03284</v>
          </cell>
        </row>
        <row r="142">
          <cell r="A142" t="str">
            <v>06/09/2002</v>
          </cell>
          <cell r="B142">
            <v>19.540230000000001</v>
          </cell>
        </row>
        <row r="143">
          <cell r="A143" t="str">
            <v>13/09/2002</v>
          </cell>
          <cell r="B143">
            <v>19.540230000000001</v>
          </cell>
        </row>
        <row r="144">
          <cell r="A144" t="str">
            <v>20/09/2002</v>
          </cell>
          <cell r="B144">
            <v>19.540230000000001</v>
          </cell>
        </row>
        <row r="145">
          <cell r="A145" t="str">
            <v>27/09/2002</v>
          </cell>
          <cell r="B145">
            <v>19.211819999999999</v>
          </cell>
        </row>
        <row r="146">
          <cell r="A146" t="str">
            <v>04/10/2002</v>
          </cell>
          <cell r="B146">
            <v>16.897300000000001</v>
          </cell>
        </row>
        <row r="147">
          <cell r="A147" t="str">
            <v>11/10/2002</v>
          </cell>
          <cell r="B147">
            <v>16.314640000000001</v>
          </cell>
        </row>
        <row r="148">
          <cell r="A148" t="str">
            <v>18/10/2002</v>
          </cell>
          <cell r="B148">
            <v>17.334299999999999</v>
          </cell>
        </row>
        <row r="149">
          <cell r="A149" t="str">
            <v>25/10/2002</v>
          </cell>
          <cell r="B149">
            <v>17.188639999999999</v>
          </cell>
        </row>
        <row r="150">
          <cell r="A150" t="str">
            <v>01/11/2002</v>
          </cell>
          <cell r="B150">
            <v>16.605969999999999</v>
          </cell>
        </row>
        <row r="151">
          <cell r="A151" t="str">
            <v>08/11/2002</v>
          </cell>
          <cell r="B151">
            <v>16.46031</v>
          </cell>
        </row>
        <row r="152">
          <cell r="A152" t="str">
            <v>15/11/2002</v>
          </cell>
          <cell r="B152">
            <v>16.897300000000001</v>
          </cell>
        </row>
        <row r="153">
          <cell r="A153" t="str">
            <v>22/11/2002</v>
          </cell>
          <cell r="B153">
            <v>17.334299999999999</v>
          </cell>
        </row>
        <row r="154">
          <cell r="A154" t="str">
            <v>29/11/2002</v>
          </cell>
          <cell r="B154">
            <v>17.479970000000002</v>
          </cell>
        </row>
        <row r="155">
          <cell r="A155" t="str">
            <v>06/12/2002</v>
          </cell>
          <cell r="B155">
            <v>17.188639999999999</v>
          </cell>
        </row>
        <row r="156">
          <cell r="A156" t="str">
            <v>13/12/2002</v>
          </cell>
          <cell r="B156">
            <v>16.751639999999998</v>
          </cell>
        </row>
        <row r="157">
          <cell r="A157" t="str">
            <v>20/12/2002</v>
          </cell>
          <cell r="B157">
            <v>17.04297</v>
          </cell>
        </row>
        <row r="158">
          <cell r="A158" t="str">
            <v>27/12/2002</v>
          </cell>
          <cell r="B158">
            <v>17.479970000000002</v>
          </cell>
        </row>
        <row r="159">
          <cell r="A159" t="str">
            <v>03/01/2003</v>
          </cell>
          <cell r="B159">
            <v>17.521370000000001</v>
          </cell>
        </row>
        <row r="160">
          <cell r="A160" t="str">
            <v>10/01/2003</v>
          </cell>
          <cell r="B160">
            <v>17.09402</v>
          </cell>
        </row>
        <row r="161">
          <cell r="A161" t="str">
            <v>17/01/2003</v>
          </cell>
          <cell r="B161">
            <v>17.806270000000001</v>
          </cell>
        </row>
        <row r="162">
          <cell r="A162" t="str">
            <v>24/01/2003</v>
          </cell>
          <cell r="B162">
            <v>17.663820000000001</v>
          </cell>
        </row>
        <row r="163">
          <cell r="A163" t="str">
            <v>31/01/2003</v>
          </cell>
          <cell r="B163">
            <v>17.663820000000001</v>
          </cell>
        </row>
        <row r="164">
          <cell r="A164" t="str">
            <v>07/02/2003</v>
          </cell>
          <cell r="B164">
            <v>17.663820000000001</v>
          </cell>
        </row>
        <row r="165">
          <cell r="A165" t="str">
            <v>14/02/2003</v>
          </cell>
          <cell r="B165">
            <v>17.09402</v>
          </cell>
        </row>
        <row r="166">
          <cell r="A166" t="str">
            <v>21/02/2003</v>
          </cell>
          <cell r="B166">
            <v>17.806270000000001</v>
          </cell>
        </row>
        <row r="167">
          <cell r="A167" t="str">
            <v>28/02/2003</v>
          </cell>
          <cell r="B167">
            <v>17.663820000000001</v>
          </cell>
        </row>
        <row r="168">
          <cell r="A168" t="str">
            <v>07/03/2003</v>
          </cell>
          <cell r="B168">
            <v>17.236470000000001</v>
          </cell>
        </row>
        <row r="169">
          <cell r="A169" t="str">
            <v>14/03/2003</v>
          </cell>
          <cell r="B169">
            <v>17.378920000000001</v>
          </cell>
        </row>
        <row r="170">
          <cell r="A170" t="str">
            <v>21/03/2003</v>
          </cell>
          <cell r="B170">
            <v>17.663820000000001</v>
          </cell>
        </row>
        <row r="171">
          <cell r="A171" t="str">
            <v>28/03/2003</v>
          </cell>
          <cell r="B171">
            <v>17.663820000000001</v>
          </cell>
        </row>
        <row r="172">
          <cell r="A172" t="str">
            <v>04/04/2003</v>
          </cell>
          <cell r="B172">
            <v>20.094190000000001</v>
          </cell>
        </row>
        <row r="173">
          <cell r="A173" t="str">
            <v>11/04/2003</v>
          </cell>
          <cell r="B173">
            <v>20.251180000000002</v>
          </cell>
        </row>
        <row r="174">
          <cell r="A174" t="str">
            <v>17/04/2003</v>
          </cell>
          <cell r="B174">
            <v>19.62323</v>
          </cell>
        </row>
        <row r="175">
          <cell r="A175" t="str">
            <v>25/04/2003</v>
          </cell>
          <cell r="B175">
            <v>18.524329999999999</v>
          </cell>
        </row>
        <row r="176">
          <cell r="A176" t="str">
            <v>02/05/2003</v>
          </cell>
          <cell r="B176">
            <v>19.62323</v>
          </cell>
        </row>
        <row r="177">
          <cell r="A177" t="str">
            <v>09/05/2003</v>
          </cell>
          <cell r="B177">
            <v>19.466249999999999</v>
          </cell>
        </row>
        <row r="178">
          <cell r="A178" t="str">
            <v>16/05/2003</v>
          </cell>
          <cell r="B178">
            <v>19.62323</v>
          </cell>
        </row>
        <row r="179">
          <cell r="A179" t="str">
            <v>23/05/2003</v>
          </cell>
          <cell r="B179">
            <v>20.251180000000002</v>
          </cell>
        </row>
        <row r="180">
          <cell r="A180" t="str">
            <v>30/05/2003</v>
          </cell>
          <cell r="B180">
            <v>20.251180000000002</v>
          </cell>
        </row>
        <row r="181">
          <cell r="A181" t="str">
            <v>06/06/2003</v>
          </cell>
          <cell r="B181">
            <v>21.350079999999998</v>
          </cell>
        </row>
        <row r="182">
          <cell r="A182" t="str">
            <v>13/06/2003</v>
          </cell>
          <cell r="B182">
            <v>22.448979999999999</v>
          </cell>
        </row>
        <row r="183">
          <cell r="A183" t="str">
            <v>20/06/2003</v>
          </cell>
          <cell r="B183">
            <v>21.82104</v>
          </cell>
        </row>
        <row r="184">
          <cell r="A184" t="str">
            <v>27/06/2003</v>
          </cell>
          <cell r="B184">
            <v>21.82104</v>
          </cell>
        </row>
        <row r="185">
          <cell r="A185" t="str">
            <v>03/07/2003</v>
          </cell>
          <cell r="B185">
            <v>88.749989999999997</v>
          </cell>
        </row>
        <row r="186">
          <cell r="A186" t="str">
            <v>11/07/2003</v>
          </cell>
          <cell r="B186">
            <v>91.875</v>
          </cell>
        </row>
        <row r="187">
          <cell r="A187" t="str">
            <v>18/07/2003</v>
          </cell>
          <cell r="B187">
            <v>92.5</v>
          </cell>
        </row>
        <row r="188">
          <cell r="A188" t="str">
            <v>25/07/2003</v>
          </cell>
          <cell r="B188">
            <v>91.875</v>
          </cell>
        </row>
        <row r="189">
          <cell r="A189" t="str">
            <v>01/08/2003</v>
          </cell>
          <cell r="B189">
            <v>94.999989999999997</v>
          </cell>
        </row>
        <row r="190">
          <cell r="A190" t="str">
            <v>08/08/2003</v>
          </cell>
          <cell r="B190">
            <v>92.5</v>
          </cell>
        </row>
        <row r="191">
          <cell r="A191" t="str">
            <v>15/08/2003</v>
          </cell>
          <cell r="B191">
            <v>97.5</v>
          </cell>
        </row>
        <row r="192">
          <cell r="A192" t="str">
            <v>22/08/2003</v>
          </cell>
          <cell r="B192">
            <v>98.125</v>
          </cell>
        </row>
        <row r="193">
          <cell r="A193" t="str">
            <v>29/08/2003</v>
          </cell>
          <cell r="B193">
            <v>103.125</v>
          </cell>
        </row>
        <row r="194">
          <cell r="A194" t="str">
            <v>05/09/2003</v>
          </cell>
          <cell r="B194">
            <v>102.5</v>
          </cell>
        </row>
        <row r="195">
          <cell r="A195" t="str">
            <v>12/09/2003</v>
          </cell>
          <cell r="B195">
            <v>105.625</v>
          </cell>
        </row>
        <row r="196">
          <cell r="A196" t="str">
            <v>19/09/2003</v>
          </cell>
          <cell r="B196">
            <v>108.125</v>
          </cell>
        </row>
        <row r="197">
          <cell r="A197" t="str">
            <v>26/09/2003</v>
          </cell>
          <cell r="B197">
            <v>111.25</v>
          </cell>
        </row>
        <row r="198">
          <cell r="A198" t="str">
            <v>03/10/2003</v>
          </cell>
          <cell r="B198">
            <v>61.538460000000001</v>
          </cell>
        </row>
        <row r="199">
          <cell r="A199" t="str">
            <v>10/10/2003</v>
          </cell>
          <cell r="B199">
            <v>63.210700000000003</v>
          </cell>
        </row>
        <row r="200">
          <cell r="A200" t="str">
            <v>17/10/2003</v>
          </cell>
          <cell r="B200">
            <v>67.892970000000005</v>
          </cell>
        </row>
        <row r="201">
          <cell r="A201" t="str">
            <v>24/10/2003</v>
          </cell>
          <cell r="B201">
            <v>68.227419999999995</v>
          </cell>
        </row>
        <row r="202">
          <cell r="A202" t="str">
            <v>31/10/2003</v>
          </cell>
          <cell r="B202">
            <v>55.5184</v>
          </cell>
        </row>
        <row r="203">
          <cell r="A203" t="str">
            <v>07/11/2003</v>
          </cell>
          <cell r="B203">
            <v>57.190640000000002</v>
          </cell>
        </row>
        <row r="204">
          <cell r="A204" t="str">
            <v>14/11/2003</v>
          </cell>
          <cell r="B204">
            <v>54.849499999999999</v>
          </cell>
        </row>
        <row r="205">
          <cell r="A205" t="str">
            <v>21/11/2003</v>
          </cell>
          <cell r="B205">
            <v>52.84281</v>
          </cell>
        </row>
        <row r="206">
          <cell r="A206" t="str">
            <v>28/11/2003</v>
          </cell>
          <cell r="B206">
            <v>55.183950000000003</v>
          </cell>
        </row>
        <row r="207">
          <cell r="A207" t="str">
            <v>05/12/2003</v>
          </cell>
          <cell r="B207">
            <v>55.852849999999997</v>
          </cell>
        </row>
        <row r="208">
          <cell r="A208" t="str">
            <v>12/12/2003</v>
          </cell>
          <cell r="B208">
            <v>53.846159999999998</v>
          </cell>
        </row>
        <row r="209">
          <cell r="A209" t="str">
            <v>19/12/2003</v>
          </cell>
          <cell r="B209">
            <v>54.515050000000002</v>
          </cell>
        </row>
        <row r="210">
          <cell r="A210" t="str">
            <v>26/12/2003</v>
          </cell>
          <cell r="B210">
            <v>55.183950000000003</v>
          </cell>
        </row>
        <row r="211">
          <cell r="A211" t="str">
            <v>02/01/2004</v>
          </cell>
          <cell r="B211">
            <v>37.665199999999999</v>
          </cell>
        </row>
        <row r="212">
          <cell r="A212" t="str">
            <v>09/01/2004</v>
          </cell>
          <cell r="B212">
            <v>40.088099999999997</v>
          </cell>
        </row>
        <row r="213">
          <cell r="A213" t="str">
            <v>16/01/2004</v>
          </cell>
          <cell r="B213">
            <v>40.308369999999996</v>
          </cell>
        </row>
        <row r="214">
          <cell r="A214" t="str">
            <v>23/01/2004</v>
          </cell>
          <cell r="B214">
            <v>40.748899999999999</v>
          </cell>
        </row>
        <row r="215">
          <cell r="A215" t="str">
            <v>30/01/2004</v>
          </cell>
          <cell r="B215">
            <v>38.986780000000003</v>
          </cell>
        </row>
        <row r="216">
          <cell r="A216" t="str">
            <v>06/02/2004</v>
          </cell>
          <cell r="B216">
            <v>38.986780000000003</v>
          </cell>
        </row>
        <row r="217">
          <cell r="A217" t="str">
            <v>13/02/2004</v>
          </cell>
          <cell r="B217">
            <v>38.546250000000001</v>
          </cell>
        </row>
        <row r="218">
          <cell r="A218" t="str">
            <v>20/02/2004</v>
          </cell>
          <cell r="B218">
            <v>38.76652</v>
          </cell>
        </row>
        <row r="219">
          <cell r="A219" t="str">
            <v>27/02/2004</v>
          </cell>
          <cell r="B219">
            <v>38.76652</v>
          </cell>
        </row>
        <row r="220">
          <cell r="A220" t="str">
            <v>05/03/2004</v>
          </cell>
          <cell r="B220">
            <v>38.325989999999997</v>
          </cell>
        </row>
        <row r="221">
          <cell r="A221" t="str">
            <v>12/03/2004</v>
          </cell>
          <cell r="B221">
            <v>36.563879999999997</v>
          </cell>
        </row>
        <row r="222">
          <cell r="A222" t="str">
            <v>19/03/2004</v>
          </cell>
          <cell r="B222">
            <v>36.123350000000002</v>
          </cell>
        </row>
        <row r="223">
          <cell r="A223" t="str">
            <v>26/03/2004</v>
          </cell>
          <cell r="B223">
            <v>36.784140000000001</v>
          </cell>
        </row>
        <row r="224">
          <cell r="A224" t="str">
            <v>02/04/2004</v>
          </cell>
          <cell r="B224">
            <v>24.599710000000002</v>
          </cell>
        </row>
        <row r="225">
          <cell r="A225" t="str">
            <v>08/04/2004</v>
          </cell>
          <cell r="B225">
            <v>25.32751</v>
          </cell>
        </row>
        <row r="226">
          <cell r="A226" t="str">
            <v>16/04/2004</v>
          </cell>
          <cell r="B226">
            <v>24.454149999999998</v>
          </cell>
        </row>
        <row r="227">
          <cell r="A227" t="str">
            <v>23/04/2004</v>
          </cell>
          <cell r="B227">
            <v>24.599710000000002</v>
          </cell>
        </row>
        <row r="228">
          <cell r="A228" t="str">
            <v>30/04/2004</v>
          </cell>
          <cell r="B228">
            <v>23.72635</v>
          </cell>
        </row>
        <row r="229">
          <cell r="A229" t="str">
            <v>07/05/2004</v>
          </cell>
          <cell r="B229">
            <v>24.017469999999999</v>
          </cell>
        </row>
        <row r="230">
          <cell r="A230" t="str">
            <v>14/05/2004</v>
          </cell>
          <cell r="B230">
            <v>23.72635</v>
          </cell>
        </row>
        <row r="231">
          <cell r="A231" t="str">
            <v>21/05/2004</v>
          </cell>
          <cell r="B231">
            <v>22.707419999999999</v>
          </cell>
        </row>
        <row r="232">
          <cell r="A232" t="str">
            <v>28/05/2004</v>
          </cell>
          <cell r="B232">
            <v>23.144110000000001</v>
          </cell>
        </row>
        <row r="233">
          <cell r="A233" t="str">
            <v>04/06/2004</v>
          </cell>
          <cell r="B233">
            <v>23.58079</v>
          </cell>
        </row>
        <row r="234">
          <cell r="A234" t="str">
            <v>10/06/2004</v>
          </cell>
          <cell r="B234">
            <v>23.289670000000001</v>
          </cell>
        </row>
        <row r="235">
          <cell r="A235" t="str">
            <v>18/06/2004</v>
          </cell>
          <cell r="B235">
            <v>23.144110000000001</v>
          </cell>
        </row>
        <row r="236">
          <cell r="A236" t="str">
            <v>25/06/2004</v>
          </cell>
          <cell r="B236">
            <v>23.58079</v>
          </cell>
        </row>
        <row r="237">
          <cell r="A237" t="str">
            <v>02/07/2004</v>
          </cell>
          <cell r="B237">
            <v>13.056839999999999</v>
          </cell>
        </row>
        <row r="238">
          <cell r="A238" t="str">
            <v>09/07/2004</v>
          </cell>
          <cell r="B238">
            <v>13.13364</v>
          </cell>
        </row>
        <row r="239">
          <cell r="A239" t="str">
            <v>16/07/2004</v>
          </cell>
          <cell r="B239">
            <v>12.74962</v>
          </cell>
        </row>
        <row r="240">
          <cell r="A240" t="str">
            <v>23/07/2004</v>
          </cell>
          <cell r="B240">
            <v>12.59601</v>
          </cell>
        </row>
        <row r="241">
          <cell r="A241" t="str">
            <v>30/07/2004</v>
          </cell>
          <cell r="B241">
            <v>13.36406</v>
          </cell>
        </row>
        <row r="242">
          <cell r="A242" t="str">
            <v>06/08/2004</v>
          </cell>
          <cell r="B242">
            <v>13.517659999999999</v>
          </cell>
        </row>
        <row r="243">
          <cell r="A243" t="str">
            <v>13/08/2004</v>
          </cell>
          <cell r="B243">
            <v>13.36406</v>
          </cell>
        </row>
        <row r="244">
          <cell r="A244" t="str">
            <v>20/08/2004</v>
          </cell>
          <cell r="B244">
            <v>13.36406</v>
          </cell>
        </row>
        <row r="245">
          <cell r="A245" t="str">
            <v>27/08/2004</v>
          </cell>
          <cell r="B245">
            <v>13.671279999999999</v>
          </cell>
        </row>
        <row r="246">
          <cell r="A246" t="str">
            <v>03/09/2004</v>
          </cell>
          <cell r="B246">
            <v>14.132099999999999</v>
          </cell>
        </row>
        <row r="247">
          <cell r="A247" t="str">
            <v>10/09/2004</v>
          </cell>
          <cell r="B247">
            <v>14.36252</v>
          </cell>
        </row>
        <row r="248">
          <cell r="A248" t="str">
            <v>17/09/2004</v>
          </cell>
          <cell r="B248">
            <v>14.51613</v>
          </cell>
        </row>
        <row r="249">
          <cell r="A249" t="str">
            <v>24/09/2004</v>
          </cell>
          <cell r="B249">
            <v>13.440860000000001</v>
          </cell>
        </row>
        <row r="250">
          <cell r="A250" t="str">
            <v>01/10/2004</v>
          </cell>
          <cell r="B250">
            <v>14.41441</v>
          </cell>
        </row>
        <row r="251">
          <cell r="A251" t="str">
            <v>08/10/2004</v>
          </cell>
          <cell r="B251">
            <v>14.496309999999999</v>
          </cell>
        </row>
        <row r="252">
          <cell r="A252" t="str">
            <v>15/10/2004</v>
          </cell>
          <cell r="B252">
            <v>14.25061</v>
          </cell>
        </row>
        <row r="253">
          <cell r="A253" t="str">
            <v>22/10/2004</v>
          </cell>
          <cell r="B253">
            <v>14.168710000000001</v>
          </cell>
        </row>
        <row r="254">
          <cell r="A254" t="str">
            <v>29/10/2004</v>
          </cell>
          <cell r="B254">
            <v>14.41441</v>
          </cell>
        </row>
        <row r="255">
          <cell r="A255" t="str">
            <v>05/11/2004</v>
          </cell>
          <cell r="B255">
            <v>14.332509999999999</v>
          </cell>
        </row>
        <row r="256">
          <cell r="A256" t="str">
            <v>12/11/2004</v>
          </cell>
          <cell r="B256">
            <v>14.660119999999999</v>
          </cell>
        </row>
        <row r="257">
          <cell r="A257" t="str">
            <v>19/11/2004</v>
          </cell>
          <cell r="B257">
            <v>14.41441</v>
          </cell>
        </row>
        <row r="258">
          <cell r="A258" t="str">
            <v>26/11/2004</v>
          </cell>
          <cell r="B258">
            <v>14.08681</v>
          </cell>
        </row>
        <row r="259">
          <cell r="A259" t="str">
            <v>03/12/2004</v>
          </cell>
          <cell r="B259">
            <v>14.332509999999999</v>
          </cell>
        </row>
        <row r="260">
          <cell r="A260" t="str">
            <v>10/12/2004</v>
          </cell>
          <cell r="B260">
            <v>14.004910000000001</v>
          </cell>
        </row>
        <row r="261">
          <cell r="A261" t="str">
            <v>17/12/2004</v>
          </cell>
          <cell r="B261">
            <v>14.332509999999999</v>
          </cell>
        </row>
        <row r="262">
          <cell r="A262" t="str">
            <v>23/12/2004</v>
          </cell>
          <cell r="B262">
            <v>14.660119999999999</v>
          </cell>
        </row>
        <row r="263">
          <cell r="A263" t="str">
            <v>31/12/2004</v>
          </cell>
          <cell r="B263">
            <v>14.842449999999999</v>
          </cell>
        </row>
        <row r="264">
          <cell r="A264" t="str">
            <v>07/01/2005</v>
          </cell>
          <cell r="B264">
            <v>15.422890000000001</v>
          </cell>
        </row>
        <row r="265">
          <cell r="A265" t="str">
            <v>14/01/2005</v>
          </cell>
          <cell r="B265">
            <v>15.920400000000001</v>
          </cell>
        </row>
        <row r="266">
          <cell r="A266" t="str">
            <v>21/01/2005</v>
          </cell>
          <cell r="B266">
            <v>15.58872</v>
          </cell>
        </row>
        <row r="267">
          <cell r="A267" t="str">
            <v>28/01/2005</v>
          </cell>
          <cell r="B267">
            <v>15.505800000000001</v>
          </cell>
        </row>
        <row r="268">
          <cell r="A268" t="str">
            <v>04/02/2005</v>
          </cell>
          <cell r="B268">
            <v>15.17413</v>
          </cell>
        </row>
        <row r="269">
          <cell r="A269" t="str">
            <v>11/02/2005</v>
          </cell>
          <cell r="B269">
            <v>15.008290000000001</v>
          </cell>
        </row>
        <row r="270">
          <cell r="A270" t="str">
            <v>18/02/2005</v>
          </cell>
          <cell r="B270">
            <v>15.75456</v>
          </cell>
        </row>
        <row r="271">
          <cell r="A271" t="str">
            <v>25/02/2005</v>
          </cell>
          <cell r="B271">
            <v>15.75456</v>
          </cell>
        </row>
        <row r="272">
          <cell r="A272" t="str">
            <v>04/03/2005</v>
          </cell>
          <cell r="B272">
            <v>16.749590000000001</v>
          </cell>
        </row>
        <row r="273">
          <cell r="A273" t="str">
            <v>11/03/2005</v>
          </cell>
          <cell r="B273">
            <v>17.2471</v>
          </cell>
        </row>
        <row r="274">
          <cell r="A274" t="str">
            <v>18/03/2005</v>
          </cell>
          <cell r="B274">
            <v>17.495850000000001</v>
          </cell>
        </row>
        <row r="275">
          <cell r="A275" t="str">
            <v>24/03/2005</v>
          </cell>
          <cell r="B275">
            <v>17.412939999999999</v>
          </cell>
        </row>
        <row r="276">
          <cell r="A276" t="str">
            <v>01/04/2005</v>
          </cell>
          <cell r="B276">
            <v>18.75563</v>
          </cell>
        </row>
        <row r="277">
          <cell r="A277" t="str">
            <v>08/04/2005</v>
          </cell>
          <cell r="B277">
            <v>19.026150000000001</v>
          </cell>
        </row>
        <row r="278">
          <cell r="A278" t="str">
            <v>15/04/2005</v>
          </cell>
          <cell r="B278">
            <v>18.665460000000003</v>
          </cell>
        </row>
        <row r="279">
          <cell r="A279" t="str">
            <v>22/04/2005</v>
          </cell>
          <cell r="B279">
            <v>18.75563</v>
          </cell>
        </row>
        <row r="280">
          <cell r="A280" t="str">
            <v>29/04/2005</v>
          </cell>
          <cell r="B280">
            <v>16.77187</v>
          </cell>
        </row>
        <row r="281">
          <cell r="A281" t="str">
            <v>06/05/2005</v>
          </cell>
          <cell r="B281">
            <v>17.042380000000001</v>
          </cell>
        </row>
        <row r="282">
          <cell r="A282" t="str">
            <v>13/05/2005</v>
          </cell>
          <cell r="B282">
            <v>17.583410000000001</v>
          </cell>
        </row>
        <row r="283">
          <cell r="A283" t="str">
            <v>20/05/2005</v>
          </cell>
          <cell r="B283">
            <v>17.763750000000002</v>
          </cell>
        </row>
        <row r="284">
          <cell r="A284" t="str">
            <v>27/05/2005</v>
          </cell>
          <cell r="B284">
            <v>17.403070000000003</v>
          </cell>
        </row>
        <row r="285">
          <cell r="A285" t="str">
            <v>03/06/2005</v>
          </cell>
          <cell r="B285">
            <v>17.312890000000003</v>
          </cell>
        </row>
        <row r="286">
          <cell r="A286" t="str">
            <v>10/06/2005</v>
          </cell>
          <cell r="B286">
            <v>17.583410000000001</v>
          </cell>
        </row>
        <row r="287">
          <cell r="A287" t="str">
            <v>17/06/2005</v>
          </cell>
          <cell r="B287">
            <v>18.304780000000001</v>
          </cell>
        </row>
        <row r="288">
          <cell r="A288" t="str">
            <v>24/06/2005</v>
          </cell>
          <cell r="B288">
            <v>18.75563</v>
          </cell>
        </row>
        <row r="289">
          <cell r="A289" t="str">
            <v>01/07/2005</v>
          </cell>
          <cell r="B289">
            <v>19.848770000000002</v>
          </cell>
        </row>
        <row r="290">
          <cell r="A290" t="str">
            <v>08/07/2005</v>
          </cell>
          <cell r="B290">
            <v>19.848770000000002</v>
          </cell>
        </row>
        <row r="291">
          <cell r="A291" t="str">
            <v>15/07/2005</v>
          </cell>
          <cell r="B291">
            <v>19.754250000000003</v>
          </cell>
        </row>
        <row r="292">
          <cell r="A292" t="str">
            <v>22/07/2005</v>
          </cell>
          <cell r="B292">
            <v>20.793950000000002</v>
          </cell>
        </row>
        <row r="293">
          <cell r="A293" t="str">
            <v>29/07/2005</v>
          </cell>
          <cell r="B293">
            <v>20.604920000000003</v>
          </cell>
          <cell r="C293">
            <v>19.84919866666667</v>
          </cell>
        </row>
        <row r="294">
          <cell r="A294" t="str">
            <v>05/08/2005</v>
          </cell>
          <cell r="B294">
            <v>22.022680000000001</v>
          </cell>
        </row>
        <row r="295">
          <cell r="A295" t="str">
            <v>12/08/2005</v>
          </cell>
          <cell r="B295">
            <v>22.306240000000003</v>
          </cell>
        </row>
        <row r="296">
          <cell r="A296" t="str">
            <v>19/08/2005</v>
          </cell>
          <cell r="B296">
            <v>21.455580000000001</v>
          </cell>
        </row>
        <row r="297">
          <cell r="A297" t="str">
            <v>26/08/2005</v>
          </cell>
          <cell r="B297">
            <v>22.1172</v>
          </cell>
        </row>
        <row r="298">
          <cell r="A298" t="str">
            <v>02/09/2005</v>
          </cell>
          <cell r="B298">
            <v>22.1172</v>
          </cell>
        </row>
        <row r="299">
          <cell r="A299" t="str">
            <v>09/09/2005</v>
          </cell>
          <cell r="B299">
            <v>22.873350000000002</v>
          </cell>
        </row>
        <row r="300">
          <cell r="A300" t="str">
            <v>16/09/2005</v>
          </cell>
          <cell r="B300">
            <v>22.684310000000004</v>
          </cell>
        </row>
        <row r="301">
          <cell r="A301" t="str">
            <v>23/09/2005</v>
          </cell>
          <cell r="B301">
            <v>22.873350000000002</v>
          </cell>
        </row>
        <row r="302">
          <cell r="A302" t="str">
            <v>30/09/2005</v>
          </cell>
          <cell r="B302">
            <v>23.818530000000003</v>
          </cell>
        </row>
        <row r="303">
          <cell r="A303" t="str">
            <v>07/10/2005</v>
          </cell>
          <cell r="B303">
            <v>23.724010000000003</v>
          </cell>
        </row>
      </sheetData>
      <sheetData sheetId="23" refreshError="1">
        <row r="2">
          <cell r="A2">
            <v>0</v>
          </cell>
          <cell r="B2" t="str">
            <v>P/E</v>
          </cell>
          <cell r="C2" t="str">
            <v>P/E</v>
          </cell>
          <cell r="D2" t="str">
            <v>P/E</v>
          </cell>
          <cell r="E2" t="str">
            <v>P/E</v>
          </cell>
          <cell r="F2" t="str">
            <v>P/E</v>
          </cell>
          <cell r="G2" t="str">
            <v>P/E</v>
          </cell>
          <cell r="H2" t="str">
            <v>P/E</v>
          </cell>
          <cell r="I2" t="str">
            <v>P/E</v>
          </cell>
          <cell r="J2" t="str">
            <v>P/E</v>
          </cell>
          <cell r="K2" t="str">
            <v>P/E</v>
          </cell>
          <cell r="L2" t="str">
            <v>P/E</v>
          </cell>
          <cell r="M2" t="str">
            <v>Asian</v>
          </cell>
          <cell r="N2" t="str">
            <v>Global</v>
          </cell>
          <cell r="O2" t="str">
            <v>Global</v>
          </cell>
          <cell r="P2" t="str">
            <v>P/E</v>
          </cell>
          <cell r="Q2" t="str">
            <v>P/E</v>
          </cell>
          <cell r="R2" t="str">
            <v>Asian</v>
          </cell>
          <cell r="S2" t="str">
            <v>Global</v>
          </cell>
          <cell r="T2" t="str">
            <v>Global</v>
          </cell>
        </row>
        <row r="3">
          <cell r="B3" t="str">
            <v>HKEX</v>
          </cell>
          <cell r="C3" t="str">
            <v>LSE</v>
          </cell>
          <cell r="D3" t="str">
            <v>ASX</v>
          </cell>
          <cell r="E3" t="str">
            <v>CME</v>
          </cell>
          <cell r="F3" t="str">
            <v>DB</v>
          </cell>
          <cell r="G3" t="str">
            <v>TSX</v>
          </cell>
          <cell r="H3" t="str">
            <v>OMX</v>
          </cell>
          <cell r="I3" t="str">
            <v>SFE</v>
          </cell>
          <cell r="J3" t="str">
            <v>ISE</v>
          </cell>
          <cell r="K3" t="str">
            <v>Osaka</v>
          </cell>
          <cell r="L3" t="str">
            <v>NZ Ex</v>
          </cell>
          <cell r="M3" t="str">
            <v>Average</v>
          </cell>
          <cell r="N3" t="str">
            <v>Average</v>
          </cell>
          <cell r="O3" t="str">
            <v>Average</v>
          </cell>
          <cell r="P3" t="str">
            <v>SGX</v>
          </cell>
          <cell r="Q3" t="str">
            <v>SGX</v>
          </cell>
          <cell r="R3" t="str">
            <v>Pre/(Disc)</v>
          </cell>
          <cell r="S3" t="str">
            <v>Pre/(Disc)</v>
          </cell>
          <cell r="T3" t="str">
            <v>Pre/(Disc)</v>
          </cell>
        </row>
        <row r="4">
          <cell r="A4" t="str">
            <v xml:space="preserve"> </v>
          </cell>
        </row>
        <row r="5">
          <cell r="A5" t="str">
            <v>04/01/2002</v>
          </cell>
          <cell r="B5">
            <v>17.32394</v>
          </cell>
          <cell r="C5">
            <v>16.315899999999999</v>
          </cell>
          <cell r="D5">
            <v>22.488930000000003</v>
          </cell>
          <cell r="E5" t="e">
            <v>#N/A</v>
          </cell>
          <cell r="F5">
            <v>21.568630000000002</v>
          </cell>
          <cell r="G5" t="e">
            <v>#N/A</v>
          </cell>
          <cell r="H5" t="e">
            <v>#N/A</v>
          </cell>
          <cell r="I5" t="e">
            <v>#N/A</v>
          </cell>
          <cell r="J5" t="e">
            <v>#N/A</v>
          </cell>
          <cell r="K5" t="e">
            <v>#N/A</v>
          </cell>
          <cell r="L5" t="e">
            <v>#N/A</v>
          </cell>
          <cell r="M5">
            <v>18.709590000000002</v>
          </cell>
          <cell r="N5" t="e">
            <v>#N/A</v>
          </cell>
          <cell r="O5" t="e">
            <v>#N/A</v>
          </cell>
          <cell r="P5">
            <v>18.274850000000001</v>
          </cell>
          <cell r="Q5">
            <v>18.274850000000001</v>
          </cell>
          <cell r="R5">
            <v>-2.3236212017473501E-2</v>
          </cell>
          <cell r="S5">
            <v>-2.3236212017473501E-2</v>
          </cell>
        </row>
        <row r="6">
          <cell r="A6" t="str">
            <v>11/01/2002</v>
          </cell>
          <cell r="B6">
            <v>17.957750000000001</v>
          </cell>
          <cell r="C6">
            <v>16.672310000000003</v>
          </cell>
          <cell r="D6">
            <v>22.799660000000003</v>
          </cell>
          <cell r="E6" t="e">
            <v>#N/A</v>
          </cell>
          <cell r="F6">
            <v>20.490200000000002</v>
          </cell>
          <cell r="G6" t="e">
            <v>#N/A</v>
          </cell>
          <cell r="H6" t="e">
            <v>#N/A</v>
          </cell>
          <cell r="I6" t="e">
            <v>#N/A</v>
          </cell>
          <cell r="J6" t="e">
            <v>#N/A</v>
          </cell>
          <cell r="K6" t="e">
            <v>#N/A</v>
          </cell>
          <cell r="L6" t="e">
            <v>#N/A</v>
          </cell>
          <cell r="M6">
            <v>19.143240000000002</v>
          </cell>
          <cell r="N6" t="e">
            <v>#N/A</v>
          </cell>
          <cell r="O6" t="e">
            <v>#N/A</v>
          </cell>
          <cell r="P6">
            <v>19.005850000000002</v>
          </cell>
          <cell r="Q6">
            <v>19.005850000000002</v>
          </cell>
          <cell r="R6">
            <v>-7.1769460133185303E-3</v>
          </cell>
          <cell r="S6">
            <v>-7.1769460133185303E-3</v>
          </cell>
        </row>
        <row r="7">
          <cell r="A7" t="str">
            <v>18/01/2002</v>
          </cell>
          <cell r="B7">
            <v>17.605630000000001</v>
          </cell>
          <cell r="C7">
            <v>16.929730000000003</v>
          </cell>
          <cell r="D7">
            <v>22.1782</v>
          </cell>
          <cell r="E7" t="e">
            <v>#N/A</v>
          </cell>
          <cell r="F7">
            <v>20.53922</v>
          </cell>
          <cell r="G7" t="e">
            <v>#N/A</v>
          </cell>
          <cell r="H7" t="e">
            <v>#N/A</v>
          </cell>
          <cell r="I7" t="e">
            <v>#N/A</v>
          </cell>
          <cell r="J7" t="e">
            <v>#N/A</v>
          </cell>
          <cell r="K7" t="e">
            <v>#N/A</v>
          </cell>
          <cell r="L7" t="e">
            <v>#N/A</v>
          </cell>
          <cell r="M7">
            <v>18.904520000000002</v>
          </cell>
          <cell r="N7" t="e">
            <v>#N/A</v>
          </cell>
          <cell r="O7" t="e">
            <v>#N/A</v>
          </cell>
          <cell r="P7">
            <v>19.44444</v>
          </cell>
          <cell r="Q7">
            <v>19.44444</v>
          </cell>
          <cell r="R7">
            <v>2.8560365457573011E-2</v>
          </cell>
          <cell r="S7">
            <v>2.8560365457573011E-2</v>
          </cell>
        </row>
        <row r="8">
          <cell r="A8" t="str">
            <v>25/01/2002</v>
          </cell>
          <cell r="B8">
            <v>16.690140000000003</v>
          </cell>
          <cell r="C8">
            <v>16.117890000000003</v>
          </cell>
          <cell r="D8">
            <v>22.430670000000003</v>
          </cell>
          <cell r="E8" t="e">
            <v>#N/A</v>
          </cell>
          <cell r="F8">
            <v>20.637250000000002</v>
          </cell>
          <cell r="G8" t="e">
            <v>#N/A</v>
          </cell>
          <cell r="H8" t="e">
            <v>#N/A</v>
          </cell>
          <cell r="I8" t="e">
            <v>#N/A</v>
          </cell>
          <cell r="J8" t="e">
            <v>#N/A</v>
          </cell>
          <cell r="K8" t="e">
            <v>#N/A</v>
          </cell>
          <cell r="L8" t="e">
            <v>#N/A</v>
          </cell>
          <cell r="M8">
            <v>18.412900000000004</v>
          </cell>
          <cell r="N8" t="e">
            <v>#N/A</v>
          </cell>
          <cell r="O8" t="e">
            <v>#N/A</v>
          </cell>
          <cell r="P8">
            <v>20.029240000000001</v>
          </cell>
          <cell r="Q8">
            <v>20.029240000000001</v>
          </cell>
          <cell r="R8">
            <v>8.7783021685883034E-2</v>
          </cell>
          <cell r="S8">
            <v>8.7783021685883034E-2</v>
          </cell>
        </row>
        <row r="9">
          <cell r="A9" t="str">
            <v>01/02/2002</v>
          </cell>
          <cell r="B9">
            <v>15.985916</v>
          </cell>
          <cell r="C9">
            <v>16.038690000000003</v>
          </cell>
          <cell r="D9">
            <v>22.819080000000003</v>
          </cell>
          <cell r="E9" t="e">
            <v>#N/A</v>
          </cell>
          <cell r="F9">
            <v>20.588240000000003</v>
          </cell>
          <cell r="G9" t="e">
            <v>#N/A</v>
          </cell>
          <cell r="H9" t="e">
            <v>#N/A</v>
          </cell>
          <cell r="I9" t="e">
            <v>#N/A</v>
          </cell>
          <cell r="J9" t="e">
            <v>#N/A</v>
          </cell>
          <cell r="K9" t="e">
            <v>#N/A</v>
          </cell>
          <cell r="L9" t="e">
            <v>#N/A</v>
          </cell>
          <cell r="M9">
            <v>18.281228666666667</v>
          </cell>
          <cell r="N9" t="e">
            <v>#N/A</v>
          </cell>
          <cell r="O9" t="e">
            <v>#N/A</v>
          </cell>
          <cell r="P9">
            <v>20.614030000000003</v>
          </cell>
          <cell r="Q9">
            <v>20.614030000000003</v>
          </cell>
          <cell r="R9">
            <v>0.12760637569108702</v>
          </cell>
          <cell r="S9">
            <v>0.12760637569108702</v>
          </cell>
        </row>
        <row r="10">
          <cell r="A10" t="str">
            <v>08/02/2002</v>
          </cell>
          <cell r="B10">
            <v>15.492958</v>
          </cell>
          <cell r="C10">
            <v>16.038690000000003</v>
          </cell>
          <cell r="D10">
            <v>22.916180000000001</v>
          </cell>
          <cell r="E10" t="e">
            <v>#N/A</v>
          </cell>
          <cell r="F10">
            <v>20.774510000000003</v>
          </cell>
          <cell r="G10" t="e">
            <v>#N/A</v>
          </cell>
          <cell r="H10" t="e">
            <v>#N/A</v>
          </cell>
          <cell r="I10" t="e">
            <v>#N/A</v>
          </cell>
          <cell r="J10" t="e">
            <v>#N/A</v>
          </cell>
          <cell r="K10" t="e">
            <v>#N/A</v>
          </cell>
          <cell r="L10" t="e">
            <v>#N/A</v>
          </cell>
          <cell r="M10">
            <v>18.149276</v>
          </cell>
          <cell r="N10" t="e">
            <v>#N/A</v>
          </cell>
          <cell r="O10" t="e">
            <v>#N/A</v>
          </cell>
          <cell r="P10">
            <v>19.736840000000001</v>
          </cell>
          <cell r="Q10">
            <v>19.736840000000001</v>
          </cell>
          <cell r="R10">
            <v>8.7472580173446168E-2</v>
          </cell>
          <cell r="S10">
            <v>8.7472580173446168E-2</v>
          </cell>
        </row>
        <row r="11">
          <cell r="A11" t="str">
            <v>15/02/2002</v>
          </cell>
          <cell r="B11">
            <v>15.774647999999999</v>
          </cell>
          <cell r="C11">
            <v>15.761476999999999</v>
          </cell>
          <cell r="D11">
            <v>23.090970000000002</v>
          </cell>
          <cell r="E11" t="e">
            <v>#N/A</v>
          </cell>
          <cell r="F11">
            <v>21.446080000000002</v>
          </cell>
          <cell r="G11" t="e">
            <v>#N/A</v>
          </cell>
          <cell r="H11" t="e">
            <v>#N/A</v>
          </cell>
          <cell r="I11" t="e">
            <v>#N/A</v>
          </cell>
          <cell r="J11" t="e">
            <v>#N/A</v>
          </cell>
          <cell r="K11" t="e">
            <v>#N/A</v>
          </cell>
          <cell r="L11" t="e">
            <v>#N/A</v>
          </cell>
          <cell r="M11">
            <v>18.209031666666665</v>
          </cell>
          <cell r="N11" t="e">
            <v>#N/A</v>
          </cell>
          <cell r="O11" t="e">
            <v>#N/A</v>
          </cell>
          <cell r="P11">
            <v>20.614030000000003</v>
          </cell>
          <cell r="Q11">
            <v>20.614030000000003</v>
          </cell>
          <cell r="R11">
            <v>0.13207722285067547</v>
          </cell>
          <cell r="S11">
            <v>0.13207722285067547</v>
          </cell>
        </row>
        <row r="12">
          <cell r="A12" t="str">
            <v>22/02/2002</v>
          </cell>
          <cell r="B12">
            <v>15.704225999999998</v>
          </cell>
          <cell r="C12">
            <v>15.999084999999999</v>
          </cell>
          <cell r="D12">
            <v>23.362850000000002</v>
          </cell>
          <cell r="E12" t="e">
            <v>#N/A</v>
          </cell>
          <cell r="F12">
            <v>22.794120000000003</v>
          </cell>
          <cell r="G12" t="e">
            <v>#N/A</v>
          </cell>
          <cell r="H12" t="e">
            <v>#N/A</v>
          </cell>
          <cell r="I12" t="e">
            <v>#N/A</v>
          </cell>
          <cell r="J12" t="e">
            <v>#N/A</v>
          </cell>
          <cell r="K12" t="e">
            <v>#N/A</v>
          </cell>
          <cell r="L12" t="e">
            <v>#N/A</v>
          </cell>
          <cell r="M12">
            <v>18.355387</v>
          </cell>
          <cell r="N12" t="e">
            <v>#N/A</v>
          </cell>
          <cell r="O12" t="e">
            <v>#N/A</v>
          </cell>
          <cell r="P12">
            <v>18.567250000000001</v>
          </cell>
          <cell r="Q12">
            <v>18.567250000000001</v>
          </cell>
          <cell r="R12">
            <v>1.1542279114028053E-2</v>
          </cell>
          <cell r="S12">
            <v>1.1542279114028053E-2</v>
          </cell>
        </row>
        <row r="13">
          <cell r="A13" t="str">
            <v>01/03/2002</v>
          </cell>
          <cell r="B13">
            <v>15.563381</v>
          </cell>
          <cell r="C13">
            <v>16.474310000000003</v>
          </cell>
          <cell r="D13">
            <v>25.34374</v>
          </cell>
          <cell r="E13" t="e">
            <v>#N/A</v>
          </cell>
          <cell r="F13">
            <v>22.696080000000002</v>
          </cell>
          <cell r="G13" t="e">
            <v>#N/A</v>
          </cell>
          <cell r="H13" t="e">
            <v>#N/A</v>
          </cell>
          <cell r="I13" t="e">
            <v>#N/A</v>
          </cell>
          <cell r="J13" t="e">
            <v>#N/A</v>
          </cell>
          <cell r="K13" t="e">
            <v>#N/A</v>
          </cell>
          <cell r="L13" t="e">
            <v>#N/A</v>
          </cell>
          <cell r="M13">
            <v>19.127143666666669</v>
          </cell>
          <cell r="N13" t="e">
            <v>#N/A</v>
          </cell>
          <cell r="O13" t="e">
            <v>#N/A</v>
          </cell>
          <cell r="P13">
            <v>19.44444</v>
          </cell>
          <cell r="Q13">
            <v>19.44444</v>
          </cell>
          <cell r="R13">
            <v>1.6588798560983831E-2</v>
          </cell>
          <cell r="S13">
            <v>1.6588798560983831E-2</v>
          </cell>
        </row>
        <row r="14">
          <cell r="A14" t="str">
            <v>08/03/2002</v>
          </cell>
          <cell r="B14">
            <v>16.901410000000002</v>
          </cell>
          <cell r="C14">
            <v>16.969330000000003</v>
          </cell>
          <cell r="D14">
            <v>25.277710000000003</v>
          </cell>
          <cell r="E14" t="e">
            <v>#N/A</v>
          </cell>
          <cell r="F14">
            <v>24.558820000000001</v>
          </cell>
          <cell r="G14" t="e">
            <v>#N/A</v>
          </cell>
          <cell r="H14" t="e">
            <v>#N/A</v>
          </cell>
          <cell r="I14" t="e">
            <v>#N/A</v>
          </cell>
          <cell r="J14" t="e">
            <v>#N/A</v>
          </cell>
          <cell r="K14" t="e">
            <v>#N/A</v>
          </cell>
          <cell r="L14" t="e">
            <v>#N/A</v>
          </cell>
          <cell r="M14">
            <v>19.716150000000003</v>
          </cell>
          <cell r="N14" t="e">
            <v>#N/A</v>
          </cell>
          <cell r="O14" t="e">
            <v>#N/A</v>
          </cell>
          <cell r="P14">
            <v>20.029240000000001</v>
          </cell>
          <cell r="Q14">
            <v>20.029240000000001</v>
          </cell>
          <cell r="R14">
            <v>1.5879875127750465E-2</v>
          </cell>
          <cell r="S14">
            <v>1.5879875127750465E-2</v>
          </cell>
        </row>
        <row r="15">
          <cell r="A15" t="str">
            <v>15/03/2002</v>
          </cell>
          <cell r="B15">
            <v>17.535210000000003</v>
          </cell>
          <cell r="C15">
            <v>17.068330000000003</v>
          </cell>
          <cell r="D15">
            <v>24.469820000000002</v>
          </cell>
          <cell r="E15" t="e">
            <v>#N/A</v>
          </cell>
          <cell r="F15">
            <v>22.892160000000001</v>
          </cell>
          <cell r="G15" t="e">
            <v>#N/A</v>
          </cell>
          <cell r="H15" t="e">
            <v>#N/A</v>
          </cell>
          <cell r="I15" t="e">
            <v>#N/A</v>
          </cell>
          <cell r="J15" t="e">
            <v>#N/A</v>
          </cell>
          <cell r="K15" t="e">
            <v>#N/A</v>
          </cell>
          <cell r="L15" t="e">
            <v>#N/A</v>
          </cell>
          <cell r="M15">
            <v>19.691120000000002</v>
          </cell>
          <cell r="N15" t="e">
            <v>#N/A</v>
          </cell>
          <cell r="O15" t="e">
            <v>#N/A</v>
          </cell>
          <cell r="P15">
            <v>20.175440000000002</v>
          </cell>
          <cell r="Q15">
            <v>20.175440000000002</v>
          </cell>
          <cell r="R15">
            <v>2.4595858437711948E-2</v>
          </cell>
          <cell r="S15">
            <v>2.4595858437711948E-2</v>
          </cell>
        </row>
        <row r="16">
          <cell r="A16" t="str">
            <v>22/03/2002</v>
          </cell>
          <cell r="B16">
            <v>17.042260000000002</v>
          </cell>
          <cell r="C16">
            <v>17.10793</v>
          </cell>
          <cell r="D16">
            <v>24.799970000000002</v>
          </cell>
          <cell r="E16" t="e">
            <v>#N/A</v>
          </cell>
          <cell r="F16">
            <v>22.941180000000003</v>
          </cell>
          <cell r="G16" t="e">
            <v>#N/A</v>
          </cell>
          <cell r="H16" t="e">
            <v>#N/A</v>
          </cell>
          <cell r="I16" t="e">
            <v>#N/A</v>
          </cell>
          <cell r="J16" t="e">
            <v>#N/A</v>
          </cell>
          <cell r="K16" t="e">
            <v>#N/A</v>
          </cell>
          <cell r="L16" t="e">
            <v>#N/A</v>
          </cell>
          <cell r="M16">
            <v>19.650053333333336</v>
          </cell>
          <cell r="N16" t="e">
            <v>#N/A</v>
          </cell>
          <cell r="O16" t="e">
            <v>#N/A</v>
          </cell>
          <cell r="P16">
            <v>20.029240000000001</v>
          </cell>
          <cell r="Q16">
            <v>20.029240000000001</v>
          </cell>
          <cell r="R16">
            <v>1.9296979007351167E-2</v>
          </cell>
          <cell r="S16">
            <v>1.9296979007351167E-2</v>
          </cell>
        </row>
        <row r="17">
          <cell r="A17" t="str">
            <v>28/03/2002</v>
          </cell>
          <cell r="B17">
            <v>17.925930000000001</v>
          </cell>
          <cell r="C17">
            <v>25.319080000000003</v>
          </cell>
          <cell r="D17">
            <v>23.662930000000003</v>
          </cell>
          <cell r="E17" t="e">
            <v>#N/A</v>
          </cell>
          <cell r="F17">
            <v>24.304120000000001</v>
          </cell>
          <cell r="G17" t="e">
            <v>#N/A</v>
          </cell>
          <cell r="H17" t="e">
            <v>#N/A</v>
          </cell>
          <cell r="I17" t="e">
            <v>#N/A</v>
          </cell>
          <cell r="J17" t="e">
            <v>#N/A</v>
          </cell>
          <cell r="K17" t="e">
            <v>#N/A</v>
          </cell>
          <cell r="L17" t="e">
            <v>#N/A</v>
          </cell>
          <cell r="M17">
            <v>22.302646666666671</v>
          </cell>
          <cell r="N17" t="e">
            <v>#N/A</v>
          </cell>
          <cell r="O17" t="e">
            <v>#N/A</v>
          </cell>
          <cell r="P17">
            <v>20.108280000000001</v>
          </cell>
          <cell r="Q17">
            <v>20.108280000000001</v>
          </cell>
          <cell r="R17">
            <v>-9.8390415248175489E-2</v>
          </cell>
          <cell r="S17">
            <v>-9.8390415248175489E-2</v>
          </cell>
        </row>
        <row r="18">
          <cell r="A18" t="str">
            <v>05/04/2002</v>
          </cell>
          <cell r="B18">
            <v>18.148150000000001</v>
          </cell>
          <cell r="C18">
            <v>26.605500000000003</v>
          </cell>
          <cell r="D18">
            <v>23.571850000000001</v>
          </cell>
          <cell r="E18" t="e">
            <v>#N/A</v>
          </cell>
          <cell r="F18">
            <v>24.587630000000001</v>
          </cell>
          <cell r="G18" t="e">
            <v>#N/A</v>
          </cell>
          <cell r="H18" t="e">
            <v>#N/A</v>
          </cell>
          <cell r="I18" t="e">
            <v>#N/A</v>
          </cell>
          <cell r="J18" t="e">
            <v>#N/A</v>
          </cell>
          <cell r="K18" t="e">
            <v>#N/A</v>
          </cell>
          <cell r="L18" t="e">
            <v>#N/A</v>
          </cell>
          <cell r="M18">
            <v>22.775166666666667</v>
          </cell>
          <cell r="N18" t="e">
            <v>#N/A</v>
          </cell>
          <cell r="O18" t="e">
            <v>#N/A</v>
          </cell>
          <cell r="P18">
            <v>19.798920000000003</v>
          </cell>
          <cell r="Q18">
            <v>19.798920000000003</v>
          </cell>
          <cell r="R18">
            <v>-0.13067946813415188</v>
          </cell>
          <cell r="S18">
            <v>-0.13067946813415188</v>
          </cell>
        </row>
        <row r="19">
          <cell r="A19" t="str">
            <v>12/04/2002</v>
          </cell>
          <cell r="B19">
            <v>18.148150000000001</v>
          </cell>
          <cell r="C19">
            <v>26.400850000000002</v>
          </cell>
          <cell r="D19">
            <v>24.446230000000003</v>
          </cell>
          <cell r="E19" t="e">
            <v>#N/A</v>
          </cell>
          <cell r="F19">
            <v>25.00515</v>
          </cell>
          <cell r="G19" t="e">
            <v>#N/A</v>
          </cell>
          <cell r="H19" t="e">
            <v>#N/A</v>
          </cell>
          <cell r="I19" t="e">
            <v>#N/A</v>
          </cell>
          <cell r="J19" t="e">
            <v>#N/A</v>
          </cell>
          <cell r="K19" t="e">
            <v>#N/A</v>
          </cell>
          <cell r="L19" t="e">
            <v>#N/A</v>
          </cell>
          <cell r="M19">
            <v>22.998410000000003</v>
          </cell>
          <cell r="N19" t="e">
            <v>#N/A</v>
          </cell>
          <cell r="O19" t="e">
            <v>#N/A</v>
          </cell>
          <cell r="P19">
            <v>20.417630000000003</v>
          </cell>
          <cell r="Q19">
            <v>20.417630000000003</v>
          </cell>
          <cell r="R19">
            <v>-0.11221558359904016</v>
          </cell>
          <cell r="S19">
            <v>-0.11221558359904016</v>
          </cell>
        </row>
        <row r="20">
          <cell r="A20" t="str">
            <v>19/04/2002</v>
          </cell>
          <cell r="B20">
            <v>19.259260000000001</v>
          </cell>
          <cell r="C20">
            <v>26.108480000000004</v>
          </cell>
          <cell r="D20">
            <v>25.102010000000003</v>
          </cell>
          <cell r="E20" t="e">
            <v>#N/A</v>
          </cell>
          <cell r="F20">
            <v>25.412370000000003</v>
          </cell>
          <cell r="G20" t="e">
            <v>#N/A</v>
          </cell>
          <cell r="H20" t="e">
            <v>#N/A</v>
          </cell>
          <cell r="I20">
            <v>21.398</v>
          </cell>
          <cell r="J20" t="e">
            <v>#N/A</v>
          </cell>
          <cell r="K20" t="e">
            <v>#N/A</v>
          </cell>
          <cell r="L20" t="e">
            <v>#N/A</v>
          </cell>
          <cell r="M20">
            <v>23.489916666666669</v>
          </cell>
          <cell r="N20" t="e">
            <v>#N/A</v>
          </cell>
          <cell r="O20" t="e">
            <v>#N/A</v>
          </cell>
          <cell r="P20">
            <v>20.108280000000001</v>
          </cell>
          <cell r="Q20">
            <v>20.108280000000001</v>
          </cell>
          <cell r="R20">
            <v>-0.14396120321130701</v>
          </cell>
          <cell r="S20">
            <v>-0.14396120321130701</v>
          </cell>
        </row>
        <row r="21">
          <cell r="A21" t="str">
            <v>26/04/2002</v>
          </cell>
          <cell r="B21">
            <v>20.074070000000003</v>
          </cell>
          <cell r="C21">
            <v>26.95635</v>
          </cell>
          <cell r="D21">
            <v>24.701260000000001</v>
          </cell>
          <cell r="E21" t="e">
            <v>#N/A</v>
          </cell>
          <cell r="F21">
            <v>24.896910000000002</v>
          </cell>
          <cell r="G21" t="e">
            <v>#N/A</v>
          </cell>
          <cell r="H21" t="e">
            <v>#N/A</v>
          </cell>
          <cell r="I21">
            <v>20.542080000000002</v>
          </cell>
          <cell r="J21" t="e">
            <v>#N/A</v>
          </cell>
          <cell r="K21" t="e">
            <v>#N/A</v>
          </cell>
          <cell r="L21" t="e">
            <v>#N/A</v>
          </cell>
          <cell r="M21">
            <v>23.910560000000004</v>
          </cell>
          <cell r="N21" t="e">
            <v>#N/A</v>
          </cell>
          <cell r="O21" t="e">
            <v>#N/A</v>
          </cell>
          <cell r="P21">
            <v>20.108280000000001</v>
          </cell>
          <cell r="Q21">
            <v>20.108280000000001</v>
          </cell>
          <cell r="R21">
            <v>-0.15902095141226313</v>
          </cell>
          <cell r="S21">
            <v>-0.15902095141226313</v>
          </cell>
        </row>
        <row r="22">
          <cell r="A22" t="str">
            <v>03/05/2002</v>
          </cell>
          <cell r="B22">
            <v>22</v>
          </cell>
          <cell r="C22">
            <v>26.693210000000001</v>
          </cell>
          <cell r="D22">
            <v>24.901630000000001</v>
          </cell>
          <cell r="E22" t="e">
            <v>#N/A</v>
          </cell>
          <cell r="F22">
            <v>25.154640000000001</v>
          </cell>
          <cell r="G22" t="e">
            <v>#N/A</v>
          </cell>
          <cell r="H22" t="e">
            <v>#N/A</v>
          </cell>
          <cell r="I22">
            <v>20.142650000000003</v>
          </cell>
          <cell r="J22" t="e">
            <v>#N/A</v>
          </cell>
          <cell r="K22" t="e">
            <v>#N/A</v>
          </cell>
          <cell r="L22" t="e">
            <v>#N/A</v>
          </cell>
          <cell r="M22">
            <v>24.531613333333336</v>
          </cell>
          <cell r="N22" t="e">
            <v>#N/A</v>
          </cell>
          <cell r="O22" t="e">
            <v>#N/A</v>
          </cell>
          <cell r="P22">
            <v>20.108280000000001</v>
          </cell>
          <cell r="Q22">
            <v>20.108280000000001</v>
          </cell>
          <cell r="R22">
            <v>-0.18031155445137192</v>
          </cell>
          <cell r="S22">
            <v>-0.18031155445137192</v>
          </cell>
        </row>
        <row r="23">
          <cell r="A23" t="str">
            <v>10/05/2002</v>
          </cell>
          <cell r="B23">
            <v>20.814820000000001</v>
          </cell>
          <cell r="C23">
            <v>27.073290000000004</v>
          </cell>
          <cell r="D23">
            <v>24.956280000000003</v>
          </cell>
          <cell r="E23" t="e">
            <v>#N/A</v>
          </cell>
          <cell r="F23">
            <v>24.71649</v>
          </cell>
          <cell r="G23" t="e">
            <v>#N/A</v>
          </cell>
          <cell r="H23" t="e">
            <v>#N/A</v>
          </cell>
          <cell r="I23">
            <v>18.83024</v>
          </cell>
          <cell r="J23" t="e">
            <v>#N/A</v>
          </cell>
          <cell r="K23" t="e">
            <v>#N/A</v>
          </cell>
          <cell r="L23" t="e">
            <v>#N/A</v>
          </cell>
          <cell r="M23">
            <v>24.281463333333335</v>
          </cell>
          <cell r="N23" t="e">
            <v>#N/A</v>
          </cell>
          <cell r="O23" t="e">
            <v>#N/A</v>
          </cell>
          <cell r="P23">
            <v>20.417630000000003</v>
          </cell>
          <cell r="Q23">
            <v>20.417630000000003</v>
          </cell>
          <cell r="R23">
            <v>-0.15912687305089657</v>
          </cell>
          <cell r="S23">
            <v>-0.15912687305089657</v>
          </cell>
        </row>
        <row r="24">
          <cell r="A24" t="str">
            <v>17/05/2002</v>
          </cell>
          <cell r="B24">
            <v>21.481480000000001</v>
          </cell>
          <cell r="C24">
            <v>28.242770000000004</v>
          </cell>
          <cell r="D24">
            <v>24.664820000000002</v>
          </cell>
          <cell r="E24" t="e">
            <v>#N/A</v>
          </cell>
          <cell r="F24">
            <v>24.649480000000001</v>
          </cell>
          <cell r="G24" t="e">
            <v>#N/A</v>
          </cell>
          <cell r="H24" t="e">
            <v>#N/A</v>
          </cell>
          <cell r="I24">
            <v>19.343800000000002</v>
          </cell>
          <cell r="J24" t="e">
            <v>#N/A</v>
          </cell>
          <cell r="K24" t="e">
            <v>#N/A</v>
          </cell>
          <cell r="L24" t="e">
            <v>#N/A</v>
          </cell>
          <cell r="M24">
            <v>24.796356666666668</v>
          </cell>
          <cell r="N24" t="e">
            <v>#N/A</v>
          </cell>
          <cell r="O24" t="e">
            <v>#N/A</v>
          </cell>
          <cell r="P24">
            <v>19.64424</v>
          </cell>
          <cell r="Q24">
            <v>19.64424</v>
          </cell>
          <cell r="R24">
            <v>-0.20777716403767388</v>
          </cell>
          <cell r="S24">
            <v>-0.20777716403767388</v>
          </cell>
        </row>
        <row r="25">
          <cell r="A25" t="str">
            <v>24/05/2002</v>
          </cell>
          <cell r="B25">
            <v>20.962960000000002</v>
          </cell>
          <cell r="C25">
            <v>27.833450000000003</v>
          </cell>
          <cell r="D25">
            <v>24.938060000000004</v>
          </cell>
          <cell r="E25" t="e">
            <v>#N/A</v>
          </cell>
          <cell r="F25">
            <v>25.386600000000001</v>
          </cell>
          <cell r="G25" t="e">
            <v>#N/A</v>
          </cell>
          <cell r="H25" t="e">
            <v>#N/A</v>
          </cell>
          <cell r="I25">
            <v>19.400860000000002</v>
          </cell>
          <cell r="J25" t="e">
            <v>#N/A</v>
          </cell>
          <cell r="K25" t="e">
            <v>#N/A</v>
          </cell>
          <cell r="L25" t="e">
            <v>#N/A</v>
          </cell>
          <cell r="M25">
            <v>24.578156666666672</v>
          </cell>
          <cell r="N25" t="e">
            <v>#N/A</v>
          </cell>
          <cell r="O25" t="e">
            <v>#N/A</v>
          </cell>
          <cell r="P25">
            <v>19.953600000000002</v>
          </cell>
          <cell r="Q25">
            <v>19.953600000000002</v>
          </cell>
          <cell r="R25">
            <v>-0.18815718075955534</v>
          </cell>
          <cell r="S25">
            <v>-0.18815718075955534</v>
          </cell>
        </row>
        <row r="26">
          <cell r="A26" t="str">
            <v>31/05/2002</v>
          </cell>
          <cell r="B26">
            <v>20.88889</v>
          </cell>
          <cell r="C26">
            <v>27.482610000000001</v>
          </cell>
          <cell r="D26">
            <v>25.284180000000003</v>
          </cell>
          <cell r="E26" t="e">
            <v>#N/A</v>
          </cell>
          <cell r="F26">
            <v>25.309280000000001</v>
          </cell>
          <cell r="G26" t="e">
            <v>#N/A</v>
          </cell>
          <cell r="H26" t="e">
            <v>#N/A</v>
          </cell>
          <cell r="I26">
            <v>19.115550000000002</v>
          </cell>
          <cell r="J26" t="e">
            <v>#N/A</v>
          </cell>
          <cell r="K26" t="e">
            <v>#N/A</v>
          </cell>
          <cell r="L26" t="e">
            <v>#N/A</v>
          </cell>
          <cell r="M26">
            <v>24.551893333333336</v>
          </cell>
          <cell r="N26" t="e">
            <v>#N/A</v>
          </cell>
          <cell r="O26" t="e">
            <v>#N/A</v>
          </cell>
          <cell r="P26">
            <v>19.953600000000002</v>
          </cell>
          <cell r="Q26">
            <v>19.953600000000002</v>
          </cell>
          <cell r="R26">
            <v>-0.1872887467741795</v>
          </cell>
          <cell r="S26">
            <v>-0.1872887467741795</v>
          </cell>
        </row>
        <row r="27">
          <cell r="A27" t="str">
            <v>07/06/2002</v>
          </cell>
          <cell r="B27">
            <v>20.370370000000001</v>
          </cell>
          <cell r="C27">
            <v>27.014820000000004</v>
          </cell>
          <cell r="D27">
            <v>25.265960000000003</v>
          </cell>
          <cell r="E27" t="e">
            <v>#N/A</v>
          </cell>
          <cell r="F27">
            <v>22.726800000000001</v>
          </cell>
          <cell r="G27" t="e">
            <v>#N/A</v>
          </cell>
          <cell r="H27" t="e">
            <v>#N/A</v>
          </cell>
          <cell r="I27">
            <v>19.514980000000001</v>
          </cell>
          <cell r="J27" t="e">
            <v>#N/A</v>
          </cell>
          <cell r="K27" t="e">
            <v>#N/A</v>
          </cell>
          <cell r="L27" t="e">
            <v>#N/A</v>
          </cell>
          <cell r="M27">
            <v>24.217050000000004</v>
          </cell>
          <cell r="N27" t="e">
            <v>#N/A</v>
          </cell>
          <cell r="O27" t="e">
            <v>#N/A</v>
          </cell>
          <cell r="P27">
            <v>19.180199999999999</v>
          </cell>
          <cell r="Q27">
            <v>19.180199999999999</v>
          </cell>
          <cell r="R27">
            <v>-0.20798776068926661</v>
          </cell>
          <cell r="S27">
            <v>-0.20798776068926661</v>
          </cell>
        </row>
        <row r="28">
          <cell r="A28" t="str">
            <v>14/06/2002</v>
          </cell>
          <cell r="B28">
            <v>18.962960000000002</v>
          </cell>
          <cell r="C28">
            <v>24.50046</v>
          </cell>
          <cell r="D28">
            <v>24.500880000000002</v>
          </cell>
          <cell r="E28" t="e">
            <v>#N/A</v>
          </cell>
          <cell r="F28">
            <v>22.139180000000003</v>
          </cell>
          <cell r="G28" t="e">
            <v>#N/A</v>
          </cell>
          <cell r="H28" t="e">
            <v>#N/A</v>
          </cell>
          <cell r="I28">
            <v>19.286730000000002</v>
          </cell>
          <cell r="J28" t="e">
            <v>#N/A</v>
          </cell>
          <cell r="K28" t="e">
            <v>#N/A</v>
          </cell>
          <cell r="L28" t="e">
            <v>#N/A</v>
          </cell>
          <cell r="M28">
            <v>22.654766666666671</v>
          </cell>
          <cell r="N28" t="e">
            <v>#N/A</v>
          </cell>
          <cell r="O28" t="e">
            <v>#N/A</v>
          </cell>
          <cell r="P28">
            <v>18.561490000000003</v>
          </cell>
          <cell r="Q28">
            <v>18.561490000000003</v>
          </cell>
          <cell r="R28">
            <v>-0.18068059260523539</v>
          </cell>
          <cell r="S28">
            <v>-0.18068059260523539</v>
          </cell>
        </row>
        <row r="29">
          <cell r="A29" t="str">
            <v>21/06/2002</v>
          </cell>
          <cell r="B29">
            <v>18.814810000000001</v>
          </cell>
          <cell r="C29">
            <v>24.558930000000004</v>
          </cell>
          <cell r="D29">
            <v>24.446230000000003</v>
          </cell>
          <cell r="E29" t="e">
            <v>#N/A</v>
          </cell>
          <cell r="F29">
            <v>21.829900000000002</v>
          </cell>
          <cell r="G29" t="e">
            <v>#N/A</v>
          </cell>
          <cell r="H29" t="e">
            <v>#N/A</v>
          </cell>
          <cell r="I29">
            <v>19.400860000000002</v>
          </cell>
          <cell r="J29" t="e">
            <v>#N/A</v>
          </cell>
          <cell r="K29" t="e">
            <v>#N/A</v>
          </cell>
          <cell r="L29" t="e">
            <v>#N/A</v>
          </cell>
          <cell r="M29">
            <v>22.60665666666667</v>
          </cell>
          <cell r="N29" t="e">
            <v>#N/A</v>
          </cell>
          <cell r="O29" t="e">
            <v>#N/A</v>
          </cell>
          <cell r="P29">
            <v>17.942770000000003</v>
          </cell>
          <cell r="Q29">
            <v>17.942770000000003</v>
          </cell>
          <cell r="R29">
            <v>-0.20630590075460076</v>
          </cell>
          <cell r="S29">
            <v>-0.20630590075460076</v>
          </cell>
        </row>
        <row r="30">
          <cell r="A30" t="str">
            <v>28/06/2002</v>
          </cell>
          <cell r="B30">
            <v>20.078130000000002</v>
          </cell>
          <cell r="C30">
            <v>21.886620000000001</v>
          </cell>
          <cell r="D30">
            <v>22.984560000000002</v>
          </cell>
          <cell r="E30" t="e">
            <v>#N/A</v>
          </cell>
          <cell r="F30">
            <v>21.336630000000003</v>
          </cell>
          <cell r="G30" t="e">
            <v>#N/A</v>
          </cell>
          <cell r="H30" t="e">
            <v>#N/A</v>
          </cell>
          <cell r="I30">
            <v>18.43666</v>
          </cell>
          <cell r="J30" t="e">
            <v>#N/A</v>
          </cell>
          <cell r="K30" t="e">
            <v>#N/A</v>
          </cell>
          <cell r="L30" t="e">
            <v>#N/A</v>
          </cell>
          <cell r="M30">
            <v>21.64977</v>
          </cell>
          <cell r="N30" t="e">
            <v>#N/A</v>
          </cell>
          <cell r="O30" t="e">
            <v>#N/A</v>
          </cell>
          <cell r="P30">
            <v>19.047620000000002</v>
          </cell>
          <cell r="Q30">
            <v>19.047620000000002</v>
          </cell>
          <cell r="R30">
            <v>-0.12019296278898106</v>
          </cell>
          <cell r="S30">
            <v>-0.12019296278898106</v>
          </cell>
        </row>
        <row r="31">
          <cell r="A31" t="str">
            <v>05/07/2002</v>
          </cell>
          <cell r="B31">
            <v>20.703125</v>
          </cell>
          <cell r="C31">
            <v>22.086080000000003</v>
          </cell>
          <cell r="D31">
            <v>23.053170000000001</v>
          </cell>
          <cell r="E31" t="e">
            <v>#N/A</v>
          </cell>
          <cell r="F31">
            <v>21.871290000000002</v>
          </cell>
          <cell r="G31" t="e">
            <v>#N/A</v>
          </cell>
          <cell r="H31" t="e">
            <v>#N/A</v>
          </cell>
          <cell r="I31">
            <v>18.54448</v>
          </cell>
          <cell r="J31" t="e">
            <v>#N/A</v>
          </cell>
          <cell r="K31" t="e">
            <v>#N/A</v>
          </cell>
          <cell r="L31" t="e">
            <v>#N/A</v>
          </cell>
          <cell r="M31">
            <v>21.947458333333334</v>
          </cell>
          <cell r="N31" t="e">
            <v>#N/A</v>
          </cell>
          <cell r="O31" t="e">
            <v>#N/A</v>
          </cell>
          <cell r="P31">
            <v>20.361249999999998</v>
          </cell>
          <cell r="Q31">
            <v>20.361249999999998</v>
          </cell>
          <cell r="R31">
            <v>-7.2272985292526348E-2</v>
          </cell>
          <cell r="S31">
            <v>-7.2272985292526348E-2</v>
          </cell>
        </row>
        <row r="32">
          <cell r="A32" t="str">
            <v>12/07/2002</v>
          </cell>
          <cell r="B32">
            <v>19.921875</v>
          </cell>
          <cell r="C32">
            <v>20.743100000000002</v>
          </cell>
          <cell r="D32">
            <v>22.590050000000002</v>
          </cell>
          <cell r="E32" t="e">
            <v>#N/A</v>
          </cell>
          <cell r="F32">
            <v>20.792080000000002</v>
          </cell>
          <cell r="G32" t="e">
            <v>#N/A</v>
          </cell>
          <cell r="H32" t="e">
            <v>#N/A</v>
          </cell>
          <cell r="I32">
            <v>18.328840000000003</v>
          </cell>
          <cell r="J32" t="e">
            <v>#N/A</v>
          </cell>
          <cell r="K32" t="e">
            <v>#N/A</v>
          </cell>
          <cell r="L32" t="e">
            <v>#N/A</v>
          </cell>
          <cell r="M32">
            <v>21.085008333333334</v>
          </cell>
          <cell r="N32" t="e">
            <v>#N/A</v>
          </cell>
          <cell r="O32" t="e">
            <v>#N/A</v>
          </cell>
          <cell r="P32">
            <v>19.704440000000002</v>
          </cell>
          <cell r="Q32">
            <v>19.704440000000002</v>
          </cell>
          <cell r="R32">
            <v>-6.5476300104220897E-2</v>
          </cell>
          <cell r="S32">
            <v>-6.5476300104220897E-2</v>
          </cell>
        </row>
        <row r="33">
          <cell r="A33" t="str">
            <v>19/07/2002</v>
          </cell>
          <cell r="B33">
            <v>18.203125</v>
          </cell>
          <cell r="C33">
            <v>19.94528</v>
          </cell>
          <cell r="D33">
            <v>21.921100000000003</v>
          </cell>
          <cell r="E33" t="e">
            <v>#N/A</v>
          </cell>
          <cell r="F33">
            <v>19.504950000000001</v>
          </cell>
          <cell r="G33" t="e">
            <v>#N/A</v>
          </cell>
          <cell r="H33" t="e">
            <v>#N/A</v>
          </cell>
          <cell r="I33">
            <v>17.574120000000001</v>
          </cell>
          <cell r="J33" t="e">
            <v>#N/A</v>
          </cell>
          <cell r="K33" t="e">
            <v>#N/A</v>
          </cell>
          <cell r="L33" t="e">
            <v>#N/A</v>
          </cell>
          <cell r="M33">
            <v>20.023168333333334</v>
          </cell>
          <cell r="N33" t="e">
            <v>#N/A</v>
          </cell>
          <cell r="O33" t="e">
            <v>#N/A</v>
          </cell>
          <cell r="P33">
            <v>19.047620000000002</v>
          </cell>
          <cell r="Q33">
            <v>19.047620000000002</v>
          </cell>
          <cell r="R33">
            <v>-4.8720977474344007E-2</v>
          </cell>
          <cell r="S33">
            <v>-4.8720977474344007E-2</v>
          </cell>
        </row>
        <row r="34">
          <cell r="A34" t="str">
            <v>26/07/2002</v>
          </cell>
          <cell r="B34">
            <v>16.796875</v>
          </cell>
          <cell r="C34">
            <v>19.413410000000002</v>
          </cell>
          <cell r="D34">
            <v>21.132070000000002</v>
          </cell>
          <cell r="E34" t="e">
            <v>#N/A</v>
          </cell>
          <cell r="F34">
            <v>19.356440000000003</v>
          </cell>
          <cell r="G34" t="e">
            <v>#N/A</v>
          </cell>
          <cell r="H34" t="e">
            <v>#N/A</v>
          </cell>
          <cell r="I34">
            <v>18.0593</v>
          </cell>
          <cell r="J34" t="e">
            <v>#N/A</v>
          </cell>
          <cell r="K34" t="e">
            <v>#N/A</v>
          </cell>
          <cell r="L34" t="e">
            <v>#N/A</v>
          </cell>
          <cell r="M34">
            <v>19.114118333333334</v>
          </cell>
          <cell r="N34" t="e">
            <v>#N/A</v>
          </cell>
          <cell r="O34" t="e">
            <v>#N/A</v>
          </cell>
          <cell r="P34">
            <v>18.555010000000003</v>
          </cell>
          <cell r="Q34">
            <v>18.555010000000003</v>
          </cell>
          <cell r="R34">
            <v>-2.9251065813393873E-2</v>
          </cell>
          <cell r="S34">
            <v>-2.9251065813393873E-2</v>
          </cell>
        </row>
        <row r="35">
          <cell r="A35" t="str">
            <v>02/08/2002</v>
          </cell>
          <cell r="B35">
            <v>17.109375</v>
          </cell>
          <cell r="C35">
            <v>18.934720000000002</v>
          </cell>
          <cell r="D35">
            <v>21.509430000000002</v>
          </cell>
          <cell r="E35" t="e">
            <v>#N/A</v>
          </cell>
          <cell r="F35">
            <v>19.628710000000002</v>
          </cell>
          <cell r="G35" t="e">
            <v>#N/A</v>
          </cell>
          <cell r="H35" t="e">
            <v>#N/A</v>
          </cell>
          <cell r="I35">
            <v>18.0593</v>
          </cell>
          <cell r="J35" t="e">
            <v>#N/A</v>
          </cell>
          <cell r="K35" t="e">
            <v>#N/A</v>
          </cell>
          <cell r="L35" t="e">
            <v>#N/A</v>
          </cell>
          <cell r="M35">
            <v>19.184508333333333</v>
          </cell>
          <cell r="N35" t="e">
            <v>#N/A</v>
          </cell>
          <cell r="O35" t="e">
            <v>#N/A</v>
          </cell>
          <cell r="P35">
            <v>19.047620000000002</v>
          </cell>
          <cell r="Q35">
            <v>19.047620000000002</v>
          </cell>
          <cell r="R35">
            <v>-7.1353579124822097E-3</v>
          </cell>
          <cell r="S35">
            <v>-7.1353579124822097E-3</v>
          </cell>
        </row>
        <row r="36">
          <cell r="A36" t="str">
            <v>09/08/2002</v>
          </cell>
          <cell r="B36">
            <v>16.40625</v>
          </cell>
          <cell r="C36">
            <v>20.091550000000002</v>
          </cell>
          <cell r="D36">
            <v>21.526590000000002</v>
          </cell>
          <cell r="E36" t="e">
            <v>#N/A</v>
          </cell>
          <cell r="F36">
            <v>19.529700000000002</v>
          </cell>
          <cell r="G36" t="e">
            <v>#N/A</v>
          </cell>
          <cell r="H36" t="e">
            <v>#N/A</v>
          </cell>
          <cell r="I36">
            <v>18.328840000000003</v>
          </cell>
          <cell r="J36" t="e">
            <v>#N/A</v>
          </cell>
          <cell r="K36" t="e">
            <v>#N/A</v>
          </cell>
          <cell r="L36" t="e">
            <v>#N/A</v>
          </cell>
          <cell r="M36">
            <v>19.341463333333333</v>
          </cell>
          <cell r="N36" t="e">
            <v>#N/A</v>
          </cell>
          <cell r="O36" t="e">
            <v>#N/A</v>
          </cell>
          <cell r="P36">
            <v>18.883420000000001</v>
          </cell>
          <cell r="Q36">
            <v>18.883420000000001</v>
          </cell>
          <cell r="R36">
            <v>-2.3681937888532678E-2</v>
          </cell>
          <cell r="S36">
            <v>-2.3681937888532678E-2</v>
          </cell>
        </row>
        <row r="37">
          <cell r="A37" t="str">
            <v>16/08/2002</v>
          </cell>
          <cell r="B37">
            <v>15.625</v>
          </cell>
          <cell r="C37">
            <v>20.650010000000002</v>
          </cell>
          <cell r="D37">
            <v>21.355060000000002</v>
          </cell>
          <cell r="E37" t="e">
            <v>#N/A</v>
          </cell>
          <cell r="F37">
            <v>19.306930000000001</v>
          </cell>
          <cell r="G37" t="e">
            <v>#N/A</v>
          </cell>
          <cell r="H37" t="e">
            <v>#N/A</v>
          </cell>
          <cell r="I37">
            <v>18.328840000000003</v>
          </cell>
          <cell r="J37" t="e">
            <v>#N/A</v>
          </cell>
          <cell r="K37" t="e">
            <v>#N/A</v>
          </cell>
          <cell r="L37" t="e">
            <v>#N/A</v>
          </cell>
          <cell r="M37">
            <v>19.210023333333336</v>
          </cell>
          <cell r="N37" t="e">
            <v>#N/A</v>
          </cell>
          <cell r="O37" t="e">
            <v>#N/A</v>
          </cell>
          <cell r="P37">
            <v>19.704440000000002</v>
          </cell>
          <cell r="Q37">
            <v>19.704440000000002</v>
          </cell>
          <cell r="R37">
            <v>2.5737431864996774E-2</v>
          </cell>
          <cell r="S37">
            <v>2.5737431864996774E-2</v>
          </cell>
        </row>
        <row r="38">
          <cell r="A38" t="str">
            <v>23/08/2002</v>
          </cell>
          <cell r="B38">
            <v>16.640625</v>
          </cell>
          <cell r="C38">
            <v>20.477160000000001</v>
          </cell>
          <cell r="D38">
            <v>21.646650000000001</v>
          </cell>
          <cell r="E38" t="e">
            <v>#N/A</v>
          </cell>
          <cell r="F38">
            <v>19.995050000000003</v>
          </cell>
          <cell r="G38" t="e">
            <v>#N/A</v>
          </cell>
          <cell r="H38" t="e">
            <v>#N/A</v>
          </cell>
          <cell r="I38">
            <v>18.274930000000001</v>
          </cell>
          <cell r="J38" t="e">
            <v>#N/A</v>
          </cell>
          <cell r="K38" t="e">
            <v>#N/A</v>
          </cell>
          <cell r="L38" t="e">
            <v>#N/A</v>
          </cell>
          <cell r="M38">
            <v>19.588145000000001</v>
          </cell>
          <cell r="N38" t="e">
            <v>#N/A</v>
          </cell>
          <cell r="O38" t="e">
            <v>#N/A</v>
          </cell>
          <cell r="P38">
            <v>20.197040000000001</v>
          </cell>
          <cell r="Q38">
            <v>20.197040000000001</v>
          </cell>
          <cell r="R38">
            <v>3.1084873018859094E-2</v>
          </cell>
          <cell r="S38">
            <v>3.1084873018859094E-2</v>
          </cell>
        </row>
        <row r="39">
          <cell r="A39" t="str">
            <v>30/08/2002</v>
          </cell>
          <cell r="B39">
            <v>16.09375</v>
          </cell>
          <cell r="C39">
            <v>19.413410000000002</v>
          </cell>
          <cell r="D39">
            <v>21.852490000000003</v>
          </cell>
          <cell r="E39" t="e">
            <v>#N/A</v>
          </cell>
          <cell r="F39">
            <v>19.059410000000003</v>
          </cell>
          <cell r="G39" t="e">
            <v>#N/A</v>
          </cell>
          <cell r="H39" t="e">
            <v>#N/A</v>
          </cell>
          <cell r="I39">
            <v>18.113210000000002</v>
          </cell>
          <cell r="J39" t="e">
            <v>#N/A</v>
          </cell>
          <cell r="K39" t="e">
            <v>#N/A</v>
          </cell>
          <cell r="L39" t="e">
            <v>#N/A</v>
          </cell>
          <cell r="M39">
            <v>19.119883333333334</v>
          </cell>
          <cell r="N39" t="e">
            <v>#N/A</v>
          </cell>
          <cell r="O39" t="e">
            <v>#N/A</v>
          </cell>
          <cell r="P39">
            <v>20.03284</v>
          </cell>
          <cell r="Q39">
            <v>20.03284</v>
          </cell>
          <cell r="R39">
            <v>4.7749070993285292E-2</v>
          </cell>
          <cell r="S39">
            <v>4.7749070993285292E-2</v>
          </cell>
        </row>
        <row r="40">
          <cell r="A40" t="str">
            <v>06/09/2002</v>
          </cell>
          <cell r="B40">
            <v>15.15625</v>
          </cell>
          <cell r="C40">
            <v>18.615600000000001</v>
          </cell>
          <cell r="D40">
            <v>21.303599999999999</v>
          </cell>
          <cell r="E40" t="e">
            <v>#N/A</v>
          </cell>
          <cell r="F40">
            <v>19.42079</v>
          </cell>
          <cell r="G40" t="e">
            <v>#N/A</v>
          </cell>
          <cell r="H40" t="e">
            <v>#N/A</v>
          </cell>
          <cell r="I40">
            <v>17.520220000000002</v>
          </cell>
          <cell r="J40" t="e">
            <v>#N/A</v>
          </cell>
          <cell r="K40" t="e">
            <v>#N/A</v>
          </cell>
          <cell r="L40" t="e">
            <v>#N/A</v>
          </cell>
          <cell r="M40">
            <v>18.358483333333336</v>
          </cell>
          <cell r="N40" t="e">
            <v>#N/A</v>
          </cell>
          <cell r="O40" t="e">
            <v>#N/A</v>
          </cell>
          <cell r="P40">
            <v>19.540230000000001</v>
          </cell>
          <cell r="Q40">
            <v>19.540230000000001</v>
          </cell>
          <cell r="R40">
            <v>6.4370604325520553E-2</v>
          </cell>
          <cell r="S40">
            <v>6.4370604325520553E-2</v>
          </cell>
        </row>
        <row r="41">
          <cell r="A41" t="str">
            <v>13/09/2002</v>
          </cell>
          <cell r="B41">
            <v>14.921875999999999</v>
          </cell>
          <cell r="C41">
            <v>18.721970000000002</v>
          </cell>
          <cell r="D41">
            <v>20.891940000000002</v>
          </cell>
          <cell r="E41" t="e">
            <v>#N/A</v>
          </cell>
          <cell r="F41">
            <v>19.252480000000002</v>
          </cell>
          <cell r="G41" t="e">
            <v>#N/A</v>
          </cell>
          <cell r="H41" t="e">
            <v>#N/A</v>
          </cell>
          <cell r="I41">
            <v>17.628030000000003</v>
          </cell>
          <cell r="J41" t="e">
            <v>#N/A</v>
          </cell>
          <cell r="K41" t="e">
            <v>#N/A</v>
          </cell>
          <cell r="L41" t="e">
            <v>#N/A</v>
          </cell>
          <cell r="M41">
            <v>18.178595333333334</v>
          </cell>
          <cell r="N41" t="e">
            <v>#N/A</v>
          </cell>
          <cell r="O41" t="e">
            <v>#N/A</v>
          </cell>
          <cell r="P41">
            <v>19.540230000000001</v>
          </cell>
          <cell r="Q41">
            <v>19.540230000000001</v>
          </cell>
          <cell r="R41">
            <v>7.4903183755341995E-2</v>
          </cell>
          <cell r="S41">
            <v>7.4903183755341995E-2</v>
          </cell>
        </row>
        <row r="42">
          <cell r="A42" t="str">
            <v>20/09/2002</v>
          </cell>
          <cell r="B42">
            <v>14.375</v>
          </cell>
          <cell r="C42">
            <v>17.977350000000001</v>
          </cell>
          <cell r="D42">
            <v>20.222980000000003</v>
          </cell>
          <cell r="E42" t="e">
            <v>#N/A</v>
          </cell>
          <cell r="F42">
            <v>18.34158</v>
          </cell>
          <cell r="G42" t="e">
            <v>#N/A</v>
          </cell>
          <cell r="H42" t="e">
            <v>#N/A</v>
          </cell>
          <cell r="I42">
            <v>16.172510000000003</v>
          </cell>
          <cell r="J42" t="e">
            <v>#N/A</v>
          </cell>
          <cell r="K42" t="e">
            <v>#N/A</v>
          </cell>
          <cell r="L42" t="e">
            <v>#N/A</v>
          </cell>
          <cell r="M42">
            <v>17.525110000000002</v>
          </cell>
          <cell r="N42" t="e">
            <v>#N/A</v>
          </cell>
          <cell r="O42" t="e">
            <v>#N/A</v>
          </cell>
          <cell r="P42">
            <v>19.540230000000001</v>
          </cell>
          <cell r="Q42">
            <v>19.540230000000001</v>
          </cell>
          <cell r="R42">
            <v>0.11498472762795786</v>
          </cell>
          <cell r="S42">
            <v>0.11498472762795786</v>
          </cell>
        </row>
        <row r="43">
          <cell r="A43" t="str">
            <v>27/09/2002</v>
          </cell>
          <cell r="B43">
            <v>14.84375</v>
          </cell>
          <cell r="C43">
            <v>17.924160000000001</v>
          </cell>
          <cell r="D43">
            <v>19.897090000000002</v>
          </cell>
          <cell r="E43" t="e">
            <v>#N/A</v>
          </cell>
          <cell r="F43">
            <v>16.831680000000002</v>
          </cell>
          <cell r="G43" t="e">
            <v>#N/A</v>
          </cell>
          <cell r="H43" t="e">
            <v>#N/A</v>
          </cell>
          <cell r="I43">
            <v>15.902965999999999</v>
          </cell>
          <cell r="J43" t="e">
            <v>#N/A</v>
          </cell>
          <cell r="K43" t="e">
            <v>#N/A</v>
          </cell>
          <cell r="L43" t="e">
            <v>#N/A</v>
          </cell>
          <cell r="M43">
            <v>17.555000000000003</v>
          </cell>
          <cell r="N43" t="e">
            <v>#N/A</v>
          </cell>
          <cell r="O43" t="e">
            <v>#N/A</v>
          </cell>
          <cell r="P43">
            <v>19.211820000000003</v>
          </cell>
          <cell r="Q43">
            <v>19.211820000000003</v>
          </cell>
          <cell r="R43">
            <v>9.4378809455995416E-2</v>
          </cell>
          <cell r="S43">
            <v>9.4378809455995416E-2</v>
          </cell>
        </row>
        <row r="44">
          <cell r="A44" t="str">
            <v>04/10/2002</v>
          </cell>
          <cell r="B44">
            <v>15.206610999999999</v>
          </cell>
          <cell r="C44">
            <v>15.999098999999999</v>
          </cell>
          <cell r="D44">
            <v>18.57741</v>
          </cell>
          <cell r="E44" t="e">
            <v>#N/A</v>
          </cell>
          <cell r="F44">
            <v>18.590430000000001</v>
          </cell>
          <cell r="G44" t="e">
            <v>#N/A</v>
          </cell>
          <cell r="H44">
            <v>20.813010000000002</v>
          </cell>
          <cell r="I44">
            <v>13.895275</v>
          </cell>
          <cell r="J44" t="e">
            <v>#N/A</v>
          </cell>
          <cell r="K44" t="e">
            <v>#N/A</v>
          </cell>
          <cell r="L44" t="e">
            <v>#N/A</v>
          </cell>
          <cell r="M44">
            <v>16.594373333333333</v>
          </cell>
          <cell r="N44" t="e">
            <v>#N/A</v>
          </cell>
          <cell r="O44" t="e">
            <v>#N/A</v>
          </cell>
          <cell r="P44">
            <v>16.897300000000001</v>
          </cell>
          <cell r="Q44">
            <v>16.897300000000001</v>
          </cell>
          <cell r="R44">
            <v>1.8254781942152354E-2</v>
          </cell>
          <cell r="S44">
            <v>1.8254781942152354E-2</v>
          </cell>
        </row>
        <row r="45">
          <cell r="A45" t="str">
            <v>11/10/2002</v>
          </cell>
          <cell r="B45">
            <v>15.041322999999998</v>
          </cell>
          <cell r="C45">
            <v>15.145489</v>
          </cell>
          <cell r="D45">
            <v>18.276150000000001</v>
          </cell>
          <cell r="E45" t="e">
            <v>#N/A</v>
          </cell>
          <cell r="F45">
            <v>19.83511</v>
          </cell>
          <cell r="G45" t="e">
            <v>#N/A</v>
          </cell>
          <cell r="H45">
            <v>23.495930000000001</v>
          </cell>
          <cell r="I45">
            <v>13.435504999999999</v>
          </cell>
          <cell r="J45" t="e">
            <v>#N/A</v>
          </cell>
          <cell r="K45" t="e">
            <v>#N/A</v>
          </cell>
          <cell r="L45" t="e">
            <v>#N/A</v>
          </cell>
          <cell r="M45">
            <v>16.154320666666667</v>
          </cell>
          <cell r="N45" t="e">
            <v>#N/A</v>
          </cell>
          <cell r="O45" t="e">
            <v>#N/A</v>
          </cell>
          <cell r="P45">
            <v>16.314640000000001</v>
          </cell>
          <cell r="Q45">
            <v>16.314640000000001</v>
          </cell>
          <cell r="R45">
            <v>9.9242386381583891E-3</v>
          </cell>
          <cell r="S45">
            <v>9.9242386381583891E-3</v>
          </cell>
        </row>
        <row r="46">
          <cell r="A46" t="str">
            <v>18/10/2002</v>
          </cell>
          <cell r="B46">
            <v>17.851240000000001</v>
          </cell>
          <cell r="C46">
            <v>16.31615</v>
          </cell>
          <cell r="D46">
            <v>19.497910000000001</v>
          </cell>
          <cell r="E46" t="e">
            <v>#N/A</v>
          </cell>
          <cell r="F46">
            <v>20.340430000000001</v>
          </cell>
          <cell r="G46" t="e">
            <v>#N/A</v>
          </cell>
          <cell r="H46">
            <v>34.065040000000003</v>
          </cell>
          <cell r="I46">
            <v>12.822476999999999</v>
          </cell>
          <cell r="J46" t="e">
            <v>#N/A</v>
          </cell>
          <cell r="K46" t="e">
            <v>#N/A</v>
          </cell>
          <cell r="L46" t="e">
            <v>#N/A</v>
          </cell>
          <cell r="M46">
            <v>17.888433333333335</v>
          </cell>
          <cell r="N46" t="e">
            <v>#N/A</v>
          </cell>
          <cell r="O46" t="e">
            <v>#N/A</v>
          </cell>
          <cell r="P46">
            <v>17.334300000000002</v>
          </cell>
          <cell r="Q46">
            <v>17.334300000000002</v>
          </cell>
          <cell r="R46">
            <v>-3.0977186375553578E-2</v>
          </cell>
          <cell r="S46">
            <v>-3.0977186375553578E-2</v>
          </cell>
        </row>
        <row r="47">
          <cell r="A47" t="str">
            <v>25/10/2002</v>
          </cell>
          <cell r="B47">
            <v>17.851240000000001</v>
          </cell>
          <cell r="C47">
            <v>16.73077</v>
          </cell>
          <cell r="D47">
            <v>19.062760000000001</v>
          </cell>
          <cell r="E47" t="e">
            <v>#N/A</v>
          </cell>
          <cell r="F47">
            <v>20</v>
          </cell>
          <cell r="G47" t="e">
            <v>#N/A</v>
          </cell>
          <cell r="H47">
            <v>40.243900000000004</v>
          </cell>
          <cell r="I47">
            <v>12.720305999999999</v>
          </cell>
          <cell r="J47" t="e">
            <v>#N/A</v>
          </cell>
          <cell r="K47" t="e">
            <v>#N/A</v>
          </cell>
          <cell r="L47" t="e">
            <v>#N/A</v>
          </cell>
          <cell r="M47">
            <v>17.881589999999999</v>
          </cell>
          <cell r="N47" t="e">
            <v>#N/A</v>
          </cell>
          <cell r="O47" t="e">
            <v>#N/A</v>
          </cell>
          <cell r="P47">
            <v>17.188640000000003</v>
          </cell>
          <cell r="Q47">
            <v>17.188640000000003</v>
          </cell>
          <cell r="R47">
            <v>-3.8752146760998141E-2</v>
          </cell>
          <cell r="S47">
            <v>-3.8752146760998141E-2</v>
          </cell>
        </row>
        <row r="48">
          <cell r="A48" t="str">
            <v>01/11/2002</v>
          </cell>
          <cell r="B48">
            <v>16.859500000000001</v>
          </cell>
          <cell r="C48">
            <v>16.07227</v>
          </cell>
          <cell r="D48">
            <v>18.979080000000003</v>
          </cell>
          <cell r="E48" t="e">
            <v>#N/A</v>
          </cell>
          <cell r="F48">
            <v>19.414890000000003</v>
          </cell>
          <cell r="G48" t="e">
            <v>#N/A</v>
          </cell>
          <cell r="H48">
            <v>41.056910000000002</v>
          </cell>
          <cell r="I48">
            <v>11.238826</v>
          </cell>
          <cell r="J48" t="e">
            <v>#N/A</v>
          </cell>
          <cell r="K48" t="e">
            <v>#N/A</v>
          </cell>
          <cell r="L48" t="e">
            <v>#N/A</v>
          </cell>
          <cell r="M48">
            <v>17.303616666666667</v>
          </cell>
          <cell r="N48" t="e">
            <v>#N/A</v>
          </cell>
          <cell r="O48" t="e">
            <v>#N/A</v>
          </cell>
          <cell r="P48">
            <v>16.605970000000003</v>
          </cell>
          <cell r="Q48">
            <v>16.605970000000003</v>
          </cell>
          <cell r="R48">
            <v>-4.0317968208958055E-2</v>
          </cell>
          <cell r="S48">
            <v>-4.0317968208958055E-2</v>
          </cell>
        </row>
        <row r="49">
          <cell r="A49" t="str">
            <v>08/11/2002</v>
          </cell>
          <cell r="B49">
            <v>17.10744</v>
          </cell>
          <cell r="C49">
            <v>17.16976</v>
          </cell>
          <cell r="D49">
            <v>18.610880000000002</v>
          </cell>
          <cell r="E49" t="e">
            <v>#N/A</v>
          </cell>
          <cell r="F49">
            <v>21.053190000000001</v>
          </cell>
          <cell r="G49">
            <v>1.1579800000000001E-3</v>
          </cell>
          <cell r="H49">
            <v>41.86992</v>
          </cell>
          <cell r="I49">
            <v>12.567050000000002</v>
          </cell>
          <cell r="J49" t="e">
            <v>#N/A</v>
          </cell>
          <cell r="K49" t="e">
            <v>#N/A</v>
          </cell>
          <cell r="L49" t="e">
            <v>#N/A</v>
          </cell>
          <cell r="M49">
            <v>17.629360000000002</v>
          </cell>
          <cell r="N49" t="e">
            <v>#N/A</v>
          </cell>
          <cell r="O49" t="e">
            <v>#N/A</v>
          </cell>
          <cell r="P49">
            <v>16.46031</v>
          </cell>
          <cell r="Q49">
            <v>16.46031</v>
          </cell>
          <cell r="R49">
            <v>-6.6312673857701121E-2</v>
          </cell>
          <cell r="S49">
            <v>-6.6312673857701121E-2</v>
          </cell>
        </row>
        <row r="50">
          <cell r="A50" t="str">
            <v>15/11/2002</v>
          </cell>
          <cell r="B50">
            <v>17.603300000000001</v>
          </cell>
          <cell r="C50">
            <v>17.15757</v>
          </cell>
          <cell r="D50">
            <v>18.493720000000003</v>
          </cell>
          <cell r="E50" t="e">
            <v>#N/A</v>
          </cell>
          <cell r="F50">
            <v>20.404250000000001</v>
          </cell>
          <cell r="G50">
            <v>1.194004E-3</v>
          </cell>
          <cell r="H50">
            <v>43.495930000000001</v>
          </cell>
          <cell r="I50">
            <v>11.545339</v>
          </cell>
          <cell r="J50" t="e">
            <v>#N/A</v>
          </cell>
          <cell r="K50" t="e">
            <v>#N/A</v>
          </cell>
          <cell r="L50" t="e">
            <v>#N/A</v>
          </cell>
          <cell r="M50">
            <v>17.751529999999999</v>
          </cell>
          <cell r="N50" t="e">
            <v>#N/A</v>
          </cell>
          <cell r="O50" t="e">
            <v>#N/A</v>
          </cell>
          <cell r="P50">
            <v>16.897300000000001</v>
          </cell>
          <cell r="Q50">
            <v>16.897300000000001</v>
          </cell>
          <cell r="R50">
            <v>-4.8121485866288616E-2</v>
          </cell>
          <cell r="S50">
            <v>-4.8121485866288616E-2</v>
          </cell>
        </row>
        <row r="51">
          <cell r="A51" t="str">
            <v>22/11/2002</v>
          </cell>
          <cell r="B51">
            <v>17.272730000000003</v>
          </cell>
          <cell r="C51">
            <v>17.133180000000003</v>
          </cell>
          <cell r="D51">
            <v>18.979080000000003</v>
          </cell>
          <cell r="E51" t="e">
            <v>#N/A</v>
          </cell>
          <cell r="F51">
            <v>20.95213</v>
          </cell>
          <cell r="G51">
            <v>1.1823830000000002E-3</v>
          </cell>
          <cell r="H51">
            <v>48.780490000000007</v>
          </cell>
          <cell r="I51">
            <v>10.166027999999999</v>
          </cell>
          <cell r="J51" t="e">
            <v>#N/A</v>
          </cell>
          <cell r="K51" t="e">
            <v>#N/A</v>
          </cell>
          <cell r="L51" t="e">
            <v>#N/A</v>
          </cell>
          <cell r="M51">
            <v>17.79499666666667</v>
          </cell>
          <cell r="N51" t="e">
            <v>#N/A</v>
          </cell>
          <cell r="O51" t="e">
            <v>#N/A</v>
          </cell>
          <cell r="P51">
            <v>17.334300000000002</v>
          </cell>
          <cell r="Q51">
            <v>17.334300000000002</v>
          </cell>
          <cell r="R51">
            <v>-2.5889112276690551E-2</v>
          </cell>
          <cell r="S51">
            <v>-2.5889112276690551E-2</v>
          </cell>
        </row>
        <row r="52">
          <cell r="A52" t="str">
            <v>29/11/2002</v>
          </cell>
          <cell r="B52">
            <v>17.272730000000003</v>
          </cell>
          <cell r="C52">
            <v>15.608877999999999</v>
          </cell>
          <cell r="D52">
            <v>19.31381</v>
          </cell>
          <cell r="E52" t="e">
            <v>#N/A</v>
          </cell>
          <cell r="F52">
            <v>21.329790000000003</v>
          </cell>
          <cell r="G52">
            <v>1.241067E-3</v>
          </cell>
          <cell r="H52">
            <v>52.439020000000006</v>
          </cell>
          <cell r="I52">
            <v>12.515965</v>
          </cell>
          <cell r="J52" t="e">
            <v>#N/A</v>
          </cell>
          <cell r="K52" t="e">
            <v>#N/A</v>
          </cell>
          <cell r="L52" t="e">
            <v>#N/A</v>
          </cell>
          <cell r="M52">
            <v>17.398472666666667</v>
          </cell>
          <cell r="N52" t="e">
            <v>#N/A</v>
          </cell>
          <cell r="O52" t="e">
            <v>#N/A</v>
          </cell>
          <cell r="P52">
            <v>17.479970000000002</v>
          </cell>
          <cell r="Q52">
            <v>17.479970000000002</v>
          </cell>
          <cell r="R52">
            <v>4.6841659549503589E-3</v>
          </cell>
          <cell r="S52">
            <v>4.6841659549503589E-3</v>
          </cell>
        </row>
        <row r="53">
          <cell r="A53" t="str">
            <v>06/12/2002</v>
          </cell>
          <cell r="B53">
            <v>17.024790000000003</v>
          </cell>
          <cell r="C53">
            <v>15.072322</v>
          </cell>
          <cell r="D53">
            <v>19.079499999999999</v>
          </cell>
          <cell r="E53">
            <v>16.188680000000002</v>
          </cell>
          <cell r="F53">
            <v>20.989360000000001</v>
          </cell>
          <cell r="G53">
            <v>1.257916E-3</v>
          </cell>
          <cell r="H53">
            <v>46.341460000000005</v>
          </cell>
          <cell r="I53">
            <v>12.515965</v>
          </cell>
          <cell r="J53" t="e">
            <v>#N/A</v>
          </cell>
          <cell r="K53" t="e">
            <v>#N/A</v>
          </cell>
          <cell r="L53" t="e">
            <v>#N/A</v>
          </cell>
          <cell r="M53">
            <v>17.058870666666667</v>
          </cell>
          <cell r="N53" t="e">
            <v>#N/A</v>
          </cell>
          <cell r="O53" t="e">
            <v>#N/A</v>
          </cell>
          <cell r="P53">
            <v>17.188640000000003</v>
          </cell>
          <cell r="Q53">
            <v>17.188640000000003</v>
          </cell>
          <cell r="R53">
            <v>7.6071467958842565E-3</v>
          </cell>
          <cell r="S53">
            <v>7.6071467958842565E-3</v>
          </cell>
        </row>
        <row r="54">
          <cell r="A54" t="str">
            <v>13/12/2002</v>
          </cell>
          <cell r="B54">
            <v>17.272730000000003</v>
          </cell>
          <cell r="C54">
            <v>14.389434999999999</v>
          </cell>
          <cell r="D54">
            <v>18.945610000000002</v>
          </cell>
          <cell r="E54">
            <v>16.471700000000002</v>
          </cell>
          <cell r="F54">
            <v>20.595750000000002</v>
          </cell>
          <cell r="G54">
            <v>1.289873E-3</v>
          </cell>
          <cell r="H54">
            <v>39.430890000000005</v>
          </cell>
          <cell r="I54">
            <v>12.005108</v>
          </cell>
          <cell r="J54" t="e">
            <v>#N/A</v>
          </cell>
          <cell r="K54" t="e">
            <v>#N/A</v>
          </cell>
          <cell r="L54" t="e">
            <v>#N/A</v>
          </cell>
          <cell r="M54">
            <v>16.869258333333335</v>
          </cell>
          <cell r="N54" t="e">
            <v>#N/A</v>
          </cell>
          <cell r="O54" t="e">
            <v>#N/A</v>
          </cell>
          <cell r="P54">
            <v>16.751640000000002</v>
          </cell>
          <cell r="Q54">
            <v>16.751640000000002</v>
          </cell>
          <cell r="R54">
            <v>-6.9723476284029307E-3</v>
          </cell>
          <cell r="S54">
            <v>-6.9723476284029307E-3</v>
          </cell>
        </row>
        <row r="55">
          <cell r="A55" t="str">
            <v>20/12/2002</v>
          </cell>
          <cell r="B55">
            <v>16.859500000000001</v>
          </cell>
          <cell r="C55">
            <v>14.999155999999999</v>
          </cell>
          <cell r="D55">
            <v>19.246860000000002</v>
          </cell>
          <cell r="E55">
            <v>16.773590000000002</v>
          </cell>
          <cell r="F55">
            <v>20.255320000000001</v>
          </cell>
          <cell r="G55">
            <v>1.2550110000000001E-3</v>
          </cell>
          <cell r="H55">
            <v>34.471550000000001</v>
          </cell>
          <cell r="I55">
            <v>12.515965</v>
          </cell>
          <cell r="J55" t="e">
            <v>#N/A</v>
          </cell>
          <cell r="K55" t="e">
            <v>#N/A</v>
          </cell>
          <cell r="L55" t="e">
            <v>#N/A</v>
          </cell>
          <cell r="M55">
            <v>17.035171999999999</v>
          </cell>
          <cell r="N55" t="e">
            <v>#N/A</v>
          </cell>
          <cell r="O55" t="e">
            <v>#N/A</v>
          </cell>
          <cell r="P55">
            <v>17.04297</v>
          </cell>
          <cell r="Q55">
            <v>17.04297</v>
          </cell>
          <cell r="R55">
            <v>4.5775880630971599E-4</v>
          </cell>
          <cell r="S55">
            <v>4.5775880630971599E-4</v>
          </cell>
        </row>
        <row r="56">
          <cell r="A56" t="str">
            <v>27/12/2002</v>
          </cell>
          <cell r="B56">
            <v>16.859500000000001</v>
          </cell>
          <cell r="C56">
            <v>15.364989</v>
          </cell>
          <cell r="D56">
            <v>19.112970000000001</v>
          </cell>
          <cell r="E56">
            <v>15.849058999999999</v>
          </cell>
          <cell r="F56">
            <v>20.303190000000001</v>
          </cell>
          <cell r="G56">
            <v>1.2201499999999999E-3</v>
          </cell>
          <cell r="H56">
            <v>34.146340000000002</v>
          </cell>
          <cell r="I56">
            <v>12.822476999999999</v>
          </cell>
          <cell r="J56" t="e">
            <v>#N/A</v>
          </cell>
          <cell r="K56" t="e">
            <v>#N/A</v>
          </cell>
          <cell r="L56" t="e">
            <v>#N/A</v>
          </cell>
          <cell r="M56">
            <v>17.112486333333333</v>
          </cell>
          <cell r="N56" t="e">
            <v>#N/A</v>
          </cell>
          <cell r="O56" t="e">
            <v>#N/A</v>
          </cell>
          <cell r="P56">
            <v>17.479970000000002</v>
          </cell>
          <cell r="Q56">
            <v>17.479970000000002</v>
          </cell>
          <cell r="R56">
            <v>2.1474592266048864E-2</v>
          </cell>
          <cell r="S56">
            <v>2.1474592266048864E-2</v>
          </cell>
        </row>
        <row r="57">
          <cell r="A57" t="str">
            <v>03/01/2003</v>
          </cell>
          <cell r="B57">
            <v>17.894740000000002</v>
          </cell>
          <cell r="C57">
            <v>16.553410000000003</v>
          </cell>
          <cell r="D57">
            <v>18.774510000000003</v>
          </cell>
          <cell r="E57">
            <v>14.135802999999999</v>
          </cell>
          <cell r="F57">
            <v>17.293580000000002</v>
          </cell>
          <cell r="G57">
            <v>13.930816999999999</v>
          </cell>
          <cell r="H57" t="e">
            <v>#N/A</v>
          </cell>
          <cell r="I57">
            <v>11.893203999999999</v>
          </cell>
          <cell r="J57" t="e">
            <v>#N/A</v>
          </cell>
          <cell r="K57" t="e">
            <v>#N/A</v>
          </cell>
          <cell r="L57">
            <v>24.353450000000002</v>
          </cell>
          <cell r="M57">
            <v>17.740886666666668</v>
          </cell>
          <cell r="N57" t="e">
            <v>#N/A</v>
          </cell>
          <cell r="O57" t="e">
            <v>#N/A</v>
          </cell>
          <cell r="P57">
            <v>17.521370000000001</v>
          </cell>
          <cell r="Q57">
            <v>17.521370000000001</v>
          </cell>
          <cell r="R57">
            <v>-1.2373489036436758E-2</v>
          </cell>
          <cell r="S57">
            <v>-1.2373489036436758E-2</v>
          </cell>
        </row>
        <row r="58">
          <cell r="A58" t="str">
            <v>10/01/2003</v>
          </cell>
          <cell r="B58">
            <v>17.894740000000002</v>
          </cell>
          <cell r="C58">
            <v>16.890180000000001</v>
          </cell>
          <cell r="D58">
            <v>18.790850000000002</v>
          </cell>
          <cell r="E58">
            <v>15.120372</v>
          </cell>
          <cell r="F58">
            <v>16.288990000000002</v>
          </cell>
          <cell r="G58">
            <v>14.119496999999999</v>
          </cell>
          <cell r="H58" t="e">
            <v>#N/A</v>
          </cell>
          <cell r="I58">
            <v>12.135921999999999</v>
          </cell>
          <cell r="J58" t="e">
            <v>#N/A</v>
          </cell>
          <cell r="K58" t="e">
            <v>#N/A</v>
          </cell>
          <cell r="L58">
            <v>24.353450000000002</v>
          </cell>
          <cell r="M58">
            <v>17.858590000000003</v>
          </cell>
          <cell r="N58" t="e">
            <v>#N/A</v>
          </cell>
          <cell r="O58" t="e">
            <v>#N/A</v>
          </cell>
          <cell r="P58">
            <v>17.09402</v>
          </cell>
          <cell r="Q58">
            <v>17.09402</v>
          </cell>
          <cell r="R58">
            <v>-4.2812450479013275E-2</v>
          </cell>
          <cell r="S58">
            <v>-4.2812450479013275E-2</v>
          </cell>
        </row>
        <row r="59">
          <cell r="A59" t="str">
            <v>17/01/2003</v>
          </cell>
          <cell r="B59">
            <v>17.543860000000002</v>
          </cell>
          <cell r="C59">
            <v>18.392680000000002</v>
          </cell>
          <cell r="D59">
            <v>19.28105</v>
          </cell>
          <cell r="E59">
            <v>13.895061999999999</v>
          </cell>
          <cell r="F59">
            <v>16.38532</v>
          </cell>
          <cell r="G59">
            <v>14.465408</v>
          </cell>
          <cell r="H59" t="e">
            <v>#N/A</v>
          </cell>
          <cell r="I59">
            <v>11.990292</v>
          </cell>
          <cell r="J59" t="e">
            <v>#N/A</v>
          </cell>
          <cell r="K59" t="e">
            <v>#N/A</v>
          </cell>
          <cell r="L59">
            <v>24.353450000000002</v>
          </cell>
          <cell r="M59">
            <v>18.405863333333336</v>
          </cell>
          <cell r="N59" t="e">
            <v>#N/A</v>
          </cell>
          <cell r="O59" t="e">
            <v>#N/A</v>
          </cell>
          <cell r="P59">
            <v>17.806270000000001</v>
          </cell>
          <cell r="Q59">
            <v>17.806270000000001</v>
          </cell>
          <cell r="R59">
            <v>-3.257621348559403E-2</v>
          </cell>
          <cell r="S59">
            <v>-3.257621348559403E-2</v>
          </cell>
        </row>
        <row r="60">
          <cell r="A60" t="str">
            <v>24/01/2003</v>
          </cell>
          <cell r="B60">
            <v>17.192980000000002</v>
          </cell>
          <cell r="C60">
            <v>17.835720000000002</v>
          </cell>
          <cell r="D60">
            <v>19.42811</v>
          </cell>
          <cell r="E60">
            <v>14.503088</v>
          </cell>
          <cell r="F60">
            <v>16</v>
          </cell>
          <cell r="G60">
            <v>14.025155999999999</v>
          </cell>
          <cell r="H60" t="e">
            <v>#N/A</v>
          </cell>
          <cell r="I60">
            <v>11.553398</v>
          </cell>
          <cell r="J60" t="e">
            <v>#N/A</v>
          </cell>
          <cell r="K60" t="e">
            <v>#N/A</v>
          </cell>
          <cell r="L60">
            <v>24.353450000000002</v>
          </cell>
          <cell r="M60">
            <v>18.152270000000001</v>
          </cell>
          <cell r="N60" t="e">
            <v>#N/A</v>
          </cell>
          <cell r="O60" t="e">
            <v>#N/A</v>
          </cell>
          <cell r="P60">
            <v>17.663820000000001</v>
          </cell>
          <cell r="Q60">
            <v>17.663820000000001</v>
          </cell>
          <cell r="R60">
            <v>-2.6908480316786831E-2</v>
          </cell>
          <cell r="S60">
            <v>-2.6908480316786831E-2</v>
          </cell>
        </row>
        <row r="61">
          <cell r="A61" t="str">
            <v>31/01/2003</v>
          </cell>
          <cell r="B61">
            <v>16.31579</v>
          </cell>
          <cell r="C61">
            <v>17.084470000000003</v>
          </cell>
          <cell r="D61">
            <v>19.16667</v>
          </cell>
          <cell r="E61">
            <v>13.117284999999999</v>
          </cell>
          <cell r="F61">
            <v>15.903668</v>
          </cell>
          <cell r="G61">
            <v>14.088050000000001</v>
          </cell>
          <cell r="H61" t="e">
            <v>#N/A</v>
          </cell>
          <cell r="I61">
            <v>10.970874</v>
          </cell>
          <cell r="J61" t="e">
            <v>#N/A</v>
          </cell>
          <cell r="K61" t="e">
            <v>#N/A</v>
          </cell>
          <cell r="L61">
            <v>24.353450000000002</v>
          </cell>
          <cell r="M61">
            <v>17.522310000000001</v>
          </cell>
          <cell r="N61" t="e">
            <v>#N/A</v>
          </cell>
          <cell r="O61" t="e">
            <v>#N/A</v>
          </cell>
          <cell r="P61">
            <v>17.663820000000001</v>
          </cell>
          <cell r="Q61">
            <v>17.663820000000001</v>
          </cell>
          <cell r="R61">
            <v>8.0759899807731905E-3</v>
          </cell>
          <cell r="S61">
            <v>8.0759899807731905E-3</v>
          </cell>
        </row>
        <row r="62">
          <cell r="A62" t="str">
            <v>07/02/2003</v>
          </cell>
          <cell r="B62">
            <v>15.701754999999999</v>
          </cell>
          <cell r="C62">
            <v>17.084470000000003</v>
          </cell>
          <cell r="D62">
            <v>18.88889</v>
          </cell>
          <cell r="E62">
            <v>12.996915</v>
          </cell>
          <cell r="F62">
            <v>15.522934999999999</v>
          </cell>
          <cell r="G62">
            <v>14.213837</v>
          </cell>
          <cell r="H62" t="e">
            <v>#N/A</v>
          </cell>
          <cell r="I62">
            <v>11.262136</v>
          </cell>
          <cell r="J62" t="e">
            <v>#N/A</v>
          </cell>
          <cell r="K62" t="e">
            <v>#N/A</v>
          </cell>
          <cell r="L62">
            <v>24.353450000000002</v>
          </cell>
          <cell r="M62">
            <v>17.225038333333334</v>
          </cell>
          <cell r="N62" t="e">
            <v>#N/A</v>
          </cell>
          <cell r="O62" t="e">
            <v>#N/A</v>
          </cell>
          <cell r="P62">
            <v>17.663820000000001</v>
          </cell>
          <cell r="Q62">
            <v>17.663820000000001</v>
          </cell>
          <cell r="R62">
            <v>2.5473479836474411E-2</v>
          </cell>
          <cell r="S62">
            <v>2.5473479836474411E-2</v>
          </cell>
        </row>
        <row r="63">
          <cell r="A63" t="str">
            <v>14/02/2003</v>
          </cell>
          <cell r="B63">
            <v>15.438597</v>
          </cell>
          <cell r="C63">
            <v>16.553410000000003</v>
          </cell>
          <cell r="D63">
            <v>18.74183</v>
          </cell>
          <cell r="E63">
            <v>13.734568999999999</v>
          </cell>
          <cell r="F63">
            <v>15.853211</v>
          </cell>
          <cell r="G63">
            <v>13.993710999999999</v>
          </cell>
          <cell r="H63" t="e">
            <v>#N/A</v>
          </cell>
          <cell r="I63">
            <v>11.116505</v>
          </cell>
          <cell r="J63" t="e">
            <v>#N/A</v>
          </cell>
          <cell r="K63" t="e">
            <v>#N/A</v>
          </cell>
          <cell r="L63">
            <v>24.353450000000002</v>
          </cell>
          <cell r="M63">
            <v>16.911279</v>
          </cell>
          <cell r="N63" t="e">
            <v>#N/A</v>
          </cell>
          <cell r="O63" t="e">
            <v>#N/A</v>
          </cell>
          <cell r="P63">
            <v>17.09402</v>
          </cell>
          <cell r="Q63">
            <v>17.09402</v>
          </cell>
          <cell r="R63">
            <v>1.0805865127055059E-2</v>
          </cell>
          <cell r="S63">
            <v>1.0805865127055059E-2</v>
          </cell>
        </row>
        <row r="64">
          <cell r="A64" t="str">
            <v>21/02/2003</v>
          </cell>
          <cell r="B64">
            <v>15.877193</v>
          </cell>
          <cell r="C64">
            <v>17.097420000000003</v>
          </cell>
          <cell r="D64">
            <v>18.790850000000002</v>
          </cell>
          <cell r="E64">
            <v>14.000000999999999</v>
          </cell>
          <cell r="F64">
            <v>16.5367</v>
          </cell>
          <cell r="G64">
            <v>13.805031999999999</v>
          </cell>
          <cell r="H64" t="e">
            <v>#N/A</v>
          </cell>
          <cell r="I64">
            <v>11.019418</v>
          </cell>
          <cell r="J64" t="e">
            <v>#N/A</v>
          </cell>
          <cell r="K64" t="e">
            <v>#N/A</v>
          </cell>
          <cell r="L64">
            <v>24.353450000000002</v>
          </cell>
          <cell r="M64">
            <v>17.255154333333337</v>
          </cell>
          <cell r="N64" t="e">
            <v>#N/A</v>
          </cell>
          <cell r="O64" t="e">
            <v>#N/A</v>
          </cell>
          <cell r="P64">
            <v>17.806270000000001</v>
          </cell>
          <cell r="Q64">
            <v>17.806270000000001</v>
          </cell>
          <cell r="R64">
            <v>3.1939190807585227E-2</v>
          </cell>
          <cell r="S64">
            <v>3.1939190807585227E-2</v>
          </cell>
        </row>
        <row r="65">
          <cell r="A65" t="str">
            <v>28/02/2003</v>
          </cell>
          <cell r="B65">
            <v>15.964912999999999</v>
          </cell>
          <cell r="C65">
            <v>16.553410000000003</v>
          </cell>
          <cell r="D65">
            <v>18.137260000000001</v>
          </cell>
          <cell r="E65">
            <v>13.287037999999999</v>
          </cell>
          <cell r="F65">
            <v>16.477060000000002</v>
          </cell>
          <cell r="G65">
            <v>13.647798999999999</v>
          </cell>
          <cell r="H65" t="e">
            <v>#N/A</v>
          </cell>
          <cell r="I65">
            <v>10.728154999999999</v>
          </cell>
          <cell r="J65" t="e">
            <v>#N/A</v>
          </cell>
          <cell r="K65" t="e">
            <v>#N/A</v>
          </cell>
          <cell r="L65">
            <v>24.353450000000002</v>
          </cell>
          <cell r="M65">
            <v>16.885194333333335</v>
          </cell>
          <cell r="N65" t="e">
            <v>#N/A</v>
          </cell>
          <cell r="O65" t="e">
            <v>#N/A</v>
          </cell>
          <cell r="P65">
            <v>17.663820000000001</v>
          </cell>
          <cell r="Q65">
            <v>17.663820000000001</v>
          </cell>
          <cell r="R65">
            <v>4.6112923031603525E-2</v>
          </cell>
          <cell r="S65">
            <v>4.6112923031603525E-2</v>
          </cell>
        </row>
        <row r="66">
          <cell r="A66" t="str">
            <v>07/03/2003</v>
          </cell>
          <cell r="B66">
            <v>15.175438</v>
          </cell>
          <cell r="C66">
            <v>15.452444999999999</v>
          </cell>
          <cell r="D66">
            <v>17.810460000000003</v>
          </cell>
          <cell r="E66">
            <v>13.064815999999999</v>
          </cell>
          <cell r="F66">
            <v>16.022940000000002</v>
          </cell>
          <cell r="G66">
            <v>12.578616</v>
          </cell>
          <cell r="H66" t="e">
            <v>#N/A</v>
          </cell>
          <cell r="I66">
            <v>12.378640000000001</v>
          </cell>
          <cell r="J66" t="e">
            <v>#N/A</v>
          </cell>
          <cell r="K66" t="e">
            <v>#N/A</v>
          </cell>
          <cell r="L66">
            <v>24.353450000000002</v>
          </cell>
          <cell r="M66">
            <v>16.146114333333333</v>
          </cell>
          <cell r="N66" t="e">
            <v>#N/A</v>
          </cell>
          <cell r="O66" t="e">
            <v>#N/A</v>
          </cell>
          <cell r="P66">
            <v>17.236470000000001</v>
          </cell>
          <cell r="Q66">
            <v>17.236470000000001</v>
          </cell>
          <cell r="R66">
            <v>6.7530530513812304E-2</v>
          </cell>
          <cell r="S66">
            <v>6.7530530513812304E-2</v>
          </cell>
        </row>
        <row r="67">
          <cell r="A67" t="str">
            <v>14/03/2003</v>
          </cell>
          <cell r="B67">
            <v>16.578950000000003</v>
          </cell>
          <cell r="C67">
            <v>14.856625999999999</v>
          </cell>
          <cell r="D67">
            <v>16.911770000000001</v>
          </cell>
          <cell r="E67">
            <v>13.333335</v>
          </cell>
          <cell r="F67">
            <v>15.252293999999999</v>
          </cell>
          <cell r="G67">
            <v>13.522012999999999</v>
          </cell>
          <cell r="H67" t="e">
            <v>#N/A</v>
          </cell>
          <cell r="I67">
            <v>12.864079</v>
          </cell>
          <cell r="J67" t="e">
            <v>#N/A</v>
          </cell>
          <cell r="K67" t="e">
            <v>#N/A</v>
          </cell>
          <cell r="L67">
            <v>24.353450000000002</v>
          </cell>
          <cell r="M67">
            <v>16.115781999999999</v>
          </cell>
          <cell r="N67" t="e">
            <v>#N/A</v>
          </cell>
          <cell r="O67" t="e">
            <v>#N/A</v>
          </cell>
          <cell r="P67">
            <v>17.378920000000001</v>
          </cell>
          <cell r="Q67">
            <v>17.378920000000001</v>
          </cell>
          <cell r="R67">
            <v>7.8378945557838975E-2</v>
          </cell>
          <cell r="S67">
            <v>7.8378945557838975E-2</v>
          </cell>
        </row>
        <row r="68">
          <cell r="A68" t="str">
            <v>21/03/2003</v>
          </cell>
          <cell r="B68">
            <v>16.754390000000001</v>
          </cell>
          <cell r="C68">
            <v>15.594921999999999</v>
          </cell>
          <cell r="D68">
            <v>17.810460000000003</v>
          </cell>
          <cell r="E68">
            <v>14.537037999999999</v>
          </cell>
          <cell r="F68">
            <v>16.69266</v>
          </cell>
          <cell r="G68">
            <v>13.207547</v>
          </cell>
          <cell r="H68" t="e">
            <v>#N/A</v>
          </cell>
          <cell r="I68">
            <v>13.155340000000001</v>
          </cell>
          <cell r="J68" t="e">
            <v>#N/A</v>
          </cell>
          <cell r="K68" t="e">
            <v>#N/A</v>
          </cell>
          <cell r="L68">
            <v>24.353450000000002</v>
          </cell>
          <cell r="M68">
            <v>16.719924000000002</v>
          </cell>
          <cell r="N68" t="e">
            <v>#N/A</v>
          </cell>
          <cell r="O68" t="e">
            <v>#N/A</v>
          </cell>
          <cell r="P68">
            <v>17.663820000000001</v>
          </cell>
          <cell r="Q68">
            <v>17.663820000000001</v>
          </cell>
          <cell r="R68">
            <v>5.6453366654058978E-2</v>
          </cell>
          <cell r="S68">
            <v>5.6453366654058978E-2</v>
          </cell>
        </row>
        <row r="69">
          <cell r="A69" t="str">
            <v>28/03/2003</v>
          </cell>
          <cell r="B69">
            <v>15.350878</v>
          </cell>
          <cell r="C69">
            <v>15.141582999999999</v>
          </cell>
          <cell r="D69">
            <v>18.05556</v>
          </cell>
          <cell r="E69">
            <v>15.015433</v>
          </cell>
          <cell r="F69">
            <v>16.660550000000001</v>
          </cell>
          <cell r="G69">
            <v>12.830188</v>
          </cell>
          <cell r="H69" t="e">
            <v>#N/A</v>
          </cell>
          <cell r="I69">
            <v>13.446601999999999</v>
          </cell>
          <cell r="J69" t="e">
            <v>#N/A</v>
          </cell>
          <cell r="K69" t="e">
            <v>#N/A</v>
          </cell>
          <cell r="L69">
            <v>24.353450000000002</v>
          </cell>
          <cell r="M69">
            <v>16.182673666666666</v>
          </cell>
          <cell r="N69" t="e">
            <v>#N/A</v>
          </cell>
          <cell r="O69" t="e">
            <v>#N/A</v>
          </cell>
          <cell r="P69">
            <v>17.663820000000001</v>
          </cell>
          <cell r="Q69">
            <v>17.663820000000001</v>
          </cell>
          <cell r="R69">
            <v>9.152667623671018E-2</v>
          </cell>
          <cell r="S69">
            <v>9.152667623671018E-2</v>
          </cell>
        </row>
        <row r="70">
          <cell r="A70" t="str">
            <v>04/04/2003</v>
          </cell>
          <cell r="B70">
            <v>17.808220000000002</v>
          </cell>
          <cell r="C70">
            <v>16.159190000000002</v>
          </cell>
          <cell r="D70">
            <v>18.862480000000001</v>
          </cell>
          <cell r="E70">
            <v>14.319526999999999</v>
          </cell>
          <cell r="F70">
            <v>17.27064</v>
          </cell>
          <cell r="G70">
            <v>1.8274250000000001E-3</v>
          </cell>
          <cell r="H70" t="e">
            <v>#N/A</v>
          </cell>
          <cell r="I70">
            <v>12.444445</v>
          </cell>
          <cell r="J70" t="e">
            <v>#N/A</v>
          </cell>
          <cell r="K70" t="e">
            <v>#N/A</v>
          </cell>
          <cell r="L70">
            <v>24.353450000000002</v>
          </cell>
          <cell r="M70">
            <v>17.609963333333337</v>
          </cell>
          <cell r="N70" t="e">
            <v>#N/A</v>
          </cell>
          <cell r="O70" t="e">
            <v>#N/A</v>
          </cell>
          <cell r="P70">
            <v>20.094190000000001</v>
          </cell>
          <cell r="Q70">
            <v>20.094190000000001</v>
          </cell>
          <cell r="R70">
            <v>0.1410693832601202</v>
          </cell>
          <cell r="S70">
            <v>0.1410693832601202</v>
          </cell>
        </row>
        <row r="71">
          <cell r="A71" t="str">
            <v>11/04/2003</v>
          </cell>
          <cell r="B71">
            <v>17.02544</v>
          </cell>
          <cell r="C71">
            <v>16.739270000000001</v>
          </cell>
          <cell r="D71">
            <v>19.21902</v>
          </cell>
          <cell r="E71">
            <v>13.837276999999998</v>
          </cell>
          <cell r="F71">
            <v>17.706420000000001</v>
          </cell>
          <cell r="G71">
            <v>1.9242240000000002E-3</v>
          </cell>
          <cell r="H71" t="e">
            <v>#N/A</v>
          </cell>
          <cell r="I71">
            <v>12.622221999999999</v>
          </cell>
          <cell r="J71" t="e">
            <v>#N/A</v>
          </cell>
          <cell r="K71" t="e">
            <v>#N/A</v>
          </cell>
          <cell r="L71">
            <v>24.353450000000002</v>
          </cell>
          <cell r="M71">
            <v>17.661243333333335</v>
          </cell>
          <cell r="N71" t="e">
            <v>#N/A</v>
          </cell>
          <cell r="O71" t="e">
            <v>#N/A</v>
          </cell>
          <cell r="P71">
            <v>20.251180000000002</v>
          </cell>
          <cell r="Q71">
            <v>20.251180000000002</v>
          </cell>
          <cell r="R71">
            <v>0.14664520599059361</v>
          </cell>
          <cell r="S71">
            <v>0.14664520599059361</v>
          </cell>
        </row>
        <row r="72">
          <cell r="A72" t="str">
            <v>17/04/2003</v>
          </cell>
          <cell r="B72">
            <v>16.536200000000001</v>
          </cell>
          <cell r="C72">
            <v>17.195040000000002</v>
          </cell>
          <cell r="D72">
            <v>19.354840000000003</v>
          </cell>
          <cell r="E72">
            <v>14.508875999999999</v>
          </cell>
          <cell r="F72">
            <v>18.04128</v>
          </cell>
          <cell r="G72">
            <v>1.963125E-3</v>
          </cell>
          <cell r="H72" t="e">
            <v>#N/A</v>
          </cell>
          <cell r="I72">
            <v>12.711112</v>
          </cell>
          <cell r="J72" t="e">
            <v>#N/A</v>
          </cell>
          <cell r="K72" t="e">
            <v>#N/A</v>
          </cell>
          <cell r="L72">
            <v>24.353450000000002</v>
          </cell>
          <cell r="M72">
            <v>17.695360000000001</v>
          </cell>
          <cell r="N72" t="e">
            <v>#N/A</v>
          </cell>
          <cell r="O72" t="e">
            <v>#N/A</v>
          </cell>
          <cell r="P72">
            <v>19.623230000000003</v>
          </cell>
          <cell r="Q72">
            <v>19.623230000000003</v>
          </cell>
          <cell r="R72">
            <v>0.10894776935874728</v>
          </cell>
          <cell r="S72">
            <v>0.10894776935874728</v>
          </cell>
        </row>
        <row r="73">
          <cell r="A73" t="str">
            <v>25/04/2003</v>
          </cell>
          <cell r="B73">
            <v>15.459883999999999</v>
          </cell>
          <cell r="C73">
            <v>17.264090000000003</v>
          </cell>
          <cell r="D73">
            <v>19.558570000000003</v>
          </cell>
          <cell r="E73">
            <v>15.517750999999999</v>
          </cell>
          <cell r="F73">
            <v>18.486240000000002</v>
          </cell>
          <cell r="G73">
            <v>1.9450320000000002E-3</v>
          </cell>
          <cell r="H73" t="e">
            <v>#N/A</v>
          </cell>
          <cell r="I73">
            <v>12.888888999999999</v>
          </cell>
          <cell r="J73" t="e">
            <v>#N/A</v>
          </cell>
          <cell r="K73" t="e">
            <v>#N/A</v>
          </cell>
          <cell r="L73">
            <v>24.353450000000002</v>
          </cell>
          <cell r="M73">
            <v>17.427514666666667</v>
          </cell>
          <cell r="N73" t="e">
            <v>#N/A</v>
          </cell>
          <cell r="O73" t="e">
            <v>#N/A</v>
          </cell>
          <cell r="P73">
            <v>18.524330000000003</v>
          </cell>
          <cell r="Q73">
            <v>18.524330000000003</v>
          </cell>
          <cell r="R73">
            <v>6.2935843366765054E-2</v>
          </cell>
          <cell r="S73">
            <v>6.2935843366765054E-2</v>
          </cell>
        </row>
        <row r="74">
          <cell r="A74" t="str">
            <v>02/05/2003</v>
          </cell>
          <cell r="B74">
            <v>17.710370000000001</v>
          </cell>
          <cell r="C74">
            <v>17.913220000000003</v>
          </cell>
          <cell r="D74">
            <v>18.930390000000003</v>
          </cell>
          <cell r="E74">
            <v>16.863900000000001</v>
          </cell>
          <cell r="F74">
            <v>19.330270000000002</v>
          </cell>
          <cell r="G74">
            <v>2.112395E-3</v>
          </cell>
          <cell r="H74" t="e">
            <v>#N/A</v>
          </cell>
          <cell r="I74">
            <v>13.777778</v>
          </cell>
          <cell r="J74" t="e">
            <v>#N/A</v>
          </cell>
          <cell r="K74" t="e">
            <v>#N/A</v>
          </cell>
          <cell r="L74">
            <v>24.353450000000002</v>
          </cell>
          <cell r="M74">
            <v>18.184660000000004</v>
          </cell>
          <cell r="N74" t="e">
            <v>#N/A</v>
          </cell>
          <cell r="O74" t="e">
            <v>#N/A</v>
          </cell>
          <cell r="P74">
            <v>19.623230000000003</v>
          </cell>
          <cell r="Q74">
            <v>19.623230000000003</v>
          </cell>
          <cell r="R74">
            <v>7.9108985265602838E-2</v>
          </cell>
          <cell r="S74">
            <v>7.9108985265602838E-2</v>
          </cell>
        </row>
        <row r="75">
          <cell r="A75" t="str">
            <v>09/05/2003</v>
          </cell>
          <cell r="B75">
            <v>18.003910000000001</v>
          </cell>
          <cell r="C75">
            <v>17.706050000000001</v>
          </cell>
          <cell r="D75">
            <v>19.439730000000001</v>
          </cell>
          <cell r="E75">
            <v>16.485210000000002</v>
          </cell>
          <cell r="F75">
            <v>19.169730000000001</v>
          </cell>
          <cell r="G75">
            <v>2.1259650000000001E-3</v>
          </cell>
          <cell r="H75" t="e">
            <v>#N/A</v>
          </cell>
          <cell r="I75">
            <v>13.644444</v>
          </cell>
          <cell r="J75" t="e">
            <v>#N/A</v>
          </cell>
          <cell r="K75" t="e">
            <v>#N/A</v>
          </cell>
          <cell r="L75">
            <v>24.353450000000002</v>
          </cell>
          <cell r="M75">
            <v>18.383230000000001</v>
          </cell>
          <cell r="N75" t="e">
            <v>#N/A</v>
          </cell>
          <cell r="O75" t="e">
            <v>#N/A</v>
          </cell>
          <cell r="P75">
            <v>19.466249999999999</v>
          </cell>
          <cell r="Q75">
            <v>19.466249999999999</v>
          </cell>
          <cell r="R75">
            <v>5.891347712017958E-2</v>
          </cell>
          <cell r="S75">
            <v>5.891347712017958E-2</v>
          </cell>
        </row>
        <row r="76">
          <cell r="A76" t="str">
            <v>16/05/2003</v>
          </cell>
          <cell r="B76">
            <v>18.101760000000002</v>
          </cell>
          <cell r="C76">
            <v>18.576160000000002</v>
          </cell>
          <cell r="D76">
            <v>19.354840000000003</v>
          </cell>
          <cell r="E76">
            <v>17.751480000000001</v>
          </cell>
          <cell r="F76">
            <v>19.07798</v>
          </cell>
          <cell r="G76">
            <v>2.239048E-3</v>
          </cell>
          <cell r="H76" t="e">
            <v>#N/A</v>
          </cell>
          <cell r="I76">
            <v>14.000000999999999</v>
          </cell>
          <cell r="J76" t="e">
            <v>#N/A</v>
          </cell>
          <cell r="K76" t="e">
            <v>#N/A</v>
          </cell>
          <cell r="L76">
            <v>24.353450000000002</v>
          </cell>
          <cell r="M76">
            <v>18.677586666666667</v>
          </cell>
          <cell r="N76" t="e">
            <v>#N/A</v>
          </cell>
          <cell r="O76" t="e">
            <v>#N/A</v>
          </cell>
          <cell r="P76">
            <v>19.623230000000003</v>
          </cell>
          <cell r="Q76">
            <v>19.623230000000003</v>
          </cell>
          <cell r="R76">
            <v>5.0629845825906239E-2</v>
          </cell>
          <cell r="S76">
            <v>5.0629845825906239E-2</v>
          </cell>
        </row>
        <row r="77">
          <cell r="A77" t="str">
            <v>23/05/2003</v>
          </cell>
          <cell r="B77">
            <v>18.78669</v>
          </cell>
          <cell r="C77">
            <v>17.844170000000002</v>
          </cell>
          <cell r="D77">
            <v>20.03396</v>
          </cell>
          <cell r="E77">
            <v>17.804730000000003</v>
          </cell>
          <cell r="F77">
            <v>19.08257</v>
          </cell>
          <cell r="G77">
            <v>2.216431E-3</v>
          </cell>
          <cell r="H77" t="e">
            <v>#N/A</v>
          </cell>
          <cell r="I77">
            <v>14.666666999999999</v>
          </cell>
          <cell r="J77" t="e">
            <v>#N/A</v>
          </cell>
          <cell r="K77" t="e">
            <v>#N/A</v>
          </cell>
          <cell r="L77">
            <v>24.353450000000002</v>
          </cell>
          <cell r="M77">
            <v>18.888273333333334</v>
          </cell>
          <cell r="N77" t="e">
            <v>#N/A</v>
          </cell>
          <cell r="O77" t="e">
            <v>#N/A</v>
          </cell>
          <cell r="P77">
            <v>20.251180000000002</v>
          </cell>
          <cell r="Q77">
            <v>20.251180000000002</v>
          </cell>
          <cell r="R77">
            <v>7.2156233797266101E-2</v>
          </cell>
          <cell r="S77">
            <v>7.2156233797266101E-2</v>
          </cell>
        </row>
        <row r="78">
          <cell r="A78" t="str">
            <v>30/05/2003</v>
          </cell>
          <cell r="B78">
            <v>20.156560000000002</v>
          </cell>
          <cell r="C78">
            <v>18.866199999999999</v>
          </cell>
          <cell r="D78">
            <v>20.882850000000001</v>
          </cell>
          <cell r="E78">
            <v>18.189350000000001</v>
          </cell>
          <cell r="F78">
            <v>20.527520000000003</v>
          </cell>
          <cell r="G78">
            <v>2.2526180000000001E-3</v>
          </cell>
          <cell r="H78" t="e">
            <v>#N/A</v>
          </cell>
          <cell r="I78">
            <v>14.8</v>
          </cell>
          <cell r="J78" t="e">
            <v>#N/A</v>
          </cell>
          <cell r="K78" t="e">
            <v>#N/A</v>
          </cell>
          <cell r="L78">
            <v>24.353450000000002</v>
          </cell>
          <cell r="M78">
            <v>19.968536666666669</v>
          </cell>
          <cell r="N78" t="e">
            <v>#N/A</v>
          </cell>
          <cell r="O78" t="e">
            <v>#N/A</v>
          </cell>
          <cell r="P78">
            <v>20.251180000000002</v>
          </cell>
          <cell r="Q78">
            <v>20.251180000000002</v>
          </cell>
          <cell r="R78">
            <v>1.4154433950342771E-2</v>
          </cell>
          <cell r="S78">
            <v>1.4154433950342771E-2</v>
          </cell>
        </row>
        <row r="79">
          <cell r="A79" t="str">
            <v>06/06/2003</v>
          </cell>
          <cell r="B79">
            <v>20.645790000000002</v>
          </cell>
          <cell r="C79">
            <v>19.943480000000001</v>
          </cell>
          <cell r="D79">
            <v>21.66384</v>
          </cell>
          <cell r="E79">
            <v>18.047340000000002</v>
          </cell>
          <cell r="F79">
            <v>20.206420000000001</v>
          </cell>
          <cell r="G79">
            <v>2.4290280000000002E-3</v>
          </cell>
          <cell r="H79" t="e">
            <v>#N/A</v>
          </cell>
          <cell r="I79">
            <v>14.311110999999999</v>
          </cell>
          <cell r="J79" t="e">
            <v>#N/A</v>
          </cell>
          <cell r="K79" t="e">
            <v>#N/A</v>
          </cell>
          <cell r="L79">
            <v>18.103450000000002</v>
          </cell>
          <cell r="M79">
            <v>20.751036666666668</v>
          </cell>
          <cell r="N79" t="e">
            <v>#N/A</v>
          </cell>
          <cell r="O79" t="e">
            <v>#N/A</v>
          </cell>
          <cell r="P79">
            <v>21.350080000000002</v>
          </cell>
          <cell r="Q79">
            <v>21.350080000000002</v>
          </cell>
          <cell r="R79">
            <v>2.8868115986494525E-2</v>
          </cell>
          <cell r="S79">
            <v>2.8868115986494525E-2</v>
          </cell>
        </row>
        <row r="80">
          <cell r="A80" t="str">
            <v>13/06/2003</v>
          </cell>
          <cell r="B80">
            <v>23.091980000000003</v>
          </cell>
          <cell r="C80">
            <v>19.63963</v>
          </cell>
          <cell r="D80">
            <v>21.799660000000003</v>
          </cell>
          <cell r="E80">
            <v>19.088760000000001</v>
          </cell>
          <cell r="F80">
            <v>20.642200000000003</v>
          </cell>
          <cell r="G80">
            <v>2.4154580000000001E-3</v>
          </cell>
          <cell r="H80" t="e">
            <v>#N/A</v>
          </cell>
          <cell r="I80">
            <v>14.666666999999999</v>
          </cell>
          <cell r="J80" t="e">
            <v>#N/A</v>
          </cell>
          <cell r="K80" t="e">
            <v>#N/A</v>
          </cell>
          <cell r="L80">
            <v>17.672410000000003</v>
          </cell>
          <cell r="M80">
            <v>21.510423333333335</v>
          </cell>
          <cell r="N80" t="e">
            <v>#N/A</v>
          </cell>
          <cell r="O80" t="e">
            <v>#N/A</v>
          </cell>
          <cell r="P80">
            <v>22.448980000000002</v>
          </cell>
          <cell r="Q80">
            <v>22.448980000000002</v>
          </cell>
          <cell r="R80">
            <v>4.3632645072691156E-2</v>
          </cell>
          <cell r="S80">
            <v>4.3632645072691156E-2</v>
          </cell>
        </row>
        <row r="81">
          <cell r="A81" t="str">
            <v>20/06/2003</v>
          </cell>
          <cell r="B81">
            <v>22.504890000000003</v>
          </cell>
          <cell r="C81">
            <v>19.625820000000001</v>
          </cell>
          <cell r="D81">
            <v>22.614599999999999</v>
          </cell>
          <cell r="E81">
            <v>19.60651</v>
          </cell>
          <cell r="F81">
            <v>20.990820000000003</v>
          </cell>
          <cell r="G81">
            <v>2.624436E-3</v>
          </cell>
          <cell r="H81" t="e">
            <v>#N/A</v>
          </cell>
          <cell r="I81">
            <v>14.977777999999999</v>
          </cell>
          <cell r="J81" t="e">
            <v>#N/A</v>
          </cell>
          <cell r="K81" t="e">
            <v>#N/A</v>
          </cell>
          <cell r="L81">
            <v>17.456900000000001</v>
          </cell>
          <cell r="M81">
            <v>21.581770000000002</v>
          </cell>
          <cell r="N81" t="e">
            <v>#N/A</v>
          </cell>
          <cell r="O81" t="e">
            <v>#N/A</v>
          </cell>
          <cell r="P81">
            <v>21.821040000000004</v>
          </cell>
          <cell r="Q81">
            <v>21.821040000000004</v>
          </cell>
          <cell r="R81">
            <v>1.1086671760472067E-2</v>
          </cell>
          <cell r="S81">
            <v>1.1086671760472067E-2</v>
          </cell>
        </row>
        <row r="82">
          <cell r="A82" t="str">
            <v>27/06/2003</v>
          </cell>
          <cell r="B82">
            <v>21.624270000000003</v>
          </cell>
          <cell r="C82">
            <v>18.1342</v>
          </cell>
          <cell r="D82">
            <v>21.731750000000002</v>
          </cell>
          <cell r="E82">
            <v>20.591710000000003</v>
          </cell>
          <cell r="F82">
            <v>20.880730000000003</v>
          </cell>
          <cell r="G82">
            <v>2.4878310000000002E-3</v>
          </cell>
          <cell r="H82" t="e">
            <v>#N/A</v>
          </cell>
          <cell r="I82">
            <v>14.977777999999999</v>
          </cell>
          <cell r="J82" t="e">
            <v>#N/A</v>
          </cell>
          <cell r="K82" t="e">
            <v>#N/A</v>
          </cell>
          <cell r="L82">
            <v>18.87931</v>
          </cell>
          <cell r="M82">
            <v>20.496740000000003</v>
          </cell>
          <cell r="N82" t="e">
            <v>#N/A</v>
          </cell>
          <cell r="O82" t="e">
            <v>#N/A</v>
          </cell>
          <cell r="P82">
            <v>21.821040000000004</v>
          </cell>
          <cell r="Q82">
            <v>21.821040000000004</v>
          </cell>
          <cell r="R82">
            <v>6.4610274609523399E-2</v>
          </cell>
          <cell r="S82">
            <v>6.4610274609523399E-2</v>
          </cell>
        </row>
        <row r="83">
          <cell r="A83" t="str">
            <v>03/07/2003</v>
          </cell>
          <cell r="B83">
            <v>22.177420000000001</v>
          </cell>
          <cell r="C83">
            <v>18.959960000000002</v>
          </cell>
          <cell r="D83">
            <v>23.109540000000003</v>
          </cell>
          <cell r="E83">
            <v>19.798930000000002</v>
          </cell>
          <cell r="F83">
            <v>20.435550000000003</v>
          </cell>
          <cell r="G83">
            <v>5.5619370000000003E-3</v>
          </cell>
          <cell r="H83" t="e">
            <v>#N/A</v>
          </cell>
          <cell r="I83">
            <v>14.672130999999998</v>
          </cell>
          <cell r="J83" t="e">
            <v>#N/A</v>
          </cell>
          <cell r="K83" t="e">
            <v>#N/A</v>
          </cell>
          <cell r="L83">
            <v>19.396550000000001</v>
          </cell>
          <cell r="M83">
            <v>21.415640000000007</v>
          </cell>
          <cell r="N83" t="e">
            <v>#N/A</v>
          </cell>
          <cell r="O83" t="e">
            <v>#N/A</v>
          </cell>
          <cell r="P83">
            <v>88.749990000000011</v>
          </cell>
          <cell r="Q83">
            <v>88.749990000000011</v>
          </cell>
          <cell r="R83">
            <v>3.1441670666858421</v>
          </cell>
          <cell r="S83">
            <v>3.1441670666858421</v>
          </cell>
        </row>
        <row r="84">
          <cell r="A84" t="str">
            <v>11/07/2003</v>
          </cell>
          <cell r="B84">
            <v>24.193550000000002</v>
          </cell>
          <cell r="C84">
            <v>19.397080000000003</v>
          </cell>
          <cell r="D84">
            <v>22.862190000000002</v>
          </cell>
          <cell r="E84">
            <v>20.297590000000003</v>
          </cell>
          <cell r="F84">
            <v>21.488890000000001</v>
          </cell>
          <cell r="G84">
            <v>5.6725720000000007E-3</v>
          </cell>
          <cell r="H84" t="e">
            <v>#N/A</v>
          </cell>
          <cell r="I84">
            <v>14.262295</v>
          </cell>
          <cell r="J84" t="e">
            <v>#N/A</v>
          </cell>
          <cell r="K84" t="e">
            <v>#N/A</v>
          </cell>
          <cell r="L84">
            <v>19.655170000000002</v>
          </cell>
          <cell r="M84">
            <v>22.150940000000002</v>
          </cell>
          <cell r="N84" t="e">
            <v>#N/A</v>
          </cell>
          <cell r="O84" t="e">
            <v>#N/A</v>
          </cell>
          <cell r="P84">
            <v>91.875</v>
          </cell>
          <cell r="Q84">
            <v>91.875</v>
          </cell>
          <cell r="R84">
            <v>3.14767951156926</v>
          </cell>
          <cell r="S84">
            <v>3.14767951156926</v>
          </cell>
        </row>
        <row r="85">
          <cell r="A85" t="str">
            <v>18/07/2003</v>
          </cell>
          <cell r="B85">
            <v>25.201610000000002</v>
          </cell>
          <cell r="C85">
            <v>17.921810000000001</v>
          </cell>
          <cell r="D85">
            <v>23.0212</v>
          </cell>
          <cell r="E85">
            <v>20.053620000000002</v>
          </cell>
          <cell r="F85">
            <v>21.524440000000002</v>
          </cell>
          <cell r="G85">
            <v>5.8536120000000002E-3</v>
          </cell>
          <cell r="H85" t="e">
            <v>#N/A</v>
          </cell>
          <cell r="I85">
            <v>14.549180000000002</v>
          </cell>
          <cell r="J85" t="e">
            <v>#N/A</v>
          </cell>
          <cell r="K85" t="e">
            <v>#N/A</v>
          </cell>
          <cell r="L85">
            <v>20.68966</v>
          </cell>
          <cell r="M85">
            <v>22.048206666666669</v>
          </cell>
          <cell r="N85" t="e">
            <v>#N/A</v>
          </cell>
          <cell r="O85" t="e">
            <v>#N/A</v>
          </cell>
          <cell r="P85">
            <v>92.5</v>
          </cell>
          <cell r="Q85">
            <v>92.5</v>
          </cell>
          <cell r="R85">
            <v>3.1953525471912902</v>
          </cell>
          <cell r="S85">
            <v>3.1953525471912902</v>
          </cell>
        </row>
        <row r="86">
          <cell r="A86" t="str">
            <v>25/07/2003</v>
          </cell>
          <cell r="B86">
            <v>24.294360000000001</v>
          </cell>
          <cell r="C86">
            <v>17.894490000000001</v>
          </cell>
          <cell r="D86">
            <v>22.879860000000001</v>
          </cell>
          <cell r="E86">
            <v>21.042899999999999</v>
          </cell>
          <cell r="F86">
            <v>21.422220000000003</v>
          </cell>
          <cell r="G86">
            <v>6.0346510000000003E-3</v>
          </cell>
          <cell r="H86" t="e">
            <v>#N/A</v>
          </cell>
          <cell r="I86">
            <v>14.713113999999999</v>
          </cell>
          <cell r="J86" t="e">
            <v>#N/A</v>
          </cell>
          <cell r="K86" t="e">
            <v>#N/A</v>
          </cell>
          <cell r="L86">
            <v>20.991380000000003</v>
          </cell>
          <cell r="M86">
            <v>21.689570000000003</v>
          </cell>
          <cell r="N86" t="e">
            <v>#N/A</v>
          </cell>
          <cell r="O86" t="e">
            <v>#N/A</v>
          </cell>
          <cell r="P86">
            <v>91.875</v>
          </cell>
          <cell r="Q86">
            <v>91.875</v>
          </cell>
          <cell r="R86">
            <v>3.2359069359143584</v>
          </cell>
          <cell r="S86">
            <v>3.2359069359143584</v>
          </cell>
        </row>
        <row r="87">
          <cell r="A87" t="str">
            <v>01/08/2003</v>
          </cell>
          <cell r="B87">
            <v>26.108870000000003</v>
          </cell>
          <cell r="C87">
            <v>17.97645</v>
          </cell>
          <cell r="D87">
            <v>23.551240000000004</v>
          </cell>
          <cell r="E87">
            <v>19.262740000000001</v>
          </cell>
          <cell r="F87">
            <v>20.617780000000003</v>
          </cell>
          <cell r="G87">
            <v>5.984362E-3</v>
          </cell>
          <cell r="H87" t="e">
            <v>#N/A</v>
          </cell>
          <cell r="I87">
            <v>15.040984</v>
          </cell>
          <cell r="J87" t="e">
            <v>#N/A</v>
          </cell>
          <cell r="K87" t="e">
            <v>#N/A</v>
          </cell>
          <cell r="L87">
            <v>21.077590000000001</v>
          </cell>
          <cell r="M87">
            <v>22.54552</v>
          </cell>
          <cell r="N87" t="e">
            <v>#N/A</v>
          </cell>
          <cell r="O87" t="e">
            <v>#N/A</v>
          </cell>
          <cell r="P87">
            <v>94.999990000000011</v>
          </cell>
          <cell r="Q87">
            <v>94.999990000000011</v>
          </cell>
          <cell r="R87">
            <v>3.2136970005570955</v>
          </cell>
          <cell r="S87">
            <v>3.2136970005570955</v>
          </cell>
        </row>
        <row r="88">
          <cell r="A88" t="str">
            <v>08/08/2003</v>
          </cell>
          <cell r="B88">
            <v>26.915320000000001</v>
          </cell>
          <cell r="C88">
            <v>17.60763</v>
          </cell>
          <cell r="D88">
            <v>24.028270000000003</v>
          </cell>
          <cell r="E88">
            <v>20.120650000000001</v>
          </cell>
          <cell r="F88">
            <v>20.41778</v>
          </cell>
          <cell r="G88">
            <v>5.9018880000000001E-3</v>
          </cell>
          <cell r="H88" t="e">
            <v>#N/A</v>
          </cell>
          <cell r="I88">
            <v>14.959016999999999</v>
          </cell>
          <cell r="J88" t="e">
            <v>#N/A</v>
          </cell>
          <cell r="K88" t="e">
            <v>#N/A</v>
          </cell>
          <cell r="L88">
            <v>21.077590000000001</v>
          </cell>
          <cell r="M88">
            <v>22.850406666666668</v>
          </cell>
          <cell r="N88" t="e">
            <v>#N/A</v>
          </cell>
          <cell r="O88" t="e">
            <v>#N/A</v>
          </cell>
          <cell r="P88">
            <v>92.5</v>
          </cell>
          <cell r="Q88">
            <v>92.5</v>
          </cell>
          <cell r="R88">
            <v>3.0480679993733153</v>
          </cell>
          <cell r="S88">
            <v>3.0480679993733153</v>
          </cell>
        </row>
        <row r="89">
          <cell r="A89" t="str">
            <v>15/08/2003</v>
          </cell>
          <cell r="B89">
            <v>26.915320000000001</v>
          </cell>
          <cell r="C89">
            <v>19.31512</v>
          </cell>
          <cell r="D89">
            <v>23.851590000000002</v>
          </cell>
          <cell r="E89">
            <v>21.045580000000001</v>
          </cell>
          <cell r="F89">
            <v>19.697780000000002</v>
          </cell>
          <cell r="G89">
            <v>5.9159700000000004E-3</v>
          </cell>
          <cell r="H89" t="e">
            <v>#N/A</v>
          </cell>
          <cell r="I89">
            <v>14.918032999999999</v>
          </cell>
          <cell r="J89" t="e">
            <v>#N/A</v>
          </cell>
          <cell r="K89" t="e">
            <v>#N/A</v>
          </cell>
          <cell r="L89">
            <v>20.646550000000001</v>
          </cell>
          <cell r="M89">
            <v>23.360676666666667</v>
          </cell>
          <cell r="N89" t="e">
            <v>#N/A</v>
          </cell>
          <cell r="O89" t="e">
            <v>#N/A</v>
          </cell>
          <cell r="P89">
            <v>97.5</v>
          </cell>
          <cell r="Q89">
            <v>97.5</v>
          </cell>
          <cell r="R89">
            <v>3.1736804712991331</v>
          </cell>
          <cell r="S89">
            <v>3.1736804712991331</v>
          </cell>
        </row>
        <row r="90">
          <cell r="A90" t="str">
            <v>22/08/2003</v>
          </cell>
          <cell r="B90">
            <v>28.326610000000002</v>
          </cell>
          <cell r="C90">
            <v>19.055580000000003</v>
          </cell>
          <cell r="D90">
            <v>23.374560000000002</v>
          </cell>
          <cell r="E90">
            <v>18.297590000000003</v>
          </cell>
          <cell r="F90">
            <v>20.182220000000001</v>
          </cell>
          <cell r="G90">
            <v>6.1754590000000003E-3</v>
          </cell>
          <cell r="H90" t="e">
            <v>#N/A</v>
          </cell>
          <cell r="I90">
            <v>15.90164</v>
          </cell>
          <cell r="J90" t="e">
            <v>#N/A</v>
          </cell>
          <cell r="K90" t="e">
            <v>#N/A</v>
          </cell>
          <cell r="L90">
            <v>20.086210000000001</v>
          </cell>
          <cell r="M90">
            <v>23.585583333333336</v>
          </cell>
          <cell r="N90" t="e">
            <v>#N/A</v>
          </cell>
          <cell r="O90" t="e">
            <v>#N/A</v>
          </cell>
          <cell r="P90">
            <v>98.125</v>
          </cell>
          <cell r="Q90">
            <v>98.125</v>
          </cell>
          <cell r="R90">
            <v>3.1603804584014945</v>
          </cell>
          <cell r="S90">
            <v>3.1603804584014945</v>
          </cell>
        </row>
        <row r="91">
          <cell r="A91" t="str">
            <v>29/08/2003</v>
          </cell>
          <cell r="B91">
            <v>28.225810000000003</v>
          </cell>
          <cell r="C91">
            <v>18.97362</v>
          </cell>
          <cell r="D91">
            <v>24.558300000000003</v>
          </cell>
          <cell r="E91">
            <v>18.871320000000001</v>
          </cell>
          <cell r="F91">
            <v>19.568890000000003</v>
          </cell>
          <cell r="G91">
            <v>6.1654020000000004E-3</v>
          </cell>
          <cell r="H91" t="e">
            <v>#N/A</v>
          </cell>
          <cell r="I91">
            <v>16.47541</v>
          </cell>
          <cell r="J91" t="e">
            <v>#N/A</v>
          </cell>
          <cell r="K91" t="e">
            <v>#N/A</v>
          </cell>
          <cell r="L91">
            <v>20.431040000000003</v>
          </cell>
          <cell r="M91">
            <v>23.919243333333338</v>
          </cell>
          <cell r="N91" t="e">
            <v>#N/A</v>
          </cell>
          <cell r="O91" t="e">
            <v>#N/A</v>
          </cell>
          <cell r="P91">
            <v>103.12499000000001</v>
          </cell>
          <cell r="Q91">
            <v>103.12499000000001</v>
          </cell>
          <cell r="R91">
            <v>3.3113817842342561</v>
          </cell>
          <cell r="S91">
            <v>3.3113817842342561</v>
          </cell>
        </row>
        <row r="92">
          <cell r="A92" t="str">
            <v>05/09/2003</v>
          </cell>
          <cell r="B92">
            <v>31.451610000000002</v>
          </cell>
          <cell r="C92">
            <v>19.233160000000002</v>
          </cell>
          <cell r="D92">
            <v>23.81625</v>
          </cell>
          <cell r="E92">
            <v>18.860590000000002</v>
          </cell>
          <cell r="F92">
            <v>20.506670000000003</v>
          </cell>
          <cell r="G92">
            <v>6.2056330000000003E-3</v>
          </cell>
          <cell r="H92" t="e">
            <v>#N/A</v>
          </cell>
          <cell r="I92">
            <v>16.557380000000002</v>
          </cell>
          <cell r="J92" t="e">
            <v>#N/A</v>
          </cell>
          <cell r="K92" t="e">
            <v>#N/A</v>
          </cell>
          <cell r="L92">
            <v>20.043100000000003</v>
          </cell>
          <cell r="M92">
            <v>24.833673333333333</v>
          </cell>
          <cell r="N92" t="e">
            <v>#N/A</v>
          </cell>
          <cell r="O92" t="e">
            <v>#N/A</v>
          </cell>
          <cell r="P92">
            <v>102.49999000000001</v>
          </cell>
          <cell r="Q92">
            <v>102.49999000000001</v>
          </cell>
          <cell r="R92">
            <v>3.1274598656501622</v>
          </cell>
          <cell r="S92">
            <v>3.1274598656501622</v>
          </cell>
        </row>
        <row r="93">
          <cell r="A93" t="str">
            <v>12/09/2003</v>
          </cell>
          <cell r="B93">
            <v>31.149190000000001</v>
          </cell>
          <cell r="C93">
            <v>19.53368</v>
          </cell>
          <cell r="D93">
            <v>23.957600000000003</v>
          </cell>
          <cell r="E93">
            <v>19.190350000000002</v>
          </cell>
          <cell r="F93">
            <v>19.964440000000003</v>
          </cell>
          <cell r="G93">
            <v>6.4168460000000004E-3</v>
          </cell>
          <cell r="H93" t="e">
            <v>#N/A</v>
          </cell>
          <cell r="I93">
            <v>16.803280000000001</v>
          </cell>
          <cell r="J93" t="e">
            <v>#N/A</v>
          </cell>
          <cell r="K93" t="e">
            <v>#N/A</v>
          </cell>
          <cell r="L93">
            <v>19.612070000000003</v>
          </cell>
          <cell r="M93">
            <v>24.880156666666668</v>
          </cell>
          <cell r="N93" t="e">
            <v>#N/A</v>
          </cell>
          <cell r="O93" t="e">
            <v>#N/A</v>
          </cell>
          <cell r="P93">
            <v>105.625</v>
          </cell>
          <cell r="Q93">
            <v>105.625</v>
          </cell>
          <cell r="R93">
            <v>3.2453510809886374</v>
          </cell>
          <cell r="S93">
            <v>3.2453510809886374</v>
          </cell>
        </row>
        <row r="94">
          <cell r="A94" t="str">
            <v>19/09/2003</v>
          </cell>
          <cell r="B94">
            <v>31.25</v>
          </cell>
          <cell r="C94">
            <v>20.271310000000003</v>
          </cell>
          <cell r="D94">
            <v>25.494700000000002</v>
          </cell>
          <cell r="E94">
            <v>19.66488</v>
          </cell>
          <cell r="F94">
            <v>20.524440000000002</v>
          </cell>
          <cell r="G94">
            <v>6.6180010000000001E-3</v>
          </cell>
          <cell r="H94" t="e">
            <v>#N/A</v>
          </cell>
          <cell r="I94">
            <v>17.991800000000001</v>
          </cell>
          <cell r="J94" t="e">
            <v>#N/A</v>
          </cell>
          <cell r="K94" t="e">
            <v>#N/A</v>
          </cell>
          <cell r="L94">
            <v>19.827590000000001</v>
          </cell>
          <cell r="M94">
            <v>25.672003333333333</v>
          </cell>
          <cell r="N94" t="e">
            <v>#N/A</v>
          </cell>
          <cell r="O94" t="e">
            <v>#N/A</v>
          </cell>
          <cell r="P94">
            <v>108.12499000000001</v>
          </cell>
          <cell r="Q94">
            <v>108.12499000000001</v>
          </cell>
          <cell r="R94">
            <v>3.2117862247083435</v>
          </cell>
          <cell r="S94">
            <v>3.2117862247083435</v>
          </cell>
        </row>
        <row r="95">
          <cell r="A95" t="str">
            <v>26/09/2003</v>
          </cell>
          <cell r="B95">
            <v>34.173390000000005</v>
          </cell>
          <cell r="C95">
            <v>18.181350000000002</v>
          </cell>
          <cell r="D95">
            <v>25.070670000000003</v>
          </cell>
          <cell r="E95">
            <v>17.823060000000002</v>
          </cell>
          <cell r="F95">
            <v>19.88889</v>
          </cell>
          <cell r="G95">
            <v>6.5274810000000008E-3</v>
          </cell>
          <cell r="H95" t="e">
            <v>#N/A</v>
          </cell>
          <cell r="I95">
            <v>17.622950000000003</v>
          </cell>
          <cell r="J95" t="e">
            <v>#N/A</v>
          </cell>
          <cell r="K95" t="e">
            <v>#N/A</v>
          </cell>
          <cell r="L95">
            <v>18.965520000000001</v>
          </cell>
          <cell r="M95">
            <v>25.808470000000003</v>
          </cell>
          <cell r="N95" t="e">
            <v>#N/A</v>
          </cell>
          <cell r="O95" t="e">
            <v>#N/A</v>
          </cell>
          <cell r="P95">
            <v>111.24999000000001</v>
          </cell>
          <cell r="Q95">
            <v>111.24999000000001</v>
          </cell>
          <cell r="R95">
            <v>3.3105999696998696</v>
          </cell>
          <cell r="S95">
            <v>3.3105999696998696</v>
          </cell>
        </row>
        <row r="96">
          <cell r="A96" t="str">
            <v>03/10/2003</v>
          </cell>
          <cell r="B96">
            <v>31.860900000000001</v>
          </cell>
          <cell r="C96">
            <v>18.88955</v>
          </cell>
          <cell r="D96">
            <v>23.209680000000002</v>
          </cell>
          <cell r="E96">
            <v>18.397440000000003</v>
          </cell>
          <cell r="F96">
            <v>19.225000000000001</v>
          </cell>
          <cell r="G96">
            <v>17.961960000000001</v>
          </cell>
          <cell r="H96" t="e">
            <v>#N/A</v>
          </cell>
          <cell r="I96">
            <v>15.970426</v>
          </cell>
          <cell r="J96" t="e">
            <v>#N/A</v>
          </cell>
          <cell r="K96" t="e">
            <v>#N/A</v>
          </cell>
          <cell r="L96">
            <v>19.224140000000002</v>
          </cell>
          <cell r="M96">
            <v>24.65337666666667</v>
          </cell>
          <cell r="N96" t="e">
            <v>#N/A</v>
          </cell>
          <cell r="O96" t="e">
            <v>#N/A</v>
          </cell>
          <cell r="P96">
            <v>61.538460000000008</v>
          </cell>
          <cell r="Q96">
            <v>61.538460000000008</v>
          </cell>
          <cell r="R96">
            <v>1.4961473161282979</v>
          </cell>
          <cell r="S96">
            <v>1.4961473161282979</v>
          </cell>
        </row>
        <row r="97">
          <cell r="A97" t="str">
            <v>10/10/2003</v>
          </cell>
          <cell r="B97">
            <v>30.921050000000001</v>
          </cell>
          <cell r="C97">
            <v>19.484070000000003</v>
          </cell>
          <cell r="D97">
            <v>23.677420000000001</v>
          </cell>
          <cell r="E97">
            <v>18.61795</v>
          </cell>
          <cell r="F97">
            <v>19.408330000000003</v>
          </cell>
          <cell r="G97">
            <v>18.396740000000001</v>
          </cell>
          <cell r="H97" t="e">
            <v>#N/A</v>
          </cell>
          <cell r="I97">
            <v>16.746770000000001</v>
          </cell>
          <cell r="J97" t="e">
            <v>#N/A</v>
          </cell>
          <cell r="K97" t="e">
            <v>#N/A</v>
          </cell>
          <cell r="L97">
            <v>18.965520000000001</v>
          </cell>
          <cell r="M97">
            <v>24.694180000000003</v>
          </cell>
          <cell r="N97" t="e">
            <v>#N/A</v>
          </cell>
          <cell r="O97" t="e">
            <v>#N/A</v>
          </cell>
          <cell r="P97">
            <v>63.210700000000003</v>
          </cell>
          <cell r="Q97">
            <v>63.210700000000003</v>
          </cell>
          <cell r="R97">
            <v>1.5597407972242849</v>
          </cell>
          <cell r="S97">
            <v>1.5597407972242849</v>
          </cell>
        </row>
        <row r="98">
          <cell r="A98" t="str">
            <v>17/10/2003</v>
          </cell>
          <cell r="B98">
            <v>31.015040000000003</v>
          </cell>
          <cell r="C98">
            <v>19.348950000000002</v>
          </cell>
          <cell r="D98">
            <v>24.161290000000001</v>
          </cell>
          <cell r="E98">
            <v>18.10257</v>
          </cell>
          <cell r="F98">
            <v>18.704170000000001</v>
          </cell>
          <cell r="G98">
            <v>18.532610000000002</v>
          </cell>
          <cell r="H98" t="e">
            <v>#N/A</v>
          </cell>
          <cell r="I98">
            <v>16.598890000000001</v>
          </cell>
          <cell r="J98" t="e">
            <v>#N/A</v>
          </cell>
          <cell r="K98" t="e">
            <v>#N/A</v>
          </cell>
          <cell r="L98">
            <v>20.646550000000001</v>
          </cell>
          <cell r="M98">
            <v>24.841760000000004</v>
          </cell>
          <cell r="N98" t="e">
            <v>#N/A</v>
          </cell>
          <cell r="O98" t="e">
            <v>#N/A</v>
          </cell>
          <cell r="P98">
            <v>67.892970000000005</v>
          </cell>
          <cell r="Q98">
            <v>67.892970000000005</v>
          </cell>
          <cell r="R98">
            <v>1.7330177088901912</v>
          </cell>
          <cell r="S98">
            <v>1.7330177088901912</v>
          </cell>
        </row>
        <row r="99">
          <cell r="A99" t="str">
            <v>24/10/2003</v>
          </cell>
          <cell r="B99">
            <v>31.109020000000001</v>
          </cell>
          <cell r="C99">
            <v>20.38936</v>
          </cell>
          <cell r="D99">
            <v>24.725810000000003</v>
          </cell>
          <cell r="E99">
            <v>17.3718</v>
          </cell>
          <cell r="F99">
            <v>19.29167</v>
          </cell>
          <cell r="G99">
            <v>19.728260000000002</v>
          </cell>
          <cell r="H99" t="e">
            <v>#N/A</v>
          </cell>
          <cell r="I99">
            <v>16.340110000000003</v>
          </cell>
          <cell r="J99" t="e">
            <v>#N/A</v>
          </cell>
          <cell r="K99" t="e">
            <v>#N/A</v>
          </cell>
          <cell r="L99">
            <v>20.258620000000001</v>
          </cell>
          <cell r="M99">
            <v>25.408063333333331</v>
          </cell>
          <cell r="N99" t="e">
            <v>#N/A</v>
          </cell>
          <cell r="O99" t="e">
            <v>#N/A</v>
          </cell>
          <cell r="P99">
            <v>68.227420000000009</v>
          </cell>
          <cell r="Q99">
            <v>68.227420000000009</v>
          </cell>
          <cell r="R99">
            <v>1.685266448879287</v>
          </cell>
          <cell r="S99">
            <v>1.685266448879287</v>
          </cell>
        </row>
        <row r="100">
          <cell r="A100" t="str">
            <v>31/10/2003</v>
          </cell>
          <cell r="B100">
            <v>31.766920000000002</v>
          </cell>
          <cell r="C100">
            <v>20.673110000000001</v>
          </cell>
          <cell r="D100">
            <v>25.806450000000002</v>
          </cell>
          <cell r="E100">
            <v>17.423080000000002</v>
          </cell>
          <cell r="F100">
            <v>19.925000000000001</v>
          </cell>
          <cell r="G100">
            <v>22.016300000000001</v>
          </cell>
          <cell r="H100" t="e">
            <v>#N/A</v>
          </cell>
          <cell r="I100">
            <v>16.857670000000002</v>
          </cell>
          <cell r="J100" t="e">
            <v>#N/A</v>
          </cell>
          <cell r="K100" t="e">
            <v>#N/A</v>
          </cell>
          <cell r="L100">
            <v>20.905170000000002</v>
          </cell>
          <cell r="M100">
            <v>26.082160000000002</v>
          </cell>
          <cell r="N100" t="e">
            <v>#N/A</v>
          </cell>
          <cell r="O100" t="e">
            <v>#N/A</v>
          </cell>
          <cell r="P100">
            <v>55.5184</v>
          </cell>
          <cell r="Q100">
            <v>55.5184</v>
          </cell>
          <cell r="R100">
            <v>1.1285967113153204</v>
          </cell>
          <cell r="S100">
            <v>1.1285967113153204</v>
          </cell>
        </row>
        <row r="101">
          <cell r="A101" t="str">
            <v>07/11/2003</v>
          </cell>
          <cell r="B101">
            <v>31.578950000000003</v>
          </cell>
          <cell r="C101">
            <v>19.619190000000003</v>
          </cell>
          <cell r="D101">
            <v>25.483870000000003</v>
          </cell>
          <cell r="E101">
            <v>17.287180000000003</v>
          </cell>
          <cell r="F101">
            <v>17.60417</v>
          </cell>
          <cell r="G101">
            <v>23.722830000000002</v>
          </cell>
          <cell r="H101" t="e">
            <v>#N/A</v>
          </cell>
          <cell r="I101">
            <v>18.299440000000001</v>
          </cell>
          <cell r="J101" t="e">
            <v>#N/A</v>
          </cell>
          <cell r="K101" t="e">
            <v>#N/A</v>
          </cell>
          <cell r="L101">
            <v>21.767240000000001</v>
          </cell>
          <cell r="M101">
            <v>25.560670000000005</v>
          </cell>
          <cell r="N101" t="e">
            <v>#N/A</v>
          </cell>
          <cell r="O101" t="e">
            <v>#N/A</v>
          </cell>
          <cell r="P101">
            <v>57.190640000000002</v>
          </cell>
          <cell r="Q101">
            <v>57.190640000000002</v>
          </cell>
          <cell r="R101">
            <v>1.2374468274892636</v>
          </cell>
          <cell r="S101">
            <v>1.2374468274892636</v>
          </cell>
        </row>
        <row r="102">
          <cell r="A102" t="str">
            <v>14/11/2003</v>
          </cell>
          <cell r="B102">
            <v>28.759400000000003</v>
          </cell>
          <cell r="C102">
            <v>19.065200000000001</v>
          </cell>
          <cell r="D102">
            <v>25.274190000000001</v>
          </cell>
          <cell r="E102">
            <v>17.346160000000001</v>
          </cell>
          <cell r="F102">
            <v>18.04167</v>
          </cell>
          <cell r="G102">
            <v>23.342390000000002</v>
          </cell>
          <cell r="H102" t="e">
            <v>#N/A</v>
          </cell>
          <cell r="I102">
            <v>17.892790000000002</v>
          </cell>
          <cell r="J102" t="e">
            <v>#N/A</v>
          </cell>
          <cell r="K102" t="e">
            <v>#N/A</v>
          </cell>
          <cell r="L102">
            <v>21.982760000000003</v>
          </cell>
          <cell r="M102">
            <v>24.366263333333336</v>
          </cell>
          <cell r="N102" t="e">
            <v>#N/A</v>
          </cell>
          <cell r="O102" t="e">
            <v>#N/A</v>
          </cell>
          <cell r="P102">
            <v>54.849500000000006</v>
          </cell>
          <cell r="Q102">
            <v>54.849500000000006</v>
          </cell>
          <cell r="R102">
            <v>1.2510427327182843</v>
          </cell>
          <cell r="S102">
            <v>1.2510427327182843</v>
          </cell>
        </row>
        <row r="103">
          <cell r="A103" t="str">
            <v>21/11/2003</v>
          </cell>
          <cell r="B103">
            <v>27.537590000000002</v>
          </cell>
          <cell r="C103">
            <v>18.86252</v>
          </cell>
          <cell r="D103">
            <v>25.225810000000003</v>
          </cell>
          <cell r="E103">
            <v>17.40513</v>
          </cell>
          <cell r="F103">
            <v>17.862500000000001</v>
          </cell>
          <cell r="G103">
            <v>24.184780000000003</v>
          </cell>
          <cell r="H103" t="e">
            <v>#N/A</v>
          </cell>
          <cell r="I103">
            <v>17.818850000000001</v>
          </cell>
          <cell r="J103" t="e">
            <v>#N/A</v>
          </cell>
          <cell r="K103" t="e">
            <v>#N/A</v>
          </cell>
          <cell r="L103">
            <v>21.982760000000003</v>
          </cell>
          <cell r="M103">
            <v>23.87530666666667</v>
          </cell>
          <cell r="N103" t="e">
            <v>#N/A</v>
          </cell>
          <cell r="O103" t="e">
            <v>#N/A</v>
          </cell>
          <cell r="P103">
            <v>52.842810000000007</v>
          </cell>
          <cell r="Q103">
            <v>52.842810000000007</v>
          </cell>
          <cell r="R103">
            <v>1.2132829847072122</v>
          </cell>
          <cell r="S103">
            <v>1.2132829847072122</v>
          </cell>
        </row>
        <row r="104">
          <cell r="A104" t="str">
            <v>28/11/2003</v>
          </cell>
          <cell r="B104">
            <v>29.887220000000003</v>
          </cell>
          <cell r="C104">
            <v>19.038180000000001</v>
          </cell>
          <cell r="D104">
            <v>25.01613</v>
          </cell>
          <cell r="E104">
            <v>17.556410000000003</v>
          </cell>
          <cell r="F104">
            <v>17.504170000000002</v>
          </cell>
          <cell r="G104">
            <v>21.44022</v>
          </cell>
          <cell r="H104" t="e">
            <v>#N/A</v>
          </cell>
          <cell r="I104">
            <v>17.63401</v>
          </cell>
          <cell r="J104" t="e">
            <v>#N/A</v>
          </cell>
          <cell r="K104" t="e">
            <v>#N/A</v>
          </cell>
          <cell r="L104">
            <v>22.844830000000002</v>
          </cell>
          <cell r="M104">
            <v>24.647176666666667</v>
          </cell>
          <cell r="N104" t="e">
            <v>#N/A</v>
          </cell>
          <cell r="O104" t="e">
            <v>#N/A</v>
          </cell>
          <cell r="P104">
            <v>55.183950000000003</v>
          </cell>
          <cell r="Q104">
            <v>55.183950000000003</v>
          </cell>
          <cell r="R104">
            <v>1.2389562401535374</v>
          </cell>
          <cell r="S104">
            <v>1.2389562401535374</v>
          </cell>
        </row>
        <row r="105">
          <cell r="A105" t="str">
            <v>05/12/2003</v>
          </cell>
          <cell r="B105">
            <v>30.639100000000003</v>
          </cell>
          <cell r="C105">
            <v>18.538240000000002</v>
          </cell>
          <cell r="D105">
            <v>25.822580000000002</v>
          </cell>
          <cell r="E105">
            <v>18.11026</v>
          </cell>
          <cell r="F105">
            <v>16.60417</v>
          </cell>
          <cell r="G105">
            <v>21.961960000000001</v>
          </cell>
          <cell r="H105" t="e">
            <v>#N/A</v>
          </cell>
          <cell r="I105">
            <v>17.966730000000002</v>
          </cell>
          <cell r="J105" t="e">
            <v>#N/A</v>
          </cell>
          <cell r="K105" t="e">
            <v>#N/A</v>
          </cell>
          <cell r="L105">
            <v>23.706900000000001</v>
          </cell>
          <cell r="M105">
            <v>24.999973333333333</v>
          </cell>
          <cell r="N105" t="e">
            <v>#N/A</v>
          </cell>
          <cell r="O105" t="e">
            <v>#N/A</v>
          </cell>
          <cell r="P105">
            <v>55.852850000000004</v>
          </cell>
          <cell r="Q105">
            <v>55.852850000000004</v>
          </cell>
          <cell r="R105">
            <v>1.2341163830574753</v>
          </cell>
          <cell r="S105">
            <v>1.2341163830574753</v>
          </cell>
        </row>
        <row r="106">
          <cell r="A106" t="str">
            <v>12/12/2003</v>
          </cell>
          <cell r="B106">
            <v>31.860900000000001</v>
          </cell>
          <cell r="C106">
            <v>17.916700000000002</v>
          </cell>
          <cell r="D106">
            <v>26.451610000000002</v>
          </cell>
          <cell r="E106">
            <v>17.5</v>
          </cell>
          <cell r="F106">
            <v>16.862500000000001</v>
          </cell>
          <cell r="G106">
            <v>22.228260000000002</v>
          </cell>
          <cell r="H106" t="e">
            <v>#N/A</v>
          </cell>
          <cell r="I106">
            <v>18.299440000000001</v>
          </cell>
          <cell r="J106" t="e">
            <v>#N/A</v>
          </cell>
          <cell r="K106" t="e">
            <v>#N/A</v>
          </cell>
          <cell r="L106">
            <v>24.784480000000002</v>
          </cell>
          <cell r="M106">
            <v>25.409736666666671</v>
          </cell>
          <cell r="N106" t="e">
            <v>#N/A</v>
          </cell>
          <cell r="O106" t="e">
            <v>#N/A</v>
          </cell>
          <cell r="P106">
            <v>53.846160000000005</v>
          </cell>
          <cell r="Q106">
            <v>53.846160000000005</v>
          </cell>
          <cell r="R106">
            <v>1.1191152315496904</v>
          </cell>
          <cell r="S106">
            <v>1.1191152315496904</v>
          </cell>
        </row>
        <row r="107">
          <cell r="A107" t="str">
            <v>19/12/2003</v>
          </cell>
          <cell r="B107">
            <v>30.451130000000003</v>
          </cell>
          <cell r="C107">
            <v>18.0383</v>
          </cell>
          <cell r="D107">
            <v>26.774190000000001</v>
          </cell>
          <cell r="E107">
            <v>18.453850000000003</v>
          </cell>
          <cell r="F107">
            <v>18.241660000000003</v>
          </cell>
          <cell r="G107">
            <v>23.614130000000003</v>
          </cell>
          <cell r="H107" t="e">
            <v>#N/A</v>
          </cell>
          <cell r="I107">
            <v>19.186690000000002</v>
          </cell>
          <cell r="J107" t="e">
            <v>#N/A</v>
          </cell>
          <cell r="K107" t="e">
            <v>#N/A</v>
          </cell>
          <cell r="L107">
            <v>24.568970000000004</v>
          </cell>
          <cell r="M107">
            <v>25.087873333333334</v>
          </cell>
          <cell r="N107" t="e">
            <v>#N/A</v>
          </cell>
          <cell r="O107" t="e">
            <v>#N/A</v>
          </cell>
          <cell r="P107">
            <v>54.515050000000002</v>
          </cell>
          <cell r="Q107">
            <v>54.515050000000002</v>
          </cell>
          <cell r="R107">
            <v>1.1729641757863893</v>
          </cell>
          <cell r="S107">
            <v>1.1729641757863893</v>
          </cell>
        </row>
        <row r="108">
          <cell r="A108" t="str">
            <v>26/12/2003</v>
          </cell>
          <cell r="B108">
            <v>31.109020000000001</v>
          </cell>
          <cell r="C108">
            <v>18.484190000000002</v>
          </cell>
          <cell r="D108">
            <v>26.983870000000003</v>
          </cell>
          <cell r="E108">
            <v>18.335900000000002</v>
          </cell>
          <cell r="F108">
            <v>17.649999999999999</v>
          </cell>
          <cell r="G108">
            <v>22.994570000000003</v>
          </cell>
          <cell r="H108" t="e">
            <v>#N/A</v>
          </cell>
          <cell r="I108">
            <v>19.556380000000001</v>
          </cell>
          <cell r="J108" t="e">
            <v>#N/A</v>
          </cell>
          <cell r="K108" t="e">
            <v>#N/A</v>
          </cell>
          <cell r="L108">
            <v>24.353450000000002</v>
          </cell>
          <cell r="M108">
            <v>25.525693333333333</v>
          </cell>
          <cell r="N108" t="e">
            <v>#N/A</v>
          </cell>
          <cell r="O108" t="e">
            <v>#N/A</v>
          </cell>
          <cell r="P108">
            <v>55.183950000000003</v>
          </cell>
          <cell r="Q108">
            <v>55.183950000000003</v>
          </cell>
          <cell r="R108">
            <v>1.161898181544661</v>
          </cell>
          <cell r="S108">
            <v>1.161898181544661</v>
          </cell>
        </row>
        <row r="109">
          <cell r="A109" t="str">
            <v>02/01/2004</v>
          </cell>
          <cell r="B109">
            <v>26.136360000000003</v>
          </cell>
          <cell r="C109">
            <v>16.913970000000003</v>
          </cell>
          <cell r="D109">
            <v>25.296730000000004</v>
          </cell>
          <cell r="E109">
            <v>19.491980000000002</v>
          </cell>
          <cell r="F109">
            <v>20.059090000000001</v>
          </cell>
          <cell r="G109">
            <v>18.915940000000003</v>
          </cell>
          <cell r="H109" t="e">
            <v>#N/A</v>
          </cell>
          <cell r="I109">
            <v>17.811450000000001</v>
          </cell>
          <cell r="J109" t="e">
            <v>#N/A</v>
          </cell>
          <cell r="K109" t="e">
            <v>#N/A</v>
          </cell>
          <cell r="L109">
            <v>24.353450000000002</v>
          </cell>
          <cell r="M109">
            <v>22.782353333333333</v>
          </cell>
          <cell r="N109" t="e">
            <v>#N/A</v>
          </cell>
          <cell r="O109" t="e">
            <v>#N/A</v>
          </cell>
          <cell r="P109">
            <v>37.665199999999999</v>
          </cell>
          <cell r="Q109">
            <v>37.665199999999999</v>
          </cell>
          <cell r="R109">
            <v>0.65326204228828577</v>
          </cell>
          <cell r="S109">
            <v>0.65326204228828577</v>
          </cell>
        </row>
        <row r="110">
          <cell r="A110" t="str">
            <v>09/01/2004</v>
          </cell>
          <cell r="B110">
            <v>28.333330000000004</v>
          </cell>
          <cell r="C110">
            <v>17.2622</v>
          </cell>
          <cell r="D110">
            <v>24.940650000000002</v>
          </cell>
          <cell r="E110">
            <v>20.133690000000001</v>
          </cell>
          <cell r="F110">
            <v>20.227270000000001</v>
          </cell>
          <cell r="G110">
            <v>19.867270000000001</v>
          </cell>
          <cell r="H110" t="e">
            <v>#N/A</v>
          </cell>
          <cell r="I110">
            <v>18.552190000000003</v>
          </cell>
          <cell r="J110" t="e">
            <v>#N/A</v>
          </cell>
          <cell r="K110" t="e">
            <v>#N/A</v>
          </cell>
          <cell r="L110">
            <v>25.215520000000001</v>
          </cell>
          <cell r="M110">
            <v>23.512060000000002</v>
          </cell>
          <cell r="N110" t="e">
            <v>#N/A</v>
          </cell>
          <cell r="O110" t="e">
            <v>#N/A</v>
          </cell>
          <cell r="P110">
            <v>40.088100000000004</v>
          </cell>
          <cell r="Q110">
            <v>40.088100000000004</v>
          </cell>
          <cell r="R110">
            <v>0.70500160343245133</v>
          </cell>
          <cell r="S110">
            <v>0.70500160343245133</v>
          </cell>
        </row>
        <row r="111">
          <cell r="A111" t="str">
            <v>16/01/2004</v>
          </cell>
          <cell r="B111">
            <v>29.015150000000002</v>
          </cell>
          <cell r="C111">
            <v>17.585560000000001</v>
          </cell>
          <cell r="D111">
            <v>24.302670000000003</v>
          </cell>
          <cell r="E111">
            <v>21.310160000000003</v>
          </cell>
          <cell r="F111">
            <v>21.045450000000002</v>
          </cell>
          <cell r="G111">
            <v>19.911520000000003</v>
          </cell>
          <cell r="H111" t="e">
            <v>#N/A</v>
          </cell>
          <cell r="I111">
            <v>18.013470000000002</v>
          </cell>
          <cell r="J111" t="e">
            <v>#N/A</v>
          </cell>
          <cell r="K111" t="e">
            <v>#N/A</v>
          </cell>
          <cell r="L111">
            <v>26.724140000000002</v>
          </cell>
          <cell r="M111">
            <v>23.634460000000004</v>
          </cell>
          <cell r="N111" t="e">
            <v>#N/A</v>
          </cell>
          <cell r="O111" t="e">
            <v>#N/A</v>
          </cell>
          <cell r="P111">
            <v>40.308370000000004</v>
          </cell>
          <cell r="Q111">
            <v>40.308370000000004</v>
          </cell>
          <cell r="R111">
            <v>0.70549147304402116</v>
          </cell>
          <cell r="S111">
            <v>0.70549147304402116</v>
          </cell>
        </row>
        <row r="112">
          <cell r="A112" t="str">
            <v>23/01/2004</v>
          </cell>
          <cell r="B112">
            <v>31.212120000000002</v>
          </cell>
          <cell r="C112">
            <v>18.23227</v>
          </cell>
          <cell r="D112">
            <v>24.703260000000004</v>
          </cell>
          <cell r="E112">
            <v>22.89038</v>
          </cell>
          <cell r="F112">
            <v>21.436360000000001</v>
          </cell>
          <cell r="G112">
            <v>19.823020000000003</v>
          </cell>
          <cell r="H112" t="e">
            <v>#N/A</v>
          </cell>
          <cell r="I112">
            <v>18.24916</v>
          </cell>
          <cell r="J112" t="e">
            <v>#N/A</v>
          </cell>
          <cell r="K112" t="e">
            <v>#N/A</v>
          </cell>
          <cell r="L112">
            <v>26.551720000000003</v>
          </cell>
          <cell r="M112">
            <v>24.715883333333334</v>
          </cell>
          <cell r="N112" t="e">
            <v>#N/A</v>
          </cell>
          <cell r="O112" t="e">
            <v>#N/A</v>
          </cell>
          <cell r="P112">
            <v>40.748899999999999</v>
          </cell>
          <cell r="Q112">
            <v>40.748899999999999</v>
          </cell>
          <cell r="R112">
            <v>0.64869284461476528</v>
          </cell>
          <cell r="S112">
            <v>0.64869284461476528</v>
          </cell>
        </row>
        <row r="113">
          <cell r="A113" t="str">
            <v>30/01/2004</v>
          </cell>
          <cell r="B113">
            <v>29.393940000000004</v>
          </cell>
          <cell r="C113">
            <v>18.083020000000001</v>
          </cell>
          <cell r="D113">
            <v>24.465870000000002</v>
          </cell>
          <cell r="E113">
            <v>23.37433</v>
          </cell>
          <cell r="F113">
            <v>21.704540000000001</v>
          </cell>
          <cell r="G113">
            <v>20.774350000000002</v>
          </cell>
          <cell r="H113" t="e">
            <v>#N/A</v>
          </cell>
          <cell r="I113">
            <v>17.542090000000002</v>
          </cell>
          <cell r="J113" t="e">
            <v>#N/A</v>
          </cell>
          <cell r="K113" t="e">
            <v>#N/A</v>
          </cell>
          <cell r="L113">
            <v>26.681040000000003</v>
          </cell>
          <cell r="M113">
            <v>23.980943333333339</v>
          </cell>
          <cell r="N113" t="e">
            <v>#N/A</v>
          </cell>
          <cell r="O113" t="e">
            <v>#N/A</v>
          </cell>
          <cell r="P113">
            <v>38.986780000000003</v>
          </cell>
          <cell r="Q113">
            <v>38.986780000000003</v>
          </cell>
          <cell r="R113">
            <v>0.62574004942535599</v>
          </cell>
          <cell r="S113">
            <v>0.62574004942535599</v>
          </cell>
        </row>
        <row r="114">
          <cell r="A114" t="str">
            <v>06/02/2004</v>
          </cell>
          <cell r="B114">
            <v>29.772730000000003</v>
          </cell>
          <cell r="C114">
            <v>18.18252</v>
          </cell>
          <cell r="D114">
            <v>24.55489</v>
          </cell>
          <cell r="E114">
            <v>22.887700000000002</v>
          </cell>
          <cell r="F114">
            <v>22.777270000000001</v>
          </cell>
          <cell r="G114">
            <v>21.858420000000002</v>
          </cell>
          <cell r="H114" t="e">
            <v>#N/A</v>
          </cell>
          <cell r="I114">
            <v>17.508420000000001</v>
          </cell>
          <cell r="J114" t="e">
            <v>#N/A</v>
          </cell>
          <cell r="K114" t="e">
            <v>#N/A</v>
          </cell>
          <cell r="L114">
            <v>27.586210000000001</v>
          </cell>
          <cell r="M114">
            <v>24.170046666666668</v>
          </cell>
          <cell r="N114" t="e">
            <v>#N/A</v>
          </cell>
          <cell r="O114" t="e">
            <v>#N/A</v>
          </cell>
          <cell r="P114">
            <v>38.986780000000003</v>
          </cell>
          <cell r="Q114">
            <v>38.986780000000003</v>
          </cell>
          <cell r="R114">
            <v>0.61302046858549719</v>
          </cell>
          <cell r="S114">
            <v>0.61302046858549719</v>
          </cell>
        </row>
        <row r="115">
          <cell r="A115" t="str">
            <v>13/02/2004</v>
          </cell>
          <cell r="B115">
            <v>30.303030000000003</v>
          </cell>
          <cell r="C115">
            <v>18.058150000000001</v>
          </cell>
          <cell r="D115">
            <v>24.703260000000004</v>
          </cell>
          <cell r="E115">
            <v>22.219250000000002</v>
          </cell>
          <cell r="F115">
            <v>22.58182</v>
          </cell>
          <cell r="G115">
            <v>21.902670000000001</v>
          </cell>
          <cell r="H115" t="e">
            <v>#N/A</v>
          </cell>
          <cell r="I115">
            <v>18.181820000000002</v>
          </cell>
          <cell r="J115" t="e">
            <v>#N/A</v>
          </cell>
          <cell r="K115" t="e">
            <v>#N/A</v>
          </cell>
          <cell r="L115">
            <v>29.741380000000003</v>
          </cell>
          <cell r="M115">
            <v>24.354813333333336</v>
          </cell>
          <cell r="N115" t="e">
            <v>#N/A</v>
          </cell>
          <cell r="O115" t="e">
            <v>#N/A</v>
          </cell>
          <cell r="P115">
            <v>38.546250000000001</v>
          </cell>
          <cell r="Q115">
            <v>38.546250000000001</v>
          </cell>
          <cell r="R115">
            <v>0.5826953576869951</v>
          </cell>
          <cell r="S115">
            <v>0.5826953576869951</v>
          </cell>
        </row>
        <row r="116">
          <cell r="A116" t="str">
            <v>20/02/2004</v>
          </cell>
          <cell r="B116">
            <v>30.909090000000003</v>
          </cell>
          <cell r="C116">
            <v>18.456130000000002</v>
          </cell>
          <cell r="D116">
            <v>25.2819</v>
          </cell>
          <cell r="E116">
            <v>22.724600000000002</v>
          </cell>
          <cell r="F116">
            <v>22.086360000000003</v>
          </cell>
          <cell r="G116">
            <v>21.946920000000002</v>
          </cell>
          <cell r="H116" t="e">
            <v>#N/A</v>
          </cell>
          <cell r="I116">
            <v>18.88889</v>
          </cell>
          <cell r="J116" t="e">
            <v>#N/A</v>
          </cell>
          <cell r="K116" t="e">
            <v>#N/A</v>
          </cell>
          <cell r="L116">
            <v>31.465520000000001</v>
          </cell>
          <cell r="M116">
            <v>24.882373333333334</v>
          </cell>
          <cell r="N116" t="e">
            <v>#N/A</v>
          </cell>
          <cell r="O116" t="e">
            <v>#N/A</v>
          </cell>
          <cell r="P116">
            <v>38.76652</v>
          </cell>
          <cell r="Q116">
            <v>38.76652</v>
          </cell>
          <cell r="R116">
            <v>0.55799125271008454</v>
          </cell>
          <cell r="S116">
            <v>0.55799125271008454</v>
          </cell>
        </row>
        <row r="117">
          <cell r="A117" t="str">
            <v>27/02/2004</v>
          </cell>
          <cell r="B117">
            <v>31.212120000000002</v>
          </cell>
          <cell r="C117">
            <v>17.4985</v>
          </cell>
          <cell r="D117">
            <v>24.955490000000001</v>
          </cell>
          <cell r="E117">
            <v>24.933160000000001</v>
          </cell>
          <cell r="F117">
            <v>21.04091</v>
          </cell>
          <cell r="G117">
            <v>23.769930000000002</v>
          </cell>
          <cell r="H117" t="e">
            <v>#N/A</v>
          </cell>
          <cell r="I117">
            <v>18.41751</v>
          </cell>
          <cell r="J117" t="e">
            <v>#N/A</v>
          </cell>
          <cell r="K117" t="e">
            <v>#N/A</v>
          </cell>
          <cell r="L117">
            <v>31.034480000000002</v>
          </cell>
          <cell r="M117">
            <v>24.55537</v>
          </cell>
          <cell r="N117" t="e">
            <v>#N/A</v>
          </cell>
          <cell r="O117" t="e">
            <v>#N/A</v>
          </cell>
          <cell r="P117">
            <v>38.76652</v>
          </cell>
          <cell r="Q117">
            <v>38.76652</v>
          </cell>
          <cell r="R117">
            <v>0.57873898866113604</v>
          </cell>
          <cell r="S117">
            <v>0.57873898866113604</v>
          </cell>
        </row>
        <row r="118">
          <cell r="A118" t="str">
            <v>05/03/2004</v>
          </cell>
          <cell r="B118">
            <v>31.742420000000003</v>
          </cell>
          <cell r="C118">
            <v>17.94622</v>
          </cell>
          <cell r="D118">
            <v>24.747770000000003</v>
          </cell>
          <cell r="E118">
            <v>25.986630000000002</v>
          </cell>
          <cell r="F118">
            <v>21.786360000000002</v>
          </cell>
          <cell r="G118">
            <v>24.738960000000002</v>
          </cell>
          <cell r="H118" t="e">
            <v>#N/A</v>
          </cell>
          <cell r="I118">
            <v>18.989900000000002</v>
          </cell>
          <cell r="J118" t="e">
            <v>#N/A</v>
          </cell>
          <cell r="K118" t="e">
            <v>#N/A</v>
          </cell>
          <cell r="L118">
            <v>32.327590000000001</v>
          </cell>
          <cell r="M118">
            <v>24.812136666666671</v>
          </cell>
          <cell r="N118" t="e">
            <v>#N/A</v>
          </cell>
          <cell r="O118" t="e">
            <v>#N/A</v>
          </cell>
          <cell r="P118">
            <v>38.325990000000004</v>
          </cell>
          <cell r="Q118">
            <v>38.325990000000004</v>
          </cell>
          <cell r="R118">
            <v>0.54464690062296128</v>
          </cell>
          <cell r="S118">
            <v>0.54464690062296128</v>
          </cell>
        </row>
        <row r="119">
          <cell r="A119" t="str">
            <v>12/03/2004</v>
          </cell>
          <cell r="B119">
            <v>30.5303</v>
          </cell>
          <cell r="C119">
            <v>18.170080000000002</v>
          </cell>
          <cell r="D119">
            <v>24.584570000000003</v>
          </cell>
          <cell r="E119">
            <v>25.433160000000001</v>
          </cell>
          <cell r="F119">
            <v>21.136360000000003</v>
          </cell>
          <cell r="G119">
            <v>23.827450000000002</v>
          </cell>
          <cell r="H119" t="e">
            <v>#N/A</v>
          </cell>
          <cell r="I119">
            <v>18.58586</v>
          </cell>
          <cell r="J119" t="e">
            <v>#N/A</v>
          </cell>
          <cell r="K119" t="e">
            <v>#N/A</v>
          </cell>
          <cell r="L119">
            <v>34.913800000000002</v>
          </cell>
          <cell r="M119">
            <v>24.428316666666671</v>
          </cell>
          <cell r="N119" t="e">
            <v>#N/A</v>
          </cell>
          <cell r="O119" t="e">
            <v>#N/A</v>
          </cell>
          <cell r="P119">
            <v>36.563880000000005</v>
          </cell>
          <cell r="Q119">
            <v>36.563880000000005</v>
          </cell>
          <cell r="R119">
            <v>0.49678262726521605</v>
          </cell>
          <cell r="S119">
            <v>0.49678262726521605</v>
          </cell>
        </row>
        <row r="120">
          <cell r="A120" t="str">
            <v>19/03/2004</v>
          </cell>
          <cell r="B120">
            <v>30.757570000000001</v>
          </cell>
          <cell r="C120">
            <v>18.170080000000002</v>
          </cell>
          <cell r="D120">
            <v>24.658750000000001</v>
          </cell>
          <cell r="E120">
            <v>25.072190000000003</v>
          </cell>
          <cell r="F120">
            <v>20.809090000000001</v>
          </cell>
          <cell r="G120">
            <v>23.889400000000002</v>
          </cell>
          <cell r="H120" t="e">
            <v>#N/A</v>
          </cell>
          <cell r="I120">
            <v>19.427610000000001</v>
          </cell>
          <cell r="J120" t="e">
            <v>#N/A</v>
          </cell>
          <cell r="K120" t="e">
            <v>#N/A</v>
          </cell>
          <cell r="L120">
            <v>34.913800000000002</v>
          </cell>
          <cell r="M120">
            <v>24.5288</v>
          </cell>
          <cell r="N120" t="e">
            <v>#N/A</v>
          </cell>
          <cell r="O120" t="e">
            <v>#N/A</v>
          </cell>
          <cell r="P120">
            <v>36.123350000000002</v>
          </cell>
          <cell r="Q120">
            <v>36.123350000000002</v>
          </cell>
          <cell r="R120">
            <v>0.4726912853462053</v>
          </cell>
          <cell r="S120">
            <v>0.4726912853462053</v>
          </cell>
        </row>
        <row r="121">
          <cell r="A121" t="str">
            <v>26/03/2004</v>
          </cell>
          <cell r="B121">
            <v>25.757570000000001</v>
          </cell>
          <cell r="C121">
            <v>17.510930000000002</v>
          </cell>
          <cell r="D121">
            <v>24.821960000000001</v>
          </cell>
          <cell r="E121">
            <v>25.315510000000003</v>
          </cell>
          <cell r="F121">
            <v>20.45</v>
          </cell>
          <cell r="G121">
            <v>23.230110000000003</v>
          </cell>
          <cell r="H121" t="e">
            <v>#N/A</v>
          </cell>
          <cell r="I121">
            <v>19.932660000000002</v>
          </cell>
          <cell r="J121" t="e">
            <v>#N/A</v>
          </cell>
          <cell r="K121" t="e">
            <v>#N/A</v>
          </cell>
          <cell r="L121">
            <v>36.853450000000002</v>
          </cell>
          <cell r="M121">
            <v>22.696820000000002</v>
          </cell>
          <cell r="N121" t="e">
            <v>#N/A</v>
          </cell>
          <cell r="O121" t="e">
            <v>#N/A</v>
          </cell>
          <cell r="P121">
            <v>36.784140000000001</v>
          </cell>
          <cell r="Q121">
            <v>36.784140000000001</v>
          </cell>
          <cell r="R121">
            <v>0.62067373314852015</v>
          </cell>
          <cell r="S121">
            <v>0.62067373314852015</v>
          </cell>
        </row>
        <row r="122">
          <cell r="A122" t="str">
            <v>02/04/2004</v>
          </cell>
          <cell r="B122">
            <v>19.169510000000002</v>
          </cell>
          <cell r="C122">
            <v>16.588980000000003</v>
          </cell>
          <cell r="D122">
            <v>22.505050000000001</v>
          </cell>
          <cell r="E122">
            <v>23.78753</v>
          </cell>
          <cell r="F122">
            <v>20.748900000000003</v>
          </cell>
          <cell r="G122">
            <v>20.384630000000001</v>
          </cell>
          <cell r="H122" t="e">
            <v>#N/A</v>
          </cell>
          <cell r="I122">
            <v>18.048780000000001</v>
          </cell>
          <cell r="J122" t="e">
            <v>#N/A</v>
          </cell>
          <cell r="K122">
            <v>21.08371</v>
          </cell>
          <cell r="L122">
            <v>34.688410000000005</v>
          </cell>
          <cell r="M122">
            <v>19.421180000000003</v>
          </cell>
          <cell r="N122" t="e">
            <v>#N/A</v>
          </cell>
          <cell r="O122" t="e">
            <v>#N/A</v>
          </cell>
          <cell r="P122">
            <v>24.599710000000002</v>
          </cell>
          <cell r="Q122">
            <v>24.599710000000002</v>
          </cell>
          <cell r="R122">
            <v>0.26664342743334846</v>
          </cell>
          <cell r="S122">
            <v>0.26664342743334846</v>
          </cell>
        </row>
        <row r="123">
          <cell r="A123" t="str">
            <v>08/04/2004</v>
          </cell>
          <cell r="B123">
            <v>19.453930000000003</v>
          </cell>
          <cell r="C123">
            <v>16.715700000000002</v>
          </cell>
          <cell r="D123">
            <v>22.101010000000002</v>
          </cell>
          <cell r="E123">
            <v>25.300230000000003</v>
          </cell>
          <cell r="F123">
            <v>20.828190000000003</v>
          </cell>
          <cell r="G123">
            <v>21.230780000000003</v>
          </cell>
          <cell r="H123" t="e">
            <v>#N/A</v>
          </cell>
          <cell r="I123">
            <v>18.323170000000001</v>
          </cell>
          <cell r="J123" t="e">
            <v>#N/A</v>
          </cell>
          <cell r="K123">
            <v>22.255030000000001</v>
          </cell>
          <cell r="L123">
            <v>34.891270000000006</v>
          </cell>
          <cell r="M123">
            <v>19.42354666666667</v>
          </cell>
          <cell r="N123" t="e">
            <v>#N/A</v>
          </cell>
          <cell r="O123" t="e">
            <v>#N/A</v>
          </cell>
          <cell r="P123">
            <v>25.327510000000004</v>
          </cell>
          <cell r="Q123">
            <v>25.327510000000004</v>
          </cell>
          <cell r="R123">
            <v>0.30395907784778053</v>
          </cell>
          <cell r="S123">
            <v>0.30395907784778053</v>
          </cell>
        </row>
        <row r="124">
          <cell r="A124" t="str">
            <v>16/04/2004</v>
          </cell>
          <cell r="B124">
            <v>18.486920000000001</v>
          </cell>
          <cell r="C124">
            <v>16.335540000000002</v>
          </cell>
          <cell r="D124">
            <v>21.858590000000003</v>
          </cell>
          <cell r="E124">
            <v>25.399540000000002</v>
          </cell>
          <cell r="F124">
            <v>20.599120000000003</v>
          </cell>
          <cell r="G124">
            <v>21.134630000000001</v>
          </cell>
          <cell r="H124" t="e">
            <v>#N/A</v>
          </cell>
          <cell r="I124">
            <v>18.2622</v>
          </cell>
          <cell r="J124" t="e">
            <v>#N/A</v>
          </cell>
          <cell r="K124">
            <v>20.839690000000001</v>
          </cell>
          <cell r="L124">
            <v>38.948390000000003</v>
          </cell>
          <cell r="M124">
            <v>18.893683333333339</v>
          </cell>
          <cell r="N124" t="e">
            <v>#N/A</v>
          </cell>
          <cell r="O124" t="e">
            <v>#N/A</v>
          </cell>
          <cell r="P124">
            <v>24.454150000000002</v>
          </cell>
          <cell r="Q124">
            <v>24.454150000000002</v>
          </cell>
          <cell r="R124">
            <v>0.29430294604634155</v>
          </cell>
          <cell r="S124">
            <v>0.29430294604634155</v>
          </cell>
        </row>
        <row r="125">
          <cell r="A125" t="str">
            <v>23/04/2004</v>
          </cell>
          <cell r="B125">
            <v>17.86121</v>
          </cell>
          <cell r="C125">
            <v>16.473780000000001</v>
          </cell>
          <cell r="D125">
            <v>22.154880000000002</v>
          </cell>
          <cell r="E125">
            <v>27.448040000000002</v>
          </cell>
          <cell r="F125">
            <v>20.70485</v>
          </cell>
          <cell r="G125">
            <v>21.096160000000001</v>
          </cell>
          <cell r="H125" t="e">
            <v>#N/A</v>
          </cell>
          <cell r="I125">
            <v>19.207320000000003</v>
          </cell>
          <cell r="J125" t="e">
            <v>#N/A</v>
          </cell>
          <cell r="K125">
            <v>18.936299999999999</v>
          </cell>
          <cell r="L125">
            <v>38.136970000000005</v>
          </cell>
          <cell r="M125">
            <v>18.829956666666671</v>
          </cell>
          <cell r="N125" t="e">
            <v>#N/A</v>
          </cell>
          <cell r="O125" t="e">
            <v>#N/A</v>
          </cell>
          <cell r="P125">
            <v>24.599710000000002</v>
          </cell>
          <cell r="Q125">
            <v>24.599710000000002</v>
          </cell>
          <cell r="R125">
            <v>0.30641352157475299</v>
          </cell>
          <cell r="S125">
            <v>0.30641352157475299</v>
          </cell>
        </row>
        <row r="126">
          <cell r="A126" t="str">
            <v>30/04/2004</v>
          </cell>
          <cell r="B126">
            <v>17.747440000000001</v>
          </cell>
          <cell r="C126">
            <v>16.07057</v>
          </cell>
          <cell r="D126">
            <v>21.670030000000001</v>
          </cell>
          <cell r="E126">
            <v>27.090070000000001</v>
          </cell>
          <cell r="F126">
            <v>20.211450000000003</v>
          </cell>
          <cell r="G126">
            <v>19.230780000000003</v>
          </cell>
          <cell r="H126" t="e">
            <v>#N/A</v>
          </cell>
          <cell r="I126">
            <v>18.932930000000002</v>
          </cell>
          <cell r="J126" t="e">
            <v>#N/A</v>
          </cell>
          <cell r="K126">
            <v>18.887490000000003</v>
          </cell>
          <cell r="L126">
            <v>37.244399999999999</v>
          </cell>
          <cell r="M126">
            <v>18.496013333333334</v>
          </cell>
          <cell r="N126" t="e">
            <v>#N/A</v>
          </cell>
          <cell r="O126" t="e">
            <v>#N/A</v>
          </cell>
          <cell r="P126">
            <v>23.726350000000004</v>
          </cell>
          <cell r="Q126">
            <v>23.726350000000004</v>
          </cell>
          <cell r="R126">
            <v>0.28278183911343802</v>
          </cell>
          <cell r="S126">
            <v>0.28278183911343802</v>
          </cell>
        </row>
        <row r="127">
          <cell r="A127" t="str">
            <v>07/05/2004</v>
          </cell>
          <cell r="B127">
            <v>18.885100000000001</v>
          </cell>
          <cell r="C127">
            <v>16.3125</v>
          </cell>
          <cell r="D127">
            <v>21.710440000000002</v>
          </cell>
          <cell r="E127">
            <v>26.907620000000001</v>
          </cell>
          <cell r="F127">
            <v>19.502200000000002</v>
          </cell>
          <cell r="G127">
            <v>19.53847</v>
          </cell>
          <cell r="H127" t="e">
            <v>#N/A</v>
          </cell>
          <cell r="I127">
            <v>20.670730000000002</v>
          </cell>
          <cell r="J127" t="e">
            <v>#N/A</v>
          </cell>
          <cell r="K127">
            <v>18.204220000000003</v>
          </cell>
          <cell r="L127">
            <v>37.122680000000003</v>
          </cell>
          <cell r="M127">
            <v>18.969346666666667</v>
          </cell>
          <cell r="N127" t="e">
            <v>#N/A</v>
          </cell>
          <cell r="O127" t="e">
            <v>#N/A</v>
          </cell>
          <cell r="P127">
            <v>24.017470000000003</v>
          </cell>
          <cell r="Q127">
            <v>24.017470000000003</v>
          </cell>
          <cell r="R127">
            <v>0.26612004208895623</v>
          </cell>
          <cell r="S127">
            <v>0.26612004208895623</v>
          </cell>
        </row>
        <row r="128">
          <cell r="A128" t="str">
            <v>14/05/2004</v>
          </cell>
          <cell r="B128">
            <v>17.690560000000001</v>
          </cell>
          <cell r="C128">
            <v>17.049780000000002</v>
          </cell>
          <cell r="D128">
            <v>20.956230000000001</v>
          </cell>
          <cell r="E128">
            <v>27.401850000000003</v>
          </cell>
          <cell r="F128">
            <v>18.69604</v>
          </cell>
          <cell r="G128">
            <v>19.80386</v>
          </cell>
          <cell r="H128" t="e">
            <v>#N/A</v>
          </cell>
          <cell r="I128">
            <v>20.27439</v>
          </cell>
          <cell r="J128" t="e">
            <v>#N/A</v>
          </cell>
          <cell r="K128">
            <v>14.446247</v>
          </cell>
          <cell r="L128">
            <v>36.919830000000005</v>
          </cell>
          <cell r="M128">
            <v>18.565523333333335</v>
          </cell>
          <cell r="N128" t="e">
            <v>#N/A</v>
          </cell>
          <cell r="O128" t="e">
            <v>#N/A</v>
          </cell>
          <cell r="P128">
            <v>23.726350000000004</v>
          </cell>
          <cell r="Q128">
            <v>23.726350000000004</v>
          </cell>
          <cell r="R128">
            <v>0.27797905687908608</v>
          </cell>
          <cell r="S128">
            <v>0.27797905687908608</v>
          </cell>
        </row>
        <row r="129">
          <cell r="A129" t="str">
            <v>21/05/2004</v>
          </cell>
          <cell r="B129">
            <v>17.46303</v>
          </cell>
          <cell r="C129">
            <v>17.671870000000002</v>
          </cell>
          <cell r="D129">
            <v>20.767680000000002</v>
          </cell>
          <cell r="E129">
            <v>28.766740000000002</v>
          </cell>
          <cell r="F129">
            <v>18.911890000000003</v>
          </cell>
          <cell r="G129">
            <v>19.76924</v>
          </cell>
          <cell r="H129" t="e">
            <v>#N/A</v>
          </cell>
          <cell r="I129">
            <v>19.664630000000002</v>
          </cell>
          <cell r="J129" t="e">
            <v>#N/A</v>
          </cell>
          <cell r="K129">
            <v>14.543858</v>
          </cell>
          <cell r="L129">
            <v>36.595260000000003</v>
          </cell>
          <cell r="M129">
            <v>18.634193333333332</v>
          </cell>
          <cell r="N129" t="e">
            <v>#N/A</v>
          </cell>
          <cell r="O129" t="e">
            <v>#N/A</v>
          </cell>
          <cell r="P129">
            <v>22.707420000000003</v>
          </cell>
          <cell r="Q129">
            <v>22.707420000000003</v>
          </cell>
          <cell r="R129">
            <v>0.21858883793914363</v>
          </cell>
          <cell r="S129">
            <v>0.21858883793914363</v>
          </cell>
        </row>
        <row r="130">
          <cell r="A130" t="str">
            <v>28/05/2004</v>
          </cell>
          <cell r="B130">
            <v>18.430030000000002</v>
          </cell>
          <cell r="C130">
            <v>17.349310000000003</v>
          </cell>
          <cell r="D130">
            <v>20.700340000000001</v>
          </cell>
          <cell r="E130">
            <v>29.838340000000002</v>
          </cell>
          <cell r="F130">
            <v>19.229080000000003</v>
          </cell>
          <cell r="G130">
            <v>20.192320000000002</v>
          </cell>
          <cell r="H130" t="e">
            <v>#N/A</v>
          </cell>
          <cell r="I130">
            <v>19.786580000000001</v>
          </cell>
          <cell r="J130" t="e">
            <v>#N/A</v>
          </cell>
          <cell r="K130">
            <v>15.568760000000001</v>
          </cell>
          <cell r="L130">
            <v>35.905550000000005</v>
          </cell>
          <cell r="M130">
            <v>18.826560000000001</v>
          </cell>
          <cell r="N130" t="e">
            <v>#N/A</v>
          </cell>
          <cell r="O130" t="e">
            <v>#N/A</v>
          </cell>
          <cell r="P130">
            <v>23.144110000000001</v>
          </cell>
          <cell r="Q130">
            <v>23.144110000000001</v>
          </cell>
          <cell r="R130">
            <v>0.22933292114969483</v>
          </cell>
          <cell r="S130">
            <v>0.22933292114969483</v>
          </cell>
        </row>
        <row r="131">
          <cell r="A131" t="str">
            <v>04/06/2004</v>
          </cell>
          <cell r="B131">
            <v>17.576790000000003</v>
          </cell>
          <cell r="C131">
            <v>17.084340000000001</v>
          </cell>
          <cell r="D131">
            <v>20.700340000000001</v>
          </cell>
          <cell r="E131">
            <v>27.854500000000002</v>
          </cell>
          <cell r="F131">
            <v>18.942730000000001</v>
          </cell>
          <cell r="G131">
            <v>20.096160000000001</v>
          </cell>
          <cell r="H131" t="e">
            <v>#N/A</v>
          </cell>
          <cell r="I131">
            <v>19.634150000000002</v>
          </cell>
          <cell r="J131" t="e">
            <v>#N/A</v>
          </cell>
          <cell r="K131">
            <v>14.202223</v>
          </cell>
          <cell r="L131">
            <v>35.256410000000002</v>
          </cell>
          <cell r="M131">
            <v>18.453823333333332</v>
          </cell>
          <cell r="N131" t="e">
            <v>#N/A</v>
          </cell>
          <cell r="O131" t="e">
            <v>#N/A</v>
          </cell>
          <cell r="P131">
            <v>23.58079</v>
          </cell>
          <cell r="Q131">
            <v>23.58079</v>
          </cell>
          <cell r="R131">
            <v>0.27782679903550256</v>
          </cell>
          <cell r="S131">
            <v>0.27782679903550256</v>
          </cell>
        </row>
        <row r="132">
          <cell r="A132" t="str">
            <v>10/06/2004</v>
          </cell>
          <cell r="B132">
            <v>17.918090000000003</v>
          </cell>
          <cell r="C132">
            <v>17.095870000000001</v>
          </cell>
          <cell r="D132">
            <v>20.86195</v>
          </cell>
          <cell r="E132">
            <v>29.330260000000003</v>
          </cell>
          <cell r="F132">
            <v>19.713660000000001</v>
          </cell>
          <cell r="G132">
            <v>19.457700000000003</v>
          </cell>
          <cell r="H132" t="e">
            <v>#N/A</v>
          </cell>
          <cell r="I132">
            <v>19.054880000000001</v>
          </cell>
          <cell r="J132" t="e">
            <v>#N/A</v>
          </cell>
          <cell r="K132">
            <v>14.690272</v>
          </cell>
          <cell r="L132">
            <v>33.47128</v>
          </cell>
          <cell r="M132">
            <v>18.625303333333335</v>
          </cell>
          <cell r="N132" t="e">
            <v>#N/A</v>
          </cell>
          <cell r="O132" t="e">
            <v>#N/A</v>
          </cell>
          <cell r="P132">
            <v>23.289670000000001</v>
          </cell>
          <cell r="Q132">
            <v>23.289670000000001</v>
          </cell>
          <cell r="R132">
            <v>0.2504317155640059</v>
          </cell>
          <cell r="S132">
            <v>0.2504317155640059</v>
          </cell>
        </row>
        <row r="133">
          <cell r="A133" t="str">
            <v>18/06/2004</v>
          </cell>
          <cell r="B133">
            <v>17.292380000000001</v>
          </cell>
          <cell r="C133">
            <v>16.900020000000001</v>
          </cell>
          <cell r="D133">
            <v>21.077440000000003</v>
          </cell>
          <cell r="E133">
            <v>29.803700000000003</v>
          </cell>
          <cell r="F133">
            <v>19.396470000000001</v>
          </cell>
          <cell r="G133">
            <v>19.26924</v>
          </cell>
          <cell r="H133" t="e">
            <v>#N/A</v>
          </cell>
          <cell r="I133">
            <v>19.390240000000002</v>
          </cell>
          <cell r="J133" t="e">
            <v>#N/A</v>
          </cell>
          <cell r="K133">
            <v>16.300830000000001</v>
          </cell>
          <cell r="L133">
            <v>34.48556</v>
          </cell>
          <cell r="M133">
            <v>18.423280000000002</v>
          </cell>
          <cell r="N133" t="e">
            <v>#N/A</v>
          </cell>
          <cell r="O133" t="e">
            <v>#N/A</v>
          </cell>
          <cell r="P133">
            <v>23.144110000000001</v>
          </cell>
          <cell r="Q133">
            <v>23.144110000000001</v>
          </cell>
          <cell r="R133">
            <v>0.25624264517501771</v>
          </cell>
          <cell r="S133">
            <v>0.25624264517501771</v>
          </cell>
        </row>
        <row r="134">
          <cell r="A134" t="str">
            <v>25/06/2004</v>
          </cell>
          <cell r="B134">
            <v>17.349260000000001</v>
          </cell>
          <cell r="C134">
            <v>16.911540000000002</v>
          </cell>
          <cell r="D134">
            <v>20.727270000000001</v>
          </cell>
          <cell r="E134">
            <v>31.963050000000003</v>
          </cell>
          <cell r="F134">
            <v>19.118940000000002</v>
          </cell>
          <cell r="G134">
            <v>18.653860000000002</v>
          </cell>
          <cell r="H134" t="e">
            <v>#N/A</v>
          </cell>
          <cell r="I134">
            <v>19.5122</v>
          </cell>
          <cell r="J134" t="e">
            <v>#N/A</v>
          </cell>
          <cell r="K134">
            <v>15.519955</v>
          </cell>
          <cell r="L134">
            <v>34.48556</v>
          </cell>
          <cell r="M134">
            <v>18.329356666666669</v>
          </cell>
          <cell r="N134" t="e">
            <v>#N/A</v>
          </cell>
          <cell r="O134" t="e">
            <v>#N/A</v>
          </cell>
          <cell r="P134">
            <v>23.58079</v>
          </cell>
          <cell r="Q134">
            <v>23.58079</v>
          </cell>
          <cell r="R134">
            <v>0.28650396349608176</v>
          </cell>
          <cell r="S134">
            <v>0.28650396349608176</v>
          </cell>
        </row>
        <row r="135">
          <cell r="A135" t="str">
            <v>02/07/2004</v>
          </cell>
          <cell r="B135">
            <v>17.077090000000002</v>
          </cell>
          <cell r="C135">
            <v>17.294220000000003</v>
          </cell>
          <cell r="D135">
            <v>19.53144</v>
          </cell>
          <cell r="E135">
            <v>28.769080000000002</v>
          </cell>
          <cell r="F135">
            <v>18.9148</v>
          </cell>
          <cell r="G135">
            <v>19.844550000000002</v>
          </cell>
          <cell r="H135">
            <v>34.4358</v>
          </cell>
          <cell r="I135">
            <v>18.440110000000001</v>
          </cell>
          <cell r="J135">
            <v>18.440110000000001</v>
          </cell>
          <cell r="K135">
            <v>15.938244999999998</v>
          </cell>
          <cell r="L135">
            <v>32.955240000000003</v>
          </cell>
          <cell r="M135">
            <v>17.967583333333337</v>
          </cell>
          <cell r="N135">
            <v>22.320057500000001</v>
          </cell>
          <cell r="O135">
            <v>21.863163181818184</v>
          </cell>
          <cell r="P135">
            <v>13.056835999999999</v>
          </cell>
          <cell r="Q135">
            <v>13.056835999999999</v>
          </cell>
          <cell r="R135">
            <v>-0.27331151008065468</v>
          </cell>
          <cell r="S135">
            <v>-0.41501781525428427</v>
          </cell>
          <cell r="T135">
            <v>-0.40279291283622176</v>
          </cell>
        </row>
        <row r="136">
          <cell r="A136" t="str">
            <v>09/07/2004</v>
          </cell>
          <cell r="B136">
            <v>17.98715</v>
          </cell>
          <cell r="C136">
            <v>17.553930000000001</v>
          </cell>
          <cell r="D136">
            <v>19.297160000000002</v>
          </cell>
          <cell r="E136">
            <v>27.857430000000001</v>
          </cell>
          <cell r="F136">
            <v>18.174890000000001</v>
          </cell>
          <cell r="G136">
            <v>20.563030000000001</v>
          </cell>
          <cell r="H136">
            <v>33.560310000000001</v>
          </cell>
          <cell r="I136">
            <v>16.908080000000002</v>
          </cell>
          <cell r="J136">
            <v>16.908080000000002</v>
          </cell>
          <cell r="K136">
            <v>15.980410000000001</v>
          </cell>
          <cell r="L136">
            <v>31.997240000000001</v>
          </cell>
          <cell r="M136">
            <v>18.279413333333334</v>
          </cell>
          <cell r="N136">
            <v>21.987963000000001</v>
          </cell>
          <cell r="O136">
            <v>21.584869090909095</v>
          </cell>
          <cell r="P136">
            <v>13.133640999999999</v>
          </cell>
          <cell r="Q136">
            <v>13.133640999999999</v>
          </cell>
          <cell r="R136">
            <v>-0.28150642690210348</v>
          </cell>
          <cell r="S136">
            <v>-0.40268950789120395</v>
          </cell>
          <cell r="T136">
            <v>-0.39153483189149851</v>
          </cell>
        </row>
        <row r="137">
          <cell r="A137" t="str">
            <v>16/07/2004</v>
          </cell>
          <cell r="B137">
            <v>17.773020000000002</v>
          </cell>
          <cell r="C137">
            <v>17.754610000000003</v>
          </cell>
          <cell r="D137">
            <v>19.272500000000001</v>
          </cell>
          <cell r="E137">
            <v>23.536150000000003</v>
          </cell>
          <cell r="F137">
            <v>18.116590000000002</v>
          </cell>
          <cell r="G137">
            <v>19.491600000000002</v>
          </cell>
          <cell r="H137">
            <v>33.268480000000004</v>
          </cell>
          <cell r="I137">
            <v>17.493040000000001</v>
          </cell>
          <cell r="J137">
            <v>17.493040000000001</v>
          </cell>
          <cell r="K137">
            <v>15.474432999999999</v>
          </cell>
          <cell r="L137">
            <v>31.422440000000002</v>
          </cell>
          <cell r="M137">
            <v>18.26671</v>
          </cell>
          <cell r="N137">
            <v>21.360286300000002</v>
          </cell>
          <cell r="O137">
            <v>21.032497545454547</v>
          </cell>
          <cell r="P137">
            <v>12.749616999999999</v>
          </cell>
          <cell r="Q137">
            <v>12.749616999999999</v>
          </cell>
          <cell r="R137">
            <v>-0.30202992219179048</v>
          </cell>
          <cell r="S137">
            <v>-0.4031158187238344</v>
          </cell>
          <cell r="T137">
            <v>-0.39381345594140382</v>
          </cell>
        </row>
        <row r="138">
          <cell r="A138" t="str">
            <v>23/07/2004</v>
          </cell>
          <cell r="B138">
            <v>18.09422</v>
          </cell>
          <cell r="C138">
            <v>17.683780000000002</v>
          </cell>
          <cell r="D138">
            <v>19.568430000000003</v>
          </cell>
          <cell r="E138">
            <v>24.9498</v>
          </cell>
          <cell r="F138">
            <v>18.448430000000002</v>
          </cell>
          <cell r="G138">
            <v>20.105050000000002</v>
          </cell>
          <cell r="H138">
            <v>32.003890000000006</v>
          </cell>
          <cell r="I138">
            <v>17.13092</v>
          </cell>
          <cell r="J138">
            <v>17.13092</v>
          </cell>
          <cell r="K138">
            <v>15.685257</v>
          </cell>
          <cell r="L138">
            <v>31.614040000000003</v>
          </cell>
          <cell r="M138">
            <v>18.448810000000005</v>
          </cell>
          <cell r="N138">
            <v>21.528381700000004</v>
          </cell>
          <cell r="O138">
            <v>21.178872454545456</v>
          </cell>
          <cell r="P138">
            <v>12.596005999999999</v>
          </cell>
          <cell r="Q138">
            <v>12.596005999999999</v>
          </cell>
          <cell r="R138">
            <v>-0.31724561096352577</v>
          </cell>
          <cell r="S138">
            <v>-0.41491161874001903</v>
          </cell>
          <cell r="T138">
            <v>-0.40525606228406097</v>
          </cell>
        </row>
        <row r="139">
          <cell r="A139" t="str">
            <v>30/07/2004</v>
          </cell>
          <cell r="B139">
            <v>17.237690000000001</v>
          </cell>
          <cell r="C139">
            <v>14.408766999999999</v>
          </cell>
          <cell r="D139">
            <v>19.420470000000002</v>
          </cell>
          <cell r="E139">
            <v>25.200810000000001</v>
          </cell>
          <cell r="F139">
            <v>18.152470000000001</v>
          </cell>
          <cell r="G139">
            <v>20.063030000000001</v>
          </cell>
          <cell r="H139">
            <v>32.198440000000005</v>
          </cell>
          <cell r="I139">
            <v>17.103060000000003</v>
          </cell>
          <cell r="J139">
            <v>17.103060000000003</v>
          </cell>
          <cell r="K139">
            <v>14.546810000000001</v>
          </cell>
          <cell r="L139">
            <v>32.572040000000001</v>
          </cell>
          <cell r="M139">
            <v>17.022309</v>
          </cell>
          <cell r="N139">
            <v>21.090358700000003</v>
          </cell>
          <cell r="O139">
            <v>20.482941272727274</v>
          </cell>
          <cell r="P139">
            <v>13.364056</v>
          </cell>
          <cell r="Q139">
            <v>13.364056</v>
          </cell>
          <cell r="R139">
            <v>-0.21490932869330481</v>
          </cell>
          <cell r="S139">
            <v>-0.36634287780036678</v>
          </cell>
          <cell r="T139" t="str">
            <v>Asian:</v>
          </cell>
          <cell r="U139" t="str">
            <v>Asian:</v>
          </cell>
        </row>
        <row r="140">
          <cell r="A140" t="str">
            <v>06/08/2004</v>
          </cell>
          <cell r="B140">
            <v>17.02355</v>
          </cell>
          <cell r="C140">
            <v>14.216515999999999</v>
          </cell>
          <cell r="D140">
            <v>19.358820000000001</v>
          </cell>
          <cell r="E140">
            <v>26.08032</v>
          </cell>
          <cell r="F140">
            <v>16.641260000000003</v>
          </cell>
          <cell r="G140">
            <v>18.907570000000003</v>
          </cell>
          <cell r="H140">
            <v>31.031130000000001</v>
          </cell>
          <cell r="I140">
            <v>17.270199999999999</v>
          </cell>
          <cell r="J140">
            <v>17.270199999999999</v>
          </cell>
          <cell r="K140">
            <v>13.408363999999999</v>
          </cell>
          <cell r="L140">
            <v>31.997240000000001</v>
          </cell>
          <cell r="M140">
            <v>16.866295333333333</v>
          </cell>
          <cell r="N140">
            <v>20.593496999999999</v>
          </cell>
          <cell r="O140">
            <v>20.013771454545456</v>
          </cell>
          <cell r="P140">
            <v>13.517664999999999</v>
          </cell>
          <cell r="Q140">
            <v>13.517664999999999</v>
          </cell>
          <cell r="R140">
            <v>-0.19853976627074366</v>
          </cell>
          <cell r="S140">
            <v>-0.34359545637149436</v>
          </cell>
          <cell r="T140">
            <v>-0.32458182453512952</v>
          </cell>
        </row>
        <row r="141">
          <cell r="A141" t="str">
            <v>13/08/2004</v>
          </cell>
          <cell r="B141">
            <v>16.702360000000002</v>
          </cell>
          <cell r="C141">
            <v>13.649878999999999</v>
          </cell>
          <cell r="D141">
            <v>18.21208</v>
          </cell>
          <cell r="E141">
            <v>26.708840000000002</v>
          </cell>
          <cell r="F141">
            <v>17.37668</v>
          </cell>
          <cell r="G141">
            <v>19.310930000000003</v>
          </cell>
          <cell r="H141">
            <v>30.447470000000003</v>
          </cell>
          <cell r="I141">
            <v>17.075210000000002</v>
          </cell>
          <cell r="J141">
            <v>17.075210000000002</v>
          </cell>
          <cell r="K141">
            <v>13.956505</v>
          </cell>
          <cell r="L141">
            <v>32.38044</v>
          </cell>
          <cell r="M141">
            <v>16.188106333333334</v>
          </cell>
          <cell r="N141">
            <v>20.582039399999996</v>
          </cell>
          <cell r="O141">
            <v>19.951842999999997</v>
          </cell>
          <cell r="P141">
            <v>13.364056</v>
          </cell>
          <cell r="Q141">
            <v>13.364056</v>
          </cell>
          <cell r="R141">
            <v>-0.17445217341563057</v>
          </cell>
          <cell r="S141">
            <v>-0.35069330398813625</v>
          </cell>
          <cell r="T141">
            <v>-0.33018438447014631</v>
          </cell>
        </row>
        <row r="142">
          <cell r="A142" t="str">
            <v>20/08/2004</v>
          </cell>
          <cell r="B142">
            <v>16.916490000000003</v>
          </cell>
          <cell r="C142">
            <v>14.165922999999999</v>
          </cell>
          <cell r="D142">
            <v>18.310730000000003</v>
          </cell>
          <cell r="E142">
            <v>27.096390000000003</v>
          </cell>
          <cell r="F142">
            <v>17.910310000000003</v>
          </cell>
          <cell r="G142">
            <v>19.7227</v>
          </cell>
          <cell r="H142">
            <v>30.642020000000002</v>
          </cell>
          <cell r="I142">
            <v>16.99164</v>
          </cell>
          <cell r="J142">
            <v>16.99164</v>
          </cell>
          <cell r="K142">
            <v>15.221444999999999</v>
          </cell>
          <cell r="L142">
            <v>32.188840000000006</v>
          </cell>
          <cell r="M142">
            <v>16.464381000000003</v>
          </cell>
          <cell r="N142">
            <v>20.916648799999997</v>
          </cell>
          <cell r="O142">
            <v>20.302946454545452</v>
          </cell>
          <cell r="P142">
            <v>13.364056</v>
          </cell>
          <cell r="Q142">
            <v>13.364056</v>
          </cell>
          <cell r="R142">
            <v>-0.18830498395293471</v>
          </cell>
          <cell r="S142">
            <v>-0.36108044229341363</v>
          </cell>
          <cell r="T142">
            <v>-0.34176765771807294</v>
          </cell>
        </row>
        <row r="143">
          <cell r="A143" t="str">
            <v>27/08/2004</v>
          </cell>
          <cell r="B143">
            <v>18.040690000000001</v>
          </cell>
          <cell r="C143">
            <v>14.489714999999999</v>
          </cell>
          <cell r="D143">
            <v>19.08755</v>
          </cell>
          <cell r="E143">
            <v>27.409640000000003</v>
          </cell>
          <cell r="F143">
            <v>17.910310000000003</v>
          </cell>
          <cell r="G143">
            <v>19.802530000000001</v>
          </cell>
          <cell r="H143">
            <v>31.128400000000003</v>
          </cell>
          <cell r="I143">
            <v>18.941510000000001</v>
          </cell>
          <cell r="J143">
            <v>18.941510000000001</v>
          </cell>
          <cell r="K143">
            <v>15.010622</v>
          </cell>
          <cell r="L143">
            <v>32.38044</v>
          </cell>
          <cell r="M143">
            <v>17.205985000000002</v>
          </cell>
          <cell r="N143">
            <v>21.420140700000001</v>
          </cell>
          <cell r="O143">
            <v>20.790102000000001</v>
          </cell>
          <cell r="P143">
            <v>13.671275</v>
          </cell>
          <cell r="Q143">
            <v>13.671275</v>
          </cell>
          <cell r="R143">
            <v>-0.20543491116608559</v>
          </cell>
          <cell r="S143">
            <v>-0.36175605980029824</v>
          </cell>
          <cell r="T143">
            <v>-0.34241424116149122</v>
          </cell>
        </row>
        <row r="144">
          <cell r="A144" t="str">
            <v>03/09/2004</v>
          </cell>
          <cell r="B144">
            <v>18.68308</v>
          </cell>
          <cell r="C144">
            <v>14.773033999999999</v>
          </cell>
          <cell r="D144">
            <v>19.099880000000002</v>
          </cell>
          <cell r="E144">
            <v>27.510040000000004</v>
          </cell>
          <cell r="F144">
            <v>18.41704</v>
          </cell>
          <cell r="G144">
            <v>19.546230000000001</v>
          </cell>
          <cell r="H144">
            <v>30.836580000000001</v>
          </cell>
          <cell r="I144">
            <v>19.025070000000003</v>
          </cell>
          <cell r="J144">
            <v>19.025070000000003</v>
          </cell>
          <cell r="K144">
            <v>14.546810000000001</v>
          </cell>
          <cell r="L144">
            <v>31.997240000000001</v>
          </cell>
          <cell r="M144">
            <v>17.518664666666666</v>
          </cell>
          <cell r="N144">
            <v>21.443500399999998</v>
          </cell>
          <cell r="O144">
            <v>20.837094363636364</v>
          </cell>
          <cell r="P144">
            <v>14.132104999999999</v>
          </cell>
          <cell r="Q144">
            <v>14.132104999999999</v>
          </cell>
          <cell r="R144">
            <v>-0.19331151837790383</v>
          </cell>
          <cell r="S144">
            <v>-0.34096090953508684</v>
          </cell>
          <cell r="T144">
            <v>-0.32178139843420328</v>
          </cell>
        </row>
        <row r="145">
          <cell r="A145" t="str">
            <v>10/09/2004</v>
          </cell>
          <cell r="B145">
            <v>19.432550000000003</v>
          </cell>
          <cell r="C145">
            <v>14.671847999999999</v>
          </cell>
          <cell r="D145">
            <v>19.210850000000001</v>
          </cell>
          <cell r="E145">
            <v>28.945780000000003</v>
          </cell>
          <cell r="F145">
            <v>18.43946</v>
          </cell>
          <cell r="G145">
            <v>19.180680000000002</v>
          </cell>
          <cell r="H145">
            <v>32.101170000000003</v>
          </cell>
          <cell r="I145">
            <v>19.610030000000002</v>
          </cell>
          <cell r="J145">
            <v>19.610030000000002</v>
          </cell>
          <cell r="K145">
            <v>14.462480999999999</v>
          </cell>
          <cell r="L145">
            <v>31.422440000000002</v>
          </cell>
          <cell r="M145">
            <v>17.771749333333336</v>
          </cell>
          <cell r="N145">
            <v>21.747728899999998</v>
          </cell>
          <cell r="O145">
            <v>21.104467</v>
          </cell>
          <cell r="P145">
            <v>14.362518999999999</v>
          </cell>
          <cell r="Q145">
            <v>14.362518999999999</v>
          </cell>
          <cell r="R145">
            <v>-0.1918342572466325</v>
          </cell>
          <cell r="S145">
            <v>-0.33958533941445257</v>
          </cell>
          <cell r="T145">
            <v>-0.31945597109844093</v>
          </cell>
        </row>
        <row r="146">
          <cell r="A146" t="str">
            <v>17/09/2004</v>
          </cell>
          <cell r="B146">
            <v>20.074950000000001</v>
          </cell>
          <cell r="C146">
            <v>14.570663</v>
          </cell>
          <cell r="D146">
            <v>19.075220000000002</v>
          </cell>
          <cell r="E146">
            <v>28.775100000000002</v>
          </cell>
          <cell r="F146">
            <v>18.883410000000001</v>
          </cell>
          <cell r="G146">
            <v>19.247910000000001</v>
          </cell>
          <cell r="H146">
            <v>33.463039999999999</v>
          </cell>
          <cell r="I146">
            <v>18.969360000000002</v>
          </cell>
          <cell r="J146">
            <v>18.969360000000002</v>
          </cell>
          <cell r="K146">
            <v>14.125164</v>
          </cell>
          <cell r="L146">
            <v>31.422440000000002</v>
          </cell>
          <cell r="M146">
            <v>17.906944333333332</v>
          </cell>
          <cell r="N146">
            <v>21.8607257</v>
          </cell>
          <cell r="O146">
            <v>21.197992727272727</v>
          </cell>
          <cell r="P146">
            <v>14.516128999999999</v>
          </cell>
          <cell r="Q146">
            <v>14.516128999999999</v>
          </cell>
          <cell r="R146">
            <v>-0.18935756264241099</v>
          </cell>
          <cell r="S146">
            <v>-0.33597222712510411</v>
          </cell>
          <cell r="T146">
            <v>-0.31521209641118675</v>
          </cell>
        </row>
        <row r="147">
          <cell r="A147" t="str">
            <v>24/09/2004</v>
          </cell>
          <cell r="B147">
            <v>18.897210000000001</v>
          </cell>
          <cell r="C147">
            <v>14.004026</v>
          </cell>
          <cell r="D147">
            <v>19.24784</v>
          </cell>
          <cell r="E147">
            <v>31.650600000000001</v>
          </cell>
          <cell r="F147">
            <v>18.789240000000003</v>
          </cell>
          <cell r="G147">
            <v>19.012610000000002</v>
          </cell>
          <cell r="H147">
            <v>32.976649999999999</v>
          </cell>
          <cell r="I147">
            <v>20.33426</v>
          </cell>
          <cell r="J147">
            <v>20.33426</v>
          </cell>
          <cell r="K147">
            <v>13.534858999999999</v>
          </cell>
          <cell r="L147">
            <v>30.656040000000001</v>
          </cell>
          <cell r="M147">
            <v>17.383025333333332</v>
          </cell>
          <cell r="N147">
            <v>21.9103335</v>
          </cell>
          <cell r="O147">
            <v>21.191578272727273</v>
          </cell>
          <cell r="P147">
            <v>13.440861</v>
          </cell>
          <cell r="Q147">
            <v>13.440861</v>
          </cell>
          <cell r="R147">
            <v>-0.22678240741983613</v>
          </cell>
          <cell r="S147">
            <v>-0.38655151004433597</v>
          </cell>
          <cell r="T147">
            <v>-0.3657451640920083</v>
          </cell>
        </row>
        <row r="148">
          <cell r="A148" t="str">
            <v>01/10/2004</v>
          </cell>
          <cell r="B148">
            <v>17.929290000000002</v>
          </cell>
          <cell r="C148">
            <v>14.472021</v>
          </cell>
          <cell r="D148">
            <v>19.104830000000003</v>
          </cell>
          <cell r="E148">
            <v>28.667820000000003</v>
          </cell>
          <cell r="F148">
            <v>17.423080000000002</v>
          </cell>
          <cell r="G148">
            <v>20.57019</v>
          </cell>
          <cell r="H148">
            <v>30.381940000000004</v>
          </cell>
          <cell r="I148">
            <v>19.26219</v>
          </cell>
          <cell r="J148">
            <v>19.26219</v>
          </cell>
          <cell r="K148">
            <v>13.859618999999999</v>
          </cell>
          <cell r="L148">
            <v>28.499850000000002</v>
          </cell>
          <cell r="M148">
            <v>17.168713666666665</v>
          </cell>
          <cell r="N148">
            <v>21.017083000000003</v>
          </cell>
          <cell r="O148">
            <v>20.422077363636365</v>
          </cell>
          <cell r="P148">
            <v>14.414413999999999</v>
          </cell>
          <cell r="Q148">
            <v>14.414413999999999</v>
          </cell>
          <cell r="R148">
            <v>-0.16042551120263504</v>
          </cell>
          <cell r="S148">
            <v>-0.31415725008080342</v>
          </cell>
          <cell r="T148">
            <v>-0.29417493904580128</v>
          </cell>
        </row>
        <row r="149">
          <cell r="A149" t="str">
            <v>08/10/2004</v>
          </cell>
          <cell r="B149">
            <v>18.383840000000003</v>
          </cell>
          <cell r="C149">
            <v>14.638007</v>
          </cell>
          <cell r="D149">
            <v>19.46997</v>
          </cell>
          <cell r="E149">
            <v>28.704150000000002</v>
          </cell>
          <cell r="F149">
            <v>17.512820000000001</v>
          </cell>
          <cell r="G149">
            <v>22.587730000000001</v>
          </cell>
          <cell r="H149">
            <v>30.381940000000004</v>
          </cell>
          <cell r="I149">
            <v>19.36759</v>
          </cell>
          <cell r="J149">
            <v>19.36759</v>
          </cell>
          <cell r="K149">
            <v>13.997297999999999</v>
          </cell>
          <cell r="L149">
            <v>28.499850000000002</v>
          </cell>
          <cell r="M149">
            <v>17.497272333333331</v>
          </cell>
          <cell r="N149">
            <v>21.354319500000003</v>
          </cell>
          <cell r="O149">
            <v>20.743745636363641</v>
          </cell>
          <cell r="P149">
            <v>14.496314</v>
          </cell>
          <cell r="Q149">
            <v>14.496314</v>
          </cell>
          <cell r="R149">
            <v>-0.17151006603562602</v>
          </cell>
          <cell r="S149">
            <v>-0.32115308099609552</v>
          </cell>
          <cell r="T149">
            <v>-0.30117182045521895</v>
          </cell>
        </row>
        <row r="150">
          <cell r="A150" t="str">
            <v>15/10/2004</v>
          </cell>
          <cell r="B150">
            <v>17.979800000000001</v>
          </cell>
          <cell r="C150">
            <v>14.513517</v>
          </cell>
          <cell r="D150">
            <v>20.235570000000003</v>
          </cell>
          <cell r="E150">
            <v>29.610730000000004</v>
          </cell>
          <cell r="F150">
            <v>16.88889</v>
          </cell>
          <cell r="G150">
            <v>22.763170000000002</v>
          </cell>
          <cell r="H150">
            <v>29.166670000000003</v>
          </cell>
          <cell r="I150">
            <v>20.89592</v>
          </cell>
          <cell r="J150">
            <v>20.89592</v>
          </cell>
          <cell r="K150">
            <v>13.997297999999999</v>
          </cell>
          <cell r="L150">
            <v>27.229160000000004</v>
          </cell>
          <cell r="M150">
            <v>17.57629566666667</v>
          </cell>
          <cell r="N150">
            <v>21.328072500000001</v>
          </cell>
          <cell r="O150">
            <v>20.708567454545456</v>
          </cell>
          <cell r="P150">
            <v>14.250613999999999</v>
          </cell>
          <cell r="Q150">
            <v>14.250613999999999</v>
          </cell>
          <cell r="R150">
            <v>-0.18921402608023974</v>
          </cell>
          <cell r="S150">
            <v>-0.33183769888254089</v>
          </cell>
          <cell r="T150">
            <v>-0.31184935745654196</v>
          </cell>
        </row>
        <row r="151">
          <cell r="A151" t="str">
            <v>22/10/2004</v>
          </cell>
          <cell r="B151">
            <v>17.22222</v>
          </cell>
          <cell r="C151">
            <v>14.440897999999999</v>
          </cell>
          <cell r="D151">
            <v>20.577150000000003</v>
          </cell>
          <cell r="E151">
            <v>29.081320000000002</v>
          </cell>
          <cell r="F151">
            <v>17.085470000000001</v>
          </cell>
          <cell r="G151">
            <v>21.850890000000003</v>
          </cell>
          <cell r="H151">
            <v>28.993060000000003</v>
          </cell>
          <cell r="I151">
            <v>20.658760000000001</v>
          </cell>
          <cell r="J151">
            <v>20.658760000000001</v>
          </cell>
          <cell r="K151">
            <v>14.364440000000002</v>
          </cell>
          <cell r="L151">
            <v>26.139990000000001</v>
          </cell>
          <cell r="M151">
            <v>17.413422666666666</v>
          </cell>
          <cell r="N151">
            <v>21.041419800000003</v>
          </cell>
          <cell r="O151">
            <v>20.441372363636365</v>
          </cell>
          <cell r="P151">
            <v>14.168714</v>
          </cell>
          <cell r="Q151">
            <v>14.168714</v>
          </cell>
          <cell r="R151">
            <v>-0.18633376842553717</v>
          </cell>
          <cell r="S151">
            <v>-0.32662747406427406</v>
          </cell>
          <cell r="T151">
            <v>-0.30686092166663648</v>
          </cell>
        </row>
        <row r="152">
          <cell r="A152" t="str">
            <v>29/10/2004</v>
          </cell>
          <cell r="B152">
            <v>17.878790000000002</v>
          </cell>
          <cell r="C152">
            <v>15.146345</v>
          </cell>
          <cell r="D152">
            <v>21.802120000000002</v>
          </cell>
          <cell r="E152">
            <v>30.403110000000002</v>
          </cell>
          <cell r="F152">
            <v>16.73077</v>
          </cell>
          <cell r="G152">
            <v>22.434220000000003</v>
          </cell>
          <cell r="H152">
            <v>29.079860000000004</v>
          </cell>
          <cell r="I152">
            <v>21.818180000000002</v>
          </cell>
          <cell r="J152">
            <v>21.818180000000002</v>
          </cell>
          <cell r="K152">
            <v>14.226761999999999</v>
          </cell>
          <cell r="L152">
            <v>26.902410000000003</v>
          </cell>
          <cell r="M152">
            <v>18.275751666666668</v>
          </cell>
          <cell r="N152">
            <v>21.642256700000004</v>
          </cell>
          <cell r="O152">
            <v>21.051719272727276</v>
          </cell>
          <cell r="P152">
            <v>14.414413999999999</v>
          </cell>
          <cell r="Q152">
            <v>14.414413999999999</v>
          </cell>
          <cell r="R152">
            <v>-0.21128201658098711</v>
          </cell>
          <cell r="S152">
            <v>-0.33396899409293135</v>
          </cell>
          <cell r="T152">
            <v>-0.31528566321544937</v>
          </cell>
        </row>
        <row r="153">
          <cell r="A153" t="str">
            <v>05/11/2004</v>
          </cell>
          <cell r="B153">
            <v>18.58586</v>
          </cell>
          <cell r="C153">
            <v>15.561313</v>
          </cell>
          <cell r="D153">
            <v>22.167260000000002</v>
          </cell>
          <cell r="E153">
            <v>31.198960000000003</v>
          </cell>
          <cell r="F153">
            <v>17.307690000000001</v>
          </cell>
          <cell r="G153">
            <v>23.763170000000002</v>
          </cell>
          <cell r="H153">
            <v>30.381940000000004</v>
          </cell>
          <cell r="I153">
            <v>21.870880000000003</v>
          </cell>
          <cell r="J153">
            <v>21.870880000000003</v>
          </cell>
          <cell r="K153">
            <v>14.134976</v>
          </cell>
          <cell r="L153">
            <v>26.466740000000001</v>
          </cell>
          <cell r="M153">
            <v>18.771477666666669</v>
          </cell>
          <cell r="N153">
            <v>22.143878900000004</v>
          </cell>
          <cell r="O153">
            <v>21.545463818181819</v>
          </cell>
          <cell r="P153">
            <v>14.332514</v>
          </cell>
          <cell r="Q153">
            <v>14.332514</v>
          </cell>
          <cell r="R153">
            <v>-0.23647385386975317</v>
          </cell>
          <cell r="S153">
            <v>-0.35275504058144047</v>
          </cell>
          <cell r="T153">
            <v>-0.33477811752165409</v>
          </cell>
        </row>
        <row r="154">
          <cell r="A154" t="str">
            <v>12/11/2004</v>
          </cell>
          <cell r="B154">
            <v>19.292930000000002</v>
          </cell>
          <cell r="C154">
            <v>16.432750000000002</v>
          </cell>
          <cell r="D154">
            <v>22.202590000000001</v>
          </cell>
          <cell r="E154">
            <v>35.40831</v>
          </cell>
          <cell r="F154">
            <v>18.71368</v>
          </cell>
          <cell r="G154">
            <v>23.135980000000004</v>
          </cell>
          <cell r="H154">
            <v>30.642360000000004</v>
          </cell>
          <cell r="I154">
            <v>21.607380000000003</v>
          </cell>
          <cell r="J154">
            <v>21.607380000000003</v>
          </cell>
          <cell r="K154">
            <v>13.951405999999999</v>
          </cell>
          <cell r="L154">
            <v>27.955270000000002</v>
          </cell>
          <cell r="M154">
            <v>19.309423333333335</v>
          </cell>
          <cell r="N154">
            <v>22.9342656</v>
          </cell>
          <cell r="O154">
            <v>22.343218727272728</v>
          </cell>
          <cell r="P154">
            <v>14.660114999999999</v>
          </cell>
          <cell r="Q154">
            <v>14.660114999999999</v>
          </cell>
          <cell r="R154">
            <v>-0.24077924301899578</v>
          </cell>
          <cell r="S154">
            <v>-0.36077678458559403</v>
          </cell>
          <cell r="T154">
            <v>-0.34386736401119</v>
          </cell>
        </row>
        <row r="155">
          <cell r="A155" t="str">
            <v>19/11/2004</v>
          </cell>
          <cell r="B155">
            <v>20.303030000000003</v>
          </cell>
          <cell r="C155">
            <v>15.862164</v>
          </cell>
          <cell r="D155">
            <v>22.909310000000001</v>
          </cell>
          <cell r="E155">
            <v>34.778550000000003</v>
          </cell>
          <cell r="F155">
            <v>19.217950000000002</v>
          </cell>
          <cell r="G155">
            <v>24.0351</v>
          </cell>
          <cell r="H155">
            <v>30.121530000000003</v>
          </cell>
          <cell r="I155">
            <v>21.818180000000002</v>
          </cell>
          <cell r="J155">
            <v>21.818180000000002</v>
          </cell>
          <cell r="K155">
            <v>13.813725999999999</v>
          </cell>
          <cell r="L155">
            <v>29.770550000000004</v>
          </cell>
          <cell r="M155">
            <v>19.691501333333335</v>
          </cell>
          <cell r="N155">
            <v>23.263009000000004</v>
          </cell>
          <cell r="O155">
            <v>22.590204909090914</v>
          </cell>
          <cell r="P155">
            <v>14.414413999999999</v>
          </cell>
          <cell r="Q155">
            <v>14.414413999999999</v>
          </cell>
          <cell r="R155">
            <v>-0.26798806469877434</v>
          </cell>
          <cell r="S155">
            <v>-0.38037190287808442</v>
          </cell>
          <cell r="T155">
            <v>-0.36191751876499156</v>
          </cell>
        </row>
        <row r="156">
          <cell r="A156" t="str">
            <v>26/11/2004</v>
          </cell>
          <cell r="B156">
            <v>19.9495</v>
          </cell>
          <cell r="C156">
            <v>17.158940000000001</v>
          </cell>
          <cell r="D156">
            <v>22.485280000000003</v>
          </cell>
          <cell r="E156">
            <v>34.226649999999999</v>
          </cell>
          <cell r="F156">
            <v>19.017099999999999</v>
          </cell>
          <cell r="G156">
            <v>23.530720000000002</v>
          </cell>
          <cell r="H156">
            <v>29.340280000000003</v>
          </cell>
          <cell r="I156">
            <v>21.607380000000003</v>
          </cell>
          <cell r="J156">
            <v>21.607380000000003</v>
          </cell>
          <cell r="K156">
            <v>13.630155999999999</v>
          </cell>
          <cell r="L156">
            <v>30.859710000000003</v>
          </cell>
          <cell r="M156">
            <v>19.864573333333336</v>
          </cell>
          <cell r="N156">
            <v>23.1805716</v>
          </cell>
          <cell r="O156">
            <v>22.633150545454548</v>
          </cell>
          <cell r="P156">
            <v>14.086813999999999</v>
          </cell>
          <cell r="Q156">
            <v>14.086813999999999</v>
          </cell>
          <cell r="R156">
            <v>-0.29085745947727393</v>
          </cell>
          <cell r="S156">
            <v>-0.39230083523911041</v>
          </cell>
          <cell r="T156">
            <v>-0.37760260235493037</v>
          </cell>
        </row>
        <row r="157">
          <cell r="A157" t="str">
            <v>03/12/2004</v>
          </cell>
          <cell r="B157">
            <v>20.101010000000002</v>
          </cell>
          <cell r="C157">
            <v>17.511660000000003</v>
          </cell>
          <cell r="D157">
            <v>22.673730000000003</v>
          </cell>
          <cell r="E157">
            <v>37.022500000000001</v>
          </cell>
          <cell r="F157">
            <v>19.743590000000001</v>
          </cell>
          <cell r="G157">
            <v>24.342120000000001</v>
          </cell>
          <cell r="H157">
            <v>30.208330000000004</v>
          </cell>
          <cell r="I157">
            <v>21.791830000000001</v>
          </cell>
          <cell r="J157">
            <v>21.791830000000001</v>
          </cell>
          <cell r="K157">
            <v>13.584263</v>
          </cell>
          <cell r="L157">
            <v>31.948880000000003</v>
          </cell>
          <cell r="M157">
            <v>20.09546666666667</v>
          </cell>
          <cell r="N157">
            <v>23.892791300000006</v>
          </cell>
          <cell r="O157">
            <v>23.312688454545455</v>
          </cell>
          <cell r="P157">
            <v>14.332514</v>
          </cell>
          <cell r="Q157">
            <v>14.332514</v>
          </cell>
          <cell r="R157">
            <v>-0.28677874280102988</v>
          </cell>
          <cell r="S157">
            <v>-0.40013229011044871</v>
          </cell>
          <cell r="T157">
            <v>-0.38520544175137905</v>
          </cell>
        </row>
        <row r="158">
          <cell r="A158" t="str">
            <v>10/12/2004</v>
          </cell>
          <cell r="B158">
            <v>19.848480000000002</v>
          </cell>
          <cell r="C158">
            <v>17.843640000000001</v>
          </cell>
          <cell r="D158">
            <v>22.673730000000003</v>
          </cell>
          <cell r="E158">
            <v>38.479240000000004</v>
          </cell>
          <cell r="F158">
            <v>19.029910000000001</v>
          </cell>
          <cell r="G158">
            <v>23.693000000000001</v>
          </cell>
          <cell r="H158">
            <v>30.034720000000004</v>
          </cell>
          <cell r="I158">
            <v>21.52833</v>
          </cell>
          <cell r="J158">
            <v>21.52833</v>
          </cell>
          <cell r="K158">
            <v>12.849978</v>
          </cell>
          <cell r="L158">
            <v>31.948880000000003</v>
          </cell>
          <cell r="M158">
            <v>20.121950000000002</v>
          </cell>
          <cell r="N158">
            <v>23.792990800000002</v>
          </cell>
          <cell r="O158">
            <v>23.252140727272732</v>
          </cell>
          <cell r="P158">
            <v>14.004913999999999</v>
          </cell>
          <cell r="Q158">
            <v>14.004913999999999</v>
          </cell>
          <cell r="R158">
            <v>-0.30399817115140437</v>
          </cell>
          <cell r="S158">
            <v>-0.41138488566977471</v>
          </cell>
          <cell r="T158">
            <v>-0.3976935644650792</v>
          </cell>
        </row>
        <row r="159">
          <cell r="A159" t="str">
            <v>17/12/2004</v>
          </cell>
          <cell r="B159">
            <v>20.303030000000003</v>
          </cell>
          <cell r="C159">
            <v>23.072240000000001</v>
          </cell>
          <cell r="D159">
            <v>23.298000000000002</v>
          </cell>
          <cell r="E159">
            <v>38.159170000000003</v>
          </cell>
          <cell r="F159">
            <v>18.901710000000001</v>
          </cell>
          <cell r="G159">
            <v>23.679840000000002</v>
          </cell>
          <cell r="H159">
            <v>28.125</v>
          </cell>
          <cell r="I159">
            <v>23.1357</v>
          </cell>
          <cell r="J159">
            <v>23.1357</v>
          </cell>
          <cell r="K159">
            <v>12.528727999999999</v>
          </cell>
          <cell r="L159">
            <v>33.038050000000005</v>
          </cell>
          <cell r="M159">
            <v>22.224423333333334</v>
          </cell>
          <cell r="N159">
            <v>24.424146799999999</v>
          </cell>
          <cell r="O159">
            <v>24.301246181818183</v>
          </cell>
          <cell r="P159">
            <v>14.332514</v>
          </cell>
          <cell r="Q159">
            <v>14.332514</v>
          </cell>
          <cell r="R159">
            <v>-0.35510074727098284</v>
          </cell>
          <cell r="S159">
            <v>-0.41318261319981908</v>
          </cell>
          <cell r="T159">
            <v>-0.41021485512445177</v>
          </cell>
        </row>
        <row r="160">
          <cell r="A160" t="str">
            <v>23/12/2004</v>
          </cell>
          <cell r="B160">
            <v>20.555560000000003</v>
          </cell>
          <cell r="C160">
            <v>23.96442</v>
          </cell>
          <cell r="D160">
            <v>23.415780000000002</v>
          </cell>
          <cell r="E160">
            <v>38.321800000000003</v>
          </cell>
          <cell r="F160">
            <v>18.807690000000001</v>
          </cell>
          <cell r="G160">
            <v>23.30264</v>
          </cell>
          <cell r="H160">
            <v>29.166670000000003</v>
          </cell>
          <cell r="I160">
            <v>23.188410000000001</v>
          </cell>
          <cell r="J160">
            <v>23.188410000000001</v>
          </cell>
          <cell r="K160">
            <v>12.528727999999999</v>
          </cell>
          <cell r="L160">
            <v>33.764160000000004</v>
          </cell>
          <cell r="M160">
            <v>22.645253333333333</v>
          </cell>
          <cell r="N160">
            <v>24.701585800000004</v>
          </cell>
          <cell r="O160">
            <v>24.634570727272727</v>
          </cell>
          <cell r="P160">
            <v>14.660114999999999</v>
          </cell>
          <cell r="Q160">
            <v>14.660114999999999</v>
          </cell>
          <cell r="R160">
            <v>-0.35261863560516582</v>
          </cell>
          <cell r="S160">
            <v>-0.40651118034697198</v>
          </cell>
          <cell r="T160">
            <v>-0.40489667296008902</v>
          </cell>
        </row>
        <row r="161">
          <cell r="A161" t="str">
            <v>31/12/2004</v>
          </cell>
          <cell r="B161">
            <v>20.8</v>
          </cell>
          <cell r="C161">
            <v>24.662830000000003</v>
          </cell>
          <cell r="D161">
            <v>22.99887</v>
          </cell>
          <cell r="E161">
            <v>34.916030000000006</v>
          </cell>
          <cell r="F161">
            <v>18.605040000000002</v>
          </cell>
          <cell r="G161">
            <v>26.579230000000003</v>
          </cell>
          <cell r="H161">
            <v>35.56485</v>
          </cell>
          <cell r="I161">
            <v>21.95</v>
          </cell>
          <cell r="J161">
            <v>21.95</v>
          </cell>
          <cell r="K161">
            <v>13.662910000000002</v>
          </cell>
          <cell r="L161">
            <v>31.732890000000001</v>
          </cell>
          <cell r="M161">
            <v>22.820566666666668</v>
          </cell>
          <cell r="N161">
            <v>25.147265000000001</v>
          </cell>
          <cell r="O161">
            <v>25.103225454545456</v>
          </cell>
          <cell r="P161">
            <v>14.842454999999999</v>
          </cell>
          <cell r="Q161">
            <v>14.842454999999999</v>
          </cell>
          <cell r="R161">
            <v>-0.34960182116424232</v>
          </cell>
          <cell r="S161">
            <v>-0.40977855842374911</v>
          </cell>
          <cell r="T161">
            <v>-0.40874311044708933</v>
          </cell>
        </row>
        <row r="162">
          <cell r="A162" t="str">
            <v>07/01/2005</v>
          </cell>
          <cell r="B162">
            <v>19.850000000000001</v>
          </cell>
          <cell r="C162">
            <v>24.747590000000002</v>
          </cell>
          <cell r="D162">
            <v>24.069900000000001</v>
          </cell>
          <cell r="E162">
            <v>33.22137</v>
          </cell>
          <cell r="F162">
            <v>18.73949</v>
          </cell>
          <cell r="G162">
            <v>25.544570000000004</v>
          </cell>
          <cell r="H162">
            <v>36.401670000000003</v>
          </cell>
          <cell r="I162">
            <v>22.625</v>
          </cell>
          <cell r="J162">
            <v>22.625</v>
          </cell>
          <cell r="K162">
            <v>15.852782999999999</v>
          </cell>
          <cell r="L162">
            <v>32.353749999999998</v>
          </cell>
          <cell r="M162">
            <v>22.889163333333332</v>
          </cell>
          <cell r="N162">
            <v>25.340612299999997</v>
          </cell>
          <cell r="O162">
            <v>25.286701181818181</v>
          </cell>
          <cell r="P162">
            <v>15.422886</v>
          </cell>
          <cell r="Q162">
            <v>15.422886</v>
          </cell>
          <cell r="R162">
            <v>-0.32619267137913444</v>
          </cell>
          <cell r="S162">
            <v>-0.39137674270009637</v>
          </cell>
          <cell r="T162">
            <v>-0.39007916101411166</v>
          </cell>
        </row>
        <row r="163">
          <cell r="A163" t="str">
            <v>14/01/2005</v>
          </cell>
          <cell r="B163">
            <v>19.399999999999999</v>
          </cell>
          <cell r="C163">
            <v>24.789960000000001</v>
          </cell>
          <cell r="D163">
            <v>23.957160000000002</v>
          </cell>
          <cell r="E163">
            <v>31.714500000000001</v>
          </cell>
          <cell r="F163">
            <v>18.386550000000003</v>
          </cell>
          <cell r="G163">
            <v>26.757440000000003</v>
          </cell>
          <cell r="H163">
            <v>35.983260000000001</v>
          </cell>
          <cell r="I163">
            <v>23.425000000000001</v>
          </cell>
          <cell r="J163">
            <v>23.425000000000001</v>
          </cell>
          <cell r="K163">
            <v>16.043210000000002</v>
          </cell>
          <cell r="L163">
            <v>31.905350000000002</v>
          </cell>
          <cell r="M163">
            <v>22.715706666666666</v>
          </cell>
          <cell r="N163">
            <v>25.236243000000002</v>
          </cell>
          <cell r="O163">
            <v>25.195671818181822</v>
          </cell>
          <cell r="P163">
            <v>15.920399</v>
          </cell>
          <cell r="Q163">
            <v>15.920399</v>
          </cell>
          <cell r="R163">
            <v>-0.29914577461233871</v>
          </cell>
          <cell r="S163">
            <v>-0.36914543896252705</v>
          </cell>
          <cell r="T163">
            <v>-0.36812960912947579</v>
          </cell>
        </row>
        <row r="164">
          <cell r="A164" t="str">
            <v>21/01/2005</v>
          </cell>
          <cell r="B164">
            <v>19.149999999999999</v>
          </cell>
          <cell r="C164">
            <v>24.578080000000003</v>
          </cell>
          <cell r="D164">
            <v>23.788050000000002</v>
          </cell>
          <cell r="E164">
            <v>29.348090000000003</v>
          </cell>
          <cell r="F164">
            <v>19.306720000000002</v>
          </cell>
          <cell r="G164">
            <v>28.559430000000003</v>
          </cell>
          <cell r="H164">
            <v>35.251050000000006</v>
          </cell>
          <cell r="I164">
            <v>24.5</v>
          </cell>
          <cell r="J164">
            <v>24.5</v>
          </cell>
          <cell r="K164">
            <v>16.32884</v>
          </cell>
          <cell r="L164">
            <v>31.905350000000002</v>
          </cell>
          <cell r="M164">
            <v>22.505376666666667</v>
          </cell>
          <cell r="N164">
            <v>25.271561000000002</v>
          </cell>
          <cell r="O164">
            <v>25.208517272727274</v>
          </cell>
          <cell r="P164">
            <v>15.588723</v>
          </cell>
          <cell r="Q164">
            <v>15.588723</v>
          </cell>
          <cell r="R164">
            <v>-0.30733338833253621</v>
          </cell>
          <cell r="S164">
            <v>-0.38315155917752775</v>
          </cell>
          <cell r="T164">
            <v>-0.38160888911680613</v>
          </cell>
        </row>
        <row r="165">
          <cell r="A165" t="str">
            <v>28/01/2005</v>
          </cell>
          <cell r="B165">
            <v>19.600000000000001</v>
          </cell>
          <cell r="C165">
            <v>24.450950000000002</v>
          </cell>
          <cell r="D165">
            <v>23.697860000000002</v>
          </cell>
          <cell r="E165">
            <v>31.983210000000003</v>
          </cell>
          <cell r="F165">
            <v>19.710080000000001</v>
          </cell>
          <cell r="G165">
            <v>29.133680000000002</v>
          </cell>
          <cell r="H165">
            <v>34.205020000000005</v>
          </cell>
          <cell r="I165">
            <v>25.274999999999999</v>
          </cell>
          <cell r="J165">
            <v>25.274999999999999</v>
          </cell>
          <cell r="K165">
            <v>16.519270000000002</v>
          </cell>
          <cell r="L165">
            <v>32.353749999999998</v>
          </cell>
          <cell r="M165">
            <v>22.582936666666669</v>
          </cell>
          <cell r="N165">
            <v>25.692882000000004</v>
          </cell>
          <cell r="O165">
            <v>25.579979090909095</v>
          </cell>
          <cell r="P165">
            <v>15.505803999999999</v>
          </cell>
          <cell r="Q165">
            <v>15.505803999999999</v>
          </cell>
          <cell r="R165">
            <v>-0.31338407272393431</v>
          </cell>
          <cell r="S165">
            <v>-0.39649417297755862</v>
          </cell>
          <cell r="T165">
            <v>-0.39383046620586848</v>
          </cell>
        </row>
        <row r="166">
          <cell r="A166" t="str">
            <v>04/02/2005</v>
          </cell>
          <cell r="B166">
            <v>19.75</v>
          </cell>
          <cell r="C166">
            <v>23.942440000000001</v>
          </cell>
          <cell r="D166">
            <v>23.675310000000003</v>
          </cell>
          <cell r="E166">
            <v>31.290080000000003</v>
          </cell>
          <cell r="F166">
            <v>20.008400000000002</v>
          </cell>
          <cell r="G166">
            <v>29.752500000000001</v>
          </cell>
          <cell r="H166">
            <v>32.740590000000005</v>
          </cell>
          <cell r="I166">
            <v>25.3</v>
          </cell>
          <cell r="J166">
            <v>25.3</v>
          </cell>
          <cell r="K166">
            <v>16.519270000000002</v>
          </cell>
          <cell r="L166">
            <v>32.767659999999999</v>
          </cell>
          <cell r="M166">
            <v>22.455916666666667</v>
          </cell>
          <cell r="N166">
            <v>25.574625000000005</v>
          </cell>
          <cell r="O166">
            <v>25.426244545454548</v>
          </cell>
          <cell r="P166">
            <v>15.174128999999999</v>
          </cell>
          <cell r="Q166">
            <v>15.174128999999999</v>
          </cell>
          <cell r="R166">
            <v>-0.32427033706781072</v>
          </cell>
          <cell r="S166">
            <v>-0.40667247320341959</v>
          </cell>
          <cell r="T166" t="str">
            <v>Global:</v>
          </cell>
          <cell r="U166" t="str">
            <v>Global:</v>
          </cell>
        </row>
        <row r="167">
          <cell r="A167" t="str">
            <v>11/02/2005</v>
          </cell>
          <cell r="B167">
            <v>19.850000000000001</v>
          </cell>
          <cell r="C167">
            <v>24.164920000000002</v>
          </cell>
          <cell r="D167">
            <v>24.126270000000002</v>
          </cell>
          <cell r="E167">
            <v>31.984730000000003</v>
          </cell>
          <cell r="F167">
            <v>21.155460000000001</v>
          </cell>
          <cell r="G167">
            <v>29.202990000000003</v>
          </cell>
          <cell r="H167">
            <v>34.10042</v>
          </cell>
          <cell r="I167">
            <v>24.925000000000001</v>
          </cell>
          <cell r="J167">
            <v>24.925000000000001</v>
          </cell>
          <cell r="K167">
            <v>18.137870000000003</v>
          </cell>
          <cell r="L167">
            <v>32.767659999999999</v>
          </cell>
          <cell r="M167">
            <v>22.713730000000002</v>
          </cell>
          <cell r="N167">
            <v>26.041532</v>
          </cell>
          <cell r="O167">
            <v>25.870930909090909</v>
          </cell>
          <cell r="P167">
            <v>15.008291999999999</v>
          </cell>
          <cell r="Q167">
            <v>15.008291999999999</v>
          </cell>
          <cell r="R167">
            <v>-0.33924141917685924</v>
          </cell>
          <cell r="S167">
            <v>-0.42367860692681214</v>
          </cell>
          <cell r="T167">
            <v>-0.41987816160391178</v>
          </cell>
        </row>
        <row r="168">
          <cell r="A168" t="str">
            <v>18/02/2005</v>
          </cell>
          <cell r="B168">
            <v>20.100000000000001</v>
          </cell>
          <cell r="C168">
            <v>24.228480000000001</v>
          </cell>
          <cell r="D168">
            <v>25.095830000000003</v>
          </cell>
          <cell r="E168">
            <v>32.751139999999999</v>
          </cell>
          <cell r="F168">
            <v>22.247900000000001</v>
          </cell>
          <cell r="G168">
            <v>29.584180000000003</v>
          </cell>
          <cell r="H168">
            <v>34.309620000000002</v>
          </cell>
          <cell r="I168">
            <v>24.4</v>
          </cell>
          <cell r="J168">
            <v>24.4</v>
          </cell>
          <cell r="K168">
            <v>17.328570000000003</v>
          </cell>
          <cell r="L168">
            <v>33.974890000000002</v>
          </cell>
          <cell r="M168">
            <v>23.141436666666667</v>
          </cell>
          <cell r="N168">
            <v>26.402061000000003</v>
          </cell>
          <cell r="O168">
            <v>26.20446272727273</v>
          </cell>
          <cell r="P168">
            <v>15.754560000000001</v>
          </cell>
          <cell r="Q168">
            <v>15.754560000000001</v>
          </cell>
          <cell r="R168">
            <v>-0.3192056212009885</v>
          </cell>
          <cell r="S168">
            <v>-0.40328294825165356</v>
          </cell>
          <cell r="T168">
            <v>-0.39878332313208698</v>
          </cell>
        </row>
        <row r="169">
          <cell r="A169" t="str">
            <v>25/02/2005</v>
          </cell>
          <cell r="B169">
            <v>20.2</v>
          </cell>
          <cell r="C169">
            <v>22.67116</v>
          </cell>
          <cell r="D169">
            <v>23.472380000000001</v>
          </cell>
          <cell r="E169">
            <v>32.236640000000001</v>
          </cell>
          <cell r="F169">
            <v>23.445380000000004</v>
          </cell>
          <cell r="G169">
            <v>28.861410000000003</v>
          </cell>
          <cell r="H169">
            <v>35.146440000000005</v>
          </cell>
          <cell r="I169">
            <v>23.8</v>
          </cell>
          <cell r="J169">
            <v>23.8</v>
          </cell>
          <cell r="K169">
            <v>17.13814</v>
          </cell>
          <cell r="L169">
            <v>34.147350000000003</v>
          </cell>
          <cell r="M169">
            <v>22.114513333333335</v>
          </cell>
          <cell r="N169">
            <v>26.111890000000006</v>
          </cell>
          <cell r="O169">
            <v>25.799096363636366</v>
          </cell>
          <cell r="P169">
            <v>15.754560000000001</v>
          </cell>
          <cell r="Q169">
            <v>15.754560000000001</v>
          </cell>
          <cell r="R169">
            <v>-0.2875918288351812</v>
          </cell>
          <cell r="S169">
            <v>-0.39665187008676894</v>
          </cell>
          <cell r="T169">
            <v>-0.38933675125901168</v>
          </cell>
        </row>
        <row r="170">
          <cell r="A170" t="str">
            <v>04/03/2005</v>
          </cell>
          <cell r="B170">
            <v>19.75</v>
          </cell>
          <cell r="C170">
            <v>22.840670000000003</v>
          </cell>
          <cell r="D170">
            <v>23.900790000000001</v>
          </cell>
          <cell r="E170">
            <v>30.079390000000004</v>
          </cell>
          <cell r="F170">
            <v>24.537820000000004</v>
          </cell>
          <cell r="G170">
            <v>29.504970000000004</v>
          </cell>
          <cell r="H170">
            <v>36.19247</v>
          </cell>
          <cell r="I170">
            <v>23.824999999999999</v>
          </cell>
          <cell r="J170">
            <v>23.824999999999999</v>
          </cell>
          <cell r="K170">
            <v>17.28096</v>
          </cell>
          <cell r="L170">
            <v>34.492280000000001</v>
          </cell>
          <cell r="M170">
            <v>22.163820000000001</v>
          </cell>
          <cell r="N170">
            <v>26.240435000000002</v>
          </cell>
          <cell r="O170">
            <v>25.931365454545457</v>
          </cell>
          <cell r="P170">
            <v>16.749590000000001</v>
          </cell>
          <cell r="Q170">
            <v>16.749590000000001</v>
          </cell>
          <cell r="R170">
            <v>-0.24428234843993502</v>
          </cell>
          <cell r="S170">
            <v>-0.36168779214216529</v>
          </cell>
          <cell r="T170">
            <v>-0.35407990646076837</v>
          </cell>
        </row>
        <row r="171">
          <cell r="A171" t="str">
            <v>11/03/2005</v>
          </cell>
          <cell r="B171">
            <v>20.05</v>
          </cell>
          <cell r="C171">
            <v>20.891370000000002</v>
          </cell>
          <cell r="D171">
            <v>23.100340000000003</v>
          </cell>
          <cell r="E171">
            <v>30.122140000000002</v>
          </cell>
          <cell r="F171">
            <v>23.949580000000001</v>
          </cell>
          <cell r="G171">
            <v>30.044570000000004</v>
          </cell>
          <cell r="H171">
            <v>35.355650000000004</v>
          </cell>
          <cell r="I171">
            <v>23.55</v>
          </cell>
          <cell r="J171">
            <v>37.530860000000004</v>
          </cell>
          <cell r="K171">
            <v>18.328290000000003</v>
          </cell>
          <cell r="L171">
            <v>35.182120000000005</v>
          </cell>
          <cell r="M171">
            <v>21.347236666666671</v>
          </cell>
          <cell r="N171">
            <v>27.100447272727273</v>
          </cell>
          <cell r="O171">
            <v>26.583024166666664</v>
          </cell>
          <cell r="P171">
            <v>17.2471</v>
          </cell>
          <cell r="Q171">
            <v>17.2471</v>
          </cell>
          <cell r="R171">
            <v>-0.19206873145642134</v>
          </cell>
          <cell r="S171">
            <v>-0.3635861494671071</v>
          </cell>
          <cell r="T171">
            <v>-0.35119872397262042</v>
          </cell>
        </row>
        <row r="172">
          <cell r="A172" t="str">
            <v>18/03/2005</v>
          </cell>
          <cell r="B172">
            <v>19.850000000000001</v>
          </cell>
          <cell r="C172">
            <v>19.88494</v>
          </cell>
          <cell r="D172">
            <v>23.74295</v>
          </cell>
          <cell r="E172">
            <v>29.525190000000002</v>
          </cell>
          <cell r="F172">
            <v>24.457980000000003</v>
          </cell>
          <cell r="G172">
            <v>30.247550000000004</v>
          </cell>
          <cell r="H172">
            <v>35.669450000000005</v>
          </cell>
          <cell r="I172">
            <v>23.725000000000001</v>
          </cell>
          <cell r="J172">
            <v>34.308640000000004</v>
          </cell>
          <cell r="K172">
            <v>20.137320000000003</v>
          </cell>
          <cell r="L172">
            <v>34.492280000000001</v>
          </cell>
          <cell r="M172">
            <v>21.159296666666666</v>
          </cell>
          <cell r="N172">
            <v>26.912845454545458</v>
          </cell>
          <cell r="O172">
            <v>26.327186666666666</v>
          </cell>
          <cell r="P172">
            <v>17.495850000000001</v>
          </cell>
          <cell r="Q172">
            <v>17.495850000000001</v>
          </cell>
          <cell r="R172">
            <v>-0.17313650469478425</v>
          </cell>
          <cell r="S172">
            <v>-0.34990709066606596</v>
          </cell>
          <cell r="T172">
            <v>-0.33544551411747248</v>
          </cell>
        </row>
        <row r="173">
          <cell r="A173" t="str">
            <v>24/03/2005</v>
          </cell>
          <cell r="B173">
            <v>19.899999999999999</v>
          </cell>
          <cell r="C173">
            <v>20.08623</v>
          </cell>
          <cell r="D173">
            <v>22.965050000000002</v>
          </cell>
          <cell r="E173">
            <v>29.503820000000001</v>
          </cell>
          <cell r="F173">
            <v>25.029410000000002</v>
          </cell>
          <cell r="G173">
            <v>30.693090000000002</v>
          </cell>
          <cell r="H173">
            <v>35.355650000000004</v>
          </cell>
          <cell r="I173">
            <v>22.675000000000001</v>
          </cell>
          <cell r="J173">
            <v>34.530860000000004</v>
          </cell>
          <cell r="K173">
            <v>19.518440000000002</v>
          </cell>
          <cell r="L173">
            <v>32.94012</v>
          </cell>
          <cell r="M173">
            <v>20.98376</v>
          </cell>
          <cell r="N173">
            <v>26.654333636363639</v>
          </cell>
          <cell r="O173">
            <v>26.106991666666669</v>
          </cell>
          <cell r="P173">
            <v>17.412940000000003</v>
          </cell>
          <cell r="Q173">
            <v>17.412940000000003</v>
          </cell>
          <cell r="R173">
            <v>-0.17017064625214917</v>
          </cell>
          <cell r="S173">
            <v>-0.34671261200677339</v>
          </cell>
          <cell r="T173">
            <v>-0.33301621947377436</v>
          </cell>
        </row>
        <row r="174">
          <cell r="A174" t="str">
            <v>01/04/2005</v>
          </cell>
          <cell r="B174">
            <v>21.72043</v>
          </cell>
          <cell r="C174">
            <v>20.001470000000001</v>
          </cell>
          <cell r="D174">
            <v>16.269020000000001</v>
          </cell>
          <cell r="E174">
            <v>25.450760000000002</v>
          </cell>
          <cell r="F174">
            <v>22.086470000000002</v>
          </cell>
          <cell r="G174">
            <v>32.512820000000005</v>
          </cell>
          <cell r="H174">
            <v>43.298970000000004</v>
          </cell>
          <cell r="I174">
            <v>21.605670000000003</v>
          </cell>
          <cell r="J174">
            <v>28.837210000000002</v>
          </cell>
          <cell r="K174">
            <v>18.728290000000001</v>
          </cell>
          <cell r="L174">
            <v>33.777650000000001</v>
          </cell>
          <cell r="M174">
            <v>19.330306666666669</v>
          </cell>
          <cell r="N174">
            <v>25.844432727272729</v>
          </cell>
          <cell r="O174">
            <v>25.357519166666666</v>
          </cell>
          <cell r="P174">
            <v>18.75563</v>
          </cell>
          <cell r="Q174">
            <v>18.75563</v>
          </cell>
          <cell r="R174">
            <v>-2.9729309347049648E-2</v>
          </cell>
          <cell r="S174">
            <v>-0.27428741818705749</v>
          </cell>
          <cell r="T174">
            <v>-0.26035232876191916</v>
          </cell>
        </row>
        <row r="175">
          <cell r="A175" t="str">
            <v>08/04/2005</v>
          </cell>
          <cell r="B175">
            <v>21.12903</v>
          </cell>
          <cell r="C175">
            <v>19.958180000000002</v>
          </cell>
          <cell r="D175">
            <v>16.092870000000001</v>
          </cell>
          <cell r="E175">
            <v>25.848820000000003</v>
          </cell>
          <cell r="F175">
            <v>22.334590000000002</v>
          </cell>
          <cell r="G175">
            <v>33.076920000000001</v>
          </cell>
          <cell r="H175">
            <v>43.42783</v>
          </cell>
          <cell r="I175">
            <v>22.125150000000001</v>
          </cell>
          <cell r="J175">
            <v>29.569770000000002</v>
          </cell>
          <cell r="K175">
            <v>20.844230000000003</v>
          </cell>
          <cell r="L175">
            <v>33.777650000000001</v>
          </cell>
          <cell r="M175">
            <v>19.060026666666669</v>
          </cell>
          <cell r="N175">
            <v>26.198640000000001</v>
          </cell>
          <cell r="O175">
            <v>25.678601666666665</v>
          </cell>
          <cell r="P175">
            <v>19.026150000000001</v>
          </cell>
          <cell r="Q175">
            <v>19.026150000000001</v>
          </cell>
          <cell r="R175">
            <v>-1.7773672229910442E-3</v>
          </cell>
          <cell r="S175">
            <v>-0.27377337144218172</v>
          </cell>
          <cell r="T175">
            <v>-0.25906596289868056</v>
          </cell>
        </row>
        <row r="176">
          <cell r="A176" t="str">
            <v>15/04/2005</v>
          </cell>
          <cell r="B176">
            <v>20.53763</v>
          </cell>
          <cell r="C176">
            <v>19.828300000000002</v>
          </cell>
          <cell r="D176">
            <v>15.788630000000001</v>
          </cell>
          <cell r="E176">
            <v>23.724</v>
          </cell>
          <cell r="F176">
            <v>23.052630000000001</v>
          </cell>
          <cell r="G176">
            <v>31.025640000000003</v>
          </cell>
          <cell r="H176">
            <v>41.752570000000006</v>
          </cell>
          <cell r="I176">
            <v>21.369540000000001</v>
          </cell>
          <cell r="J176">
            <v>26.744190000000003</v>
          </cell>
          <cell r="K176">
            <v>19.763750000000002</v>
          </cell>
          <cell r="L176">
            <v>31.961650000000002</v>
          </cell>
          <cell r="M176">
            <v>18.718186666666668</v>
          </cell>
          <cell r="N176">
            <v>25.049866363636365</v>
          </cell>
          <cell r="O176">
            <v>24.614735833333338</v>
          </cell>
          <cell r="P176">
            <v>18.665460000000003</v>
          </cell>
          <cell r="Q176">
            <v>18.665460000000003</v>
          </cell>
          <cell r="R176">
            <v>-2.8168683006329909E-3</v>
          </cell>
          <cell r="S176">
            <v>-0.2548678811677928</v>
          </cell>
          <cell r="T176">
            <v>-0.24169570104737059</v>
          </cell>
        </row>
        <row r="177">
          <cell r="A177" t="str">
            <v>22/04/2005</v>
          </cell>
          <cell r="B177">
            <v>20.322580000000002</v>
          </cell>
          <cell r="C177">
            <v>20.131350000000001</v>
          </cell>
          <cell r="D177">
            <v>16.661330000000003</v>
          </cell>
          <cell r="E177">
            <v>23.717060000000004</v>
          </cell>
          <cell r="F177">
            <v>22.5</v>
          </cell>
          <cell r="G177">
            <v>31.076920000000001</v>
          </cell>
          <cell r="H177">
            <v>44.329900000000002</v>
          </cell>
          <cell r="I177">
            <v>22.384890000000002</v>
          </cell>
          <cell r="J177">
            <v>23.779070000000001</v>
          </cell>
          <cell r="K177">
            <v>18.548210000000001</v>
          </cell>
          <cell r="L177">
            <v>30.690440000000002</v>
          </cell>
          <cell r="M177">
            <v>19.038420000000002</v>
          </cell>
          <cell r="N177">
            <v>24.921977272727279</v>
          </cell>
          <cell r="O177">
            <v>24.522758333333339</v>
          </cell>
          <cell r="P177">
            <v>18.75563</v>
          </cell>
          <cell r="Q177">
            <v>18.75563</v>
          </cell>
          <cell r="R177">
            <v>-1.4853648569576827E-2</v>
          </cell>
          <cell r="S177">
            <v>-0.24742608522780662</v>
          </cell>
          <cell r="T177">
            <v>-0.23517453685029333</v>
          </cell>
        </row>
        <row r="178">
          <cell r="A178" t="str">
            <v>29/04/2005</v>
          </cell>
          <cell r="B178">
            <v>20.430110000000003</v>
          </cell>
          <cell r="C178">
            <v>19.979830000000003</v>
          </cell>
          <cell r="D178">
            <v>15.948760000000002</v>
          </cell>
          <cell r="E178">
            <v>27.117890000000003</v>
          </cell>
          <cell r="F178">
            <v>21.954890000000002</v>
          </cell>
          <cell r="G178">
            <v>31.794870000000003</v>
          </cell>
          <cell r="H178">
            <v>42.654640000000001</v>
          </cell>
          <cell r="I178">
            <v>21.4876</v>
          </cell>
          <cell r="J178">
            <v>30.604650000000003</v>
          </cell>
          <cell r="K178">
            <v>20.349010000000003</v>
          </cell>
          <cell r="L178">
            <v>30.508840000000003</v>
          </cell>
          <cell r="M178">
            <v>18.786233333333335</v>
          </cell>
          <cell r="N178">
            <v>25.711917272727273</v>
          </cell>
          <cell r="O178">
            <v>25.234243333333339</v>
          </cell>
          <cell r="P178">
            <v>16.77187</v>
          </cell>
          <cell r="Q178">
            <v>16.77187</v>
          </cell>
          <cell r="R178">
            <v>-0.10722550378202489</v>
          </cell>
          <cell r="S178">
            <v>-0.34770053037662874</v>
          </cell>
          <cell r="T178">
            <v>-0.33535276733084807</v>
          </cell>
        </row>
        <row r="179">
          <cell r="A179" t="str">
            <v>06/05/2005</v>
          </cell>
          <cell r="B179">
            <v>20.645160000000001</v>
          </cell>
          <cell r="C179">
            <v>19.969000000000001</v>
          </cell>
          <cell r="D179">
            <v>15.812650999999999</v>
          </cell>
          <cell r="E179">
            <v>27.514560000000003</v>
          </cell>
          <cell r="F179">
            <v>22.706770000000002</v>
          </cell>
          <cell r="G179">
            <v>32.738460000000003</v>
          </cell>
          <cell r="H179">
            <v>42.912370000000003</v>
          </cell>
          <cell r="I179">
            <v>21.582050000000002</v>
          </cell>
          <cell r="J179">
            <v>30.104650000000003</v>
          </cell>
          <cell r="K179">
            <v>19.583670000000001</v>
          </cell>
          <cell r="L179">
            <v>27.603240000000003</v>
          </cell>
          <cell r="M179">
            <v>18.808937</v>
          </cell>
          <cell r="N179">
            <v>25.561143727272732</v>
          </cell>
          <cell r="O179">
            <v>25.095131750000004</v>
          </cell>
          <cell r="P179">
            <v>17.042380000000001</v>
          </cell>
          <cell r="Q179">
            <v>17.042380000000001</v>
          </cell>
          <cell r="R179">
            <v>-9.3921150355280481E-2</v>
          </cell>
          <cell r="S179">
            <v>-0.33327005309952329</v>
          </cell>
          <cell r="T179">
            <v>-0.32088900071225968</v>
          </cell>
        </row>
        <row r="180">
          <cell r="A180" t="str">
            <v>13/05/2005</v>
          </cell>
          <cell r="B180">
            <v>20.376340000000003</v>
          </cell>
          <cell r="C180">
            <v>19.882420000000003</v>
          </cell>
          <cell r="D180">
            <v>16.012810000000002</v>
          </cell>
          <cell r="E180">
            <v>26.511790000000001</v>
          </cell>
          <cell r="F180">
            <v>22.3797</v>
          </cell>
          <cell r="G180">
            <v>31.641030000000004</v>
          </cell>
          <cell r="H180">
            <v>42.912370000000003</v>
          </cell>
          <cell r="I180">
            <v>22.951600000000003</v>
          </cell>
          <cell r="J180">
            <v>31.046510000000001</v>
          </cell>
          <cell r="K180">
            <v>18.68327</v>
          </cell>
          <cell r="L180">
            <v>28.511240000000001</v>
          </cell>
          <cell r="M180">
            <v>18.757190000000005</v>
          </cell>
          <cell r="N180">
            <v>25.537189090909099</v>
          </cell>
          <cell r="O180">
            <v>25.065958333333338</v>
          </cell>
          <cell r="P180">
            <v>17.583410000000001</v>
          </cell>
          <cell r="Q180">
            <v>17.583410000000001</v>
          </cell>
          <cell r="R180">
            <v>-6.2577603574949348E-2</v>
          </cell>
          <cell r="S180">
            <v>-0.31145867552590345</v>
          </cell>
          <cell r="T180">
            <v>-0.29851435296542628</v>
          </cell>
        </row>
        <row r="181">
          <cell r="A181" t="str">
            <v>20/05/2005</v>
          </cell>
          <cell r="B181">
            <v>20.483870000000003</v>
          </cell>
          <cell r="C181">
            <v>20.618400000000001</v>
          </cell>
          <cell r="D181">
            <v>16.653320000000001</v>
          </cell>
          <cell r="E181">
            <v>28.990290000000002</v>
          </cell>
          <cell r="F181">
            <v>21.898490000000002</v>
          </cell>
          <cell r="G181">
            <v>33.364100000000001</v>
          </cell>
          <cell r="H181">
            <v>43.556699999999999</v>
          </cell>
          <cell r="I181">
            <v>23.140499999999999</v>
          </cell>
          <cell r="J181">
            <v>29.848840000000003</v>
          </cell>
          <cell r="K181">
            <v>19.133470000000003</v>
          </cell>
          <cell r="L181">
            <v>30.872040000000002</v>
          </cell>
          <cell r="M181">
            <v>19.251863333333336</v>
          </cell>
          <cell r="N181">
            <v>26.232729090909096</v>
          </cell>
          <cell r="O181">
            <v>25.764868333333339</v>
          </cell>
          <cell r="P181">
            <v>17.763750000000002</v>
          </cell>
          <cell r="Q181">
            <v>17.763750000000002</v>
          </cell>
          <cell r="R181">
            <v>-7.7297106652360448E-2</v>
          </cell>
          <cell r="S181">
            <v>-0.32284018416688498</v>
          </cell>
          <cell r="T181">
            <v>-0.3105437307041029</v>
          </cell>
        </row>
        <row r="182">
          <cell r="A182" t="str">
            <v>27/05/2005</v>
          </cell>
          <cell r="B182">
            <v>20.376340000000003</v>
          </cell>
          <cell r="C182">
            <v>20.650870000000001</v>
          </cell>
          <cell r="D182">
            <v>17.966370000000001</v>
          </cell>
          <cell r="E182">
            <v>29.514560000000003</v>
          </cell>
          <cell r="F182">
            <v>22.071430000000003</v>
          </cell>
          <cell r="G182">
            <v>33.958970000000001</v>
          </cell>
          <cell r="H182">
            <v>45.489690000000003</v>
          </cell>
          <cell r="I182">
            <v>23.376620000000003</v>
          </cell>
          <cell r="J182">
            <v>32.093020000000003</v>
          </cell>
          <cell r="K182">
            <v>17.602790000000002</v>
          </cell>
          <cell r="L182">
            <v>31.416840000000004</v>
          </cell>
          <cell r="M182">
            <v>19.664526666666671</v>
          </cell>
          <cell r="N182">
            <v>26.774318181818181</v>
          </cell>
          <cell r="O182">
            <v>26.264030833333337</v>
          </cell>
          <cell r="P182">
            <v>17.403070000000003</v>
          </cell>
          <cell r="Q182">
            <v>17.403070000000003</v>
          </cell>
          <cell r="R182">
            <v>-0.11500183579297951</v>
          </cell>
          <cell r="S182">
            <v>-0.35000884497525597</v>
          </cell>
          <cell r="T182">
            <v>-0.3373800803678364</v>
          </cell>
        </row>
        <row r="183">
          <cell r="A183" t="str">
            <v>03/06/2005</v>
          </cell>
          <cell r="B183">
            <v>20.322580000000002</v>
          </cell>
          <cell r="C183">
            <v>20.997220000000002</v>
          </cell>
          <cell r="D183">
            <v>18.17454</v>
          </cell>
          <cell r="E183">
            <v>34.145630000000004</v>
          </cell>
          <cell r="F183">
            <v>22.74436</v>
          </cell>
          <cell r="G183">
            <v>34</v>
          </cell>
          <cell r="H183">
            <v>45.618560000000002</v>
          </cell>
          <cell r="I183">
            <v>24.321130000000004</v>
          </cell>
          <cell r="J183">
            <v>29.081390000000003</v>
          </cell>
          <cell r="K183">
            <v>18.233070000000001</v>
          </cell>
          <cell r="L183">
            <v>31.235240000000001</v>
          </cell>
          <cell r="M183">
            <v>19.831446666666668</v>
          </cell>
          <cell r="N183">
            <v>27.170338181818181</v>
          </cell>
          <cell r="O183">
            <v>26.655911666666668</v>
          </cell>
          <cell r="P183">
            <v>17.312890000000003</v>
          </cell>
          <cell r="Q183">
            <v>17.312890000000003</v>
          </cell>
          <cell r="R183">
            <v>-0.12699813125080461</v>
          </cell>
          <cell r="S183">
            <v>-0.36280182145154805</v>
          </cell>
          <cell r="T183">
            <v>-0.350504675416904</v>
          </cell>
        </row>
        <row r="184">
          <cell r="A184" t="str">
            <v>10/06/2005</v>
          </cell>
          <cell r="B184">
            <v>20.5914</v>
          </cell>
          <cell r="C184">
            <v>21.127100000000002</v>
          </cell>
          <cell r="D184">
            <v>18.166530000000002</v>
          </cell>
          <cell r="E184">
            <v>34.299580000000006</v>
          </cell>
          <cell r="F184">
            <v>23.330830000000002</v>
          </cell>
          <cell r="G184">
            <v>34.410260000000001</v>
          </cell>
          <cell r="H184">
            <v>46.907220000000002</v>
          </cell>
          <cell r="I184">
            <v>24.20307</v>
          </cell>
          <cell r="J184">
            <v>30.162790000000001</v>
          </cell>
          <cell r="K184">
            <v>17.287660000000002</v>
          </cell>
          <cell r="L184">
            <v>28.692840000000004</v>
          </cell>
          <cell r="M184">
            <v>19.961676666666669</v>
          </cell>
          <cell r="N184">
            <v>27.198116363636363</v>
          </cell>
          <cell r="O184">
            <v>26.692198333333334</v>
          </cell>
          <cell r="P184">
            <v>17.583410000000001</v>
          </cell>
          <cell r="Q184">
            <v>17.583410000000001</v>
          </cell>
          <cell r="R184">
            <v>-0.11914162855057442</v>
          </cell>
          <cell r="S184">
            <v>-0.35350633239039808</v>
          </cell>
          <cell r="T184">
            <v>-0.3412528342395178</v>
          </cell>
        </row>
        <row r="185">
          <cell r="A185" t="str">
            <v>17/06/2005</v>
          </cell>
          <cell r="B185">
            <v>21.12903</v>
          </cell>
          <cell r="C185">
            <v>21.386860000000002</v>
          </cell>
          <cell r="D185">
            <v>18.086470000000002</v>
          </cell>
          <cell r="E185">
            <v>35.380030000000005</v>
          </cell>
          <cell r="F185">
            <v>23.49624</v>
          </cell>
          <cell r="G185">
            <v>35.076920000000001</v>
          </cell>
          <cell r="H185">
            <v>45.618560000000002</v>
          </cell>
          <cell r="I185">
            <v>25.383710000000001</v>
          </cell>
          <cell r="J185">
            <v>28.941860000000002</v>
          </cell>
          <cell r="K185">
            <v>16.83746</v>
          </cell>
          <cell r="L185">
            <v>29.782440000000001</v>
          </cell>
          <cell r="M185">
            <v>20.200786666666669</v>
          </cell>
          <cell r="N185">
            <v>27.374507272727275</v>
          </cell>
          <cell r="O185">
            <v>26.875536666666672</v>
          </cell>
          <cell r="P185">
            <v>18.304780000000001</v>
          </cell>
          <cell r="Q185">
            <v>18.304780000000001</v>
          </cell>
          <cell r="R185">
            <v>-9.385806097320315E-2</v>
          </cell>
          <cell r="S185">
            <v>-0.3313202017617054</v>
          </cell>
          <cell r="T185">
            <v>-0.31890550774738025</v>
          </cell>
        </row>
        <row r="186">
          <cell r="A186" t="str">
            <v>24/06/2005</v>
          </cell>
          <cell r="B186">
            <v>21.6129</v>
          </cell>
          <cell r="C186">
            <v>21.0838</v>
          </cell>
          <cell r="D186">
            <v>18.030430000000003</v>
          </cell>
          <cell r="E186">
            <v>35.220530000000004</v>
          </cell>
          <cell r="F186">
            <v>23.571430000000003</v>
          </cell>
          <cell r="G186">
            <v>36.235900000000001</v>
          </cell>
          <cell r="H186">
            <v>46.134020000000007</v>
          </cell>
          <cell r="I186">
            <v>23.848880000000001</v>
          </cell>
          <cell r="J186">
            <v>30.069770000000002</v>
          </cell>
          <cell r="K186">
            <v>17.962960000000002</v>
          </cell>
          <cell r="L186">
            <v>28.874440000000003</v>
          </cell>
          <cell r="M186">
            <v>20.242376666666669</v>
          </cell>
          <cell r="N186">
            <v>27.513187272727279</v>
          </cell>
          <cell r="O186">
            <v>26.977405000000005</v>
          </cell>
          <cell r="P186">
            <v>18.75563</v>
          </cell>
          <cell r="Q186">
            <v>18.75563</v>
          </cell>
          <cell r="R186">
            <v>-7.3447238491264222E-2</v>
          </cell>
          <cell r="S186">
            <v>-0.31830398949845751</v>
          </cell>
          <cell r="T186">
            <v>-0.30476522853106158</v>
          </cell>
        </row>
        <row r="187">
          <cell r="A187" t="str">
            <v>01/07/2005</v>
          </cell>
          <cell r="B187">
            <v>18.96227</v>
          </cell>
          <cell r="C187">
            <v>22.593410000000002</v>
          </cell>
          <cell r="D187">
            <v>14.400993999999999</v>
          </cell>
          <cell r="E187">
            <v>37.234180000000002</v>
          </cell>
          <cell r="F187">
            <v>21.66234</v>
          </cell>
          <cell r="G187">
            <v>30.552310000000002</v>
          </cell>
          <cell r="H187">
            <v>48.913040000000002</v>
          </cell>
          <cell r="I187">
            <v>23.310960000000001</v>
          </cell>
          <cell r="J187">
            <v>29.767440000000004</v>
          </cell>
          <cell r="K187">
            <v>19.019870000000001</v>
          </cell>
          <cell r="L187">
            <v>30.298380000000002</v>
          </cell>
          <cell r="M187">
            <v>18.652224666666665</v>
          </cell>
          <cell r="N187">
            <v>26.974108545454545</v>
          </cell>
          <cell r="O187">
            <v>26.609050333333339</v>
          </cell>
          <cell r="P187">
            <v>19.848770000000002</v>
          </cell>
          <cell r="Q187">
            <v>19.848770000000002</v>
          </cell>
          <cell r="R187">
            <v>6.4150274549913622E-2</v>
          </cell>
          <cell r="S187">
            <v>-0.26415473688212943</v>
          </cell>
          <cell r="T187">
            <v>-0.25405943649423246</v>
          </cell>
        </row>
        <row r="188">
          <cell r="A188" t="str">
            <v>08/07/2005</v>
          </cell>
          <cell r="B188">
            <v>19.198110000000003</v>
          </cell>
          <cell r="C188">
            <v>22.662220000000001</v>
          </cell>
          <cell r="D188">
            <v>13.898200000000001</v>
          </cell>
          <cell r="E188">
            <v>36.77722</v>
          </cell>
          <cell r="F188">
            <v>22.211040000000001</v>
          </cell>
          <cell r="G188">
            <v>31.966540000000002</v>
          </cell>
          <cell r="H188">
            <v>51.358699999999999</v>
          </cell>
          <cell r="I188">
            <v>23.042510000000004</v>
          </cell>
          <cell r="J188">
            <v>30.058140000000002</v>
          </cell>
          <cell r="K188">
            <v>19.800880000000003</v>
          </cell>
          <cell r="L188">
            <v>29.723090000000003</v>
          </cell>
          <cell r="M188">
            <v>18.58617666666667</v>
          </cell>
          <cell r="N188">
            <v>27.336059090909092</v>
          </cell>
          <cell r="O188">
            <v>26.946572500000002</v>
          </cell>
          <cell r="P188">
            <v>19.848770000000002</v>
          </cell>
          <cell r="Q188">
            <v>19.848770000000002</v>
          </cell>
          <cell r="R188">
            <v>6.7931848275053053E-2</v>
          </cell>
          <cell r="S188">
            <v>-0.27389789676738996</v>
          </cell>
          <cell r="T188">
            <v>-0.26340279454836046</v>
          </cell>
        </row>
        <row r="189">
          <cell r="A189" t="str">
            <v>15/07/2005</v>
          </cell>
          <cell r="B189">
            <v>21.179250000000003</v>
          </cell>
          <cell r="C189">
            <v>22.822780000000002</v>
          </cell>
          <cell r="D189">
            <v>14.587213999999999</v>
          </cell>
          <cell r="E189">
            <v>38.60633</v>
          </cell>
          <cell r="F189">
            <v>22.399350000000002</v>
          </cell>
          <cell r="G189">
            <v>32.050220000000003</v>
          </cell>
          <cell r="H189">
            <v>52.173910000000006</v>
          </cell>
          <cell r="I189">
            <v>23.15436</v>
          </cell>
          <cell r="J189">
            <v>28.895350000000004</v>
          </cell>
          <cell r="K189">
            <v>19.433350000000001</v>
          </cell>
          <cell r="L189">
            <v>28.764280000000003</v>
          </cell>
          <cell r="M189">
            <v>19.529748000000001</v>
          </cell>
          <cell r="N189">
            <v>27.642399454545455</v>
          </cell>
          <cell r="O189">
            <v>27.240764500000001</v>
          </cell>
          <cell r="P189">
            <v>19.754250000000003</v>
          </cell>
          <cell r="Q189">
            <v>19.754250000000003</v>
          </cell>
          <cell r="R189">
            <v>1.1495386422804899E-2</v>
          </cell>
          <cell r="S189">
            <v>-0.28536413662339799</v>
          </cell>
          <cell r="T189">
            <v>-0.27482762093552837</v>
          </cell>
        </row>
        <row r="190">
          <cell r="A190" t="str">
            <v>22/07/2005</v>
          </cell>
          <cell r="B190">
            <v>21.886800000000001</v>
          </cell>
          <cell r="C190">
            <v>23.155380000000001</v>
          </cell>
          <cell r="D190">
            <v>15.667287999999999</v>
          </cell>
          <cell r="E190">
            <v>38.39367</v>
          </cell>
          <cell r="F190">
            <v>22.58117</v>
          </cell>
          <cell r="G190">
            <v>32.62762</v>
          </cell>
          <cell r="H190">
            <v>51.630430000000004</v>
          </cell>
          <cell r="I190">
            <v>25.167790000000004</v>
          </cell>
          <cell r="J190">
            <v>27.279070000000001</v>
          </cell>
          <cell r="K190">
            <v>20.260300000000001</v>
          </cell>
          <cell r="L190">
            <v>29.914860000000001</v>
          </cell>
          <cell r="M190">
            <v>20.236489333333335</v>
          </cell>
          <cell r="N190">
            <v>28.051307090909095</v>
          </cell>
          <cell r="O190">
            <v>27.643313166666662</v>
          </cell>
          <cell r="P190">
            <v>20.793950000000002</v>
          </cell>
          <cell r="Q190">
            <v>20.793950000000002</v>
          </cell>
          <cell r="R190">
            <v>2.7547301188671325E-2</v>
          </cell>
          <cell r="S190">
            <v>-0.25871725219040032</v>
          </cell>
          <cell r="T190">
            <v>-0.2477764921075335</v>
          </cell>
        </row>
        <row r="191">
          <cell r="A191" t="str">
            <v>29/07/2005</v>
          </cell>
          <cell r="B191">
            <v>22.78302</v>
          </cell>
          <cell r="C191">
            <v>24.783940000000001</v>
          </cell>
          <cell r="D191">
            <v>15.952826</v>
          </cell>
          <cell r="E191">
            <v>38.107590000000002</v>
          </cell>
          <cell r="F191">
            <v>23.519480000000001</v>
          </cell>
          <cell r="G191">
            <v>31.364030000000003</v>
          </cell>
          <cell r="H191">
            <v>50.543480000000002</v>
          </cell>
          <cell r="I191">
            <v>24.7651</v>
          </cell>
          <cell r="J191">
            <v>27.813950000000002</v>
          </cell>
          <cell r="K191">
            <v>21.638550000000002</v>
          </cell>
          <cell r="L191">
            <v>30.298380000000002</v>
          </cell>
          <cell r="M191">
            <v>21.173262000000001</v>
          </cell>
          <cell r="N191">
            <v>28.324576909090911</v>
          </cell>
          <cell r="O191">
            <v>28.029523833333332</v>
          </cell>
          <cell r="P191">
            <v>20.604920000000003</v>
          </cell>
          <cell r="Q191">
            <v>20.604920000000003</v>
          </cell>
          <cell r="R191">
            <v>-2.6842439299149867E-2</v>
          </cell>
          <cell r="S191">
            <v>-0.272542708541332</v>
          </cell>
          <cell r="T191">
            <v>-0.26488512175521961</v>
          </cell>
        </row>
        <row r="192">
          <cell r="A192" t="str">
            <v>05/08/2005</v>
          </cell>
          <cell r="B192">
            <v>23.018870000000003</v>
          </cell>
          <cell r="C192">
            <v>25.093590000000003</v>
          </cell>
          <cell r="D192">
            <v>16.039730000000002</v>
          </cell>
          <cell r="E192">
            <v>37.49241</v>
          </cell>
          <cell r="F192">
            <v>23.246750000000002</v>
          </cell>
          <cell r="G192">
            <v>30.962350000000004</v>
          </cell>
          <cell r="H192">
            <v>52.445650000000008</v>
          </cell>
          <cell r="I192">
            <v>24.608500000000003</v>
          </cell>
          <cell r="J192">
            <v>25.930230000000002</v>
          </cell>
          <cell r="K192">
            <v>20.122470000000003</v>
          </cell>
          <cell r="L192">
            <v>29.569680000000002</v>
          </cell>
          <cell r="M192">
            <v>21.384063333333334</v>
          </cell>
          <cell r="N192">
            <v>28.048202727272727</v>
          </cell>
          <cell r="O192">
            <v>27.801985000000002</v>
          </cell>
          <cell r="P192">
            <v>22.022680000000001</v>
          </cell>
          <cell r="Q192">
            <v>22.022680000000001</v>
          </cell>
          <cell r="R192">
            <v>2.986414025772155E-2</v>
          </cell>
          <cell r="S192">
            <v>-0.21482740929470667</v>
          </cell>
          <cell r="T192">
            <v>-0.20787382627535411</v>
          </cell>
        </row>
        <row r="193">
          <cell r="A193" t="str">
            <v>12/08/2005</v>
          </cell>
          <cell r="B193">
            <v>23.584910000000001</v>
          </cell>
          <cell r="C193">
            <v>25.322970000000002</v>
          </cell>
          <cell r="D193">
            <v>15.940410999999999</v>
          </cell>
          <cell r="E193">
            <v>37.10886</v>
          </cell>
          <cell r="F193">
            <v>23.782470000000004</v>
          </cell>
          <cell r="G193">
            <v>30.962350000000004</v>
          </cell>
          <cell r="H193">
            <v>51.766300000000001</v>
          </cell>
          <cell r="I193">
            <v>25.167790000000004</v>
          </cell>
          <cell r="J193">
            <v>26.686050000000002</v>
          </cell>
          <cell r="K193">
            <v>20.903480000000002</v>
          </cell>
          <cell r="L193">
            <v>30.298380000000002</v>
          </cell>
          <cell r="M193">
            <v>21.616097</v>
          </cell>
          <cell r="N193">
            <v>28.320361000000002</v>
          </cell>
          <cell r="O193">
            <v>28.070578416666674</v>
          </cell>
          <cell r="P193">
            <v>22.306240000000003</v>
          </cell>
          <cell r="Q193">
            <v>22.306240000000003</v>
          </cell>
          <cell r="R193">
            <v>3.192727160689568E-2</v>
          </cell>
          <cell r="S193">
            <v>-0.21236032266679084</v>
          </cell>
          <cell r="T193">
            <v>-0.20535160804681329</v>
          </cell>
        </row>
        <row r="194">
          <cell r="A194" t="str">
            <v>19/08/2005</v>
          </cell>
          <cell r="B194">
            <v>22.405660000000001</v>
          </cell>
          <cell r="C194">
            <v>26.286340000000003</v>
          </cell>
          <cell r="D194">
            <v>16.139040000000001</v>
          </cell>
          <cell r="E194">
            <v>34.620250000000006</v>
          </cell>
          <cell r="F194">
            <v>23.603899999999999</v>
          </cell>
          <cell r="G194">
            <v>30.811720000000001</v>
          </cell>
          <cell r="H194">
            <v>50.951080000000005</v>
          </cell>
          <cell r="I194">
            <v>26.107380000000003</v>
          </cell>
          <cell r="J194">
            <v>24.88372</v>
          </cell>
          <cell r="K194">
            <v>20.673770000000001</v>
          </cell>
          <cell r="L194">
            <v>29.531330000000004</v>
          </cell>
          <cell r="M194">
            <v>21.610346666666668</v>
          </cell>
          <cell r="N194">
            <v>27.819471818181821</v>
          </cell>
          <cell r="O194">
            <v>27.691710833333332</v>
          </cell>
          <cell r="P194">
            <v>21.455580000000001</v>
          </cell>
          <cell r="Q194">
            <v>21.455580000000001</v>
          </cell>
          <cell r="R194">
            <v>-7.161692917466711E-3</v>
          </cell>
          <cell r="S194">
            <v>-0.22875674490780973</v>
          </cell>
          <cell r="T194">
            <v>-0.22519846718270342</v>
          </cell>
        </row>
        <row r="195">
          <cell r="A195" t="str">
            <v>26/08/2005</v>
          </cell>
          <cell r="B195">
            <v>22.358490000000003</v>
          </cell>
          <cell r="C195">
            <v>26.240470000000002</v>
          </cell>
          <cell r="D195">
            <v>16.697700000000001</v>
          </cell>
          <cell r="E195">
            <v>34.050640000000001</v>
          </cell>
          <cell r="F195">
            <v>23.431820000000002</v>
          </cell>
          <cell r="G195">
            <v>31.179920000000003</v>
          </cell>
          <cell r="H195">
            <v>51.494560000000007</v>
          </cell>
          <cell r="I195">
            <v>26.644290000000002</v>
          </cell>
          <cell r="J195">
            <v>24.732560000000003</v>
          </cell>
          <cell r="K195">
            <v>20.949420000000003</v>
          </cell>
          <cell r="L195">
            <v>27.421950000000002</v>
          </cell>
          <cell r="M195">
            <v>21.765553333333333</v>
          </cell>
          <cell r="N195">
            <v>27.745620000000006</v>
          </cell>
          <cell r="O195">
            <v>27.620190833333336</v>
          </cell>
          <cell r="P195">
            <v>22.1172</v>
          </cell>
          <cell r="Q195">
            <v>22.1172</v>
          </cell>
          <cell r="R195">
            <v>1.6156109669315466E-2</v>
          </cell>
          <cell r="S195">
            <v>-0.20285796460846806</v>
          </cell>
          <cell r="T195">
            <v>-0.19923797292131917</v>
          </cell>
        </row>
        <row r="196">
          <cell r="A196" t="str">
            <v>02/09/2005</v>
          </cell>
          <cell r="B196">
            <v>23.113210000000002</v>
          </cell>
          <cell r="C196">
            <v>26.286340000000003</v>
          </cell>
          <cell r="D196">
            <v>16.685290000000002</v>
          </cell>
          <cell r="E196">
            <v>37.811390000000003</v>
          </cell>
          <cell r="F196">
            <v>23.94481</v>
          </cell>
          <cell r="G196">
            <v>31.589970000000001</v>
          </cell>
          <cell r="H196">
            <v>51.494560000000007</v>
          </cell>
          <cell r="I196">
            <v>26.308730000000001</v>
          </cell>
          <cell r="J196">
            <v>25.976740000000003</v>
          </cell>
          <cell r="K196">
            <v>21.822310000000002</v>
          </cell>
          <cell r="L196">
            <v>27.230190000000004</v>
          </cell>
          <cell r="M196">
            <v>22.028280000000006</v>
          </cell>
          <cell r="N196">
            <v>28.387594545454547</v>
          </cell>
          <cell r="O196">
            <v>28.212490000000003</v>
          </cell>
          <cell r="P196">
            <v>22.1172</v>
          </cell>
          <cell r="Q196">
            <v>22.1172</v>
          </cell>
          <cell r="R196">
            <v>4.0366292783637903E-3</v>
          </cell>
          <cell r="S196">
            <v>-0.22088502551402578</v>
          </cell>
          <cell r="T196">
            <v>-0.21604934552037069</v>
          </cell>
        </row>
        <row r="197">
          <cell r="A197" t="str">
            <v>09/09/2005</v>
          </cell>
          <cell r="B197">
            <v>22.64151</v>
          </cell>
          <cell r="C197">
            <v>26.8139</v>
          </cell>
          <cell r="D197">
            <v>16.219740000000002</v>
          </cell>
          <cell r="E197">
            <v>38.506330000000005</v>
          </cell>
          <cell r="F197">
            <v>24.967530000000004</v>
          </cell>
          <cell r="G197">
            <v>34.58578</v>
          </cell>
          <cell r="H197">
            <v>54.211960000000005</v>
          </cell>
          <cell r="I197">
            <v>26.286350000000002</v>
          </cell>
          <cell r="J197">
            <v>27.720930000000003</v>
          </cell>
          <cell r="K197">
            <v>21.500720000000001</v>
          </cell>
          <cell r="L197">
            <v>28.764280000000003</v>
          </cell>
          <cell r="M197">
            <v>21.891716666666667</v>
          </cell>
          <cell r="N197">
            <v>29.292639090909088</v>
          </cell>
          <cell r="O197">
            <v>29.086077500000002</v>
          </cell>
          <cell r="P197">
            <v>22.873350000000002</v>
          </cell>
          <cell r="Q197">
            <v>22.873350000000002</v>
          </cell>
          <cell r="R197">
            <v>4.4840400059992236E-2</v>
          </cell>
          <cell r="S197">
            <v>-0.21914341930704695</v>
          </cell>
          <cell r="T197">
            <v>-0.21359798343382674</v>
          </cell>
        </row>
        <row r="198">
          <cell r="A198" t="str">
            <v>16/09/2005</v>
          </cell>
          <cell r="B198">
            <v>22.971700000000002</v>
          </cell>
          <cell r="C198">
            <v>26.561590000000002</v>
          </cell>
          <cell r="D198">
            <v>16.84047</v>
          </cell>
          <cell r="E198">
            <v>39.303800000000003</v>
          </cell>
          <cell r="F198">
            <v>24.792210000000001</v>
          </cell>
          <cell r="G198">
            <v>36.066950000000006</v>
          </cell>
          <cell r="H198">
            <v>52.309780000000003</v>
          </cell>
          <cell r="I198">
            <v>26.778520000000004</v>
          </cell>
          <cell r="J198">
            <v>26.569770000000002</v>
          </cell>
          <cell r="K198">
            <v>23.84375</v>
          </cell>
          <cell r="L198">
            <v>28.840990000000001</v>
          </cell>
          <cell r="M198">
            <v>22.124586666666669</v>
          </cell>
          <cell r="N198">
            <v>29.534502727272727</v>
          </cell>
          <cell r="O198">
            <v>29.286760000000001</v>
          </cell>
          <cell r="P198">
            <v>22.684310000000004</v>
          </cell>
          <cell r="Q198">
            <v>22.684310000000004</v>
          </cell>
          <cell r="R198">
            <v>2.5298702378771409E-2</v>
          </cell>
          <cell r="S198">
            <v>-0.23193865122865687</v>
          </cell>
          <cell r="T198">
            <v>-0.22544146228534656</v>
          </cell>
        </row>
        <row r="199">
          <cell r="A199" t="str">
            <v>23/09/2005</v>
          </cell>
          <cell r="B199">
            <v>23.537740000000003</v>
          </cell>
          <cell r="C199">
            <v>26.584530000000001</v>
          </cell>
          <cell r="D199">
            <v>16.946000000000002</v>
          </cell>
          <cell r="E199">
            <v>41.341770000000004</v>
          </cell>
          <cell r="F199">
            <v>25</v>
          </cell>
          <cell r="G199">
            <v>33.347290000000001</v>
          </cell>
          <cell r="H199">
            <v>51.902170000000005</v>
          </cell>
          <cell r="I199">
            <v>27.628640000000001</v>
          </cell>
          <cell r="J199">
            <v>27.290700000000001</v>
          </cell>
          <cell r="K199">
            <v>24.073460000000001</v>
          </cell>
          <cell r="L199">
            <v>28.380760000000002</v>
          </cell>
          <cell r="M199">
            <v>22.356089999999998</v>
          </cell>
          <cell r="N199">
            <v>29.639369090909096</v>
          </cell>
          <cell r="O199">
            <v>29.384799166666671</v>
          </cell>
          <cell r="P199">
            <v>22.873350000000002</v>
          </cell>
          <cell r="Q199">
            <v>22.873350000000002</v>
          </cell>
          <cell r="R199">
            <v>2.3137319629684905E-2</v>
          </cell>
          <cell r="S199">
            <v>-0.2282781077477235</v>
          </cell>
          <cell r="T199">
            <v>-0.22159243388850802</v>
          </cell>
        </row>
        <row r="200">
          <cell r="A200" t="str">
            <v>30/09/2005</v>
          </cell>
          <cell r="B200">
            <v>22.254820000000002</v>
          </cell>
          <cell r="C200">
            <v>27.806930000000001</v>
          </cell>
          <cell r="D200">
            <v>15.850380999999999</v>
          </cell>
          <cell r="E200">
            <v>40.154760000000003</v>
          </cell>
          <cell r="F200">
            <v>22.521249999999998</v>
          </cell>
          <cell r="G200">
            <v>29.104710000000001</v>
          </cell>
          <cell r="H200">
            <v>36.268940000000001</v>
          </cell>
          <cell r="I200">
            <v>26.043610000000001</v>
          </cell>
          <cell r="J200">
            <v>26</v>
          </cell>
          <cell r="K200">
            <v>20.808150000000001</v>
          </cell>
          <cell r="L200">
            <v>22.86824</v>
          </cell>
          <cell r="M200">
            <v>21.970710333333333</v>
          </cell>
          <cell r="N200">
            <v>26.334708272727276</v>
          </cell>
          <cell r="O200">
            <v>26.457393416666672</v>
          </cell>
          <cell r="P200">
            <v>20.17614</v>
          </cell>
          <cell r="Q200">
            <v>20.17614</v>
          </cell>
          <cell r="R200">
            <v>-8.1680123496538082E-2</v>
          </cell>
          <cell r="S200">
            <v>-0.23385747086878517</v>
          </cell>
          <cell r="T200">
            <v>-0.2374101377919503</v>
          </cell>
        </row>
        <row r="201">
          <cell r="A201" t="str">
            <v>07/10/2005</v>
          </cell>
          <cell r="B201">
            <v>22.170999999999999</v>
          </cell>
          <cell r="C201">
            <v>27.465440000000001</v>
          </cell>
          <cell r="D201">
            <v>15.517240999999999</v>
          </cell>
          <cell r="E201">
            <v>39.946430000000007</v>
          </cell>
          <cell r="F201">
            <v>22.065160000000002</v>
          </cell>
          <cell r="G201">
            <v>27.776190000000003</v>
          </cell>
          <cell r="H201">
            <v>35.511360000000003</v>
          </cell>
          <cell r="I201">
            <v>25.337490000000003</v>
          </cell>
          <cell r="J201">
            <v>26.644450000000003</v>
          </cell>
          <cell r="K201">
            <v>21.10435</v>
          </cell>
          <cell r="L201">
            <v>23.181510000000003</v>
          </cell>
          <cell r="M201">
            <v>21.717893666666669</v>
          </cell>
          <cell r="N201">
            <v>26.065511000000004</v>
          </cell>
          <cell r="O201">
            <v>26.182171750000006</v>
          </cell>
          <cell r="P201">
            <v>20.096080000000001</v>
          </cell>
          <cell r="Q201">
            <v>20.096080000000001</v>
          </cell>
          <cell r="R201">
            <v>-7.4676379374482349E-2</v>
          </cell>
          <cell r="S201">
            <v>-0.22901645780126856</v>
          </cell>
          <cell r="T201">
            <v>-0.23245175412158103</v>
          </cell>
        </row>
        <row r="202">
          <cell r="A202" t="str">
            <v>14/10/2005</v>
          </cell>
          <cell r="B202">
            <v>21.87762</v>
          </cell>
          <cell r="C202">
            <v>26.050700000000003</v>
          </cell>
          <cell r="D202">
            <v>15.324370999999999</v>
          </cell>
          <cell r="E202">
            <v>37.76191</v>
          </cell>
          <cell r="F202">
            <v>22.096320000000002</v>
          </cell>
          <cell r="G202">
            <v>27.942250000000001</v>
          </cell>
          <cell r="H202">
            <v>35.890150000000006</v>
          </cell>
          <cell r="I202">
            <v>25.212880000000002</v>
          </cell>
          <cell r="J202">
            <v>25.011110000000002</v>
          </cell>
          <cell r="K202">
            <v>22.104030000000002</v>
          </cell>
          <cell r="L202">
            <v>22.085080000000001</v>
          </cell>
          <cell r="M202">
            <v>21.084230333333334</v>
          </cell>
          <cell r="N202">
            <v>25.577856454545461</v>
          </cell>
          <cell r="O202">
            <v>25.617260083333338</v>
          </cell>
          <cell r="P202">
            <v>20.416330000000002</v>
          </cell>
          <cell r="Q202">
            <v>20.416330000000002</v>
          </cell>
          <cell r="R202">
            <v>-3.1677719450702857E-2</v>
          </cell>
          <cell r="S202">
            <v>-0.20179667767383225</v>
          </cell>
          <cell r="T202">
            <v>-0.20302444782988627</v>
          </cell>
        </row>
        <row r="203">
          <cell r="A203" t="str">
            <v>21/10/2005</v>
          </cell>
          <cell r="B203">
            <v>21.584240000000001</v>
          </cell>
          <cell r="C203">
            <v>26.050700000000003</v>
          </cell>
          <cell r="D203">
            <v>16.00234</v>
          </cell>
          <cell r="E203">
            <v>41.428570000000001</v>
          </cell>
          <cell r="F203">
            <v>21.201130000000003</v>
          </cell>
          <cell r="G203">
            <v>26.426010000000002</v>
          </cell>
          <cell r="H203">
            <v>35.700760000000002</v>
          </cell>
          <cell r="I203">
            <v>24.465210000000003</v>
          </cell>
          <cell r="J203">
            <v>27.888890000000004</v>
          </cell>
          <cell r="K203">
            <v>21.289480000000001</v>
          </cell>
          <cell r="L203">
            <v>21.145290000000003</v>
          </cell>
          <cell r="M203">
            <v>21.212426666666669</v>
          </cell>
          <cell r="N203">
            <v>25.743874545454549</v>
          </cell>
          <cell r="O203">
            <v>25.769443333333339</v>
          </cell>
          <cell r="P203">
            <v>20.816650000000003</v>
          </cell>
          <cell r="Q203">
            <v>20.816650000000003</v>
          </cell>
          <cell r="R203">
            <v>-1.8657774185194542E-2</v>
          </cell>
          <cell r="S203">
            <v>-0.19139405518601393</v>
          </cell>
          <cell r="T203">
            <v>-0.19219636486779634</v>
          </cell>
        </row>
        <row r="204">
          <cell r="A204" t="str">
            <v>28/10/2005</v>
          </cell>
          <cell r="B204">
            <v>21.248950000000001</v>
          </cell>
          <cell r="C204">
            <v>27.099560000000004</v>
          </cell>
          <cell r="D204">
            <v>16.405610000000003</v>
          </cell>
          <cell r="E204">
            <v>43.154760000000003</v>
          </cell>
          <cell r="F204">
            <v>21.558070000000001</v>
          </cell>
          <cell r="G204">
            <v>24.945860000000003</v>
          </cell>
          <cell r="H204">
            <v>35.890150000000006</v>
          </cell>
          <cell r="I204">
            <v>25.4621</v>
          </cell>
          <cell r="J204">
            <v>26.777780000000003</v>
          </cell>
          <cell r="K204">
            <v>22.178080000000001</v>
          </cell>
          <cell r="L204">
            <v>21.301920000000003</v>
          </cell>
          <cell r="M204">
            <v>21.584706666666666</v>
          </cell>
          <cell r="N204">
            <v>26.002076363636366</v>
          </cell>
          <cell r="O204">
            <v>26.093533333333337</v>
          </cell>
          <cell r="P204">
            <v>20.976780000000002</v>
          </cell>
          <cell r="Q204">
            <v>20.976780000000002</v>
          </cell>
          <cell r="R204">
            <v>-2.8164694385469091E-2</v>
          </cell>
          <cell r="S204">
            <v>-0.19326519518511176</v>
          </cell>
          <cell r="T204">
            <v>-0.19609277394399127</v>
          </cell>
        </row>
        <row r="205">
          <cell r="A205" t="str">
            <v>04/11/2005</v>
          </cell>
          <cell r="B205">
            <v>22.464380000000002</v>
          </cell>
          <cell r="C205">
            <v>27.806930000000001</v>
          </cell>
          <cell r="D205">
            <v>16.931620000000002</v>
          </cell>
          <cell r="E205">
            <v>45.464290000000005</v>
          </cell>
          <cell r="F205">
            <v>23.19547</v>
          </cell>
          <cell r="G205">
            <v>25.992790000000003</v>
          </cell>
          <cell r="H205">
            <v>36.363640000000004</v>
          </cell>
          <cell r="I205">
            <v>27.455870000000001</v>
          </cell>
          <cell r="J205">
            <v>30.455560000000002</v>
          </cell>
          <cell r="K205">
            <v>22.437260000000002</v>
          </cell>
          <cell r="L205">
            <v>21.615190000000002</v>
          </cell>
          <cell r="M205">
            <v>22.400976666666669</v>
          </cell>
          <cell r="N205">
            <v>27.289363636363635</v>
          </cell>
          <cell r="O205">
            <v>27.332494166666667</v>
          </cell>
          <cell r="P205">
            <v>21.377100000000002</v>
          </cell>
          <cell r="Q205">
            <v>21.377100000000002</v>
          </cell>
          <cell r="R205">
            <v>-4.5706786891583473E-2</v>
          </cell>
          <cell r="S205">
            <v>-0.21665084298577852</v>
          </cell>
          <cell r="T205">
            <v>-0.2178869637857479</v>
          </cell>
        </row>
        <row r="206">
          <cell r="A206" t="str">
            <v>11/11/2005</v>
          </cell>
          <cell r="B206">
            <v>22.422460000000001</v>
          </cell>
          <cell r="C206">
            <v>28.611860000000004</v>
          </cell>
          <cell r="D206">
            <v>17.895970000000002</v>
          </cell>
          <cell r="E206">
            <v>46.047620000000002</v>
          </cell>
          <cell r="F206">
            <v>22.3796</v>
          </cell>
          <cell r="G206">
            <v>27.718430000000001</v>
          </cell>
          <cell r="H206">
            <v>36.931820000000002</v>
          </cell>
          <cell r="I206">
            <v>28.120460000000001</v>
          </cell>
          <cell r="J206">
            <v>33.733330000000002</v>
          </cell>
          <cell r="K206">
            <v>22.622380000000003</v>
          </cell>
          <cell r="L206">
            <v>22.398350000000001</v>
          </cell>
          <cell r="M206">
            <v>22.976763333333338</v>
          </cell>
          <cell r="N206">
            <v>28.080207272727275</v>
          </cell>
          <cell r="O206">
            <v>28.124511666666674</v>
          </cell>
          <cell r="P206">
            <v>21.13691</v>
          </cell>
          <cell r="Q206">
            <v>21.13691</v>
          </cell>
          <cell r="R206">
            <v>-8.0074521665294163E-2</v>
          </cell>
          <cell r="S206">
            <v>-0.24726659619321645</v>
          </cell>
          <cell r="T206">
            <v>-0.24845237312861213</v>
          </cell>
        </row>
        <row r="207">
          <cell r="A207" t="str">
            <v>18/11/2005</v>
          </cell>
          <cell r="B207">
            <v>22.715840000000004</v>
          </cell>
          <cell r="C207">
            <v>29.294840000000001</v>
          </cell>
          <cell r="D207">
            <v>18.170660000000002</v>
          </cell>
          <cell r="E207">
            <v>44.75</v>
          </cell>
          <cell r="F207">
            <v>23.263460000000002</v>
          </cell>
          <cell r="G207">
            <v>27.220230000000001</v>
          </cell>
          <cell r="H207">
            <v>37.878790000000002</v>
          </cell>
          <cell r="I207">
            <v>29.968850000000003</v>
          </cell>
          <cell r="J207">
            <v>32.200000000000003</v>
          </cell>
          <cell r="K207">
            <v>22.585360000000001</v>
          </cell>
          <cell r="L207">
            <v>23.181510000000003</v>
          </cell>
          <cell r="M207">
            <v>23.393780000000003</v>
          </cell>
          <cell r="N207">
            <v>28.293594545454543</v>
          </cell>
          <cell r="O207">
            <v>28.377031666666667</v>
          </cell>
          <cell r="P207">
            <v>21.937550000000002</v>
          </cell>
          <cell r="Q207">
            <v>21.937550000000002</v>
          </cell>
          <cell r="R207">
            <v>-6.2248597704176123E-2</v>
          </cell>
          <cell r="S207">
            <v>-0.22464606026792944</v>
          </cell>
          <cell r="T207">
            <v>-0.28552155236507731</v>
          </cell>
          <cell r="U207">
            <v>-0.2795518629165043</v>
          </cell>
        </row>
        <row r="208">
          <cell r="A208" t="str">
            <v>25/11/2005</v>
          </cell>
          <cell r="B208">
            <v>24.140820000000001</v>
          </cell>
          <cell r="C208">
            <v>28.904570000000003</v>
          </cell>
          <cell r="D208">
            <v>18.760960000000001</v>
          </cell>
          <cell r="E208">
            <v>47.25</v>
          </cell>
          <cell r="F208">
            <v>23.444760000000002</v>
          </cell>
          <cell r="G208">
            <v>29.783410000000003</v>
          </cell>
          <cell r="H208">
            <v>39.204540000000001</v>
          </cell>
          <cell r="I208">
            <v>28.245070000000002</v>
          </cell>
          <cell r="J208">
            <v>32.666670000000003</v>
          </cell>
          <cell r="K208">
            <v>21.659730000000003</v>
          </cell>
          <cell r="L208">
            <v>22.241710000000001</v>
          </cell>
          <cell r="M208">
            <v>23.935450000000003</v>
          </cell>
          <cell r="N208">
            <v>28.754749090909094</v>
          </cell>
          <cell r="O208">
            <v>28.767234166666672</v>
          </cell>
          <cell r="P208">
            <v>21.857490000000002</v>
          </cell>
          <cell r="Q208">
            <v>21.857490000000002</v>
          </cell>
          <cell r="R208">
            <v>-8.6815163282913055E-2</v>
          </cell>
          <cell r="S208">
            <v>-0.23986504173982459</v>
          </cell>
          <cell r="T208">
            <v>-0.24019494285179377</v>
          </cell>
        </row>
        <row r="209">
          <cell r="A209" t="str">
            <v>02/12/2005</v>
          </cell>
          <cell r="B209">
            <v>23.554070000000003</v>
          </cell>
          <cell r="C209">
            <v>29.270450000000004</v>
          </cell>
          <cell r="D209">
            <v>18.059610000000003</v>
          </cell>
          <cell r="E209">
            <v>44.023810000000005</v>
          </cell>
          <cell r="F209">
            <v>24.416430000000002</v>
          </cell>
          <cell r="G209">
            <v>30.873660000000001</v>
          </cell>
          <cell r="H209">
            <v>40.340910000000001</v>
          </cell>
          <cell r="I209">
            <v>26.708200000000001</v>
          </cell>
          <cell r="J209">
            <v>35.955560000000006</v>
          </cell>
          <cell r="K209">
            <v>22.585360000000001</v>
          </cell>
          <cell r="L209">
            <v>21.301920000000003</v>
          </cell>
          <cell r="M209">
            <v>23.628043333333338</v>
          </cell>
          <cell r="N209">
            <v>28.82636181818182</v>
          </cell>
          <cell r="O209">
            <v>28.863369166666669</v>
          </cell>
          <cell r="P209">
            <v>21.937550000000002</v>
          </cell>
          <cell r="Q209">
            <v>21.937550000000002</v>
          </cell>
          <cell r="R209">
            <v>-7.1546056924166379E-2</v>
          </cell>
          <cell r="S209">
            <v>-0.23897611018802922</v>
          </cell>
          <cell r="T209">
            <v>-0.23995186170660432</v>
          </cell>
        </row>
        <row r="210">
          <cell r="A210" t="str">
            <v>09/12/2005</v>
          </cell>
          <cell r="B210">
            <v>23.805530000000001</v>
          </cell>
          <cell r="C210">
            <v>30.197350000000004</v>
          </cell>
          <cell r="D210">
            <v>17.25891</v>
          </cell>
          <cell r="E210">
            <v>42.851190000000003</v>
          </cell>
          <cell r="F210">
            <v>24.943340000000003</v>
          </cell>
          <cell r="G210">
            <v>32.129980000000003</v>
          </cell>
          <cell r="H210">
            <v>40.719700000000003</v>
          </cell>
          <cell r="I210">
            <v>25.649010000000001</v>
          </cell>
          <cell r="J210">
            <v>31.966670000000004</v>
          </cell>
          <cell r="K210">
            <v>22.141050000000003</v>
          </cell>
          <cell r="L210">
            <v>21.36458</v>
          </cell>
          <cell r="M210">
            <v>23.75393</v>
          </cell>
          <cell r="N210">
            <v>28.457028181818181</v>
          </cell>
          <cell r="O210">
            <v>28.602054999999996</v>
          </cell>
          <cell r="P210">
            <v>21.857490000000002</v>
          </cell>
          <cell r="Q210">
            <v>21.857490000000002</v>
          </cell>
          <cell r="R210">
            <v>-7.9836894358112476E-2</v>
          </cell>
          <cell r="S210">
            <v>-0.23191241684311814</v>
          </cell>
          <cell r="T210">
            <v>-0.23580700757340667</v>
          </cell>
        </row>
        <row r="211">
          <cell r="A211" t="str">
            <v>16/12/2005</v>
          </cell>
          <cell r="B211">
            <v>25.146690000000003</v>
          </cell>
          <cell r="C211">
            <v>30.124170000000003</v>
          </cell>
          <cell r="D211">
            <v>17.72063</v>
          </cell>
          <cell r="E211">
            <v>43.929760000000002</v>
          </cell>
          <cell r="F211">
            <v>25.402270000000001</v>
          </cell>
          <cell r="G211">
            <v>32.888100000000001</v>
          </cell>
          <cell r="H211">
            <v>39.772720000000007</v>
          </cell>
          <cell r="I211">
            <v>26.355140000000002</v>
          </cell>
          <cell r="J211">
            <v>31.322220000000002</v>
          </cell>
          <cell r="K211">
            <v>24.806870000000004</v>
          </cell>
          <cell r="L211">
            <v>22.085080000000001</v>
          </cell>
          <cell r="M211">
            <v>24.330496666666665</v>
          </cell>
          <cell r="N211">
            <v>29.050331818181824</v>
          </cell>
          <cell r="O211">
            <v>29.139818333333338</v>
          </cell>
          <cell r="P211">
            <v>22.337870000000002</v>
          </cell>
          <cell r="Q211">
            <v>22.337870000000002</v>
          </cell>
          <cell r="R211">
            <v>-8.1898314447341636E-2</v>
          </cell>
          <cell r="S211">
            <v>-0.23106317202134918</v>
          </cell>
          <cell r="T211">
            <v>-0.23342452775529199</v>
          </cell>
        </row>
        <row r="212">
          <cell r="A212" t="str">
            <v>23/12/2005</v>
          </cell>
          <cell r="B212">
            <v>25.901090000000003</v>
          </cell>
          <cell r="C212">
            <v>30.246130000000001</v>
          </cell>
          <cell r="D212">
            <v>18.714200000000002</v>
          </cell>
          <cell r="E212">
            <v>45.208340000000007</v>
          </cell>
          <cell r="F212">
            <v>24.524080000000001</v>
          </cell>
          <cell r="G212">
            <v>34.144420000000004</v>
          </cell>
          <cell r="H212">
            <v>40.151510000000002</v>
          </cell>
          <cell r="I212">
            <v>27.829700000000003</v>
          </cell>
          <cell r="J212">
            <v>31.833330000000004</v>
          </cell>
          <cell r="K212">
            <v>26.584080000000004</v>
          </cell>
          <cell r="L212">
            <v>22.86824</v>
          </cell>
          <cell r="M212">
            <v>24.953806666666669</v>
          </cell>
          <cell r="N212">
            <v>29.818647272727279</v>
          </cell>
          <cell r="O212">
            <v>29.854270833333334</v>
          </cell>
          <cell r="P212">
            <v>23.218580000000003</v>
          </cell>
          <cell r="Q212">
            <v>23.218580000000003</v>
          </cell>
          <cell r="R212">
            <v>-6.9537553522228124E-2</v>
          </cell>
          <cell r="S212">
            <v>-0.2213402644446526</v>
          </cell>
          <cell r="T212">
            <v>-0.22226939892045028</v>
          </cell>
        </row>
        <row r="213">
          <cell r="A213" t="str">
            <v>30/12/2005</v>
          </cell>
          <cell r="B213">
            <v>25.515870000000003</v>
          </cell>
          <cell r="C213">
            <v>25.674770000000002</v>
          </cell>
          <cell r="D213">
            <v>17.945890000000002</v>
          </cell>
          <cell r="E213">
            <v>41.106270000000002</v>
          </cell>
          <cell r="F213">
            <v>21.64</v>
          </cell>
          <cell r="G213">
            <v>30.809220000000003</v>
          </cell>
          <cell r="H213">
            <v>23.763440000000003</v>
          </cell>
          <cell r="I213">
            <v>26.821710000000003</v>
          </cell>
          <cell r="J213">
            <v>27.797980000000003</v>
          </cell>
          <cell r="K213">
            <v>22.765320000000003</v>
          </cell>
          <cell r="L213">
            <v>19.036270000000002</v>
          </cell>
          <cell r="M213">
            <v>23.045510000000004</v>
          </cell>
          <cell r="N213">
            <v>25.716067272727276</v>
          </cell>
          <cell r="O213">
            <v>25.712625833333338</v>
          </cell>
          <cell r="P213">
            <v>21.64179</v>
          </cell>
          <cell r="Q213">
            <v>21.64179</v>
          </cell>
          <cell r="R213">
            <v>-6.0910780451376545E-2</v>
          </cell>
          <cell r="S213">
            <v>-0.15843313946562032</v>
          </cell>
          <cell r="T213">
            <v>-0.15832050214241389</v>
          </cell>
        </row>
        <row r="214">
          <cell r="A214" t="str">
            <v>06/01/2006</v>
          </cell>
          <cell r="B214">
            <v>27.738100000000003</v>
          </cell>
          <cell r="C214">
            <v>25.716180000000001</v>
          </cell>
          <cell r="D214">
            <v>18.538180000000001</v>
          </cell>
          <cell r="E214">
            <v>41.940720000000006</v>
          </cell>
          <cell r="F214">
            <v>21.695</v>
          </cell>
          <cell r="G214">
            <v>31.250010000000003</v>
          </cell>
          <cell r="H214">
            <v>23.870970000000003</v>
          </cell>
          <cell r="I214">
            <v>26.065890000000003</v>
          </cell>
          <cell r="J214">
            <v>30.0303</v>
          </cell>
          <cell r="K214">
            <v>20.796420000000001</v>
          </cell>
          <cell r="L214">
            <v>18.797990000000002</v>
          </cell>
          <cell r="M214">
            <v>23.997486666666671</v>
          </cell>
          <cell r="N214">
            <v>26.039978181818185</v>
          </cell>
          <cell r="O214">
            <v>26.012995000000004</v>
          </cell>
          <cell r="P214">
            <v>22.388060000000003</v>
          </cell>
          <cell r="Q214">
            <v>22.388060000000003</v>
          </cell>
          <cell r="R214">
            <v>-6.7066467793988505E-2</v>
          </cell>
          <cell r="S214">
            <v>-0.14024275121582286</v>
          </cell>
          <cell r="T214">
            <v>-0.13935092825720374</v>
          </cell>
        </row>
        <row r="215">
          <cell r="A215" t="str">
            <v>13/01/2006</v>
          </cell>
          <cell r="B215">
            <v>27.936510000000002</v>
          </cell>
          <cell r="C215">
            <v>27.683200000000003</v>
          </cell>
          <cell r="D215">
            <v>19.2258</v>
          </cell>
          <cell r="E215">
            <v>42.756150000000005</v>
          </cell>
          <cell r="F215">
            <v>22.74</v>
          </cell>
          <cell r="G215">
            <v>31.513170000000002</v>
          </cell>
          <cell r="H215">
            <v>25.161290000000001</v>
          </cell>
          <cell r="I215">
            <v>26.744190000000003</v>
          </cell>
          <cell r="J215">
            <v>30.545450000000002</v>
          </cell>
          <cell r="K215">
            <v>21.903920000000003</v>
          </cell>
          <cell r="L215">
            <v>18.533230000000003</v>
          </cell>
          <cell r="M215">
            <v>24.948503333333335</v>
          </cell>
          <cell r="N215">
            <v>26.794810000000005</v>
          </cell>
          <cell r="O215">
            <v>26.868842500000003</v>
          </cell>
          <cell r="P215">
            <v>22.537310000000002</v>
          </cell>
          <cell r="Q215">
            <v>22.537310000000002</v>
          </cell>
          <cell r="R215">
            <v>-9.6646812881627797E-2</v>
          </cell>
          <cell r="S215">
            <v>-0.15889271093917079</v>
          </cell>
          <cell r="T215">
            <v>-0.16121023821550928</v>
          </cell>
        </row>
        <row r="216">
          <cell r="A216" t="str">
            <v>20/01/2006</v>
          </cell>
          <cell r="B216">
            <v>27.817460000000001</v>
          </cell>
          <cell r="C216">
            <v>28.573530000000002</v>
          </cell>
          <cell r="D216">
            <v>18.78022</v>
          </cell>
          <cell r="E216">
            <v>42.129760000000005</v>
          </cell>
          <cell r="F216">
            <v>23.9725</v>
          </cell>
          <cell r="G216">
            <v>31.118430000000004</v>
          </cell>
          <cell r="H216">
            <v>24.4086</v>
          </cell>
          <cell r="I216">
            <v>26.240310000000001</v>
          </cell>
          <cell r="J216">
            <v>33.727270000000004</v>
          </cell>
          <cell r="K216">
            <v>25.226430000000001</v>
          </cell>
          <cell r="L216">
            <v>18.003710000000002</v>
          </cell>
          <cell r="M216">
            <v>25.05707</v>
          </cell>
          <cell r="N216">
            <v>27.272565454545461</v>
          </cell>
          <cell r="O216">
            <v>27.380979166666673</v>
          </cell>
          <cell r="P216">
            <v>23.432840000000002</v>
          </cell>
          <cell r="Q216">
            <v>23.432840000000002</v>
          </cell>
          <cell r="R216">
            <v>-6.4821226105047258E-2</v>
          </cell>
          <cell r="S216">
            <v>-0.14079076869189433</v>
          </cell>
          <cell r="T216">
            <v>-0.14419276763750999</v>
          </cell>
        </row>
        <row r="217">
          <cell r="A217" t="str">
            <v>27/01/2006</v>
          </cell>
          <cell r="B217">
            <v>30.039680000000004</v>
          </cell>
          <cell r="C217">
            <v>29.277520000000003</v>
          </cell>
          <cell r="D217">
            <v>19.09928</v>
          </cell>
          <cell r="E217">
            <v>44.926180000000002</v>
          </cell>
          <cell r="F217">
            <v>24.787500000000001</v>
          </cell>
          <cell r="G217">
            <v>32.467110000000005</v>
          </cell>
          <cell r="H217">
            <v>25.698930000000001</v>
          </cell>
          <cell r="I217">
            <v>26.317830000000001</v>
          </cell>
          <cell r="J217">
            <v>35.757580000000004</v>
          </cell>
          <cell r="K217">
            <v>26.610810000000001</v>
          </cell>
          <cell r="L217">
            <v>17.738950000000003</v>
          </cell>
          <cell r="M217">
            <v>26.13882666666667</v>
          </cell>
          <cell r="N217">
            <v>28.429215454545457</v>
          </cell>
          <cell r="O217">
            <v>28.499907500000003</v>
          </cell>
          <cell r="P217">
            <v>23.582090000000001</v>
          </cell>
          <cell r="Q217">
            <v>23.582090000000001</v>
          </cell>
          <cell r="R217">
            <v>-9.7813750374921238E-2</v>
          </cell>
          <cell r="S217">
            <v>-0.17049803791790763</v>
          </cell>
          <cell r="T217">
            <v>-0.17255556004874761</v>
          </cell>
        </row>
        <row r="218">
          <cell r="A218" t="str">
            <v>03/02/2006</v>
          </cell>
          <cell r="B218">
            <v>29.365080000000003</v>
          </cell>
          <cell r="C218">
            <v>31.803590000000003</v>
          </cell>
          <cell r="D218">
            <v>19.03876</v>
          </cell>
          <cell r="E218">
            <v>46.534680000000002</v>
          </cell>
          <cell r="F218">
            <v>25.465</v>
          </cell>
          <cell r="G218">
            <v>32.171060000000004</v>
          </cell>
          <cell r="H218">
            <v>26.021510000000003</v>
          </cell>
          <cell r="I218">
            <v>25.096900000000002</v>
          </cell>
          <cell r="J218">
            <v>38.414140000000003</v>
          </cell>
          <cell r="K218">
            <v>25.226430000000001</v>
          </cell>
          <cell r="L218">
            <v>17.924280000000003</v>
          </cell>
          <cell r="M218">
            <v>26.735810000000001</v>
          </cell>
          <cell r="N218">
            <v>28.823766363636366</v>
          </cell>
          <cell r="O218">
            <v>29.072085000000005</v>
          </cell>
          <cell r="P218">
            <v>25.074630000000003</v>
          </cell>
          <cell r="Q218">
            <v>25.074630000000003</v>
          </cell>
          <cell r="R218">
            <v>-6.2133146517722837E-2</v>
          </cell>
          <cell r="S218">
            <v>-0.13007100863703291</v>
          </cell>
          <cell r="T218">
            <v>-0.13750148983122479</v>
          </cell>
        </row>
        <row r="219">
          <cell r="A219" t="str">
            <v>10/02/2006</v>
          </cell>
          <cell r="B219">
            <v>29.920640000000002</v>
          </cell>
          <cell r="C219">
            <v>31.886410000000001</v>
          </cell>
          <cell r="D219">
            <v>18.857230000000001</v>
          </cell>
          <cell r="E219">
            <v>44.770690000000002</v>
          </cell>
          <cell r="F219">
            <v>24.6175</v>
          </cell>
          <cell r="G219">
            <v>32.684220000000003</v>
          </cell>
          <cell r="H219">
            <v>29.032260000000001</v>
          </cell>
          <cell r="I219">
            <v>24.515499999999999</v>
          </cell>
          <cell r="J219">
            <v>39.222230000000003</v>
          </cell>
          <cell r="K219">
            <v>25.841710000000003</v>
          </cell>
          <cell r="L219">
            <v>17.87133</v>
          </cell>
          <cell r="M219">
            <v>26.888093333333334</v>
          </cell>
          <cell r="N219">
            <v>29.019974545454545</v>
          </cell>
          <cell r="O219">
            <v>29.258844166666666</v>
          </cell>
          <cell r="P219">
            <v>27.027030000000003</v>
          </cell>
          <cell r="Q219">
            <v>26.865670000000001</v>
          </cell>
          <cell r="R219">
            <v>5.1672189970579652E-3</v>
          </cell>
          <cell r="S219">
            <v>-6.8674923967729673E-2</v>
          </cell>
          <cell r="T219">
            <v>-8.1793188857169685E-2</v>
          </cell>
        </row>
        <row r="220">
          <cell r="A220" t="str">
            <v>17/02/2006</v>
          </cell>
          <cell r="B220">
            <v>30.595240000000004</v>
          </cell>
          <cell r="C220">
            <v>34.122599999999998</v>
          </cell>
          <cell r="D220">
            <v>18.285140000000002</v>
          </cell>
          <cell r="E220">
            <v>46.308730000000004</v>
          </cell>
          <cell r="F220">
            <v>26.535</v>
          </cell>
          <cell r="G220">
            <v>31.796060000000004</v>
          </cell>
          <cell r="H220">
            <v>29.354840000000003</v>
          </cell>
          <cell r="I220">
            <v>24.709300000000002</v>
          </cell>
          <cell r="J220">
            <v>38.717170000000003</v>
          </cell>
          <cell r="K220">
            <v>25.687890000000003</v>
          </cell>
          <cell r="L220">
            <v>19.857030000000002</v>
          </cell>
          <cell r="M220">
            <v>27.667659999999998</v>
          </cell>
          <cell r="N220">
            <v>29.633545454545455</v>
          </cell>
          <cell r="O220">
            <v>30.007633333333334</v>
          </cell>
          <cell r="P220">
            <v>27.627630000000003</v>
          </cell>
          <cell r="Q220">
            <v>27.462690000000002</v>
          </cell>
          <cell r="R220">
            <v>-1.4468155239725222E-3</v>
          </cell>
          <cell r="S220">
            <v>-6.7690700649448154E-2</v>
          </cell>
          <cell r="T220">
            <v>-8.4809865045449517E-2</v>
          </cell>
        </row>
        <row r="221">
          <cell r="A221" t="str">
            <v>24/02/2006</v>
          </cell>
          <cell r="B221">
            <v>30.753970000000002</v>
          </cell>
          <cell r="C221">
            <v>34.495290000000004</v>
          </cell>
          <cell r="D221">
            <v>18.230130000000003</v>
          </cell>
          <cell r="E221">
            <v>47.276290000000003</v>
          </cell>
          <cell r="F221">
            <v>26.54</v>
          </cell>
          <cell r="G221">
            <v>31.513170000000002</v>
          </cell>
          <cell r="H221">
            <v>30.107530000000004</v>
          </cell>
          <cell r="I221">
            <v>24.379850000000001</v>
          </cell>
          <cell r="J221">
            <v>43.191920000000003</v>
          </cell>
          <cell r="K221">
            <v>30.517830000000004</v>
          </cell>
          <cell r="L221">
            <v>20.78369</v>
          </cell>
          <cell r="M221">
            <v>27.826463333333336</v>
          </cell>
          <cell r="N221">
            <v>30.708151818181818</v>
          </cell>
          <cell r="O221">
            <v>31.023746666666664</v>
          </cell>
          <cell r="P221">
            <v>27.627630000000003</v>
          </cell>
          <cell r="Q221">
            <v>27.462690000000002</v>
          </cell>
          <cell r="R221">
            <v>-7.1454762666569582E-3</v>
          </cell>
          <cell r="S221">
            <v>-0.10031609314754941</v>
          </cell>
          <cell r="T221">
            <v>-0.11478486802152832</v>
          </cell>
        </row>
        <row r="222">
          <cell r="A222" t="str">
            <v>03/03/2006</v>
          </cell>
          <cell r="B222">
            <v>32.380950000000006</v>
          </cell>
          <cell r="C222">
            <v>35.592690000000005</v>
          </cell>
          <cell r="D222">
            <v>17.09693</v>
          </cell>
          <cell r="E222">
            <v>48.573830000000001</v>
          </cell>
          <cell r="F222">
            <v>25.852499999999999</v>
          </cell>
          <cell r="G222">
            <v>32.671060000000004</v>
          </cell>
          <cell r="H222">
            <v>29.032260000000001</v>
          </cell>
          <cell r="I222">
            <v>24.8062</v>
          </cell>
          <cell r="J222">
            <v>43.636360000000003</v>
          </cell>
          <cell r="K222">
            <v>28.610460000000003</v>
          </cell>
          <cell r="L222">
            <v>21.17971</v>
          </cell>
          <cell r="M222">
            <v>28.356856666666673</v>
          </cell>
          <cell r="N222">
            <v>30.857540909090911</v>
          </cell>
          <cell r="O222">
            <v>31.252230000000001</v>
          </cell>
          <cell r="P222">
            <v>29.429430000000004</v>
          </cell>
          <cell r="Q222">
            <v>29.253730000000001</v>
          </cell>
          <cell r="R222">
            <v>3.7824126486985854E-2</v>
          </cell>
          <cell r="S222">
            <v>-4.6280775039665323E-2</v>
          </cell>
          <cell r="T222">
            <v>-6.3947436710916294E-2</v>
          </cell>
        </row>
        <row r="223">
          <cell r="A223" t="str">
            <v>10/03/2006</v>
          </cell>
          <cell r="B223">
            <v>30.039680000000004</v>
          </cell>
          <cell r="C223">
            <v>36.441610000000004</v>
          </cell>
          <cell r="D223">
            <v>17.448990000000002</v>
          </cell>
          <cell r="E223">
            <v>47.919460000000001</v>
          </cell>
          <cell r="F223">
            <v>26.012499999999999</v>
          </cell>
          <cell r="G223">
            <v>32.690800000000003</v>
          </cell>
          <cell r="H223">
            <v>29.247310000000002</v>
          </cell>
          <cell r="I223">
            <v>24.709300000000002</v>
          </cell>
          <cell r="J223">
            <v>48.838380000000001</v>
          </cell>
          <cell r="K223">
            <v>35.378530000000005</v>
          </cell>
          <cell r="L223">
            <v>20.517840000000003</v>
          </cell>
          <cell r="M223">
            <v>27.976760000000002</v>
          </cell>
          <cell r="N223">
            <v>31.749490909090909</v>
          </cell>
          <cell r="O223">
            <v>32.140591666666666</v>
          </cell>
          <cell r="P223">
            <v>27.327330000000003</v>
          </cell>
          <cell r="Q223">
            <v>27.164180000000002</v>
          </cell>
          <cell r="R223">
            <v>-2.3213195523713259E-2</v>
          </cell>
          <cell r="S223">
            <v>-0.13928289186598253</v>
          </cell>
          <cell r="T223">
            <v>-0.15483260912796915</v>
          </cell>
        </row>
        <row r="224">
          <cell r="A224" t="str">
            <v>17/03/2006</v>
          </cell>
          <cell r="B224">
            <v>31.785710000000002</v>
          </cell>
          <cell r="C224">
            <v>48.450770000000006</v>
          </cell>
          <cell r="D224">
            <v>18.318140000000003</v>
          </cell>
          <cell r="E224">
            <v>47.477630000000005</v>
          </cell>
          <cell r="F224">
            <v>29.4375</v>
          </cell>
          <cell r="G224">
            <v>33.513170000000002</v>
          </cell>
          <cell r="H224">
            <v>31.505370000000003</v>
          </cell>
          <cell r="I224">
            <v>26.918610000000001</v>
          </cell>
          <cell r="J224">
            <v>49.747470000000007</v>
          </cell>
          <cell r="K224">
            <v>38.762570000000004</v>
          </cell>
          <cell r="L224">
            <v>21.576820000000001</v>
          </cell>
          <cell r="M224">
            <v>32.85154</v>
          </cell>
          <cell r="N224">
            <v>34.317614545454546</v>
          </cell>
          <cell r="O224">
            <v>35.495473333333337</v>
          </cell>
          <cell r="P224">
            <v>28.228230000000003</v>
          </cell>
          <cell r="Q224">
            <v>28.059700000000003</v>
          </cell>
          <cell r="R224">
            <v>-0.14073343289233919</v>
          </cell>
          <cell r="S224">
            <v>-0.17744195294777843</v>
          </cell>
          <cell r="T224">
            <v>-0.20948511556684879</v>
          </cell>
        </row>
        <row r="225">
          <cell r="A225" t="str">
            <v>24/03/2006</v>
          </cell>
          <cell r="B225">
            <v>36.031750000000002</v>
          </cell>
          <cell r="C225">
            <v>47.208450000000006</v>
          </cell>
          <cell r="D225">
            <v>17.933070000000001</v>
          </cell>
          <cell r="E225">
            <v>48.685680000000005</v>
          </cell>
          <cell r="F225">
            <v>29.975000000000001</v>
          </cell>
          <cell r="G225">
            <v>33.276330000000002</v>
          </cell>
          <cell r="H225">
            <v>32.68817</v>
          </cell>
          <cell r="I225">
            <v>27.364340000000002</v>
          </cell>
          <cell r="J225">
            <v>42.878790000000002</v>
          </cell>
          <cell r="K225">
            <v>38.147290000000005</v>
          </cell>
          <cell r="L225">
            <v>20.544320000000003</v>
          </cell>
          <cell r="M225">
            <v>33.724423333333341</v>
          </cell>
          <cell r="N225">
            <v>34.06665363636364</v>
          </cell>
          <cell r="O225">
            <v>35.16189416666667</v>
          </cell>
          <cell r="P225">
            <v>28.078080000000003</v>
          </cell>
          <cell r="Q225">
            <v>27.910450000000001</v>
          </cell>
          <cell r="R225">
            <v>-0.1674259416543521</v>
          </cell>
          <cell r="S225">
            <v>-0.17578990000859007</v>
          </cell>
          <cell r="T225">
            <v>-0.20623019147645938</v>
          </cell>
        </row>
        <row r="226">
          <cell r="A226" t="str">
            <v>31/03/2006</v>
          </cell>
          <cell r="B226">
            <v>31.621620000000004</v>
          </cell>
          <cell r="C226">
            <v>37.988410000000002</v>
          </cell>
          <cell r="D226">
            <v>17.98808</v>
          </cell>
          <cell r="E226">
            <v>47.105260000000001</v>
          </cell>
          <cell r="F226">
            <v>25.646550000000001</v>
          </cell>
          <cell r="G226">
            <v>31.076930000000001</v>
          </cell>
          <cell r="H226">
            <v>26.846850000000003</v>
          </cell>
          <cell r="I226">
            <v>31.608530000000002</v>
          </cell>
          <cell r="J226">
            <v>39.666699999999999</v>
          </cell>
          <cell r="K226">
            <v>40.578160000000004</v>
          </cell>
          <cell r="L226">
            <v>21.576820000000001</v>
          </cell>
          <cell r="M226">
            <v>29.199370000000002</v>
          </cell>
          <cell r="N226">
            <v>31.973082727272732</v>
          </cell>
          <cell r="O226">
            <v>32.47445583333333</v>
          </cell>
          <cell r="P226">
            <v>25.957170000000001</v>
          </cell>
          <cell r="Q226">
            <v>25.756600000000002</v>
          </cell>
          <cell r="R226">
            <v>-0.11103664222892484</v>
          </cell>
          <cell r="S226">
            <v>-0.18815554254145206</v>
          </cell>
          <cell r="T226">
            <v>-0.20686584766226634</v>
          </cell>
        </row>
        <row r="227">
          <cell r="A227" t="str">
            <v>07/04/2006</v>
          </cell>
          <cell r="B227">
            <v>36.148650000000004</v>
          </cell>
          <cell r="C227">
            <v>37.286920000000002</v>
          </cell>
          <cell r="D227">
            <v>18.26313</v>
          </cell>
          <cell r="E227">
            <v>50.578950000000006</v>
          </cell>
          <cell r="F227">
            <v>24.405170000000002</v>
          </cell>
          <cell r="G227">
            <v>31.035510000000002</v>
          </cell>
          <cell r="H227">
            <v>27.927930000000003</v>
          </cell>
          <cell r="I227">
            <v>31.957370000000001</v>
          </cell>
          <cell r="J227">
            <v>39.123840000000001</v>
          </cell>
          <cell r="K227">
            <v>40.856090000000002</v>
          </cell>
          <cell r="L227">
            <v>23.138830000000002</v>
          </cell>
          <cell r="M227">
            <v>30.56623333333334</v>
          </cell>
          <cell r="N227">
            <v>32.792944545454546</v>
          </cell>
          <cell r="O227">
            <v>33.167545000000004</v>
          </cell>
          <cell r="P227">
            <v>28.552890000000001</v>
          </cell>
          <cell r="Q227">
            <v>28.332260000000002</v>
          </cell>
          <cell r="R227">
            <v>-6.586821841531032E-2</v>
          </cell>
          <cell r="S227">
            <v>-0.1292977682921207</v>
          </cell>
          <cell r="T227">
            <v>-0.14578362673511114</v>
          </cell>
        </row>
        <row r="228">
          <cell r="A228" t="str">
            <v>13/04/2006</v>
          </cell>
          <cell r="B228">
            <v>38.00676</v>
          </cell>
          <cell r="C228">
            <v>44.319810000000004</v>
          </cell>
          <cell r="D228">
            <v>17.98808</v>
          </cell>
          <cell r="E228">
            <v>51.595790000000001</v>
          </cell>
          <cell r="F228">
            <v>24.081900000000001</v>
          </cell>
          <cell r="G228">
            <v>30.106520000000003</v>
          </cell>
          <cell r="H228">
            <v>26.756760000000003</v>
          </cell>
          <cell r="I228">
            <v>31.007750000000001</v>
          </cell>
          <cell r="J228">
            <v>38.095260000000003</v>
          </cell>
          <cell r="K228">
            <v>49.194070000000004</v>
          </cell>
          <cell r="L228">
            <v>22.79466</v>
          </cell>
          <cell r="M228">
            <v>33.438216666666669</v>
          </cell>
          <cell r="N228">
            <v>33.995214545454552</v>
          </cell>
          <cell r="O228">
            <v>34.855698333333329</v>
          </cell>
          <cell r="P228">
            <v>27.125240000000002</v>
          </cell>
          <cell r="Q228">
            <v>26.915650000000003</v>
          </cell>
          <cell r="R228">
            <v>-0.18879525572785227</v>
          </cell>
          <cell r="S228">
            <v>-0.20208651827358814</v>
          </cell>
          <cell r="T228">
            <v>-0.22779771208141508</v>
          </cell>
        </row>
        <row r="229">
          <cell r="A229" t="str">
            <v>21/04/2006</v>
          </cell>
          <cell r="B229">
            <v>39.7973</v>
          </cell>
          <cell r="C229">
            <v>45.183190000000003</v>
          </cell>
          <cell r="D229">
            <v>18.213620000000002</v>
          </cell>
          <cell r="E229">
            <v>52.643160000000002</v>
          </cell>
          <cell r="F229">
            <v>24.435340000000004</v>
          </cell>
          <cell r="G229">
            <v>30.994090000000003</v>
          </cell>
          <cell r="H229">
            <v>27.207210000000003</v>
          </cell>
          <cell r="I229">
            <v>31.763570000000001</v>
          </cell>
          <cell r="J229">
            <v>40.885750000000002</v>
          </cell>
          <cell r="K229">
            <v>38.07676</v>
          </cell>
          <cell r="L229">
            <v>23.827170000000002</v>
          </cell>
          <cell r="M229">
            <v>34.39803666666667</v>
          </cell>
          <cell r="N229">
            <v>33.911560000000001</v>
          </cell>
          <cell r="O229">
            <v>34.850968333333334</v>
          </cell>
          <cell r="P229">
            <v>28.942250000000001</v>
          </cell>
          <cell r="Q229">
            <v>28.718610000000002</v>
          </cell>
          <cell r="R229">
            <v>-0.15860750192041007</v>
          </cell>
          <cell r="S229">
            <v>-0.14653734596697998</v>
          </cell>
          <cell r="T229">
            <v>-0.17595948194839728</v>
          </cell>
        </row>
        <row r="230">
          <cell r="A230" t="str">
            <v>28/04/2006</v>
          </cell>
          <cell r="B230">
            <v>37.66892</v>
          </cell>
          <cell r="C230">
            <v>44.499680000000005</v>
          </cell>
          <cell r="D230">
            <v>18.070600000000002</v>
          </cell>
          <cell r="E230">
            <v>48.210530000000006</v>
          </cell>
          <cell r="F230">
            <v>24.704740000000001</v>
          </cell>
          <cell r="G230">
            <v>28.757400000000001</v>
          </cell>
          <cell r="H230">
            <v>25.495490000000004</v>
          </cell>
          <cell r="I230">
            <v>31.860470000000003</v>
          </cell>
          <cell r="J230">
            <v>41.857170000000004</v>
          </cell>
          <cell r="K230">
            <v>38.632630000000006</v>
          </cell>
          <cell r="L230">
            <v>25.81277</v>
          </cell>
          <cell r="M230">
            <v>33.413066666666666</v>
          </cell>
          <cell r="N230">
            <v>33.233672727272726</v>
          </cell>
          <cell r="O230">
            <v>34.172620833333333</v>
          </cell>
          <cell r="P230">
            <v>27.903960000000001</v>
          </cell>
          <cell r="Q230">
            <v>27.688340000000004</v>
          </cell>
          <cell r="R230">
            <v>-0.16487880988675085</v>
          </cell>
          <cell r="S230">
            <v>-0.16037086153583546</v>
          </cell>
          <cell r="T230">
            <v>-0.18975076172701111</v>
          </cell>
        </row>
        <row r="231">
          <cell r="A231" t="str">
            <v>05/05/2006</v>
          </cell>
          <cell r="B231">
            <v>39.12162</v>
          </cell>
          <cell r="C231">
            <v>45.345070000000007</v>
          </cell>
          <cell r="D231">
            <v>17.68553</v>
          </cell>
          <cell r="E231">
            <v>51.157890000000002</v>
          </cell>
          <cell r="F231">
            <v>25.721980000000002</v>
          </cell>
          <cell r="G231">
            <v>27.337290000000003</v>
          </cell>
          <cell r="H231">
            <v>26.756760000000003</v>
          </cell>
          <cell r="I231">
            <v>31.298450000000003</v>
          </cell>
          <cell r="J231">
            <v>40.93336</v>
          </cell>
          <cell r="K231">
            <v>38.910560000000004</v>
          </cell>
          <cell r="L231">
            <v>24.621410000000001</v>
          </cell>
          <cell r="M231">
            <v>34.050739999999998</v>
          </cell>
          <cell r="N231">
            <v>33.535447272727275</v>
          </cell>
          <cell r="O231">
            <v>34.519691666666667</v>
          </cell>
          <cell r="P231">
            <v>29.461390000000002</v>
          </cell>
          <cell r="Q231">
            <v>29.233740000000001</v>
          </cell>
          <cell r="R231">
            <v>-0.13477974340645749</v>
          </cell>
          <cell r="S231">
            <v>-0.12148510319826578</v>
          </cell>
          <cell r="T231">
            <v>-0.15312858868235346</v>
          </cell>
        </row>
        <row r="232">
          <cell r="A232" t="str">
            <v>12/05/2006</v>
          </cell>
          <cell r="B232">
            <v>43.648650000000004</v>
          </cell>
          <cell r="C232">
            <v>45.884670000000007</v>
          </cell>
          <cell r="D232">
            <v>17.707540000000002</v>
          </cell>
          <cell r="E232">
            <v>48.578950000000006</v>
          </cell>
          <cell r="F232">
            <v>26.525860000000002</v>
          </cell>
          <cell r="G232">
            <v>27.662730000000003</v>
          </cell>
          <cell r="H232">
            <v>25.945950000000003</v>
          </cell>
          <cell r="I232">
            <v>31.007750000000001</v>
          </cell>
          <cell r="J232">
            <v>37.628599999999999</v>
          </cell>
          <cell r="K232">
            <v>39.188490000000002</v>
          </cell>
          <cell r="L232">
            <v>25.1509</v>
          </cell>
          <cell r="M232">
            <v>35.74695333333333</v>
          </cell>
          <cell r="N232">
            <v>33.53909909090909</v>
          </cell>
          <cell r="O232">
            <v>34.568008333333331</v>
          </cell>
          <cell r="P232">
            <v>31.797530000000002</v>
          </cell>
          <cell r="Q232">
            <v>31.551830000000002</v>
          </cell>
          <cell r="R232">
            <v>-0.11048279545688078</v>
          </cell>
          <cell r="S232">
            <v>-5.1926531663492037E-2</v>
          </cell>
          <cell r="T232">
            <v>-8.7253460027226448E-2</v>
          </cell>
        </row>
        <row r="233">
          <cell r="A233" t="str">
            <v>19/05/2006</v>
          </cell>
          <cell r="B233">
            <v>38.277030000000003</v>
          </cell>
          <cell r="C233">
            <v>44.784170000000003</v>
          </cell>
          <cell r="D233">
            <v>16.596350000000001</v>
          </cell>
          <cell r="E233">
            <v>47.328420000000001</v>
          </cell>
          <cell r="F233">
            <v>23.866380000000003</v>
          </cell>
          <cell r="G233">
            <v>26.526630000000001</v>
          </cell>
          <cell r="H233">
            <v>22.61261</v>
          </cell>
          <cell r="I233">
            <v>28.992250000000002</v>
          </cell>
          <cell r="J233">
            <v>35.352410000000006</v>
          </cell>
          <cell r="K233">
            <v>33.351910000000004</v>
          </cell>
          <cell r="L233">
            <v>24.224290000000003</v>
          </cell>
          <cell r="M233">
            <v>33.219183333333341</v>
          </cell>
          <cell r="N233">
            <v>31.082950000000004</v>
          </cell>
          <cell r="O233">
            <v>32.224825000000003</v>
          </cell>
          <cell r="P233">
            <v>28.033740000000002</v>
          </cell>
          <cell r="Q233">
            <v>27.817130000000002</v>
          </cell>
          <cell r="R233">
            <v>-0.15609785711167912</v>
          </cell>
          <cell r="S233">
            <v>-9.8099118648648287E-2</v>
          </cell>
          <cell r="T233">
            <v>-0.13677948600186352</v>
          </cell>
        </row>
        <row r="234">
          <cell r="A234" t="str">
            <v>26/05/2006</v>
          </cell>
          <cell r="B234">
            <v>35.304050000000004</v>
          </cell>
          <cell r="C234">
            <v>41.007190000000001</v>
          </cell>
          <cell r="D234">
            <v>16.381810000000002</v>
          </cell>
          <cell r="E234">
            <v>47.215790000000005</v>
          </cell>
          <cell r="F234">
            <v>22.370690000000003</v>
          </cell>
          <cell r="G234">
            <v>27.159770000000002</v>
          </cell>
          <cell r="H234">
            <v>23.423420000000004</v>
          </cell>
          <cell r="I234">
            <v>29.457370000000001</v>
          </cell>
          <cell r="J234">
            <v>36.304790000000004</v>
          </cell>
          <cell r="K234">
            <v>32.240180000000002</v>
          </cell>
          <cell r="L234">
            <v>24.621410000000001</v>
          </cell>
          <cell r="M234">
            <v>30.897683333333333</v>
          </cell>
          <cell r="N234">
            <v>30.498770000000004</v>
          </cell>
          <cell r="O234">
            <v>31.37458083333334</v>
          </cell>
          <cell r="P234">
            <v>25.308240000000001</v>
          </cell>
          <cell r="Q234">
            <v>25.112680000000001</v>
          </cell>
          <cell r="R234">
            <v>-0.18090169651338472</v>
          </cell>
          <cell r="S234">
            <v>-0.17018817480180359</v>
          </cell>
          <cell r="T234">
            <v>-0.19958516311652197</v>
          </cell>
        </row>
        <row r="235">
          <cell r="A235" t="str">
            <v>02/06/2006</v>
          </cell>
          <cell r="B235">
            <v>35.777030000000003</v>
          </cell>
          <cell r="C235">
            <v>41.079140000000002</v>
          </cell>
          <cell r="D235">
            <v>17.08043</v>
          </cell>
          <cell r="E235">
            <v>47.978950000000005</v>
          </cell>
          <cell r="F235">
            <v>22.69397</v>
          </cell>
          <cell r="G235">
            <v>27.218940000000003</v>
          </cell>
          <cell r="H235">
            <v>24.054050000000004</v>
          </cell>
          <cell r="I235">
            <v>30.717060000000004</v>
          </cell>
          <cell r="J235">
            <v>37.809550000000002</v>
          </cell>
          <cell r="K235">
            <v>25.736560000000001</v>
          </cell>
          <cell r="L235">
            <v>24.886150000000001</v>
          </cell>
          <cell r="M235">
            <v>31.312200000000001</v>
          </cell>
          <cell r="N235">
            <v>30.457439090909091</v>
          </cell>
          <cell r="O235">
            <v>31.342691666666667</v>
          </cell>
          <cell r="P235">
            <v>25.827380000000002</v>
          </cell>
          <cell r="Q235">
            <v>25.627820000000003</v>
          </cell>
          <cell r="R235">
            <v>-0.17516559040885016</v>
          </cell>
          <cell r="S235">
            <v>-0.15201734712788328</v>
          </cell>
          <cell r="T235">
            <v>-0.18233506322446769</v>
          </cell>
        </row>
        <row r="236">
          <cell r="A236" t="str">
            <v>09/06/2006</v>
          </cell>
          <cell r="B236">
            <v>34.62838</v>
          </cell>
          <cell r="C236">
            <v>39.100720000000003</v>
          </cell>
          <cell r="D236">
            <v>16.640350000000002</v>
          </cell>
          <cell r="E236">
            <v>47.713680000000004</v>
          </cell>
          <cell r="F236">
            <v>21.551730000000003</v>
          </cell>
          <cell r="G236">
            <v>27.840240000000001</v>
          </cell>
          <cell r="H236">
            <v>22.52252</v>
          </cell>
          <cell r="I236">
            <v>30.426360000000003</v>
          </cell>
          <cell r="J236">
            <v>35.542880000000004</v>
          </cell>
          <cell r="K236">
            <v>31.128450000000001</v>
          </cell>
          <cell r="L236">
            <v>24.886150000000001</v>
          </cell>
          <cell r="M236">
            <v>30.123149999999999</v>
          </cell>
          <cell r="N236">
            <v>30.180132727272724</v>
          </cell>
          <cell r="P236">
            <v>23.361450000000001</v>
          </cell>
          <cell r="R236">
            <v>-0.22446855657525844</v>
          </cell>
          <cell r="S236">
            <v>-0.22593282769465484</v>
          </cell>
        </row>
        <row r="237">
          <cell r="A237" t="str">
            <v>16/06/2006</v>
          </cell>
          <cell r="B237">
            <v>33.141890000000004</v>
          </cell>
          <cell r="C237">
            <v>39.280570000000004</v>
          </cell>
          <cell r="D237">
            <v>17.33897</v>
          </cell>
          <cell r="E237">
            <v>47.815790000000007</v>
          </cell>
          <cell r="F237">
            <v>21.726290000000002</v>
          </cell>
          <cell r="G237">
            <v>26.106510000000004</v>
          </cell>
          <cell r="H237">
            <v>21.53153</v>
          </cell>
          <cell r="I237">
            <v>31.279070000000001</v>
          </cell>
          <cell r="J237">
            <v>34.78098</v>
          </cell>
          <cell r="K237">
            <v>31.128450000000001</v>
          </cell>
          <cell r="L237">
            <v>24.886150000000001</v>
          </cell>
          <cell r="M237">
            <v>29.920476666666669</v>
          </cell>
          <cell r="N237">
            <v>29.910563636363637</v>
          </cell>
          <cell r="P237">
            <v>22.842310000000001</v>
          </cell>
          <cell r="R237">
            <v>-0.23656597271233315</v>
          </cell>
          <cell r="S237">
            <v>-0.23631295358708782</v>
          </cell>
        </row>
        <row r="238">
          <cell r="A238" t="str">
            <v>23/06/2006</v>
          </cell>
          <cell r="B238">
            <v>31.385140000000003</v>
          </cell>
          <cell r="C238">
            <v>40.287770000000002</v>
          </cell>
          <cell r="D238">
            <v>17.768050000000002</v>
          </cell>
          <cell r="E238">
            <v>50.294730000000001</v>
          </cell>
          <cell r="F238">
            <v>22.43534</v>
          </cell>
          <cell r="G238">
            <v>26.035510000000002</v>
          </cell>
          <cell r="H238">
            <v>22.07207</v>
          </cell>
          <cell r="I238">
            <v>31.802330000000001</v>
          </cell>
          <cell r="J238">
            <v>37.380980000000001</v>
          </cell>
          <cell r="K238">
            <v>36.131230000000002</v>
          </cell>
          <cell r="L238">
            <v>24.886150000000001</v>
          </cell>
          <cell r="M238">
            <v>29.813653333333335</v>
          </cell>
          <cell r="N238">
            <v>30.952663636363638</v>
          </cell>
          <cell r="P238">
            <v>21.674240000000001</v>
          </cell>
          <cell r="R238">
            <v>-0.27300959202584585</v>
          </cell>
          <cell r="S238">
            <v>-0.29976171826011155</v>
          </cell>
        </row>
        <row r="239">
          <cell r="A239" t="str">
            <v>30/06/2006</v>
          </cell>
          <cell r="B239">
            <v>33.75</v>
          </cell>
          <cell r="C239">
            <v>40.935250000000003</v>
          </cell>
          <cell r="D239">
            <v>17.922080000000001</v>
          </cell>
          <cell r="E239">
            <v>47.823760000000007</v>
          </cell>
          <cell r="F239">
            <v>22.952590000000001</v>
          </cell>
          <cell r="G239">
            <v>26.508880000000001</v>
          </cell>
          <cell r="H239">
            <v>19.4864</v>
          </cell>
          <cell r="I239">
            <v>31.976750000000003</v>
          </cell>
          <cell r="J239">
            <v>36.257170000000002</v>
          </cell>
          <cell r="K239">
            <v>31.421980000000001</v>
          </cell>
          <cell r="L239">
            <v>25.1509</v>
          </cell>
          <cell r="M239">
            <v>30.869109999999996</v>
          </cell>
          <cell r="N239">
            <v>30.380523636363638</v>
          </cell>
          <cell r="P239">
            <v>19.599110000000003</v>
          </cell>
          <cell r="R239">
            <v>-0.36508989083261534</v>
          </cell>
          <cell r="S239">
            <v>-0.35487912471195648</v>
          </cell>
        </row>
        <row r="240">
          <cell r="A240" t="str">
            <v>07/07/2006</v>
          </cell>
          <cell r="B240">
            <v>33.817570000000003</v>
          </cell>
          <cell r="C240">
            <v>41.007190000000001</v>
          </cell>
          <cell r="D240">
            <v>18.675700000000003</v>
          </cell>
          <cell r="E240">
            <v>48.204480000000004</v>
          </cell>
          <cell r="F240">
            <v>22.997840000000004</v>
          </cell>
          <cell r="G240">
            <v>26.686400000000003</v>
          </cell>
          <cell r="H240">
            <v>18.504530000000003</v>
          </cell>
          <cell r="I240">
            <v>33.52713</v>
          </cell>
          <cell r="J240">
            <v>36.847640000000006</v>
          </cell>
          <cell r="K240">
            <v>29.327180000000002</v>
          </cell>
          <cell r="L240">
            <v>25.680400000000002</v>
          </cell>
          <cell r="M240">
            <v>31.166820000000001</v>
          </cell>
          <cell r="N240">
            <v>30.479641818181822</v>
          </cell>
          <cell r="P240">
            <v>20.60134</v>
          </cell>
          <cell r="R240">
            <v>-0.33899769049264572</v>
          </cell>
          <cell r="S240">
            <v>-0.32409507556250816</v>
          </cell>
        </row>
        <row r="241">
          <cell r="A241" t="str">
            <v>14/07/2006</v>
          </cell>
          <cell r="B241">
            <v>33.04054</v>
          </cell>
          <cell r="C241">
            <v>40.251800000000003</v>
          </cell>
          <cell r="D241">
            <v>18.950750000000003</v>
          </cell>
          <cell r="E241">
            <v>45.195710000000005</v>
          </cell>
          <cell r="F241">
            <v>22.478450000000002</v>
          </cell>
          <cell r="G241">
            <v>25.502960000000002</v>
          </cell>
          <cell r="H241">
            <v>16.993960000000001</v>
          </cell>
          <cell r="I241">
            <v>34.011630000000004</v>
          </cell>
          <cell r="J241">
            <v>34.428600000000003</v>
          </cell>
          <cell r="K241">
            <v>30.258210000000002</v>
          </cell>
          <cell r="L241">
            <v>28.063110000000002</v>
          </cell>
          <cell r="M241">
            <v>30.747696666666666</v>
          </cell>
          <cell r="N241">
            <v>29.925065454545457</v>
          </cell>
          <cell r="P241">
            <v>19.04232</v>
          </cell>
          <cell r="R241">
            <v>-0.38069117155550625</v>
          </cell>
          <cell r="S241">
            <v>-0.36366655475075749</v>
          </cell>
        </row>
        <row r="242">
          <cell r="A242" t="str">
            <v>21/07/2006</v>
          </cell>
          <cell r="B242">
            <v>33.108110000000003</v>
          </cell>
          <cell r="C242">
            <v>40.251800000000003</v>
          </cell>
          <cell r="D242">
            <v>18.978250000000003</v>
          </cell>
          <cell r="E242">
            <v>44.011680000000005</v>
          </cell>
          <cell r="F242">
            <v>22.668100000000003</v>
          </cell>
          <cell r="G242">
            <v>25.473380000000002</v>
          </cell>
          <cell r="H242">
            <v>16.540780000000002</v>
          </cell>
          <cell r="I242">
            <v>34.011630000000004</v>
          </cell>
          <cell r="J242">
            <v>36.628599999999999</v>
          </cell>
          <cell r="K242">
            <v>26.766870000000001</v>
          </cell>
          <cell r="L242">
            <v>25.713490000000004</v>
          </cell>
          <cell r="M242">
            <v>30.779386666666671</v>
          </cell>
          <cell r="N242">
            <v>29.468426363636365</v>
          </cell>
          <cell r="P242">
            <v>18.485520000000001</v>
          </cell>
          <cell r="R242">
            <v>-0.39941883182424265</v>
          </cell>
          <cell r="S242">
            <v>-0.37270080960919993</v>
          </cell>
        </row>
        <row r="243">
          <cell r="A243" t="str">
            <v>28/07/2006</v>
          </cell>
          <cell r="B243">
            <v>34.1554</v>
          </cell>
          <cell r="C243">
            <v>40.215830000000004</v>
          </cell>
          <cell r="D243">
            <v>18.142110000000002</v>
          </cell>
          <cell r="E243">
            <v>44.157740000000004</v>
          </cell>
          <cell r="F243">
            <v>24.030170000000002</v>
          </cell>
          <cell r="G243">
            <v>27.816570000000002</v>
          </cell>
          <cell r="H243">
            <v>16.993960000000001</v>
          </cell>
          <cell r="I243">
            <v>34.011630000000004</v>
          </cell>
          <cell r="J243">
            <v>34.508340000000004</v>
          </cell>
          <cell r="K243">
            <v>29.327180000000002</v>
          </cell>
          <cell r="L243">
            <v>26.130470000000003</v>
          </cell>
          <cell r="M243">
            <v>30.837779999999999</v>
          </cell>
          <cell r="N243">
            <v>29.953581818181821</v>
          </cell>
          <cell r="P243">
            <v>20.044540000000001</v>
          </cell>
          <cell r="R243">
            <v>-0.35000055127184893</v>
          </cell>
          <cell r="S243">
            <v>-0.33081325226244007</v>
          </cell>
        </row>
        <row r="244">
          <cell r="A244" t="str">
            <v>04/08/2006</v>
          </cell>
          <cell r="B244">
            <v>34.222970000000004</v>
          </cell>
          <cell r="C244">
            <v>40.143890000000006</v>
          </cell>
          <cell r="D244">
            <v>17.091430000000003</v>
          </cell>
          <cell r="E244">
            <v>47.295030000000004</v>
          </cell>
          <cell r="F244">
            <v>24.058190000000003</v>
          </cell>
          <cell r="G244">
            <v>29.289950000000001</v>
          </cell>
          <cell r="H244">
            <v>17.145020000000002</v>
          </cell>
          <cell r="I244">
            <v>34.011630000000004</v>
          </cell>
          <cell r="J244">
            <v>33.725010000000005</v>
          </cell>
          <cell r="K244">
            <v>31.189230000000002</v>
          </cell>
          <cell r="L244">
            <v>25.945140000000002</v>
          </cell>
          <cell r="M244">
            <v>30.486096666666668</v>
          </cell>
          <cell r="N244">
            <v>30.374317272727275</v>
          </cell>
          <cell r="P244">
            <v>21.158130000000003</v>
          </cell>
          <cell r="R244">
            <v>-0.3059744502111289</v>
          </cell>
          <cell r="S244">
            <v>-0.30342039262895215</v>
          </cell>
        </row>
        <row r="245">
          <cell r="A245" t="str">
            <v>MTD</v>
          </cell>
          <cell r="B245">
            <v>34.222970000000004</v>
          </cell>
          <cell r="C245">
            <v>38.920860000000005</v>
          </cell>
          <cell r="D245">
            <v>17.05293</v>
          </cell>
          <cell r="E245">
            <v>46.397270000000006</v>
          </cell>
          <cell r="F245">
            <v>24.015090000000001</v>
          </cell>
          <cell r="G245">
            <v>28.639060000000001</v>
          </cell>
          <cell r="H245">
            <v>16.691840000000003</v>
          </cell>
          <cell r="I245">
            <v>34.011630000000004</v>
          </cell>
          <cell r="J245">
            <v>32.533340000000003</v>
          </cell>
          <cell r="K245">
            <v>31.189230000000002</v>
          </cell>
          <cell r="L245">
            <v>27.103410000000004</v>
          </cell>
          <cell r="M245">
            <v>30.065586666666672</v>
          </cell>
          <cell r="N245">
            <v>30.070693636363639</v>
          </cell>
          <cell r="P245">
            <v>21.158130000000003</v>
          </cell>
          <cell r="R245">
            <v>-0.29626751559590392</v>
          </cell>
          <cell r="S245">
            <v>-0.2963870319767391</v>
          </cell>
        </row>
      </sheetData>
      <sheetData sheetId="24" refreshError="1"/>
      <sheetData sheetId="25" refreshError="1"/>
      <sheetData sheetId="26"/>
      <sheetData sheetId="27" refreshError="1">
        <row r="1">
          <cell r="A1" t="str">
            <v>SGX: Singapore Stock Index vs. Stock price</v>
          </cell>
        </row>
        <row r="2">
          <cell r="B2" t="str">
            <v>SG Straits Times Index (LS)</v>
          </cell>
          <cell r="C2" t="str">
            <v>SG Straits Times Index YOY Growth (LS)</v>
          </cell>
          <cell r="E2" t="str">
            <v>Stock Price (RS)</v>
          </cell>
          <cell r="F2" t="str">
            <v>Stock Price YOY Growth (RS)</v>
          </cell>
          <cell r="H2" t="str">
            <v>SIBOR 3M (LS)</v>
          </cell>
          <cell r="I2" t="str">
            <v>Stock Price (RS)</v>
          </cell>
        </row>
        <row r="3">
          <cell r="B3" t="str">
            <v>SG: SGX: Index: Straits Times: WEEKLYN</v>
          </cell>
          <cell r="C3" t="str">
            <v>YOY Growth of stock index</v>
          </cell>
          <cell r="E3" t="str">
            <v>SGX closing stock price</v>
          </cell>
          <cell r="F3" t="str">
            <v>YOY Growth of stock price</v>
          </cell>
          <cell r="H3" t="str">
            <v>SG: ABS: SIBOR-Deposit: Fixing USD: 3 Month: WEEKLYN</v>
          </cell>
        </row>
        <row r="4">
          <cell r="C4" t="str">
            <v>(%)</v>
          </cell>
          <cell r="E4" t="str">
            <v>(S$)</v>
          </cell>
          <cell r="F4" t="str">
            <v>(%)</v>
          </cell>
        </row>
        <row r="5">
          <cell r="B5" t="str">
            <v>(Source: CEIC)</v>
          </cell>
          <cell r="E5" t="str">
            <v>(Source: Factset)</v>
          </cell>
        </row>
        <row r="6">
          <cell r="B6" t="str">
            <v>(a)</v>
          </cell>
          <cell r="C6" t="str">
            <v>(b)</v>
          </cell>
          <cell r="E6" t="str">
            <v>(c )</v>
          </cell>
          <cell r="F6" t="str">
            <v>(d)</v>
          </cell>
          <cell r="H6" t="str">
            <v>(e)</v>
          </cell>
          <cell r="I6" t="str">
            <v>(c )</v>
          </cell>
        </row>
        <row r="7">
          <cell r="A7">
            <v>36525</v>
          </cell>
          <cell r="B7">
            <v>2359.21</v>
          </cell>
          <cell r="I7">
            <v>0</v>
          </cell>
        </row>
        <row r="8">
          <cell r="A8">
            <v>36532</v>
          </cell>
          <cell r="B8">
            <v>2394.3200000000002</v>
          </cell>
          <cell r="I8">
            <v>0</v>
          </cell>
        </row>
        <row r="9">
          <cell r="A9">
            <v>36539</v>
          </cell>
          <cell r="B9">
            <v>2315.5300000000002</v>
          </cell>
          <cell r="I9">
            <v>0</v>
          </cell>
        </row>
        <row r="10">
          <cell r="A10">
            <v>36546</v>
          </cell>
          <cell r="B10">
            <v>2305.7199999999998</v>
          </cell>
          <cell r="I10">
            <v>0</v>
          </cell>
        </row>
        <row r="11">
          <cell r="A11">
            <v>36553</v>
          </cell>
          <cell r="B11">
            <v>2249.33</v>
          </cell>
          <cell r="I11">
            <v>0</v>
          </cell>
        </row>
        <row r="12">
          <cell r="A12">
            <v>36560</v>
          </cell>
          <cell r="B12">
            <v>2225.3000000000002</v>
          </cell>
          <cell r="I12">
            <v>0</v>
          </cell>
        </row>
        <row r="13">
          <cell r="A13">
            <v>36567</v>
          </cell>
          <cell r="B13">
            <v>2230.0500000000002</v>
          </cell>
          <cell r="I13">
            <v>0</v>
          </cell>
        </row>
        <row r="14">
          <cell r="A14">
            <v>36574</v>
          </cell>
          <cell r="B14">
            <v>2123.67</v>
          </cell>
          <cell r="I14">
            <v>0</v>
          </cell>
        </row>
        <row r="15">
          <cell r="A15">
            <v>36581</v>
          </cell>
          <cell r="B15">
            <v>2110.17</v>
          </cell>
          <cell r="I15">
            <v>0</v>
          </cell>
        </row>
        <row r="16">
          <cell r="A16">
            <v>36588</v>
          </cell>
          <cell r="B16">
            <v>2082.29</v>
          </cell>
          <cell r="I16">
            <v>0</v>
          </cell>
        </row>
        <row r="17">
          <cell r="A17">
            <v>36595</v>
          </cell>
          <cell r="B17">
            <v>2022.11</v>
          </cell>
          <cell r="I17">
            <v>0</v>
          </cell>
        </row>
        <row r="18">
          <cell r="A18">
            <v>36602</v>
          </cell>
          <cell r="B18">
            <v>2126.85</v>
          </cell>
          <cell r="I18">
            <v>0</v>
          </cell>
        </row>
        <row r="19">
          <cell r="A19">
            <v>36609</v>
          </cell>
          <cell r="B19">
            <v>2116.81</v>
          </cell>
          <cell r="I19">
            <v>0</v>
          </cell>
        </row>
        <row r="20">
          <cell r="A20">
            <v>36616</v>
          </cell>
          <cell r="B20">
            <v>2111.5100000000002</v>
          </cell>
          <cell r="I20">
            <v>0</v>
          </cell>
        </row>
        <row r="21">
          <cell r="A21">
            <v>36623</v>
          </cell>
          <cell r="B21">
            <v>2163.9</v>
          </cell>
          <cell r="I21">
            <v>0</v>
          </cell>
        </row>
        <row r="22">
          <cell r="A22">
            <v>36630</v>
          </cell>
          <cell r="B22">
            <v>2080.27</v>
          </cell>
          <cell r="I22">
            <v>0</v>
          </cell>
        </row>
        <row r="23">
          <cell r="A23">
            <v>36637</v>
          </cell>
          <cell r="B23">
            <v>2151.7199999999998</v>
          </cell>
          <cell r="I23">
            <v>0</v>
          </cell>
        </row>
        <row r="24">
          <cell r="A24">
            <v>36644</v>
          </cell>
          <cell r="B24">
            <v>2120.8000000000002</v>
          </cell>
          <cell r="I24">
            <v>0</v>
          </cell>
        </row>
        <row r="25">
          <cell r="A25">
            <v>36651</v>
          </cell>
          <cell r="B25">
            <v>2003.72</v>
          </cell>
          <cell r="I25">
            <v>0</v>
          </cell>
        </row>
        <row r="26">
          <cell r="A26">
            <v>36658</v>
          </cell>
          <cell r="B26">
            <v>2011.83</v>
          </cell>
          <cell r="I26">
            <v>0</v>
          </cell>
        </row>
        <row r="27">
          <cell r="A27">
            <v>36665</v>
          </cell>
          <cell r="B27">
            <v>1850.24</v>
          </cell>
          <cell r="I27">
            <v>0</v>
          </cell>
        </row>
        <row r="28">
          <cell r="A28">
            <v>36672</v>
          </cell>
          <cell r="B28">
            <v>1837.26</v>
          </cell>
          <cell r="I28">
            <v>0</v>
          </cell>
        </row>
        <row r="29">
          <cell r="A29">
            <v>36679</v>
          </cell>
          <cell r="B29">
            <v>2060.27</v>
          </cell>
          <cell r="I29">
            <v>0</v>
          </cell>
        </row>
        <row r="30">
          <cell r="A30">
            <v>36686</v>
          </cell>
          <cell r="B30">
            <v>2035.67</v>
          </cell>
          <cell r="I30">
            <v>0</v>
          </cell>
        </row>
        <row r="31">
          <cell r="A31">
            <v>36693</v>
          </cell>
          <cell r="B31">
            <v>2028.62</v>
          </cell>
          <cell r="I31">
            <v>0</v>
          </cell>
        </row>
        <row r="32">
          <cell r="A32">
            <v>36700</v>
          </cell>
          <cell r="B32">
            <v>2049.71</v>
          </cell>
          <cell r="I32">
            <v>0</v>
          </cell>
        </row>
        <row r="33">
          <cell r="A33">
            <v>36707</v>
          </cell>
          <cell r="B33">
            <v>2064.75</v>
          </cell>
          <cell r="I33">
            <v>0</v>
          </cell>
        </row>
        <row r="34">
          <cell r="A34">
            <v>36714</v>
          </cell>
          <cell r="B34">
            <v>2085.0100000000002</v>
          </cell>
          <cell r="I34">
            <v>0</v>
          </cell>
        </row>
        <row r="35">
          <cell r="A35">
            <v>36721</v>
          </cell>
          <cell r="B35">
            <v>2133.25</v>
          </cell>
          <cell r="I35">
            <v>0</v>
          </cell>
        </row>
        <row r="36">
          <cell r="A36">
            <v>36728</v>
          </cell>
          <cell r="B36">
            <v>2057.02</v>
          </cell>
          <cell r="I36">
            <v>0</v>
          </cell>
        </row>
        <row r="37">
          <cell r="A37">
            <v>36735</v>
          </cell>
          <cell r="B37">
            <v>2045.03</v>
          </cell>
          <cell r="I37">
            <v>0</v>
          </cell>
        </row>
        <row r="38">
          <cell r="A38">
            <v>36742</v>
          </cell>
          <cell r="B38">
            <v>2084.33</v>
          </cell>
          <cell r="I38">
            <v>0</v>
          </cell>
        </row>
        <row r="39">
          <cell r="A39">
            <v>36749</v>
          </cell>
          <cell r="B39">
            <v>2207.0500000000002</v>
          </cell>
          <cell r="I39">
            <v>0</v>
          </cell>
        </row>
        <row r="40">
          <cell r="A40">
            <v>36756</v>
          </cell>
          <cell r="B40">
            <v>2173.96</v>
          </cell>
          <cell r="I40">
            <v>0</v>
          </cell>
        </row>
        <row r="41">
          <cell r="A41">
            <v>36763</v>
          </cell>
          <cell r="B41">
            <v>2147.77</v>
          </cell>
          <cell r="I41">
            <v>0</v>
          </cell>
        </row>
        <row r="42">
          <cell r="A42">
            <v>36770</v>
          </cell>
          <cell r="B42">
            <v>2141.4899999999998</v>
          </cell>
          <cell r="I42">
            <v>0</v>
          </cell>
        </row>
        <row r="43">
          <cell r="A43">
            <v>36777</v>
          </cell>
          <cell r="B43">
            <v>2077.02</v>
          </cell>
          <cell r="I43">
            <v>0</v>
          </cell>
        </row>
        <row r="44">
          <cell r="A44">
            <v>36784</v>
          </cell>
          <cell r="B44">
            <v>1988.81</v>
          </cell>
          <cell r="I44">
            <v>0</v>
          </cell>
        </row>
        <row r="45">
          <cell r="A45">
            <v>36791</v>
          </cell>
          <cell r="B45">
            <v>1964.94</v>
          </cell>
          <cell r="I45">
            <v>0</v>
          </cell>
        </row>
        <row r="46">
          <cell r="A46">
            <v>36798</v>
          </cell>
          <cell r="B46">
            <v>1995.01</v>
          </cell>
          <cell r="I46">
            <v>0</v>
          </cell>
        </row>
        <row r="47">
          <cell r="A47">
            <v>36805</v>
          </cell>
          <cell r="B47">
            <v>1865.85</v>
          </cell>
          <cell r="I47">
            <v>0</v>
          </cell>
        </row>
        <row r="48">
          <cell r="A48">
            <v>36812</v>
          </cell>
          <cell r="B48">
            <v>1884.05</v>
          </cell>
          <cell r="I48">
            <v>0</v>
          </cell>
        </row>
        <row r="49">
          <cell r="A49">
            <v>36819</v>
          </cell>
          <cell r="B49">
            <v>1922.28</v>
          </cell>
          <cell r="I49">
            <v>0</v>
          </cell>
        </row>
        <row r="50">
          <cell r="A50">
            <v>36826</v>
          </cell>
          <cell r="B50">
            <v>2040.43</v>
          </cell>
          <cell r="I50">
            <v>0</v>
          </cell>
        </row>
        <row r="51">
          <cell r="A51">
            <v>36833</v>
          </cell>
          <cell r="B51">
            <v>2003.79</v>
          </cell>
          <cell r="I51">
            <v>0</v>
          </cell>
        </row>
        <row r="52">
          <cell r="A52">
            <v>36840</v>
          </cell>
          <cell r="B52">
            <v>1982.34</v>
          </cell>
          <cell r="I52">
            <v>0</v>
          </cell>
        </row>
        <row r="53">
          <cell r="A53">
            <v>36847</v>
          </cell>
          <cell r="B53">
            <v>1940.27</v>
          </cell>
          <cell r="I53">
            <v>0</v>
          </cell>
        </row>
        <row r="54">
          <cell r="A54">
            <v>36854</v>
          </cell>
          <cell r="B54">
            <v>1952.23</v>
          </cell>
          <cell r="E54">
            <v>1.36</v>
          </cell>
          <cell r="I54">
            <v>1.36</v>
          </cell>
        </row>
        <row r="55">
          <cell r="A55">
            <v>36861</v>
          </cell>
          <cell r="B55">
            <v>1958.73</v>
          </cell>
          <cell r="E55">
            <v>1.3</v>
          </cell>
          <cell r="I55">
            <v>1.3</v>
          </cell>
        </row>
        <row r="56">
          <cell r="A56">
            <v>36868</v>
          </cell>
          <cell r="B56">
            <v>1980.54</v>
          </cell>
          <cell r="E56">
            <v>1.38</v>
          </cell>
          <cell r="I56">
            <v>1.38</v>
          </cell>
        </row>
        <row r="57">
          <cell r="A57">
            <v>36875</v>
          </cell>
          <cell r="B57">
            <v>1898.84</v>
          </cell>
          <cell r="E57">
            <v>1.3</v>
          </cell>
          <cell r="I57">
            <v>1.3</v>
          </cell>
        </row>
        <row r="58">
          <cell r="A58">
            <v>36882</v>
          </cell>
          <cell r="B58">
            <v>1900.53</v>
          </cell>
          <cell r="E58">
            <v>1.28</v>
          </cell>
          <cell r="I58">
            <v>1.28</v>
          </cell>
        </row>
        <row r="59">
          <cell r="A59">
            <v>36889</v>
          </cell>
          <cell r="B59">
            <v>1920.75</v>
          </cell>
          <cell r="C59">
            <v>-0.18585034820978208</v>
          </cell>
          <cell r="E59">
            <v>1.3</v>
          </cell>
          <cell r="I59">
            <v>1.3</v>
          </cell>
        </row>
        <row r="60">
          <cell r="A60">
            <v>36896</v>
          </cell>
          <cell r="B60">
            <v>1915.02</v>
          </cell>
          <cell r="C60">
            <v>-0.20018209763106021</v>
          </cell>
          <cell r="E60">
            <v>1.32</v>
          </cell>
          <cell r="I60">
            <v>1.32</v>
          </cell>
        </row>
        <row r="61">
          <cell r="A61">
            <v>36903</v>
          </cell>
          <cell r="B61">
            <v>1887.59</v>
          </cell>
          <cell r="C61">
            <v>-0.18481298018164316</v>
          </cell>
          <cell r="E61">
            <v>1.36</v>
          </cell>
          <cell r="I61">
            <v>1.36</v>
          </cell>
        </row>
        <row r="62">
          <cell r="A62">
            <v>36910</v>
          </cell>
          <cell r="B62">
            <v>1914.2</v>
          </cell>
          <cell r="C62">
            <v>-0.16980379230782572</v>
          </cell>
          <cell r="E62">
            <v>1.3</v>
          </cell>
          <cell r="I62">
            <v>1.3</v>
          </cell>
        </row>
        <row r="63">
          <cell r="A63">
            <v>36917</v>
          </cell>
          <cell r="B63">
            <v>1982.38</v>
          </cell>
          <cell r="C63">
            <v>-0.1186797846469837</v>
          </cell>
          <cell r="E63">
            <v>1.28</v>
          </cell>
          <cell r="I63">
            <v>1.28</v>
          </cell>
        </row>
        <row r="64">
          <cell r="A64">
            <v>36924</v>
          </cell>
          <cell r="B64">
            <v>1982.34</v>
          </cell>
          <cell r="C64">
            <v>-0.10918078461331071</v>
          </cell>
          <cell r="E64">
            <v>1.37</v>
          </cell>
          <cell r="I64">
            <v>1.37</v>
          </cell>
        </row>
        <row r="65">
          <cell r="A65">
            <v>36931</v>
          </cell>
          <cell r="B65">
            <v>1975.59</v>
          </cell>
          <cell r="C65">
            <v>-0.11410506490885863</v>
          </cell>
          <cell r="E65">
            <v>1.27</v>
          </cell>
          <cell r="I65">
            <v>1.27</v>
          </cell>
        </row>
        <row r="66">
          <cell r="A66">
            <v>36938</v>
          </cell>
          <cell r="B66">
            <v>1944.62</v>
          </cell>
          <cell r="C66">
            <v>-8.4311592667410729E-2</v>
          </cell>
          <cell r="E66">
            <v>1.32</v>
          </cell>
          <cell r="I66">
            <v>1.32</v>
          </cell>
        </row>
        <row r="67">
          <cell r="A67">
            <v>36945</v>
          </cell>
          <cell r="B67">
            <v>1911.77</v>
          </cell>
          <cell r="C67">
            <v>-9.4020860878507473E-2</v>
          </cell>
          <cell r="E67">
            <v>1.34</v>
          </cell>
          <cell r="I67">
            <v>1.34</v>
          </cell>
        </row>
        <row r="68">
          <cell r="A68">
            <v>36952</v>
          </cell>
          <cell r="B68">
            <v>1905.17</v>
          </cell>
          <cell r="C68">
            <v>-8.5060198147232091E-2</v>
          </cell>
          <cell r="E68">
            <v>1.29</v>
          </cell>
          <cell r="I68">
            <v>1.29</v>
          </cell>
        </row>
        <row r="69">
          <cell r="A69">
            <v>36959</v>
          </cell>
          <cell r="B69">
            <v>1793.84</v>
          </cell>
          <cell r="C69">
            <v>-0.11288703384088894</v>
          </cell>
          <cell r="E69">
            <v>1.32</v>
          </cell>
          <cell r="I69">
            <v>1.32</v>
          </cell>
        </row>
        <row r="70">
          <cell r="A70">
            <v>36966</v>
          </cell>
          <cell r="B70">
            <v>1683.52</v>
          </cell>
          <cell r="C70">
            <v>-0.20844441309918427</v>
          </cell>
          <cell r="E70">
            <v>1.21</v>
          </cell>
          <cell r="I70">
            <v>1.21</v>
          </cell>
        </row>
        <row r="71">
          <cell r="A71">
            <v>36973</v>
          </cell>
          <cell r="B71">
            <v>1628.03</v>
          </cell>
          <cell r="C71">
            <v>-0.23090404901715311</v>
          </cell>
          <cell r="E71">
            <v>1.1399999999999999</v>
          </cell>
          <cell r="I71">
            <v>1.1399999999999999</v>
          </cell>
        </row>
        <row r="72">
          <cell r="A72">
            <v>36980</v>
          </cell>
          <cell r="B72">
            <v>1676.88</v>
          </cell>
          <cell r="C72">
            <v>-0.20583847578273373</v>
          </cell>
          <cell r="E72">
            <v>1.1299999999999999</v>
          </cell>
          <cell r="I72">
            <v>1.1299999999999999</v>
          </cell>
        </row>
        <row r="73">
          <cell r="A73">
            <v>36987</v>
          </cell>
          <cell r="B73">
            <v>1592.58</v>
          </cell>
          <cell r="C73">
            <v>-0.26402329127963409</v>
          </cell>
          <cell r="E73">
            <v>1.1599999999999999</v>
          </cell>
          <cell r="I73">
            <v>1.1599999999999999</v>
          </cell>
        </row>
        <row r="74">
          <cell r="A74">
            <v>36994</v>
          </cell>
          <cell r="B74">
            <v>1645.94</v>
          </cell>
          <cell r="C74">
            <v>-0.20878539804929164</v>
          </cell>
          <cell r="E74">
            <v>1.1299999999999999</v>
          </cell>
          <cell r="I74">
            <v>1.1299999999999999</v>
          </cell>
        </row>
        <row r="75">
          <cell r="A75">
            <v>37001</v>
          </cell>
          <cell r="B75">
            <v>1670.07</v>
          </cell>
          <cell r="C75">
            <v>-0.22384418046957777</v>
          </cell>
          <cell r="E75">
            <v>1.18</v>
          </cell>
          <cell r="I75">
            <v>1.18</v>
          </cell>
        </row>
        <row r="76">
          <cell r="A76">
            <v>37008</v>
          </cell>
          <cell r="B76">
            <v>1734.23</v>
          </cell>
          <cell r="C76">
            <v>-0.18227555639381376</v>
          </cell>
          <cell r="E76">
            <v>1.2</v>
          </cell>
          <cell r="I76">
            <v>1.2</v>
          </cell>
        </row>
        <row r="77">
          <cell r="A77">
            <v>37015</v>
          </cell>
          <cell r="B77">
            <v>1688.9</v>
          </cell>
          <cell r="C77">
            <v>-0.15711776096460583</v>
          </cell>
          <cell r="E77">
            <v>1.24</v>
          </cell>
          <cell r="I77">
            <v>1.24</v>
          </cell>
        </row>
        <row r="78">
          <cell r="A78">
            <v>37022</v>
          </cell>
          <cell r="B78">
            <v>1681.97</v>
          </cell>
          <cell r="C78">
            <v>-0.1639601755615534</v>
          </cell>
          <cell r="E78">
            <v>1.1599999999999999</v>
          </cell>
          <cell r="I78">
            <v>1.1599999999999999</v>
          </cell>
        </row>
        <row r="79">
          <cell r="A79">
            <v>37029</v>
          </cell>
          <cell r="B79">
            <v>1692.38</v>
          </cell>
          <cell r="C79">
            <v>-8.5318661362850157E-2</v>
          </cell>
          <cell r="E79">
            <v>1.19</v>
          </cell>
          <cell r="I79">
            <v>1.19</v>
          </cell>
        </row>
        <row r="80">
          <cell r="A80">
            <v>37036</v>
          </cell>
          <cell r="B80">
            <v>1657.05</v>
          </cell>
          <cell r="C80">
            <v>-9.8086280657065483E-2</v>
          </cell>
          <cell r="E80">
            <v>1.21</v>
          </cell>
          <cell r="I80">
            <v>1.21</v>
          </cell>
        </row>
        <row r="81">
          <cell r="A81">
            <v>37043</v>
          </cell>
          <cell r="B81">
            <v>1683.77</v>
          </cell>
          <cell r="C81">
            <v>-0.18274303853378437</v>
          </cell>
          <cell r="E81">
            <v>1.19</v>
          </cell>
          <cell r="I81">
            <v>1.19</v>
          </cell>
        </row>
        <row r="82">
          <cell r="A82">
            <v>37050</v>
          </cell>
          <cell r="B82">
            <v>1689.5</v>
          </cell>
          <cell r="C82">
            <v>-0.17005212043209361</v>
          </cell>
          <cell r="E82">
            <v>1.24</v>
          </cell>
          <cell r="I82">
            <v>1.24</v>
          </cell>
        </row>
        <row r="83">
          <cell r="A83">
            <v>37057</v>
          </cell>
          <cell r="B83">
            <v>1685.93</v>
          </cell>
          <cell r="C83">
            <v>-0.16892764539440597</v>
          </cell>
          <cell r="E83">
            <v>1.2</v>
          </cell>
          <cell r="I83">
            <v>1.2</v>
          </cell>
        </row>
        <row r="84">
          <cell r="A84">
            <v>37064</v>
          </cell>
          <cell r="B84">
            <v>1707.64</v>
          </cell>
          <cell r="C84">
            <v>-0.16688702304228398</v>
          </cell>
          <cell r="E84">
            <v>1.2</v>
          </cell>
          <cell r="I84">
            <v>1.2</v>
          </cell>
        </row>
        <row r="85">
          <cell r="A85">
            <v>37071</v>
          </cell>
          <cell r="B85">
            <v>1688.02</v>
          </cell>
          <cell r="C85">
            <v>-0.18245792468821898</v>
          </cell>
          <cell r="E85">
            <v>1.1599999999999999</v>
          </cell>
          <cell r="I85">
            <v>1.1599999999999999</v>
          </cell>
        </row>
        <row r="86">
          <cell r="A86">
            <v>37078</v>
          </cell>
          <cell r="B86">
            <v>1672.81</v>
          </cell>
          <cell r="C86">
            <v>-0.19769689354007902</v>
          </cell>
          <cell r="E86">
            <v>1.1200000000000001</v>
          </cell>
          <cell r="I86">
            <v>1.1200000000000001</v>
          </cell>
        </row>
        <row r="87">
          <cell r="A87">
            <v>37085</v>
          </cell>
          <cell r="B87">
            <v>1626.84</v>
          </cell>
          <cell r="C87">
            <v>-0.23738896050626979</v>
          </cell>
          <cell r="E87">
            <v>1.0900000000000001</v>
          </cell>
          <cell r="I87">
            <v>1.0900000000000001</v>
          </cell>
        </row>
        <row r="88">
          <cell r="A88">
            <v>37092</v>
          </cell>
          <cell r="B88">
            <v>1639.36</v>
          </cell>
          <cell r="C88">
            <v>-0.20304129274387228</v>
          </cell>
          <cell r="E88">
            <v>1.03</v>
          </cell>
          <cell r="I88">
            <v>1.03</v>
          </cell>
        </row>
        <row r="89">
          <cell r="A89">
            <v>37099</v>
          </cell>
          <cell r="B89">
            <v>1670.08</v>
          </cell>
          <cell r="C89">
            <v>-0.18334694356562009</v>
          </cell>
          <cell r="E89">
            <v>1.06</v>
          </cell>
          <cell r="I89">
            <v>1.06</v>
          </cell>
        </row>
        <row r="90">
          <cell r="A90">
            <v>37106</v>
          </cell>
          <cell r="B90">
            <v>1641.91</v>
          </cell>
          <cell r="C90">
            <v>-0.21226005478978849</v>
          </cell>
          <cell r="E90">
            <v>1.06</v>
          </cell>
          <cell r="I90">
            <v>1.06</v>
          </cell>
        </row>
        <row r="91">
          <cell r="A91">
            <v>37113</v>
          </cell>
          <cell r="B91">
            <v>1634.1</v>
          </cell>
          <cell r="C91">
            <v>-0.25959991844317087</v>
          </cell>
          <cell r="E91">
            <v>1.01</v>
          </cell>
          <cell r="I91">
            <v>1.01</v>
          </cell>
        </row>
        <row r="92">
          <cell r="A92">
            <v>37120</v>
          </cell>
          <cell r="B92">
            <v>1635.39</v>
          </cell>
          <cell r="C92">
            <v>-0.24773684888406411</v>
          </cell>
          <cell r="E92">
            <v>1.08</v>
          </cell>
          <cell r="I92">
            <v>1.08</v>
          </cell>
        </row>
        <row r="93">
          <cell r="A93">
            <v>37127</v>
          </cell>
          <cell r="B93">
            <v>1615.74</v>
          </cell>
          <cell r="C93">
            <v>-0.24771274391578235</v>
          </cell>
          <cell r="E93">
            <v>1.05</v>
          </cell>
          <cell r="I93">
            <v>1.05</v>
          </cell>
        </row>
        <row r="94">
          <cell r="A94">
            <v>37134</v>
          </cell>
          <cell r="B94">
            <v>1608</v>
          </cell>
          <cell r="C94">
            <v>-0.24912093915918343</v>
          </cell>
          <cell r="E94">
            <v>1.06</v>
          </cell>
          <cell r="I94">
            <v>1.06</v>
          </cell>
        </row>
        <row r="95">
          <cell r="A95">
            <v>37141</v>
          </cell>
          <cell r="B95">
            <v>1438.67</v>
          </cell>
          <cell r="C95">
            <v>-0.30733936120018102</v>
          </cell>
          <cell r="E95">
            <v>1.03</v>
          </cell>
          <cell r="I95">
            <v>1.03</v>
          </cell>
        </row>
        <row r="96">
          <cell r="A96">
            <v>37148</v>
          </cell>
          <cell r="B96">
            <v>1313.47</v>
          </cell>
          <cell r="C96">
            <v>-0.33956989355443701</v>
          </cell>
          <cell r="E96">
            <v>1.04</v>
          </cell>
          <cell r="I96">
            <v>1.04</v>
          </cell>
        </row>
        <row r="97">
          <cell r="A97">
            <v>37155</v>
          </cell>
          <cell r="B97">
            <v>1310.87</v>
          </cell>
          <cell r="C97">
            <v>-0.33287021486661172</v>
          </cell>
          <cell r="E97">
            <v>0.9</v>
          </cell>
          <cell r="I97">
            <v>0.9</v>
          </cell>
        </row>
        <row r="98">
          <cell r="A98">
            <v>37162</v>
          </cell>
          <cell r="B98">
            <v>1377.74</v>
          </cell>
          <cell r="C98">
            <v>-0.30940697039112586</v>
          </cell>
          <cell r="E98">
            <v>1.01</v>
          </cell>
          <cell r="I98">
            <v>1.01</v>
          </cell>
        </row>
        <row r="99">
          <cell r="A99">
            <v>37169</v>
          </cell>
          <cell r="B99">
            <v>1395.74</v>
          </cell>
          <cell r="C99">
            <v>-0.25195487311413023</v>
          </cell>
          <cell r="E99">
            <v>1.05</v>
          </cell>
          <cell r="I99">
            <v>1.05</v>
          </cell>
        </row>
        <row r="100">
          <cell r="A100">
            <v>37176</v>
          </cell>
          <cell r="B100">
            <v>1406.74</v>
          </cell>
          <cell r="C100">
            <v>-0.25334253337225654</v>
          </cell>
          <cell r="E100">
            <v>1.1000000000000001</v>
          </cell>
          <cell r="I100">
            <v>1.1000000000000001</v>
          </cell>
        </row>
        <row r="101">
          <cell r="A101">
            <v>37183</v>
          </cell>
          <cell r="B101">
            <v>1409.18</v>
          </cell>
          <cell r="C101">
            <v>-0.2669226127307156</v>
          </cell>
          <cell r="E101">
            <v>1.02</v>
          </cell>
          <cell r="I101">
            <v>1.02</v>
          </cell>
        </row>
        <row r="102">
          <cell r="A102">
            <v>37190</v>
          </cell>
          <cell r="B102">
            <v>1347.51</v>
          </cell>
          <cell r="C102">
            <v>-0.33959508534965677</v>
          </cell>
          <cell r="E102">
            <v>1.02</v>
          </cell>
          <cell r="I102">
            <v>1.02</v>
          </cell>
        </row>
        <row r="103">
          <cell r="A103">
            <v>37197</v>
          </cell>
          <cell r="B103">
            <v>1332.91</v>
          </cell>
          <cell r="C103">
            <v>-0.33480554349507674</v>
          </cell>
          <cell r="E103">
            <v>1.03</v>
          </cell>
          <cell r="I103">
            <v>1.03</v>
          </cell>
        </row>
        <row r="104">
          <cell r="A104">
            <v>37204</v>
          </cell>
          <cell r="B104">
            <v>1432.17</v>
          </cell>
          <cell r="C104">
            <v>-0.27753563969853801</v>
          </cell>
          <cell r="E104">
            <v>1.03</v>
          </cell>
          <cell r="I104">
            <v>1.03</v>
          </cell>
        </row>
        <row r="105">
          <cell r="A105">
            <v>37211</v>
          </cell>
          <cell r="B105">
            <v>1451.13</v>
          </cell>
          <cell r="C105">
            <v>-0.25209893468434796</v>
          </cell>
          <cell r="E105">
            <v>1.19</v>
          </cell>
          <cell r="I105">
            <v>1.19</v>
          </cell>
        </row>
        <row r="106">
          <cell r="A106">
            <v>37218</v>
          </cell>
          <cell r="B106">
            <v>1454.4</v>
          </cell>
          <cell r="C106">
            <v>-0.25500581386414511</v>
          </cell>
          <cell r="E106">
            <v>1.22</v>
          </cell>
          <cell r="F106">
            <v>-0.10294117647058831</v>
          </cell>
          <cell r="H106">
            <v>2.0959500000000002</v>
          </cell>
          <cell r="I106">
            <v>1.22</v>
          </cell>
          <cell r="K106" t="str">
            <v>(a) vs (c )</v>
          </cell>
          <cell r="M106">
            <v>0.85232895222730753</v>
          </cell>
        </row>
        <row r="107">
          <cell r="A107">
            <v>37225</v>
          </cell>
          <cell r="B107">
            <v>1618.12</v>
          </cell>
          <cell r="C107">
            <v>-0.17389328799783543</v>
          </cell>
          <cell r="E107">
            <v>1.22</v>
          </cell>
          <cell r="F107">
            <v>-6.1538461538461542E-2</v>
          </cell>
          <cell r="H107">
            <v>2.0175000000000001</v>
          </cell>
          <cell r="I107">
            <v>1.22</v>
          </cell>
        </row>
        <row r="108">
          <cell r="A108">
            <v>37232</v>
          </cell>
          <cell r="B108">
            <v>1569.73</v>
          </cell>
          <cell r="C108">
            <v>-0.20742322800852286</v>
          </cell>
          <cell r="E108">
            <v>1.24</v>
          </cell>
          <cell r="F108">
            <v>-0.10144927536231874</v>
          </cell>
          <cell r="H108">
            <v>1.8725000000000001</v>
          </cell>
          <cell r="I108">
            <v>1.24</v>
          </cell>
        </row>
        <row r="109">
          <cell r="A109">
            <v>37239</v>
          </cell>
          <cell r="B109">
            <v>1593.27</v>
          </cell>
          <cell r="C109">
            <v>-0.16092456447094017</v>
          </cell>
          <cell r="E109">
            <v>1.1599999999999999</v>
          </cell>
          <cell r="F109">
            <v>-0.10769230769230775</v>
          </cell>
          <cell r="H109">
            <v>1.9025000000000001</v>
          </cell>
          <cell r="I109">
            <v>1.1599999999999999</v>
          </cell>
        </row>
        <row r="110">
          <cell r="A110">
            <v>37246</v>
          </cell>
          <cell r="B110">
            <v>1612.01</v>
          </cell>
          <cell r="C110">
            <v>-0.151810284499587</v>
          </cell>
          <cell r="E110">
            <v>1.1599999999999999</v>
          </cell>
          <cell r="F110">
            <v>-9.3750000000000111E-2</v>
          </cell>
          <cell r="H110">
            <v>1.9175</v>
          </cell>
          <cell r="I110">
            <v>1.1599999999999999</v>
          </cell>
        </row>
        <row r="111">
          <cell r="A111">
            <v>37253</v>
          </cell>
          <cell r="B111">
            <v>1653.71</v>
          </cell>
          <cell r="C111">
            <v>-0.13902902512039561</v>
          </cell>
          <cell r="E111">
            <v>1.22</v>
          </cell>
          <cell r="F111">
            <v>-6.1538461538461542E-2</v>
          </cell>
          <cell r="H111">
            <v>1.875</v>
          </cell>
          <cell r="I111">
            <v>1.22</v>
          </cell>
        </row>
        <row r="112">
          <cell r="A112">
            <v>37260</v>
          </cell>
          <cell r="B112">
            <v>1706.64</v>
          </cell>
          <cell r="C112">
            <v>-0.1088134849766581</v>
          </cell>
          <cell r="E112">
            <v>1.25</v>
          </cell>
          <cell r="F112">
            <v>-5.3030303030303094E-2</v>
          </cell>
          <cell r="H112">
            <v>1.825</v>
          </cell>
          <cell r="I112">
            <v>1.25</v>
          </cell>
        </row>
        <row r="113">
          <cell r="A113">
            <v>37267</v>
          </cell>
          <cell r="B113">
            <v>1660.51</v>
          </cell>
          <cell r="C113">
            <v>-0.12030154853543407</v>
          </cell>
          <cell r="E113">
            <v>1.3</v>
          </cell>
          <cell r="F113">
            <v>-4.4117647058823595E-2</v>
          </cell>
          <cell r="H113">
            <v>1.73125</v>
          </cell>
          <cell r="I113">
            <v>1.3</v>
          </cell>
        </row>
        <row r="114">
          <cell r="A114">
            <v>37274</v>
          </cell>
          <cell r="B114">
            <v>1662.98</v>
          </cell>
          <cell r="C114">
            <v>-0.13124020478528886</v>
          </cell>
          <cell r="E114">
            <v>1.33</v>
          </cell>
          <cell r="F114">
            <v>2.3076923076922995E-2</v>
          </cell>
          <cell r="H114">
            <v>1.80813</v>
          </cell>
          <cell r="I114">
            <v>1.33</v>
          </cell>
        </row>
        <row r="115">
          <cell r="A115">
            <v>37281</v>
          </cell>
          <cell r="B115">
            <v>1786.89</v>
          </cell>
          <cell r="C115">
            <v>-9.861378746758942E-2</v>
          </cell>
          <cell r="E115">
            <v>1.37</v>
          </cell>
          <cell r="F115">
            <v>7.03125E-2</v>
          </cell>
          <cell r="H115">
            <v>1.8774999999999999</v>
          </cell>
          <cell r="I115">
            <v>1.37</v>
          </cell>
        </row>
        <row r="116">
          <cell r="A116">
            <v>37288</v>
          </cell>
          <cell r="B116">
            <v>1717.11</v>
          </cell>
          <cell r="C116">
            <v>-0.13379642240987921</v>
          </cell>
          <cell r="E116">
            <v>1.41</v>
          </cell>
          <cell r="F116">
            <v>2.9197080291970767E-2</v>
          </cell>
          <cell r="H116">
            <v>1.885</v>
          </cell>
          <cell r="I116">
            <v>1.41</v>
          </cell>
        </row>
        <row r="117">
          <cell r="A117">
            <v>37295</v>
          </cell>
          <cell r="B117">
            <v>1774.63</v>
          </cell>
          <cell r="C117">
            <v>-0.10172151104227078</v>
          </cell>
          <cell r="E117">
            <v>1.35</v>
          </cell>
          <cell r="F117">
            <v>6.2992125984252079E-2</v>
          </cell>
          <cell r="H117">
            <v>1.9175</v>
          </cell>
          <cell r="I117">
            <v>1.35</v>
          </cell>
        </row>
        <row r="118">
          <cell r="A118">
            <v>37302</v>
          </cell>
          <cell r="B118">
            <v>1731.83</v>
          </cell>
          <cell r="C118">
            <v>-0.109424977630591</v>
          </cell>
          <cell r="E118">
            <v>1.41</v>
          </cell>
          <cell r="F118">
            <v>6.8181818181818121E-2</v>
          </cell>
          <cell r="H118">
            <v>1.9175</v>
          </cell>
          <cell r="I118">
            <v>1.41</v>
          </cell>
        </row>
        <row r="119">
          <cell r="A119">
            <v>37309</v>
          </cell>
          <cell r="B119">
            <v>1715.58</v>
          </cell>
          <cell r="C119">
            <v>-0.10262217735397039</v>
          </cell>
          <cell r="E119">
            <v>1.27</v>
          </cell>
          <cell r="F119">
            <v>-5.2238805970149294E-2</v>
          </cell>
          <cell r="H119">
            <v>1.9112499999999999</v>
          </cell>
          <cell r="I119">
            <v>1.27</v>
          </cell>
        </row>
        <row r="120">
          <cell r="A120">
            <v>37316</v>
          </cell>
          <cell r="B120">
            <v>1794.31</v>
          </cell>
          <cell r="C120">
            <v>-5.8189032999679924E-2</v>
          </cell>
          <cell r="E120">
            <v>1.33</v>
          </cell>
          <cell r="F120">
            <v>3.1007751937984551E-2</v>
          </cell>
          <cell r="H120">
            <v>1.9325000000000001</v>
          </cell>
          <cell r="I120">
            <v>1.33</v>
          </cell>
        </row>
        <row r="121">
          <cell r="A121">
            <v>37323</v>
          </cell>
          <cell r="B121">
            <v>1777.77</v>
          </cell>
          <cell r="C121">
            <v>-8.9584355349417999E-3</v>
          </cell>
          <cell r="E121">
            <v>1.37</v>
          </cell>
          <cell r="F121">
            <v>3.7878787878787845E-2</v>
          </cell>
          <cell r="H121">
            <v>1.9875</v>
          </cell>
          <cell r="I121">
            <v>1.37</v>
          </cell>
        </row>
        <row r="122">
          <cell r="A122">
            <v>37330</v>
          </cell>
          <cell r="B122">
            <v>1793.87</v>
          </cell>
          <cell r="C122">
            <v>6.5547186846607097E-2</v>
          </cell>
          <cell r="E122">
            <v>1.38</v>
          </cell>
          <cell r="F122">
            <v>0.14049586776859502</v>
          </cell>
          <cell r="H122">
            <v>2.0125000000000002</v>
          </cell>
          <cell r="I122">
            <v>1.38</v>
          </cell>
        </row>
        <row r="123">
          <cell r="A123">
            <v>37337</v>
          </cell>
          <cell r="B123">
            <v>1803.22</v>
          </cell>
          <cell r="C123">
            <v>0.10760858215143454</v>
          </cell>
          <cell r="E123">
            <v>1.37</v>
          </cell>
          <cell r="F123">
            <v>0.20175438596491246</v>
          </cell>
          <cell r="H123">
            <v>2.0357099999999999</v>
          </cell>
          <cell r="I123">
            <v>1.37</v>
          </cell>
        </row>
        <row r="124">
          <cell r="A124">
            <v>37344</v>
          </cell>
          <cell r="B124">
            <v>1778.18</v>
          </cell>
          <cell r="C124">
            <v>6.0409808692333256E-2</v>
          </cell>
          <cell r="E124">
            <v>1.3</v>
          </cell>
          <cell r="F124">
            <v>0.15044247787610643</v>
          </cell>
          <cell r="H124">
            <v>2.01667</v>
          </cell>
          <cell r="I124">
            <v>1.3</v>
          </cell>
        </row>
        <row r="125">
          <cell r="A125">
            <v>37351</v>
          </cell>
          <cell r="B125">
            <v>1740.58</v>
          </cell>
          <cell r="C125">
            <v>9.2930967361137373E-2</v>
          </cell>
          <cell r="E125">
            <v>1.28</v>
          </cell>
          <cell r="F125">
            <v>0.10344827586206917</v>
          </cell>
          <cell r="H125">
            <v>1.98167</v>
          </cell>
          <cell r="I125">
            <v>1.28</v>
          </cell>
        </row>
        <row r="126">
          <cell r="A126">
            <v>37358</v>
          </cell>
          <cell r="B126">
            <v>1747.54</v>
          </cell>
          <cell r="C126">
            <v>6.1727644993134545E-2</v>
          </cell>
          <cell r="E126">
            <v>1.32</v>
          </cell>
          <cell r="F126">
            <v>0.16814159292035424</v>
          </cell>
          <cell r="H126">
            <v>1.94333</v>
          </cell>
          <cell r="I126">
            <v>1.32</v>
          </cell>
        </row>
        <row r="127">
          <cell r="A127">
            <v>37365</v>
          </cell>
          <cell r="B127">
            <v>1727.42</v>
          </cell>
          <cell r="C127">
            <v>3.4339877969187027E-2</v>
          </cell>
          <cell r="E127">
            <v>1.3</v>
          </cell>
          <cell r="F127">
            <v>0.10169491525423746</v>
          </cell>
          <cell r="H127">
            <v>1.9266700000000001</v>
          </cell>
          <cell r="I127">
            <v>1.3</v>
          </cell>
        </row>
        <row r="128">
          <cell r="A128">
            <v>37372</v>
          </cell>
          <cell r="B128">
            <v>1740.35</v>
          </cell>
          <cell r="C128">
            <v>3.5289436810572727E-3</v>
          </cell>
          <cell r="E128">
            <v>1.3</v>
          </cell>
          <cell r="F128">
            <v>8.3333333333333481E-2</v>
          </cell>
          <cell r="H128">
            <v>1.91286</v>
          </cell>
          <cell r="I128">
            <v>1.3</v>
          </cell>
        </row>
        <row r="129">
          <cell r="A129">
            <v>37379</v>
          </cell>
          <cell r="B129">
            <v>1733.61</v>
          </cell>
          <cell r="C129">
            <v>2.647285215228834E-2</v>
          </cell>
          <cell r="E129">
            <v>1.3</v>
          </cell>
          <cell r="F129">
            <v>4.8387096774193505E-2</v>
          </cell>
          <cell r="H129">
            <v>1.91429</v>
          </cell>
          <cell r="I129">
            <v>1.3</v>
          </cell>
        </row>
        <row r="130">
          <cell r="A130">
            <v>37386</v>
          </cell>
          <cell r="B130">
            <v>1733.48</v>
          </cell>
          <cell r="C130">
            <v>3.0624803058318495E-2</v>
          </cell>
          <cell r="E130">
            <v>1.32</v>
          </cell>
          <cell r="F130">
            <v>0.13793103448275867</v>
          </cell>
          <cell r="H130">
            <v>1.91333</v>
          </cell>
          <cell r="I130">
            <v>1.32</v>
          </cell>
        </row>
        <row r="131">
          <cell r="A131">
            <v>37393</v>
          </cell>
          <cell r="B131">
            <v>1717.78</v>
          </cell>
          <cell r="C131">
            <v>1.5008449638969967E-2</v>
          </cell>
          <cell r="E131">
            <v>1.27</v>
          </cell>
          <cell r="F131">
            <v>6.7226890756302504E-2</v>
          </cell>
          <cell r="H131">
            <v>1.8966700000000001</v>
          </cell>
          <cell r="I131">
            <v>1.27</v>
          </cell>
        </row>
        <row r="132">
          <cell r="A132">
            <v>37400</v>
          </cell>
          <cell r="B132">
            <v>1683.43</v>
          </cell>
          <cell r="C132">
            <v>1.5919857578226448E-2</v>
          </cell>
          <cell r="E132">
            <v>1.29</v>
          </cell>
          <cell r="F132">
            <v>6.6115702479338845E-2</v>
          </cell>
          <cell r="H132">
            <v>1.90167</v>
          </cell>
          <cell r="I132">
            <v>1.29</v>
          </cell>
        </row>
        <row r="133">
          <cell r="A133">
            <v>37407</v>
          </cell>
          <cell r="B133">
            <v>1652.46</v>
          </cell>
          <cell r="C133">
            <v>-1.8595176300801097E-2</v>
          </cell>
          <cell r="E133">
            <v>1.29</v>
          </cell>
          <cell r="F133">
            <v>8.4033613445378297E-2</v>
          </cell>
          <cell r="H133">
            <v>1.8939999999999999</v>
          </cell>
          <cell r="I133">
            <v>1.29</v>
          </cell>
        </row>
        <row r="134">
          <cell r="A134">
            <v>37414</v>
          </cell>
          <cell r="B134">
            <v>1639.94</v>
          </cell>
          <cell r="C134">
            <v>-2.9334122521456063E-2</v>
          </cell>
          <cell r="E134">
            <v>1.24</v>
          </cell>
          <cell r="F134">
            <v>0</v>
          </cell>
          <cell r="H134">
            <v>1.88</v>
          </cell>
          <cell r="I134">
            <v>1.24</v>
          </cell>
        </row>
        <row r="135">
          <cell r="A135">
            <v>37421</v>
          </cell>
          <cell r="B135">
            <v>1574.3</v>
          </cell>
          <cell r="C135">
            <v>-6.6212713457854178E-2</v>
          </cell>
          <cell r="E135">
            <v>1.2</v>
          </cell>
          <cell r="F135">
            <v>0</v>
          </cell>
          <cell r="H135">
            <v>1.87</v>
          </cell>
          <cell r="I135">
            <v>1.2</v>
          </cell>
          <cell r="K135" t="str">
            <v>(b) vs (d)</v>
          </cell>
          <cell r="M135">
            <v>0.59124202254043645</v>
          </cell>
        </row>
        <row r="136">
          <cell r="A136">
            <v>37428</v>
          </cell>
          <cell r="B136">
            <v>1531.59</v>
          </cell>
          <cell r="C136">
            <v>-0.10309550022252945</v>
          </cell>
          <cell r="E136">
            <v>1.1599999999999999</v>
          </cell>
          <cell r="F136">
            <v>-3.3333333333333326E-2</v>
          </cell>
          <cell r="H136">
            <v>1.8616699999999999</v>
          </cell>
          <cell r="I136">
            <v>1.1599999999999999</v>
          </cell>
        </row>
        <row r="137">
          <cell r="A137">
            <v>37435</v>
          </cell>
          <cell r="B137">
            <v>1598.75</v>
          </cell>
          <cell r="C137">
            <v>-5.2884444497103056E-2</v>
          </cell>
          <cell r="E137">
            <v>1.1599999999999999</v>
          </cell>
          <cell r="F137">
            <v>0</v>
          </cell>
          <cell r="H137">
            <v>1.86</v>
          </cell>
          <cell r="I137">
            <v>1.1599999999999999</v>
          </cell>
        </row>
        <row r="138">
          <cell r="A138">
            <v>37442</v>
          </cell>
          <cell r="B138">
            <v>1608.19</v>
          </cell>
          <cell r="C138">
            <v>-3.8629611252921636E-2</v>
          </cell>
          <cell r="E138">
            <v>1.24</v>
          </cell>
          <cell r="F138">
            <v>0.10714285714285698</v>
          </cell>
          <cell r="H138">
            <v>1.86</v>
          </cell>
          <cell r="I138">
            <v>1.24</v>
          </cell>
        </row>
        <row r="139">
          <cell r="A139">
            <v>37449</v>
          </cell>
          <cell r="B139">
            <v>1579.9</v>
          </cell>
          <cell r="C139">
            <v>-2.8853482825600407E-2</v>
          </cell>
          <cell r="E139">
            <v>1.2</v>
          </cell>
          <cell r="F139">
            <v>0.10091743119266039</v>
          </cell>
          <cell r="H139">
            <v>1.86</v>
          </cell>
          <cell r="I139">
            <v>1.2</v>
          </cell>
        </row>
        <row r="140">
          <cell r="A140">
            <v>37456</v>
          </cell>
          <cell r="B140">
            <v>1516.41</v>
          </cell>
          <cell r="C140">
            <v>-7.4998780011711785E-2</v>
          </cell>
          <cell r="E140">
            <v>1.1599999999999999</v>
          </cell>
          <cell r="F140">
            <v>0.12621359223300965</v>
          </cell>
          <cell r="H140">
            <v>1.83</v>
          </cell>
          <cell r="I140">
            <v>1.1599999999999999</v>
          </cell>
        </row>
        <row r="141">
          <cell r="A141">
            <v>37463</v>
          </cell>
          <cell r="B141">
            <v>1517.01</v>
          </cell>
          <cell r="C141">
            <v>-9.1654292009963556E-2</v>
          </cell>
          <cell r="E141">
            <v>1.1299999999999999</v>
          </cell>
          <cell r="F141">
            <v>6.6037735849056478E-2</v>
          </cell>
          <cell r="H141">
            <v>1.83</v>
          </cell>
          <cell r="I141">
            <v>1.1299999999999999</v>
          </cell>
        </row>
        <row r="142">
          <cell r="A142">
            <v>37470</v>
          </cell>
          <cell r="B142">
            <v>1486.81</v>
          </cell>
          <cell r="C142">
            <v>-9.4463155714990532E-2</v>
          </cell>
          <cell r="E142">
            <v>1.1599999999999999</v>
          </cell>
          <cell r="F142">
            <v>9.4339622641509413E-2</v>
          </cell>
          <cell r="H142">
            <v>1.75857</v>
          </cell>
          <cell r="I142">
            <v>1.1599999999999999</v>
          </cell>
        </row>
        <row r="143">
          <cell r="A143">
            <v>37477</v>
          </cell>
          <cell r="B143">
            <v>1531.84</v>
          </cell>
          <cell r="C143">
            <v>-6.2578789547763303E-2</v>
          </cell>
          <cell r="E143">
            <v>1.1499999999999999</v>
          </cell>
          <cell r="F143">
            <v>0.13861386138613851</v>
          </cell>
          <cell r="H143">
            <v>1.75</v>
          </cell>
          <cell r="I143">
            <v>1.1499999999999999</v>
          </cell>
        </row>
        <row r="144">
          <cell r="A144">
            <v>37484</v>
          </cell>
          <cell r="B144">
            <v>1542.02</v>
          </cell>
          <cell r="C144">
            <v>-5.7093415026385208E-2</v>
          </cell>
          <cell r="E144">
            <v>1.2</v>
          </cell>
          <cell r="F144">
            <v>0.11111111111111094</v>
          </cell>
          <cell r="H144">
            <v>1.79</v>
          </cell>
          <cell r="I144">
            <v>1.2</v>
          </cell>
        </row>
        <row r="145">
          <cell r="A145">
            <v>37491</v>
          </cell>
          <cell r="B145">
            <v>1490.35</v>
          </cell>
          <cell r="C145">
            <v>-7.7605307784668343E-2</v>
          </cell>
          <cell r="E145">
            <v>1.23</v>
          </cell>
          <cell r="F145">
            <v>0.17142857142857126</v>
          </cell>
          <cell r="H145">
            <v>1.82429</v>
          </cell>
          <cell r="I145">
            <v>1.23</v>
          </cell>
        </row>
        <row r="146">
          <cell r="A146">
            <v>37498</v>
          </cell>
          <cell r="B146">
            <v>1447.77</v>
          </cell>
          <cell r="C146">
            <v>-9.9645522388059682E-2</v>
          </cell>
          <cell r="E146">
            <v>1.22</v>
          </cell>
          <cell r="F146">
            <v>0.15094339622641506</v>
          </cell>
          <cell r="H146">
            <v>1.7916700000000001</v>
          </cell>
          <cell r="I146">
            <v>1.22</v>
          </cell>
        </row>
        <row r="147">
          <cell r="A147">
            <v>37505</v>
          </cell>
          <cell r="B147">
            <v>1433.43</v>
          </cell>
          <cell r="C147">
            <v>-3.6422529141498794E-3</v>
          </cell>
          <cell r="E147">
            <v>1.19</v>
          </cell>
          <cell r="F147">
            <v>0.15533980582524265</v>
          </cell>
          <cell r="H147">
            <v>1.82429</v>
          </cell>
          <cell r="I147">
            <v>1.19</v>
          </cell>
        </row>
        <row r="148">
          <cell r="A148">
            <v>37512</v>
          </cell>
          <cell r="B148">
            <v>1439.11</v>
          </cell>
          <cell r="C148">
            <v>9.5655020670437851E-2</v>
          </cell>
          <cell r="E148">
            <v>1.19</v>
          </cell>
          <cell r="F148">
            <v>0.14423076923076916</v>
          </cell>
          <cell r="H148">
            <v>1.82429</v>
          </cell>
          <cell r="I148">
            <v>1.19</v>
          </cell>
        </row>
        <row r="149">
          <cell r="A149">
            <v>37519</v>
          </cell>
          <cell r="B149">
            <v>1356.29</v>
          </cell>
          <cell r="C149">
            <v>3.4648744726784475E-2</v>
          </cell>
          <cell r="E149">
            <v>1.19</v>
          </cell>
          <cell r="F149">
            <v>0.32222222222222219</v>
          </cell>
          <cell r="H149">
            <v>1.81464</v>
          </cell>
          <cell r="I149">
            <v>1.19</v>
          </cell>
        </row>
        <row r="150">
          <cell r="A150">
            <v>37526</v>
          </cell>
          <cell r="B150">
            <v>1351.98</v>
          </cell>
          <cell r="C150">
            <v>-1.86972868610914E-2</v>
          </cell>
          <cell r="E150">
            <v>1.17</v>
          </cell>
          <cell r="F150">
            <v>0.15841584158415833</v>
          </cell>
          <cell r="H150">
            <v>1.6675</v>
          </cell>
          <cell r="I150">
            <v>1.17</v>
          </cell>
        </row>
        <row r="151">
          <cell r="A151">
            <v>37533</v>
          </cell>
          <cell r="B151">
            <v>1357.35</v>
          </cell>
          <cell r="C151">
            <v>-2.7505122730594578E-2</v>
          </cell>
          <cell r="E151">
            <v>1.1599999999999999</v>
          </cell>
          <cell r="F151">
            <v>0.10476190476190461</v>
          </cell>
          <cell r="H151">
            <v>1.77</v>
          </cell>
          <cell r="I151">
            <v>1.1599999999999999</v>
          </cell>
        </row>
        <row r="152">
          <cell r="A152">
            <v>37540</v>
          </cell>
          <cell r="B152">
            <v>1466.02</v>
          </cell>
          <cell r="C152">
            <v>4.2139983223623334E-2</v>
          </cell>
          <cell r="E152">
            <v>1.1200000000000001</v>
          </cell>
          <cell r="F152">
            <v>1.8181818181818299E-2</v>
          </cell>
          <cell r="H152">
            <v>1.83833</v>
          </cell>
          <cell r="I152">
            <v>1.1200000000000001</v>
          </cell>
        </row>
        <row r="153">
          <cell r="A153">
            <v>37547</v>
          </cell>
          <cell r="B153">
            <v>1456.9</v>
          </cell>
          <cell r="C153">
            <v>3.3863665394058939E-2</v>
          </cell>
          <cell r="E153">
            <v>1.19</v>
          </cell>
          <cell r="F153">
            <v>0.16666666666666652</v>
          </cell>
          <cell r="H153">
            <v>1.8360000000000001</v>
          </cell>
          <cell r="I153">
            <v>1.19</v>
          </cell>
        </row>
        <row r="154">
          <cell r="A154">
            <v>37554</v>
          </cell>
          <cell r="B154">
            <v>1463.37</v>
          </cell>
          <cell r="C154">
            <v>8.5980809047799145E-2</v>
          </cell>
          <cell r="E154">
            <v>1.18</v>
          </cell>
          <cell r="F154">
            <v>0.1568627450980391</v>
          </cell>
          <cell r="H154">
            <v>1.69167</v>
          </cell>
          <cell r="I154">
            <v>1.18</v>
          </cell>
        </row>
        <row r="155">
          <cell r="A155">
            <v>37561</v>
          </cell>
          <cell r="B155">
            <v>1426.36</v>
          </cell>
          <cell r="C155">
            <v>7.0109759848751896E-2</v>
          </cell>
          <cell r="E155">
            <v>1.1399999999999999</v>
          </cell>
          <cell r="F155">
            <v>0.10679611650485432</v>
          </cell>
          <cell r="H155">
            <v>1.395</v>
          </cell>
          <cell r="I155">
            <v>1.1399999999999999</v>
          </cell>
        </row>
        <row r="156">
          <cell r="A156">
            <v>37568</v>
          </cell>
          <cell r="B156">
            <v>1391.16</v>
          </cell>
          <cell r="C156">
            <v>-2.8634868765579524E-2</v>
          </cell>
          <cell r="E156">
            <v>1.1299999999999999</v>
          </cell>
          <cell r="F156">
            <v>9.7087378640776656E-2</v>
          </cell>
          <cell r="H156">
            <v>1.4085700000000001</v>
          </cell>
          <cell r="I156">
            <v>1.1299999999999999</v>
          </cell>
        </row>
        <row r="157">
          <cell r="A157">
            <v>37575</v>
          </cell>
          <cell r="B157">
            <v>1398.9</v>
          </cell>
          <cell r="C157">
            <v>-3.599264021831261E-2</v>
          </cell>
          <cell r="E157">
            <v>1.1599999999999999</v>
          </cell>
          <cell r="F157">
            <v>-2.5210084033613467E-2</v>
          </cell>
          <cell r="H157">
            <v>1.43333</v>
          </cell>
          <cell r="I157">
            <v>1.1599999999999999</v>
          </cell>
        </row>
        <row r="158">
          <cell r="A158">
            <v>37582</v>
          </cell>
          <cell r="B158">
            <v>1404.04</v>
          </cell>
          <cell r="C158">
            <v>-3.4625962596259718E-2</v>
          </cell>
          <cell r="E158">
            <v>1.19</v>
          </cell>
          <cell r="F158">
            <v>-2.4590163934426257E-2</v>
          </cell>
          <cell r="H158">
            <v>1.44</v>
          </cell>
          <cell r="I158">
            <v>1.19</v>
          </cell>
        </row>
        <row r="159">
          <cell r="A159">
            <v>37589</v>
          </cell>
          <cell r="B159">
            <v>1365.54</v>
          </cell>
          <cell r="C159">
            <v>-0.15609472721429807</v>
          </cell>
          <cell r="E159">
            <v>1.2</v>
          </cell>
          <cell r="F159">
            <v>-1.6393442622950838E-2</v>
          </cell>
          <cell r="H159">
            <v>1.43167</v>
          </cell>
          <cell r="I159">
            <v>1.2</v>
          </cell>
        </row>
        <row r="160">
          <cell r="A160">
            <v>37596</v>
          </cell>
          <cell r="B160">
            <v>1381.73</v>
          </cell>
          <cell r="C160">
            <v>-0.11976581959954902</v>
          </cell>
          <cell r="E160">
            <v>1.18</v>
          </cell>
          <cell r="F160">
            <v>-4.8387096774193616E-2</v>
          </cell>
          <cell r="H160">
            <v>1.41</v>
          </cell>
          <cell r="I160">
            <v>1.18</v>
          </cell>
        </row>
        <row r="161">
          <cell r="A161">
            <v>37603</v>
          </cell>
          <cell r="B161">
            <v>1354.63</v>
          </cell>
          <cell r="C161">
            <v>-0.14978001217621617</v>
          </cell>
          <cell r="E161">
            <v>1.1499999999999999</v>
          </cell>
          <cell r="F161">
            <v>-8.6206896551723755E-3</v>
          </cell>
          <cell r="H161">
            <v>1.41167</v>
          </cell>
          <cell r="I161">
            <v>1.1499999999999999</v>
          </cell>
        </row>
        <row r="162">
          <cell r="A162">
            <v>37610</v>
          </cell>
          <cell r="B162">
            <v>1331.45</v>
          </cell>
          <cell r="C162">
            <v>-0.17404358533755993</v>
          </cell>
          <cell r="E162">
            <v>1.17</v>
          </cell>
          <cell r="F162">
            <v>8.6206896551723755E-3</v>
          </cell>
          <cell r="H162">
            <v>1.4066700000000001</v>
          </cell>
          <cell r="I162">
            <v>1.17</v>
          </cell>
        </row>
        <row r="163">
          <cell r="A163">
            <v>37617</v>
          </cell>
          <cell r="B163">
            <v>1335.98</v>
          </cell>
          <cell r="C163">
            <v>-0.19213163130173971</v>
          </cell>
          <cell r="E163">
            <v>1.2</v>
          </cell>
          <cell r="F163">
            <v>-1.6393442622950838E-2</v>
          </cell>
          <cell r="H163">
            <v>1.38</v>
          </cell>
          <cell r="I163">
            <v>1.2</v>
          </cell>
        </row>
        <row r="164">
          <cell r="A164">
            <v>37624</v>
          </cell>
          <cell r="B164">
            <v>1335.09</v>
          </cell>
          <cell r="C164">
            <v>-0.2177084798199973</v>
          </cell>
          <cell r="E164">
            <v>1.23</v>
          </cell>
          <cell r="F164">
            <v>-1.6000000000000014E-2</v>
          </cell>
          <cell r="H164">
            <v>1.38</v>
          </cell>
          <cell r="I164">
            <v>1.23</v>
          </cell>
          <cell r="K164" t="str">
            <v>SIBOR 3m vs. stock price</v>
          </cell>
        </row>
        <row r="165">
          <cell r="A165">
            <v>37631</v>
          </cell>
          <cell r="B165">
            <v>1379.52</v>
          </cell>
          <cell r="C165">
            <v>-0.16921909533817925</v>
          </cell>
          <cell r="E165">
            <v>1.2</v>
          </cell>
          <cell r="F165">
            <v>-7.6923076923076983E-2</v>
          </cell>
          <cell r="H165">
            <v>1.37</v>
          </cell>
          <cell r="I165">
            <v>1.2</v>
          </cell>
          <cell r="K165" t="str">
            <v>(e) vs (c )</v>
          </cell>
          <cell r="M165">
            <v>0.36902253159966869</v>
          </cell>
        </row>
        <row r="166">
          <cell r="A166">
            <v>37638</v>
          </cell>
          <cell r="B166">
            <v>1364.41</v>
          </cell>
          <cell r="C166">
            <v>-0.17953914057896059</v>
          </cell>
          <cell r="E166">
            <v>1.25</v>
          </cell>
          <cell r="F166">
            <v>-6.0150375939849621E-2</v>
          </cell>
          <cell r="H166">
            <v>1.35429</v>
          </cell>
          <cell r="I166">
            <v>1.25</v>
          </cell>
        </row>
        <row r="167">
          <cell r="A167">
            <v>37645</v>
          </cell>
          <cell r="B167">
            <v>1295.8900000000001</v>
          </cell>
          <cell r="C167">
            <v>-0.27477908545013963</v>
          </cell>
          <cell r="E167">
            <v>1.24</v>
          </cell>
          <cell r="F167">
            <v>-9.4890510948905216E-2</v>
          </cell>
          <cell r="H167">
            <v>1.3433299999999999</v>
          </cell>
          <cell r="I167">
            <v>1.24</v>
          </cell>
        </row>
        <row r="168">
          <cell r="A168">
            <v>37652</v>
          </cell>
          <cell r="B168">
            <v>1287.6300000000001</v>
          </cell>
          <cell r="C168">
            <v>-0.25011793070915656</v>
          </cell>
          <cell r="E168">
            <v>1.24</v>
          </cell>
          <cell r="F168">
            <v>-0.12056737588652477</v>
          </cell>
          <cell r="H168">
            <v>1.34</v>
          </cell>
          <cell r="I168">
            <v>1.24</v>
          </cell>
        </row>
        <row r="169">
          <cell r="A169">
            <v>37659</v>
          </cell>
          <cell r="B169">
            <v>1268.33</v>
          </cell>
          <cell r="C169">
            <v>-0.285298907377876</v>
          </cell>
          <cell r="E169">
            <v>1.24</v>
          </cell>
          <cell r="F169">
            <v>-8.1481481481481599E-2</v>
          </cell>
          <cell r="H169">
            <v>1.33667</v>
          </cell>
          <cell r="I169">
            <v>1.24</v>
          </cell>
        </row>
        <row r="170">
          <cell r="A170">
            <v>37666</v>
          </cell>
          <cell r="B170">
            <v>1312.41</v>
          </cell>
          <cell r="C170">
            <v>-0.24218312420965094</v>
          </cell>
          <cell r="E170">
            <v>1.2</v>
          </cell>
          <cell r="F170">
            <v>-0.14893617021276595</v>
          </cell>
          <cell r="H170">
            <v>1.34</v>
          </cell>
          <cell r="I170">
            <v>1.2</v>
          </cell>
        </row>
        <row r="171">
          <cell r="A171">
            <v>37673</v>
          </cell>
          <cell r="B171">
            <v>1271.25</v>
          </cell>
          <cell r="C171">
            <v>-0.25899695729724059</v>
          </cell>
          <cell r="E171">
            <v>1.25</v>
          </cell>
          <cell r="F171">
            <v>-1.5748031496062964E-2</v>
          </cell>
          <cell r="H171">
            <v>1.33714</v>
          </cell>
          <cell r="I171">
            <v>1.25</v>
          </cell>
        </row>
        <row r="172">
          <cell r="A172">
            <v>37680</v>
          </cell>
          <cell r="B172">
            <v>1243.82</v>
          </cell>
          <cell r="C172">
            <v>-0.30679759907708259</v>
          </cell>
          <cell r="E172">
            <v>1.24</v>
          </cell>
          <cell r="F172">
            <v>-6.7669172932330879E-2</v>
          </cell>
          <cell r="H172">
            <v>1.32667</v>
          </cell>
          <cell r="I172">
            <v>1.24</v>
          </cell>
        </row>
        <row r="173">
          <cell r="A173">
            <v>37687</v>
          </cell>
          <cell r="B173">
            <v>1231.77</v>
          </cell>
          <cell r="C173">
            <v>-0.3071263436777536</v>
          </cell>
          <cell r="E173">
            <v>1.21</v>
          </cell>
          <cell r="F173">
            <v>-0.11678832116788329</v>
          </cell>
          <cell r="H173">
            <v>1.2442899999999999</v>
          </cell>
          <cell r="I173">
            <v>1.21</v>
          </cell>
        </row>
        <row r="174">
          <cell r="A174">
            <v>37694</v>
          </cell>
          <cell r="B174">
            <v>1308.17</v>
          </cell>
          <cell r="C174">
            <v>-0.27075540591012714</v>
          </cell>
          <cell r="E174">
            <v>1.22</v>
          </cell>
          <cell r="F174">
            <v>-0.11594202898550721</v>
          </cell>
          <cell r="H174">
            <v>1.2916700000000001</v>
          </cell>
          <cell r="I174">
            <v>1.22</v>
          </cell>
        </row>
        <row r="175">
          <cell r="A175">
            <v>37701</v>
          </cell>
          <cell r="B175">
            <v>1313.65</v>
          </cell>
          <cell r="C175">
            <v>-0.27149765419638194</v>
          </cell>
          <cell r="E175">
            <v>1.24</v>
          </cell>
          <cell r="F175">
            <v>-9.4890510948905216E-2</v>
          </cell>
          <cell r="H175">
            <v>1.2942899999999999</v>
          </cell>
          <cell r="I175">
            <v>1.24</v>
          </cell>
        </row>
        <row r="176">
          <cell r="A176">
            <v>37708</v>
          </cell>
          <cell r="B176">
            <v>1302.54</v>
          </cell>
          <cell r="C176">
            <v>-0.26748698107053281</v>
          </cell>
          <cell r="E176">
            <v>1.24</v>
          </cell>
          <cell r="F176">
            <v>-4.6153846153846212E-2</v>
          </cell>
          <cell r="H176">
            <v>1.2771399999999999</v>
          </cell>
          <cell r="I176">
            <v>1.24</v>
          </cell>
        </row>
        <row r="177">
          <cell r="A177">
            <v>37715</v>
          </cell>
          <cell r="B177">
            <v>1295.9100000000001</v>
          </cell>
          <cell r="C177">
            <v>-0.25547231382642555</v>
          </cell>
          <cell r="E177">
            <v>1.28</v>
          </cell>
          <cell r="F177">
            <v>0</v>
          </cell>
          <cell r="H177">
            <v>1.27857</v>
          </cell>
          <cell r="I177">
            <v>1.28</v>
          </cell>
        </row>
        <row r="178">
          <cell r="A178">
            <v>37722</v>
          </cell>
          <cell r="B178">
            <v>1282.51</v>
          </cell>
          <cell r="C178">
            <v>-0.2661054968698856</v>
          </cell>
          <cell r="E178">
            <v>1.29</v>
          </cell>
          <cell r="F178">
            <v>-2.2727272727272707E-2</v>
          </cell>
          <cell r="H178">
            <v>1.3257099999999999</v>
          </cell>
          <cell r="I178">
            <v>1.29</v>
          </cell>
        </row>
        <row r="179">
          <cell r="A179">
            <v>37729</v>
          </cell>
          <cell r="B179">
            <v>1243.01</v>
          </cell>
          <cell r="C179">
            <v>-0.28042398490234</v>
          </cell>
          <cell r="E179">
            <v>1.25</v>
          </cell>
          <cell r="F179">
            <v>-3.8461538461538547E-2</v>
          </cell>
          <cell r="H179">
            <v>1.32</v>
          </cell>
          <cell r="I179">
            <v>1.25</v>
          </cell>
        </row>
        <row r="180">
          <cell r="A180">
            <v>37736</v>
          </cell>
          <cell r="B180">
            <v>1281.33</v>
          </cell>
          <cell r="C180">
            <v>-0.263751544229609</v>
          </cell>
          <cell r="E180">
            <v>1.18</v>
          </cell>
          <cell r="F180">
            <v>-9.2307692307692424E-2</v>
          </cell>
          <cell r="H180">
            <v>1.30833</v>
          </cell>
          <cell r="I180">
            <v>1.18</v>
          </cell>
        </row>
        <row r="181">
          <cell r="A181">
            <v>37743</v>
          </cell>
          <cell r="B181">
            <v>1317.91</v>
          </cell>
          <cell r="C181">
            <v>-0.2397886491194674</v>
          </cell>
          <cell r="E181">
            <v>1.25</v>
          </cell>
          <cell r="F181">
            <v>-3.8461538461538547E-2</v>
          </cell>
          <cell r="H181">
            <v>1.28667</v>
          </cell>
          <cell r="I181">
            <v>1.25</v>
          </cell>
        </row>
        <row r="182">
          <cell r="A182">
            <v>37750</v>
          </cell>
          <cell r="B182">
            <v>1311</v>
          </cell>
          <cell r="C182">
            <v>-0.24371783925975499</v>
          </cell>
          <cell r="E182">
            <v>1.24</v>
          </cell>
          <cell r="F182">
            <v>-6.0606060606060663E-2</v>
          </cell>
          <cell r="H182">
            <v>1.2942899999999999</v>
          </cell>
          <cell r="I182">
            <v>1.24</v>
          </cell>
        </row>
        <row r="183">
          <cell r="A183">
            <v>37757</v>
          </cell>
          <cell r="B183">
            <v>1305.7</v>
          </cell>
          <cell r="C183">
            <v>-0.23989102213321845</v>
          </cell>
          <cell r="E183">
            <v>1.25</v>
          </cell>
          <cell r="F183">
            <v>-1.5748031496062964E-2</v>
          </cell>
          <cell r="H183">
            <v>1.2757099999999999</v>
          </cell>
          <cell r="I183">
            <v>1.25</v>
          </cell>
        </row>
        <row r="184">
          <cell r="A184">
            <v>37764</v>
          </cell>
          <cell r="B184">
            <v>1344.3</v>
          </cell>
          <cell r="C184">
            <v>-0.20145179781755118</v>
          </cell>
          <cell r="E184">
            <v>1.29</v>
          </cell>
          <cell r="F184">
            <v>0</v>
          </cell>
          <cell r="H184">
            <v>1.2716700000000001</v>
          </cell>
          <cell r="I184">
            <v>1.29</v>
          </cell>
        </row>
        <row r="185">
          <cell r="A185">
            <v>37771</v>
          </cell>
          <cell r="B185">
            <v>1427.61</v>
          </cell>
          <cell r="C185">
            <v>-0.13606985948222661</v>
          </cell>
          <cell r="E185">
            <v>1.29</v>
          </cell>
          <cell r="F185">
            <v>0</v>
          </cell>
          <cell r="H185">
            <v>1.23</v>
          </cell>
          <cell r="I185">
            <v>1.29</v>
          </cell>
        </row>
        <row r="186">
          <cell r="A186">
            <v>37778</v>
          </cell>
          <cell r="B186">
            <v>1479.41</v>
          </cell>
          <cell r="C186">
            <v>-9.7887727599790253E-2</v>
          </cell>
          <cell r="E186">
            <v>1.36</v>
          </cell>
          <cell r="F186">
            <v>9.6774193548387233E-2</v>
          </cell>
          <cell r="H186">
            <v>1.1283300000000001</v>
          </cell>
          <cell r="I186">
            <v>1.36</v>
          </cell>
        </row>
        <row r="187">
          <cell r="A187">
            <v>37785</v>
          </cell>
          <cell r="B187">
            <v>1521.15</v>
          </cell>
          <cell r="C187">
            <v>-3.3761036651209997E-2</v>
          </cell>
          <cell r="E187">
            <v>1.43</v>
          </cell>
          <cell r="F187">
            <v>0.19166666666666665</v>
          </cell>
          <cell r="H187">
            <v>1.0366599999999999</v>
          </cell>
          <cell r="I187">
            <v>1.43</v>
          </cell>
        </row>
        <row r="188">
          <cell r="A188">
            <v>37792</v>
          </cell>
          <cell r="B188">
            <v>1458.02</v>
          </cell>
          <cell r="C188">
            <v>-4.8035048544323167E-2</v>
          </cell>
          <cell r="E188">
            <v>1.39</v>
          </cell>
          <cell r="F188">
            <v>0.19827586206896552</v>
          </cell>
          <cell r="H188">
            <v>1.11714</v>
          </cell>
          <cell r="I188">
            <v>1.39</v>
          </cell>
        </row>
        <row r="189">
          <cell r="A189">
            <v>37799</v>
          </cell>
          <cell r="B189">
            <v>1482.93</v>
          </cell>
          <cell r="C189">
            <v>-7.244409695074272E-2</v>
          </cell>
          <cell r="E189">
            <v>1.39</v>
          </cell>
          <cell r="F189">
            <v>0.19827586206896552</v>
          </cell>
          <cell r="H189">
            <v>1.1214299999999999</v>
          </cell>
          <cell r="I189">
            <v>1.39</v>
          </cell>
        </row>
        <row r="190">
          <cell r="A190">
            <v>37806</v>
          </cell>
          <cell r="B190">
            <v>1519.76</v>
          </cell>
          <cell r="C190">
            <v>-5.4987283840839729E-2</v>
          </cell>
          <cell r="E190">
            <v>1.42</v>
          </cell>
          <cell r="F190">
            <v>0.14516129032258052</v>
          </cell>
          <cell r="H190">
            <v>1.1116699999999999</v>
          </cell>
          <cell r="I190">
            <v>1.42</v>
          </cell>
        </row>
        <row r="191">
          <cell r="A191">
            <v>37813</v>
          </cell>
          <cell r="B191">
            <v>1585.92</v>
          </cell>
          <cell r="C191">
            <v>3.8103677447940409E-3</v>
          </cell>
          <cell r="E191">
            <v>1.47</v>
          </cell>
          <cell r="F191">
            <v>0.22500000000000009</v>
          </cell>
          <cell r="H191">
            <v>1.1116699999999999</v>
          </cell>
          <cell r="I191">
            <v>1.47</v>
          </cell>
        </row>
        <row r="192">
          <cell r="A192">
            <v>37820</v>
          </cell>
          <cell r="B192">
            <v>1549.25</v>
          </cell>
          <cell r="C192">
            <v>2.1656412184039908E-2</v>
          </cell>
          <cell r="E192">
            <v>1.48</v>
          </cell>
          <cell r="F192">
            <v>0.27586206896551735</v>
          </cell>
          <cell r="H192">
            <v>1.1100000000000001</v>
          </cell>
          <cell r="I192">
            <v>1.48</v>
          </cell>
        </row>
        <row r="193">
          <cell r="A193">
            <v>37827</v>
          </cell>
          <cell r="B193">
            <v>1558.87</v>
          </cell>
          <cell r="C193">
            <v>2.7593753501954366E-2</v>
          </cell>
          <cell r="E193">
            <v>1.47</v>
          </cell>
          <cell r="F193">
            <v>0.30088495575221241</v>
          </cell>
          <cell r="H193">
            <v>1.1259999999999999</v>
          </cell>
          <cell r="I193">
            <v>1.47</v>
          </cell>
        </row>
        <row r="194">
          <cell r="A194">
            <v>37834</v>
          </cell>
          <cell r="B194">
            <v>1533.61</v>
          </cell>
          <cell r="C194">
            <v>3.1476785870420576E-2</v>
          </cell>
          <cell r="E194">
            <v>1.52</v>
          </cell>
          <cell r="F194">
            <v>0.31034482758620707</v>
          </cell>
          <cell r="H194">
            <v>1.1399999999999999</v>
          </cell>
          <cell r="I194">
            <v>1.52</v>
          </cell>
        </row>
        <row r="195">
          <cell r="A195">
            <v>37841</v>
          </cell>
          <cell r="B195">
            <v>1598.97</v>
          </cell>
          <cell r="C195">
            <v>4.3823114685606956E-2</v>
          </cell>
          <cell r="E195">
            <v>1.48</v>
          </cell>
          <cell r="F195">
            <v>0.28695652173913055</v>
          </cell>
          <cell r="H195">
            <v>1.131</v>
          </cell>
          <cell r="I195">
            <v>1.48</v>
          </cell>
        </row>
        <row r="196">
          <cell r="A196">
            <v>37848</v>
          </cell>
          <cell r="B196">
            <v>1635.34</v>
          </cell>
          <cell r="C196">
            <v>6.0518021815540557E-2</v>
          </cell>
          <cell r="E196">
            <v>1.56</v>
          </cell>
          <cell r="F196">
            <v>0.30000000000000004</v>
          </cell>
          <cell r="H196">
            <v>1.1299999999999999</v>
          </cell>
          <cell r="I196">
            <v>1.56</v>
          </cell>
        </row>
        <row r="197">
          <cell r="A197">
            <v>37855</v>
          </cell>
          <cell r="B197">
            <v>1593.58</v>
          </cell>
          <cell r="C197">
            <v>6.926560874962262E-2</v>
          </cell>
          <cell r="E197">
            <v>1.57</v>
          </cell>
          <cell r="F197">
            <v>0.27642276422764245</v>
          </cell>
          <cell r="H197">
            <v>1.145</v>
          </cell>
          <cell r="I197">
            <v>1.57</v>
          </cell>
        </row>
        <row r="198">
          <cell r="A198">
            <v>37862</v>
          </cell>
          <cell r="B198">
            <v>1610.23</v>
          </cell>
          <cell r="C198">
            <v>0.11221395663675859</v>
          </cell>
          <cell r="E198">
            <v>1.65</v>
          </cell>
          <cell r="F198">
            <v>0.35245901639344268</v>
          </cell>
          <cell r="H198">
            <v>1.1499999999999999</v>
          </cell>
          <cell r="I198">
            <v>1.65</v>
          </cell>
        </row>
        <row r="199">
          <cell r="A199">
            <v>37869</v>
          </cell>
          <cell r="B199">
            <v>1593.25</v>
          </cell>
          <cell r="C199">
            <v>0.11149480616423535</v>
          </cell>
          <cell r="E199">
            <v>1.64</v>
          </cell>
          <cell r="F199">
            <v>0.37815126050420167</v>
          </cell>
          <cell r="H199">
            <v>1.14333</v>
          </cell>
          <cell r="I199">
            <v>1.64</v>
          </cell>
        </row>
        <row r="200">
          <cell r="A200">
            <v>37876</v>
          </cell>
          <cell r="B200">
            <v>1601.23</v>
          </cell>
          <cell r="C200">
            <v>0.11265295912056761</v>
          </cell>
          <cell r="E200">
            <v>1.69</v>
          </cell>
          <cell r="F200">
            <v>0.42016806722689082</v>
          </cell>
          <cell r="H200">
            <v>1.1399999999999999</v>
          </cell>
          <cell r="I200">
            <v>1.69</v>
          </cell>
        </row>
        <row r="201">
          <cell r="A201">
            <v>37883</v>
          </cell>
          <cell r="B201">
            <v>1629.82</v>
          </cell>
          <cell r="C201">
            <v>0.2016751579676912</v>
          </cell>
          <cell r="E201">
            <v>1.73</v>
          </cell>
          <cell r="F201">
            <v>0.45378151260504196</v>
          </cell>
          <cell r="H201">
            <v>1.14167</v>
          </cell>
          <cell r="I201">
            <v>1.73</v>
          </cell>
        </row>
        <row r="202">
          <cell r="A202">
            <v>37890</v>
          </cell>
          <cell r="B202">
            <v>1644.01</v>
          </cell>
          <cell r="C202">
            <v>0.21600171600171603</v>
          </cell>
          <cell r="E202">
            <v>1.78</v>
          </cell>
          <cell r="F202">
            <v>0.52136752136752151</v>
          </cell>
          <cell r="H202">
            <v>1.1533</v>
          </cell>
          <cell r="I202">
            <v>1.78</v>
          </cell>
        </row>
        <row r="203">
          <cell r="A203">
            <v>37897</v>
          </cell>
          <cell r="B203">
            <v>1738.12</v>
          </cell>
          <cell r="C203">
            <v>0.28052455151582123</v>
          </cell>
          <cell r="E203">
            <v>1.84</v>
          </cell>
          <cell r="F203">
            <v>0.58620689655172442</v>
          </cell>
          <cell r="H203">
            <v>1.1566700000000001</v>
          </cell>
          <cell r="I203">
            <v>1.84</v>
          </cell>
        </row>
        <row r="204">
          <cell r="A204">
            <v>37904</v>
          </cell>
          <cell r="B204">
            <v>1754.19</v>
          </cell>
          <cell r="C204">
            <v>0.19656621328494839</v>
          </cell>
          <cell r="E204">
            <v>1.89</v>
          </cell>
          <cell r="F204">
            <v>0.68749999999999978</v>
          </cell>
          <cell r="H204">
            <v>1.16333</v>
          </cell>
          <cell r="I204">
            <v>1.89</v>
          </cell>
        </row>
        <row r="205">
          <cell r="A205">
            <v>37911</v>
          </cell>
          <cell r="B205">
            <v>1732.96</v>
          </cell>
          <cell r="C205">
            <v>0.18948452193012555</v>
          </cell>
          <cell r="E205">
            <v>2.0299999999999998</v>
          </cell>
          <cell r="F205">
            <v>0.70588235294117641</v>
          </cell>
          <cell r="H205">
            <v>1.1759999999999999</v>
          </cell>
          <cell r="I205">
            <v>2.0299999999999998</v>
          </cell>
        </row>
        <row r="206">
          <cell r="A206">
            <v>37918</v>
          </cell>
          <cell r="B206">
            <v>1715.3</v>
          </cell>
          <cell r="C206">
            <v>0.17215741746789948</v>
          </cell>
          <cell r="E206">
            <v>2.04</v>
          </cell>
          <cell r="F206">
            <v>0.72881355932203395</v>
          </cell>
          <cell r="H206">
            <v>1.175</v>
          </cell>
          <cell r="I206">
            <v>2.04</v>
          </cell>
        </row>
        <row r="207">
          <cell r="A207">
            <v>37925</v>
          </cell>
          <cell r="B207">
            <v>1763.13</v>
          </cell>
          <cell r="C207">
            <v>0.23610448975013343</v>
          </cell>
          <cell r="E207">
            <v>1.66</v>
          </cell>
          <cell r="F207">
            <v>0.45614035087719307</v>
          </cell>
          <cell r="H207">
            <v>1.18</v>
          </cell>
          <cell r="I207">
            <v>1.66</v>
          </cell>
        </row>
        <row r="208">
          <cell r="A208">
            <v>37932</v>
          </cell>
          <cell r="B208">
            <v>1746.74</v>
          </cell>
          <cell r="C208">
            <v>0.25559964346300923</v>
          </cell>
          <cell r="E208">
            <v>1.71</v>
          </cell>
          <cell r="F208">
            <v>0.51327433628318597</v>
          </cell>
          <cell r="H208">
            <v>1.18333</v>
          </cell>
          <cell r="I208">
            <v>1.71</v>
          </cell>
        </row>
        <row r="209">
          <cell r="A209">
            <v>37939</v>
          </cell>
          <cell r="B209">
            <v>1662.43</v>
          </cell>
          <cell r="C209">
            <v>0.1883837300736293</v>
          </cell>
          <cell r="E209">
            <v>1.64</v>
          </cell>
          <cell r="F209">
            <v>0.4137931034482758</v>
          </cell>
          <cell r="H209">
            <v>1.17</v>
          </cell>
          <cell r="I209">
            <v>1.64</v>
          </cell>
        </row>
        <row r="210">
          <cell r="A210">
            <v>37946</v>
          </cell>
          <cell r="B210">
            <v>1696.44</v>
          </cell>
          <cell r="C210">
            <v>0.20825617503774829</v>
          </cell>
          <cell r="E210">
            <v>1.58</v>
          </cell>
          <cell r="F210">
            <v>0.32773109243697496</v>
          </cell>
          <cell r="H210">
            <v>1.17</v>
          </cell>
          <cell r="I210">
            <v>1.58</v>
          </cell>
        </row>
        <row r="211">
          <cell r="A211">
            <v>37953</v>
          </cell>
          <cell r="B211">
            <v>1732.01</v>
          </cell>
          <cell r="C211">
            <v>0.26837002211579297</v>
          </cell>
          <cell r="E211">
            <v>1.65</v>
          </cell>
          <cell r="F211">
            <v>0.375</v>
          </cell>
          <cell r="H211">
            <v>1.18</v>
          </cell>
          <cell r="I211">
            <v>1.65</v>
          </cell>
        </row>
        <row r="212">
          <cell r="A212">
            <v>37960</v>
          </cell>
          <cell r="B212">
            <v>1720.19</v>
          </cell>
          <cell r="C212">
            <v>0.24495378981421845</v>
          </cell>
          <cell r="E212">
            <v>1.67</v>
          </cell>
          <cell r="F212">
            <v>0.4152542372881356</v>
          </cell>
          <cell r="H212">
            <v>1.17</v>
          </cell>
          <cell r="I212">
            <v>1.67</v>
          </cell>
        </row>
        <row r="213">
          <cell r="A213">
            <v>37967</v>
          </cell>
          <cell r="B213">
            <v>1715.63</v>
          </cell>
          <cell r="C213">
            <v>0.26649343363132361</v>
          </cell>
          <cell r="E213">
            <v>1.61</v>
          </cell>
          <cell r="F213">
            <v>0.40000000000000013</v>
          </cell>
          <cell r="H213">
            <v>1.1719999999999999</v>
          </cell>
          <cell r="I213">
            <v>1.61</v>
          </cell>
        </row>
        <row r="214">
          <cell r="A214">
            <v>37974</v>
          </cell>
          <cell r="B214">
            <v>1725.99</v>
          </cell>
          <cell r="C214">
            <v>0.2963235570242968</v>
          </cell>
          <cell r="E214">
            <v>1.63</v>
          </cell>
          <cell r="F214">
            <v>0.3931623931623931</v>
          </cell>
          <cell r="H214">
            <v>1.17</v>
          </cell>
          <cell r="I214">
            <v>1.63</v>
          </cell>
        </row>
        <row r="215">
          <cell r="A215">
            <v>37981</v>
          </cell>
          <cell r="B215">
            <v>1764.52</v>
          </cell>
          <cell r="C215">
            <v>0.32076827497417626</v>
          </cell>
          <cell r="E215">
            <v>1.65</v>
          </cell>
          <cell r="F215">
            <v>0.375</v>
          </cell>
          <cell r="H215">
            <v>1.1519999999999999</v>
          </cell>
          <cell r="I215">
            <v>1.65</v>
          </cell>
        </row>
        <row r="216">
          <cell r="A216">
            <v>37988</v>
          </cell>
          <cell r="B216">
            <v>1841.68</v>
          </cell>
          <cell r="C216">
            <v>0.37944258439505973</v>
          </cell>
          <cell r="E216">
            <v>1.71</v>
          </cell>
          <cell r="F216">
            <v>0.39024390243902429</v>
          </cell>
          <cell r="H216">
            <v>1.14333</v>
          </cell>
          <cell r="I216">
            <v>1.71</v>
          </cell>
        </row>
        <row r="217">
          <cell r="A217">
            <v>37995</v>
          </cell>
          <cell r="B217">
            <v>1829.98</v>
          </cell>
          <cell r="C217">
            <v>0.3265338668522384</v>
          </cell>
          <cell r="E217">
            <v>1.82</v>
          </cell>
          <cell r="F217">
            <v>0.51666666666666683</v>
          </cell>
          <cell r="H217">
            <v>1.1220000000000001</v>
          </cell>
          <cell r="I217">
            <v>1.82</v>
          </cell>
        </row>
        <row r="218">
          <cell r="A218">
            <v>38002</v>
          </cell>
          <cell r="B218">
            <v>1889.56</v>
          </cell>
          <cell r="C218">
            <v>0.38489163814395955</v>
          </cell>
          <cell r="E218">
            <v>1.83</v>
          </cell>
          <cell r="F218">
            <v>0.46399999999999997</v>
          </cell>
          <cell r="H218">
            <v>1.1200000000000001</v>
          </cell>
          <cell r="I218">
            <v>1.83</v>
          </cell>
        </row>
        <row r="219">
          <cell r="A219">
            <v>38009</v>
          </cell>
          <cell r="B219">
            <v>1842.32</v>
          </cell>
          <cell r="C219">
            <v>0.42166387579192666</v>
          </cell>
          <cell r="E219">
            <v>1.85</v>
          </cell>
          <cell r="F219">
            <v>0.49193548387096775</v>
          </cell>
          <cell r="H219">
            <v>1.135</v>
          </cell>
          <cell r="I219">
            <v>1.85</v>
          </cell>
        </row>
        <row r="220">
          <cell r="A220">
            <v>38016</v>
          </cell>
          <cell r="B220">
            <v>1828.66</v>
          </cell>
          <cell r="C220">
            <v>0.42017505028618474</v>
          </cell>
          <cell r="E220">
            <v>1.77</v>
          </cell>
          <cell r="F220">
            <v>0.42741935483870974</v>
          </cell>
          <cell r="H220">
            <v>1.1299999999999999</v>
          </cell>
          <cell r="I220">
            <v>1.77</v>
          </cell>
        </row>
        <row r="221">
          <cell r="A221">
            <v>38023</v>
          </cell>
          <cell r="B221">
            <v>1862.94</v>
          </cell>
          <cell r="C221">
            <v>0.46881332145419585</v>
          </cell>
          <cell r="E221">
            <v>1.77</v>
          </cell>
          <cell r="F221">
            <v>0.42741935483870974</v>
          </cell>
          <cell r="H221">
            <v>1.1200000000000001</v>
          </cell>
          <cell r="I221">
            <v>1.77</v>
          </cell>
        </row>
        <row r="222">
          <cell r="A222">
            <v>38030</v>
          </cell>
          <cell r="B222">
            <v>1889.96</v>
          </cell>
          <cell r="C222">
            <v>0.44006827134813054</v>
          </cell>
          <cell r="E222">
            <v>1.75</v>
          </cell>
          <cell r="F222">
            <v>0.45833333333333348</v>
          </cell>
          <cell r="H222">
            <v>1.1180000000000001</v>
          </cell>
          <cell r="I222">
            <v>1.75</v>
          </cell>
        </row>
        <row r="223">
          <cell r="A223">
            <v>38037</v>
          </cell>
          <cell r="B223">
            <v>1888.7</v>
          </cell>
          <cell r="C223">
            <v>0.48570304818092436</v>
          </cell>
          <cell r="E223">
            <v>1.76</v>
          </cell>
          <cell r="F223">
            <v>0.40799999999999992</v>
          </cell>
          <cell r="H223">
            <v>1.1200000000000001</v>
          </cell>
          <cell r="I223">
            <v>1.76</v>
          </cell>
        </row>
        <row r="224">
          <cell r="A224">
            <v>38044</v>
          </cell>
          <cell r="B224">
            <v>1893.01</v>
          </cell>
          <cell r="C224">
            <v>0.52193243395346611</v>
          </cell>
          <cell r="E224">
            <v>1.76</v>
          </cell>
          <cell r="F224">
            <v>0.41935483870967749</v>
          </cell>
          <cell r="H224">
            <v>1.1200000000000001</v>
          </cell>
          <cell r="I224">
            <v>1.76</v>
          </cell>
        </row>
        <row r="225">
          <cell r="A225">
            <v>38051</v>
          </cell>
          <cell r="B225">
            <v>1847.78</v>
          </cell>
          <cell r="C225">
            <v>0.50010147998408794</v>
          </cell>
          <cell r="E225">
            <v>1.74</v>
          </cell>
          <cell r="F225">
            <v>0.43801652892561993</v>
          </cell>
          <cell r="H225">
            <v>1.1100000000000001</v>
          </cell>
          <cell r="I225">
            <v>1.74</v>
          </cell>
        </row>
        <row r="226">
          <cell r="A226">
            <v>38058</v>
          </cell>
          <cell r="B226">
            <v>1835.18</v>
          </cell>
          <cell r="C226">
            <v>0.40286048449360545</v>
          </cell>
          <cell r="E226">
            <v>1.66</v>
          </cell>
          <cell r="F226">
            <v>0.36065573770491799</v>
          </cell>
          <cell r="H226">
            <v>1.1100000000000001</v>
          </cell>
          <cell r="I226">
            <v>1.66</v>
          </cell>
        </row>
        <row r="227">
          <cell r="A227">
            <v>38065</v>
          </cell>
          <cell r="B227">
            <v>1830.4</v>
          </cell>
          <cell r="C227">
            <v>0.39336961900049472</v>
          </cell>
          <cell r="E227">
            <v>1.64</v>
          </cell>
          <cell r="F227">
            <v>0.32258064516129026</v>
          </cell>
          <cell r="H227">
            <v>1.10833</v>
          </cell>
          <cell r="I227">
            <v>1.64</v>
          </cell>
        </row>
        <row r="228">
          <cell r="A228">
            <v>38072</v>
          </cell>
          <cell r="B228">
            <v>1870.7</v>
          </cell>
          <cell r="C228">
            <v>0.4361938980760669</v>
          </cell>
          <cell r="E228">
            <v>1.67</v>
          </cell>
          <cell r="F228">
            <v>0.34677419354838701</v>
          </cell>
          <cell r="H228">
            <v>1.1100000000000001</v>
          </cell>
          <cell r="I228">
            <v>1.67</v>
          </cell>
        </row>
        <row r="229">
          <cell r="A229">
            <v>38079</v>
          </cell>
          <cell r="B229">
            <v>1901.92</v>
          </cell>
          <cell r="C229">
            <v>0.46763278314080448</v>
          </cell>
          <cell r="E229">
            <v>1.69</v>
          </cell>
          <cell r="F229">
            <v>0.3203125</v>
          </cell>
          <cell r="H229">
            <v>1.13714</v>
          </cell>
          <cell r="I229">
            <v>1.69</v>
          </cell>
        </row>
        <row r="230">
          <cell r="A230">
            <v>38086</v>
          </cell>
          <cell r="B230">
            <v>1844.38</v>
          </cell>
          <cell r="C230">
            <v>0.43810184715908651</v>
          </cell>
          <cell r="E230">
            <v>1.74</v>
          </cell>
          <cell r="F230">
            <v>0.34883720930232553</v>
          </cell>
          <cell r="H230">
            <v>1.1499999999999999</v>
          </cell>
          <cell r="I230">
            <v>1.74</v>
          </cell>
        </row>
        <row r="231">
          <cell r="A231">
            <v>38093</v>
          </cell>
          <cell r="B231">
            <v>1863.71</v>
          </cell>
          <cell r="C231">
            <v>0.49935237850057534</v>
          </cell>
          <cell r="E231">
            <v>1.68</v>
          </cell>
          <cell r="F231">
            <v>0.34399999999999986</v>
          </cell>
          <cell r="H231">
            <v>1.16167</v>
          </cell>
          <cell r="I231">
            <v>1.68</v>
          </cell>
        </row>
        <row r="232">
          <cell r="A232">
            <v>38100</v>
          </cell>
          <cell r="B232">
            <v>1812.13</v>
          </cell>
          <cell r="C232">
            <v>0.41425706102253135</v>
          </cell>
          <cell r="E232">
            <v>1.69</v>
          </cell>
          <cell r="F232">
            <v>0.43220338983050843</v>
          </cell>
          <cell r="H232">
            <v>1.1679999999999999</v>
          </cell>
          <cell r="I232">
            <v>1.69</v>
          </cell>
        </row>
        <row r="233">
          <cell r="A233">
            <v>38107</v>
          </cell>
          <cell r="B233">
            <v>1866.61</v>
          </cell>
          <cell r="C233">
            <v>0.41634102480442503</v>
          </cell>
          <cell r="E233">
            <v>1.63</v>
          </cell>
          <cell r="F233">
            <v>0.30399999999999983</v>
          </cell>
          <cell r="H233">
            <v>1.18</v>
          </cell>
          <cell r="I233">
            <v>1.63</v>
          </cell>
        </row>
        <row r="234">
          <cell r="A234">
            <v>38114</v>
          </cell>
          <cell r="B234">
            <v>1778.59</v>
          </cell>
          <cell r="C234">
            <v>0.35666666666666669</v>
          </cell>
          <cell r="E234">
            <v>1.65</v>
          </cell>
          <cell r="F234">
            <v>0.33064516129032251</v>
          </cell>
          <cell r="H234">
            <v>1.2450000000000001</v>
          </cell>
          <cell r="I234">
            <v>1.65</v>
          </cell>
        </row>
        <row r="235">
          <cell r="A235">
            <v>38121</v>
          </cell>
          <cell r="B235">
            <v>1741.57</v>
          </cell>
          <cell r="C235">
            <v>0.33382093895994469</v>
          </cell>
          <cell r="E235">
            <v>1.63</v>
          </cell>
          <cell r="F235">
            <v>0.30399999999999983</v>
          </cell>
          <cell r="H235">
            <v>1.28</v>
          </cell>
          <cell r="I235">
            <v>1.63</v>
          </cell>
        </row>
        <row r="236">
          <cell r="A236">
            <v>38128</v>
          </cell>
          <cell r="B236">
            <v>1778.55</v>
          </cell>
          <cell r="C236">
            <v>0.32303057353269371</v>
          </cell>
          <cell r="E236">
            <v>1.56</v>
          </cell>
          <cell r="F236">
            <v>0.20930232558139528</v>
          </cell>
          <cell r="H236">
            <v>1.31</v>
          </cell>
          <cell r="I236">
            <v>1.56</v>
          </cell>
        </row>
        <row r="237">
          <cell r="A237">
            <v>38135</v>
          </cell>
          <cell r="B237">
            <v>1780.88</v>
          </cell>
          <cell r="C237">
            <v>0.24745553757678929</v>
          </cell>
          <cell r="E237">
            <v>1.59</v>
          </cell>
          <cell r="F237">
            <v>0.23255813953488369</v>
          </cell>
          <cell r="H237">
            <v>1.355</v>
          </cell>
          <cell r="I237">
            <v>1.59</v>
          </cell>
        </row>
        <row r="238">
          <cell r="A238">
            <v>38142</v>
          </cell>
          <cell r="B238">
            <v>1828.79</v>
          </cell>
          <cell r="C238">
            <v>0.23616171311536349</v>
          </cell>
          <cell r="E238">
            <v>1.62</v>
          </cell>
          <cell r="F238">
            <v>0.19117647058823528</v>
          </cell>
          <cell r="H238">
            <v>1.4650000000000001</v>
          </cell>
          <cell r="I238">
            <v>1.62</v>
          </cell>
        </row>
        <row r="239">
          <cell r="A239">
            <v>38149</v>
          </cell>
          <cell r="B239">
            <v>1814.15</v>
          </cell>
          <cell r="C239">
            <v>0.19261742760411527</v>
          </cell>
          <cell r="E239">
            <v>1.6</v>
          </cell>
          <cell r="F239">
            <v>0.11888111888111896</v>
          </cell>
          <cell r="H239">
            <v>1.55</v>
          </cell>
          <cell r="I239">
            <v>1.6</v>
          </cell>
        </row>
        <row r="240">
          <cell r="A240">
            <v>38156</v>
          </cell>
          <cell r="B240">
            <v>1799.48</v>
          </cell>
          <cell r="C240">
            <v>0.23419431832210802</v>
          </cell>
          <cell r="E240">
            <v>1.59</v>
          </cell>
          <cell r="F240">
            <v>0.14388489208633115</v>
          </cell>
          <cell r="H240">
            <v>1.577</v>
          </cell>
          <cell r="I240">
            <v>1.59</v>
          </cell>
        </row>
        <row r="241">
          <cell r="A241">
            <v>38163</v>
          </cell>
          <cell r="B241">
            <v>1844.18</v>
          </cell>
          <cell r="C241">
            <v>0.24360556465915439</v>
          </cell>
          <cell r="E241">
            <v>1.62</v>
          </cell>
          <cell r="F241">
            <v>0.16546762589928066</v>
          </cell>
          <cell r="H241">
            <v>1.6</v>
          </cell>
          <cell r="I241">
            <v>1.62</v>
          </cell>
        </row>
        <row r="242">
          <cell r="A242">
            <v>38170</v>
          </cell>
          <cell r="B242">
            <v>1860.5</v>
          </cell>
          <cell r="C242">
            <v>0.22420645365057634</v>
          </cell>
          <cell r="E242">
            <v>1.7</v>
          </cell>
          <cell r="F242">
            <v>0.19718309859154926</v>
          </cell>
          <cell r="H242">
            <v>1.58571</v>
          </cell>
          <cell r="I242">
            <v>1.7</v>
          </cell>
        </row>
        <row r="243">
          <cell r="A243">
            <v>38177</v>
          </cell>
          <cell r="B243">
            <v>1867.56</v>
          </cell>
          <cell r="C243">
            <v>0.17758777239709445</v>
          </cell>
          <cell r="E243">
            <v>1.71</v>
          </cell>
          <cell r="F243">
            <v>0.16326530612244894</v>
          </cell>
          <cell r="H243">
            <v>1.62</v>
          </cell>
          <cell r="I243">
            <v>1.71</v>
          </cell>
        </row>
        <row r="244">
          <cell r="A244">
            <v>38184</v>
          </cell>
          <cell r="B244">
            <v>1862.97</v>
          </cell>
          <cell r="C244">
            <v>0.20249798289494914</v>
          </cell>
          <cell r="E244">
            <v>1.66</v>
          </cell>
          <cell r="F244">
            <v>0.12162162162162149</v>
          </cell>
          <cell r="H244">
            <v>1.66</v>
          </cell>
          <cell r="I244">
            <v>1.66</v>
          </cell>
        </row>
        <row r="245">
          <cell r="A245">
            <v>38191</v>
          </cell>
          <cell r="B245">
            <v>1892.11</v>
          </cell>
          <cell r="C245">
            <v>0.21377023100066084</v>
          </cell>
          <cell r="E245">
            <v>1.64</v>
          </cell>
          <cell r="F245">
            <v>0.11564625850340127</v>
          </cell>
          <cell r="H245">
            <v>1.6910000000000001</v>
          </cell>
          <cell r="I245">
            <v>1.64</v>
          </cell>
        </row>
        <row r="246">
          <cell r="A246">
            <v>38198</v>
          </cell>
          <cell r="B246">
            <v>1935.7</v>
          </cell>
          <cell r="C246">
            <v>0.26218530134780038</v>
          </cell>
          <cell r="E246">
            <v>1.74</v>
          </cell>
          <cell r="F246">
            <v>0.14473684210526305</v>
          </cell>
          <cell r="H246">
            <v>1.7170000000000001</v>
          </cell>
          <cell r="I246">
            <v>1.74</v>
          </cell>
        </row>
        <row r="247">
          <cell r="A247">
            <v>38205</v>
          </cell>
          <cell r="B247">
            <v>1888.18</v>
          </cell>
          <cell r="C247">
            <v>0.18087268679212243</v>
          </cell>
          <cell r="E247">
            <v>1.76</v>
          </cell>
          <cell r="F247">
            <v>0.18918918918918926</v>
          </cell>
          <cell r="H247">
            <v>1.7183299999999999</v>
          </cell>
          <cell r="I247">
            <v>1.76</v>
          </cell>
        </row>
        <row r="248">
          <cell r="A248">
            <v>38212</v>
          </cell>
          <cell r="B248">
            <v>1907.05</v>
          </cell>
          <cell r="C248">
            <v>0.16614893538958264</v>
          </cell>
          <cell r="E248">
            <v>1.74</v>
          </cell>
          <cell r="F248">
            <v>0.11538461538461542</v>
          </cell>
          <cell r="H248">
            <v>1.7383299999999999</v>
          </cell>
          <cell r="I248">
            <v>1.74</v>
          </cell>
        </row>
        <row r="249">
          <cell r="A249">
            <v>38219</v>
          </cell>
          <cell r="B249">
            <v>1919.1</v>
          </cell>
          <cell r="C249">
            <v>0.20426963189799063</v>
          </cell>
          <cell r="E249">
            <v>1.74</v>
          </cell>
          <cell r="F249">
            <v>0.10828025477707004</v>
          </cell>
          <cell r="H249">
            <v>1.7857099999999999</v>
          </cell>
          <cell r="I249">
            <v>1.74</v>
          </cell>
        </row>
        <row r="250">
          <cell r="A250">
            <v>38226</v>
          </cell>
          <cell r="B250">
            <v>1940.86</v>
          </cell>
          <cell r="C250">
            <v>0.20533091545928217</v>
          </cell>
          <cell r="E250">
            <v>1.78</v>
          </cell>
          <cell r="F250">
            <v>7.8787878787878851E-2</v>
          </cell>
          <cell r="H250">
            <v>1.8108299999999999</v>
          </cell>
          <cell r="I250">
            <v>1.78</v>
          </cell>
        </row>
        <row r="251">
          <cell r="A251">
            <v>38233</v>
          </cell>
          <cell r="B251">
            <v>1965.28</v>
          </cell>
          <cell r="C251">
            <v>0.23350384434332327</v>
          </cell>
          <cell r="E251">
            <v>1.84</v>
          </cell>
          <cell r="F251">
            <v>0.12195121951219523</v>
          </cell>
          <cell r="H251">
            <v>1.875</v>
          </cell>
          <cell r="I251">
            <v>1.84</v>
          </cell>
        </row>
        <row r="252">
          <cell r="A252">
            <v>38240</v>
          </cell>
          <cell r="B252">
            <v>1997.12</v>
          </cell>
          <cell r="C252">
            <v>0.24724118334030698</v>
          </cell>
          <cell r="E252">
            <v>1.87</v>
          </cell>
          <cell r="F252">
            <v>0.10650887573964507</v>
          </cell>
          <cell r="H252">
            <v>1.9075</v>
          </cell>
          <cell r="I252">
            <v>1.87</v>
          </cell>
        </row>
        <row r="253">
          <cell r="A253">
            <v>38247</v>
          </cell>
          <cell r="B253">
            <v>1988.64</v>
          </cell>
          <cell r="C253">
            <v>0.22015928139303731</v>
          </cell>
          <cell r="E253">
            <v>1.89</v>
          </cell>
          <cell r="F253">
            <v>9.2485549132947931E-2</v>
          </cell>
          <cell r="H253">
            <v>1.9491700000000001</v>
          </cell>
          <cell r="I253">
            <v>1.89</v>
          </cell>
        </row>
        <row r="254">
          <cell r="A254">
            <v>38254</v>
          </cell>
          <cell r="B254">
            <v>1984.74</v>
          </cell>
          <cell r="C254">
            <v>0.2072554303197669</v>
          </cell>
          <cell r="E254">
            <v>1.75</v>
          </cell>
          <cell r="F254">
            <v>-1.6853932584269704E-2</v>
          </cell>
          <cell r="H254">
            <v>2.0164300000000002</v>
          </cell>
          <cell r="I254">
            <v>1.75</v>
          </cell>
        </row>
        <row r="255">
          <cell r="A255">
            <v>38261</v>
          </cell>
          <cell r="B255">
            <v>2006.19</v>
          </cell>
          <cell r="C255">
            <v>0.15422985754723495</v>
          </cell>
          <cell r="E255">
            <v>1.76</v>
          </cell>
          <cell r="F255">
            <v>-4.3478260869565299E-2</v>
          </cell>
          <cell r="H255">
            <v>2.0649999999999999</v>
          </cell>
          <cell r="I255">
            <v>1.76</v>
          </cell>
        </row>
        <row r="256">
          <cell r="A256">
            <v>38268</v>
          </cell>
          <cell r="B256">
            <v>1951.47</v>
          </cell>
          <cell r="C256">
            <v>0.11246216202349801</v>
          </cell>
          <cell r="E256">
            <v>1.77</v>
          </cell>
          <cell r="F256">
            <v>-6.3492063492063489E-2</v>
          </cell>
          <cell r="H256">
            <v>2.0699999999999998</v>
          </cell>
          <cell r="I256">
            <v>1.77</v>
          </cell>
        </row>
        <row r="257">
          <cell r="A257">
            <v>38275</v>
          </cell>
          <cell r="B257">
            <v>1969.18</v>
          </cell>
          <cell r="C257">
            <v>0.13631012833533385</v>
          </cell>
          <cell r="E257">
            <v>1.74</v>
          </cell>
          <cell r="F257">
            <v>-0.14285714285714279</v>
          </cell>
          <cell r="H257">
            <v>2.1014300000000001</v>
          </cell>
          <cell r="I257">
            <v>1.74</v>
          </cell>
        </row>
        <row r="258">
          <cell r="A258">
            <v>38282</v>
          </cell>
          <cell r="B258">
            <v>1988.05</v>
          </cell>
          <cell r="C258">
            <v>0.15901008569929465</v>
          </cell>
          <cell r="E258">
            <v>1.73</v>
          </cell>
          <cell r="F258">
            <v>-0.15196078431372551</v>
          </cell>
          <cell r="H258">
            <v>2.1583299999999999</v>
          </cell>
          <cell r="I258">
            <v>1.73</v>
          </cell>
        </row>
        <row r="259">
          <cell r="A259">
            <v>38289</v>
          </cell>
          <cell r="B259">
            <v>2010.65</v>
          </cell>
          <cell r="C259">
            <v>0.14038669865523246</v>
          </cell>
          <cell r="E259">
            <v>1.76</v>
          </cell>
          <cell r="F259">
            <v>6.024096385542177E-2</v>
          </cell>
          <cell r="H259">
            <v>2.202</v>
          </cell>
          <cell r="I259">
            <v>1.76</v>
          </cell>
        </row>
        <row r="260">
          <cell r="A260">
            <v>38296</v>
          </cell>
          <cell r="B260">
            <v>2022.99</v>
          </cell>
          <cell r="C260">
            <v>0.15815175698730211</v>
          </cell>
          <cell r="E260">
            <v>1.75</v>
          </cell>
          <cell r="F260">
            <v>2.3391812865497075E-2</v>
          </cell>
          <cell r="H260">
            <v>2.29</v>
          </cell>
          <cell r="I260">
            <v>1.75</v>
          </cell>
        </row>
        <row r="261">
          <cell r="A261">
            <v>38303</v>
          </cell>
          <cell r="B261">
            <v>2032.62</v>
          </cell>
          <cell r="C261">
            <v>0.22268005269394786</v>
          </cell>
          <cell r="E261">
            <v>1.79</v>
          </cell>
          <cell r="F261">
            <v>9.1463414634146423E-2</v>
          </cell>
          <cell r="H261">
            <v>2.34</v>
          </cell>
          <cell r="I261">
            <v>1.79</v>
          </cell>
        </row>
        <row r="262">
          <cell r="A262">
            <v>38310</v>
          </cell>
          <cell r="B262">
            <v>2034.88</v>
          </cell>
          <cell r="C262">
            <v>0.19950012968333697</v>
          </cell>
          <cell r="E262">
            <v>1.76</v>
          </cell>
          <cell r="F262">
            <v>0.11392405063291133</v>
          </cell>
          <cell r="H262">
            <v>2.3914300000000002</v>
          </cell>
          <cell r="I262">
            <v>1.76</v>
          </cell>
        </row>
        <row r="263">
          <cell r="A263">
            <v>38317</v>
          </cell>
          <cell r="B263">
            <v>2062.7600000000002</v>
          </cell>
          <cell r="C263">
            <v>0.1909631006749386</v>
          </cell>
          <cell r="E263">
            <v>1.72</v>
          </cell>
          <cell r="F263">
            <v>4.2424242424242475E-2</v>
          </cell>
          <cell r="H263">
            <v>2.4333300000000002</v>
          </cell>
          <cell r="I263">
            <v>1.72</v>
          </cell>
        </row>
        <row r="264">
          <cell r="A264">
            <v>38324</v>
          </cell>
          <cell r="B264">
            <v>1999.14</v>
          </cell>
          <cell r="C264">
            <v>0.1621623192786843</v>
          </cell>
          <cell r="E264">
            <v>1.75</v>
          </cell>
          <cell r="F264">
            <v>4.7904191616766401E-2</v>
          </cell>
          <cell r="H264">
            <v>2.47071</v>
          </cell>
          <cell r="I264">
            <v>1.75</v>
          </cell>
        </row>
        <row r="265">
          <cell r="A265">
            <v>38331</v>
          </cell>
          <cell r="B265">
            <v>2034.3</v>
          </cell>
          <cell r="C265">
            <v>0.18574517815612923</v>
          </cell>
          <cell r="E265">
            <v>1.71</v>
          </cell>
          <cell r="F265">
            <v>6.211180124223592E-2</v>
          </cell>
          <cell r="H265">
            <v>2.5099999999999998</v>
          </cell>
          <cell r="I265">
            <v>1.71</v>
          </cell>
        </row>
        <row r="266">
          <cell r="A266">
            <v>38338</v>
          </cell>
          <cell r="B266">
            <v>2055.48</v>
          </cell>
          <cell r="C266">
            <v>0.19089913614794995</v>
          </cell>
          <cell r="E266">
            <v>1.75</v>
          </cell>
          <cell r="F266">
            <v>7.361963190184051E-2</v>
          </cell>
          <cell r="H266">
            <v>2.53714</v>
          </cell>
          <cell r="I266">
            <v>1.75</v>
          </cell>
        </row>
        <row r="267">
          <cell r="A267">
            <v>38345</v>
          </cell>
          <cell r="B267">
            <v>2061.56</v>
          </cell>
          <cell r="C267">
            <v>0.16834039852197757</v>
          </cell>
          <cell r="E267">
            <v>1.79</v>
          </cell>
          <cell r="F267">
            <v>8.4848484848484951E-2</v>
          </cell>
          <cell r="H267">
            <v>2.5614300000000001</v>
          </cell>
          <cell r="I267">
            <v>1.79</v>
          </cell>
        </row>
        <row r="268">
          <cell r="A268">
            <v>38352</v>
          </cell>
          <cell r="B268">
            <v>2089.8200000000002</v>
          </cell>
          <cell r="C268">
            <v>0.13473567612180193</v>
          </cell>
          <cell r="E268">
            <v>1.79</v>
          </cell>
          <cell r="F268">
            <v>4.6783625730994149E-2</v>
          </cell>
          <cell r="H268">
            <v>2.61</v>
          </cell>
          <cell r="I268">
            <v>1.79</v>
          </cell>
        </row>
        <row r="269">
          <cell r="A269">
            <v>38359</v>
          </cell>
          <cell r="B269">
            <v>2082.34</v>
          </cell>
          <cell r="C269">
            <v>0.13790314648247537</v>
          </cell>
          <cell r="E269">
            <v>1.86</v>
          </cell>
          <cell r="F269">
            <v>2.19780219780219E-2</v>
          </cell>
          <cell r="H269">
            <v>2.6658300000000001</v>
          </cell>
          <cell r="I269">
            <v>1.86</v>
          </cell>
        </row>
        <row r="270">
          <cell r="A270">
            <v>38366</v>
          </cell>
          <cell r="B270">
            <v>2085.39</v>
          </cell>
          <cell r="C270">
            <v>0.1036378839518195</v>
          </cell>
          <cell r="E270">
            <v>1.92</v>
          </cell>
          <cell r="F270">
            <v>4.9180327868852292E-2</v>
          </cell>
          <cell r="H270">
            <v>2.6935699999999998</v>
          </cell>
          <cell r="I270">
            <v>1.92</v>
          </cell>
        </row>
        <row r="271">
          <cell r="A271">
            <v>38373</v>
          </cell>
          <cell r="B271">
            <v>2073.12</v>
          </cell>
          <cell r="C271">
            <v>0.1252768248729863</v>
          </cell>
          <cell r="E271">
            <v>1.88</v>
          </cell>
          <cell r="F271">
            <v>1.6216216216216051E-2</v>
          </cell>
          <cell r="H271">
            <v>2.73</v>
          </cell>
          <cell r="I271">
            <v>1.88</v>
          </cell>
        </row>
        <row r="272">
          <cell r="A272">
            <v>38380</v>
          </cell>
          <cell r="B272">
            <v>2108.16</v>
          </cell>
          <cell r="C272">
            <v>0.15284415911104299</v>
          </cell>
          <cell r="E272">
            <v>1.87</v>
          </cell>
          <cell r="F272">
            <v>5.6497175141243083E-2</v>
          </cell>
          <cell r="H272">
            <v>2.7657099999999999</v>
          </cell>
          <cell r="I272">
            <v>1.87</v>
          </cell>
        </row>
        <row r="273">
          <cell r="A273">
            <v>38387</v>
          </cell>
          <cell r="B273">
            <v>2140.16</v>
          </cell>
          <cell r="C273">
            <v>0.14880779842614356</v>
          </cell>
          <cell r="E273">
            <v>1.83</v>
          </cell>
          <cell r="F273">
            <v>3.3898305084745894E-2</v>
          </cell>
          <cell r="H273">
            <v>2.7749999999999999</v>
          </cell>
          <cell r="I273">
            <v>1.83</v>
          </cell>
        </row>
        <row r="274">
          <cell r="A274">
            <v>38394</v>
          </cell>
          <cell r="B274">
            <v>2164.1999999999998</v>
          </cell>
          <cell r="C274">
            <v>0.14510360007619205</v>
          </cell>
          <cell r="E274">
            <v>1.81</v>
          </cell>
          <cell r="F274">
            <v>3.4285714285714253E-2</v>
          </cell>
          <cell r="H274">
            <v>2.8475000000000001</v>
          </cell>
          <cell r="I274">
            <v>1.81</v>
          </cell>
        </row>
        <row r="275">
          <cell r="A275">
            <v>38401</v>
          </cell>
          <cell r="B275">
            <v>2152.59</v>
          </cell>
          <cell r="C275">
            <v>0.1397204426324985</v>
          </cell>
          <cell r="E275">
            <v>1.9</v>
          </cell>
          <cell r="F275">
            <v>7.9545454545454586E-2</v>
          </cell>
          <cell r="H275">
            <v>2.89107</v>
          </cell>
          <cell r="I275">
            <v>1.9</v>
          </cell>
        </row>
        <row r="276">
          <cell r="A276">
            <v>38408</v>
          </cell>
          <cell r="B276">
            <v>2147.5300000000002</v>
          </cell>
          <cell r="C276">
            <v>0.13445253854971728</v>
          </cell>
          <cell r="E276">
            <v>1.9</v>
          </cell>
          <cell r="F276">
            <v>7.9545454545454586E-2</v>
          </cell>
          <cell r="H276">
            <v>2.9528599999999998</v>
          </cell>
          <cell r="I276">
            <v>1.9</v>
          </cell>
        </row>
        <row r="277">
          <cell r="A277">
            <v>38415</v>
          </cell>
          <cell r="B277">
            <v>2170.1999999999998</v>
          </cell>
          <cell r="C277">
            <v>0.17449046964465453</v>
          </cell>
          <cell r="E277">
            <v>2.02</v>
          </cell>
          <cell r="F277">
            <v>0.16091954022988508</v>
          </cell>
          <cell r="H277">
            <v>2.9950000000000001</v>
          </cell>
          <cell r="I277">
            <v>2.02</v>
          </cell>
        </row>
        <row r="278">
          <cell r="A278">
            <v>38422</v>
          </cell>
          <cell r="B278">
            <v>2159.89</v>
          </cell>
          <cell r="C278">
            <v>0.17693632232260592</v>
          </cell>
          <cell r="E278">
            <v>2.08</v>
          </cell>
          <cell r="F278">
            <v>0.25301204819277112</v>
          </cell>
          <cell r="H278">
            <v>3.05</v>
          </cell>
          <cell r="I278">
            <v>2.08</v>
          </cell>
        </row>
        <row r="279">
          <cell r="A279">
            <v>38429</v>
          </cell>
          <cell r="B279">
            <v>2151.4499999999998</v>
          </cell>
          <cell r="C279">
            <v>0.17539881993006978</v>
          </cell>
          <cell r="E279">
            <v>2.11</v>
          </cell>
          <cell r="F279">
            <v>0.28658536585365857</v>
          </cell>
          <cell r="H279">
            <v>3.09</v>
          </cell>
          <cell r="I279">
            <v>2.11</v>
          </cell>
        </row>
        <row r="280">
          <cell r="A280">
            <v>38436</v>
          </cell>
          <cell r="B280">
            <v>2141.4299999999998</v>
          </cell>
          <cell r="C280">
            <v>0.14472122734805137</v>
          </cell>
          <cell r="E280">
            <v>2.1</v>
          </cell>
          <cell r="F280">
            <v>0.2574850299401199</v>
          </cell>
          <cell r="H280">
            <v>3.1116700000000002</v>
          </cell>
          <cell r="I280">
            <v>2.1</v>
          </cell>
        </row>
        <row r="281">
          <cell r="A281">
            <v>38443</v>
          </cell>
          <cell r="B281">
            <v>2176.39</v>
          </cell>
          <cell r="C281">
            <v>0.14431206359888948</v>
          </cell>
          <cell r="E281">
            <v>2.08</v>
          </cell>
          <cell r="F281">
            <v>0.23076923076923084</v>
          </cell>
          <cell r="H281">
            <v>3.1271399999999998</v>
          </cell>
          <cell r="I281">
            <v>2.08</v>
          </cell>
        </row>
        <row r="282">
          <cell r="A282">
            <v>38450</v>
          </cell>
          <cell r="B282">
            <v>2168.59</v>
          </cell>
          <cell r="C282">
            <v>0.17578264782745423</v>
          </cell>
          <cell r="E282">
            <v>2.11</v>
          </cell>
          <cell r="F282">
            <v>0.21264367816091956</v>
          </cell>
          <cell r="H282">
            <v>3.1485699999999999</v>
          </cell>
          <cell r="I282">
            <v>2.11</v>
          </cell>
        </row>
        <row r="283">
          <cell r="A283">
            <v>38457</v>
          </cell>
          <cell r="B283">
            <v>2137.73</v>
          </cell>
          <cell r="C283">
            <v>0.14702931250033524</v>
          </cell>
          <cell r="E283">
            <v>2.0699999999999998</v>
          </cell>
          <cell r="F283">
            <v>0.23214285714285698</v>
          </cell>
          <cell r="H283">
            <v>3.1541700000000001</v>
          </cell>
          <cell r="I283">
            <v>2.0699999999999998</v>
          </cell>
        </row>
        <row r="284">
          <cell r="A284">
            <v>38464</v>
          </cell>
          <cell r="B284">
            <v>2140.2399999999998</v>
          </cell>
          <cell r="C284">
            <v>0.18106316875720818</v>
          </cell>
          <cell r="E284">
            <v>2.08</v>
          </cell>
          <cell r="F284">
            <v>0.23076923076923084</v>
          </cell>
          <cell r="H284">
            <v>3.17</v>
          </cell>
          <cell r="I284">
            <v>2.08</v>
          </cell>
        </row>
        <row r="285">
          <cell r="A285">
            <v>38471</v>
          </cell>
          <cell r="B285">
            <v>2148.1</v>
          </cell>
          <cell r="C285">
            <v>0.15080279222762116</v>
          </cell>
          <cell r="E285">
            <v>1.86</v>
          </cell>
          <cell r="F285">
            <v>0.14110429447852768</v>
          </cell>
          <cell r="H285">
            <v>3.2101700000000002</v>
          </cell>
          <cell r="I285">
            <v>1.86</v>
          </cell>
        </row>
        <row r="286">
          <cell r="A286">
            <v>38478</v>
          </cell>
          <cell r="B286">
            <v>2181.19</v>
          </cell>
          <cell r="C286">
            <v>0.22635908219432266</v>
          </cell>
          <cell r="E286">
            <v>1.89</v>
          </cell>
          <cell r="F286">
            <v>0.1454545454545455</v>
          </cell>
          <cell r="H286">
            <v>3.2250000000000001</v>
          </cell>
          <cell r="I286">
            <v>1.89</v>
          </cell>
        </row>
        <row r="287">
          <cell r="A287">
            <v>38485</v>
          </cell>
          <cell r="B287">
            <v>2167.27</v>
          </cell>
          <cell r="C287">
            <v>0.24443461933772404</v>
          </cell>
          <cell r="E287">
            <v>1.95</v>
          </cell>
          <cell r="F287">
            <v>0.19631901840490795</v>
          </cell>
          <cell r="H287">
            <v>2.3733300000000002</v>
          </cell>
          <cell r="I287">
            <v>1.95</v>
          </cell>
        </row>
        <row r="288">
          <cell r="A288">
            <v>38492</v>
          </cell>
          <cell r="B288">
            <v>2178.08</v>
          </cell>
          <cell r="C288">
            <v>0.22463804784796593</v>
          </cell>
          <cell r="E288">
            <v>1.95</v>
          </cell>
          <cell r="F288">
            <v>0.25</v>
          </cell>
          <cell r="H288">
            <v>3.2450000000000001</v>
          </cell>
          <cell r="I288">
            <v>1.95</v>
          </cell>
        </row>
        <row r="289">
          <cell r="A289">
            <v>38499</v>
          </cell>
          <cell r="B289">
            <v>2191.5500000000002</v>
          </cell>
          <cell r="C289">
            <v>0.23059947890930332</v>
          </cell>
          <cell r="E289">
            <v>1.93</v>
          </cell>
          <cell r="F289">
            <v>0.21383647798742134</v>
          </cell>
        </row>
        <row r="290">
          <cell r="A290">
            <v>38506</v>
          </cell>
          <cell r="B290">
            <v>2198.56</v>
          </cell>
          <cell r="C290">
            <v>0.20219380027231115</v>
          </cell>
          <cell r="E290">
            <v>1.92</v>
          </cell>
          <cell r="F290">
            <v>0.18518518518518512</v>
          </cell>
        </row>
        <row r="291">
          <cell r="A291">
            <v>38513</v>
          </cell>
          <cell r="B291">
            <v>2202.7399999999998</v>
          </cell>
          <cell r="C291">
            <v>0.2141994873632278</v>
          </cell>
          <cell r="E291">
            <v>1.95</v>
          </cell>
          <cell r="F291">
            <v>0.21875</v>
          </cell>
        </row>
        <row r="292">
          <cell r="A292">
            <v>38520</v>
          </cell>
          <cell r="B292">
            <v>2223.4499999999998</v>
          </cell>
          <cell r="C292">
            <v>0.23560695311978996</v>
          </cell>
          <cell r="E292">
            <v>2.0299999999999998</v>
          </cell>
          <cell r="F292">
            <v>0.27672955974842739</v>
          </cell>
        </row>
        <row r="293">
          <cell r="A293">
            <v>38527</v>
          </cell>
          <cell r="B293">
            <v>2212.66</v>
          </cell>
          <cell r="C293">
            <v>0.1998069602750272</v>
          </cell>
          <cell r="E293">
            <v>2.08</v>
          </cell>
          <cell r="F293">
            <v>0.28395061728395055</v>
          </cell>
        </row>
        <row r="294">
          <cell r="A294">
            <v>38534</v>
          </cell>
          <cell r="B294">
            <v>2212.34</v>
          </cell>
          <cell r="C294">
            <v>0.18911045417898431</v>
          </cell>
          <cell r="E294">
            <v>2.1</v>
          </cell>
          <cell r="F294">
            <v>0.23529411764705888</v>
          </cell>
        </row>
        <row r="295">
          <cell r="A295">
            <v>38541</v>
          </cell>
          <cell r="B295">
            <v>2250.16</v>
          </cell>
          <cell r="C295">
            <v>0.20486624258390629</v>
          </cell>
          <cell r="E295">
            <v>2.1</v>
          </cell>
          <cell r="F295">
            <v>0.22807017543859653</v>
          </cell>
        </row>
        <row r="296">
          <cell r="A296">
            <v>38548</v>
          </cell>
          <cell r="B296">
            <v>2311.14</v>
          </cell>
          <cell r="C296">
            <v>0.24056748095782532</v>
          </cell>
          <cell r="E296">
            <v>2.09</v>
          </cell>
          <cell r="F296">
            <v>0.25903614457831314</v>
          </cell>
        </row>
        <row r="297">
          <cell r="A297">
            <v>38555</v>
          </cell>
          <cell r="B297">
            <v>2346.19</v>
          </cell>
          <cell r="C297">
            <v>0.23998604732283013</v>
          </cell>
          <cell r="E297">
            <v>2.2000000000000002</v>
          </cell>
          <cell r="F297">
            <v>0.34146341463414642</v>
          </cell>
        </row>
        <row r="298">
          <cell r="A298">
            <v>38562</v>
          </cell>
          <cell r="B298">
            <v>2362.39</v>
          </cell>
          <cell r="C298">
            <v>0.22043188510616307</v>
          </cell>
          <cell r="E298">
            <v>2.1800000000000002</v>
          </cell>
          <cell r="F298">
            <v>0.25287356321839094</v>
          </cell>
        </row>
        <row r="299">
          <cell r="A299">
            <v>38569</v>
          </cell>
          <cell r="B299">
            <v>2305.9699999999998</v>
          </cell>
          <cell r="C299">
            <v>0.22126598099757433</v>
          </cell>
          <cell r="E299">
            <v>2.1800000000000002</v>
          </cell>
          <cell r="F299">
            <v>0.23863636363636376</v>
          </cell>
        </row>
        <row r="300">
          <cell r="A300">
            <v>38576</v>
          </cell>
          <cell r="B300">
            <v>2282.6999999999998</v>
          </cell>
          <cell r="C300">
            <v>0.19697962822159876</v>
          </cell>
          <cell r="E300">
            <v>2.1800000000000002</v>
          </cell>
          <cell r="F300">
            <v>0.25287356321839094</v>
          </cell>
        </row>
        <row r="301">
          <cell r="A301">
            <v>38583</v>
          </cell>
          <cell r="B301">
            <v>2284.4</v>
          </cell>
          <cell r="C301">
            <v>0.19034964306185209</v>
          </cell>
          <cell r="E301">
            <v>2.1800000000000002</v>
          </cell>
          <cell r="F301">
            <v>0.25287356321839094</v>
          </cell>
        </row>
        <row r="302">
          <cell r="A302">
            <v>38590</v>
          </cell>
          <cell r="B302">
            <v>2295.54</v>
          </cell>
          <cell r="C302">
            <v>0.18274373215997031</v>
          </cell>
          <cell r="E302">
            <v>2.1800000000000002</v>
          </cell>
          <cell r="F302">
            <v>0.22471910112359561</v>
          </cell>
        </row>
        <row r="303">
          <cell r="A303">
            <v>38597</v>
          </cell>
          <cell r="B303">
            <v>2297.9</v>
          </cell>
          <cell r="C303">
            <v>0.16924814784661724</v>
          </cell>
          <cell r="E303">
            <v>2.33</v>
          </cell>
          <cell r="F303">
            <v>0.26630434782608692</v>
          </cell>
        </row>
        <row r="304">
          <cell r="A304">
            <v>38604</v>
          </cell>
          <cell r="B304">
            <v>2317.67</v>
          </cell>
          <cell r="C304">
            <v>0.16050612882550874</v>
          </cell>
          <cell r="E304">
            <v>2.33</v>
          </cell>
          <cell r="F304">
            <v>0.2459893048128341</v>
          </cell>
        </row>
        <row r="305">
          <cell r="A305">
            <v>38611</v>
          </cell>
          <cell r="B305">
            <v>2290.6799999999998</v>
          </cell>
          <cell r="C305">
            <v>0.15188269370021712</v>
          </cell>
          <cell r="E305">
            <v>2.33</v>
          </cell>
          <cell r="F305">
            <v>0.23280423280423301</v>
          </cell>
        </row>
        <row r="306">
          <cell r="A306">
            <v>38618</v>
          </cell>
          <cell r="B306">
            <v>2299.29</v>
          </cell>
          <cell r="C306">
            <v>0.15848423471084372</v>
          </cell>
          <cell r="E306">
            <v>2.33</v>
          </cell>
          <cell r="F306">
            <v>0.33142857142857141</v>
          </cell>
          <cell r="N306" t="str">
            <v>SG: SGX: Index: Straits Times: WEEKLYN</v>
          </cell>
        </row>
        <row r="307">
          <cell r="A307">
            <v>38625</v>
          </cell>
          <cell r="B307">
            <v>2305.14</v>
          </cell>
          <cell r="C307">
            <v>0.14901380228193739</v>
          </cell>
          <cell r="E307">
            <v>2.52</v>
          </cell>
          <cell r="F307">
            <v>0.43181818181818188</v>
          </cell>
          <cell r="N307" t="str">
            <v>s1</v>
          </cell>
        </row>
        <row r="308">
          <cell r="A308">
            <v>38632</v>
          </cell>
          <cell r="B308">
            <v>2305</v>
          </cell>
          <cell r="C308">
            <v>0.18116086847350976</v>
          </cell>
          <cell r="E308">
            <v>2.5099999999999998</v>
          </cell>
          <cell r="F308">
            <v>0.41807909604519766</v>
          </cell>
        </row>
        <row r="309">
          <cell r="A309">
            <v>38639</v>
          </cell>
          <cell r="B309">
            <v>2303.2399999999998</v>
          </cell>
          <cell r="C309">
            <v>0.16964421738997948</v>
          </cell>
          <cell r="E309">
            <v>2.5499999999999998</v>
          </cell>
          <cell r="F309">
            <v>0.46551724137931028</v>
          </cell>
          <cell r="N309" t="str">
            <v>W: 4-Jan-1985:23-Sep-2005</v>
          </cell>
        </row>
        <row r="310">
          <cell r="A310">
            <v>38646</v>
          </cell>
          <cell r="B310">
            <v>2239.36</v>
          </cell>
          <cell r="C310">
            <v>0.12641030155177191</v>
          </cell>
          <cell r="E310">
            <v>2.6</v>
          </cell>
          <cell r="F310">
            <v>0.50289017341040476</v>
          </cell>
          <cell r="M310">
            <v>38555</v>
          </cell>
          <cell r="N310">
            <v>2346.19</v>
          </cell>
        </row>
        <row r="311">
          <cell r="A311">
            <v>38653</v>
          </cell>
          <cell r="B311">
            <v>2192.41</v>
          </cell>
          <cell r="C311">
            <v>9.0398627309576485E-2</v>
          </cell>
          <cell r="E311">
            <v>2.62</v>
          </cell>
          <cell r="F311">
            <v>0.48863636363636376</v>
          </cell>
          <cell r="M311">
            <v>38562</v>
          </cell>
          <cell r="N311">
            <v>2362.39</v>
          </cell>
        </row>
        <row r="312">
          <cell r="A312">
            <v>38660</v>
          </cell>
          <cell r="B312">
            <v>2266.52</v>
          </cell>
          <cell r="C312">
            <v>0.12038121790023681</v>
          </cell>
          <cell r="E312">
            <v>2.67</v>
          </cell>
          <cell r="F312">
            <v>0.52571428571428558</v>
          </cell>
          <cell r="M312">
            <v>38569</v>
          </cell>
          <cell r="N312">
            <v>2305.9699999999998</v>
          </cell>
        </row>
        <row r="313">
          <cell r="A313">
            <v>38667</v>
          </cell>
          <cell r="B313">
            <v>2266.0300000000002</v>
          </cell>
          <cell r="C313">
            <v>0.11483208863437344</v>
          </cell>
          <cell r="E313">
            <v>2.64</v>
          </cell>
          <cell r="F313">
            <v>0.47486033519553073</v>
          </cell>
          <cell r="M313">
            <v>38576</v>
          </cell>
          <cell r="N313">
            <v>2282.6999999999998</v>
          </cell>
        </row>
        <row r="314">
          <cell r="A314">
            <v>38674</v>
          </cell>
          <cell r="B314">
            <v>2293.1999999999998</v>
          </cell>
          <cell r="C314">
            <v>0.12694606070136794</v>
          </cell>
          <cell r="E314">
            <v>2.74</v>
          </cell>
          <cell r="F314">
            <v>0.55681818181818188</v>
          </cell>
          <cell r="M314">
            <v>38583</v>
          </cell>
          <cell r="N314">
            <v>2284.4</v>
          </cell>
        </row>
        <row r="315">
          <cell r="A315">
            <v>38681</v>
          </cell>
          <cell r="B315">
            <v>2295.73</v>
          </cell>
          <cell r="C315">
            <v>0.11294091411506901</v>
          </cell>
          <cell r="E315">
            <v>2.73</v>
          </cell>
          <cell r="F315">
            <v>0.58720930232558133</v>
          </cell>
          <cell r="M315">
            <v>38590</v>
          </cell>
          <cell r="N315">
            <v>2295.54</v>
          </cell>
        </row>
        <row r="316">
          <cell r="A316">
            <v>38688</v>
          </cell>
          <cell r="B316">
            <v>2332.52</v>
          </cell>
          <cell r="C316">
            <v>0.16676170753423958</v>
          </cell>
          <cell r="E316">
            <v>2.74</v>
          </cell>
          <cell r="F316">
            <v>0.56571428571428584</v>
          </cell>
          <cell r="M316">
            <v>38597</v>
          </cell>
          <cell r="N316">
            <v>2297.9</v>
          </cell>
        </row>
        <row r="317">
          <cell r="A317">
            <v>38695</v>
          </cell>
          <cell r="B317">
            <v>2321.1</v>
          </cell>
          <cell r="C317">
            <v>0.14098215602418529</v>
          </cell>
          <cell r="E317">
            <v>2.73</v>
          </cell>
          <cell r="F317">
            <v>0.59649122807017552</v>
          </cell>
          <cell r="M317">
            <v>38604</v>
          </cell>
          <cell r="N317">
            <v>2317.67</v>
          </cell>
        </row>
        <row r="318">
          <cell r="A318">
            <v>38702</v>
          </cell>
          <cell r="B318">
            <v>2325.5300000000002</v>
          </cell>
          <cell r="C318">
            <v>0.1313805047969332</v>
          </cell>
          <cell r="E318">
            <v>2.79</v>
          </cell>
          <cell r="F318">
            <v>0.59428571428571431</v>
          </cell>
          <cell r="M318">
            <v>38611</v>
          </cell>
          <cell r="N318">
            <v>2290.6799999999998</v>
          </cell>
        </row>
        <row r="319">
          <cell r="A319">
            <v>38709</v>
          </cell>
          <cell r="B319">
            <v>2328.29</v>
          </cell>
          <cell r="C319">
            <v>0.12938260346533692</v>
          </cell>
          <cell r="E319">
            <v>2.9</v>
          </cell>
          <cell r="F319">
            <v>0.62011173184357538</v>
          </cell>
          <cell r="M319">
            <v>38618</v>
          </cell>
          <cell r="N319">
            <v>2299.29</v>
          </cell>
        </row>
        <row r="320">
          <cell r="A320">
            <v>38716</v>
          </cell>
          <cell r="B320">
            <v>2347.34</v>
          </cell>
          <cell r="C320">
            <v>0.12322592376376917</v>
          </cell>
          <cell r="E320">
            <v>2.9</v>
          </cell>
          <cell r="F320">
            <v>0.62011173184357538</v>
          </cell>
        </row>
        <row r="321">
          <cell r="A321">
            <v>38723</v>
          </cell>
          <cell r="B321">
            <v>2420.7399999999998</v>
          </cell>
          <cell r="C321">
            <v>0.16250948452221992</v>
          </cell>
          <cell r="E321">
            <v>3</v>
          </cell>
          <cell r="F321">
            <v>0.61290322580645151</v>
          </cell>
        </row>
        <row r="322">
          <cell r="A322">
            <v>38730</v>
          </cell>
          <cell r="B322">
            <v>2405.86</v>
          </cell>
          <cell r="C322">
            <v>0.15367389313269952</v>
          </cell>
          <cell r="E322">
            <v>3.02</v>
          </cell>
          <cell r="F322">
            <v>0.57291666666666674</v>
          </cell>
        </row>
        <row r="323">
          <cell r="A323">
            <v>38737</v>
          </cell>
          <cell r="B323">
            <v>2388.91</v>
          </cell>
          <cell r="C323">
            <v>0.15232596280003086</v>
          </cell>
          <cell r="E323">
            <v>3.14</v>
          </cell>
          <cell r="F323">
            <v>0.67021276595744705</v>
          </cell>
        </row>
        <row r="324">
          <cell r="A324">
            <v>38744</v>
          </cell>
          <cell r="B324">
            <v>2412.08</v>
          </cell>
          <cell r="C324">
            <v>0.14416363084395867</v>
          </cell>
          <cell r="E324">
            <v>3.16</v>
          </cell>
          <cell r="F324">
            <v>0.68983957219251324</v>
          </cell>
          <cell r="K324" t="str">
            <v>630386</v>
          </cell>
          <cell r="L324" t="str">
            <v>SINGAPORE EXCHANGE</v>
          </cell>
        </row>
        <row r="325">
          <cell r="A325">
            <v>38751</v>
          </cell>
          <cell r="B325">
            <v>2431.7199999999998</v>
          </cell>
          <cell r="C325">
            <v>0.13623280502392343</v>
          </cell>
          <cell r="E325">
            <v>3.36</v>
          </cell>
          <cell r="F325">
            <v>0.83606557377049162</v>
          </cell>
        </row>
        <row r="326">
          <cell r="A326">
            <v>38758</v>
          </cell>
          <cell r="B326">
            <v>2423.59</v>
          </cell>
          <cell r="C326">
            <v>0.11985491174567975</v>
          </cell>
          <cell r="E326">
            <v>3.6</v>
          </cell>
          <cell r="F326">
            <v>0.98895027624309395</v>
          </cell>
          <cell r="L326" t="str">
            <v xml:space="preserve"> </v>
          </cell>
          <cell r="M326" t="str">
            <v>Latest</v>
          </cell>
          <cell r="N326" t="str">
            <v xml:space="preserve"> </v>
          </cell>
        </row>
        <row r="327">
          <cell r="A327">
            <v>38765</v>
          </cell>
          <cell r="B327">
            <v>2431.34</v>
          </cell>
          <cell r="C327">
            <v>0.12949516628805302</v>
          </cell>
          <cell r="E327">
            <v>3.68</v>
          </cell>
          <cell r="F327">
            <v>0.93684210526315814</v>
          </cell>
          <cell r="L327" t="str">
            <v xml:space="preserve"> </v>
          </cell>
          <cell r="M327" t="str">
            <v>Closing</v>
          </cell>
          <cell r="N327" t="str">
            <v>Price</v>
          </cell>
        </row>
        <row r="328">
          <cell r="A328">
            <v>38772</v>
          </cell>
          <cell r="B328">
            <v>2453.67</v>
          </cell>
          <cell r="C328">
            <v>0.14255446955339379</v>
          </cell>
          <cell r="E328">
            <v>3.68</v>
          </cell>
          <cell r="F328">
            <v>0.93684210526315814</v>
          </cell>
          <cell r="L328" t="str">
            <v>Price</v>
          </cell>
          <cell r="M328" t="str">
            <v>WSPrice</v>
          </cell>
          <cell r="N328" t="str">
            <v>/Book</v>
          </cell>
        </row>
        <row r="329">
          <cell r="A329">
            <v>38779</v>
          </cell>
          <cell r="L329" t="str">
            <v>/Earns</v>
          </cell>
          <cell r="M329" t="str">
            <v>Local</v>
          </cell>
          <cell r="N329" t="str">
            <v>Value</v>
          </cell>
        </row>
        <row r="330">
          <cell r="A330">
            <v>38786</v>
          </cell>
          <cell r="K330" t="str">
            <v xml:space="preserve"> </v>
          </cell>
        </row>
        <row r="331">
          <cell r="A331">
            <v>38793</v>
          </cell>
          <cell r="K331" t="str">
            <v>05/08/2005</v>
          </cell>
          <cell r="L331">
            <v>22.022680000000001</v>
          </cell>
          <cell r="M331">
            <v>2.1800000000000002</v>
          </cell>
          <cell r="N331">
            <v>5.116269</v>
          </cell>
        </row>
        <row r="332">
          <cell r="K332" t="str">
            <v>12/08/2005</v>
          </cell>
          <cell r="L332">
            <v>22.306240000000003</v>
          </cell>
          <cell r="M332">
            <v>2.1800000000000002</v>
          </cell>
          <cell r="N332">
            <v>5.1821440000000001</v>
          </cell>
        </row>
        <row r="333">
          <cell r="K333" t="str">
            <v>19/08/2005</v>
          </cell>
          <cell r="L333">
            <v>21.455580000000001</v>
          </cell>
          <cell r="M333">
            <v>2.1800000000000002</v>
          </cell>
          <cell r="N333">
            <v>4.9845189999999997</v>
          </cell>
        </row>
        <row r="334">
          <cell r="K334" t="str">
            <v>26/08/2005</v>
          </cell>
          <cell r="L334">
            <v>22.1172</v>
          </cell>
          <cell r="M334">
            <v>2.1800000000000002</v>
          </cell>
          <cell r="N334">
            <v>5.1382269999999997</v>
          </cell>
        </row>
        <row r="335">
          <cell r="K335" t="str">
            <v>02/09/2005</v>
          </cell>
          <cell r="L335">
            <v>22.1172</v>
          </cell>
          <cell r="M335">
            <v>2.33</v>
          </cell>
          <cell r="N335">
            <v>5.1382269999999997</v>
          </cell>
        </row>
        <row r="336">
          <cell r="K336" t="str">
            <v>09/09/2005</v>
          </cell>
          <cell r="L336">
            <v>22.873350000000002</v>
          </cell>
          <cell r="M336">
            <v>2.33</v>
          </cell>
          <cell r="N336">
            <v>5.3138930000000002</v>
          </cell>
        </row>
        <row r="337">
          <cell r="K337" t="str">
            <v>16/09/2005</v>
          </cell>
          <cell r="L337">
            <v>22.684310000000004</v>
          </cell>
          <cell r="M337">
            <v>2.33</v>
          </cell>
          <cell r="N337">
            <v>5.2699769999999999</v>
          </cell>
        </row>
        <row r="338">
          <cell r="K338" t="str">
            <v>23/09/2005</v>
          </cell>
          <cell r="L338">
            <v>22.873350000000002</v>
          </cell>
          <cell r="M338">
            <v>2.33</v>
          </cell>
          <cell r="N338">
            <v>5.3138930000000002</v>
          </cell>
        </row>
        <row r="339">
          <cell r="K339" t="str">
            <v>30/09/2005</v>
          </cell>
          <cell r="L339">
            <v>23.818530000000003</v>
          </cell>
          <cell r="M339">
            <v>2.52</v>
          </cell>
          <cell r="N339">
            <v>5.5334750000000001</v>
          </cell>
        </row>
        <row r="340">
          <cell r="K340" t="str">
            <v>07/10/2005</v>
          </cell>
          <cell r="L340">
            <v>23.724010000000003</v>
          </cell>
          <cell r="M340">
            <v>2.5099999999999998</v>
          </cell>
          <cell r="N340">
            <v>5.5115169999999996</v>
          </cell>
        </row>
      </sheetData>
      <sheetData sheetId="28" refreshError="1"/>
      <sheetData sheetId="29" refreshError="1"/>
      <sheetData sheetId="30" refreshError="1"/>
      <sheetData sheetId="31" refreshError="1"/>
      <sheetData sheetId="32" refreshError="1">
        <row r="1">
          <cell r="A1" t="str">
            <v>Price - Closing - Local Currency - from Worldscope</v>
          </cell>
          <cell r="D1" t="str">
            <v>SG: SGX: Index: Straits Times</v>
          </cell>
        </row>
        <row r="2">
          <cell r="D2" t="str">
            <v>SDIBI</v>
          </cell>
        </row>
        <row r="3">
          <cell r="B3" t="str">
            <v>Price</v>
          </cell>
          <cell r="F3" t="str">
            <v>Rel. Perf.</v>
          </cell>
        </row>
        <row r="4">
          <cell r="A4" t="str">
            <v xml:space="preserve"> </v>
          </cell>
          <cell r="B4" t="str">
            <v>SGX</v>
          </cell>
          <cell r="C4" t="str">
            <v>HKEx</v>
          </cell>
          <cell r="D4" t="str">
            <v>Straits Times Index</v>
          </cell>
          <cell r="F4" t="str">
            <v>SGX Perf.</v>
          </cell>
          <cell r="G4" t="str">
            <v>HKEx Perf.</v>
          </cell>
          <cell r="H4" t="str">
            <v>Straits Times Index Perf.</v>
          </cell>
        </row>
        <row r="5">
          <cell r="A5" t="str">
            <v>10/08/2005</v>
          </cell>
          <cell r="B5">
            <v>2.36</v>
          </cell>
          <cell r="C5">
            <v>24.85</v>
          </cell>
          <cell r="D5">
            <v>2338.4899999999998</v>
          </cell>
          <cell r="F5">
            <v>100</v>
          </cell>
          <cell r="G5">
            <v>100</v>
          </cell>
          <cell r="H5">
            <v>100</v>
          </cell>
        </row>
        <row r="6">
          <cell r="A6" t="str">
            <v>11/08/2005</v>
          </cell>
          <cell r="B6">
            <v>2.37</v>
          </cell>
          <cell r="C6">
            <v>25.1</v>
          </cell>
          <cell r="D6">
            <v>2305.9699999999998</v>
          </cell>
          <cell r="F6">
            <v>100.42372881355932</v>
          </cell>
          <cell r="G6">
            <v>101.00603621730382</v>
          </cell>
          <cell r="H6">
            <v>98.609359030827576</v>
          </cell>
        </row>
        <row r="7">
          <cell r="A7" t="str">
            <v>12/08/2005</v>
          </cell>
          <cell r="B7">
            <v>2.36</v>
          </cell>
          <cell r="C7">
            <v>25</v>
          </cell>
          <cell r="D7">
            <v>2303.1999999999998</v>
          </cell>
          <cell r="F7">
            <v>100</v>
          </cell>
          <cell r="G7">
            <v>100.60362173038229</v>
          </cell>
          <cell r="H7">
            <v>98.490906525150848</v>
          </cell>
        </row>
        <row r="8">
          <cell r="A8" t="str">
            <v>15/08/2005</v>
          </cell>
          <cell r="B8">
            <v>2.2999999999999998</v>
          </cell>
          <cell r="C8">
            <v>24.5</v>
          </cell>
          <cell r="D8">
            <v>2279.7600000000002</v>
          </cell>
          <cell r="F8">
            <v>97.457627118644069</v>
          </cell>
          <cell r="G8">
            <v>98.591549295774641</v>
          </cell>
          <cell r="H8">
            <v>97.488550303828561</v>
          </cell>
        </row>
        <row r="9">
          <cell r="A9" t="str">
            <v>16/08/2005</v>
          </cell>
          <cell r="B9">
            <v>2.2999999999999998</v>
          </cell>
          <cell r="C9">
            <v>24.95</v>
          </cell>
          <cell r="D9">
            <v>2305.3000000000002</v>
          </cell>
          <cell r="F9">
            <v>97.457627118644069</v>
          </cell>
          <cell r="G9">
            <v>100.40241448692151</v>
          </cell>
          <cell r="H9">
            <v>98.580708063750549</v>
          </cell>
        </row>
        <row r="10">
          <cell r="A10" t="str">
            <v>17/08/2005</v>
          </cell>
          <cell r="B10">
            <v>2.2400000000000002</v>
          </cell>
          <cell r="C10">
            <v>24.55</v>
          </cell>
          <cell r="D10">
            <v>2280.23</v>
          </cell>
          <cell r="F10">
            <v>94.915254237288153</v>
          </cell>
          <cell r="G10">
            <v>98.792756539235398</v>
          </cell>
          <cell r="H10">
            <v>97.508648743419911</v>
          </cell>
        </row>
        <row r="11">
          <cell r="A11" t="str">
            <v>18/08/2005</v>
          </cell>
          <cell r="B11">
            <v>2.25</v>
          </cell>
          <cell r="C11">
            <v>24.05</v>
          </cell>
          <cell r="D11">
            <v>2282.6999999999998</v>
          </cell>
          <cell r="F11">
            <v>95.33898305084746</v>
          </cell>
          <cell r="G11">
            <v>96.780684104627767</v>
          </cell>
          <cell r="H11">
            <v>97.614272457868111</v>
          </cell>
        </row>
        <row r="12">
          <cell r="A12" t="str">
            <v>19/08/2005</v>
          </cell>
          <cell r="B12">
            <v>2.27</v>
          </cell>
          <cell r="C12">
            <v>23.75</v>
          </cell>
          <cell r="D12">
            <v>2286.36</v>
          </cell>
          <cell r="F12">
            <v>96.186440677966118</v>
          </cell>
          <cell r="G12">
            <v>95.573440643863165</v>
          </cell>
          <cell r="H12">
            <v>97.770783710856165</v>
          </cell>
        </row>
        <row r="13">
          <cell r="A13" t="str">
            <v>22/08/2005</v>
          </cell>
          <cell r="B13">
            <v>2.31</v>
          </cell>
          <cell r="C13">
            <v>24.1</v>
          </cell>
          <cell r="D13">
            <v>2300.9499999999998</v>
          </cell>
          <cell r="F13">
            <v>97.881355932203391</v>
          </cell>
          <cell r="G13">
            <v>96.981891348088539</v>
          </cell>
          <cell r="H13">
            <v>98.394690590936889</v>
          </cell>
        </row>
        <row r="14">
          <cell r="A14" t="str">
            <v>23/08/2005</v>
          </cell>
          <cell r="B14">
            <v>2.2799999999999998</v>
          </cell>
          <cell r="C14">
            <v>23.7</v>
          </cell>
          <cell r="D14">
            <v>2289.66</v>
          </cell>
          <cell r="F14">
            <v>96.610169491525426</v>
          </cell>
          <cell r="G14">
            <v>95.372233400402408</v>
          </cell>
          <cell r="H14">
            <v>97.911900414369953</v>
          </cell>
        </row>
        <row r="15">
          <cell r="A15" t="str">
            <v>24/08/2005</v>
          </cell>
          <cell r="B15">
            <v>2.33</v>
          </cell>
          <cell r="C15">
            <v>23.55</v>
          </cell>
          <cell r="D15">
            <v>2278.35</v>
          </cell>
          <cell r="F15">
            <v>98.728813559322035</v>
          </cell>
          <cell r="G15">
            <v>94.768611670020121</v>
          </cell>
          <cell r="H15">
            <v>97.428254985054465</v>
          </cell>
        </row>
        <row r="16">
          <cell r="A16" t="str">
            <v>25/08/2005</v>
          </cell>
          <cell r="B16">
            <v>2.2799999999999998</v>
          </cell>
          <cell r="C16">
            <v>23.8</v>
          </cell>
          <cell r="D16">
            <v>2284.4</v>
          </cell>
          <cell r="F16">
            <v>96.610169491525426</v>
          </cell>
          <cell r="G16">
            <v>95.774647887323937</v>
          </cell>
          <cell r="H16">
            <v>97.686968941496445</v>
          </cell>
        </row>
        <row r="17">
          <cell r="A17" t="str">
            <v>26/08/2005</v>
          </cell>
          <cell r="B17">
            <v>2.34</v>
          </cell>
          <cell r="C17">
            <v>23.7</v>
          </cell>
          <cell r="D17">
            <v>2286.5500000000002</v>
          </cell>
          <cell r="F17">
            <v>99.152542372881356</v>
          </cell>
          <cell r="G17">
            <v>95.372233400402408</v>
          </cell>
          <cell r="H17">
            <v>97.778908611967566</v>
          </cell>
        </row>
        <row r="18">
          <cell r="A18" t="str">
            <v>29/08/2005</v>
          </cell>
          <cell r="B18">
            <v>2.29</v>
          </cell>
          <cell r="C18">
            <v>23.7</v>
          </cell>
          <cell r="D18">
            <v>2272</v>
          </cell>
          <cell r="F18">
            <v>97.033898305084747</v>
          </cell>
          <cell r="G18">
            <v>95.372233400402408</v>
          </cell>
          <cell r="H18">
            <v>97.156712237383957</v>
          </cell>
        </row>
        <row r="19">
          <cell r="A19" t="str">
            <v>30/08/2005</v>
          </cell>
          <cell r="B19">
            <v>2.2799999999999998</v>
          </cell>
          <cell r="C19">
            <v>23.95</v>
          </cell>
          <cell r="D19">
            <v>2268.4899999999998</v>
          </cell>
          <cell r="F19">
            <v>96.610169491525426</v>
          </cell>
          <cell r="G19">
            <v>96.378269617706223</v>
          </cell>
          <cell r="H19">
            <v>97.006615380010174</v>
          </cell>
        </row>
        <row r="20">
          <cell r="A20" t="str">
            <v>31/08/2005</v>
          </cell>
          <cell r="B20">
            <v>2.33</v>
          </cell>
          <cell r="C20">
            <v>23.9</v>
          </cell>
          <cell r="D20">
            <v>2275.4299999999998</v>
          </cell>
          <cell r="F20">
            <v>98.728813559322035</v>
          </cell>
          <cell r="G20">
            <v>96.177062374245452</v>
          </cell>
          <cell r="H20">
            <v>97.303388083763451</v>
          </cell>
        </row>
        <row r="21">
          <cell r="A21" t="str">
            <v>01/09/2005</v>
          </cell>
          <cell r="B21">
            <v>2.33</v>
          </cell>
          <cell r="C21">
            <v>24.55</v>
          </cell>
          <cell r="D21">
            <v>2295.54</v>
          </cell>
          <cell r="F21">
            <v>98.728813559322035</v>
          </cell>
          <cell r="G21">
            <v>98.792756539235398</v>
          </cell>
          <cell r="H21">
            <v>98.163344722449111</v>
          </cell>
        </row>
        <row r="22">
          <cell r="A22" t="str">
            <v>02/09/2005</v>
          </cell>
          <cell r="B22">
            <v>2.34</v>
          </cell>
          <cell r="C22">
            <v>24.5</v>
          </cell>
          <cell r="D22">
            <v>2300.89</v>
          </cell>
          <cell r="F22">
            <v>99.152542372881356</v>
          </cell>
          <cell r="G22">
            <v>98.591549295774641</v>
          </cell>
          <cell r="H22">
            <v>98.392124832691181</v>
          </cell>
        </row>
        <row r="23">
          <cell r="A23" t="str">
            <v>06/09/2005</v>
          </cell>
          <cell r="B23">
            <v>2.38</v>
          </cell>
          <cell r="C23">
            <v>23.95</v>
          </cell>
          <cell r="D23">
            <v>2289.37</v>
          </cell>
          <cell r="F23">
            <v>100.84745762711864</v>
          </cell>
          <cell r="G23">
            <v>96.378269617706223</v>
          </cell>
          <cell r="H23">
            <v>97.899499249515713</v>
          </cell>
        </row>
        <row r="24">
          <cell r="A24" t="str">
            <v>07/09/2005</v>
          </cell>
          <cell r="B24">
            <v>2.4</v>
          </cell>
          <cell r="C24">
            <v>23.85</v>
          </cell>
          <cell r="D24">
            <v>2296.9</v>
          </cell>
          <cell r="F24">
            <v>101.69491525423729</v>
          </cell>
          <cell r="G24">
            <v>95.975855130784709</v>
          </cell>
          <cell r="H24">
            <v>98.221501909351772</v>
          </cell>
        </row>
        <row r="25">
          <cell r="A25" t="str">
            <v>08/09/2005</v>
          </cell>
          <cell r="B25">
            <v>2.4</v>
          </cell>
          <cell r="C25">
            <v>23.95</v>
          </cell>
          <cell r="D25">
            <v>2297.9</v>
          </cell>
          <cell r="F25">
            <v>101.69491525423729</v>
          </cell>
          <cell r="G25">
            <v>96.378269617706223</v>
          </cell>
          <cell r="H25">
            <v>98.264264546780197</v>
          </cell>
        </row>
        <row r="26">
          <cell r="A26" t="str">
            <v>09/09/2005</v>
          </cell>
          <cell r="B26">
            <v>2.42</v>
          </cell>
          <cell r="C26">
            <v>24</v>
          </cell>
          <cell r="D26">
            <v>2301.2800000000002</v>
          </cell>
          <cell r="F26">
            <v>102.54237288135593</v>
          </cell>
          <cell r="G26">
            <v>96.579476861166995</v>
          </cell>
          <cell r="H26">
            <v>98.408802261288287</v>
          </cell>
        </row>
        <row r="27">
          <cell r="A27" t="str">
            <v>12/09/2005</v>
          </cell>
          <cell r="B27">
            <v>2.42</v>
          </cell>
          <cell r="C27">
            <v>24.1</v>
          </cell>
          <cell r="D27">
            <v>2325.11</v>
          </cell>
          <cell r="F27">
            <v>102.54237288135593</v>
          </cell>
          <cell r="G27">
            <v>96.981891348088539</v>
          </cell>
          <cell r="H27">
            <v>99.42783591120768</v>
          </cell>
        </row>
        <row r="28">
          <cell r="A28" t="str">
            <v>13/09/2005</v>
          </cell>
          <cell r="B28">
            <v>2.4</v>
          </cell>
          <cell r="C28">
            <v>24.1</v>
          </cell>
          <cell r="D28">
            <v>2310.35</v>
          </cell>
          <cell r="F28">
            <v>101.69491525423729</v>
          </cell>
          <cell r="G28">
            <v>96.981891348088539</v>
          </cell>
          <cell r="H28">
            <v>98.796659382764091</v>
          </cell>
        </row>
        <row r="29">
          <cell r="A29" t="str">
            <v>14/09/2005</v>
          </cell>
          <cell r="B29">
            <v>2.4</v>
          </cell>
          <cell r="C29">
            <v>24.4</v>
          </cell>
          <cell r="D29">
            <v>2313.35</v>
          </cell>
          <cell r="F29">
            <v>101.69491525423729</v>
          </cell>
          <cell r="G29">
            <v>98.189134808853112</v>
          </cell>
          <cell r="H29">
            <v>98.924947295049364</v>
          </cell>
        </row>
        <row r="30">
          <cell r="A30" t="str">
            <v>15/09/2005</v>
          </cell>
          <cell r="B30">
            <v>2.41</v>
          </cell>
          <cell r="C30">
            <v>24.4</v>
          </cell>
          <cell r="D30">
            <v>2317.67</v>
          </cell>
          <cell r="F30">
            <v>102.11864406779662</v>
          </cell>
          <cell r="G30">
            <v>98.189134808853112</v>
          </cell>
          <cell r="H30">
            <v>99.109681888740184</v>
          </cell>
        </row>
        <row r="31">
          <cell r="A31" t="str">
            <v>16/09/2005</v>
          </cell>
          <cell r="B31">
            <v>2.4</v>
          </cell>
          <cell r="C31">
            <v>24.35</v>
          </cell>
          <cell r="D31">
            <v>2306.38</v>
          </cell>
          <cell r="F31">
            <v>101.69491525423729</v>
          </cell>
          <cell r="G31">
            <v>97.987927565392354</v>
          </cell>
          <cell r="H31">
            <v>98.626891712173261</v>
          </cell>
        </row>
        <row r="32">
          <cell r="A32" t="str">
            <v>19/09/2005</v>
          </cell>
          <cell r="B32">
            <v>2.4</v>
          </cell>
          <cell r="C32">
            <v>24.35</v>
          </cell>
          <cell r="D32">
            <v>2298.5</v>
          </cell>
          <cell r="F32">
            <v>101.69491525423729</v>
          </cell>
          <cell r="G32">
            <v>97.987927565392354</v>
          </cell>
          <cell r="H32">
            <v>98.289922129237254</v>
          </cell>
        </row>
        <row r="33">
          <cell r="A33" t="str">
            <v>20/09/2005</v>
          </cell>
          <cell r="B33">
            <v>2.4</v>
          </cell>
          <cell r="C33">
            <v>24.65</v>
          </cell>
          <cell r="D33">
            <v>2307.42</v>
          </cell>
          <cell r="F33">
            <v>101.69491525423729</v>
          </cell>
          <cell r="G33">
            <v>99.195171026156927</v>
          </cell>
          <cell r="H33">
            <v>98.671364855098815</v>
          </cell>
        </row>
        <row r="34">
          <cell r="A34" t="str">
            <v>21/09/2005</v>
          </cell>
          <cell r="B34">
            <v>2.42</v>
          </cell>
          <cell r="C34">
            <v>24.95</v>
          </cell>
          <cell r="D34">
            <v>2298.65</v>
          </cell>
          <cell r="F34">
            <v>102.54237288135593</v>
          </cell>
          <cell r="G34">
            <v>100.40241448692151</v>
          </cell>
          <cell r="H34">
            <v>98.296336524851526</v>
          </cell>
        </row>
        <row r="35">
          <cell r="A35" t="str">
            <v>22/09/2005</v>
          </cell>
          <cell r="B35">
            <v>2.42</v>
          </cell>
          <cell r="C35">
            <v>24.95</v>
          </cell>
          <cell r="D35">
            <v>2290.6799999999998</v>
          </cell>
          <cell r="F35">
            <v>102.54237288135593</v>
          </cell>
          <cell r="G35">
            <v>100.40241448692151</v>
          </cell>
          <cell r="H35">
            <v>97.955518304546956</v>
          </cell>
        </row>
        <row r="36">
          <cell r="A36" t="str">
            <v>23/09/2005</v>
          </cell>
          <cell r="B36">
            <v>2.42</v>
          </cell>
          <cell r="C36">
            <v>24.95</v>
          </cell>
          <cell r="D36">
            <v>2293.04</v>
          </cell>
          <cell r="F36">
            <v>102.54237288135593</v>
          </cell>
          <cell r="G36">
            <v>100.40241448692151</v>
          </cell>
          <cell r="H36">
            <v>98.056438128878042</v>
          </cell>
        </row>
        <row r="37">
          <cell r="A37" t="str">
            <v>26/09/2005</v>
          </cell>
          <cell r="B37">
            <v>2.4</v>
          </cell>
          <cell r="C37">
            <v>25.4</v>
          </cell>
          <cell r="D37">
            <v>2317.58</v>
          </cell>
          <cell r="F37">
            <v>101.69491525423729</v>
          </cell>
          <cell r="G37">
            <v>102.21327967806839</v>
          </cell>
          <cell r="H37">
            <v>99.105833251371621</v>
          </cell>
        </row>
        <row r="38">
          <cell r="A38" t="str">
            <v>27/09/2005</v>
          </cell>
          <cell r="B38">
            <v>2.42</v>
          </cell>
          <cell r="C38">
            <v>26.1</v>
          </cell>
          <cell r="D38">
            <v>2306.5</v>
          </cell>
          <cell r="F38">
            <v>102.54237288135593</v>
          </cell>
          <cell r="G38">
            <v>105.03018108651912</v>
          </cell>
          <cell r="H38">
            <v>98.63202322866465</v>
          </cell>
        </row>
        <row r="39">
          <cell r="A39" t="str">
            <v>28/09/2005</v>
          </cell>
          <cell r="B39">
            <v>2.4500000000000002</v>
          </cell>
          <cell r="C39">
            <v>27.1</v>
          </cell>
          <cell r="D39">
            <v>2301.84</v>
          </cell>
          <cell r="F39">
            <v>103.81355932203391</v>
          </cell>
          <cell r="G39">
            <v>109.05432595573441</v>
          </cell>
          <cell r="H39">
            <v>98.4327493382482</v>
          </cell>
        </row>
        <row r="40">
          <cell r="A40" t="str">
            <v>29/09/2005</v>
          </cell>
          <cell r="B40">
            <v>2.5</v>
          </cell>
          <cell r="C40">
            <v>27.05</v>
          </cell>
          <cell r="D40">
            <v>2299.29</v>
          </cell>
          <cell r="F40">
            <v>105.93220338983052</v>
          </cell>
          <cell r="G40">
            <v>108.85311871227363</v>
          </cell>
          <cell r="H40">
            <v>98.323704612805713</v>
          </cell>
        </row>
        <row r="41">
          <cell r="A41" t="str">
            <v>30/09/2005</v>
          </cell>
          <cell r="B41">
            <v>2.52</v>
          </cell>
          <cell r="C41">
            <v>26.55</v>
          </cell>
          <cell r="D41">
            <v>2305.14</v>
          </cell>
          <cell r="F41">
            <v>106.77966101694916</v>
          </cell>
          <cell r="G41">
            <v>106.841046277666</v>
          </cell>
          <cell r="H41">
            <v>98.573866041761988</v>
          </cell>
        </row>
        <row r="42">
          <cell r="A42" t="str">
            <v>03/10/2005</v>
          </cell>
          <cell r="B42">
            <v>2.5</v>
          </cell>
          <cell r="C42">
            <v>27.15</v>
          </cell>
          <cell r="D42">
            <v>2301.4899999999998</v>
          </cell>
          <cell r="F42">
            <v>105.93220338983052</v>
          </cell>
          <cell r="G42">
            <v>109.25553319919517</v>
          </cell>
          <cell r="H42">
            <v>98.417782415148238</v>
          </cell>
        </row>
        <row r="43">
          <cell r="A43" t="str">
            <v>04/10/2005</v>
          </cell>
          <cell r="B43">
            <v>2.58</v>
          </cell>
          <cell r="C43">
            <v>27.45</v>
          </cell>
          <cell r="D43">
            <v>2323.77</v>
          </cell>
          <cell r="F43">
            <v>109.32203389830511</v>
          </cell>
          <cell r="G43">
            <v>110.46277665995974</v>
          </cell>
          <cell r="H43">
            <v>99.370533977053583</v>
          </cell>
        </row>
        <row r="44">
          <cell r="A44" t="str">
            <v>05/10/2005</v>
          </cell>
          <cell r="B44">
            <v>2.63</v>
          </cell>
          <cell r="C44">
            <v>27.05</v>
          </cell>
          <cell r="D44">
            <v>2325.89</v>
          </cell>
          <cell r="F44">
            <v>111.44067796610169</v>
          </cell>
          <cell r="G44">
            <v>108.85311871227363</v>
          </cell>
          <cell r="H44">
            <v>99.461190768401835</v>
          </cell>
        </row>
        <row r="45">
          <cell r="A45" t="str">
            <v>06/10/2005</v>
          </cell>
          <cell r="B45">
            <v>2.5299999999999998</v>
          </cell>
          <cell r="C45">
            <v>26.4</v>
          </cell>
          <cell r="D45">
            <v>2289.4699999999998</v>
          </cell>
          <cell r="F45">
            <v>107.20338983050848</v>
          </cell>
          <cell r="G45">
            <v>106.23742454728369</v>
          </cell>
          <cell r="H45">
            <v>97.903775513258552</v>
          </cell>
        </row>
        <row r="46">
          <cell r="A46" t="str">
            <v>07/10/2005</v>
          </cell>
          <cell r="B46">
            <v>2.5099999999999998</v>
          </cell>
          <cell r="C46">
            <v>26.45</v>
          </cell>
          <cell r="D46">
            <v>2305.2399999999998</v>
          </cell>
          <cell r="F46">
            <v>106.35593220338984</v>
          </cell>
          <cell r="G46">
            <v>106.43863179074447</v>
          </cell>
          <cell r="H46">
            <v>98.578142305504841</v>
          </cell>
        </row>
        <row r="47">
          <cell r="A47" t="str">
            <v>10/10/2005</v>
          </cell>
          <cell r="B47">
            <v>2.64</v>
          </cell>
          <cell r="C47">
            <v>26.15</v>
          </cell>
          <cell r="D47">
            <v>2343.39</v>
          </cell>
          <cell r="F47">
            <v>111.86440677966102</v>
          </cell>
          <cell r="G47">
            <v>105.23138832997986</v>
          </cell>
          <cell r="H47">
            <v>100.20953692339928</v>
          </cell>
        </row>
        <row r="48">
          <cell r="A48" t="str">
            <v>11/10/2005</v>
          </cell>
          <cell r="B48">
            <v>2.67</v>
          </cell>
          <cell r="C48">
            <v>26.15</v>
          </cell>
          <cell r="D48">
            <v>2355.02</v>
          </cell>
          <cell r="F48">
            <v>113.13559322033899</v>
          </cell>
          <cell r="G48">
            <v>105.23138832997986</v>
          </cell>
          <cell r="H48">
            <v>100.70686639669188</v>
          </cell>
        </row>
        <row r="49">
          <cell r="A49" t="str">
            <v>12/10/2005</v>
          </cell>
          <cell r="B49">
            <v>2.59</v>
          </cell>
          <cell r="C49">
            <v>25.95</v>
          </cell>
          <cell r="D49">
            <v>2320.5300000000002</v>
          </cell>
          <cell r="F49">
            <v>109.7457627118644</v>
          </cell>
          <cell r="G49">
            <v>104.42655935613681</v>
          </cell>
          <cell r="H49">
            <v>99.231983031785489</v>
          </cell>
        </row>
        <row r="50">
          <cell r="A50" t="str">
            <v>13/10/2005</v>
          </cell>
          <cell r="B50">
            <v>2.56</v>
          </cell>
          <cell r="C50">
            <v>26.05</v>
          </cell>
          <cell r="D50">
            <v>2320.6999999999998</v>
          </cell>
          <cell r="F50">
            <v>108.47457627118644</v>
          </cell>
          <cell r="G50">
            <v>104.82897384305834</v>
          </cell>
          <cell r="H50">
            <v>99.239252680148297</v>
          </cell>
        </row>
        <row r="51">
          <cell r="A51" t="str">
            <v>14/10/2005</v>
          </cell>
          <cell r="B51">
            <v>2.5499999999999998</v>
          </cell>
          <cell r="C51">
            <v>26.1</v>
          </cell>
          <cell r="D51">
            <v>2303.2399999999998</v>
          </cell>
          <cell r="F51">
            <v>108.05084745762711</v>
          </cell>
          <cell r="G51">
            <v>105.03018108651912</v>
          </cell>
          <cell r="H51">
            <v>98.492617030647978</v>
          </cell>
        </row>
        <row r="52">
          <cell r="A52" t="str">
            <v>17/10/2005</v>
          </cell>
          <cell r="B52">
            <v>2.58</v>
          </cell>
          <cell r="C52">
            <v>26.1</v>
          </cell>
          <cell r="D52">
            <v>2288.54</v>
          </cell>
          <cell r="F52">
            <v>109.32203389830511</v>
          </cell>
          <cell r="G52">
            <v>105.03018108651912</v>
          </cell>
          <cell r="H52">
            <v>97.864006260450125</v>
          </cell>
        </row>
        <row r="53">
          <cell r="A53" t="str">
            <v>18/10/2005</v>
          </cell>
          <cell r="B53">
            <v>2.6</v>
          </cell>
          <cell r="C53">
            <v>26.4</v>
          </cell>
          <cell r="D53">
            <v>2284.16</v>
          </cell>
          <cell r="F53">
            <v>110.16949152542375</v>
          </cell>
          <cell r="G53">
            <v>106.23742454728369</v>
          </cell>
          <cell r="H53">
            <v>97.676705908513611</v>
          </cell>
        </row>
        <row r="54">
          <cell r="A54" t="str">
            <v>19/10/2005</v>
          </cell>
          <cell r="B54">
            <v>2.56</v>
          </cell>
          <cell r="C54">
            <v>25.95</v>
          </cell>
          <cell r="D54">
            <v>2218.13</v>
          </cell>
          <cell r="F54">
            <v>108.47457627118644</v>
          </cell>
          <cell r="G54">
            <v>104.42655935613681</v>
          </cell>
          <cell r="H54">
            <v>94.853088959114658</v>
          </cell>
        </row>
        <row r="55">
          <cell r="A55" t="str">
            <v>20/10/2005</v>
          </cell>
          <cell r="B55">
            <v>2.56</v>
          </cell>
          <cell r="C55">
            <v>25.55</v>
          </cell>
          <cell r="D55">
            <v>2226.88</v>
          </cell>
          <cell r="F55">
            <v>108.47457627118644</v>
          </cell>
          <cell r="G55">
            <v>102.8169014084507</v>
          </cell>
          <cell r="H55">
            <v>95.227262036613382</v>
          </cell>
        </row>
        <row r="56">
          <cell r="A56" t="str">
            <v>21/10/2005</v>
          </cell>
          <cell r="B56">
            <v>2.6</v>
          </cell>
          <cell r="C56">
            <v>25.75</v>
          </cell>
          <cell r="D56">
            <v>2239.36</v>
          </cell>
          <cell r="F56">
            <v>110.16949152542375</v>
          </cell>
          <cell r="G56">
            <v>103.62173038229376</v>
          </cell>
          <cell r="H56">
            <v>95.760939751720144</v>
          </cell>
        </row>
        <row r="57">
          <cell r="A57" t="str">
            <v>24/10/2005</v>
          </cell>
          <cell r="B57">
            <v>2.6</v>
          </cell>
          <cell r="C57">
            <v>25.4</v>
          </cell>
          <cell r="D57">
            <v>2222.83</v>
          </cell>
          <cell r="F57">
            <v>110.16949152542375</v>
          </cell>
          <cell r="G57">
            <v>102.21327967806839</v>
          </cell>
          <cell r="H57">
            <v>95.054073355028251</v>
          </cell>
        </row>
        <row r="58">
          <cell r="A58" t="str">
            <v>25/10/2005</v>
          </cell>
          <cell r="B58">
            <v>2.63</v>
          </cell>
          <cell r="C58">
            <v>25.05</v>
          </cell>
          <cell r="D58">
            <v>2226.46</v>
          </cell>
          <cell r="F58">
            <v>111.44067796610169</v>
          </cell>
          <cell r="G58">
            <v>100.80482897384306</v>
          </cell>
          <cell r="H58">
            <v>95.209301728893436</v>
          </cell>
        </row>
        <row r="59">
          <cell r="A59" t="str">
            <v>26/10/2005</v>
          </cell>
          <cell r="B59">
            <v>2.71</v>
          </cell>
          <cell r="C59">
            <v>25.45</v>
          </cell>
          <cell r="D59">
            <v>2228.79</v>
          </cell>
          <cell r="F59">
            <v>114.83050847457628</v>
          </cell>
          <cell r="G59">
            <v>102.41448692152917</v>
          </cell>
          <cell r="H59">
            <v>95.308938674101668</v>
          </cell>
        </row>
        <row r="60">
          <cell r="A60" t="str">
            <v>27/10/2005</v>
          </cell>
          <cell r="B60">
            <v>2.7</v>
          </cell>
          <cell r="C60">
            <v>25.35</v>
          </cell>
          <cell r="D60">
            <v>2201.9</v>
          </cell>
          <cell r="F60">
            <v>114.40677966101696</v>
          </cell>
          <cell r="G60">
            <v>102.01207243460763</v>
          </cell>
          <cell r="H60">
            <v>94.159051353651307</v>
          </cell>
        </row>
        <row r="61">
          <cell r="A61" t="str">
            <v>28/10/2005</v>
          </cell>
          <cell r="B61">
            <v>2.62</v>
          </cell>
          <cell r="C61">
            <v>25.35</v>
          </cell>
          <cell r="D61">
            <v>2192.41</v>
          </cell>
          <cell r="F61">
            <v>111.0169491525424</v>
          </cell>
          <cell r="G61">
            <v>102.01207243460763</v>
          </cell>
          <cell r="H61">
            <v>93.753233924455529</v>
          </cell>
        </row>
        <row r="62">
          <cell r="A62" t="str">
            <v>31/10/2005</v>
          </cell>
          <cell r="B62">
            <v>2.7</v>
          </cell>
          <cell r="C62">
            <v>25.9</v>
          </cell>
          <cell r="D62">
            <v>2216.77</v>
          </cell>
          <cell r="F62">
            <v>114.40677966101696</v>
          </cell>
          <cell r="G62">
            <v>104.22535211267605</v>
          </cell>
          <cell r="H62">
            <v>94.794931772211982</v>
          </cell>
        </row>
        <row r="63">
          <cell r="A63" t="str">
            <v>02/11/2005</v>
          </cell>
          <cell r="B63">
            <v>2.71</v>
          </cell>
          <cell r="C63">
            <v>26.65</v>
          </cell>
          <cell r="D63">
            <v>2255.54</v>
          </cell>
          <cell r="F63">
            <v>114.83050847457628</v>
          </cell>
          <cell r="G63">
            <v>107.24346076458751</v>
          </cell>
          <cell r="H63">
            <v>96.452839225312076</v>
          </cell>
        </row>
        <row r="64">
          <cell r="A64" t="str">
            <v>04/11/2005</v>
          </cell>
          <cell r="B64">
            <v>2.67</v>
          </cell>
          <cell r="C64">
            <v>26.8</v>
          </cell>
          <cell r="D64">
            <v>2266.52</v>
          </cell>
          <cell r="F64">
            <v>113.13559322033899</v>
          </cell>
          <cell r="G64">
            <v>107.84708249496981</v>
          </cell>
          <cell r="H64">
            <v>96.92237298427618</v>
          </cell>
        </row>
        <row r="65">
          <cell r="A65" t="str">
            <v>07/11/2005</v>
          </cell>
          <cell r="B65">
            <v>2.66</v>
          </cell>
          <cell r="C65">
            <v>26.75</v>
          </cell>
          <cell r="D65">
            <v>2257.08</v>
          </cell>
          <cell r="F65">
            <v>112.71186440677967</v>
          </cell>
          <cell r="G65">
            <v>107.64587525150904</v>
          </cell>
          <cell r="H65">
            <v>96.518693686951835</v>
          </cell>
        </row>
        <row r="66">
          <cell r="A66" t="str">
            <v>08/11/2005</v>
          </cell>
          <cell r="B66">
            <v>2.68</v>
          </cell>
          <cell r="C66">
            <v>26.5</v>
          </cell>
          <cell r="D66">
            <v>2271.9899999999998</v>
          </cell>
          <cell r="F66">
            <v>113.55932203389831</v>
          </cell>
          <cell r="G66">
            <v>106.63983903420522</v>
          </cell>
          <cell r="H66">
            <v>97.156284611009667</v>
          </cell>
        </row>
        <row r="67">
          <cell r="A67" t="str">
            <v>09/11/2005</v>
          </cell>
          <cell r="B67">
            <v>2.67</v>
          </cell>
          <cell r="C67">
            <v>26</v>
          </cell>
          <cell r="D67">
            <v>2270.33</v>
          </cell>
          <cell r="F67">
            <v>113.13559322033899</v>
          </cell>
          <cell r="G67">
            <v>104.62776659959758</v>
          </cell>
          <cell r="H67">
            <v>97.085298632878491</v>
          </cell>
        </row>
        <row r="68">
          <cell r="A68" t="str">
            <v>10/11/2005</v>
          </cell>
          <cell r="B68">
            <v>2.64</v>
          </cell>
          <cell r="C68">
            <v>26.05</v>
          </cell>
          <cell r="D68">
            <v>2258.25</v>
          </cell>
          <cell r="F68">
            <v>111.86440677966102</v>
          </cell>
          <cell r="G68">
            <v>104.82897384305834</v>
          </cell>
          <cell r="H68">
            <v>96.56872597274311</v>
          </cell>
        </row>
        <row r="69">
          <cell r="A69" t="str">
            <v>11/11/2005</v>
          </cell>
          <cell r="B69">
            <v>2.64</v>
          </cell>
          <cell r="C69">
            <v>26.75</v>
          </cell>
          <cell r="D69">
            <v>2266.0300000000002</v>
          </cell>
          <cell r="F69">
            <v>111.86440677966102</v>
          </cell>
          <cell r="G69">
            <v>107.64587525150904</v>
          </cell>
          <cell r="H69">
            <v>96.901419291936264</v>
          </cell>
        </row>
        <row r="70">
          <cell r="A70" t="str">
            <v>14/11/2005</v>
          </cell>
          <cell r="B70">
            <v>2.66</v>
          </cell>
          <cell r="C70">
            <v>26.75</v>
          </cell>
          <cell r="D70">
            <v>2254.15</v>
          </cell>
          <cell r="F70">
            <v>112.71186440677967</v>
          </cell>
          <cell r="G70">
            <v>107.64587525150904</v>
          </cell>
          <cell r="H70">
            <v>96.39339915928656</v>
          </cell>
        </row>
        <row r="71">
          <cell r="A71" t="str">
            <v>15/11/2005</v>
          </cell>
          <cell r="B71">
            <v>2.68</v>
          </cell>
          <cell r="C71">
            <v>26.7</v>
          </cell>
          <cell r="D71">
            <v>2240.4899999999998</v>
          </cell>
          <cell r="F71">
            <v>113.55932203389831</v>
          </cell>
          <cell r="G71">
            <v>107.44466800804828</v>
          </cell>
          <cell r="H71">
            <v>95.809261532014247</v>
          </cell>
        </row>
        <row r="72">
          <cell r="A72" t="str">
            <v>16/11/2005</v>
          </cell>
          <cell r="B72">
            <v>2.65</v>
          </cell>
          <cell r="C72">
            <v>26.5</v>
          </cell>
          <cell r="D72">
            <v>2254.46</v>
          </cell>
          <cell r="F72">
            <v>112.28813559322035</v>
          </cell>
          <cell r="G72">
            <v>106.63983903420522</v>
          </cell>
          <cell r="H72">
            <v>96.406655576889364</v>
          </cell>
        </row>
        <row r="73">
          <cell r="A73" t="str">
            <v>17/11/2005</v>
          </cell>
          <cell r="B73">
            <v>2.68</v>
          </cell>
          <cell r="C73">
            <v>26.65</v>
          </cell>
          <cell r="D73">
            <v>2261.4899999999998</v>
          </cell>
          <cell r="F73">
            <v>113.55932203389831</v>
          </cell>
          <cell r="G73">
            <v>107.24346076458751</v>
          </cell>
          <cell r="H73">
            <v>96.707276918011203</v>
          </cell>
        </row>
        <row r="74">
          <cell r="A74" t="str">
            <v>18/11/2005</v>
          </cell>
          <cell r="B74">
            <v>2.74</v>
          </cell>
          <cell r="C74">
            <v>27.1</v>
          </cell>
          <cell r="D74">
            <v>2293.1999999999998</v>
          </cell>
          <cell r="F74">
            <v>116.10169491525426</v>
          </cell>
          <cell r="G74">
            <v>109.05432595573441</v>
          </cell>
          <cell r="H74">
            <v>98.063280150866589</v>
          </cell>
        </row>
        <row r="75">
          <cell r="A75" t="str">
            <v>21/11/2005</v>
          </cell>
          <cell r="B75">
            <v>2.72</v>
          </cell>
          <cell r="C75">
            <v>27.4</v>
          </cell>
          <cell r="D75">
            <v>2282.5</v>
          </cell>
          <cell r="F75">
            <v>115.2542372881356</v>
          </cell>
          <cell r="G75">
            <v>110.26156941649899</v>
          </cell>
          <cell r="H75">
            <v>97.605719930382435</v>
          </cell>
        </row>
        <row r="76">
          <cell r="A76" t="str">
            <v>22/11/2005</v>
          </cell>
          <cell r="B76">
            <v>2.73</v>
          </cell>
          <cell r="C76">
            <v>27.9</v>
          </cell>
          <cell r="D76">
            <v>2278.04</v>
          </cell>
          <cell r="F76">
            <v>115.67796610169492</v>
          </cell>
          <cell r="G76">
            <v>112.27364185110662</v>
          </cell>
          <cell r="H76">
            <v>97.414998567451647</v>
          </cell>
        </row>
        <row r="77">
          <cell r="A77" t="str">
            <v>23/11/2005</v>
          </cell>
          <cell r="B77">
            <v>2.76</v>
          </cell>
          <cell r="C77">
            <v>29</v>
          </cell>
          <cell r="D77">
            <v>2296.52</v>
          </cell>
          <cell r="F77">
            <v>116.94915254237289</v>
          </cell>
          <cell r="G77">
            <v>116.70020120724345</v>
          </cell>
          <cell r="H77">
            <v>98.20525210712897</v>
          </cell>
        </row>
        <row r="78">
          <cell r="A78" t="str">
            <v>25/11/2005</v>
          </cell>
          <cell r="B78">
            <v>2.73</v>
          </cell>
          <cell r="C78">
            <v>28.8</v>
          </cell>
          <cell r="D78">
            <v>2295.73</v>
          </cell>
          <cell r="F78">
            <v>115.67796610169492</v>
          </cell>
          <cell r="G78">
            <v>115.89537223340041</v>
          </cell>
          <cell r="H78">
            <v>98.171469623560512</v>
          </cell>
        </row>
        <row r="79">
          <cell r="A79" t="str">
            <v>28/11/2005</v>
          </cell>
          <cell r="B79">
            <v>2.8</v>
          </cell>
          <cell r="C79">
            <v>29.2</v>
          </cell>
          <cell r="D79">
            <v>2308.54</v>
          </cell>
          <cell r="F79">
            <v>118.64406779661016</v>
          </cell>
          <cell r="G79">
            <v>117.50503018108651</v>
          </cell>
          <cell r="H79">
            <v>98.719259009018643</v>
          </cell>
        </row>
        <row r="80">
          <cell r="A80" t="str">
            <v>29/11/2005</v>
          </cell>
          <cell r="B80">
            <v>2.79</v>
          </cell>
          <cell r="C80">
            <v>28.8</v>
          </cell>
          <cell r="D80">
            <v>2302.88</v>
          </cell>
          <cell r="F80">
            <v>118.22033898305087</v>
          </cell>
          <cell r="G80">
            <v>115.89537223340041</v>
          </cell>
          <cell r="H80">
            <v>98.477222481173769</v>
          </cell>
        </row>
        <row r="81">
          <cell r="A81" t="str">
            <v>30/11/2005</v>
          </cell>
          <cell r="B81">
            <v>2.75</v>
          </cell>
          <cell r="C81">
            <v>28.2</v>
          </cell>
          <cell r="D81">
            <v>2300.25</v>
          </cell>
          <cell r="F81">
            <v>116.52542372881356</v>
          </cell>
          <cell r="G81">
            <v>113.48088531187122</v>
          </cell>
          <cell r="H81">
            <v>98.364756744737008</v>
          </cell>
        </row>
        <row r="82">
          <cell r="A82" t="str">
            <v>01/12/2005</v>
          </cell>
          <cell r="B82">
            <v>2.74</v>
          </cell>
          <cell r="C82">
            <v>27.95</v>
          </cell>
          <cell r="D82">
            <v>2310.9899999999998</v>
          </cell>
          <cell r="F82">
            <v>116.10169491525426</v>
          </cell>
          <cell r="G82">
            <v>112.4748490945674</v>
          </cell>
          <cell r="H82">
            <v>98.824027470718278</v>
          </cell>
        </row>
        <row r="83">
          <cell r="A83" t="str">
            <v>02/12/2005</v>
          </cell>
          <cell r="B83">
            <v>2.74</v>
          </cell>
          <cell r="C83">
            <v>28.1</v>
          </cell>
          <cell r="D83">
            <v>2332.52</v>
          </cell>
          <cell r="F83">
            <v>116.10169491525426</v>
          </cell>
          <cell r="G83">
            <v>113.0784708249497</v>
          </cell>
          <cell r="H83">
            <v>99.744707054552308</v>
          </cell>
        </row>
        <row r="84">
          <cell r="A84" t="str">
            <v>05/12/2005</v>
          </cell>
          <cell r="B84">
            <v>2.74</v>
          </cell>
          <cell r="C84">
            <v>28</v>
          </cell>
          <cell r="D84">
            <v>2332.61</v>
          </cell>
          <cell r="F84">
            <v>116.10169491525426</v>
          </cell>
          <cell r="G84">
            <v>112.67605633802815</v>
          </cell>
          <cell r="H84">
            <v>99.74855569192087</v>
          </cell>
        </row>
        <row r="85">
          <cell r="A85" t="str">
            <v>06/12/2005</v>
          </cell>
          <cell r="B85">
            <v>2.7</v>
          </cell>
          <cell r="C85">
            <v>27.85</v>
          </cell>
          <cell r="D85">
            <v>2308.35</v>
          </cell>
          <cell r="F85">
            <v>114.40677966101696</v>
          </cell>
          <cell r="G85">
            <v>112.07243460764586</v>
          </cell>
          <cell r="H85">
            <v>98.711134107907242</v>
          </cell>
        </row>
        <row r="86">
          <cell r="A86" t="str">
            <v>07/12/2005</v>
          </cell>
          <cell r="B86">
            <v>2.71</v>
          </cell>
          <cell r="C86">
            <v>28</v>
          </cell>
          <cell r="D86">
            <v>2311.81</v>
          </cell>
          <cell r="F86">
            <v>114.83050847457628</v>
          </cell>
          <cell r="G86">
            <v>112.67605633802815</v>
          </cell>
          <cell r="H86">
            <v>98.859092833409605</v>
          </cell>
        </row>
        <row r="87">
          <cell r="A87" t="str">
            <v>08/12/2005</v>
          </cell>
          <cell r="B87">
            <v>2.68</v>
          </cell>
          <cell r="C87">
            <v>28.2</v>
          </cell>
          <cell r="D87">
            <v>2305.71</v>
          </cell>
          <cell r="F87">
            <v>113.55932203389831</v>
          </cell>
          <cell r="G87">
            <v>113.48088531187122</v>
          </cell>
          <cell r="H87">
            <v>98.598240745096206</v>
          </cell>
        </row>
        <row r="88">
          <cell r="A88" t="str">
            <v>09/12/2005</v>
          </cell>
          <cell r="B88">
            <v>2.73</v>
          </cell>
          <cell r="C88">
            <v>28.4</v>
          </cell>
          <cell r="D88">
            <v>2321.1</v>
          </cell>
          <cell r="F88">
            <v>115.67796610169492</v>
          </cell>
          <cell r="G88">
            <v>114.28571428571428</v>
          </cell>
          <cell r="H88">
            <v>99.256357735119678</v>
          </cell>
        </row>
        <row r="89">
          <cell r="A89" t="str">
            <v>12/12/2005</v>
          </cell>
          <cell r="B89">
            <v>2.76</v>
          </cell>
          <cell r="C89">
            <v>28.95</v>
          </cell>
          <cell r="D89">
            <v>2331.4</v>
          </cell>
          <cell r="F89">
            <v>116.94915254237289</v>
          </cell>
          <cell r="G89">
            <v>116.4989939637827</v>
          </cell>
          <cell r="H89">
            <v>99.696812900632466</v>
          </cell>
        </row>
        <row r="90">
          <cell r="A90" t="str">
            <v>13/12/2005</v>
          </cell>
          <cell r="B90">
            <v>2.78</v>
          </cell>
          <cell r="C90">
            <v>29.4</v>
          </cell>
          <cell r="D90">
            <v>2323.9699999999998</v>
          </cell>
          <cell r="F90">
            <v>117.79661016949152</v>
          </cell>
          <cell r="G90">
            <v>118.30985915492957</v>
          </cell>
          <cell r="H90">
            <v>99.379086504539259</v>
          </cell>
        </row>
        <row r="91">
          <cell r="A91" t="str">
            <v>14/12/2005</v>
          </cell>
          <cell r="B91">
            <v>2.77</v>
          </cell>
          <cell r="C91">
            <v>30.4</v>
          </cell>
          <cell r="D91">
            <v>2324.38</v>
          </cell>
          <cell r="F91">
            <v>117.37288135593221</v>
          </cell>
          <cell r="G91">
            <v>122.33400402414485</v>
          </cell>
          <cell r="H91">
            <v>99.39661918588493</v>
          </cell>
        </row>
        <row r="92">
          <cell r="A92" t="str">
            <v>15/12/2005</v>
          </cell>
          <cell r="B92">
            <v>2.78</v>
          </cell>
          <cell r="C92">
            <v>29.95</v>
          </cell>
          <cell r="D92">
            <v>2325.73</v>
          </cell>
          <cell r="F92">
            <v>117.79661016949152</v>
          </cell>
          <cell r="G92">
            <v>120.52313883299799</v>
          </cell>
          <cell r="H92">
            <v>99.454348746413288</v>
          </cell>
        </row>
        <row r="93">
          <cell r="A93" t="str">
            <v>16/12/2005</v>
          </cell>
          <cell r="B93">
            <v>2.79</v>
          </cell>
          <cell r="C93">
            <v>30</v>
          </cell>
          <cell r="D93">
            <v>2325.5300000000002</v>
          </cell>
          <cell r="F93">
            <v>118.22033898305087</v>
          </cell>
          <cell r="G93">
            <v>120.72434607645874</v>
          </cell>
          <cell r="H93">
            <v>99.445796218927612</v>
          </cell>
        </row>
        <row r="94">
          <cell r="A94" t="str">
            <v>19/12/2005</v>
          </cell>
          <cell r="B94">
            <v>2.83</v>
          </cell>
          <cell r="C94">
            <v>31.2</v>
          </cell>
          <cell r="D94">
            <v>2326.5500000000002</v>
          </cell>
          <cell r="F94">
            <v>119.91525423728815</v>
          </cell>
          <cell r="G94">
            <v>125.55331991951711</v>
          </cell>
          <cell r="H94">
            <v>99.489414109104615</v>
          </cell>
        </row>
        <row r="95">
          <cell r="A95" t="str">
            <v>20/12/2005</v>
          </cell>
          <cell r="B95">
            <v>2.86</v>
          </cell>
          <cell r="C95">
            <v>31</v>
          </cell>
          <cell r="D95">
            <v>2328.7199999999998</v>
          </cell>
          <cell r="F95">
            <v>121.18644067796612</v>
          </cell>
          <cell r="G95">
            <v>124.74849094567404</v>
          </cell>
          <cell r="H95">
            <v>99.582209032324272</v>
          </cell>
        </row>
        <row r="96">
          <cell r="A96" t="str">
            <v>21/12/2005</v>
          </cell>
          <cell r="B96">
            <v>2.93</v>
          </cell>
          <cell r="C96">
            <v>31.1</v>
          </cell>
          <cell r="D96">
            <v>2332.67</v>
          </cell>
          <cell r="F96">
            <v>124.15254237288136</v>
          </cell>
          <cell r="G96">
            <v>125.15090543259558</v>
          </cell>
          <cell r="H96">
            <v>99.751121450166565</v>
          </cell>
        </row>
        <row r="97">
          <cell r="A97" t="str">
            <v>22/12/2005</v>
          </cell>
          <cell r="B97">
            <v>2.89</v>
          </cell>
          <cell r="C97">
            <v>30.95</v>
          </cell>
          <cell r="D97">
            <v>2323.66</v>
          </cell>
          <cell r="F97">
            <v>122.45762711864407</v>
          </cell>
          <cell r="G97">
            <v>124.54728370221326</v>
          </cell>
          <cell r="H97">
            <v>99.365830086936441</v>
          </cell>
        </row>
        <row r="98">
          <cell r="A98" t="str">
            <v>23/12/2005</v>
          </cell>
          <cell r="B98">
            <v>2.9</v>
          </cell>
          <cell r="C98">
            <v>30.9</v>
          </cell>
          <cell r="D98">
            <v>2328.29</v>
          </cell>
          <cell r="F98">
            <v>122.88135593220339</v>
          </cell>
          <cell r="G98">
            <v>124.34607645875251</v>
          </cell>
          <cell r="H98">
            <v>99.563821098230065</v>
          </cell>
        </row>
        <row r="99">
          <cell r="A99" t="str">
            <v>27/12/2005</v>
          </cell>
          <cell r="B99">
            <v>2.9</v>
          </cell>
          <cell r="C99">
            <v>30.9</v>
          </cell>
          <cell r="D99">
            <v>2334.94</v>
          </cell>
          <cell r="F99">
            <v>122.88135593220339</v>
          </cell>
          <cell r="G99">
            <v>124.34607645875251</v>
          </cell>
          <cell r="H99">
            <v>99.848192637129102</v>
          </cell>
        </row>
        <row r="100">
          <cell r="A100" t="str">
            <v>28/12/2005</v>
          </cell>
          <cell r="B100">
            <v>2.86</v>
          </cell>
          <cell r="C100">
            <v>30.95</v>
          </cell>
          <cell r="D100">
            <v>2337.89</v>
          </cell>
          <cell r="F100">
            <v>121.18644067796612</v>
          </cell>
          <cell r="G100">
            <v>124.54728370221326</v>
          </cell>
          <cell r="H100">
            <v>99.974342417542942</v>
          </cell>
        </row>
        <row r="101">
          <cell r="A101" t="str">
            <v>29/12/2005</v>
          </cell>
          <cell r="B101">
            <v>2.85</v>
          </cell>
          <cell r="C101">
            <v>31.35</v>
          </cell>
          <cell r="D101">
            <v>2345.38</v>
          </cell>
          <cell r="F101">
            <v>120.7627118644068</v>
          </cell>
          <cell r="G101">
            <v>126.15694164989939</v>
          </cell>
          <cell r="H101">
            <v>100.29463457188189</v>
          </cell>
        </row>
        <row r="102">
          <cell r="A102" t="str">
            <v>30/12/2005</v>
          </cell>
          <cell r="B102">
            <v>2.9</v>
          </cell>
          <cell r="C102">
            <v>32.15</v>
          </cell>
          <cell r="D102">
            <v>2347.34</v>
          </cell>
          <cell r="F102">
            <v>122.88135593220339</v>
          </cell>
          <cell r="G102">
            <v>129.37625754527161</v>
          </cell>
          <cell r="H102">
            <v>100.37844934124158</v>
          </cell>
        </row>
        <row r="103">
          <cell r="A103" t="str">
            <v>03/01/2006</v>
          </cell>
          <cell r="B103">
            <v>2.91</v>
          </cell>
          <cell r="C103">
            <v>33.950000000000003</v>
          </cell>
          <cell r="D103">
            <v>2369.37</v>
          </cell>
          <cell r="F103">
            <v>123.30508474576271</v>
          </cell>
          <cell r="G103">
            <v>136.61971830985914</v>
          </cell>
          <cell r="H103">
            <v>101.32051024378981</v>
          </cell>
        </row>
        <row r="104">
          <cell r="A104" t="str">
            <v>04/01/2006</v>
          </cell>
          <cell r="B104">
            <v>2.94</v>
          </cell>
          <cell r="C104">
            <v>35.450000000000003</v>
          </cell>
          <cell r="D104">
            <v>2384.14</v>
          </cell>
          <cell r="F104">
            <v>124.57627118644068</v>
          </cell>
          <cell r="G104">
            <v>142.65593561368212</v>
          </cell>
          <cell r="H104">
            <v>101.95211439860765</v>
          </cell>
        </row>
        <row r="105">
          <cell r="A105" t="str">
            <v>05/01/2006</v>
          </cell>
          <cell r="B105">
            <v>3.04</v>
          </cell>
          <cell r="C105">
            <v>34.75</v>
          </cell>
          <cell r="D105">
            <v>2403.75</v>
          </cell>
          <cell r="F105">
            <v>128.81355932203391</v>
          </cell>
          <cell r="G105">
            <v>139.83903420523137</v>
          </cell>
          <cell r="H105">
            <v>102.7906897185791</v>
          </cell>
        </row>
        <row r="106">
          <cell r="A106" t="str">
            <v>06/01/2006</v>
          </cell>
          <cell r="B106">
            <v>3</v>
          </cell>
          <cell r="C106">
            <v>34.950000000000003</v>
          </cell>
          <cell r="D106">
            <v>2420.7399999999998</v>
          </cell>
          <cell r="F106">
            <v>127.11864406779662</v>
          </cell>
          <cell r="G106">
            <v>140.64386317907446</v>
          </cell>
          <cell r="H106">
            <v>103.51722692848804</v>
          </cell>
        </row>
        <row r="107">
          <cell r="A107" t="str">
            <v>09/01/2006</v>
          </cell>
          <cell r="B107">
            <v>3</v>
          </cell>
          <cell r="C107">
            <v>36.4</v>
          </cell>
          <cell r="D107">
            <v>2425.9899999999998</v>
          </cell>
          <cell r="F107">
            <v>127.11864406779662</v>
          </cell>
          <cell r="G107">
            <v>146.47887323943661</v>
          </cell>
          <cell r="H107">
            <v>103.74173077498727</v>
          </cell>
        </row>
        <row r="108">
          <cell r="A108" t="str">
            <v>10/01/2006</v>
          </cell>
          <cell r="B108">
            <v>3</v>
          </cell>
          <cell r="C108">
            <v>36.9</v>
          </cell>
          <cell r="D108">
            <v>2425.9899999999998</v>
          </cell>
          <cell r="F108">
            <v>127.11864406779662</v>
          </cell>
          <cell r="G108">
            <v>148.49094567404427</v>
          </cell>
          <cell r="H108">
            <v>103.74173077498727</v>
          </cell>
        </row>
        <row r="109">
          <cell r="A109" t="str">
            <v>11/01/2006</v>
          </cell>
          <cell r="B109">
            <v>3</v>
          </cell>
          <cell r="C109">
            <v>35.950000000000003</v>
          </cell>
          <cell r="D109">
            <v>2418.65</v>
          </cell>
          <cell r="F109">
            <v>127.11864406779662</v>
          </cell>
          <cell r="G109">
            <v>144.66800804828975</v>
          </cell>
          <cell r="H109">
            <v>103.42785301626265</v>
          </cell>
        </row>
        <row r="110">
          <cell r="A110" t="str">
            <v>12/01/2006</v>
          </cell>
          <cell r="B110">
            <v>3</v>
          </cell>
          <cell r="C110">
            <v>34.950000000000003</v>
          </cell>
          <cell r="D110">
            <v>2407.38</v>
          </cell>
          <cell r="F110">
            <v>127.11864406779662</v>
          </cell>
          <cell r="G110">
            <v>140.64386317907446</v>
          </cell>
          <cell r="H110">
            <v>102.94591809244429</v>
          </cell>
        </row>
        <row r="111">
          <cell r="A111" t="str">
            <v>13/01/2006</v>
          </cell>
          <cell r="B111">
            <v>3.02</v>
          </cell>
          <cell r="C111">
            <v>35.200000000000003</v>
          </cell>
          <cell r="D111">
            <v>2405.86</v>
          </cell>
          <cell r="F111">
            <v>127.96610169491527</v>
          </cell>
          <cell r="G111">
            <v>141.64989939637826</v>
          </cell>
          <cell r="H111">
            <v>102.88091888355308</v>
          </cell>
        </row>
        <row r="112">
          <cell r="A112" t="str">
            <v>17/01/2006</v>
          </cell>
          <cell r="B112">
            <v>3.02</v>
          </cell>
          <cell r="C112">
            <v>34.450000000000003</v>
          </cell>
          <cell r="D112">
            <v>2376.96</v>
          </cell>
          <cell r="F112">
            <v>127.96610169491527</v>
          </cell>
          <cell r="G112">
            <v>138.6317907444668</v>
          </cell>
          <cell r="H112">
            <v>101.64507866187155</v>
          </cell>
        </row>
        <row r="113">
          <cell r="A113" t="str">
            <v>18/01/2006</v>
          </cell>
          <cell r="B113">
            <v>3.02</v>
          </cell>
          <cell r="C113">
            <v>34.1</v>
          </cell>
          <cell r="D113">
            <v>2359.3000000000002</v>
          </cell>
          <cell r="F113">
            <v>127.96610169491527</v>
          </cell>
          <cell r="G113">
            <v>137.22334004024142</v>
          </cell>
          <cell r="H113">
            <v>100.88989048488557</v>
          </cell>
        </row>
        <row r="114">
          <cell r="A114" t="str">
            <v>19/01/2006</v>
          </cell>
          <cell r="B114">
            <v>3.1</v>
          </cell>
          <cell r="C114">
            <v>34.950000000000003</v>
          </cell>
          <cell r="D114">
            <v>2378.52</v>
          </cell>
          <cell r="F114">
            <v>131.35593220338984</v>
          </cell>
          <cell r="G114">
            <v>140.64386317907446</v>
          </cell>
          <cell r="H114">
            <v>101.71178837625989</v>
          </cell>
        </row>
        <row r="115">
          <cell r="A115" t="str">
            <v>20/01/2006</v>
          </cell>
          <cell r="B115">
            <v>3.14</v>
          </cell>
          <cell r="C115">
            <v>35.049999999999997</v>
          </cell>
          <cell r="D115">
            <v>2388.91</v>
          </cell>
          <cell r="F115">
            <v>133.05084745762713</v>
          </cell>
          <cell r="G115">
            <v>141.04627766599594</v>
          </cell>
          <cell r="H115">
            <v>102.15609217914124</v>
          </cell>
        </row>
        <row r="116">
          <cell r="A116" t="str">
            <v>23/01/2006</v>
          </cell>
          <cell r="B116">
            <v>3.04</v>
          </cell>
          <cell r="C116">
            <v>35</v>
          </cell>
          <cell r="D116">
            <v>2364.9699999999998</v>
          </cell>
          <cell r="F116">
            <v>128.81355932203391</v>
          </cell>
          <cell r="G116">
            <v>140.8450704225352</v>
          </cell>
          <cell r="H116">
            <v>101.13235463910473</v>
          </cell>
        </row>
        <row r="117">
          <cell r="A117" t="str">
            <v>24/01/2006</v>
          </cell>
          <cell r="B117">
            <v>3.1</v>
          </cell>
          <cell r="C117">
            <v>36.049999999999997</v>
          </cell>
          <cell r="D117">
            <v>2368.3200000000002</v>
          </cell>
          <cell r="F117">
            <v>131.35593220338984</v>
          </cell>
          <cell r="G117">
            <v>145.07042253521126</v>
          </cell>
          <cell r="H117">
            <v>101.27560947448997</v>
          </cell>
        </row>
        <row r="118">
          <cell r="A118" t="str">
            <v>25/01/2006</v>
          </cell>
          <cell r="B118">
            <v>3.1</v>
          </cell>
          <cell r="C118">
            <v>36.700000000000003</v>
          </cell>
          <cell r="D118">
            <v>2378.64</v>
          </cell>
          <cell r="F118">
            <v>131.35593220338984</v>
          </cell>
          <cell r="G118">
            <v>147.68611670020121</v>
          </cell>
          <cell r="H118">
            <v>101.71691989275131</v>
          </cell>
        </row>
        <row r="119">
          <cell r="A119" t="str">
            <v>26/01/2006</v>
          </cell>
          <cell r="B119">
            <v>3.12</v>
          </cell>
          <cell r="C119">
            <v>37</v>
          </cell>
          <cell r="D119">
            <v>2388.2199999999998</v>
          </cell>
          <cell r="F119">
            <v>132.20338983050848</v>
          </cell>
          <cell r="G119">
            <v>148.89336016096578</v>
          </cell>
          <cell r="H119">
            <v>102.12658595931563</v>
          </cell>
        </row>
        <row r="120">
          <cell r="A120" t="str">
            <v>27/01/2006</v>
          </cell>
          <cell r="B120">
            <v>3.16</v>
          </cell>
          <cell r="C120">
            <v>37.85</v>
          </cell>
          <cell r="D120">
            <v>2412.08</v>
          </cell>
          <cell r="F120">
            <v>133.89830508474577</v>
          </cell>
          <cell r="G120">
            <v>152.31388329979879</v>
          </cell>
          <cell r="H120">
            <v>103.14690248835787</v>
          </cell>
        </row>
        <row r="121">
          <cell r="A121" t="str">
            <v>30/01/2006</v>
          </cell>
          <cell r="B121">
            <v>3.16</v>
          </cell>
          <cell r="C121">
            <v>37.85</v>
          </cell>
          <cell r="D121">
            <v>2412.08</v>
          </cell>
          <cell r="F121">
            <v>133.89830508474577</v>
          </cell>
          <cell r="G121">
            <v>152.31388329979879</v>
          </cell>
          <cell r="H121">
            <v>103.14690248835787</v>
          </cell>
        </row>
        <row r="122">
          <cell r="A122" t="str">
            <v>31/01/2006</v>
          </cell>
          <cell r="B122">
            <v>3.16</v>
          </cell>
          <cell r="C122">
            <v>37.85</v>
          </cell>
          <cell r="D122">
            <v>2412.08</v>
          </cell>
          <cell r="F122">
            <v>133.89830508474577</v>
          </cell>
          <cell r="G122">
            <v>152.31388329979879</v>
          </cell>
          <cell r="H122">
            <v>103.14690248835787</v>
          </cell>
        </row>
        <row r="123">
          <cell r="A123" t="str">
            <v>01/02/2006</v>
          </cell>
          <cell r="B123">
            <v>3.22</v>
          </cell>
          <cell r="C123">
            <v>37.700000000000003</v>
          </cell>
          <cell r="D123">
            <v>2431.7399999999998</v>
          </cell>
          <cell r="F123">
            <v>136.4406779661017</v>
          </cell>
          <cell r="G123">
            <v>151.7102615694165</v>
          </cell>
          <cell r="H123">
            <v>103.98761594020071</v>
          </cell>
        </row>
        <row r="124">
          <cell r="A124" t="str">
            <v>02/02/2006</v>
          </cell>
          <cell r="B124">
            <v>3.44</v>
          </cell>
          <cell r="C124">
            <v>37.799999999999997</v>
          </cell>
          <cell r="D124">
            <v>2441.39</v>
          </cell>
          <cell r="F124">
            <v>145.76271186440678</v>
          </cell>
          <cell r="G124">
            <v>152.11267605633799</v>
          </cell>
          <cell r="H124">
            <v>104.40027539138504</v>
          </cell>
        </row>
        <row r="125">
          <cell r="A125" t="str">
            <v>03/02/2006</v>
          </cell>
          <cell r="B125">
            <v>3.36</v>
          </cell>
          <cell r="C125">
            <v>37</v>
          </cell>
          <cell r="D125">
            <v>2431.7199999999998</v>
          </cell>
          <cell r="F125">
            <v>142.37288135593221</v>
          </cell>
          <cell r="G125">
            <v>148.89336016096578</v>
          </cell>
          <cell r="H125">
            <v>103.98676068745216</v>
          </cell>
        </row>
        <row r="126">
          <cell r="A126" t="str">
            <v>06/02/2006</v>
          </cell>
          <cell r="B126">
            <v>3.44</v>
          </cell>
          <cell r="C126">
            <v>37.299999999999997</v>
          </cell>
          <cell r="D126">
            <v>2441.08</v>
          </cell>
          <cell r="F126">
            <v>145.76271186440678</v>
          </cell>
          <cell r="G126">
            <v>150.10060362173036</v>
          </cell>
          <cell r="H126">
            <v>104.38701897378225</v>
          </cell>
        </row>
        <row r="127">
          <cell r="A127" t="str">
            <v>07/02/2006</v>
          </cell>
          <cell r="B127">
            <v>3.54</v>
          </cell>
          <cell r="C127">
            <v>38.85</v>
          </cell>
          <cell r="D127">
            <v>2448.73</v>
          </cell>
          <cell r="F127">
            <v>150</v>
          </cell>
          <cell r="G127">
            <v>156.33802816901408</v>
          </cell>
          <cell r="H127">
            <v>104.71415315010969</v>
          </cell>
        </row>
        <row r="128">
          <cell r="A128" t="str">
            <v>08/02/2006</v>
          </cell>
          <cell r="B128">
            <v>3.46</v>
          </cell>
          <cell r="C128">
            <v>38.6</v>
          </cell>
          <cell r="D128">
            <v>2428.25</v>
          </cell>
          <cell r="F128">
            <v>146.61016949152543</v>
          </cell>
          <cell r="G128">
            <v>155.33199195171025</v>
          </cell>
          <cell r="H128">
            <v>103.83837433557552</v>
          </cell>
        </row>
        <row r="129">
          <cell r="A129" t="str">
            <v>09/02/2006</v>
          </cell>
          <cell r="B129">
            <v>3.52</v>
          </cell>
          <cell r="C129">
            <v>37.9</v>
          </cell>
          <cell r="D129">
            <v>2431.62</v>
          </cell>
          <cell r="F129">
            <v>149.15254237288136</v>
          </cell>
          <cell r="G129">
            <v>152.51509054325953</v>
          </cell>
          <cell r="H129">
            <v>103.98248442370932</v>
          </cell>
        </row>
        <row r="130">
          <cell r="A130" t="str">
            <v>10/02/2006</v>
          </cell>
          <cell r="B130">
            <v>3.6</v>
          </cell>
          <cell r="C130">
            <v>37.700000000000003</v>
          </cell>
          <cell r="D130">
            <v>2423.59</v>
          </cell>
          <cell r="F130">
            <v>152.54237288135596</v>
          </cell>
          <cell r="G130">
            <v>151.7102615694165</v>
          </cell>
          <cell r="H130">
            <v>103.63910044515907</v>
          </cell>
        </row>
        <row r="131">
          <cell r="A131" t="str">
            <v>13/02/2006</v>
          </cell>
          <cell r="B131">
            <v>3.78</v>
          </cell>
          <cell r="C131">
            <v>38.700000000000003</v>
          </cell>
          <cell r="D131">
            <v>2429.5</v>
          </cell>
          <cell r="F131">
            <v>160.16949152542372</v>
          </cell>
          <cell r="G131">
            <v>155.73440643863179</v>
          </cell>
          <cell r="H131">
            <v>103.89182763236107</v>
          </cell>
        </row>
        <row r="132">
          <cell r="A132" t="str">
            <v>14/02/2006</v>
          </cell>
          <cell r="B132">
            <v>3.88</v>
          </cell>
          <cell r="C132">
            <v>39.700000000000003</v>
          </cell>
          <cell r="D132">
            <v>2440.98</v>
          </cell>
          <cell r="F132">
            <v>164.40677966101697</v>
          </cell>
          <cell r="G132">
            <v>159.75855130784709</v>
          </cell>
          <cell r="H132">
            <v>104.38274271003939</v>
          </cell>
        </row>
        <row r="133">
          <cell r="A133" t="str">
            <v>15/02/2006</v>
          </cell>
          <cell r="B133">
            <v>3.88</v>
          </cell>
          <cell r="C133">
            <v>39.799999999999997</v>
          </cell>
          <cell r="D133">
            <v>2424.17</v>
          </cell>
          <cell r="F133">
            <v>164.40677966101697</v>
          </cell>
          <cell r="G133">
            <v>160.1609657947686</v>
          </cell>
          <cell r="H133">
            <v>103.66390277486755</v>
          </cell>
        </row>
        <row r="134">
          <cell r="A134" t="str">
            <v>16/02/2006</v>
          </cell>
          <cell r="B134">
            <v>3.78</v>
          </cell>
          <cell r="C134">
            <v>39.25</v>
          </cell>
          <cell r="D134">
            <v>2434.66</v>
          </cell>
          <cell r="F134">
            <v>160.16949152542372</v>
          </cell>
          <cell r="G134">
            <v>157.94768611670017</v>
          </cell>
          <cell r="H134">
            <v>104.11248284149173</v>
          </cell>
        </row>
        <row r="135">
          <cell r="A135" t="str">
            <v>17/02/2006</v>
          </cell>
          <cell r="B135">
            <v>3.68</v>
          </cell>
          <cell r="C135">
            <v>38.549999999999997</v>
          </cell>
          <cell r="D135">
            <v>2431.34</v>
          </cell>
          <cell r="F135">
            <v>155.93220338983051</v>
          </cell>
          <cell r="G135">
            <v>155.13078470824948</v>
          </cell>
          <cell r="H135">
            <v>103.97051088522937</v>
          </cell>
        </row>
        <row r="136">
          <cell r="A136" t="str">
            <v>20/02/2006</v>
          </cell>
          <cell r="B136">
            <v>3.62</v>
          </cell>
          <cell r="C136">
            <v>38.950000000000003</v>
          </cell>
          <cell r="D136">
            <v>2431.77</v>
          </cell>
          <cell r="F136">
            <v>153.3898305084746</v>
          </cell>
          <cell r="G136">
            <v>156.7404426559356</v>
          </cell>
          <cell r="H136">
            <v>103.98889881932358</v>
          </cell>
        </row>
        <row r="137">
          <cell r="A137" t="str">
            <v>21/02/2006</v>
          </cell>
          <cell r="B137">
            <v>3.6</v>
          </cell>
          <cell r="C137">
            <v>38.65</v>
          </cell>
          <cell r="D137">
            <v>2443.56</v>
          </cell>
          <cell r="F137">
            <v>152.54237288135596</v>
          </cell>
          <cell r="G137">
            <v>155.53319919517102</v>
          </cell>
          <cell r="H137">
            <v>104.49307031460474</v>
          </cell>
        </row>
        <row r="138">
          <cell r="A138" t="str">
            <v>22/02/2006</v>
          </cell>
          <cell r="B138">
            <v>3.5</v>
          </cell>
          <cell r="C138">
            <v>38.75</v>
          </cell>
          <cell r="D138">
            <v>2427.89</v>
          </cell>
          <cell r="F138">
            <v>148.30508474576271</v>
          </cell>
          <cell r="G138">
            <v>155.93561368209254</v>
          </cell>
          <cell r="H138">
            <v>103.82297978610129</v>
          </cell>
        </row>
        <row r="139">
          <cell r="A139" t="str">
            <v>23/02/2006</v>
          </cell>
          <cell r="B139">
            <v>3.66</v>
          </cell>
          <cell r="C139">
            <v>39.049999999999997</v>
          </cell>
          <cell r="D139">
            <v>2435.58</v>
          </cell>
          <cell r="F139">
            <v>155.08474576271186</v>
          </cell>
          <cell r="G139">
            <v>157.14285714285711</v>
          </cell>
          <cell r="H139">
            <v>104.15182446792588</v>
          </cell>
        </row>
        <row r="140">
          <cell r="A140" t="str">
            <v>24/02/2006</v>
          </cell>
          <cell r="B140">
            <v>3.68</v>
          </cell>
          <cell r="C140">
            <v>38.75</v>
          </cell>
          <cell r="D140">
            <v>2453.67</v>
          </cell>
          <cell r="F140">
            <v>155.93220338983051</v>
          </cell>
          <cell r="G140">
            <v>155.93561368209254</v>
          </cell>
          <cell r="H140">
            <v>104.92540057900612</v>
          </cell>
        </row>
      </sheetData>
      <sheetData sheetId="33" refreshError="1">
        <row r="1">
          <cell r="A1" t="str">
            <v>Listed companies in Singapore</v>
          </cell>
        </row>
        <row r="3">
          <cell r="A3">
            <v>0</v>
          </cell>
          <cell r="B3">
            <v>0</v>
          </cell>
        </row>
        <row r="4">
          <cell r="A4">
            <v>0</v>
          </cell>
          <cell r="B4">
            <v>0</v>
          </cell>
        </row>
        <row r="5">
          <cell r="A5">
            <v>0</v>
          </cell>
          <cell r="B5" t="str">
            <v>Domestic</v>
          </cell>
          <cell r="C5" t="str">
            <v>Foreign</v>
          </cell>
          <cell r="D5" t="str">
            <v>Fund raised</v>
          </cell>
        </row>
        <row r="6">
          <cell r="A6" t="str">
            <v>1H01</v>
          </cell>
          <cell r="B6">
            <v>32</v>
          </cell>
          <cell r="C6">
            <v>10</v>
          </cell>
          <cell r="D6">
            <v>1381</v>
          </cell>
        </row>
        <row r="7">
          <cell r="A7" t="str">
            <v>2H01</v>
          </cell>
          <cell r="B7">
            <v>17</v>
          </cell>
          <cell r="C7">
            <v>6</v>
          </cell>
          <cell r="D7">
            <v>290</v>
          </cell>
        </row>
        <row r="8">
          <cell r="A8" t="str">
            <v>1H02</v>
          </cell>
          <cell r="B8">
            <v>8</v>
          </cell>
          <cell r="C8">
            <v>6</v>
          </cell>
          <cell r="D8">
            <v>195</v>
          </cell>
        </row>
        <row r="9">
          <cell r="A9" t="str">
            <v>2H02</v>
          </cell>
          <cell r="B9">
            <v>11</v>
          </cell>
          <cell r="C9">
            <v>1</v>
          </cell>
          <cell r="D9">
            <v>86</v>
          </cell>
        </row>
        <row r="10">
          <cell r="A10" t="str">
            <v>1H03</v>
          </cell>
          <cell r="B10">
            <v>13</v>
          </cell>
          <cell r="C10">
            <v>7</v>
          </cell>
          <cell r="D10">
            <v>1810</v>
          </cell>
        </row>
        <row r="11">
          <cell r="A11" t="str">
            <v>2H03</v>
          </cell>
          <cell r="B11">
            <v>18</v>
          </cell>
          <cell r="C11">
            <v>6</v>
          </cell>
          <cell r="D11">
            <v>1101</v>
          </cell>
        </row>
        <row r="12">
          <cell r="A12" t="str">
            <v>1H04</v>
          </cell>
          <cell r="B12">
            <v>19</v>
          </cell>
          <cell r="C12">
            <v>15</v>
          </cell>
          <cell r="D12">
            <v>728</v>
          </cell>
        </row>
        <row r="13">
          <cell r="A13" t="str">
            <v>2H04</v>
          </cell>
          <cell r="B13">
            <v>18</v>
          </cell>
          <cell r="C13">
            <v>18</v>
          </cell>
          <cell r="D13">
            <v>1054</v>
          </cell>
        </row>
        <row r="14">
          <cell r="A14" t="str">
            <v>1H05</v>
          </cell>
          <cell r="B14">
            <v>16</v>
          </cell>
          <cell r="C14">
            <v>30</v>
          </cell>
          <cell r="D14">
            <v>2464</v>
          </cell>
        </row>
        <row r="31">
          <cell r="B31" t="str">
            <v>Other (3) 6%</v>
          </cell>
          <cell r="C31" t="str">
            <v>Taiwan (1) 2%</v>
          </cell>
          <cell r="D31" t="str">
            <v>HK (5) 11%</v>
          </cell>
          <cell r="E31" t="str">
            <v>China (21) 46%</v>
          </cell>
        </row>
        <row r="32">
          <cell r="B32">
            <v>3</v>
          </cell>
          <cell r="C32">
            <v>2</v>
          </cell>
          <cell r="D32">
            <v>5</v>
          </cell>
          <cell r="E32">
            <v>21</v>
          </cell>
        </row>
        <row r="37">
          <cell r="C37">
            <v>0.65</v>
          </cell>
          <cell r="D37">
            <v>0.35</v>
          </cell>
        </row>
        <row r="58">
          <cell r="B58" t="str">
            <v>Asian Derivatives</v>
          </cell>
          <cell r="C58" t="str">
            <v>Eurodollar</v>
          </cell>
        </row>
        <row r="59">
          <cell r="A59">
            <v>2002</v>
          </cell>
          <cell r="B59">
            <v>13388</v>
          </cell>
          <cell r="C59">
            <v>19504</v>
          </cell>
          <cell r="D59">
            <v>32892</v>
          </cell>
          <cell r="E59">
            <v>0.4070290648181929</v>
          </cell>
          <cell r="F59">
            <v>0.5929709351818071</v>
          </cell>
        </row>
        <row r="60">
          <cell r="A60">
            <v>2003</v>
          </cell>
          <cell r="B60">
            <v>16346</v>
          </cell>
          <cell r="C60">
            <v>18802</v>
          </cell>
          <cell r="D60">
            <v>35148</v>
          </cell>
          <cell r="E60">
            <v>0.46506202344372366</v>
          </cell>
          <cell r="F60">
            <v>0.53493797655627628</v>
          </cell>
        </row>
        <row r="61">
          <cell r="A61">
            <v>2004</v>
          </cell>
          <cell r="B61">
            <v>20177</v>
          </cell>
          <cell r="C61">
            <v>8241</v>
          </cell>
          <cell r="D61">
            <v>28418</v>
          </cell>
          <cell r="E61">
            <v>0.71000774157224289</v>
          </cell>
          <cell r="F61">
            <v>0.28999225842775705</v>
          </cell>
        </row>
        <row r="87">
          <cell r="B87" t="str">
            <v>1QFY04</v>
          </cell>
          <cell r="C87">
            <v>0</v>
          </cell>
          <cell r="K87" t="str">
            <v>1QFY04</v>
          </cell>
          <cell r="L87">
            <v>0</v>
          </cell>
        </row>
        <row r="88">
          <cell r="B88" t="str">
            <v>2QFY04</v>
          </cell>
          <cell r="C88">
            <v>0</v>
          </cell>
          <cell r="K88" t="str">
            <v>2QFY04</v>
          </cell>
          <cell r="L88">
            <v>0</v>
          </cell>
        </row>
        <row r="89">
          <cell r="B89" t="str">
            <v>3QFY04</v>
          </cell>
          <cell r="C89">
            <v>0.2</v>
          </cell>
          <cell r="K89" t="str">
            <v>3QFY04</v>
          </cell>
          <cell r="L89">
            <v>200</v>
          </cell>
        </row>
        <row r="90">
          <cell r="B90" t="str">
            <v>4QFY04</v>
          </cell>
          <cell r="C90">
            <v>0.05</v>
          </cell>
          <cell r="K90" t="str">
            <v>4QFY04</v>
          </cell>
          <cell r="L90">
            <v>50</v>
          </cell>
        </row>
        <row r="91">
          <cell r="B91" t="str">
            <v>1QFY05</v>
          </cell>
          <cell r="C91">
            <v>0.19</v>
          </cell>
          <cell r="K91" t="str">
            <v>1QFY05</v>
          </cell>
          <cell r="L91">
            <v>190</v>
          </cell>
        </row>
        <row r="92">
          <cell r="B92" t="str">
            <v>2QFY05</v>
          </cell>
          <cell r="C92">
            <v>1.05</v>
          </cell>
          <cell r="K92" t="str">
            <v>2QFY05</v>
          </cell>
          <cell r="L92">
            <v>1050</v>
          </cell>
        </row>
        <row r="93">
          <cell r="B93" t="str">
            <v>3QFY05</v>
          </cell>
          <cell r="C93">
            <v>2.2000000000000002</v>
          </cell>
          <cell r="K93" t="str">
            <v>3QFY05</v>
          </cell>
          <cell r="L93">
            <v>2200</v>
          </cell>
        </row>
        <row r="94">
          <cell r="B94" t="str">
            <v>4QFY05</v>
          </cell>
          <cell r="C94">
            <v>1.9</v>
          </cell>
          <cell r="K94" t="str">
            <v>4QFY05</v>
          </cell>
          <cell r="L94">
            <v>1850</v>
          </cell>
        </row>
        <row r="95">
          <cell r="B95" t="str">
            <v>1QFY06</v>
          </cell>
          <cell r="C95">
            <v>3.4</v>
          </cell>
          <cell r="K95" t="str">
            <v>1QFY06</v>
          </cell>
          <cell r="L95">
            <v>3500</v>
          </cell>
        </row>
        <row r="107">
          <cell r="B107" t="str">
            <v>(MM Contracts)</v>
          </cell>
          <cell r="C107" t="str">
            <v>Nikkei</v>
          </cell>
          <cell r="D107" t="str">
            <v>MSCI TW</v>
          </cell>
          <cell r="E107" t="str">
            <v>Euroyen</v>
          </cell>
          <cell r="F107" t="str">
            <v>MSCI SG</v>
          </cell>
        </row>
        <row r="108">
          <cell r="B108" t="str">
            <v>1QFY04</v>
          </cell>
          <cell r="C108">
            <v>2</v>
          </cell>
          <cell r="D108">
            <v>1.5</v>
          </cell>
          <cell r="E108">
            <v>0.9</v>
          </cell>
          <cell r="F108">
            <v>0.25</v>
          </cell>
        </row>
        <row r="109">
          <cell r="B109" t="str">
            <v>2QFY04</v>
          </cell>
          <cell r="C109">
            <v>1.9</v>
          </cell>
          <cell r="D109">
            <v>1.45</v>
          </cell>
          <cell r="E109">
            <v>0.65</v>
          </cell>
          <cell r="F109">
            <v>0.3</v>
          </cell>
        </row>
        <row r="110">
          <cell r="B110" t="str">
            <v>3QFY04</v>
          </cell>
          <cell r="C110">
            <v>2</v>
          </cell>
          <cell r="D110">
            <v>1.75</v>
          </cell>
          <cell r="E110">
            <v>0.55000000000000004</v>
          </cell>
          <cell r="F110">
            <v>0.45</v>
          </cell>
        </row>
        <row r="111">
          <cell r="B111" t="str">
            <v>4QFY04</v>
          </cell>
          <cell r="C111">
            <v>2.1</v>
          </cell>
          <cell r="D111">
            <v>1.85</v>
          </cell>
          <cell r="E111">
            <v>0.7</v>
          </cell>
          <cell r="F111">
            <v>0.49</v>
          </cell>
        </row>
        <row r="112">
          <cell r="B112" t="str">
            <v>1QFY05</v>
          </cell>
          <cell r="C112">
            <v>1.8</v>
          </cell>
          <cell r="D112">
            <v>1.74</v>
          </cell>
          <cell r="E112">
            <v>0.65</v>
          </cell>
          <cell r="F112">
            <v>0.48</v>
          </cell>
        </row>
        <row r="113">
          <cell r="B113" t="str">
            <v>2QFY05</v>
          </cell>
          <cell r="C113">
            <v>1.95</v>
          </cell>
          <cell r="D113">
            <v>1.9</v>
          </cell>
          <cell r="E113">
            <v>0.55000000000000004</v>
          </cell>
          <cell r="F113">
            <v>0.51</v>
          </cell>
        </row>
        <row r="114">
          <cell r="B114" t="str">
            <v>3QFY05</v>
          </cell>
          <cell r="C114">
            <v>2.35</v>
          </cell>
          <cell r="D114">
            <v>1.8</v>
          </cell>
          <cell r="E114">
            <v>0.73</v>
          </cell>
          <cell r="F114">
            <v>0.51</v>
          </cell>
        </row>
        <row r="115">
          <cell r="B115" t="str">
            <v>4QFY05</v>
          </cell>
          <cell r="C115">
            <v>2.5</v>
          </cell>
          <cell r="D115">
            <v>2.0499999999999998</v>
          </cell>
          <cell r="E115">
            <v>0.6</v>
          </cell>
          <cell r="F115">
            <v>0.5</v>
          </cell>
        </row>
        <row r="116">
          <cell r="B116" t="str">
            <v>1QFY06</v>
          </cell>
          <cell r="C116">
            <v>3</v>
          </cell>
          <cell r="D116">
            <v>2.1</v>
          </cell>
          <cell r="E116">
            <v>0.8</v>
          </cell>
          <cell r="F116">
            <v>0.5</v>
          </cell>
        </row>
        <row r="145">
          <cell r="B145" t="str">
            <v>New Listing</v>
          </cell>
          <cell r="C145" t="str">
            <v>1H05</v>
          </cell>
        </row>
        <row r="146">
          <cell r="B146" t="str">
            <v>China</v>
          </cell>
          <cell r="C146">
            <v>68</v>
          </cell>
          <cell r="D146">
            <v>0.39080459770114945</v>
          </cell>
        </row>
        <row r="147">
          <cell r="B147" t="str">
            <v>Europe &amp; US</v>
          </cell>
          <cell r="C147">
            <v>8</v>
          </cell>
          <cell r="D147">
            <v>4.5977011494252873E-2</v>
          </cell>
        </row>
        <row r="148">
          <cell r="B148" t="str">
            <v>India</v>
          </cell>
          <cell r="C148">
            <v>1</v>
          </cell>
          <cell r="D148">
            <v>5.7471264367816091E-3</v>
          </cell>
        </row>
        <row r="149">
          <cell r="B149" t="str">
            <v>HK</v>
          </cell>
          <cell r="C149">
            <v>49</v>
          </cell>
          <cell r="D149">
            <v>0.28160919540229884</v>
          </cell>
        </row>
        <row r="150">
          <cell r="B150" t="str">
            <v>Taiwan</v>
          </cell>
          <cell r="C150">
            <v>11</v>
          </cell>
          <cell r="D150">
            <v>6.3218390804597707E-2</v>
          </cell>
        </row>
        <row r="151">
          <cell r="B151" t="str">
            <v>SE Asia</v>
          </cell>
          <cell r="C151">
            <v>24</v>
          </cell>
          <cell r="D151">
            <v>0.13793103448275862</v>
          </cell>
        </row>
        <row r="152">
          <cell r="B152" t="str">
            <v>Japan</v>
          </cell>
          <cell r="C152">
            <v>8</v>
          </cell>
          <cell r="D152">
            <v>4.5977011494252873E-2</v>
          </cell>
        </row>
        <row r="153">
          <cell r="B153" t="str">
            <v>Australia</v>
          </cell>
          <cell r="C153">
            <v>5</v>
          </cell>
          <cell r="D153">
            <v>2.8735632183908046E-2</v>
          </cell>
        </row>
        <row r="154">
          <cell r="C154">
            <v>174</v>
          </cell>
          <cell r="D154">
            <v>1</v>
          </cell>
        </row>
        <row r="160">
          <cell r="B160" t="str">
            <v>Manufacturing</v>
          </cell>
          <cell r="C160">
            <v>91</v>
          </cell>
          <cell r="D160">
            <v>0.52298850574712641</v>
          </cell>
        </row>
        <row r="161">
          <cell r="B161" t="str">
            <v>Hotels</v>
          </cell>
          <cell r="C161">
            <v>2</v>
          </cell>
          <cell r="D161">
            <v>1.1494252873563218E-2</v>
          </cell>
        </row>
        <row r="162">
          <cell r="B162" t="str">
            <v>Services</v>
          </cell>
          <cell r="C162">
            <v>35</v>
          </cell>
          <cell r="D162">
            <v>0.20114942528735633</v>
          </cell>
        </row>
        <row r="163">
          <cell r="B163" t="str">
            <v>Construction</v>
          </cell>
          <cell r="C163">
            <v>2</v>
          </cell>
          <cell r="D163">
            <v>1.1494252873563218E-2</v>
          </cell>
        </row>
        <row r="164">
          <cell r="B164" t="str">
            <v>Agriculture</v>
          </cell>
          <cell r="C164">
            <v>4</v>
          </cell>
          <cell r="D164">
            <v>2.2988505747126436E-2</v>
          </cell>
        </row>
        <row r="165">
          <cell r="B165" t="str">
            <v>Commerce</v>
          </cell>
          <cell r="C165">
            <v>20</v>
          </cell>
          <cell r="D165">
            <v>0.11494252873563218</v>
          </cell>
        </row>
        <row r="166">
          <cell r="B166" t="str">
            <v>Finance</v>
          </cell>
          <cell r="C166">
            <v>6</v>
          </cell>
          <cell r="D166">
            <v>3.4482758620689655E-2</v>
          </cell>
        </row>
        <row r="167">
          <cell r="B167" t="str">
            <v>Logistics</v>
          </cell>
          <cell r="C167">
            <v>4</v>
          </cell>
          <cell r="D167">
            <v>2.2988505747126436E-2</v>
          </cell>
        </row>
        <row r="168">
          <cell r="B168" t="str">
            <v>Multi-Ind.</v>
          </cell>
          <cell r="C168">
            <v>3</v>
          </cell>
          <cell r="D168">
            <v>1.7241379310344827E-2</v>
          </cell>
        </row>
        <row r="169">
          <cell r="B169" t="str">
            <v>Property</v>
          </cell>
          <cell r="C169">
            <v>5</v>
          </cell>
          <cell r="D169">
            <v>2.8735632183908046E-2</v>
          </cell>
        </row>
        <row r="170">
          <cell r="B170" t="str">
            <v>Others</v>
          </cell>
          <cell r="C170">
            <v>2</v>
          </cell>
          <cell r="D170">
            <v>1.1494252873563218E-2</v>
          </cell>
        </row>
        <row r="171">
          <cell r="C171">
            <v>174</v>
          </cell>
          <cell r="D171">
            <v>1</v>
          </cell>
        </row>
      </sheetData>
      <sheetData sheetId="34" refreshError="1">
        <row r="2">
          <cell r="B2" t="str">
            <v>SG: Interbank Rate: SGD: Last Friday Rate: 3 Month</v>
          </cell>
        </row>
        <row r="3">
          <cell r="B3" t="str">
            <v>SMCD</v>
          </cell>
          <cell r="C3" t="str">
            <v>SIBOR 3MMA (LS)</v>
          </cell>
          <cell r="D3" t="str">
            <v>Strait Times Index (RS)</v>
          </cell>
        </row>
        <row r="4">
          <cell r="B4" t="str">
            <v>% pa</v>
          </cell>
        </row>
        <row r="5">
          <cell r="B5" t="str">
            <v>M:   Jan-1981:   Jun-2005</v>
          </cell>
        </row>
        <row r="7">
          <cell r="A7">
            <v>36161</v>
          </cell>
          <cell r="B7">
            <v>1.88</v>
          </cell>
          <cell r="F7" t="str">
            <v>(a) vs (b)</v>
          </cell>
          <cell r="H7">
            <v>0.56409532425909115</v>
          </cell>
        </row>
        <row r="8">
          <cell r="A8">
            <v>36192</v>
          </cell>
          <cell r="B8">
            <v>2.25</v>
          </cell>
        </row>
        <row r="9">
          <cell r="A9">
            <v>36220</v>
          </cell>
          <cell r="B9">
            <v>2</v>
          </cell>
          <cell r="C9">
            <v>2.0433333333333334</v>
          </cell>
        </row>
        <row r="10">
          <cell r="A10">
            <v>36251</v>
          </cell>
          <cell r="B10">
            <v>1.25</v>
          </cell>
          <cell r="C10">
            <v>1.8333333333333333</v>
          </cell>
        </row>
        <row r="11">
          <cell r="A11">
            <v>36281</v>
          </cell>
          <cell r="B11">
            <v>1.75</v>
          </cell>
          <cell r="C11">
            <v>1.6666666666666667</v>
          </cell>
        </row>
        <row r="12">
          <cell r="A12">
            <v>36312</v>
          </cell>
          <cell r="B12">
            <v>1.75</v>
          </cell>
          <cell r="C12">
            <v>1.5833333333333333</v>
          </cell>
        </row>
        <row r="13">
          <cell r="A13">
            <v>36342</v>
          </cell>
          <cell r="B13">
            <v>2.13</v>
          </cell>
          <cell r="C13">
            <v>1.8766666666666667</v>
          </cell>
        </row>
        <row r="14">
          <cell r="A14">
            <v>36373</v>
          </cell>
          <cell r="B14">
            <v>2.31</v>
          </cell>
          <cell r="C14">
            <v>2.063333333333333</v>
          </cell>
        </row>
        <row r="15">
          <cell r="A15">
            <v>36404</v>
          </cell>
          <cell r="B15">
            <v>2.38</v>
          </cell>
          <cell r="C15">
            <v>2.273333333333333</v>
          </cell>
        </row>
        <row r="16">
          <cell r="A16">
            <v>36434</v>
          </cell>
          <cell r="B16">
            <v>2.69</v>
          </cell>
          <cell r="C16">
            <v>2.4599999999999995</v>
          </cell>
        </row>
        <row r="17">
          <cell r="A17">
            <v>36465</v>
          </cell>
          <cell r="B17">
            <v>2.44</v>
          </cell>
          <cell r="C17">
            <v>2.5033333333333334</v>
          </cell>
        </row>
        <row r="18">
          <cell r="A18">
            <v>36495</v>
          </cell>
          <cell r="B18">
            <v>2.75</v>
          </cell>
          <cell r="C18">
            <v>2.6266666666666665</v>
          </cell>
        </row>
        <row r="19">
          <cell r="A19">
            <v>36526</v>
          </cell>
          <cell r="B19">
            <v>2.38</v>
          </cell>
          <cell r="C19">
            <v>2.523333333333333</v>
          </cell>
          <cell r="D19">
            <v>2230.2800000000002</v>
          </cell>
        </row>
        <row r="20">
          <cell r="A20">
            <v>36557</v>
          </cell>
          <cell r="B20">
            <v>2.31</v>
          </cell>
          <cell r="C20">
            <v>2.48</v>
          </cell>
          <cell r="D20">
            <v>2120.5</v>
          </cell>
        </row>
        <row r="21">
          <cell r="A21">
            <v>36586</v>
          </cell>
          <cell r="B21">
            <v>2.38</v>
          </cell>
          <cell r="C21">
            <v>2.3566666666666665</v>
          </cell>
          <cell r="D21">
            <v>2132.59</v>
          </cell>
        </row>
        <row r="22">
          <cell r="A22">
            <v>36617</v>
          </cell>
          <cell r="B22">
            <v>2.44</v>
          </cell>
          <cell r="C22">
            <v>2.3766666666666665</v>
          </cell>
          <cell r="D22">
            <v>2164.11</v>
          </cell>
        </row>
        <row r="23">
          <cell r="A23">
            <v>36647</v>
          </cell>
          <cell r="B23">
            <v>2.88</v>
          </cell>
          <cell r="C23">
            <v>2.5666666666666669</v>
          </cell>
          <cell r="D23">
            <v>1795.13</v>
          </cell>
        </row>
        <row r="24">
          <cell r="A24">
            <v>36678</v>
          </cell>
          <cell r="B24">
            <v>2.5</v>
          </cell>
          <cell r="C24">
            <v>2.6066666666666669</v>
          </cell>
          <cell r="D24">
            <v>2037.97</v>
          </cell>
        </row>
        <row r="25">
          <cell r="A25">
            <v>36708</v>
          </cell>
          <cell r="B25">
            <v>2.56</v>
          </cell>
          <cell r="C25">
            <v>2.6466666666666665</v>
          </cell>
          <cell r="D25">
            <v>2051.21</v>
          </cell>
        </row>
        <row r="26">
          <cell r="A26">
            <v>36739</v>
          </cell>
          <cell r="B26">
            <v>2.56</v>
          </cell>
          <cell r="C26">
            <v>2.5400000000000005</v>
          </cell>
          <cell r="D26">
            <v>2147.77</v>
          </cell>
        </row>
        <row r="27">
          <cell r="A27">
            <v>36770</v>
          </cell>
          <cell r="B27">
            <v>2.56</v>
          </cell>
          <cell r="C27">
            <v>2.56</v>
          </cell>
          <cell r="D27">
            <v>1997.03</v>
          </cell>
        </row>
        <row r="28">
          <cell r="A28">
            <v>36800</v>
          </cell>
          <cell r="B28">
            <v>2.63</v>
          </cell>
          <cell r="C28">
            <v>2.5833333333333335</v>
          </cell>
          <cell r="D28">
            <v>1976.54</v>
          </cell>
        </row>
        <row r="29">
          <cell r="A29">
            <v>36831</v>
          </cell>
          <cell r="B29">
            <v>2.81</v>
          </cell>
          <cell r="C29">
            <v>2.6666666666666665</v>
          </cell>
          <cell r="D29">
            <v>1952.23</v>
          </cell>
        </row>
        <row r="30">
          <cell r="A30">
            <v>36861</v>
          </cell>
          <cell r="B30">
            <v>2.81</v>
          </cell>
          <cell r="C30">
            <v>2.75</v>
          </cell>
          <cell r="D30">
            <v>1926.83</v>
          </cell>
        </row>
        <row r="31">
          <cell r="A31">
            <v>36892</v>
          </cell>
          <cell r="B31">
            <v>2.5</v>
          </cell>
          <cell r="C31">
            <v>2.706666666666667</v>
          </cell>
          <cell r="D31">
            <v>1991.29</v>
          </cell>
        </row>
        <row r="32">
          <cell r="A32">
            <v>36923</v>
          </cell>
          <cell r="B32">
            <v>2</v>
          </cell>
          <cell r="C32">
            <v>2.436666666666667</v>
          </cell>
          <cell r="D32">
            <v>1947.4</v>
          </cell>
        </row>
        <row r="33">
          <cell r="A33">
            <v>36951</v>
          </cell>
          <cell r="B33">
            <v>2.38</v>
          </cell>
          <cell r="C33">
            <v>2.2933333333333334</v>
          </cell>
          <cell r="D33">
            <v>1674.19</v>
          </cell>
        </row>
        <row r="34">
          <cell r="A34">
            <v>36982</v>
          </cell>
          <cell r="B34">
            <v>2.44</v>
          </cell>
          <cell r="C34">
            <v>2.2733333333333334</v>
          </cell>
          <cell r="D34">
            <v>1722.72</v>
          </cell>
        </row>
        <row r="35">
          <cell r="A35">
            <v>37012</v>
          </cell>
          <cell r="B35">
            <v>2.31</v>
          </cell>
          <cell r="C35">
            <v>2.3766666666666669</v>
          </cell>
          <cell r="D35">
            <v>1657.05</v>
          </cell>
        </row>
        <row r="36">
          <cell r="A36">
            <v>37043</v>
          </cell>
          <cell r="B36">
            <v>2.25</v>
          </cell>
          <cell r="C36">
            <v>2.3333333333333335</v>
          </cell>
          <cell r="D36">
            <v>1726.5</v>
          </cell>
        </row>
        <row r="37">
          <cell r="A37">
            <v>37073</v>
          </cell>
          <cell r="B37">
            <v>2.38</v>
          </cell>
          <cell r="C37">
            <v>2.3133333333333335</v>
          </cell>
          <cell r="D37">
            <v>1666.03</v>
          </cell>
        </row>
        <row r="38">
          <cell r="A38">
            <v>37104</v>
          </cell>
          <cell r="B38">
            <v>2.25</v>
          </cell>
          <cell r="C38">
            <v>2.2933333333333334</v>
          </cell>
          <cell r="D38">
            <v>1619.12</v>
          </cell>
        </row>
        <row r="39">
          <cell r="A39">
            <v>37135</v>
          </cell>
          <cell r="B39">
            <v>1.88</v>
          </cell>
          <cell r="C39">
            <v>2.17</v>
          </cell>
          <cell r="D39">
            <v>1319.53</v>
          </cell>
        </row>
        <row r="40">
          <cell r="A40">
            <v>37165</v>
          </cell>
          <cell r="B40">
            <v>1.06</v>
          </cell>
          <cell r="C40">
            <v>1.7299999999999998</v>
          </cell>
          <cell r="D40">
            <v>1367.84</v>
          </cell>
        </row>
        <row r="41">
          <cell r="A41">
            <v>37196</v>
          </cell>
          <cell r="B41">
            <v>1.1299999999999999</v>
          </cell>
          <cell r="C41">
            <v>1.3566666666666667</v>
          </cell>
          <cell r="D41">
            <v>1478.54</v>
          </cell>
        </row>
        <row r="42">
          <cell r="A42">
            <v>37226</v>
          </cell>
          <cell r="B42">
            <v>1.31</v>
          </cell>
          <cell r="C42">
            <v>1.1666666666666667</v>
          </cell>
          <cell r="D42">
            <v>1623.6</v>
          </cell>
        </row>
        <row r="43">
          <cell r="A43">
            <v>37257</v>
          </cell>
          <cell r="B43">
            <v>1.1299999999999999</v>
          </cell>
          <cell r="C43">
            <v>1.19</v>
          </cell>
          <cell r="D43">
            <v>1786.89</v>
          </cell>
        </row>
        <row r="44">
          <cell r="A44">
            <v>37288</v>
          </cell>
          <cell r="B44">
            <v>0.94</v>
          </cell>
          <cell r="C44">
            <v>1.1266666666666667</v>
          </cell>
          <cell r="D44">
            <v>1715.58</v>
          </cell>
        </row>
        <row r="45">
          <cell r="A45">
            <v>37316</v>
          </cell>
          <cell r="B45">
            <v>1.06</v>
          </cell>
          <cell r="C45">
            <v>1.0433333333333332</v>
          </cell>
          <cell r="D45">
            <v>1803.22</v>
          </cell>
        </row>
        <row r="46">
          <cell r="A46">
            <v>37347</v>
          </cell>
          <cell r="B46">
            <v>0.88</v>
          </cell>
          <cell r="C46">
            <v>0.96</v>
          </cell>
          <cell r="D46">
            <v>1725.37</v>
          </cell>
        </row>
        <row r="47">
          <cell r="A47">
            <v>37377</v>
          </cell>
          <cell r="B47">
            <v>0.88</v>
          </cell>
          <cell r="C47">
            <v>0.94</v>
          </cell>
          <cell r="D47">
            <v>1671.84</v>
          </cell>
        </row>
        <row r="48">
          <cell r="A48">
            <v>37408</v>
          </cell>
          <cell r="B48">
            <v>0.88</v>
          </cell>
          <cell r="C48">
            <v>0.88</v>
          </cell>
          <cell r="D48">
            <v>1552.98</v>
          </cell>
        </row>
        <row r="49">
          <cell r="A49">
            <v>37438</v>
          </cell>
          <cell r="B49">
            <v>0.75</v>
          </cell>
          <cell r="C49">
            <v>0.83666666666666656</v>
          </cell>
          <cell r="D49">
            <v>1508.36</v>
          </cell>
        </row>
        <row r="50">
          <cell r="A50">
            <v>37469</v>
          </cell>
          <cell r="B50">
            <v>0.88</v>
          </cell>
          <cell r="C50">
            <v>0.83666666666666656</v>
          </cell>
          <cell r="D50">
            <v>1488.5</v>
          </cell>
        </row>
        <row r="51">
          <cell r="A51">
            <v>37500</v>
          </cell>
          <cell r="B51">
            <v>1.38</v>
          </cell>
          <cell r="C51">
            <v>1.0033333333333332</v>
          </cell>
          <cell r="D51">
            <v>1352.3</v>
          </cell>
        </row>
        <row r="52">
          <cell r="A52">
            <v>37530</v>
          </cell>
          <cell r="B52">
            <v>1.1299999999999999</v>
          </cell>
          <cell r="C52">
            <v>1.1299999999999999</v>
          </cell>
          <cell r="D52">
            <v>1463.37</v>
          </cell>
        </row>
        <row r="53">
          <cell r="A53">
            <v>37561</v>
          </cell>
          <cell r="B53">
            <v>0.81</v>
          </cell>
          <cell r="C53">
            <v>1.1066666666666667</v>
          </cell>
          <cell r="D53">
            <v>1391.53</v>
          </cell>
        </row>
        <row r="54">
          <cell r="A54">
            <v>37591</v>
          </cell>
          <cell r="B54">
            <v>0.81</v>
          </cell>
          <cell r="C54">
            <v>0.91666666666666663</v>
          </cell>
          <cell r="D54">
            <v>1341.07</v>
          </cell>
        </row>
        <row r="55">
          <cell r="A55">
            <v>37622</v>
          </cell>
          <cell r="B55">
            <v>0.75</v>
          </cell>
          <cell r="C55">
            <v>0.79</v>
          </cell>
          <cell r="D55">
            <v>1291.6099999999999</v>
          </cell>
        </row>
        <row r="56">
          <cell r="A56">
            <v>37653</v>
          </cell>
          <cell r="B56">
            <v>0.69</v>
          </cell>
          <cell r="C56">
            <v>0.75</v>
          </cell>
          <cell r="D56">
            <v>1273.8499999999999</v>
          </cell>
        </row>
        <row r="57">
          <cell r="A57">
            <v>37681</v>
          </cell>
          <cell r="B57">
            <v>0.69</v>
          </cell>
          <cell r="C57">
            <v>0.71</v>
          </cell>
          <cell r="D57">
            <v>1267.82</v>
          </cell>
        </row>
        <row r="58">
          <cell r="A58">
            <v>37712</v>
          </cell>
          <cell r="B58">
            <v>0.69</v>
          </cell>
          <cell r="C58">
            <v>0.69</v>
          </cell>
          <cell r="D58">
            <v>1281.33</v>
          </cell>
        </row>
        <row r="59">
          <cell r="A59">
            <v>37742</v>
          </cell>
          <cell r="B59">
            <v>0.69</v>
          </cell>
          <cell r="C59">
            <v>0.69</v>
          </cell>
          <cell r="D59">
            <v>1349</v>
          </cell>
        </row>
        <row r="60">
          <cell r="A60">
            <v>37773</v>
          </cell>
          <cell r="B60">
            <v>0.63</v>
          </cell>
          <cell r="C60">
            <v>0.66999999999999993</v>
          </cell>
          <cell r="D60">
            <v>1447.89</v>
          </cell>
        </row>
        <row r="61">
          <cell r="A61">
            <v>37803</v>
          </cell>
          <cell r="B61">
            <v>0.69</v>
          </cell>
          <cell r="C61">
            <v>0.66999999999999993</v>
          </cell>
          <cell r="D61">
            <v>1558.87</v>
          </cell>
        </row>
        <row r="62">
          <cell r="A62">
            <v>37834</v>
          </cell>
          <cell r="B62">
            <v>0.88</v>
          </cell>
          <cell r="C62">
            <v>0.73333333333333328</v>
          </cell>
          <cell r="D62">
            <v>1599.25</v>
          </cell>
        </row>
        <row r="63">
          <cell r="A63">
            <v>37865</v>
          </cell>
          <cell r="B63">
            <v>0.81</v>
          </cell>
          <cell r="C63">
            <v>0.79333333333333333</v>
          </cell>
          <cell r="D63">
            <v>1630.8</v>
          </cell>
        </row>
        <row r="64">
          <cell r="A64">
            <v>37895</v>
          </cell>
          <cell r="B64">
            <v>0.88</v>
          </cell>
          <cell r="C64">
            <v>0.85666666666666658</v>
          </cell>
          <cell r="D64">
            <v>1723.71</v>
          </cell>
        </row>
        <row r="65">
          <cell r="A65">
            <v>37926</v>
          </cell>
          <cell r="B65">
            <v>0.75</v>
          </cell>
          <cell r="C65">
            <v>0.81333333333333335</v>
          </cell>
          <cell r="D65">
            <v>1714</v>
          </cell>
        </row>
        <row r="66">
          <cell r="A66">
            <v>37956</v>
          </cell>
          <cell r="B66">
            <v>0.75</v>
          </cell>
          <cell r="C66">
            <v>0.79333333333333333</v>
          </cell>
          <cell r="D66">
            <v>1764.52</v>
          </cell>
          <cell r="G66">
            <v>0.70877484535675295</v>
          </cell>
        </row>
        <row r="67">
          <cell r="A67">
            <v>37987</v>
          </cell>
          <cell r="B67">
            <v>0.75</v>
          </cell>
          <cell r="C67">
            <v>0.75</v>
          </cell>
          <cell r="D67">
            <v>1848.36</v>
          </cell>
        </row>
        <row r="68">
          <cell r="A68">
            <v>38018</v>
          </cell>
          <cell r="B68">
            <v>0.75</v>
          </cell>
          <cell r="C68">
            <v>0.75</v>
          </cell>
          <cell r="D68">
            <v>1888.63</v>
          </cell>
        </row>
        <row r="69">
          <cell r="A69">
            <v>38047</v>
          </cell>
          <cell r="B69">
            <v>0.75</v>
          </cell>
          <cell r="C69">
            <v>0.75</v>
          </cell>
          <cell r="D69">
            <v>1858.92</v>
          </cell>
        </row>
        <row r="70">
          <cell r="A70">
            <v>38078</v>
          </cell>
          <cell r="B70">
            <v>0.75</v>
          </cell>
          <cell r="C70">
            <v>0.75</v>
          </cell>
          <cell r="D70">
            <v>1842.03</v>
          </cell>
        </row>
        <row r="71">
          <cell r="A71">
            <v>38108</v>
          </cell>
          <cell r="B71">
            <v>0.81</v>
          </cell>
          <cell r="C71">
            <v>0.77</v>
          </cell>
          <cell r="D71">
            <v>1788.66</v>
          </cell>
        </row>
        <row r="72">
          <cell r="A72">
            <v>38139</v>
          </cell>
          <cell r="B72">
            <v>0.75</v>
          </cell>
          <cell r="C72">
            <v>0.77</v>
          </cell>
          <cell r="D72">
            <v>1838</v>
          </cell>
        </row>
        <row r="73">
          <cell r="A73">
            <v>38169</v>
          </cell>
          <cell r="B73">
            <v>1.06</v>
          </cell>
          <cell r="C73">
            <v>0.87333333333333341</v>
          </cell>
          <cell r="D73">
            <v>1891.71</v>
          </cell>
        </row>
        <row r="74">
          <cell r="A74">
            <v>38200</v>
          </cell>
          <cell r="B74">
            <v>1.31</v>
          </cell>
          <cell r="C74">
            <v>1.04</v>
          </cell>
          <cell r="D74">
            <v>1918.34</v>
          </cell>
        </row>
        <row r="75">
          <cell r="A75">
            <v>38231</v>
          </cell>
          <cell r="B75">
            <v>1.44</v>
          </cell>
          <cell r="C75">
            <v>1.27</v>
          </cell>
          <cell r="D75">
            <v>1984.74</v>
          </cell>
        </row>
        <row r="76">
          <cell r="A76">
            <v>38261</v>
          </cell>
          <cell r="B76">
            <v>1.38</v>
          </cell>
          <cell r="C76">
            <v>1.3766666666666667</v>
          </cell>
          <cell r="D76">
            <v>1980.69</v>
          </cell>
        </row>
        <row r="77">
          <cell r="A77">
            <v>38292</v>
          </cell>
          <cell r="B77">
            <v>1.31</v>
          </cell>
          <cell r="C77">
            <v>1.3766666666666667</v>
          </cell>
          <cell r="D77">
            <v>2027.66</v>
          </cell>
        </row>
        <row r="78">
          <cell r="A78">
            <v>38322</v>
          </cell>
          <cell r="B78">
            <v>1.44</v>
          </cell>
          <cell r="C78">
            <v>1.3766666666666667</v>
          </cell>
          <cell r="D78">
            <v>2066.14</v>
          </cell>
        </row>
        <row r="79">
          <cell r="A79">
            <v>38353</v>
          </cell>
          <cell r="B79">
            <v>1.75</v>
          </cell>
          <cell r="C79">
            <v>1.5</v>
          </cell>
          <cell r="D79">
            <v>2096.3200000000002</v>
          </cell>
        </row>
        <row r="80">
          <cell r="A80">
            <v>38384</v>
          </cell>
          <cell r="B80">
            <v>1.94</v>
          </cell>
          <cell r="C80">
            <v>1.71</v>
          </cell>
          <cell r="D80">
            <v>2119.4</v>
          </cell>
        </row>
        <row r="81">
          <cell r="A81">
            <v>38412</v>
          </cell>
          <cell r="B81">
            <v>2.13</v>
          </cell>
          <cell r="C81">
            <v>1.9400000000000002</v>
          </cell>
          <cell r="D81">
            <v>2141.4299999999998</v>
          </cell>
        </row>
        <row r="82">
          <cell r="A82">
            <v>38443</v>
          </cell>
          <cell r="B82">
            <v>2.13</v>
          </cell>
          <cell r="C82">
            <v>2.0666666666666669</v>
          </cell>
          <cell r="D82">
            <v>2125.25</v>
          </cell>
        </row>
        <row r="83">
          <cell r="A83">
            <v>38473</v>
          </cell>
          <cell r="B83">
            <v>2.06</v>
          </cell>
          <cell r="C83">
            <v>2.1066666666666669</v>
          </cell>
          <cell r="D83">
            <v>2161.77</v>
          </cell>
        </row>
        <row r="84">
          <cell r="A84">
            <v>38504</v>
          </cell>
          <cell r="B84">
            <v>2.06</v>
          </cell>
          <cell r="C84">
            <v>2.0833333333333335</v>
          </cell>
          <cell r="D84">
            <v>2212.66</v>
          </cell>
        </row>
        <row r="85">
          <cell r="A85">
            <v>38534</v>
          </cell>
          <cell r="B85">
            <v>2</v>
          </cell>
          <cell r="C85">
            <v>2.04</v>
          </cell>
          <cell r="D85">
            <v>2352.56</v>
          </cell>
        </row>
        <row r="86">
          <cell r="A86">
            <v>38565</v>
          </cell>
          <cell r="B86">
            <v>2.0572900000000001</v>
          </cell>
          <cell r="C86">
            <v>2.039096666666667</v>
          </cell>
          <cell r="D86">
            <v>2275.4299999999998</v>
          </cell>
        </row>
        <row r="87">
          <cell r="A87">
            <v>38596</v>
          </cell>
          <cell r="B87">
            <v>2.375</v>
          </cell>
          <cell r="C87">
            <v>2.1440966666666665</v>
          </cell>
          <cell r="D87">
            <v>2305.14</v>
          </cell>
        </row>
        <row r="88">
          <cell r="A88">
            <v>38626</v>
          </cell>
          <cell r="B88">
            <v>2.5</v>
          </cell>
          <cell r="C88">
            <v>2.3107633333333335</v>
          </cell>
          <cell r="D88">
            <v>2216.77</v>
          </cell>
        </row>
        <row r="89">
          <cell r="A89">
            <v>38657</v>
          </cell>
          <cell r="B89">
            <v>3.19</v>
          </cell>
          <cell r="C89">
            <v>2.688333333333333</v>
          </cell>
          <cell r="D89">
            <v>2300.25</v>
          </cell>
        </row>
        <row r="90">
          <cell r="A90">
            <v>38687</v>
          </cell>
          <cell r="B90">
            <v>3.25</v>
          </cell>
          <cell r="C90">
            <v>2.98</v>
          </cell>
          <cell r="D90">
            <v>2347.34</v>
          </cell>
        </row>
        <row r="91">
          <cell r="A91">
            <v>38718</v>
          </cell>
          <cell r="B91">
            <v>3.3624999999999998</v>
          </cell>
          <cell r="C91">
            <v>3.2674999999999996</v>
          </cell>
          <cell r="D91">
            <v>2412.08</v>
          </cell>
        </row>
        <row r="92">
          <cell r="A92">
            <v>38749</v>
          </cell>
          <cell r="B92">
            <v>3.375</v>
          </cell>
          <cell r="C92">
            <v>3.3291666666666671</v>
          </cell>
          <cell r="D92">
            <v>2481.96</v>
          </cell>
        </row>
        <row r="93">
          <cell r="A93">
            <v>38777</v>
          </cell>
          <cell r="B93">
            <v>3.4375</v>
          </cell>
          <cell r="C93">
            <v>3.3916666666666671</v>
          </cell>
          <cell r="D93">
            <v>2533.4</v>
          </cell>
        </row>
        <row r="94">
          <cell r="A94">
            <v>38808</v>
          </cell>
          <cell r="B94">
            <v>3.4375</v>
          </cell>
          <cell r="C94">
            <v>3.4166666666666665</v>
          </cell>
          <cell r="D94">
            <v>2610.71</v>
          </cell>
        </row>
        <row r="95">
          <cell r="A95">
            <v>38838</v>
          </cell>
          <cell r="B95">
            <v>3.4166400000000001</v>
          </cell>
          <cell r="C95">
            <v>3.4305466666666669</v>
          </cell>
          <cell r="D95">
            <v>2383.87</v>
          </cell>
        </row>
        <row r="96">
          <cell r="A96">
            <v>38869</v>
          </cell>
          <cell r="B96">
            <v>3.46</v>
          </cell>
          <cell r="C96">
            <v>3.4380466666666667</v>
          </cell>
          <cell r="D96">
            <v>2327</v>
          </cell>
        </row>
        <row r="97">
          <cell r="A97">
            <v>38899</v>
          </cell>
        </row>
        <row r="288">
          <cell r="E288" t="str">
            <v>As at 19 May 2005</v>
          </cell>
        </row>
      </sheetData>
      <sheetData sheetId="35" refreshError="1"/>
      <sheetData sheetId="36" refreshError="1"/>
      <sheetData sheetId="37" refreshError="1"/>
      <sheetData sheetId="38" refreshError="1">
        <row r="1">
          <cell r="B1" t="str">
            <v>SG: SGX: Turnover: Value: Total: MONTHLY</v>
          </cell>
        </row>
        <row r="2">
          <cell r="B2" t="str">
            <v>SDIGE</v>
          </cell>
        </row>
        <row r="3">
          <cell r="B3" t="str">
            <v>SGD mn</v>
          </cell>
        </row>
        <row r="4">
          <cell r="B4" t="str">
            <v>Turnover Daily (LS)</v>
          </cell>
          <cell r="D4" t="str">
            <v>Strait Times Index (RS)</v>
          </cell>
        </row>
        <row r="5">
          <cell r="A5">
            <v>37987</v>
          </cell>
          <cell r="B5">
            <v>1153.3610000000001</v>
          </cell>
          <cell r="C5">
            <v>816.92349999999988</v>
          </cell>
          <cell r="D5">
            <v>1848.36</v>
          </cell>
        </row>
        <row r="6">
          <cell r="A6">
            <v>38018</v>
          </cell>
          <cell r="B6">
            <v>1048.3800000000001</v>
          </cell>
          <cell r="D6">
            <v>1888.63</v>
          </cell>
        </row>
        <row r="7">
          <cell r="A7">
            <v>38047</v>
          </cell>
          <cell r="B7">
            <v>761.76199999999994</v>
          </cell>
          <cell r="D7">
            <v>1858.92</v>
          </cell>
        </row>
        <row r="8">
          <cell r="A8">
            <v>38078</v>
          </cell>
          <cell r="B8">
            <v>745.64499999999998</v>
          </cell>
          <cell r="D8">
            <v>1842.03</v>
          </cell>
        </row>
        <row r="9">
          <cell r="A9">
            <v>38108</v>
          </cell>
          <cell r="B9">
            <v>691.70299999999997</v>
          </cell>
          <cell r="D9">
            <v>1788.66</v>
          </cell>
        </row>
        <row r="10">
          <cell r="A10">
            <v>38139</v>
          </cell>
          <cell r="B10">
            <v>500.69</v>
          </cell>
          <cell r="D10">
            <v>1838</v>
          </cell>
        </row>
        <row r="11">
          <cell r="A11">
            <v>38169</v>
          </cell>
          <cell r="B11">
            <v>574.54200000000003</v>
          </cell>
          <cell r="C11">
            <v>645.70066666666662</v>
          </cell>
          <cell r="D11">
            <v>1891.71</v>
          </cell>
          <cell r="F11" t="str">
            <v>F2005</v>
          </cell>
          <cell r="Q11" t="str">
            <v>SG: SGX: Turnover: Value: Total</v>
          </cell>
        </row>
        <row r="12">
          <cell r="A12">
            <v>38200</v>
          </cell>
          <cell r="B12">
            <v>649.62900000000002</v>
          </cell>
          <cell r="D12">
            <v>1918.34</v>
          </cell>
          <cell r="F12" t="str">
            <v>F2005</v>
          </cell>
          <cell r="Q12" t="str">
            <v>SDIGE</v>
          </cell>
        </row>
        <row r="13">
          <cell r="A13">
            <v>38231</v>
          </cell>
          <cell r="B13">
            <v>659.54</v>
          </cell>
          <cell r="D13">
            <v>1984.74</v>
          </cell>
          <cell r="F13" t="str">
            <v>F2005</v>
          </cell>
          <cell r="Q13" t="str">
            <v>SGD mn</v>
          </cell>
        </row>
        <row r="14">
          <cell r="A14">
            <v>38261</v>
          </cell>
          <cell r="B14">
            <v>663.99400000000003</v>
          </cell>
          <cell r="D14">
            <v>1980.69</v>
          </cell>
          <cell r="F14" t="str">
            <v>F2005</v>
          </cell>
          <cell r="Q14" t="str">
            <v>D:31-Aug-1998:24-Mar-2006</v>
          </cell>
        </row>
        <row r="15">
          <cell r="A15">
            <v>38292</v>
          </cell>
          <cell r="B15">
            <v>738.49900000000002</v>
          </cell>
          <cell r="D15">
            <v>2027.66</v>
          </cell>
          <cell r="F15" t="str">
            <v>F2005</v>
          </cell>
          <cell r="P15">
            <v>38747</v>
          </cell>
          <cell r="Q15" t="str">
            <v>.</v>
          </cell>
        </row>
        <row r="16">
          <cell r="A16">
            <v>38322</v>
          </cell>
          <cell r="B16">
            <v>588</v>
          </cell>
          <cell r="D16">
            <v>2066.14</v>
          </cell>
          <cell r="F16" t="str">
            <v>F2005</v>
          </cell>
          <cell r="P16">
            <v>38748</v>
          </cell>
          <cell r="Q16" t="str">
            <v>.</v>
          </cell>
        </row>
        <row r="17">
          <cell r="A17">
            <v>38353</v>
          </cell>
          <cell r="B17">
            <v>779.60199999999998</v>
          </cell>
          <cell r="C17">
            <v>738.89516666666668</v>
          </cell>
          <cell r="D17">
            <v>2096.3200000000002</v>
          </cell>
          <cell r="F17" t="str">
            <v>F2005</v>
          </cell>
          <cell r="P17">
            <v>38749</v>
          </cell>
          <cell r="Q17">
            <v>1469.9970000000001</v>
          </cell>
        </row>
        <row r="18">
          <cell r="A18">
            <v>38384</v>
          </cell>
          <cell r="B18">
            <v>841.18200000000002</v>
          </cell>
          <cell r="D18">
            <v>2119.4</v>
          </cell>
          <cell r="F18" t="str">
            <v>F2005</v>
          </cell>
          <cell r="P18">
            <v>38750</v>
          </cell>
          <cell r="Q18">
            <v>1474.895</v>
          </cell>
        </row>
        <row r="19">
          <cell r="A19">
            <v>38412</v>
          </cell>
          <cell r="B19">
            <v>726.10299999999995</v>
          </cell>
          <cell r="D19">
            <v>2141.4299999999998</v>
          </cell>
          <cell r="F19" t="str">
            <v>F2005</v>
          </cell>
          <cell r="P19">
            <v>38751</v>
          </cell>
          <cell r="Q19">
            <v>1282.6079999999999</v>
          </cell>
        </row>
        <row r="20">
          <cell r="A20">
            <v>38443</v>
          </cell>
          <cell r="B20">
            <v>628.33900000000006</v>
          </cell>
          <cell r="D20">
            <v>2125.25</v>
          </cell>
          <cell r="F20" t="str">
            <v>F2005</v>
          </cell>
          <cell r="P20">
            <v>38754</v>
          </cell>
          <cell r="Q20">
            <v>1263.8240000000001</v>
          </cell>
          <cell r="V20" t="str">
            <v>SG: SGX: Turnover: Value: Total</v>
          </cell>
        </row>
        <row r="21">
          <cell r="A21">
            <v>38473</v>
          </cell>
          <cell r="B21">
            <v>694.92499999999995</v>
          </cell>
          <cell r="D21">
            <v>2161.77</v>
          </cell>
          <cell r="F21" t="str">
            <v>F2005</v>
          </cell>
          <cell r="P21">
            <v>38755</v>
          </cell>
          <cell r="Q21">
            <v>1247.2280000000001</v>
          </cell>
          <cell r="V21" t="str">
            <v>SDIGE</v>
          </cell>
        </row>
        <row r="22">
          <cell r="A22">
            <v>38504</v>
          </cell>
          <cell r="B22">
            <v>763.22</v>
          </cell>
          <cell r="D22">
            <v>2212.66</v>
          </cell>
          <cell r="F22" t="str">
            <v>F2005</v>
          </cell>
          <cell r="P22">
            <v>38756</v>
          </cell>
          <cell r="Q22">
            <v>1408.038</v>
          </cell>
          <cell r="V22" t="str">
            <v>SGD mn</v>
          </cell>
        </row>
        <row r="23">
          <cell r="A23">
            <v>38534</v>
          </cell>
          <cell r="B23">
            <v>1050.462</v>
          </cell>
          <cell r="C23">
            <v>891.00583333333316</v>
          </cell>
          <cell r="D23">
            <v>2352.56</v>
          </cell>
          <cell r="P23">
            <v>38757</v>
          </cell>
          <cell r="Q23">
            <v>1366.626</v>
          </cell>
          <cell r="V23" t="str">
            <v>D:31-Aug-1998:22-Feb-2006</v>
          </cell>
        </row>
        <row r="24">
          <cell r="A24">
            <v>38565</v>
          </cell>
          <cell r="B24">
            <v>1051.2950000000001</v>
          </cell>
          <cell r="D24">
            <v>2275.4299999999998</v>
          </cell>
          <cell r="P24">
            <v>38758</v>
          </cell>
          <cell r="Q24">
            <v>1258.373</v>
          </cell>
        </row>
        <row r="25">
          <cell r="A25">
            <v>38596</v>
          </cell>
          <cell r="B25">
            <v>848.63499999999999</v>
          </cell>
          <cell r="D25">
            <v>2305.14</v>
          </cell>
          <cell r="P25">
            <v>38761</v>
          </cell>
          <cell r="Q25">
            <v>1096.7550000000001</v>
          </cell>
          <cell r="U25">
            <v>38719</v>
          </cell>
          <cell r="Z25" t="str">
            <v>SG: SGX: Turnover: Value: Total</v>
          </cell>
        </row>
        <row r="26">
          <cell r="A26">
            <v>38626</v>
          </cell>
          <cell r="B26">
            <v>985.63099999999997</v>
          </cell>
          <cell r="D26">
            <v>2216.77</v>
          </cell>
          <cell r="P26">
            <v>38762</v>
          </cell>
          <cell r="Q26">
            <v>1224.923</v>
          </cell>
          <cell r="U26">
            <v>38720</v>
          </cell>
          <cell r="V26">
            <v>853.06600000000003</v>
          </cell>
          <cell r="Z26" t="str">
            <v>SDIGE</v>
          </cell>
        </row>
        <row r="27">
          <cell r="A27">
            <v>38657</v>
          </cell>
          <cell r="B27">
            <v>778.24599999999998</v>
          </cell>
          <cell r="D27">
            <v>2300.25</v>
          </cell>
          <cell r="P27">
            <v>38763</v>
          </cell>
          <cell r="Q27">
            <v>1362.6320000000001</v>
          </cell>
          <cell r="U27">
            <v>38721</v>
          </cell>
          <cell r="V27">
            <v>1253.5360000000001</v>
          </cell>
          <cell r="Z27" t="str">
            <v>SGD mn</v>
          </cell>
        </row>
        <row r="28">
          <cell r="A28">
            <v>38687</v>
          </cell>
          <cell r="B28">
            <v>631.76599999999996</v>
          </cell>
          <cell r="D28">
            <v>2347.34</v>
          </cell>
          <cell r="P28">
            <v>38764</v>
          </cell>
          <cell r="Q28">
            <v>1081.133</v>
          </cell>
          <cell r="U28">
            <v>38722</v>
          </cell>
          <cell r="V28">
            <v>1392.6479999999999</v>
          </cell>
          <cell r="Z28" t="str">
            <v>D:31-Aug-1998:16-Jun-2006</v>
          </cell>
        </row>
        <row r="29">
          <cell r="A29">
            <v>38718</v>
          </cell>
          <cell r="B29">
            <v>1156.18</v>
          </cell>
          <cell r="C29">
            <v>1226.984825</v>
          </cell>
          <cell r="D29">
            <v>2412.08</v>
          </cell>
          <cell r="P29">
            <v>38765</v>
          </cell>
          <cell r="Q29">
            <v>1171.7760000000001</v>
          </cell>
          <cell r="U29">
            <v>38723</v>
          </cell>
          <cell r="V29">
            <v>1210.96</v>
          </cell>
          <cell r="Y29">
            <v>38866</v>
          </cell>
          <cell r="Z29">
            <v>941.48900000000003</v>
          </cell>
        </row>
        <row r="30">
          <cell r="A30">
            <v>38749</v>
          </cell>
          <cell r="B30">
            <v>1209.8569500000001</v>
          </cell>
          <cell r="D30">
            <v>2429.5</v>
          </cell>
          <cell r="P30">
            <v>38768</v>
          </cell>
          <cell r="Q30">
            <v>926.63900000000001</v>
          </cell>
          <cell r="U30">
            <v>38726</v>
          </cell>
          <cell r="V30">
            <v>1099.1099999999999</v>
          </cell>
          <cell r="Y30">
            <v>38867</v>
          </cell>
          <cell r="Z30">
            <v>830.77800000000002</v>
          </cell>
        </row>
        <row r="31">
          <cell r="A31">
            <v>38777</v>
          </cell>
          <cell r="B31">
            <v>1246.7529999999999</v>
          </cell>
          <cell r="D31">
            <v>2513.2199999999998</v>
          </cell>
          <cell r="P31">
            <v>38769</v>
          </cell>
          <cell r="Q31">
            <v>942.27099999999996</v>
          </cell>
          <cell r="U31">
            <v>38727</v>
          </cell>
          <cell r="Y31">
            <v>38868</v>
          </cell>
          <cell r="Z31" t="str">
            <v>SG: SGX: Turnover: Value: Total</v>
          </cell>
        </row>
        <row r="32">
          <cell r="A32">
            <v>38808</v>
          </cell>
          <cell r="B32">
            <v>1387.241</v>
          </cell>
          <cell r="P32">
            <v>38770</v>
          </cell>
          <cell r="Q32">
            <v>991.07899999999995</v>
          </cell>
          <cell r="U32">
            <v>38728</v>
          </cell>
          <cell r="V32">
            <v>1458.046</v>
          </cell>
          <cell r="Y32">
            <v>38869</v>
          </cell>
          <cell r="Z32" t="str">
            <v>SDIGE</v>
          </cell>
        </row>
        <row r="33">
          <cell r="A33">
            <v>38838</v>
          </cell>
          <cell r="B33">
            <v>1430.3009999999999</v>
          </cell>
          <cell r="I33" t="str">
            <v>SG: SGX: Turnover: Value: Total</v>
          </cell>
          <cell r="P33">
            <v>38771</v>
          </cell>
          <cell r="Q33">
            <v>1013.06</v>
          </cell>
          <cell r="U33">
            <v>38729</v>
          </cell>
          <cell r="V33">
            <v>1160.721</v>
          </cell>
          <cell r="Y33">
            <v>38870</v>
          </cell>
          <cell r="Z33" t="str">
            <v>SGD mn</v>
          </cell>
        </row>
        <row r="34">
          <cell r="A34">
            <v>38869</v>
          </cell>
          <cell r="B34">
            <v>931.577</v>
          </cell>
          <cell r="I34" t="str">
            <v>SG: SGX: Turnover: Value: Total</v>
          </cell>
          <cell r="P34">
            <v>38772</v>
          </cell>
          <cell r="Q34">
            <v>1250.771</v>
          </cell>
          <cell r="U34">
            <v>38730</v>
          </cell>
          <cell r="V34">
            <v>1038.3720000000001</v>
          </cell>
          <cell r="Y34">
            <v>38873</v>
          </cell>
          <cell r="Z34" t="str">
            <v>D:31-Aug-1998:19-Jul-2006</v>
          </cell>
        </row>
        <row r="35">
          <cell r="A35">
            <v>38899</v>
          </cell>
          <cell r="B35">
            <v>890.673</v>
          </cell>
          <cell r="C35">
            <v>1027.4232308612441</v>
          </cell>
          <cell r="I35" t="str">
            <v>SDIGE</v>
          </cell>
          <cell r="P35">
            <v>38775</v>
          </cell>
          <cell r="Q35">
            <v>1071.6220000000001</v>
          </cell>
          <cell r="U35">
            <v>38733</v>
          </cell>
          <cell r="V35">
            <v>946.81799999999998</v>
          </cell>
          <cell r="Y35">
            <v>38897</v>
          </cell>
          <cell r="Z35">
            <v>849.91</v>
          </cell>
        </row>
        <row r="36">
          <cell r="A36">
            <v>38930</v>
          </cell>
          <cell r="B36">
            <v>968.11981818181846</v>
          </cell>
          <cell r="I36" t="str">
            <v>SGD mn</v>
          </cell>
          <cell r="P36">
            <v>38776</v>
          </cell>
          <cell r="Q36">
            <v>1292.8889999999999</v>
          </cell>
          <cell r="U36">
            <v>38734</v>
          </cell>
          <cell r="V36">
            <v>1316.6780000000001</v>
          </cell>
          <cell r="Y36">
            <v>38898</v>
          </cell>
          <cell r="Z36">
            <v>1451.7080000000001</v>
          </cell>
        </row>
        <row r="37">
          <cell r="A37">
            <v>38961</v>
          </cell>
          <cell r="B37">
            <v>953.61199999999997</v>
          </cell>
          <cell r="H37">
            <v>38930</v>
          </cell>
          <cell r="I37" t="str">
            <v>D:31-Aug-1998: 4-Oct-2006</v>
          </cell>
          <cell r="P37">
            <v>38777</v>
          </cell>
          <cell r="Q37">
            <v>1265.615</v>
          </cell>
          <cell r="U37">
            <v>38735</v>
          </cell>
          <cell r="V37">
            <v>1266.3710000000001</v>
          </cell>
          <cell r="Y37">
            <v>38901</v>
          </cell>
          <cell r="Z37">
            <v>688.01499999999999</v>
          </cell>
        </row>
        <row r="38">
          <cell r="A38">
            <v>38991</v>
          </cell>
          <cell r="B38">
            <v>1297.2881052631581</v>
          </cell>
          <cell r="E38">
            <v>966.21</v>
          </cell>
          <cell r="H38">
            <v>38992</v>
          </cell>
          <cell r="I38">
            <v>1050.1220000000001</v>
          </cell>
          <cell r="P38">
            <v>38778</v>
          </cell>
          <cell r="Q38">
            <v>1492.3920000000001</v>
          </cell>
          <cell r="U38">
            <v>38736</v>
          </cell>
          <cell r="V38">
            <v>1053.712</v>
          </cell>
          <cell r="Y38">
            <v>38902</v>
          </cell>
          <cell r="Z38">
            <v>970.81500000000005</v>
          </cell>
        </row>
        <row r="39">
          <cell r="A39">
            <v>39022</v>
          </cell>
          <cell r="H39">
            <v>38993</v>
          </cell>
          <cell r="I39">
            <v>1205.1780000000001</v>
          </cell>
          <cell r="P39">
            <v>38779</v>
          </cell>
          <cell r="Q39">
            <v>973.64300000000003</v>
          </cell>
          <cell r="U39">
            <v>38737</v>
          </cell>
          <cell r="V39">
            <v>1074.9929999999999</v>
          </cell>
          <cell r="Y39">
            <v>38903</v>
          </cell>
          <cell r="Z39">
            <v>1024.4100000000001</v>
          </cell>
        </row>
        <row r="40">
          <cell r="A40">
            <v>39052</v>
          </cell>
          <cell r="H40">
            <v>38994</v>
          </cell>
          <cell r="I40">
            <v>1158.45</v>
          </cell>
          <cell r="P40">
            <v>38782</v>
          </cell>
          <cell r="Q40">
            <v>1178.0889999999999</v>
          </cell>
          <cell r="U40">
            <v>38740</v>
          </cell>
          <cell r="V40">
            <v>995.58500000000004</v>
          </cell>
          <cell r="Y40">
            <v>38904</v>
          </cell>
          <cell r="Z40">
            <v>1000.785</v>
          </cell>
        </row>
        <row r="41">
          <cell r="A41">
            <v>39083</v>
          </cell>
          <cell r="H41">
            <v>38995</v>
          </cell>
          <cell r="I41" t="str">
            <v>`</v>
          </cell>
          <cell r="P41">
            <v>38783</v>
          </cell>
          <cell r="Q41">
            <v>1178.3610000000001</v>
          </cell>
          <cell r="U41">
            <v>38741</v>
          </cell>
          <cell r="V41">
            <v>1056.6869999999999</v>
          </cell>
          <cell r="Y41">
            <v>38905</v>
          </cell>
          <cell r="Z41">
            <v>940.98800000000006</v>
          </cell>
        </row>
        <row r="42">
          <cell r="A42">
            <v>39114</v>
          </cell>
          <cell r="H42">
            <v>38996</v>
          </cell>
          <cell r="I42">
            <v>1591.2329999999999</v>
          </cell>
          <cell r="P42">
            <v>38784</v>
          </cell>
          <cell r="Q42">
            <v>1256.171</v>
          </cell>
          <cell r="U42">
            <v>38742</v>
          </cell>
          <cell r="V42">
            <v>1120.5119999999999</v>
          </cell>
          <cell r="Y42">
            <v>38908</v>
          </cell>
          <cell r="Z42">
            <v>895.67100000000005</v>
          </cell>
        </row>
        <row r="43">
          <cell r="A43">
            <v>39142</v>
          </cell>
          <cell r="H43">
            <v>38999</v>
          </cell>
          <cell r="I43">
            <v>971.31500000000005</v>
          </cell>
          <cell r="P43">
            <v>38785</v>
          </cell>
          <cell r="Q43">
            <v>926.16200000000003</v>
          </cell>
          <cell r="U43">
            <v>38743</v>
          </cell>
          <cell r="V43">
            <v>1067.5360000000001</v>
          </cell>
          <cell r="Y43">
            <v>38909</v>
          </cell>
          <cell r="Z43">
            <v>839.73900000000003</v>
          </cell>
        </row>
        <row r="44">
          <cell r="A44">
            <v>39173</v>
          </cell>
          <cell r="H44">
            <v>39000</v>
          </cell>
          <cell r="I44">
            <v>1170.4290000000001</v>
          </cell>
          <cell r="P44">
            <v>38786</v>
          </cell>
          <cell r="Q44">
            <v>826.07500000000005</v>
          </cell>
          <cell r="U44">
            <v>38744</v>
          </cell>
          <cell r="V44">
            <v>1445.89</v>
          </cell>
          <cell r="Y44">
            <v>38910</v>
          </cell>
          <cell r="Z44">
            <v>706.78</v>
          </cell>
        </row>
        <row r="45">
          <cell r="A45">
            <v>39203</v>
          </cell>
          <cell r="H45">
            <v>39001</v>
          </cell>
          <cell r="I45">
            <v>1272.8209999999999</v>
          </cell>
          <cell r="P45">
            <v>38789</v>
          </cell>
          <cell r="Q45">
            <v>1028.693</v>
          </cell>
          <cell r="U45">
            <v>38747</v>
          </cell>
          <cell r="Y45">
            <v>38911</v>
          </cell>
          <cell r="Z45">
            <v>840.495</v>
          </cell>
        </row>
        <row r="46">
          <cell r="A46">
            <v>39234</v>
          </cell>
          <cell r="H46">
            <v>39002</v>
          </cell>
          <cell r="I46">
            <v>2062.915</v>
          </cell>
          <cell r="P46">
            <v>38790</v>
          </cell>
          <cell r="Q46">
            <v>1029.9280000000001</v>
          </cell>
          <cell r="U46">
            <v>38748</v>
          </cell>
          <cell r="Y46">
            <v>38912</v>
          </cell>
          <cell r="Z46">
            <v>1075.3699999999999</v>
          </cell>
        </row>
        <row r="47">
          <cell r="H47">
            <v>39003</v>
          </cell>
          <cell r="I47">
            <v>1538.7660000000001</v>
          </cell>
          <cell r="P47">
            <v>38791</v>
          </cell>
          <cell r="Q47">
            <v>1171.385</v>
          </cell>
          <cell r="Y47">
            <v>38915</v>
          </cell>
          <cell r="Z47">
            <v>873.13599999999997</v>
          </cell>
        </row>
        <row r="48">
          <cell r="H48">
            <v>39006</v>
          </cell>
          <cell r="I48">
            <v>993.19799999999998</v>
          </cell>
          <cell r="P48">
            <v>38792</v>
          </cell>
          <cell r="Q48">
            <v>1207.4549999999999</v>
          </cell>
          <cell r="Y48">
            <v>38916</v>
          </cell>
          <cell r="Z48">
            <v>838.34199999999998</v>
          </cell>
        </row>
        <row r="49">
          <cell r="H49">
            <v>39007</v>
          </cell>
          <cell r="I49">
            <v>1061.7329999999999</v>
          </cell>
          <cell r="P49">
            <v>38793</v>
          </cell>
          <cell r="Q49">
            <v>1160.8119999999999</v>
          </cell>
          <cell r="Y49">
            <v>38917</v>
          </cell>
          <cell r="Z49">
            <v>642.95399999999995</v>
          </cell>
        </row>
        <row r="50">
          <cell r="H50">
            <v>39008</v>
          </cell>
          <cell r="I50">
            <v>1168.3150000000001</v>
          </cell>
          <cell r="P50">
            <v>38796</v>
          </cell>
          <cell r="Q50">
            <v>1186.134</v>
          </cell>
          <cell r="Y50">
            <v>38918</v>
          </cell>
          <cell r="Z50">
            <v>1137.271</v>
          </cell>
        </row>
        <row r="51">
          <cell r="H51">
            <v>39009</v>
          </cell>
          <cell r="I51">
            <v>1135.6600000000001</v>
          </cell>
          <cell r="P51">
            <v>38797</v>
          </cell>
          <cell r="Q51">
            <v>2030.6769999999999</v>
          </cell>
          <cell r="Y51">
            <v>38919</v>
          </cell>
          <cell r="Z51">
            <v>680.40800000000002</v>
          </cell>
        </row>
        <row r="52">
          <cell r="H52">
            <v>39010</v>
          </cell>
          <cell r="I52">
            <v>1296.06</v>
          </cell>
          <cell r="P52">
            <v>38798</v>
          </cell>
          <cell r="Q52">
            <v>1710.9570000000001</v>
          </cell>
          <cell r="Y52">
            <v>38922</v>
          </cell>
          <cell r="Z52">
            <v>682.798</v>
          </cell>
        </row>
        <row r="53">
          <cell r="H53">
            <v>39013</v>
          </cell>
          <cell r="I53">
            <v>995.81100000000004</v>
          </cell>
          <cell r="P53">
            <v>38799</v>
          </cell>
          <cell r="Q53">
            <v>1173.9069999999999</v>
          </cell>
          <cell r="Y53">
            <v>38923</v>
          </cell>
          <cell r="Z53">
            <v>842</v>
          </cell>
        </row>
        <row r="54">
          <cell r="H54">
            <v>39015</v>
          </cell>
          <cell r="I54">
            <v>1501.61</v>
          </cell>
          <cell r="P54">
            <v>38800</v>
          </cell>
          <cell r="Q54">
            <v>1075.5740000000001</v>
          </cell>
          <cell r="Y54">
            <v>38924</v>
          </cell>
          <cell r="Z54">
            <v>694</v>
          </cell>
        </row>
        <row r="55">
          <cell r="H55">
            <v>39016</v>
          </cell>
          <cell r="I55">
            <v>1420.01</v>
          </cell>
          <cell r="Y55">
            <v>38925</v>
          </cell>
          <cell r="Z55">
            <v>1134</v>
          </cell>
        </row>
        <row r="56">
          <cell r="H56">
            <v>39017</v>
          </cell>
          <cell r="I56">
            <v>1531.83</v>
          </cell>
        </row>
        <row r="57">
          <cell r="H57">
            <v>38958</v>
          </cell>
          <cell r="I57">
            <v>879.22500000000002</v>
          </cell>
        </row>
        <row r="58">
          <cell r="H58">
            <v>38959</v>
          </cell>
          <cell r="I58">
            <v>1004.168</v>
          </cell>
        </row>
        <row r="59">
          <cell r="H59">
            <v>38960</v>
          </cell>
          <cell r="I59">
            <v>1261.4059999999999</v>
          </cell>
        </row>
        <row r="60">
          <cell r="H60">
            <v>38961</v>
          </cell>
          <cell r="I60">
            <v>776.14300000000003</v>
          </cell>
        </row>
        <row r="61">
          <cell r="H61">
            <v>38964</v>
          </cell>
          <cell r="I61">
            <v>956.48900000000003</v>
          </cell>
        </row>
        <row r="62">
          <cell r="H62">
            <v>38965</v>
          </cell>
          <cell r="I62">
            <v>885.12900000000002</v>
          </cell>
        </row>
        <row r="63">
          <cell r="H63">
            <v>38966</v>
          </cell>
          <cell r="I63">
            <v>897.51099999999997</v>
          </cell>
        </row>
        <row r="64">
          <cell r="H64">
            <v>38967</v>
          </cell>
          <cell r="I64">
            <v>791.995</v>
          </cell>
        </row>
        <row r="65">
          <cell r="H65">
            <v>38968</v>
          </cell>
          <cell r="I65">
            <v>731.01</v>
          </cell>
        </row>
        <row r="66">
          <cell r="H66">
            <v>38971</v>
          </cell>
          <cell r="I66">
            <v>856.17499999999995</v>
          </cell>
        </row>
        <row r="67">
          <cell r="H67">
            <v>38972</v>
          </cell>
          <cell r="I67">
            <v>977.05700000000002</v>
          </cell>
        </row>
        <row r="68">
          <cell r="H68">
            <v>38973</v>
          </cell>
          <cell r="I68">
            <v>1173.0630000000001</v>
          </cell>
        </row>
      </sheetData>
      <sheetData sheetId="39" refreshError="1">
        <row r="1">
          <cell r="B1" t="str">
            <v>SG: SGX Turnover: Value: Mainboard &amp; Clob</v>
          </cell>
          <cell r="C1" t="str">
            <v>SG: SGX Turnover: Value: Sesdaq</v>
          </cell>
          <cell r="E1" t="str">
            <v xml:space="preserve">SG: Index: </v>
          </cell>
        </row>
        <row r="2">
          <cell r="B2" t="str">
            <v>SZGR</v>
          </cell>
          <cell r="C2" t="str">
            <v>SZGRC</v>
          </cell>
          <cell r="E2" t="str">
            <v>SZIO</v>
          </cell>
        </row>
        <row r="3">
          <cell r="B3" t="str">
            <v>SGD mn</v>
          </cell>
          <cell r="C3" t="str">
            <v>SGD mn</v>
          </cell>
          <cell r="E3" t="str">
            <v>28/8/98=885.26</v>
          </cell>
        </row>
        <row r="4">
          <cell r="B4" t="str">
            <v>M:   Dec-1995:   Jun-2005</v>
          </cell>
          <cell r="C4" t="str">
            <v>M:   Aug-1998:   Jun-2005</v>
          </cell>
          <cell r="E4" t="str">
            <v>M:   Jan-1985:   Jun-2005</v>
          </cell>
        </row>
        <row r="6">
          <cell r="B6" t="str">
            <v>SGX Monthly Turnover (LS)</v>
          </cell>
          <cell r="E6" t="str">
            <v>SGX Strait Times Index (RS)</v>
          </cell>
        </row>
        <row r="7">
          <cell r="A7">
            <v>36526</v>
          </cell>
          <cell r="B7">
            <v>16952.488000000001</v>
          </cell>
          <cell r="C7">
            <v>986.46100000000001</v>
          </cell>
          <cell r="D7">
            <v>17938.949000000001</v>
          </cell>
          <cell r="E7">
            <v>2230.2800000000002</v>
          </cell>
        </row>
        <row r="8">
          <cell r="A8">
            <v>36557</v>
          </cell>
          <cell r="B8">
            <v>17498.028999999999</v>
          </cell>
          <cell r="C8">
            <v>1390.8520000000001</v>
          </cell>
          <cell r="D8">
            <v>18888.880999999998</v>
          </cell>
          <cell r="E8">
            <v>2120.5</v>
          </cell>
        </row>
        <row r="9">
          <cell r="A9">
            <v>36586</v>
          </cell>
          <cell r="B9">
            <v>16215.37</v>
          </cell>
          <cell r="C9">
            <v>640.19500000000005</v>
          </cell>
          <cell r="D9">
            <v>16855.565000000002</v>
          </cell>
          <cell r="E9">
            <v>2132.59</v>
          </cell>
        </row>
        <row r="10">
          <cell r="A10">
            <v>36617</v>
          </cell>
          <cell r="B10">
            <v>12844.620999999999</v>
          </cell>
          <cell r="C10">
            <v>269.911</v>
          </cell>
          <cell r="D10">
            <v>13114.531999999999</v>
          </cell>
          <cell r="E10">
            <v>2164.11</v>
          </cell>
        </row>
        <row r="11">
          <cell r="A11">
            <v>36647</v>
          </cell>
          <cell r="B11">
            <v>13144.266</v>
          </cell>
          <cell r="C11">
            <v>762.57100000000003</v>
          </cell>
          <cell r="D11">
            <v>13906.837</v>
          </cell>
          <cell r="E11">
            <v>1795.13</v>
          </cell>
        </row>
        <row r="12">
          <cell r="A12">
            <v>36678</v>
          </cell>
          <cell r="B12">
            <v>13490.882</v>
          </cell>
          <cell r="C12">
            <v>665.14499999999998</v>
          </cell>
          <cell r="D12">
            <v>14156.027</v>
          </cell>
          <cell r="E12">
            <v>2037.97</v>
          </cell>
        </row>
        <row r="13">
          <cell r="A13">
            <v>36708</v>
          </cell>
          <cell r="B13">
            <v>12948.625</v>
          </cell>
          <cell r="C13">
            <v>759.048</v>
          </cell>
          <cell r="D13">
            <v>13707.673000000001</v>
          </cell>
          <cell r="E13">
            <v>2051.21</v>
          </cell>
        </row>
        <row r="14">
          <cell r="A14">
            <v>36739</v>
          </cell>
          <cell r="B14">
            <v>12965.004999999999</v>
          </cell>
          <cell r="C14">
            <v>468.77800000000002</v>
          </cell>
          <cell r="D14">
            <v>13433.782999999999</v>
          </cell>
          <cell r="E14">
            <v>2147.77</v>
          </cell>
        </row>
        <row r="15">
          <cell r="A15">
            <v>36770</v>
          </cell>
          <cell r="B15">
            <v>9900.5329999999994</v>
          </cell>
          <cell r="C15">
            <v>218.52</v>
          </cell>
          <cell r="D15">
            <v>10119.053</v>
          </cell>
          <cell r="E15">
            <v>1997.03</v>
          </cell>
        </row>
        <row r="16">
          <cell r="A16">
            <v>36800</v>
          </cell>
          <cell r="B16">
            <v>11791.779</v>
          </cell>
          <cell r="C16">
            <v>149.05799999999999</v>
          </cell>
          <cell r="D16">
            <v>11940.837</v>
          </cell>
          <cell r="E16">
            <v>1976.54</v>
          </cell>
        </row>
        <row r="17">
          <cell r="A17">
            <v>36831</v>
          </cell>
          <cell r="B17">
            <v>16138.772000000001</v>
          </cell>
          <cell r="C17">
            <v>198.899</v>
          </cell>
          <cell r="D17">
            <v>16337.671</v>
          </cell>
          <cell r="E17">
            <v>1952.23</v>
          </cell>
        </row>
        <row r="18">
          <cell r="A18">
            <v>36861</v>
          </cell>
          <cell r="B18">
            <v>10532.594999999999</v>
          </cell>
          <cell r="C18">
            <v>95.367999999999995</v>
          </cell>
          <cell r="D18">
            <v>10627.963</v>
          </cell>
          <cell r="E18">
            <v>1926.83</v>
          </cell>
        </row>
        <row r="19">
          <cell r="A19">
            <v>36892</v>
          </cell>
          <cell r="B19">
            <v>11836.918</v>
          </cell>
          <cell r="C19">
            <v>150.71</v>
          </cell>
          <cell r="D19">
            <v>11987.627999999999</v>
          </cell>
          <cell r="E19">
            <v>1991.29</v>
          </cell>
        </row>
        <row r="20">
          <cell r="A20">
            <v>36923</v>
          </cell>
          <cell r="B20">
            <v>10488.465</v>
          </cell>
          <cell r="C20">
            <v>586.91200000000003</v>
          </cell>
          <cell r="D20">
            <v>11075.377</v>
          </cell>
          <cell r="E20">
            <v>1947.4</v>
          </cell>
        </row>
        <row r="21">
          <cell r="A21">
            <v>36951</v>
          </cell>
          <cell r="B21">
            <v>11658.65</v>
          </cell>
          <cell r="C21">
            <v>273.35300000000001</v>
          </cell>
          <cell r="D21">
            <v>11932.002999999999</v>
          </cell>
          <cell r="E21">
            <v>1674.19</v>
          </cell>
        </row>
        <row r="22">
          <cell r="A22">
            <v>36982</v>
          </cell>
          <cell r="B22">
            <v>9778.2360000000008</v>
          </cell>
          <cell r="C22">
            <v>225.16200000000001</v>
          </cell>
          <cell r="D22">
            <v>10003.398000000001</v>
          </cell>
          <cell r="E22">
            <v>1722.72</v>
          </cell>
        </row>
        <row r="23">
          <cell r="A23">
            <v>37012</v>
          </cell>
          <cell r="B23">
            <v>9864.8040000000001</v>
          </cell>
          <cell r="C23">
            <v>336.79700000000003</v>
          </cell>
          <cell r="D23">
            <v>10201.601000000001</v>
          </cell>
          <cell r="E23">
            <v>1657.05</v>
          </cell>
        </row>
        <row r="24">
          <cell r="A24">
            <v>37043</v>
          </cell>
          <cell r="B24">
            <v>14449.27</v>
          </cell>
          <cell r="C24">
            <v>474.04899999999998</v>
          </cell>
          <cell r="D24">
            <v>14923.319</v>
          </cell>
          <cell r="E24">
            <v>1726.5</v>
          </cell>
        </row>
        <row r="25">
          <cell r="A25">
            <v>37073</v>
          </cell>
          <cell r="B25">
            <v>9337.143</v>
          </cell>
          <cell r="C25">
            <v>219.43</v>
          </cell>
          <cell r="D25">
            <v>9556.5730000000003</v>
          </cell>
          <cell r="E25">
            <v>1666.03</v>
          </cell>
        </row>
        <row r="26">
          <cell r="A26">
            <v>37104</v>
          </cell>
          <cell r="B26">
            <v>8680.36</v>
          </cell>
          <cell r="C26">
            <v>148.46799999999999</v>
          </cell>
          <cell r="D26">
            <v>8828.8280000000013</v>
          </cell>
          <cell r="E26">
            <v>1619.12</v>
          </cell>
        </row>
        <row r="27">
          <cell r="A27">
            <v>37135</v>
          </cell>
          <cell r="B27">
            <v>12575.348</v>
          </cell>
          <cell r="C27">
            <v>75.700999999999993</v>
          </cell>
          <cell r="D27">
            <v>12651.048999999999</v>
          </cell>
          <cell r="E27">
            <v>1319.53</v>
          </cell>
        </row>
        <row r="28">
          <cell r="A28">
            <v>37165</v>
          </cell>
          <cell r="B28">
            <v>8314.6209999999992</v>
          </cell>
          <cell r="C28">
            <v>68.665999999999997</v>
          </cell>
          <cell r="D28">
            <v>8383.2869999999984</v>
          </cell>
          <cell r="E28">
            <v>1367.84</v>
          </cell>
        </row>
        <row r="29">
          <cell r="A29">
            <v>37196</v>
          </cell>
          <cell r="B29">
            <v>11096.905000000001</v>
          </cell>
          <cell r="C29">
            <v>87.647999999999996</v>
          </cell>
          <cell r="D29">
            <v>11184.553</v>
          </cell>
          <cell r="E29">
            <v>1478.54</v>
          </cell>
        </row>
        <row r="30">
          <cell r="A30">
            <v>37226</v>
          </cell>
          <cell r="B30">
            <v>10830.632</v>
          </cell>
          <cell r="C30">
            <v>139.00899999999999</v>
          </cell>
          <cell r="D30">
            <v>10969.641</v>
          </cell>
          <cell r="E30">
            <v>1623.6</v>
          </cell>
        </row>
        <row r="31">
          <cell r="A31">
            <v>37257</v>
          </cell>
          <cell r="B31">
            <v>17234.811000000002</v>
          </cell>
          <cell r="C31">
            <v>681.27</v>
          </cell>
          <cell r="D31">
            <v>17916.081000000002</v>
          </cell>
          <cell r="E31">
            <v>1786.89</v>
          </cell>
        </row>
        <row r="32">
          <cell r="A32">
            <v>37288</v>
          </cell>
          <cell r="B32">
            <v>9856.7919999999995</v>
          </cell>
          <cell r="C32">
            <v>389.20699999999999</v>
          </cell>
          <cell r="D32">
            <v>10245.999</v>
          </cell>
          <cell r="E32">
            <v>1715.58</v>
          </cell>
        </row>
        <row r="33">
          <cell r="A33">
            <v>37316</v>
          </cell>
          <cell r="B33">
            <v>13135.718000000001</v>
          </cell>
          <cell r="C33">
            <v>625.08399999999995</v>
          </cell>
          <cell r="D33">
            <v>13760.802000000001</v>
          </cell>
          <cell r="E33">
            <v>1803.22</v>
          </cell>
        </row>
        <row r="34">
          <cell r="A34">
            <v>37347</v>
          </cell>
          <cell r="B34">
            <v>10533.596</v>
          </cell>
          <cell r="C34">
            <v>876.06899999999996</v>
          </cell>
          <cell r="D34">
            <v>11409.664999999999</v>
          </cell>
          <cell r="E34">
            <v>1725.37</v>
          </cell>
        </row>
        <row r="35">
          <cell r="A35">
            <v>37377</v>
          </cell>
          <cell r="B35">
            <v>9102.7350000000006</v>
          </cell>
          <cell r="C35">
            <v>951.68600000000004</v>
          </cell>
          <cell r="D35">
            <v>10054.421</v>
          </cell>
          <cell r="E35">
            <v>1671.84</v>
          </cell>
        </row>
        <row r="36">
          <cell r="A36">
            <v>37408</v>
          </cell>
          <cell r="B36">
            <v>7046.7619999999997</v>
          </cell>
          <cell r="C36">
            <v>388.30700000000002</v>
          </cell>
          <cell r="D36">
            <v>7435.0689999999995</v>
          </cell>
          <cell r="E36">
            <v>1552.98</v>
          </cell>
        </row>
        <row r="37">
          <cell r="A37">
            <v>37438</v>
          </cell>
          <cell r="B37">
            <v>10483.927</v>
          </cell>
          <cell r="C37">
            <v>994.01400000000001</v>
          </cell>
          <cell r="D37">
            <v>11477.940999999999</v>
          </cell>
          <cell r="E37">
            <v>1508.36</v>
          </cell>
        </row>
        <row r="38">
          <cell r="A38">
            <v>37469</v>
          </cell>
          <cell r="B38">
            <v>8457.9809999999998</v>
          </cell>
          <cell r="C38">
            <v>324.81599999999997</v>
          </cell>
          <cell r="D38">
            <v>8782.7970000000005</v>
          </cell>
          <cell r="E38">
            <v>1488.5</v>
          </cell>
        </row>
        <row r="39">
          <cell r="A39">
            <v>37500</v>
          </cell>
          <cell r="B39">
            <v>6575.42</v>
          </cell>
          <cell r="C39">
            <v>204.28100000000001</v>
          </cell>
          <cell r="D39">
            <v>6779.701</v>
          </cell>
          <cell r="E39">
            <v>1352.3</v>
          </cell>
        </row>
        <row r="40">
          <cell r="A40">
            <v>37530</v>
          </cell>
          <cell r="B40">
            <v>8249.83</v>
          </cell>
          <cell r="C40">
            <v>228.28899999999999</v>
          </cell>
          <cell r="D40">
            <v>8478.1190000000006</v>
          </cell>
          <cell r="E40">
            <v>1463.37</v>
          </cell>
        </row>
        <row r="41">
          <cell r="A41">
            <v>37561</v>
          </cell>
          <cell r="B41">
            <v>6653.1369999999997</v>
          </cell>
          <cell r="C41">
            <v>154.91800000000001</v>
          </cell>
          <cell r="D41">
            <v>6808.0549999999994</v>
          </cell>
          <cell r="E41">
            <v>1391.53</v>
          </cell>
        </row>
        <row r="42">
          <cell r="A42">
            <v>37591</v>
          </cell>
          <cell r="B42">
            <v>5241.2110000000002</v>
          </cell>
          <cell r="C42">
            <v>125.071</v>
          </cell>
          <cell r="D42">
            <v>5366.2820000000002</v>
          </cell>
          <cell r="E42">
            <v>1341.07</v>
          </cell>
        </row>
        <row r="43">
          <cell r="A43">
            <v>37622</v>
          </cell>
          <cell r="B43">
            <v>6707.7539999999999</v>
          </cell>
          <cell r="C43">
            <v>328.89400000000001</v>
          </cell>
          <cell r="D43">
            <v>7036.6480000000001</v>
          </cell>
          <cell r="E43">
            <v>1291.6099999999999</v>
          </cell>
        </row>
        <row r="44">
          <cell r="A44">
            <v>37653</v>
          </cell>
          <cell r="B44">
            <v>5115.5959999999995</v>
          </cell>
          <cell r="C44">
            <v>112.166</v>
          </cell>
          <cell r="D44">
            <v>5227.7619999999997</v>
          </cell>
          <cell r="E44">
            <v>1273.8499999999999</v>
          </cell>
        </row>
        <row r="45">
          <cell r="A45">
            <v>37681</v>
          </cell>
          <cell r="B45">
            <v>7925.9129999999996</v>
          </cell>
          <cell r="C45">
            <v>180.40299999999999</v>
          </cell>
          <cell r="D45">
            <v>8106.3159999999998</v>
          </cell>
          <cell r="E45">
            <v>1267.82</v>
          </cell>
        </row>
        <row r="46">
          <cell r="A46">
            <v>37712</v>
          </cell>
          <cell r="B46">
            <v>8241.8510000000006</v>
          </cell>
          <cell r="C46">
            <v>162.03100000000001</v>
          </cell>
          <cell r="D46">
            <v>8403.8820000000014</v>
          </cell>
          <cell r="E46">
            <v>1281.33</v>
          </cell>
        </row>
        <row r="47">
          <cell r="A47">
            <v>37742</v>
          </cell>
          <cell r="B47">
            <v>10488.464</v>
          </cell>
          <cell r="C47">
            <v>341.44900000000001</v>
          </cell>
          <cell r="D47">
            <v>10829.913</v>
          </cell>
          <cell r="E47">
            <v>1349</v>
          </cell>
        </row>
        <row r="48">
          <cell r="A48">
            <v>37773</v>
          </cell>
          <cell r="B48">
            <v>14580.243</v>
          </cell>
          <cell r="C48">
            <v>646.553</v>
          </cell>
          <cell r="D48">
            <v>15226.796</v>
          </cell>
          <cell r="E48">
            <v>1447.89</v>
          </cell>
        </row>
        <row r="49">
          <cell r="A49">
            <v>37803</v>
          </cell>
          <cell r="B49">
            <v>16844.897000000001</v>
          </cell>
          <cell r="C49">
            <v>1388.643</v>
          </cell>
          <cell r="D49">
            <v>18233.54</v>
          </cell>
          <cell r="E49">
            <v>1558.87</v>
          </cell>
        </row>
        <row r="50">
          <cell r="A50">
            <v>37834</v>
          </cell>
          <cell r="B50">
            <v>15530.302</v>
          </cell>
          <cell r="C50">
            <v>1408.345</v>
          </cell>
          <cell r="D50">
            <v>16938.647000000001</v>
          </cell>
          <cell r="E50">
            <v>1599.25</v>
          </cell>
        </row>
        <row r="51">
          <cell r="A51">
            <v>37865</v>
          </cell>
          <cell r="B51">
            <v>19567.663</v>
          </cell>
          <cell r="C51">
            <v>1584.2829999999999</v>
          </cell>
          <cell r="D51">
            <v>21151.946</v>
          </cell>
          <cell r="E51">
            <v>1630.8</v>
          </cell>
        </row>
        <row r="52">
          <cell r="A52">
            <v>37895</v>
          </cell>
          <cell r="B52">
            <v>24120.887999999999</v>
          </cell>
          <cell r="C52">
            <v>1703.347</v>
          </cell>
          <cell r="D52">
            <v>25824.235000000001</v>
          </cell>
          <cell r="E52">
            <v>1723.71</v>
          </cell>
        </row>
        <row r="53">
          <cell r="A53">
            <v>37926</v>
          </cell>
          <cell r="B53">
            <v>14887.088</v>
          </cell>
          <cell r="C53">
            <v>482.54399999999998</v>
          </cell>
          <cell r="D53">
            <v>15369.632</v>
          </cell>
          <cell r="E53">
            <v>1714</v>
          </cell>
        </row>
        <row r="54">
          <cell r="A54">
            <v>37956</v>
          </cell>
          <cell r="B54">
            <v>10429.092000000001</v>
          </cell>
          <cell r="C54">
            <v>520.02300000000002</v>
          </cell>
          <cell r="D54">
            <v>10949.115</v>
          </cell>
          <cell r="E54">
            <v>1764.52</v>
          </cell>
        </row>
        <row r="55">
          <cell r="A55">
            <v>37987</v>
          </cell>
          <cell r="B55">
            <v>20971.424999999999</v>
          </cell>
          <cell r="C55">
            <v>1078.0509999999999</v>
          </cell>
          <cell r="D55">
            <v>22049.475999999999</v>
          </cell>
          <cell r="E55">
            <v>1848.36</v>
          </cell>
        </row>
        <row r="56">
          <cell r="A56">
            <v>38018</v>
          </cell>
          <cell r="B56">
            <v>18945.332999999999</v>
          </cell>
          <cell r="C56">
            <v>1084.693</v>
          </cell>
          <cell r="D56">
            <v>20030.025999999998</v>
          </cell>
          <cell r="E56">
            <v>1888.63</v>
          </cell>
        </row>
        <row r="57">
          <cell r="A57">
            <v>38047</v>
          </cell>
          <cell r="B57">
            <v>16768.269</v>
          </cell>
          <cell r="C57">
            <v>958.66899999999998</v>
          </cell>
          <cell r="D57">
            <v>17726.938000000002</v>
          </cell>
          <cell r="E57">
            <v>1858.92</v>
          </cell>
        </row>
        <row r="58">
          <cell r="A58">
            <v>38078</v>
          </cell>
          <cell r="B58">
            <v>15012.659</v>
          </cell>
          <cell r="C58">
            <v>763.36</v>
          </cell>
          <cell r="D58">
            <v>15776.019</v>
          </cell>
          <cell r="E58">
            <v>1842.03</v>
          </cell>
        </row>
        <row r="59">
          <cell r="A59">
            <v>38108</v>
          </cell>
          <cell r="B59">
            <v>14226.415000000001</v>
          </cell>
          <cell r="C59">
            <v>445.46199999999999</v>
          </cell>
          <cell r="D59">
            <v>14671.877</v>
          </cell>
          <cell r="E59">
            <v>1788.66</v>
          </cell>
        </row>
        <row r="60">
          <cell r="A60">
            <v>38139</v>
          </cell>
          <cell r="B60">
            <v>10312.048000000001</v>
          </cell>
          <cell r="C60">
            <v>229.197</v>
          </cell>
          <cell r="D60">
            <v>10541.245000000001</v>
          </cell>
          <cell r="E60">
            <v>1838</v>
          </cell>
        </row>
        <row r="61">
          <cell r="A61">
            <v>38169</v>
          </cell>
          <cell r="B61">
            <v>12404.02</v>
          </cell>
          <cell r="C61">
            <v>232.83600000000001</v>
          </cell>
          <cell r="D61">
            <v>12636.856</v>
          </cell>
          <cell r="E61">
            <v>1891.71</v>
          </cell>
        </row>
        <row r="62">
          <cell r="A62">
            <v>38200</v>
          </cell>
          <cell r="B62">
            <v>13413.995000000001</v>
          </cell>
          <cell r="C62">
            <v>223.49299999999999</v>
          </cell>
          <cell r="D62">
            <v>13637.488000000001</v>
          </cell>
          <cell r="E62">
            <v>1918.34</v>
          </cell>
        </row>
        <row r="63">
          <cell r="A63">
            <v>38231</v>
          </cell>
          <cell r="B63">
            <v>14167.338</v>
          </cell>
          <cell r="C63">
            <v>377.65800000000002</v>
          </cell>
          <cell r="D63">
            <v>14544.995999999999</v>
          </cell>
          <cell r="E63">
            <v>1984.74</v>
          </cell>
        </row>
        <row r="64">
          <cell r="A64">
            <v>38261</v>
          </cell>
          <cell r="B64">
            <v>13572.567999999999</v>
          </cell>
          <cell r="C64">
            <v>398.98200000000003</v>
          </cell>
          <cell r="D64">
            <v>13971.55</v>
          </cell>
          <cell r="E64">
            <v>1980.69</v>
          </cell>
        </row>
        <row r="65">
          <cell r="A65">
            <v>38292</v>
          </cell>
          <cell r="B65">
            <v>14425.727999999999</v>
          </cell>
          <cell r="C65">
            <v>384.87400000000002</v>
          </cell>
          <cell r="D65">
            <v>14810.601999999999</v>
          </cell>
          <cell r="E65">
            <v>2027.66</v>
          </cell>
        </row>
        <row r="66">
          <cell r="A66">
            <v>38322</v>
          </cell>
          <cell r="B66">
            <v>12565.144</v>
          </cell>
          <cell r="C66">
            <v>333.04</v>
          </cell>
          <cell r="D66">
            <v>12898.184000000001</v>
          </cell>
          <cell r="E66">
            <v>2066.14</v>
          </cell>
        </row>
        <row r="67">
          <cell r="A67">
            <v>38353</v>
          </cell>
          <cell r="B67">
            <v>15234.356</v>
          </cell>
          <cell r="C67">
            <v>542.63300000000004</v>
          </cell>
          <cell r="D67">
            <v>15776.989</v>
          </cell>
          <cell r="E67">
            <v>2096.3200000000002</v>
          </cell>
        </row>
        <row r="68">
          <cell r="A68">
            <v>38384</v>
          </cell>
          <cell r="B68">
            <v>14820.376</v>
          </cell>
          <cell r="C68">
            <v>394.21300000000002</v>
          </cell>
          <cell r="D68">
            <v>15214.589</v>
          </cell>
          <cell r="E68">
            <v>2119.4</v>
          </cell>
        </row>
        <row r="69">
          <cell r="A69">
            <v>38412</v>
          </cell>
          <cell r="B69">
            <v>15663.126</v>
          </cell>
          <cell r="C69">
            <v>363.786</v>
          </cell>
          <cell r="D69">
            <v>16026.912</v>
          </cell>
          <cell r="E69">
            <v>2141.4299999999998</v>
          </cell>
        </row>
        <row r="70">
          <cell r="A70">
            <v>38443</v>
          </cell>
          <cell r="B70">
            <v>12977.285</v>
          </cell>
          <cell r="C70">
            <v>344.61500000000001</v>
          </cell>
          <cell r="D70">
            <v>13321.9</v>
          </cell>
          <cell r="E70">
            <v>2125.25</v>
          </cell>
        </row>
        <row r="71">
          <cell r="A71">
            <v>38473</v>
          </cell>
          <cell r="B71">
            <v>13771.915999999999</v>
          </cell>
          <cell r="C71">
            <v>188.89599999999999</v>
          </cell>
          <cell r="D71">
            <v>13960.812</v>
          </cell>
          <cell r="E71">
            <v>2161.77</v>
          </cell>
        </row>
        <row r="72">
          <cell r="A72">
            <v>38504</v>
          </cell>
          <cell r="B72">
            <v>16603.642</v>
          </cell>
          <cell r="C72">
            <v>234.81399999999999</v>
          </cell>
          <cell r="D72">
            <v>16838.455999999998</v>
          </cell>
          <cell r="E72">
            <v>2212.66</v>
          </cell>
        </row>
        <row r="73">
          <cell r="A73">
            <v>38534</v>
          </cell>
          <cell r="B73">
            <v>21844.902999999998</v>
          </cell>
          <cell r="C73">
            <v>279.72399999999999</v>
          </cell>
          <cell r="D73">
            <v>22124.626999999997</v>
          </cell>
          <cell r="E73">
            <v>2352.56</v>
          </cell>
        </row>
        <row r="74">
          <cell r="A74">
            <v>38565</v>
          </cell>
          <cell r="B74">
            <v>22875.351999999999</v>
          </cell>
          <cell r="C74">
            <v>334.24400000000003</v>
          </cell>
          <cell r="D74">
            <v>23209.595999999998</v>
          </cell>
          <cell r="E74">
            <v>2275.4299999999998</v>
          </cell>
        </row>
        <row r="75">
          <cell r="A75">
            <v>38596</v>
          </cell>
          <cell r="B75">
            <v>18307.261999999999</v>
          </cell>
          <cell r="C75">
            <v>482.78699999999998</v>
          </cell>
          <cell r="D75">
            <v>18790.048999999999</v>
          </cell>
          <cell r="E75">
            <v>2305.14</v>
          </cell>
        </row>
        <row r="76">
          <cell r="A76">
            <v>38626</v>
          </cell>
          <cell r="B76">
            <v>20178.116999999998</v>
          </cell>
          <cell r="C76">
            <v>614.69399999999996</v>
          </cell>
          <cell r="D76">
            <v>20792.810999999998</v>
          </cell>
          <cell r="E76">
            <v>2216.77</v>
          </cell>
        </row>
        <row r="77">
          <cell r="A77">
            <v>38657</v>
          </cell>
          <cell r="B77">
            <v>15317.01</v>
          </cell>
          <cell r="C77">
            <v>331.10899999999998</v>
          </cell>
          <cell r="D77">
            <v>15648.119000000001</v>
          </cell>
          <cell r="E77">
            <v>2300.25</v>
          </cell>
        </row>
        <row r="78">
          <cell r="A78">
            <v>38687</v>
          </cell>
          <cell r="B78">
            <v>13202.165000000001</v>
          </cell>
          <cell r="C78">
            <v>223.1</v>
          </cell>
          <cell r="D78">
            <v>13425.265000000001</v>
          </cell>
          <cell r="E78">
            <v>2347.34</v>
          </cell>
        </row>
        <row r="79">
          <cell r="A79">
            <v>38718</v>
          </cell>
          <cell r="E79">
            <v>2412.08</v>
          </cell>
        </row>
        <row r="80">
          <cell r="A80">
            <v>38749</v>
          </cell>
          <cell r="E80">
            <v>2481.96</v>
          </cell>
        </row>
        <row r="81">
          <cell r="A81">
            <v>38777</v>
          </cell>
          <cell r="E81">
            <v>2533.4</v>
          </cell>
        </row>
        <row r="82">
          <cell r="A82">
            <v>38808</v>
          </cell>
          <cell r="E82">
            <v>2610.71</v>
          </cell>
        </row>
        <row r="83">
          <cell r="A83">
            <v>38838</v>
          </cell>
          <cell r="E83">
            <v>2383.87</v>
          </cell>
        </row>
        <row r="84">
          <cell r="A84">
            <v>38869</v>
          </cell>
          <cell r="E84">
            <v>2327</v>
          </cell>
        </row>
        <row r="85">
          <cell r="A85">
            <v>38899</v>
          </cell>
        </row>
        <row r="93">
          <cell r="H93" t="str">
            <v>SG: SGX Turnover: Value: Mainboard &amp; Clob</v>
          </cell>
        </row>
        <row r="94">
          <cell r="H94" t="str">
            <v>SZGR</v>
          </cell>
          <cell r="M94" t="str">
            <v>SG: SGX Turnover: Value: Sesdaq</v>
          </cell>
        </row>
        <row r="95">
          <cell r="H95" t="str">
            <v>SGD mn</v>
          </cell>
          <cell r="M95" t="str">
            <v>SZGRC</v>
          </cell>
        </row>
        <row r="96">
          <cell r="H96" t="str">
            <v>M:   Dec-1995:   Dec-2005</v>
          </cell>
          <cell r="M96" t="str">
            <v>SGD mn</v>
          </cell>
        </row>
        <row r="97">
          <cell r="G97">
            <v>38565</v>
          </cell>
          <cell r="H97">
            <v>22875.351999999999</v>
          </cell>
          <cell r="M97" t="str">
            <v>M:   Aug-1998:   Dec-2005</v>
          </cell>
        </row>
        <row r="98">
          <cell r="G98">
            <v>38596</v>
          </cell>
          <cell r="H98">
            <v>18307.261999999999</v>
          </cell>
          <cell r="L98">
            <v>38565</v>
          </cell>
          <cell r="M98">
            <v>334.24400000000003</v>
          </cell>
        </row>
        <row r="99">
          <cell r="G99">
            <v>38626</v>
          </cell>
          <cell r="H99">
            <v>20178.116999999998</v>
          </cell>
          <cell r="L99">
            <v>38596</v>
          </cell>
          <cell r="M99">
            <v>482.78699999999998</v>
          </cell>
        </row>
        <row r="100">
          <cell r="G100">
            <v>38657</v>
          </cell>
          <cell r="H100">
            <v>15317.01</v>
          </cell>
          <cell r="L100">
            <v>38626</v>
          </cell>
          <cell r="M100">
            <v>614.69399999999996</v>
          </cell>
        </row>
        <row r="101">
          <cell r="G101">
            <v>38687</v>
          </cell>
          <cell r="H101">
            <v>13202.165000000001</v>
          </cell>
          <cell r="L101">
            <v>38657</v>
          </cell>
          <cell r="M101">
            <v>331.10899999999998</v>
          </cell>
        </row>
        <row r="102">
          <cell r="L102">
            <v>38687</v>
          </cell>
          <cell r="M102">
            <v>223.1</v>
          </cell>
        </row>
      </sheetData>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A - div yield vs HIBOR"/>
      <sheetName val="HSB - div yield vs HIBOR"/>
      <sheetName val="HSB and BOCHK"/>
      <sheetName val="Assumptions"/>
      <sheetName val="Abs Perf"/>
      <sheetName val="Beta"/>
      <sheetName val="BS structure"/>
      <sheetName val="Coverage Summary"/>
      <sheetName val="Cost to Income"/>
      <sheetName val="Driver of stocks"/>
      <sheetName val="DuPont Analysis"/>
      <sheetName val="Div Yield"/>
      <sheetName val="EPS Change"/>
      <sheetName val="Equity to Assets"/>
      <sheetName val="IBES"/>
      <sheetName val="Implied Growth"/>
      <sheetName val="Loan Loss Reserve"/>
      <sheetName val="Mortgage Revenue"/>
      <sheetName val="Money Flow"/>
      <sheetName val="Mkt Cap by Current Earnings"/>
      <sheetName val="Mid-sized banks valuation"/>
      <sheetName val="__FDSCACHE__"/>
      <sheetName val="M&amp;A"/>
      <sheetName val="NII"/>
      <sheetName val="NPL"/>
      <sheetName val="Presentation Table"/>
      <sheetName val="PnL"/>
      <sheetName val="PB vs ROE (Individual)"/>
      <sheetName val="Price Band (large)"/>
      <sheetName val="Price Band (mid)"/>
      <sheetName val="PE 0607"/>
      <sheetName val="PE History"/>
      <sheetName val="PB History"/>
      <sheetName val="PPPE"/>
      <sheetName val="Prospective PE"/>
      <sheetName val="Prospective PB"/>
      <sheetName val="Rel Perf vs. Drivers"/>
      <sheetName val="RMB"/>
      <sheetName val="Sensitivity"/>
      <sheetName val="Tier 1"/>
      <sheetName val="Volatility of Earnings"/>
      <sheetName val="YTD perf"/>
      <sheetName val="MWare_Cached"/>
    </sheetNames>
    <sheetDataSet>
      <sheetData sheetId="0" refreshError="1">
        <row r="1">
          <cell r="B1" t="str">
            <v>23.HK Equity</v>
          </cell>
          <cell r="C1" t="str">
            <v>HSI Index</v>
          </cell>
        </row>
        <row r="2">
          <cell r="A2" t="str">
            <v>Date</v>
          </cell>
          <cell r="B2" t="str">
            <v>Px Last</v>
          </cell>
          <cell r="C2" t="str">
            <v>Px Last</v>
          </cell>
          <cell r="F2" t="str">
            <v>Dividend Yield</v>
          </cell>
          <cell r="G2" t="str">
            <v>HIBOR</v>
          </cell>
          <cell r="H2" t="str">
            <v>BEA Dividend Yield - HIBOR (LS)</v>
          </cell>
          <cell r="I2" t="str">
            <v>BEA Relative Perf. (RS)</v>
          </cell>
        </row>
        <row r="4">
          <cell r="A4">
            <v>36130</v>
          </cell>
          <cell r="B4">
            <v>13.5</v>
          </cell>
          <cell r="C4">
            <v>10048.58</v>
          </cell>
          <cell r="E4">
            <v>0.31862449068684517</v>
          </cell>
          <cell r="F4">
            <v>2.3601814124951496E-2</v>
          </cell>
          <cell r="G4">
            <v>5.3883900000000005E-2</v>
          </cell>
        </row>
        <row r="5">
          <cell r="A5">
            <v>36161</v>
          </cell>
          <cell r="B5">
            <v>11.05</v>
          </cell>
          <cell r="C5">
            <v>9506.9</v>
          </cell>
          <cell r="F5">
            <v>2.3461448015745508E-2</v>
          </cell>
          <cell r="G5">
            <v>6.6830399999999998E-2</v>
          </cell>
        </row>
        <row r="6">
          <cell r="A6">
            <v>36192</v>
          </cell>
          <cell r="B6">
            <v>10.9</v>
          </cell>
          <cell r="C6">
            <v>9858.49</v>
          </cell>
          <cell r="F6">
            <v>2.3321081906539521E-2</v>
          </cell>
          <cell r="G6">
            <v>6.2544600000000006E-2</v>
          </cell>
        </row>
        <row r="7">
          <cell r="A7">
            <v>36220</v>
          </cell>
          <cell r="B7">
            <v>13.15</v>
          </cell>
          <cell r="C7">
            <v>10942.2</v>
          </cell>
          <cell r="F7">
            <v>2.3180715797333534E-2</v>
          </cell>
          <cell r="G7">
            <v>5.7500000000000002E-2</v>
          </cell>
        </row>
        <row r="8">
          <cell r="A8">
            <v>36251</v>
          </cell>
          <cell r="B8">
            <v>18.850000000000001</v>
          </cell>
          <cell r="C8">
            <v>13333.2</v>
          </cell>
          <cell r="F8">
            <v>2.3040349688127546E-2</v>
          </cell>
          <cell r="G8">
            <v>5.1116099999999998E-2</v>
          </cell>
        </row>
        <row r="9">
          <cell r="A9">
            <v>36281</v>
          </cell>
          <cell r="B9">
            <v>16.95</v>
          </cell>
          <cell r="C9">
            <v>12147.12</v>
          </cell>
          <cell r="F9">
            <v>2.2899983578921559E-2</v>
          </cell>
          <cell r="G9">
            <v>5.4642900000000001E-2</v>
          </cell>
        </row>
        <row r="10">
          <cell r="A10">
            <v>36312</v>
          </cell>
          <cell r="B10">
            <v>19.649999999999999</v>
          </cell>
          <cell r="C10">
            <v>13532.14</v>
          </cell>
          <cell r="F10">
            <v>2.2759617469715571E-2</v>
          </cell>
          <cell r="G10">
            <v>5.8660699999999996E-2</v>
          </cell>
        </row>
        <row r="11">
          <cell r="A11">
            <v>36342</v>
          </cell>
          <cell r="B11">
            <v>18.8</v>
          </cell>
          <cell r="C11">
            <v>13186.86</v>
          </cell>
          <cell r="F11">
            <v>2.2619251360509584E-2</v>
          </cell>
          <cell r="G11">
            <v>6.3906299999999999E-2</v>
          </cell>
        </row>
        <row r="12">
          <cell r="A12">
            <v>36373</v>
          </cell>
          <cell r="B12">
            <v>17.899999999999999</v>
          </cell>
          <cell r="C12">
            <v>13482.77</v>
          </cell>
          <cell r="F12">
            <v>2.2478885251303597E-2</v>
          </cell>
          <cell r="G12">
            <v>6.5758900000000009E-2</v>
          </cell>
        </row>
        <row r="13">
          <cell r="A13">
            <v>36404</v>
          </cell>
          <cell r="B13">
            <v>16.850000000000001</v>
          </cell>
          <cell r="C13">
            <v>12733.24</v>
          </cell>
          <cell r="F13">
            <v>2.2338519142097609E-2</v>
          </cell>
          <cell r="G13">
            <v>5.80134E-2</v>
          </cell>
        </row>
        <row r="14">
          <cell r="A14">
            <v>36434</v>
          </cell>
          <cell r="B14">
            <v>17</v>
          </cell>
          <cell r="C14">
            <v>13256.95</v>
          </cell>
          <cell r="F14">
            <v>2.2198153032891622E-2</v>
          </cell>
          <cell r="G14">
            <v>6.7254500000000009E-2</v>
          </cell>
        </row>
        <row r="15">
          <cell r="A15">
            <v>36465</v>
          </cell>
          <cell r="B15">
            <v>18.7</v>
          </cell>
          <cell r="C15">
            <v>15377.19</v>
          </cell>
          <cell r="F15">
            <v>2.2057786923685634E-2</v>
          </cell>
          <cell r="G15">
            <v>6.4017900000000003E-2</v>
          </cell>
        </row>
        <row r="16">
          <cell r="A16">
            <v>36495</v>
          </cell>
          <cell r="B16">
            <v>21.6</v>
          </cell>
          <cell r="C16">
            <v>16962.099999999999</v>
          </cell>
          <cell r="E16">
            <v>0.47341628959276016</v>
          </cell>
          <cell r="F16">
            <v>2.1917420814479636E-2</v>
          </cell>
          <cell r="G16">
            <v>5.8749999999999997E-2</v>
          </cell>
        </row>
        <row r="17">
          <cell r="A17">
            <v>36526</v>
          </cell>
          <cell r="B17">
            <v>20.05</v>
          </cell>
          <cell r="C17">
            <v>15532.34</v>
          </cell>
          <cell r="F17">
            <v>2.256615518415803E-2</v>
          </cell>
          <cell r="G17">
            <v>6.0156299999999996E-2</v>
          </cell>
        </row>
        <row r="18">
          <cell r="A18">
            <v>36557</v>
          </cell>
          <cell r="B18">
            <v>18.3</v>
          </cell>
          <cell r="C18">
            <v>17169.439999999999</v>
          </cell>
          <cell r="F18">
            <v>2.3214889553836424E-2</v>
          </cell>
          <cell r="G18">
            <v>6.1272300000000002E-2</v>
          </cell>
        </row>
        <row r="19">
          <cell r="A19">
            <v>36586</v>
          </cell>
          <cell r="B19">
            <v>17.3</v>
          </cell>
          <cell r="C19">
            <v>17406.54</v>
          </cell>
          <cell r="F19">
            <v>2.3863623923514817E-2</v>
          </cell>
          <cell r="G19">
            <v>6.1093799999999997E-2</v>
          </cell>
        </row>
        <row r="20">
          <cell r="A20">
            <v>36617</v>
          </cell>
          <cell r="B20">
            <v>16.850000000000001</v>
          </cell>
          <cell r="C20">
            <v>15519.3</v>
          </cell>
          <cell r="F20">
            <v>2.4512358293193211E-2</v>
          </cell>
          <cell r="G20">
            <v>6.6383899999999996E-2</v>
          </cell>
        </row>
        <row r="21">
          <cell r="A21">
            <v>36647</v>
          </cell>
          <cell r="B21">
            <v>13.7</v>
          </cell>
          <cell r="C21">
            <v>14713.86</v>
          </cell>
          <cell r="F21">
            <v>2.5161092662871604E-2</v>
          </cell>
          <cell r="G21">
            <v>6.9955400000000001E-2</v>
          </cell>
        </row>
        <row r="22">
          <cell r="A22">
            <v>36678</v>
          </cell>
          <cell r="B22">
            <v>18.2</v>
          </cell>
          <cell r="C22">
            <v>16155.78</v>
          </cell>
          <cell r="F22">
            <v>2.5809827032549998E-2</v>
          </cell>
          <cell r="G22">
            <v>6.4866099999999996E-2</v>
          </cell>
        </row>
        <row r="23">
          <cell r="A23">
            <v>36708</v>
          </cell>
          <cell r="B23">
            <v>17.7</v>
          </cell>
          <cell r="C23">
            <v>16840.98</v>
          </cell>
          <cell r="F23">
            <v>2.6458561402228391E-2</v>
          </cell>
          <cell r="G23">
            <v>6.1830400000000001E-2</v>
          </cell>
        </row>
        <row r="24">
          <cell r="A24">
            <v>36739</v>
          </cell>
          <cell r="B24">
            <v>18.2</v>
          </cell>
          <cell r="C24">
            <v>17097.509999999998</v>
          </cell>
          <cell r="F24">
            <v>2.7107295771906785E-2</v>
          </cell>
          <cell r="G24">
            <v>6.3928600000000002E-2</v>
          </cell>
        </row>
        <row r="25">
          <cell r="A25">
            <v>36770</v>
          </cell>
          <cell r="B25">
            <v>17.5</v>
          </cell>
          <cell r="C25">
            <v>15648.98</v>
          </cell>
          <cell r="F25">
            <v>2.7756030141585179E-2</v>
          </cell>
          <cell r="G25">
            <v>6.3437499999999994E-2</v>
          </cell>
        </row>
        <row r="26">
          <cell r="A26">
            <v>36800</v>
          </cell>
          <cell r="B26">
            <v>17.649999999999999</v>
          </cell>
          <cell r="C26">
            <v>14895.34</v>
          </cell>
          <cell r="F26">
            <v>2.8404764511263572E-2</v>
          </cell>
          <cell r="G26">
            <v>6.1473199999999999E-2</v>
          </cell>
        </row>
        <row r="27">
          <cell r="A27">
            <v>36831</v>
          </cell>
          <cell r="B27">
            <v>16.95</v>
          </cell>
          <cell r="C27">
            <v>13984.39</v>
          </cell>
          <cell r="F27">
            <v>2.9053498880941966E-2</v>
          </cell>
          <cell r="G27">
            <v>5.9821400000000004E-2</v>
          </cell>
        </row>
        <row r="28">
          <cell r="A28">
            <v>36861</v>
          </cell>
          <cell r="B28">
            <v>20.149999999999999</v>
          </cell>
          <cell r="C28">
            <v>15095.53</v>
          </cell>
          <cell r="E28">
            <v>0.59850000000000003</v>
          </cell>
          <cell r="F28">
            <v>2.9702233250620352E-2</v>
          </cell>
          <cell r="G28">
            <v>5.9285699999999997E-2</v>
          </cell>
        </row>
        <row r="29">
          <cell r="A29">
            <v>36892</v>
          </cell>
          <cell r="B29">
            <v>21.35</v>
          </cell>
          <cell r="C29">
            <v>16102.35</v>
          </cell>
          <cell r="F29">
            <v>2.9905618574973418E-2</v>
          </cell>
          <cell r="G29">
            <v>5.2589300000000005E-2</v>
          </cell>
          <cell r="H29">
            <v>-2.2683681425026588E-2</v>
          </cell>
          <cell r="I29">
            <v>100</v>
          </cell>
        </row>
        <row r="30">
          <cell r="A30">
            <v>36923</v>
          </cell>
          <cell r="B30">
            <v>19.3</v>
          </cell>
          <cell r="C30">
            <v>14787.87</v>
          </cell>
          <cell r="F30">
            <v>3.0109003899326484E-2</v>
          </cell>
          <cell r="G30">
            <v>4.9642900000000004E-2</v>
          </cell>
          <cell r="H30">
            <v>-1.953389610067352E-2</v>
          </cell>
          <cell r="I30">
            <v>98.433531784006988</v>
          </cell>
        </row>
        <row r="31">
          <cell r="A31">
            <v>36951</v>
          </cell>
          <cell r="B31">
            <v>17.55</v>
          </cell>
          <cell r="C31">
            <v>12760.64</v>
          </cell>
          <cell r="F31">
            <v>3.0312389223679549E-2</v>
          </cell>
          <cell r="G31">
            <v>4.9375000000000002E-2</v>
          </cell>
          <cell r="H31">
            <v>-1.9062610776320453E-2</v>
          </cell>
          <cell r="I31">
            <v>103.72801021366698</v>
          </cell>
        </row>
        <row r="32">
          <cell r="A32">
            <v>36982</v>
          </cell>
          <cell r="B32">
            <v>17.7</v>
          </cell>
          <cell r="C32">
            <v>13386.04</v>
          </cell>
          <cell r="F32">
            <v>3.0515774548032615E-2</v>
          </cell>
          <cell r="G32">
            <v>4.29241E-2</v>
          </cell>
          <cell r="H32">
            <v>-1.2408325451967385E-2</v>
          </cell>
          <cell r="I32">
            <v>99.726948576026032</v>
          </cell>
        </row>
        <row r="33">
          <cell r="A33">
            <v>37012</v>
          </cell>
          <cell r="B33">
            <v>18.05</v>
          </cell>
          <cell r="C33">
            <v>13174.41</v>
          </cell>
          <cell r="F33">
            <v>3.071915987238568E-2</v>
          </cell>
          <cell r="G33">
            <v>3.875E-2</v>
          </cell>
          <cell r="H33">
            <v>-8.0308401276143193E-3</v>
          </cell>
          <cell r="I33">
            <v>103.33261358942032</v>
          </cell>
        </row>
        <row r="34">
          <cell r="A34">
            <v>37043</v>
          </cell>
          <cell r="B34">
            <v>18.100000000000001</v>
          </cell>
          <cell r="C34">
            <v>13042.53</v>
          </cell>
          <cell r="F34">
            <v>3.0922545196738746E-2</v>
          </cell>
          <cell r="G34">
            <v>3.8035699999999999E-2</v>
          </cell>
          <cell r="H34">
            <v>-7.1131548032612527E-3</v>
          </cell>
          <cell r="I34">
            <v>104.66659919150362</v>
          </cell>
        </row>
        <row r="35">
          <cell r="A35">
            <v>37073</v>
          </cell>
          <cell r="B35">
            <v>18.2</v>
          </cell>
          <cell r="C35">
            <v>12316.69</v>
          </cell>
          <cell r="F35">
            <v>3.1125930521091812E-2</v>
          </cell>
          <cell r="G35">
            <v>3.6339299999999998E-2</v>
          </cell>
          <cell r="H35">
            <v>-5.2133694789081864E-3</v>
          </cell>
          <cell r="I35">
            <v>111.44709692801354</v>
          </cell>
        </row>
        <row r="36">
          <cell r="A36">
            <v>37104</v>
          </cell>
          <cell r="B36">
            <v>17.850000000000001</v>
          </cell>
          <cell r="C36">
            <v>11090.48</v>
          </cell>
          <cell r="F36">
            <v>3.1329315845444877E-2</v>
          </cell>
          <cell r="G36">
            <v>3.35938E-2</v>
          </cell>
          <cell r="H36">
            <v>-2.2644841545551228E-3</v>
          </cell>
          <cell r="I36">
            <v>121.38897948333418</v>
          </cell>
        </row>
        <row r="37">
          <cell r="A37">
            <v>37135</v>
          </cell>
          <cell r="B37">
            <v>15.55</v>
          </cell>
          <cell r="C37">
            <v>9950.7000000000007</v>
          </cell>
          <cell r="F37">
            <v>3.1532701169797943E-2</v>
          </cell>
          <cell r="G37">
            <v>2.4776799999999998E-2</v>
          </cell>
          <cell r="H37">
            <v>6.7559011697979447E-3</v>
          </cell>
          <cell r="I37">
            <v>117.86046309005975</v>
          </cell>
        </row>
        <row r="38">
          <cell r="A38">
            <v>37165</v>
          </cell>
          <cell r="B38">
            <v>15.55</v>
          </cell>
          <cell r="C38">
            <v>10073.969999999999</v>
          </cell>
          <cell r="F38">
            <v>3.1736086494151008E-2</v>
          </cell>
          <cell r="G38">
            <v>2.1361599999999998E-2</v>
          </cell>
          <cell r="H38">
            <v>1.0374486494151011E-2</v>
          </cell>
          <cell r="I38">
            <v>116.41826510008049</v>
          </cell>
        </row>
        <row r="39">
          <cell r="A39">
            <v>37196</v>
          </cell>
          <cell r="B39">
            <v>16.45</v>
          </cell>
          <cell r="C39">
            <v>11279.25</v>
          </cell>
          <cell r="F39">
            <v>3.1939471818504074E-2</v>
          </cell>
          <cell r="G39">
            <v>2.14063E-2</v>
          </cell>
          <cell r="H39">
            <v>1.0533171818504074E-2</v>
          </cell>
          <cell r="I39">
            <v>109.99604307489052</v>
          </cell>
        </row>
        <row r="40">
          <cell r="A40">
            <v>37226</v>
          </cell>
          <cell r="B40">
            <v>16.8</v>
          </cell>
          <cell r="C40">
            <v>11397.21</v>
          </cell>
          <cell r="E40">
            <v>0.54</v>
          </cell>
          <cell r="F40">
            <v>3.2142857142857147E-2</v>
          </cell>
          <cell r="G40">
            <v>2.06696E-2</v>
          </cell>
          <cell r="H40">
            <v>1.1473257142857147E-2</v>
          </cell>
          <cell r="I40">
            <v>111.17371391195093</v>
          </cell>
        </row>
        <row r="41">
          <cell r="A41">
            <v>37257</v>
          </cell>
          <cell r="B41">
            <v>15.7</v>
          </cell>
          <cell r="C41">
            <v>10725.3</v>
          </cell>
          <cell r="F41">
            <v>3.2959916176208318E-2</v>
          </cell>
          <cell r="G41">
            <v>2.0066999999999998E-2</v>
          </cell>
          <cell r="H41">
            <v>1.289291617620832E-2</v>
          </cell>
          <cell r="I41">
            <v>110.40318093982992</v>
          </cell>
        </row>
        <row r="42">
          <cell r="A42">
            <v>37288</v>
          </cell>
          <cell r="B42">
            <v>14.85</v>
          </cell>
          <cell r="C42">
            <v>10482.549999999999</v>
          </cell>
          <cell r="F42">
            <v>3.3776975209559489E-2</v>
          </cell>
          <cell r="G42">
            <v>2.0312500000000001E-2</v>
          </cell>
          <cell r="H42">
            <v>1.3464475209559488E-2</v>
          </cell>
          <cell r="I42">
            <v>106.84418580462989</v>
          </cell>
        </row>
        <row r="43">
          <cell r="A43">
            <v>37316</v>
          </cell>
          <cell r="B43">
            <v>15.55</v>
          </cell>
          <cell r="C43">
            <v>11032.92</v>
          </cell>
          <cell r="F43">
            <v>3.459403424291066E-2</v>
          </cell>
          <cell r="G43">
            <v>2.2700900000000003E-2</v>
          </cell>
          <cell r="H43">
            <v>1.1893134242910657E-2</v>
          </cell>
          <cell r="I43">
            <v>106.29952089476382</v>
          </cell>
        </row>
        <row r="44">
          <cell r="A44">
            <v>37347</v>
          </cell>
          <cell r="B44">
            <v>16.350000000000001</v>
          </cell>
          <cell r="C44">
            <v>11497.58</v>
          </cell>
          <cell r="F44">
            <v>3.5411093276261831E-2</v>
          </cell>
          <cell r="G44">
            <v>1.95982E-2</v>
          </cell>
          <cell r="H44">
            <v>1.5812893276261831E-2</v>
          </cell>
          <cell r="I44">
            <v>107.25133328433685</v>
          </cell>
        </row>
        <row r="45">
          <cell r="A45">
            <v>37377</v>
          </cell>
          <cell r="B45">
            <v>16.95</v>
          </cell>
          <cell r="C45">
            <v>11301.94</v>
          </cell>
          <cell r="F45">
            <v>3.6228152309613001E-2</v>
          </cell>
          <cell r="G45">
            <v>1.8571400000000002E-2</v>
          </cell>
          <cell r="H45">
            <v>1.7656752309613E-2</v>
          </cell>
          <cell r="I45">
            <v>113.11184543521964</v>
          </cell>
        </row>
        <row r="46">
          <cell r="A46">
            <v>37408</v>
          </cell>
          <cell r="B46">
            <v>15.7</v>
          </cell>
          <cell r="C46">
            <v>10598.55</v>
          </cell>
          <cell r="F46">
            <v>3.7045211342964172E-2</v>
          </cell>
          <cell r="G46">
            <v>1.82813E-2</v>
          </cell>
          <cell r="H46">
            <v>1.8763911342964172E-2</v>
          </cell>
          <cell r="I46">
            <v>111.72351279504818</v>
          </cell>
        </row>
        <row r="47">
          <cell r="A47">
            <v>37438</v>
          </cell>
          <cell r="B47">
            <v>15.05</v>
          </cell>
          <cell r="C47">
            <v>10267.36</v>
          </cell>
          <cell r="F47">
            <v>3.7862270376315343E-2</v>
          </cell>
          <cell r="G47">
            <v>1.7857100000000001E-2</v>
          </cell>
          <cell r="H47">
            <v>2.0005170376315343E-2</v>
          </cell>
          <cell r="I47">
            <v>110.55263363947402</v>
          </cell>
        </row>
        <row r="48">
          <cell r="A48">
            <v>37469</v>
          </cell>
          <cell r="B48">
            <v>14.85</v>
          </cell>
          <cell r="C48">
            <v>10043.870000000001</v>
          </cell>
          <cell r="F48">
            <v>3.8679329409666514E-2</v>
          </cell>
          <cell r="G48">
            <v>1.7522300000000001E-2</v>
          </cell>
          <cell r="H48">
            <v>2.1157029409666513E-2</v>
          </cell>
          <cell r="I48">
            <v>111.51075431146789</v>
          </cell>
        </row>
        <row r="49">
          <cell r="A49">
            <v>37500</v>
          </cell>
          <cell r="B49">
            <v>13.7</v>
          </cell>
          <cell r="C49">
            <v>9072.2099999999991</v>
          </cell>
          <cell r="F49">
            <v>3.9496388443017685E-2</v>
          </cell>
          <cell r="G49">
            <v>1.8906300000000001E-2</v>
          </cell>
          <cell r="H49">
            <v>2.0590088443017684E-2</v>
          </cell>
          <cell r="I49">
            <v>113.89347803360901</v>
          </cell>
        </row>
        <row r="50">
          <cell r="A50">
            <v>37530</v>
          </cell>
          <cell r="B50">
            <v>13.6</v>
          </cell>
          <cell r="C50">
            <v>9441.25</v>
          </cell>
          <cell r="F50">
            <v>4.0313447476368856E-2</v>
          </cell>
          <cell r="G50">
            <v>1.89509E-2</v>
          </cell>
          <cell r="H50">
            <v>2.1362547476368857E-2</v>
          </cell>
          <cell r="I50">
            <v>108.64276086769809</v>
          </cell>
        </row>
        <row r="51">
          <cell r="A51">
            <v>37561</v>
          </cell>
          <cell r="B51">
            <v>13.6</v>
          </cell>
          <cell r="C51">
            <v>10069.870000000001</v>
          </cell>
          <cell r="F51">
            <v>4.1130506509720027E-2</v>
          </cell>
          <cell r="G51">
            <v>1.5758899999999999E-2</v>
          </cell>
          <cell r="H51">
            <v>2.5371606509720028E-2</v>
          </cell>
          <cell r="I51">
            <v>101.86064626873579</v>
          </cell>
        </row>
        <row r="52">
          <cell r="A52">
            <v>37591</v>
          </cell>
          <cell r="B52">
            <v>13.35</v>
          </cell>
          <cell r="C52">
            <v>9321.2900000000009</v>
          </cell>
          <cell r="E52">
            <v>0.56000000000000005</v>
          </cell>
          <cell r="F52">
            <v>4.1947565543071164E-2</v>
          </cell>
          <cell r="G52">
            <v>1.49777E-2</v>
          </cell>
          <cell r="H52">
            <v>2.6969865543071164E-2</v>
          </cell>
          <cell r="I52">
            <v>108.01812359333533</v>
          </cell>
        </row>
        <row r="53">
          <cell r="A53">
            <v>37622</v>
          </cell>
          <cell r="B53">
            <v>14.45</v>
          </cell>
          <cell r="C53">
            <v>9258.9500000000007</v>
          </cell>
          <cell r="F53">
            <v>4.1421886164307198E-2</v>
          </cell>
          <cell r="G53">
            <v>1.4486600000000001E-2</v>
          </cell>
          <cell r="H53">
            <v>2.6935286164307196E-2</v>
          </cell>
          <cell r="I53">
            <v>117.70569909868713</v>
          </cell>
        </row>
        <row r="54">
          <cell r="A54">
            <v>37653</v>
          </cell>
          <cell r="B54">
            <v>14.55</v>
          </cell>
          <cell r="C54">
            <v>9122.66</v>
          </cell>
          <cell r="F54">
            <v>4.0896206785543232E-2</v>
          </cell>
          <cell r="G54">
            <v>1.43973E-2</v>
          </cell>
          <cell r="H54">
            <v>2.649890678554323E-2</v>
          </cell>
          <cell r="I54">
            <v>120.29093126115878</v>
          </cell>
        </row>
        <row r="55">
          <cell r="A55">
            <v>37681</v>
          </cell>
          <cell r="B55">
            <v>14.3</v>
          </cell>
          <cell r="C55">
            <v>8634.4500000000007</v>
          </cell>
          <cell r="F55">
            <v>4.0370527406779266E-2</v>
          </cell>
          <cell r="G55">
            <v>1.375E-2</v>
          </cell>
          <cell r="H55">
            <v>2.6620527406779268E-2</v>
          </cell>
          <cell r="I55">
            <v>124.90871522865834</v>
          </cell>
        </row>
        <row r="56">
          <cell r="A56">
            <v>37712</v>
          </cell>
          <cell r="B56">
            <v>14.45</v>
          </cell>
          <cell r="C56">
            <v>8717.2199999999993</v>
          </cell>
          <cell r="F56">
            <v>3.9844848028015301E-2</v>
          </cell>
          <cell r="G56">
            <v>1.5625E-2</v>
          </cell>
          <cell r="H56">
            <v>2.4219848028015301E-2</v>
          </cell>
          <cell r="I56">
            <v>125.02049766666315</v>
          </cell>
        </row>
        <row r="57">
          <cell r="A57">
            <v>37742</v>
          </cell>
          <cell r="B57">
            <v>14.7</v>
          </cell>
          <cell r="C57">
            <v>9487.3799999999992</v>
          </cell>
          <cell r="F57">
            <v>3.9319168649251335E-2</v>
          </cell>
          <cell r="G57">
            <v>1.3191999999999999E-2</v>
          </cell>
          <cell r="H57">
            <v>2.6127168649251336E-2</v>
          </cell>
          <cell r="I57">
            <v>116.85906893606276</v>
          </cell>
        </row>
        <row r="58">
          <cell r="A58">
            <v>37773</v>
          </cell>
          <cell r="B58">
            <v>15.4</v>
          </cell>
          <cell r="C58">
            <v>9577.1200000000008</v>
          </cell>
          <cell r="F58">
            <v>3.8793489270487369E-2</v>
          </cell>
          <cell r="G58">
            <v>1.11384E-2</v>
          </cell>
          <cell r="H58">
            <v>2.7655089270487369E-2</v>
          </cell>
          <cell r="I58">
            <v>121.27664512990934</v>
          </cell>
        </row>
        <row r="59">
          <cell r="A59">
            <v>37803</v>
          </cell>
          <cell r="B59">
            <v>16.350000000000001</v>
          </cell>
          <cell r="C59">
            <v>10134.83</v>
          </cell>
          <cell r="F59">
            <v>3.8267809891723403E-2</v>
          </cell>
          <cell r="G59">
            <v>1.1919599999999999E-2</v>
          </cell>
          <cell r="H59">
            <v>2.6348209891723404E-2</v>
          </cell>
          <cell r="I59">
            <v>121.67256723036553</v>
          </cell>
        </row>
        <row r="60">
          <cell r="A60">
            <v>37834</v>
          </cell>
          <cell r="B60">
            <v>18.399999999999999</v>
          </cell>
          <cell r="C60">
            <v>10908.99</v>
          </cell>
          <cell r="F60">
            <v>3.7742130512959438E-2</v>
          </cell>
          <cell r="G60">
            <v>1.15625E-2</v>
          </cell>
          <cell r="H60">
            <v>2.6179630512959438E-2</v>
          </cell>
          <cell r="I60">
            <v>127.21099871578963</v>
          </cell>
        </row>
        <row r="61">
          <cell r="A61">
            <v>37865</v>
          </cell>
          <cell r="B61">
            <v>19.899999999999999</v>
          </cell>
          <cell r="C61">
            <v>11229.87</v>
          </cell>
          <cell r="F61">
            <v>3.7216451134195472E-2</v>
          </cell>
          <cell r="G61">
            <v>8.1472999999999997E-3</v>
          </cell>
          <cell r="H61">
            <v>2.9069151134195472E-2</v>
          </cell>
          <cell r="I61">
            <v>133.65023615745901</v>
          </cell>
        </row>
        <row r="62">
          <cell r="A62">
            <v>37895</v>
          </cell>
          <cell r="B62">
            <v>23.2</v>
          </cell>
          <cell r="C62">
            <v>12190.1</v>
          </cell>
          <cell r="F62">
            <v>3.6690771755431506E-2</v>
          </cell>
          <cell r="G62">
            <v>5.1339000000000003E-3</v>
          </cell>
          <cell r="H62">
            <v>3.1556871755431509E-2</v>
          </cell>
          <cell r="I62">
            <v>143.53972155429153</v>
          </cell>
        </row>
        <row r="63">
          <cell r="A63">
            <v>37926</v>
          </cell>
          <cell r="B63">
            <v>24.4</v>
          </cell>
          <cell r="C63">
            <v>12317.47</v>
          </cell>
          <cell r="F63">
            <v>3.616509237666754E-2</v>
          </cell>
          <cell r="G63">
            <v>3.0803999999999996E-3</v>
          </cell>
          <cell r="H63">
            <v>3.3084692376667543E-2</v>
          </cell>
          <cell r="I63">
            <v>149.40312997949837</v>
          </cell>
        </row>
        <row r="64">
          <cell r="A64">
            <v>37956</v>
          </cell>
          <cell r="B64">
            <v>23.85</v>
          </cell>
          <cell r="C64">
            <v>12575.94</v>
          </cell>
          <cell r="E64">
            <v>0.85</v>
          </cell>
          <cell r="F64">
            <v>3.5639412997903561E-2</v>
          </cell>
          <cell r="G64">
            <v>1.5179E-3</v>
          </cell>
          <cell r="H64">
            <v>3.4121512997903558E-2</v>
          </cell>
          <cell r="I64">
            <v>143.03400841037228</v>
          </cell>
        </row>
        <row r="65">
          <cell r="A65">
            <v>37987</v>
          </cell>
          <cell r="B65">
            <v>23.9</v>
          </cell>
          <cell r="C65">
            <v>13289.37</v>
          </cell>
          <cell r="F65">
            <v>3.6350443509836954E-2</v>
          </cell>
          <cell r="G65">
            <v>1.5401999999999998E-3</v>
          </cell>
          <cell r="H65">
            <v>3.4810243509836955E-2</v>
          </cell>
          <cell r="I65">
            <v>135.63909725464066</v>
          </cell>
        </row>
        <row r="66">
          <cell r="A66">
            <v>38018</v>
          </cell>
          <cell r="B66">
            <v>25.3</v>
          </cell>
          <cell r="C66">
            <v>13907.03</v>
          </cell>
          <cell r="F66">
            <v>3.7061474021770346E-2</v>
          </cell>
          <cell r="G66">
            <v>1.7188000000000001E-3</v>
          </cell>
          <cell r="H66">
            <v>3.5342674021770347E-2</v>
          </cell>
          <cell r="I66">
            <v>137.20739296677814</v>
          </cell>
        </row>
        <row r="67">
          <cell r="A67">
            <v>38047</v>
          </cell>
          <cell r="B67">
            <v>23.55</v>
          </cell>
          <cell r="C67">
            <v>12681.67</v>
          </cell>
          <cell r="F67">
            <v>3.7772504533703739E-2</v>
          </cell>
          <cell r="G67">
            <v>1.7410999999999998E-3</v>
          </cell>
          <cell r="H67">
            <v>3.6031404533703737E-2</v>
          </cell>
          <cell r="I67">
            <v>140.05733115598628</v>
          </cell>
        </row>
        <row r="68">
          <cell r="A68">
            <v>38078</v>
          </cell>
          <cell r="B68">
            <v>22.8</v>
          </cell>
          <cell r="C68">
            <v>11942.96</v>
          </cell>
          <cell r="F68">
            <v>3.8483535045637132E-2</v>
          </cell>
          <cell r="G68">
            <v>3.7277E-3</v>
          </cell>
          <cell r="H68">
            <v>3.4755835045637132E-2</v>
          </cell>
          <cell r="I68">
            <v>143.98400584800046</v>
          </cell>
        </row>
        <row r="69">
          <cell r="A69">
            <v>38108</v>
          </cell>
          <cell r="B69">
            <v>22.75</v>
          </cell>
          <cell r="C69">
            <v>12198.24</v>
          </cell>
          <cell r="F69">
            <v>3.9194565557570525E-2</v>
          </cell>
          <cell r="G69">
            <v>4.2633999999999997E-3</v>
          </cell>
          <cell r="H69">
            <v>3.4931165557570525E-2</v>
          </cell>
          <cell r="I69">
            <v>140.6616184242865</v>
          </cell>
        </row>
        <row r="70">
          <cell r="A70">
            <v>38139</v>
          </cell>
          <cell r="B70">
            <v>22.3</v>
          </cell>
          <cell r="C70">
            <v>12288</v>
          </cell>
          <cell r="F70">
            <v>3.9905596069503918E-2</v>
          </cell>
          <cell r="G70">
            <v>4.5758999999999999E-3</v>
          </cell>
          <cell r="H70">
            <v>3.5329696069503917E-2</v>
          </cell>
          <cell r="I70">
            <v>136.87213549290107</v>
          </cell>
        </row>
        <row r="71">
          <cell r="A71">
            <v>38169</v>
          </cell>
          <cell r="B71">
            <v>22.1</v>
          </cell>
          <cell r="C71">
            <v>12238</v>
          </cell>
          <cell r="F71">
            <v>4.0616626581437311E-2</v>
          </cell>
          <cell r="G71">
            <v>7.9798999999999998E-3</v>
          </cell>
          <cell r="H71">
            <v>3.2636726581437313E-2</v>
          </cell>
          <cell r="I71">
            <v>134.41655196624964</v>
          </cell>
        </row>
        <row r="72">
          <cell r="A72">
            <v>38200</v>
          </cell>
          <cell r="B72">
            <v>21.4</v>
          </cell>
          <cell r="C72">
            <v>12201</v>
          </cell>
          <cell r="F72">
            <v>4.1327657093370704E-2</v>
          </cell>
          <cell r="G72">
            <v>8.3259000000000007E-3</v>
          </cell>
          <cell r="H72">
            <v>3.3001757093370707E-2</v>
          </cell>
          <cell r="I72">
            <v>130.55372631872916</v>
          </cell>
        </row>
        <row r="73">
          <cell r="A73">
            <v>38231</v>
          </cell>
          <cell r="B73">
            <v>21.9</v>
          </cell>
          <cell r="C73">
            <v>12942</v>
          </cell>
          <cell r="F73">
            <v>4.2038687605304097E-2</v>
          </cell>
          <cell r="G73">
            <v>1.12143E-2</v>
          </cell>
          <cell r="H73">
            <v>3.0824387605304097E-2</v>
          </cell>
          <cell r="I73">
            <v>125.9544875427119</v>
          </cell>
        </row>
        <row r="74">
          <cell r="A74">
            <v>38261</v>
          </cell>
          <cell r="B74">
            <v>22.3</v>
          </cell>
          <cell r="C74">
            <v>13054</v>
          </cell>
          <cell r="F74">
            <v>4.274971811723749E-2</v>
          </cell>
          <cell r="G74">
            <v>3.5004999999999997E-3</v>
          </cell>
          <cell r="H74">
            <v>3.9249218117237493E-2</v>
          </cell>
          <cell r="I74">
            <v>127.15463062265574</v>
          </cell>
        </row>
        <row r="75">
          <cell r="A75">
            <v>38292</v>
          </cell>
          <cell r="B75">
            <v>24.45</v>
          </cell>
          <cell r="C75">
            <v>13791</v>
          </cell>
          <cell r="F75">
            <v>4.3460748629170882E-2</v>
          </cell>
          <cell r="G75">
            <v>6.2036000000000001E-3</v>
          </cell>
          <cell r="H75">
            <v>3.7257148629170886E-2</v>
          </cell>
          <cell r="I75">
            <v>131.96356238770858</v>
          </cell>
        </row>
        <row r="76">
          <cell r="A76">
            <v>38322</v>
          </cell>
          <cell r="B76">
            <v>24.15</v>
          </cell>
          <cell r="C76">
            <v>14230</v>
          </cell>
          <cell r="E76">
            <v>1.08</v>
          </cell>
          <cell r="F76">
            <v>4.4171779141104296E-2</v>
          </cell>
          <cell r="G76">
            <v>3.4633999999999997E-3</v>
          </cell>
          <cell r="H76">
            <v>4.0708379141104298E-2</v>
          </cell>
          <cell r="I76">
            <v>126.32321230577026</v>
          </cell>
        </row>
        <row r="77">
          <cell r="A77">
            <v>38353</v>
          </cell>
          <cell r="B77">
            <v>23.25</v>
          </cell>
          <cell r="C77">
            <v>13721</v>
          </cell>
          <cell r="F77">
            <v>4.5397339602087042E-2</v>
          </cell>
          <cell r="G77">
            <v>8.1808000000000002E-3</v>
          </cell>
          <cell r="H77">
            <v>3.721653960208704E-2</v>
          </cell>
          <cell r="I77">
            <v>126.12701536169214</v>
          </cell>
        </row>
        <row r="78">
          <cell r="A78">
            <v>38384</v>
          </cell>
          <cell r="B78">
            <v>23.75</v>
          </cell>
          <cell r="C78">
            <v>14195</v>
          </cell>
          <cell r="F78">
            <v>4.662290006306978E-2</v>
          </cell>
          <cell r="G78">
            <v>1.9133899999999999E-2</v>
          </cell>
          <cell r="H78">
            <v>2.7489000063069782E-2</v>
          </cell>
          <cell r="I78">
            <v>124.53721315538857</v>
          </cell>
        </row>
        <row r="79">
          <cell r="A79">
            <v>38412</v>
          </cell>
          <cell r="B79">
            <v>22.45</v>
          </cell>
          <cell r="C79">
            <v>13516</v>
          </cell>
          <cell r="F79">
            <v>4.7848460524052519E-2</v>
          </cell>
          <cell r="G79">
            <v>2.7226799999999999E-2</v>
          </cell>
          <cell r="H79">
            <v>2.062166052405252E-2</v>
          </cell>
          <cell r="I79">
            <v>123.6343324235748</v>
          </cell>
        </row>
        <row r="80">
          <cell r="A80">
            <v>38443</v>
          </cell>
          <cell r="B80">
            <v>22.85</v>
          </cell>
          <cell r="C80">
            <v>13908</v>
          </cell>
          <cell r="F80">
            <v>4.9074020985035258E-2</v>
          </cell>
          <cell r="G80">
            <v>2.1499999999999998E-2</v>
          </cell>
          <cell r="H80">
            <v>2.7574020985035259E-2</v>
          </cell>
          <cell r="I80">
            <v>122.29042331085761</v>
          </cell>
        </row>
        <row r="81">
          <cell r="A81">
            <v>38473</v>
          </cell>
          <cell r="B81">
            <v>22.9</v>
          </cell>
          <cell r="C81">
            <v>13867</v>
          </cell>
          <cell r="F81">
            <v>5.0299581446017996E-2</v>
          </cell>
          <cell r="G81">
            <v>3.3710700000000003E-2</v>
          </cell>
          <cell r="H81">
            <v>1.6588881446017993E-2</v>
          </cell>
          <cell r="I81">
            <v>122.92037958489246</v>
          </cell>
        </row>
        <row r="82">
          <cell r="A82">
            <v>38504</v>
          </cell>
          <cell r="B82">
            <v>22.95</v>
          </cell>
          <cell r="C82">
            <v>14201</v>
          </cell>
          <cell r="F82">
            <v>5.1525141907000735E-2</v>
          </cell>
          <cell r="G82">
            <v>3.3886199999999998E-2</v>
          </cell>
          <cell r="H82">
            <v>1.7638941907000737E-2</v>
          </cell>
          <cell r="I82">
            <v>120.29143018097317</v>
          </cell>
        </row>
        <row r="83">
          <cell r="A83">
            <v>38534</v>
          </cell>
          <cell r="B83">
            <v>23.65</v>
          </cell>
          <cell r="C83">
            <v>14880.98</v>
          </cell>
          <cell r="F83">
            <v>5.2750702367983474E-2</v>
          </cell>
          <cell r="G83">
            <v>3.5394599999999998E-2</v>
          </cell>
          <cell r="H83">
            <v>1.7356102367983475E-2</v>
          </cell>
          <cell r="I83">
            <v>118.29613023793782</v>
          </cell>
        </row>
        <row r="84">
          <cell r="A84">
            <v>38565</v>
          </cell>
          <cell r="B84">
            <v>22.65</v>
          </cell>
          <cell r="C84">
            <v>14903.55</v>
          </cell>
          <cell r="F84">
            <v>5.3976262828966212E-2</v>
          </cell>
          <cell r="G84">
            <v>3.80799E-2</v>
          </cell>
          <cell r="H84">
            <v>1.5896362828966212E-2</v>
          </cell>
          <cell r="I84">
            <v>113.12260650799455</v>
          </cell>
        </row>
        <row r="85">
          <cell r="A85">
            <v>38596</v>
          </cell>
          <cell r="B85">
            <v>22.7</v>
          </cell>
          <cell r="C85">
            <v>15428.52</v>
          </cell>
          <cell r="F85">
            <v>5.5201823289948951E-2</v>
          </cell>
          <cell r="G85">
            <v>4.2067899999999998E-2</v>
          </cell>
          <cell r="H85">
            <v>1.3133923289948952E-2</v>
          </cell>
          <cell r="I85">
            <v>109.51472458268962</v>
          </cell>
        </row>
        <row r="86">
          <cell r="A86">
            <v>38626</v>
          </cell>
          <cell r="B86">
            <v>22.65</v>
          </cell>
          <cell r="C86">
            <v>14386.37</v>
          </cell>
          <cell r="F86">
            <v>5.6427383750931689E-2</v>
          </cell>
          <cell r="G86">
            <v>4.3264700000000003E-2</v>
          </cell>
          <cell r="H86">
            <v>1.3162683750931686E-2</v>
          </cell>
          <cell r="I86">
            <v>117.18928556836936</v>
          </cell>
        </row>
        <row r="87">
          <cell r="A87">
            <v>38657</v>
          </cell>
          <cell r="B87">
            <v>22.95</v>
          </cell>
          <cell r="C87">
            <v>14598</v>
          </cell>
          <cell r="F87">
            <v>5.7652944211914428E-2</v>
          </cell>
          <cell r="G87">
            <v>4.2006300000000003E-2</v>
          </cell>
          <cell r="H87">
            <v>1.5646644211914425E-2</v>
          </cell>
          <cell r="I87">
            <v>117.02004384162214</v>
          </cell>
        </row>
        <row r="88">
          <cell r="A88">
            <v>38687</v>
          </cell>
          <cell r="B88">
            <v>22.95</v>
          </cell>
          <cell r="C88">
            <v>14598</v>
          </cell>
          <cell r="E88">
            <v>1.26</v>
          </cell>
          <cell r="F88">
            <v>5.8878504672897201E-2</v>
          </cell>
          <cell r="G88">
            <v>4.5499999999999999E-2</v>
          </cell>
          <cell r="H88">
            <v>1.3378504672897203E-2</v>
          </cell>
          <cell r="I88">
            <v>117.02004384162214</v>
          </cell>
        </row>
      </sheetData>
      <sheetData sheetId="1" refreshError="1">
        <row r="1">
          <cell r="B1" t="str">
            <v>11.HK Equity</v>
          </cell>
          <cell r="C1" t="str">
            <v>HSI Index</v>
          </cell>
        </row>
        <row r="2">
          <cell r="A2" t="str">
            <v>Date</v>
          </cell>
          <cell r="B2" t="str">
            <v>Px Last</v>
          </cell>
          <cell r="C2" t="str">
            <v>Px Last</v>
          </cell>
          <cell r="F2" t="str">
            <v>Dividend Yield</v>
          </cell>
          <cell r="G2" t="str">
            <v>HIBOR 3M</v>
          </cell>
          <cell r="H2" t="str">
            <v>Dividend Yield - HIBOR 3M (LS)</v>
          </cell>
          <cell r="I2" t="str">
            <v>Hang Seng Rel Perf to Hang Seng Index (RS)</v>
          </cell>
        </row>
        <row r="4">
          <cell r="A4">
            <v>36130</v>
          </cell>
          <cell r="B4">
            <v>69.25</v>
          </cell>
          <cell r="C4">
            <v>10048.58</v>
          </cell>
          <cell r="E4">
            <v>3.42</v>
          </cell>
          <cell r="F4">
            <v>4.9386281588447656E-2</v>
          </cell>
          <cell r="G4">
            <v>5.3883900000000005E-2</v>
          </cell>
        </row>
        <row r="5">
          <cell r="A5">
            <v>36161</v>
          </cell>
          <cell r="B5">
            <v>64.75</v>
          </cell>
          <cell r="C5">
            <v>9506.9</v>
          </cell>
          <cell r="F5">
            <v>5.2970288639175606E-2</v>
          </cell>
          <cell r="G5">
            <v>6.6830399999999998E-2</v>
          </cell>
        </row>
        <row r="6">
          <cell r="A6">
            <v>36192</v>
          </cell>
          <cell r="B6">
            <v>63</v>
          </cell>
          <cell r="C6">
            <v>9858.49</v>
          </cell>
          <cell r="F6">
            <v>5.6554295689903555E-2</v>
          </cell>
          <cell r="G6">
            <v>6.2544600000000006E-2</v>
          </cell>
        </row>
        <row r="7">
          <cell r="A7">
            <v>36220</v>
          </cell>
          <cell r="B7">
            <v>71.25</v>
          </cell>
          <cell r="C7">
            <v>10942.2</v>
          </cell>
          <cell r="F7">
            <v>6.0138302740631505E-2</v>
          </cell>
          <cell r="G7">
            <v>5.7500000000000002E-2</v>
          </cell>
        </row>
        <row r="8">
          <cell r="A8">
            <v>36251</v>
          </cell>
          <cell r="B8">
            <v>91.75</v>
          </cell>
          <cell r="C8">
            <v>13333.2</v>
          </cell>
          <cell r="F8">
            <v>6.3722309791359455E-2</v>
          </cell>
          <cell r="G8">
            <v>5.1116099999999998E-2</v>
          </cell>
        </row>
        <row r="9">
          <cell r="A9">
            <v>36281</v>
          </cell>
          <cell r="B9">
            <v>82</v>
          </cell>
          <cell r="C9">
            <v>12147.12</v>
          </cell>
          <cell r="F9">
            <v>6.7306316842087405E-2</v>
          </cell>
          <cell r="G9">
            <v>5.4642900000000001E-2</v>
          </cell>
        </row>
        <row r="10">
          <cell r="A10">
            <v>36312</v>
          </cell>
          <cell r="B10">
            <v>86.75</v>
          </cell>
          <cell r="C10">
            <v>13532.14</v>
          </cell>
          <cell r="F10">
            <v>7.0890323892815355E-2</v>
          </cell>
          <cell r="G10">
            <v>5.8660699999999996E-2</v>
          </cell>
        </row>
        <row r="11">
          <cell r="A11">
            <v>36342</v>
          </cell>
          <cell r="B11">
            <v>85</v>
          </cell>
          <cell r="C11">
            <v>13186.86</v>
          </cell>
          <cell r="F11">
            <v>7.4474330943543304E-2</v>
          </cell>
          <cell r="G11">
            <v>6.3906299999999999E-2</v>
          </cell>
        </row>
        <row r="12">
          <cell r="A12">
            <v>36373</v>
          </cell>
          <cell r="B12">
            <v>87.75</v>
          </cell>
          <cell r="C12">
            <v>13482.77</v>
          </cell>
          <cell r="F12">
            <v>7.8058337994271254E-2</v>
          </cell>
          <cell r="G12">
            <v>6.5758900000000009E-2</v>
          </cell>
        </row>
        <row r="13">
          <cell r="A13">
            <v>36404</v>
          </cell>
          <cell r="B13">
            <v>82.25</v>
          </cell>
          <cell r="C13">
            <v>12733.24</v>
          </cell>
          <cell r="F13">
            <v>8.1642345044999204E-2</v>
          </cell>
          <cell r="G13">
            <v>5.80134E-2</v>
          </cell>
        </row>
        <row r="14">
          <cell r="A14">
            <v>36434</v>
          </cell>
          <cell r="B14">
            <v>84.5</v>
          </cell>
          <cell r="C14">
            <v>13256.95</v>
          </cell>
          <cell r="F14">
            <v>8.5226352095727154E-2</v>
          </cell>
          <cell r="G14">
            <v>6.7254500000000009E-2</v>
          </cell>
        </row>
        <row r="15">
          <cell r="A15">
            <v>36465</v>
          </cell>
          <cell r="B15">
            <v>86.25</v>
          </cell>
          <cell r="C15">
            <v>15377.19</v>
          </cell>
          <cell r="F15">
            <v>8.8810359146455103E-2</v>
          </cell>
          <cell r="G15">
            <v>6.4017900000000003E-2</v>
          </cell>
        </row>
        <row r="16">
          <cell r="A16">
            <v>36495</v>
          </cell>
          <cell r="B16">
            <v>88.75</v>
          </cell>
          <cell r="C16">
            <v>16962.099999999999</v>
          </cell>
          <cell r="E16">
            <v>8.1999999999999993</v>
          </cell>
          <cell r="F16">
            <v>9.2394366197183095E-2</v>
          </cell>
          <cell r="G16">
            <v>5.8749999999999997E-2</v>
          </cell>
        </row>
        <row r="17">
          <cell r="A17">
            <v>36526</v>
          </cell>
          <cell r="B17">
            <v>75.75</v>
          </cell>
          <cell r="C17">
            <v>15532.34</v>
          </cell>
          <cell r="F17">
            <v>8.8504359490274978E-2</v>
          </cell>
          <cell r="G17">
            <v>6.0156299999999996E-2</v>
          </cell>
        </row>
        <row r="18">
          <cell r="A18">
            <v>36557</v>
          </cell>
          <cell r="B18">
            <v>70.25</v>
          </cell>
          <cell r="C18">
            <v>17169.439999999999</v>
          </cell>
          <cell r="F18">
            <v>8.4614352783366861E-2</v>
          </cell>
          <cell r="G18">
            <v>6.1272300000000002E-2</v>
          </cell>
        </row>
        <row r="19">
          <cell r="A19">
            <v>36586</v>
          </cell>
          <cell r="B19">
            <v>68</v>
          </cell>
          <cell r="C19">
            <v>17406.54</v>
          </cell>
          <cell r="F19">
            <v>8.0724346076458744E-2</v>
          </cell>
          <cell r="G19">
            <v>6.1093799999999997E-2</v>
          </cell>
        </row>
        <row r="20">
          <cell r="A20">
            <v>36617</v>
          </cell>
          <cell r="B20">
            <v>71.75</v>
          </cell>
          <cell r="C20">
            <v>15519.3</v>
          </cell>
          <cell r="F20">
            <v>7.6834339369550628E-2</v>
          </cell>
          <cell r="G20">
            <v>6.6383899999999996E-2</v>
          </cell>
        </row>
        <row r="21">
          <cell r="A21">
            <v>36647</v>
          </cell>
          <cell r="B21">
            <v>66</v>
          </cell>
          <cell r="C21">
            <v>14713.86</v>
          </cell>
          <cell r="F21">
            <v>7.2944332662642511E-2</v>
          </cell>
          <cell r="G21">
            <v>6.9955400000000001E-2</v>
          </cell>
        </row>
        <row r="22">
          <cell r="A22">
            <v>36678</v>
          </cell>
          <cell r="B22">
            <v>74</v>
          </cell>
          <cell r="C22">
            <v>16155.78</v>
          </cell>
          <cell r="F22">
            <v>6.9054325955734394E-2</v>
          </cell>
          <cell r="G22">
            <v>6.4866099999999996E-2</v>
          </cell>
        </row>
        <row r="23">
          <cell r="A23">
            <v>36708</v>
          </cell>
          <cell r="B23">
            <v>80.75</v>
          </cell>
          <cell r="C23">
            <v>16840.98</v>
          </cell>
          <cell r="F23">
            <v>6.5164319248826277E-2</v>
          </cell>
          <cell r="G23">
            <v>6.1830400000000001E-2</v>
          </cell>
        </row>
        <row r="24">
          <cell r="A24">
            <v>36739</v>
          </cell>
          <cell r="B24">
            <v>83.75</v>
          </cell>
          <cell r="C24">
            <v>17097.509999999998</v>
          </cell>
          <cell r="F24">
            <v>6.1274312541918161E-2</v>
          </cell>
          <cell r="G24">
            <v>6.3928600000000002E-2</v>
          </cell>
        </row>
        <row r="25">
          <cell r="A25">
            <v>36770</v>
          </cell>
          <cell r="B25">
            <v>84</v>
          </cell>
          <cell r="C25">
            <v>15648.98</v>
          </cell>
          <cell r="F25">
            <v>5.7384305835010044E-2</v>
          </cell>
          <cell r="G25">
            <v>6.3437499999999994E-2</v>
          </cell>
        </row>
        <row r="26">
          <cell r="A26">
            <v>36800</v>
          </cell>
          <cell r="B26">
            <v>91.75</v>
          </cell>
          <cell r="C26">
            <v>14895.34</v>
          </cell>
          <cell r="F26">
            <v>5.3494299128101927E-2</v>
          </cell>
          <cell r="G26">
            <v>6.1473199999999999E-2</v>
          </cell>
        </row>
        <row r="27">
          <cell r="A27">
            <v>36831</v>
          </cell>
          <cell r="B27">
            <v>91</v>
          </cell>
          <cell r="C27">
            <v>13984.39</v>
          </cell>
          <cell r="F27">
            <v>4.960429242119381E-2</v>
          </cell>
          <cell r="G27">
            <v>5.9821400000000004E-2</v>
          </cell>
        </row>
        <row r="28">
          <cell r="A28">
            <v>36861</v>
          </cell>
          <cell r="B28">
            <v>105</v>
          </cell>
          <cell r="C28">
            <v>15095.53</v>
          </cell>
          <cell r="E28">
            <v>4.8</v>
          </cell>
          <cell r="F28">
            <v>4.5714285714285714E-2</v>
          </cell>
          <cell r="G28">
            <v>5.9285699999999997E-2</v>
          </cell>
        </row>
        <row r="29">
          <cell r="A29">
            <v>36892</v>
          </cell>
          <cell r="B29">
            <v>102.5</v>
          </cell>
          <cell r="C29">
            <v>16102.35</v>
          </cell>
          <cell r="F29">
            <v>4.6666666666666669E-2</v>
          </cell>
          <cell r="G29">
            <v>5.2589300000000005E-2</v>
          </cell>
          <cell r="H29">
            <v>-5.9226333333333367E-3</v>
          </cell>
          <cell r="I29">
            <v>100</v>
          </cell>
        </row>
        <row r="30">
          <cell r="A30">
            <v>36923</v>
          </cell>
          <cell r="B30">
            <v>92.75</v>
          </cell>
          <cell r="C30">
            <v>14787.87</v>
          </cell>
          <cell r="F30">
            <v>4.7619047619047623E-2</v>
          </cell>
          <cell r="G30">
            <v>4.9642900000000004E-2</v>
          </cell>
          <cell r="H30">
            <v>-2.0238523809523803E-3</v>
          </cell>
          <cell r="I30">
            <v>98.531181629135816</v>
          </cell>
        </row>
        <row r="31">
          <cell r="A31">
            <v>36951</v>
          </cell>
          <cell r="B31">
            <v>90.5</v>
          </cell>
          <cell r="C31">
            <v>12760.64</v>
          </cell>
          <cell r="F31">
            <v>4.8571428571428578E-2</v>
          </cell>
          <cell r="G31">
            <v>4.9375000000000002E-2</v>
          </cell>
          <cell r="H31">
            <v>-8.0357142857142433E-4</v>
          </cell>
          <cell r="I31">
            <v>111.41444966136724</v>
          </cell>
        </row>
        <row r="32">
          <cell r="A32">
            <v>36982</v>
          </cell>
          <cell r="B32">
            <v>92</v>
          </cell>
          <cell r="C32">
            <v>13386.04</v>
          </cell>
          <cell r="F32">
            <v>4.9523809523809532E-2</v>
          </cell>
          <cell r="G32">
            <v>4.29241E-2</v>
          </cell>
          <cell r="H32">
            <v>6.5997095238095327E-3</v>
          </cell>
          <cell r="I32">
            <v>107.96950386828186</v>
          </cell>
        </row>
        <row r="33">
          <cell r="A33">
            <v>37012</v>
          </cell>
          <cell r="B33">
            <v>86.5</v>
          </cell>
          <cell r="C33">
            <v>13174.41</v>
          </cell>
          <cell r="F33">
            <v>5.0476190476190487E-2</v>
          </cell>
          <cell r="G33">
            <v>3.875E-2</v>
          </cell>
          <cell r="H33">
            <v>1.1726190476190487E-2</v>
          </cell>
          <cell r="I33">
            <v>103.14551041772945</v>
          </cell>
        </row>
        <row r="34">
          <cell r="A34">
            <v>37043</v>
          </cell>
          <cell r="B34">
            <v>80</v>
          </cell>
          <cell r="C34">
            <v>13042.53</v>
          </cell>
          <cell r="F34">
            <v>5.1428571428571442E-2</v>
          </cell>
          <cell r="G34">
            <v>3.8035699999999999E-2</v>
          </cell>
          <cell r="H34">
            <v>1.3392871428571443E-2</v>
          </cell>
          <cell r="I34">
            <v>96.359278490277958</v>
          </cell>
        </row>
        <row r="35">
          <cell r="A35">
            <v>37073</v>
          </cell>
          <cell r="B35">
            <v>87.5</v>
          </cell>
          <cell r="C35">
            <v>12316.69</v>
          </cell>
          <cell r="F35">
            <v>5.2380952380952396E-2</v>
          </cell>
          <cell r="G35">
            <v>3.6339299999999998E-2</v>
          </cell>
          <cell r="H35">
            <v>1.6041652380952398E-2</v>
          </cell>
          <cell r="I35">
            <v>111.60391742087658</v>
          </cell>
        </row>
        <row r="36">
          <cell r="A36">
            <v>37104</v>
          </cell>
          <cell r="B36">
            <v>87.75</v>
          </cell>
          <cell r="C36">
            <v>11090.48</v>
          </cell>
          <cell r="F36">
            <v>5.3333333333333351E-2</v>
          </cell>
          <cell r="G36">
            <v>3.35938E-2</v>
          </cell>
          <cell r="H36">
            <v>1.9739533333333351E-2</v>
          </cell>
          <cell r="I36">
            <v>124.29743853264792</v>
          </cell>
        </row>
        <row r="37">
          <cell r="A37">
            <v>37135</v>
          </cell>
          <cell r="B37">
            <v>80.75</v>
          </cell>
          <cell r="C37">
            <v>9950.7000000000007</v>
          </cell>
          <cell r="F37">
            <v>5.4285714285714305E-2</v>
          </cell>
          <cell r="G37">
            <v>2.4776799999999998E-2</v>
          </cell>
          <cell r="H37">
            <v>2.9508914285714307E-2</v>
          </cell>
          <cell r="I37">
            <v>127.48359289345252</v>
          </cell>
        </row>
        <row r="38">
          <cell r="A38">
            <v>37165</v>
          </cell>
          <cell r="B38">
            <v>78.25</v>
          </cell>
          <cell r="C38">
            <v>10073.969999999999</v>
          </cell>
          <cell r="F38">
            <v>5.523809523809526E-2</v>
          </cell>
          <cell r="G38">
            <v>2.1361599999999998E-2</v>
          </cell>
          <cell r="H38">
            <v>3.3876495238095258E-2</v>
          </cell>
          <cell r="I38">
            <v>122.02507684801864</v>
          </cell>
        </row>
        <row r="39">
          <cell r="A39">
            <v>37196</v>
          </cell>
          <cell r="B39">
            <v>84.5</v>
          </cell>
          <cell r="C39">
            <v>11279.25</v>
          </cell>
          <cell r="F39">
            <v>5.6190476190476214E-2</v>
          </cell>
          <cell r="G39">
            <v>2.14063E-2</v>
          </cell>
          <cell r="H39">
            <v>3.4784176190476218E-2</v>
          </cell>
          <cell r="I39">
            <v>117.69062875547964</v>
          </cell>
        </row>
        <row r="40">
          <cell r="A40">
            <v>37226</v>
          </cell>
          <cell r="B40">
            <v>85.75</v>
          </cell>
          <cell r="C40">
            <v>11397.21</v>
          </cell>
          <cell r="E40">
            <v>4.9000000000000004</v>
          </cell>
          <cell r="F40">
            <v>5.7142857142857148E-2</v>
          </cell>
          <cell r="G40">
            <v>2.06696E-2</v>
          </cell>
          <cell r="H40">
            <v>3.6473257142857152E-2</v>
          </cell>
          <cell r="I40">
            <v>118.19550895222304</v>
          </cell>
        </row>
        <row r="41">
          <cell r="A41">
            <v>37257</v>
          </cell>
          <cell r="B41">
            <v>85.25</v>
          </cell>
          <cell r="C41">
            <v>10725.3</v>
          </cell>
          <cell r="F41">
            <v>5.7802639127940342E-2</v>
          </cell>
          <cell r="G41">
            <v>2.0066999999999998E-2</v>
          </cell>
          <cell r="H41">
            <v>3.773563912794034E-2</v>
          </cell>
          <cell r="I41">
            <v>124.86776423105341</v>
          </cell>
        </row>
        <row r="42">
          <cell r="A42">
            <v>37288</v>
          </cell>
          <cell r="B42">
            <v>85.5</v>
          </cell>
          <cell r="C42">
            <v>10482.549999999999</v>
          </cell>
          <cell r="F42">
            <v>5.8462421113023536E-2</v>
          </cell>
          <cell r="G42">
            <v>2.0312500000000001E-2</v>
          </cell>
          <cell r="H42">
            <v>3.8149921113023538E-2</v>
          </cell>
          <cell r="I42">
            <v>128.13405460945489</v>
          </cell>
        </row>
        <row r="43">
          <cell r="A43">
            <v>37316</v>
          </cell>
          <cell r="B43">
            <v>87.25</v>
          </cell>
          <cell r="C43">
            <v>11032.92</v>
          </cell>
          <cell r="F43">
            <v>5.9122203098106729E-2</v>
          </cell>
          <cell r="G43">
            <v>2.2700900000000003E-2</v>
          </cell>
          <cell r="H43">
            <v>3.6421303098106726E-2</v>
          </cell>
          <cell r="I43">
            <v>124.23396990275577</v>
          </cell>
        </row>
        <row r="44">
          <cell r="A44">
            <v>37347</v>
          </cell>
          <cell r="B44">
            <v>89.25</v>
          </cell>
          <cell r="C44">
            <v>11497.58</v>
          </cell>
          <cell r="F44">
            <v>5.9781985083189923E-2</v>
          </cell>
          <cell r="G44">
            <v>1.95982E-2</v>
          </cell>
          <cell r="H44">
            <v>4.0183785083189927E-2</v>
          </cell>
          <cell r="I44">
            <v>121.94589389521164</v>
          </cell>
        </row>
        <row r="45">
          <cell r="A45">
            <v>37377</v>
          </cell>
          <cell r="B45">
            <v>86.25</v>
          </cell>
          <cell r="C45">
            <v>11301.94</v>
          </cell>
          <cell r="F45">
            <v>6.0441767068273117E-2</v>
          </cell>
          <cell r="G45">
            <v>1.8571400000000002E-2</v>
          </cell>
          <cell r="H45">
            <v>4.1870367068273115E-2</v>
          </cell>
          <cell r="I45">
            <v>119.88683725656077</v>
          </cell>
        </row>
        <row r="46">
          <cell r="A46">
            <v>37408</v>
          </cell>
          <cell r="B46">
            <v>83.5</v>
          </cell>
          <cell r="C46">
            <v>10598.55</v>
          </cell>
          <cell r="F46">
            <v>6.110154905335631E-2</v>
          </cell>
          <cell r="G46">
            <v>1.82813E-2</v>
          </cell>
          <cell r="H46">
            <v>4.282024905335631E-2</v>
          </cell>
          <cell r="I46">
            <v>123.76715820882541</v>
          </cell>
        </row>
        <row r="47">
          <cell r="A47">
            <v>37438</v>
          </cell>
          <cell r="B47">
            <v>86.25</v>
          </cell>
          <cell r="C47">
            <v>10267.36</v>
          </cell>
          <cell r="F47">
            <v>6.1761331038439504E-2</v>
          </cell>
          <cell r="G47">
            <v>1.7857100000000001E-2</v>
          </cell>
          <cell r="H47">
            <v>4.3904231038439503E-2</v>
          </cell>
          <cell r="I47">
            <v>131.9671114544941</v>
          </cell>
        </row>
        <row r="48">
          <cell r="A48">
            <v>37469</v>
          </cell>
          <cell r="B48">
            <v>83.75</v>
          </cell>
          <cell r="C48">
            <v>10043.870000000001</v>
          </cell>
          <cell r="F48">
            <v>6.2421113023522698E-2</v>
          </cell>
          <cell r="G48">
            <v>1.7522300000000001E-2</v>
          </cell>
          <cell r="H48">
            <v>4.4898813023522693E-2</v>
          </cell>
          <cell r="I48">
            <v>130.99331403862956</v>
          </cell>
        </row>
        <row r="49">
          <cell r="A49">
            <v>37500</v>
          </cell>
          <cell r="B49">
            <v>81.75</v>
          </cell>
          <cell r="C49">
            <v>9072.2099999999991</v>
          </cell>
          <cell r="F49">
            <v>6.3080895008605892E-2</v>
          </cell>
          <cell r="G49">
            <v>1.8906300000000001E-2</v>
          </cell>
          <cell r="H49">
            <v>4.4174595008605891E-2</v>
          </cell>
          <cell r="I49">
            <v>141.55984016694674</v>
          </cell>
        </row>
        <row r="50">
          <cell r="A50">
            <v>37530</v>
          </cell>
          <cell r="B50">
            <v>84.25</v>
          </cell>
          <cell r="C50">
            <v>9441.25</v>
          </cell>
          <cell r="F50">
            <v>6.3740676993689085E-2</v>
          </cell>
          <cell r="G50">
            <v>1.89509E-2</v>
          </cell>
          <cell r="H50">
            <v>4.4789776993689086E-2</v>
          </cell>
          <cell r="I50">
            <v>140.18637595140683</v>
          </cell>
        </row>
        <row r="51">
          <cell r="A51">
            <v>37561</v>
          </cell>
          <cell r="B51">
            <v>84.75</v>
          </cell>
          <cell r="C51">
            <v>10069.870000000001</v>
          </cell>
          <cell r="F51">
            <v>6.4400458978772279E-2</v>
          </cell>
          <cell r="G51">
            <v>1.5758899999999999E-2</v>
          </cell>
          <cell r="H51">
            <v>4.864155897877228E-2</v>
          </cell>
          <cell r="I51">
            <v>132.2151553922015</v>
          </cell>
        </row>
        <row r="52">
          <cell r="A52">
            <v>37591</v>
          </cell>
          <cell r="B52">
            <v>83</v>
          </cell>
          <cell r="C52">
            <v>9321.2900000000009</v>
          </cell>
          <cell r="E52">
            <v>5.4</v>
          </cell>
          <cell r="F52">
            <v>6.5060240963855431E-2</v>
          </cell>
          <cell r="G52">
            <v>1.49777E-2</v>
          </cell>
          <cell r="H52">
            <v>5.0082540963855435E-2</v>
          </cell>
          <cell r="I52">
            <v>139.88381541139668</v>
          </cell>
        </row>
        <row r="53">
          <cell r="A53">
            <v>37622</v>
          </cell>
          <cell r="B53">
            <v>83</v>
          </cell>
          <cell r="C53">
            <v>9258.9500000000007</v>
          </cell>
          <cell r="F53">
            <v>6.3641822190723688E-2</v>
          </cell>
          <cell r="G53">
            <v>1.4486600000000001E-2</v>
          </cell>
          <cell r="H53">
            <v>4.9155222190723685E-2</v>
          </cell>
          <cell r="I53">
            <v>140.82564543021593</v>
          </cell>
        </row>
        <row r="54">
          <cell r="A54">
            <v>37653</v>
          </cell>
          <cell r="B54">
            <v>85.25</v>
          </cell>
          <cell r="C54">
            <v>9122.66</v>
          </cell>
          <cell r="F54">
            <v>6.2223403417591944E-2</v>
          </cell>
          <cell r="G54">
            <v>1.43973E-2</v>
          </cell>
          <cell r="H54">
            <v>4.7826103417591942E-2</v>
          </cell>
          <cell r="I54">
            <v>146.80413735766948</v>
          </cell>
        </row>
        <row r="55">
          <cell r="A55">
            <v>37681</v>
          </cell>
          <cell r="B55">
            <v>79.5</v>
          </cell>
          <cell r="C55">
            <v>8634.4500000000007</v>
          </cell>
          <cell r="F55">
            <v>6.08049846444602E-2</v>
          </cell>
          <cell r="G55">
            <v>1.375E-2</v>
          </cell>
          <cell r="H55">
            <v>4.7054984644460202E-2</v>
          </cell>
          <cell r="I55">
            <v>144.64314178781001</v>
          </cell>
          <cell r="K55">
            <v>0.84820433083492486</v>
          </cell>
        </row>
        <row r="56">
          <cell r="A56">
            <v>37712</v>
          </cell>
          <cell r="B56">
            <v>77.25</v>
          </cell>
          <cell r="C56">
            <v>8717.2199999999993</v>
          </cell>
          <cell r="F56">
            <v>5.9386565871328456E-2</v>
          </cell>
          <cell r="G56">
            <v>1.5625E-2</v>
          </cell>
          <cell r="H56">
            <v>4.3761565871328456E-2</v>
          </cell>
          <cell r="I56">
            <v>139.21495082819254</v>
          </cell>
        </row>
        <row r="57">
          <cell r="A57">
            <v>37742</v>
          </cell>
          <cell r="B57">
            <v>83</v>
          </cell>
          <cell r="C57">
            <v>9487.3799999999992</v>
          </cell>
          <cell r="F57">
            <v>5.7968147098196712E-2</v>
          </cell>
          <cell r="G57">
            <v>1.3191999999999999E-2</v>
          </cell>
          <cell r="H57">
            <v>4.4776147098196717E-2</v>
          </cell>
          <cell r="I57">
            <v>137.43495145720925</v>
          </cell>
        </row>
        <row r="58">
          <cell r="A58">
            <v>37773</v>
          </cell>
          <cell r="B58">
            <v>82.5</v>
          </cell>
          <cell r="C58">
            <v>9577.1200000000008</v>
          </cell>
          <cell r="F58">
            <v>5.6549728325064968E-2</v>
          </cell>
          <cell r="G58">
            <v>1.11384E-2</v>
          </cell>
          <cell r="H58">
            <v>4.5411328325064969E-2</v>
          </cell>
          <cell r="I58">
            <v>135.32698816325251</v>
          </cell>
        </row>
        <row r="59">
          <cell r="A59">
            <v>37803</v>
          </cell>
          <cell r="B59">
            <v>84</v>
          </cell>
          <cell r="C59">
            <v>10134.83</v>
          </cell>
          <cell r="F59">
            <v>5.5131309551933225E-2</v>
          </cell>
          <cell r="G59">
            <v>1.1919599999999999E-2</v>
          </cell>
          <cell r="H59">
            <v>4.3211709551933222E-2</v>
          </cell>
          <cell r="I59">
            <v>130.20516570205865</v>
          </cell>
        </row>
        <row r="60">
          <cell r="A60">
            <v>37834</v>
          </cell>
          <cell r="B60">
            <v>86.5</v>
          </cell>
          <cell r="C60">
            <v>10908.99</v>
          </cell>
          <cell r="F60">
            <v>5.3712890778801481E-2</v>
          </cell>
          <cell r="G60">
            <v>1.15625E-2</v>
          </cell>
          <cell r="H60">
            <v>4.2150390778801478E-2</v>
          </cell>
          <cell r="I60">
            <v>124.56526625310306</v>
          </cell>
        </row>
        <row r="61">
          <cell r="A61">
            <v>37865</v>
          </cell>
          <cell r="B61">
            <v>95</v>
          </cell>
          <cell r="C61">
            <v>11229.87</v>
          </cell>
          <cell r="F61">
            <v>5.2294472005669737E-2</v>
          </cell>
          <cell r="G61">
            <v>8.1472999999999997E-3</v>
          </cell>
          <cell r="H61">
            <v>4.4147172005669741E-2</v>
          </cell>
          <cell r="I61">
            <v>132.89672336627837</v>
          </cell>
        </row>
        <row r="62">
          <cell r="A62">
            <v>37895</v>
          </cell>
          <cell r="B62">
            <v>97</v>
          </cell>
          <cell r="C62">
            <v>12190.1</v>
          </cell>
          <cell r="F62">
            <v>5.0876053232537993E-2</v>
          </cell>
          <cell r="G62">
            <v>5.1339000000000003E-3</v>
          </cell>
          <cell r="H62">
            <v>4.5742153232537996E-2</v>
          </cell>
          <cell r="I62">
            <v>125.00571335275865</v>
          </cell>
        </row>
        <row r="63">
          <cell r="A63">
            <v>37926</v>
          </cell>
          <cell r="B63">
            <v>99.75</v>
          </cell>
          <cell r="C63">
            <v>12317.47</v>
          </cell>
          <cell r="F63">
            <v>4.9457634459406249E-2</v>
          </cell>
          <cell r="G63">
            <v>3.0803999999999996E-3</v>
          </cell>
          <cell r="H63">
            <v>4.6377234459406252E-2</v>
          </cell>
          <cell r="I63">
            <v>127.22040915632284</v>
          </cell>
        </row>
        <row r="64">
          <cell r="A64">
            <v>37956</v>
          </cell>
          <cell r="B64">
            <v>102</v>
          </cell>
          <cell r="C64">
            <v>12575.94</v>
          </cell>
          <cell r="E64">
            <v>4.9000000000000004</v>
          </cell>
          <cell r="F64">
            <v>4.8039215686274513E-2</v>
          </cell>
          <cell r="G64">
            <v>1.5179E-3</v>
          </cell>
          <cell r="H64">
            <v>4.652131568627451E-2</v>
          </cell>
          <cell r="I64">
            <v>127.41633588598158</v>
          </cell>
        </row>
        <row r="65">
          <cell r="A65">
            <v>37987</v>
          </cell>
          <cell r="B65">
            <v>105.5</v>
          </cell>
          <cell r="C65">
            <v>13289.37</v>
          </cell>
          <cell r="F65">
            <v>4.8048293391430651E-2</v>
          </cell>
          <cell r="G65">
            <v>1.5401999999999998E-3</v>
          </cell>
          <cell r="H65">
            <v>4.6508093391430652E-2</v>
          </cell>
          <cell r="I65">
            <v>124.71349877897092</v>
          </cell>
        </row>
        <row r="66">
          <cell r="A66">
            <v>38018</v>
          </cell>
          <cell r="B66">
            <v>110.5</v>
          </cell>
          <cell r="C66">
            <v>13907.03</v>
          </cell>
          <cell r="F66">
            <v>4.8057371096586789E-2</v>
          </cell>
          <cell r="G66">
            <v>1.7188000000000001E-3</v>
          </cell>
          <cell r="H66">
            <v>4.6338571096586789E-2</v>
          </cell>
          <cell r="I66">
            <v>124.82261691020875</v>
          </cell>
        </row>
        <row r="67">
          <cell r="A67">
            <v>38047</v>
          </cell>
          <cell r="B67">
            <v>99.5</v>
          </cell>
          <cell r="C67">
            <v>12681.67</v>
          </cell>
          <cell r="F67">
            <v>4.8066448801742927E-2</v>
          </cell>
          <cell r="G67">
            <v>1.7410999999999998E-3</v>
          </cell>
          <cell r="H67">
            <v>4.6325348801742924E-2</v>
          </cell>
          <cell r="I67">
            <v>123.25712392229946</v>
          </cell>
        </row>
        <row r="68">
          <cell r="A68">
            <v>38078</v>
          </cell>
          <cell r="B68">
            <v>99</v>
          </cell>
          <cell r="C68">
            <v>11942.96</v>
          </cell>
          <cell r="F68">
            <v>4.8075526506899065E-2</v>
          </cell>
          <cell r="G68">
            <v>3.7277E-3</v>
          </cell>
          <cell r="H68">
            <v>4.4347826506899064E-2</v>
          </cell>
          <cell r="I68">
            <v>130.22327512221918</v>
          </cell>
        </row>
        <row r="69">
          <cell r="A69">
            <v>38108</v>
          </cell>
          <cell r="B69">
            <v>99.5</v>
          </cell>
          <cell r="C69">
            <v>12198.24</v>
          </cell>
          <cell r="F69">
            <v>4.8084604212055203E-2</v>
          </cell>
          <cell r="G69">
            <v>4.2633999999999997E-3</v>
          </cell>
          <cell r="H69">
            <v>4.3821204212055202E-2</v>
          </cell>
          <cell r="I69">
            <v>128.14194266809861</v>
          </cell>
        </row>
        <row r="70">
          <cell r="A70">
            <v>38139</v>
          </cell>
          <cell r="B70">
            <v>99.8</v>
          </cell>
          <cell r="C70">
            <v>12288</v>
          </cell>
          <cell r="F70">
            <v>4.8093681917211341E-2</v>
          </cell>
          <cell r="G70">
            <v>4.5758999999999999E-3</v>
          </cell>
          <cell r="H70">
            <v>4.351778191721134E-2</v>
          </cell>
          <cell r="I70">
            <v>127.58944121570121</v>
          </cell>
        </row>
        <row r="71">
          <cell r="A71">
            <v>38169</v>
          </cell>
          <cell r="B71">
            <v>99.5</v>
          </cell>
          <cell r="C71">
            <v>12238</v>
          </cell>
          <cell r="F71">
            <v>4.8102759622367479E-2</v>
          </cell>
          <cell r="G71">
            <v>7.9798999999999998E-3</v>
          </cell>
          <cell r="H71">
            <v>4.0122859622367481E-2</v>
          </cell>
          <cell r="I71">
            <v>117.97705436637851</v>
          </cell>
        </row>
        <row r="72">
          <cell r="A72">
            <v>38200</v>
          </cell>
          <cell r="B72">
            <v>99</v>
          </cell>
          <cell r="C72">
            <v>12201</v>
          </cell>
          <cell r="F72">
            <v>4.8111837327523617E-2</v>
          </cell>
          <cell r="G72">
            <v>8.3259000000000007E-3</v>
          </cell>
          <cell r="H72">
            <v>3.9785937327523613E-2</v>
          </cell>
          <cell r="I72">
            <v>117.74017694590341</v>
          </cell>
        </row>
        <row r="73">
          <cell r="A73">
            <v>38231</v>
          </cell>
          <cell r="B73">
            <v>104</v>
          </cell>
          <cell r="C73">
            <v>12942</v>
          </cell>
          <cell r="F73">
            <v>4.8120915032679755E-2</v>
          </cell>
          <cell r="G73">
            <v>1.12143E-2</v>
          </cell>
          <cell r="H73">
            <v>3.6906615032679752E-2</v>
          </cell>
          <cell r="I73">
            <v>116.60491601797969</v>
          </cell>
        </row>
        <row r="74">
          <cell r="A74">
            <v>38261</v>
          </cell>
          <cell r="B74">
            <v>103.5</v>
          </cell>
          <cell r="C74">
            <v>13054</v>
          </cell>
          <cell r="F74">
            <v>4.8129992737835893E-2</v>
          </cell>
          <cell r="G74">
            <v>3.5004999999999997E-3</v>
          </cell>
          <cell r="H74">
            <v>4.4629492737835896E-2</v>
          </cell>
          <cell r="I74">
            <v>115.04868474689141</v>
          </cell>
        </row>
        <row r="75">
          <cell r="A75">
            <v>38292</v>
          </cell>
          <cell r="B75">
            <v>107.5</v>
          </cell>
          <cell r="C75">
            <v>13791</v>
          </cell>
          <cell r="F75">
            <v>4.8139070442992031E-2</v>
          </cell>
          <cell r="G75">
            <v>6.2036000000000001E-3</v>
          </cell>
          <cell r="H75">
            <v>4.1935470442992034E-2</v>
          </cell>
          <cell r="I75">
            <v>113.10911971837439</v>
          </cell>
        </row>
        <row r="76">
          <cell r="A76">
            <v>38322</v>
          </cell>
          <cell r="B76">
            <v>108</v>
          </cell>
          <cell r="C76">
            <v>14230</v>
          </cell>
          <cell r="E76">
            <v>5.2</v>
          </cell>
          <cell r="F76">
            <v>4.8148148148148148E-2</v>
          </cell>
          <cell r="G76">
            <v>3.4633999999999997E-3</v>
          </cell>
          <cell r="H76">
            <v>4.468474814814815E-2</v>
          </cell>
          <cell r="I76">
            <v>110.12952652528978</v>
          </cell>
        </row>
        <row r="77">
          <cell r="A77">
            <v>38353</v>
          </cell>
          <cell r="B77">
            <v>105.5</v>
          </cell>
          <cell r="C77">
            <v>13721</v>
          </cell>
          <cell r="F77">
            <v>4.8417752403259649E-2</v>
          </cell>
          <cell r="G77">
            <v>8.1808000000000002E-3</v>
          </cell>
          <cell r="H77">
            <v>4.0236952403259647E-2</v>
          </cell>
          <cell r="I77">
            <v>111.57107356322504</v>
          </cell>
        </row>
        <row r="78">
          <cell r="A78">
            <v>38384</v>
          </cell>
          <cell r="B78">
            <v>106.5</v>
          </cell>
          <cell r="C78">
            <v>14195</v>
          </cell>
          <cell r="F78">
            <v>4.868735665837115E-2</v>
          </cell>
          <cell r="G78">
            <v>1.9133899999999999E-2</v>
          </cell>
          <cell r="H78">
            <v>2.9553456658371152E-2</v>
          </cell>
          <cell r="I78">
            <v>108.8677199858088</v>
          </cell>
        </row>
        <row r="79">
          <cell r="A79">
            <v>38412</v>
          </cell>
          <cell r="B79">
            <v>103.5</v>
          </cell>
          <cell r="C79">
            <v>13516</v>
          </cell>
          <cell r="F79">
            <v>4.8956960913482651E-2</v>
          </cell>
          <cell r="G79">
            <v>2.7226799999999999E-2</v>
          </cell>
          <cell r="H79">
            <v>2.1730160913482652E-2</v>
          </cell>
          <cell r="I79">
            <v>111.11612390395979</v>
          </cell>
        </row>
        <row r="80">
          <cell r="A80">
            <v>38443</v>
          </cell>
          <cell r="B80">
            <v>106.5</v>
          </cell>
          <cell r="C80">
            <v>13908</v>
          </cell>
          <cell r="F80">
            <v>4.9226565168594152E-2</v>
          </cell>
          <cell r="G80">
            <v>2.1541999999999999E-2</v>
          </cell>
          <cell r="H80">
            <v>2.7684565168594154E-2</v>
          </cell>
          <cell r="I80">
            <v>111.11427129699136</v>
          </cell>
        </row>
        <row r="81">
          <cell r="A81">
            <v>38473</v>
          </cell>
          <cell r="B81">
            <v>104.5</v>
          </cell>
          <cell r="C81">
            <v>13867</v>
          </cell>
          <cell r="F81">
            <v>4.9496169423705653E-2</v>
          </cell>
          <cell r="G81">
            <v>3.3710700000000003E-2</v>
          </cell>
          <cell r="H81">
            <v>1.578546942370565E-2</v>
          </cell>
          <cell r="I81">
            <v>109.3499758796759</v>
          </cell>
        </row>
        <row r="82">
          <cell r="A82">
            <v>38504</v>
          </cell>
          <cell r="B82">
            <v>106</v>
          </cell>
          <cell r="C82">
            <v>14201</v>
          </cell>
          <cell r="F82">
            <v>4.9765773678817155E-2</v>
          </cell>
          <cell r="G82">
            <v>3.3886199999999998E-2</v>
          </cell>
          <cell r="H82">
            <v>1.5879573678817156E-2</v>
          </cell>
          <cell r="I82">
            <v>108.31082267303596</v>
          </cell>
        </row>
        <row r="83">
          <cell r="A83">
            <v>38534</v>
          </cell>
          <cell r="B83">
            <v>107.5</v>
          </cell>
          <cell r="C83">
            <v>14880.98</v>
          </cell>
          <cell r="F83">
            <v>5.0035377933928656E-2</v>
          </cell>
          <cell r="G83">
            <v>3.5394599999999998E-2</v>
          </cell>
          <cell r="H83">
            <v>1.4640777933928657E-2</v>
          </cell>
          <cell r="I83">
            <v>104.8242703125803</v>
          </cell>
        </row>
        <row r="84">
          <cell r="A84">
            <v>38565</v>
          </cell>
          <cell r="B84">
            <v>105</v>
          </cell>
          <cell r="C84">
            <v>14903.55</v>
          </cell>
          <cell r="F84">
            <v>5.0304982189040157E-2</v>
          </cell>
          <cell r="G84">
            <v>3.80799E-2</v>
          </cell>
          <cell r="H84">
            <v>1.2225082189040157E-2</v>
          </cell>
          <cell r="I84">
            <v>102.23144203510159</v>
          </cell>
        </row>
        <row r="85">
          <cell r="A85">
            <v>38596</v>
          </cell>
          <cell r="B85">
            <v>104.3</v>
          </cell>
          <cell r="C85">
            <v>15428.52</v>
          </cell>
          <cell r="F85">
            <v>5.0574586444151658E-2</v>
          </cell>
          <cell r="G85">
            <v>4.2067899999999998E-2</v>
          </cell>
          <cell r="H85">
            <v>8.5066864441516593E-3</v>
          </cell>
          <cell r="I85">
            <v>98.094567629037428</v>
          </cell>
        </row>
        <row r="86">
          <cell r="A86">
            <v>38626</v>
          </cell>
          <cell r="B86">
            <v>100.5</v>
          </cell>
          <cell r="C86">
            <v>14386.37</v>
          </cell>
          <cell r="F86">
            <v>5.0844190699263159E-2</v>
          </cell>
          <cell r="G86">
            <v>4.3264699999999996E-2</v>
          </cell>
          <cell r="H86">
            <v>7.5794906992631625E-3</v>
          </cell>
          <cell r="I86">
            <v>101.36773739124499</v>
          </cell>
        </row>
        <row r="87">
          <cell r="A87">
            <v>38657</v>
          </cell>
          <cell r="B87">
            <v>102.6</v>
          </cell>
          <cell r="C87">
            <v>14937.14</v>
          </cell>
          <cell r="F87">
            <v>5.111379495437466E-2</v>
          </cell>
          <cell r="G87">
            <v>4.2733899999999998E-2</v>
          </cell>
          <cell r="H87">
            <v>8.3798949543746615E-3</v>
          </cell>
          <cell r="I87">
            <v>99.67008438912201</v>
          </cell>
        </row>
        <row r="88">
          <cell r="A88">
            <v>38687</v>
          </cell>
          <cell r="B88">
            <v>101.2</v>
          </cell>
          <cell r="C88">
            <v>14876.43</v>
          </cell>
          <cell r="E88">
            <v>5.2</v>
          </cell>
          <cell r="F88">
            <v>5.1383399209486168E-2</v>
          </cell>
          <cell r="G88">
            <v>4.23165E-2</v>
          </cell>
          <cell r="H88">
            <v>9.0668992094861678E-3</v>
          </cell>
          <cell r="I88">
            <v>98.711262417096492</v>
          </cell>
        </row>
        <row r="89">
          <cell r="A89">
            <v>38718</v>
          </cell>
          <cell r="B89">
            <v>103.5</v>
          </cell>
          <cell r="C89">
            <v>15753.14</v>
          </cell>
          <cell r="E89">
            <v>5.2137898485192009</v>
          </cell>
          <cell r="F89">
            <v>5.0374781145113054E-2</v>
          </cell>
          <cell r="G89">
            <v>3.9287099999999998E-2</v>
          </cell>
          <cell r="H89">
            <v>1.1087681145113056E-2</v>
          </cell>
          <cell r="I89">
            <v>95.33626506753069</v>
          </cell>
        </row>
        <row r="90">
          <cell r="A90">
            <v>38749</v>
          </cell>
          <cell r="B90">
            <v>103.9</v>
          </cell>
          <cell r="C90">
            <v>15918.48</v>
          </cell>
          <cell r="E90">
            <v>5.2275796970384016</v>
          </cell>
          <cell r="F90">
            <v>5.0313567825201168E-2</v>
          </cell>
          <cell r="G90">
            <v>4.2065599999999995E-2</v>
          </cell>
          <cell r="H90">
            <v>8.2479678252011732E-3</v>
          </cell>
          <cell r="I90">
            <v>94.710661107149591</v>
          </cell>
        </row>
        <row r="91">
          <cell r="A91">
            <v>38777</v>
          </cell>
          <cell r="B91">
            <v>99.95</v>
          </cell>
          <cell r="C91">
            <v>15805.04</v>
          </cell>
          <cell r="E91">
            <v>5.2413695455576024</v>
          </cell>
          <cell r="F91">
            <v>5.2439915413282662E-2</v>
          </cell>
          <cell r="G91">
            <v>4.4401799999999998E-2</v>
          </cell>
          <cell r="H91">
            <v>8.0381154132826635E-3</v>
          </cell>
          <cell r="I91">
            <v>91.763953429579132</v>
          </cell>
        </row>
        <row r="92">
          <cell r="A92">
            <v>38808</v>
          </cell>
          <cell r="B92">
            <v>100.4</v>
          </cell>
          <cell r="C92">
            <v>16661</v>
          </cell>
          <cell r="E92">
            <v>5.2551593940768031</v>
          </cell>
          <cell r="F92">
            <v>5.2342225040605608E-2</v>
          </cell>
          <cell r="G92">
            <v>4.6199999999999998E-2</v>
          </cell>
          <cell r="H92">
            <v>6.1422250406056103E-3</v>
          </cell>
          <cell r="I92">
            <v>87.441493169049323</v>
          </cell>
        </row>
        <row r="93">
          <cell r="A93">
            <v>38838</v>
          </cell>
          <cell r="B93">
            <v>97.45</v>
          </cell>
          <cell r="C93">
            <v>15858</v>
          </cell>
          <cell r="E93">
            <v>5.2689492425960038</v>
          </cell>
          <cell r="F93">
            <v>5.4068232350908199E-2</v>
          </cell>
          <cell r="G93">
            <v>4.6128600000000006E-2</v>
          </cell>
          <cell r="H93">
            <v>7.9396323509081934E-3</v>
          </cell>
          <cell r="I93">
            <v>89.169913760800384</v>
          </cell>
        </row>
        <row r="94">
          <cell r="A94">
            <v>38869</v>
          </cell>
          <cell r="B94">
            <v>98.5</v>
          </cell>
          <cell r="C94">
            <v>16267.6201</v>
          </cell>
          <cell r="E94">
            <v>5.2827390911152046</v>
          </cell>
          <cell r="F94">
            <v>5.3631868945332027E-2</v>
          </cell>
          <cell r="G94">
            <v>4.5628599999999998E-2</v>
          </cell>
          <cell r="H94">
            <v>8.0032689453320288E-3</v>
          </cell>
          <cell r="I94">
            <v>87.861198977605525</v>
          </cell>
        </row>
        <row r="95">
          <cell r="A95">
            <v>38899</v>
          </cell>
          <cell r="B95">
            <v>99.3</v>
          </cell>
          <cell r="C95">
            <v>16971.34</v>
          </cell>
          <cell r="E95">
            <v>5.2965289396344053</v>
          </cell>
          <cell r="F95">
            <v>5.3338660016459268E-2</v>
          </cell>
          <cell r="G95">
            <v>4.2999999999999997E-2</v>
          </cell>
          <cell r="H95">
            <v>1.0338660016459271E-2</v>
          </cell>
          <cell r="I95">
            <v>84.902021547398789</v>
          </cell>
        </row>
        <row r="96">
          <cell r="A96">
            <v>38930</v>
          </cell>
          <cell r="B96">
            <v>98.5</v>
          </cell>
          <cell r="C96">
            <v>17392.27</v>
          </cell>
          <cell r="E96">
            <v>5.310318788153606</v>
          </cell>
          <cell r="F96">
            <v>5.3911865869579759E-2</v>
          </cell>
          <cell r="G96">
            <v>4.2800000000000005E-2</v>
          </cell>
          <cell r="H96">
            <v>1.1111865869579754E-2</v>
          </cell>
          <cell r="I96">
            <v>82.179761842369913</v>
          </cell>
        </row>
        <row r="97">
          <cell r="A97">
            <v>38961</v>
          </cell>
          <cell r="B97">
            <v>98.45</v>
          </cell>
          <cell r="C97">
            <v>17543.05</v>
          </cell>
          <cell r="E97">
            <v>5.3241086366728068</v>
          </cell>
          <cell r="F97">
            <v>5.4079315761023934E-2</v>
          </cell>
          <cell r="G97">
            <v>4.2079999999999999E-2</v>
          </cell>
          <cell r="H97">
            <v>1.1999315761023935E-2</v>
          </cell>
          <cell r="I97">
            <v>81.432081494171058</v>
          </cell>
        </row>
        <row r="98">
          <cell r="A98">
            <v>38991</v>
          </cell>
          <cell r="B98">
            <v>99.1</v>
          </cell>
          <cell r="C98">
            <v>18324</v>
          </cell>
          <cell r="E98">
            <v>5.3378984851920075</v>
          </cell>
          <cell r="F98">
            <v>5.3863758680040445E-2</v>
          </cell>
          <cell r="G98">
            <v>4.0300000000000002E-2</v>
          </cell>
          <cell r="H98">
            <v>1.3563758680040443E-2</v>
          </cell>
          <cell r="I98">
            <v>78.476258317000756</v>
          </cell>
        </row>
        <row r="99">
          <cell r="A99">
            <v>39022</v>
          </cell>
          <cell r="B99">
            <v>103.8</v>
          </cell>
          <cell r="C99">
            <v>18960.48</v>
          </cell>
          <cell r="E99">
            <v>5.3516883337112082</v>
          </cell>
          <cell r="F99">
            <v>5.1557691076215884E-2</v>
          </cell>
          <cell r="G99">
            <v>4.129E-2</v>
          </cell>
          <cell r="H99">
            <v>1.0267691076215883E-2</v>
          </cell>
          <cell r="I99">
            <v>79.438848918233305</v>
          </cell>
        </row>
        <row r="100">
          <cell r="A100">
            <v>39052</v>
          </cell>
          <cell r="B100">
            <v>106.3</v>
          </cell>
          <cell r="C100">
            <v>19964.72</v>
          </cell>
          <cell r="E100">
            <v>5.3654781822304045</v>
          </cell>
          <cell r="F100">
            <v>5.0474865307905972E-2</v>
          </cell>
          <cell r="G100">
            <v>3.9E-2</v>
          </cell>
          <cell r="H100">
            <v>1.1474865307905972E-2</v>
          </cell>
          <cell r="I100">
            <v>77.260045131163707</v>
          </cell>
        </row>
        <row r="101">
          <cell r="A101">
            <v>39083</v>
          </cell>
          <cell r="B101">
            <v>108.5</v>
          </cell>
          <cell r="C101">
            <v>20106.419999999998</v>
          </cell>
          <cell r="E101">
            <v>5.404976873158426</v>
          </cell>
          <cell r="F101">
            <v>4.9815455052151389E-2</v>
          </cell>
          <cell r="G101">
            <v>4.1300000000000003E-2</v>
          </cell>
          <cell r="H101">
            <v>8.5154550521513855E-3</v>
          </cell>
          <cell r="I101">
            <v>78.303271038486528</v>
          </cell>
        </row>
        <row r="102">
          <cell r="A102">
            <v>39114</v>
          </cell>
          <cell r="B102">
            <v>113</v>
          </cell>
          <cell r="C102">
            <v>20651.400000000001</v>
          </cell>
          <cell r="E102">
            <v>5.4444755640864475</v>
          </cell>
          <cell r="F102">
            <v>4.8181199682180952E-2</v>
          </cell>
          <cell r="G102">
            <v>4.2099999999999999E-2</v>
          </cell>
          <cell r="H102">
            <v>6.081199682180953E-3</v>
          </cell>
          <cell r="I102">
            <v>79.398785876143961</v>
          </cell>
        </row>
        <row r="103">
          <cell r="A103">
            <v>39142</v>
          </cell>
          <cell r="B103">
            <v>113</v>
          </cell>
          <cell r="E103">
            <v>5.483974255014469</v>
          </cell>
          <cell r="F103">
            <v>4.8530745619597068E-2</v>
          </cell>
          <cell r="G103">
            <v>4.2099999999999999E-2</v>
          </cell>
          <cell r="H103">
            <v>6.4307456195970697E-3</v>
          </cell>
        </row>
        <row r="104">
          <cell r="A104">
            <v>39173</v>
          </cell>
          <cell r="B104">
            <v>113</v>
          </cell>
          <cell r="E104">
            <v>5.5234729459424905</v>
          </cell>
          <cell r="F104">
            <v>4.8880291557013192E-2</v>
          </cell>
          <cell r="G104">
            <v>4.2099999999999999E-2</v>
          </cell>
          <cell r="H104">
            <v>6.7802915570131933E-3</v>
          </cell>
        </row>
        <row r="105">
          <cell r="A105">
            <v>39203</v>
          </cell>
          <cell r="B105">
            <v>113</v>
          </cell>
          <cell r="E105">
            <v>5.562971636870512</v>
          </cell>
          <cell r="F105">
            <v>4.9229837494429309E-2</v>
          </cell>
          <cell r="G105">
            <v>4.2099999999999999E-2</v>
          </cell>
          <cell r="H105">
            <v>7.12983749442931E-3</v>
          </cell>
        </row>
        <row r="106">
          <cell r="A106">
            <v>39234</v>
          </cell>
          <cell r="B106">
            <v>113</v>
          </cell>
          <cell r="E106">
            <v>5.6024703277985335</v>
          </cell>
          <cell r="F106">
            <v>4.9579383431845432E-2</v>
          </cell>
          <cell r="G106">
            <v>4.2099999999999999E-2</v>
          </cell>
          <cell r="H106">
            <v>7.4793834318454336E-3</v>
          </cell>
        </row>
        <row r="107">
          <cell r="A107">
            <v>39264</v>
          </cell>
          <cell r="B107">
            <v>113</v>
          </cell>
          <cell r="E107">
            <v>5.641969018726555</v>
          </cell>
          <cell r="F107">
            <v>4.9928929369261549E-2</v>
          </cell>
          <cell r="G107">
            <v>4.2099999999999999E-2</v>
          </cell>
          <cell r="H107">
            <v>7.8289293692615503E-3</v>
          </cell>
        </row>
        <row r="108">
          <cell r="A108">
            <v>39295</v>
          </cell>
          <cell r="B108">
            <v>113</v>
          </cell>
          <cell r="E108">
            <v>5.6814677096545765</v>
          </cell>
          <cell r="F108">
            <v>5.0278475306677665E-2</v>
          </cell>
          <cell r="G108">
            <v>4.2099999999999999E-2</v>
          </cell>
          <cell r="H108">
            <v>8.1784753066776669E-3</v>
          </cell>
        </row>
        <row r="109">
          <cell r="A109">
            <v>39326</v>
          </cell>
          <cell r="B109">
            <v>113</v>
          </cell>
          <cell r="E109">
            <v>5.720966400582598</v>
          </cell>
          <cell r="F109">
            <v>5.0628021244093789E-2</v>
          </cell>
          <cell r="G109">
            <v>4.2099999999999999E-2</v>
          </cell>
          <cell r="H109">
            <v>8.5280212440937905E-3</v>
          </cell>
        </row>
        <row r="110">
          <cell r="A110">
            <v>39356</v>
          </cell>
          <cell r="B110">
            <v>113</v>
          </cell>
          <cell r="E110">
            <v>5.7604650915106195</v>
          </cell>
          <cell r="F110">
            <v>5.0977567181509906E-2</v>
          </cell>
          <cell r="G110">
            <v>4.2099999999999999E-2</v>
          </cell>
          <cell r="H110">
            <v>8.8775671815099072E-3</v>
          </cell>
        </row>
        <row r="111">
          <cell r="A111">
            <v>39387</v>
          </cell>
          <cell r="B111">
            <v>113</v>
          </cell>
          <cell r="E111">
            <v>5.799963782438641</v>
          </cell>
          <cell r="F111">
            <v>5.1327113118926029E-2</v>
          </cell>
          <cell r="G111">
            <v>4.2099999999999999E-2</v>
          </cell>
          <cell r="H111">
            <v>9.2271131189260308E-3</v>
          </cell>
        </row>
        <row r="112">
          <cell r="A112">
            <v>39417</v>
          </cell>
          <cell r="B112">
            <v>113</v>
          </cell>
          <cell r="E112">
            <v>5.8394624733666634</v>
          </cell>
          <cell r="F112">
            <v>5.1676659056342153E-2</v>
          </cell>
          <cell r="G112">
            <v>4.2099999999999999E-2</v>
          </cell>
          <cell r="H112">
            <v>9.5766590563421544E-3</v>
          </cell>
        </row>
      </sheetData>
      <sheetData sheetId="2" refreshError="1"/>
      <sheetData sheetId="3" refreshError="1">
        <row r="1">
          <cell r="A1" t="str">
            <v xml:space="preserve">HK Banks: Key Assumptions Behind Our Residual Income Based Price Targets </v>
          </cell>
        </row>
        <row r="3">
          <cell r="A3" t="str">
            <v>2/21/2007</v>
          </cell>
          <cell r="B3" t="str">
            <v>0023.HK</v>
          </cell>
          <cell r="C3" t="str">
            <v>2388.HK</v>
          </cell>
          <cell r="D3" t="str">
            <v>0183.HK</v>
          </cell>
          <cell r="E3" t="str">
            <v>0440.HK</v>
          </cell>
          <cell r="F3" t="str">
            <v>0011.HK</v>
          </cell>
          <cell r="G3" t="str">
            <v>0349.HK</v>
          </cell>
          <cell r="H3" t="str">
            <v>0302.HK</v>
          </cell>
          <cell r="I3" t="str">
            <v>0096.HK</v>
          </cell>
          <cell r="J3" t="str">
            <v>0005.HK</v>
          </cell>
          <cell r="K3" t="str">
            <v>2888.HK</v>
          </cell>
        </row>
        <row r="4">
          <cell r="B4" t="str">
            <v>BEA</v>
          </cell>
          <cell r="C4" t="str">
            <v>BOCHK</v>
          </cell>
          <cell r="D4" t="str">
            <v>CIFH</v>
          </cell>
          <cell r="E4" t="str">
            <v>DSF</v>
          </cell>
          <cell r="F4" t="str">
            <v>HSB</v>
          </cell>
          <cell r="G4" t="str">
            <v>ICBCA</v>
          </cell>
          <cell r="H4" t="str">
            <v>WHB</v>
          </cell>
          <cell r="I4" t="str">
            <v>WLB</v>
          </cell>
          <cell r="J4" t="str">
            <v>HSBC</v>
          </cell>
          <cell r="K4" t="str">
            <v>STAN</v>
          </cell>
        </row>
        <row r="5">
          <cell r="A5" t="str">
            <v>Stock Price (HK$)</v>
          </cell>
          <cell r="B5">
            <v>47.75</v>
          </cell>
          <cell r="C5">
            <v>20.2</v>
          </cell>
          <cell r="D5">
            <v>6.75</v>
          </cell>
          <cell r="E5">
            <v>72.150000000000006</v>
          </cell>
          <cell r="F5">
            <v>113</v>
          </cell>
          <cell r="G5">
            <v>17.260000000000002</v>
          </cell>
          <cell r="H5">
            <v>96.5</v>
          </cell>
          <cell r="I5">
            <v>93.05</v>
          </cell>
          <cell r="J5">
            <v>139.10000000000352</v>
          </cell>
          <cell r="K5">
            <v>235.400000000006</v>
          </cell>
        </row>
        <row r="6">
          <cell r="A6" t="str">
            <v xml:space="preserve">10-yr. Govt. Bond Yield (%)  </v>
          </cell>
          <cell r="B6">
            <v>3.71</v>
          </cell>
          <cell r="C6">
            <v>3.71</v>
          </cell>
          <cell r="D6">
            <v>3.71</v>
          </cell>
          <cell r="E6">
            <v>3.71</v>
          </cell>
          <cell r="F6">
            <v>3.71</v>
          </cell>
          <cell r="G6">
            <v>3.71</v>
          </cell>
          <cell r="H6">
            <v>3.71</v>
          </cell>
          <cell r="I6">
            <v>3.71</v>
          </cell>
          <cell r="J6">
            <v>4.3</v>
          </cell>
          <cell r="K6">
            <v>4.3</v>
          </cell>
        </row>
        <row r="7">
          <cell r="A7" t="str">
            <v xml:space="preserve">Beta  </v>
          </cell>
          <cell r="B7">
            <v>1</v>
          </cell>
          <cell r="C7">
            <v>0.9</v>
          </cell>
          <cell r="D7">
            <v>1.1000000000000001</v>
          </cell>
          <cell r="E7">
            <v>0.95</v>
          </cell>
          <cell r="F7">
            <v>0.9</v>
          </cell>
          <cell r="G7">
            <v>0.9</v>
          </cell>
          <cell r="H7">
            <v>1</v>
          </cell>
          <cell r="I7">
            <v>0.8</v>
          </cell>
          <cell r="J7">
            <v>1</v>
          </cell>
          <cell r="K7">
            <v>1.08</v>
          </cell>
        </row>
        <row r="8">
          <cell r="A8" t="str">
            <v xml:space="preserve">Market Risk Premium (%)  </v>
          </cell>
          <cell r="B8">
            <v>5</v>
          </cell>
          <cell r="C8">
            <v>5</v>
          </cell>
          <cell r="D8">
            <v>5</v>
          </cell>
          <cell r="E8">
            <v>5.5</v>
          </cell>
          <cell r="F8">
            <v>5</v>
          </cell>
          <cell r="G8">
            <v>5.5</v>
          </cell>
          <cell r="H8">
            <v>5</v>
          </cell>
          <cell r="I8">
            <v>5.5</v>
          </cell>
          <cell r="J8">
            <v>6</v>
          </cell>
          <cell r="K8">
            <v>6</v>
          </cell>
        </row>
        <row r="9">
          <cell r="A9" t="str">
            <v xml:space="preserve">Cost of Common Equity (%)    </v>
          </cell>
          <cell r="B9">
            <v>8.7100000000000009</v>
          </cell>
          <cell r="C9">
            <v>8.2100000000000009</v>
          </cell>
          <cell r="D9">
            <v>9.2100000000000009</v>
          </cell>
          <cell r="E9">
            <v>8.9349999999999987</v>
          </cell>
          <cell r="F9">
            <v>8.2100000000000009</v>
          </cell>
          <cell r="G9">
            <v>8.66</v>
          </cell>
          <cell r="H9">
            <v>8.7100000000000009</v>
          </cell>
          <cell r="I9">
            <v>8.11</v>
          </cell>
          <cell r="J9">
            <v>10.3</v>
          </cell>
          <cell r="K9">
            <v>10.780000000000001</v>
          </cell>
        </row>
        <row r="10">
          <cell r="A10" t="str">
            <v>Growth Rate (%)</v>
          </cell>
          <cell r="B10">
            <v>6</v>
          </cell>
          <cell r="C10">
            <v>5</v>
          </cell>
          <cell r="D10">
            <v>7</v>
          </cell>
          <cell r="E10">
            <v>6</v>
          </cell>
          <cell r="F10">
            <v>4</v>
          </cell>
          <cell r="G10">
            <v>4</v>
          </cell>
          <cell r="H10">
            <v>8</v>
          </cell>
          <cell r="I10">
            <v>5</v>
          </cell>
          <cell r="J10">
            <v>5</v>
          </cell>
          <cell r="K10">
            <v>8</v>
          </cell>
        </row>
        <row r="11">
          <cell r="A11" t="str">
            <v>12 Month Target Price (HK$)</v>
          </cell>
          <cell r="B11">
            <v>42</v>
          </cell>
          <cell r="C11">
            <v>22</v>
          </cell>
          <cell r="D11">
            <v>6.5199999809265137</v>
          </cell>
          <cell r="E11" t="str">
            <v>++</v>
          </cell>
          <cell r="F11">
            <v>121.19999694824219</v>
          </cell>
          <cell r="G11">
            <v>18</v>
          </cell>
          <cell r="H11">
            <v>86.900001525878906</v>
          </cell>
          <cell r="I11">
            <v>81.900001525878906</v>
          </cell>
          <cell r="J11">
            <v>160</v>
          </cell>
          <cell r="K11">
            <v>200</v>
          </cell>
        </row>
        <row r="13">
          <cell r="A13" t="str">
            <v>Risks to Price Targets</v>
          </cell>
        </row>
        <row r="14">
          <cell r="A14" t="str">
            <v>BEA: Macro risks to our price target include a strong rising interest rate environment and a decline in economic growth.  Micro risks to our price target include poor execution from management in terms of the merger with Tricor, which could materially aff</v>
          </cell>
        </row>
        <row r="15">
          <cell r="A15" t="str">
            <v>BOCHK: The key risks to our price target are a decline in the Hong Kong property market and sustained weakness in the economy, which could stall credit quality improvements for BOCHK.  Upside risks include higher-than-expected fee income and a significant</v>
          </cell>
        </row>
        <row r="16">
          <cell r="A16" t="str">
            <v>CIFH: The risks to our target are a dramatic increase in interest rates and disappointing performance in non-interest income.  Upside risks include greater-than-expected loan growth and positive news from its joint venture with its China entity, China Ind</v>
          </cell>
        </row>
        <row r="17">
          <cell r="A17" t="str">
            <v>HSB: The risks to our price target are continued erosion in earnings prospects and, hence, a reduction in dividend yield based on greater-than-expected margin and credit quality slippage.  We forecast only a marginal increase in bad debts and a slight dec</v>
          </cell>
        </row>
        <row r="18">
          <cell r="A18" t="str">
            <v>HSBC: We see three risks to achieving our price target for HSBC: (1) a significant increase in charge-offs for Household; (2) a rising unemployment rate and US interest rates rising faster than expected, as they have already started to rise in the US; and</v>
          </cell>
        </row>
        <row r="19">
          <cell r="A19" t="str">
            <v xml:space="preserve">ICBCA: The risks to our price target are weakness in the credit cycle resulting in higher than expected credit costs. The other risk would be if Prime – HIBOR compresses by more than expectations, resulting in lower NIM and thereby lower earnings. </v>
          </cell>
        </row>
        <row r="20">
          <cell r="A20" t="str">
            <v>STAN: The key risks we see to our target are weakness in Standard Chartered’s core markets.  Also, any disappointment with the execution of the bank’s strategy, which involves more efficient cost, credit and capital management, could depress the stock pri</v>
          </cell>
        </row>
        <row r="21">
          <cell r="A21" t="str">
            <v>WHB: The risks to our target price are weakness in the macro economic environment in Hong Kong, weak execution after the acquisition of CFB, a dramatic increase in interest rates, or a disappointing performance in non-interest income.  Upside risks to our</v>
          </cell>
        </row>
        <row r="22">
          <cell r="A22" t="str">
            <v>WLB: Macro risks to our price target include a strong rise in the interest rate environment and slippage in the Hong Kong economy.  Upside risks include higher-than-expected fee income and an improvement in net interest margins.</v>
          </cell>
        </row>
        <row r="23">
          <cell r="A23" t="str">
            <v>HKEx: Key risks to our target price are greater-than-expected market activity, a further improvement in market conditions and changes in policy allowing mainlanders to invest in Hong Kong.</v>
          </cell>
        </row>
      </sheetData>
      <sheetData sheetId="4" refreshError="1"/>
      <sheetData sheetId="5" refreshError="1">
        <row r="1">
          <cell r="A1" t="str">
            <v>Price - Closing - Local Currency</v>
          </cell>
        </row>
        <row r="2">
          <cell r="B2" t="str">
            <v>Prices</v>
          </cell>
          <cell r="O2" t="str">
            <v>Monthly Performance</v>
          </cell>
          <cell r="AB2" t="str">
            <v>Beta</v>
          </cell>
        </row>
        <row r="3">
          <cell r="B3" t="str">
            <v>BEA</v>
          </cell>
          <cell r="C3" t="str">
            <v>DSF</v>
          </cell>
          <cell r="D3" t="str">
            <v>HSB</v>
          </cell>
          <cell r="E3" t="str">
            <v>WHB</v>
          </cell>
          <cell r="F3" t="str">
            <v>BOCHK</v>
          </cell>
          <cell r="G3" t="str">
            <v>CIFH</v>
          </cell>
          <cell r="H3" t="str">
            <v>ICBCA</v>
          </cell>
          <cell r="I3" t="str">
            <v>WLB</v>
          </cell>
          <cell r="J3" t="str">
            <v>HSBC</v>
          </cell>
          <cell r="K3" t="str">
            <v>STAN</v>
          </cell>
          <cell r="L3" t="str">
            <v>HKEx</v>
          </cell>
          <cell r="M3" t="str">
            <v>Index</v>
          </cell>
          <cell r="O3" t="str">
            <v>BEA</v>
          </cell>
          <cell r="P3" t="str">
            <v>DSF</v>
          </cell>
          <cell r="Q3" t="str">
            <v>HSB</v>
          </cell>
          <cell r="R3" t="str">
            <v>WHB</v>
          </cell>
          <cell r="S3" t="str">
            <v>BOCHK</v>
          </cell>
          <cell r="T3" t="str">
            <v>CIFH</v>
          </cell>
          <cell r="U3" t="str">
            <v>ICBCA</v>
          </cell>
          <cell r="V3" t="str">
            <v>WLB</v>
          </cell>
          <cell r="W3" t="str">
            <v>HSBC</v>
          </cell>
          <cell r="X3" t="str">
            <v>STAN</v>
          </cell>
          <cell r="Y3" t="str">
            <v>HKEx</v>
          </cell>
          <cell r="Z3" t="str">
            <v>Index</v>
          </cell>
          <cell r="AB3" t="str">
            <v>BEA</v>
          </cell>
          <cell r="AC3" t="str">
            <v>DSF</v>
          </cell>
          <cell r="AD3" t="str">
            <v>HSB</v>
          </cell>
          <cell r="AE3" t="str">
            <v>WHB</v>
          </cell>
          <cell r="AF3" t="str">
            <v>BOCHK</v>
          </cell>
          <cell r="AG3" t="str">
            <v>CIFH</v>
          </cell>
          <cell r="AH3" t="str">
            <v>ICBCA</v>
          </cell>
          <cell r="AI3" t="str">
            <v>WLB</v>
          </cell>
          <cell r="AJ3" t="str">
            <v>HSBC</v>
          </cell>
          <cell r="AK3" t="str">
            <v>STAN</v>
          </cell>
          <cell r="AL3" t="str">
            <v>HKEx</v>
          </cell>
        </row>
        <row r="4">
          <cell r="A4" t="str">
            <v xml:space="preserve"> </v>
          </cell>
          <cell r="AG4">
            <v>1.4594289402734175</v>
          </cell>
        </row>
        <row r="5">
          <cell r="A5" t="str">
            <v>30/01/2004</v>
          </cell>
          <cell r="B5">
            <v>23.9</v>
          </cell>
          <cell r="C5">
            <v>60</v>
          </cell>
          <cell r="D5">
            <v>105.5</v>
          </cell>
          <cell r="E5">
            <v>49.9</v>
          </cell>
          <cell r="F5">
            <v>14.65</v>
          </cell>
          <cell r="G5">
            <v>4.2</v>
          </cell>
          <cell r="H5">
            <v>12.1</v>
          </cell>
          <cell r="I5">
            <v>48.8</v>
          </cell>
          <cell r="J5">
            <v>121.5</v>
          </cell>
          <cell r="K5">
            <v>125.5</v>
          </cell>
          <cell r="L5">
            <v>19.399999999999999</v>
          </cell>
          <cell r="M5">
            <v>13289.37</v>
          </cell>
        </row>
        <row r="6">
          <cell r="A6" t="str">
            <v>02/02/2004</v>
          </cell>
          <cell r="B6">
            <v>23.45</v>
          </cell>
          <cell r="C6">
            <v>59.75</v>
          </cell>
          <cell r="D6">
            <v>103</v>
          </cell>
          <cell r="E6">
            <v>50</v>
          </cell>
          <cell r="F6">
            <v>14.4</v>
          </cell>
          <cell r="G6">
            <v>4.0999999999999996</v>
          </cell>
          <cell r="H6">
            <v>11.6</v>
          </cell>
          <cell r="I6">
            <v>47.8</v>
          </cell>
          <cell r="J6">
            <v>119.5</v>
          </cell>
          <cell r="K6">
            <v>126.5</v>
          </cell>
          <cell r="L6">
            <v>18.899999999999999</v>
          </cell>
          <cell r="M6">
            <v>12999.98</v>
          </cell>
        </row>
        <row r="7">
          <cell r="A7" t="str">
            <v>03/02/2004</v>
          </cell>
          <cell r="B7">
            <v>24</v>
          </cell>
          <cell r="C7">
            <v>60</v>
          </cell>
          <cell r="D7">
            <v>103.5</v>
          </cell>
          <cell r="E7">
            <v>50</v>
          </cell>
          <cell r="F7">
            <v>14.45</v>
          </cell>
          <cell r="G7">
            <v>4.125</v>
          </cell>
          <cell r="H7">
            <v>12</v>
          </cell>
          <cell r="I7">
            <v>48.2</v>
          </cell>
          <cell r="J7">
            <v>119.5</v>
          </cell>
          <cell r="K7">
            <v>126.5</v>
          </cell>
          <cell r="L7">
            <v>19.350000000000001</v>
          </cell>
          <cell r="M7">
            <v>13090.01</v>
          </cell>
        </row>
        <row r="8">
          <cell r="A8" t="str">
            <v>04/02/2004</v>
          </cell>
          <cell r="B8">
            <v>24.25</v>
          </cell>
          <cell r="C8">
            <v>59.75</v>
          </cell>
          <cell r="D8">
            <v>104</v>
          </cell>
          <cell r="E8">
            <v>51.75</v>
          </cell>
          <cell r="F8">
            <v>14.4</v>
          </cell>
          <cell r="G8">
            <v>4.125</v>
          </cell>
          <cell r="H8">
            <v>12</v>
          </cell>
          <cell r="I8">
            <v>48.9</v>
          </cell>
          <cell r="J8">
            <v>120</v>
          </cell>
          <cell r="K8">
            <v>127</v>
          </cell>
          <cell r="L8">
            <v>19</v>
          </cell>
          <cell r="M8">
            <v>13086.73</v>
          </cell>
        </row>
        <row r="9">
          <cell r="A9" t="str">
            <v>05/02/2004</v>
          </cell>
          <cell r="B9">
            <v>24.1</v>
          </cell>
          <cell r="C9">
            <v>60.5</v>
          </cell>
          <cell r="D9">
            <v>105</v>
          </cell>
          <cell r="E9">
            <v>52.25</v>
          </cell>
          <cell r="F9">
            <v>14.35</v>
          </cell>
          <cell r="G9">
            <v>4.1500000000000004</v>
          </cell>
          <cell r="H9">
            <v>11.4</v>
          </cell>
          <cell r="I9">
            <v>49</v>
          </cell>
          <cell r="J9">
            <v>119.5</v>
          </cell>
          <cell r="K9">
            <v>125.5</v>
          </cell>
          <cell r="L9">
            <v>18.899999999999999</v>
          </cell>
          <cell r="M9">
            <v>13030.94</v>
          </cell>
        </row>
        <row r="10">
          <cell r="A10" t="str">
            <v>06/02/2004</v>
          </cell>
          <cell r="B10">
            <v>24.6</v>
          </cell>
          <cell r="C10">
            <v>61.5</v>
          </cell>
          <cell r="D10">
            <v>106.5</v>
          </cell>
          <cell r="E10">
            <v>52.75</v>
          </cell>
          <cell r="F10">
            <v>14.5</v>
          </cell>
          <cell r="G10">
            <v>4.25</v>
          </cell>
          <cell r="H10">
            <v>11.45</v>
          </cell>
          <cell r="I10">
            <v>50.5</v>
          </cell>
          <cell r="J10">
            <v>122</v>
          </cell>
          <cell r="K10">
            <v>127.5</v>
          </cell>
          <cell r="L10">
            <v>19.649999999999999</v>
          </cell>
          <cell r="M10">
            <v>13309.6</v>
          </cell>
        </row>
        <row r="11">
          <cell r="A11" t="str">
            <v>09/02/2004</v>
          </cell>
          <cell r="B11">
            <v>25.05</v>
          </cell>
          <cell r="C11">
            <v>62.5</v>
          </cell>
          <cell r="D11">
            <v>108</v>
          </cell>
          <cell r="E11">
            <v>53.75</v>
          </cell>
          <cell r="F11">
            <v>14.9</v>
          </cell>
          <cell r="G11">
            <v>4.2</v>
          </cell>
          <cell r="H11">
            <v>11.85</v>
          </cell>
          <cell r="I11">
            <v>50.5</v>
          </cell>
          <cell r="J11">
            <v>124</v>
          </cell>
          <cell r="K11">
            <v>131.5</v>
          </cell>
          <cell r="L11">
            <v>20.149999999999999</v>
          </cell>
          <cell r="M11">
            <v>13576.68</v>
          </cell>
        </row>
        <row r="12">
          <cell r="A12" t="str">
            <v>10/02/2004</v>
          </cell>
          <cell r="B12">
            <v>25.4</v>
          </cell>
          <cell r="C12">
            <v>62.5</v>
          </cell>
          <cell r="D12">
            <v>107.5</v>
          </cell>
          <cell r="E12">
            <v>53.5</v>
          </cell>
          <cell r="F12">
            <v>15</v>
          </cell>
          <cell r="G12">
            <v>4.1500000000000004</v>
          </cell>
          <cell r="H12">
            <v>12.05</v>
          </cell>
          <cell r="I12">
            <v>50.75</v>
          </cell>
          <cell r="J12">
            <v>124</v>
          </cell>
          <cell r="K12">
            <v>131.5</v>
          </cell>
          <cell r="L12">
            <v>19.8</v>
          </cell>
          <cell r="M12">
            <v>13515.66</v>
          </cell>
        </row>
        <row r="13">
          <cell r="A13" t="str">
            <v>11/02/2004</v>
          </cell>
          <cell r="B13">
            <v>25.35</v>
          </cell>
          <cell r="C13">
            <v>62.5</v>
          </cell>
          <cell r="D13">
            <v>108</v>
          </cell>
          <cell r="E13">
            <v>53.5</v>
          </cell>
          <cell r="F13">
            <v>15.15</v>
          </cell>
          <cell r="G13">
            <v>4.1749999999999998</v>
          </cell>
          <cell r="H13">
            <v>12.15</v>
          </cell>
          <cell r="I13">
            <v>51</v>
          </cell>
          <cell r="J13">
            <v>124.5</v>
          </cell>
          <cell r="K13">
            <v>132.5</v>
          </cell>
          <cell r="L13">
            <v>19.399999999999999</v>
          </cell>
          <cell r="M13">
            <v>13524.76</v>
          </cell>
        </row>
        <row r="14">
          <cell r="A14" t="str">
            <v>12/02/2004</v>
          </cell>
          <cell r="B14">
            <v>25.4</v>
          </cell>
          <cell r="C14">
            <v>63</v>
          </cell>
          <cell r="D14">
            <v>109</v>
          </cell>
          <cell r="E14">
            <v>53.5</v>
          </cell>
          <cell r="F14">
            <v>15.35</v>
          </cell>
          <cell r="G14">
            <v>4.3</v>
          </cell>
          <cell r="H14">
            <v>12.6</v>
          </cell>
          <cell r="I14">
            <v>51.25</v>
          </cell>
          <cell r="J14">
            <v>126</v>
          </cell>
          <cell r="K14">
            <v>134.5</v>
          </cell>
          <cell r="L14">
            <v>19.55</v>
          </cell>
          <cell r="M14">
            <v>13625.13</v>
          </cell>
        </row>
        <row r="15">
          <cell r="A15" t="str">
            <v>13/02/2004</v>
          </cell>
          <cell r="B15">
            <v>25.35</v>
          </cell>
          <cell r="C15">
            <v>62.5</v>
          </cell>
          <cell r="D15">
            <v>109.5</v>
          </cell>
          <cell r="E15">
            <v>52.5</v>
          </cell>
          <cell r="F15">
            <v>15.6</v>
          </cell>
          <cell r="G15">
            <v>4.3499999999999996</v>
          </cell>
          <cell r="H15">
            <v>12.65</v>
          </cell>
          <cell r="I15">
            <v>52.25</v>
          </cell>
          <cell r="J15">
            <v>126</v>
          </cell>
          <cell r="K15">
            <v>135.5</v>
          </cell>
          <cell r="L15">
            <v>20</v>
          </cell>
          <cell r="M15">
            <v>13739.8</v>
          </cell>
        </row>
        <row r="16">
          <cell r="A16" t="str">
            <v>17/02/2004</v>
          </cell>
          <cell r="B16">
            <v>25.15</v>
          </cell>
          <cell r="C16">
            <v>62.5</v>
          </cell>
          <cell r="D16">
            <v>109</v>
          </cell>
          <cell r="E16">
            <v>50.75</v>
          </cell>
          <cell r="F16">
            <v>15.7</v>
          </cell>
          <cell r="G16">
            <v>4.375</v>
          </cell>
          <cell r="H16">
            <v>12.7</v>
          </cell>
          <cell r="I16">
            <v>53</v>
          </cell>
          <cell r="J16">
            <v>126</v>
          </cell>
          <cell r="K16">
            <v>135.5</v>
          </cell>
          <cell r="L16">
            <v>20.75</v>
          </cell>
          <cell r="M16">
            <v>13815.44</v>
          </cell>
        </row>
        <row r="17">
          <cell r="A17" t="str">
            <v>18/02/2004</v>
          </cell>
          <cell r="B17">
            <v>25.3</v>
          </cell>
          <cell r="C17">
            <v>63.5</v>
          </cell>
          <cell r="D17">
            <v>109</v>
          </cell>
          <cell r="E17">
            <v>51.25</v>
          </cell>
          <cell r="F17">
            <v>15.6</v>
          </cell>
          <cell r="G17">
            <v>4.375</v>
          </cell>
          <cell r="H17">
            <v>12.4</v>
          </cell>
          <cell r="I17">
            <v>52.5</v>
          </cell>
          <cell r="J17">
            <v>128.5</v>
          </cell>
          <cell r="K17">
            <v>137.5</v>
          </cell>
          <cell r="L17">
            <v>20.75</v>
          </cell>
          <cell r="M17">
            <v>13928.38</v>
          </cell>
        </row>
        <row r="18">
          <cell r="A18" t="str">
            <v>19/02/2004</v>
          </cell>
          <cell r="B18">
            <v>25.3</v>
          </cell>
          <cell r="C18">
            <v>64</v>
          </cell>
          <cell r="D18">
            <v>109.5</v>
          </cell>
          <cell r="E18">
            <v>51.5</v>
          </cell>
          <cell r="F18">
            <v>15.45</v>
          </cell>
          <cell r="G18">
            <v>4.3250000000000002</v>
          </cell>
          <cell r="H18">
            <v>12.35</v>
          </cell>
          <cell r="I18">
            <v>52</v>
          </cell>
          <cell r="J18">
            <v>127</v>
          </cell>
          <cell r="K18">
            <v>136.5</v>
          </cell>
          <cell r="L18">
            <v>20.5</v>
          </cell>
          <cell r="M18">
            <v>13867.22</v>
          </cell>
        </row>
        <row r="19">
          <cell r="A19" t="str">
            <v>20/02/2004</v>
          </cell>
          <cell r="B19">
            <v>25.3</v>
          </cell>
          <cell r="C19">
            <v>64</v>
          </cell>
          <cell r="D19">
            <v>109</v>
          </cell>
          <cell r="E19">
            <v>51.25</v>
          </cell>
          <cell r="F19">
            <v>15.5</v>
          </cell>
          <cell r="G19">
            <v>4.2750000000000004</v>
          </cell>
          <cell r="H19">
            <v>12.35</v>
          </cell>
          <cell r="I19">
            <v>52</v>
          </cell>
          <cell r="J19">
            <v>127</v>
          </cell>
          <cell r="K19">
            <v>136</v>
          </cell>
          <cell r="L19">
            <v>20.399999999999999</v>
          </cell>
          <cell r="M19">
            <v>13868.37</v>
          </cell>
        </row>
        <row r="20">
          <cell r="A20" t="str">
            <v>23/02/2004</v>
          </cell>
          <cell r="B20">
            <v>25</v>
          </cell>
          <cell r="C20">
            <v>63.75</v>
          </cell>
          <cell r="D20">
            <v>109.5</v>
          </cell>
          <cell r="E20">
            <v>51</v>
          </cell>
          <cell r="F20">
            <v>15.45</v>
          </cell>
          <cell r="G20">
            <v>4.25</v>
          </cell>
          <cell r="H20">
            <v>12.2</v>
          </cell>
          <cell r="I20">
            <v>52</v>
          </cell>
          <cell r="J20">
            <v>127</v>
          </cell>
          <cell r="K20">
            <v>135.5</v>
          </cell>
          <cell r="L20">
            <v>20.75</v>
          </cell>
          <cell r="M20">
            <v>13765.07</v>
          </cell>
        </row>
        <row r="21">
          <cell r="A21" t="str">
            <v>24/02/2004</v>
          </cell>
          <cell r="B21">
            <v>25.1</v>
          </cell>
          <cell r="C21">
            <v>64.25</v>
          </cell>
          <cell r="D21">
            <v>110.5</v>
          </cell>
          <cell r="E21">
            <v>51</v>
          </cell>
          <cell r="F21">
            <v>15.5</v>
          </cell>
          <cell r="G21">
            <v>4.2249999999999996</v>
          </cell>
          <cell r="H21">
            <v>12.45</v>
          </cell>
          <cell r="I21">
            <v>52.75</v>
          </cell>
          <cell r="J21">
            <v>127</v>
          </cell>
          <cell r="K21">
            <v>138</v>
          </cell>
          <cell r="L21">
            <v>20.5</v>
          </cell>
          <cell r="M21">
            <v>13756.41</v>
          </cell>
        </row>
        <row r="22">
          <cell r="A22" t="str">
            <v>25/02/2004</v>
          </cell>
          <cell r="B22">
            <v>24.95</v>
          </cell>
          <cell r="C22">
            <v>63.25</v>
          </cell>
          <cell r="D22">
            <v>109.5</v>
          </cell>
          <cell r="E22">
            <v>50.25</v>
          </cell>
          <cell r="F22">
            <v>15.15</v>
          </cell>
          <cell r="G22">
            <v>4.1749999999999998</v>
          </cell>
          <cell r="H22">
            <v>12.3</v>
          </cell>
          <cell r="I22">
            <v>52.75</v>
          </cell>
          <cell r="J22">
            <v>127</v>
          </cell>
          <cell r="K22">
            <v>137.5</v>
          </cell>
          <cell r="L22">
            <v>19.95</v>
          </cell>
          <cell r="M22">
            <v>13599.47</v>
          </cell>
        </row>
        <row r="23">
          <cell r="A23" t="str">
            <v>26/02/2004</v>
          </cell>
          <cell r="B23">
            <v>25.05</v>
          </cell>
          <cell r="C23">
            <v>61.25</v>
          </cell>
          <cell r="D23">
            <v>109</v>
          </cell>
          <cell r="E23">
            <v>49.4</v>
          </cell>
          <cell r="F23">
            <v>15.4</v>
          </cell>
          <cell r="G23">
            <v>4.1749999999999998</v>
          </cell>
          <cell r="H23">
            <v>12.4</v>
          </cell>
          <cell r="I23">
            <v>52</v>
          </cell>
          <cell r="J23">
            <v>127</v>
          </cell>
          <cell r="K23">
            <v>136</v>
          </cell>
          <cell r="L23">
            <v>20.75</v>
          </cell>
          <cell r="M23">
            <v>13674.64</v>
          </cell>
        </row>
        <row r="24">
          <cell r="A24" t="str">
            <v>27/02/2004</v>
          </cell>
          <cell r="B24">
            <v>25.3</v>
          </cell>
          <cell r="C24">
            <v>60</v>
          </cell>
          <cell r="D24">
            <v>110.5</v>
          </cell>
          <cell r="E24">
            <v>50.25</v>
          </cell>
          <cell r="F24">
            <v>15.9</v>
          </cell>
          <cell r="G24">
            <v>4.1500000000000004</v>
          </cell>
          <cell r="H24">
            <v>12.35</v>
          </cell>
          <cell r="I24">
            <v>52</v>
          </cell>
          <cell r="J24">
            <v>128</v>
          </cell>
          <cell r="K24">
            <v>138.5</v>
          </cell>
          <cell r="L24">
            <v>20.6</v>
          </cell>
          <cell r="M24">
            <v>13907.03</v>
          </cell>
        </row>
        <row r="25">
          <cell r="A25" t="str">
            <v>01/03/2004</v>
          </cell>
          <cell r="B25">
            <v>25.4</v>
          </cell>
          <cell r="C25">
            <v>60.25</v>
          </cell>
          <cell r="D25">
            <v>109</v>
          </cell>
          <cell r="E25">
            <v>50.5</v>
          </cell>
          <cell r="F25">
            <v>15.6</v>
          </cell>
          <cell r="G25">
            <v>4.1500000000000004</v>
          </cell>
          <cell r="H25">
            <v>12.35</v>
          </cell>
          <cell r="I25">
            <v>52</v>
          </cell>
          <cell r="J25">
            <v>127.5</v>
          </cell>
          <cell r="K25">
            <v>136.5</v>
          </cell>
          <cell r="L25">
            <v>20.65</v>
          </cell>
          <cell r="M25">
            <v>13918.65</v>
          </cell>
        </row>
        <row r="26">
          <cell r="A26" t="str">
            <v>02/03/2004</v>
          </cell>
          <cell r="B26">
            <v>25.25</v>
          </cell>
          <cell r="C26">
            <v>60.75</v>
          </cell>
          <cell r="D26">
            <v>105.5</v>
          </cell>
          <cell r="E26">
            <v>51</v>
          </cell>
          <cell r="F26">
            <v>15.3</v>
          </cell>
          <cell r="G26">
            <v>4.0999999999999996</v>
          </cell>
          <cell r="H26">
            <v>12.25</v>
          </cell>
          <cell r="I26">
            <v>53</v>
          </cell>
          <cell r="J26">
            <v>126</v>
          </cell>
          <cell r="K26">
            <v>135.5</v>
          </cell>
          <cell r="L26">
            <v>20.45</v>
          </cell>
          <cell r="M26">
            <v>13731.35</v>
          </cell>
        </row>
        <row r="27">
          <cell r="A27" t="str">
            <v>03/03/2004</v>
          </cell>
          <cell r="B27">
            <v>23.85</v>
          </cell>
          <cell r="C27">
            <v>62.25</v>
          </cell>
          <cell r="D27">
            <v>102.5</v>
          </cell>
          <cell r="E27">
            <v>50.5</v>
          </cell>
          <cell r="F27">
            <v>15.2</v>
          </cell>
          <cell r="G27">
            <v>3.95</v>
          </cell>
          <cell r="H27">
            <v>12</v>
          </cell>
          <cell r="I27">
            <v>53.25</v>
          </cell>
          <cell r="J27">
            <v>122.5</v>
          </cell>
          <cell r="K27">
            <v>136.5</v>
          </cell>
          <cell r="L27">
            <v>20.399999999999999</v>
          </cell>
          <cell r="M27">
            <v>13454.09</v>
          </cell>
        </row>
        <row r="28">
          <cell r="A28" t="str">
            <v>04/03/2004</v>
          </cell>
          <cell r="B28">
            <v>23.6</v>
          </cell>
          <cell r="C28">
            <v>63.25</v>
          </cell>
          <cell r="D28">
            <v>103</v>
          </cell>
          <cell r="E28">
            <v>50.25</v>
          </cell>
          <cell r="F28">
            <v>15.05</v>
          </cell>
          <cell r="G28">
            <v>3.875</v>
          </cell>
          <cell r="H28">
            <v>12.1</v>
          </cell>
          <cell r="I28">
            <v>54</v>
          </cell>
          <cell r="J28">
            <v>122.5</v>
          </cell>
          <cell r="K28">
            <v>136.5</v>
          </cell>
          <cell r="L28">
            <v>20.5</v>
          </cell>
          <cell r="M28">
            <v>13451.56</v>
          </cell>
        </row>
        <row r="29">
          <cell r="A29" t="str">
            <v>05/03/2004</v>
          </cell>
          <cell r="B29">
            <v>23.8</v>
          </cell>
          <cell r="C29">
            <v>62.75</v>
          </cell>
          <cell r="D29">
            <v>102</v>
          </cell>
          <cell r="E29">
            <v>50</v>
          </cell>
          <cell r="F29">
            <v>15.35</v>
          </cell>
          <cell r="G29">
            <v>3.875</v>
          </cell>
          <cell r="H29">
            <v>12.2</v>
          </cell>
          <cell r="I29">
            <v>53.5</v>
          </cell>
          <cell r="J29">
            <v>122</v>
          </cell>
          <cell r="K29">
            <v>136</v>
          </cell>
          <cell r="L29">
            <v>20.95</v>
          </cell>
          <cell r="M29">
            <v>13454.76</v>
          </cell>
        </row>
        <row r="30">
          <cell r="A30" t="str">
            <v>08/03/2004</v>
          </cell>
          <cell r="B30">
            <v>23.4</v>
          </cell>
          <cell r="C30">
            <v>65.25</v>
          </cell>
          <cell r="D30">
            <v>102</v>
          </cell>
          <cell r="E30">
            <v>50.25</v>
          </cell>
          <cell r="F30">
            <v>15.4</v>
          </cell>
          <cell r="G30">
            <v>3.875</v>
          </cell>
          <cell r="H30">
            <v>12.25</v>
          </cell>
          <cell r="I30">
            <v>53</v>
          </cell>
          <cell r="J30">
            <v>123</v>
          </cell>
          <cell r="K30">
            <v>136.5</v>
          </cell>
          <cell r="L30">
            <v>21.05</v>
          </cell>
          <cell r="M30">
            <v>13573.54</v>
          </cell>
        </row>
        <row r="31">
          <cell r="A31" t="str">
            <v>09/03/2004</v>
          </cell>
          <cell r="B31">
            <v>23</v>
          </cell>
          <cell r="C31">
            <v>65.5</v>
          </cell>
          <cell r="D31">
            <v>100.5</v>
          </cell>
          <cell r="E31">
            <v>51.75</v>
          </cell>
          <cell r="F31">
            <v>15.2</v>
          </cell>
          <cell r="G31">
            <v>3.85</v>
          </cell>
          <cell r="H31">
            <v>12.05</v>
          </cell>
          <cell r="I31">
            <v>53.75</v>
          </cell>
          <cell r="J31">
            <v>122</v>
          </cell>
          <cell r="K31">
            <v>136.5</v>
          </cell>
          <cell r="L31">
            <v>21.05</v>
          </cell>
          <cell r="M31">
            <v>13397.25</v>
          </cell>
        </row>
        <row r="32">
          <cell r="A32" t="str">
            <v>10/03/2004</v>
          </cell>
          <cell r="B32">
            <v>22.45</v>
          </cell>
          <cell r="C32">
            <v>64.5</v>
          </cell>
          <cell r="D32">
            <v>102</v>
          </cell>
          <cell r="E32">
            <v>51.5</v>
          </cell>
          <cell r="F32">
            <v>15.1</v>
          </cell>
          <cell r="G32">
            <v>3.7749999999999999</v>
          </cell>
          <cell r="H32">
            <v>11.95</v>
          </cell>
          <cell r="I32">
            <v>53</v>
          </cell>
          <cell r="J32">
            <v>121</v>
          </cell>
          <cell r="K32">
            <v>136</v>
          </cell>
          <cell r="L32">
            <v>20.9</v>
          </cell>
          <cell r="M32">
            <v>13214.2</v>
          </cell>
        </row>
        <row r="33">
          <cell r="A33" t="str">
            <v>11/03/2004</v>
          </cell>
          <cell r="B33">
            <v>22.45</v>
          </cell>
          <cell r="C33">
            <v>62.75</v>
          </cell>
          <cell r="D33">
            <v>100.5</v>
          </cell>
          <cell r="E33">
            <v>50.75</v>
          </cell>
          <cell r="F33">
            <v>14.85</v>
          </cell>
          <cell r="G33">
            <v>3.65</v>
          </cell>
          <cell r="H33">
            <v>11.65</v>
          </cell>
          <cell r="I33">
            <v>51.75</v>
          </cell>
          <cell r="J33">
            <v>120</v>
          </cell>
          <cell r="K33">
            <v>132</v>
          </cell>
          <cell r="L33">
            <v>20.45</v>
          </cell>
          <cell r="M33">
            <v>13024.06</v>
          </cell>
        </row>
        <row r="34">
          <cell r="A34" t="str">
            <v>12/03/2004</v>
          </cell>
          <cell r="B34">
            <v>22.45</v>
          </cell>
          <cell r="C34">
            <v>62.75</v>
          </cell>
          <cell r="D34">
            <v>102</v>
          </cell>
          <cell r="E34">
            <v>49.7</v>
          </cell>
          <cell r="F34">
            <v>14.8</v>
          </cell>
          <cell r="G34">
            <v>3.75</v>
          </cell>
          <cell r="H34">
            <v>11.45</v>
          </cell>
          <cell r="I34">
            <v>51.75</v>
          </cell>
          <cell r="J34">
            <v>119</v>
          </cell>
          <cell r="K34">
            <v>132</v>
          </cell>
          <cell r="L34">
            <v>20.149999999999999</v>
          </cell>
          <cell r="M34">
            <v>12932.23</v>
          </cell>
        </row>
        <row r="35">
          <cell r="A35" t="str">
            <v>15/03/2004</v>
          </cell>
          <cell r="B35">
            <v>22.6</v>
          </cell>
          <cell r="C35">
            <v>63.25</v>
          </cell>
          <cell r="D35">
            <v>99.25</v>
          </cell>
          <cell r="E35">
            <v>49.7</v>
          </cell>
          <cell r="F35">
            <v>14.85</v>
          </cell>
          <cell r="G35">
            <v>3.8</v>
          </cell>
          <cell r="H35">
            <v>11.4</v>
          </cell>
          <cell r="I35">
            <v>52.25</v>
          </cell>
          <cell r="J35">
            <v>119.5</v>
          </cell>
          <cell r="K35">
            <v>133</v>
          </cell>
          <cell r="L35">
            <v>20.350000000000001</v>
          </cell>
          <cell r="M35">
            <v>12919.41</v>
          </cell>
        </row>
        <row r="36">
          <cell r="A36" t="str">
            <v>16/03/2004</v>
          </cell>
          <cell r="B36">
            <v>22.95</v>
          </cell>
          <cell r="C36">
            <v>64.25</v>
          </cell>
          <cell r="D36">
            <v>99</v>
          </cell>
          <cell r="E36">
            <v>48</v>
          </cell>
          <cell r="F36">
            <v>14.7</v>
          </cell>
          <cell r="G36">
            <v>3.6749999999999998</v>
          </cell>
          <cell r="H36">
            <v>11.4</v>
          </cell>
          <cell r="I36">
            <v>51.5</v>
          </cell>
          <cell r="J36">
            <v>119.5</v>
          </cell>
          <cell r="K36">
            <v>131.5</v>
          </cell>
          <cell r="L36">
            <v>20.149999999999999</v>
          </cell>
          <cell r="M36">
            <v>12932.62</v>
          </cell>
        </row>
        <row r="37">
          <cell r="A37" t="str">
            <v>17/03/2004</v>
          </cell>
          <cell r="B37">
            <v>23.2</v>
          </cell>
          <cell r="C37">
            <v>66</v>
          </cell>
          <cell r="D37">
            <v>99.5</v>
          </cell>
          <cell r="E37">
            <v>49</v>
          </cell>
          <cell r="F37">
            <v>14.9</v>
          </cell>
          <cell r="G37">
            <v>3.75</v>
          </cell>
          <cell r="H37">
            <v>11.5</v>
          </cell>
          <cell r="I37">
            <v>52</v>
          </cell>
          <cell r="J37">
            <v>119</v>
          </cell>
          <cell r="K37">
            <v>131</v>
          </cell>
          <cell r="L37">
            <v>20.2</v>
          </cell>
          <cell r="M37">
            <v>12975.72</v>
          </cell>
        </row>
        <row r="38">
          <cell r="A38" t="str">
            <v>18/03/2004</v>
          </cell>
          <cell r="B38">
            <v>23.2</v>
          </cell>
          <cell r="C38">
            <v>66</v>
          </cell>
          <cell r="D38">
            <v>98.75</v>
          </cell>
          <cell r="E38">
            <v>49.4</v>
          </cell>
          <cell r="F38">
            <v>14.75</v>
          </cell>
          <cell r="G38">
            <v>3.75</v>
          </cell>
          <cell r="H38">
            <v>11.45</v>
          </cell>
          <cell r="I38">
            <v>52</v>
          </cell>
          <cell r="J38">
            <v>118.5</v>
          </cell>
          <cell r="K38">
            <v>132</v>
          </cell>
          <cell r="L38">
            <v>20.2</v>
          </cell>
          <cell r="M38">
            <v>12816.19</v>
          </cell>
        </row>
        <row r="39">
          <cell r="A39" t="str">
            <v>19/03/2004</v>
          </cell>
          <cell r="B39">
            <v>23.1</v>
          </cell>
          <cell r="C39">
            <v>58</v>
          </cell>
          <cell r="D39">
            <v>99.25</v>
          </cell>
          <cell r="E39">
            <v>49</v>
          </cell>
          <cell r="F39">
            <v>14.7</v>
          </cell>
          <cell r="G39">
            <v>3.625</v>
          </cell>
          <cell r="H39">
            <v>11.55</v>
          </cell>
          <cell r="I39">
            <v>51.75</v>
          </cell>
          <cell r="J39">
            <v>118.5</v>
          </cell>
          <cell r="K39">
            <v>134</v>
          </cell>
          <cell r="L39">
            <v>20.3</v>
          </cell>
          <cell r="M39">
            <v>12790.58</v>
          </cell>
        </row>
        <row r="40">
          <cell r="A40" t="str">
            <v>22/03/2004</v>
          </cell>
          <cell r="B40">
            <v>22.6</v>
          </cell>
          <cell r="C40">
            <v>53.5</v>
          </cell>
          <cell r="D40">
            <v>98.25</v>
          </cell>
          <cell r="E40">
            <v>49.5</v>
          </cell>
          <cell r="F40">
            <v>14.65</v>
          </cell>
          <cell r="G40">
            <v>3.5249999999999999</v>
          </cell>
          <cell r="H40">
            <v>11.25</v>
          </cell>
          <cell r="I40">
            <v>50.75</v>
          </cell>
          <cell r="J40">
            <v>116.5</v>
          </cell>
          <cell r="K40">
            <v>130.5</v>
          </cell>
          <cell r="L40">
            <v>20.25</v>
          </cell>
          <cell r="M40">
            <v>12550.91</v>
          </cell>
        </row>
        <row r="41">
          <cell r="A41" t="str">
            <v>23/03/2004</v>
          </cell>
          <cell r="B41">
            <v>22.5</v>
          </cell>
          <cell r="C41">
            <v>55</v>
          </cell>
          <cell r="D41">
            <v>98.5</v>
          </cell>
          <cell r="E41">
            <v>50.25</v>
          </cell>
          <cell r="F41">
            <v>14.8</v>
          </cell>
          <cell r="G41">
            <v>3.5249999999999999</v>
          </cell>
          <cell r="H41">
            <v>11.3</v>
          </cell>
          <cell r="I41">
            <v>51.25</v>
          </cell>
          <cell r="J41">
            <v>116.5</v>
          </cell>
          <cell r="K41">
            <v>131</v>
          </cell>
          <cell r="L41">
            <v>20.25</v>
          </cell>
          <cell r="M41">
            <v>12588.36</v>
          </cell>
        </row>
        <row r="42">
          <cell r="A42" t="str">
            <v>24/03/2004</v>
          </cell>
          <cell r="B42">
            <v>23</v>
          </cell>
          <cell r="C42">
            <v>56</v>
          </cell>
          <cell r="D42">
            <v>98.25</v>
          </cell>
          <cell r="E42">
            <v>49.1</v>
          </cell>
          <cell r="F42">
            <v>14.95</v>
          </cell>
          <cell r="G42">
            <v>3.5249999999999999</v>
          </cell>
          <cell r="H42">
            <v>11.4</v>
          </cell>
          <cell r="I42">
            <v>53.25</v>
          </cell>
          <cell r="J42">
            <v>117</v>
          </cell>
          <cell r="K42">
            <v>133</v>
          </cell>
          <cell r="L42">
            <v>17.55</v>
          </cell>
          <cell r="M42">
            <v>12678.13</v>
          </cell>
        </row>
        <row r="43">
          <cell r="A43" t="str">
            <v>25/03/2004</v>
          </cell>
          <cell r="B43">
            <v>22.95</v>
          </cell>
          <cell r="C43">
            <v>56</v>
          </cell>
          <cell r="D43">
            <v>97.25</v>
          </cell>
          <cell r="E43">
            <v>49.5</v>
          </cell>
          <cell r="F43">
            <v>14.8</v>
          </cell>
          <cell r="G43">
            <v>3.5</v>
          </cell>
          <cell r="H43">
            <v>11.2</v>
          </cell>
          <cell r="I43">
            <v>53.25</v>
          </cell>
          <cell r="J43">
            <v>115.5</v>
          </cell>
          <cell r="K43">
            <v>130</v>
          </cell>
          <cell r="L43">
            <v>17.05</v>
          </cell>
          <cell r="M43">
            <v>12520.21</v>
          </cell>
        </row>
        <row r="44">
          <cell r="A44" t="str">
            <v>26/03/2004</v>
          </cell>
          <cell r="B44">
            <v>23.05</v>
          </cell>
          <cell r="C44">
            <v>55.25</v>
          </cell>
          <cell r="D44">
            <v>97.75</v>
          </cell>
          <cell r="E44">
            <v>49.5</v>
          </cell>
          <cell r="F44">
            <v>14.8</v>
          </cell>
          <cell r="G44">
            <v>3.5</v>
          </cell>
          <cell r="H44">
            <v>11.05</v>
          </cell>
          <cell r="I44">
            <v>53.5</v>
          </cell>
          <cell r="J44">
            <v>115.5</v>
          </cell>
          <cell r="K44">
            <v>130.5</v>
          </cell>
          <cell r="L44">
            <v>17</v>
          </cell>
          <cell r="M44">
            <v>12483.24</v>
          </cell>
        </row>
        <row r="45">
          <cell r="A45" t="str">
            <v>29/03/2004</v>
          </cell>
          <cell r="B45">
            <v>22.85</v>
          </cell>
          <cell r="C45">
            <v>53.25</v>
          </cell>
          <cell r="D45">
            <v>98.25</v>
          </cell>
          <cell r="E45">
            <v>49</v>
          </cell>
          <cell r="F45">
            <v>14.65</v>
          </cell>
          <cell r="G45">
            <v>3.375</v>
          </cell>
          <cell r="H45">
            <v>10.85</v>
          </cell>
          <cell r="I45">
            <v>53.5</v>
          </cell>
          <cell r="J45">
            <v>115.5</v>
          </cell>
          <cell r="K45">
            <v>129</v>
          </cell>
          <cell r="L45">
            <v>16.350000000000001</v>
          </cell>
          <cell r="M45">
            <v>12427.34</v>
          </cell>
        </row>
        <row r="46">
          <cell r="A46" t="str">
            <v>30/03/2004</v>
          </cell>
          <cell r="B46">
            <v>23.4</v>
          </cell>
          <cell r="C46">
            <v>53</v>
          </cell>
          <cell r="D46">
            <v>101</v>
          </cell>
          <cell r="E46">
            <v>49.4</v>
          </cell>
          <cell r="F46">
            <v>14.8</v>
          </cell>
          <cell r="G46">
            <v>3.45</v>
          </cell>
          <cell r="H46">
            <v>10.95</v>
          </cell>
          <cell r="I46">
            <v>54</v>
          </cell>
          <cell r="J46">
            <v>116.5</v>
          </cell>
          <cell r="K46">
            <v>132.5</v>
          </cell>
          <cell r="L46">
            <v>16.850000000000001</v>
          </cell>
          <cell r="M46">
            <v>12641.39</v>
          </cell>
        </row>
        <row r="47">
          <cell r="A47" t="str">
            <v>31/03/2004</v>
          </cell>
          <cell r="B47">
            <v>23.55</v>
          </cell>
          <cell r="C47">
            <v>55</v>
          </cell>
          <cell r="D47">
            <v>99.5</v>
          </cell>
          <cell r="E47">
            <v>49.4</v>
          </cell>
          <cell r="F47">
            <v>14.85</v>
          </cell>
          <cell r="G47">
            <v>3.4249999999999998</v>
          </cell>
          <cell r="H47">
            <v>11.15</v>
          </cell>
          <cell r="I47">
            <v>54.25</v>
          </cell>
          <cell r="J47">
            <v>117.5</v>
          </cell>
          <cell r="K47">
            <v>132.5</v>
          </cell>
          <cell r="L47">
            <v>16.7</v>
          </cell>
          <cell r="M47">
            <v>12681.67</v>
          </cell>
        </row>
        <row r="48">
          <cell r="A48" t="str">
            <v>01/04/2004</v>
          </cell>
          <cell r="B48">
            <v>24.1</v>
          </cell>
          <cell r="C48">
            <v>54.5</v>
          </cell>
          <cell r="D48">
            <v>99.5</v>
          </cell>
          <cell r="E48">
            <v>50.25</v>
          </cell>
          <cell r="F48">
            <v>14.8</v>
          </cell>
          <cell r="G48">
            <v>3.4</v>
          </cell>
          <cell r="H48">
            <v>11.05</v>
          </cell>
          <cell r="I48">
            <v>55</v>
          </cell>
          <cell r="J48">
            <v>117</v>
          </cell>
          <cell r="K48">
            <v>130</v>
          </cell>
          <cell r="L48">
            <v>16.45</v>
          </cell>
          <cell r="M48">
            <v>12676.25</v>
          </cell>
        </row>
        <row r="49">
          <cell r="A49" t="str">
            <v>02/04/2004</v>
          </cell>
          <cell r="B49">
            <v>24.3</v>
          </cell>
          <cell r="C49">
            <v>52.75</v>
          </cell>
          <cell r="D49">
            <v>99.75</v>
          </cell>
          <cell r="E49">
            <v>52.5</v>
          </cell>
          <cell r="F49">
            <v>14.9</v>
          </cell>
          <cell r="G49">
            <v>3.6</v>
          </cell>
          <cell r="H49">
            <v>11.45</v>
          </cell>
          <cell r="I49">
            <v>56.5</v>
          </cell>
          <cell r="J49">
            <v>117.5</v>
          </cell>
          <cell r="K49">
            <v>131.5</v>
          </cell>
          <cell r="L49">
            <v>16.850000000000001</v>
          </cell>
          <cell r="M49">
            <v>12731.76</v>
          </cell>
        </row>
        <row r="50">
          <cell r="A50" t="str">
            <v>05/04/2004</v>
          </cell>
          <cell r="B50">
            <v>24.3</v>
          </cell>
          <cell r="C50">
            <v>52.75</v>
          </cell>
          <cell r="D50">
            <v>99.75</v>
          </cell>
          <cell r="E50">
            <v>52.5</v>
          </cell>
          <cell r="F50">
            <v>14.9</v>
          </cell>
          <cell r="G50">
            <v>3.6</v>
          </cell>
          <cell r="H50">
            <v>11.45</v>
          </cell>
          <cell r="I50">
            <v>56.5</v>
          </cell>
          <cell r="J50">
            <v>117.5</v>
          </cell>
          <cell r="K50">
            <v>131.5</v>
          </cell>
          <cell r="L50">
            <v>16.850000000000001</v>
          </cell>
          <cell r="M50">
            <v>12731.76</v>
          </cell>
        </row>
        <row r="51">
          <cell r="A51" t="str">
            <v>06/04/2004</v>
          </cell>
          <cell r="B51">
            <v>24.45</v>
          </cell>
          <cell r="C51">
            <v>54.75</v>
          </cell>
          <cell r="D51">
            <v>100.5</v>
          </cell>
          <cell r="E51">
            <v>54.75</v>
          </cell>
          <cell r="F51">
            <v>15</v>
          </cell>
          <cell r="G51">
            <v>3.7749999999999999</v>
          </cell>
          <cell r="H51">
            <v>11.6</v>
          </cell>
          <cell r="I51">
            <v>56.25</v>
          </cell>
          <cell r="J51">
            <v>117.5</v>
          </cell>
          <cell r="K51">
            <v>132</v>
          </cell>
          <cell r="L51">
            <v>17.149999999999999</v>
          </cell>
          <cell r="M51">
            <v>12886.97</v>
          </cell>
        </row>
        <row r="52">
          <cell r="A52" t="str">
            <v>07/04/2004</v>
          </cell>
          <cell r="B52">
            <v>25</v>
          </cell>
          <cell r="C52">
            <v>56.75</v>
          </cell>
          <cell r="D52">
            <v>99.75</v>
          </cell>
          <cell r="E52">
            <v>54.75</v>
          </cell>
          <cell r="F52">
            <v>15</v>
          </cell>
          <cell r="G52">
            <v>3.8250000000000002</v>
          </cell>
          <cell r="H52">
            <v>11.55</v>
          </cell>
          <cell r="I52">
            <v>56.75</v>
          </cell>
          <cell r="J52">
            <v>118.5</v>
          </cell>
          <cell r="K52">
            <v>132</v>
          </cell>
          <cell r="L52">
            <v>17.2</v>
          </cell>
          <cell r="M52">
            <v>12920.05</v>
          </cell>
        </row>
        <row r="53">
          <cell r="A53" t="str">
            <v>08/04/2004</v>
          </cell>
          <cell r="B53">
            <v>25</v>
          </cell>
          <cell r="C53">
            <v>58.25</v>
          </cell>
          <cell r="D53">
            <v>99.75</v>
          </cell>
          <cell r="E53">
            <v>55</v>
          </cell>
          <cell r="F53">
            <v>15.05</v>
          </cell>
          <cell r="G53">
            <v>3.7749999999999999</v>
          </cell>
          <cell r="H53">
            <v>11.65</v>
          </cell>
          <cell r="I53">
            <v>59.75</v>
          </cell>
          <cell r="J53">
            <v>118.5</v>
          </cell>
          <cell r="K53">
            <v>132</v>
          </cell>
          <cell r="L53">
            <v>17.100000000000001</v>
          </cell>
          <cell r="M53">
            <v>12909.37</v>
          </cell>
        </row>
        <row r="54">
          <cell r="A54" t="str">
            <v>12/04/2004</v>
          </cell>
          <cell r="B54">
            <v>25</v>
          </cell>
          <cell r="C54">
            <v>58.25</v>
          </cell>
          <cell r="D54">
            <v>99.75</v>
          </cell>
          <cell r="E54">
            <v>55</v>
          </cell>
          <cell r="F54">
            <v>15.05</v>
          </cell>
          <cell r="G54">
            <v>3.7749999999999999</v>
          </cell>
          <cell r="H54">
            <v>11.65</v>
          </cell>
          <cell r="I54">
            <v>59.75</v>
          </cell>
          <cell r="J54">
            <v>118.5</v>
          </cell>
          <cell r="K54">
            <v>132</v>
          </cell>
          <cell r="L54">
            <v>17.100000000000001</v>
          </cell>
          <cell r="M54">
            <v>12909.37</v>
          </cell>
        </row>
        <row r="55">
          <cell r="A55" t="str">
            <v>13/04/2004</v>
          </cell>
          <cell r="B55">
            <v>25</v>
          </cell>
          <cell r="C55">
            <v>57</v>
          </cell>
          <cell r="D55">
            <v>101</v>
          </cell>
          <cell r="E55">
            <v>53</v>
          </cell>
          <cell r="F55">
            <v>15.2</v>
          </cell>
          <cell r="G55">
            <v>3.75</v>
          </cell>
          <cell r="H55">
            <v>11.3</v>
          </cell>
          <cell r="I55">
            <v>58.5</v>
          </cell>
          <cell r="J55">
            <v>118.5</v>
          </cell>
          <cell r="K55">
            <v>132</v>
          </cell>
          <cell r="L55">
            <v>16.75</v>
          </cell>
          <cell r="M55">
            <v>13031.81</v>
          </cell>
        </row>
        <row r="56">
          <cell r="A56" t="str">
            <v>14/04/2004</v>
          </cell>
          <cell r="B56">
            <v>24.45</v>
          </cell>
          <cell r="C56">
            <v>55.75</v>
          </cell>
          <cell r="D56">
            <v>99.5</v>
          </cell>
          <cell r="E56">
            <v>52</v>
          </cell>
          <cell r="F56">
            <v>14.9</v>
          </cell>
          <cell r="G56">
            <v>3.5249999999999999</v>
          </cell>
          <cell r="H56">
            <v>10.9</v>
          </cell>
          <cell r="I56">
            <v>55.5</v>
          </cell>
          <cell r="J56">
            <v>116</v>
          </cell>
          <cell r="K56">
            <v>130</v>
          </cell>
          <cell r="L56">
            <v>16.45</v>
          </cell>
          <cell r="M56">
            <v>12669.86</v>
          </cell>
        </row>
        <row r="57">
          <cell r="A57" t="str">
            <v>15/04/2004</v>
          </cell>
          <cell r="B57">
            <v>23.2</v>
          </cell>
          <cell r="C57">
            <v>54.5</v>
          </cell>
          <cell r="D57">
            <v>98.75</v>
          </cell>
          <cell r="E57">
            <v>50.25</v>
          </cell>
          <cell r="F57">
            <v>14.65</v>
          </cell>
          <cell r="G57">
            <v>3.4</v>
          </cell>
          <cell r="H57">
            <v>10.5</v>
          </cell>
          <cell r="I57">
            <v>56</v>
          </cell>
          <cell r="J57">
            <v>115.5</v>
          </cell>
          <cell r="K57">
            <v>127.5</v>
          </cell>
          <cell r="L57">
            <v>16.100000000000001</v>
          </cell>
          <cell r="M57">
            <v>12479.26</v>
          </cell>
        </row>
        <row r="58">
          <cell r="A58" t="str">
            <v>16/04/2004</v>
          </cell>
          <cell r="B58">
            <v>23.15</v>
          </cell>
          <cell r="C58">
            <v>55.5</v>
          </cell>
          <cell r="D58">
            <v>98.25</v>
          </cell>
          <cell r="E58">
            <v>52.25</v>
          </cell>
          <cell r="F58">
            <v>14.65</v>
          </cell>
          <cell r="G58">
            <v>3.5</v>
          </cell>
          <cell r="H58">
            <v>10.65</v>
          </cell>
          <cell r="I58">
            <v>56.25</v>
          </cell>
          <cell r="J58">
            <v>115</v>
          </cell>
          <cell r="K58">
            <v>124.5</v>
          </cell>
          <cell r="L58">
            <v>16.25</v>
          </cell>
          <cell r="M58">
            <v>12458.38</v>
          </cell>
        </row>
        <row r="59">
          <cell r="A59" t="str">
            <v>19/04/2004</v>
          </cell>
          <cell r="B59">
            <v>23.25</v>
          </cell>
          <cell r="C59">
            <v>56.5</v>
          </cell>
          <cell r="D59">
            <v>98</v>
          </cell>
          <cell r="E59">
            <v>51</v>
          </cell>
          <cell r="F59">
            <v>14.6</v>
          </cell>
          <cell r="G59">
            <v>3.45</v>
          </cell>
          <cell r="H59">
            <v>10.65</v>
          </cell>
          <cell r="I59">
            <v>56.25</v>
          </cell>
          <cell r="J59">
            <v>115.5</v>
          </cell>
          <cell r="K59">
            <v>125</v>
          </cell>
          <cell r="L59">
            <v>16.3</v>
          </cell>
          <cell r="M59">
            <v>12450</v>
          </cell>
        </row>
        <row r="60">
          <cell r="A60" t="str">
            <v>20/04/2004</v>
          </cell>
          <cell r="B60">
            <v>23.35</v>
          </cell>
          <cell r="C60">
            <v>54.5</v>
          </cell>
          <cell r="D60">
            <v>98</v>
          </cell>
          <cell r="E60">
            <v>51</v>
          </cell>
          <cell r="F60">
            <v>14.4</v>
          </cell>
          <cell r="G60">
            <v>3.45</v>
          </cell>
          <cell r="H60">
            <v>10.25</v>
          </cell>
          <cell r="I60">
            <v>57.75</v>
          </cell>
          <cell r="J60">
            <v>115.5</v>
          </cell>
          <cell r="K60">
            <v>126</v>
          </cell>
          <cell r="L60">
            <v>16.149999999999999</v>
          </cell>
          <cell r="M60">
            <v>12394.37</v>
          </cell>
        </row>
        <row r="61">
          <cell r="A61" t="str">
            <v>21/04/2004</v>
          </cell>
          <cell r="B61">
            <v>23.2</v>
          </cell>
          <cell r="C61">
            <v>53</v>
          </cell>
          <cell r="D61">
            <v>98</v>
          </cell>
          <cell r="E61">
            <v>51.25</v>
          </cell>
          <cell r="F61">
            <v>14</v>
          </cell>
          <cell r="G61">
            <v>3.2749999999999999</v>
          </cell>
          <cell r="H61">
            <v>9.65</v>
          </cell>
          <cell r="I61">
            <v>58</v>
          </cell>
          <cell r="J61">
            <v>115</v>
          </cell>
          <cell r="K61">
            <v>124.5</v>
          </cell>
          <cell r="L61">
            <v>15.5</v>
          </cell>
          <cell r="M61">
            <v>12227.3</v>
          </cell>
        </row>
        <row r="62">
          <cell r="A62" t="str">
            <v>22/04/2004</v>
          </cell>
          <cell r="B62">
            <v>22.8</v>
          </cell>
          <cell r="C62">
            <v>55.25</v>
          </cell>
          <cell r="D62">
            <v>98.25</v>
          </cell>
          <cell r="E62">
            <v>50.25</v>
          </cell>
          <cell r="F62">
            <v>13.95</v>
          </cell>
          <cell r="G62">
            <v>3.3250000000000002</v>
          </cell>
          <cell r="H62">
            <v>9.85</v>
          </cell>
          <cell r="I62">
            <v>58</v>
          </cell>
          <cell r="J62">
            <v>115</v>
          </cell>
          <cell r="K62">
            <v>123.5</v>
          </cell>
          <cell r="L62">
            <v>15.2</v>
          </cell>
          <cell r="M62">
            <v>12167.7</v>
          </cell>
        </row>
        <row r="63">
          <cell r="A63" t="str">
            <v>23/04/2004</v>
          </cell>
          <cell r="B63">
            <v>23.45</v>
          </cell>
          <cell r="C63">
            <v>57.75</v>
          </cell>
          <cell r="D63">
            <v>99.25</v>
          </cell>
          <cell r="E63">
            <v>51.25</v>
          </cell>
          <cell r="F63">
            <v>14.3</v>
          </cell>
          <cell r="G63">
            <v>3.4</v>
          </cell>
          <cell r="H63">
            <v>10.199999999999999</v>
          </cell>
          <cell r="I63">
            <v>59.25</v>
          </cell>
          <cell r="J63">
            <v>116</v>
          </cell>
          <cell r="K63">
            <v>125</v>
          </cell>
          <cell r="L63">
            <v>15.7</v>
          </cell>
          <cell r="M63">
            <v>12383.94</v>
          </cell>
        </row>
        <row r="64">
          <cell r="A64" t="str">
            <v>26/04/2004</v>
          </cell>
          <cell r="B64">
            <v>22.8</v>
          </cell>
          <cell r="C64">
            <v>57.75</v>
          </cell>
          <cell r="D64">
            <v>98</v>
          </cell>
          <cell r="E64">
            <v>51</v>
          </cell>
          <cell r="F64">
            <v>14.1</v>
          </cell>
          <cell r="G64">
            <v>3.2749999999999999</v>
          </cell>
          <cell r="H64">
            <v>9.9499999999999993</v>
          </cell>
          <cell r="I64">
            <v>58.5</v>
          </cell>
          <cell r="J64">
            <v>115</v>
          </cell>
          <cell r="K64">
            <v>125</v>
          </cell>
          <cell r="L64">
            <v>15.9</v>
          </cell>
          <cell r="M64">
            <v>12132.68</v>
          </cell>
        </row>
        <row r="65">
          <cell r="A65" t="str">
            <v>27/04/2004</v>
          </cell>
          <cell r="B65">
            <v>22.95</v>
          </cell>
          <cell r="C65">
            <v>58</v>
          </cell>
          <cell r="D65">
            <v>97.75</v>
          </cell>
          <cell r="E65">
            <v>51</v>
          </cell>
          <cell r="F65">
            <v>14</v>
          </cell>
          <cell r="G65">
            <v>3.25</v>
          </cell>
          <cell r="H65">
            <v>9.85</v>
          </cell>
          <cell r="I65">
            <v>60</v>
          </cell>
          <cell r="J65">
            <v>115.5</v>
          </cell>
          <cell r="K65">
            <v>125</v>
          </cell>
          <cell r="L65">
            <v>16</v>
          </cell>
          <cell r="M65">
            <v>12154.91</v>
          </cell>
        </row>
        <row r="66">
          <cell r="A66" t="str">
            <v>28/04/2004</v>
          </cell>
          <cell r="B66">
            <v>23.1</v>
          </cell>
          <cell r="C66">
            <v>57.5</v>
          </cell>
          <cell r="D66">
            <v>97.75</v>
          </cell>
          <cell r="E66">
            <v>51.25</v>
          </cell>
          <cell r="F66">
            <v>13.95</v>
          </cell>
          <cell r="G66">
            <v>3.2749999999999999</v>
          </cell>
          <cell r="H66">
            <v>10.1</v>
          </cell>
          <cell r="I66">
            <v>58.75</v>
          </cell>
          <cell r="J66">
            <v>116</v>
          </cell>
          <cell r="K66">
            <v>125.5</v>
          </cell>
          <cell r="L66">
            <v>16.05</v>
          </cell>
          <cell r="M66">
            <v>12165.31</v>
          </cell>
        </row>
        <row r="67">
          <cell r="A67" t="str">
            <v>29/04/2004</v>
          </cell>
          <cell r="B67">
            <v>22.8</v>
          </cell>
          <cell r="C67">
            <v>55.75</v>
          </cell>
          <cell r="D67">
            <v>97.5</v>
          </cell>
          <cell r="E67">
            <v>49.4</v>
          </cell>
          <cell r="F67">
            <v>13.5</v>
          </cell>
          <cell r="G67">
            <v>3.1</v>
          </cell>
          <cell r="H67">
            <v>9.75</v>
          </cell>
          <cell r="I67">
            <v>56.25</v>
          </cell>
          <cell r="J67">
            <v>114.5</v>
          </cell>
          <cell r="K67">
            <v>122.5</v>
          </cell>
          <cell r="L67">
            <v>15.65</v>
          </cell>
          <cell r="M67">
            <v>12005.58</v>
          </cell>
        </row>
        <row r="68">
          <cell r="A68" t="str">
            <v>30/04/2004</v>
          </cell>
          <cell r="B68">
            <v>22.8</v>
          </cell>
          <cell r="C68">
            <v>56</v>
          </cell>
          <cell r="D68">
            <v>99</v>
          </cell>
          <cell r="E68">
            <v>49.5</v>
          </cell>
          <cell r="F68">
            <v>13.3</v>
          </cell>
          <cell r="G68">
            <v>3.125</v>
          </cell>
          <cell r="H68">
            <v>9.35</v>
          </cell>
          <cell r="I68">
            <v>56.5</v>
          </cell>
          <cell r="J68">
            <v>114</v>
          </cell>
          <cell r="K68">
            <v>122.5</v>
          </cell>
          <cell r="L68">
            <v>15.6</v>
          </cell>
          <cell r="M68">
            <v>11942.96</v>
          </cell>
        </row>
        <row r="69">
          <cell r="A69" t="str">
            <v>03/05/2004</v>
          </cell>
          <cell r="B69">
            <v>22.65</v>
          </cell>
          <cell r="C69">
            <v>56</v>
          </cell>
          <cell r="D69">
            <v>99.25</v>
          </cell>
          <cell r="E69">
            <v>50.25</v>
          </cell>
          <cell r="F69">
            <v>13.25</v>
          </cell>
          <cell r="G69">
            <v>3.1</v>
          </cell>
          <cell r="H69">
            <v>9.5500000000000007</v>
          </cell>
          <cell r="I69">
            <v>56.5</v>
          </cell>
          <cell r="J69">
            <v>113.5</v>
          </cell>
          <cell r="K69">
            <v>122</v>
          </cell>
          <cell r="L69">
            <v>15.7</v>
          </cell>
          <cell r="M69">
            <v>11950.62</v>
          </cell>
        </row>
        <row r="70">
          <cell r="A70" t="str">
            <v>04/05/2004</v>
          </cell>
          <cell r="B70">
            <v>22.8</v>
          </cell>
          <cell r="C70">
            <v>55</v>
          </cell>
          <cell r="D70">
            <v>100</v>
          </cell>
          <cell r="E70">
            <v>50.5</v>
          </cell>
          <cell r="F70">
            <v>13.5</v>
          </cell>
          <cell r="G70">
            <v>3.3</v>
          </cell>
          <cell r="H70">
            <v>9.75</v>
          </cell>
          <cell r="I70">
            <v>58.75</v>
          </cell>
          <cell r="J70">
            <v>114</v>
          </cell>
          <cell r="K70">
            <v>121</v>
          </cell>
          <cell r="L70">
            <v>16.3</v>
          </cell>
          <cell r="M70">
            <v>12098.3</v>
          </cell>
        </row>
        <row r="71">
          <cell r="A71" t="str">
            <v>05/05/2004</v>
          </cell>
          <cell r="B71">
            <v>22.45</v>
          </cell>
          <cell r="C71">
            <v>54.75</v>
          </cell>
          <cell r="D71">
            <v>99</v>
          </cell>
          <cell r="E71">
            <v>50.25</v>
          </cell>
          <cell r="F71">
            <v>13.45</v>
          </cell>
          <cell r="G71">
            <v>3.15</v>
          </cell>
          <cell r="H71">
            <v>9.85</v>
          </cell>
          <cell r="I71">
            <v>58.5</v>
          </cell>
          <cell r="J71">
            <v>114</v>
          </cell>
          <cell r="K71">
            <v>123</v>
          </cell>
          <cell r="L71">
            <v>16.399999999999999</v>
          </cell>
          <cell r="M71">
            <v>11950.46</v>
          </cell>
        </row>
        <row r="72">
          <cell r="A72" t="str">
            <v>06/05/2004</v>
          </cell>
          <cell r="B72">
            <v>22.3</v>
          </cell>
          <cell r="C72">
            <v>54.5</v>
          </cell>
          <cell r="D72">
            <v>99.75</v>
          </cell>
          <cell r="E72">
            <v>51</v>
          </cell>
          <cell r="F72">
            <v>13.6</v>
          </cell>
          <cell r="G72">
            <v>3.1</v>
          </cell>
          <cell r="H72">
            <v>9.8000000000000007</v>
          </cell>
          <cell r="I72">
            <v>57</v>
          </cell>
          <cell r="J72">
            <v>114.5</v>
          </cell>
          <cell r="K72">
            <v>123.5</v>
          </cell>
          <cell r="L72">
            <v>16.899999999999999</v>
          </cell>
          <cell r="M72">
            <v>12010.31</v>
          </cell>
        </row>
        <row r="73">
          <cell r="A73" t="str">
            <v>07/05/2004</v>
          </cell>
          <cell r="B73">
            <v>21.8</v>
          </cell>
          <cell r="C73">
            <v>54</v>
          </cell>
          <cell r="D73">
            <v>99</v>
          </cell>
          <cell r="E73">
            <v>50</v>
          </cell>
          <cell r="F73">
            <v>13.6</v>
          </cell>
          <cell r="G73">
            <v>3.125</v>
          </cell>
          <cell r="H73">
            <v>9.5500000000000007</v>
          </cell>
          <cell r="I73">
            <v>56.5</v>
          </cell>
          <cell r="J73">
            <v>114</v>
          </cell>
          <cell r="K73">
            <v>121.5</v>
          </cell>
          <cell r="L73">
            <v>16.600000000000001</v>
          </cell>
          <cell r="M73">
            <v>11910.76</v>
          </cell>
        </row>
        <row r="74">
          <cell r="A74" t="str">
            <v>10/05/2004</v>
          </cell>
          <cell r="B74">
            <v>20.45</v>
          </cell>
          <cell r="C74">
            <v>53.75</v>
          </cell>
          <cell r="D74">
            <v>97.5</v>
          </cell>
          <cell r="E74">
            <v>49</v>
          </cell>
          <cell r="F74">
            <v>12.8</v>
          </cell>
          <cell r="G74">
            <v>2.95</v>
          </cell>
          <cell r="H74">
            <v>9</v>
          </cell>
          <cell r="I74">
            <v>52.5</v>
          </cell>
          <cell r="J74">
            <v>112</v>
          </cell>
          <cell r="K74">
            <v>118</v>
          </cell>
          <cell r="L74">
            <v>15.75</v>
          </cell>
          <cell r="M74">
            <v>11485.5</v>
          </cell>
        </row>
        <row r="75">
          <cell r="A75" t="str">
            <v>11/05/2004</v>
          </cell>
          <cell r="B75">
            <v>20.65</v>
          </cell>
          <cell r="C75">
            <v>54.5</v>
          </cell>
          <cell r="D75">
            <v>97.75</v>
          </cell>
          <cell r="E75">
            <v>47.3</v>
          </cell>
          <cell r="F75">
            <v>12.7</v>
          </cell>
          <cell r="G75">
            <v>3.05</v>
          </cell>
          <cell r="H75">
            <v>9.15</v>
          </cell>
          <cell r="I75">
            <v>54.5</v>
          </cell>
          <cell r="J75">
            <v>112</v>
          </cell>
          <cell r="K75">
            <v>117.5</v>
          </cell>
          <cell r="L75">
            <v>16</v>
          </cell>
          <cell r="M75">
            <v>11508.09</v>
          </cell>
        </row>
        <row r="76">
          <cell r="A76" t="str">
            <v>12/05/2004</v>
          </cell>
          <cell r="B76">
            <v>21.2</v>
          </cell>
          <cell r="C76">
            <v>54.5</v>
          </cell>
          <cell r="D76">
            <v>97.75</v>
          </cell>
          <cell r="E76">
            <v>47.8</v>
          </cell>
          <cell r="F76">
            <v>12.8</v>
          </cell>
          <cell r="G76">
            <v>3.05</v>
          </cell>
          <cell r="H76">
            <v>9.25</v>
          </cell>
          <cell r="I76">
            <v>55</v>
          </cell>
          <cell r="J76">
            <v>111.5</v>
          </cell>
          <cell r="K76">
            <v>119.5</v>
          </cell>
          <cell r="L76">
            <v>16.25</v>
          </cell>
          <cell r="M76">
            <v>11528.18</v>
          </cell>
        </row>
        <row r="77">
          <cell r="A77" t="str">
            <v>13/05/2004</v>
          </cell>
          <cell r="B77">
            <v>20.5</v>
          </cell>
          <cell r="C77">
            <v>54.5</v>
          </cell>
          <cell r="D77">
            <v>96.5</v>
          </cell>
          <cell r="E77">
            <v>45.9</v>
          </cell>
          <cell r="F77">
            <v>12.6</v>
          </cell>
          <cell r="G77">
            <v>2.875</v>
          </cell>
          <cell r="H77">
            <v>8.85</v>
          </cell>
          <cell r="I77">
            <v>54</v>
          </cell>
          <cell r="J77">
            <v>111</v>
          </cell>
          <cell r="K77">
            <v>120.5</v>
          </cell>
          <cell r="L77">
            <v>16</v>
          </cell>
          <cell r="M77">
            <v>11396.94</v>
          </cell>
        </row>
        <row r="78">
          <cell r="A78" t="str">
            <v>14/05/2004</v>
          </cell>
          <cell r="B78">
            <v>20.05</v>
          </cell>
          <cell r="C78">
            <v>52.25</v>
          </cell>
          <cell r="D78">
            <v>96.5</v>
          </cell>
          <cell r="E78">
            <v>42.3</v>
          </cell>
          <cell r="F78">
            <v>12.45</v>
          </cell>
          <cell r="G78">
            <v>2.65</v>
          </cell>
          <cell r="H78">
            <v>8.6999999999999993</v>
          </cell>
          <cell r="I78">
            <v>51</v>
          </cell>
          <cell r="J78">
            <v>110.5</v>
          </cell>
          <cell r="K78">
            <v>116</v>
          </cell>
          <cell r="L78">
            <v>15.55</v>
          </cell>
          <cell r="M78">
            <v>11276.86</v>
          </cell>
        </row>
        <row r="79">
          <cell r="A79" t="str">
            <v>17/05/2004</v>
          </cell>
          <cell r="B79">
            <v>19.850000000000001</v>
          </cell>
          <cell r="C79">
            <v>46</v>
          </cell>
          <cell r="D79">
            <v>95.25</v>
          </cell>
          <cell r="E79">
            <v>39.700000000000003</v>
          </cell>
          <cell r="F79">
            <v>11.6</v>
          </cell>
          <cell r="G79">
            <v>2.4</v>
          </cell>
          <cell r="H79">
            <v>8.35</v>
          </cell>
          <cell r="I79">
            <v>45.1</v>
          </cell>
          <cell r="J79">
            <v>109.5</v>
          </cell>
          <cell r="K79">
            <v>116</v>
          </cell>
          <cell r="L79">
            <v>14.65</v>
          </cell>
          <cell r="M79">
            <v>10967.65</v>
          </cell>
        </row>
        <row r="80">
          <cell r="A80" t="str">
            <v>18/05/2004</v>
          </cell>
          <cell r="B80">
            <v>20.05</v>
          </cell>
          <cell r="C80">
            <v>47.4</v>
          </cell>
          <cell r="D80">
            <v>95</v>
          </cell>
          <cell r="E80">
            <v>40</v>
          </cell>
          <cell r="F80">
            <v>11.7</v>
          </cell>
          <cell r="G80">
            <v>2.65</v>
          </cell>
          <cell r="H80">
            <v>8.6999999999999993</v>
          </cell>
          <cell r="I80">
            <v>47.3</v>
          </cell>
          <cell r="J80">
            <v>109.5</v>
          </cell>
          <cell r="K80">
            <v>116</v>
          </cell>
          <cell r="L80">
            <v>14.6</v>
          </cell>
          <cell r="M80">
            <v>11072.39</v>
          </cell>
        </row>
        <row r="81">
          <cell r="A81" t="str">
            <v>19/05/2004</v>
          </cell>
          <cell r="B81">
            <v>20.9</v>
          </cell>
          <cell r="C81">
            <v>50</v>
          </cell>
          <cell r="D81">
            <v>96.25</v>
          </cell>
          <cell r="E81">
            <v>43.7</v>
          </cell>
          <cell r="F81">
            <v>12.4</v>
          </cell>
          <cell r="G81">
            <v>2.95</v>
          </cell>
          <cell r="H81">
            <v>9.1999999999999993</v>
          </cell>
          <cell r="I81">
            <v>49.9</v>
          </cell>
          <cell r="J81">
            <v>111</v>
          </cell>
          <cell r="K81">
            <v>119</v>
          </cell>
          <cell r="L81">
            <v>15.2</v>
          </cell>
          <cell r="M81">
            <v>11469.41</v>
          </cell>
        </row>
        <row r="82">
          <cell r="A82" t="str">
            <v>20/05/2004</v>
          </cell>
          <cell r="B82">
            <v>20.95</v>
          </cell>
          <cell r="C82">
            <v>52</v>
          </cell>
          <cell r="D82">
            <v>95.5</v>
          </cell>
          <cell r="E82">
            <v>43.2</v>
          </cell>
          <cell r="F82">
            <v>12.25</v>
          </cell>
          <cell r="G82">
            <v>2.85</v>
          </cell>
          <cell r="H82">
            <v>9</v>
          </cell>
          <cell r="I82">
            <v>48.8</v>
          </cell>
          <cell r="J82">
            <v>110</v>
          </cell>
          <cell r="K82">
            <v>120.5</v>
          </cell>
          <cell r="L82">
            <v>15.15</v>
          </cell>
          <cell r="M82">
            <v>11339.62</v>
          </cell>
        </row>
        <row r="83">
          <cell r="A83" t="str">
            <v>21/05/2004</v>
          </cell>
          <cell r="B83">
            <v>21.25</v>
          </cell>
          <cell r="C83">
            <v>52</v>
          </cell>
          <cell r="D83">
            <v>96.75</v>
          </cell>
          <cell r="E83">
            <v>43.8</v>
          </cell>
          <cell r="F83">
            <v>12.45</v>
          </cell>
          <cell r="G83">
            <v>2.85</v>
          </cell>
          <cell r="H83">
            <v>9.1999999999999993</v>
          </cell>
          <cell r="I83">
            <v>49.5</v>
          </cell>
          <cell r="J83">
            <v>111</v>
          </cell>
          <cell r="K83">
            <v>122.5</v>
          </cell>
          <cell r="L83">
            <v>15.35</v>
          </cell>
          <cell r="M83">
            <v>11576.01</v>
          </cell>
        </row>
        <row r="84">
          <cell r="A84" t="str">
            <v>24/05/2004</v>
          </cell>
          <cell r="B84">
            <v>21.7</v>
          </cell>
          <cell r="C84">
            <v>52.25</v>
          </cell>
          <cell r="D84">
            <v>97.75</v>
          </cell>
          <cell r="E84">
            <v>44.5</v>
          </cell>
          <cell r="F84">
            <v>12.55</v>
          </cell>
          <cell r="G84">
            <v>2.875</v>
          </cell>
          <cell r="H84">
            <v>9.35</v>
          </cell>
          <cell r="I84">
            <v>48.7</v>
          </cell>
          <cell r="J84">
            <v>111</v>
          </cell>
          <cell r="K84">
            <v>125.5</v>
          </cell>
          <cell r="L84">
            <v>15.7</v>
          </cell>
          <cell r="M84">
            <v>11662.97</v>
          </cell>
        </row>
        <row r="85">
          <cell r="A85" t="str">
            <v>25/05/2004</v>
          </cell>
          <cell r="B85">
            <v>21.95</v>
          </cell>
          <cell r="C85">
            <v>51.75</v>
          </cell>
          <cell r="D85">
            <v>96.5</v>
          </cell>
          <cell r="E85">
            <v>43.9</v>
          </cell>
          <cell r="F85">
            <v>12.65</v>
          </cell>
          <cell r="G85">
            <v>2.9</v>
          </cell>
          <cell r="H85">
            <v>9.25</v>
          </cell>
          <cell r="I85">
            <v>49</v>
          </cell>
          <cell r="J85">
            <v>111</v>
          </cell>
          <cell r="K85">
            <v>124</v>
          </cell>
          <cell r="L85">
            <v>15.45</v>
          </cell>
          <cell r="M85">
            <v>11692.56</v>
          </cell>
        </row>
        <row r="86">
          <cell r="A86" t="str">
            <v>26/05/2004</v>
          </cell>
          <cell r="B86">
            <v>21.95</v>
          </cell>
          <cell r="C86">
            <v>51.75</v>
          </cell>
          <cell r="D86">
            <v>96.5</v>
          </cell>
          <cell r="E86">
            <v>43.9</v>
          </cell>
          <cell r="F86">
            <v>12.65</v>
          </cell>
          <cell r="G86">
            <v>2.9</v>
          </cell>
          <cell r="H86">
            <v>9.25</v>
          </cell>
          <cell r="I86">
            <v>49</v>
          </cell>
          <cell r="J86">
            <v>111</v>
          </cell>
          <cell r="K86">
            <v>124</v>
          </cell>
          <cell r="L86">
            <v>15.45</v>
          </cell>
          <cell r="M86">
            <v>11692.56</v>
          </cell>
        </row>
        <row r="87">
          <cell r="A87" t="str">
            <v>27/05/2004</v>
          </cell>
          <cell r="B87">
            <v>22.6</v>
          </cell>
          <cell r="C87">
            <v>51</v>
          </cell>
          <cell r="D87">
            <v>97.75</v>
          </cell>
          <cell r="E87">
            <v>45.1</v>
          </cell>
          <cell r="F87">
            <v>13.05</v>
          </cell>
          <cell r="G87">
            <v>3.0249999999999999</v>
          </cell>
          <cell r="H87">
            <v>9.75</v>
          </cell>
          <cell r="I87">
            <v>49</v>
          </cell>
          <cell r="J87">
            <v>114</v>
          </cell>
          <cell r="K87">
            <v>128.5</v>
          </cell>
          <cell r="L87">
            <v>15.9</v>
          </cell>
          <cell r="M87">
            <v>11983.9</v>
          </cell>
        </row>
        <row r="88">
          <cell r="A88" t="str">
            <v>28/05/2004</v>
          </cell>
          <cell r="B88">
            <v>22.15</v>
          </cell>
          <cell r="C88">
            <v>52.5</v>
          </cell>
          <cell r="D88">
            <v>98.75</v>
          </cell>
          <cell r="E88">
            <v>45.6</v>
          </cell>
          <cell r="F88">
            <v>13.5</v>
          </cell>
          <cell r="G88">
            <v>3.1</v>
          </cell>
          <cell r="H88">
            <v>10</v>
          </cell>
          <cell r="I88">
            <v>50</v>
          </cell>
          <cell r="J88">
            <v>115.5</v>
          </cell>
          <cell r="K88">
            <v>129.5</v>
          </cell>
          <cell r="L88">
            <v>16.2</v>
          </cell>
          <cell r="M88">
            <v>12116.87</v>
          </cell>
        </row>
        <row r="89">
          <cell r="A89" t="str">
            <v>01/06/2004</v>
          </cell>
          <cell r="B89">
            <v>22.6</v>
          </cell>
          <cell r="C89">
            <v>51</v>
          </cell>
          <cell r="D89">
            <v>99.5</v>
          </cell>
          <cell r="E89">
            <v>44.8</v>
          </cell>
          <cell r="F89">
            <v>13.65</v>
          </cell>
          <cell r="G89">
            <v>2.95</v>
          </cell>
          <cell r="H89">
            <v>9.85</v>
          </cell>
          <cell r="I89">
            <v>52</v>
          </cell>
          <cell r="J89">
            <v>116</v>
          </cell>
          <cell r="K89">
            <v>128</v>
          </cell>
          <cell r="L89">
            <v>16.05</v>
          </cell>
          <cell r="M89">
            <v>12105.55</v>
          </cell>
        </row>
        <row r="90">
          <cell r="A90" t="str">
            <v>02/06/2004</v>
          </cell>
          <cell r="B90">
            <v>22.85</v>
          </cell>
          <cell r="C90">
            <v>51.5</v>
          </cell>
          <cell r="D90">
            <v>100</v>
          </cell>
          <cell r="E90">
            <v>44.8</v>
          </cell>
          <cell r="F90">
            <v>13.65</v>
          </cell>
          <cell r="G90">
            <v>2.95</v>
          </cell>
          <cell r="H90">
            <v>9.9</v>
          </cell>
          <cell r="I90">
            <v>52.5</v>
          </cell>
          <cell r="J90">
            <v>117.5</v>
          </cell>
          <cell r="K90">
            <v>129.5</v>
          </cell>
          <cell r="L90">
            <v>16.100000000000001</v>
          </cell>
          <cell r="M90">
            <v>12201.75</v>
          </cell>
        </row>
        <row r="91">
          <cell r="A91" t="str">
            <v>03/06/2004</v>
          </cell>
          <cell r="B91">
            <v>22.15</v>
          </cell>
          <cell r="C91">
            <v>50.25</v>
          </cell>
          <cell r="D91">
            <v>99</v>
          </cell>
          <cell r="E91">
            <v>43.6</v>
          </cell>
          <cell r="F91">
            <v>13.15</v>
          </cell>
          <cell r="G91">
            <v>2.85</v>
          </cell>
          <cell r="H91">
            <v>9.6</v>
          </cell>
          <cell r="I91">
            <v>52</v>
          </cell>
          <cell r="J91">
            <v>116</v>
          </cell>
          <cell r="K91">
            <v>129</v>
          </cell>
          <cell r="L91">
            <v>15.75</v>
          </cell>
          <cell r="M91">
            <v>11929.93</v>
          </cell>
        </row>
        <row r="92">
          <cell r="A92" t="str">
            <v>04/06/2004</v>
          </cell>
          <cell r="B92">
            <v>22.45</v>
          </cell>
          <cell r="C92">
            <v>50.25</v>
          </cell>
          <cell r="D92">
            <v>99.5</v>
          </cell>
          <cell r="E92">
            <v>43.9</v>
          </cell>
          <cell r="F92">
            <v>13.25</v>
          </cell>
          <cell r="G92">
            <v>2.8</v>
          </cell>
          <cell r="H92">
            <v>9.6999999999999993</v>
          </cell>
          <cell r="I92">
            <v>52</v>
          </cell>
          <cell r="J92">
            <v>117</v>
          </cell>
          <cell r="K92">
            <v>130</v>
          </cell>
          <cell r="L92">
            <v>15.45</v>
          </cell>
          <cell r="M92">
            <v>12022.64</v>
          </cell>
        </row>
        <row r="93">
          <cell r="A93" t="str">
            <v>07/06/2004</v>
          </cell>
          <cell r="B93">
            <v>23</v>
          </cell>
          <cell r="C93">
            <v>50.25</v>
          </cell>
          <cell r="D93">
            <v>100.5</v>
          </cell>
          <cell r="E93">
            <v>44.6</v>
          </cell>
          <cell r="F93">
            <v>13.6</v>
          </cell>
          <cell r="G93">
            <v>2.9</v>
          </cell>
          <cell r="H93">
            <v>9.9</v>
          </cell>
          <cell r="I93">
            <v>52.75</v>
          </cell>
          <cell r="J93">
            <v>118.5</v>
          </cell>
          <cell r="K93">
            <v>132.5</v>
          </cell>
          <cell r="L93">
            <v>16</v>
          </cell>
          <cell r="M93">
            <v>12326.85</v>
          </cell>
        </row>
        <row r="94">
          <cell r="A94" t="str">
            <v>08/06/2004</v>
          </cell>
          <cell r="B94">
            <v>23.1</v>
          </cell>
          <cell r="C94">
            <v>49.4</v>
          </cell>
          <cell r="D94">
            <v>101</v>
          </cell>
          <cell r="E94">
            <v>45.4</v>
          </cell>
          <cell r="F94">
            <v>13.7</v>
          </cell>
          <cell r="G94">
            <v>2.95</v>
          </cell>
          <cell r="H94">
            <v>10.15</v>
          </cell>
          <cell r="I94">
            <v>53</v>
          </cell>
          <cell r="J94">
            <v>118.5</v>
          </cell>
          <cell r="K94">
            <v>131.5</v>
          </cell>
          <cell r="L94">
            <v>15.95</v>
          </cell>
          <cell r="M94">
            <v>12344.16</v>
          </cell>
        </row>
        <row r="95">
          <cell r="A95" t="str">
            <v>09/06/2004</v>
          </cell>
          <cell r="B95">
            <v>23.05</v>
          </cell>
          <cell r="C95">
            <v>49.6</v>
          </cell>
          <cell r="D95">
            <v>100.5</v>
          </cell>
          <cell r="E95">
            <v>45.4</v>
          </cell>
          <cell r="F95">
            <v>13.55</v>
          </cell>
          <cell r="G95">
            <v>2.9750000000000001</v>
          </cell>
          <cell r="H95">
            <v>10.050000000000001</v>
          </cell>
          <cell r="I95">
            <v>52.5</v>
          </cell>
          <cell r="J95">
            <v>118.5</v>
          </cell>
          <cell r="K95">
            <v>132</v>
          </cell>
          <cell r="L95">
            <v>15.65</v>
          </cell>
          <cell r="M95">
            <v>12339.94</v>
          </cell>
        </row>
        <row r="96">
          <cell r="A96" t="str">
            <v>10/06/2004</v>
          </cell>
          <cell r="B96">
            <v>22.65</v>
          </cell>
          <cell r="C96">
            <v>49</v>
          </cell>
          <cell r="D96">
            <v>101</v>
          </cell>
          <cell r="E96">
            <v>44.8</v>
          </cell>
          <cell r="F96">
            <v>13.6</v>
          </cell>
          <cell r="G96">
            <v>3.0249999999999999</v>
          </cell>
          <cell r="H96">
            <v>10.050000000000001</v>
          </cell>
          <cell r="I96">
            <v>51.5</v>
          </cell>
          <cell r="J96">
            <v>118.5</v>
          </cell>
          <cell r="K96">
            <v>131.5</v>
          </cell>
          <cell r="L96">
            <v>15.75</v>
          </cell>
          <cell r="M96">
            <v>12422.87</v>
          </cell>
        </row>
        <row r="97">
          <cell r="A97" t="str">
            <v>14/06/2004</v>
          </cell>
          <cell r="B97">
            <v>22.4</v>
          </cell>
          <cell r="C97">
            <v>49.7</v>
          </cell>
          <cell r="D97">
            <v>99.25</v>
          </cell>
          <cell r="E97">
            <v>44.7</v>
          </cell>
          <cell r="F97">
            <v>13.25</v>
          </cell>
          <cell r="G97">
            <v>2.9</v>
          </cell>
          <cell r="H97">
            <v>10.15</v>
          </cell>
          <cell r="I97">
            <v>51.75</v>
          </cell>
          <cell r="J97">
            <v>116</v>
          </cell>
          <cell r="K97">
            <v>126</v>
          </cell>
          <cell r="L97">
            <v>15.65</v>
          </cell>
          <cell r="M97">
            <v>12076.57</v>
          </cell>
        </row>
        <row r="98">
          <cell r="A98" t="str">
            <v>15/06/2004</v>
          </cell>
          <cell r="B98">
            <v>22.4</v>
          </cell>
          <cell r="C98">
            <v>49.2</v>
          </cell>
          <cell r="D98">
            <v>98.75</v>
          </cell>
          <cell r="E98">
            <v>43.6</v>
          </cell>
          <cell r="F98">
            <v>13.05</v>
          </cell>
          <cell r="G98">
            <v>2.85</v>
          </cell>
          <cell r="H98">
            <v>9.9499999999999993</v>
          </cell>
          <cell r="I98">
            <v>51.75</v>
          </cell>
          <cell r="J98">
            <v>115.5</v>
          </cell>
          <cell r="K98">
            <v>127</v>
          </cell>
          <cell r="L98">
            <v>15.6</v>
          </cell>
          <cell r="M98">
            <v>12050.69</v>
          </cell>
        </row>
        <row r="99">
          <cell r="A99" t="str">
            <v>16/06/2004</v>
          </cell>
          <cell r="B99">
            <v>22.9</v>
          </cell>
          <cell r="C99">
            <v>49.4</v>
          </cell>
          <cell r="D99">
            <v>99.5</v>
          </cell>
          <cell r="E99">
            <v>43.6</v>
          </cell>
          <cell r="F99">
            <v>13.15</v>
          </cell>
          <cell r="G99">
            <v>2.85</v>
          </cell>
          <cell r="H99">
            <v>10</v>
          </cell>
          <cell r="I99">
            <v>53</v>
          </cell>
          <cell r="J99">
            <v>116.5</v>
          </cell>
          <cell r="K99">
            <v>129</v>
          </cell>
          <cell r="L99">
            <v>15.7</v>
          </cell>
          <cell r="M99">
            <v>12161.78</v>
          </cell>
        </row>
        <row r="100">
          <cell r="A100" t="str">
            <v>17/06/2004</v>
          </cell>
          <cell r="B100">
            <v>22.65</v>
          </cell>
          <cell r="C100">
            <v>49</v>
          </cell>
          <cell r="D100">
            <v>99.5</v>
          </cell>
          <cell r="E100">
            <v>44.1</v>
          </cell>
          <cell r="F100">
            <v>12.95</v>
          </cell>
          <cell r="G100">
            <v>2.8250000000000002</v>
          </cell>
          <cell r="H100">
            <v>9.6999999999999993</v>
          </cell>
          <cell r="I100">
            <v>52.75</v>
          </cell>
          <cell r="J100">
            <v>116</v>
          </cell>
          <cell r="K100">
            <v>128</v>
          </cell>
          <cell r="L100">
            <v>15.45</v>
          </cell>
          <cell r="M100">
            <v>12082.86</v>
          </cell>
        </row>
        <row r="101">
          <cell r="A101" t="str">
            <v>18/06/2004</v>
          </cell>
          <cell r="B101">
            <v>22.15</v>
          </cell>
          <cell r="C101">
            <v>45.8</v>
          </cell>
          <cell r="D101">
            <v>98.5</v>
          </cell>
          <cell r="E101">
            <v>42.5</v>
          </cell>
          <cell r="F101">
            <v>12.55</v>
          </cell>
          <cell r="G101">
            <v>2.7</v>
          </cell>
          <cell r="H101">
            <v>9.3000000000000007</v>
          </cell>
          <cell r="I101">
            <v>52.5</v>
          </cell>
          <cell r="J101">
            <v>114.5</v>
          </cell>
          <cell r="K101">
            <v>127.5</v>
          </cell>
          <cell r="L101">
            <v>15.2</v>
          </cell>
          <cell r="M101">
            <v>11855.55</v>
          </cell>
        </row>
        <row r="102">
          <cell r="A102" t="str">
            <v>21/06/2004</v>
          </cell>
          <cell r="B102">
            <v>21.95</v>
          </cell>
          <cell r="C102">
            <v>46.5</v>
          </cell>
          <cell r="D102">
            <v>98.5</v>
          </cell>
          <cell r="E102">
            <v>42.8</v>
          </cell>
          <cell r="F102">
            <v>12.4</v>
          </cell>
          <cell r="G102">
            <v>2.625</v>
          </cell>
          <cell r="H102">
            <v>9.5</v>
          </cell>
          <cell r="I102">
            <v>54</v>
          </cell>
          <cell r="J102">
            <v>114.5</v>
          </cell>
          <cell r="K102">
            <v>127.5</v>
          </cell>
          <cell r="L102">
            <v>14.95</v>
          </cell>
          <cell r="M102">
            <v>11845.59</v>
          </cell>
        </row>
        <row r="103">
          <cell r="A103" t="str">
            <v>22/06/2004</v>
          </cell>
          <cell r="B103">
            <v>21.95</v>
          </cell>
          <cell r="C103">
            <v>46.5</v>
          </cell>
          <cell r="D103">
            <v>98.5</v>
          </cell>
          <cell r="E103">
            <v>42.8</v>
          </cell>
          <cell r="F103">
            <v>12.4</v>
          </cell>
          <cell r="G103">
            <v>2.625</v>
          </cell>
          <cell r="H103">
            <v>9.5</v>
          </cell>
          <cell r="I103">
            <v>54</v>
          </cell>
          <cell r="J103">
            <v>114.5</v>
          </cell>
          <cell r="K103">
            <v>127.5</v>
          </cell>
          <cell r="L103">
            <v>14.95</v>
          </cell>
          <cell r="M103">
            <v>11845.59</v>
          </cell>
        </row>
        <row r="104">
          <cell r="A104" t="str">
            <v>23/06/2004</v>
          </cell>
          <cell r="B104">
            <v>21.45</v>
          </cell>
          <cell r="C104">
            <v>46.5</v>
          </cell>
          <cell r="D104">
            <v>98.5</v>
          </cell>
          <cell r="E104">
            <v>43.5</v>
          </cell>
          <cell r="F104">
            <v>12.25</v>
          </cell>
          <cell r="G104">
            <v>2.7</v>
          </cell>
          <cell r="H104">
            <v>9.65</v>
          </cell>
          <cell r="I104">
            <v>53.25</v>
          </cell>
          <cell r="J104">
            <v>114.5</v>
          </cell>
          <cell r="K104">
            <v>124.5</v>
          </cell>
          <cell r="L104">
            <v>14.75</v>
          </cell>
          <cell r="M104">
            <v>11849.77</v>
          </cell>
        </row>
        <row r="105">
          <cell r="A105" t="str">
            <v>24/06/2004</v>
          </cell>
          <cell r="B105">
            <v>22</v>
          </cell>
          <cell r="C105">
            <v>48.5</v>
          </cell>
          <cell r="D105">
            <v>99.5</v>
          </cell>
          <cell r="E105">
            <v>44.2</v>
          </cell>
          <cell r="F105">
            <v>12.85</v>
          </cell>
          <cell r="G105">
            <v>2.8250000000000002</v>
          </cell>
          <cell r="H105">
            <v>10</v>
          </cell>
          <cell r="I105">
            <v>53</v>
          </cell>
          <cell r="J105">
            <v>116.5</v>
          </cell>
          <cell r="K105">
            <v>127</v>
          </cell>
          <cell r="L105">
            <v>15.25</v>
          </cell>
          <cell r="M105">
            <v>12163.68</v>
          </cell>
        </row>
        <row r="106">
          <cell r="A106" t="str">
            <v>25/06/2004</v>
          </cell>
          <cell r="B106">
            <v>22.15</v>
          </cell>
          <cell r="C106">
            <v>48.1</v>
          </cell>
          <cell r="D106">
            <v>99.75</v>
          </cell>
          <cell r="E106">
            <v>45.7</v>
          </cell>
          <cell r="F106">
            <v>13.1</v>
          </cell>
          <cell r="G106">
            <v>2.7250000000000001</v>
          </cell>
          <cell r="H106">
            <v>9.9</v>
          </cell>
          <cell r="I106">
            <v>53.25</v>
          </cell>
          <cell r="J106">
            <v>116.5</v>
          </cell>
          <cell r="K106">
            <v>126</v>
          </cell>
          <cell r="L106">
            <v>15.25</v>
          </cell>
          <cell r="M106">
            <v>12185.52</v>
          </cell>
        </row>
        <row r="107">
          <cell r="A107" t="str">
            <v>28/06/2004</v>
          </cell>
          <cell r="B107">
            <v>22.4</v>
          </cell>
          <cell r="C107">
            <v>48</v>
          </cell>
          <cell r="D107">
            <v>99.5</v>
          </cell>
          <cell r="E107">
            <v>46</v>
          </cell>
          <cell r="F107">
            <v>13.1</v>
          </cell>
          <cell r="G107">
            <v>2.8</v>
          </cell>
          <cell r="H107">
            <v>9.9499999999999993</v>
          </cell>
          <cell r="I107">
            <v>52</v>
          </cell>
          <cell r="J107">
            <v>116.5</v>
          </cell>
          <cell r="K107">
            <v>128</v>
          </cell>
          <cell r="L107">
            <v>15.65</v>
          </cell>
          <cell r="M107">
            <v>12194.6</v>
          </cell>
        </row>
        <row r="108">
          <cell r="A108" t="str">
            <v>29/06/2004</v>
          </cell>
          <cell r="B108">
            <v>22.05</v>
          </cell>
          <cell r="C108">
            <v>47</v>
          </cell>
          <cell r="D108">
            <v>99.5</v>
          </cell>
          <cell r="E108">
            <v>46.2</v>
          </cell>
          <cell r="F108">
            <v>13.1</v>
          </cell>
          <cell r="G108">
            <v>2.85</v>
          </cell>
          <cell r="H108">
            <v>10.050000000000001</v>
          </cell>
          <cell r="I108">
            <v>52.5</v>
          </cell>
          <cell r="J108">
            <v>116.5</v>
          </cell>
          <cell r="K108">
            <v>128.5</v>
          </cell>
          <cell r="L108">
            <v>15.7</v>
          </cell>
          <cell r="M108">
            <v>12116.3</v>
          </cell>
        </row>
        <row r="109">
          <cell r="A109" t="str">
            <v>30/06/2004</v>
          </cell>
          <cell r="B109">
            <v>22.3</v>
          </cell>
          <cell r="C109">
            <v>46</v>
          </cell>
          <cell r="D109">
            <v>100</v>
          </cell>
          <cell r="E109">
            <v>46.3</v>
          </cell>
          <cell r="F109">
            <v>13.3</v>
          </cell>
          <cell r="G109">
            <v>2.85</v>
          </cell>
          <cell r="H109">
            <v>10.1</v>
          </cell>
          <cell r="I109">
            <v>53.5</v>
          </cell>
          <cell r="J109">
            <v>117.5</v>
          </cell>
          <cell r="K109">
            <v>125.5</v>
          </cell>
          <cell r="L109">
            <v>16</v>
          </cell>
          <cell r="M109">
            <v>12285.75</v>
          </cell>
        </row>
        <row r="110">
          <cell r="A110" t="str">
            <v>01/07/2004</v>
          </cell>
          <cell r="B110">
            <v>22.3</v>
          </cell>
          <cell r="C110">
            <v>46</v>
          </cell>
          <cell r="D110">
            <v>100</v>
          </cell>
          <cell r="E110">
            <v>46.3</v>
          </cell>
          <cell r="F110">
            <v>13.3</v>
          </cell>
          <cell r="G110">
            <v>2.85</v>
          </cell>
          <cell r="H110">
            <v>10.1</v>
          </cell>
          <cell r="I110">
            <v>53.5</v>
          </cell>
          <cell r="J110">
            <v>117.5</v>
          </cell>
          <cell r="K110">
            <v>125.5</v>
          </cell>
          <cell r="L110">
            <v>16</v>
          </cell>
          <cell r="M110">
            <v>12285.75</v>
          </cell>
        </row>
        <row r="111">
          <cell r="A111" t="str">
            <v>02/07/2004</v>
          </cell>
          <cell r="B111">
            <v>22.35</v>
          </cell>
          <cell r="C111">
            <v>46.2</v>
          </cell>
          <cell r="D111">
            <v>100</v>
          </cell>
          <cell r="E111">
            <v>47</v>
          </cell>
          <cell r="F111">
            <v>13.2</v>
          </cell>
          <cell r="G111">
            <v>2.8250000000000002</v>
          </cell>
          <cell r="H111">
            <v>10.050000000000001</v>
          </cell>
          <cell r="I111">
            <v>53</v>
          </cell>
          <cell r="J111">
            <v>116</v>
          </cell>
          <cell r="K111">
            <v>126</v>
          </cell>
          <cell r="L111">
            <v>15.95</v>
          </cell>
          <cell r="M111">
            <v>12220.13</v>
          </cell>
        </row>
        <row r="112">
          <cell r="A112" t="str">
            <v>06/07/2004</v>
          </cell>
          <cell r="B112">
            <v>22.5</v>
          </cell>
          <cell r="C112">
            <v>47.2</v>
          </cell>
          <cell r="D112">
            <v>99.75</v>
          </cell>
          <cell r="E112">
            <v>48.6</v>
          </cell>
          <cell r="F112">
            <v>13.2</v>
          </cell>
          <cell r="G112">
            <v>2.9</v>
          </cell>
          <cell r="H112">
            <v>10.050000000000001</v>
          </cell>
          <cell r="I112">
            <v>55.25</v>
          </cell>
          <cell r="J112">
            <v>116</v>
          </cell>
          <cell r="K112">
            <v>126</v>
          </cell>
          <cell r="L112">
            <v>16.149999999999999</v>
          </cell>
          <cell r="M112">
            <v>12284.08</v>
          </cell>
        </row>
        <row r="113">
          <cell r="A113" t="str">
            <v>07/07/2004</v>
          </cell>
          <cell r="B113">
            <v>22.55</v>
          </cell>
          <cell r="C113">
            <v>47.4</v>
          </cell>
          <cell r="D113">
            <v>99.75</v>
          </cell>
          <cell r="E113">
            <v>48.6</v>
          </cell>
          <cell r="F113">
            <v>13.15</v>
          </cell>
          <cell r="G113">
            <v>2.9</v>
          </cell>
          <cell r="H113">
            <v>10</v>
          </cell>
          <cell r="I113">
            <v>54.75</v>
          </cell>
          <cell r="J113">
            <v>116</v>
          </cell>
          <cell r="K113">
            <v>126</v>
          </cell>
          <cell r="L113">
            <v>16.850000000000001</v>
          </cell>
          <cell r="M113">
            <v>12320.26</v>
          </cell>
        </row>
        <row r="114">
          <cell r="A114" t="str">
            <v>08/07/2004</v>
          </cell>
          <cell r="B114">
            <v>22.25</v>
          </cell>
          <cell r="C114">
            <v>47</v>
          </cell>
          <cell r="D114">
            <v>99</v>
          </cell>
          <cell r="E114">
            <v>48.7</v>
          </cell>
          <cell r="F114">
            <v>13</v>
          </cell>
          <cell r="G114">
            <v>2.8</v>
          </cell>
          <cell r="H114">
            <v>9.8000000000000007</v>
          </cell>
          <cell r="I114">
            <v>53.75</v>
          </cell>
          <cell r="J114">
            <v>115</v>
          </cell>
          <cell r="K114">
            <v>125</v>
          </cell>
          <cell r="L114">
            <v>16.7</v>
          </cell>
          <cell r="M114">
            <v>12119.75</v>
          </cell>
        </row>
        <row r="115">
          <cell r="A115" t="str">
            <v>09/07/2004</v>
          </cell>
          <cell r="B115">
            <v>22.45</v>
          </cell>
          <cell r="C115">
            <v>47</v>
          </cell>
          <cell r="D115">
            <v>99.5</v>
          </cell>
          <cell r="E115">
            <v>47.7</v>
          </cell>
          <cell r="F115">
            <v>13</v>
          </cell>
          <cell r="G115">
            <v>2.7749999999999999</v>
          </cell>
          <cell r="H115">
            <v>9.8000000000000007</v>
          </cell>
          <cell r="I115">
            <v>54.75</v>
          </cell>
          <cell r="J115">
            <v>116</v>
          </cell>
          <cell r="K115">
            <v>126</v>
          </cell>
          <cell r="L115">
            <v>16.8</v>
          </cell>
          <cell r="M115">
            <v>12202.26</v>
          </cell>
        </row>
        <row r="116">
          <cell r="A116" t="str">
            <v>12/07/2004</v>
          </cell>
          <cell r="B116">
            <v>22.55</v>
          </cell>
          <cell r="C116">
            <v>47.3</v>
          </cell>
          <cell r="D116">
            <v>99.5</v>
          </cell>
          <cell r="E116">
            <v>46.4</v>
          </cell>
          <cell r="F116">
            <v>12.95</v>
          </cell>
          <cell r="G116">
            <v>2.7250000000000001</v>
          </cell>
          <cell r="H116">
            <v>9.9</v>
          </cell>
          <cell r="I116">
            <v>55</v>
          </cell>
          <cell r="J116">
            <v>116</v>
          </cell>
          <cell r="K116">
            <v>127</v>
          </cell>
          <cell r="L116">
            <v>16.75</v>
          </cell>
          <cell r="M116">
            <v>12191.01</v>
          </cell>
        </row>
        <row r="117">
          <cell r="A117" t="str">
            <v>13/07/2004</v>
          </cell>
          <cell r="B117">
            <v>22.45</v>
          </cell>
          <cell r="C117">
            <v>47.7</v>
          </cell>
          <cell r="D117">
            <v>99</v>
          </cell>
          <cell r="E117">
            <v>46</v>
          </cell>
          <cell r="F117">
            <v>12.95</v>
          </cell>
          <cell r="G117">
            <v>2.7</v>
          </cell>
          <cell r="H117">
            <v>9.9</v>
          </cell>
          <cell r="I117">
            <v>54.5</v>
          </cell>
          <cell r="J117">
            <v>115.5</v>
          </cell>
          <cell r="K117">
            <v>125.5</v>
          </cell>
          <cell r="L117">
            <v>16.649999999999999</v>
          </cell>
          <cell r="M117">
            <v>12078.33</v>
          </cell>
        </row>
        <row r="118">
          <cell r="A118" t="str">
            <v>14/07/2004</v>
          </cell>
          <cell r="B118">
            <v>22.3</v>
          </cell>
          <cell r="C118">
            <v>49.1</v>
          </cell>
          <cell r="D118">
            <v>98.25</v>
          </cell>
          <cell r="E118">
            <v>45.9</v>
          </cell>
          <cell r="F118">
            <v>12.8</v>
          </cell>
          <cell r="G118">
            <v>2.7</v>
          </cell>
          <cell r="H118">
            <v>9.9</v>
          </cell>
          <cell r="I118">
            <v>54.25</v>
          </cell>
          <cell r="J118">
            <v>114.5</v>
          </cell>
          <cell r="K118">
            <v>126</v>
          </cell>
          <cell r="L118">
            <v>16.649999999999999</v>
          </cell>
          <cell r="M118">
            <v>11932.83</v>
          </cell>
        </row>
        <row r="119">
          <cell r="A119" t="str">
            <v>15/07/2004</v>
          </cell>
          <cell r="B119">
            <v>22.3</v>
          </cell>
          <cell r="C119">
            <v>48.4</v>
          </cell>
          <cell r="D119">
            <v>98.5</v>
          </cell>
          <cell r="E119">
            <v>45.8</v>
          </cell>
          <cell r="F119">
            <v>12.7</v>
          </cell>
          <cell r="G119">
            <v>2.7</v>
          </cell>
          <cell r="H119">
            <v>9.85</v>
          </cell>
          <cell r="I119">
            <v>54.5</v>
          </cell>
          <cell r="J119">
            <v>115</v>
          </cell>
          <cell r="K119">
            <v>127</v>
          </cell>
          <cell r="L119">
            <v>16.649999999999999</v>
          </cell>
          <cell r="M119">
            <v>11939.41</v>
          </cell>
        </row>
        <row r="120">
          <cell r="A120" t="str">
            <v>16/07/2004</v>
          </cell>
          <cell r="B120">
            <v>22.85</v>
          </cell>
          <cell r="C120">
            <v>48</v>
          </cell>
          <cell r="D120">
            <v>98.75</v>
          </cell>
          <cell r="E120">
            <v>46.6</v>
          </cell>
          <cell r="F120">
            <v>12.9</v>
          </cell>
          <cell r="G120">
            <v>2.7250000000000001</v>
          </cell>
          <cell r="H120">
            <v>10.050000000000001</v>
          </cell>
          <cell r="I120">
            <v>55</v>
          </cell>
          <cell r="J120">
            <v>115</v>
          </cell>
          <cell r="K120">
            <v>127</v>
          </cell>
          <cell r="L120">
            <v>16.600000000000001</v>
          </cell>
          <cell r="M120">
            <v>12059.2</v>
          </cell>
        </row>
        <row r="121">
          <cell r="A121" t="str">
            <v>19/07/2004</v>
          </cell>
          <cell r="B121">
            <v>22.95</v>
          </cell>
          <cell r="C121">
            <v>48</v>
          </cell>
          <cell r="D121">
            <v>99</v>
          </cell>
          <cell r="E121">
            <v>46.6</v>
          </cell>
          <cell r="F121">
            <v>13.15</v>
          </cell>
          <cell r="G121">
            <v>2.7749999999999999</v>
          </cell>
          <cell r="H121">
            <v>10.1</v>
          </cell>
          <cell r="I121">
            <v>55</v>
          </cell>
          <cell r="J121">
            <v>116</v>
          </cell>
          <cell r="K121">
            <v>127</v>
          </cell>
          <cell r="L121">
            <v>16.850000000000001</v>
          </cell>
          <cell r="M121">
            <v>12166.95</v>
          </cell>
        </row>
        <row r="122">
          <cell r="A122" t="str">
            <v>20/07/2004</v>
          </cell>
          <cell r="B122">
            <v>22.7</v>
          </cell>
          <cell r="C122">
            <v>48.9</v>
          </cell>
          <cell r="D122">
            <v>98.75</v>
          </cell>
          <cell r="E122">
            <v>46.9</v>
          </cell>
          <cell r="F122">
            <v>13.15</v>
          </cell>
          <cell r="G122">
            <v>2.8</v>
          </cell>
          <cell r="H122">
            <v>10.1</v>
          </cell>
          <cell r="I122">
            <v>55</v>
          </cell>
          <cell r="J122">
            <v>115</v>
          </cell>
          <cell r="K122">
            <v>126.5</v>
          </cell>
          <cell r="L122">
            <v>16.850000000000001</v>
          </cell>
          <cell r="M122">
            <v>12123.63</v>
          </cell>
        </row>
        <row r="123">
          <cell r="A123" t="str">
            <v>21/07/2004</v>
          </cell>
          <cell r="B123">
            <v>22.85</v>
          </cell>
          <cell r="C123">
            <v>49</v>
          </cell>
          <cell r="D123">
            <v>100.5</v>
          </cell>
          <cell r="E123">
            <v>47.3</v>
          </cell>
          <cell r="F123">
            <v>13.5</v>
          </cell>
          <cell r="G123">
            <v>2.85</v>
          </cell>
          <cell r="H123">
            <v>10.199999999999999</v>
          </cell>
          <cell r="I123">
            <v>55</v>
          </cell>
          <cell r="J123">
            <v>116.5</v>
          </cell>
          <cell r="K123">
            <v>127.5</v>
          </cell>
          <cell r="L123">
            <v>17.05</v>
          </cell>
          <cell r="M123">
            <v>12395.11</v>
          </cell>
        </row>
        <row r="124">
          <cell r="A124" t="str">
            <v>22/07/2004</v>
          </cell>
          <cell r="B124">
            <v>22.6</v>
          </cell>
          <cell r="C124">
            <v>48.9</v>
          </cell>
          <cell r="D124">
            <v>100</v>
          </cell>
          <cell r="E124">
            <v>46.3</v>
          </cell>
          <cell r="F124">
            <v>13.4</v>
          </cell>
          <cell r="G124">
            <v>2.8</v>
          </cell>
          <cell r="H124">
            <v>10.199999999999999</v>
          </cell>
          <cell r="I124">
            <v>54.5</v>
          </cell>
          <cell r="J124">
            <v>116</v>
          </cell>
          <cell r="K124">
            <v>127</v>
          </cell>
          <cell r="L124">
            <v>16.95</v>
          </cell>
          <cell r="M124">
            <v>12320.21</v>
          </cell>
        </row>
        <row r="125">
          <cell r="A125" t="str">
            <v>23/07/2004</v>
          </cell>
          <cell r="B125">
            <v>22.65</v>
          </cell>
          <cell r="C125">
            <v>47.6</v>
          </cell>
          <cell r="D125">
            <v>100</v>
          </cell>
          <cell r="E125">
            <v>47.2</v>
          </cell>
          <cell r="F125">
            <v>13.4</v>
          </cell>
          <cell r="G125">
            <v>2.8</v>
          </cell>
          <cell r="H125">
            <v>10.35</v>
          </cell>
          <cell r="I125">
            <v>55</v>
          </cell>
          <cell r="J125">
            <v>116</v>
          </cell>
          <cell r="K125">
            <v>126.5</v>
          </cell>
          <cell r="L125">
            <v>16.899999999999999</v>
          </cell>
          <cell r="M125">
            <v>12352.99</v>
          </cell>
        </row>
        <row r="126">
          <cell r="A126" t="str">
            <v>26/07/2004</v>
          </cell>
          <cell r="B126">
            <v>22.85</v>
          </cell>
          <cell r="C126">
            <v>48</v>
          </cell>
          <cell r="D126">
            <v>99.5</v>
          </cell>
          <cell r="E126">
            <v>46.6</v>
          </cell>
          <cell r="F126">
            <v>13.25</v>
          </cell>
          <cell r="G126">
            <v>2.8</v>
          </cell>
          <cell r="H126">
            <v>10.35</v>
          </cell>
          <cell r="I126">
            <v>54.5</v>
          </cell>
          <cell r="J126">
            <v>115.5</v>
          </cell>
          <cell r="K126">
            <v>126</v>
          </cell>
          <cell r="L126">
            <v>16.5</v>
          </cell>
          <cell r="M126">
            <v>12319.83</v>
          </cell>
        </row>
        <row r="127">
          <cell r="A127" t="str">
            <v>27/07/2004</v>
          </cell>
          <cell r="B127">
            <v>22.75</v>
          </cell>
          <cell r="C127">
            <v>47.8</v>
          </cell>
          <cell r="D127">
            <v>99.75</v>
          </cell>
          <cell r="E127">
            <v>46.2</v>
          </cell>
          <cell r="F127">
            <v>13.2</v>
          </cell>
          <cell r="G127">
            <v>2.7250000000000001</v>
          </cell>
          <cell r="H127">
            <v>10.4</v>
          </cell>
          <cell r="I127">
            <v>55</v>
          </cell>
          <cell r="J127">
            <v>115</v>
          </cell>
          <cell r="K127">
            <v>126</v>
          </cell>
          <cell r="L127">
            <v>16.3</v>
          </cell>
          <cell r="M127">
            <v>12301.32</v>
          </cell>
        </row>
        <row r="128">
          <cell r="A128" t="str">
            <v>28/07/2004</v>
          </cell>
          <cell r="B128">
            <v>22.9</v>
          </cell>
          <cell r="C128">
            <v>48</v>
          </cell>
          <cell r="D128">
            <v>99.5</v>
          </cell>
          <cell r="E128">
            <v>46.4</v>
          </cell>
          <cell r="F128">
            <v>13.2</v>
          </cell>
          <cell r="G128">
            <v>2.8</v>
          </cell>
          <cell r="H128">
            <v>10.4</v>
          </cell>
          <cell r="I128">
            <v>55.5</v>
          </cell>
          <cell r="J128">
            <v>115.5</v>
          </cell>
          <cell r="K128">
            <v>128</v>
          </cell>
          <cell r="L128">
            <v>16.350000000000001</v>
          </cell>
          <cell r="M128">
            <v>12320.27</v>
          </cell>
        </row>
        <row r="129">
          <cell r="A129" t="str">
            <v>29/07/2004</v>
          </cell>
          <cell r="B129">
            <v>22.8</v>
          </cell>
          <cell r="C129">
            <v>47.8</v>
          </cell>
          <cell r="D129">
            <v>99</v>
          </cell>
          <cell r="E129">
            <v>45.5</v>
          </cell>
          <cell r="F129">
            <v>13.1</v>
          </cell>
          <cell r="G129">
            <v>2.75</v>
          </cell>
          <cell r="H129">
            <v>10.45</v>
          </cell>
          <cell r="I129">
            <v>55.5</v>
          </cell>
          <cell r="J129">
            <v>115</v>
          </cell>
          <cell r="K129">
            <v>128</v>
          </cell>
          <cell r="L129">
            <v>16.2</v>
          </cell>
          <cell r="M129">
            <v>12183.1</v>
          </cell>
        </row>
        <row r="130">
          <cell r="A130" t="str">
            <v>30/07/2004</v>
          </cell>
          <cell r="B130">
            <v>22.1</v>
          </cell>
          <cell r="C130">
            <v>48</v>
          </cell>
          <cell r="D130">
            <v>99.75</v>
          </cell>
          <cell r="E130">
            <v>46.9</v>
          </cell>
          <cell r="F130">
            <v>13.35</v>
          </cell>
          <cell r="G130">
            <v>2.7749999999999999</v>
          </cell>
          <cell r="H130">
            <v>10.5</v>
          </cell>
          <cell r="I130">
            <v>56</v>
          </cell>
          <cell r="J130">
            <v>115</v>
          </cell>
          <cell r="K130">
            <v>127.5</v>
          </cell>
          <cell r="L130">
            <v>16.100000000000001</v>
          </cell>
          <cell r="M130">
            <v>12238.03</v>
          </cell>
        </row>
        <row r="131">
          <cell r="A131" t="str">
            <v>02/08/2004</v>
          </cell>
          <cell r="B131">
            <v>21.45</v>
          </cell>
          <cell r="C131">
            <v>48</v>
          </cell>
          <cell r="D131">
            <v>99</v>
          </cell>
          <cell r="E131">
            <v>48.4</v>
          </cell>
          <cell r="F131">
            <v>13.3</v>
          </cell>
          <cell r="G131">
            <v>2.7</v>
          </cell>
          <cell r="H131">
            <v>10.15</v>
          </cell>
          <cell r="I131">
            <v>56</v>
          </cell>
          <cell r="J131">
            <v>115</v>
          </cell>
          <cell r="K131">
            <v>129.5</v>
          </cell>
          <cell r="L131">
            <v>15.8</v>
          </cell>
          <cell r="M131">
            <v>12201.39</v>
          </cell>
        </row>
        <row r="132">
          <cell r="A132" t="str">
            <v>03/08/2004</v>
          </cell>
          <cell r="B132">
            <v>20.8</v>
          </cell>
          <cell r="C132">
            <v>49.5</v>
          </cell>
          <cell r="D132">
            <v>101.5</v>
          </cell>
          <cell r="E132">
            <v>48.1</v>
          </cell>
          <cell r="F132">
            <v>13.3</v>
          </cell>
          <cell r="G132">
            <v>2.65</v>
          </cell>
          <cell r="H132">
            <v>10.15</v>
          </cell>
          <cell r="I132">
            <v>56</v>
          </cell>
          <cell r="J132">
            <v>118</v>
          </cell>
          <cell r="K132">
            <v>131</v>
          </cell>
          <cell r="L132">
            <v>16</v>
          </cell>
          <cell r="M132">
            <v>12357.12</v>
          </cell>
        </row>
        <row r="133">
          <cell r="A133" t="str">
            <v>04/08/2004</v>
          </cell>
          <cell r="B133">
            <v>21.05</v>
          </cell>
          <cell r="C133">
            <v>49.6</v>
          </cell>
          <cell r="D133">
            <v>100.5</v>
          </cell>
          <cell r="E133">
            <v>47</v>
          </cell>
          <cell r="F133">
            <v>13.1</v>
          </cell>
          <cell r="G133">
            <v>2.65</v>
          </cell>
          <cell r="H133">
            <v>10.1</v>
          </cell>
          <cell r="I133">
            <v>55.75</v>
          </cell>
          <cell r="J133">
            <v>117.5</v>
          </cell>
          <cell r="K133">
            <v>129</v>
          </cell>
          <cell r="L133">
            <v>16</v>
          </cell>
          <cell r="M133">
            <v>12280.26</v>
          </cell>
        </row>
        <row r="134">
          <cell r="A134" t="str">
            <v>05/08/2004</v>
          </cell>
          <cell r="B134">
            <v>21.1</v>
          </cell>
          <cell r="C134">
            <v>49.7</v>
          </cell>
          <cell r="D134">
            <v>102</v>
          </cell>
          <cell r="E134">
            <v>46.9</v>
          </cell>
          <cell r="F134">
            <v>13.35</v>
          </cell>
          <cell r="G134">
            <v>2.7</v>
          </cell>
          <cell r="H134">
            <v>10.35</v>
          </cell>
          <cell r="I134">
            <v>56</v>
          </cell>
          <cell r="J134">
            <v>119</v>
          </cell>
          <cell r="K134">
            <v>133</v>
          </cell>
          <cell r="L134">
            <v>16</v>
          </cell>
          <cell r="M134">
            <v>12491.92</v>
          </cell>
        </row>
        <row r="135">
          <cell r="A135" t="str">
            <v>06/08/2004</v>
          </cell>
          <cell r="B135">
            <v>21.05</v>
          </cell>
          <cell r="C135">
            <v>51.25</v>
          </cell>
          <cell r="D135">
            <v>101.5</v>
          </cell>
          <cell r="E135">
            <v>47.8</v>
          </cell>
          <cell r="F135">
            <v>13.2</v>
          </cell>
          <cell r="G135">
            <v>2.7250000000000001</v>
          </cell>
          <cell r="H135">
            <v>10.3</v>
          </cell>
          <cell r="I135">
            <v>56</v>
          </cell>
          <cell r="J135">
            <v>119</v>
          </cell>
          <cell r="K135">
            <v>132</v>
          </cell>
          <cell r="L135">
            <v>15.9</v>
          </cell>
          <cell r="M135">
            <v>12478.68</v>
          </cell>
        </row>
        <row r="136">
          <cell r="A136" t="str">
            <v>09/08/2004</v>
          </cell>
          <cell r="B136">
            <v>20.7</v>
          </cell>
          <cell r="C136">
            <v>51</v>
          </cell>
          <cell r="D136">
            <v>101</v>
          </cell>
          <cell r="E136">
            <v>47.7</v>
          </cell>
          <cell r="F136">
            <v>13.1</v>
          </cell>
          <cell r="G136">
            <v>2.7</v>
          </cell>
          <cell r="H136">
            <v>10.199999999999999</v>
          </cell>
          <cell r="I136">
            <v>56</v>
          </cell>
          <cell r="J136">
            <v>119</v>
          </cell>
          <cell r="K136">
            <v>134</v>
          </cell>
          <cell r="L136">
            <v>15.9</v>
          </cell>
          <cell r="M136">
            <v>12467.41</v>
          </cell>
        </row>
        <row r="137">
          <cell r="A137" t="str">
            <v>10/08/2004</v>
          </cell>
          <cell r="B137">
            <v>20.55</v>
          </cell>
          <cell r="C137">
            <v>51.25</v>
          </cell>
          <cell r="D137">
            <v>100.5</v>
          </cell>
          <cell r="E137">
            <v>47.6</v>
          </cell>
          <cell r="F137">
            <v>13.05</v>
          </cell>
          <cell r="G137">
            <v>2.6749999999999998</v>
          </cell>
          <cell r="H137">
            <v>10.199999999999999</v>
          </cell>
          <cell r="I137">
            <v>56.25</v>
          </cell>
          <cell r="J137">
            <v>118.5</v>
          </cell>
          <cell r="K137">
            <v>132.5</v>
          </cell>
          <cell r="L137">
            <v>15.9</v>
          </cell>
          <cell r="M137">
            <v>12408.04</v>
          </cell>
        </row>
        <row r="138">
          <cell r="A138" t="str">
            <v>11/08/2004</v>
          </cell>
          <cell r="B138">
            <v>20.7</v>
          </cell>
          <cell r="C138">
            <v>50.5</v>
          </cell>
          <cell r="D138">
            <v>100.5</v>
          </cell>
          <cell r="E138">
            <v>46.8</v>
          </cell>
          <cell r="F138">
            <v>12.85</v>
          </cell>
          <cell r="G138">
            <v>2.7</v>
          </cell>
          <cell r="H138">
            <v>9.9</v>
          </cell>
          <cell r="I138">
            <v>56</v>
          </cell>
          <cell r="J138">
            <v>118.5</v>
          </cell>
          <cell r="K138">
            <v>133.5</v>
          </cell>
          <cell r="L138">
            <v>15.5</v>
          </cell>
          <cell r="M138">
            <v>12343.13</v>
          </cell>
        </row>
        <row r="139">
          <cell r="A139" t="str">
            <v>12/08/2004</v>
          </cell>
          <cell r="B139">
            <v>20.8</v>
          </cell>
          <cell r="C139">
            <v>52.5</v>
          </cell>
          <cell r="D139">
            <v>102.5</v>
          </cell>
          <cell r="E139">
            <v>46</v>
          </cell>
          <cell r="F139">
            <v>12.85</v>
          </cell>
          <cell r="G139">
            <v>2.7</v>
          </cell>
          <cell r="H139">
            <v>10.1</v>
          </cell>
          <cell r="I139">
            <v>55.75</v>
          </cell>
          <cell r="J139">
            <v>118.5</v>
          </cell>
          <cell r="K139">
            <v>132</v>
          </cell>
          <cell r="L139">
            <v>15.65</v>
          </cell>
          <cell r="M139">
            <v>12413.43</v>
          </cell>
        </row>
        <row r="140">
          <cell r="A140" t="str">
            <v>13/08/2004</v>
          </cell>
          <cell r="B140">
            <v>20.5</v>
          </cell>
          <cell r="C140">
            <v>52</v>
          </cell>
          <cell r="D140">
            <v>102</v>
          </cell>
          <cell r="E140">
            <v>45.1</v>
          </cell>
          <cell r="F140">
            <v>12.85</v>
          </cell>
          <cell r="G140">
            <v>2.6749999999999998</v>
          </cell>
          <cell r="H140">
            <v>10.1</v>
          </cell>
          <cell r="I140">
            <v>55.5</v>
          </cell>
          <cell r="J140">
            <v>118</v>
          </cell>
          <cell r="K140">
            <v>131</v>
          </cell>
          <cell r="L140">
            <v>15.6</v>
          </cell>
          <cell r="M140">
            <v>12359.83</v>
          </cell>
        </row>
        <row r="141">
          <cell r="A141" t="str">
            <v>16/08/2004</v>
          </cell>
          <cell r="B141">
            <v>20.399999999999999</v>
          </cell>
          <cell r="C141">
            <v>51.5</v>
          </cell>
          <cell r="D141">
            <v>100.5</v>
          </cell>
          <cell r="E141">
            <v>44.5</v>
          </cell>
          <cell r="F141">
            <v>12.65</v>
          </cell>
          <cell r="G141">
            <v>2.6749999999999998</v>
          </cell>
          <cell r="H141">
            <v>9.85</v>
          </cell>
          <cell r="I141">
            <v>54.5</v>
          </cell>
          <cell r="J141">
            <v>117.5</v>
          </cell>
          <cell r="K141">
            <v>131</v>
          </cell>
          <cell r="L141">
            <v>15.4</v>
          </cell>
          <cell r="M141">
            <v>12219.75</v>
          </cell>
        </row>
        <row r="142">
          <cell r="A142" t="str">
            <v>17/08/2004</v>
          </cell>
          <cell r="B142">
            <v>20.45</v>
          </cell>
          <cell r="C142">
            <v>52.5</v>
          </cell>
          <cell r="D142">
            <v>101</v>
          </cell>
          <cell r="E142">
            <v>44.3</v>
          </cell>
          <cell r="F142">
            <v>12.85</v>
          </cell>
          <cell r="G142">
            <v>2.6749999999999998</v>
          </cell>
          <cell r="H142">
            <v>10</v>
          </cell>
          <cell r="I142">
            <v>54.75</v>
          </cell>
          <cell r="J142">
            <v>118</v>
          </cell>
          <cell r="K142">
            <v>132.5</v>
          </cell>
          <cell r="L142">
            <v>15.7</v>
          </cell>
          <cell r="M142">
            <v>12256.12</v>
          </cell>
        </row>
        <row r="143">
          <cell r="A143" t="str">
            <v>18/08/2004</v>
          </cell>
          <cell r="B143">
            <v>20.45</v>
          </cell>
          <cell r="C143">
            <v>52.5</v>
          </cell>
          <cell r="D143">
            <v>101</v>
          </cell>
          <cell r="E143">
            <v>44.9</v>
          </cell>
          <cell r="F143">
            <v>12.9</v>
          </cell>
          <cell r="G143">
            <v>2.8250000000000002</v>
          </cell>
          <cell r="H143">
            <v>10.199999999999999</v>
          </cell>
          <cell r="I143">
            <v>56</v>
          </cell>
          <cell r="J143">
            <v>117</v>
          </cell>
          <cell r="K143">
            <v>132.5</v>
          </cell>
          <cell r="L143">
            <v>15.5</v>
          </cell>
          <cell r="M143">
            <v>12228.54</v>
          </cell>
        </row>
        <row r="144">
          <cell r="A144" t="str">
            <v>19/08/2004</v>
          </cell>
          <cell r="B144">
            <v>20.5</v>
          </cell>
          <cell r="C144">
            <v>55.5</v>
          </cell>
          <cell r="D144">
            <v>102.5</v>
          </cell>
          <cell r="E144">
            <v>47.1</v>
          </cell>
          <cell r="F144">
            <v>13.3</v>
          </cell>
          <cell r="G144">
            <v>2.85</v>
          </cell>
          <cell r="H144">
            <v>10.25</v>
          </cell>
          <cell r="I144">
            <v>55.75</v>
          </cell>
          <cell r="J144">
            <v>118</v>
          </cell>
          <cell r="K144">
            <v>133</v>
          </cell>
          <cell r="L144">
            <v>15.9</v>
          </cell>
          <cell r="M144">
            <v>12396.67</v>
          </cell>
        </row>
        <row r="145">
          <cell r="A145" t="str">
            <v>20/08/2004</v>
          </cell>
          <cell r="B145">
            <v>20.6</v>
          </cell>
          <cell r="C145">
            <v>55.75</v>
          </cell>
          <cell r="D145">
            <v>101.5</v>
          </cell>
          <cell r="E145">
            <v>47.2</v>
          </cell>
          <cell r="F145">
            <v>13.35</v>
          </cell>
          <cell r="G145">
            <v>2.8250000000000002</v>
          </cell>
          <cell r="H145">
            <v>10.199999999999999</v>
          </cell>
          <cell r="I145">
            <v>55.5</v>
          </cell>
          <cell r="J145">
            <v>118</v>
          </cell>
          <cell r="K145">
            <v>133.5</v>
          </cell>
          <cell r="L145">
            <v>15.8</v>
          </cell>
          <cell r="M145">
            <v>12376.9</v>
          </cell>
        </row>
        <row r="146">
          <cell r="A146" t="str">
            <v>23/08/2004</v>
          </cell>
          <cell r="B146">
            <v>20.75</v>
          </cell>
          <cell r="C146">
            <v>54.25</v>
          </cell>
          <cell r="D146">
            <v>102</v>
          </cell>
          <cell r="E146">
            <v>47.7</v>
          </cell>
          <cell r="F146">
            <v>13.35</v>
          </cell>
          <cell r="G146">
            <v>2.8250000000000002</v>
          </cell>
          <cell r="H146">
            <v>10.199999999999999</v>
          </cell>
          <cell r="I146">
            <v>55.5</v>
          </cell>
          <cell r="J146">
            <v>118</v>
          </cell>
          <cell r="K146">
            <v>132.5</v>
          </cell>
          <cell r="L146">
            <v>15.75</v>
          </cell>
          <cell r="M146">
            <v>12431.77</v>
          </cell>
        </row>
        <row r="147">
          <cell r="A147" t="str">
            <v>24/08/2004</v>
          </cell>
          <cell r="B147">
            <v>20.9</v>
          </cell>
          <cell r="C147">
            <v>54</v>
          </cell>
          <cell r="D147">
            <v>102</v>
          </cell>
          <cell r="E147">
            <v>48.3</v>
          </cell>
          <cell r="F147">
            <v>13.65</v>
          </cell>
          <cell r="G147">
            <v>2.875</v>
          </cell>
          <cell r="H147">
            <v>10.3</v>
          </cell>
          <cell r="I147">
            <v>55</v>
          </cell>
          <cell r="J147">
            <v>119.5</v>
          </cell>
          <cell r="K147">
            <v>133.5</v>
          </cell>
          <cell r="L147">
            <v>15.95</v>
          </cell>
          <cell r="M147">
            <v>12646.49</v>
          </cell>
        </row>
        <row r="148">
          <cell r="A148" t="str">
            <v>25/08/2004</v>
          </cell>
          <cell r="B148">
            <v>21.5</v>
          </cell>
          <cell r="C148">
            <v>56.25</v>
          </cell>
          <cell r="D148">
            <v>104</v>
          </cell>
          <cell r="E148">
            <v>50.5</v>
          </cell>
          <cell r="F148">
            <v>13.9</v>
          </cell>
          <cell r="G148">
            <v>3.1</v>
          </cell>
          <cell r="H148">
            <v>10.6</v>
          </cell>
          <cell r="I148">
            <v>55.25</v>
          </cell>
          <cell r="J148">
            <v>120.5</v>
          </cell>
          <cell r="K148">
            <v>133.5</v>
          </cell>
          <cell r="L148">
            <v>17.149999999999999</v>
          </cell>
          <cell r="M148">
            <v>12793.03</v>
          </cell>
        </row>
        <row r="149">
          <cell r="A149" t="str">
            <v>26/08/2004</v>
          </cell>
          <cell r="B149">
            <v>21.65</v>
          </cell>
          <cell r="C149">
            <v>58.25</v>
          </cell>
          <cell r="D149">
            <v>104</v>
          </cell>
          <cell r="E149">
            <v>52</v>
          </cell>
          <cell r="F149">
            <v>14</v>
          </cell>
          <cell r="G149">
            <v>3.25</v>
          </cell>
          <cell r="H149">
            <v>10.75</v>
          </cell>
          <cell r="I149">
            <v>56.75</v>
          </cell>
          <cell r="J149">
            <v>120</v>
          </cell>
          <cell r="K149">
            <v>133.5</v>
          </cell>
          <cell r="L149">
            <v>17.3</v>
          </cell>
          <cell r="M149">
            <v>12784.39</v>
          </cell>
        </row>
        <row r="150">
          <cell r="A150" t="str">
            <v>27/08/2004</v>
          </cell>
          <cell r="B150">
            <v>21.55</v>
          </cell>
          <cell r="C150">
            <v>56.25</v>
          </cell>
          <cell r="D150">
            <v>104</v>
          </cell>
          <cell r="E150">
            <v>49.8</v>
          </cell>
          <cell r="F150">
            <v>13.95</v>
          </cell>
          <cell r="G150">
            <v>3.1749999999999998</v>
          </cell>
          <cell r="H150">
            <v>10.75</v>
          </cell>
          <cell r="I150">
            <v>56.75</v>
          </cell>
          <cell r="J150">
            <v>121.5</v>
          </cell>
          <cell r="K150">
            <v>134</v>
          </cell>
          <cell r="L150">
            <v>16.850000000000001</v>
          </cell>
          <cell r="M150">
            <v>12818.42</v>
          </cell>
        </row>
        <row r="151">
          <cell r="A151" t="str">
            <v>30/08/2004</v>
          </cell>
          <cell r="B151">
            <v>21.35</v>
          </cell>
          <cell r="C151">
            <v>56.75</v>
          </cell>
          <cell r="D151">
            <v>104.5</v>
          </cell>
          <cell r="E151">
            <v>50.25</v>
          </cell>
          <cell r="F151">
            <v>14.05</v>
          </cell>
          <cell r="G151">
            <v>3.1749999999999998</v>
          </cell>
          <cell r="H151">
            <v>10.7</v>
          </cell>
          <cell r="I151">
            <v>56.5</v>
          </cell>
          <cell r="J151">
            <v>121.5</v>
          </cell>
          <cell r="K151">
            <v>133.5</v>
          </cell>
          <cell r="L151">
            <v>17.05</v>
          </cell>
          <cell r="M151">
            <v>12877.78</v>
          </cell>
        </row>
        <row r="152">
          <cell r="A152" t="str">
            <v>31/08/2004</v>
          </cell>
          <cell r="B152">
            <v>21.4</v>
          </cell>
          <cell r="C152">
            <v>56</v>
          </cell>
          <cell r="D152">
            <v>104</v>
          </cell>
          <cell r="E152">
            <v>51</v>
          </cell>
          <cell r="F152">
            <v>14</v>
          </cell>
          <cell r="G152">
            <v>3.2</v>
          </cell>
          <cell r="H152">
            <v>10.65</v>
          </cell>
          <cell r="I152">
            <v>56.75</v>
          </cell>
          <cell r="J152">
            <v>121</v>
          </cell>
          <cell r="K152">
            <v>133.5</v>
          </cell>
          <cell r="L152">
            <v>17.05</v>
          </cell>
          <cell r="M152">
            <v>12850.28</v>
          </cell>
        </row>
        <row r="153">
          <cell r="A153" t="str">
            <v>01/09/2004</v>
          </cell>
          <cell r="B153">
            <v>21.8</v>
          </cell>
          <cell r="C153">
            <v>56.75</v>
          </cell>
          <cell r="D153">
            <v>105</v>
          </cell>
          <cell r="E153">
            <v>51.5</v>
          </cell>
          <cell r="F153">
            <v>14.35</v>
          </cell>
          <cell r="G153">
            <v>3.3</v>
          </cell>
          <cell r="H153">
            <v>10.8</v>
          </cell>
          <cell r="I153">
            <v>57.25</v>
          </cell>
          <cell r="J153">
            <v>122.5</v>
          </cell>
          <cell r="K153">
            <v>134</v>
          </cell>
          <cell r="L153">
            <v>17.350000000000001</v>
          </cell>
          <cell r="M153">
            <v>13023.87</v>
          </cell>
        </row>
        <row r="154">
          <cell r="A154" t="str">
            <v>02/09/2004</v>
          </cell>
          <cell r="B154">
            <v>21.95</v>
          </cell>
          <cell r="C154">
            <v>58.5</v>
          </cell>
          <cell r="D154">
            <v>105</v>
          </cell>
          <cell r="E154">
            <v>51.75</v>
          </cell>
          <cell r="F154">
            <v>14.35</v>
          </cell>
          <cell r="G154">
            <v>3.2749999999999999</v>
          </cell>
          <cell r="H154">
            <v>10.7</v>
          </cell>
          <cell r="I154">
            <v>57.25</v>
          </cell>
          <cell r="J154">
            <v>122</v>
          </cell>
          <cell r="K154">
            <v>134</v>
          </cell>
          <cell r="L154">
            <v>17.8</v>
          </cell>
          <cell r="M154">
            <v>12999.07</v>
          </cell>
        </row>
        <row r="155">
          <cell r="A155" t="str">
            <v>03/09/2004</v>
          </cell>
          <cell r="B155">
            <v>21.8</v>
          </cell>
          <cell r="C155">
            <v>58</v>
          </cell>
          <cell r="D155">
            <v>104.5</v>
          </cell>
          <cell r="E155">
            <v>52.25</v>
          </cell>
          <cell r="F155">
            <v>14.35</v>
          </cell>
          <cell r="G155">
            <v>3.1</v>
          </cell>
          <cell r="H155">
            <v>10.6</v>
          </cell>
          <cell r="I155">
            <v>57</v>
          </cell>
          <cell r="J155">
            <v>122</v>
          </cell>
          <cell r="K155">
            <v>133.5</v>
          </cell>
          <cell r="L155">
            <v>17.45</v>
          </cell>
          <cell r="M155">
            <v>12948.1</v>
          </cell>
        </row>
        <row r="156">
          <cell r="A156" t="str">
            <v>07/09/2004</v>
          </cell>
          <cell r="B156">
            <v>21.9</v>
          </cell>
          <cell r="C156">
            <v>57.5</v>
          </cell>
          <cell r="D156">
            <v>106</v>
          </cell>
          <cell r="E156">
            <v>53</v>
          </cell>
          <cell r="F156">
            <v>14.4</v>
          </cell>
          <cell r="G156">
            <v>3.2</v>
          </cell>
          <cell r="H156">
            <v>10.8</v>
          </cell>
          <cell r="I156">
            <v>56.5</v>
          </cell>
          <cell r="J156">
            <v>123</v>
          </cell>
          <cell r="K156">
            <v>134.5</v>
          </cell>
          <cell r="L156">
            <v>18.350000000000001</v>
          </cell>
          <cell r="M156">
            <v>13136.04</v>
          </cell>
        </row>
        <row r="157">
          <cell r="A157" t="str">
            <v>08/09/2004</v>
          </cell>
          <cell r="B157">
            <v>21.65</v>
          </cell>
          <cell r="C157">
            <v>57.25</v>
          </cell>
          <cell r="D157">
            <v>105</v>
          </cell>
          <cell r="E157">
            <v>52.25</v>
          </cell>
          <cell r="F157">
            <v>14.35</v>
          </cell>
          <cell r="G157">
            <v>3.1749999999999998</v>
          </cell>
          <cell r="H157">
            <v>10.8</v>
          </cell>
          <cell r="I157">
            <v>57</v>
          </cell>
          <cell r="J157">
            <v>122.5</v>
          </cell>
          <cell r="K157">
            <v>133.5</v>
          </cell>
          <cell r="L157">
            <v>18.100000000000001</v>
          </cell>
          <cell r="M157">
            <v>13049.96</v>
          </cell>
        </row>
        <row r="158">
          <cell r="A158" t="str">
            <v>09/09/2004</v>
          </cell>
          <cell r="B158">
            <v>21.4</v>
          </cell>
          <cell r="C158">
            <v>57</v>
          </cell>
          <cell r="D158">
            <v>104</v>
          </cell>
          <cell r="E158">
            <v>53.75</v>
          </cell>
          <cell r="F158">
            <v>14.1</v>
          </cell>
          <cell r="G158">
            <v>3.125</v>
          </cell>
          <cell r="H158">
            <v>10.6</v>
          </cell>
          <cell r="I158">
            <v>56.75</v>
          </cell>
          <cell r="J158">
            <v>122</v>
          </cell>
          <cell r="K158">
            <v>133</v>
          </cell>
          <cell r="L158">
            <v>18.05</v>
          </cell>
          <cell r="M158">
            <v>12942.2</v>
          </cell>
        </row>
        <row r="159">
          <cell r="A159" t="str">
            <v>10/09/2004</v>
          </cell>
          <cell r="B159">
            <v>21.35</v>
          </cell>
          <cell r="C159">
            <v>56.25</v>
          </cell>
          <cell r="D159">
            <v>104</v>
          </cell>
          <cell r="E159">
            <v>53.5</v>
          </cell>
          <cell r="F159">
            <v>14.15</v>
          </cell>
          <cell r="G159">
            <v>3.1</v>
          </cell>
          <cell r="H159">
            <v>10.5</v>
          </cell>
          <cell r="I159">
            <v>56.5</v>
          </cell>
          <cell r="J159">
            <v>122.5</v>
          </cell>
          <cell r="K159">
            <v>133</v>
          </cell>
          <cell r="L159">
            <v>18.149999999999999</v>
          </cell>
          <cell r="M159">
            <v>13003.99</v>
          </cell>
        </row>
        <row r="160">
          <cell r="A160" t="str">
            <v>13/09/2004</v>
          </cell>
          <cell r="B160">
            <v>21.9</v>
          </cell>
          <cell r="C160">
            <v>57</v>
          </cell>
          <cell r="D160">
            <v>105</v>
          </cell>
          <cell r="E160">
            <v>54.25</v>
          </cell>
          <cell r="F160">
            <v>14.3</v>
          </cell>
          <cell r="G160">
            <v>3.2</v>
          </cell>
          <cell r="H160">
            <v>10.7</v>
          </cell>
          <cell r="I160">
            <v>56.5</v>
          </cell>
          <cell r="J160">
            <v>123.5</v>
          </cell>
          <cell r="K160">
            <v>134</v>
          </cell>
          <cell r="L160">
            <v>17.899999999999999</v>
          </cell>
          <cell r="M160">
            <v>13139.57</v>
          </cell>
        </row>
        <row r="161">
          <cell r="A161" t="str">
            <v>14/09/2004</v>
          </cell>
          <cell r="B161">
            <v>21.9</v>
          </cell>
          <cell r="C161">
            <v>57</v>
          </cell>
          <cell r="D161">
            <v>105</v>
          </cell>
          <cell r="E161">
            <v>54.25</v>
          </cell>
          <cell r="F161">
            <v>14.3</v>
          </cell>
          <cell r="G161">
            <v>3.1749999999999998</v>
          </cell>
          <cell r="H161">
            <v>10.7</v>
          </cell>
          <cell r="I161">
            <v>56.75</v>
          </cell>
          <cell r="J161">
            <v>123.5</v>
          </cell>
          <cell r="K161">
            <v>133</v>
          </cell>
          <cell r="L161">
            <v>18.05</v>
          </cell>
          <cell r="M161">
            <v>13148.06</v>
          </cell>
        </row>
        <row r="162">
          <cell r="A162" t="str">
            <v>15/09/2004</v>
          </cell>
          <cell r="B162">
            <v>21.95</v>
          </cell>
          <cell r="C162">
            <v>57.25</v>
          </cell>
          <cell r="D162">
            <v>104.5</v>
          </cell>
          <cell r="E162">
            <v>54.25</v>
          </cell>
          <cell r="F162">
            <v>14.3</v>
          </cell>
          <cell r="G162">
            <v>3.125</v>
          </cell>
          <cell r="H162">
            <v>10.65</v>
          </cell>
          <cell r="I162">
            <v>56.5</v>
          </cell>
          <cell r="J162">
            <v>123.5</v>
          </cell>
          <cell r="K162">
            <v>134</v>
          </cell>
          <cell r="L162">
            <v>17.899999999999999</v>
          </cell>
          <cell r="M162">
            <v>13084.4</v>
          </cell>
        </row>
        <row r="163">
          <cell r="A163" t="str">
            <v>16/09/2004</v>
          </cell>
          <cell r="B163">
            <v>21.95</v>
          </cell>
          <cell r="C163">
            <v>56.75</v>
          </cell>
          <cell r="D163">
            <v>105.5</v>
          </cell>
          <cell r="E163">
            <v>53.5</v>
          </cell>
          <cell r="F163">
            <v>14.45</v>
          </cell>
          <cell r="G163">
            <v>3.1749999999999998</v>
          </cell>
          <cell r="H163">
            <v>10.65</v>
          </cell>
          <cell r="I163">
            <v>57.25</v>
          </cell>
          <cell r="J163">
            <v>123.5</v>
          </cell>
          <cell r="K163">
            <v>132.5</v>
          </cell>
          <cell r="L163">
            <v>18.45</v>
          </cell>
          <cell r="M163">
            <v>13209.84</v>
          </cell>
        </row>
        <row r="164">
          <cell r="A164" t="str">
            <v>17/09/2004</v>
          </cell>
          <cell r="B164">
            <v>21.85</v>
          </cell>
          <cell r="C164">
            <v>57</v>
          </cell>
          <cell r="D164">
            <v>105</v>
          </cell>
          <cell r="E164">
            <v>52</v>
          </cell>
          <cell r="F164">
            <v>14.55</v>
          </cell>
          <cell r="G164">
            <v>3.2749999999999999</v>
          </cell>
          <cell r="H164">
            <v>10.7</v>
          </cell>
          <cell r="I164">
            <v>57</v>
          </cell>
          <cell r="J164">
            <v>124</v>
          </cell>
          <cell r="K164">
            <v>133.5</v>
          </cell>
          <cell r="L164">
            <v>18.75</v>
          </cell>
          <cell r="M164">
            <v>13224.93</v>
          </cell>
        </row>
        <row r="165">
          <cell r="A165" t="str">
            <v>20/09/2004</v>
          </cell>
          <cell r="B165">
            <v>21.9</v>
          </cell>
          <cell r="C165">
            <v>56.25</v>
          </cell>
          <cell r="D165">
            <v>104.5</v>
          </cell>
          <cell r="E165">
            <v>51.25</v>
          </cell>
          <cell r="F165">
            <v>14.5</v>
          </cell>
          <cell r="G165">
            <v>3.2250000000000001</v>
          </cell>
          <cell r="H165">
            <v>10.8</v>
          </cell>
          <cell r="I165">
            <v>56.75</v>
          </cell>
          <cell r="J165">
            <v>123.5</v>
          </cell>
          <cell r="K165">
            <v>133</v>
          </cell>
          <cell r="L165">
            <v>18.649999999999999</v>
          </cell>
          <cell r="M165">
            <v>13221.33</v>
          </cell>
        </row>
        <row r="166">
          <cell r="A166" t="str">
            <v>21/09/2004</v>
          </cell>
          <cell r="B166">
            <v>21.95</v>
          </cell>
          <cell r="C166">
            <v>55.75</v>
          </cell>
          <cell r="D166">
            <v>105</v>
          </cell>
          <cell r="E166">
            <v>51.25</v>
          </cell>
          <cell r="F166">
            <v>14.35</v>
          </cell>
          <cell r="G166">
            <v>3.25</v>
          </cell>
          <cell r="H166">
            <v>10.75</v>
          </cell>
          <cell r="I166">
            <v>56.5</v>
          </cell>
          <cell r="J166">
            <v>123.5</v>
          </cell>
          <cell r="K166">
            <v>133</v>
          </cell>
          <cell r="L166">
            <v>18.5</v>
          </cell>
          <cell r="M166">
            <v>13304.48</v>
          </cell>
        </row>
        <row r="167">
          <cell r="A167" t="str">
            <v>22/09/2004</v>
          </cell>
          <cell r="B167">
            <v>21.95</v>
          </cell>
          <cell r="C167">
            <v>56.25</v>
          </cell>
          <cell r="D167">
            <v>105.5</v>
          </cell>
          <cell r="E167">
            <v>52</v>
          </cell>
          <cell r="F167">
            <v>14.3</v>
          </cell>
          <cell r="G167">
            <v>3.3250000000000002</v>
          </cell>
          <cell r="H167">
            <v>10.7</v>
          </cell>
          <cell r="I167">
            <v>57.5</v>
          </cell>
          <cell r="J167">
            <v>123</v>
          </cell>
          <cell r="K167">
            <v>132.5</v>
          </cell>
          <cell r="L167">
            <v>18.45</v>
          </cell>
          <cell r="M167">
            <v>13272.23</v>
          </cell>
        </row>
        <row r="168">
          <cell r="A168" t="str">
            <v>23/09/2004</v>
          </cell>
          <cell r="B168">
            <v>22.15</v>
          </cell>
          <cell r="C168">
            <v>56.25</v>
          </cell>
          <cell r="D168">
            <v>106</v>
          </cell>
          <cell r="E168">
            <v>51</v>
          </cell>
          <cell r="F168">
            <v>14.15</v>
          </cell>
          <cell r="G168">
            <v>3.3250000000000002</v>
          </cell>
          <cell r="H168">
            <v>10.75</v>
          </cell>
          <cell r="I168">
            <v>58</v>
          </cell>
          <cell r="J168">
            <v>124</v>
          </cell>
          <cell r="K168">
            <v>132</v>
          </cell>
          <cell r="L168">
            <v>18.05</v>
          </cell>
          <cell r="M168">
            <v>13280.43</v>
          </cell>
        </row>
        <row r="169">
          <cell r="A169" t="str">
            <v>24/09/2004</v>
          </cell>
          <cell r="B169">
            <v>22</v>
          </cell>
          <cell r="C169">
            <v>55.25</v>
          </cell>
          <cell r="D169">
            <v>103.5</v>
          </cell>
          <cell r="E169">
            <v>49.8</v>
          </cell>
          <cell r="F169">
            <v>14</v>
          </cell>
          <cell r="G169">
            <v>3.2749999999999999</v>
          </cell>
          <cell r="H169">
            <v>10.75</v>
          </cell>
          <cell r="I169">
            <v>57.5</v>
          </cell>
          <cell r="J169">
            <v>123.5</v>
          </cell>
          <cell r="K169">
            <v>133</v>
          </cell>
          <cell r="L169">
            <v>17.649999999999999</v>
          </cell>
          <cell r="M169">
            <v>13066.84</v>
          </cell>
        </row>
        <row r="170">
          <cell r="A170" t="str">
            <v>27/09/2004</v>
          </cell>
          <cell r="B170">
            <v>21.8</v>
          </cell>
          <cell r="C170">
            <v>54.5</v>
          </cell>
          <cell r="D170">
            <v>103.5</v>
          </cell>
          <cell r="E170">
            <v>49.5</v>
          </cell>
          <cell r="F170">
            <v>13.85</v>
          </cell>
          <cell r="G170">
            <v>3.2250000000000001</v>
          </cell>
          <cell r="H170">
            <v>10.65</v>
          </cell>
          <cell r="I170">
            <v>56.5</v>
          </cell>
          <cell r="J170">
            <v>123.5</v>
          </cell>
          <cell r="K170">
            <v>133.5</v>
          </cell>
          <cell r="L170">
            <v>17.75</v>
          </cell>
          <cell r="M170">
            <v>13021.9</v>
          </cell>
        </row>
        <row r="171">
          <cell r="A171" t="str">
            <v>28/09/2004</v>
          </cell>
          <cell r="B171">
            <v>21.7</v>
          </cell>
          <cell r="C171">
            <v>55.25</v>
          </cell>
          <cell r="D171">
            <v>102.5</v>
          </cell>
          <cell r="E171">
            <v>50.25</v>
          </cell>
          <cell r="F171">
            <v>13.95</v>
          </cell>
          <cell r="G171">
            <v>3.15</v>
          </cell>
          <cell r="H171">
            <v>10.55</v>
          </cell>
          <cell r="I171">
            <v>56.5</v>
          </cell>
          <cell r="J171">
            <v>123</v>
          </cell>
          <cell r="K171">
            <v>133</v>
          </cell>
          <cell r="L171">
            <v>17.8</v>
          </cell>
          <cell r="M171">
            <v>12950.8</v>
          </cell>
        </row>
        <row r="172">
          <cell r="A172" t="str">
            <v>29/09/2004</v>
          </cell>
          <cell r="B172">
            <v>21.7</v>
          </cell>
          <cell r="C172">
            <v>55.25</v>
          </cell>
          <cell r="D172">
            <v>102.5</v>
          </cell>
          <cell r="E172">
            <v>50.25</v>
          </cell>
          <cell r="F172">
            <v>13.95</v>
          </cell>
          <cell r="G172">
            <v>3.15</v>
          </cell>
          <cell r="H172">
            <v>10.55</v>
          </cell>
          <cell r="I172">
            <v>56.5</v>
          </cell>
          <cell r="J172">
            <v>123</v>
          </cell>
          <cell r="K172">
            <v>133</v>
          </cell>
          <cell r="L172">
            <v>17.8</v>
          </cell>
          <cell r="M172">
            <v>12950.8</v>
          </cell>
        </row>
        <row r="173">
          <cell r="A173" t="str">
            <v>30/09/2004</v>
          </cell>
          <cell r="B173">
            <v>21.9</v>
          </cell>
          <cell r="C173">
            <v>55.75</v>
          </cell>
          <cell r="D173">
            <v>104</v>
          </cell>
          <cell r="E173">
            <v>51</v>
          </cell>
          <cell r="F173">
            <v>14.25</v>
          </cell>
          <cell r="G173">
            <v>3.1749999999999998</v>
          </cell>
          <cell r="H173">
            <v>10.65</v>
          </cell>
          <cell r="I173">
            <v>57</v>
          </cell>
          <cell r="J173">
            <v>124</v>
          </cell>
          <cell r="K173">
            <v>134</v>
          </cell>
          <cell r="L173">
            <v>17.75</v>
          </cell>
          <cell r="M173">
            <v>13120.03</v>
          </cell>
        </row>
        <row r="174">
          <cell r="A174" t="str">
            <v>01/10/2004</v>
          </cell>
          <cell r="B174">
            <v>21.9</v>
          </cell>
          <cell r="C174">
            <v>55.75</v>
          </cell>
          <cell r="D174">
            <v>104</v>
          </cell>
          <cell r="E174">
            <v>51</v>
          </cell>
          <cell r="F174">
            <v>14.25</v>
          </cell>
          <cell r="G174">
            <v>3.1749999999999998</v>
          </cell>
          <cell r="H174">
            <v>10.65</v>
          </cell>
          <cell r="I174">
            <v>57</v>
          </cell>
          <cell r="J174">
            <v>124</v>
          </cell>
          <cell r="K174">
            <v>134</v>
          </cell>
          <cell r="L174">
            <v>17.75</v>
          </cell>
          <cell r="M174">
            <v>13120.03</v>
          </cell>
        </row>
        <row r="175">
          <cell r="A175" t="str">
            <v>04/10/2004</v>
          </cell>
          <cell r="B175">
            <v>22</v>
          </cell>
          <cell r="C175">
            <v>56.75</v>
          </cell>
          <cell r="D175">
            <v>105.5</v>
          </cell>
          <cell r="E175">
            <v>50.75</v>
          </cell>
          <cell r="F175">
            <v>14.35</v>
          </cell>
          <cell r="G175">
            <v>3.25</v>
          </cell>
          <cell r="H175">
            <v>10.7</v>
          </cell>
          <cell r="I175">
            <v>57.5</v>
          </cell>
          <cell r="J175">
            <v>125.5</v>
          </cell>
          <cell r="K175">
            <v>135.5</v>
          </cell>
          <cell r="L175">
            <v>18.5</v>
          </cell>
          <cell r="M175">
            <v>13359.25</v>
          </cell>
        </row>
        <row r="176">
          <cell r="A176" t="str">
            <v>05/10/2004</v>
          </cell>
          <cell r="B176">
            <v>22.25</v>
          </cell>
          <cell r="C176">
            <v>57.75</v>
          </cell>
          <cell r="D176">
            <v>105</v>
          </cell>
          <cell r="E176">
            <v>51.25</v>
          </cell>
          <cell r="F176">
            <v>14.35</v>
          </cell>
          <cell r="G176">
            <v>3.3</v>
          </cell>
          <cell r="H176">
            <v>10.95</v>
          </cell>
          <cell r="I176">
            <v>57</v>
          </cell>
          <cell r="J176">
            <v>125</v>
          </cell>
          <cell r="K176">
            <v>136</v>
          </cell>
          <cell r="L176">
            <v>18.7</v>
          </cell>
          <cell r="M176">
            <v>13331.1</v>
          </cell>
        </row>
        <row r="177">
          <cell r="A177" t="str">
            <v>06/10/2004</v>
          </cell>
          <cell r="B177">
            <v>22.25</v>
          </cell>
          <cell r="C177">
            <v>57.75</v>
          </cell>
          <cell r="D177">
            <v>104</v>
          </cell>
          <cell r="E177">
            <v>52.25</v>
          </cell>
          <cell r="F177">
            <v>14.3</v>
          </cell>
          <cell r="G177">
            <v>3.25</v>
          </cell>
          <cell r="H177">
            <v>10.85</v>
          </cell>
          <cell r="I177">
            <v>57.25</v>
          </cell>
          <cell r="J177">
            <v>125</v>
          </cell>
          <cell r="K177">
            <v>136.5</v>
          </cell>
          <cell r="L177">
            <v>18.350000000000001</v>
          </cell>
          <cell r="M177">
            <v>13271.57</v>
          </cell>
        </row>
        <row r="178">
          <cell r="A178" t="str">
            <v>07/10/2004</v>
          </cell>
          <cell r="B178">
            <v>22.25</v>
          </cell>
          <cell r="C178">
            <v>57.25</v>
          </cell>
          <cell r="D178">
            <v>105</v>
          </cell>
          <cell r="E178">
            <v>52.25</v>
          </cell>
          <cell r="F178">
            <v>14.3</v>
          </cell>
          <cell r="G178">
            <v>3.3250000000000002</v>
          </cell>
          <cell r="H178">
            <v>10.85</v>
          </cell>
          <cell r="I178">
            <v>57.5</v>
          </cell>
          <cell r="J178">
            <v>125.5</v>
          </cell>
          <cell r="K178">
            <v>137</v>
          </cell>
          <cell r="L178">
            <v>18.45</v>
          </cell>
          <cell r="M178">
            <v>13321.73</v>
          </cell>
        </row>
        <row r="179">
          <cell r="A179" t="str">
            <v>08/10/2004</v>
          </cell>
          <cell r="B179">
            <v>22.05</v>
          </cell>
          <cell r="C179">
            <v>57.5</v>
          </cell>
          <cell r="D179">
            <v>104.5</v>
          </cell>
          <cell r="E179">
            <v>51.25</v>
          </cell>
          <cell r="F179">
            <v>14.2</v>
          </cell>
          <cell r="G179">
            <v>3.25</v>
          </cell>
          <cell r="H179">
            <v>10.8</v>
          </cell>
          <cell r="I179">
            <v>58</v>
          </cell>
          <cell r="J179">
            <v>125.5</v>
          </cell>
          <cell r="K179">
            <v>136.5</v>
          </cell>
          <cell r="L179">
            <v>18.2</v>
          </cell>
          <cell r="M179">
            <v>13241.46</v>
          </cell>
        </row>
        <row r="180">
          <cell r="A180" t="str">
            <v>11/10/2004</v>
          </cell>
          <cell r="B180">
            <v>22</v>
          </cell>
          <cell r="C180">
            <v>57.25</v>
          </cell>
          <cell r="D180">
            <v>104.5</v>
          </cell>
          <cell r="E180">
            <v>50.5</v>
          </cell>
          <cell r="F180">
            <v>14.2</v>
          </cell>
          <cell r="G180">
            <v>3.25</v>
          </cell>
          <cell r="H180">
            <v>10.7</v>
          </cell>
          <cell r="I180">
            <v>58.5</v>
          </cell>
          <cell r="J180">
            <v>126</v>
          </cell>
          <cell r="K180">
            <v>138</v>
          </cell>
          <cell r="L180">
            <v>17.8</v>
          </cell>
          <cell r="M180">
            <v>13305.13</v>
          </cell>
        </row>
        <row r="181">
          <cell r="A181" t="str">
            <v>12/10/2004</v>
          </cell>
          <cell r="B181">
            <v>21.95</v>
          </cell>
          <cell r="C181">
            <v>57</v>
          </cell>
          <cell r="D181">
            <v>104</v>
          </cell>
          <cell r="E181">
            <v>51</v>
          </cell>
          <cell r="F181">
            <v>14.15</v>
          </cell>
          <cell r="G181">
            <v>3.1749999999999998</v>
          </cell>
          <cell r="H181">
            <v>10.7</v>
          </cell>
          <cell r="I181">
            <v>58.75</v>
          </cell>
          <cell r="J181">
            <v>125.5</v>
          </cell>
          <cell r="K181">
            <v>138.5</v>
          </cell>
          <cell r="L181">
            <v>18.05</v>
          </cell>
          <cell r="M181">
            <v>13251.59</v>
          </cell>
        </row>
        <row r="182">
          <cell r="A182" t="str">
            <v>13/10/2004</v>
          </cell>
          <cell r="B182">
            <v>22</v>
          </cell>
          <cell r="C182">
            <v>58.25</v>
          </cell>
          <cell r="D182">
            <v>104</v>
          </cell>
          <cell r="E182">
            <v>51</v>
          </cell>
          <cell r="F182">
            <v>14.1</v>
          </cell>
          <cell r="G182">
            <v>3.1</v>
          </cell>
          <cell r="H182">
            <v>10.5</v>
          </cell>
          <cell r="I182">
            <v>59.5</v>
          </cell>
          <cell r="J182">
            <v>125.5</v>
          </cell>
          <cell r="K182">
            <v>139.5</v>
          </cell>
          <cell r="L182">
            <v>18.05</v>
          </cell>
          <cell r="M182">
            <v>13171.58</v>
          </cell>
        </row>
        <row r="183">
          <cell r="A183" t="str">
            <v>14/10/2004</v>
          </cell>
          <cell r="B183">
            <v>21.9</v>
          </cell>
          <cell r="C183">
            <v>56.5</v>
          </cell>
          <cell r="D183">
            <v>103</v>
          </cell>
          <cell r="E183">
            <v>50.75</v>
          </cell>
          <cell r="F183">
            <v>14</v>
          </cell>
          <cell r="G183">
            <v>3.0750000000000002</v>
          </cell>
          <cell r="H183">
            <v>10.5</v>
          </cell>
          <cell r="I183">
            <v>58.5</v>
          </cell>
          <cell r="J183">
            <v>124.5</v>
          </cell>
          <cell r="K183">
            <v>137</v>
          </cell>
          <cell r="L183">
            <v>17.850000000000001</v>
          </cell>
          <cell r="M183">
            <v>13035.38</v>
          </cell>
        </row>
        <row r="184">
          <cell r="A184" t="str">
            <v>15/10/2004</v>
          </cell>
          <cell r="B184">
            <v>22.05</v>
          </cell>
          <cell r="C184">
            <v>55.75</v>
          </cell>
          <cell r="D184">
            <v>103.5</v>
          </cell>
          <cell r="E184">
            <v>51</v>
          </cell>
          <cell r="F184">
            <v>14</v>
          </cell>
          <cell r="G184">
            <v>3.1</v>
          </cell>
          <cell r="H184">
            <v>10.5</v>
          </cell>
          <cell r="I184">
            <v>59</v>
          </cell>
          <cell r="J184">
            <v>124.5</v>
          </cell>
          <cell r="K184">
            <v>136.5</v>
          </cell>
          <cell r="L184">
            <v>17.8</v>
          </cell>
          <cell r="M184">
            <v>13059.43</v>
          </cell>
        </row>
        <row r="185">
          <cell r="A185" t="str">
            <v>18/10/2004</v>
          </cell>
          <cell r="B185">
            <v>21.95</v>
          </cell>
          <cell r="C185">
            <v>55.5</v>
          </cell>
          <cell r="D185">
            <v>103.5</v>
          </cell>
          <cell r="E185">
            <v>51.75</v>
          </cell>
          <cell r="F185">
            <v>14</v>
          </cell>
          <cell r="G185">
            <v>3.1</v>
          </cell>
          <cell r="H185">
            <v>10.4</v>
          </cell>
          <cell r="I185">
            <v>59</v>
          </cell>
          <cell r="J185">
            <v>125</v>
          </cell>
          <cell r="K185">
            <v>137</v>
          </cell>
          <cell r="L185">
            <v>17.75</v>
          </cell>
          <cell r="M185">
            <v>13034.74</v>
          </cell>
        </row>
        <row r="186">
          <cell r="A186" t="str">
            <v>19/10/2004</v>
          </cell>
          <cell r="B186">
            <v>22.05</v>
          </cell>
          <cell r="C186">
            <v>57</v>
          </cell>
          <cell r="D186">
            <v>104</v>
          </cell>
          <cell r="E186">
            <v>51.5</v>
          </cell>
          <cell r="F186">
            <v>14.1</v>
          </cell>
          <cell r="G186">
            <v>3.15</v>
          </cell>
          <cell r="H186">
            <v>10.6</v>
          </cell>
          <cell r="I186">
            <v>58</v>
          </cell>
          <cell r="J186">
            <v>126</v>
          </cell>
          <cell r="K186">
            <v>137</v>
          </cell>
          <cell r="L186">
            <v>17.75</v>
          </cell>
          <cell r="M186">
            <v>13154.55</v>
          </cell>
        </row>
        <row r="187">
          <cell r="A187" t="str">
            <v>20/10/2004</v>
          </cell>
          <cell r="B187">
            <v>21.8</v>
          </cell>
          <cell r="C187">
            <v>56.25</v>
          </cell>
          <cell r="D187">
            <v>103.5</v>
          </cell>
          <cell r="E187">
            <v>51.5</v>
          </cell>
          <cell r="F187">
            <v>14</v>
          </cell>
          <cell r="G187">
            <v>3.15</v>
          </cell>
          <cell r="H187">
            <v>10.55</v>
          </cell>
          <cell r="I187">
            <v>58</v>
          </cell>
          <cell r="J187">
            <v>125.5</v>
          </cell>
          <cell r="K187">
            <v>136</v>
          </cell>
          <cell r="L187">
            <v>17.5</v>
          </cell>
          <cell r="M187">
            <v>12999.13</v>
          </cell>
        </row>
        <row r="188">
          <cell r="A188" t="str">
            <v>21/10/2004</v>
          </cell>
          <cell r="B188">
            <v>21.95</v>
          </cell>
          <cell r="C188">
            <v>56</v>
          </cell>
          <cell r="D188">
            <v>103.5</v>
          </cell>
          <cell r="E188">
            <v>52.25</v>
          </cell>
          <cell r="F188">
            <v>14</v>
          </cell>
          <cell r="G188">
            <v>3.125</v>
          </cell>
          <cell r="H188">
            <v>10.5</v>
          </cell>
          <cell r="I188">
            <v>58.25</v>
          </cell>
          <cell r="J188">
            <v>125.5</v>
          </cell>
          <cell r="K188">
            <v>139</v>
          </cell>
          <cell r="L188">
            <v>17.05</v>
          </cell>
          <cell r="M188">
            <v>13015.2</v>
          </cell>
        </row>
        <row r="189">
          <cell r="A189" t="str">
            <v>22/10/2004</v>
          </cell>
          <cell r="B189">
            <v>21.95</v>
          </cell>
          <cell r="C189">
            <v>56</v>
          </cell>
          <cell r="D189">
            <v>103.5</v>
          </cell>
          <cell r="E189">
            <v>52.25</v>
          </cell>
          <cell r="F189">
            <v>14</v>
          </cell>
          <cell r="G189">
            <v>3.125</v>
          </cell>
          <cell r="H189">
            <v>10.5</v>
          </cell>
          <cell r="I189">
            <v>58.25</v>
          </cell>
          <cell r="J189">
            <v>125.5</v>
          </cell>
          <cell r="K189">
            <v>139</v>
          </cell>
          <cell r="L189">
            <v>17.05</v>
          </cell>
          <cell r="M189">
            <v>13015.2</v>
          </cell>
        </row>
        <row r="190">
          <cell r="A190" t="str">
            <v>25/10/2004</v>
          </cell>
          <cell r="B190">
            <v>21.8</v>
          </cell>
          <cell r="C190">
            <v>56</v>
          </cell>
          <cell r="D190">
            <v>103</v>
          </cell>
          <cell r="E190">
            <v>51.75</v>
          </cell>
          <cell r="F190">
            <v>13.85</v>
          </cell>
          <cell r="G190">
            <v>3.05</v>
          </cell>
          <cell r="H190">
            <v>10.3</v>
          </cell>
          <cell r="I190">
            <v>58</v>
          </cell>
          <cell r="J190">
            <v>124.5</v>
          </cell>
          <cell r="K190">
            <v>138.5</v>
          </cell>
          <cell r="L190">
            <v>17.100000000000001</v>
          </cell>
          <cell r="M190">
            <v>12818.1</v>
          </cell>
        </row>
        <row r="191">
          <cell r="A191" t="str">
            <v>26/10/2004</v>
          </cell>
          <cell r="B191">
            <v>21.9</v>
          </cell>
          <cell r="C191">
            <v>56.5</v>
          </cell>
          <cell r="D191">
            <v>103</v>
          </cell>
          <cell r="E191">
            <v>51.5</v>
          </cell>
          <cell r="F191">
            <v>13.9</v>
          </cell>
          <cell r="G191">
            <v>3.0750000000000002</v>
          </cell>
          <cell r="H191">
            <v>10.3</v>
          </cell>
          <cell r="I191">
            <v>59.5</v>
          </cell>
          <cell r="J191">
            <v>124.5</v>
          </cell>
          <cell r="K191">
            <v>139</v>
          </cell>
          <cell r="L191">
            <v>17.2</v>
          </cell>
          <cell r="M191">
            <v>12852.35</v>
          </cell>
        </row>
        <row r="192">
          <cell r="A192" t="str">
            <v>27/10/2004</v>
          </cell>
          <cell r="B192">
            <v>21.9</v>
          </cell>
          <cell r="C192">
            <v>56.25</v>
          </cell>
          <cell r="D192">
            <v>102.5</v>
          </cell>
          <cell r="E192">
            <v>51.75</v>
          </cell>
          <cell r="F192">
            <v>13.9</v>
          </cell>
          <cell r="G192">
            <v>3.0750000000000002</v>
          </cell>
          <cell r="H192">
            <v>10.3</v>
          </cell>
          <cell r="I192">
            <v>58</v>
          </cell>
          <cell r="J192">
            <v>124.5</v>
          </cell>
          <cell r="K192">
            <v>139</v>
          </cell>
          <cell r="L192">
            <v>17.2</v>
          </cell>
          <cell r="M192">
            <v>12838.71</v>
          </cell>
        </row>
        <row r="193">
          <cell r="A193" t="str">
            <v>28/10/2004</v>
          </cell>
          <cell r="B193">
            <v>22.2</v>
          </cell>
          <cell r="C193">
            <v>56.5</v>
          </cell>
          <cell r="D193">
            <v>104</v>
          </cell>
          <cell r="E193">
            <v>53</v>
          </cell>
          <cell r="F193">
            <v>14.15</v>
          </cell>
          <cell r="G193">
            <v>3.15</v>
          </cell>
          <cell r="H193">
            <v>10.5</v>
          </cell>
          <cell r="I193">
            <v>59.25</v>
          </cell>
          <cell r="J193">
            <v>126</v>
          </cell>
          <cell r="K193">
            <v>139</v>
          </cell>
          <cell r="L193">
            <v>17.7</v>
          </cell>
          <cell r="M193">
            <v>13113.15</v>
          </cell>
        </row>
        <row r="194">
          <cell r="A194" t="str">
            <v>29/10/2004</v>
          </cell>
          <cell r="B194">
            <v>22.3</v>
          </cell>
          <cell r="C194">
            <v>56</v>
          </cell>
          <cell r="D194">
            <v>103.5</v>
          </cell>
          <cell r="E194">
            <v>53.25</v>
          </cell>
          <cell r="F194">
            <v>14.15</v>
          </cell>
          <cell r="G194">
            <v>3.1</v>
          </cell>
          <cell r="H194">
            <v>10.45</v>
          </cell>
          <cell r="I194">
            <v>60</v>
          </cell>
          <cell r="J194">
            <v>126</v>
          </cell>
          <cell r="K194">
            <v>138</v>
          </cell>
          <cell r="L194">
            <v>17.7</v>
          </cell>
          <cell r="M194">
            <v>13054.66</v>
          </cell>
        </row>
        <row r="195">
          <cell r="A195" t="str">
            <v>01/11/2004</v>
          </cell>
          <cell r="B195">
            <v>22.4</v>
          </cell>
          <cell r="C195">
            <v>55.75</v>
          </cell>
          <cell r="D195">
            <v>104</v>
          </cell>
          <cell r="E195">
            <v>52.25</v>
          </cell>
          <cell r="F195">
            <v>14.15</v>
          </cell>
          <cell r="G195">
            <v>3.0750000000000002</v>
          </cell>
          <cell r="H195">
            <v>10.45</v>
          </cell>
          <cell r="I195">
            <v>59.75</v>
          </cell>
          <cell r="J195">
            <v>126.5</v>
          </cell>
          <cell r="K195">
            <v>138</v>
          </cell>
          <cell r="L195">
            <v>17.55</v>
          </cell>
          <cell r="M195">
            <v>13094.25</v>
          </cell>
        </row>
        <row r="196">
          <cell r="A196" t="str">
            <v>02/11/2004</v>
          </cell>
          <cell r="B196">
            <v>22.8</v>
          </cell>
          <cell r="C196">
            <v>57</v>
          </cell>
          <cell r="D196">
            <v>105</v>
          </cell>
          <cell r="E196">
            <v>52.25</v>
          </cell>
          <cell r="F196">
            <v>14.35</v>
          </cell>
          <cell r="G196">
            <v>3.25</v>
          </cell>
          <cell r="H196">
            <v>10.65</v>
          </cell>
          <cell r="I196">
            <v>59.5</v>
          </cell>
          <cell r="J196">
            <v>128</v>
          </cell>
          <cell r="K196">
            <v>139</v>
          </cell>
          <cell r="L196">
            <v>17.95</v>
          </cell>
          <cell r="M196">
            <v>13308.74</v>
          </cell>
        </row>
        <row r="197">
          <cell r="A197" t="str">
            <v>03/11/2004</v>
          </cell>
          <cell r="B197">
            <v>23.05</v>
          </cell>
          <cell r="C197">
            <v>58</v>
          </cell>
          <cell r="D197">
            <v>106</v>
          </cell>
          <cell r="E197">
            <v>54</v>
          </cell>
          <cell r="F197">
            <v>14.35</v>
          </cell>
          <cell r="G197">
            <v>3.3</v>
          </cell>
          <cell r="H197">
            <v>10.75</v>
          </cell>
          <cell r="I197">
            <v>60.75</v>
          </cell>
          <cell r="J197">
            <v>128.5</v>
          </cell>
          <cell r="K197">
            <v>141</v>
          </cell>
          <cell r="L197">
            <v>18.399999999999999</v>
          </cell>
          <cell r="M197">
            <v>13397.67</v>
          </cell>
        </row>
        <row r="198">
          <cell r="A198" t="str">
            <v>04/11/2004</v>
          </cell>
          <cell r="B198">
            <v>22.95</v>
          </cell>
          <cell r="C198">
            <v>57.25</v>
          </cell>
          <cell r="D198">
            <v>106</v>
          </cell>
          <cell r="E198">
            <v>54</v>
          </cell>
          <cell r="F198">
            <v>14.3</v>
          </cell>
          <cell r="G198">
            <v>3.25</v>
          </cell>
          <cell r="H198">
            <v>10.7</v>
          </cell>
          <cell r="I198">
            <v>61.25</v>
          </cell>
          <cell r="J198">
            <v>129.5</v>
          </cell>
          <cell r="K198">
            <v>142.5</v>
          </cell>
          <cell r="L198">
            <v>18.3</v>
          </cell>
          <cell r="M198">
            <v>13369.09</v>
          </cell>
        </row>
        <row r="199">
          <cell r="A199" t="str">
            <v>05/11/2004</v>
          </cell>
          <cell r="B199">
            <v>23.2</v>
          </cell>
          <cell r="C199">
            <v>57.25</v>
          </cell>
          <cell r="D199">
            <v>107</v>
          </cell>
          <cell r="E199">
            <v>54</v>
          </cell>
          <cell r="F199">
            <v>14.35</v>
          </cell>
          <cell r="G199">
            <v>3.35</v>
          </cell>
          <cell r="H199">
            <v>10.8</v>
          </cell>
          <cell r="I199">
            <v>61</v>
          </cell>
          <cell r="J199">
            <v>130.5</v>
          </cell>
          <cell r="K199">
            <v>145</v>
          </cell>
          <cell r="L199">
            <v>18.399999999999999</v>
          </cell>
          <cell r="M199">
            <v>13494.95</v>
          </cell>
        </row>
        <row r="200">
          <cell r="A200" t="str">
            <v>08/11/2004</v>
          </cell>
          <cell r="B200">
            <v>23.35</v>
          </cell>
          <cell r="C200">
            <v>57.25</v>
          </cell>
          <cell r="D200">
            <v>107.5</v>
          </cell>
          <cell r="E200">
            <v>54.25</v>
          </cell>
          <cell r="F200">
            <v>14.5</v>
          </cell>
          <cell r="G200">
            <v>3.5249999999999999</v>
          </cell>
          <cell r="H200">
            <v>11</v>
          </cell>
          <cell r="I200">
            <v>61.25</v>
          </cell>
          <cell r="J200">
            <v>132</v>
          </cell>
          <cell r="K200">
            <v>147.5</v>
          </cell>
          <cell r="L200">
            <v>18.399999999999999</v>
          </cell>
          <cell r="M200">
            <v>13561.49</v>
          </cell>
        </row>
        <row r="201">
          <cell r="A201" t="str">
            <v>09/11/2004</v>
          </cell>
          <cell r="B201">
            <v>23.25</v>
          </cell>
          <cell r="C201">
            <v>57</v>
          </cell>
          <cell r="D201">
            <v>107</v>
          </cell>
          <cell r="E201">
            <v>55</v>
          </cell>
          <cell r="F201">
            <v>14.45</v>
          </cell>
          <cell r="G201">
            <v>3.5</v>
          </cell>
          <cell r="H201">
            <v>10.9</v>
          </cell>
          <cell r="I201">
            <v>61.75</v>
          </cell>
          <cell r="J201">
            <v>131</v>
          </cell>
          <cell r="K201">
            <v>147.5</v>
          </cell>
          <cell r="L201">
            <v>18.399999999999999</v>
          </cell>
          <cell r="M201">
            <v>13516.67</v>
          </cell>
        </row>
        <row r="202">
          <cell r="A202" t="str">
            <v>10/11/2004</v>
          </cell>
          <cell r="B202">
            <v>23.4</v>
          </cell>
          <cell r="C202">
            <v>56.75</v>
          </cell>
          <cell r="D202">
            <v>108</v>
          </cell>
          <cell r="E202">
            <v>56</v>
          </cell>
          <cell r="F202">
            <v>14.55</v>
          </cell>
          <cell r="G202">
            <v>3.6</v>
          </cell>
          <cell r="H202">
            <v>11.1</v>
          </cell>
          <cell r="I202">
            <v>61.75</v>
          </cell>
          <cell r="J202">
            <v>132.5</v>
          </cell>
          <cell r="K202">
            <v>146.5</v>
          </cell>
          <cell r="L202">
            <v>18.649999999999999</v>
          </cell>
          <cell r="M202">
            <v>13672.37</v>
          </cell>
        </row>
        <row r="203">
          <cell r="A203" t="str">
            <v>11/11/2004</v>
          </cell>
          <cell r="B203">
            <v>23.5</v>
          </cell>
          <cell r="C203">
            <v>57.25</v>
          </cell>
          <cell r="D203">
            <v>107</v>
          </cell>
          <cell r="E203">
            <v>56.5</v>
          </cell>
          <cell r="F203">
            <v>14.45</v>
          </cell>
          <cell r="G203">
            <v>3.5750000000000002</v>
          </cell>
          <cell r="H203">
            <v>11.15</v>
          </cell>
          <cell r="I203">
            <v>61.25</v>
          </cell>
          <cell r="J203">
            <v>132.5</v>
          </cell>
          <cell r="K203">
            <v>146</v>
          </cell>
          <cell r="L203">
            <v>18.8</v>
          </cell>
          <cell r="M203">
            <v>13624.51</v>
          </cell>
        </row>
        <row r="204">
          <cell r="A204" t="str">
            <v>12/11/2004</v>
          </cell>
          <cell r="B204">
            <v>23.75</v>
          </cell>
          <cell r="C204">
            <v>60.75</v>
          </cell>
          <cell r="D204">
            <v>107.5</v>
          </cell>
          <cell r="E204">
            <v>58.75</v>
          </cell>
          <cell r="F204">
            <v>14.5</v>
          </cell>
          <cell r="G204">
            <v>3.5249999999999999</v>
          </cell>
          <cell r="H204">
            <v>10.95</v>
          </cell>
          <cell r="I204">
            <v>61.5</v>
          </cell>
          <cell r="J204">
            <v>134.5</v>
          </cell>
          <cell r="K204">
            <v>147</v>
          </cell>
          <cell r="L204">
            <v>19.100000000000001</v>
          </cell>
          <cell r="M204">
            <v>13784.46</v>
          </cell>
        </row>
        <row r="205">
          <cell r="A205" t="str">
            <v>15/11/2004</v>
          </cell>
          <cell r="B205">
            <v>24.1</v>
          </cell>
          <cell r="C205">
            <v>59.25</v>
          </cell>
          <cell r="D205">
            <v>108</v>
          </cell>
          <cell r="E205">
            <v>59</v>
          </cell>
          <cell r="F205">
            <v>14.7</v>
          </cell>
          <cell r="G205">
            <v>3.6</v>
          </cell>
          <cell r="H205">
            <v>11</v>
          </cell>
          <cell r="I205">
            <v>61.5</v>
          </cell>
          <cell r="J205">
            <v>136.5</v>
          </cell>
          <cell r="K205">
            <v>147.5</v>
          </cell>
          <cell r="L205">
            <v>19.8</v>
          </cell>
          <cell r="M205">
            <v>13932.22</v>
          </cell>
        </row>
        <row r="206">
          <cell r="A206" t="str">
            <v>16/11/2004</v>
          </cell>
          <cell r="B206">
            <v>23.65</v>
          </cell>
          <cell r="C206">
            <v>59.5</v>
          </cell>
          <cell r="D206">
            <v>107.5</v>
          </cell>
          <cell r="E206">
            <v>56.25</v>
          </cell>
          <cell r="F206">
            <v>14.45</v>
          </cell>
          <cell r="G206">
            <v>3.5750000000000002</v>
          </cell>
          <cell r="H206">
            <v>10.95</v>
          </cell>
          <cell r="I206">
            <v>61</v>
          </cell>
          <cell r="J206">
            <v>134</v>
          </cell>
          <cell r="K206">
            <v>148</v>
          </cell>
          <cell r="L206">
            <v>19.25</v>
          </cell>
          <cell r="M206">
            <v>13746.08</v>
          </cell>
        </row>
        <row r="207">
          <cell r="A207" t="str">
            <v>17/11/2004</v>
          </cell>
          <cell r="B207">
            <v>23.75</v>
          </cell>
          <cell r="C207">
            <v>59.25</v>
          </cell>
          <cell r="D207">
            <v>107</v>
          </cell>
          <cell r="E207">
            <v>56.25</v>
          </cell>
          <cell r="F207">
            <v>14.55</v>
          </cell>
          <cell r="G207">
            <v>3.4</v>
          </cell>
          <cell r="H207">
            <v>11.15</v>
          </cell>
          <cell r="I207">
            <v>61.25</v>
          </cell>
          <cell r="J207">
            <v>134</v>
          </cell>
          <cell r="K207">
            <v>148.5</v>
          </cell>
          <cell r="L207">
            <v>19.600000000000001</v>
          </cell>
          <cell r="M207">
            <v>13824.98</v>
          </cell>
        </row>
        <row r="208">
          <cell r="A208" t="str">
            <v>18/11/2004</v>
          </cell>
          <cell r="B208">
            <v>23.7</v>
          </cell>
          <cell r="C208">
            <v>62.25</v>
          </cell>
          <cell r="D208">
            <v>107</v>
          </cell>
          <cell r="E208">
            <v>55.75</v>
          </cell>
          <cell r="F208">
            <v>14.55</v>
          </cell>
          <cell r="G208">
            <v>3.5</v>
          </cell>
          <cell r="H208">
            <v>11.1</v>
          </cell>
          <cell r="I208">
            <v>61.5</v>
          </cell>
          <cell r="J208">
            <v>133</v>
          </cell>
          <cell r="K208">
            <v>147</v>
          </cell>
          <cell r="L208">
            <v>19.8</v>
          </cell>
          <cell r="M208">
            <v>13799.82</v>
          </cell>
        </row>
        <row r="209">
          <cell r="A209" t="str">
            <v>19/11/2004</v>
          </cell>
          <cell r="B209">
            <v>23.65</v>
          </cell>
          <cell r="C209">
            <v>59.75</v>
          </cell>
          <cell r="D209">
            <v>107.5</v>
          </cell>
          <cell r="E209">
            <v>54.5</v>
          </cell>
          <cell r="F209">
            <v>14.6</v>
          </cell>
          <cell r="G209">
            <v>3.55</v>
          </cell>
          <cell r="H209">
            <v>10.95</v>
          </cell>
          <cell r="I209">
            <v>61</v>
          </cell>
          <cell r="J209">
            <v>132.5</v>
          </cell>
          <cell r="K209">
            <v>146</v>
          </cell>
          <cell r="L209">
            <v>20.100000000000001</v>
          </cell>
          <cell r="M209">
            <v>13787.68</v>
          </cell>
        </row>
        <row r="210">
          <cell r="A210" t="str">
            <v>22/11/2004</v>
          </cell>
          <cell r="B210">
            <v>23.55</v>
          </cell>
          <cell r="C210">
            <v>59.75</v>
          </cell>
          <cell r="D210">
            <v>108</v>
          </cell>
          <cell r="E210">
            <v>54.5</v>
          </cell>
          <cell r="F210">
            <v>14.55</v>
          </cell>
          <cell r="G210">
            <v>3.5750000000000002</v>
          </cell>
          <cell r="H210">
            <v>11.1</v>
          </cell>
          <cell r="I210">
            <v>61.25</v>
          </cell>
          <cell r="J210">
            <v>132.5</v>
          </cell>
          <cell r="K210">
            <v>145.5</v>
          </cell>
          <cell r="L210">
            <v>19.95</v>
          </cell>
          <cell r="M210">
            <v>13800.6</v>
          </cell>
        </row>
        <row r="211">
          <cell r="A211" t="str">
            <v>23/11/2004</v>
          </cell>
          <cell r="B211">
            <v>23.9</v>
          </cell>
          <cell r="C211">
            <v>59</v>
          </cell>
          <cell r="D211">
            <v>109</v>
          </cell>
          <cell r="E211">
            <v>54.25</v>
          </cell>
          <cell r="F211">
            <v>14.6</v>
          </cell>
          <cell r="G211">
            <v>3.6</v>
          </cell>
          <cell r="H211">
            <v>11.15</v>
          </cell>
          <cell r="I211">
            <v>63</v>
          </cell>
          <cell r="J211">
            <v>134</v>
          </cell>
          <cell r="K211">
            <v>145.5</v>
          </cell>
          <cell r="L211">
            <v>20.05</v>
          </cell>
          <cell r="M211">
            <v>14023.29</v>
          </cell>
        </row>
        <row r="212">
          <cell r="A212" t="str">
            <v>24/11/2004</v>
          </cell>
          <cell r="B212">
            <v>24.15</v>
          </cell>
          <cell r="C212">
            <v>61</v>
          </cell>
          <cell r="D212">
            <v>108.5</v>
          </cell>
          <cell r="E212">
            <v>55</v>
          </cell>
          <cell r="F212">
            <v>14.65</v>
          </cell>
          <cell r="G212">
            <v>3.625</v>
          </cell>
          <cell r="H212">
            <v>11.25</v>
          </cell>
          <cell r="I212">
            <v>62.5</v>
          </cell>
          <cell r="J212">
            <v>132.5</v>
          </cell>
          <cell r="K212">
            <v>146</v>
          </cell>
          <cell r="L212">
            <v>19.8</v>
          </cell>
          <cell r="M212">
            <v>13997.02</v>
          </cell>
        </row>
        <row r="213">
          <cell r="A213" t="str">
            <v>26/11/2004</v>
          </cell>
          <cell r="B213">
            <v>24.55</v>
          </cell>
          <cell r="C213">
            <v>62</v>
          </cell>
          <cell r="D213">
            <v>109</v>
          </cell>
          <cell r="E213">
            <v>55</v>
          </cell>
          <cell r="F213">
            <v>14.55</v>
          </cell>
          <cell r="G213">
            <v>3.5</v>
          </cell>
          <cell r="H213">
            <v>11.15</v>
          </cell>
          <cell r="I213">
            <v>61.75</v>
          </cell>
          <cell r="J213">
            <v>131</v>
          </cell>
          <cell r="K213">
            <v>147</v>
          </cell>
          <cell r="L213">
            <v>19.75</v>
          </cell>
          <cell r="M213">
            <v>13895.03</v>
          </cell>
        </row>
        <row r="214">
          <cell r="A214" t="str">
            <v>29/11/2004</v>
          </cell>
          <cell r="B214">
            <v>24.5</v>
          </cell>
          <cell r="C214">
            <v>62</v>
          </cell>
          <cell r="D214">
            <v>109</v>
          </cell>
          <cell r="E214">
            <v>56</v>
          </cell>
          <cell r="F214">
            <v>14.6</v>
          </cell>
          <cell r="G214">
            <v>3.4750000000000001</v>
          </cell>
          <cell r="H214">
            <v>11.2</v>
          </cell>
          <cell r="I214">
            <v>61</v>
          </cell>
          <cell r="J214">
            <v>132.5</v>
          </cell>
          <cell r="K214">
            <v>148</v>
          </cell>
          <cell r="L214">
            <v>19.5</v>
          </cell>
          <cell r="M214">
            <v>14066.91</v>
          </cell>
        </row>
        <row r="215">
          <cell r="A215" t="str">
            <v>30/11/2004</v>
          </cell>
          <cell r="B215">
            <v>24.45</v>
          </cell>
          <cell r="C215">
            <v>60.75</v>
          </cell>
          <cell r="D215">
            <v>108</v>
          </cell>
          <cell r="E215">
            <v>55.25</v>
          </cell>
          <cell r="F215">
            <v>14.6</v>
          </cell>
          <cell r="G215">
            <v>3.4249999999999998</v>
          </cell>
          <cell r="H215">
            <v>11.1</v>
          </cell>
          <cell r="I215">
            <v>61.25</v>
          </cell>
          <cell r="J215">
            <v>133</v>
          </cell>
          <cell r="K215">
            <v>148</v>
          </cell>
          <cell r="L215">
            <v>19.600000000000001</v>
          </cell>
          <cell r="M215">
            <v>14060.05</v>
          </cell>
        </row>
        <row r="216">
          <cell r="A216" t="str">
            <v>01/12/2004</v>
          </cell>
          <cell r="B216">
            <v>24.45</v>
          </cell>
          <cell r="C216">
            <v>61.25</v>
          </cell>
          <cell r="D216">
            <v>109</v>
          </cell>
          <cell r="E216">
            <v>54.5</v>
          </cell>
          <cell r="F216">
            <v>14.65</v>
          </cell>
          <cell r="G216">
            <v>3.4</v>
          </cell>
          <cell r="H216">
            <v>11.15</v>
          </cell>
          <cell r="I216">
            <v>60.75</v>
          </cell>
          <cell r="J216">
            <v>133.5</v>
          </cell>
          <cell r="K216">
            <v>147.5</v>
          </cell>
          <cell r="L216">
            <v>19.600000000000001</v>
          </cell>
          <cell r="M216">
            <v>14162.8</v>
          </cell>
        </row>
        <row r="217">
          <cell r="A217" t="str">
            <v>02/12/2004</v>
          </cell>
          <cell r="B217">
            <v>24.2</v>
          </cell>
          <cell r="C217">
            <v>61.25</v>
          </cell>
          <cell r="D217">
            <v>109.5</v>
          </cell>
          <cell r="E217">
            <v>54.75</v>
          </cell>
          <cell r="F217">
            <v>14.7</v>
          </cell>
          <cell r="G217">
            <v>3.5</v>
          </cell>
          <cell r="H217">
            <v>11.15</v>
          </cell>
          <cell r="I217">
            <v>60.75</v>
          </cell>
          <cell r="J217">
            <v>134</v>
          </cell>
          <cell r="K217">
            <v>150.5</v>
          </cell>
          <cell r="L217">
            <v>19.75</v>
          </cell>
          <cell r="M217">
            <v>14261.79</v>
          </cell>
        </row>
        <row r="218">
          <cell r="A218" t="str">
            <v>03/12/2004</v>
          </cell>
          <cell r="B218">
            <v>24.4</v>
          </cell>
          <cell r="C218">
            <v>60</v>
          </cell>
          <cell r="D218">
            <v>109</v>
          </cell>
          <cell r="E218">
            <v>54.5</v>
          </cell>
          <cell r="F218">
            <v>15.05</v>
          </cell>
          <cell r="G218">
            <v>3.4750000000000001</v>
          </cell>
          <cell r="H218">
            <v>11.2</v>
          </cell>
          <cell r="I218">
            <v>60</v>
          </cell>
          <cell r="J218">
            <v>133.5</v>
          </cell>
          <cell r="K218">
            <v>148.5</v>
          </cell>
          <cell r="L218">
            <v>19.899999999999999</v>
          </cell>
          <cell r="M218">
            <v>14211.84</v>
          </cell>
        </row>
        <row r="219">
          <cell r="A219" t="str">
            <v>06/12/2004</v>
          </cell>
          <cell r="B219">
            <v>24.2</v>
          </cell>
          <cell r="C219">
            <v>58.5</v>
          </cell>
          <cell r="D219">
            <v>109.5</v>
          </cell>
          <cell r="E219">
            <v>53.25</v>
          </cell>
          <cell r="F219">
            <v>15.25</v>
          </cell>
          <cell r="G219">
            <v>3.5249999999999999</v>
          </cell>
          <cell r="H219">
            <v>11.2</v>
          </cell>
          <cell r="I219">
            <v>58.5</v>
          </cell>
          <cell r="J219">
            <v>134.5</v>
          </cell>
          <cell r="K219">
            <v>147.5</v>
          </cell>
          <cell r="L219">
            <v>20</v>
          </cell>
          <cell r="M219">
            <v>14256.86</v>
          </cell>
        </row>
        <row r="220">
          <cell r="A220" t="str">
            <v>07/12/2004</v>
          </cell>
          <cell r="B220">
            <v>24</v>
          </cell>
          <cell r="C220">
            <v>59</v>
          </cell>
          <cell r="D220">
            <v>109</v>
          </cell>
          <cell r="E220">
            <v>53.5</v>
          </cell>
          <cell r="F220">
            <v>15.25</v>
          </cell>
          <cell r="G220">
            <v>3.4750000000000001</v>
          </cell>
          <cell r="H220">
            <v>11.2</v>
          </cell>
          <cell r="I220">
            <v>60.5</v>
          </cell>
          <cell r="J220">
            <v>134</v>
          </cell>
          <cell r="K220">
            <v>148.5</v>
          </cell>
          <cell r="L220">
            <v>20.100000000000001</v>
          </cell>
          <cell r="M220">
            <v>14235.78</v>
          </cell>
        </row>
        <row r="221">
          <cell r="A221" t="str">
            <v>08/12/2004</v>
          </cell>
          <cell r="B221">
            <v>23.95</v>
          </cell>
          <cell r="C221">
            <v>59</v>
          </cell>
          <cell r="D221">
            <v>108.5</v>
          </cell>
          <cell r="E221">
            <v>54</v>
          </cell>
          <cell r="F221">
            <v>14.95</v>
          </cell>
          <cell r="G221">
            <v>3.4249999999999998</v>
          </cell>
          <cell r="H221">
            <v>11</v>
          </cell>
          <cell r="I221">
            <v>60</v>
          </cell>
          <cell r="J221">
            <v>132.5</v>
          </cell>
          <cell r="K221">
            <v>146</v>
          </cell>
          <cell r="L221">
            <v>19.8</v>
          </cell>
          <cell r="M221">
            <v>14022.32</v>
          </cell>
        </row>
        <row r="222">
          <cell r="A222" t="str">
            <v>09/12/2004</v>
          </cell>
          <cell r="B222">
            <v>23.8</v>
          </cell>
          <cell r="C222">
            <v>58.5</v>
          </cell>
          <cell r="D222">
            <v>108.5</v>
          </cell>
          <cell r="E222">
            <v>53.75</v>
          </cell>
          <cell r="F222">
            <v>14.8</v>
          </cell>
          <cell r="G222">
            <v>3.4</v>
          </cell>
          <cell r="H222">
            <v>10.9</v>
          </cell>
          <cell r="I222">
            <v>59.5</v>
          </cell>
          <cell r="J222">
            <v>132.5</v>
          </cell>
          <cell r="K222">
            <v>145</v>
          </cell>
          <cell r="L222">
            <v>19.55</v>
          </cell>
          <cell r="M222">
            <v>14008.82</v>
          </cell>
        </row>
        <row r="223">
          <cell r="A223" t="str">
            <v>10/12/2004</v>
          </cell>
          <cell r="B223">
            <v>23.55</v>
          </cell>
          <cell r="C223">
            <v>57.25</v>
          </cell>
          <cell r="D223">
            <v>108.5</v>
          </cell>
          <cell r="E223">
            <v>53.25</v>
          </cell>
          <cell r="F223">
            <v>14.65</v>
          </cell>
          <cell r="G223">
            <v>3.375</v>
          </cell>
          <cell r="H223">
            <v>10.9</v>
          </cell>
          <cell r="I223">
            <v>59.75</v>
          </cell>
          <cell r="J223">
            <v>131.5</v>
          </cell>
          <cell r="K223">
            <v>143</v>
          </cell>
          <cell r="L223">
            <v>19.649999999999999</v>
          </cell>
          <cell r="M223">
            <v>13901.81</v>
          </cell>
        </row>
        <row r="224">
          <cell r="A224" t="str">
            <v>13/12/2004</v>
          </cell>
          <cell r="B224">
            <v>23.45</v>
          </cell>
          <cell r="C224">
            <v>57.25</v>
          </cell>
          <cell r="D224">
            <v>108.5</v>
          </cell>
          <cell r="E224">
            <v>53.25</v>
          </cell>
          <cell r="F224">
            <v>14.85</v>
          </cell>
          <cell r="G224">
            <v>3.3250000000000002</v>
          </cell>
          <cell r="H224">
            <v>10.8</v>
          </cell>
          <cell r="I224">
            <v>59</v>
          </cell>
          <cell r="J224">
            <v>130</v>
          </cell>
          <cell r="K224">
            <v>142.5</v>
          </cell>
          <cell r="L224">
            <v>19.5</v>
          </cell>
          <cell r="M224">
            <v>13886.16</v>
          </cell>
        </row>
        <row r="225">
          <cell r="A225" t="str">
            <v>14/12/2004</v>
          </cell>
          <cell r="B225">
            <v>23.8</v>
          </cell>
          <cell r="C225">
            <v>59</v>
          </cell>
          <cell r="D225">
            <v>109</v>
          </cell>
          <cell r="E225">
            <v>54</v>
          </cell>
          <cell r="F225">
            <v>14.95</v>
          </cell>
          <cell r="G225">
            <v>3.375</v>
          </cell>
          <cell r="H225">
            <v>10.9</v>
          </cell>
          <cell r="I225">
            <v>58.25</v>
          </cell>
          <cell r="J225">
            <v>131.5</v>
          </cell>
          <cell r="K225">
            <v>144</v>
          </cell>
          <cell r="L225">
            <v>20.149999999999999</v>
          </cell>
          <cell r="M225">
            <v>14043.52</v>
          </cell>
        </row>
        <row r="226">
          <cell r="A226" t="str">
            <v>15/12/2004</v>
          </cell>
          <cell r="B226">
            <v>23.95</v>
          </cell>
          <cell r="C226">
            <v>59.75</v>
          </cell>
          <cell r="D226">
            <v>107.5</v>
          </cell>
          <cell r="E226">
            <v>54</v>
          </cell>
          <cell r="F226">
            <v>14.9</v>
          </cell>
          <cell r="G226">
            <v>3.375</v>
          </cell>
          <cell r="H226">
            <v>10.95</v>
          </cell>
          <cell r="I226">
            <v>58.75</v>
          </cell>
          <cell r="J226">
            <v>131.5</v>
          </cell>
          <cell r="K226">
            <v>143.5</v>
          </cell>
          <cell r="L226">
            <v>20.05</v>
          </cell>
          <cell r="M226">
            <v>14078.54</v>
          </cell>
        </row>
        <row r="227">
          <cell r="A227" t="str">
            <v>16/12/2004</v>
          </cell>
          <cell r="B227">
            <v>23.85</v>
          </cell>
          <cell r="C227">
            <v>61</v>
          </cell>
          <cell r="D227">
            <v>107.5</v>
          </cell>
          <cell r="E227">
            <v>54.5</v>
          </cell>
          <cell r="F227">
            <v>14.8</v>
          </cell>
          <cell r="G227">
            <v>3.3250000000000002</v>
          </cell>
          <cell r="H227">
            <v>10.95</v>
          </cell>
          <cell r="I227">
            <v>58.25</v>
          </cell>
          <cell r="J227">
            <v>131.5</v>
          </cell>
          <cell r="K227">
            <v>144</v>
          </cell>
          <cell r="L227">
            <v>19.8</v>
          </cell>
          <cell r="M227">
            <v>14024.63</v>
          </cell>
        </row>
        <row r="228">
          <cell r="A228" t="str">
            <v>17/12/2004</v>
          </cell>
          <cell r="B228">
            <v>23.65</v>
          </cell>
          <cell r="C228">
            <v>61.5</v>
          </cell>
          <cell r="D228">
            <v>107.5</v>
          </cell>
          <cell r="E228">
            <v>54</v>
          </cell>
          <cell r="F228">
            <v>14.85</v>
          </cell>
          <cell r="G228">
            <v>3.3250000000000002</v>
          </cell>
          <cell r="H228">
            <v>10.95</v>
          </cell>
          <cell r="I228">
            <v>58.5</v>
          </cell>
          <cell r="J228">
            <v>130</v>
          </cell>
          <cell r="K228">
            <v>143</v>
          </cell>
          <cell r="L228">
            <v>20.100000000000001</v>
          </cell>
          <cell r="M228">
            <v>13992.44</v>
          </cell>
        </row>
        <row r="229">
          <cell r="A229" t="str">
            <v>20/12/2004</v>
          </cell>
          <cell r="B229">
            <v>24</v>
          </cell>
          <cell r="C229">
            <v>62.75</v>
          </cell>
          <cell r="D229">
            <v>108.5</v>
          </cell>
          <cell r="E229">
            <v>54.75</v>
          </cell>
          <cell r="F229">
            <v>14.95</v>
          </cell>
          <cell r="G229">
            <v>3.4</v>
          </cell>
          <cell r="H229">
            <v>11.05</v>
          </cell>
          <cell r="I229">
            <v>58.75</v>
          </cell>
          <cell r="J229">
            <v>132</v>
          </cell>
          <cell r="K229">
            <v>143</v>
          </cell>
          <cell r="L229">
            <v>20.350000000000001</v>
          </cell>
          <cell r="M229">
            <v>14214.04</v>
          </cell>
        </row>
        <row r="230">
          <cell r="A230" t="str">
            <v>21/12/2004</v>
          </cell>
          <cell r="B230">
            <v>23.8</v>
          </cell>
          <cell r="C230">
            <v>62.25</v>
          </cell>
          <cell r="D230">
            <v>108.5</v>
          </cell>
          <cell r="E230">
            <v>54.75</v>
          </cell>
          <cell r="F230">
            <v>14.9</v>
          </cell>
          <cell r="G230">
            <v>3.375</v>
          </cell>
          <cell r="H230">
            <v>11</v>
          </cell>
          <cell r="I230">
            <v>60</v>
          </cell>
          <cell r="J230">
            <v>132</v>
          </cell>
          <cell r="K230">
            <v>144</v>
          </cell>
          <cell r="L230">
            <v>20.5</v>
          </cell>
          <cell r="M230">
            <v>14180.79</v>
          </cell>
        </row>
        <row r="231">
          <cell r="A231" t="str">
            <v>22/12/2004</v>
          </cell>
          <cell r="B231">
            <v>24.05</v>
          </cell>
          <cell r="C231">
            <v>62</v>
          </cell>
          <cell r="D231">
            <v>108.5</v>
          </cell>
          <cell r="E231">
            <v>54.75</v>
          </cell>
          <cell r="F231">
            <v>14.75</v>
          </cell>
          <cell r="G231">
            <v>3.4</v>
          </cell>
          <cell r="H231">
            <v>11.05</v>
          </cell>
          <cell r="I231">
            <v>58.5</v>
          </cell>
          <cell r="J231">
            <v>132</v>
          </cell>
          <cell r="K231">
            <v>142.5</v>
          </cell>
          <cell r="L231">
            <v>20.399999999999999</v>
          </cell>
          <cell r="M231">
            <v>14151.08</v>
          </cell>
        </row>
        <row r="232">
          <cell r="A232" t="str">
            <v>23/12/2004</v>
          </cell>
          <cell r="B232">
            <v>23.9</v>
          </cell>
          <cell r="C232">
            <v>62</v>
          </cell>
          <cell r="D232">
            <v>109</v>
          </cell>
          <cell r="E232">
            <v>54.25</v>
          </cell>
          <cell r="F232">
            <v>14.8</v>
          </cell>
          <cell r="G232">
            <v>3.4</v>
          </cell>
          <cell r="H232">
            <v>11</v>
          </cell>
          <cell r="I232">
            <v>59</v>
          </cell>
          <cell r="J232">
            <v>132.5</v>
          </cell>
          <cell r="K232">
            <v>143.5</v>
          </cell>
          <cell r="L232">
            <v>20.350000000000001</v>
          </cell>
          <cell r="M232">
            <v>14235.3</v>
          </cell>
        </row>
        <row r="233">
          <cell r="A233" t="str">
            <v>27/12/2004</v>
          </cell>
          <cell r="B233">
            <v>23.9</v>
          </cell>
          <cell r="C233">
            <v>61.75</v>
          </cell>
          <cell r="D233">
            <v>108.5</v>
          </cell>
          <cell r="E233">
            <v>54.25</v>
          </cell>
          <cell r="F233">
            <v>14.75</v>
          </cell>
          <cell r="G233">
            <v>3.4249999999999998</v>
          </cell>
          <cell r="H233">
            <v>11.1</v>
          </cell>
          <cell r="I233">
            <v>59</v>
          </cell>
          <cell r="J233">
            <v>132.5</v>
          </cell>
          <cell r="K233">
            <v>142.5</v>
          </cell>
          <cell r="L233">
            <v>20.45</v>
          </cell>
          <cell r="M233">
            <v>14194.9</v>
          </cell>
        </row>
        <row r="234">
          <cell r="A234" t="str">
            <v>28/12/2004</v>
          </cell>
          <cell r="B234">
            <v>24</v>
          </cell>
          <cell r="C234">
            <v>61.5</v>
          </cell>
          <cell r="D234">
            <v>108</v>
          </cell>
          <cell r="E234">
            <v>54</v>
          </cell>
          <cell r="F234">
            <v>14.85</v>
          </cell>
          <cell r="G234">
            <v>3.4</v>
          </cell>
          <cell r="H234">
            <v>11.1</v>
          </cell>
          <cell r="I234">
            <v>59</v>
          </cell>
          <cell r="J234">
            <v>132.5</v>
          </cell>
          <cell r="K234">
            <v>144.5</v>
          </cell>
          <cell r="L234">
            <v>20.65</v>
          </cell>
          <cell r="M234">
            <v>14196.95</v>
          </cell>
        </row>
        <row r="235">
          <cell r="A235" t="str">
            <v>29/12/2004</v>
          </cell>
          <cell r="B235">
            <v>24.1</v>
          </cell>
          <cell r="C235">
            <v>61.5</v>
          </cell>
          <cell r="D235">
            <v>108.5</v>
          </cell>
          <cell r="E235">
            <v>54.75</v>
          </cell>
          <cell r="F235">
            <v>14.85</v>
          </cell>
          <cell r="G235">
            <v>3.4</v>
          </cell>
          <cell r="H235">
            <v>11.05</v>
          </cell>
          <cell r="I235">
            <v>59</v>
          </cell>
          <cell r="J235">
            <v>133</v>
          </cell>
          <cell r="K235">
            <v>143.5</v>
          </cell>
          <cell r="L235">
            <v>20.75</v>
          </cell>
          <cell r="M235">
            <v>14266.38</v>
          </cell>
          <cell r="O235">
            <v>-1.4314928425357754E-2</v>
          </cell>
          <cell r="P235">
            <v>1.2345679012345734E-2</v>
          </cell>
          <cell r="Q235">
            <v>4.6296296296295392E-3</v>
          </cell>
          <cell r="R235">
            <v>-9.0497737556560764E-3</v>
          </cell>
          <cell r="S235">
            <v>1.7123287671232834E-2</v>
          </cell>
          <cell r="T235">
            <v>-7.2992700729926918E-3</v>
          </cell>
          <cell r="U235">
            <v>-4.5045045045044585E-3</v>
          </cell>
          <cell r="V235">
            <v>-3.6734693877551017E-2</v>
          </cell>
          <cell r="W235">
            <v>0</v>
          </cell>
          <cell r="X235">
            <v>-3.0405405405405372E-2</v>
          </cell>
          <cell r="Y235">
            <v>5.8673469387755084E-2</v>
          </cell>
          <cell r="Z235">
            <v>1.4674912251378958E-2</v>
          </cell>
        </row>
        <row r="236">
          <cell r="A236" t="str">
            <v>30/12/2004</v>
          </cell>
          <cell r="B236">
            <v>24.1</v>
          </cell>
          <cell r="C236">
            <v>61.5</v>
          </cell>
          <cell r="D236">
            <v>108</v>
          </cell>
          <cell r="E236">
            <v>54.5</v>
          </cell>
          <cell r="F236">
            <v>14.85</v>
          </cell>
          <cell r="G236">
            <v>3.45</v>
          </cell>
          <cell r="H236">
            <v>11</v>
          </cell>
          <cell r="I236">
            <v>59</v>
          </cell>
          <cell r="J236">
            <v>132</v>
          </cell>
          <cell r="K236">
            <v>143.5</v>
          </cell>
          <cell r="L236">
            <v>20.75</v>
          </cell>
          <cell r="M236">
            <v>14163.55</v>
          </cell>
          <cell r="O236">
            <v>-1.4314928425357754E-2</v>
          </cell>
          <cell r="P236">
            <v>4.0816326530612734E-3</v>
          </cell>
          <cell r="Q236">
            <v>-9.1743119266054496E-3</v>
          </cell>
          <cell r="R236">
            <v>0</v>
          </cell>
          <cell r="S236">
            <v>1.3651877133105783E-2</v>
          </cell>
          <cell r="T236">
            <v>1.4705882352941346E-2</v>
          </cell>
          <cell r="U236">
            <v>-1.3452914798206317E-2</v>
          </cell>
          <cell r="V236">
            <v>-2.8806584362139898E-2</v>
          </cell>
          <cell r="W236">
            <v>-1.1235955056179803E-2</v>
          </cell>
          <cell r="X236">
            <v>-2.7118644067796627E-2</v>
          </cell>
          <cell r="Y236">
            <v>5.8673469387755084E-2</v>
          </cell>
          <cell r="Z236">
            <v>5.2955630242657037E-5</v>
          </cell>
        </row>
        <row r="237">
          <cell r="A237" t="str">
            <v>31/12/2004</v>
          </cell>
          <cell r="B237">
            <v>24.15</v>
          </cell>
          <cell r="C237">
            <v>60.25</v>
          </cell>
          <cell r="D237">
            <v>108</v>
          </cell>
          <cell r="E237">
            <v>54.5</v>
          </cell>
          <cell r="F237">
            <v>14.85</v>
          </cell>
          <cell r="G237">
            <v>3.45</v>
          </cell>
          <cell r="H237">
            <v>11.1</v>
          </cell>
          <cell r="I237">
            <v>63</v>
          </cell>
          <cell r="J237">
            <v>133</v>
          </cell>
          <cell r="K237">
            <v>144</v>
          </cell>
          <cell r="L237">
            <v>20.8</v>
          </cell>
          <cell r="M237">
            <v>14230.14</v>
          </cell>
          <cell r="O237">
            <v>-2.0661157024793875E-3</v>
          </cell>
          <cell r="P237">
            <v>-1.6326530612244872E-2</v>
          </cell>
          <cell r="Q237">
            <v>-1.3698630136986356E-2</v>
          </cell>
          <cell r="R237">
            <v>-4.5662100456621557E-3</v>
          </cell>
          <cell r="S237">
            <v>1.0204081632653184E-2</v>
          </cell>
          <cell r="T237">
            <v>-1.4285714285714235E-2</v>
          </cell>
          <cell r="U237">
            <v>-4.484304932735439E-3</v>
          </cell>
          <cell r="V237">
            <v>3.7037037037036979E-2</v>
          </cell>
          <cell r="W237">
            <v>-7.4626865671642006E-3</v>
          </cell>
          <cell r="X237">
            <v>-4.3189368770764069E-2</v>
          </cell>
          <cell r="Y237">
            <v>5.3164556962025378E-2</v>
          </cell>
          <cell r="Z237">
            <v>-2.2192165219093729E-3</v>
          </cell>
        </row>
        <row r="238">
          <cell r="A238" t="str">
            <v>03/01/2005</v>
          </cell>
          <cell r="B238">
            <v>24.35</v>
          </cell>
          <cell r="C238">
            <v>60.75</v>
          </cell>
          <cell r="D238">
            <v>108.5</v>
          </cell>
          <cell r="E238">
            <v>54</v>
          </cell>
          <cell r="F238">
            <v>14.95</v>
          </cell>
          <cell r="G238">
            <v>3.4750000000000001</v>
          </cell>
          <cell r="H238">
            <v>11.55</v>
          </cell>
          <cell r="I238">
            <v>61.25</v>
          </cell>
          <cell r="J238">
            <v>132.5</v>
          </cell>
          <cell r="K238">
            <v>143</v>
          </cell>
          <cell r="L238">
            <v>20.9</v>
          </cell>
          <cell r="M238">
            <v>14237.42</v>
          </cell>
          <cell r="O238">
            <v>-2.049180327868716E-3</v>
          </cell>
          <cell r="P238">
            <v>1.2499999999999956E-2</v>
          </cell>
          <cell r="Q238">
            <v>-4.5871559633027248E-3</v>
          </cell>
          <cell r="R238">
            <v>-9.1743119266054496E-3</v>
          </cell>
          <cell r="S238">
            <v>-6.6445182724252927E-3</v>
          </cell>
          <cell r="T238">
            <v>0</v>
          </cell>
          <cell r="U238">
            <v>3.1250000000000222E-2</v>
          </cell>
          <cell r="V238">
            <v>2.0833333333333259E-2</v>
          </cell>
          <cell r="W238">
            <v>-7.4906367041198685E-3</v>
          </cell>
          <cell r="X238">
            <v>-3.703703703703709E-2</v>
          </cell>
          <cell r="Y238">
            <v>5.0251256281407031E-2</v>
          </cell>
          <cell r="Z238">
            <v>1.7999076826082927E-3</v>
          </cell>
        </row>
        <row r="239">
          <cell r="A239" t="str">
            <v>04/01/2005</v>
          </cell>
          <cell r="B239">
            <v>24.15</v>
          </cell>
          <cell r="C239">
            <v>60.75</v>
          </cell>
          <cell r="D239">
            <v>107.5</v>
          </cell>
          <cell r="E239">
            <v>53.5</v>
          </cell>
          <cell r="F239">
            <v>14.9</v>
          </cell>
          <cell r="G239">
            <v>3.4</v>
          </cell>
          <cell r="H239">
            <v>11.5</v>
          </cell>
          <cell r="I239">
            <v>60</v>
          </cell>
          <cell r="J239">
            <v>131.5</v>
          </cell>
          <cell r="K239">
            <v>143</v>
          </cell>
          <cell r="L239">
            <v>20.65</v>
          </cell>
          <cell r="M239">
            <v>14045.9</v>
          </cell>
          <cell r="O239">
            <v>-2.0661157024793875E-3</v>
          </cell>
          <cell r="P239">
            <v>3.8461538461538547E-2</v>
          </cell>
          <cell r="Q239">
            <v>-1.8264840182648401E-2</v>
          </cell>
          <cell r="R239">
            <v>4.6948356807512415E-3</v>
          </cell>
          <cell r="S239">
            <v>-2.2950819672131084E-2</v>
          </cell>
          <cell r="T239">
            <v>-3.546099290780147E-2</v>
          </cell>
          <cell r="U239">
            <v>2.6785714285714413E-2</v>
          </cell>
          <cell r="V239">
            <v>2.564102564102555E-2</v>
          </cell>
          <cell r="W239">
            <v>-2.2304832713754608E-2</v>
          </cell>
          <cell r="X239">
            <v>-3.050847457627115E-2</v>
          </cell>
          <cell r="Y239">
            <v>3.2499999999999973E-2</v>
          </cell>
          <cell r="Z239">
            <v>-1.4797087156639077E-2</v>
          </cell>
        </row>
        <row r="240">
          <cell r="A240" t="str">
            <v>05/01/2005</v>
          </cell>
          <cell r="B240">
            <v>23.7</v>
          </cell>
          <cell r="C240">
            <v>59.5</v>
          </cell>
          <cell r="D240">
            <v>105.5</v>
          </cell>
          <cell r="E240">
            <v>50.75</v>
          </cell>
          <cell r="F240">
            <v>14.65</v>
          </cell>
          <cell r="G240">
            <v>3.3</v>
          </cell>
          <cell r="H240">
            <v>11.25</v>
          </cell>
          <cell r="I240">
            <v>59.25</v>
          </cell>
          <cell r="J240">
            <v>130.5</v>
          </cell>
          <cell r="K240">
            <v>141.5</v>
          </cell>
          <cell r="L240">
            <v>20.350000000000001</v>
          </cell>
          <cell r="M240">
            <v>13764.36</v>
          </cell>
          <cell r="O240">
            <v>-1.2500000000000067E-2</v>
          </cell>
          <cell r="P240">
            <v>8.4745762711864181E-3</v>
          </cell>
          <cell r="Q240">
            <v>-3.2110091743119296E-2</v>
          </cell>
          <cell r="R240">
            <v>-5.1401869158878455E-2</v>
          </cell>
          <cell r="S240">
            <v>-3.9344262295081922E-2</v>
          </cell>
          <cell r="T240">
            <v>-5.0359712230215847E-2</v>
          </cell>
          <cell r="U240">
            <v>4.4642857142858094E-3</v>
          </cell>
          <cell r="V240">
            <v>-2.0661157024793431E-2</v>
          </cell>
          <cell r="W240">
            <v>-2.6119402985074647E-2</v>
          </cell>
          <cell r="X240">
            <v>-4.7138047138047146E-2</v>
          </cell>
          <cell r="Y240">
            <v>1.2437810945273631E-2</v>
          </cell>
          <cell r="Z240">
            <v>-3.3115150697748952E-2</v>
          </cell>
        </row>
        <row r="241">
          <cell r="A241" t="str">
            <v>06/01/2005</v>
          </cell>
          <cell r="B241">
            <v>23.7</v>
          </cell>
          <cell r="C241">
            <v>59</v>
          </cell>
          <cell r="D241">
            <v>105.5</v>
          </cell>
          <cell r="E241">
            <v>52.5</v>
          </cell>
          <cell r="F241">
            <v>14.7</v>
          </cell>
          <cell r="G241">
            <v>3.3250000000000002</v>
          </cell>
          <cell r="H241">
            <v>11.3</v>
          </cell>
          <cell r="I241">
            <v>59.75</v>
          </cell>
          <cell r="J241">
            <v>130.5</v>
          </cell>
          <cell r="K241">
            <v>141</v>
          </cell>
          <cell r="L241">
            <v>20</v>
          </cell>
          <cell r="M241">
            <v>13712.04</v>
          </cell>
          <cell r="O241">
            <v>-1.043841336116913E-2</v>
          </cell>
          <cell r="P241">
            <v>0</v>
          </cell>
          <cell r="Q241">
            <v>-2.7649769585253448E-2</v>
          </cell>
          <cell r="R241">
            <v>-2.777777777777779E-2</v>
          </cell>
          <cell r="S241">
            <v>-1.6722408026755842E-2</v>
          </cell>
          <cell r="T241">
            <v>-2.9197080291970656E-2</v>
          </cell>
          <cell r="U241">
            <v>2.7272727272727337E-2</v>
          </cell>
          <cell r="V241">
            <v>-4.1666666666666519E-3</v>
          </cell>
          <cell r="W241">
            <v>-1.5094339622641506E-2</v>
          </cell>
          <cell r="X241">
            <v>-3.4246575342465779E-2</v>
          </cell>
          <cell r="Y241">
            <v>1.0101010101010166E-2</v>
          </cell>
          <cell r="Z241">
            <v>-2.2127579459033764E-2</v>
          </cell>
        </row>
        <row r="242">
          <cell r="A242" t="str">
            <v>07/01/2005</v>
          </cell>
          <cell r="B242">
            <v>23.7</v>
          </cell>
          <cell r="C242">
            <v>58</v>
          </cell>
          <cell r="D242">
            <v>104.5</v>
          </cell>
          <cell r="E242">
            <v>51.75</v>
          </cell>
          <cell r="F242">
            <v>14.5</v>
          </cell>
          <cell r="G242">
            <v>3.2250000000000001</v>
          </cell>
          <cell r="H242">
            <v>11.05</v>
          </cell>
          <cell r="I242">
            <v>58.75</v>
          </cell>
          <cell r="J242">
            <v>129.5</v>
          </cell>
          <cell r="K242">
            <v>139.5</v>
          </cell>
          <cell r="L242">
            <v>19.850000000000001</v>
          </cell>
          <cell r="M242">
            <v>13574.86</v>
          </cell>
          <cell r="O242">
            <v>-4.2016806722690037E-3</v>
          </cell>
          <cell r="P242">
            <v>-8.5470085470085166E-3</v>
          </cell>
          <cell r="Q242">
            <v>-3.686635944700456E-2</v>
          </cell>
          <cell r="R242">
            <v>-3.7209302325581395E-2</v>
          </cell>
          <cell r="S242">
            <v>-2.0270270270270285E-2</v>
          </cell>
          <cell r="T242">
            <v>-5.1470588235294046E-2</v>
          </cell>
          <cell r="U242">
            <v>1.3761467889908285E-2</v>
          </cell>
          <cell r="V242">
            <v>-1.2605042016806678E-2</v>
          </cell>
          <cell r="W242">
            <v>-2.2641509433962259E-2</v>
          </cell>
          <cell r="X242">
            <v>-3.7931034482758585E-2</v>
          </cell>
          <cell r="Y242">
            <v>1.5345268542199531E-2</v>
          </cell>
          <cell r="Z242">
            <v>-3.0977626952162884E-2</v>
          </cell>
        </row>
        <row r="243">
          <cell r="A243" t="str">
            <v>10/01/2005</v>
          </cell>
          <cell r="B243">
            <v>24.05</v>
          </cell>
          <cell r="C243">
            <v>59.5</v>
          </cell>
          <cell r="D243">
            <v>105</v>
          </cell>
          <cell r="E243">
            <v>51.25</v>
          </cell>
          <cell r="F243">
            <v>14.5</v>
          </cell>
          <cell r="G243">
            <v>3.2</v>
          </cell>
          <cell r="H243">
            <v>11.05</v>
          </cell>
          <cell r="I243">
            <v>58.25</v>
          </cell>
          <cell r="J243">
            <v>128</v>
          </cell>
          <cell r="K243">
            <v>139.5</v>
          </cell>
          <cell r="L243">
            <v>19.75</v>
          </cell>
          <cell r="M243">
            <v>13531.39</v>
          </cell>
          <cell r="O243">
            <v>2.1231422505307851E-2</v>
          </cell>
          <cell r="P243">
            <v>3.9301310043668103E-2</v>
          </cell>
          <cell r="Q243">
            <v>-3.2258064516129004E-2</v>
          </cell>
          <cell r="R243">
            <v>-3.7558685446009377E-2</v>
          </cell>
          <cell r="S243">
            <v>-1.0238907849829393E-2</v>
          </cell>
          <cell r="T243">
            <v>-5.1851851851851816E-2</v>
          </cell>
          <cell r="U243">
            <v>1.3761467889908285E-2</v>
          </cell>
          <cell r="V243">
            <v>-2.5104602510460206E-2</v>
          </cell>
          <cell r="W243">
            <v>-2.6615969581749055E-2</v>
          </cell>
          <cell r="X243">
            <v>-2.4475524475524479E-2</v>
          </cell>
          <cell r="Y243">
            <v>5.0890585241731845E-3</v>
          </cell>
          <cell r="Z243">
            <v>-2.6645451203836101E-2</v>
          </cell>
        </row>
        <row r="244">
          <cell r="A244" t="str">
            <v>11/01/2005</v>
          </cell>
          <cell r="B244">
            <v>23.8</v>
          </cell>
          <cell r="C244">
            <v>60</v>
          </cell>
          <cell r="D244">
            <v>104.5</v>
          </cell>
          <cell r="E244">
            <v>51.25</v>
          </cell>
          <cell r="F244">
            <v>14.4</v>
          </cell>
          <cell r="G244">
            <v>3.2250000000000001</v>
          </cell>
          <cell r="H244">
            <v>11.05</v>
          </cell>
          <cell r="I244">
            <v>58.25</v>
          </cell>
          <cell r="J244">
            <v>128.5</v>
          </cell>
          <cell r="K244">
            <v>137</v>
          </cell>
          <cell r="L244">
            <v>19.75</v>
          </cell>
          <cell r="M244">
            <v>13509.25</v>
          </cell>
          <cell r="O244">
            <v>1.4925373134328401E-2</v>
          </cell>
          <cell r="P244">
            <v>4.8034934497816595E-2</v>
          </cell>
          <cell r="Q244">
            <v>-3.686635944700456E-2</v>
          </cell>
          <cell r="R244">
            <v>-3.7558685446009377E-2</v>
          </cell>
          <cell r="S244">
            <v>-3.0303030303030276E-2</v>
          </cell>
          <cell r="T244">
            <v>-3.007518796992481E-2</v>
          </cell>
          <cell r="U244">
            <v>2.314814814814814E-2</v>
          </cell>
          <cell r="V244">
            <v>-1.2711864406779627E-2</v>
          </cell>
          <cell r="W244">
            <v>-1.1538461538461497E-2</v>
          </cell>
          <cell r="X244">
            <v>-3.8596491228070184E-2</v>
          </cell>
          <cell r="Y244">
            <v>1.2820512820512775E-2</v>
          </cell>
          <cell r="Z244">
            <v>-2.714285302776287E-2</v>
          </cell>
        </row>
        <row r="245">
          <cell r="A245" t="str">
            <v>12/01/2005</v>
          </cell>
          <cell r="B245">
            <v>23.55</v>
          </cell>
          <cell r="C245">
            <v>60</v>
          </cell>
          <cell r="D245">
            <v>105</v>
          </cell>
          <cell r="E245">
            <v>50.75</v>
          </cell>
          <cell r="F245">
            <v>14.45</v>
          </cell>
          <cell r="G245">
            <v>3.1749999999999998</v>
          </cell>
          <cell r="H245">
            <v>11</v>
          </cell>
          <cell r="I245">
            <v>57.75</v>
          </cell>
          <cell r="J245">
            <v>128.5</v>
          </cell>
          <cell r="K245">
            <v>136</v>
          </cell>
          <cell r="L245">
            <v>19.5</v>
          </cell>
          <cell r="M245">
            <v>13565.31</v>
          </cell>
          <cell r="O245">
            <v>-1.0504201680672232E-2</v>
          </cell>
          <cell r="P245">
            <v>1.6949152542372836E-2</v>
          </cell>
          <cell r="Q245">
            <v>-3.669724770642202E-2</v>
          </cell>
          <cell r="R245">
            <v>-6.018518518518523E-2</v>
          </cell>
          <cell r="S245">
            <v>-3.3444816053511683E-2</v>
          </cell>
          <cell r="T245">
            <v>-5.9259259259259345E-2</v>
          </cell>
          <cell r="U245">
            <v>9.1743119266054496E-3</v>
          </cell>
          <cell r="V245">
            <v>-8.5836909871244149E-3</v>
          </cell>
          <cell r="W245">
            <v>-2.281368821292773E-2</v>
          </cell>
          <cell r="X245">
            <v>-5.555555555555558E-2</v>
          </cell>
          <cell r="Y245">
            <v>-3.2258064516129004E-2</v>
          </cell>
          <cell r="Z245">
            <v>-3.4052004055963203E-2</v>
          </cell>
        </row>
        <row r="246">
          <cell r="A246" t="str">
            <v>13/01/2005</v>
          </cell>
          <cell r="B246">
            <v>23.25</v>
          </cell>
          <cell r="C246">
            <v>59.25</v>
          </cell>
          <cell r="D246">
            <v>105</v>
          </cell>
          <cell r="E246">
            <v>51.25</v>
          </cell>
          <cell r="F246">
            <v>14.5</v>
          </cell>
          <cell r="G246">
            <v>3.1749999999999998</v>
          </cell>
          <cell r="H246">
            <v>10.95</v>
          </cell>
          <cell r="I246">
            <v>58</v>
          </cell>
          <cell r="J246">
            <v>128</v>
          </cell>
          <cell r="K246">
            <v>138</v>
          </cell>
          <cell r="L246">
            <v>19.600000000000001</v>
          </cell>
          <cell r="M246">
            <v>13573.28</v>
          </cell>
          <cell r="O246">
            <v>-2.9227557411273475E-2</v>
          </cell>
          <cell r="P246">
            <v>-8.3682008368201055E-3</v>
          </cell>
          <cell r="Q246">
            <v>-2.3255813953488413E-2</v>
          </cell>
          <cell r="R246">
            <v>-5.092592592592593E-2</v>
          </cell>
          <cell r="S246">
            <v>-2.684563758389269E-2</v>
          </cell>
          <cell r="T246">
            <v>-5.9259259259259345E-2</v>
          </cell>
          <cell r="U246">
            <v>0</v>
          </cell>
          <cell r="V246">
            <v>-1.2765957446808529E-2</v>
          </cell>
          <cell r="W246">
            <v>-2.6615969581749055E-2</v>
          </cell>
          <cell r="X246">
            <v>-3.8327526132404199E-2</v>
          </cell>
          <cell r="Y246">
            <v>-2.2443890274314149E-2</v>
          </cell>
          <cell r="Z246">
            <v>-3.5888664591640862E-2</v>
          </cell>
        </row>
        <row r="247">
          <cell r="A247" t="str">
            <v>14/01/2005</v>
          </cell>
          <cell r="B247">
            <v>23</v>
          </cell>
          <cell r="C247">
            <v>59.5</v>
          </cell>
          <cell r="D247">
            <v>105</v>
          </cell>
          <cell r="E247">
            <v>50.75</v>
          </cell>
          <cell r="F247">
            <v>14.4</v>
          </cell>
          <cell r="G247">
            <v>3.1</v>
          </cell>
          <cell r="H247">
            <v>10.9</v>
          </cell>
          <cell r="I247">
            <v>58.25</v>
          </cell>
          <cell r="J247">
            <v>127.5</v>
          </cell>
          <cell r="K247">
            <v>135.5</v>
          </cell>
          <cell r="L247">
            <v>19.399999999999999</v>
          </cell>
          <cell r="M247">
            <v>13494.78</v>
          </cell>
          <cell r="O247">
            <v>-3.563941299790363E-2</v>
          </cell>
          <cell r="P247">
            <v>-2.4590163934426257E-2</v>
          </cell>
          <cell r="Q247">
            <v>-2.3255813953488413E-2</v>
          </cell>
          <cell r="R247">
            <v>-6.8807339449541316E-2</v>
          </cell>
          <cell r="S247">
            <v>-2.7027027027027084E-2</v>
          </cell>
          <cell r="T247">
            <v>-6.7669172932330879E-2</v>
          </cell>
          <cell r="U247">
            <v>-4.5662100456620447E-3</v>
          </cell>
          <cell r="V247">
            <v>0</v>
          </cell>
          <cell r="W247">
            <v>-3.041825095057038E-2</v>
          </cell>
          <cell r="X247">
            <v>-5.902777777777779E-2</v>
          </cell>
          <cell r="Y247">
            <v>-2.0202020202020332E-2</v>
          </cell>
          <cell r="Z247">
            <v>-3.7779962822548474E-2</v>
          </cell>
        </row>
        <row r="248">
          <cell r="A248" t="str">
            <v>18/01/2005</v>
          </cell>
          <cell r="B248">
            <v>23.05</v>
          </cell>
          <cell r="C248">
            <v>61</v>
          </cell>
          <cell r="D248">
            <v>105.5</v>
          </cell>
          <cell r="E248">
            <v>51</v>
          </cell>
          <cell r="F248">
            <v>14.4</v>
          </cell>
          <cell r="G248">
            <v>3.1749999999999998</v>
          </cell>
          <cell r="H248">
            <v>10.9</v>
          </cell>
          <cell r="I248">
            <v>57.75</v>
          </cell>
          <cell r="J248">
            <v>128</v>
          </cell>
          <cell r="K248">
            <v>137.5</v>
          </cell>
          <cell r="L248">
            <v>19.55</v>
          </cell>
          <cell r="M248">
            <v>13604.22</v>
          </cell>
          <cell r="O248">
            <v>-2.5369978858350906E-2</v>
          </cell>
          <cell r="P248">
            <v>-8.1300813008130524E-3</v>
          </cell>
          <cell r="Q248">
            <v>-1.8604651162790753E-2</v>
          </cell>
          <cell r="R248">
            <v>-5.555555555555558E-2</v>
          </cell>
          <cell r="S248">
            <v>-3.0303030303030276E-2</v>
          </cell>
          <cell r="T248">
            <v>-4.5112781954887327E-2</v>
          </cell>
          <cell r="U248">
            <v>-4.5662100456620447E-3</v>
          </cell>
          <cell r="V248">
            <v>-1.2820512820512775E-2</v>
          </cell>
          <cell r="W248">
            <v>-1.538461538461533E-2</v>
          </cell>
          <cell r="X248">
            <v>-3.8461538461538436E-2</v>
          </cell>
          <cell r="Y248">
            <v>-2.7363184079602032E-2</v>
          </cell>
          <cell r="Z248">
            <v>-2.774498229043687E-2</v>
          </cell>
        </row>
        <row r="249">
          <cell r="A249" t="str">
            <v>19/01/2005</v>
          </cell>
          <cell r="B249">
            <v>23.1</v>
          </cell>
          <cell r="C249">
            <v>61</v>
          </cell>
          <cell r="D249">
            <v>105</v>
          </cell>
          <cell r="E249">
            <v>50.75</v>
          </cell>
          <cell r="F249">
            <v>14.4</v>
          </cell>
          <cell r="G249">
            <v>3.125</v>
          </cell>
          <cell r="H249">
            <v>10.8</v>
          </cell>
          <cell r="I249">
            <v>58</v>
          </cell>
          <cell r="J249">
            <v>129</v>
          </cell>
          <cell r="K249">
            <v>138</v>
          </cell>
          <cell r="L249">
            <v>19.75</v>
          </cell>
          <cell r="M249">
            <v>13678.63</v>
          </cell>
          <cell r="O249">
            <v>-3.7499999999999978E-2</v>
          </cell>
          <cell r="P249">
            <v>-2.7888446215139417E-2</v>
          </cell>
          <cell r="Q249">
            <v>-3.2258064516129004E-2</v>
          </cell>
          <cell r="R249">
            <v>-7.3059360730593603E-2</v>
          </cell>
          <cell r="S249">
            <v>-3.6789297658862852E-2</v>
          </cell>
          <cell r="T249">
            <v>-8.0882352941176405E-2</v>
          </cell>
          <cell r="U249">
            <v>-2.2624434389140302E-2</v>
          </cell>
          <cell r="V249">
            <v>-1.2765957446808529E-2</v>
          </cell>
          <cell r="W249">
            <v>-2.2727272727272707E-2</v>
          </cell>
          <cell r="X249">
            <v>-3.4965034965035002E-2</v>
          </cell>
          <cell r="Y249">
            <v>-2.9484029484029506E-2</v>
          </cell>
          <cell r="Z249">
            <v>-3.7667686315783655E-2</v>
          </cell>
        </row>
        <row r="250">
          <cell r="A250" t="str">
            <v>20/01/2005</v>
          </cell>
          <cell r="B250">
            <v>23</v>
          </cell>
          <cell r="C250">
            <v>59.75</v>
          </cell>
          <cell r="D250">
            <v>104</v>
          </cell>
          <cell r="E250">
            <v>51.25</v>
          </cell>
          <cell r="F250">
            <v>14.35</v>
          </cell>
          <cell r="G250">
            <v>3.1</v>
          </cell>
          <cell r="H250">
            <v>10.75</v>
          </cell>
          <cell r="I250">
            <v>57.5</v>
          </cell>
          <cell r="J250">
            <v>127.5</v>
          </cell>
          <cell r="K250">
            <v>137</v>
          </cell>
          <cell r="L250">
            <v>19.600000000000001</v>
          </cell>
          <cell r="M250">
            <v>13543.59</v>
          </cell>
          <cell r="O250">
            <v>-3.3613445378151252E-2</v>
          </cell>
          <cell r="P250">
            <v>-4.016064257028118E-2</v>
          </cell>
          <cell r="Q250">
            <v>-4.1474654377880227E-2</v>
          </cell>
          <cell r="R250">
            <v>-6.3926940639269403E-2</v>
          </cell>
          <cell r="S250">
            <v>-3.6912751677852351E-2</v>
          </cell>
          <cell r="T250">
            <v>-8.1481481481481488E-2</v>
          </cell>
          <cell r="U250">
            <v>-2.2727272727272707E-2</v>
          </cell>
          <cell r="V250">
            <v>-4.166666666666663E-2</v>
          </cell>
          <cell r="W250">
            <v>-3.4090909090909061E-2</v>
          </cell>
          <cell r="X250">
            <v>-4.861111111111116E-2</v>
          </cell>
          <cell r="Y250">
            <v>-4.3902439024390172E-2</v>
          </cell>
          <cell r="Z250">
            <v>-4.4934026947722971E-2</v>
          </cell>
        </row>
        <row r="251">
          <cell r="A251" t="str">
            <v>21/01/2005</v>
          </cell>
          <cell r="B251">
            <v>22.85</v>
          </cell>
          <cell r="C251">
            <v>57.5</v>
          </cell>
          <cell r="D251">
            <v>103.5</v>
          </cell>
          <cell r="E251">
            <v>51</v>
          </cell>
          <cell r="F251">
            <v>14.2</v>
          </cell>
          <cell r="G251">
            <v>3.0750000000000002</v>
          </cell>
          <cell r="H251">
            <v>10.65</v>
          </cell>
          <cell r="I251">
            <v>56.75</v>
          </cell>
          <cell r="J251">
            <v>127.5</v>
          </cell>
          <cell r="K251">
            <v>136.5</v>
          </cell>
          <cell r="L251">
            <v>19.149999999999999</v>
          </cell>
          <cell r="M251">
            <v>13481.02</v>
          </cell>
          <cell r="O251">
            <v>-4.9896049896049899E-2</v>
          </cell>
          <cell r="P251">
            <v>-7.2580645161290369E-2</v>
          </cell>
          <cell r="Q251">
            <v>-4.6082949308755783E-2</v>
          </cell>
          <cell r="R251">
            <v>-6.8493150684931559E-2</v>
          </cell>
          <cell r="S251">
            <v>-3.7288135593220417E-2</v>
          </cell>
          <cell r="T251">
            <v>-9.558823529411753E-2</v>
          </cell>
          <cell r="U251">
            <v>-3.6199095022624417E-2</v>
          </cell>
          <cell r="V251">
            <v>-2.9914529914529919E-2</v>
          </cell>
          <cell r="W251">
            <v>-3.4090909090909061E-2</v>
          </cell>
          <cell r="X251">
            <v>-4.2105263157894757E-2</v>
          </cell>
          <cell r="Y251">
            <v>-6.1274509803921573E-2</v>
          </cell>
          <cell r="Z251">
            <v>-4.7350449576993414E-2</v>
          </cell>
        </row>
        <row r="252">
          <cell r="A252" t="str">
            <v>24/01/2005</v>
          </cell>
          <cell r="B252">
            <v>22.55</v>
          </cell>
          <cell r="C252">
            <v>55.25</v>
          </cell>
          <cell r="D252">
            <v>103.5</v>
          </cell>
          <cell r="E252">
            <v>50.25</v>
          </cell>
          <cell r="F252">
            <v>14.15</v>
          </cell>
          <cell r="G252">
            <v>3.0750000000000002</v>
          </cell>
          <cell r="H252">
            <v>10.7</v>
          </cell>
          <cell r="I252">
            <v>56</v>
          </cell>
          <cell r="J252">
            <v>127</v>
          </cell>
          <cell r="K252">
            <v>136.5</v>
          </cell>
          <cell r="L252">
            <v>18.55</v>
          </cell>
          <cell r="M252">
            <v>13386.99</v>
          </cell>
          <cell r="O252">
            <v>-5.6485355648535518E-2</v>
          </cell>
          <cell r="P252">
            <v>-0.1088709677419355</v>
          </cell>
          <cell r="Q252">
            <v>-5.0458715596330306E-2</v>
          </cell>
          <cell r="R252">
            <v>-7.373271889400923E-2</v>
          </cell>
          <cell r="S252">
            <v>-4.391891891891897E-2</v>
          </cell>
          <cell r="T252">
            <v>-9.558823529411753E-2</v>
          </cell>
          <cell r="U252">
            <v>-2.7272727272727337E-2</v>
          </cell>
          <cell r="V252">
            <v>-5.084745762711862E-2</v>
          </cell>
          <cell r="W252">
            <v>-4.1509433962264142E-2</v>
          </cell>
          <cell r="X252">
            <v>-4.8780487804878092E-2</v>
          </cell>
          <cell r="Y252">
            <v>-8.8452088452088518E-2</v>
          </cell>
          <cell r="Z252">
            <v>-5.9592000168594894E-2</v>
          </cell>
        </row>
        <row r="253">
          <cell r="A253" t="str">
            <v>25/01/2005</v>
          </cell>
          <cell r="B253">
            <v>23</v>
          </cell>
          <cell r="C253">
            <v>55.75</v>
          </cell>
          <cell r="D253">
            <v>104.5</v>
          </cell>
          <cell r="E253">
            <v>50</v>
          </cell>
          <cell r="F253">
            <v>14.25</v>
          </cell>
          <cell r="G253">
            <v>3.1749999999999998</v>
          </cell>
          <cell r="H253">
            <v>10.75</v>
          </cell>
          <cell r="I253">
            <v>55</v>
          </cell>
          <cell r="J253">
            <v>128.5</v>
          </cell>
          <cell r="K253">
            <v>135.5</v>
          </cell>
          <cell r="L253">
            <v>19.05</v>
          </cell>
          <cell r="M253">
            <v>13584.06</v>
          </cell>
          <cell r="O253">
            <v>-3.7656903765690308E-2</v>
          </cell>
          <cell r="P253">
            <v>-9.7165991902834037E-2</v>
          </cell>
          <cell r="Q253">
            <v>-3.686635944700456E-2</v>
          </cell>
          <cell r="R253">
            <v>-7.8341013824884786E-2</v>
          </cell>
          <cell r="S253">
            <v>-3.3898305084745783E-2</v>
          </cell>
          <cell r="T253">
            <v>-7.2992700729927029E-2</v>
          </cell>
          <cell r="U253">
            <v>-3.1531531531531543E-2</v>
          </cell>
          <cell r="V253">
            <v>-6.7796610169491567E-2</v>
          </cell>
          <cell r="W253">
            <v>-3.0188679245283012E-2</v>
          </cell>
          <cell r="X253">
            <v>-4.9122807017543901E-2</v>
          </cell>
          <cell r="Y253">
            <v>-6.8459657701711474E-2</v>
          </cell>
          <cell r="Z253">
            <v>-4.303235669148775E-2</v>
          </cell>
        </row>
        <row r="254">
          <cell r="A254" t="str">
            <v>26/01/2005</v>
          </cell>
          <cell r="B254">
            <v>23.05</v>
          </cell>
          <cell r="C254">
            <v>55.75</v>
          </cell>
          <cell r="D254">
            <v>105</v>
          </cell>
          <cell r="E254">
            <v>50</v>
          </cell>
          <cell r="F254">
            <v>14.35</v>
          </cell>
          <cell r="G254">
            <v>3.125</v>
          </cell>
          <cell r="H254">
            <v>10.8</v>
          </cell>
          <cell r="I254">
            <v>55</v>
          </cell>
          <cell r="J254">
            <v>128.5</v>
          </cell>
          <cell r="K254">
            <v>138</v>
          </cell>
          <cell r="L254">
            <v>19.25</v>
          </cell>
          <cell r="M254">
            <v>13623.68</v>
          </cell>
          <cell r="O254">
            <v>-3.9583333333333304E-2</v>
          </cell>
          <cell r="P254">
            <v>-9.3495934959349603E-2</v>
          </cell>
          <cell r="Q254">
            <v>-2.777777777777779E-2</v>
          </cell>
          <cell r="R254">
            <v>-7.407407407407407E-2</v>
          </cell>
          <cell r="S254">
            <v>-3.3670033670033628E-2</v>
          </cell>
          <cell r="T254">
            <v>-8.0882352941176405E-2</v>
          </cell>
          <cell r="U254">
            <v>-2.7027027027026973E-2</v>
          </cell>
          <cell r="V254">
            <v>-6.7796610169491567E-2</v>
          </cell>
          <cell r="W254">
            <v>-3.0188679245283012E-2</v>
          </cell>
          <cell r="X254">
            <v>-4.4982698961937739E-2</v>
          </cell>
          <cell r="Y254">
            <v>-6.7796610169491456E-2</v>
          </cell>
          <cell r="Z254">
            <v>-4.0379799886595347E-2</v>
          </cell>
        </row>
        <row r="255">
          <cell r="A255" t="str">
            <v>27/01/2005</v>
          </cell>
          <cell r="B255">
            <v>23.4</v>
          </cell>
          <cell r="C255">
            <v>56.75</v>
          </cell>
          <cell r="D255">
            <v>105</v>
          </cell>
          <cell r="E255">
            <v>49.9</v>
          </cell>
          <cell r="F255">
            <v>14.3</v>
          </cell>
          <cell r="G255">
            <v>3.0750000000000002</v>
          </cell>
          <cell r="H255">
            <v>10.8</v>
          </cell>
          <cell r="I255">
            <v>54.5</v>
          </cell>
          <cell r="J255">
            <v>129</v>
          </cell>
          <cell r="K255">
            <v>140</v>
          </cell>
          <cell r="L255">
            <v>19.3</v>
          </cell>
          <cell r="M255">
            <v>13628.91</v>
          </cell>
          <cell r="O255">
            <v>-2.904564315352709E-2</v>
          </cell>
          <cell r="P255">
            <v>-7.7235772357723609E-2</v>
          </cell>
          <cell r="Q255">
            <v>-3.2258064516129004E-2</v>
          </cell>
          <cell r="R255">
            <v>-8.8584474885844755E-2</v>
          </cell>
          <cell r="S255">
            <v>-3.7037037037036979E-2</v>
          </cell>
          <cell r="T255">
            <v>-9.558823529411753E-2</v>
          </cell>
          <cell r="U255">
            <v>-2.2624434389140302E-2</v>
          </cell>
          <cell r="V255">
            <v>-7.6271186440677985E-2</v>
          </cell>
          <cell r="W255">
            <v>-3.007518796992481E-2</v>
          </cell>
          <cell r="X255">
            <v>-2.4390243902439046E-2</v>
          </cell>
          <cell r="Y255">
            <v>-6.9879518072289093E-2</v>
          </cell>
          <cell r="Z255">
            <v>-4.4683374479019822E-2</v>
          </cell>
        </row>
        <row r="256">
          <cell r="A256" t="str">
            <v>28/01/2005</v>
          </cell>
          <cell r="B256">
            <v>23.25</v>
          </cell>
          <cell r="C256">
            <v>57</v>
          </cell>
          <cell r="D256">
            <v>105</v>
          </cell>
          <cell r="E256">
            <v>49.8</v>
          </cell>
          <cell r="F256">
            <v>14.25</v>
          </cell>
          <cell r="G256">
            <v>3.1</v>
          </cell>
          <cell r="H256">
            <v>10.8</v>
          </cell>
          <cell r="I256">
            <v>54.25</v>
          </cell>
          <cell r="J256">
            <v>129</v>
          </cell>
          <cell r="K256">
            <v>140.5</v>
          </cell>
          <cell r="L256">
            <v>19.600000000000001</v>
          </cell>
          <cell r="M256">
            <v>13650.06</v>
          </cell>
          <cell r="O256">
            <v>-3.5269709543568561E-2</v>
          </cell>
          <cell r="P256">
            <v>-7.3170731707317027E-2</v>
          </cell>
          <cell r="Q256">
            <v>-2.777777777777779E-2</v>
          </cell>
          <cell r="R256">
            <v>-8.6238532110091803E-2</v>
          </cell>
          <cell r="S256">
            <v>-4.0404040404040331E-2</v>
          </cell>
          <cell r="T256">
            <v>-0.10144927536231885</v>
          </cell>
          <cell r="U256">
            <v>-1.8181818181818077E-2</v>
          </cell>
          <cell r="V256">
            <v>-8.0508474576271194E-2</v>
          </cell>
          <cell r="W256">
            <v>-2.2727272727272707E-2</v>
          </cell>
          <cell r="X256">
            <v>-2.0905923344947785E-2</v>
          </cell>
          <cell r="Y256">
            <v>-5.5421686746987886E-2</v>
          </cell>
          <cell r="Z256">
            <v>-3.6254328893533083E-2</v>
          </cell>
        </row>
        <row r="257">
          <cell r="A257" t="str">
            <v>31/01/2005</v>
          </cell>
          <cell r="B257">
            <v>23.25</v>
          </cell>
          <cell r="C257">
            <v>56.75</v>
          </cell>
          <cell r="D257">
            <v>105.5</v>
          </cell>
          <cell r="E257">
            <v>49.8</v>
          </cell>
          <cell r="F257">
            <v>14.35</v>
          </cell>
          <cell r="G257">
            <v>3.15</v>
          </cell>
          <cell r="H257">
            <v>10.9</v>
          </cell>
          <cell r="I257">
            <v>54.75</v>
          </cell>
          <cell r="J257">
            <v>129</v>
          </cell>
          <cell r="K257">
            <v>139.5</v>
          </cell>
          <cell r="L257">
            <v>19.45</v>
          </cell>
          <cell r="M257">
            <v>13721.69</v>
          </cell>
          <cell r="O257">
            <v>-3.7267080745341574E-2</v>
          </cell>
          <cell r="P257">
            <v>-5.8091286307053958E-2</v>
          </cell>
          <cell r="Q257">
            <v>-2.314814814814814E-2</v>
          </cell>
          <cell r="R257">
            <v>-8.6238532110091803E-2</v>
          </cell>
          <cell r="S257">
            <v>-3.3670033670033628E-2</v>
          </cell>
          <cell r="T257">
            <v>-8.6956521739130488E-2</v>
          </cell>
          <cell r="U257">
            <v>-1.8018018018017945E-2</v>
          </cell>
          <cell r="V257">
            <v>-0.13095238095238093</v>
          </cell>
          <cell r="W257">
            <v>-3.007518796992481E-2</v>
          </cell>
          <cell r="X257">
            <v>-3.125E-2</v>
          </cell>
          <cell r="Y257">
            <v>-6.4903846153846256E-2</v>
          </cell>
          <cell r="Z257">
            <v>-3.5730498786378684E-2</v>
          </cell>
        </row>
        <row r="258">
          <cell r="A258" t="str">
            <v>01/02/2005</v>
          </cell>
          <cell r="B258">
            <v>22.9</v>
          </cell>
          <cell r="C258">
            <v>55.75</v>
          </cell>
          <cell r="D258">
            <v>105</v>
          </cell>
          <cell r="E258">
            <v>50.25</v>
          </cell>
          <cell r="F258">
            <v>14.3</v>
          </cell>
          <cell r="G258">
            <v>3.05</v>
          </cell>
          <cell r="H258">
            <v>10.75</v>
          </cell>
          <cell r="I258">
            <v>55</v>
          </cell>
          <cell r="J258">
            <v>128.5</v>
          </cell>
          <cell r="K258">
            <v>144</v>
          </cell>
          <cell r="L258">
            <v>19.5</v>
          </cell>
          <cell r="M258">
            <v>13578.26</v>
          </cell>
          <cell r="O258">
            <v>-5.9548254620123364E-2</v>
          </cell>
          <cell r="P258">
            <v>-8.2304526748971152E-2</v>
          </cell>
          <cell r="Q258">
            <v>-3.2258064516129004E-2</v>
          </cell>
          <cell r="R258">
            <v>-6.944444444444442E-2</v>
          </cell>
          <cell r="S258">
            <v>-4.3478260869565077E-2</v>
          </cell>
          <cell r="T258">
            <v>-0.12230215827338142</v>
          </cell>
          <cell r="U258">
            <v>-6.9264069264069361E-2</v>
          </cell>
          <cell r="V258">
            <v>-0.10204081632653061</v>
          </cell>
          <cell r="W258">
            <v>-3.0188679245283012E-2</v>
          </cell>
          <cell r="X258">
            <v>6.9930069930070893E-3</v>
          </cell>
          <cell r="Y258">
            <v>-6.698564593301426E-2</v>
          </cell>
          <cell r="Z258">
            <v>-4.6297714052124572E-2</v>
          </cell>
        </row>
        <row r="259">
          <cell r="A259" t="str">
            <v>02/02/2005</v>
          </cell>
          <cell r="B259">
            <v>22.95</v>
          </cell>
          <cell r="C259">
            <v>55.75</v>
          </cell>
          <cell r="D259">
            <v>105</v>
          </cell>
          <cell r="E259">
            <v>50.5</v>
          </cell>
          <cell r="F259">
            <v>14.2</v>
          </cell>
          <cell r="G259">
            <v>3.05</v>
          </cell>
          <cell r="H259">
            <v>10.7</v>
          </cell>
          <cell r="I259">
            <v>54.75</v>
          </cell>
          <cell r="J259">
            <v>128.5</v>
          </cell>
          <cell r="K259">
            <v>143.5</v>
          </cell>
          <cell r="L259">
            <v>19.649999999999999</v>
          </cell>
          <cell r="M259">
            <v>13555.8</v>
          </cell>
          <cell r="O259">
            <v>-4.9689440993788803E-2</v>
          </cell>
          <cell r="P259">
            <v>-8.2304526748971152E-2</v>
          </cell>
          <cell r="Q259">
            <v>-2.3255813953488413E-2</v>
          </cell>
          <cell r="R259">
            <v>-5.6074766355140193E-2</v>
          </cell>
          <cell r="S259">
            <v>-4.6979865771812124E-2</v>
          </cell>
          <cell r="T259">
            <v>-0.10294117647058831</v>
          </cell>
          <cell r="U259">
            <v>-6.956521739130439E-2</v>
          </cell>
          <cell r="V259">
            <v>-8.7500000000000022E-2</v>
          </cell>
          <cell r="W259">
            <v>-2.281368821292773E-2</v>
          </cell>
          <cell r="X259">
            <v>3.4965034965035446E-3</v>
          </cell>
          <cell r="Y259">
            <v>-4.8426150121065326E-2</v>
          </cell>
          <cell r="Z259">
            <v>-3.4892744501954343E-2</v>
          </cell>
        </row>
        <row r="260">
          <cell r="A260" t="str">
            <v>03/02/2005</v>
          </cell>
          <cell r="B260">
            <v>23.1</v>
          </cell>
          <cell r="C260">
            <v>56</v>
          </cell>
          <cell r="D260">
            <v>105</v>
          </cell>
          <cell r="E260">
            <v>51.75</v>
          </cell>
          <cell r="F260">
            <v>14.2</v>
          </cell>
          <cell r="G260">
            <v>3.0249999999999999</v>
          </cell>
          <cell r="H260">
            <v>10.6</v>
          </cell>
          <cell r="I260">
            <v>55.5</v>
          </cell>
          <cell r="J260">
            <v>128</v>
          </cell>
          <cell r="K260">
            <v>143.5</v>
          </cell>
          <cell r="L260">
            <v>19.75</v>
          </cell>
          <cell r="M260">
            <v>13515.33</v>
          </cell>
          <cell r="O260">
            <v>-2.5316455696202445E-2</v>
          </cell>
          <cell r="P260">
            <v>-5.8823529411764719E-2</v>
          </cell>
          <cell r="Q260">
            <v>-4.7393364928910442E-3</v>
          </cell>
          <cell r="R260">
            <v>1.9704433497536922E-2</v>
          </cell>
          <cell r="S260">
            <v>-3.0716723549488179E-2</v>
          </cell>
          <cell r="T260">
            <v>-8.3333333333333259E-2</v>
          </cell>
          <cell r="U260">
            <v>-5.7777777777777817E-2</v>
          </cell>
          <cell r="V260">
            <v>-6.3291139240506333E-2</v>
          </cell>
          <cell r="W260">
            <v>-1.9157088122605415E-2</v>
          </cell>
          <cell r="X260">
            <v>1.4134275618374659E-2</v>
          </cell>
          <cell r="Y260">
            <v>-2.9484029484029506E-2</v>
          </cell>
          <cell r="Z260">
            <v>-1.809237770590133E-2</v>
          </cell>
        </row>
        <row r="261">
          <cell r="A261" t="str">
            <v>04/02/2005</v>
          </cell>
          <cell r="B261">
            <v>23.3</v>
          </cell>
          <cell r="C261">
            <v>56.25</v>
          </cell>
          <cell r="D261">
            <v>104.5</v>
          </cell>
          <cell r="E261">
            <v>52.25</v>
          </cell>
          <cell r="F261">
            <v>14.4</v>
          </cell>
          <cell r="G261">
            <v>3.05</v>
          </cell>
          <cell r="H261">
            <v>10.8</v>
          </cell>
          <cell r="I261">
            <v>57.5</v>
          </cell>
          <cell r="J261">
            <v>128.5</v>
          </cell>
          <cell r="K261">
            <v>143</v>
          </cell>
          <cell r="L261">
            <v>19.75</v>
          </cell>
          <cell r="M261">
            <v>13585.17</v>
          </cell>
          <cell r="O261">
            <v>-1.6877637130801593E-2</v>
          </cell>
          <cell r="P261">
            <v>-4.6610169491525411E-2</v>
          </cell>
          <cell r="Q261">
            <v>-9.4786729857819774E-3</v>
          </cell>
          <cell r="R261">
            <v>-4.761904761904745E-3</v>
          </cell>
          <cell r="S261">
            <v>-2.0408163265306034E-2</v>
          </cell>
          <cell r="T261">
            <v>-8.2706766917293284E-2</v>
          </cell>
          <cell r="U261">
            <v>-4.4247787610619427E-2</v>
          </cell>
          <cell r="V261">
            <v>-3.7656903765690419E-2</v>
          </cell>
          <cell r="W261">
            <v>-1.5325670498084309E-2</v>
          </cell>
          <cell r="X261">
            <v>1.4184397163120588E-2</v>
          </cell>
          <cell r="Y261">
            <v>-1.2499999999999956E-2</v>
          </cell>
          <cell r="Z261">
            <v>-9.2524525891115594E-3</v>
          </cell>
        </row>
        <row r="262">
          <cell r="A262" t="str">
            <v>07/02/2005</v>
          </cell>
          <cell r="B262">
            <v>23.4</v>
          </cell>
          <cell r="C262">
            <v>58.25</v>
          </cell>
          <cell r="D262">
            <v>106</v>
          </cell>
          <cell r="E262">
            <v>52.5</v>
          </cell>
          <cell r="F262">
            <v>14.55</v>
          </cell>
          <cell r="G262">
            <v>3.2</v>
          </cell>
          <cell r="H262">
            <v>10.9</v>
          </cell>
          <cell r="I262">
            <v>58.25</v>
          </cell>
          <cell r="J262">
            <v>130.5</v>
          </cell>
          <cell r="K262">
            <v>146</v>
          </cell>
          <cell r="L262">
            <v>19.899999999999999</v>
          </cell>
          <cell r="M262">
            <v>13795</v>
          </cell>
          <cell r="O262">
            <v>-1.2658227848101333E-2</v>
          </cell>
          <cell r="P262">
            <v>4.3103448275862988E-3</v>
          </cell>
          <cell r="Q262">
            <v>1.4354066985645897E-2</v>
          </cell>
          <cell r="R262">
            <v>1.449275362318847E-2</v>
          </cell>
          <cell r="S262">
            <v>3.4482758620690834E-3</v>
          </cell>
          <cell r="T262">
            <v>-7.7519379844961378E-3</v>
          </cell>
          <cell r="U262">
            <v>-1.3574660633484226E-2</v>
          </cell>
          <cell r="V262">
            <v>-8.5106382978723527E-3</v>
          </cell>
          <cell r="W262">
            <v>7.7220077220077066E-3</v>
          </cell>
          <cell r="X262">
            <v>4.6594982078853153E-2</v>
          </cell>
          <cell r="Y262">
            <v>2.5188916876572875E-3</v>
          </cell>
          <cell r="Z262">
            <v>1.6216741830118231E-2</v>
          </cell>
        </row>
        <row r="263">
          <cell r="A263" t="str">
            <v>08/02/2005</v>
          </cell>
          <cell r="B263">
            <v>23.6</v>
          </cell>
          <cell r="C263">
            <v>59.25</v>
          </cell>
          <cell r="D263">
            <v>106</v>
          </cell>
          <cell r="E263">
            <v>53</v>
          </cell>
          <cell r="F263">
            <v>14.55</v>
          </cell>
          <cell r="G263">
            <v>3.25</v>
          </cell>
          <cell r="H263">
            <v>10.95</v>
          </cell>
          <cell r="I263">
            <v>58.5</v>
          </cell>
          <cell r="J263">
            <v>131</v>
          </cell>
          <cell r="K263">
            <v>144.5</v>
          </cell>
          <cell r="L263">
            <v>19.850000000000001</v>
          </cell>
          <cell r="M263">
            <v>13845.63</v>
          </cell>
          <cell r="O263">
            <v>-1.8711018711018657E-2</v>
          </cell>
          <cell r="P263">
            <v>-4.2016806722688926E-3</v>
          </cell>
          <cell r="Q263">
            <v>9.52380952380949E-3</v>
          </cell>
          <cell r="R263">
            <v>3.4146341463414664E-2</v>
          </cell>
          <cell r="S263">
            <v>3.4482758620690834E-3</v>
          </cell>
          <cell r="T263">
            <v>1.5625E-2</v>
          </cell>
          <cell r="U263">
            <v>-9.0497737556561875E-3</v>
          </cell>
          <cell r="V263">
            <v>4.2918454935623185E-3</v>
          </cell>
          <cell r="W263">
            <v>2.34375E-2</v>
          </cell>
          <cell r="X263">
            <v>3.584229390680993E-2</v>
          </cell>
          <cell r="Y263">
            <v>5.0632911392405333E-3</v>
          </cell>
          <cell r="Z263">
            <v>2.3223039170402915E-2</v>
          </cell>
        </row>
        <row r="264">
          <cell r="A264" t="str">
            <v>09/02/2005</v>
          </cell>
          <cell r="B264">
            <v>23.6</v>
          </cell>
          <cell r="C264">
            <v>59.25</v>
          </cell>
          <cell r="D264">
            <v>106</v>
          </cell>
          <cell r="E264">
            <v>53</v>
          </cell>
          <cell r="F264">
            <v>14.55</v>
          </cell>
          <cell r="G264">
            <v>3.25</v>
          </cell>
          <cell r="H264">
            <v>10.95</v>
          </cell>
          <cell r="I264">
            <v>58.5</v>
          </cell>
          <cell r="J264">
            <v>131</v>
          </cell>
          <cell r="K264">
            <v>144.5</v>
          </cell>
          <cell r="L264">
            <v>19.850000000000001</v>
          </cell>
          <cell r="M264">
            <v>13845.63</v>
          </cell>
          <cell r="O264">
            <v>-8.4033613445377853E-3</v>
          </cell>
          <cell r="P264">
            <v>-1.2499999999999956E-2</v>
          </cell>
          <cell r="Q264">
            <v>1.4354066985645897E-2</v>
          </cell>
          <cell r="R264">
            <v>3.4146341463414664E-2</v>
          </cell>
          <cell r="S264">
            <v>1.0416666666666741E-2</v>
          </cell>
          <cell r="T264">
            <v>7.7519379844961378E-3</v>
          </cell>
          <cell r="U264">
            <v>-9.0497737556561875E-3</v>
          </cell>
          <cell r="V264">
            <v>4.2918454935623185E-3</v>
          </cell>
          <cell r="W264">
            <v>1.9455252918287869E-2</v>
          </cell>
          <cell r="X264">
            <v>5.4744525547445244E-2</v>
          </cell>
          <cell r="Y264">
            <v>5.0632911392405333E-3</v>
          </cell>
          <cell r="Z264">
            <v>2.489997594240978E-2</v>
          </cell>
        </row>
        <row r="265">
          <cell r="A265" t="str">
            <v>10/02/2005</v>
          </cell>
          <cell r="B265">
            <v>23.6</v>
          </cell>
          <cell r="C265">
            <v>59.25</v>
          </cell>
          <cell r="D265">
            <v>106</v>
          </cell>
          <cell r="E265">
            <v>53</v>
          </cell>
          <cell r="F265">
            <v>14.55</v>
          </cell>
          <cell r="G265">
            <v>3.25</v>
          </cell>
          <cell r="H265">
            <v>10.95</v>
          </cell>
          <cell r="I265">
            <v>58.5</v>
          </cell>
          <cell r="J265">
            <v>131</v>
          </cell>
          <cell r="K265">
            <v>144.5</v>
          </cell>
          <cell r="L265">
            <v>19.850000000000001</v>
          </cell>
          <cell r="M265">
            <v>13845.63</v>
          </cell>
          <cell r="O265">
            <v>2.1231422505307851E-3</v>
          </cell>
          <cell r="P265">
            <v>-1.2499999999999956E-2</v>
          </cell>
          <cell r="Q265">
            <v>9.52380952380949E-3</v>
          </cell>
          <cell r="R265">
            <v>4.4334975369458185E-2</v>
          </cell>
          <cell r="S265">
            <v>6.9204152249136008E-3</v>
          </cell>
          <cell r="T265">
            <v>2.3622047244094446E-2</v>
          </cell>
          <cell r="U265">
            <v>-4.5454545454546302E-3</v>
          </cell>
          <cell r="V265">
            <v>1.298701298701288E-2</v>
          </cell>
          <cell r="W265">
            <v>1.9455252918287869E-2</v>
          </cell>
          <cell r="X265">
            <v>6.25E-2</v>
          </cell>
          <cell r="Y265">
            <v>1.7948717948718107E-2</v>
          </cell>
          <cell r="Z265">
            <v>2.0664474309838754E-2</v>
          </cell>
        </row>
        <row r="266">
          <cell r="A266" t="str">
            <v>11/02/2005</v>
          </cell>
          <cell r="B266">
            <v>23.6</v>
          </cell>
          <cell r="C266">
            <v>59.25</v>
          </cell>
          <cell r="D266">
            <v>106</v>
          </cell>
          <cell r="E266">
            <v>53</v>
          </cell>
          <cell r="F266">
            <v>14.55</v>
          </cell>
          <cell r="G266">
            <v>3.25</v>
          </cell>
          <cell r="H266">
            <v>10.95</v>
          </cell>
          <cell r="I266">
            <v>58.5</v>
          </cell>
          <cell r="J266">
            <v>131</v>
          </cell>
          <cell r="K266">
            <v>144.5</v>
          </cell>
          <cell r="L266">
            <v>19.850000000000001</v>
          </cell>
          <cell r="M266">
            <v>13845.63</v>
          </cell>
          <cell r="O266">
            <v>1.5053763440860291E-2</v>
          </cell>
          <cell r="P266">
            <v>0</v>
          </cell>
          <cell r="Q266">
            <v>9.52380952380949E-3</v>
          </cell>
          <cell r="R266">
            <v>3.4146341463414664E-2</v>
          </cell>
          <cell r="S266">
            <v>3.4482758620690834E-3</v>
          </cell>
          <cell r="T266">
            <v>2.3622047244094446E-2</v>
          </cell>
          <cell r="U266">
            <v>0</v>
          </cell>
          <cell r="V266">
            <v>8.6206896551723755E-3</v>
          </cell>
          <cell r="W266">
            <v>2.34375E-2</v>
          </cell>
          <cell r="X266">
            <v>4.7101449275362306E-2</v>
          </cell>
          <cell r="Y266">
            <v>1.2755102040816313E-2</v>
          </cell>
          <cell r="Z266">
            <v>2.0065157426944591E-2</v>
          </cell>
        </row>
        <row r="267">
          <cell r="A267" t="str">
            <v>14/02/2005</v>
          </cell>
          <cell r="B267">
            <v>23.8</v>
          </cell>
          <cell r="C267">
            <v>59</v>
          </cell>
          <cell r="D267">
            <v>107</v>
          </cell>
          <cell r="E267">
            <v>52.5</v>
          </cell>
          <cell r="F267">
            <v>14.65</v>
          </cell>
          <cell r="G267">
            <v>3.25</v>
          </cell>
          <cell r="H267">
            <v>10.95</v>
          </cell>
          <cell r="I267">
            <v>58.75</v>
          </cell>
          <cell r="J267">
            <v>132.5</v>
          </cell>
          <cell r="K267">
            <v>148.5</v>
          </cell>
          <cell r="L267">
            <v>20</v>
          </cell>
          <cell r="M267">
            <v>14017.23</v>
          </cell>
          <cell r="O267">
            <v>3.4782608695652195E-2</v>
          </cell>
          <cell r="P267">
            <v>-8.4033613445377853E-3</v>
          </cell>
          <cell r="Q267">
            <v>1.904761904761898E-2</v>
          </cell>
          <cell r="R267">
            <v>3.4482758620689724E-2</v>
          </cell>
          <cell r="S267">
            <v>1.736111111111116E-2</v>
          </cell>
          <cell r="T267">
            <v>4.8387096774193505E-2</v>
          </cell>
          <cell r="U267">
            <v>4.5871559633026138E-3</v>
          </cell>
          <cell r="V267">
            <v>8.5836909871244149E-3</v>
          </cell>
          <cell r="W267">
            <v>3.9215686274509887E-2</v>
          </cell>
          <cell r="X267">
            <v>9.5940959409594129E-2</v>
          </cell>
          <cell r="Y267">
            <v>3.0927835051546504E-2</v>
          </cell>
          <cell r="Z267">
            <v>3.871496978831801E-2</v>
          </cell>
        </row>
        <row r="268">
          <cell r="A268" t="str">
            <v>15/02/2005</v>
          </cell>
          <cell r="B268">
            <v>23.6</v>
          </cell>
          <cell r="C268">
            <v>56.75</v>
          </cell>
          <cell r="D268">
            <v>106</v>
          </cell>
          <cell r="E268">
            <v>51</v>
          </cell>
          <cell r="F268">
            <v>14.6</v>
          </cell>
          <cell r="G268">
            <v>3.2250000000000001</v>
          </cell>
          <cell r="H268">
            <v>10.8</v>
          </cell>
          <cell r="I268">
            <v>59.75</v>
          </cell>
          <cell r="J268">
            <v>132.5</v>
          </cell>
          <cell r="K268">
            <v>149.5</v>
          </cell>
          <cell r="L268">
            <v>20</v>
          </cell>
          <cell r="M268">
            <v>13995.83</v>
          </cell>
          <cell r="O268">
            <v>2.386117136659438E-2</v>
          </cell>
          <cell r="P268">
            <v>-6.9672131147541005E-2</v>
          </cell>
          <cell r="Q268">
            <v>4.7393364928909332E-3</v>
          </cell>
          <cell r="R268">
            <v>0</v>
          </cell>
          <cell r="S268">
            <v>1.388888888888884E-2</v>
          </cell>
          <cell r="T268">
            <v>1.5748031496063186E-2</v>
          </cell>
          <cell r="U268">
            <v>-9.1743119266054496E-3</v>
          </cell>
          <cell r="V268">
            <v>3.463203463203457E-2</v>
          </cell>
          <cell r="W268">
            <v>3.515625E-2</v>
          </cell>
          <cell r="X268">
            <v>8.7272727272727169E-2</v>
          </cell>
          <cell r="Y268">
            <v>2.3017902813299296E-2</v>
          </cell>
          <cell r="Z268">
            <v>2.8785920839269119E-2</v>
          </cell>
        </row>
        <row r="269">
          <cell r="A269" t="str">
            <v>16/02/2005</v>
          </cell>
          <cell r="B269">
            <v>23.65</v>
          </cell>
          <cell r="C269">
            <v>58.25</v>
          </cell>
          <cell r="D269">
            <v>106</v>
          </cell>
          <cell r="E269">
            <v>52</v>
          </cell>
          <cell r="F269">
            <v>14.65</v>
          </cell>
          <cell r="G269">
            <v>3.2250000000000001</v>
          </cell>
          <cell r="H269">
            <v>10.85</v>
          </cell>
          <cell r="I269">
            <v>59.25</v>
          </cell>
          <cell r="J269">
            <v>133</v>
          </cell>
          <cell r="K269">
            <v>146.5</v>
          </cell>
          <cell r="L269">
            <v>19.899999999999999</v>
          </cell>
          <cell r="M269">
            <v>14015.49</v>
          </cell>
          <cell r="O269">
            <v>2.3809523809523725E-2</v>
          </cell>
          <cell r="P269">
            <v>-4.5081967213114749E-2</v>
          </cell>
          <cell r="Q269">
            <v>9.52380952380949E-3</v>
          </cell>
          <cell r="R269">
            <v>2.4630541871921263E-2</v>
          </cell>
          <cell r="S269">
            <v>1.736111111111116E-2</v>
          </cell>
          <cell r="T269">
            <v>3.2000000000000028E-2</v>
          </cell>
          <cell r="U269">
            <v>4.6296296296295392E-3</v>
          </cell>
          <cell r="V269">
            <v>2.155172413793105E-2</v>
          </cell>
          <cell r="W269">
            <v>3.1007751937984551E-2</v>
          </cell>
          <cell r="X269">
            <v>6.1594202898550776E-2</v>
          </cell>
          <cell r="Y269">
            <v>7.5949367088605779E-3</v>
          </cell>
          <cell r="Z269">
            <v>2.4626735279775769E-2</v>
          </cell>
        </row>
        <row r="270">
          <cell r="A270" t="str">
            <v>17/02/2005</v>
          </cell>
          <cell r="B270">
            <v>23.5</v>
          </cell>
          <cell r="C270">
            <v>59.25</v>
          </cell>
          <cell r="D270">
            <v>105.5</v>
          </cell>
          <cell r="E270">
            <v>51</v>
          </cell>
          <cell r="F270">
            <v>14.65</v>
          </cell>
          <cell r="G270">
            <v>3.2250000000000001</v>
          </cell>
          <cell r="H270">
            <v>10.9</v>
          </cell>
          <cell r="I270">
            <v>59.25</v>
          </cell>
          <cell r="J270">
            <v>133</v>
          </cell>
          <cell r="K270">
            <v>146</v>
          </cell>
          <cell r="L270">
            <v>19.850000000000001</v>
          </cell>
          <cell r="M270">
            <v>13967.82</v>
          </cell>
          <cell r="O270">
            <v>2.1739130434782705E-2</v>
          </cell>
          <cell r="P270">
            <v>-8.3682008368201055E-3</v>
          </cell>
          <cell r="Q270">
            <v>1.4423076923076872E-2</v>
          </cell>
          <cell r="R270">
            <v>-4.8780487804878092E-3</v>
          </cell>
          <cell r="S270">
            <v>2.0905923344947785E-2</v>
          </cell>
          <cell r="T270">
            <v>4.0322580645161255E-2</v>
          </cell>
          <cell r="U270">
            <v>1.3953488372093092E-2</v>
          </cell>
          <cell r="V270">
            <v>3.0434782608695699E-2</v>
          </cell>
          <cell r="W270">
            <v>4.3137254901960853E-2</v>
          </cell>
          <cell r="X270">
            <v>6.5693430656934337E-2</v>
          </cell>
          <cell r="Y270">
            <v>1.2755102040816313E-2</v>
          </cell>
          <cell r="Z270">
            <v>3.1323304973053689E-2</v>
          </cell>
        </row>
        <row r="271">
          <cell r="A271" t="str">
            <v>18/02/2005</v>
          </cell>
          <cell r="B271">
            <v>23.7</v>
          </cell>
          <cell r="C271">
            <v>59.25</v>
          </cell>
          <cell r="D271">
            <v>106.5</v>
          </cell>
          <cell r="E271">
            <v>51</v>
          </cell>
          <cell r="F271">
            <v>14.75</v>
          </cell>
          <cell r="G271">
            <v>3.2</v>
          </cell>
          <cell r="H271">
            <v>10.85</v>
          </cell>
          <cell r="I271">
            <v>59.25</v>
          </cell>
          <cell r="J271">
            <v>133.5</v>
          </cell>
          <cell r="K271">
            <v>145.5</v>
          </cell>
          <cell r="L271">
            <v>20.100000000000001</v>
          </cell>
          <cell r="M271">
            <v>14087.87</v>
          </cell>
          <cell r="O271">
            <v>3.7199124726476906E-2</v>
          </cell>
          <cell r="P271">
            <v>3.0434782608695699E-2</v>
          </cell>
          <cell r="Q271">
            <v>2.8985507246376718E-2</v>
          </cell>
          <cell r="R271">
            <v>0</v>
          </cell>
          <cell r="S271">
            <v>3.8732394366197243E-2</v>
          </cell>
          <cell r="T271">
            <v>4.0650406504064929E-2</v>
          </cell>
          <cell r="U271">
            <v>1.8779342723004522E-2</v>
          </cell>
          <cell r="V271">
            <v>4.4052863436123246E-2</v>
          </cell>
          <cell r="W271">
            <v>4.705882352941182E-2</v>
          </cell>
          <cell r="X271">
            <v>6.5934065934065922E-2</v>
          </cell>
          <cell r="Y271">
            <v>4.9608355091383949E-2</v>
          </cell>
          <cell r="Z271">
            <v>4.5015139803961546E-2</v>
          </cell>
        </row>
        <row r="272">
          <cell r="A272" t="str">
            <v>22/02/2005</v>
          </cell>
          <cell r="B272">
            <v>23.7</v>
          </cell>
          <cell r="C272">
            <v>57.5</v>
          </cell>
          <cell r="D272">
            <v>107</v>
          </cell>
          <cell r="E272">
            <v>50.5</v>
          </cell>
          <cell r="F272">
            <v>14.7</v>
          </cell>
          <cell r="G272">
            <v>3.2250000000000001</v>
          </cell>
          <cell r="H272">
            <v>10.7</v>
          </cell>
          <cell r="I272">
            <v>59</v>
          </cell>
          <cell r="J272">
            <v>133</v>
          </cell>
          <cell r="K272">
            <v>148.5</v>
          </cell>
          <cell r="L272">
            <v>19.95</v>
          </cell>
          <cell r="M272">
            <v>14090.52</v>
          </cell>
          <cell r="O272">
            <v>5.0997782705099803E-2</v>
          </cell>
          <cell r="P272">
            <v>4.0723981900452566E-2</v>
          </cell>
          <cell r="Q272">
            <v>3.3816425120772875E-2</v>
          </cell>
          <cell r="R272">
            <v>4.9751243781095411E-3</v>
          </cell>
          <cell r="S272">
            <v>3.8869257950529867E-2</v>
          </cell>
          <cell r="T272">
            <v>4.8780487804878092E-2</v>
          </cell>
          <cell r="U272">
            <v>0</v>
          </cell>
          <cell r="V272">
            <v>5.3571428571428603E-2</v>
          </cell>
          <cell r="W272">
            <v>4.7244094488188892E-2</v>
          </cell>
          <cell r="X272">
            <v>8.7912087912087822E-2</v>
          </cell>
          <cell r="Y272">
            <v>7.547169811320753E-2</v>
          </cell>
          <cell r="Z272">
            <v>5.2553262533250544E-2</v>
          </cell>
        </row>
        <row r="273">
          <cell r="A273" t="str">
            <v>23/02/2005</v>
          </cell>
          <cell r="B273">
            <v>23.75</v>
          </cell>
          <cell r="C273">
            <v>58.75</v>
          </cell>
          <cell r="D273">
            <v>106.5</v>
          </cell>
          <cell r="E273">
            <v>50.5</v>
          </cell>
          <cell r="F273">
            <v>14.65</v>
          </cell>
          <cell r="G273">
            <v>3.1749999999999998</v>
          </cell>
          <cell r="H273">
            <v>10.65</v>
          </cell>
          <cell r="I273">
            <v>59.5</v>
          </cell>
          <cell r="J273">
            <v>132</v>
          </cell>
          <cell r="K273">
            <v>144.5</v>
          </cell>
          <cell r="L273">
            <v>19.899999999999999</v>
          </cell>
          <cell r="M273">
            <v>13957.94</v>
          </cell>
          <cell r="O273">
            <v>3.2608695652173836E-2</v>
          </cell>
          <cell r="P273">
            <v>5.3811659192825045E-2</v>
          </cell>
          <cell r="Q273">
            <v>1.9138755980861344E-2</v>
          </cell>
          <cell r="R273">
            <v>1.0000000000000009E-2</v>
          </cell>
          <cell r="S273">
            <v>2.8070175438596578E-2</v>
          </cell>
          <cell r="T273">
            <v>0</v>
          </cell>
          <cell r="U273">
            <v>-9.302325581395321E-3</v>
          </cell>
          <cell r="V273">
            <v>8.181818181818179E-2</v>
          </cell>
          <cell r="W273">
            <v>2.7237354085603016E-2</v>
          </cell>
          <cell r="X273">
            <v>6.6420664206642055E-2</v>
          </cell>
          <cell r="Y273">
            <v>4.4619422572178324E-2</v>
          </cell>
          <cell r="Z273">
            <v>2.7523435556085607E-2</v>
          </cell>
        </row>
        <row r="274">
          <cell r="A274" t="str">
            <v>24/02/2005</v>
          </cell>
          <cell r="B274">
            <v>23.8</v>
          </cell>
          <cell r="C274">
            <v>58.5</v>
          </cell>
          <cell r="D274">
            <v>106</v>
          </cell>
          <cell r="E274">
            <v>50.75</v>
          </cell>
          <cell r="F274">
            <v>14.7</v>
          </cell>
          <cell r="G274">
            <v>3.2</v>
          </cell>
          <cell r="H274">
            <v>10.7</v>
          </cell>
          <cell r="I274">
            <v>60.5</v>
          </cell>
          <cell r="J274">
            <v>133</v>
          </cell>
          <cell r="K274">
            <v>143</v>
          </cell>
          <cell r="L274">
            <v>20</v>
          </cell>
          <cell r="M274">
            <v>14060.91</v>
          </cell>
          <cell r="O274">
            <v>3.2537960954446943E-2</v>
          </cell>
          <cell r="P274">
            <v>4.9327354260089606E-2</v>
          </cell>
          <cell r="Q274">
            <v>9.52380952380949E-3</v>
          </cell>
          <cell r="R274">
            <v>1.4999999999999902E-2</v>
          </cell>
          <cell r="S274">
            <v>2.4390243902439046E-2</v>
          </cell>
          <cell r="T274">
            <v>2.4000000000000021E-2</v>
          </cell>
          <cell r="U274">
            <v>-9.2592592592594114E-3</v>
          </cell>
          <cell r="V274">
            <v>0.10000000000000009</v>
          </cell>
          <cell r="W274">
            <v>3.5019455252918386E-2</v>
          </cell>
          <cell r="X274">
            <v>3.6231884057970953E-2</v>
          </cell>
          <cell r="Y274">
            <v>3.8961038961038863E-2</v>
          </cell>
          <cell r="Z274">
            <v>3.2093384459999097E-2</v>
          </cell>
        </row>
        <row r="275">
          <cell r="A275" t="str">
            <v>25/02/2005</v>
          </cell>
          <cell r="B275">
            <v>23.7</v>
          </cell>
          <cell r="C275">
            <v>58</v>
          </cell>
          <cell r="D275">
            <v>107</v>
          </cell>
          <cell r="E275">
            <v>51</v>
          </cell>
          <cell r="F275">
            <v>14.8</v>
          </cell>
          <cell r="G275">
            <v>3.2</v>
          </cell>
          <cell r="H275">
            <v>10.85</v>
          </cell>
          <cell r="I275">
            <v>60.75</v>
          </cell>
          <cell r="J275">
            <v>133</v>
          </cell>
          <cell r="K275">
            <v>142.5</v>
          </cell>
          <cell r="L275">
            <v>20.2</v>
          </cell>
          <cell r="M275">
            <v>14157.09</v>
          </cell>
          <cell r="O275">
            <v>1.2820512820512775E-2</v>
          </cell>
          <cell r="P275">
            <v>2.2026431718061623E-2</v>
          </cell>
          <cell r="Q275">
            <v>1.904761904761898E-2</v>
          </cell>
          <cell r="R275">
            <v>2.2044088176352838E-2</v>
          </cell>
          <cell r="S275">
            <v>3.4965034965035002E-2</v>
          </cell>
          <cell r="T275">
            <v>4.0650406504064929E-2</v>
          </cell>
          <cell r="U275">
            <v>4.6296296296295392E-3</v>
          </cell>
          <cell r="V275">
            <v>0.1146788990825689</v>
          </cell>
          <cell r="W275">
            <v>3.1007751937984551E-2</v>
          </cell>
          <cell r="X275">
            <v>1.7857142857142794E-2</v>
          </cell>
          <cell r="Y275">
            <v>4.663212435233155E-2</v>
          </cell>
          <cell r="Z275">
            <v>3.8754383145827465E-2</v>
          </cell>
        </row>
        <row r="276">
          <cell r="A276" t="str">
            <v>28/02/2005</v>
          </cell>
          <cell r="B276">
            <v>23.75</v>
          </cell>
          <cell r="C276">
            <v>59</v>
          </cell>
          <cell r="D276">
            <v>106.5</v>
          </cell>
          <cell r="E276">
            <v>52.25</v>
          </cell>
          <cell r="F276">
            <v>14.85</v>
          </cell>
          <cell r="G276">
            <v>3.25</v>
          </cell>
          <cell r="H276">
            <v>10.85</v>
          </cell>
          <cell r="I276">
            <v>61</v>
          </cell>
          <cell r="J276">
            <v>133.5</v>
          </cell>
          <cell r="K276">
            <v>142.5</v>
          </cell>
          <cell r="L276">
            <v>19.850000000000001</v>
          </cell>
          <cell r="M276">
            <v>14195.35</v>
          </cell>
          <cell r="O276">
            <v>2.1505376344086002E-2</v>
          </cell>
          <cell r="P276">
            <v>3.5087719298245723E-2</v>
          </cell>
          <cell r="Q276">
            <v>1.4285714285714235E-2</v>
          </cell>
          <cell r="R276">
            <v>4.9196787148594545E-2</v>
          </cell>
          <cell r="S276">
            <v>4.2105263157894646E-2</v>
          </cell>
          <cell r="T276">
            <v>4.8387096774193505E-2</v>
          </cell>
          <cell r="U276">
            <v>4.6296296296295392E-3</v>
          </cell>
          <cell r="V276">
            <v>0.12442396313364057</v>
          </cell>
          <cell r="W276">
            <v>3.488372093023262E-2</v>
          </cell>
          <cell r="X276">
            <v>1.4234875444839812E-2</v>
          </cell>
          <cell r="Y276">
            <v>1.2755102040816313E-2</v>
          </cell>
          <cell r="Z276">
            <v>3.9947809753217323E-2</v>
          </cell>
        </row>
        <row r="277">
          <cell r="A277" t="str">
            <v>01/03/2005</v>
          </cell>
          <cell r="B277">
            <v>23.7</v>
          </cell>
          <cell r="C277">
            <v>59.5</v>
          </cell>
          <cell r="D277">
            <v>106.5</v>
          </cell>
          <cell r="E277">
            <v>52.25</v>
          </cell>
          <cell r="F277">
            <v>14.8</v>
          </cell>
          <cell r="G277">
            <v>3.2</v>
          </cell>
          <cell r="H277">
            <v>10.75</v>
          </cell>
          <cell r="I277">
            <v>61.5</v>
          </cell>
          <cell r="J277">
            <v>130.5</v>
          </cell>
          <cell r="K277">
            <v>141</v>
          </cell>
          <cell r="L277">
            <v>20</v>
          </cell>
          <cell r="M277">
            <v>14061.15</v>
          </cell>
          <cell r="O277">
            <v>1.9354838709677358E-2</v>
          </cell>
          <cell r="P277">
            <v>4.8458149779735615E-2</v>
          </cell>
          <cell r="Q277">
            <v>9.4786729857820884E-3</v>
          </cell>
          <cell r="R277">
            <v>4.9196787148594545E-2</v>
          </cell>
          <cell r="S277">
            <v>3.1358885017421567E-2</v>
          </cell>
          <cell r="T277">
            <v>1.5873015873016039E-2</v>
          </cell>
          <cell r="U277">
            <v>-1.3761467889908285E-2</v>
          </cell>
          <cell r="V277">
            <v>0.12328767123287676</v>
          </cell>
          <cell r="W277">
            <v>1.1627906976744207E-2</v>
          </cell>
          <cell r="X277">
            <v>1.0752688172043001E-2</v>
          </cell>
          <cell r="Y277">
            <v>2.8277634961439535E-2</v>
          </cell>
          <cell r="Z277">
            <v>2.4738935218620917E-2</v>
          </cell>
        </row>
        <row r="278">
          <cell r="A278" t="str">
            <v>02/03/2005</v>
          </cell>
          <cell r="B278">
            <v>23.55</v>
          </cell>
          <cell r="C278">
            <v>58.5</v>
          </cell>
          <cell r="D278">
            <v>106.5</v>
          </cell>
          <cell r="E278">
            <v>52</v>
          </cell>
          <cell r="F278">
            <v>14.65</v>
          </cell>
          <cell r="G278">
            <v>3.1749999999999998</v>
          </cell>
          <cell r="H278">
            <v>10.75</v>
          </cell>
          <cell r="I278">
            <v>61</v>
          </cell>
          <cell r="J278">
            <v>128.5</v>
          </cell>
          <cell r="K278">
            <v>143</v>
          </cell>
          <cell r="L278">
            <v>19.8</v>
          </cell>
          <cell r="M278">
            <v>13850.78</v>
          </cell>
          <cell r="O278">
            <v>2.8384279475982543E-2</v>
          </cell>
          <cell r="P278">
            <v>4.9327354260089606E-2</v>
          </cell>
          <cell r="Q278">
            <v>1.4285714285714235E-2</v>
          </cell>
          <cell r="R278">
            <v>3.4825870646766122E-2</v>
          </cell>
          <cell r="S278">
            <v>2.4475524475524368E-2</v>
          </cell>
          <cell r="T278">
            <v>4.0983606557376984E-2</v>
          </cell>
          <cell r="U278">
            <v>0</v>
          </cell>
          <cell r="V278">
            <v>0.10909090909090913</v>
          </cell>
          <cell r="W278">
            <v>0</v>
          </cell>
          <cell r="X278">
            <v>-6.9444444444444198E-3</v>
          </cell>
          <cell r="Y278">
            <v>1.538461538461533E-2</v>
          </cell>
          <cell r="Z278">
            <v>2.0070318288204936E-2</v>
          </cell>
        </row>
        <row r="279">
          <cell r="A279" t="str">
            <v>03/03/2005</v>
          </cell>
          <cell r="B279">
            <v>23.65</v>
          </cell>
          <cell r="C279">
            <v>56.75</v>
          </cell>
          <cell r="D279">
            <v>106.5</v>
          </cell>
          <cell r="E279">
            <v>51</v>
          </cell>
          <cell r="F279">
            <v>14.7</v>
          </cell>
          <cell r="G279">
            <v>3.1749999999999998</v>
          </cell>
          <cell r="H279">
            <v>10.75</v>
          </cell>
          <cell r="I279">
            <v>61</v>
          </cell>
          <cell r="J279">
            <v>129</v>
          </cell>
          <cell r="K279">
            <v>142</v>
          </cell>
          <cell r="L279">
            <v>19.899999999999999</v>
          </cell>
          <cell r="M279">
            <v>13892.37</v>
          </cell>
          <cell r="O279">
            <v>3.0501089324618702E-2</v>
          </cell>
          <cell r="P279">
            <v>1.7937219730941756E-2</v>
          </cell>
          <cell r="Q279">
            <v>1.4285714285714235E-2</v>
          </cell>
          <cell r="R279">
            <v>9.9009900990099098E-3</v>
          </cell>
          <cell r="S279">
            <v>3.5211267605633756E-2</v>
          </cell>
          <cell r="T279">
            <v>4.0983606557376984E-2</v>
          </cell>
          <cell r="U279">
            <v>4.6728971962617383E-3</v>
          </cell>
          <cell r="V279">
            <v>0.11415525114155245</v>
          </cell>
          <cell r="W279">
            <v>3.8910505836575737E-3</v>
          </cell>
          <cell r="X279">
            <v>-1.0452961672473893E-2</v>
          </cell>
          <cell r="Y279">
            <v>1.2722646310432628E-2</v>
          </cell>
          <cell r="Z279">
            <v>2.4828486699420393E-2</v>
          </cell>
        </row>
        <row r="280">
          <cell r="A280" t="str">
            <v>04/03/2005</v>
          </cell>
          <cell r="B280">
            <v>23.6</v>
          </cell>
          <cell r="C280">
            <v>55.5</v>
          </cell>
          <cell r="D280">
            <v>105.5</v>
          </cell>
          <cell r="E280">
            <v>50.5</v>
          </cell>
          <cell r="F280">
            <v>14.5</v>
          </cell>
          <cell r="G280">
            <v>3.125</v>
          </cell>
          <cell r="H280">
            <v>10.6</v>
          </cell>
          <cell r="I280">
            <v>60.5</v>
          </cell>
          <cell r="J280">
            <v>128</v>
          </cell>
          <cell r="K280">
            <v>143.5</v>
          </cell>
          <cell r="L280">
            <v>19.75</v>
          </cell>
          <cell r="M280">
            <v>13730.78</v>
          </cell>
          <cell r="O280">
            <v>2.1645021645021689E-2</v>
          </cell>
          <cell r="P280">
            <v>-8.9285714285713969E-3</v>
          </cell>
          <cell r="Q280">
            <v>4.761904761904745E-3</v>
          </cell>
          <cell r="R280">
            <v>-2.4154589371980673E-2</v>
          </cell>
          <cell r="S280">
            <v>2.1126760563380254E-2</v>
          </cell>
          <cell r="T280">
            <v>3.3057851239669533E-2</v>
          </cell>
          <cell r="U280">
            <v>0</v>
          </cell>
          <cell r="V280">
            <v>9.0090090090090058E-2</v>
          </cell>
          <cell r="W280">
            <v>0</v>
          </cell>
          <cell r="X280">
            <v>0</v>
          </cell>
          <cell r="Y280">
            <v>0</v>
          </cell>
          <cell r="Z280">
            <v>1.5941157189650612E-2</v>
          </cell>
        </row>
        <row r="281">
          <cell r="A281" t="str">
            <v>07/03/2005</v>
          </cell>
          <cell r="B281">
            <v>23.75</v>
          </cell>
          <cell r="C281">
            <v>55.25</v>
          </cell>
          <cell r="D281">
            <v>105.5</v>
          </cell>
          <cell r="E281">
            <v>51</v>
          </cell>
          <cell r="F281">
            <v>14.55</v>
          </cell>
          <cell r="G281">
            <v>3.1</v>
          </cell>
          <cell r="H281">
            <v>10.8</v>
          </cell>
          <cell r="I281">
            <v>60.5</v>
          </cell>
          <cell r="J281">
            <v>128.5</v>
          </cell>
          <cell r="K281">
            <v>144.5</v>
          </cell>
          <cell r="L281">
            <v>19.899999999999999</v>
          </cell>
          <cell r="M281">
            <v>13771.95</v>
          </cell>
          <cell r="O281">
            <v>1.93133047210301E-2</v>
          </cell>
          <cell r="P281">
            <v>-1.7777777777777781E-2</v>
          </cell>
          <cell r="Q281">
            <v>9.5693779904306719E-3</v>
          </cell>
          <cell r="R281">
            <v>-2.3923444976076569E-2</v>
          </cell>
          <cell r="S281">
            <v>1.0416666666666741E-2</v>
          </cell>
          <cell r="T281">
            <v>1.6393442622950838E-2</v>
          </cell>
          <cell r="U281">
            <v>0</v>
          </cell>
          <cell r="V281">
            <v>5.2173913043478182E-2</v>
          </cell>
          <cell r="W281">
            <v>0</v>
          </cell>
          <cell r="X281">
            <v>1.0489510489510412E-2</v>
          </cell>
          <cell r="Y281">
            <v>7.5949367088605779E-3</v>
          </cell>
          <cell r="Z281">
            <v>1.3748815804292436E-2</v>
          </cell>
        </row>
        <row r="282">
          <cell r="A282" t="str">
            <v>08/03/2005</v>
          </cell>
          <cell r="B282">
            <v>23.75</v>
          </cell>
          <cell r="C282">
            <v>56</v>
          </cell>
          <cell r="D282">
            <v>106</v>
          </cell>
          <cell r="E282">
            <v>50.5</v>
          </cell>
          <cell r="F282">
            <v>14.55</v>
          </cell>
          <cell r="G282">
            <v>3.125</v>
          </cell>
          <cell r="H282">
            <v>10.75</v>
          </cell>
          <cell r="I282">
            <v>60.25</v>
          </cell>
          <cell r="J282">
            <v>129</v>
          </cell>
          <cell r="K282">
            <v>144</v>
          </cell>
          <cell r="L282">
            <v>19.95</v>
          </cell>
          <cell r="M282">
            <v>13881.71</v>
          </cell>
          <cell r="O282">
            <v>1.4957264957265126E-2</v>
          </cell>
          <cell r="P282">
            <v>-3.8626609442060089E-2</v>
          </cell>
          <cell r="Q282">
            <v>0</v>
          </cell>
          <cell r="R282">
            <v>-3.8095238095238071E-2</v>
          </cell>
          <cell r="S282">
            <v>0</v>
          </cell>
          <cell r="T282">
            <v>-2.34375E-2</v>
          </cell>
          <cell r="U282">
            <v>-1.3761467889908285E-2</v>
          </cell>
          <cell r="V282">
            <v>3.4334763948497882E-2</v>
          </cell>
          <cell r="W282">
            <v>-1.1494252873563204E-2</v>
          </cell>
          <cell r="X282">
            <v>-1.3698630136986356E-2</v>
          </cell>
          <cell r="Y282">
            <v>2.5125628140703071E-3</v>
          </cell>
          <cell r="Z282">
            <v>6.2856107285247376E-3</v>
          </cell>
        </row>
        <row r="283">
          <cell r="A283" t="str">
            <v>09/03/2005</v>
          </cell>
          <cell r="B283">
            <v>23.9</v>
          </cell>
          <cell r="C283">
            <v>56</v>
          </cell>
          <cell r="D283">
            <v>107</v>
          </cell>
          <cell r="E283">
            <v>50.75</v>
          </cell>
          <cell r="F283">
            <v>14.65</v>
          </cell>
          <cell r="G283">
            <v>3.15</v>
          </cell>
          <cell r="H283">
            <v>10.8</v>
          </cell>
          <cell r="I283">
            <v>60</v>
          </cell>
          <cell r="J283">
            <v>128.5</v>
          </cell>
          <cell r="K283">
            <v>144.5</v>
          </cell>
          <cell r="L283">
            <v>20.149999999999999</v>
          </cell>
          <cell r="M283">
            <v>13941.47</v>
          </cell>
          <cell r="O283">
            <v>1.2711864406779627E-2</v>
          </cell>
          <cell r="P283">
            <v>-5.4852320675105481E-2</v>
          </cell>
          <cell r="Q283">
            <v>9.4339622641510523E-3</v>
          </cell>
          <cell r="R283">
            <v>-4.2452830188679291E-2</v>
          </cell>
          <cell r="S283">
            <v>6.8728522336769515E-3</v>
          </cell>
          <cell r="T283">
            <v>-3.0769230769230771E-2</v>
          </cell>
          <cell r="U283">
            <v>-1.3698630136986134E-2</v>
          </cell>
          <cell r="V283">
            <v>2.564102564102555E-2</v>
          </cell>
          <cell r="W283">
            <v>-1.9083969465648831E-2</v>
          </cell>
          <cell r="X283">
            <v>0</v>
          </cell>
          <cell r="Y283">
            <v>1.5113350125944391E-2</v>
          </cell>
          <cell r="Z283">
            <v>6.9220396616116453E-3</v>
          </cell>
        </row>
        <row r="284">
          <cell r="A284" t="str">
            <v>10/03/2005</v>
          </cell>
          <cell r="B284">
            <v>22.9</v>
          </cell>
          <cell r="C284">
            <v>55.5</v>
          </cell>
          <cell r="D284">
            <v>107</v>
          </cell>
          <cell r="E284">
            <v>50.5</v>
          </cell>
          <cell r="F284">
            <v>14.6</v>
          </cell>
          <cell r="G284">
            <v>3.125</v>
          </cell>
          <cell r="H284">
            <v>10.75</v>
          </cell>
          <cell r="I284">
            <v>60</v>
          </cell>
          <cell r="J284">
            <v>128.5</v>
          </cell>
          <cell r="K284">
            <v>145.5</v>
          </cell>
          <cell r="L284">
            <v>20.149999999999999</v>
          </cell>
          <cell r="M284">
            <v>13856.02</v>
          </cell>
          <cell r="O284">
            <v>-2.9661016949152685E-2</v>
          </cell>
          <cell r="P284">
            <v>-6.3291139240506333E-2</v>
          </cell>
          <cell r="Q284">
            <v>9.4339622641510523E-3</v>
          </cell>
          <cell r="R284">
            <v>-4.7169811320754707E-2</v>
          </cell>
          <cell r="S284">
            <v>3.4364261168384758E-3</v>
          </cell>
          <cell r="T284">
            <v>-3.8461538461538436E-2</v>
          </cell>
          <cell r="U284">
            <v>-1.826484018264829E-2</v>
          </cell>
          <cell r="V284">
            <v>2.564102564102555E-2</v>
          </cell>
          <cell r="W284">
            <v>-1.9083969465648831E-2</v>
          </cell>
          <cell r="X284">
            <v>6.9204152249136008E-3</v>
          </cell>
          <cell r="Y284">
            <v>1.5113350125944391E-2</v>
          </cell>
          <cell r="Z284">
            <v>7.5041727967595229E-4</v>
          </cell>
        </row>
        <row r="285">
          <cell r="A285" t="str">
            <v>11/03/2005</v>
          </cell>
          <cell r="B285">
            <v>23</v>
          </cell>
          <cell r="C285">
            <v>55.75</v>
          </cell>
          <cell r="D285">
            <v>107</v>
          </cell>
          <cell r="E285">
            <v>49.9</v>
          </cell>
          <cell r="F285">
            <v>14.6</v>
          </cell>
          <cell r="G285">
            <v>3.15</v>
          </cell>
          <cell r="H285">
            <v>10.7</v>
          </cell>
          <cell r="I285">
            <v>59.5</v>
          </cell>
          <cell r="J285">
            <v>128</v>
          </cell>
          <cell r="K285">
            <v>145</v>
          </cell>
          <cell r="L285">
            <v>20.05</v>
          </cell>
          <cell r="M285">
            <v>13890.93</v>
          </cell>
          <cell r="O285">
            <v>-2.5423728813559365E-2</v>
          </cell>
          <cell r="P285">
            <v>-5.9071729957805852E-2</v>
          </cell>
          <cell r="Q285">
            <v>9.4339622641510523E-3</v>
          </cell>
          <cell r="R285">
            <v>-5.8490566037735836E-2</v>
          </cell>
          <cell r="S285">
            <v>3.4364261168384758E-3</v>
          </cell>
          <cell r="T285">
            <v>-3.0769230769230771E-2</v>
          </cell>
          <cell r="U285">
            <v>-2.2831050228310557E-2</v>
          </cell>
          <cell r="V285">
            <v>1.7094017094017033E-2</v>
          </cell>
          <cell r="W285">
            <v>-2.2900763358778664E-2</v>
          </cell>
          <cell r="X285">
            <v>3.4602076124568004E-3</v>
          </cell>
          <cell r="Y285">
            <v>1.0075566750629594E-2</v>
          </cell>
          <cell r="Z285">
            <v>3.2717904494055094E-3</v>
          </cell>
        </row>
        <row r="286">
          <cell r="A286" t="str">
            <v>14/03/2005</v>
          </cell>
          <cell r="B286">
            <v>22.9</v>
          </cell>
          <cell r="C286">
            <v>55.5</v>
          </cell>
          <cell r="D286">
            <v>105</v>
          </cell>
          <cell r="E286">
            <v>50</v>
          </cell>
          <cell r="F286">
            <v>14.6</v>
          </cell>
          <cell r="G286">
            <v>3.1</v>
          </cell>
          <cell r="H286">
            <v>10.6</v>
          </cell>
          <cell r="I286">
            <v>58.75</v>
          </cell>
          <cell r="J286">
            <v>128.5</v>
          </cell>
          <cell r="K286">
            <v>143.5</v>
          </cell>
          <cell r="L286">
            <v>19.95</v>
          </cell>
          <cell r="M286">
            <v>13906.85</v>
          </cell>
          <cell r="O286">
            <v>-2.9661016949152685E-2</v>
          </cell>
          <cell r="P286">
            <v>-6.3291139240506333E-2</v>
          </cell>
          <cell r="Q286">
            <v>-9.4339622641509413E-3</v>
          </cell>
          <cell r="R286">
            <v>-5.6603773584905648E-2</v>
          </cell>
          <cell r="S286">
            <v>3.4364261168384758E-3</v>
          </cell>
          <cell r="T286">
            <v>-4.6153846153846101E-2</v>
          </cell>
          <cell r="U286">
            <v>-3.1963470319634646E-2</v>
          </cell>
          <cell r="V286">
            <v>4.2735042735042583E-3</v>
          </cell>
          <cell r="W286">
            <v>-1.9083969465648831E-2</v>
          </cell>
          <cell r="X286">
            <v>-6.9204152249134898E-3</v>
          </cell>
          <cell r="Y286">
            <v>5.0377833753147971E-3</v>
          </cell>
          <cell r="Z286">
            <v>4.4216117287549928E-3</v>
          </cell>
        </row>
        <row r="287">
          <cell r="A287" t="str">
            <v>15/03/2005</v>
          </cell>
          <cell r="B287">
            <v>22.8</v>
          </cell>
          <cell r="C287">
            <v>55</v>
          </cell>
          <cell r="D287">
            <v>105</v>
          </cell>
          <cell r="E287">
            <v>49.9</v>
          </cell>
          <cell r="F287">
            <v>14.55</v>
          </cell>
          <cell r="G287">
            <v>3.0750000000000002</v>
          </cell>
          <cell r="H287">
            <v>10.65</v>
          </cell>
          <cell r="I287">
            <v>58.75</v>
          </cell>
          <cell r="J287">
            <v>128</v>
          </cell>
          <cell r="K287">
            <v>143</v>
          </cell>
          <cell r="L287">
            <v>19.850000000000001</v>
          </cell>
          <cell r="M287">
            <v>13816.75</v>
          </cell>
          <cell r="O287">
            <v>-4.2016806722689037E-2</v>
          </cell>
          <cell r="P287">
            <v>-6.7796610169491567E-2</v>
          </cell>
          <cell r="Q287">
            <v>-1.8691588785046731E-2</v>
          </cell>
          <cell r="R287">
            <v>-4.9523809523809526E-2</v>
          </cell>
          <cell r="S287">
            <v>-6.8259385665528916E-3</v>
          </cell>
          <cell r="T287">
            <v>-5.3846153846153766E-2</v>
          </cell>
          <cell r="U287">
            <v>-2.739726027397249E-2</v>
          </cell>
          <cell r="V287">
            <v>0</v>
          </cell>
          <cell r="W287">
            <v>-3.3962264150943389E-2</v>
          </cell>
          <cell r="X287">
            <v>-3.703703703703709E-2</v>
          </cell>
          <cell r="Y287">
            <v>-7.4999999999999512E-3</v>
          </cell>
          <cell r="Z287">
            <v>-1.4302397834664915E-2</v>
          </cell>
        </row>
        <row r="288">
          <cell r="A288" t="str">
            <v>16/03/2005</v>
          </cell>
          <cell r="B288">
            <v>22.95</v>
          </cell>
          <cell r="C288">
            <v>54.75</v>
          </cell>
          <cell r="D288">
            <v>105</v>
          </cell>
          <cell r="E288">
            <v>51</v>
          </cell>
          <cell r="F288">
            <v>14.65</v>
          </cell>
          <cell r="G288">
            <v>3.125</v>
          </cell>
          <cell r="H288">
            <v>10.75</v>
          </cell>
          <cell r="I288">
            <v>59</v>
          </cell>
          <cell r="J288">
            <v>126</v>
          </cell>
          <cell r="K288">
            <v>142.5</v>
          </cell>
          <cell r="L288">
            <v>19.899999999999999</v>
          </cell>
          <cell r="M288">
            <v>13832.52</v>
          </cell>
          <cell r="O288">
            <v>-2.754237288135597E-2</v>
          </cell>
          <cell r="P288">
            <v>-3.524229074889873E-2</v>
          </cell>
          <cell r="Q288">
            <v>-9.4339622641509413E-3</v>
          </cell>
          <cell r="R288">
            <v>0</v>
          </cell>
          <cell r="S288">
            <v>3.4246575342467001E-3</v>
          </cell>
          <cell r="T288">
            <v>-3.1007751937984551E-2</v>
          </cell>
          <cell r="U288">
            <v>-4.6296296296296502E-3</v>
          </cell>
          <cell r="V288">
            <v>-1.2552301255230103E-2</v>
          </cell>
          <cell r="W288">
            <v>-4.9056603773584895E-2</v>
          </cell>
          <cell r="X288">
            <v>-4.6822742474916357E-2</v>
          </cell>
          <cell r="Y288">
            <v>-5.0000000000001155E-3</v>
          </cell>
          <cell r="Z288">
            <v>-1.1668475538785472E-2</v>
          </cell>
        </row>
        <row r="289">
          <cell r="A289" t="str">
            <v>17/03/2005</v>
          </cell>
          <cell r="B289">
            <v>22.85</v>
          </cell>
          <cell r="C289">
            <v>52.5</v>
          </cell>
          <cell r="D289">
            <v>104.5</v>
          </cell>
          <cell r="E289">
            <v>49.8</v>
          </cell>
          <cell r="F289">
            <v>14.65</v>
          </cell>
          <cell r="G289">
            <v>3.0750000000000002</v>
          </cell>
          <cell r="H289">
            <v>10.65</v>
          </cell>
          <cell r="I289">
            <v>58.5</v>
          </cell>
          <cell r="J289">
            <v>126</v>
          </cell>
          <cell r="K289">
            <v>141</v>
          </cell>
          <cell r="L289">
            <v>19.899999999999999</v>
          </cell>
          <cell r="M289">
            <v>13817.99</v>
          </cell>
          <cell r="O289">
            <v>-3.3826638477801096E-2</v>
          </cell>
          <cell r="P289">
            <v>-9.8712446351931327E-2</v>
          </cell>
          <cell r="Q289">
            <v>-1.4150943396226467E-2</v>
          </cell>
          <cell r="R289">
            <v>-4.2307692307692379E-2</v>
          </cell>
          <cell r="S289">
            <v>0</v>
          </cell>
          <cell r="T289">
            <v>-4.6511627906976716E-2</v>
          </cell>
          <cell r="U289">
            <v>-1.8433179723502224E-2</v>
          </cell>
          <cell r="V289">
            <v>-1.2658227848101222E-2</v>
          </cell>
          <cell r="W289">
            <v>-5.2631578947368474E-2</v>
          </cell>
          <cell r="X289">
            <v>-3.7542662116040959E-2</v>
          </cell>
          <cell r="Y289">
            <v>0</v>
          </cell>
          <cell r="Z289">
            <v>-1.4091551561879023E-2</v>
          </cell>
        </row>
        <row r="290">
          <cell r="A290" t="str">
            <v>18/03/2005</v>
          </cell>
          <cell r="B290">
            <v>22.8</v>
          </cell>
          <cell r="C290">
            <v>52.5</v>
          </cell>
          <cell r="D290">
            <v>104.5</v>
          </cell>
          <cell r="E290">
            <v>49.3</v>
          </cell>
          <cell r="F290">
            <v>14.55</v>
          </cell>
          <cell r="G290">
            <v>3.0249999999999999</v>
          </cell>
          <cell r="H290">
            <v>10.65</v>
          </cell>
          <cell r="I290">
            <v>58.5</v>
          </cell>
          <cell r="J290">
            <v>126</v>
          </cell>
          <cell r="K290">
            <v>140</v>
          </cell>
          <cell r="L290">
            <v>19.850000000000001</v>
          </cell>
          <cell r="M290">
            <v>13828.37</v>
          </cell>
          <cell r="O290">
            <v>-2.9787234042553123E-2</v>
          </cell>
          <cell r="P290">
            <v>-0.11392405063291144</v>
          </cell>
          <cell r="Q290">
            <v>-9.4786729857819774E-3</v>
          </cell>
          <cell r="R290">
            <v>-3.3333333333333437E-2</v>
          </cell>
          <cell r="S290">
            <v>-6.8259385665528916E-3</v>
          </cell>
          <cell r="T290">
            <v>-6.2015503875968991E-2</v>
          </cell>
          <cell r="U290">
            <v>-2.2935779816513735E-2</v>
          </cell>
          <cell r="V290">
            <v>-1.2658227848101222E-2</v>
          </cell>
          <cell r="W290">
            <v>-5.2631578947368474E-2</v>
          </cell>
          <cell r="X290">
            <v>-4.1095890410958957E-2</v>
          </cell>
          <cell r="Y290">
            <v>0</v>
          </cell>
          <cell r="Z290">
            <v>-9.9836624469673563E-3</v>
          </cell>
        </row>
        <row r="291">
          <cell r="A291" t="str">
            <v>21/03/2005</v>
          </cell>
          <cell r="B291">
            <v>22.85</v>
          </cell>
          <cell r="C291">
            <v>51.75</v>
          </cell>
          <cell r="D291">
            <v>105</v>
          </cell>
          <cell r="E291">
            <v>48.8</v>
          </cell>
          <cell r="F291">
            <v>14.55</v>
          </cell>
          <cell r="G291">
            <v>3</v>
          </cell>
          <cell r="H291">
            <v>10.65</v>
          </cell>
          <cell r="I291">
            <v>58.5</v>
          </cell>
          <cell r="J291">
            <v>125.5</v>
          </cell>
          <cell r="K291">
            <v>140</v>
          </cell>
          <cell r="L291">
            <v>19.850000000000001</v>
          </cell>
          <cell r="M291">
            <v>13834.35</v>
          </cell>
          <cell r="O291">
            <v>-3.5864978902953482E-2</v>
          </cell>
          <cell r="P291">
            <v>-0.12658227848101267</v>
          </cell>
          <cell r="Q291">
            <v>-1.4084507042253502E-2</v>
          </cell>
          <cell r="R291">
            <v>-4.3137254901960853E-2</v>
          </cell>
          <cell r="S291">
            <v>-1.3559322033898202E-2</v>
          </cell>
          <cell r="T291">
            <v>-6.25E-2</v>
          </cell>
          <cell r="U291">
            <v>-1.8433179723502224E-2</v>
          </cell>
          <cell r="V291">
            <v>-1.2658227848101222E-2</v>
          </cell>
          <cell r="W291">
            <v>-5.9925093632958837E-2</v>
          </cell>
          <cell r="X291">
            <v>-3.7800687285223344E-2</v>
          </cell>
          <cell r="Y291">
            <v>-1.2437810945273631E-2</v>
          </cell>
          <cell r="Z291">
            <v>-1.7995623185052101E-2</v>
          </cell>
        </row>
        <row r="292">
          <cell r="A292" t="str">
            <v>22/03/2005</v>
          </cell>
          <cell r="B292">
            <v>22.8</v>
          </cell>
          <cell r="C292">
            <v>51.25</v>
          </cell>
          <cell r="D292">
            <v>104</v>
          </cell>
          <cell r="E292">
            <v>47.3</v>
          </cell>
          <cell r="F292">
            <v>14.55</v>
          </cell>
          <cell r="G292">
            <v>2.9249999999999998</v>
          </cell>
          <cell r="H292">
            <v>10.6</v>
          </cell>
          <cell r="I292">
            <v>58.25</v>
          </cell>
          <cell r="J292">
            <v>125.5</v>
          </cell>
          <cell r="K292">
            <v>138.5</v>
          </cell>
          <cell r="L292">
            <v>19.7</v>
          </cell>
          <cell r="M292">
            <v>13776.47</v>
          </cell>
          <cell r="O292">
            <v>-3.7974683544303778E-2</v>
          </cell>
          <cell r="P292">
            <v>-0.10869565217391308</v>
          </cell>
          <cell r="Q292">
            <v>-2.8037383177570097E-2</v>
          </cell>
          <cell r="R292">
            <v>-6.3366336633663423E-2</v>
          </cell>
          <cell r="S292">
            <v>-1.0204081632652962E-2</v>
          </cell>
          <cell r="T292">
            <v>-9.3023255813953543E-2</v>
          </cell>
          <cell r="U292">
            <v>-9.3457943925233655E-3</v>
          </cell>
          <cell r="V292">
            <v>-1.2711864406779627E-2</v>
          </cell>
          <cell r="W292">
            <v>-5.6390977443608992E-2</v>
          </cell>
          <cell r="X292">
            <v>-6.7340067340067367E-2</v>
          </cell>
          <cell r="Y292">
            <v>-1.253132832080206E-2</v>
          </cell>
          <cell r="Z292">
            <v>-2.2288034792186551E-2</v>
          </cell>
        </row>
        <row r="293">
          <cell r="A293" t="str">
            <v>23/03/2005</v>
          </cell>
          <cell r="B293">
            <v>22.6</v>
          </cell>
          <cell r="C293">
            <v>50.5</v>
          </cell>
          <cell r="D293">
            <v>104</v>
          </cell>
          <cell r="E293">
            <v>46.5</v>
          </cell>
          <cell r="F293">
            <v>14.4</v>
          </cell>
          <cell r="G293">
            <v>2.9249999999999998</v>
          </cell>
          <cell r="H293">
            <v>10.55</v>
          </cell>
          <cell r="I293">
            <v>57.5</v>
          </cell>
          <cell r="J293">
            <v>124</v>
          </cell>
          <cell r="K293">
            <v>136.5</v>
          </cell>
          <cell r="L293">
            <v>19.5</v>
          </cell>
          <cell r="M293">
            <v>13603.61</v>
          </cell>
          <cell r="O293">
            <v>-4.842105263157892E-2</v>
          </cell>
          <cell r="P293">
            <v>-0.1404255319148936</v>
          </cell>
          <cell r="Q293">
            <v>-2.3474178403755874E-2</v>
          </cell>
          <cell r="R293">
            <v>-7.9207920792079167E-2</v>
          </cell>
          <cell r="S293">
            <v>-1.7064846416382284E-2</v>
          </cell>
          <cell r="T293">
            <v>-7.8740157480314932E-2</v>
          </cell>
          <cell r="U293">
            <v>-9.3896713615022609E-3</v>
          </cell>
          <cell r="V293">
            <v>-3.3613445378151252E-2</v>
          </cell>
          <cell r="W293">
            <v>-6.0606060606060552E-2</v>
          </cell>
          <cell r="X293">
            <v>-5.5363321799307919E-2</v>
          </cell>
          <cell r="Y293">
            <v>-2.010050251256279E-2</v>
          </cell>
          <cell r="Z293">
            <v>-2.5385551162994013E-2</v>
          </cell>
        </row>
        <row r="294">
          <cell r="A294" t="str">
            <v>24/03/2005</v>
          </cell>
          <cell r="B294">
            <v>22.65</v>
          </cell>
          <cell r="C294">
            <v>50.75</v>
          </cell>
          <cell r="D294">
            <v>104</v>
          </cell>
          <cell r="E294">
            <v>46.6</v>
          </cell>
          <cell r="F294">
            <v>14.45</v>
          </cell>
          <cell r="G294">
            <v>2.95</v>
          </cell>
          <cell r="H294">
            <v>10.6</v>
          </cell>
          <cell r="I294">
            <v>57.75</v>
          </cell>
          <cell r="J294">
            <v>124</v>
          </cell>
          <cell r="K294">
            <v>136</v>
          </cell>
          <cell r="L294">
            <v>19.899999999999999</v>
          </cell>
          <cell r="M294">
            <v>13597.1</v>
          </cell>
          <cell r="O294">
            <v>-4.8319327731092487E-2</v>
          </cell>
          <cell r="P294">
            <v>-0.13247863247863245</v>
          </cell>
          <cell r="Q294">
            <v>-1.8867924528301883E-2</v>
          </cell>
          <cell r="R294">
            <v>-8.1773399014778314E-2</v>
          </cell>
          <cell r="S294">
            <v>-1.7006802721088454E-2</v>
          </cell>
          <cell r="T294">
            <v>-7.8125E-2</v>
          </cell>
          <cell r="U294">
            <v>-9.3457943925233655E-3</v>
          </cell>
          <cell r="V294">
            <v>-4.5454545454545414E-2</v>
          </cell>
          <cell r="W294">
            <v>-6.7669172932330879E-2</v>
          </cell>
          <cell r="X294">
            <v>-4.8951048951048959E-2</v>
          </cell>
          <cell r="Y294">
            <v>-5.0000000000001155E-3</v>
          </cell>
          <cell r="Z294">
            <v>-3.2985774035962034E-2</v>
          </cell>
        </row>
        <row r="295">
          <cell r="A295" t="str">
            <v>28/03/2005</v>
          </cell>
          <cell r="B295">
            <v>22.65</v>
          </cell>
          <cell r="C295">
            <v>50.75</v>
          </cell>
          <cell r="D295">
            <v>104</v>
          </cell>
          <cell r="E295">
            <v>46.6</v>
          </cell>
          <cell r="F295">
            <v>14.45</v>
          </cell>
          <cell r="G295">
            <v>2.95</v>
          </cell>
          <cell r="H295">
            <v>10.6</v>
          </cell>
          <cell r="I295">
            <v>57.75</v>
          </cell>
          <cell r="J295">
            <v>124</v>
          </cell>
          <cell r="K295">
            <v>136</v>
          </cell>
          <cell r="L295">
            <v>19.899999999999999</v>
          </cell>
          <cell r="M295">
            <v>13597.1</v>
          </cell>
          <cell r="O295">
            <v>-4.4303797468354444E-2</v>
          </cell>
          <cell r="P295">
            <v>-0.125</v>
          </cell>
          <cell r="Q295">
            <v>-2.8037383177570097E-2</v>
          </cell>
          <cell r="R295">
            <v>-8.6274509803921595E-2</v>
          </cell>
          <cell r="S295">
            <v>-2.3648648648648796E-2</v>
          </cell>
          <cell r="T295">
            <v>-7.8125E-2</v>
          </cell>
          <cell r="U295">
            <v>-2.3041474654377891E-2</v>
          </cell>
          <cell r="V295">
            <v>-4.9382716049382713E-2</v>
          </cell>
          <cell r="W295">
            <v>-6.7669172932330879E-2</v>
          </cell>
          <cell r="X295">
            <v>-4.5614035087719329E-2</v>
          </cell>
          <cell r="Y295">
            <v>-1.4851485148514865E-2</v>
          </cell>
          <cell r="Z295">
            <v>-3.9555445363418595E-2</v>
          </cell>
        </row>
        <row r="296">
          <cell r="A296" t="str">
            <v>29/03/2005</v>
          </cell>
          <cell r="B296">
            <v>22.5</v>
          </cell>
          <cell r="C296">
            <v>50.75</v>
          </cell>
          <cell r="D296">
            <v>103</v>
          </cell>
          <cell r="E296">
            <v>47.5</v>
          </cell>
          <cell r="F296">
            <v>14.35</v>
          </cell>
          <cell r="G296">
            <v>2.9</v>
          </cell>
          <cell r="H296">
            <v>10.5</v>
          </cell>
          <cell r="I296">
            <v>57.5</v>
          </cell>
          <cell r="J296">
            <v>122.5</v>
          </cell>
          <cell r="K296">
            <v>137</v>
          </cell>
          <cell r="L296">
            <v>19.95</v>
          </cell>
          <cell r="M296">
            <v>13411.88</v>
          </cell>
          <cell r="O296">
            <v>-5.2631578947368474E-2</v>
          </cell>
          <cell r="P296">
            <v>-0.13983050847457623</v>
          </cell>
          <cell r="Q296">
            <v>-3.2863849765258246E-2</v>
          </cell>
          <cell r="R296">
            <v>-9.0909090909090939E-2</v>
          </cell>
          <cell r="S296">
            <v>-3.3670033670033628E-2</v>
          </cell>
          <cell r="T296">
            <v>-0.10769230769230775</v>
          </cell>
          <cell r="U296">
            <v>-3.2258064516129004E-2</v>
          </cell>
          <cell r="V296">
            <v>-5.7377049180327822E-2</v>
          </cell>
          <cell r="W296">
            <v>-8.2397003745318331E-2</v>
          </cell>
          <cell r="X296">
            <v>-3.8596491228070184E-2</v>
          </cell>
          <cell r="Y296">
            <v>5.0377833753147971E-3</v>
          </cell>
          <cell r="Z296">
            <v>-5.5192017104192637E-2</v>
          </cell>
        </row>
        <row r="297">
          <cell r="A297" t="str">
            <v>30/03/2005</v>
          </cell>
          <cell r="B297">
            <v>22.4</v>
          </cell>
          <cell r="C297">
            <v>50.5</v>
          </cell>
          <cell r="D297">
            <v>103</v>
          </cell>
          <cell r="E297">
            <v>47.6</v>
          </cell>
          <cell r="F297">
            <v>14.35</v>
          </cell>
          <cell r="G297">
            <v>2.9249999999999998</v>
          </cell>
          <cell r="H297">
            <v>10.45</v>
          </cell>
          <cell r="I297">
            <v>57.25</v>
          </cell>
          <cell r="J297">
            <v>123</v>
          </cell>
          <cell r="K297">
            <v>139.5</v>
          </cell>
          <cell r="L297">
            <v>20.05</v>
          </cell>
          <cell r="M297">
            <v>13425.75</v>
          </cell>
          <cell r="O297">
            <v>-5.4852320675105481E-2</v>
          </cell>
          <cell r="P297">
            <v>-0.15126050420168069</v>
          </cell>
          <cell r="Q297">
            <v>-3.2863849765258246E-2</v>
          </cell>
          <cell r="R297">
            <v>-8.8995215311004738E-2</v>
          </cell>
          <cell r="S297">
            <v>-3.0405405405405483E-2</v>
          </cell>
          <cell r="T297">
            <v>-8.5937500000000111E-2</v>
          </cell>
          <cell r="U297">
            <v>-2.7906976744186074E-2</v>
          </cell>
          <cell r="V297">
            <v>-6.9105691056910556E-2</v>
          </cell>
          <cell r="W297">
            <v>-5.7471264367816133E-2</v>
          </cell>
          <cell r="X297">
            <v>-1.0638297872340385E-2</v>
          </cell>
          <cell r="Y297">
            <v>2.4999999999999467E-3</v>
          </cell>
          <cell r="Z297">
            <v>-4.5188338080455748E-2</v>
          </cell>
        </row>
        <row r="298">
          <cell r="A298" t="str">
            <v>31/03/2005</v>
          </cell>
          <cell r="B298">
            <v>22.45</v>
          </cell>
          <cell r="C298">
            <v>49.7</v>
          </cell>
          <cell r="D298">
            <v>103.5</v>
          </cell>
          <cell r="E298">
            <v>47.5</v>
          </cell>
          <cell r="F298">
            <v>14.35</v>
          </cell>
          <cell r="G298">
            <v>3</v>
          </cell>
          <cell r="H298">
            <v>10.5</v>
          </cell>
          <cell r="I298">
            <v>57.75</v>
          </cell>
          <cell r="J298">
            <v>124</v>
          </cell>
          <cell r="K298">
            <v>140</v>
          </cell>
          <cell r="L298">
            <v>20.149999999999999</v>
          </cell>
          <cell r="M298">
            <v>13516.88</v>
          </cell>
          <cell r="O298">
            <v>-4.6709129511677383E-2</v>
          </cell>
          <cell r="P298">
            <v>-0.15042735042735034</v>
          </cell>
          <cell r="Q298">
            <v>-2.8169014084507005E-2</v>
          </cell>
          <cell r="R298">
            <v>-8.6538461538461564E-2</v>
          </cell>
          <cell r="S298">
            <v>-2.0477815699658786E-2</v>
          </cell>
          <cell r="T298">
            <v>-5.5118110236220375E-2</v>
          </cell>
          <cell r="U298">
            <v>-2.3255813953488413E-2</v>
          </cell>
          <cell r="V298">
            <v>-5.3278688524590168E-2</v>
          </cell>
          <cell r="W298">
            <v>-3.5019455252918275E-2</v>
          </cell>
          <cell r="X298">
            <v>-2.0979020979020935E-2</v>
          </cell>
          <cell r="Y298">
            <v>1.7676767676767513E-2</v>
          </cell>
          <cell r="Z298">
            <v>-2.4106945601619634E-2</v>
          </cell>
        </row>
        <row r="299">
          <cell r="A299" t="str">
            <v>01/04/2005</v>
          </cell>
          <cell r="B299">
            <v>22.65</v>
          </cell>
          <cell r="C299">
            <v>50.25</v>
          </cell>
          <cell r="D299">
            <v>103.5</v>
          </cell>
          <cell r="E299">
            <v>47.6</v>
          </cell>
          <cell r="F299">
            <v>14.35</v>
          </cell>
          <cell r="G299">
            <v>3.0249999999999999</v>
          </cell>
          <cell r="H299">
            <v>10.6</v>
          </cell>
          <cell r="I299">
            <v>57.75</v>
          </cell>
          <cell r="J299">
            <v>123.5</v>
          </cell>
          <cell r="K299">
            <v>139.5</v>
          </cell>
          <cell r="L299">
            <v>20.2</v>
          </cell>
          <cell r="M299">
            <v>13491.35</v>
          </cell>
          <cell r="O299">
            <v>-4.228329809725162E-2</v>
          </cell>
          <cell r="P299">
            <v>-0.11453744493392071</v>
          </cell>
          <cell r="Q299">
            <v>-2.8169014084507005E-2</v>
          </cell>
          <cell r="R299">
            <v>-6.6666666666666652E-2</v>
          </cell>
          <cell r="S299">
            <v>-2.3809523809523836E-2</v>
          </cell>
          <cell r="T299">
            <v>-4.7244094488189003E-2</v>
          </cell>
          <cell r="U299">
            <v>-1.3953488372093092E-2</v>
          </cell>
          <cell r="V299">
            <v>-5.3278688524590168E-2</v>
          </cell>
          <cell r="W299">
            <v>-4.2635658914728647E-2</v>
          </cell>
          <cell r="X299">
            <v>-1.7605633802816878E-2</v>
          </cell>
          <cell r="Y299">
            <v>1.5075376884422065E-2</v>
          </cell>
          <cell r="Z299">
            <v>-2.8866204974385301E-2</v>
          </cell>
        </row>
        <row r="300">
          <cell r="A300" t="str">
            <v>04/04/2005</v>
          </cell>
          <cell r="B300">
            <v>22.6</v>
          </cell>
          <cell r="C300">
            <v>50.5</v>
          </cell>
          <cell r="D300">
            <v>103.5</v>
          </cell>
          <cell r="E300">
            <v>48</v>
          </cell>
          <cell r="F300">
            <v>14.35</v>
          </cell>
          <cell r="G300">
            <v>3.0249999999999999</v>
          </cell>
          <cell r="H300">
            <v>10.15</v>
          </cell>
          <cell r="I300">
            <v>57.75</v>
          </cell>
          <cell r="J300">
            <v>123</v>
          </cell>
          <cell r="K300">
            <v>138.5</v>
          </cell>
          <cell r="L300">
            <v>19.649999999999999</v>
          </cell>
          <cell r="M300">
            <v>13513.41</v>
          </cell>
          <cell r="O300">
            <v>-4.2372881355932202E-2</v>
          </cell>
          <cell r="P300">
            <v>-9.0090090090090058E-2</v>
          </cell>
          <cell r="Q300">
            <v>-1.8957345971563955E-2</v>
          </cell>
          <cell r="R300">
            <v>-4.9504950495049549E-2</v>
          </cell>
          <cell r="S300">
            <v>-1.0344827586206917E-2</v>
          </cell>
          <cell r="T300">
            <v>-3.2000000000000028E-2</v>
          </cell>
          <cell r="U300">
            <v>-4.245283018867918E-2</v>
          </cell>
          <cell r="V300">
            <v>-4.5454545454545414E-2</v>
          </cell>
          <cell r="W300">
            <v>-3.90625E-2</v>
          </cell>
          <cell r="X300">
            <v>-3.4843205574912939E-2</v>
          </cell>
          <cell r="Y300">
            <v>-5.0632911392405333E-3</v>
          </cell>
          <cell r="Z300">
            <v>-1.5830855930981436E-2</v>
          </cell>
        </row>
        <row r="301">
          <cell r="A301" t="str">
            <v>05/04/2005</v>
          </cell>
          <cell r="B301">
            <v>22.6</v>
          </cell>
          <cell r="C301">
            <v>50.5</v>
          </cell>
          <cell r="D301">
            <v>103.5</v>
          </cell>
          <cell r="E301">
            <v>48</v>
          </cell>
          <cell r="F301">
            <v>14.35</v>
          </cell>
          <cell r="G301">
            <v>3.0249999999999999</v>
          </cell>
          <cell r="H301">
            <v>10.15</v>
          </cell>
          <cell r="I301">
            <v>57.75</v>
          </cell>
          <cell r="J301">
            <v>123</v>
          </cell>
          <cell r="K301">
            <v>138.5</v>
          </cell>
          <cell r="L301">
            <v>19.649999999999999</v>
          </cell>
          <cell r="M301">
            <v>13513.41</v>
          </cell>
          <cell r="O301">
            <v>-4.842105263157892E-2</v>
          </cell>
          <cell r="P301">
            <v>-8.5972850678733059E-2</v>
          </cell>
          <cell r="Q301">
            <v>-1.8957345971563955E-2</v>
          </cell>
          <cell r="R301">
            <v>-5.8823529411764719E-2</v>
          </cell>
          <cell r="S301">
            <v>-1.3745704467354014E-2</v>
          </cell>
          <cell r="T301">
            <v>-2.4193548387096864E-2</v>
          </cell>
          <cell r="U301">
            <v>-6.018518518518523E-2</v>
          </cell>
          <cell r="V301">
            <v>-4.5454545454545414E-2</v>
          </cell>
          <cell r="W301">
            <v>-4.2801556420233422E-2</v>
          </cell>
          <cell r="X301">
            <v>-4.1522491349480939E-2</v>
          </cell>
          <cell r="Y301">
            <v>-1.2562814070351758E-2</v>
          </cell>
          <cell r="Z301">
            <v>-1.8772940651106129E-2</v>
          </cell>
        </row>
        <row r="302">
          <cell r="A302" t="str">
            <v>06/04/2005</v>
          </cell>
          <cell r="B302">
            <v>22.6</v>
          </cell>
          <cell r="C302">
            <v>52</v>
          </cell>
          <cell r="D302">
            <v>103</v>
          </cell>
          <cell r="E302">
            <v>48.7</v>
          </cell>
          <cell r="F302">
            <v>14.25</v>
          </cell>
          <cell r="G302">
            <v>3.0249999999999999</v>
          </cell>
          <cell r="H302">
            <v>10.050000000000001</v>
          </cell>
          <cell r="I302">
            <v>58</v>
          </cell>
          <cell r="J302">
            <v>123</v>
          </cell>
          <cell r="K302">
            <v>141</v>
          </cell>
          <cell r="L302">
            <v>19.600000000000001</v>
          </cell>
          <cell r="M302">
            <v>13562.26</v>
          </cell>
          <cell r="O302">
            <v>-4.842105263157892E-2</v>
          </cell>
          <cell r="P302">
            <v>-7.1428571428571397E-2</v>
          </cell>
          <cell r="Q302">
            <v>-2.8301886792452824E-2</v>
          </cell>
          <cell r="R302">
            <v>-3.5643564356435564E-2</v>
          </cell>
          <cell r="S302">
            <v>-2.0618556701030966E-2</v>
          </cell>
          <cell r="T302">
            <v>-3.2000000000000028E-2</v>
          </cell>
          <cell r="U302">
            <v>-6.5116279069767358E-2</v>
          </cell>
          <cell r="V302">
            <v>-3.7344398340248941E-2</v>
          </cell>
          <cell r="W302">
            <v>-4.6511627906976716E-2</v>
          </cell>
          <cell r="X302">
            <v>-2.083333333333337E-2</v>
          </cell>
          <cell r="Y302">
            <v>-1.7543859649122751E-2</v>
          </cell>
          <cell r="Z302">
            <v>-2.3012294594830118E-2</v>
          </cell>
        </row>
        <row r="303">
          <cell r="A303" t="str">
            <v>07/04/2005</v>
          </cell>
          <cell r="B303">
            <v>22.65</v>
          </cell>
          <cell r="C303">
            <v>53.25</v>
          </cell>
          <cell r="D303">
            <v>103.5</v>
          </cell>
          <cell r="E303">
            <v>49.4</v>
          </cell>
          <cell r="F303">
            <v>14.25</v>
          </cell>
          <cell r="G303">
            <v>3</v>
          </cell>
          <cell r="H303">
            <v>9.9499999999999993</v>
          </cell>
          <cell r="I303">
            <v>58.5</v>
          </cell>
          <cell r="J303">
            <v>123.5</v>
          </cell>
          <cell r="K303">
            <v>141.5</v>
          </cell>
          <cell r="L303">
            <v>19.7</v>
          </cell>
          <cell r="M303">
            <v>13602.35</v>
          </cell>
          <cell r="O303">
            <v>-5.2301255230125521E-2</v>
          </cell>
          <cell r="P303">
            <v>-4.9107142857142905E-2</v>
          </cell>
          <cell r="Q303">
            <v>-3.2710280373831724E-2</v>
          </cell>
          <cell r="R303">
            <v>-2.6600985221674867E-2</v>
          </cell>
          <cell r="S303">
            <v>-2.7303754266211677E-2</v>
          </cell>
          <cell r="T303">
            <v>-4.7619047619047561E-2</v>
          </cell>
          <cell r="U303">
            <v>-7.8703703703703831E-2</v>
          </cell>
          <cell r="V303">
            <v>-2.5000000000000022E-2</v>
          </cell>
          <cell r="W303">
            <v>-3.8910505836575848E-2</v>
          </cell>
          <cell r="X303">
            <v>-2.0761245674740469E-2</v>
          </cell>
          <cell r="Y303">
            <v>-2.2332506203473934E-2</v>
          </cell>
          <cell r="Z303">
            <v>-2.432455114130716E-2</v>
          </cell>
        </row>
        <row r="304">
          <cell r="A304" t="str">
            <v>08/04/2005</v>
          </cell>
          <cell r="B304">
            <v>22.65</v>
          </cell>
          <cell r="C304">
            <v>53.5</v>
          </cell>
          <cell r="D304">
            <v>104</v>
          </cell>
          <cell r="E304">
            <v>49.7</v>
          </cell>
          <cell r="F304">
            <v>14.35</v>
          </cell>
          <cell r="G304">
            <v>3.0249999999999999</v>
          </cell>
          <cell r="H304">
            <v>10.050000000000001</v>
          </cell>
          <cell r="I304">
            <v>59</v>
          </cell>
          <cell r="J304">
            <v>123.5</v>
          </cell>
          <cell r="K304">
            <v>141</v>
          </cell>
          <cell r="L304">
            <v>19.649999999999999</v>
          </cell>
          <cell r="M304">
            <v>13666.72</v>
          </cell>
          <cell r="O304">
            <v>-1.0917030567685559E-2</v>
          </cell>
          <cell r="P304">
            <v>-3.6036036036036001E-2</v>
          </cell>
          <cell r="Q304">
            <v>-2.8037383177570097E-2</v>
          </cell>
          <cell r="R304">
            <v>-1.5841584158415745E-2</v>
          </cell>
          <cell r="S304">
            <v>-1.7123287671232834E-2</v>
          </cell>
          <cell r="T304">
            <v>-3.2000000000000028E-2</v>
          </cell>
          <cell r="U304">
            <v>-6.5116279069767358E-2</v>
          </cell>
          <cell r="V304">
            <v>-1.6666666666666718E-2</v>
          </cell>
          <cell r="W304">
            <v>-3.8910505836575848E-2</v>
          </cell>
          <cell r="X304">
            <v>-3.0927835051546393E-2</v>
          </cell>
          <cell r="Y304">
            <v>-2.4813895781637729E-2</v>
          </cell>
          <cell r="Z304">
            <v>-1.3661931781276393E-2</v>
          </cell>
        </row>
        <row r="305">
          <cell r="A305" t="str">
            <v>11/04/2005</v>
          </cell>
          <cell r="B305">
            <v>22.65</v>
          </cell>
          <cell r="C305">
            <v>53</v>
          </cell>
          <cell r="D305">
            <v>104</v>
          </cell>
          <cell r="E305">
            <v>49.6</v>
          </cell>
          <cell r="F305">
            <v>14.35</v>
          </cell>
          <cell r="G305">
            <v>3.0249999999999999</v>
          </cell>
          <cell r="H305">
            <v>10</v>
          </cell>
          <cell r="I305">
            <v>59.25</v>
          </cell>
          <cell r="J305">
            <v>124</v>
          </cell>
          <cell r="K305">
            <v>142</v>
          </cell>
          <cell r="L305">
            <v>19.600000000000001</v>
          </cell>
          <cell r="M305">
            <v>13659.93</v>
          </cell>
          <cell r="O305">
            <v>-1.5217391304347849E-2</v>
          </cell>
          <cell r="P305">
            <v>-4.9327354260089717E-2</v>
          </cell>
          <cell r="Q305">
            <v>-2.8037383177570097E-2</v>
          </cell>
          <cell r="R305">
            <v>-6.0120240480960874E-3</v>
          </cell>
          <cell r="S305">
            <v>-1.7123287671232834E-2</v>
          </cell>
          <cell r="T305">
            <v>-3.9682539682539653E-2</v>
          </cell>
          <cell r="U305">
            <v>-6.5420560747663448E-2</v>
          </cell>
          <cell r="V305">
            <v>-4.2016806722688926E-3</v>
          </cell>
          <cell r="W305">
            <v>-3.125E-2</v>
          </cell>
          <cell r="X305">
            <v>-2.0689655172413834E-2</v>
          </cell>
          <cell r="Y305">
            <v>-2.2443890274314149E-2</v>
          </cell>
          <cell r="Z305">
            <v>-1.6629556120432487E-2</v>
          </cell>
        </row>
        <row r="306">
          <cell r="A306" t="str">
            <v>12/04/2005</v>
          </cell>
          <cell r="B306">
            <v>22.6</v>
          </cell>
          <cell r="C306">
            <v>53.5</v>
          </cell>
          <cell r="D306">
            <v>104</v>
          </cell>
          <cell r="E306">
            <v>49.8</v>
          </cell>
          <cell r="F306">
            <v>14.35</v>
          </cell>
          <cell r="G306">
            <v>3.0750000000000002</v>
          </cell>
          <cell r="H306">
            <v>9.9</v>
          </cell>
          <cell r="I306">
            <v>58.75</v>
          </cell>
          <cell r="J306">
            <v>124</v>
          </cell>
          <cell r="K306">
            <v>141.5</v>
          </cell>
          <cell r="L306">
            <v>19.5</v>
          </cell>
          <cell r="M306">
            <v>13658.05</v>
          </cell>
          <cell r="O306">
            <v>-1.3100436681222627E-2</v>
          </cell>
          <cell r="P306">
            <v>-3.6036036036036001E-2</v>
          </cell>
          <cell r="Q306">
            <v>-9.52380952380949E-3</v>
          </cell>
          <cell r="R306">
            <v>-4.0000000000000036E-3</v>
          </cell>
          <cell r="S306">
            <v>-1.7123287671232834E-2</v>
          </cell>
          <cell r="T306">
            <v>-8.0645161290322509E-3</v>
          </cell>
          <cell r="U306">
            <v>-6.6037735849056589E-2</v>
          </cell>
          <cell r="V306">
            <v>0</v>
          </cell>
          <cell r="W306">
            <v>-3.5019455252918275E-2</v>
          </cell>
          <cell r="X306">
            <v>-1.3937282229965153E-2</v>
          </cell>
          <cell r="Y306">
            <v>-2.2556390977443552E-2</v>
          </cell>
          <cell r="Z306">
            <v>-1.7890464051888211E-2</v>
          </cell>
        </row>
        <row r="307">
          <cell r="A307" t="str">
            <v>13/04/2005</v>
          </cell>
          <cell r="B307">
            <v>22.7</v>
          </cell>
          <cell r="C307">
            <v>53.25</v>
          </cell>
          <cell r="D307">
            <v>104.5</v>
          </cell>
          <cell r="E307">
            <v>49.9</v>
          </cell>
          <cell r="F307">
            <v>14.5</v>
          </cell>
          <cell r="G307">
            <v>3.05</v>
          </cell>
          <cell r="H307">
            <v>10</v>
          </cell>
          <cell r="I307">
            <v>56.5</v>
          </cell>
          <cell r="J307">
            <v>125</v>
          </cell>
          <cell r="K307">
            <v>143</v>
          </cell>
          <cell r="L307">
            <v>19.2</v>
          </cell>
          <cell r="M307">
            <v>13799.62</v>
          </cell>
          <cell r="O307">
            <v>-4.3859649122807154E-3</v>
          </cell>
          <cell r="P307">
            <v>-3.1818181818181857E-2</v>
          </cell>
          <cell r="Q307">
            <v>-4.761904761904745E-3</v>
          </cell>
          <cell r="R307">
            <v>0</v>
          </cell>
          <cell r="S307">
            <v>-3.4364261168385868E-3</v>
          </cell>
          <cell r="T307">
            <v>-8.1300813008131634E-3</v>
          </cell>
          <cell r="U307">
            <v>-6.1032863849765251E-2</v>
          </cell>
          <cell r="V307">
            <v>-3.8297872340425587E-2</v>
          </cell>
          <cell r="W307">
            <v>-2.34375E-2</v>
          </cell>
          <cell r="X307">
            <v>0</v>
          </cell>
          <cell r="Y307">
            <v>-3.2745591939546737E-2</v>
          </cell>
          <cell r="Z307">
            <v>-1.2397995187001243E-3</v>
          </cell>
        </row>
        <row r="308">
          <cell r="A308" t="str">
            <v>14/04/2005</v>
          </cell>
          <cell r="B308">
            <v>22.7</v>
          </cell>
          <cell r="C308">
            <v>52.5</v>
          </cell>
          <cell r="D308">
            <v>104.5</v>
          </cell>
          <cell r="E308">
            <v>48.2</v>
          </cell>
          <cell r="F308">
            <v>14.55</v>
          </cell>
          <cell r="G308">
            <v>3.0249999999999999</v>
          </cell>
          <cell r="H308">
            <v>9.9499999999999993</v>
          </cell>
          <cell r="I308">
            <v>56.5</v>
          </cell>
          <cell r="J308">
            <v>124.5</v>
          </cell>
          <cell r="K308">
            <v>141.5</v>
          </cell>
          <cell r="L308">
            <v>19.100000000000001</v>
          </cell>
          <cell r="M308">
            <v>13772.4</v>
          </cell>
          <cell r="O308">
            <v>-1.089324618736387E-2</v>
          </cell>
          <cell r="P308">
            <v>-4.1095890410958957E-2</v>
          </cell>
          <cell r="Q308">
            <v>-4.761904761904745E-3</v>
          </cell>
          <cell r="R308">
            <v>-5.4901960784313641E-2</v>
          </cell>
          <cell r="S308">
            <v>-6.8259385665528916E-3</v>
          </cell>
          <cell r="T308">
            <v>-3.2000000000000028E-2</v>
          </cell>
          <cell r="U308">
            <v>-7.4418604651162901E-2</v>
          </cell>
          <cell r="V308">
            <v>-4.2372881355932202E-2</v>
          </cell>
          <cell r="W308">
            <v>-1.1904761904761862E-2</v>
          </cell>
          <cell r="X308">
            <v>-7.0175438596491446E-3</v>
          </cell>
          <cell r="Y308">
            <v>-4.0201005025125469E-2</v>
          </cell>
          <cell r="Z308">
            <v>-4.3462796366823264E-3</v>
          </cell>
        </row>
        <row r="309">
          <cell r="A309" t="str">
            <v>15/04/2005</v>
          </cell>
          <cell r="B309">
            <v>22.7</v>
          </cell>
          <cell r="C309">
            <v>52</v>
          </cell>
          <cell r="D309">
            <v>103.5</v>
          </cell>
          <cell r="E309">
            <v>48.2</v>
          </cell>
          <cell r="F309">
            <v>14.4</v>
          </cell>
          <cell r="G309">
            <v>3</v>
          </cell>
          <cell r="H309">
            <v>9.9499999999999993</v>
          </cell>
          <cell r="I309">
            <v>56</v>
          </cell>
          <cell r="J309">
            <v>124</v>
          </cell>
          <cell r="K309">
            <v>140.5</v>
          </cell>
          <cell r="L309">
            <v>19.100000000000001</v>
          </cell>
          <cell r="M309">
            <v>13638.75</v>
          </cell>
          <cell r="O309">
            <v>-6.5645514223195978E-3</v>
          </cell>
          <cell r="P309">
            <v>-9.52380952380949E-3</v>
          </cell>
          <cell r="Q309">
            <v>-9.5693779904306719E-3</v>
          </cell>
          <cell r="R309">
            <v>-3.2128514056224744E-2</v>
          </cell>
          <cell r="S309">
            <v>-1.7064846416382284E-2</v>
          </cell>
          <cell r="T309">
            <v>-2.4390243902439046E-2</v>
          </cell>
          <cell r="U309">
            <v>-6.5727699530516492E-2</v>
          </cell>
          <cell r="V309">
            <v>-4.2735042735042694E-2</v>
          </cell>
          <cell r="W309">
            <v>-1.5873015873015928E-2</v>
          </cell>
          <cell r="X309">
            <v>-3.5460992907800915E-3</v>
          </cell>
          <cell r="Y309">
            <v>-4.0201005025125469E-2</v>
          </cell>
          <cell r="Z309">
            <v>-1.297149585431745E-2</v>
          </cell>
        </row>
        <row r="310">
          <cell r="A310" t="str">
            <v>18/04/2005</v>
          </cell>
          <cell r="B310">
            <v>22.45</v>
          </cell>
          <cell r="C310">
            <v>51.25</v>
          </cell>
          <cell r="D310">
            <v>102.5</v>
          </cell>
          <cell r="E310">
            <v>47.5</v>
          </cell>
          <cell r="F310">
            <v>14.15</v>
          </cell>
          <cell r="G310">
            <v>2.95</v>
          </cell>
          <cell r="H310">
            <v>9.75</v>
          </cell>
          <cell r="I310">
            <v>56</v>
          </cell>
          <cell r="J310">
            <v>122.5</v>
          </cell>
          <cell r="K310">
            <v>137.5</v>
          </cell>
          <cell r="L310">
            <v>18.850000000000001</v>
          </cell>
          <cell r="M310">
            <v>13355.23</v>
          </cell>
          <cell r="O310">
            <v>-1.5350877192982559E-2</v>
          </cell>
          <cell r="P310">
            <v>-2.3809523809523836E-2</v>
          </cell>
          <cell r="Q310">
            <v>-1.9138755980861233E-2</v>
          </cell>
          <cell r="R310">
            <v>-3.6511156186612492E-2</v>
          </cell>
          <cell r="S310">
            <v>-2.7491408934707917E-2</v>
          </cell>
          <cell r="T310">
            <v>-2.4793388429751984E-2</v>
          </cell>
          <cell r="U310">
            <v>-8.4507042253521125E-2</v>
          </cell>
          <cell r="V310">
            <v>-4.2735042735042694E-2</v>
          </cell>
          <cell r="W310">
            <v>-2.777777777777779E-2</v>
          </cell>
          <cell r="X310">
            <v>-1.7857142857142905E-2</v>
          </cell>
          <cell r="Y310">
            <v>-5.0377833753148638E-2</v>
          </cell>
          <cell r="Z310">
            <v>-3.4215167803580693E-2</v>
          </cell>
        </row>
        <row r="311">
          <cell r="A311" t="str">
            <v>19/04/2005</v>
          </cell>
          <cell r="B311">
            <v>22.45</v>
          </cell>
          <cell r="C311">
            <v>51.75</v>
          </cell>
          <cell r="D311">
            <v>102.5</v>
          </cell>
          <cell r="E311">
            <v>48.1</v>
          </cell>
          <cell r="F311">
            <v>14.3</v>
          </cell>
          <cell r="G311">
            <v>3</v>
          </cell>
          <cell r="H311">
            <v>9.65</v>
          </cell>
          <cell r="I311">
            <v>56.25</v>
          </cell>
          <cell r="J311">
            <v>123</v>
          </cell>
          <cell r="K311">
            <v>138</v>
          </cell>
          <cell r="L311">
            <v>18.95</v>
          </cell>
          <cell r="M311">
            <v>13444.09</v>
          </cell>
          <cell r="O311">
            <v>-1.7505470459518668E-2</v>
          </cell>
          <cell r="P311">
            <v>0</v>
          </cell>
          <cell r="Q311">
            <v>-2.3809523809523836E-2</v>
          </cell>
          <cell r="R311">
            <v>-1.43442622950819E-2</v>
          </cell>
          <cell r="S311">
            <v>-1.718213058419249E-2</v>
          </cell>
          <cell r="T311">
            <v>0</v>
          </cell>
          <cell r="U311">
            <v>-9.3896713615023497E-2</v>
          </cell>
          <cell r="V311">
            <v>-3.8461538461538436E-2</v>
          </cell>
          <cell r="W311">
            <v>-1.9920318725099584E-2</v>
          </cell>
          <cell r="X311">
            <v>-1.4285714285714235E-2</v>
          </cell>
          <cell r="Y311">
            <v>-4.534005037783384E-2</v>
          </cell>
          <cell r="Z311">
            <v>-2.8209493037258726E-2</v>
          </cell>
        </row>
        <row r="312">
          <cell r="A312" t="str">
            <v>20/04/2005</v>
          </cell>
          <cell r="B312">
            <v>22.45</v>
          </cell>
          <cell r="C312">
            <v>49.5</v>
          </cell>
          <cell r="D312">
            <v>103</v>
          </cell>
          <cell r="E312">
            <v>48.1</v>
          </cell>
          <cell r="F312">
            <v>14.35</v>
          </cell>
          <cell r="G312">
            <v>2.95</v>
          </cell>
          <cell r="H312">
            <v>9.65</v>
          </cell>
          <cell r="I312">
            <v>56.25</v>
          </cell>
          <cell r="J312">
            <v>123.5</v>
          </cell>
          <cell r="K312">
            <v>140</v>
          </cell>
          <cell r="L312">
            <v>18.95</v>
          </cell>
          <cell r="M312">
            <v>13501.63</v>
          </cell>
          <cell r="O312">
            <v>-1.5350877192982559E-2</v>
          </cell>
          <cell r="P312">
            <v>-3.4146341463414664E-2</v>
          </cell>
          <cell r="Q312">
            <v>-9.6153846153845812E-3</v>
          </cell>
          <cell r="R312">
            <v>1.6913319238900826E-2</v>
          </cell>
          <cell r="S312">
            <v>-1.3745704467354014E-2</v>
          </cell>
          <cell r="T312">
            <v>8.5470085470087387E-3</v>
          </cell>
          <cell r="U312">
            <v>-8.9622641509433887E-2</v>
          </cell>
          <cell r="V312">
            <v>-3.4334763948497882E-2</v>
          </cell>
          <cell r="W312">
            <v>-1.5936254980079667E-2</v>
          </cell>
          <cell r="X312">
            <v>1.0830324909747224E-2</v>
          </cell>
          <cell r="Y312">
            <v>-3.8071065989847663E-2</v>
          </cell>
          <cell r="Z312">
            <v>-1.994995815328604E-2</v>
          </cell>
        </row>
        <row r="313">
          <cell r="A313" t="str">
            <v>21/04/2005</v>
          </cell>
          <cell r="B313">
            <v>22.5</v>
          </cell>
          <cell r="C313">
            <v>50.5</v>
          </cell>
          <cell r="D313">
            <v>103</v>
          </cell>
          <cell r="E313">
            <v>48.1</v>
          </cell>
          <cell r="F313">
            <v>14.4</v>
          </cell>
          <cell r="G313">
            <v>3</v>
          </cell>
          <cell r="H313">
            <v>9.75</v>
          </cell>
          <cell r="I313">
            <v>56.5</v>
          </cell>
          <cell r="J313">
            <v>124</v>
          </cell>
          <cell r="K313">
            <v>139</v>
          </cell>
          <cell r="L313">
            <v>18.8</v>
          </cell>
          <cell r="M313">
            <v>13597.31</v>
          </cell>
          <cell r="O313">
            <v>-4.4247787610620648E-3</v>
          </cell>
          <cell r="P313">
            <v>0</v>
          </cell>
          <cell r="Q313">
            <v>-9.6153846153845812E-3</v>
          </cell>
          <cell r="R313">
            <v>3.4408602150537648E-2</v>
          </cell>
          <cell r="S313">
            <v>0</v>
          </cell>
          <cell r="T313">
            <v>2.5641025641025772E-2</v>
          </cell>
          <cell r="U313">
            <v>-7.5829383886256041E-2</v>
          </cell>
          <cell r="V313">
            <v>-1.7391304347826098E-2</v>
          </cell>
          <cell r="W313">
            <v>0</v>
          </cell>
          <cell r="X313">
            <v>1.831501831501825E-2</v>
          </cell>
          <cell r="Y313">
            <v>-3.5897435897435881E-2</v>
          </cell>
          <cell r="Z313">
            <v>-4.6311236502671882E-4</v>
          </cell>
        </row>
        <row r="314">
          <cell r="A314" t="str">
            <v>22/04/2005</v>
          </cell>
          <cell r="B314">
            <v>22.75</v>
          </cell>
          <cell r="C314">
            <v>50.25</v>
          </cell>
          <cell r="D314">
            <v>104</v>
          </cell>
          <cell r="E314">
            <v>48.3</v>
          </cell>
          <cell r="F314">
            <v>14.5</v>
          </cell>
          <cell r="G314">
            <v>3</v>
          </cell>
          <cell r="H314">
            <v>9.9</v>
          </cell>
          <cell r="I314">
            <v>57</v>
          </cell>
          <cell r="J314">
            <v>124</v>
          </cell>
          <cell r="K314">
            <v>140</v>
          </cell>
          <cell r="L314">
            <v>18.899999999999999</v>
          </cell>
          <cell r="M314">
            <v>13693.55</v>
          </cell>
          <cell r="O314">
            <v>4.4150110375276164E-3</v>
          </cell>
          <cell r="P314">
            <v>-9.8522167487684609E-3</v>
          </cell>
          <cell r="Q314">
            <v>0</v>
          </cell>
          <cell r="R314">
            <v>3.648068669527893E-2</v>
          </cell>
          <cell r="S314">
            <v>3.4602076124568004E-3</v>
          </cell>
          <cell r="T314">
            <v>1.6949152542372836E-2</v>
          </cell>
          <cell r="U314">
            <v>-6.6037735849056589E-2</v>
          </cell>
          <cell r="V314">
            <v>-1.2987012987012991E-2</v>
          </cell>
          <cell r="W314">
            <v>0</v>
          </cell>
          <cell r="X314">
            <v>2.9411764705882248E-2</v>
          </cell>
          <cell r="Y314">
            <v>-5.0251256281407031E-2</v>
          </cell>
          <cell r="Z314">
            <v>7.0934243331297608E-3</v>
          </cell>
        </row>
        <row r="315">
          <cell r="A315" t="str">
            <v>25/04/2005</v>
          </cell>
          <cell r="B315">
            <v>22.7</v>
          </cell>
          <cell r="C315">
            <v>50</v>
          </cell>
          <cell r="D315">
            <v>104.5</v>
          </cell>
          <cell r="E315">
            <v>48.4</v>
          </cell>
          <cell r="F315">
            <v>14.6</v>
          </cell>
          <cell r="G315">
            <v>3</v>
          </cell>
          <cell r="H315">
            <v>9.85</v>
          </cell>
          <cell r="I315">
            <v>57</v>
          </cell>
          <cell r="J315">
            <v>124.5</v>
          </cell>
          <cell r="K315">
            <v>140.5</v>
          </cell>
          <cell r="L315">
            <v>19</v>
          </cell>
          <cell r="M315">
            <v>13750.23</v>
          </cell>
          <cell r="O315">
            <v>2.2075055187638082E-3</v>
          </cell>
          <cell r="P315">
            <v>-1.4778325123152691E-2</v>
          </cell>
          <cell r="Q315">
            <v>4.8076923076922906E-3</v>
          </cell>
          <cell r="R315">
            <v>3.8626609442059978E-2</v>
          </cell>
          <cell r="S315">
            <v>1.0380622837370179E-2</v>
          </cell>
          <cell r="T315">
            <v>1.6949152542372836E-2</v>
          </cell>
          <cell r="U315">
            <v>-7.0754716981132115E-2</v>
          </cell>
          <cell r="V315">
            <v>-1.2987012987012991E-2</v>
          </cell>
          <cell r="W315">
            <v>4.0322580645162365E-3</v>
          </cell>
          <cell r="X315">
            <v>3.3088235294117752E-2</v>
          </cell>
          <cell r="Y315">
            <v>-4.5226130653266305E-2</v>
          </cell>
          <cell r="Z315">
            <v>1.1261960270940063E-2</v>
          </cell>
        </row>
        <row r="316">
          <cell r="A316" t="str">
            <v>26/04/2005</v>
          </cell>
          <cell r="B316">
            <v>22.85</v>
          </cell>
          <cell r="C316">
            <v>50.5</v>
          </cell>
          <cell r="D316">
            <v>106</v>
          </cell>
          <cell r="E316">
            <v>49.4</v>
          </cell>
          <cell r="F316">
            <v>14.75</v>
          </cell>
          <cell r="G316">
            <v>3</v>
          </cell>
          <cell r="H316">
            <v>9.9499999999999993</v>
          </cell>
          <cell r="I316">
            <v>57</v>
          </cell>
          <cell r="J316">
            <v>125</v>
          </cell>
          <cell r="K316">
            <v>140</v>
          </cell>
          <cell r="L316">
            <v>19.2</v>
          </cell>
          <cell r="M316">
            <v>13859.58</v>
          </cell>
          <cell r="O316">
            <v>1.5555555555555545E-2</v>
          </cell>
          <cell r="P316">
            <v>-4.9261083743842304E-3</v>
          </cell>
          <cell r="Q316">
            <v>2.9126213592232997E-2</v>
          </cell>
          <cell r="R316">
            <v>4.0000000000000036E-2</v>
          </cell>
          <cell r="S316">
            <v>2.7874564459930307E-2</v>
          </cell>
          <cell r="T316">
            <v>3.4482758620689724E-2</v>
          </cell>
          <cell r="U316">
            <v>-5.2380952380952417E-2</v>
          </cell>
          <cell r="V316">
            <v>-8.6956521739129933E-3</v>
          </cell>
          <cell r="W316">
            <v>2.0408163265306145E-2</v>
          </cell>
          <cell r="X316">
            <v>2.1897810218978186E-2</v>
          </cell>
          <cell r="Y316">
            <v>-3.7593984962406068E-2</v>
          </cell>
          <cell r="Z316">
            <v>3.3380853392663834E-2</v>
          </cell>
        </row>
        <row r="317">
          <cell r="A317" t="str">
            <v>27/04/2005</v>
          </cell>
          <cell r="B317">
            <v>22.85</v>
          </cell>
          <cell r="C317">
            <v>50.75</v>
          </cell>
          <cell r="D317">
            <v>106</v>
          </cell>
          <cell r="E317">
            <v>49</v>
          </cell>
          <cell r="F317">
            <v>14.65</v>
          </cell>
          <cell r="G317">
            <v>3.05</v>
          </cell>
          <cell r="H317">
            <v>9.85</v>
          </cell>
          <cell r="I317">
            <v>57</v>
          </cell>
          <cell r="J317">
            <v>125</v>
          </cell>
          <cell r="K317">
            <v>140.5</v>
          </cell>
          <cell r="L317">
            <v>19.149999999999999</v>
          </cell>
          <cell r="M317">
            <v>13839.64</v>
          </cell>
          <cell r="O317">
            <v>2.0089285714285809E-2</v>
          </cell>
          <cell r="P317">
            <v>4.9504950495049549E-3</v>
          </cell>
          <cell r="Q317">
            <v>2.9126213592232997E-2</v>
          </cell>
          <cell r="R317">
            <v>2.9411764705882248E-2</v>
          </cell>
          <cell r="S317">
            <v>2.0905923344947785E-2</v>
          </cell>
          <cell r="T317">
            <v>4.2735042735042805E-2</v>
          </cell>
          <cell r="U317">
            <v>-5.7416267942583699E-2</v>
          </cell>
          <cell r="V317">
            <v>-4.366812227074246E-3</v>
          </cell>
          <cell r="W317">
            <v>1.6260162601626105E-2</v>
          </cell>
          <cell r="X317">
            <v>7.1684587813620748E-3</v>
          </cell>
          <cell r="Y317">
            <v>-4.488778054862852E-2</v>
          </cell>
          <cell r="Z317">
            <v>3.0828072919576233E-2</v>
          </cell>
        </row>
        <row r="318">
          <cell r="A318" t="str">
            <v>28/04/2005</v>
          </cell>
          <cell r="B318">
            <v>22.95</v>
          </cell>
          <cell r="C318">
            <v>51.25</v>
          </cell>
          <cell r="D318">
            <v>106.5</v>
          </cell>
          <cell r="E318">
            <v>49.1</v>
          </cell>
          <cell r="F318">
            <v>14.7</v>
          </cell>
          <cell r="G318">
            <v>3.0750000000000002</v>
          </cell>
          <cell r="H318">
            <v>9.85</v>
          </cell>
          <cell r="I318">
            <v>57.25</v>
          </cell>
          <cell r="J318">
            <v>125</v>
          </cell>
          <cell r="K318">
            <v>139</v>
          </cell>
          <cell r="L318">
            <v>19.149999999999999</v>
          </cell>
          <cell r="M318">
            <v>13909.42</v>
          </cell>
          <cell r="O318">
            <v>2.2271714922049046E-2</v>
          </cell>
          <cell r="P318">
            <v>3.1187122736418438E-2</v>
          </cell>
          <cell r="Q318">
            <v>2.8985507246376718E-2</v>
          </cell>
          <cell r="R318">
            <v>3.3684210526315761E-2</v>
          </cell>
          <cell r="S318">
            <v>2.4390243902439046E-2</v>
          </cell>
          <cell r="T318">
            <v>2.5000000000000133E-2</v>
          </cell>
          <cell r="U318">
            <v>-6.1904761904761907E-2</v>
          </cell>
          <cell r="V318">
            <v>-8.6580086580086979E-3</v>
          </cell>
          <cell r="W318">
            <v>8.0645161290322509E-3</v>
          </cell>
          <cell r="X318">
            <v>-7.1428571428571175E-3</v>
          </cell>
          <cell r="Y318">
            <v>-4.9627791563275458E-2</v>
          </cell>
          <cell r="Z318">
            <v>2.9040725374494869E-2</v>
          </cell>
        </row>
        <row r="319">
          <cell r="A319" t="str">
            <v>29/04/2005</v>
          </cell>
          <cell r="B319">
            <v>22.85</v>
          </cell>
          <cell r="C319">
            <v>50.25</v>
          </cell>
          <cell r="D319">
            <v>106.5</v>
          </cell>
          <cell r="E319">
            <v>49.2</v>
          </cell>
          <cell r="F319">
            <v>14.75</v>
          </cell>
          <cell r="G319">
            <v>3.05</v>
          </cell>
          <cell r="H319">
            <v>9.8000000000000007</v>
          </cell>
          <cell r="I319">
            <v>57</v>
          </cell>
          <cell r="J319">
            <v>125</v>
          </cell>
          <cell r="K319">
            <v>138.5</v>
          </cell>
          <cell r="L319">
            <v>19</v>
          </cell>
          <cell r="M319">
            <v>13908.97</v>
          </cell>
          <cell r="O319">
            <v>8.8300220750552327E-3</v>
          </cell>
          <cell r="P319">
            <v>0</v>
          </cell>
          <cell r="Q319">
            <v>2.8985507246376718E-2</v>
          </cell>
          <cell r="R319">
            <v>3.3613445378151363E-2</v>
          </cell>
          <cell r="S319">
            <v>2.7874564459930307E-2</v>
          </cell>
          <cell r="T319">
            <v>8.2644628099173278E-3</v>
          </cell>
          <cell r="U319">
            <v>-7.5471698113207419E-2</v>
          </cell>
          <cell r="V319">
            <v>-1.2987012987012991E-2</v>
          </cell>
          <cell r="W319">
            <v>1.2145748987854255E-2</v>
          </cell>
          <cell r="X319">
            <v>-7.1684587813619638E-3</v>
          </cell>
          <cell r="Y319">
            <v>-5.9405940594059348E-2</v>
          </cell>
          <cell r="Z319">
            <v>3.0954648719364597E-2</v>
          </cell>
        </row>
        <row r="320">
          <cell r="A320" t="str">
            <v>02/05/2005</v>
          </cell>
          <cell r="B320">
            <v>22.85</v>
          </cell>
          <cell r="C320">
            <v>50.25</v>
          </cell>
          <cell r="D320">
            <v>106.5</v>
          </cell>
          <cell r="E320">
            <v>49.2</v>
          </cell>
          <cell r="F320">
            <v>14.75</v>
          </cell>
          <cell r="G320">
            <v>3.05</v>
          </cell>
          <cell r="H320">
            <v>9.8000000000000007</v>
          </cell>
          <cell r="I320">
            <v>57</v>
          </cell>
          <cell r="J320">
            <v>125</v>
          </cell>
          <cell r="K320">
            <v>138.5</v>
          </cell>
          <cell r="L320">
            <v>19</v>
          </cell>
          <cell r="M320">
            <v>13908.97</v>
          </cell>
          <cell r="O320">
            <v>1.106194690265494E-2</v>
          </cell>
          <cell r="P320">
            <v>-4.9504950495049549E-3</v>
          </cell>
          <cell r="Q320">
            <v>2.8985507246376718E-2</v>
          </cell>
          <cell r="R320">
            <v>2.5000000000000133E-2</v>
          </cell>
          <cell r="S320">
            <v>2.7874564459930307E-2</v>
          </cell>
          <cell r="T320">
            <v>8.2644628099173278E-3</v>
          </cell>
          <cell r="U320">
            <v>-3.4482758620689613E-2</v>
          </cell>
          <cell r="V320">
            <v>-1.2987012987012991E-2</v>
          </cell>
          <cell r="W320">
            <v>1.6260162601626105E-2</v>
          </cell>
          <cell r="X320">
            <v>0</v>
          </cell>
          <cell r="Y320">
            <v>-3.3078880407124589E-2</v>
          </cell>
          <cell r="Z320">
            <v>2.9271664220947846E-2</v>
          </cell>
        </row>
        <row r="321">
          <cell r="A321" t="str">
            <v>03/05/2005</v>
          </cell>
          <cell r="B321">
            <v>22.95</v>
          </cell>
          <cell r="C321">
            <v>49.9</v>
          </cell>
          <cell r="D321">
            <v>106</v>
          </cell>
          <cell r="E321">
            <v>49.5</v>
          </cell>
          <cell r="F321">
            <v>14.7</v>
          </cell>
          <cell r="G321">
            <v>3.0750000000000002</v>
          </cell>
          <cell r="H321">
            <v>9.85</v>
          </cell>
          <cell r="I321">
            <v>57.5</v>
          </cell>
          <cell r="J321">
            <v>124.5</v>
          </cell>
          <cell r="K321">
            <v>139</v>
          </cell>
          <cell r="L321">
            <v>19.2</v>
          </cell>
          <cell r="M321">
            <v>13893.98</v>
          </cell>
          <cell r="O321">
            <v>1.5486725663716783E-2</v>
          </cell>
          <cell r="P321">
            <v>-1.1881188118811892E-2</v>
          </cell>
          <cell r="Q321">
            <v>2.4154589371980784E-2</v>
          </cell>
          <cell r="R321">
            <v>3.125E-2</v>
          </cell>
          <cell r="S321">
            <v>2.4390243902439046E-2</v>
          </cell>
          <cell r="T321">
            <v>1.6528925619834878E-2</v>
          </cell>
          <cell r="U321">
            <v>-2.9556650246305494E-2</v>
          </cell>
          <cell r="V321">
            <v>-4.3290043290042934E-3</v>
          </cell>
          <cell r="W321">
            <v>1.2195121951219523E-2</v>
          </cell>
          <cell r="X321">
            <v>3.6101083032491488E-3</v>
          </cell>
          <cell r="Y321">
            <v>-2.2900763358778553E-2</v>
          </cell>
          <cell r="Z321">
            <v>2.8162395723951184E-2</v>
          </cell>
        </row>
        <row r="322">
          <cell r="A322" t="str">
            <v>04/05/2005</v>
          </cell>
          <cell r="B322">
            <v>23</v>
          </cell>
          <cell r="C322">
            <v>50</v>
          </cell>
          <cell r="D322">
            <v>105.5</v>
          </cell>
          <cell r="E322">
            <v>49.5</v>
          </cell>
          <cell r="F322">
            <v>14.8</v>
          </cell>
          <cell r="G322">
            <v>3.1</v>
          </cell>
          <cell r="H322">
            <v>9.85</v>
          </cell>
          <cell r="I322">
            <v>57</v>
          </cell>
          <cell r="J322">
            <v>126</v>
          </cell>
          <cell r="K322">
            <v>142.5</v>
          </cell>
          <cell r="L322">
            <v>19.149999999999999</v>
          </cell>
          <cell r="M322">
            <v>13945.05</v>
          </cell>
          <cell r="O322">
            <v>1.7699115044247815E-2</v>
          </cell>
          <cell r="P322">
            <v>-3.8461538461538436E-2</v>
          </cell>
          <cell r="Q322">
            <v>2.4271844660194164E-2</v>
          </cell>
          <cell r="R322">
            <v>1.6427104722792629E-2</v>
          </cell>
          <cell r="S322">
            <v>3.8596491228070295E-2</v>
          </cell>
          <cell r="T322">
            <v>2.4793388429752206E-2</v>
          </cell>
          <cell r="U322">
            <v>-1.9900497512437942E-2</v>
          </cell>
          <cell r="V322">
            <v>-1.7241379310344862E-2</v>
          </cell>
          <cell r="W322">
            <v>2.4390243902439046E-2</v>
          </cell>
          <cell r="X322">
            <v>1.0638297872340496E-2</v>
          </cell>
          <cell r="Y322">
            <v>-2.2959183673469497E-2</v>
          </cell>
          <cell r="Z322">
            <v>2.822464692462745E-2</v>
          </cell>
        </row>
        <row r="323">
          <cell r="A323" t="str">
            <v>05/05/2005</v>
          </cell>
          <cell r="B323">
            <v>23</v>
          </cell>
          <cell r="C323">
            <v>51.25</v>
          </cell>
          <cell r="D323">
            <v>106.5</v>
          </cell>
          <cell r="E323">
            <v>50.25</v>
          </cell>
          <cell r="F323">
            <v>14.8</v>
          </cell>
          <cell r="G323">
            <v>3.0750000000000002</v>
          </cell>
          <cell r="H323">
            <v>9.85</v>
          </cell>
          <cell r="I323">
            <v>57</v>
          </cell>
          <cell r="J323">
            <v>126.5</v>
          </cell>
          <cell r="K323">
            <v>145</v>
          </cell>
          <cell r="L323">
            <v>19.3</v>
          </cell>
          <cell r="M323">
            <v>14061.7</v>
          </cell>
          <cell r="O323">
            <v>1.5452538631346657E-2</v>
          </cell>
          <cell r="P323">
            <v>-3.7558685446009377E-2</v>
          </cell>
          <cell r="Q323">
            <v>2.8985507246376718E-2</v>
          </cell>
          <cell r="R323">
            <v>1.7206477732793601E-2</v>
          </cell>
          <cell r="S323">
            <v>3.8596491228070295E-2</v>
          </cell>
          <cell r="T323">
            <v>2.5000000000000133E-2</v>
          </cell>
          <cell r="U323">
            <v>-1.005025125628134E-2</v>
          </cell>
          <cell r="V323">
            <v>-2.5641025641025661E-2</v>
          </cell>
          <cell r="W323">
            <v>2.4291497975708509E-2</v>
          </cell>
          <cell r="X323">
            <v>2.4734982332155431E-2</v>
          </cell>
          <cell r="Y323">
            <v>-2.0304568527918732E-2</v>
          </cell>
          <cell r="Z323">
            <v>3.3769900054034796E-2</v>
          </cell>
        </row>
        <row r="324">
          <cell r="A324" t="str">
            <v>06/05/2005</v>
          </cell>
          <cell r="B324">
            <v>23.15</v>
          </cell>
          <cell r="C324">
            <v>50.5</v>
          </cell>
          <cell r="D324">
            <v>106</v>
          </cell>
          <cell r="E324">
            <v>50</v>
          </cell>
          <cell r="F324">
            <v>14.85</v>
          </cell>
          <cell r="G324">
            <v>3.0750000000000002</v>
          </cell>
          <cell r="H324">
            <v>9.8000000000000007</v>
          </cell>
          <cell r="I324">
            <v>56.25</v>
          </cell>
          <cell r="J324">
            <v>126.5</v>
          </cell>
          <cell r="K324">
            <v>144</v>
          </cell>
          <cell r="L324">
            <v>19.2</v>
          </cell>
          <cell r="M324">
            <v>14033.96</v>
          </cell>
          <cell r="O324">
            <v>2.207505518763786E-2</v>
          </cell>
          <cell r="P324">
            <v>-5.6074766355140193E-2</v>
          </cell>
          <cell r="Q324">
            <v>1.9230769230769162E-2</v>
          </cell>
          <cell r="R324">
            <v>6.0362173038228661E-3</v>
          </cell>
          <cell r="S324">
            <v>3.4843205574912828E-2</v>
          </cell>
          <cell r="T324">
            <v>1.6528925619834878E-2</v>
          </cell>
          <cell r="U324">
            <v>-2.4875621890547261E-2</v>
          </cell>
          <cell r="V324">
            <v>-4.6610169491525411E-2</v>
          </cell>
          <cell r="W324">
            <v>2.4291497975708509E-2</v>
          </cell>
          <cell r="X324">
            <v>2.1276595744680771E-2</v>
          </cell>
          <cell r="Y324">
            <v>-2.2900763358778553E-2</v>
          </cell>
          <cell r="Z324">
            <v>2.6871114649308581E-2</v>
          </cell>
        </row>
        <row r="325">
          <cell r="A325" t="str">
            <v>09/05/2005</v>
          </cell>
          <cell r="B325">
            <v>23.15</v>
          </cell>
          <cell r="C325">
            <v>51</v>
          </cell>
          <cell r="D325">
            <v>106</v>
          </cell>
          <cell r="E325">
            <v>50</v>
          </cell>
          <cell r="F325">
            <v>14.85</v>
          </cell>
          <cell r="G325">
            <v>3.0750000000000002</v>
          </cell>
          <cell r="H325">
            <v>9.75</v>
          </cell>
          <cell r="I325">
            <v>55</v>
          </cell>
          <cell r="J325">
            <v>126.5</v>
          </cell>
          <cell r="K325">
            <v>142.5</v>
          </cell>
          <cell r="L325">
            <v>19.3</v>
          </cell>
          <cell r="M325">
            <v>14085.09</v>
          </cell>
          <cell r="O325">
            <v>2.207505518763786E-2</v>
          </cell>
          <cell r="P325">
            <v>-3.7735849056603765E-2</v>
          </cell>
          <cell r="Q325">
            <v>1.9230769230769162E-2</v>
          </cell>
          <cell r="R325">
            <v>8.0645161290322509E-3</v>
          </cell>
          <cell r="S325">
            <v>3.4843205574912828E-2</v>
          </cell>
          <cell r="T325">
            <v>1.6528925619834878E-2</v>
          </cell>
          <cell r="U325">
            <v>-2.5000000000000022E-2</v>
          </cell>
          <cell r="V325">
            <v>-7.1729957805907185E-2</v>
          </cell>
          <cell r="W325">
            <v>2.0161290322580738E-2</v>
          </cell>
          <cell r="X325">
            <v>3.5211267605634866E-3</v>
          </cell>
          <cell r="Y325">
            <v>-1.5306122448979664E-2</v>
          </cell>
          <cell r="Z325">
            <v>3.1124610448223455E-2</v>
          </cell>
        </row>
        <row r="326">
          <cell r="A326" t="str">
            <v>10/05/2005</v>
          </cell>
          <cell r="B326">
            <v>22.9</v>
          </cell>
          <cell r="C326">
            <v>50.5</v>
          </cell>
          <cell r="D326">
            <v>106</v>
          </cell>
          <cell r="E326">
            <v>50</v>
          </cell>
          <cell r="F326">
            <v>14.85</v>
          </cell>
          <cell r="G326">
            <v>3.05</v>
          </cell>
          <cell r="H326">
            <v>9.6999999999999993</v>
          </cell>
          <cell r="I326">
            <v>54.75</v>
          </cell>
          <cell r="J326">
            <v>126</v>
          </cell>
          <cell r="K326">
            <v>142.5</v>
          </cell>
          <cell r="L326">
            <v>19.25</v>
          </cell>
          <cell r="M326">
            <v>14018.38</v>
          </cell>
          <cell r="O326">
            <v>1.327433628318575E-2</v>
          </cell>
          <cell r="P326">
            <v>-5.6074766355140193E-2</v>
          </cell>
          <cell r="Q326">
            <v>1.9230769230769162E-2</v>
          </cell>
          <cell r="R326">
            <v>4.0160642570281624E-3</v>
          </cell>
          <cell r="S326">
            <v>3.4843205574912828E-2</v>
          </cell>
          <cell r="T326">
            <v>-8.1300813008131634E-3</v>
          </cell>
          <cell r="U326">
            <v>-2.0202020202020332E-2</v>
          </cell>
          <cell r="V326">
            <v>-6.8085106382978711E-2</v>
          </cell>
          <cell r="W326">
            <v>1.6129032258064502E-2</v>
          </cell>
          <cell r="X326">
            <v>7.0671378091873294E-3</v>
          </cell>
          <cell r="Y326">
            <v>-1.2820512820512775E-2</v>
          </cell>
          <cell r="Z326">
            <v>2.6382243438850983E-2</v>
          </cell>
        </row>
        <row r="327">
          <cell r="A327" t="str">
            <v>11/05/2005</v>
          </cell>
          <cell r="B327">
            <v>22.85</v>
          </cell>
          <cell r="C327">
            <v>50.25</v>
          </cell>
          <cell r="D327">
            <v>105</v>
          </cell>
          <cell r="E327">
            <v>49.8</v>
          </cell>
          <cell r="F327">
            <v>14.8</v>
          </cell>
          <cell r="G327">
            <v>3.05</v>
          </cell>
          <cell r="H327">
            <v>9.6999999999999993</v>
          </cell>
          <cell r="I327">
            <v>55.5</v>
          </cell>
          <cell r="J327">
            <v>126</v>
          </cell>
          <cell r="K327">
            <v>141.5</v>
          </cell>
          <cell r="L327">
            <v>19.05</v>
          </cell>
          <cell r="M327">
            <v>13939.8</v>
          </cell>
          <cell r="O327">
            <v>6.6079295154186646E-3</v>
          </cell>
          <cell r="P327">
            <v>-5.633802816901412E-2</v>
          </cell>
          <cell r="Q327">
            <v>4.7846889952152249E-3</v>
          </cell>
          <cell r="R327">
            <v>-2.0040080160320661E-3</v>
          </cell>
          <cell r="S327">
            <v>2.0689655172413834E-2</v>
          </cell>
          <cell r="T327">
            <v>0</v>
          </cell>
          <cell r="U327">
            <v>-3.0000000000000027E-2</v>
          </cell>
          <cell r="V327">
            <v>-1.7699115044247815E-2</v>
          </cell>
          <cell r="W327">
            <v>8.0000000000000071E-3</v>
          </cell>
          <cell r="X327">
            <v>-1.0489510489510523E-2</v>
          </cell>
          <cell r="Y327">
            <v>-7.812499999999889E-3</v>
          </cell>
          <cell r="Z327">
            <v>1.0158250734440433E-2</v>
          </cell>
        </row>
        <row r="328">
          <cell r="A328" t="str">
            <v>12/05/2005</v>
          </cell>
          <cell r="B328">
            <v>22.8</v>
          </cell>
          <cell r="C328">
            <v>50.25</v>
          </cell>
          <cell r="D328">
            <v>105</v>
          </cell>
          <cell r="E328">
            <v>50</v>
          </cell>
          <cell r="F328">
            <v>14.8</v>
          </cell>
          <cell r="G328">
            <v>2.9750000000000001</v>
          </cell>
          <cell r="H328">
            <v>9.6999999999999993</v>
          </cell>
          <cell r="I328">
            <v>56.25</v>
          </cell>
          <cell r="J328">
            <v>126</v>
          </cell>
          <cell r="K328">
            <v>141.5</v>
          </cell>
          <cell r="L328">
            <v>18.899999999999999</v>
          </cell>
          <cell r="M328">
            <v>13968.28</v>
          </cell>
          <cell r="O328">
            <v>4.405286343612369E-3</v>
          </cell>
          <cell r="P328">
            <v>-4.2857142857142816E-2</v>
          </cell>
          <cell r="Q328">
            <v>4.7846889952152249E-3</v>
          </cell>
          <cell r="R328">
            <v>3.734439834024883E-2</v>
          </cell>
          <cell r="S328">
            <v>1.7182130584192379E-2</v>
          </cell>
          <cell r="T328">
            <v>-1.6528925619834656E-2</v>
          </cell>
          <cell r="U328">
            <v>-2.5125628140703515E-2</v>
          </cell>
          <cell r="V328">
            <v>-4.4247787610619538E-3</v>
          </cell>
          <cell r="W328">
            <v>1.2048192771084265E-2</v>
          </cell>
          <cell r="X328">
            <v>0</v>
          </cell>
          <cell r="Y328">
            <v>-1.0471204188481797E-2</v>
          </cell>
          <cell r="Z328">
            <v>1.422264819494079E-2</v>
          </cell>
        </row>
        <row r="329">
          <cell r="A329" t="str">
            <v>13/05/2005</v>
          </cell>
          <cell r="B329">
            <v>22.75</v>
          </cell>
          <cell r="C329">
            <v>50.5</v>
          </cell>
          <cell r="D329">
            <v>105</v>
          </cell>
          <cell r="E329">
            <v>51.75</v>
          </cell>
          <cell r="F329">
            <v>14.8</v>
          </cell>
          <cell r="G329">
            <v>2.9750000000000001</v>
          </cell>
          <cell r="H329">
            <v>9.65</v>
          </cell>
          <cell r="I329">
            <v>56.25</v>
          </cell>
          <cell r="J329">
            <v>125</v>
          </cell>
          <cell r="K329">
            <v>141.5</v>
          </cell>
          <cell r="L329">
            <v>18.95</v>
          </cell>
          <cell r="M329">
            <v>13866.81</v>
          </cell>
          <cell r="O329">
            <v>2.2026431718062955E-3</v>
          </cell>
          <cell r="P329">
            <v>-2.8846153846153855E-2</v>
          </cell>
          <cell r="Q329">
            <v>1.449275362318847E-2</v>
          </cell>
          <cell r="R329">
            <v>7.3651452282157637E-2</v>
          </cell>
          <cell r="S329">
            <v>2.7777777777777901E-2</v>
          </cell>
          <cell r="T329">
            <v>-8.3333333333333037E-3</v>
          </cell>
          <cell r="U329">
            <v>-3.015075376884413E-2</v>
          </cell>
          <cell r="V329">
            <v>4.4642857142858094E-3</v>
          </cell>
          <cell r="W329">
            <v>8.0645161290322509E-3</v>
          </cell>
          <cell r="X329">
            <v>7.1174377224199059E-3</v>
          </cell>
          <cell r="Y329">
            <v>-7.8534031413614036E-3</v>
          </cell>
          <cell r="Z329">
            <v>1.6721473742095094E-2</v>
          </cell>
        </row>
        <row r="330">
          <cell r="A330" t="str">
            <v>16/05/2005</v>
          </cell>
          <cell r="B330">
            <v>22.75</v>
          </cell>
          <cell r="C330">
            <v>50.5</v>
          </cell>
          <cell r="D330">
            <v>105</v>
          </cell>
          <cell r="E330">
            <v>51.75</v>
          </cell>
          <cell r="F330">
            <v>14.8</v>
          </cell>
          <cell r="G330">
            <v>2.9750000000000001</v>
          </cell>
          <cell r="H330">
            <v>9.65</v>
          </cell>
          <cell r="I330">
            <v>56.25</v>
          </cell>
          <cell r="J330">
            <v>125</v>
          </cell>
          <cell r="K330">
            <v>141.5</v>
          </cell>
          <cell r="L330">
            <v>18.95</v>
          </cell>
          <cell r="M330">
            <v>13866.81</v>
          </cell>
          <cell r="O330">
            <v>1.3363028953229383E-2</v>
          </cell>
          <cell r="P330">
            <v>-1.4634146341463428E-2</v>
          </cell>
          <cell r="Q330">
            <v>2.4390243902439046E-2</v>
          </cell>
          <cell r="R330">
            <v>8.9473684210526372E-2</v>
          </cell>
          <cell r="S330">
            <v>4.5936395759717419E-2</v>
          </cell>
          <cell r="T330">
            <v>8.4745762711864181E-3</v>
          </cell>
          <cell r="U330">
            <v>-1.025641025641022E-2</v>
          </cell>
          <cell r="V330">
            <v>4.4642857142858094E-3</v>
          </cell>
          <cell r="W330">
            <v>2.0408163265306145E-2</v>
          </cell>
          <cell r="X330">
            <v>2.9090909090909056E-2</v>
          </cell>
          <cell r="Y330">
            <v>5.3050397877982824E-3</v>
          </cell>
          <cell r="Z330">
            <v>3.8305592640486053E-2</v>
          </cell>
        </row>
        <row r="331">
          <cell r="A331" t="str">
            <v>17/05/2005</v>
          </cell>
          <cell r="B331">
            <v>22.4</v>
          </cell>
          <cell r="C331">
            <v>49.8</v>
          </cell>
          <cell r="D331">
            <v>104.5</v>
          </cell>
          <cell r="E331">
            <v>51.75</v>
          </cell>
          <cell r="F331">
            <v>14.25</v>
          </cell>
          <cell r="G331">
            <v>2.95</v>
          </cell>
          <cell r="H331">
            <v>9.75</v>
          </cell>
          <cell r="I331">
            <v>55.5</v>
          </cell>
          <cell r="J331">
            <v>124.5</v>
          </cell>
          <cell r="K331">
            <v>139.5</v>
          </cell>
          <cell r="L331">
            <v>19</v>
          </cell>
          <cell r="M331">
            <v>13667.03</v>
          </cell>
          <cell r="O331">
            <v>-2.2271714922049712E-3</v>
          </cell>
          <cell r="P331">
            <v>-3.7681159420289934E-2</v>
          </cell>
          <cell r="Q331">
            <v>1.9512195121951237E-2</v>
          </cell>
          <cell r="R331">
            <v>7.588357588357586E-2</v>
          </cell>
          <cell r="S331">
            <v>-3.4965034965035446E-3</v>
          </cell>
          <cell r="T331">
            <v>-1.6666666666666607E-2</v>
          </cell>
          <cell r="U331">
            <v>1.0362694300518172E-2</v>
          </cell>
          <cell r="V331">
            <v>-1.3333333333333308E-2</v>
          </cell>
          <cell r="W331">
            <v>1.2195121951219523E-2</v>
          </cell>
          <cell r="X331">
            <v>1.0869565217391353E-2</v>
          </cell>
          <cell r="Y331">
            <v>2.6385224274407815E-3</v>
          </cell>
          <cell r="Z331">
            <v>1.6582751231210224E-2</v>
          </cell>
        </row>
        <row r="332">
          <cell r="A332" t="str">
            <v>18/05/2005</v>
          </cell>
          <cell r="B332">
            <v>22.4</v>
          </cell>
          <cell r="C332">
            <v>49.8</v>
          </cell>
          <cell r="D332">
            <v>104.5</v>
          </cell>
          <cell r="E332">
            <v>51.5</v>
          </cell>
          <cell r="F332">
            <v>14.3</v>
          </cell>
          <cell r="G332">
            <v>2.9249999999999998</v>
          </cell>
          <cell r="H332">
            <v>9.6999999999999993</v>
          </cell>
          <cell r="I332">
            <v>56.5</v>
          </cell>
          <cell r="J332">
            <v>123.5</v>
          </cell>
          <cell r="K332">
            <v>140</v>
          </cell>
          <cell r="L332">
            <v>18.899999999999999</v>
          </cell>
          <cell r="M332">
            <v>13627.01</v>
          </cell>
          <cell r="O332">
            <v>-2.2271714922049712E-3</v>
          </cell>
          <cell r="P332">
            <v>6.0606060606060996E-3</v>
          </cell>
          <cell r="Q332">
            <v>1.4563106796116498E-2</v>
          </cell>
          <cell r="R332">
            <v>7.0686070686070579E-2</v>
          </cell>
          <cell r="S332">
            <v>-3.4843205574912606E-3</v>
          </cell>
          <cell r="T332">
            <v>-8.4745762711865291E-3</v>
          </cell>
          <cell r="U332">
            <v>5.1813471502588637E-3</v>
          </cell>
          <cell r="V332">
            <v>4.4444444444444731E-3</v>
          </cell>
          <cell r="W332">
            <v>0</v>
          </cell>
          <cell r="X332">
            <v>0</v>
          </cell>
          <cell r="Y332">
            <v>-2.6385224274406704E-3</v>
          </cell>
          <cell r="Z332">
            <v>9.2862861743361336E-3</v>
          </cell>
        </row>
        <row r="333">
          <cell r="A333" t="str">
            <v>19/05/2005</v>
          </cell>
          <cell r="B333">
            <v>22.55</v>
          </cell>
          <cell r="C333">
            <v>49.2</v>
          </cell>
          <cell r="D333">
            <v>105</v>
          </cell>
          <cell r="E333">
            <v>50.5</v>
          </cell>
          <cell r="F333">
            <v>14.4</v>
          </cell>
          <cell r="G333">
            <v>2.85</v>
          </cell>
          <cell r="H333">
            <v>9.65</v>
          </cell>
          <cell r="I333">
            <v>56.5</v>
          </cell>
          <cell r="J333">
            <v>124</v>
          </cell>
          <cell r="K333">
            <v>142.5</v>
          </cell>
          <cell r="L333">
            <v>19.05</v>
          </cell>
          <cell r="M333">
            <v>13698.93</v>
          </cell>
          <cell r="O333">
            <v>2.2222222222223476E-3</v>
          </cell>
          <cell r="P333">
            <v>-2.5742574257425654E-2</v>
          </cell>
          <cell r="Q333">
            <v>1.9417475728155331E-2</v>
          </cell>
          <cell r="R333">
            <v>4.9896049896049899E-2</v>
          </cell>
          <cell r="S333">
            <v>0</v>
          </cell>
          <cell r="T333">
            <v>-4.9999999999999933E-2</v>
          </cell>
          <cell r="U333">
            <v>-1.025641025641022E-2</v>
          </cell>
          <cell r="V333">
            <v>0</v>
          </cell>
          <cell r="W333">
            <v>0</v>
          </cell>
          <cell r="X333">
            <v>2.5179856115107979E-2</v>
          </cell>
          <cell r="Y333">
            <v>1.3297872340425565E-2</v>
          </cell>
          <cell r="Z333">
            <v>7.4735370451950445E-3</v>
          </cell>
        </row>
        <row r="334">
          <cell r="A334" t="str">
            <v>20/05/2005</v>
          </cell>
          <cell r="B334">
            <v>22.65</v>
          </cell>
          <cell r="C334">
            <v>49.5</v>
          </cell>
          <cell r="D334">
            <v>105.5</v>
          </cell>
          <cell r="E334">
            <v>51</v>
          </cell>
          <cell r="F334">
            <v>14.4</v>
          </cell>
          <cell r="G334">
            <v>2.875</v>
          </cell>
          <cell r="H334">
            <v>9.5500000000000007</v>
          </cell>
          <cell r="I334">
            <v>56.75</v>
          </cell>
          <cell r="J334">
            <v>124</v>
          </cell>
          <cell r="K334">
            <v>141</v>
          </cell>
          <cell r="L334">
            <v>19.05</v>
          </cell>
          <cell r="M334">
            <v>13717.42</v>
          </cell>
          <cell r="O334">
            <v>-4.395604395604491E-3</v>
          </cell>
          <cell r="P334">
            <v>-1.4925373134328401E-2</v>
          </cell>
          <cell r="Q334">
            <v>1.4423076923076872E-2</v>
          </cell>
          <cell r="R334">
            <v>5.5900621118012417E-2</v>
          </cell>
          <cell r="S334">
            <v>-6.8965517241379448E-3</v>
          </cell>
          <cell r="T334">
            <v>-4.166666666666663E-2</v>
          </cell>
          <cell r="U334">
            <v>-3.5353535353535359E-2</v>
          </cell>
          <cell r="V334">
            <v>-4.3859649122807154E-3</v>
          </cell>
          <cell r="W334">
            <v>0</v>
          </cell>
          <cell r="X334">
            <v>7.1428571428571175E-3</v>
          </cell>
          <cell r="Y334">
            <v>7.9365079365081304E-3</v>
          </cell>
          <cell r="Z334">
            <v>1.7431564495693497E-3</v>
          </cell>
        </row>
        <row r="335">
          <cell r="A335" t="str">
            <v>23/05/2005</v>
          </cell>
          <cell r="B335">
            <v>22.7</v>
          </cell>
          <cell r="C335">
            <v>49.3</v>
          </cell>
          <cell r="D335">
            <v>105.5</v>
          </cell>
          <cell r="E335">
            <v>51.5</v>
          </cell>
          <cell r="F335">
            <v>14.4</v>
          </cell>
          <cell r="G335">
            <v>2.9</v>
          </cell>
          <cell r="H335">
            <v>9.5</v>
          </cell>
          <cell r="I335">
            <v>56.5</v>
          </cell>
          <cell r="J335">
            <v>124</v>
          </cell>
          <cell r="K335">
            <v>140</v>
          </cell>
          <cell r="L335">
            <v>18.899999999999999</v>
          </cell>
          <cell r="M335">
            <v>13699.13</v>
          </cell>
          <cell r="O335">
            <v>0</v>
          </cell>
          <cell r="P335">
            <v>-1.4000000000000012E-2</v>
          </cell>
          <cell r="Q335">
            <v>9.5693779904306719E-3</v>
          </cell>
          <cell r="R335">
            <v>6.4049586776859568E-2</v>
          </cell>
          <cell r="S335">
            <v>-1.3698630136986245E-2</v>
          </cell>
          <cell r="T335">
            <v>-3.3333333333333326E-2</v>
          </cell>
          <cell r="U335">
            <v>-3.5532994923857864E-2</v>
          </cell>
          <cell r="V335">
            <v>-8.7719298245614308E-3</v>
          </cell>
          <cell r="W335">
            <v>-4.0160642570281624E-3</v>
          </cell>
          <cell r="X335">
            <v>-3.558718861209953E-3</v>
          </cell>
          <cell r="Y335">
            <v>-5.2631578947369695E-3</v>
          </cell>
          <cell r="Z335">
            <v>-3.7163014727753518E-3</v>
          </cell>
        </row>
        <row r="336">
          <cell r="A336" t="str">
            <v>24/05/2005</v>
          </cell>
          <cell r="B336">
            <v>22.75</v>
          </cell>
          <cell r="C336">
            <v>49.3</v>
          </cell>
          <cell r="D336">
            <v>105.5</v>
          </cell>
          <cell r="E336">
            <v>51.5</v>
          </cell>
          <cell r="F336">
            <v>14.45</v>
          </cell>
          <cell r="G336">
            <v>2.85</v>
          </cell>
          <cell r="H336">
            <v>9.5</v>
          </cell>
          <cell r="I336">
            <v>56.5</v>
          </cell>
          <cell r="J336">
            <v>124</v>
          </cell>
          <cell r="K336">
            <v>140</v>
          </cell>
          <cell r="L336">
            <v>19.05</v>
          </cell>
          <cell r="M336">
            <v>13719.32</v>
          </cell>
          <cell r="O336">
            <v>-4.3763676148796948E-3</v>
          </cell>
          <cell r="P336">
            <v>-2.3762376237623783E-2</v>
          </cell>
          <cell r="Q336">
            <v>-4.7169811320755262E-3</v>
          </cell>
          <cell r="R336">
            <v>4.2510121457489891E-2</v>
          </cell>
          <cell r="S336">
            <v>-2.033898305084747E-2</v>
          </cell>
          <cell r="T336">
            <v>-4.9999999999999933E-2</v>
          </cell>
          <cell r="U336">
            <v>-4.5226130653266305E-2</v>
          </cell>
          <cell r="V336">
            <v>-8.7719298245614308E-3</v>
          </cell>
          <cell r="W336">
            <v>-8.0000000000000071E-3</v>
          </cell>
          <cell r="X336">
            <v>0</v>
          </cell>
          <cell r="Y336">
            <v>-7.812499999999889E-3</v>
          </cell>
          <cell r="Z336">
            <v>-1.0120075788732419E-2</v>
          </cell>
        </row>
        <row r="337">
          <cell r="A337" t="str">
            <v>25/05/2005</v>
          </cell>
          <cell r="B337">
            <v>22.65</v>
          </cell>
          <cell r="C337">
            <v>50.5</v>
          </cell>
          <cell r="D337">
            <v>105</v>
          </cell>
          <cell r="E337">
            <v>51.75</v>
          </cell>
          <cell r="F337">
            <v>14.3</v>
          </cell>
          <cell r="G337">
            <v>2.85</v>
          </cell>
          <cell r="H337">
            <v>9.5500000000000007</v>
          </cell>
          <cell r="I337">
            <v>57</v>
          </cell>
          <cell r="J337">
            <v>123</v>
          </cell>
          <cell r="K337">
            <v>139.5</v>
          </cell>
          <cell r="L337">
            <v>18.850000000000001</v>
          </cell>
          <cell r="M337">
            <v>13562.06</v>
          </cell>
          <cell r="O337">
            <v>-8.7527352297593897E-3</v>
          </cell>
          <cell r="P337">
            <v>-4.9261083743842304E-3</v>
          </cell>
          <cell r="Q337">
            <v>-9.4339622641509413E-3</v>
          </cell>
          <cell r="R337">
            <v>5.6122448979591733E-2</v>
          </cell>
          <cell r="S337">
            <v>-2.3890784982935176E-2</v>
          </cell>
          <cell r="T337">
            <v>-6.557377049180324E-2</v>
          </cell>
          <cell r="U337">
            <v>-3.0456852791878042E-2</v>
          </cell>
          <cell r="V337">
            <v>0</v>
          </cell>
          <cell r="W337">
            <v>-1.6000000000000014E-2</v>
          </cell>
          <cell r="X337">
            <v>-7.1174377224199059E-3</v>
          </cell>
          <cell r="Y337">
            <v>-1.5665796344647376E-2</v>
          </cell>
          <cell r="Z337">
            <v>-2.0056880092256701E-2</v>
          </cell>
        </row>
        <row r="338">
          <cell r="A338" t="str">
            <v>26/05/2005</v>
          </cell>
          <cell r="B338">
            <v>22.55</v>
          </cell>
          <cell r="C338">
            <v>49.7</v>
          </cell>
          <cell r="D338">
            <v>104</v>
          </cell>
          <cell r="E338">
            <v>51.75</v>
          </cell>
          <cell r="F338">
            <v>14.25</v>
          </cell>
          <cell r="G338">
            <v>2.875</v>
          </cell>
          <cell r="H338">
            <v>9.6</v>
          </cell>
          <cell r="I338">
            <v>57.25</v>
          </cell>
          <cell r="J338">
            <v>123.5</v>
          </cell>
          <cell r="K338">
            <v>139.5</v>
          </cell>
          <cell r="L338">
            <v>18.7</v>
          </cell>
          <cell r="M338">
            <v>13569.99</v>
          </cell>
          <cell r="O338">
            <v>-1.7429193899782036E-2</v>
          </cell>
          <cell r="P338">
            <v>-3.0243902439024306E-2</v>
          </cell>
          <cell r="Q338">
            <v>-2.3474178403755874E-2</v>
          </cell>
          <cell r="R338">
            <v>5.3971486761710707E-2</v>
          </cell>
          <cell r="S338">
            <v>-3.0612244897959107E-2</v>
          </cell>
          <cell r="T338">
            <v>-6.5040650406504086E-2</v>
          </cell>
          <cell r="U338">
            <v>-2.5380710659898442E-2</v>
          </cell>
          <cell r="V338">
            <v>0</v>
          </cell>
          <cell r="W338">
            <v>-1.2000000000000011E-2</v>
          </cell>
          <cell r="X338">
            <v>3.597122302158251E-3</v>
          </cell>
          <cell r="Y338">
            <v>-2.3498694516971286E-2</v>
          </cell>
          <cell r="Z338">
            <v>-2.4402886676798907E-2</v>
          </cell>
        </row>
        <row r="339">
          <cell r="A339" t="str">
            <v>27/05/2005</v>
          </cell>
          <cell r="B339">
            <v>22.75</v>
          </cell>
          <cell r="C339">
            <v>50.5</v>
          </cell>
          <cell r="D339">
            <v>104.5</v>
          </cell>
          <cell r="E339">
            <v>53</v>
          </cell>
          <cell r="F339">
            <v>14.4</v>
          </cell>
          <cell r="G339">
            <v>2.9</v>
          </cell>
          <cell r="H339">
            <v>9.5</v>
          </cell>
          <cell r="I339">
            <v>57.25</v>
          </cell>
          <cell r="J339">
            <v>123.5</v>
          </cell>
          <cell r="K339">
            <v>141</v>
          </cell>
          <cell r="L339">
            <v>18.95</v>
          </cell>
          <cell r="M339">
            <v>13714.78</v>
          </cell>
          <cell r="O339">
            <v>-4.3763676148796948E-3</v>
          </cell>
          <cell r="P339">
            <v>4.9751243781095411E-3</v>
          </cell>
          <cell r="Q339">
            <v>-1.8779342723004744E-2</v>
          </cell>
          <cell r="R339">
            <v>7.7235772357723498E-2</v>
          </cell>
          <cell r="S339">
            <v>-2.3728813559321993E-2</v>
          </cell>
          <cell r="T339">
            <v>-4.9180327868852403E-2</v>
          </cell>
          <cell r="U339">
            <v>-3.0612244897959218E-2</v>
          </cell>
          <cell r="V339">
            <v>4.3859649122806044E-3</v>
          </cell>
          <cell r="W339">
            <v>-1.2000000000000011E-2</v>
          </cell>
          <cell r="X339">
            <v>1.8050541516245522E-2</v>
          </cell>
          <cell r="Y339">
            <v>-2.6315789473684292E-3</v>
          </cell>
          <cell r="Z339">
            <v>-1.3961493913639766E-2</v>
          </cell>
        </row>
        <row r="340">
          <cell r="A340" t="str">
            <v>31/05/2005</v>
          </cell>
          <cell r="B340">
            <v>22.9</v>
          </cell>
          <cell r="C340">
            <v>50.5</v>
          </cell>
          <cell r="D340">
            <v>104.5</v>
          </cell>
          <cell r="E340">
            <v>55.5</v>
          </cell>
          <cell r="F340">
            <v>14.4</v>
          </cell>
          <cell r="G340">
            <v>2.875</v>
          </cell>
          <cell r="H340">
            <v>9.65</v>
          </cell>
          <cell r="I340">
            <v>59</v>
          </cell>
          <cell r="J340">
            <v>124</v>
          </cell>
          <cell r="K340">
            <v>141</v>
          </cell>
          <cell r="L340">
            <v>19.100000000000001</v>
          </cell>
          <cell r="M340">
            <v>13867.07</v>
          </cell>
          <cell r="O340">
            <v>2.1881838074397919E-3</v>
          </cell>
          <cell r="P340">
            <v>4.9751243781095411E-3</v>
          </cell>
          <cell r="Q340">
            <v>-1.8779342723004744E-2</v>
          </cell>
          <cell r="R340">
            <v>0.12804878048780477</v>
          </cell>
          <cell r="S340">
            <v>-2.3728813559321993E-2</v>
          </cell>
          <cell r="T340">
            <v>-5.7377049180327822E-2</v>
          </cell>
          <cell r="U340">
            <v>-1.5306122448979664E-2</v>
          </cell>
          <cell r="V340">
            <v>3.5087719298245723E-2</v>
          </cell>
          <cell r="W340">
            <v>-8.0000000000000071E-3</v>
          </cell>
          <cell r="X340">
            <v>1.8050541516245522E-2</v>
          </cell>
          <cell r="Y340">
            <v>5.2631578947368585E-3</v>
          </cell>
          <cell r="Z340">
            <v>-3.0124444872624556E-3</v>
          </cell>
        </row>
        <row r="341">
          <cell r="A341" t="str">
            <v>01/06/2005</v>
          </cell>
          <cell r="B341">
            <v>22.8</v>
          </cell>
          <cell r="C341">
            <v>50.25</v>
          </cell>
          <cell r="D341">
            <v>104</v>
          </cell>
          <cell r="E341">
            <v>54.25</v>
          </cell>
          <cell r="F341">
            <v>14.35</v>
          </cell>
          <cell r="G341">
            <v>2.875</v>
          </cell>
          <cell r="H341">
            <v>9.5500000000000007</v>
          </cell>
          <cell r="I341">
            <v>59</v>
          </cell>
          <cell r="J341">
            <v>124</v>
          </cell>
          <cell r="K341">
            <v>142</v>
          </cell>
          <cell r="L341">
            <v>19.2</v>
          </cell>
          <cell r="M341">
            <v>13873.07</v>
          </cell>
          <cell r="O341">
            <v>-6.5359477124182774E-3</v>
          </cell>
          <cell r="P341">
            <v>7.0140280561121759E-3</v>
          </cell>
          <cell r="Q341">
            <v>-1.8867924528301883E-2</v>
          </cell>
          <cell r="R341">
            <v>9.5959595959596022E-2</v>
          </cell>
          <cell r="S341">
            <v>-2.3809523809523836E-2</v>
          </cell>
          <cell r="T341">
            <v>-6.5040650406504086E-2</v>
          </cell>
          <cell r="U341">
            <v>-3.0456852791878042E-2</v>
          </cell>
          <cell r="V341">
            <v>2.6086956521739202E-2</v>
          </cell>
          <cell r="W341">
            <v>-4.0160642570281624E-3</v>
          </cell>
          <cell r="X341">
            <v>2.1582733812949728E-2</v>
          </cell>
          <cell r="Y341">
            <v>0</v>
          </cell>
          <cell r="Z341">
            <v>-1.5049683388057566E-3</v>
          </cell>
        </row>
        <row r="342">
          <cell r="A342" t="str">
            <v>02/06/2005</v>
          </cell>
          <cell r="B342">
            <v>22.7</v>
          </cell>
          <cell r="C342">
            <v>50.75</v>
          </cell>
          <cell r="D342">
            <v>104</v>
          </cell>
          <cell r="E342">
            <v>54.25</v>
          </cell>
          <cell r="F342">
            <v>14.35</v>
          </cell>
          <cell r="G342">
            <v>2.9</v>
          </cell>
          <cell r="H342">
            <v>9.5500000000000007</v>
          </cell>
          <cell r="I342">
            <v>58.75</v>
          </cell>
          <cell r="J342">
            <v>124</v>
          </cell>
          <cell r="K342">
            <v>141.5</v>
          </cell>
          <cell r="L342">
            <v>19.149999999999999</v>
          </cell>
          <cell r="M342">
            <v>13814.58</v>
          </cell>
          <cell r="O342">
            <v>-1.3043478260869601E-2</v>
          </cell>
          <cell r="P342">
            <v>1.4999999999999902E-2</v>
          </cell>
          <cell r="Q342">
            <v>-1.4218009478673022E-2</v>
          </cell>
          <cell r="R342">
            <v>9.5959595959596022E-2</v>
          </cell>
          <cell r="S342">
            <v>-3.0405405405405483E-2</v>
          </cell>
          <cell r="T342">
            <v>-6.4516129032258118E-2</v>
          </cell>
          <cell r="U342">
            <v>-3.0456852791878042E-2</v>
          </cell>
          <cell r="V342">
            <v>3.0701754385964897E-2</v>
          </cell>
          <cell r="W342">
            <v>-1.5873015873015928E-2</v>
          </cell>
          <cell r="X342">
            <v>-7.0175438596491446E-3</v>
          </cell>
          <cell r="Y342">
            <v>0</v>
          </cell>
          <cell r="Z342">
            <v>-9.3560080458656714E-3</v>
          </cell>
        </row>
        <row r="343">
          <cell r="A343" t="str">
            <v>03/06/2005</v>
          </cell>
          <cell r="B343">
            <v>22.75</v>
          </cell>
          <cell r="C343">
            <v>50.75</v>
          </cell>
          <cell r="D343">
            <v>104.5</v>
          </cell>
          <cell r="E343">
            <v>55</v>
          </cell>
          <cell r="F343">
            <v>14.35</v>
          </cell>
          <cell r="G343">
            <v>2.9249999999999998</v>
          </cell>
          <cell r="H343">
            <v>9.5500000000000007</v>
          </cell>
          <cell r="I343">
            <v>58.75</v>
          </cell>
          <cell r="J343">
            <v>124</v>
          </cell>
          <cell r="K343">
            <v>141</v>
          </cell>
          <cell r="L343">
            <v>18.899999999999999</v>
          </cell>
          <cell r="M343">
            <v>13818.45</v>
          </cell>
          <cell r="O343">
            <v>-1.0869565217391353E-2</v>
          </cell>
          <cell r="P343">
            <v>-9.7560975609756184E-3</v>
          </cell>
          <cell r="Q343">
            <v>-1.8779342723004744E-2</v>
          </cell>
          <cell r="R343">
            <v>9.4527363184079505E-2</v>
          </cell>
          <cell r="S343">
            <v>-3.0405405405405483E-2</v>
          </cell>
          <cell r="T343">
            <v>-4.8780487804878203E-2</v>
          </cell>
          <cell r="U343">
            <v>-3.0456852791878042E-2</v>
          </cell>
          <cell r="V343">
            <v>3.0701754385964897E-2</v>
          </cell>
          <cell r="W343">
            <v>-1.9762845849802368E-2</v>
          </cell>
          <cell r="X343">
            <v>-2.7586206896551779E-2</v>
          </cell>
          <cell r="Y343">
            <v>-2.0725388601036343E-2</v>
          </cell>
          <cell r="Z343">
            <v>-1.7298761885120584E-2</v>
          </cell>
        </row>
        <row r="344">
          <cell r="A344" t="str">
            <v>06/06/2005</v>
          </cell>
          <cell r="B344">
            <v>22.65</v>
          </cell>
          <cell r="C344">
            <v>51.25</v>
          </cell>
          <cell r="D344">
            <v>105</v>
          </cell>
          <cell r="E344">
            <v>54.25</v>
          </cell>
          <cell r="F344">
            <v>14.4</v>
          </cell>
          <cell r="G344">
            <v>2.9249999999999998</v>
          </cell>
          <cell r="H344">
            <v>9.5500000000000007</v>
          </cell>
          <cell r="I344">
            <v>58.75</v>
          </cell>
          <cell r="J344">
            <v>124</v>
          </cell>
          <cell r="K344">
            <v>141</v>
          </cell>
          <cell r="L344">
            <v>18.95</v>
          </cell>
          <cell r="M344">
            <v>13860.55</v>
          </cell>
          <cell r="O344">
            <v>-2.1598272138228958E-2</v>
          </cell>
          <cell r="P344">
            <v>1.4851485148514865E-2</v>
          </cell>
          <cell r="Q344">
            <v>-9.4339622641509413E-3</v>
          </cell>
          <cell r="R344">
            <v>8.4999999999999964E-2</v>
          </cell>
          <cell r="S344">
            <v>-3.0303030303030276E-2</v>
          </cell>
          <cell r="T344">
            <v>-4.8780487804878203E-2</v>
          </cell>
          <cell r="U344">
            <v>-2.5510204081632626E-2</v>
          </cell>
          <cell r="V344">
            <v>4.4444444444444509E-2</v>
          </cell>
          <cell r="W344">
            <v>-1.9762845849802368E-2</v>
          </cell>
          <cell r="X344">
            <v>-2.083333333333337E-2</v>
          </cell>
          <cell r="Y344">
            <v>-1.302083333333337E-2</v>
          </cell>
          <cell r="Z344">
            <v>-1.2356455341186678E-2</v>
          </cell>
          <cell r="AB344">
            <v>0.80088027596522937</v>
          </cell>
          <cell r="AC344">
            <v>0.93092004210061996</v>
          </cell>
          <cell r="AD344">
            <v>0.74355354356542525</v>
          </cell>
          <cell r="AE344">
            <v>1.2043530180651569</v>
          </cell>
          <cell r="AF344">
            <v>0.85450885673858379</v>
          </cell>
          <cell r="AG344">
            <v>1.4198727502996564</v>
          </cell>
          <cell r="AH344">
            <v>0.21176469977657378</v>
          </cell>
          <cell r="AI344">
            <v>1.0041701981783413</v>
          </cell>
          <cell r="AJ344">
            <v>0.89522980672539598</v>
          </cell>
          <cell r="AK344">
            <v>0.94713430732106074</v>
          </cell>
          <cell r="AL344">
            <v>0.54639735697194391</v>
          </cell>
        </row>
        <row r="345">
          <cell r="A345" t="str">
            <v>07/06/2005</v>
          </cell>
          <cell r="B345">
            <v>22.65</v>
          </cell>
          <cell r="C345">
            <v>51</v>
          </cell>
          <cell r="D345">
            <v>105</v>
          </cell>
          <cell r="E345">
            <v>53.75</v>
          </cell>
          <cell r="F345">
            <v>14.35</v>
          </cell>
          <cell r="G345">
            <v>2.875</v>
          </cell>
          <cell r="H345">
            <v>9.4499999999999993</v>
          </cell>
          <cell r="I345">
            <v>58</v>
          </cell>
          <cell r="J345">
            <v>124</v>
          </cell>
          <cell r="K345">
            <v>145</v>
          </cell>
          <cell r="L345">
            <v>18.95</v>
          </cell>
          <cell r="M345">
            <v>13837.29</v>
          </cell>
          <cell r="O345">
            <v>-2.1598272138228958E-2</v>
          </cell>
          <cell r="P345">
            <v>0</v>
          </cell>
          <cell r="Q345">
            <v>-9.4339622641509413E-3</v>
          </cell>
          <cell r="R345">
            <v>7.4999999999999956E-2</v>
          </cell>
          <cell r="S345">
            <v>-3.3670033670033628E-2</v>
          </cell>
          <cell r="T345">
            <v>-6.5040650406504086E-2</v>
          </cell>
          <cell r="U345">
            <v>-3.0769230769230882E-2</v>
          </cell>
          <cell r="V345">
            <v>5.4545454545454453E-2</v>
          </cell>
          <cell r="W345">
            <v>-1.9762845849802368E-2</v>
          </cell>
          <cell r="X345">
            <v>1.7543859649122862E-2</v>
          </cell>
          <cell r="Y345">
            <v>-1.81347150259068E-2</v>
          </cell>
          <cell r="Z345">
            <v>-1.7593071822757156E-2</v>
          </cell>
          <cell r="AB345">
            <v>0.80109331926092509</v>
          </cell>
          <cell r="AC345">
            <v>0.92308038226514999</v>
          </cell>
          <cell r="AD345">
            <v>0.74235870635995449</v>
          </cell>
          <cell r="AE345">
            <v>1.1871143543388756</v>
          </cell>
          <cell r="AF345">
            <v>0.85762072677231727</v>
          </cell>
          <cell r="AG345">
            <v>1.4232779664148978</v>
          </cell>
          <cell r="AH345">
            <v>0.21239121197262348</v>
          </cell>
          <cell r="AI345">
            <v>0.9908954544035169</v>
          </cell>
          <cell r="AJ345">
            <v>0.89463348575538626</v>
          </cell>
          <cell r="AK345">
            <v>0.94092626203734786</v>
          </cell>
          <cell r="AL345">
            <v>0.54671038056036536</v>
          </cell>
        </row>
        <row r="346">
          <cell r="A346" t="str">
            <v>08/06/2005</v>
          </cell>
          <cell r="B346">
            <v>22.8</v>
          </cell>
          <cell r="C346">
            <v>51.5</v>
          </cell>
          <cell r="D346">
            <v>104.5</v>
          </cell>
          <cell r="E346">
            <v>52</v>
          </cell>
          <cell r="F346">
            <v>14.4</v>
          </cell>
          <cell r="G346">
            <v>2.9</v>
          </cell>
          <cell r="H346">
            <v>9.5</v>
          </cell>
          <cell r="I346">
            <v>58.5</v>
          </cell>
          <cell r="J346">
            <v>124</v>
          </cell>
          <cell r="K346">
            <v>147</v>
          </cell>
          <cell r="L346">
            <v>19.100000000000001</v>
          </cell>
          <cell r="M346">
            <v>13898.55</v>
          </cell>
          <cell r="O346">
            <v>-4.366812227074135E-3</v>
          </cell>
          <cell r="P346">
            <v>1.980198019801982E-2</v>
          </cell>
          <cell r="Q346">
            <v>-1.4150943396226467E-2</v>
          </cell>
          <cell r="R346">
            <v>4.0000000000000036E-2</v>
          </cell>
          <cell r="S346">
            <v>-3.0303030303030276E-2</v>
          </cell>
          <cell r="T346">
            <v>-4.9180327868852403E-2</v>
          </cell>
          <cell r="U346">
            <v>-2.0618556701030855E-2</v>
          </cell>
          <cell r="V346">
            <v>6.8493150684931559E-2</v>
          </cell>
          <cell r="W346">
            <v>-1.5873015873015928E-2</v>
          </cell>
          <cell r="X346">
            <v>3.1578947368421151E-2</v>
          </cell>
          <cell r="Y346">
            <v>-7.7922077922076838E-3</v>
          </cell>
          <cell r="Z346">
            <v>-8.5480633282876139E-3</v>
          </cell>
          <cell r="AB346">
            <v>0.80057209771502158</v>
          </cell>
          <cell r="AC346">
            <v>0.91979991138309214</v>
          </cell>
          <cell r="AD346">
            <v>0.74263983946044576</v>
          </cell>
          <cell r="AE346">
            <v>1.1841049274306252</v>
          </cell>
          <cell r="AF346">
            <v>0.85891363664960907</v>
          </cell>
          <cell r="AG346">
            <v>1.4242309356905247</v>
          </cell>
          <cell r="AH346">
            <v>0.21211128922579431</v>
          </cell>
          <cell r="AI346">
            <v>0.98619474472698798</v>
          </cell>
          <cell r="AJ346">
            <v>0.89468468970623694</v>
          </cell>
          <cell r="AK346">
            <v>0.93853865619781551</v>
          </cell>
          <cell r="AL346">
            <v>0.54649430610964866</v>
          </cell>
        </row>
        <row r="347">
          <cell r="A347" t="str">
            <v>09/06/2005</v>
          </cell>
          <cell r="B347">
            <v>22.75</v>
          </cell>
          <cell r="C347">
            <v>52</v>
          </cell>
          <cell r="D347">
            <v>105.5</v>
          </cell>
          <cell r="E347">
            <v>51.75</v>
          </cell>
          <cell r="F347">
            <v>14.45</v>
          </cell>
          <cell r="G347">
            <v>2.9</v>
          </cell>
          <cell r="H347">
            <v>9.5500000000000007</v>
          </cell>
          <cell r="I347">
            <v>58.75</v>
          </cell>
          <cell r="J347">
            <v>124.5</v>
          </cell>
          <cell r="K347">
            <v>146</v>
          </cell>
          <cell r="L347">
            <v>19.100000000000001</v>
          </cell>
          <cell r="M347">
            <v>13898.31</v>
          </cell>
          <cell r="O347">
            <v>-4.3763676148796948E-3</v>
          </cell>
          <cell r="P347">
            <v>3.4825870646766122E-2</v>
          </cell>
          <cell r="Q347">
            <v>4.761904761904745E-3</v>
          </cell>
          <cell r="R347">
            <v>3.9156626506024139E-2</v>
          </cell>
          <cell r="S347">
            <v>-2.3648648648648796E-2</v>
          </cell>
          <cell r="T347">
            <v>-4.9180327868852403E-2</v>
          </cell>
          <cell r="U347">
            <v>-1.546391752577303E-2</v>
          </cell>
          <cell r="V347">
            <v>5.8558558558558627E-2</v>
          </cell>
          <cell r="W347">
            <v>-1.1904761904761862E-2</v>
          </cell>
          <cell r="X347">
            <v>3.180212014134276E-2</v>
          </cell>
          <cell r="Y347">
            <v>2.624671916010568E-3</v>
          </cell>
          <cell r="Z347">
            <v>-2.9763698187922349E-3</v>
          </cell>
          <cell r="AB347">
            <v>0.80062518152121676</v>
          </cell>
          <cell r="AC347">
            <v>0.92060996192656885</v>
          </cell>
          <cell r="AD347">
            <v>0.74276593292345294</v>
          </cell>
          <cell r="AE347">
            <v>1.1846412899106551</v>
          </cell>
          <cell r="AF347">
            <v>0.85866658636272097</v>
          </cell>
          <cell r="AG347">
            <v>1.4239322996377168</v>
          </cell>
          <cell r="AH347">
            <v>0.21221955683748847</v>
          </cell>
          <cell r="AI347">
            <v>0.98698490123629079</v>
          </cell>
          <cell r="AJ347">
            <v>0.89466125685591735</v>
          </cell>
          <cell r="AK347">
            <v>0.93897542212815288</v>
          </cell>
          <cell r="AL347">
            <v>0.546631756278528</v>
          </cell>
        </row>
        <row r="348">
          <cell r="A348" t="str">
            <v>10/06/2005</v>
          </cell>
          <cell r="B348">
            <v>22.75</v>
          </cell>
          <cell r="C348">
            <v>52</v>
          </cell>
          <cell r="D348">
            <v>105.5</v>
          </cell>
          <cell r="E348">
            <v>51.75</v>
          </cell>
          <cell r="F348">
            <v>14.5</v>
          </cell>
          <cell r="G348">
            <v>2.9</v>
          </cell>
          <cell r="H348">
            <v>9.5500000000000007</v>
          </cell>
          <cell r="I348">
            <v>58.75</v>
          </cell>
          <cell r="J348">
            <v>125</v>
          </cell>
          <cell r="K348">
            <v>146.5</v>
          </cell>
          <cell r="L348">
            <v>19.149999999999999</v>
          </cell>
          <cell r="M348">
            <v>13934.76</v>
          </cell>
          <cell r="O348">
            <v>-2.1929824561404132E-3</v>
          </cell>
          <cell r="P348">
            <v>3.4825870646766122E-2</v>
          </cell>
          <cell r="Q348">
            <v>4.761904761904745E-3</v>
          </cell>
          <cell r="R348">
            <v>3.499999999999992E-2</v>
          </cell>
          <cell r="S348">
            <v>-2.0270270270270285E-2</v>
          </cell>
          <cell r="T348">
            <v>-2.5210084033613467E-2</v>
          </cell>
          <cell r="U348">
            <v>-1.546391752577303E-2</v>
          </cell>
          <cell r="V348">
            <v>4.4444444444444509E-2</v>
          </cell>
          <cell r="W348">
            <v>-7.9365079365079083E-3</v>
          </cell>
          <cell r="X348">
            <v>3.5335689045936425E-2</v>
          </cell>
          <cell r="Y348">
            <v>1.3227513227513255E-2</v>
          </cell>
          <cell r="Z348">
            <v>-2.3997228005165905E-3</v>
          </cell>
          <cell r="AB348">
            <v>0.80074239891509624</v>
          </cell>
          <cell r="AC348">
            <v>0.92186849735338372</v>
          </cell>
          <cell r="AD348">
            <v>0.74295500053132157</v>
          </cell>
          <cell r="AE348">
            <v>1.1853858317468413</v>
          </cell>
          <cell r="AF348">
            <v>0.85833658475462882</v>
          </cell>
          <cell r="AG348">
            <v>1.4239223453709648</v>
          </cell>
          <cell r="AH348">
            <v>0.21238674972113272</v>
          </cell>
          <cell r="AI348">
            <v>0.98793233428975502</v>
          </cell>
          <cell r="AJ348">
            <v>0.89469283457889359</v>
          </cell>
          <cell r="AK348">
            <v>0.93971884985114773</v>
          </cell>
          <cell r="AL348">
            <v>0.54705057818360259</v>
          </cell>
        </row>
        <row r="349">
          <cell r="A349" t="str">
            <v>13/06/2005</v>
          </cell>
          <cell r="B349">
            <v>22.8</v>
          </cell>
          <cell r="C349">
            <v>52.25</v>
          </cell>
          <cell r="D349">
            <v>105.5</v>
          </cell>
          <cell r="E349">
            <v>52.5</v>
          </cell>
          <cell r="F349">
            <v>14.45</v>
          </cell>
          <cell r="G349">
            <v>2.9249999999999998</v>
          </cell>
          <cell r="H349">
            <v>9.65</v>
          </cell>
          <cell r="I349">
            <v>58.5</v>
          </cell>
          <cell r="J349">
            <v>125</v>
          </cell>
          <cell r="K349">
            <v>146</v>
          </cell>
          <cell r="L349">
            <v>19.05</v>
          </cell>
          <cell r="M349">
            <v>13952.02</v>
          </cell>
          <cell r="O349">
            <v>2.19780219780219E-3</v>
          </cell>
          <cell r="P349">
            <v>3.4653465346534684E-2</v>
          </cell>
          <cell r="Q349">
            <v>4.761904761904745E-3</v>
          </cell>
          <cell r="R349">
            <v>1.449275362318847E-2</v>
          </cell>
          <cell r="S349">
            <v>-2.3648648648648796E-2</v>
          </cell>
          <cell r="T349">
            <v>-1.6806722689075682E-2</v>
          </cell>
          <cell r="U349">
            <v>0</v>
          </cell>
          <cell r="V349">
            <v>4.0000000000000036E-2</v>
          </cell>
          <cell r="W349">
            <v>0</v>
          </cell>
          <cell r="X349">
            <v>3.180212014134276E-2</v>
          </cell>
          <cell r="Y349">
            <v>5.2770448548813409E-3</v>
          </cell>
          <cell r="Z349">
            <v>6.1448884062016429E-3</v>
          </cell>
          <cell r="AB349">
            <v>0.80118304890929049</v>
          </cell>
          <cell r="AC349">
            <v>0.92895173608179316</v>
          </cell>
          <cell r="AD349">
            <v>0.74335747144174447</v>
          </cell>
          <cell r="AE349">
            <v>1.1862450450606785</v>
          </cell>
          <cell r="AF349">
            <v>0.85482833912827838</v>
          </cell>
          <cell r="AG349">
            <v>1.4233735852432206</v>
          </cell>
          <cell r="AH349">
            <v>0.21522269876128422</v>
          </cell>
          <cell r="AI349">
            <v>0.99238577478622136</v>
          </cell>
          <cell r="AJ349">
            <v>0.89493411780743592</v>
          </cell>
          <cell r="AK349">
            <v>0.94302643984956713</v>
          </cell>
          <cell r="AL349">
            <v>0.54812724829883408</v>
          </cell>
        </row>
        <row r="350">
          <cell r="A350" t="str">
            <v>14/06/2005</v>
          </cell>
          <cell r="B350">
            <v>22.8</v>
          </cell>
          <cell r="C350">
            <v>52.25</v>
          </cell>
          <cell r="D350">
            <v>105</v>
          </cell>
          <cell r="E350">
            <v>53.25</v>
          </cell>
          <cell r="F350">
            <v>14.45</v>
          </cell>
          <cell r="G350">
            <v>2.9</v>
          </cell>
          <cell r="H350">
            <v>9.65</v>
          </cell>
          <cell r="I350">
            <v>58.5</v>
          </cell>
          <cell r="J350">
            <v>124</v>
          </cell>
          <cell r="K350">
            <v>145.5</v>
          </cell>
          <cell r="L350">
            <v>19</v>
          </cell>
          <cell r="M350">
            <v>13904.81</v>
          </cell>
          <cell r="O350">
            <v>2.19780219780219E-3</v>
          </cell>
          <cell r="P350">
            <v>3.4653465346534684E-2</v>
          </cell>
          <cell r="Q350">
            <v>0</v>
          </cell>
          <cell r="R350">
            <v>2.8985507246376718E-2</v>
          </cell>
          <cell r="S350">
            <v>-2.3648648648648796E-2</v>
          </cell>
          <cell r="T350">
            <v>-2.5210084033613467E-2</v>
          </cell>
          <cell r="U350">
            <v>0</v>
          </cell>
          <cell r="V350">
            <v>4.0000000000000036E-2</v>
          </cell>
          <cell r="W350">
            <v>-8.0000000000000071E-3</v>
          </cell>
          <cell r="X350">
            <v>2.8268551236749095E-2</v>
          </cell>
          <cell r="Y350">
            <v>2.6385224274407815E-3</v>
          </cell>
          <cell r="Z350">
            <v>2.7403562895864653E-3</v>
          </cell>
          <cell r="AB350">
            <v>0.80169736074667575</v>
          </cell>
          <cell r="AC350">
            <v>0.93379795163832235</v>
          </cell>
          <cell r="AD350">
            <v>0.74343010456718339</v>
          </cell>
          <cell r="AE350">
            <v>1.1883589721415213</v>
          </cell>
          <cell r="AF350">
            <v>0.85280451854675521</v>
          </cell>
          <cell r="AG350">
            <v>1.42271958767014</v>
          </cell>
          <cell r="AH350">
            <v>0.2171181367732419</v>
          </cell>
          <cell r="AI350">
            <v>0.99554963374808814</v>
          </cell>
          <cell r="AJ350">
            <v>0.89467362035784681</v>
          </cell>
          <cell r="AK350">
            <v>0.94513807841355013</v>
          </cell>
          <cell r="AL350">
            <v>0.54875850717346752</v>
          </cell>
        </row>
        <row r="351">
          <cell r="A351" t="str">
            <v>15/06/2005</v>
          </cell>
          <cell r="B351">
            <v>22.8</v>
          </cell>
          <cell r="C351">
            <v>51.5</v>
          </cell>
          <cell r="D351">
            <v>105.5</v>
          </cell>
          <cell r="E351">
            <v>53.25</v>
          </cell>
          <cell r="F351">
            <v>14.4</v>
          </cell>
          <cell r="G351">
            <v>2.9249999999999998</v>
          </cell>
          <cell r="H351">
            <v>9.65</v>
          </cell>
          <cell r="I351">
            <v>58.5</v>
          </cell>
          <cell r="J351">
            <v>124.5</v>
          </cell>
          <cell r="K351">
            <v>145.5</v>
          </cell>
          <cell r="L351">
            <v>18.95</v>
          </cell>
          <cell r="M351">
            <v>13914.3</v>
          </cell>
          <cell r="O351">
            <v>1.7857142857143016E-2</v>
          </cell>
          <cell r="P351">
            <v>3.4136546184738936E-2</v>
          </cell>
          <cell r="Q351">
            <v>9.5693779904306719E-3</v>
          </cell>
          <cell r="R351">
            <v>2.8985507246376718E-2</v>
          </cell>
          <cell r="S351">
            <v>1.0526315789473717E-2</v>
          </cell>
          <cell r="T351">
            <v>-8.4745762711865291E-3</v>
          </cell>
          <cell r="U351">
            <v>-1.025641025641022E-2</v>
          </cell>
          <cell r="V351">
            <v>5.4054054054053946E-2</v>
          </cell>
          <cell r="W351">
            <v>0</v>
          </cell>
          <cell r="X351">
            <v>4.3010752688172005E-2</v>
          </cell>
          <cell r="Y351">
            <v>-2.6315789473684292E-3</v>
          </cell>
          <cell r="Z351">
            <v>1.8092445834976489E-2</v>
          </cell>
          <cell r="AB351">
            <v>0.80431125747712173</v>
          </cell>
          <cell r="AC351">
            <v>0.94553183144037301</v>
          </cell>
          <cell r="AD351">
            <v>0.7431557042564394</v>
          </cell>
          <cell r="AE351">
            <v>1.1902097986380167</v>
          </cell>
          <cell r="AF351">
            <v>0.85203699245691744</v>
          </cell>
          <cell r="AG351">
            <v>1.4191612724303488</v>
          </cell>
          <cell r="AH351">
            <v>0.21954657675345568</v>
          </cell>
          <cell r="AI351">
            <v>1.0055616248295642</v>
          </cell>
          <cell r="AJ351">
            <v>0.89222834388638284</v>
          </cell>
          <cell r="AK351">
            <v>0.95211280922474117</v>
          </cell>
          <cell r="AL351">
            <v>0.54702082474643243</v>
          </cell>
        </row>
        <row r="352">
          <cell r="A352" t="str">
            <v>16/06/2005</v>
          </cell>
          <cell r="B352">
            <v>22.75</v>
          </cell>
          <cell r="C352">
            <v>51</v>
          </cell>
          <cell r="D352">
            <v>105</v>
          </cell>
          <cell r="E352">
            <v>53</v>
          </cell>
          <cell r="F352">
            <v>14.4</v>
          </cell>
          <cell r="G352">
            <v>2.95</v>
          </cell>
          <cell r="H352">
            <v>9.6999999999999993</v>
          </cell>
          <cell r="I352">
            <v>58.5</v>
          </cell>
          <cell r="J352">
            <v>124</v>
          </cell>
          <cell r="K352">
            <v>145</v>
          </cell>
          <cell r="L352">
            <v>19.149999999999999</v>
          </cell>
          <cell r="M352">
            <v>13833.53</v>
          </cell>
          <cell r="O352">
            <v>1.5625E-2</v>
          </cell>
          <cell r="P352">
            <v>2.4096385542168752E-2</v>
          </cell>
          <cell r="Q352">
            <v>4.7846889952152249E-3</v>
          </cell>
          <cell r="R352">
            <v>2.9126213592232997E-2</v>
          </cell>
          <cell r="S352">
            <v>6.9930069930068672E-3</v>
          </cell>
          <cell r="T352">
            <v>8.5470085470087387E-3</v>
          </cell>
          <cell r="U352">
            <v>0</v>
          </cell>
          <cell r="V352">
            <v>3.539823008849563E-2</v>
          </cell>
          <cell r="W352">
            <v>4.0485829959513442E-3</v>
          </cell>
          <cell r="X352">
            <v>3.5714285714285809E-2</v>
          </cell>
          <cell r="Y352">
            <v>1.3227513227513255E-2</v>
          </cell>
          <cell r="Z352">
            <v>1.5155195453735004E-2</v>
          </cell>
          <cell r="AB352">
            <v>0.80654050678545874</v>
          </cell>
          <cell r="AC352">
            <v>0.95367879946130873</v>
          </cell>
          <cell r="AD352">
            <v>0.74230820024908573</v>
          </cell>
          <cell r="AE352">
            <v>1.1926284013280517</v>
          </cell>
          <cell r="AF352">
            <v>0.85114718066536521</v>
          </cell>
          <cell r="AG352">
            <v>1.421191368029501</v>
          </cell>
          <cell r="AH352">
            <v>0.22417292475282752</v>
          </cell>
          <cell r="AI352">
            <v>1.0102600335567127</v>
          </cell>
          <cell r="AJ352">
            <v>0.8917526398894452</v>
          </cell>
          <cell r="AK352">
            <v>0.95691213036397116</v>
          </cell>
          <cell r="AL352">
            <v>0.54969936666659991</v>
          </cell>
        </row>
        <row r="353">
          <cell r="A353" t="str">
            <v>17/06/2005</v>
          </cell>
          <cell r="B353">
            <v>22.7</v>
          </cell>
          <cell r="C353">
            <v>51.75</v>
          </cell>
          <cell r="D353">
            <v>105</v>
          </cell>
          <cell r="E353">
            <v>52.5</v>
          </cell>
          <cell r="F353">
            <v>14.4</v>
          </cell>
          <cell r="G353">
            <v>2.9249999999999998</v>
          </cell>
          <cell r="H353">
            <v>9.6</v>
          </cell>
          <cell r="I353">
            <v>58.75</v>
          </cell>
          <cell r="J353">
            <v>124.5</v>
          </cell>
          <cell r="K353">
            <v>145.5</v>
          </cell>
          <cell r="L353">
            <v>19.649999999999999</v>
          </cell>
          <cell r="M353">
            <v>13912.03</v>
          </cell>
          <cell r="O353">
            <v>6.6518847006651338E-3</v>
          </cell>
          <cell r="P353">
            <v>5.1829268292682862E-2</v>
          </cell>
          <cell r="Q353">
            <v>0</v>
          </cell>
          <cell r="R353">
            <v>3.9603960396039639E-2</v>
          </cell>
          <cell r="S353">
            <v>0</v>
          </cell>
          <cell r="T353">
            <v>2.631578947368407E-2</v>
          </cell>
          <cell r="U353">
            <v>-5.1813471502590858E-3</v>
          </cell>
          <cell r="V353">
            <v>3.9823008849557473E-2</v>
          </cell>
          <cell r="W353">
            <v>4.0322580645162365E-3</v>
          </cell>
          <cell r="X353">
            <v>2.1052631578947434E-2</v>
          </cell>
          <cell r="Y353">
            <v>3.1496062992125928E-2</v>
          </cell>
          <cell r="Z353">
            <v>1.5555959480046955E-2</v>
          </cell>
          <cell r="AB353">
            <v>0.80653746938605386</v>
          </cell>
          <cell r="AC353">
            <v>0.96832533747512406</v>
          </cell>
          <cell r="AD353">
            <v>0.74024989381907946</v>
          </cell>
          <cell r="AE353">
            <v>1.1974259261390456</v>
          </cell>
          <cell r="AF353">
            <v>0.8485085131789567</v>
          </cell>
          <cell r="AG353">
            <v>1.4273229627871131</v>
          </cell>
          <cell r="AH353">
            <v>0.22751797676018734</v>
          </cell>
          <cell r="AI353">
            <v>1.0158975324454405</v>
          </cell>
          <cell r="AJ353">
            <v>0.89118981407925746</v>
          </cell>
          <cell r="AK353">
            <v>0.95809322188213308</v>
          </cell>
          <cell r="AL353">
            <v>0.55667934068364877</v>
          </cell>
        </row>
        <row r="354">
          <cell r="A354" t="str">
            <v>20/06/2005</v>
          </cell>
          <cell r="B354">
            <v>22.85</v>
          </cell>
          <cell r="C354">
            <v>52</v>
          </cell>
          <cell r="D354">
            <v>105.5</v>
          </cell>
          <cell r="E354">
            <v>52</v>
          </cell>
          <cell r="F354">
            <v>14.45</v>
          </cell>
          <cell r="G354">
            <v>2.9249999999999998</v>
          </cell>
          <cell r="H354">
            <v>9.5500000000000007</v>
          </cell>
          <cell r="I354">
            <v>58.5</v>
          </cell>
          <cell r="J354">
            <v>125</v>
          </cell>
          <cell r="K354">
            <v>146</v>
          </cell>
          <cell r="L354">
            <v>19.600000000000001</v>
          </cell>
          <cell r="M354">
            <v>13945.77</v>
          </cell>
          <cell r="O354">
            <v>8.8300220750552327E-3</v>
          </cell>
          <cell r="P354">
            <v>5.0505050505050608E-2</v>
          </cell>
          <cell r="Q354">
            <v>0</v>
          </cell>
          <cell r="R354">
            <v>1.9607843137254832E-2</v>
          </cell>
          <cell r="S354">
            <v>3.4722222222220989E-3</v>
          </cell>
          <cell r="T354">
            <v>1.7391304347825987E-2</v>
          </cell>
          <cell r="U354">
            <v>0</v>
          </cell>
          <cell r="V354">
            <v>3.0837004405286361E-2</v>
          </cell>
          <cell r="W354">
            <v>8.0645161290322509E-3</v>
          </cell>
          <cell r="X354">
            <v>3.5460992907801359E-2</v>
          </cell>
          <cell r="Y354">
            <v>2.8871391076115582E-2</v>
          </cell>
          <cell r="Z354">
            <v>1.6646716365030789E-2</v>
          </cell>
          <cell r="AB354">
            <v>0.80685829232854112</v>
          </cell>
          <cell r="AC354">
            <v>0.98282315292038358</v>
          </cell>
          <cell r="AD354">
            <v>0.73792756761894074</v>
          </cell>
          <cell r="AE354">
            <v>1.1970543470465371</v>
          </cell>
          <cell r="AF354">
            <v>0.84642504691168385</v>
          </cell>
          <cell r="AG354">
            <v>1.4310258245323031</v>
          </cell>
          <cell r="AH354">
            <v>0.23219553960821324</v>
          </cell>
          <cell r="AI354">
            <v>1.0191878980776485</v>
          </cell>
          <cell r="AJ354">
            <v>0.89137340093691519</v>
          </cell>
          <cell r="AK354">
            <v>0.96264437731140373</v>
          </cell>
          <cell r="AL354">
            <v>0.56306512166191924</v>
          </cell>
        </row>
        <row r="355">
          <cell r="A355" t="str">
            <v>21/06/2005</v>
          </cell>
          <cell r="B355">
            <v>22.8</v>
          </cell>
          <cell r="C355">
            <v>51</v>
          </cell>
          <cell r="D355">
            <v>105.5</v>
          </cell>
          <cell r="E355">
            <v>50.75</v>
          </cell>
          <cell r="F355">
            <v>14.4</v>
          </cell>
          <cell r="G355">
            <v>2.9</v>
          </cell>
          <cell r="H355">
            <v>9.65</v>
          </cell>
          <cell r="I355">
            <v>57.75</v>
          </cell>
          <cell r="J355">
            <v>125</v>
          </cell>
          <cell r="K355">
            <v>145.5</v>
          </cell>
          <cell r="L355">
            <v>19.649999999999999</v>
          </cell>
          <cell r="M355">
            <v>13979.35</v>
          </cell>
          <cell r="O355">
            <v>4.405286343612369E-3</v>
          </cell>
          <cell r="P355">
            <v>3.4482758620689724E-2</v>
          </cell>
          <cell r="Q355">
            <v>0</v>
          </cell>
          <cell r="R355">
            <v>-1.4563106796116498E-2</v>
          </cell>
          <cell r="S355">
            <v>0</v>
          </cell>
          <cell r="T355">
            <v>0</v>
          </cell>
          <cell r="U355">
            <v>1.5789473684210575E-2</v>
          </cell>
          <cell r="V355">
            <v>2.2123893805309658E-2</v>
          </cell>
          <cell r="W355">
            <v>8.0645161290322509E-3</v>
          </cell>
          <cell r="X355">
            <v>3.9285714285714368E-2</v>
          </cell>
          <cell r="Y355">
            <v>3.9682539682539764E-2</v>
          </cell>
          <cell r="Z355">
            <v>2.0455313585607371E-2</v>
          </cell>
          <cell r="AB355">
            <v>0.80503268618719415</v>
          </cell>
          <cell r="AC355">
            <v>0.99383463739654299</v>
          </cell>
          <cell r="AD355">
            <v>0.73441204896668666</v>
          </cell>
          <cell r="AE355">
            <v>1.1852724568258388</v>
          </cell>
          <cell r="AF355">
            <v>0.84204762587246307</v>
          </cell>
          <cell r="AG355">
            <v>1.4286233182233457</v>
          </cell>
          <cell r="AH355">
            <v>0.24198578131880255</v>
          </cell>
          <cell r="AI355">
            <v>1.0193104252284548</v>
          </cell>
          <cell r="AJ355">
            <v>0.89059120808040249</v>
          </cell>
          <cell r="AK355">
            <v>0.96796605379095357</v>
          </cell>
          <cell r="AL355">
            <v>0.57300695967059911</v>
          </cell>
        </row>
        <row r="356">
          <cell r="A356" t="str">
            <v>22/06/2005</v>
          </cell>
          <cell r="B356">
            <v>22.9</v>
          </cell>
          <cell r="C356">
            <v>51.5</v>
          </cell>
          <cell r="D356">
            <v>106.5</v>
          </cell>
          <cell r="E356">
            <v>51.5</v>
          </cell>
          <cell r="F356">
            <v>14.6</v>
          </cell>
          <cell r="G356">
            <v>3.0249999999999999</v>
          </cell>
          <cell r="H356">
            <v>9.6999999999999993</v>
          </cell>
          <cell r="I356">
            <v>58.5</v>
          </cell>
          <cell r="J356">
            <v>126</v>
          </cell>
          <cell r="K356">
            <v>147</v>
          </cell>
          <cell r="L356">
            <v>19.899999999999999</v>
          </cell>
          <cell r="M356">
            <v>14161.02</v>
          </cell>
          <cell r="O356">
            <v>6.59340659340657E-3</v>
          </cell>
          <cell r="P356">
            <v>4.4624746450304231E-2</v>
          </cell>
          <cell r="Q356">
            <v>9.4786729857820884E-3</v>
          </cell>
          <cell r="R356">
            <v>0</v>
          </cell>
          <cell r="S356">
            <v>1.0380622837370179E-2</v>
          </cell>
          <cell r="T356">
            <v>6.1403508771929793E-2</v>
          </cell>
          <cell r="U356">
            <v>2.1052631578947212E-2</v>
          </cell>
          <cell r="V356">
            <v>3.539823008849563E-2</v>
          </cell>
          <cell r="W356">
            <v>1.6129032258064502E-2</v>
          </cell>
          <cell r="X356">
            <v>5.0000000000000044E-2</v>
          </cell>
          <cell r="Y356">
            <v>4.4619422572178324E-2</v>
          </cell>
          <cell r="Z356">
            <v>3.2195473245029582E-2</v>
          </cell>
          <cell r="AB356">
            <v>0.79927064199097886</v>
          </cell>
          <cell r="AC356">
            <v>1.0090924042245855</v>
          </cell>
          <cell r="AD356">
            <v>0.72969974913718472</v>
          </cell>
          <cell r="AE356">
            <v>1.1685236975452344</v>
          </cell>
          <cell r="AF356">
            <v>0.83593413073196199</v>
          </cell>
          <cell r="AG356">
            <v>1.4443458136578571</v>
          </cell>
          <cell r="AH356">
            <v>0.25717651062338193</v>
          </cell>
          <cell r="AI356">
            <v>1.0200498088123282</v>
          </cell>
          <cell r="AJ356">
            <v>0.88843239782932704</v>
          </cell>
          <cell r="AK356">
            <v>0.97537756557600719</v>
          </cell>
          <cell r="AL356">
            <v>0.58660509415708706</v>
          </cell>
        </row>
        <row r="357">
          <cell r="A357" t="str">
            <v>23/06/2005</v>
          </cell>
          <cell r="B357">
            <v>22.95</v>
          </cell>
          <cell r="C357">
            <v>51.75</v>
          </cell>
          <cell r="D357">
            <v>106.5</v>
          </cell>
          <cell r="E357">
            <v>51.5</v>
          </cell>
          <cell r="F357">
            <v>14.65</v>
          </cell>
          <cell r="G357">
            <v>3.0249999999999999</v>
          </cell>
          <cell r="H357">
            <v>9.6999999999999993</v>
          </cell>
          <cell r="I357">
            <v>58.5</v>
          </cell>
          <cell r="J357">
            <v>127</v>
          </cell>
          <cell r="K357">
            <v>146</v>
          </cell>
          <cell r="L357">
            <v>20</v>
          </cell>
          <cell r="M357">
            <v>14190.44</v>
          </cell>
          <cell r="O357">
            <v>1.3245033112582849E-2</v>
          </cell>
          <cell r="P357">
            <v>2.4752475247524774E-2</v>
          </cell>
          <cell r="Q357">
            <v>1.4285714285714235E-2</v>
          </cell>
          <cell r="R357">
            <v>-4.8309178743961567E-3</v>
          </cell>
          <cell r="S357">
            <v>2.4475524475524368E-2</v>
          </cell>
          <cell r="T357">
            <v>6.1403508771929793E-2</v>
          </cell>
          <cell r="U357">
            <v>1.5706806282722363E-2</v>
          </cell>
          <cell r="V357">
            <v>2.6315789473684292E-2</v>
          </cell>
          <cell r="W357">
            <v>3.2520325203251987E-2</v>
          </cell>
          <cell r="X357">
            <v>4.6594982078853153E-2</v>
          </cell>
          <cell r="Y357">
            <v>6.100795755968158E-2</v>
          </cell>
          <cell r="Z357">
            <v>4.6333669073872263E-2</v>
          </cell>
          <cell r="AB357">
            <v>0.78893723138417471</v>
          </cell>
          <cell r="AC357">
            <v>1.0093930571760077</v>
          </cell>
          <cell r="AD357">
            <v>0.72025385677422671</v>
          </cell>
          <cell r="AE357">
            <v>1.1339197368946969</v>
          </cell>
          <cell r="AF357">
            <v>0.82917026423784812</v>
          </cell>
          <cell r="AG357">
            <v>1.4532542219625126</v>
          </cell>
          <cell r="AH357">
            <v>0.27204563195719905</v>
          </cell>
          <cell r="AI357">
            <v>1.0073341893523884</v>
          </cell>
          <cell r="AJ357">
            <v>0.88780732610771984</v>
          </cell>
          <cell r="AK357">
            <v>0.97516706959474164</v>
          </cell>
          <cell r="AL357">
            <v>0.60931608297973872</v>
          </cell>
        </row>
        <row r="358">
          <cell r="A358" t="str">
            <v>24/06/2005</v>
          </cell>
          <cell r="B358">
            <v>22.9</v>
          </cell>
          <cell r="C358">
            <v>51.5</v>
          </cell>
          <cell r="D358">
            <v>106.5</v>
          </cell>
          <cell r="E358">
            <v>51.75</v>
          </cell>
          <cell r="F358">
            <v>14.6</v>
          </cell>
          <cell r="G358">
            <v>3.0750000000000002</v>
          </cell>
          <cell r="H358">
            <v>9.6</v>
          </cell>
          <cell r="I358">
            <v>58</v>
          </cell>
          <cell r="J358">
            <v>127</v>
          </cell>
          <cell r="K358">
            <v>146</v>
          </cell>
          <cell r="L358">
            <v>20.100000000000001</v>
          </cell>
          <cell r="M358">
            <v>14230.29</v>
          </cell>
          <cell r="O358">
            <v>1.5521064301551979E-2</v>
          </cell>
          <cell r="P358">
            <v>3.6217303822937641E-2</v>
          </cell>
          <cell r="Q358">
            <v>2.4038461538461453E-2</v>
          </cell>
          <cell r="R358">
            <v>0</v>
          </cell>
          <cell r="S358">
            <v>2.4561403508772006E-2</v>
          </cell>
          <cell r="T358">
            <v>6.956521739130439E-2</v>
          </cell>
          <cell r="U358">
            <v>0</v>
          </cell>
          <cell r="V358">
            <v>1.3100436681222627E-2</v>
          </cell>
          <cell r="W358">
            <v>2.8340080971659853E-2</v>
          </cell>
          <cell r="X358">
            <v>4.6594982078853153E-2</v>
          </cell>
          <cell r="Y358">
            <v>7.4866310160427885E-2</v>
          </cell>
          <cell r="Z358">
            <v>4.8658842047783368E-2</v>
          </cell>
          <cell r="AB358">
            <v>0.77915660387812957</v>
          </cell>
          <cell r="AC358">
            <v>1.0150417607994096</v>
          </cell>
          <cell r="AD358">
            <v>0.71582183826550272</v>
          </cell>
          <cell r="AE358">
            <v>1.1015872520331029</v>
          </cell>
          <cell r="AF358">
            <v>0.8215162087217901</v>
          </cell>
          <cell r="AG358">
            <v>1.4647194753803376</v>
          </cell>
          <cell r="AH358">
            <v>0.27689351624633962</v>
          </cell>
          <cell r="AI358">
            <v>0.98583968090325702</v>
          </cell>
          <cell r="AJ358">
            <v>0.88353141527216106</v>
          </cell>
          <cell r="AK358">
            <v>0.97363046526615371</v>
          </cell>
          <cell r="AL358">
            <v>0.63869161632081073</v>
          </cell>
        </row>
        <row r="359">
          <cell r="A359" t="str">
            <v>27/06/2005</v>
          </cell>
          <cell r="B359">
            <v>22.8</v>
          </cell>
          <cell r="C359">
            <v>51</v>
          </cell>
          <cell r="D359">
            <v>106</v>
          </cell>
          <cell r="E359">
            <v>51.5</v>
          </cell>
          <cell r="F359">
            <v>14.65</v>
          </cell>
          <cell r="G359">
            <v>3.05</v>
          </cell>
          <cell r="H359">
            <v>9.6999999999999993</v>
          </cell>
          <cell r="I359">
            <v>58</v>
          </cell>
          <cell r="J359">
            <v>126</v>
          </cell>
          <cell r="K359">
            <v>144.5</v>
          </cell>
          <cell r="L359">
            <v>20.05</v>
          </cell>
          <cell r="M359">
            <v>14176.04</v>
          </cell>
          <cell r="O359">
            <v>2.19780219780219E-3</v>
          </cell>
          <cell r="P359">
            <v>9.9009900990099098E-3</v>
          </cell>
          <cell r="Q359">
            <v>1.4354066985645897E-2</v>
          </cell>
          <cell r="R359">
            <v>-2.8301886792452824E-2</v>
          </cell>
          <cell r="S359">
            <v>1.736111111111116E-2</v>
          </cell>
          <cell r="T359">
            <v>5.1724137931034475E-2</v>
          </cell>
          <cell r="U359">
            <v>2.1052631578947212E-2</v>
          </cell>
          <cell r="V359">
            <v>1.3100436681222627E-2</v>
          </cell>
          <cell r="W359">
            <v>2.0242914979757165E-2</v>
          </cell>
          <cell r="X359">
            <v>2.4822695035461084E-2</v>
          </cell>
          <cell r="Y359">
            <v>5.8047493403694084E-2</v>
          </cell>
          <cell r="Z359">
            <v>3.3632329501457559E-2</v>
          </cell>
          <cell r="AB359">
            <v>0.77204129679551936</v>
          </cell>
          <cell r="AC359">
            <v>1.0143109100597298</v>
          </cell>
          <cell r="AD359">
            <v>0.71332538061533923</v>
          </cell>
          <cell r="AE359">
            <v>1.0754798071662295</v>
          </cell>
          <cell r="AF359">
            <v>0.81853347869731385</v>
          </cell>
          <cell r="AG359">
            <v>1.4739782440154752</v>
          </cell>
          <cell r="AH359">
            <v>0.29026998784035685</v>
          </cell>
          <cell r="AI359">
            <v>0.97761167575047236</v>
          </cell>
          <cell r="AJ359">
            <v>0.88279528078594338</v>
          </cell>
          <cell r="AK359">
            <v>0.96973343593242156</v>
          </cell>
          <cell r="AL359">
            <v>0.65519105596340588</v>
          </cell>
        </row>
        <row r="360">
          <cell r="A360" t="str">
            <v>28/06/2005</v>
          </cell>
          <cell r="B360">
            <v>22.9</v>
          </cell>
          <cell r="C360">
            <v>51</v>
          </cell>
          <cell r="D360">
            <v>106</v>
          </cell>
          <cell r="E360">
            <v>52</v>
          </cell>
          <cell r="F360">
            <v>14.65</v>
          </cell>
          <cell r="G360">
            <v>3.0249999999999999</v>
          </cell>
          <cell r="H360">
            <v>9.6999999999999993</v>
          </cell>
          <cell r="I360">
            <v>58</v>
          </cell>
          <cell r="J360">
            <v>127</v>
          </cell>
          <cell r="K360">
            <v>144.5</v>
          </cell>
          <cell r="L360">
            <v>20.25</v>
          </cell>
          <cell r="M360">
            <v>14287.44</v>
          </cell>
          <cell r="O360">
            <v>0</v>
          </cell>
          <cell r="P360">
            <v>9.9009900990099098E-3</v>
          </cell>
          <cell r="Q360">
            <v>1.4354066985645897E-2</v>
          </cell>
          <cell r="R360">
            <v>-6.3063063063063085E-2</v>
          </cell>
          <cell r="S360">
            <v>1.736111111111116E-2</v>
          </cell>
          <cell r="T360">
            <v>5.2173913043478182E-2</v>
          </cell>
          <cell r="U360">
            <v>5.1813471502588637E-3</v>
          </cell>
          <cell r="V360">
            <v>-1.6949152542372836E-2</v>
          </cell>
          <cell r="W360">
            <v>2.4193548387096753E-2</v>
          </cell>
          <cell r="X360">
            <v>2.4822695035461084E-2</v>
          </cell>
          <cell r="Y360">
            <v>6.0209424083769614E-2</v>
          </cell>
          <cell r="Z360">
            <v>3.0314262493807309E-2</v>
          </cell>
          <cell r="AB360">
            <v>0.76599197784438655</v>
          </cell>
          <cell r="AC360">
            <v>1.0148822580363228</v>
          </cell>
          <cell r="AD360">
            <v>0.7120053828735885</v>
          </cell>
          <cell r="AE360">
            <v>1.0416268101529305</v>
          </cell>
          <cell r="AF360">
            <v>0.81691624923110107</v>
          </cell>
          <cell r="AG360">
            <v>1.4839334526558683</v>
          </cell>
          <cell r="AH360">
            <v>0.29654502353336865</v>
          </cell>
          <cell r="AI360">
            <v>0.96085926811646838</v>
          </cell>
          <cell r="AJ360">
            <v>0.88462143016683437</v>
          </cell>
          <cell r="AK360">
            <v>0.96750191679697772</v>
          </cell>
          <cell r="AL360">
            <v>0.67107483942629054</v>
          </cell>
        </row>
        <row r="361">
          <cell r="A361" t="str">
            <v>29/06/2005</v>
          </cell>
          <cell r="B361">
            <v>22.95</v>
          </cell>
          <cell r="C361">
            <v>52.25</v>
          </cell>
          <cell r="D361">
            <v>106.5</v>
          </cell>
          <cell r="E361">
            <v>51.75</v>
          </cell>
          <cell r="F361">
            <v>14.75</v>
          </cell>
          <cell r="G361">
            <v>3.0249999999999999</v>
          </cell>
          <cell r="H361">
            <v>9.6</v>
          </cell>
          <cell r="I361">
            <v>58</v>
          </cell>
          <cell r="J361">
            <v>126.5</v>
          </cell>
          <cell r="K361">
            <v>144</v>
          </cell>
          <cell r="L361">
            <v>20.3</v>
          </cell>
          <cell r="M361">
            <v>14277.28</v>
          </cell>
          <cell r="O361">
            <v>6.5789473684210176E-3</v>
          </cell>
          <cell r="P361">
            <v>3.9800995024875663E-2</v>
          </cell>
          <cell r="Q361">
            <v>2.4038461538461453E-2</v>
          </cell>
          <cell r="R361">
            <v>-4.6082949308755783E-2</v>
          </cell>
          <cell r="S361">
            <v>2.7874564459930307E-2</v>
          </cell>
          <cell r="T361">
            <v>5.2173913043478182E-2</v>
          </cell>
          <cell r="U361">
            <v>5.2356020942407877E-3</v>
          </cell>
          <cell r="V361">
            <v>-1.6949152542372836E-2</v>
          </cell>
          <cell r="W361">
            <v>2.0161290322580738E-2</v>
          </cell>
          <cell r="X361">
            <v>1.4084507042253502E-2</v>
          </cell>
          <cell r="Y361">
            <v>5.7291666666666741E-2</v>
          </cell>
          <cell r="Z361">
            <v>2.9136305086040926E-2</v>
          </cell>
          <cell r="AB361">
            <v>0.76291807634709952</v>
          </cell>
          <cell r="AC361">
            <v>1.025945984565837</v>
          </cell>
          <cell r="AD361">
            <v>0.71434647205879498</v>
          </cell>
          <cell r="AE361">
            <v>1.0164098479798083</v>
          </cell>
          <cell r="AF361">
            <v>0.81930449690250484</v>
          </cell>
          <cell r="AG361">
            <v>1.4937550192492506</v>
          </cell>
          <cell r="AH361">
            <v>0.30249928056933362</v>
          </cell>
          <cell r="AI361">
            <v>0.94571165986074479</v>
          </cell>
          <cell r="AJ361">
            <v>0.88530146425210288</v>
          </cell>
          <cell r="AK361">
            <v>0.962181460793055</v>
          </cell>
          <cell r="AL361">
            <v>0.68507994376181436</v>
          </cell>
        </row>
        <row r="362">
          <cell r="A362" t="str">
            <v>30/06/2005</v>
          </cell>
          <cell r="B362">
            <v>22.95</v>
          </cell>
          <cell r="C362">
            <v>52</v>
          </cell>
          <cell r="D362">
            <v>106</v>
          </cell>
          <cell r="E362">
            <v>50.75</v>
          </cell>
          <cell r="F362">
            <v>14.7</v>
          </cell>
          <cell r="G362">
            <v>3</v>
          </cell>
          <cell r="H362">
            <v>9.5500000000000007</v>
          </cell>
          <cell r="I362">
            <v>58.5</v>
          </cell>
          <cell r="J362">
            <v>125</v>
          </cell>
          <cell r="K362">
            <v>144.5</v>
          </cell>
          <cell r="L362">
            <v>20.100000000000001</v>
          </cell>
          <cell r="M362">
            <v>14201.06</v>
          </cell>
          <cell r="O362">
            <v>1.1013215859030812E-2</v>
          </cell>
          <cell r="P362">
            <v>2.4630541871921263E-2</v>
          </cell>
          <cell r="Q362">
            <v>1.9230769230769162E-2</v>
          </cell>
          <cell r="R362">
            <v>-6.4516129032258118E-2</v>
          </cell>
          <cell r="S362">
            <v>2.4390243902439046E-2</v>
          </cell>
          <cell r="T362">
            <v>3.4482758620689724E-2</v>
          </cell>
          <cell r="U362">
            <v>0</v>
          </cell>
          <cell r="V362">
            <v>-4.2553191489361764E-3</v>
          </cell>
          <cell r="W362">
            <v>8.0645161290322509E-3</v>
          </cell>
          <cell r="X362">
            <v>2.1201413427561766E-2</v>
          </cell>
          <cell r="Y362">
            <v>4.9608355091383949E-2</v>
          </cell>
          <cell r="Z362">
            <v>2.7976239596136709E-2</v>
          </cell>
          <cell r="AB362">
            <v>0.76176846480769134</v>
          </cell>
          <cell r="AC362">
            <v>1.0317375936037463</v>
          </cell>
          <cell r="AD362">
            <v>0.71524513267688639</v>
          </cell>
          <cell r="AE362">
            <v>0.98748174974075331</v>
          </cell>
          <cell r="AF362">
            <v>0.82070964963129578</v>
          </cell>
          <cell r="AG362">
            <v>1.4977604500174775</v>
          </cell>
          <cell r="AH362">
            <v>0.3064612618806104</v>
          </cell>
          <cell r="AI362">
            <v>0.9360692390601294</v>
          </cell>
          <cell r="AJ362">
            <v>0.88238809399470952</v>
          </cell>
          <cell r="AK362">
            <v>0.9598798492409234</v>
          </cell>
          <cell r="AL362">
            <v>0.69587213281478055</v>
          </cell>
        </row>
        <row r="363">
          <cell r="A363" t="str">
            <v>01/07/2005</v>
          </cell>
          <cell r="B363">
            <v>22.95</v>
          </cell>
          <cell r="C363">
            <v>52</v>
          </cell>
          <cell r="D363">
            <v>106</v>
          </cell>
          <cell r="E363">
            <v>50.75</v>
          </cell>
          <cell r="F363">
            <v>14.7</v>
          </cell>
          <cell r="G363">
            <v>3</v>
          </cell>
          <cell r="H363">
            <v>9.5500000000000007</v>
          </cell>
          <cell r="I363">
            <v>58.5</v>
          </cell>
          <cell r="J363">
            <v>125</v>
          </cell>
          <cell r="K363">
            <v>144.5</v>
          </cell>
          <cell r="L363">
            <v>20.100000000000001</v>
          </cell>
          <cell r="M363">
            <v>14201.06</v>
          </cell>
          <cell r="O363">
            <v>8.79120879120876E-3</v>
          </cell>
          <cell r="P363">
            <v>2.4630541871921263E-2</v>
          </cell>
          <cell r="Q363">
            <v>1.4354066985645897E-2</v>
          </cell>
          <cell r="R363">
            <v>-7.7272727272727271E-2</v>
          </cell>
          <cell r="S363">
            <v>2.4390243902439046E-2</v>
          </cell>
          <cell r="T363">
            <v>2.5641025641025772E-2</v>
          </cell>
          <cell r="U363">
            <v>0</v>
          </cell>
          <cell r="V363">
            <v>-4.2553191489361764E-3</v>
          </cell>
          <cell r="W363">
            <v>8.0645161290322509E-3</v>
          </cell>
          <cell r="X363">
            <v>2.4822695035461084E-2</v>
          </cell>
          <cell r="Y363">
            <v>6.3492063492063711E-2</v>
          </cell>
          <cell r="Z363">
            <v>2.7688344206477478E-2</v>
          </cell>
          <cell r="AB363">
            <v>0.76004394512300444</v>
          </cell>
          <cell r="AC363">
            <v>1.0373728408735958</v>
          </cell>
          <cell r="AD363">
            <v>0.71464908133890026</v>
          </cell>
          <cell r="AE363">
            <v>0.95590901488594981</v>
          </cell>
          <cell r="AF363">
            <v>0.82212805817851919</v>
          </cell>
          <cell r="AG363">
            <v>1.4989717826533662</v>
          </cell>
          <cell r="AH363">
            <v>0.31028043724312898</v>
          </cell>
          <cell r="AI363">
            <v>0.92692532092415225</v>
          </cell>
          <cell r="AJ363">
            <v>0.87967915212144054</v>
          </cell>
          <cell r="AK363">
            <v>0.95889223052669326</v>
          </cell>
          <cell r="AL363">
            <v>0.71059100025478017</v>
          </cell>
        </row>
        <row r="364">
          <cell r="A364" t="str">
            <v>05/07/2005</v>
          </cell>
          <cell r="B364">
            <v>23</v>
          </cell>
          <cell r="C364">
            <v>52.1</v>
          </cell>
          <cell r="D364">
            <v>105.5</v>
          </cell>
          <cell r="E364">
            <v>52.15</v>
          </cell>
          <cell r="F364">
            <v>14.65</v>
          </cell>
          <cell r="G364">
            <v>2.9750000000000001</v>
          </cell>
          <cell r="H364">
            <v>9.5</v>
          </cell>
          <cell r="I364">
            <v>58</v>
          </cell>
          <cell r="J364">
            <v>123.9</v>
          </cell>
          <cell r="K364">
            <v>143</v>
          </cell>
          <cell r="L364">
            <v>20.3</v>
          </cell>
          <cell r="M364">
            <v>14124.8</v>
          </cell>
          <cell r="O364">
            <v>1.5452538631346657E-2</v>
          </cell>
          <cell r="P364">
            <v>1.6585365853658551E-2</v>
          </cell>
          <cell r="Q364">
            <v>4.761904761904745E-3</v>
          </cell>
          <cell r="R364">
            <v>-3.8709677419354827E-2</v>
          </cell>
          <cell r="S364">
            <v>1.736111111111116E-2</v>
          </cell>
          <cell r="T364">
            <v>1.7094017094017255E-2</v>
          </cell>
          <cell r="U364">
            <v>-5.2356020942408987E-3</v>
          </cell>
          <cell r="V364">
            <v>-1.2765957446808529E-2</v>
          </cell>
          <cell r="W364">
            <v>-8.0645161290315848E-4</v>
          </cell>
          <cell r="X364">
            <v>1.4184397163120588E-2</v>
          </cell>
          <cell r="Y364">
            <v>7.1240105540897103E-2</v>
          </cell>
          <cell r="Z364">
            <v>1.9064900022004894E-2</v>
          </cell>
          <cell r="AB364">
            <v>0.7617089720299407</v>
          </cell>
          <cell r="AC364">
            <v>1.0413725140070842</v>
          </cell>
          <cell r="AD364">
            <v>0.71351203970331334</v>
          </cell>
          <cell r="AE364">
            <v>0.94460363018950089</v>
          </cell>
          <cell r="AF364">
            <v>0.82309919120291763</v>
          </cell>
          <cell r="AG364">
            <v>1.5007278770906318</v>
          </cell>
          <cell r="AH364">
            <v>0.31231225057181616</v>
          </cell>
          <cell r="AI364">
            <v>0.92063746497186838</v>
          </cell>
          <cell r="AJ364">
            <v>0.87757396202157656</v>
          </cell>
          <cell r="AK364">
            <v>0.9577176785800473</v>
          </cell>
          <cell r="AL364">
            <v>0.72350555865257971</v>
          </cell>
        </row>
        <row r="365">
          <cell r="A365" t="str">
            <v>06/07/2005</v>
          </cell>
          <cell r="B365">
            <v>22.9</v>
          </cell>
          <cell r="C365">
            <v>52.3</v>
          </cell>
          <cell r="D365">
            <v>105.3</v>
          </cell>
          <cell r="E365">
            <v>52.65</v>
          </cell>
          <cell r="F365">
            <v>14.65</v>
          </cell>
          <cell r="G365">
            <v>3.0249999999999999</v>
          </cell>
          <cell r="H365">
            <v>9.5</v>
          </cell>
          <cell r="I365">
            <v>57.75</v>
          </cell>
          <cell r="J365">
            <v>124.4</v>
          </cell>
          <cell r="K365">
            <v>143</v>
          </cell>
          <cell r="L365">
            <v>20.6</v>
          </cell>
          <cell r="M365">
            <v>14149.93</v>
          </cell>
          <cell r="O365">
            <v>1.1037527593819041E-2</v>
          </cell>
          <cell r="P365">
            <v>2.5490196078431282E-2</v>
          </cell>
          <cell r="Q365">
            <v>2.8571428571428914E-3</v>
          </cell>
          <cell r="R365">
            <v>-2.0465116279069773E-2</v>
          </cell>
          <cell r="S365">
            <v>2.0905923344947785E-2</v>
          </cell>
          <cell r="T365">
            <v>5.2173913043478182E-2</v>
          </cell>
          <cell r="U365">
            <v>5.2910052910053462E-3</v>
          </cell>
          <cell r="V365">
            <v>-4.3103448275861878E-3</v>
          </cell>
          <cell r="W365">
            <v>3.225806451612856E-3</v>
          </cell>
          <cell r="X365">
            <v>-1.379310344827589E-2</v>
          </cell>
          <cell r="Y365">
            <v>8.7071240105540904E-2</v>
          </cell>
          <cell r="Z365">
            <v>2.2594019493701323E-2</v>
          </cell>
          <cell r="AB365">
            <v>0.76185364042729598</v>
          </cell>
          <cell r="AC365">
            <v>1.0472819584859427</v>
          </cell>
          <cell r="AD365">
            <v>0.71109953509128632</v>
          </cell>
          <cell r="AE365">
            <v>0.93530841798305431</v>
          </cell>
          <cell r="AF365">
            <v>0.82437689272115355</v>
          </cell>
          <cell r="AG365">
            <v>1.510180476157523</v>
          </cell>
          <cell r="AH365">
            <v>0.31700274179038079</v>
          </cell>
          <cell r="AI365">
            <v>0.91469753178116264</v>
          </cell>
          <cell r="AJ365">
            <v>0.87538367035080678</v>
          </cell>
          <cell r="AK365">
            <v>0.94854194143779602</v>
          </cell>
          <cell r="AL365">
            <v>0.74168630388624734</v>
          </cell>
        </row>
        <row r="366">
          <cell r="A366" t="str">
            <v>07/07/2005</v>
          </cell>
          <cell r="B366">
            <v>22.75</v>
          </cell>
          <cell r="C366">
            <v>52</v>
          </cell>
          <cell r="D366">
            <v>105</v>
          </cell>
          <cell r="E366">
            <v>52.35</v>
          </cell>
          <cell r="F366">
            <v>14.55</v>
          </cell>
          <cell r="G366">
            <v>2.9750000000000001</v>
          </cell>
          <cell r="H366">
            <v>9.5</v>
          </cell>
          <cell r="I366">
            <v>57.8</v>
          </cell>
          <cell r="J366">
            <v>123.5</v>
          </cell>
          <cell r="K366">
            <v>144</v>
          </cell>
          <cell r="L366">
            <v>20.5</v>
          </cell>
          <cell r="M366">
            <v>14030.81</v>
          </cell>
          <cell r="O366">
            <v>-2.1929824561404132E-3</v>
          </cell>
          <cell r="P366">
            <v>9.7087378640776656E-3</v>
          </cell>
          <cell r="Q366">
            <v>4.7846889952152249E-3</v>
          </cell>
          <cell r="R366">
            <v>6.7307692307692069E-3</v>
          </cell>
          <cell r="S366">
            <v>1.0416666666666741E-2</v>
          </cell>
          <cell r="T366">
            <v>2.5862068965517349E-2</v>
          </cell>
          <cell r="U366">
            <v>0</v>
          </cell>
          <cell r="V366">
            <v>-1.1965811965812034E-2</v>
          </cell>
          <cell r="W366">
            <v>-4.0322580645161255E-3</v>
          </cell>
          <cell r="X366">
            <v>-2.0408163265306145E-2</v>
          </cell>
          <cell r="Y366">
            <v>7.3298429319371694E-2</v>
          </cell>
          <cell r="Z366">
            <v>9.5161006004222948E-3</v>
          </cell>
          <cell r="AB366">
            <v>0.7615682611675435</v>
          </cell>
          <cell r="AC366">
            <v>1.0495358649664139</v>
          </cell>
          <cell r="AD366">
            <v>0.71127814641053744</v>
          </cell>
          <cell r="AE366">
            <v>0.93559101577581139</v>
          </cell>
          <cell r="AF366">
            <v>0.82494286798395344</v>
          </cell>
          <cell r="AG366">
            <v>1.5134441095264966</v>
          </cell>
          <cell r="AH366">
            <v>0.31884571578875487</v>
          </cell>
          <cell r="AI366">
            <v>0.91266612140551573</v>
          </cell>
          <cell r="AJ366">
            <v>0.87491014685529778</v>
          </cell>
          <cell r="AK366">
            <v>0.94531250712668013</v>
          </cell>
          <cell r="AL366">
            <v>0.74886859289120966</v>
          </cell>
        </row>
        <row r="367">
          <cell r="A367" t="str">
            <v>08/07/2005</v>
          </cell>
          <cell r="B367">
            <v>22.8</v>
          </cell>
          <cell r="C367">
            <v>51.8</v>
          </cell>
          <cell r="D367">
            <v>104.9</v>
          </cell>
          <cell r="E367">
            <v>52.2</v>
          </cell>
          <cell r="F367">
            <v>14.5</v>
          </cell>
          <cell r="G367">
            <v>3.0249999999999999</v>
          </cell>
          <cell r="H367">
            <v>9.4499999999999993</v>
          </cell>
          <cell r="I367">
            <v>58</v>
          </cell>
          <cell r="J367">
            <v>123</v>
          </cell>
          <cell r="K367">
            <v>142.5</v>
          </cell>
          <cell r="L367">
            <v>20.350000000000001</v>
          </cell>
          <cell r="M367">
            <v>13964.47</v>
          </cell>
          <cell r="O367">
            <v>2.19780219780219E-3</v>
          </cell>
          <cell r="P367">
            <v>-3.8461538461539435E-3</v>
          </cell>
          <cell r="Q367">
            <v>-5.687203791469142E-3</v>
          </cell>
          <cell r="R367">
            <v>8.6956521739129933E-3</v>
          </cell>
          <cell r="S367">
            <v>3.4602076124568004E-3</v>
          </cell>
          <cell r="T367">
            <v>4.31034482758621E-2</v>
          </cell>
          <cell r="U367">
            <v>-1.0471204188481797E-2</v>
          </cell>
          <cell r="V367">
            <v>-1.2765957446808529E-2</v>
          </cell>
          <cell r="W367">
            <v>-1.2048192771084376E-2</v>
          </cell>
          <cell r="X367">
            <v>-2.3972602739726012E-2</v>
          </cell>
          <cell r="Y367">
            <v>6.5445026178010401E-2</v>
          </cell>
          <cell r="Z367">
            <v>4.7602909994093334E-3</v>
          </cell>
          <cell r="AB367">
            <v>0.76185475285022519</v>
          </cell>
          <cell r="AC367">
            <v>1.0502084061788923</v>
          </cell>
          <cell r="AD367">
            <v>0.71098757243194277</v>
          </cell>
          <cell r="AE367">
            <v>0.93607700804039873</v>
          </cell>
          <cell r="AF367">
            <v>0.82506439350534944</v>
          </cell>
          <cell r="AG367">
            <v>1.5163940177944124</v>
          </cell>
          <cell r="AH367">
            <v>0.31929089794860532</v>
          </cell>
          <cell r="AI367">
            <v>0.91183586778851144</v>
          </cell>
          <cell r="AJ367">
            <v>0.87446555902281786</v>
          </cell>
          <cell r="AK367">
            <v>0.94374066306277804</v>
          </cell>
          <cell r="AL367">
            <v>0.75224526468669428</v>
          </cell>
        </row>
        <row r="368">
          <cell r="A368" t="str">
            <v>11/07/2005</v>
          </cell>
          <cell r="B368">
            <v>22.8</v>
          </cell>
          <cell r="C368">
            <v>52.1</v>
          </cell>
          <cell r="D368">
            <v>105.4</v>
          </cell>
          <cell r="E368">
            <v>52.95</v>
          </cell>
          <cell r="F368">
            <v>14.6</v>
          </cell>
          <cell r="G368">
            <v>3</v>
          </cell>
          <cell r="H368">
            <v>9.4499999999999993</v>
          </cell>
          <cell r="I368">
            <v>58.8</v>
          </cell>
          <cell r="J368">
            <v>124.2</v>
          </cell>
          <cell r="K368">
            <v>145</v>
          </cell>
          <cell r="L368">
            <v>20.6</v>
          </cell>
          <cell r="M368">
            <v>14157.24</v>
          </cell>
          <cell r="O368">
            <v>2.19780219780219E-3</v>
          </cell>
          <cell r="P368">
            <v>1.9230769230769162E-3</v>
          </cell>
          <cell r="Q368">
            <v>-9.4786729857809782E-4</v>
          </cell>
          <cell r="R368">
            <v>2.3188405797101463E-2</v>
          </cell>
          <cell r="S368">
            <v>6.8965517241379448E-3</v>
          </cell>
          <cell r="T368">
            <v>3.4482758620689724E-2</v>
          </cell>
          <cell r="U368">
            <v>-1.0471204188481797E-2</v>
          </cell>
          <cell r="V368">
            <v>8.5106382978716866E-4</v>
          </cell>
          <cell r="W368">
            <v>-6.3999999999999613E-3</v>
          </cell>
          <cell r="X368">
            <v>-1.0238907849829393E-2</v>
          </cell>
          <cell r="Y368">
            <v>7.571801566579639E-2</v>
          </cell>
          <cell r="Z368">
            <v>1.5965829336134885E-2</v>
          </cell>
          <cell r="AB368">
            <v>0.76129161215560881</v>
          </cell>
          <cell r="AC368">
            <v>1.0513287754377827</v>
          </cell>
          <cell r="AD368">
            <v>0.70949129573538883</v>
          </cell>
          <cell r="AE368">
            <v>0.93833695727114153</v>
          </cell>
          <cell r="AF368">
            <v>0.82444500364878204</v>
          </cell>
          <cell r="AG368">
            <v>1.5214299199999817</v>
          </cell>
          <cell r="AH368">
            <v>0.32010088944951193</v>
          </cell>
          <cell r="AI368">
            <v>0.90975593949374056</v>
          </cell>
          <cell r="AJ368">
            <v>0.87231322586173898</v>
          </cell>
          <cell r="AK368">
            <v>0.93923289995165804</v>
          </cell>
          <cell r="AL368">
            <v>0.76342982861421371</v>
          </cell>
        </row>
        <row r="369">
          <cell r="A369" t="str">
            <v>12/07/2005</v>
          </cell>
          <cell r="B369">
            <v>22.85</v>
          </cell>
          <cell r="C369">
            <v>52.2</v>
          </cell>
          <cell r="D369">
            <v>105.2</v>
          </cell>
          <cell r="E369">
            <v>52.4</v>
          </cell>
          <cell r="F369">
            <v>14.6</v>
          </cell>
          <cell r="G369">
            <v>3</v>
          </cell>
          <cell r="H369">
            <v>9.5</v>
          </cell>
          <cell r="I369">
            <v>58.4</v>
          </cell>
          <cell r="J369">
            <v>124.3</v>
          </cell>
          <cell r="K369">
            <v>145.30000000000001</v>
          </cell>
          <cell r="L369">
            <v>20.7</v>
          </cell>
          <cell r="M369">
            <v>14146.95</v>
          </cell>
          <cell r="O369">
            <v>2.1929824561404132E-3</v>
          </cell>
          <cell r="P369">
            <v>-9.5693779904304499E-4</v>
          </cell>
          <cell r="Q369">
            <v>-2.8436018957345155E-3</v>
          </cell>
          <cell r="R369">
            <v>-1.9047619047619646E-3</v>
          </cell>
          <cell r="S369">
            <v>1.0380622837370179E-2</v>
          </cell>
          <cell r="T369">
            <v>2.5641025641025772E-2</v>
          </cell>
          <cell r="U369">
            <v>-1.5544041450777257E-2</v>
          </cell>
          <cell r="V369">
            <v>-1.7094017094017033E-3</v>
          </cell>
          <cell r="W369">
            <v>-5.6000000000000494E-3</v>
          </cell>
          <cell r="X369">
            <v>-4.794520547945158E-3</v>
          </cell>
          <cell r="Y369">
            <v>8.6614173228346303E-2</v>
          </cell>
          <cell r="Z369">
            <v>1.3971453595966743E-2</v>
          </cell>
          <cell r="AB369">
            <v>0.76103657979519124</v>
          </cell>
          <cell r="AC369">
            <v>1.0521721554994172</v>
          </cell>
          <cell r="AD369">
            <v>0.70813467270462149</v>
          </cell>
          <cell r="AE369">
            <v>0.93677420723862359</v>
          </cell>
          <cell r="AF369">
            <v>0.82468688076925933</v>
          </cell>
          <cell r="AG369">
            <v>1.5248759131916436</v>
          </cell>
          <cell r="AH369">
            <v>0.32012723922811903</v>
          </cell>
          <cell r="AI369">
            <v>0.90785840505967386</v>
          </cell>
          <cell r="AJ369">
            <v>0.87084910903287593</v>
          </cell>
          <cell r="AK369">
            <v>0.93646791686555286</v>
          </cell>
          <cell r="AL369">
            <v>0.77490149064747549</v>
          </cell>
        </row>
        <row r="370">
          <cell r="A370" t="str">
            <v>13/07/2005</v>
          </cell>
          <cell r="B370">
            <v>22.95</v>
          </cell>
          <cell r="C370">
            <v>52.4</v>
          </cell>
          <cell r="D370">
            <v>104.9</v>
          </cell>
          <cell r="E370">
            <v>52.85</v>
          </cell>
          <cell r="F370">
            <v>14.65</v>
          </cell>
          <cell r="G370">
            <v>3.0249999999999999</v>
          </cell>
          <cell r="H370">
            <v>9.4499999999999993</v>
          </cell>
          <cell r="I370">
            <v>58.95</v>
          </cell>
          <cell r="J370">
            <v>125</v>
          </cell>
          <cell r="K370">
            <v>146.4</v>
          </cell>
          <cell r="L370">
            <v>21.1</v>
          </cell>
          <cell r="M370">
            <v>14307.3</v>
          </cell>
          <cell r="O370">
            <v>6.5789473684210176E-3</v>
          </cell>
          <cell r="P370">
            <v>2.870813397129135E-3</v>
          </cell>
          <cell r="Q370">
            <v>-9.5238095238092679E-4</v>
          </cell>
          <cell r="R370">
            <v>-7.5117370892018309E-3</v>
          </cell>
          <cell r="S370">
            <v>1.384083044982698E-2</v>
          </cell>
          <cell r="T370">
            <v>4.31034482758621E-2</v>
          </cell>
          <cell r="U370">
            <v>-2.0725388601036343E-2</v>
          </cell>
          <cell r="V370">
            <v>7.692307692307665E-3</v>
          </cell>
          <cell r="W370">
            <v>8.0645161290322509E-3</v>
          </cell>
          <cell r="X370">
            <v>6.1855670103092564E-3</v>
          </cell>
          <cell r="Y370">
            <v>0.11052631578947381</v>
          </cell>
          <cell r="Z370">
            <v>2.8946098508357831E-2</v>
          </cell>
          <cell r="AB370">
            <v>0.75836058597421296</v>
          </cell>
          <cell r="AC370">
            <v>1.0502035632194027</v>
          </cell>
          <cell r="AD370">
            <v>0.70270503241825988</v>
          </cell>
          <cell r="AE370">
            <v>0.92756230079435531</v>
          </cell>
          <cell r="AF370">
            <v>0.82243747921899668</v>
          </cell>
          <cell r="AG370">
            <v>1.5301937140469319</v>
          </cell>
          <cell r="AH370">
            <v>0.31710712496621718</v>
          </cell>
          <cell r="AI370">
            <v>0.90272678905341674</v>
          </cell>
          <cell r="AJ370">
            <v>0.86807868013283807</v>
          </cell>
          <cell r="AK370">
            <v>0.92993532887107355</v>
          </cell>
          <cell r="AL370">
            <v>0.80190673419282466</v>
          </cell>
        </row>
        <row r="371">
          <cell r="A371" t="str">
            <v>14/07/2005</v>
          </cell>
          <cell r="B371">
            <v>23.05</v>
          </cell>
          <cell r="C371">
            <v>52.85</v>
          </cell>
          <cell r="D371">
            <v>105.6</v>
          </cell>
          <cell r="E371">
            <v>52.55</v>
          </cell>
          <cell r="F371">
            <v>14.9</v>
          </cell>
          <cell r="G371">
            <v>3.05</v>
          </cell>
          <cell r="H371">
            <v>9.5</v>
          </cell>
          <cell r="I371">
            <v>59</v>
          </cell>
          <cell r="J371">
            <v>125.8</v>
          </cell>
          <cell r="K371">
            <v>148.5</v>
          </cell>
          <cell r="L371">
            <v>21.95</v>
          </cell>
          <cell r="M371">
            <v>14491.54</v>
          </cell>
          <cell r="O371">
            <v>1.0964912280701844E-2</v>
          </cell>
          <cell r="P371">
            <v>2.6213592233009786E-2</v>
          </cell>
          <cell r="Q371">
            <v>9.4786729857809782E-4</v>
          </cell>
          <cell r="R371">
            <v>-1.3145539906103343E-2</v>
          </cell>
          <cell r="S371">
            <v>3.4722222222222321E-2</v>
          </cell>
          <cell r="T371">
            <v>4.2735042735042805E-2</v>
          </cell>
          <cell r="U371">
            <v>-1.5544041450777257E-2</v>
          </cell>
          <cell r="V371">
            <v>8.5470085470085166E-3</v>
          </cell>
          <cell r="W371">
            <v>1.0441767068273045E-2</v>
          </cell>
          <cell r="X371">
            <v>2.0618556701030855E-2</v>
          </cell>
          <cell r="Y371">
            <v>0.15831134564643801</v>
          </cell>
          <cell r="Z371">
            <v>4.1485378351767688E-2</v>
          </cell>
          <cell r="AB371">
            <v>0.7524587730526483</v>
          </cell>
          <cell r="AC371">
            <v>1.0518824599125238</v>
          </cell>
          <cell r="AD371">
            <v>0.69223460647208557</v>
          </cell>
          <cell r="AE371">
            <v>0.90740634755844307</v>
          </cell>
          <cell r="AF371">
            <v>0.82389960982472665</v>
          </cell>
          <cell r="AG371">
            <v>1.5290814626576734</v>
          </cell>
          <cell r="AH371">
            <v>0.31346344324887598</v>
          </cell>
          <cell r="AI371">
            <v>0.89113279284718605</v>
          </cell>
          <cell r="AJ371">
            <v>0.86058523864641978</v>
          </cell>
          <cell r="AK371">
            <v>0.92212550136771532</v>
          </cell>
          <cell r="AL371">
            <v>0.85543223089530718</v>
          </cell>
        </row>
        <row r="372">
          <cell r="A372" t="str">
            <v>15/07/2005</v>
          </cell>
          <cell r="B372">
            <v>23.25</v>
          </cell>
          <cell r="C372">
            <v>53.2</v>
          </cell>
          <cell r="D372">
            <v>106</v>
          </cell>
          <cell r="E372">
            <v>53.6</v>
          </cell>
          <cell r="F372">
            <v>15.15</v>
          </cell>
          <cell r="G372">
            <v>3.125</v>
          </cell>
          <cell r="H372">
            <v>9.65</v>
          </cell>
          <cell r="I372">
            <v>59.1</v>
          </cell>
          <cell r="J372">
            <v>126</v>
          </cell>
          <cell r="K372">
            <v>149.19999999999999</v>
          </cell>
          <cell r="L372">
            <v>22.45</v>
          </cell>
          <cell r="M372">
            <v>14504.29</v>
          </cell>
          <cell r="O372">
            <v>2.19780219780219E-2</v>
          </cell>
          <cell r="P372">
            <v>4.3137254901960853E-2</v>
          </cell>
          <cell r="Q372">
            <v>9.52380952380949E-3</v>
          </cell>
          <cell r="R372">
            <v>1.132075471698113E-2</v>
          </cell>
          <cell r="S372">
            <v>5.2083333333333259E-2</v>
          </cell>
          <cell r="T372">
            <v>5.9322033898304927E-2</v>
          </cell>
          <cell r="U372">
            <v>-5.1546391752576026E-3</v>
          </cell>
          <cell r="V372">
            <v>1.025641025641022E-2</v>
          </cell>
          <cell r="W372">
            <v>1.6129032258064502E-2</v>
          </cell>
          <cell r="X372">
            <v>2.8965517241379191E-2</v>
          </cell>
          <cell r="Y372">
            <v>0.17232375979112269</v>
          </cell>
          <cell r="Z372">
            <v>4.8487985351533647E-2</v>
          </cell>
          <cell r="AB372">
            <v>0.74874128858139699</v>
          </cell>
          <cell r="AC372">
            <v>1.0584267467552171</v>
          </cell>
          <cell r="AD372">
            <v>0.68247147308065481</v>
          </cell>
          <cell r="AE372">
            <v>0.89397266689569943</v>
          </cell>
          <cell r="AF372">
            <v>0.83120106592025955</v>
          </cell>
          <cell r="AG372">
            <v>1.5307325766474489</v>
          </cell>
          <cell r="AH372">
            <v>0.31344708526957193</v>
          </cell>
          <cell r="AI372">
            <v>0.87607667538992018</v>
          </cell>
          <cell r="AJ372">
            <v>0.85212357004970485</v>
          </cell>
          <cell r="AK372">
            <v>0.91440623613728378</v>
          </cell>
          <cell r="AL372">
            <v>0.91861924054429167</v>
          </cell>
        </row>
        <row r="373">
          <cell r="A373" t="str">
            <v>18/07/2005</v>
          </cell>
          <cell r="B373">
            <v>23.5</v>
          </cell>
          <cell r="C373">
            <v>53.5</v>
          </cell>
          <cell r="D373">
            <v>106.1</v>
          </cell>
          <cell r="E373">
            <v>53.35</v>
          </cell>
          <cell r="F373">
            <v>15.25</v>
          </cell>
          <cell r="G373">
            <v>3.2</v>
          </cell>
          <cell r="H373">
            <v>9.85</v>
          </cell>
          <cell r="I373">
            <v>59.2</v>
          </cell>
          <cell r="J373">
            <v>125.9</v>
          </cell>
          <cell r="K373">
            <v>149.1</v>
          </cell>
          <cell r="L373">
            <v>22.5</v>
          </cell>
          <cell r="M373">
            <v>14567</v>
          </cell>
          <cell r="O373">
            <v>3.524229074889873E-2</v>
          </cell>
          <cell r="P373">
            <v>3.3816425120772875E-2</v>
          </cell>
          <cell r="Q373">
            <v>1.0476190476190528E-2</v>
          </cell>
          <cell r="R373">
            <v>1.6190476190476311E-2</v>
          </cell>
          <cell r="S373">
            <v>5.9027777777777679E-2</v>
          </cell>
          <cell r="T373">
            <v>9.4017094017094127E-2</v>
          </cell>
          <cell r="U373">
            <v>2.6041666666666741E-2</v>
          </cell>
          <cell r="V373">
            <v>7.6595744680851841E-3</v>
          </cell>
          <cell r="W373">
            <v>1.1244979919678766E-2</v>
          </cell>
          <cell r="X373">
            <v>2.4742268041237025E-2</v>
          </cell>
          <cell r="Y373">
            <v>0.14503816793893143</v>
          </cell>
          <cell r="Z373">
            <v>4.7079398189911803E-2</v>
          </cell>
          <cell r="AB373">
            <v>0.75196209738976905</v>
          </cell>
          <cell r="AC373">
            <v>1.0607891619268843</v>
          </cell>
          <cell r="AD373">
            <v>0.67443223831049037</v>
          </cell>
          <cell r="AE373">
            <v>0.88452687365733518</v>
          </cell>
          <cell r="AF373">
            <v>0.84162598410390366</v>
          </cell>
          <cell r="AG373">
            <v>1.5492756606950395</v>
          </cell>
          <cell r="AH373">
            <v>0.32805622995470279</v>
          </cell>
          <cell r="AI373">
            <v>0.86168497033224023</v>
          </cell>
          <cell r="AJ373">
            <v>0.84268657413974746</v>
          </cell>
          <cell r="AK373">
            <v>0.90599381863909978</v>
          </cell>
          <cell r="AL373">
            <v>0.96435993940771536</v>
          </cell>
        </row>
        <row r="374">
          <cell r="A374" t="str">
            <v>19/07/2005</v>
          </cell>
          <cell r="B374">
            <v>23.55</v>
          </cell>
          <cell r="C374">
            <v>53.7</v>
          </cell>
          <cell r="D374">
            <v>106.2</v>
          </cell>
          <cell r="E374">
            <v>53.5</v>
          </cell>
          <cell r="F374">
            <v>15.1</v>
          </cell>
          <cell r="G374">
            <v>3.2</v>
          </cell>
          <cell r="H374">
            <v>10.1</v>
          </cell>
          <cell r="I374">
            <v>61.05</v>
          </cell>
          <cell r="J374">
            <v>125</v>
          </cell>
          <cell r="K374">
            <v>149.1</v>
          </cell>
          <cell r="L374">
            <v>22.25</v>
          </cell>
          <cell r="M374">
            <v>14567.74</v>
          </cell>
          <cell r="O374">
            <v>3.0634573304157531E-2</v>
          </cell>
          <cell r="P374">
            <v>3.2692307692307798E-2</v>
          </cell>
          <cell r="Q374">
            <v>6.6350710900473509E-3</v>
          </cell>
          <cell r="R374">
            <v>2.8846153846153744E-2</v>
          </cell>
          <cell r="S374">
            <v>4.4982698961937739E-2</v>
          </cell>
          <cell r="T374">
            <v>9.4017094017094127E-2</v>
          </cell>
          <cell r="U374">
            <v>5.7591623036649109E-2</v>
          </cell>
          <cell r="V374">
            <v>4.3589743589743435E-2</v>
          </cell>
          <cell r="W374">
            <v>0</v>
          </cell>
          <cell r="X374">
            <v>2.1232876712328652E-2</v>
          </cell>
          <cell r="Y374">
            <v>0.13520408163265296</v>
          </cell>
          <cell r="Z374">
            <v>4.4599186706793414E-2</v>
          </cell>
          <cell r="AB374">
            <v>0.75367811984587496</v>
          </cell>
          <cell r="AC374">
            <v>1.0635470284494628</v>
          </cell>
          <cell r="AD374">
            <v>0.66630823972029829</v>
          </cell>
          <cell r="AE374">
            <v>0.88239406007083787</v>
          </cell>
          <cell r="AF374">
            <v>0.84586786106346445</v>
          </cell>
          <cell r="AG374">
            <v>1.5675204323277792</v>
          </cell>
          <cell r="AH374">
            <v>0.35492986254454845</v>
          </cell>
          <cell r="AI374">
            <v>0.86501508797378901</v>
          </cell>
          <cell r="AJ374">
            <v>0.83033390211956015</v>
          </cell>
          <cell r="AK374">
            <v>0.8979216371570018</v>
          </cell>
          <cell r="AL374">
            <v>1.0021552441132011</v>
          </cell>
        </row>
        <row r="375">
          <cell r="A375" t="str">
            <v>20/07/2005</v>
          </cell>
          <cell r="B375">
            <v>23.4</v>
          </cell>
          <cell r="C375">
            <v>53.6</v>
          </cell>
          <cell r="D375">
            <v>106.4</v>
          </cell>
          <cell r="E375">
            <v>54.75</v>
          </cell>
          <cell r="F375">
            <v>15.1</v>
          </cell>
          <cell r="G375">
            <v>3.125</v>
          </cell>
          <cell r="H375">
            <v>10.199999999999999</v>
          </cell>
          <cell r="I375">
            <v>61.35</v>
          </cell>
          <cell r="J375">
            <v>125.5</v>
          </cell>
          <cell r="K375">
            <v>152.5</v>
          </cell>
          <cell r="L375">
            <v>22.4</v>
          </cell>
          <cell r="M375">
            <v>14602.7</v>
          </cell>
          <cell r="O375">
            <v>2.631578947368407E-2</v>
          </cell>
          <cell r="P375">
            <v>5.0980392156862786E-2</v>
          </cell>
          <cell r="Q375">
            <v>8.5308056872037685E-3</v>
          </cell>
          <cell r="R375">
            <v>7.8817733990147687E-2</v>
          </cell>
          <cell r="S375">
            <v>4.861111111111116E-2</v>
          </cell>
          <cell r="T375">
            <v>7.7586206896551824E-2</v>
          </cell>
          <cell r="U375">
            <v>5.6994818652849721E-2</v>
          </cell>
          <cell r="V375">
            <v>6.2337662337662358E-2</v>
          </cell>
          <cell r="W375">
            <v>4.0000000000000036E-3</v>
          </cell>
          <cell r="X375">
            <v>4.8109965635738883E-2</v>
          </cell>
          <cell r="Y375">
            <v>0.13994910941475824</v>
          </cell>
          <cell r="Z375">
            <v>4.4590771387797101E-2</v>
          </cell>
          <cell r="AB375">
            <v>0.75351712001359705</v>
          </cell>
          <cell r="AC375">
            <v>1.0737681682596985</v>
          </cell>
          <cell r="AD375">
            <v>0.65937924031269601</v>
          </cell>
          <cell r="AE375">
            <v>0.90112950706086736</v>
          </cell>
          <cell r="AF375">
            <v>0.85140843199853844</v>
          </cell>
          <cell r="AG375">
            <v>1.5780351916699962</v>
          </cell>
          <cell r="AH375">
            <v>0.38021657960803373</v>
          </cell>
          <cell r="AI375">
            <v>0.87597026648993093</v>
          </cell>
          <cell r="AJ375">
            <v>0.82026183195512614</v>
          </cell>
          <cell r="AK375">
            <v>0.90142024197586113</v>
          </cell>
          <cell r="AL375">
            <v>1.0400402751775328</v>
          </cell>
        </row>
        <row r="376">
          <cell r="A376" t="str">
            <v>21/07/2005</v>
          </cell>
          <cell r="B376">
            <v>23.45</v>
          </cell>
          <cell r="C376">
            <v>54.05</v>
          </cell>
          <cell r="D376">
            <v>106.4</v>
          </cell>
          <cell r="E376">
            <v>54.75</v>
          </cell>
          <cell r="F376">
            <v>15.4</v>
          </cell>
          <cell r="G376">
            <v>3.15</v>
          </cell>
          <cell r="H376">
            <v>10.15</v>
          </cell>
          <cell r="I376">
            <v>60.5</v>
          </cell>
          <cell r="J376">
            <v>125.6</v>
          </cell>
          <cell r="K376">
            <v>155.4</v>
          </cell>
          <cell r="L376">
            <v>22.45</v>
          </cell>
          <cell r="M376">
            <v>14620.14</v>
          </cell>
          <cell r="O376">
            <v>2.4017467248908408E-2</v>
          </cell>
          <cell r="P376">
            <v>4.9514563106796139E-2</v>
          </cell>
          <cell r="Q376">
            <v>-9.3896713615015948E-4</v>
          </cell>
          <cell r="R376">
            <v>6.3106796116504826E-2</v>
          </cell>
          <cell r="S376">
            <v>5.4794520547945202E-2</v>
          </cell>
          <cell r="T376">
            <v>4.1322314049586861E-2</v>
          </cell>
          <cell r="U376">
            <v>4.6391752577319645E-2</v>
          </cell>
          <cell r="V376">
            <v>3.4188034188034289E-2</v>
          </cell>
          <cell r="W376">
            <v>-3.1746031746032743E-3</v>
          </cell>
          <cell r="X376">
            <v>5.7142857142857162E-2</v>
          </cell>
          <cell r="Y376">
            <v>0.12814070351758788</v>
          </cell>
          <cell r="Z376">
            <v>3.2421393374206131E-2</v>
          </cell>
          <cell r="AB376">
            <v>0.75541554988840243</v>
          </cell>
          <cell r="AC376">
            <v>1.0841745222836088</v>
          </cell>
          <cell r="AD376">
            <v>0.65420132772039452</v>
          </cell>
          <cell r="AE376">
            <v>0.91260030165568795</v>
          </cell>
          <cell r="AF376">
            <v>0.86004774642348969</v>
          </cell>
          <cell r="AG376">
            <v>1.5802637303706795</v>
          </cell>
          <cell r="AH376">
            <v>0.3958234633261607</v>
          </cell>
          <cell r="AI376">
            <v>0.87837551467617503</v>
          </cell>
          <cell r="AJ376">
            <v>0.81417025154015876</v>
          </cell>
          <cell r="AK376">
            <v>0.90966916770759554</v>
          </cell>
          <cell r="AL376">
            <v>1.066288375103613</v>
          </cell>
        </row>
        <row r="377">
          <cell r="A377" t="str">
            <v>22/07/2005</v>
          </cell>
          <cell r="B377">
            <v>23.65</v>
          </cell>
          <cell r="C377">
            <v>54.85</v>
          </cell>
          <cell r="D377">
            <v>107.2</v>
          </cell>
          <cell r="E377">
            <v>55.05</v>
          </cell>
          <cell r="F377">
            <v>15.55</v>
          </cell>
          <cell r="G377">
            <v>3.15</v>
          </cell>
          <cell r="H377">
            <v>10.35</v>
          </cell>
          <cell r="I377">
            <v>61.5</v>
          </cell>
          <cell r="J377">
            <v>126.7</v>
          </cell>
          <cell r="K377">
            <v>159.5</v>
          </cell>
          <cell r="L377">
            <v>23.2</v>
          </cell>
          <cell r="M377">
            <v>14786.46</v>
          </cell>
          <cell r="O377">
            <v>3.0501089324618702E-2</v>
          </cell>
          <cell r="P377">
            <v>5.9903381642512077E-2</v>
          </cell>
          <cell r="Q377">
            <v>6.5727699530515604E-3</v>
          </cell>
          <cell r="R377">
            <v>6.893203883495147E-2</v>
          </cell>
          <cell r="S377">
            <v>6.1433447098976135E-2</v>
          </cell>
          <cell r="T377">
            <v>4.1322314049586861E-2</v>
          </cell>
          <cell r="U377">
            <v>6.7010309278350499E-2</v>
          </cell>
          <cell r="V377">
            <v>5.1282051282051322E-2</v>
          </cell>
          <cell r="W377">
            <v>-2.3622047244094002E-3</v>
          </cell>
          <cell r="X377">
            <v>9.2465753424657571E-2</v>
          </cell>
          <cell r="Y377">
            <v>0.15999999999999992</v>
          </cell>
          <cell r="Z377">
            <v>4.2001516513934689E-2</v>
          </cell>
          <cell r="AB377">
            <v>0.75753642836078972</v>
          </cell>
          <cell r="AC377">
            <v>1.0973548411666407</v>
          </cell>
          <cell r="AD377">
            <v>0.64811180406209579</v>
          </cell>
          <cell r="AE377">
            <v>0.92603011476775166</v>
          </cell>
          <cell r="AF377">
            <v>0.87038711626566179</v>
          </cell>
          <cell r="AG377">
            <v>1.5773900511367596</v>
          </cell>
          <cell r="AH377">
            <v>0.42192025944237682</v>
          </cell>
          <cell r="AI377">
            <v>0.88468721119031013</v>
          </cell>
          <cell r="AJ377">
            <v>0.80382635322573326</v>
          </cell>
          <cell r="AK377">
            <v>0.93012757762166243</v>
          </cell>
          <cell r="AL377">
            <v>1.1076746954777335</v>
          </cell>
        </row>
        <row r="378">
          <cell r="A378" t="str">
            <v>25/07/2005</v>
          </cell>
          <cell r="B378">
            <v>23.75</v>
          </cell>
          <cell r="C378">
            <v>55.3</v>
          </cell>
          <cell r="D378">
            <v>107.5</v>
          </cell>
          <cell r="E378">
            <v>55.65</v>
          </cell>
          <cell r="F378">
            <v>15.65</v>
          </cell>
          <cell r="G378">
            <v>3.1749999999999998</v>
          </cell>
          <cell r="H378">
            <v>10.25</v>
          </cell>
          <cell r="I378">
            <v>61.5</v>
          </cell>
          <cell r="J378">
            <v>127</v>
          </cell>
          <cell r="K378">
            <v>164.9</v>
          </cell>
          <cell r="L378">
            <v>24.25</v>
          </cell>
          <cell r="M378">
            <v>14794.03</v>
          </cell>
          <cell r="O378">
            <v>3.7117903930131035E-2</v>
          </cell>
          <cell r="P378">
            <v>7.3786407766990303E-2</v>
          </cell>
          <cell r="Q378">
            <v>9.3896713615022609E-3</v>
          </cell>
          <cell r="R378">
            <v>7.5362318840579645E-2</v>
          </cell>
          <cell r="S378">
            <v>7.1917808219178037E-2</v>
          </cell>
          <cell r="T378">
            <v>3.2520325203251987E-2</v>
          </cell>
          <cell r="U378">
            <v>6.7708333333333481E-2</v>
          </cell>
          <cell r="V378">
            <v>6.0344827586206851E-2</v>
          </cell>
          <cell r="W378">
            <v>0</v>
          </cell>
          <cell r="X378">
            <v>0.1294520547945206</v>
          </cell>
          <cell r="Y378">
            <v>0.20646766169154218</v>
          </cell>
          <cell r="Z378">
            <v>3.9615496240765324E-2</v>
          </cell>
          <cell r="AB378">
            <v>0.76236740328951613</v>
          </cell>
          <cell r="AC378">
            <v>1.1149504832747974</v>
          </cell>
          <cell r="AD378">
            <v>0.64413722927891592</v>
          </cell>
          <cell r="AE378">
            <v>0.94112566607206849</v>
          </cell>
          <cell r="AF378">
            <v>0.88405720560834977</v>
          </cell>
          <cell r="AG378">
            <v>1.573054396433476</v>
          </cell>
          <cell r="AH378">
            <v>0.4460255839481333</v>
          </cell>
          <cell r="AI378">
            <v>0.89424726577135216</v>
          </cell>
          <cell r="AJ378">
            <v>0.79598956251826292</v>
          </cell>
          <cell r="AK378">
            <v>0.96215068330333497</v>
          </cell>
          <cell r="AL378">
            <v>1.1619880193438403</v>
          </cell>
        </row>
        <row r="379">
          <cell r="A379" t="str">
            <v>26/07/2005</v>
          </cell>
          <cell r="B379">
            <v>23.8</v>
          </cell>
          <cell r="C379">
            <v>56.45</v>
          </cell>
          <cell r="D379">
            <v>107.3</v>
          </cell>
          <cell r="E379">
            <v>55.65</v>
          </cell>
          <cell r="F379">
            <v>15.5</v>
          </cell>
          <cell r="G379">
            <v>3.1749999999999998</v>
          </cell>
          <cell r="H379">
            <v>10.25</v>
          </cell>
          <cell r="I379">
            <v>61.45</v>
          </cell>
          <cell r="J379">
            <v>127.3</v>
          </cell>
          <cell r="K379">
            <v>158.9</v>
          </cell>
          <cell r="L379">
            <v>23.95</v>
          </cell>
          <cell r="M379">
            <v>14769.93</v>
          </cell>
          <cell r="O379">
            <v>4.3859649122806932E-2</v>
          </cell>
          <cell r="P379">
            <v>0.10686274509803928</v>
          </cell>
          <cell r="Q379">
            <v>1.2264150943396279E-2</v>
          </cell>
          <cell r="R379">
            <v>8.0582524271844536E-2</v>
          </cell>
          <cell r="S379">
            <v>5.8020477815699634E-2</v>
          </cell>
          <cell r="T379">
            <v>4.0983606557376984E-2</v>
          </cell>
          <cell r="U379">
            <v>5.6701030927835072E-2</v>
          </cell>
          <cell r="V379">
            <v>5.9482758620689635E-2</v>
          </cell>
          <cell r="W379">
            <v>1.0317460317460281E-2</v>
          </cell>
          <cell r="X379">
            <v>9.9653979238754298E-2</v>
          </cell>
          <cell r="Y379">
            <v>0.19451371571072307</v>
          </cell>
          <cell r="Z379">
            <v>4.1893928064536956E-2</v>
          </cell>
          <cell r="AB379">
            <v>0.76909220413867663</v>
          </cell>
          <cell r="AC379">
            <v>1.1438776994867434</v>
          </cell>
          <cell r="AD379">
            <v>0.64059472420693697</v>
          </cell>
          <cell r="AE379">
            <v>0.95761323304766155</v>
          </cell>
          <cell r="AF379">
            <v>0.8922522215463945</v>
          </cell>
          <cell r="AG379">
            <v>1.5703949316219241</v>
          </cell>
          <cell r="AH379">
            <v>0.4662527749939186</v>
          </cell>
          <cell r="AI379">
            <v>0.90294255553028346</v>
          </cell>
          <cell r="AJ379">
            <v>0.79106890567457011</v>
          </cell>
          <cell r="AK379">
            <v>0.98325152596544796</v>
          </cell>
          <cell r="AL379">
            <v>1.2120626549249798</v>
          </cell>
        </row>
        <row r="380">
          <cell r="A380" t="str">
            <v>27/07/2005</v>
          </cell>
          <cell r="B380">
            <v>23.75</v>
          </cell>
          <cell r="C380">
            <v>57.5</v>
          </cell>
          <cell r="D380">
            <v>107.5</v>
          </cell>
          <cell r="E380">
            <v>55.4</v>
          </cell>
          <cell r="F380">
            <v>15.55</v>
          </cell>
          <cell r="G380">
            <v>3.2</v>
          </cell>
          <cell r="H380">
            <v>10.199999999999999</v>
          </cell>
          <cell r="I380">
            <v>61.5</v>
          </cell>
          <cell r="J380">
            <v>127</v>
          </cell>
          <cell r="K380">
            <v>157</v>
          </cell>
          <cell r="L380">
            <v>23.8</v>
          </cell>
          <cell r="M380">
            <v>14801.86</v>
          </cell>
          <cell r="O380">
            <v>3.7117903930131035E-2</v>
          </cell>
          <cell r="P380">
            <v>0.12745098039215685</v>
          </cell>
          <cell r="Q380">
            <v>1.4150943396226356E-2</v>
          </cell>
          <cell r="R380">
            <v>6.5384615384615374E-2</v>
          </cell>
          <cell r="S380">
            <v>6.1433447098976135E-2</v>
          </cell>
          <cell r="T380">
            <v>5.7851239669421517E-2</v>
          </cell>
          <cell r="U380">
            <v>5.1546391752577359E-2</v>
          </cell>
          <cell r="V380">
            <v>6.0344827586206851E-2</v>
          </cell>
          <cell r="W380">
            <v>0</v>
          </cell>
          <cell r="X380">
            <v>8.6505190311418678E-2</v>
          </cell>
          <cell r="Y380">
            <v>0.17530864197530871</v>
          </cell>
          <cell r="Z380">
            <v>3.6005050589888787E-2</v>
          </cell>
          <cell r="AB380">
            <v>0.77392302735032559</v>
          </cell>
          <cell r="AC380">
            <v>1.1757376680967295</v>
          </cell>
          <cell r="AD380">
            <v>0.63940132055731158</v>
          </cell>
          <cell r="AE380">
            <v>0.96821405851141862</v>
          </cell>
          <cell r="AF380">
            <v>0.90155668058639038</v>
          </cell>
          <cell r="AG380">
            <v>1.5760752154751363</v>
          </cell>
          <cell r="AH380">
            <v>0.48206021519496389</v>
          </cell>
          <cell r="AI380">
            <v>0.91190767647338578</v>
          </cell>
          <cell r="AJ380">
            <v>0.78534534565714154</v>
          </cell>
          <cell r="AK380">
            <v>0.99828448140328474</v>
          </cell>
          <cell r="AL380">
            <v>1.2493600721723599</v>
          </cell>
        </row>
        <row r="381">
          <cell r="A381" t="str">
            <v>28/07/2005</v>
          </cell>
          <cell r="B381">
            <v>23.7</v>
          </cell>
          <cell r="C381">
            <v>57.8</v>
          </cell>
          <cell r="D381">
            <v>107.3</v>
          </cell>
          <cell r="E381">
            <v>55.4</v>
          </cell>
          <cell r="F381">
            <v>15.6</v>
          </cell>
          <cell r="G381">
            <v>3.2</v>
          </cell>
          <cell r="H381">
            <v>10.199999999999999</v>
          </cell>
          <cell r="I381">
            <v>61.75</v>
          </cell>
          <cell r="J381">
            <v>126.2</v>
          </cell>
          <cell r="K381">
            <v>155.19999999999999</v>
          </cell>
          <cell r="L381">
            <v>23.85</v>
          </cell>
          <cell r="M381">
            <v>14813.32</v>
          </cell>
          <cell r="O381">
            <v>3.2679738562091609E-2</v>
          </cell>
          <cell r="P381">
            <v>0.10622009569377977</v>
          </cell>
          <cell r="Q381">
            <v>7.5117370892019419E-3</v>
          </cell>
          <cell r="R381">
            <v>7.0531400966183488E-2</v>
          </cell>
          <cell r="S381">
            <v>5.7627118644067776E-2</v>
          </cell>
          <cell r="T381">
            <v>5.7851239669421517E-2</v>
          </cell>
          <cell r="U381">
            <v>6.25E-2</v>
          </cell>
          <cell r="V381">
            <v>6.4655172413793149E-2</v>
          </cell>
          <cell r="W381">
            <v>-2.3715415019762709E-3</v>
          </cell>
          <cell r="X381">
            <v>7.7777777777777724E-2</v>
          </cell>
          <cell r="Y381">
            <v>0.17487684729064035</v>
          </cell>
          <cell r="Z381">
            <v>3.7544966548250125E-2</v>
          </cell>
          <cell r="AB381">
            <v>0.77706738012093224</v>
          </cell>
          <cell r="AC381">
            <v>1.2008334767242821</v>
          </cell>
          <cell r="AD381">
            <v>0.63583588050771467</v>
          </cell>
          <cell r="AE381">
            <v>0.98006680138253044</v>
          </cell>
          <cell r="AF381">
            <v>0.90936038812080477</v>
          </cell>
          <cell r="AG381">
            <v>1.5810695402796235</v>
          </cell>
          <cell r="AH381">
            <v>0.50120691784625604</v>
          </cell>
          <cell r="AI381">
            <v>0.92187411636077754</v>
          </cell>
          <cell r="AJ381">
            <v>0.77844871091372569</v>
          </cell>
          <cell r="AK381">
            <v>1.0103136663566135</v>
          </cell>
          <cell r="AL381">
            <v>1.2863544729854097</v>
          </cell>
        </row>
        <row r="382">
          <cell r="A382" t="str">
            <v>29/07/2005</v>
          </cell>
          <cell r="B382">
            <v>23.65</v>
          </cell>
          <cell r="C382">
            <v>56.8</v>
          </cell>
          <cell r="D382">
            <v>107.5</v>
          </cell>
          <cell r="E382">
            <v>55.55</v>
          </cell>
          <cell r="F382">
            <v>15.7</v>
          </cell>
          <cell r="G382">
            <v>3.2</v>
          </cell>
          <cell r="H382">
            <v>10.1</v>
          </cell>
          <cell r="I382">
            <v>63.1</v>
          </cell>
          <cell r="J382">
            <v>126.4</v>
          </cell>
          <cell r="K382">
            <v>155.19999999999999</v>
          </cell>
          <cell r="L382">
            <v>24.15</v>
          </cell>
          <cell r="M382">
            <v>14880.98</v>
          </cell>
          <cell r="O382">
            <v>3.0501089324618702E-2</v>
          </cell>
          <cell r="P382">
            <v>9.2307692307692202E-2</v>
          </cell>
          <cell r="Q382">
            <v>1.4150943396226356E-2</v>
          </cell>
          <cell r="R382">
            <v>9.458128078817718E-2</v>
          </cell>
          <cell r="S382">
            <v>6.8027210884353817E-2</v>
          </cell>
          <cell r="T382">
            <v>6.6666666666666652E-2</v>
          </cell>
          <cell r="U382">
            <v>5.7591623036649109E-2</v>
          </cell>
          <cell r="V382">
            <v>7.8632478632478575E-2</v>
          </cell>
          <cell r="W382">
            <v>1.1200000000000099E-2</v>
          </cell>
          <cell r="X382">
            <v>7.4048442906574419E-2</v>
          </cell>
          <cell r="Y382">
            <v>0.20149253731343264</v>
          </cell>
          <cell r="Z382">
            <v>4.7878116140626092E-2</v>
          </cell>
          <cell r="AB382">
            <v>0.77698073873337281</v>
          </cell>
          <cell r="AC382">
            <v>1.2218233643075984</v>
          </cell>
          <cell r="AD382">
            <v>0.63141088061239725</v>
          </cell>
          <cell r="AE382">
            <v>1.0003403918900267</v>
          </cell>
          <cell r="AF382">
            <v>0.91949930737636221</v>
          </cell>
          <cell r="AG382">
            <v>1.5843489196614975</v>
          </cell>
          <cell r="AH382">
            <v>0.52114974306447159</v>
          </cell>
          <cell r="AI382">
            <v>0.93606903302664568</v>
          </cell>
          <cell r="AJ382">
            <v>0.77200995693779906</v>
          </cell>
          <cell r="AK382">
            <v>1.0197643740620683</v>
          </cell>
          <cell r="AL382">
            <v>1.3377867040989122</v>
          </cell>
        </row>
        <row r="383">
          <cell r="A383" t="str">
            <v>01/08/2005</v>
          </cell>
          <cell r="B383">
            <v>23.75</v>
          </cell>
          <cell r="C383">
            <v>55.8</v>
          </cell>
          <cell r="D383">
            <v>107.8</v>
          </cell>
          <cell r="E383">
            <v>56.55</v>
          </cell>
          <cell r="F383">
            <v>15.75</v>
          </cell>
          <cell r="G383">
            <v>3.1749999999999998</v>
          </cell>
          <cell r="H383">
            <v>10.3</v>
          </cell>
          <cell r="I383">
            <v>63.2</v>
          </cell>
          <cell r="J383">
            <v>127.2</v>
          </cell>
          <cell r="K383">
            <v>156.4</v>
          </cell>
          <cell r="L383">
            <v>24.45</v>
          </cell>
          <cell r="M383">
            <v>14978.88</v>
          </cell>
          <cell r="O383">
            <v>3.4858387799564294E-2</v>
          </cell>
          <cell r="P383">
            <v>7.3076923076923039E-2</v>
          </cell>
          <cell r="Q383">
            <v>1.6981132075471583E-2</v>
          </cell>
          <cell r="R383">
            <v>0.11428571428571432</v>
          </cell>
          <cell r="S383">
            <v>7.1428571428571397E-2</v>
          </cell>
          <cell r="T383">
            <v>5.8333333333333348E-2</v>
          </cell>
          <cell r="U383">
            <v>7.8534031413612482E-2</v>
          </cell>
          <cell r="V383">
            <v>8.0341880341880501E-2</v>
          </cell>
          <cell r="W383">
            <v>1.760000000000006E-2</v>
          </cell>
          <cell r="X383">
            <v>8.2352941176470518E-2</v>
          </cell>
          <cell r="Y383">
            <v>0.21641791044776104</v>
          </cell>
          <cell r="Z383">
            <v>5.4771967726352733E-2</v>
          </cell>
          <cell r="AB383">
            <v>0.7764450904187522</v>
          </cell>
          <cell r="AC383">
            <v>1.232610416710487</v>
          </cell>
          <cell r="AD383">
            <v>0.6258931250952553</v>
          </cell>
          <cell r="AE383">
            <v>1.0281934219326647</v>
          </cell>
          <cell r="AF383">
            <v>0.9293069457001466</v>
          </cell>
          <cell r="AG383">
            <v>1.5794454261927851</v>
          </cell>
          <cell r="AH383">
            <v>0.55064406101396135</v>
          </cell>
          <cell r="AI383">
            <v>0.94952174508544895</v>
          </cell>
          <cell r="AJ383">
            <v>0.76543411812140627</v>
          </cell>
          <cell r="AK383">
            <v>1.0306764733256029</v>
          </cell>
          <cell r="AL383">
            <v>1.3966282857581398</v>
          </cell>
        </row>
        <row r="384">
          <cell r="A384" t="str">
            <v>02/08/2005</v>
          </cell>
          <cell r="B384">
            <v>24</v>
          </cell>
          <cell r="C384">
            <v>56.5</v>
          </cell>
          <cell r="D384">
            <v>107.9</v>
          </cell>
          <cell r="E384">
            <v>58.3</v>
          </cell>
          <cell r="F384">
            <v>16</v>
          </cell>
          <cell r="G384">
            <v>3.2749999999999999</v>
          </cell>
          <cell r="H384">
            <v>10.45</v>
          </cell>
          <cell r="I384">
            <v>64</v>
          </cell>
          <cell r="J384">
            <v>128.5</v>
          </cell>
          <cell r="K384">
            <v>157.6</v>
          </cell>
          <cell r="L384">
            <v>25.25</v>
          </cell>
          <cell r="M384">
            <v>15137.08</v>
          </cell>
          <cell r="O384">
            <v>4.3478260869565188E-2</v>
          </cell>
          <cell r="P384">
            <v>8.4452975047984546E-2</v>
          </cell>
          <cell r="Q384">
            <v>2.274881516587679E-2</v>
          </cell>
          <cell r="R384">
            <v>0.11792905081495686</v>
          </cell>
          <cell r="S384">
            <v>9.2150170648464202E-2</v>
          </cell>
          <cell r="T384">
            <v>0.10084033613445365</v>
          </cell>
          <cell r="U384">
            <v>9.9999999999999867E-2</v>
          </cell>
          <cell r="V384">
            <v>0.10344827586206895</v>
          </cell>
          <cell r="W384">
            <v>3.7126715092816731E-2</v>
          </cell>
          <cell r="X384">
            <v>0.10209790209790204</v>
          </cell>
          <cell r="Y384">
            <v>0.24384236453201957</v>
          </cell>
          <cell r="Z384">
            <v>7.1666855459900258E-2</v>
          </cell>
          <cell r="AB384">
            <v>0.77325561062991666</v>
          </cell>
          <cell r="AC384">
            <v>1.2406394519690158</v>
          </cell>
          <cell r="AD384">
            <v>0.61637010755276522</v>
          </cell>
          <cell r="AE384">
            <v>1.0549195713505903</v>
          </cell>
          <cell r="AF384">
            <v>0.94425462894520984</v>
          </cell>
          <cell r="AG384">
            <v>1.5822720881117174</v>
          </cell>
          <cell r="AH384">
            <v>0.59394591470243463</v>
          </cell>
          <cell r="AI384">
            <v>0.97012436745817421</v>
          </cell>
          <cell r="AJ384">
            <v>0.76100858831081453</v>
          </cell>
          <cell r="AK384">
            <v>1.0454788480038337</v>
          </cell>
          <cell r="AL384">
            <v>1.4715341215253785</v>
          </cell>
        </row>
        <row r="385">
          <cell r="A385" t="str">
            <v>03/08/2005</v>
          </cell>
          <cell r="B385">
            <v>24</v>
          </cell>
          <cell r="C385">
            <v>57.3</v>
          </cell>
          <cell r="D385">
            <v>107.4</v>
          </cell>
          <cell r="E385">
            <v>57.55</v>
          </cell>
          <cell r="F385">
            <v>16.05</v>
          </cell>
          <cell r="G385">
            <v>3.2250000000000001</v>
          </cell>
          <cell r="H385">
            <v>10.5</v>
          </cell>
          <cell r="I385">
            <v>65.5</v>
          </cell>
          <cell r="J385">
            <v>127.8</v>
          </cell>
          <cell r="K385">
            <v>159</v>
          </cell>
          <cell r="L385">
            <v>25.2</v>
          </cell>
          <cell r="M385">
            <v>15118.5</v>
          </cell>
          <cell r="O385">
            <v>4.8034934497816595E-2</v>
          </cell>
          <cell r="P385">
            <v>9.5602294455066961E-2</v>
          </cell>
          <cell r="Q385">
            <v>1.9943019943019946E-2</v>
          </cell>
          <cell r="R385">
            <v>9.3067426400759601E-2</v>
          </cell>
          <cell r="S385">
            <v>9.5563139931740704E-2</v>
          </cell>
          <cell r="T385">
            <v>6.6115702479338845E-2</v>
          </cell>
          <cell r="U385">
            <v>0.10526315789473695</v>
          </cell>
          <cell r="V385">
            <v>0.13419913419913421</v>
          </cell>
          <cell r="W385">
            <v>2.733118971061077E-2</v>
          </cell>
          <cell r="X385">
            <v>0.11188811188811187</v>
          </cell>
          <cell r="Y385">
            <v>0.22330097087378631</v>
          </cell>
          <cell r="Z385">
            <v>6.845051530290247E-2</v>
          </cell>
          <cell r="AB385">
            <v>0.7740876933571339</v>
          </cell>
          <cell r="AC385">
            <v>1.2554382546447227</v>
          </cell>
          <cell r="AD385">
            <v>0.60762299196375291</v>
          </cell>
          <cell r="AE385">
            <v>1.0672472789949854</v>
          </cell>
          <cell r="AF385">
            <v>0.96063510395700424</v>
          </cell>
          <cell r="AG385">
            <v>1.5695122955980771</v>
          </cell>
          <cell r="AH385">
            <v>0.63548231165339564</v>
          </cell>
          <cell r="AI385">
            <v>1.0055402689189039</v>
          </cell>
          <cell r="AJ385">
            <v>0.75336399487298322</v>
          </cell>
          <cell r="AK385">
            <v>1.0651770804021006</v>
          </cell>
          <cell r="AL385">
            <v>1.5288841712140051</v>
          </cell>
        </row>
        <row r="386">
          <cell r="A386" t="str">
            <v>04/08/2005</v>
          </cell>
          <cell r="B386">
            <v>23.7</v>
          </cell>
          <cell r="C386">
            <v>57</v>
          </cell>
          <cell r="D386">
            <v>107.6</v>
          </cell>
          <cell r="E386">
            <v>57.45</v>
          </cell>
          <cell r="F386">
            <v>16.149999999999999</v>
          </cell>
          <cell r="G386">
            <v>3.2</v>
          </cell>
          <cell r="H386">
            <v>10.4</v>
          </cell>
          <cell r="I386">
            <v>65</v>
          </cell>
          <cell r="J386">
            <v>127.9</v>
          </cell>
          <cell r="K386">
            <v>160</v>
          </cell>
          <cell r="L386">
            <v>24.9</v>
          </cell>
          <cell r="M386">
            <v>15111.54</v>
          </cell>
          <cell r="O386">
            <v>4.1758241758241832E-2</v>
          </cell>
          <cell r="P386">
            <v>9.6153846153846256E-2</v>
          </cell>
          <cell r="Q386">
            <v>2.4761904761904763E-2</v>
          </cell>
          <cell r="R386">
            <v>9.7421203438395443E-2</v>
          </cell>
          <cell r="S386">
            <v>0.10996563573883145</v>
          </cell>
          <cell r="T386">
            <v>7.5630252100840289E-2</v>
          </cell>
          <cell r="U386">
            <v>9.473684210526323E-2</v>
          </cell>
          <cell r="V386">
            <v>0.12456747404844304</v>
          </cell>
          <cell r="W386">
            <v>3.5627530364372495E-2</v>
          </cell>
          <cell r="X386">
            <v>0.11111111111111116</v>
          </cell>
          <cell r="Y386">
            <v>0.21463414634146338</v>
          </cell>
          <cell r="Z386">
            <v>7.702548890620009E-2</v>
          </cell>
          <cell r="AB386">
            <v>0.76777029138068642</v>
          </cell>
          <cell r="AC386">
            <v>1.2651432069382262</v>
          </cell>
          <cell r="AD386">
            <v>0.59831142726254327</v>
          </cell>
          <cell r="AE386">
            <v>1.0773953028832697</v>
          </cell>
          <cell r="AF386">
            <v>0.98109364158526002</v>
          </cell>
          <cell r="AG386">
            <v>1.5540532411840158</v>
          </cell>
          <cell r="AH386">
            <v>0.66978028621375629</v>
          </cell>
          <cell r="AI386">
            <v>1.0322078858450048</v>
          </cell>
          <cell r="AJ386">
            <v>0.74643762264866276</v>
          </cell>
          <cell r="AK386">
            <v>1.0801441517257386</v>
          </cell>
          <cell r="AL386">
            <v>1.5763961567539151</v>
          </cell>
        </row>
        <row r="387">
          <cell r="A387" t="str">
            <v>05/08/2005</v>
          </cell>
          <cell r="B387">
            <v>23.6</v>
          </cell>
          <cell r="C387">
            <v>57.3</v>
          </cell>
          <cell r="D387">
            <v>107.2</v>
          </cell>
          <cell r="E387">
            <v>56.6</v>
          </cell>
          <cell r="F387">
            <v>16.100000000000001</v>
          </cell>
          <cell r="G387">
            <v>3.15</v>
          </cell>
          <cell r="H387">
            <v>10.4</v>
          </cell>
          <cell r="I387">
            <v>64.150000000000006</v>
          </cell>
          <cell r="J387">
            <v>127.5</v>
          </cell>
          <cell r="K387">
            <v>159.80000000000001</v>
          </cell>
          <cell r="L387">
            <v>24.4</v>
          </cell>
          <cell r="M387">
            <v>15051.32</v>
          </cell>
          <cell r="O387">
            <v>3.5087719298245723E-2</v>
          </cell>
          <cell r="P387">
            <v>0.10617760617760608</v>
          </cell>
          <cell r="Q387">
            <v>2.1925643469971279E-2</v>
          </cell>
          <cell r="R387">
            <v>8.4291187739463647E-2</v>
          </cell>
          <cell r="S387">
            <v>0.1103448275862069</v>
          </cell>
          <cell r="T387">
            <v>4.1322314049586861E-2</v>
          </cell>
          <cell r="U387">
            <v>0.10052910052910069</v>
          </cell>
          <cell r="V387">
            <v>0.10603448275862082</v>
          </cell>
          <cell r="W387">
            <v>3.6585365853658569E-2</v>
          </cell>
          <cell r="X387">
            <v>0.12140350877192985</v>
          </cell>
          <cell r="Y387">
            <v>0.19901719901719894</v>
          </cell>
          <cell r="Z387">
            <v>7.7829663424390683E-2</v>
          </cell>
          <cell r="AB387">
            <v>0.7580406255706762</v>
          </cell>
          <cell r="AC387">
            <v>1.2789144283751459</v>
          </cell>
          <cell r="AD387">
            <v>0.5879572075884526</v>
          </cell>
          <cell r="AE387">
            <v>1.0792225397188449</v>
          </cell>
          <cell r="AF387">
            <v>0.99970911650116223</v>
          </cell>
          <cell r="AG387">
            <v>1.5207270388293292</v>
          </cell>
          <cell r="AH387">
            <v>0.704178392800757</v>
          </cell>
          <cell r="AI387">
            <v>1.0463624334372201</v>
          </cell>
          <cell r="AJ387">
            <v>0.74025274075124459</v>
          </cell>
          <cell r="AK387">
            <v>1.0989841743098636</v>
          </cell>
          <cell r="AL387">
            <v>1.6110722903890282</v>
          </cell>
        </row>
        <row r="388">
          <cell r="A388" t="str">
            <v>08/08/2005</v>
          </cell>
          <cell r="B388">
            <v>23.65</v>
          </cell>
          <cell r="C388">
            <v>56.8</v>
          </cell>
          <cell r="D388">
            <v>107.2</v>
          </cell>
          <cell r="E388">
            <v>56.7</v>
          </cell>
          <cell r="F388">
            <v>16.100000000000001</v>
          </cell>
          <cell r="G388">
            <v>3.15</v>
          </cell>
          <cell r="H388">
            <v>10.4</v>
          </cell>
          <cell r="I388">
            <v>65.05</v>
          </cell>
          <cell r="J388">
            <v>127.9</v>
          </cell>
          <cell r="K388">
            <v>161.9</v>
          </cell>
          <cell r="L388">
            <v>24.2</v>
          </cell>
          <cell r="M388">
            <v>15108.94</v>
          </cell>
          <cell r="O388">
            <v>3.7280701754385914E-2</v>
          </cell>
          <cell r="P388">
            <v>9.0211132437619801E-2</v>
          </cell>
          <cell r="Q388">
            <v>1.7077798861480087E-2</v>
          </cell>
          <cell r="R388">
            <v>7.0821529745042522E-2</v>
          </cell>
          <cell r="S388">
            <v>0.10273972602739745</v>
          </cell>
          <cell r="T388">
            <v>5.0000000000000044E-2</v>
          </cell>
          <cell r="U388">
            <v>0.10052910052910069</v>
          </cell>
          <cell r="V388">
            <v>0.10629251700680276</v>
          </cell>
          <cell r="W388">
            <v>2.9790660225442966E-2</v>
          </cell>
          <cell r="X388">
            <v>0.11655172413793102</v>
          </cell>
          <cell r="Y388">
            <v>0.17475728155339798</v>
          </cell>
          <cell r="Z388">
            <v>6.7223554873690139E-2</v>
          </cell>
          <cell r="AB388">
            <v>0.75491289501922676</v>
          </cell>
          <cell r="AC388">
            <v>1.2886879119685535</v>
          </cell>
          <cell r="AD388">
            <v>0.58042378148085416</v>
          </cell>
          <cell r="AE388">
            <v>1.079764978439093</v>
          </cell>
          <cell r="AF388">
            <v>1.0156843425991973</v>
          </cell>
          <cell r="AG388">
            <v>1.5054808532834223</v>
          </cell>
          <cell r="AH388">
            <v>0.73455144680706252</v>
          </cell>
          <cell r="AI388">
            <v>1.0625261601955458</v>
          </cell>
          <cell r="AJ388">
            <v>0.73585341409481475</v>
          </cell>
          <cell r="AK388">
            <v>1.1168205437157752</v>
          </cell>
          <cell r="AL388">
            <v>1.6351846309744815</v>
          </cell>
        </row>
        <row r="389">
          <cell r="A389" t="str">
            <v>09/08/2005</v>
          </cell>
          <cell r="B389">
            <v>23.55</v>
          </cell>
          <cell r="C389">
            <v>56.75</v>
          </cell>
          <cell r="D389">
            <v>107.1</v>
          </cell>
          <cell r="E389">
            <v>56.5</v>
          </cell>
          <cell r="F389">
            <v>16.05</v>
          </cell>
          <cell r="G389">
            <v>3.1749999999999998</v>
          </cell>
          <cell r="H389">
            <v>10.45</v>
          </cell>
          <cell r="I389">
            <v>65</v>
          </cell>
          <cell r="J389">
            <v>127.6</v>
          </cell>
          <cell r="K389">
            <v>171.5</v>
          </cell>
          <cell r="L389">
            <v>24.1</v>
          </cell>
          <cell r="M389">
            <v>15047.84</v>
          </cell>
          <cell r="O389">
            <v>3.0634573304157531E-2</v>
          </cell>
          <cell r="P389">
            <v>8.7164750957854364E-2</v>
          </cell>
          <cell r="Q389">
            <v>1.8060836501901045E-2</v>
          </cell>
          <cell r="R389">
            <v>7.8244274809160297E-2</v>
          </cell>
          <cell r="S389">
            <v>9.9315068493150749E-2</v>
          </cell>
          <cell r="T389">
            <v>5.8333333333333348E-2</v>
          </cell>
          <cell r="U389">
            <v>9.9999999999999867E-2</v>
          </cell>
          <cell r="V389">
            <v>0.1130136986301371</v>
          </cell>
          <cell r="W389">
            <v>2.6548672566371723E-2</v>
          </cell>
          <cell r="X389">
            <v>0.18031658637302117</v>
          </cell>
          <cell r="Y389">
            <v>0.16425120772946866</v>
          </cell>
          <cell r="Z389">
            <v>6.3680864073174748E-2</v>
          </cell>
          <cell r="AB389">
            <v>0.75054291704660536</v>
          </cell>
          <cell r="AC389">
            <v>1.297937113941197</v>
          </cell>
          <cell r="AD389">
            <v>0.5749976269431103</v>
          </cell>
          <cell r="AE389">
            <v>1.0847944001140839</v>
          </cell>
          <cell r="AF389">
            <v>1.0298683996616949</v>
          </cell>
          <cell r="AG389">
            <v>1.4975397730768916</v>
          </cell>
          <cell r="AH389">
            <v>0.76222417689834465</v>
          </cell>
          <cell r="AI389">
            <v>1.0810482042984484</v>
          </cell>
          <cell r="AJ389">
            <v>0.73170977342656751</v>
          </cell>
          <cell r="AK389">
            <v>1.159974159580103</v>
          </cell>
          <cell r="AL389">
            <v>1.6545808501326775</v>
          </cell>
        </row>
        <row r="390">
          <cell r="A390" t="str">
            <v>10/08/2005</v>
          </cell>
          <cell r="B390">
            <v>23.55</v>
          </cell>
          <cell r="C390">
            <v>56.8</v>
          </cell>
          <cell r="D390">
            <v>107.7</v>
          </cell>
          <cell r="E390">
            <v>56.6</v>
          </cell>
          <cell r="F390">
            <v>16.2</v>
          </cell>
          <cell r="G390">
            <v>3.2</v>
          </cell>
          <cell r="H390">
            <v>10.5</v>
          </cell>
          <cell r="I390">
            <v>64.95</v>
          </cell>
          <cell r="J390">
            <v>128.19999999999999</v>
          </cell>
          <cell r="K390">
            <v>173</v>
          </cell>
          <cell r="L390">
            <v>24.85</v>
          </cell>
          <cell r="M390">
            <v>15346.41</v>
          </cell>
          <cell r="O390">
            <v>2.6143790849673332E-2</v>
          </cell>
          <cell r="P390">
            <v>8.3969465648854991E-2</v>
          </cell>
          <cell r="Q390">
            <v>2.6692087702573808E-2</v>
          </cell>
          <cell r="R390">
            <v>7.0955534531693454E-2</v>
          </cell>
          <cell r="S390">
            <v>0.10580204778156999</v>
          </cell>
          <cell r="T390">
            <v>5.7851239669421517E-2</v>
          </cell>
          <cell r="U390">
            <v>0.11111111111111116</v>
          </cell>
          <cell r="V390">
            <v>0.10178117048346058</v>
          </cell>
          <cell r="W390">
            <v>2.5599999999999845E-2</v>
          </cell>
          <cell r="X390">
            <v>0.18169398907103829</v>
          </cell>
          <cell r="Y390">
            <v>0.17772511848341233</v>
          </cell>
          <cell r="Z390">
            <v>7.2627959153718669E-2</v>
          </cell>
          <cell r="AB390">
            <v>0.74075928394921164</v>
          </cell>
          <cell r="AC390">
            <v>1.3012662399462351</v>
          </cell>
          <cell r="AD390">
            <v>0.57069865376268758</v>
          </cell>
          <cell r="AE390">
            <v>1.082570952295562</v>
          </cell>
          <cell r="AF390">
            <v>1.0439870017887549</v>
          </cell>
          <cell r="AG390">
            <v>1.4826852439490861</v>
          </cell>
          <cell r="AH390">
            <v>0.79410517744458231</v>
          </cell>
          <cell r="AI390">
            <v>1.0916615513355299</v>
          </cell>
          <cell r="AJ390">
            <v>0.72384484926103165</v>
          </cell>
          <cell r="AK390">
            <v>1.2026113923581596</v>
          </cell>
          <cell r="AL390">
            <v>1.6749700555641271</v>
          </cell>
        </row>
        <row r="391">
          <cell r="A391" t="str">
            <v>11/08/2005</v>
          </cell>
          <cell r="B391">
            <v>23.55</v>
          </cell>
          <cell r="C391">
            <v>57.3</v>
          </cell>
          <cell r="D391">
            <v>107.8</v>
          </cell>
          <cell r="E391">
            <v>58.95</v>
          </cell>
          <cell r="F391">
            <v>16.25</v>
          </cell>
          <cell r="G391">
            <v>3.2250000000000001</v>
          </cell>
          <cell r="H391">
            <v>10.45</v>
          </cell>
          <cell r="I391">
            <v>65.2</v>
          </cell>
          <cell r="J391">
            <v>129.1</v>
          </cell>
          <cell r="K391">
            <v>174</v>
          </cell>
          <cell r="L391">
            <v>25.1</v>
          </cell>
          <cell r="M391">
            <v>15445.2</v>
          </cell>
          <cell r="O391">
            <v>2.1691973969631295E-2</v>
          </cell>
          <cell r="P391">
            <v>8.4200567644276081E-2</v>
          </cell>
          <cell r="Q391">
            <v>2.0833333333333259E-2</v>
          </cell>
          <cell r="R391">
            <v>0.12178877259752618</v>
          </cell>
          <cell r="S391">
            <v>9.060402684563762E-2</v>
          </cell>
          <cell r="T391">
            <v>5.7377049180328044E-2</v>
          </cell>
          <cell r="U391">
            <v>9.9999999999999867E-2</v>
          </cell>
          <cell r="V391">
            <v>0.10508474576271198</v>
          </cell>
          <cell r="W391">
            <v>2.6232114467408474E-2</v>
          </cell>
          <cell r="X391">
            <v>0.17171717171717171</v>
          </cell>
          <cell r="Y391">
            <v>0.14350797266514825</v>
          </cell>
          <cell r="Z391">
            <v>6.5808050766171133E-2</v>
          </cell>
          <cell r="AB391">
            <v>0.73279121276403425</v>
          </cell>
          <cell r="AC391">
            <v>1.3076303404774887</v>
          </cell>
          <cell r="AD391">
            <v>0.5663223644178621</v>
          </cell>
          <cell r="AE391">
            <v>1.1035481262391331</v>
          </cell>
          <cell r="AF391">
            <v>1.0526558673106214</v>
          </cell>
          <cell r="AG391">
            <v>1.4740111724471505</v>
          </cell>
          <cell r="AH391">
            <v>0.81860259737905738</v>
          </cell>
          <cell r="AI391">
            <v>1.1047780674297567</v>
          </cell>
          <cell r="AJ391">
            <v>0.71943505716480749</v>
          </cell>
          <cell r="AK391">
            <v>1.2376659951294078</v>
          </cell>
          <cell r="AL391">
            <v>1.6831229190918529</v>
          </cell>
        </row>
        <row r="392">
          <cell r="A392" t="str">
            <v>12/08/2005</v>
          </cell>
          <cell r="B392">
            <v>23.5</v>
          </cell>
          <cell r="C392">
            <v>57.35</v>
          </cell>
          <cell r="D392">
            <v>107.7</v>
          </cell>
          <cell r="E392">
            <v>59.1</v>
          </cell>
          <cell r="F392">
            <v>16.55</v>
          </cell>
          <cell r="G392">
            <v>3.1749999999999998</v>
          </cell>
          <cell r="H392">
            <v>10.45</v>
          </cell>
          <cell r="I392">
            <v>65.2</v>
          </cell>
          <cell r="J392">
            <v>129.19999999999999</v>
          </cell>
          <cell r="K392">
            <v>172</v>
          </cell>
          <cell r="L392">
            <v>25</v>
          </cell>
          <cell r="M392">
            <v>15450.95</v>
          </cell>
          <cell r="O392">
            <v>1.0752688172043001E-2</v>
          </cell>
          <cell r="P392">
            <v>7.8007518796992414E-2</v>
          </cell>
          <cell r="Q392">
            <v>1.6037735849056656E-2</v>
          </cell>
          <cell r="R392">
            <v>0.10261194029850751</v>
          </cell>
          <cell r="S392">
            <v>9.2409240924092417E-2</v>
          </cell>
          <cell r="T392">
            <v>1.6000000000000014E-2</v>
          </cell>
          <cell r="U392">
            <v>8.2901554404144928E-2</v>
          </cell>
          <cell r="V392">
            <v>0.10321489001692052</v>
          </cell>
          <cell r="W392">
            <v>2.5396825396825307E-2</v>
          </cell>
          <cell r="X392">
            <v>0.15281501340482584</v>
          </cell>
          <cell r="Y392">
            <v>0.11358574610244987</v>
          </cell>
          <cell r="Z392">
            <v>6.5267586348590534E-2</v>
          </cell>
          <cell r="AB392">
            <v>0.72135966790198525</v>
          </cell>
          <cell r="AC392">
            <v>1.3115063062876466</v>
          </cell>
          <cell r="AD392">
            <v>0.56053542720352922</v>
          </cell>
          <cell r="AE392">
            <v>1.1161363754165949</v>
          </cell>
          <cell r="AF392">
            <v>1.0616560311200964</v>
          </cell>
          <cell r="AG392">
            <v>1.4505710784598891</v>
          </cell>
          <cell r="AH392">
            <v>0.83520844430754548</v>
          </cell>
          <cell r="AI392">
            <v>1.1165577762011938</v>
          </cell>
          <cell r="AJ392">
            <v>0.71514434980107555</v>
          </cell>
          <cell r="AK392">
            <v>1.2635441983680589</v>
          </cell>
          <cell r="AL392">
            <v>1.6797822530413127</v>
          </cell>
        </row>
        <row r="393">
          <cell r="A393" t="str">
            <v>15/08/2005</v>
          </cell>
          <cell r="B393">
            <v>23.7</v>
          </cell>
          <cell r="C393">
            <v>57.7</v>
          </cell>
          <cell r="D393">
            <v>107.6</v>
          </cell>
          <cell r="E393">
            <v>58.9</v>
          </cell>
          <cell r="F393">
            <v>16.8</v>
          </cell>
          <cell r="G393">
            <v>3.2</v>
          </cell>
          <cell r="H393">
            <v>10.4</v>
          </cell>
          <cell r="I393">
            <v>65.75</v>
          </cell>
          <cell r="J393">
            <v>129.1</v>
          </cell>
          <cell r="K393">
            <v>173.5</v>
          </cell>
          <cell r="L393">
            <v>24.5</v>
          </cell>
          <cell r="M393">
            <v>15466.06</v>
          </cell>
          <cell r="O393">
            <v>8.5106382978723527E-3</v>
          </cell>
          <cell r="P393">
            <v>7.8504672897196315E-2</v>
          </cell>
          <cell r="Q393">
            <v>1.413760603204528E-2</v>
          </cell>
          <cell r="R393">
            <v>0.10402999062792873</v>
          </cell>
          <cell r="S393">
            <v>0.10163934426229515</v>
          </cell>
          <cell r="T393">
            <v>0</v>
          </cell>
          <cell r="U393">
            <v>5.5837563451776706E-2</v>
          </cell>
          <cell r="V393">
            <v>0.11064189189189189</v>
          </cell>
          <cell r="W393">
            <v>2.5416997617156323E-2</v>
          </cell>
          <cell r="X393">
            <v>0.16364855801475531</v>
          </cell>
          <cell r="Y393">
            <v>8.8888888888888795E-2</v>
          </cell>
          <cell r="Z393">
            <v>6.1718953799684284E-2</v>
          </cell>
          <cell r="AB393">
            <v>0.7113031246358924</v>
          </cell>
          <cell r="AC393">
            <v>1.3167341177568037</v>
          </cell>
          <cell r="AD393">
            <v>0.55541970500048643</v>
          </cell>
          <cell r="AE393">
            <v>1.1291909565238698</v>
          </cell>
          <cell r="AF393">
            <v>1.0741534598298565</v>
          </cell>
          <cell r="AG393">
            <v>1.425973364459898</v>
          </cell>
          <cell r="AH393">
            <v>0.84164494833802661</v>
          </cell>
          <cell r="AI393">
            <v>1.1309711450087057</v>
          </cell>
          <cell r="AJ393">
            <v>0.71221279937236681</v>
          </cell>
          <cell r="AK393">
            <v>1.2918537501917036</v>
          </cell>
          <cell r="AL393">
            <v>1.670334183396543</v>
          </cell>
        </row>
        <row r="394">
          <cell r="A394" t="str">
            <v>16/08/2005</v>
          </cell>
          <cell r="B394">
            <v>23.6</v>
          </cell>
          <cell r="C394">
            <v>57.95</v>
          </cell>
          <cell r="D394">
            <v>107.3</v>
          </cell>
          <cell r="E394">
            <v>58.55</v>
          </cell>
          <cell r="F394">
            <v>16.649999999999999</v>
          </cell>
          <cell r="G394">
            <v>3.2250000000000001</v>
          </cell>
          <cell r="H394">
            <v>10.75</v>
          </cell>
          <cell r="I394">
            <v>65.2</v>
          </cell>
          <cell r="J394">
            <v>128.9</v>
          </cell>
          <cell r="K394">
            <v>172.2</v>
          </cell>
          <cell r="L394">
            <v>24.95</v>
          </cell>
          <cell r="M394">
            <v>15443.62</v>
          </cell>
          <cell r="O394">
            <v>2.1231422505307851E-3</v>
          </cell>
          <cell r="P394">
            <v>7.914338919925501E-2</v>
          </cell>
          <cell r="Q394">
            <v>1.0357815442561202E-2</v>
          </cell>
          <cell r="R394">
            <v>9.4392523364486003E-2</v>
          </cell>
          <cell r="S394">
            <v>0.10264900662251653</v>
          </cell>
          <cell r="T394">
            <v>7.8125E-3</v>
          </cell>
          <cell r="U394">
            <v>6.4356435643564414E-2</v>
          </cell>
          <cell r="V394">
            <v>6.7977067977068151E-2</v>
          </cell>
          <cell r="W394">
            <v>3.1200000000000117E-2</v>
          </cell>
          <cell r="X394">
            <v>0.15492957746478875</v>
          </cell>
          <cell r="Y394">
            <v>0.12134831460674156</v>
          </cell>
          <cell r="Z394">
            <v>6.0124631548888141E-2</v>
          </cell>
          <cell r="AB394">
            <v>0.70028721626752322</v>
          </cell>
          <cell r="AC394">
            <v>1.3224629579193166</v>
          </cell>
          <cell r="AD394">
            <v>0.54974326415762231</v>
          </cell>
          <cell r="AE394">
            <v>1.1386886356593069</v>
          </cell>
          <cell r="AF394">
            <v>1.0865959656975257</v>
          </cell>
          <cell r="AG394">
            <v>1.4065439148123848</v>
          </cell>
          <cell r="AH394">
            <v>0.85082465256899609</v>
          </cell>
          <cell r="AI394">
            <v>1.1309042264481521</v>
          </cell>
          <cell r="AJ394">
            <v>0.71177019078175019</v>
          </cell>
          <cell r="AK394">
            <v>1.3158365399075915</v>
          </cell>
          <cell r="AL394">
            <v>1.6731097659355318</v>
          </cell>
        </row>
        <row r="395">
          <cell r="A395" t="str">
            <v>17/08/2005</v>
          </cell>
          <cell r="B395">
            <v>23.65</v>
          </cell>
          <cell r="C395">
            <v>56.8</v>
          </cell>
          <cell r="D395">
            <v>107.6</v>
          </cell>
          <cell r="E395">
            <v>59.15</v>
          </cell>
          <cell r="F395">
            <v>16.600000000000001</v>
          </cell>
          <cell r="G395">
            <v>3.3</v>
          </cell>
          <cell r="H395">
            <v>10.65</v>
          </cell>
          <cell r="I395">
            <v>65</v>
          </cell>
          <cell r="J395">
            <v>128.1</v>
          </cell>
          <cell r="K395">
            <v>170.5</v>
          </cell>
          <cell r="L395">
            <v>24.55</v>
          </cell>
          <cell r="M395">
            <v>15449.58</v>
          </cell>
          <cell r="O395">
            <v>1.0683760683760646E-2</v>
          </cell>
          <cell r="P395">
            <v>5.9701492537313383E-2</v>
          </cell>
          <cell r="Q395">
            <v>1.1278195488721776E-2</v>
          </cell>
          <cell r="R395">
            <v>8.0365296803653008E-2</v>
          </cell>
          <cell r="S395">
            <v>9.9337748344370924E-2</v>
          </cell>
          <cell r="T395">
            <v>5.600000000000005E-2</v>
          </cell>
          <cell r="U395">
            <v>4.4117647058823595E-2</v>
          </cell>
          <cell r="V395">
            <v>5.9494702526487364E-2</v>
          </cell>
          <cell r="W395">
            <v>2.0717131474103478E-2</v>
          </cell>
          <cell r="X395">
            <v>0.11803278688524599</v>
          </cell>
          <cell r="Y395">
            <v>9.5982142857143016E-2</v>
          </cell>
          <cell r="Z395">
            <v>5.7994754394735226E-2</v>
          </cell>
          <cell r="AB395">
            <v>0.69328083951600283</v>
          </cell>
          <cell r="AC395">
            <v>1.3226025367440235</v>
          </cell>
          <cell r="AD395">
            <v>0.54518336262323286</v>
          </cell>
          <cell r="AE395">
            <v>1.1438269729619304</v>
          </cell>
          <cell r="AF395">
            <v>1.0976938684363839</v>
          </cell>
          <cell r="AG395">
            <v>1.4044714005955155</v>
          </cell>
          <cell r="AH395">
            <v>0.85357334978830224</v>
          </cell>
          <cell r="AI395">
            <v>1.1289755853522709</v>
          </cell>
          <cell r="AJ395">
            <v>0.70860770990679223</v>
          </cell>
          <cell r="AK395">
            <v>1.3273363962314944</v>
          </cell>
          <cell r="AL395">
            <v>1.6689507185630872</v>
          </cell>
        </row>
        <row r="396">
          <cell r="A396" t="str">
            <v>18/08/2005</v>
          </cell>
          <cell r="B396">
            <v>23.05</v>
          </cell>
          <cell r="C396">
            <v>50.9</v>
          </cell>
          <cell r="D396">
            <v>107.4</v>
          </cell>
          <cell r="E396">
            <v>57.3</v>
          </cell>
          <cell r="F396">
            <v>15.95</v>
          </cell>
          <cell r="G396">
            <v>3.1749999999999998</v>
          </cell>
          <cell r="H396">
            <v>10.4</v>
          </cell>
          <cell r="I396">
            <v>63.1</v>
          </cell>
          <cell r="J396">
            <v>126.8</v>
          </cell>
          <cell r="K396">
            <v>169</v>
          </cell>
          <cell r="L396">
            <v>24.05</v>
          </cell>
          <cell r="M396">
            <v>15148.09</v>
          </cell>
          <cell r="O396">
            <v>-1.7057569296375252E-2</v>
          </cell>
          <cell r="P396">
            <v>-5.827937095282143E-2</v>
          </cell>
          <cell r="Q396">
            <v>9.3984962406015171E-3</v>
          </cell>
          <cell r="R396">
            <v>4.6575342465753344E-2</v>
          </cell>
          <cell r="S396">
            <v>3.5714285714285587E-2</v>
          </cell>
          <cell r="T396">
            <v>7.9365079365079083E-3</v>
          </cell>
          <cell r="U396">
            <v>2.4630541871921263E-2</v>
          </cell>
          <cell r="V396">
            <v>4.2975206611570282E-2</v>
          </cell>
          <cell r="W396">
            <v>9.5541401273886439E-3</v>
          </cell>
          <cell r="X396">
            <v>8.7516087516087415E-2</v>
          </cell>
          <cell r="Y396">
            <v>7.1269487750556859E-2</v>
          </cell>
          <cell r="Z396">
            <v>3.6111145310510073E-2</v>
          </cell>
          <cell r="AB396">
            <v>0.68738592265819898</v>
          </cell>
          <cell r="AC396">
            <v>1.3076264927142325</v>
          </cell>
          <cell r="AD396">
            <v>0.54442874376813943</v>
          </cell>
          <cell r="AE396">
            <v>1.1451112447943814</v>
          </cell>
          <cell r="AF396">
            <v>1.0969711391623687</v>
          </cell>
          <cell r="AG396">
            <v>1.4004269249457226</v>
          </cell>
          <cell r="AH396">
            <v>0.8549158427123793</v>
          </cell>
          <cell r="AI396">
            <v>1.129321677987696</v>
          </cell>
          <cell r="AJ396">
            <v>0.70764030902550612</v>
          </cell>
          <cell r="AK396">
            <v>1.3332759213820693</v>
          </cell>
          <cell r="AL396">
            <v>1.6687091642663574</v>
          </cell>
        </row>
        <row r="397">
          <cell r="A397" t="str">
            <v>19/08/2005</v>
          </cell>
          <cell r="B397">
            <v>23</v>
          </cell>
          <cell r="C397">
            <v>52.1</v>
          </cell>
          <cell r="D397">
            <v>107.3</v>
          </cell>
          <cell r="E397">
            <v>56.45</v>
          </cell>
          <cell r="F397">
            <v>15.7</v>
          </cell>
          <cell r="G397">
            <v>3.1749999999999998</v>
          </cell>
          <cell r="H397">
            <v>10.45</v>
          </cell>
          <cell r="I397">
            <v>63.5</v>
          </cell>
          <cell r="J397">
            <v>126.1</v>
          </cell>
          <cell r="K397">
            <v>166.5</v>
          </cell>
          <cell r="L397">
            <v>23.75</v>
          </cell>
          <cell r="M397">
            <v>15038.61</v>
          </cell>
          <cell r="O397">
            <v>-2.7484143763213509E-2</v>
          </cell>
          <cell r="P397">
            <v>-5.0136736554238781E-2</v>
          </cell>
          <cell r="Q397">
            <v>9.3283582089553896E-4</v>
          </cell>
          <cell r="R397">
            <v>2.5431425976385258E-2</v>
          </cell>
          <cell r="S397">
            <v>9.6463022508037621E-3</v>
          </cell>
          <cell r="T397">
            <v>7.9365079365079083E-3</v>
          </cell>
          <cell r="U397">
            <v>9.6618357487923134E-3</v>
          </cell>
          <cell r="V397">
            <v>3.2520325203251987E-2</v>
          </cell>
          <cell r="W397">
            <v>-4.7355958958169575E-3</v>
          </cell>
          <cell r="X397">
            <v>4.3887147335423204E-2</v>
          </cell>
          <cell r="Y397">
            <v>2.3706896551724199E-2</v>
          </cell>
          <cell r="Z397">
            <v>1.7052763136004234E-2</v>
          </cell>
          <cell r="AB397">
            <v>0.68578417999286023</v>
          </cell>
          <cell r="AC397">
            <v>1.3048795607473305</v>
          </cell>
          <cell r="AD397">
            <v>0.54430262339310032</v>
          </cell>
          <cell r="AE397">
            <v>1.1455237519690691</v>
          </cell>
          <cell r="AF397">
            <v>1.0964984672643607</v>
          </cell>
          <cell r="AG397">
            <v>1.4005790256354702</v>
          </cell>
          <cell r="AH397">
            <v>0.85537794127790534</v>
          </cell>
          <cell r="AI397">
            <v>1.1299807148425562</v>
          </cell>
          <cell r="AJ397">
            <v>0.70731493381306543</v>
          </cell>
          <cell r="AK397">
            <v>1.3341083747165843</v>
          </cell>
          <cell r="AL397">
            <v>1.6678447788814885</v>
          </cell>
        </row>
        <row r="398">
          <cell r="A398" t="str">
            <v>22/08/2005</v>
          </cell>
          <cell r="B398">
            <v>23</v>
          </cell>
          <cell r="C398">
            <v>53</v>
          </cell>
          <cell r="D398">
            <v>106.2</v>
          </cell>
          <cell r="E398">
            <v>56.4</v>
          </cell>
          <cell r="F398">
            <v>15.85</v>
          </cell>
          <cell r="G398">
            <v>3.2</v>
          </cell>
          <cell r="H398">
            <v>10.5</v>
          </cell>
          <cell r="I398">
            <v>65.099999999999994</v>
          </cell>
          <cell r="J398">
            <v>126.9</v>
          </cell>
          <cell r="K398">
            <v>166.8</v>
          </cell>
          <cell r="L398">
            <v>24.1</v>
          </cell>
          <cell r="M398">
            <v>15218.63</v>
          </cell>
          <cell r="O398">
            <v>-3.157894736842104E-2</v>
          </cell>
          <cell r="P398">
            <v>-4.1591320072332683E-2</v>
          </cell>
          <cell r="Q398">
            <v>-1.2093023255813962E-2</v>
          </cell>
          <cell r="R398">
            <v>1.3477088948786964E-2</v>
          </cell>
          <cell r="S398">
            <v>1.2779552715654896E-2</v>
          </cell>
          <cell r="T398">
            <v>7.8740157480317041E-3</v>
          </cell>
          <cell r="U398">
            <v>2.4390243902439046E-2</v>
          </cell>
          <cell r="V398">
            <v>5.8536585365853488E-2</v>
          </cell>
          <cell r="W398">
            <v>-7.8740157480305939E-4</v>
          </cell>
          <cell r="X398">
            <v>1.1522134627046654E-2</v>
          </cell>
          <cell r="Y398">
            <v>-6.1855670103092564E-3</v>
          </cell>
          <cell r="Z398">
            <v>2.8700766457821159E-2</v>
          </cell>
          <cell r="AB398">
            <v>0.68047003687324159</v>
          </cell>
          <cell r="AC398">
            <v>1.2974768107633932</v>
          </cell>
          <cell r="AD398">
            <v>0.54164475812122059</v>
          </cell>
          <cell r="AE398">
            <v>1.1434374297120808</v>
          </cell>
          <cell r="AF398">
            <v>1.0941917015559877</v>
          </cell>
          <cell r="AG398">
            <v>1.3989525397204854</v>
          </cell>
          <cell r="AH398">
            <v>0.85706661224881542</v>
          </cell>
          <cell r="AI398">
            <v>1.1331258608040653</v>
          </cell>
          <cell r="AJ398">
            <v>0.70601213188965439</v>
          </cell>
          <cell r="AK398">
            <v>1.330280734835775</v>
          </cell>
          <cell r="AL398">
            <v>1.6597720954889352</v>
          </cell>
        </row>
        <row r="399">
          <cell r="A399" t="str">
            <v>23/08/2005</v>
          </cell>
          <cell r="B399">
            <v>22.85</v>
          </cell>
          <cell r="C399">
            <v>51.5</v>
          </cell>
          <cell r="D399">
            <v>105.5</v>
          </cell>
          <cell r="E399">
            <v>55.7</v>
          </cell>
          <cell r="F399">
            <v>15.65</v>
          </cell>
          <cell r="G399">
            <v>3.25</v>
          </cell>
          <cell r="H399">
            <v>10.35</v>
          </cell>
          <cell r="I399">
            <v>64.75</v>
          </cell>
          <cell r="J399">
            <v>126</v>
          </cell>
          <cell r="K399">
            <v>168</v>
          </cell>
          <cell r="L399">
            <v>23.7</v>
          </cell>
          <cell r="M399">
            <v>14973.89</v>
          </cell>
          <cell r="O399">
            <v>-3.9915966386554591E-2</v>
          </cell>
          <cell r="P399">
            <v>-8.7688219663418998E-2</v>
          </cell>
          <cell r="Q399">
            <v>-1.6775396085740857E-2</v>
          </cell>
          <cell r="R399">
            <v>8.9847259658593082E-4</v>
          </cell>
          <cell r="S399">
            <v>9.6774193548387899E-3</v>
          </cell>
          <cell r="T399">
            <v>2.3622047244094446E-2</v>
          </cell>
          <cell r="U399">
            <v>9.7560975609756184E-3</v>
          </cell>
          <cell r="V399">
            <v>5.3702196908055333E-2</v>
          </cell>
          <cell r="W399">
            <v>-1.0212097407698351E-2</v>
          </cell>
          <cell r="X399">
            <v>5.7268722466960353E-2</v>
          </cell>
          <cell r="Y399">
            <v>-1.043841336116913E-2</v>
          </cell>
          <cell r="Z399">
            <v>1.3809137890294698E-2</v>
          </cell>
          <cell r="AB399">
            <v>0.679257619896661</v>
          </cell>
          <cell r="AC399">
            <v>1.294933161670744</v>
          </cell>
          <cell r="AD399">
            <v>0.54111092000828653</v>
          </cell>
          <cell r="AE399">
            <v>1.1430707322927089</v>
          </cell>
          <cell r="AF399">
            <v>1.0940277779980816</v>
          </cell>
          <cell r="AG399">
            <v>1.3996333293599663</v>
          </cell>
          <cell r="AH399">
            <v>0.85741392285875895</v>
          </cell>
          <cell r="AI399">
            <v>1.1342259410653874</v>
          </cell>
          <cell r="AJ399">
            <v>0.70573383377647658</v>
          </cell>
          <cell r="AK399">
            <v>1.3312835223631718</v>
          </cell>
          <cell r="AL399">
            <v>1.6584480716311198</v>
          </cell>
        </row>
        <row r="400">
          <cell r="A400" t="str">
            <v>24/08/2005</v>
          </cell>
          <cell r="B400">
            <v>22.75</v>
          </cell>
          <cell r="C400">
            <v>51.05</v>
          </cell>
          <cell r="D400">
            <v>105.3</v>
          </cell>
          <cell r="E400">
            <v>56</v>
          </cell>
          <cell r="F400">
            <v>15.7</v>
          </cell>
          <cell r="G400">
            <v>3.2250000000000001</v>
          </cell>
          <cell r="H400">
            <v>10.199999999999999</v>
          </cell>
          <cell r="I400">
            <v>64.849999999999994</v>
          </cell>
          <cell r="J400">
            <v>125.2</v>
          </cell>
          <cell r="K400">
            <v>166.3</v>
          </cell>
          <cell r="L400">
            <v>23.55</v>
          </cell>
          <cell r="M400">
            <v>14873.85</v>
          </cell>
          <cell r="O400">
            <v>-4.2105263157894757E-2</v>
          </cell>
          <cell r="P400">
            <v>-0.11217391304347835</v>
          </cell>
          <cell r="Q400">
            <v>-2.0465116279069773E-2</v>
          </cell>
          <cell r="R400">
            <v>1.0830324909747224E-2</v>
          </cell>
          <cell r="S400">
            <v>9.6463022508037621E-3</v>
          </cell>
          <cell r="T400">
            <v>7.8125E-3</v>
          </cell>
          <cell r="U400">
            <v>0</v>
          </cell>
          <cell r="V400">
            <v>5.4471544715447129E-2</v>
          </cell>
          <cell r="W400">
            <v>-1.4173228346456623E-2</v>
          </cell>
          <cell r="X400">
            <v>5.9235668789809015E-2</v>
          </cell>
          <cell r="Y400">
            <v>-1.0504201680672232E-2</v>
          </cell>
          <cell r="Z400">
            <v>4.8635779557433256E-3</v>
          </cell>
          <cell r="AB400">
            <v>0.68023135856062589</v>
          </cell>
          <cell r="AC400">
            <v>1.297524502236739</v>
          </cell>
          <cell r="AD400">
            <v>0.54155426919109795</v>
          </cell>
          <cell r="AE400">
            <v>1.1428708523782185</v>
          </cell>
          <cell r="AF400">
            <v>1.0939190291020744</v>
          </cell>
          <cell r="AG400">
            <v>1.3991153782836647</v>
          </cell>
          <cell r="AH400">
            <v>0.85716031538625936</v>
          </cell>
          <cell r="AI400">
            <v>1.1329662593561434</v>
          </cell>
          <cell r="AJ400">
            <v>0.70591932366837029</v>
          </cell>
          <cell r="AK400">
            <v>1.3300329991592015</v>
          </cell>
          <cell r="AL400">
            <v>1.6592373129139968</v>
          </cell>
        </row>
        <row r="401">
          <cell r="A401" t="str">
            <v>25/08/2005</v>
          </cell>
          <cell r="B401">
            <v>22.6</v>
          </cell>
          <cell r="C401">
            <v>51</v>
          </cell>
          <cell r="D401">
            <v>104.9</v>
          </cell>
          <cell r="E401">
            <v>55.8</v>
          </cell>
          <cell r="F401">
            <v>15.8</v>
          </cell>
          <cell r="G401">
            <v>3.2</v>
          </cell>
          <cell r="H401">
            <v>10.3</v>
          </cell>
          <cell r="I401">
            <v>65</v>
          </cell>
          <cell r="J401">
            <v>124.9</v>
          </cell>
          <cell r="K401">
            <v>167.8</v>
          </cell>
          <cell r="L401">
            <v>23.8</v>
          </cell>
          <cell r="M401">
            <v>14889.1</v>
          </cell>
          <cell r="O401">
            <v>-4.6413502109704519E-2</v>
          </cell>
          <cell r="P401">
            <v>-0.11764705882352933</v>
          </cell>
          <cell r="Q401">
            <v>-2.2367194780987809E-2</v>
          </cell>
          <cell r="R401">
            <v>7.2202166064980755E-3</v>
          </cell>
          <cell r="S401">
            <v>1.2820512820512997E-2</v>
          </cell>
          <cell r="T401">
            <v>0</v>
          </cell>
          <cell r="U401">
            <v>9.8039215686276382E-3</v>
          </cell>
          <cell r="V401">
            <v>5.2631578947368363E-2</v>
          </cell>
          <cell r="W401">
            <v>-1.0301109350237647E-2</v>
          </cell>
          <cell r="X401">
            <v>8.1185567010309434E-2</v>
          </cell>
          <cell r="Y401">
            <v>-2.0964360587002462E-3</v>
          </cell>
          <cell r="Z401">
            <v>5.1156661707165707E-3</v>
          </cell>
          <cell r="AB401">
            <v>0.681244605123005</v>
          </cell>
          <cell r="AC401">
            <v>1.3000720159821564</v>
          </cell>
          <cell r="AD401">
            <v>0.54201558113683146</v>
          </cell>
          <cell r="AE401">
            <v>1.1427801063196881</v>
          </cell>
          <cell r="AF401">
            <v>1.0937475074213889</v>
          </cell>
          <cell r="AG401">
            <v>1.3988331062530086</v>
          </cell>
          <cell r="AH401">
            <v>0.85669148464878331</v>
          </cell>
          <cell r="AI401">
            <v>1.131848225712663</v>
          </cell>
          <cell r="AJ401">
            <v>0.70600167255448498</v>
          </cell>
          <cell r="AK401">
            <v>1.3283457365180242</v>
          </cell>
          <cell r="AL401">
            <v>1.6597757854443695</v>
          </cell>
        </row>
        <row r="402">
          <cell r="A402" t="str">
            <v>26/08/2005</v>
          </cell>
          <cell r="B402">
            <v>22.8</v>
          </cell>
          <cell r="C402">
            <v>51.35</v>
          </cell>
          <cell r="D402">
            <v>105</v>
          </cell>
          <cell r="E402">
            <v>57.3</v>
          </cell>
          <cell r="F402">
            <v>15.85</v>
          </cell>
          <cell r="G402">
            <v>3.25</v>
          </cell>
          <cell r="H402">
            <v>10.3</v>
          </cell>
          <cell r="I402">
            <v>65.2</v>
          </cell>
          <cell r="J402">
            <v>125</v>
          </cell>
          <cell r="K402">
            <v>169</v>
          </cell>
          <cell r="L402">
            <v>23.7</v>
          </cell>
          <cell r="M402">
            <v>14982.89</v>
          </cell>
          <cell r="O402">
            <v>-3.5940803382663811E-2</v>
          </cell>
          <cell r="P402">
            <v>-9.5950704225352013E-2</v>
          </cell>
          <cell r="Q402">
            <v>-2.3255813953488413E-2</v>
          </cell>
          <cell r="R402">
            <v>3.1503150315031592E-2</v>
          </cell>
          <cell r="S402">
            <v>9.5541401273886439E-3</v>
          </cell>
          <cell r="T402">
            <v>1.5625E-2</v>
          </cell>
          <cell r="U402">
            <v>1.980198019801982E-2</v>
          </cell>
          <cell r="V402">
            <v>3.3280507131537185E-2</v>
          </cell>
          <cell r="W402">
            <v>-1.1075949367088667E-2</v>
          </cell>
          <cell r="X402">
            <v>8.8917525773196004E-2</v>
          </cell>
          <cell r="Y402">
            <v>-1.8633540372670732E-2</v>
          </cell>
          <cell r="Z402">
            <v>6.8483392894822526E-3</v>
          </cell>
          <cell r="AB402">
            <v>0.68167866405694766</v>
          </cell>
          <cell r="AC402">
            <v>1.3012163407067117</v>
          </cell>
          <cell r="AD402">
            <v>0.54229514574442206</v>
          </cell>
          <cell r="AE402">
            <v>1.1424283060365847</v>
          </cell>
          <cell r="AF402">
            <v>1.0937225681624676</v>
          </cell>
          <cell r="AG402">
            <v>1.3984986098362657</v>
          </cell>
          <cell r="AH402">
            <v>0.85631733218874073</v>
          </cell>
          <cell r="AI402">
            <v>1.1315188605417863</v>
          </cell>
          <cell r="AJ402">
            <v>0.70607419102345015</v>
          </cell>
          <cell r="AK402">
            <v>1.3273401914866998</v>
          </cell>
          <cell r="AL402">
            <v>1.6603358339140493</v>
          </cell>
        </row>
        <row r="403">
          <cell r="A403" t="str">
            <v>29/08/2005</v>
          </cell>
          <cell r="B403">
            <v>22.65</v>
          </cell>
          <cell r="C403">
            <v>50.8</v>
          </cell>
          <cell r="D403">
            <v>104.9</v>
          </cell>
          <cell r="E403">
            <v>57.4</v>
          </cell>
          <cell r="F403">
            <v>15.65</v>
          </cell>
          <cell r="G403">
            <v>3.2</v>
          </cell>
          <cell r="H403">
            <v>10.25</v>
          </cell>
          <cell r="I403">
            <v>64.75</v>
          </cell>
          <cell r="J403">
            <v>124.3</v>
          </cell>
          <cell r="K403">
            <v>168</v>
          </cell>
          <cell r="L403">
            <v>23.7</v>
          </cell>
          <cell r="M403">
            <v>14836.97</v>
          </cell>
          <cell r="O403">
            <v>-4.631578947368431E-2</v>
          </cell>
          <cell r="P403">
            <v>-8.9605734767025047E-2</v>
          </cell>
          <cell r="Q403">
            <v>-2.6901669758812585E-2</v>
          </cell>
          <cell r="R403">
            <v>1.5030946065428763E-2</v>
          </cell>
          <cell r="S403">
            <v>-6.3492063492063266E-3</v>
          </cell>
          <cell r="T403">
            <v>7.8740157480317041E-3</v>
          </cell>
          <cell r="U403">
            <v>-4.8543689320389438E-3</v>
          </cell>
          <cell r="V403">
            <v>2.4525316455696222E-2</v>
          </cell>
          <cell r="W403">
            <v>-2.2798742138364858E-2</v>
          </cell>
          <cell r="X403">
            <v>7.4168797953964249E-2</v>
          </cell>
          <cell r="Y403">
            <v>-3.0674846625766916E-2</v>
          </cell>
          <cell r="Z403">
            <v>-9.474006067209273E-3</v>
          </cell>
          <cell r="AB403">
            <v>0.6852191169572821</v>
          </cell>
          <cell r="AC403">
            <v>1.3076399637248641</v>
          </cell>
          <cell r="AD403">
            <v>0.54403874979351907</v>
          </cell>
          <cell r="AE403">
            <v>1.1392423424285121</v>
          </cell>
          <cell r="AF403">
            <v>1.0932927246088919</v>
          </cell>
          <cell r="AG403">
            <v>1.3939907622812826</v>
          </cell>
          <cell r="AH403">
            <v>0.85440576874868968</v>
          </cell>
          <cell r="AI403">
            <v>1.1276633630862356</v>
          </cell>
          <cell r="AJ403">
            <v>0.70670247721127277</v>
          </cell>
          <cell r="AK403">
            <v>1.3181542259594834</v>
          </cell>
          <cell r="AL403">
            <v>1.6633023962686471</v>
          </cell>
        </row>
        <row r="404">
          <cell r="A404" t="str">
            <v>30/08/2005</v>
          </cell>
          <cell r="B404">
            <v>22.65</v>
          </cell>
          <cell r="C404">
            <v>51.3</v>
          </cell>
          <cell r="D404">
            <v>104.8</v>
          </cell>
          <cell r="E404">
            <v>57.7</v>
          </cell>
          <cell r="F404">
            <v>15.65</v>
          </cell>
          <cell r="G404">
            <v>3.2</v>
          </cell>
          <cell r="H404">
            <v>10.3</v>
          </cell>
          <cell r="I404">
            <v>64.75</v>
          </cell>
          <cell r="J404">
            <v>124.6</v>
          </cell>
          <cell r="K404">
            <v>168</v>
          </cell>
          <cell r="L404">
            <v>23.95</v>
          </cell>
          <cell r="M404">
            <v>14922.22</v>
          </cell>
          <cell r="O404">
            <v>-5.6250000000000022E-2</v>
          </cell>
          <cell r="P404">
            <v>-9.203539823008855E-2</v>
          </cell>
          <cell r="Q404">
            <v>-2.87303058387397E-2</v>
          </cell>
          <cell r="R404">
            <v>-1.0291595197255532E-2</v>
          </cell>
          <cell r="S404">
            <v>-2.1874999999999978E-2</v>
          </cell>
          <cell r="T404">
            <v>-2.2900763358778553E-2</v>
          </cell>
          <cell r="U404">
            <v>-1.4354066985645786E-2</v>
          </cell>
          <cell r="V404">
            <v>1.171875E-2</v>
          </cell>
          <cell r="W404">
            <v>-3.0350194552529186E-2</v>
          </cell>
          <cell r="X404">
            <v>6.5989847715736127E-2</v>
          </cell>
          <cell r="Y404">
            <v>-5.1485148514851531E-2</v>
          </cell>
          <cell r="Z404">
            <v>-1.4194283177468847E-2</v>
          </cell>
          <cell r="AB404">
            <v>0.69054022184505726</v>
          </cell>
          <cell r="AC404">
            <v>1.3150442190104763</v>
          </cell>
          <cell r="AD404">
            <v>0.5460876717027241</v>
          </cell>
          <cell r="AE404">
            <v>1.1381300737903872</v>
          </cell>
          <cell r="AF404">
            <v>1.0942287796842032</v>
          </cell>
          <cell r="AG404">
            <v>1.3918472664259516</v>
          </cell>
          <cell r="AH404">
            <v>0.85281844271017615</v>
          </cell>
          <cell r="AI404">
            <v>1.1239605054914332</v>
          </cell>
          <cell r="AJ404">
            <v>0.70807511849880922</v>
          </cell>
          <cell r="AK404">
            <v>1.3070853881693067</v>
          </cell>
          <cell r="AL404">
            <v>1.6688005409879116</v>
          </cell>
        </row>
        <row r="405">
          <cell r="A405" t="str">
            <v>31/08/2005</v>
          </cell>
          <cell r="B405">
            <v>22.7</v>
          </cell>
          <cell r="C405">
            <v>51</v>
          </cell>
          <cell r="D405">
            <v>105</v>
          </cell>
          <cell r="E405">
            <v>57.15</v>
          </cell>
          <cell r="F405">
            <v>15.65</v>
          </cell>
          <cell r="G405">
            <v>3.3250000000000002</v>
          </cell>
          <cell r="H405">
            <v>10.3</v>
          </cell>
          <cell r="I405">
            <v>65</v>
          </cell>
          <cell r="J405">
            <v>124.5</v>
          </cell>
          <cell r="K405">
            <v>166.8</v>
          </cell>
          <cell r="L405">
            <v>23.9</v>
          </cell>
          <cell r="M405">
            <v>14903.55</v>
          </cell>
          <cell r="O405">
            <v>-5.4166666666666696E-2</v>
          </cell>
          <cell r="P405">
            <v>-0.10994764397905754</v>
          </cell>
          <cell r="Q405">
            <v>-2.2346368715083886E-2</v>
          </cell>
          <cell r="R405">
            <v>-6.9504778453518545E-3</v>
          </cell>
          <cell r="S405">
            <v>-2.4922118380062308E-2</v>
          </cell>
          <cell r="T405">
            <v>3.1007751937984551E-2</v>
          </cell>
          <cell r="U405">
            <v>-1.904761904761898E-2</v>
          </cell>
          <cell r="V405">
            <v>-7.6335877862595547E-3</v>
          </cell>
          <cell r="W405">
            <v>-2.5821596244131384E-2</v>
          </cell>
          <cell r="X405">
            <v>4.9056603773584895E-2</v>
          </cell>
          <cell r="Y405">
            <v>-5.1587301587301626E-2</v>
          </cell>
          <cell r="Z405">
            <v>-1.4217680325429138E-2</v>
          </cell>
          <cell r="AB405">
            <v>0.69547552998423656</v>
          </cell>
          <cell r="AC405">
            <v>1.3248321456433891</v>
          </cell>
          <cell r="AD405">
            <v>0.54720350393416373</v>
          </cell>
          <cell r="AE405">
            <v>1.1365640420305707</v>
          </cell>
          <cell r="AF405">
            <v>1.0955730061701381</v>
          </cell>
          <cell r="AG405">
            <v>1.3821676995538206</v>
          </cell>
          <cell r="AH405">
            <v>0.85191440093164295</v>
          </cell>
          <cell r="AI405">
            <v>1.1230341772088974</v>
          </cell>
          <cell r="AJ405">
            <v>0.70878617971248226</v>
          </cell>
          <cell r="AK405">
            <v>1.2985789046564316</v>
          </cell>
          <cell r="AL405">
            <v>1.6742134651243026</v>
          </cell>
        </row>
        <row r="406">
          <cell r="A406" t="str">
            <v>01/09/2005</v>
          </cell>
          <cell r="B406">
            <v>22.95</v>
          </cell>
          <cell r="C406">
            <v>52.25</v>
          </cell>
          <cell r="D406">
            <v>105.5</v>
          </cell>
          <cell r="E406">
            <v>57.2</v>
          </cell>
          <cell r="F406">
            <v>16.05</v>
          </cell>
          <cell r="G406">
            <v>3.2749999999999999</v>
          </cell>
          <cell r="H406">
            <v>10.15</v>
          </cell>
          <cell r="I406">
            <v>64.2</v>
          </cell>
          <cell r="J406">
            <v>125.3</v>
          </cell>
          <cell r="K406">
            <v>168</v>
          </cell>
          <cell r="L406">
            <v>24.55</v>
          </cell>
          <cell r="M406">
            <v>15143.75</v>
          </cell>
          <cell r="O406">
            <v>-3.1645569620253111E-2</v>
          </cell>
          <cell r="P406">
            <v>-8.333333333333337E-2</v>
          </cell>
          <cell r="Q406">
            <v>-1.951672862453524E-2</v>
          </cell>
          <cell r="R406">
            <v>-4.3516100957353698E-3</v>
          </cell>
          <cell r="S406">
            <v>-6.1919504643961343E-3</v>
          </cell>
          <cell r="T406">
            <v>2.34375E-2</v>
          </cell>
          <cell r="U406">
            <v>-2.4038461538461564E-2</v>
          </cell>
          <cell r="V406">
            <v>-1.2307692307692242E-2</v>
          </cell>
          <cell r="W406">
            <v>-2.0328381548084473E-2</v>
          </cell>
          <cell r="X406">
            <v>5.0000000000000044E-2</v>
          </cell>
          <cell r="Y406">
            <v>-1.4056224899598346E-2</v>
          </cell>
          <cell r="Z406">
            <v>2.1314836211265842E-3</v>
          </cell>
          <cell r="AB406">
            <v>0.69641792664949465</v>
          </cell>
          <cell r="AC406">
            <v>1.3273839172050399</v>
          </cell>
          <cell r="AD406">
            <v>0.5477602523120022</v>
          </cell>
          <cell r="AE406">
            <v>1.1367601630719479</v>
          </cell>
          <cell r="AF406">
            <v>1.095917961366232</v>
          </cell>
          <cell r="AG406">
            <v>1.3806495446367164</v>
          </cell>
          <cell r="AH406">
            <v>0.85241325427511694</v>
          </cell>
          <cell r="AI406">
            <v>1.1236905333901095</v>
          </cell>
          <cell r="AJ406">
            <v>0.70922838113551268</v>
          </cell>
          <cell r="AK406">
            <v>1.2969970880165216</v>
          </cell>
          <cell r="AL406">
            <v>1.6753294509157746</v>
          </cell>
        </row>
        <row r="407">
          <cell r="A407" t="str">
            <v>02/09/2005</v>
          </cell>
          <cell r="B407">
            <v>23.05</v>
          </cell>
          <cell r="C407">
            <v>52.9</v>
          </cell>
          <cell r="D407">
            <v>105.4</v>
          </cell>
          <cell r="E407">
            <v>56.7</v>
          </cell>
          <cell r="F407">
            <v>16.05</v>
          </cell>
          <cell r="G407">
            <v>3.1</v>
          </cell>
          <cell r="H407">
            <v>10.1</v>
          </cell>
          <cell r="I407">
            <v>64.25</v>
          </cell>
          <cell r="J407">
            <v>126</v>
          </cell>
          <cell r="K407">
            <v>170.5</v>
          </cell>
          <cell r="L407">
            <v>24.5</v>
          </cell>
          <cell r="M407">
            <v>15221.89</v>
          </cell>
          <cell r="O407">
            <v>-2.3305084745762761E-2</v>
          </cell>
          <cell r="P407">
            <v>-7.6788830715532219E-2</v>
          </cell>
          <cell r="Q407">
            <v>-1.6791044776119368E-2</v>
          </cell>
          <cell r="R407">
            <v>1.7667844522968323E-3</v>
          </cell>
          <cell r="S407">
            <v>-3.1055900621118626E-3</v>
          </cell>
          <cell r="T407">
            <v>-1.5873015873015817E-2</v>
          </cell>
          <cell r="U407">
            <v>-2.8846153846153966E-2</v>
          </cell>
          <cell r="V407">
            <v>1.5588464536242519E-3</v>
          </cell>
          <cell r="W407">
            <v>-1.1764705882352899E-2</v>
          </cell>
          <cell r="X407">
            <v>6.6958698372966197E-2</v>
          </cell>
          <cell r="Y407">
            <v>4.098360655737654E-3</v>
          </cell>
          <cell r="Z407">
            <v>1.1332560865093599E-2</v>
          </cell>
          <cell r="AB407">
            <v>0.69605965001630798</v>
          </cell>
          <cell r="AC407">
            <v>1.3262330370377862</v>
          </cell>
          <cell r="AD407">
            <v>0.54749128755721865</v>
          </cell>
          <cell r="AE407">
            <v>1.1366069592898356</v>
          </cell>
          <cell r="AF407">
            <v>1.0956590728731492</v>
          </cell>
          <cell r="AG407">
            <v>1.3804159356252572</v>
          </cell>
          <cell r="AH407">
            <v>0.85199688806540907</v>
          </cell>
          <cell r="AI407">
            <v>1.1234771687300262</v>
          </cell>
          <cell r="AJ407">
            <v>0.70907902104644127</v>
          </cell>
          <cell r="AK407">
            <v>1.2977355568781737</v>
          </cell>
          <cell r="AL407">
            <v>1.6749126584634424</v>
          </cell>
        </row>
        <row r="408">
          <cell r="A408" t="str">
            <v>06/09/2005</v>
          </cell>
          <cell r="B408">
            <v>23</v>
          </cell>
          <cell r="C408">
            <v>53.95</v>
          </cell>
          <cell r="D408">
            <v>105.2</v>
          </cell>
          <cell r="E408">
            <v>55.7</v>
          </cell>
          <cell r="F408">
            <v>16.05</v>
          </cell>
          <cell r="G408">
            <v>3.0750000000000002</v>
          </cell>
          <cell r="H408">
            <v>10.050000000000001</v>
          </cell>
          <cell r="I408">
            <v>63.75</v>
          </cell>
          <cell r="J408">
            <v>126</v>
          </cell>
          <cell r="K408">
            <v>172.7</v>
          </cell>
          <cell r="L408">
            <v>23.95</v>
          </cell>
          <cell r="M408">
            <v>15160.78</v>
          </cell>
          <cell r="O408">
            <v>-2.7484143763213509E-2</v>
          </cell>
          <cell r="P408">
            <v>-5.0176056338028019E-2</v>
          </cell>
          <cell r="Q408">
            <v>-1.8656716417910446E-2</v>
          </cell>
          <cell r="R408">
            <v>-1.7636684303350969E-2</v>
          </cell>
          <cell r="S408">
            <v>-3.1055900621118626E-3</v>
          </cell>
          <cell r="T408">
            <v>-2.3809523809523725E-2</v>
          </cell>
          <cell r="U408">
            <v>-3.3653846153846145E-2</v>
          </cell>
          <cell r="V408">
            <v>-1.9984627209838512E-2</v>
          </cell>
          <cell r="W408">
            <v>-1.4855355746677179E-2</v>
          </cell>
          <cell r="X408">
            <v>6.6707844348363077E-2</v>
          </cell>
          <cell r="Y408">
            <v>-1.0330578512396715E-2</v>
          </cell>
          <cell r="Z408">
            <v>3.4310812009312741E-3</v>
          </cell>
          <cell r="AB408">
            <v>0.69669917486892197</v>
          </cell>
          <cell r="AC408">
            <v>1.3272454175562987</v>
          </cell>
          <cell r="AD408">
            <v>0.54792480331371918</v>
          </cell>
          <cell r="AE408">
            <v>1.1372289392233834</v>
          </cell>
          <cell r="AF408">
            <v>1.0958768605179026</v>
          </cell>
          <cell r="AG408">
            <v>1.3807660142251896</v>
          </cell>
          <cell r="AH408">
            <v>0.85272775328912442</v>
          </cell>
          <cell r="AI408">
            <v>1.1242847408389363</v>
          </cell>
          <cell r="AJ408">
            <v>0.70928341267970474</v>
          </cell>
          <cell r="AK408">
            <v>1.2960137411120036</v>
          </cell>
          <cell r="AL408">
            <v>1.6757432661474534</v>
          </cell>
        </row>
        <row r="409">
          <cell r="A409" t="str">
            <v>07/09/2005</v>
          </cell>
          <cell r="B409">
            <v>22.95</v>
          </cell>
          <cell r="C409">
            <v>53.75</v>
          </cell>
          <cell r="D409">
            <v>105.4</v>
          </cell>
          <cell r="E409">
            <v>55.85</v>
          </cell>
          <cell r="F409">
            <v>16.149999999999999</v>
          </cell>
          <cell r="G409">
            <v>3.0750000000000002</v>
          </cell>
          <cell r="H409">
            <v>10.050000000000001</v>
          </cell>
          <cell r="I409">
            <v>63.9</v>
          </cell>
          <cell r="J409">
            <v>126.6</v>
          </cell>
          <cell r="K409">
            <v>177</v>
          </cell>
          <cell r="L409">
            <v>23.85</v>
          </cell>
          <cell r="M409">
            <v>15224.57</v>
          </cell>
          <cell r="O409">
            <v>-2.5477707006369532E-2</v>
          </cell>
          <cell r="P409">
            <v>-5.2863436123347984E-2</v>
          </cell>
          <cell r="Q409">
            <v>-1.5873015873015817E-2</v>
          </cell>
          <cell r="R409">
            <v>-1.1504424778761013E-2</v>
          </cell>
          <cell r="S409">
            <v>6.230529595015355E-3</v>
          </cell>
          <cell r="T409">
            <v>-3.1496062992125928E-2</v>
          </cell>
          <cell r="U409">
            <v>-3.8277511961722355E-2</v>
          </cell>
          <cell r="V409">
            <v>-1.692307692307693E-2</v>
          </cell>
          <cell r="W409">
            <v>-7.8369905956112706E-3</v>
          </cell>
          <cell r="X409">
            <v>3.2069970845481022E-2</v>
          </cell>
          <cell r="Y409">
            <v>-1.0373443983402453E-2</v>
          </cell>
          <cell r="Z409">
            <v>1.1744542738359787E-2</v>
          </cell>
          <cell r="AB409">
            <v>0.69624221444893453</v>
          </cell>
          <cell r="AC409">
            <v>1.3263738246451513</v>
          </cell>
          <cell r="AD409">
            <v>0.54763028209786657</v>
          </cell>
          <cell r="AE409">
            <v>1.1367914120664617</v>
          </cell>
          <cell r="AF409">
            <v>1.095750292764528</v>
          </cell>
          <cell r="AG409">
            <v>1.3801880736161971</v>
          </cell>
          <cell r="AH409">
            <v>0.85206387464203248</v>
          </cell>
          <cell r="AI409">
            <v>1.1236788462612788</v>
          </cell>
          <cell r="AJ409">
            <v>0.70918208215554102</v>
          </cell>
          <cell r="AK409">
            <v>1.2961777069595046</v>
          </cell>
          <cell r="AL409">
            <v>1.6749760754314065</v>
          </cell>
        </row>
        <row r="410">
          <cell r="A410" t="str">
            <v>08/09/2005</v>
          </cell>
          <cell r="B410">
            <v>22.9</v>
          </cell>
          <cell r="C410">
            <v>52.25</v>
          </cell>
          <cell r="D410">
            <v>105.3</v>
          </cell>
          <cell r="E410">
            <v>55.75</v>
          </cell>
          <cell r="F410">
            <v>15.85</v>
          </cell>
          <cell r="G410">
            <v>3.1</v>
          </cell>
          <cell r="H410">
            <v>10.050000000000001</v>
          </cell>
          <cell r="I410">
            <v>63.45</v>
          </cell>
          <cell r="J410">
            <v>127</v>
          </cell>
          <cell r="K410">
            <v>176.5</v>
          </cell>
          <cell r="L410">
            <v>23.95</v>
          </cell>
          <cell r="M410">
            <v>15166.17</v>
          </cell>
          <cell r="O410">
            <v>-2.7600849256900317E-2</v>
          </cell>
          <cell r="P410">
            <v>-8.0105633802816878E-2</v>
          </cell>
          <cell r="Q410">
            <v>-2.2284122562674202E-2</v>
          </cell>
          <cell r="R410">
            <v>-1.5017667844522964E-2</v>
          </cell>
          <cell r="S410">
            <v>-2.1604938271604923E-2</v>
          </cell>
          <cell r="T410">
            <v>-3.125E-2</v>
          </cell>
          <cell r="U410">
            <v>-4.2857142857142816E-2</v>
          </cell>
          <cell r="V410">
            <v>-2.3094688221709014E-2</v>
          </cell>
          <cell r="W410">
            <v>-9.3603744149765022E-3</v>
          </cell>
          <cell r="X410">
            <v>2.0231213872832443E-2</v>
          </cell>
          <cell r="Y410">
            <v>-3.6217303822937752E-2</v>
          </cell>
          <cell r="Z410">
            <v>-1.1744766365553883E-2</v>
          </cell>
          <cell r="AB410">
            <v>0.69741438183050986</v>
          </cell>
          <cell r="AC410">
            <v>1.3314880961970748</v>
          </cell>
          <cell r="AD410">
            <v>0.54872279638790633</v>
          </cell>
          <cell r="AE410">
            <v>1.136728736470378</v>
          </cell>
          <cell r="AF410">
            <v>1.0968232208991977</v>
          </cell>
          <cell r="AG410">
            <v>1.3798531844250832</v>
          </cell>
          <cell r="AH410">
            <v>0.85441615611934851</v>
          </cell>
          <cell r="AI410">
            <v>1.1250653414906284</v>
          </cell>
          <cell r="AJ410">
            <v>0.70795767535860232</v>
          </cell>
          <cell r="AK410">
            <v>1.2928187046656017</v>
          </cell>
          <cell r="AL410">
            <v>1.6782317580539567</v>
          </cell>
        </row>
        <row r="411">
          <cell r="A411" t="str">
            <v>09/09/2005</v>
          </cell>
          <cell r="B411">
            <v>22.85</v>
          </cell>
          <cell r="C411">
            <v>53</v>
          </cell>
          <cell r="D411">
            <v>105.1</v>
          </cell>
          <cell r="E411">
            <v>55.9</v>
          </cell>
          <cell r="F411">
            <v>15.75</v>
          </cell>
          <cell r="G411">
            <v>3.0249999999999999</v>
          </cell>
          <cell r="H411">
            <v>10.1</v>
          </cell>
          <cell r="I411">
            <v>63.3</v>
          </cell>
          <cell r="J411">
            <v>126.7</v>
          </cell>
          <cell r="K411">
            <v>174.5</v>
          </cell>
          <cell r="L411">
            <v>24</v>
          </cell>
          <cell r="M411">
            <v>15165.77</v>
          </cell>
          <cell r="O411">
            <v>-2.9723991507430991E-2</v>
          </cell>
          <cell r="P411">
            <v>-7.5043630017451957E-2</v>
          </cell>
          <cell r="Q411">
            <v>-2.504638218923938E-2</v>
          </cell>
          <cell r="R411">
            <v>-5.1738761662425858E-2</v>
          </cell>
          <cell r="S411">
            <v>-3.0769230769230771E-2</v>
          </cell>
          <cell r="T411">
            <v>-6.2015503875968991E-2</v>
          </cell>
          <cell r="U411">
            <v>-3.349282296650713E-2</v>
          </cell>
          <cell r="V411">
            <v>-2.9141104294478581E-2</v>
          </cell>
          <cell r="W411">
            <v>-1.8590240123934842E-2</v>
          </cell>
          <cell r="X411">
            <v>2.8735632183907178E-3</v>
          </cell>
          <cell r="Y411">
            <v>-4.3824701195219196E-2</v>
          </cell>
          <cell r="Z411">
            <v>-1.8091704866236791E-2</v>
          </cell>
          <cell r="AB411">
            <v>0.69855508370901764</v>
          </cell>
          <cell r="AC411">
            <v>1.3359070002218538</v>
          </cell>
          <cell r="AD411">
            <v>0.55001582134222682</v>
          </cell>
          <cell r="AE411">
            <v>1.1414025139642641</v>
          </cell>
          <cell r="AF411">
            <v>1.0985620363782498</v>
          </cell>
          <cell r="AG411">
            <v>1.3829675337651095</v>
          </cell>
          <cell r="AH411">
            <v>0.85506731399083469</v>
          </cell>
          <cell r="AI411">
            <v>1.1266772986273286</v>
          </cell>
          <cell r="AJ411">
            <v>0.70714167793855875</v>
          </cell>
          <cell r="AK411">
            <v>1.2899610623735871</v>
          </cell>
          <cell r="AL411">
            <v>1.6819403706080325</v>
          </cell>
        </row>
        <row r="412">
          <cell r="A412" t="str">
            <v>12/09/2005</v>
          </cell>
          <cell r="B412">
            <v>22.8</v>
          </cell>
          <cell r="C412">
            <v>53.3</v>
          </cell>
          <cell r="D412">
            <v>105.2</v>
          </cell>
          <cell r="E412">
            <v>56</v>
          </cell>
          <cell r="F412">
            <v>15.75</v>
          </cell>
          <cell r="G412">
            <v>3.05</v>
          </cell>
          <cell r="H412">
            <v>10.15</v>
          </cell>
          <cell r="I412">
            <v>63.4</v>
          </cell>
          <cell r="J412">
            <v>126.4</v>
          </cell>
          <cell r="K412">
            <v>175.6</v>
          </cell>
          <cell r="L412">
            <v>24.1</v>
          </cell>
          <cell r="M412">
            <v>15199.79</v>
          </cell>
          <cell r="O412">
            <v>-2.9787234042553123E-2</v>
          </cell>
          <cell r="P412">
            <v>-7.0619006102877191E-2</v>
          </cell>
          <cell r="Q412">
            <v>-2.3212627669452202E-2</v>
          </cell>
          <cell r="R412">
            <v>-5.2453468697123529E-2</v>
          </cell>
          <cell r="S412">
            <v>-4.8338368580060465E-2</v>
          </cell>
          <cell r="T412">
            <v>-3.9370078740157521E-2</v>
          </cell>
          <cell r="U412">
            <v>-2.8708133971291794E-2</v>
          </cell>
          <cell r="V412">
            <v>-2.7607361963190247E-2</v>
          </cell>
          <cell r="W412">
            <v>-2.1671826625386914E-2</v>
          </cell>
          <cell r="X412">
            <v>2.0930232558139528E-2</v>
          </cell>
          <cell r="Y412">
            <v>-3.5999999999999921E-2</v>
          </cell>
          <cell r="Z412">
            <v>-1.6255311162096775E-2</v>
          </cell>
          <cell r="AB412">
            <v>0.69979629938909071</v>
          </cell>
          <cell r="AC412">
            <v>1.3396477447794579</v>
          </cell>
          <cell r="AD412">
            <v>0.55107373457516762</v>
          </cell>
          <cell r="AE412">
            <v>1.1460863505552765</v>
          </cell>
          <cell r="AF412">
            <v>1.1030590417174397</v>
          </cell>
          <cell r="AG412">
            <v>1.3828234033424538</v>
          </cell>
          <cell r="AH412">
            <v>0.85518415405349857</v>
          </cell>
          <cell r="AI412">
            <v>1.1282282291459467</v>
          </cell>
          <cell r="AJ412">
            <v>0.70704755294484467</v>
          </cell>
          <cell r="AK412">
            <v>1.2850219834341281</v>
          </cell>
          <cell r="AL412">
            <v>1.6846220389514364</v>
          </cell>
        </row>
        <row r="413">
          <cell r="A413" t="str">
            <v>13/09/2005</v>
          </cell>
          <cell r="B413">
            <v>22.6</v>
          </cell>
          <cell r="C413">
            <v>53</v>
          </cell>
          <cell r="D413">
            <v>104.6</v>
          </cell>
          <cell r="E413">
            <v>55.9</v>
          </cell>
          <cell r="F413">
            <v>15.6</v>
          </cell>
          <cell r="G413">
            <v>3.0249999999999999</v>
          </cell>
          <cell r="H413">
            <v>10.1</v>
          </cell>
          <cell r="I413">
            <v>63</v>
          </cell>
          <cell r="J413">
            <v>126.1</v>
          </cell>
          <cell r="K413">
            <v>173</v>
          </cell>
          <cell r="L413">
            <v>24.1</v>
          </cell>
          <cell r="M413">
            <v>15070.56</v>
          </cell>
          <cell r="O413">
            <v>-4.6413502109704519E-2</v>
          </cell>
          <cell r="P413">
            <v>-8.145580589254775E-2</v>
          </cell>
          <cell r="Q413">
            <v>-2.7881040892193343E-2</v>
          </cell>
          <cell r="R413">
            <v>-5.0933786078098509E-2</v>
          </cell>
          <cell r="S413">
            <v>-7.1428571428571508E-2</v>
          </cell>
          <cell r="T413">
            <v>-5.4687500000000111E-2</v>
          </cell>
          <cell r="U413">
            <v>-2.8846153846153966E-2</v>
          </cell>
          <cell r="V413">
            <v>-4.1825095057034245E-2</v>
          </cell>
          <cell r="W413">
            <v>-2.323780015491872E-2</v>
          </cell>
          <cell r="X413">
            <v>-2.8818443804035088E-3</v>
          </cell>
          <cell r="Y413">
            <v>-1.6326530612244872E-2</v>
          </cell>
          <cell r="Z413">
            <v>-2.5572123734163732E-2</v>
          </cell>
          <cell r="AB413">
            <v>0.70352058870645129</v>
          </cell>
          <cell r="AC413">
            <v>1.344368414493931</v>
          </cell>
          <cell r="AD413">
            <v>0.55240862181003436</v>
          </cell>
          <cell r="AE413">
            <v>1.1499432704628778</v>
          </cell>
          <cell r="AF413">
            <v>1.1117303107732492</v>
          </cell>
          <cell r="AG413">
            <v>1.3831217511120943</v>
          </cell>
          <cell r="AH413">
            <v>0.85375586715512242</v>
          </cell>
          <cell r="AI413">
            <v>1.1310743841883593</v>
          </cell>
          <cell r="AJ413">
            <v>0.70590312573987379</v>
          </cell>
          <cell r="AK413">
            <v>1.2807477454149245</v>
          </cell>
          <cell r="AL413">
            <v>1.6810798955123818</v>
          </cell>
        </row>
        <row r="414">
          <cell r="A414" t="str">
            <v>14/09/2005</v>
          </cell>
          <cell r="B414">
            <v>22.55</v>
          </cell>
          <cell r="C414">
            <v>53.3</v>
          </cell>
          <cell r="D414">
            <v>104.6</v>
          </cell>
          <cell r="E414">
            <v>56</v>
          </cell>
          <cell r="F414">
            <v>15.45</v>
          </cell>
          <cell r="G414">
            <v>3.0249999999999999</v>
          </cell>
          <cell r="H414">
            <v>10</v>
          </cell>
          <cell r="I414">
            <v>63.05</v>
          </cell>
          <cell r="J414">
            <v>126.3</v>
          </cell>
          <cell r="K414">
            <v>173.5</v>
          </cell>
          <cell r="L414">
            <v>24.4</v>
          </cell>
          <cell r="M414">
            <v>15086.62</v>
          </cell>
          <cell r="O414">
            <v>-4.4491525423728806E-2</v>
          </cell>
          <cell r="P414">
            <v>-8.0241587575496265E-2</v>
          </cell>
          <cell r="Q414">
            <v>-2.5163094128611396E-2</v>
          </cell>
          <cell r="R414">
            <v>-4.3552519214346663E-2</v>
          </cell>
          <cell r="S414">
            <v>-7.2072072072072002E-2</v>
          </cell>
          <cell r="T414">
            <v>-6.2015503875968991E-2</v>
          </cell>
          <cell r="U414">
            <v>-6.9767441860465129E-2</v>
          </cell>
          <cell r="V414">
            <v>-3.2975460122699474E-2</v>
          </cell>
          <cell r="W414">
            <v>-2.0170674941815459E-2</v>
          </cell>
          <cell r="X414">
            <v>7.5493612078978423E-3</v>
          </cell>
          <cell r="Y414">
            <v>-2.2044088176352727E-2</v>
          </cell>
          <cell r="Z414">
            <v>-2.3116341893934189E-2</v>
          </cell>
          <cell r="AB414">
            <v>0.70685526482381777</v>
          </cell>
          <cell r="AC414">
            <v>1.3490284601991185</v>
          </cell>
          <cell r="AD414">
            <v>0.55336405027187696</v>
          </cell>
          <cell r="AE414">
            <v>1.1525879877214089</v>
          </cell>
          <cell r="AF414">
            <v>1.1202047544317602</v>
          </cell>
          <cell r="AG414">
            <v>1.3853828398044805</v>
          </cell>
          <cell r="AH414">
            <v>0.86044957167325553</v>
          </cell>
          <cell r="AI414">
            <v>1.1325230780619402</v>
          </cell>
          <cell r="AJ414">
            <v>0.70461975483211092</v>
          </cell>
          <cell r="AK414">
            <v>1.2755265958582032</v>
          </cell>
          <cell r="AL414">
            <v>1.6797019297234554</v>
          </cell>
        </row>
        <row r="415">
          <cell r="A415" t="str">
            <v>15/09/2005</v>
          </cell>
          <cell r="B415">
            <v>22.5</v>
          </cell>
          <cell r="C415">
            <v>53</v>
          </cell>
          <cell r="D415">
            <v>104.4</v>
          </cell>
          <cell r="E415">
            <v>56.65</v>
          </cell>
          <cell r="F415">
            <v>15.4</v>
          </cell>
          <cell r="G415">
            <v>3</v>
          </cell>
          <cell r="H415">
            <v>9.9499999999999993</v>
          </cell>
          <cell r="I415">
            <v>63</v>
          </cell>
          <cell r="J415">
            <v>125.9</v>
          </cell>
          <cell r="K415">
            <v>171</v>
          </cell>
          <cell r="L415">
            <v>24.4</v>
          </cell>
          <cell r="M415">
            <v>15041.02</v>
          </cell>
          <cell r="O415">
            <v>-4.8625792811839319E-2</v>
          </cell>
          <cell r="P415">
            <v>-6.6901408450704136E-2</v>
          </cell>
          <cell r="Q415">
            <v>-2.9739776951672736E-2</v>
          </cell>
          <cell r="R415">
            <v>-4.2265426880811474E-2</v>
          </cell>
          <cell r="S415">
            <v>-7.2289156626506035E-2</v>
          </cell>
          <cell r="T415">
            <v>-9.0909090909090828E-2</v>
          </cell>
          <cell r="U415">
            <v>-6.5727699530516492E-2</v>
          </cell>
          <cell r="V415">
            <v>-3.0769230769230771E-2</v>
          </cell>
          <cell r="W415">
            <v>-1.7174082747853148E-2</v>
          </cell>
          <cell r="X415">
            <v>2.9325513196480912E-3</v>
          </cell>
          <cell r="Y415">
            <v>-6.109979633401319E-3</v>
          </cell>
          <cell r="Z415">
            <v>-2.6444731830897683E-2</v>
          </cell>
          <cell r="AB415">
            <v>0.71082286463882538</v>
          </cell>
          <cell r="AC415">
            <v>1.350447102945503</v>
          </cell>
          <cell r="AD415">
            <v>0.55495248055922508</v>
          </cell>
          <cell r="AE415">
            <v>1.1544075010915018</v>
          </cell>
          <cell r="AF415">
            <v>1.1286553796394712</v>
          </cell>
          <cell r="AG415">
            <v>1.3927582675497636</v>
          </cell>
          <cell r="AH415">
            <v>0.86628586006599018</v>
          </cell>
          <cell r="AI415">
            <v>1.1328762384868374</v>
          </cell>
          <cell r="AJ415">
            <v>0.70214737838117558</v>
          </cell>
          <cell r="AK415">
            <v>1.2699562567785847</v>
          </cell>
          <cell r="AL415">
            <v>1.6738413781160473</v>
          </cell>
        </row>
        <row r="416">
          <cell r="A416" t="str">
            <v>16/09/2005</v>
          </cell>
          <cell r="B416">
            <v>22.5</v>
          </cell>
          <cell r="C416">
            <v>52.5</v>
          </cell>
          <cell r="D416">
            <v>104.4</v>
          </cell>
          <cell r="E416">
            <v>56.2</v>
          </cell>
          <cell r="F416">
            <v>15.35</v>
          </cell>
          <cell r="G416">
            <v>3</v>
          </cell>
          <cell r="H416">
            <v>9.8000000000000007</v>
          </cell>
          <cell r="I416">
            <v>62.3</v>
          </cell>
          <cell r="J416">
            <v>125.9</v>
          </cell>
          <cell r="K416">
            <v>168.9</v>
          </cell>
          <cell r="L416">
            <v>24.35</v>
          </cell>
          <cell r="M416">
            <v>14983.2</v>
          </cell>
          <cell r="O416">
            <v>-2.386117136659438E-2</v>
          </cell>
          <cell r="P416">
            <v>3.1434184675835031E-2</v>
          </cell>
          <cell r="Q416">
            <v>-2.7932960893854775E-2</v>
          </cell>
          <cell r="R416">
            <v>-1.9197207678882999E-2</v>
          </cell>
          <cell r="S416">
            <v>-3.7617554858934144E-2</v>
          </cell>
          <cell r="T416">
            <v>-5.5118110236220375E-2</v>
          </cell>
          <cell r="U416">
            <v>-5.7692307692307709E-2</v>
          </cell>
          <cell r="V416">
            <v>-1.267828843106189E-2</v>
          </cell>
          <cell r="W416">
            <v>-7.0977917981072114E-3</v>
          </cell>
          <cell r="X416">
            <v>-5.9171597633134176E-4</v>
          </cell>
          <cell r="Y416">
            <v>1.2474012474012586E-2</v>
          </cell>
          <cell r="Z416">
            <v>-1.0885200708472098E-2</v>
          </cell>
          <cell r="AB416">
            <v>0.71143575262676861</v>
          </cell>
          <cell r="AC416">
            <v>1.3427294061017352</v>
          </cell>
          <cell r="AD416">
            <v>0.55654740667848301</v>
          </cell>
          <cell r="AE416">
            <v>1.1548177332169136</v>
          </cell>
          <cell r="AF416">
            <v>1.1312845317228937</v>
          </cell>
          <cell r="AG416">
            <v>1.3951419962340714</v>
          </cell>
          <cell r="AH416">
            <v>0.86999322096900311</v>
          </cell>
          <cell r="AI416">
            <v>1.1330136354553693</v>
          </cell>
          <cell r="AJ416">
            <v>0.70092259767416687</v>
          </cell>
          <cell r="AK416">
            <v>1.2695389252290108</v>
          </cell>
          <cell r="AL416">
            <v>1.6715352109377273</v>
          </cell>
        </row>
        <row r="417">
          <cell r="A417" t="str">
            <v>19/09/2005</v>
          </cell>
          <cell r="B417">
            <v>22.5</v>
          </cell>
          <cell r="C417">
            <v>52.5</v>
          </cell>
          <cell r="D417">
            <v>104.4</v>
          </cell>
          <cell r="E417">
            <v>56.2</v>
          </cell>
          <cell r="F417">
            <v>15.35</v>
          </cell>
          <cell r="G417">
            <v>3</v>
          </cell>
          <cell r="H417">
            <v>9.8000000000000007</v>
          </cell>
          <cell r="I417">
            <v>62.3</v>
          </cell>
          <cell r="J417">
            <v>125.9</v>
          </cell>
          <cell r="K417">
            <v>168.9</v>
          </cell>
          <cell r="L417">
            <v>24.35</v>
          </cell>
          <cell r="M417">
            <v>14983.2</v>
          </cell>
          <cell r="O417">
            <v>-2.1739130434782594E-2</v>
          </cell>
          <cell r="P417">
            <v>7.6775431861804133E-3</v>
          </cell>
          <cell r="Q417">
            <v>-2.7027027027026973E-2</v>
          </cell>
          <cell r="R417">
            <v>-4.4286979627989886E-3</v>
          </cell>
          <cell r="S417">
            <v>-2.2292993630573243E-2</v>
          </cell>
          <cell r="T417">
            <v>-5.5118110236220375E-2</v>
          </cell>
          <cell r="U417">
            <v>-6.2200956937798924E-2</v>
          </cell>
          <cell r="V417">
            <v>-1.8897637795275646E-2</v>
          </cell>
          <cell r="W417">
            <v>-1.5860428231561086E-3</v>
          </cell>
          <cell r="X417">
            <v>1.4414414414414489E-2</v>
          </cell>
          <cell r="Y417">
            <v>2.5263157894736876E-2</v>
          </cell>
          <cell r="Z417">
            <v>-3.6845160556726597E-3</v>
          </cell>
          <cell r="AB417">
            <v>0.71200352938769218</v>
          </cell>
          <cell r="AC417">
            <v>1.3403079978819057</v>
          </cell>
          <cell r="AD417">
            <v>0.55771238534784318</v>
          </cell>
          <cell r="AE417">
            <v>1.1546359512128141</v>
          </cell>
          <cell r="AF417">
            <v>1.132388836201415</v>
          </cell>
          <cell r="AG417">
            <v>1.3972423722202945</v>
          </cell>
          <cell r="AH417">
            <v>0.87293779426651252</v>
          </cell>
          <cell r="AI417">
            <v>1.1340508901663513</v>
          </cell>
          <cell r="AJ417">
            <v>0.70015527590102911</v>
          </cell>
          <cell r="AK417">
            <v>1.2688985923878908</v>
          </cell>
          <cell r="AL417">
            <v>1.6700984977491804</v>
          </cell>
        </row>
        <row r="418">
          <cell r="A418" t="str">
            <v>20/09/2005</v>
          </cell>
          <cell r="B418">
            <v>22.6</v>
          </cell>
          <cell r="C418">
            <v>53.35</v>
          </cell>
          <cell r="D418">
            <v>104.5</v>
          </cell>
          <cell r="E418">
            <v>56.75</v>
          </cell>
          <cell r="F418">
            <v>15.55</v>
          </cell>
          <cell r="G418">
            <v>3.0249999999999999</v>
          </cell>
          <cell r="H418">
            <v>10.050000000000001</v>
          </cell>
          <cell r="I418">
            <v>61.95</v>
          </cell>
          <cell r="J418">
            <v>126.1</v>
          </cell>
          <cell r="K418">
            <v>168.7</v>
          </cell>
          <cell r="L418">
            <v>24.65</v>
          </cell>
          <cell r="M418">
            <v>15241.86</v>
          </cell>
          <cell r="O418">
            <v>-1.7391304347825987E-2</v>
          </cell>
          <cell r="P418">
            <v>6.6037735849056034E-3</v>
          </cell>
          <cell r="Q418">
            <v>-1.6007532956685555E-2</v>
          </cell>
          <cell r="R418">
            <v>6.2056737588653821E-3</v>
          </cell>
          <cell r="S418">
            <v>-1.8927444794952564E-2</v>
          </cell>
          <cell r="T418">
            <v>-5.4687500000000111E-2</v>
          </cell>
          <cell r="U418">
            <v>-4.2857142857142816E-2</v>
          </cell>
          <cell r="V418">
            <v>-4.8387096774193394E-2</v>
          </cell>
          <cell r="W418">
            <v>-6.3041765169425945E-3</v>
          </cell>
          <cell r="X418">
            <v>1.1390887290167795E-2</v>
          </cell>
          <cell r="Y418">
            <v>2.2821576763485396E-2</v>
          </cell>
          <cell r="Z418">
            <v>1.526418606668356E-3</v>
          </cell>
          <cell r="AB418">
            <v>0.71228070760739026</v>
          </cell>
          <cell r="AC418">
            <v>1.3393141638803256</v>
          </cell>
          <cell r="AD418">
            <v>0.55804115086665729</v>
          </cell>
          <cell r="AE418">
            <v>1.1543771844317503</v>
          </cell>
          <cell r="AF418">
            <v>1.1330610645774959</v>
          </cell>
          <cell r="AG418">
            <v>1.3985924650007988</v>
          </cell>
          <cell r="AH418">
            <v>0.873970188257023</v>
          </cell>
          <cell r="AI418">
            <v>1.1358465588121762</v>
          </cell>
          <cell r="AJ418">
            <v>0.70004531816350823</v>
          </cell>
          <cell r="AK418">
            <v>1.2689004068087872</v>
          </cell>
          <cell r="AL418">
            <v>1.6697331962682014</v>
          </cell>
        </row>
        <row r="419">
          <cell r="A419" t="str">
            <v>21/09/2005</v>
          </cell>
          <cell r="B419">
            <v>22.6</v>
          </cell>
          <cell r="C419">
            <v>52.75</v>
          </cell>
          <cell r="D419">
            <v>104.3</v>
          </cell>
          <cell r="E419">
            <v>56.5</v>
          </cell>
          <cell r="F419">
            <v>15.45</v>
          </cell>
          <cell r="G419">
            <v>2.9750000000000001</v>
          </cell>
          <cell r="H419">
            <v>9.9499999999999993</v>
          </cell>
          <cell r="I419">
            <v>60.4</v>
          </cell>
          <cell r="J419">
            <v>125.9</v>
          </cell>
          <cell r="K419">
            <v>168</v>
          </cell>
          <cell r="L419">
            <v>24.95</v>
          </cell>
          <cell r="M419">
            <v>15223.62</v>
          </cell>
          <cell r="O419">
            <v>-1.0940919037199071E-2</v>
          </cell>
          <cell r="P419">
            <v>2.4271844660194164E-2</v>
          </cell>
          <cell r="Q419">
            <v>-1.1374407582938395E-2</v>
          </cell>
          <cell r="R419">
            <v>1.4362657091561815E-2</v>
          </cell>
          <cell r="S419">
            <v>-1.2779552715655007E-2</v>
          </cell>
          <cell r="T419">
            <v>-8.4615384615384537E-2</v>
          </cell>
          <cell r="U419">
            <v>-3.8647342995169143E-2</v>
          </cell>
          <cell r="V419">
            <v>-6.7181467181467225E-2</v>
          </cell>
          <cell r="W419">
            <v>-7.9365079365079083E-4</v>
          </cell>
          <cell r="X419">
            <v>0</v>
          </cell>
          <cell r="Y419">
            <v>5.2742616033755185E-2</v>
          </cell>
          <cell r="Z419">
            <v>1.6677696977872802E-2</v>
          </cell>
          <cell r="AB419">
            <v>0.71162002705701966</v>
          </cell>
          <cell r="AC419">
            <v>1.3406945170036484</v>
          </cell>
          <cell r="AD419">
            <v>0.55732965720345451</v>
          </cell>
          <cell r="AE419">
            <v>1.1542665302014141</v>
          </cell>
          <cell r="AF419">
            <v>1.1314321175082709</v>
          </cell>
          <cell r="AG419">
            <v>1.3937456960441617</v>
          </cell>
          <cell r="AH419">
            <v>0.87189732305562417</v>
          </cell>
          <cell r="AI419">
            <v>1.1311383352173772</v>
          </cell>
          <cell r="AJ419">
            <v>0.69993688840607693</v>
          </cell>
          <cell r="AK419">
            <v>1.2672338718871281</v>
          </cell>
          <cell r="AL419">
            <v>1.6705441806830734</v>
          </cell>
        </row>
        <row r="420">
          <cell r="A420" t="str">
            <v>22/09/2005</v>
          </cell>
          <cell r="B420">
            <v>22.7</v>
          </cell>
          <cell r="C420">
            <v>51.7</v>
          </cell>
          <cell r="D420">
            <v>103.9</v>
          </cell>
          <cell r="E420">
            <v>56.5</v>
          </cell>
          <cell r="F420">
            <v>15.35</v>
          </cell>
          <cell r="G420">
            <v>2.95</v>
          </cell>
          <cell r="H420">
            <v>9.9</v>
          </cell>
          <cell r="I420">
            <v>59.95</v>
          </cell>
          <cell r="J420">
            <v>125.2</v>
          </cell>
          <cell r="K420">
            <v>167.2</v>
          </cell>
          <cell r="L420">
            <v>24.95</v>
          </cell>
          <cell r="M420">
            <v>15179.95</v>
          </cell>
          <cell r="O420">
            <v>-2.19780219780219E-3</v>
          </cell>
          <cell r="P420">
            <v>1.2732615083251853E-2</v>
          </cell>
          <cell r="Q420">
            <v>-1.3295346628679927E-2</v>
          </cell>
          <cell r="R420">
            <v>8.9285714285713969E-3</v>
          </cell>
          <cell r="S420">
            <v>-2.2292993630573243E-2</v>
          </cell>
          <cell r="T420">
            <v>-8.5271317829457294E-2</v>
          </cell>
          <cell r="U420">
            <v>-2.9411764705882248E-2</v>
          </cell>
          <cell r="V420">
            <v>-7.5558982266769381E-2</v>
          </cell>
          <cell r="W420">
            <v>0</v>
          </cell>
          <cell r="X420">
            <v>5.4119061936257484E-3</v>
          </cell>
          <cell r="Y420">
            <v>5.9447983014861983E-2</v>
          </cell>
          <cell r="Z420">
            <v>2.0579742299404735E-2</v>
          </cell>
          <cell r="AB420">
            <v>0.71114883499654302</v>
          </cell>
          <cell r="AC420">
            <v>1.3413474865432313</v>
          </cell>
          <cell r="AD420">
            <v>0.55601216138463727</v>
          </cell>
          <cell r="AE420">
            <v>1.1533454810471613</v>
          </cell>
          <cell r="AF420">
            <v>1.1280653032292365</v>
          </cell>
          <cell r="AG420">
            <v>1.3864497260172561</v>
          </cell>
          <cell r="AH420">
            <v>0.86942681703963565</v>
          </cell>
          <cell r="AI420">
            <v>1.1235218761277017</v>
          </cell>
          <cell r="AJ420">
            <v>0.69963498176211336</v>
          </cell>
          <cell r="AK420">
            <v>1.2649225041600611</v>
          </cell>
          <cell r="AL420">
            <v>1.6717008460725646</v>
          </cell>
        </row>
        <row r="421">
          <cell r="A421" t="str">
            <v>23/09/2005</v>
          </cell>
          <cell r="B421">
            <v>22.6</v>
          </cell>
          <cell r="C421">
            <v>51.8</v>
          </cell>
          <cell r="D421">
            <v>103.8</v>
          </cell>
          <cell r="E421">
            <v>56.5</v>
          </cell>
          <cell r="F421">
            <v>15.35</v>
          </cell>
          <cell r="G421">
            <v>2.9750000000000001</v>
          </cell>
          <cell r="H421">
            <v>9.9</v>
          </cell>
          <cell r="I421">
            <v>60.05</v>
          </cell>
          <cell r="J421">
            <v>125</v>
          </cell>
          <cell r="K421">
            <v>167.5</v>
          </cell>
          <cell r="L421">
            <v>24.95</v>
          </cell>
          <cell r="M421">
            <v>15143.97</v>
          </cell>
          <cell r="O421">
            <v>0</v>
          </cell>
          <cell r="P421">
            <v>1.5686274509803866E-2</v>
          </cell>
          <cell r="Q421">
            <v>-1.048617731172552E-2</v>
          </cell>
          <cell r="R421">
            <v>1.2544802867383575E-2</v>
          </cell>
          <cell r="S421">
            <v>-2.8481012658227889E-2</v>
          </cell>
          <cell r="T421">
            <v>-7.03125E-2</v>
          </cell>
          <cell r="U421">
            <v>-3.8834951456310662E-2</v>
          </cell>
          <cell r="V421">
            <v>-7.6153846153846239E-2</v>
          </cell>
          <cell r="W421">
            <v>8.0064051240991141E-4</v>
          </cell>
          <cell r="X421">
            <v>-1.7878426698451078E-3</v>
          </cell>
          <cell r="Y421">
            <v>4.8319327731092265E-2</v>
          </cell>
          <cell r="Z421">
            <v>1.7117891611984515E-2</v>
          </cell>
          <cell r="AB421">
            <v>0.71106904953427785</v>
          </cell>
          <cell r="AC421">
            <v>1.3422471825157543</v>
          </cell>
          <cell r="AD421">
            <v>0.5553233321020421</v>
          </cell>
          <cell r="AE421">
            <v>1.1531053312909552</v>
          </cell>
          <cell r="AF421">
            <v>1.1254975964248943</v>
          </cell>
          <cell r="AG421">
            <v>1.3822725979429293</v>
          </cell>
          <cell r="AH421">
            <v>0.86727663805786992</v>
          </cell>
          <cell r="AI421">
            <v>1.1181881158053908</v>
          </cell>
          <cell r="AJ421">
            <v>0.69959717179715364</v>
          </cell>
          <cell r="AK421">
            <v>1.2630893495968072</v>
          </cell>
          <cell r="AL421">
            <v>1.6722390321551648</v>
          </cell>
        </row>
        <row r="422">
          <cell r="A422" t="str">
            <v>26/09/2005</v>
          </cell>
          <cell r="B422">
            <v>22.8</v>
          </cell>
          <cell r="C422">
            <v>51.55</v>
          </cell>
          <cell r="D422">
            <v>104</v>
          </cell>
          <cell r="E422">
            <v>56.4</v>
          </cell>
          <cell r="F422">
            <v>15.35</v>
          </cell>
          <cell r="G422">
            <v>2.95</v>
          </cell>
          <cell r="H422">
            <v>9.85</v>
          </cell>
          <cell r="I422">
            <v>59.85</v>
          </cell>
          <cell r="J422">
            <v>125.5</v>
          </cell>
          <cell r="K422">
            <v>167.6</v>
          </cell>
          <cell r="L422">
            <v>25.4</v>
          </cell>
          <cell r="M422">
            <v>15274.31</v>
          </cell>
          <cell r="O422">
            <v>0</v>
          </cell>
          <cell r="P422">
            <v>3.894839337877265E-3</v>
          </cell>
          <cell r="Q422">
            <v>-9.52380952380949E-3</v>
          </cell>
          <cell r="R422">
            <v>-1.5706806282722474E-2</v>
          </cell>
          <cell r="S422">
            <v>-3.1545741324921162E-2</v>
          </cell>
          <cell r="T422">
            <v>-9.2307692307692202E-2</v>
          </cell>
          <cell r="U422">
            <v>-4.3689320388349606E-2</v>
          </cell>
          <cell r="V422">
            <v>-8.2055214723926406E-2</v>
          </cell>
          <cell r="W422">
            <v>4.0000000000000036E-3</v>
          </cell>
          <cell r="X422">
            <v>-8.2840236686391178E-3</v>
          </cell>
          <cell r="Y422">
            <v>7.1729957805907185E-2</v>
          </cell>
          <cell r="Z422">
            <v>1.9450186179034823E-2</v>
          </cell>
          <cell r="AB422">
            <v>0.71085550975567169</v>
          </cell>
          <cell r="AC422">
            <v>1.3423172396639367</v>
          </cell>
          <cell r="AD422">
            <v>0.55445216599910374</v>
          </cell>
          <cell r="AE422">
            <v>1.1506582608973439</v>
          </cell>
          <cell r="AF422">
            <v>1.1219408427844466</v>
          </cell>
          <cell r="AG422">
            <v>1.3753765358731993</v>
          </cell>
          <cell r="AH422">
            <v>0.86415134425180495</v>
          </cell>
          <cell r="AI422">
            <v>1.1110299904544927</v>
          </cell>
          <cell r="AJ422">
            <v>0.69965962992543385</v>
          </cell>
          <cell r="AK422">
            <v>1.2601759982190202</v>
          </cell>
          <cell r="AL422">
            <v>1.6742582203166092</v>
          </cell>
        </row>
        <row r="423">
          <cell r="A423" t="str">
            <v>27/09/2005</v>
          </cell>
          <cell r="B423">
            <v>22.65</v>
          </cell>
          <cell r="C423">
            <v>51.3</v>
          </cell>
          <cell r="D423">
            <v>103.8</v>
          </cell>
          <cell r="E423">
            <v>56.1</v>
          </cell>
          <cell r="F423">
            <v>15.4</v>
          </cell>
          <cell r="G423">
            <v>2.9750000000000001</v>
          </cell>
          <cell r="H423">
            <v>9.8000000000000007</v>
          </cell>
          <cell r="I423">
            <v>59.9</v>
          </cell>
          <cell r="J423">
            <v>125.4</v>
          </cell>
          <cell r="K423">
            <v>168.5</v>
          </cell>
          <cell r="L423">
            <v>26.1</v>
          </cell>
          <cell r="M423">
            <v>15189.88</v>
          </cell>
          <cell r="O423">
            <v>0</v>
          </cell>
          <cell r="P423">
            <v>9.8425196850393526E-3</v>
          </cell>
          <cell r="Q423">
            <v>-1.048617731172552E-2</v>
          </cell>
          <cell r="R423">
            <v>-2.2648083623693305E-2</v>
          </cell>
          <cell r="S423">
            <v>-1.5974440894568676E-2</v>
          </cell>
          <cell r="T423">
            <v>-7.03125E-2</v>
          </cell>
          <cell r="U423">
            <v>-4.3902439024390172E-2</v>
          </cell>
          <cell r="V423">
            <v>-7.4903474903474931E-2</v>
          </cell>
          <cell r="W423">
            <v>8.8495575221239076E-3</v>
          </cell>
          <cell r="X423">
            <v>2.9761904761904656E-3</v>
          </cell>
          <cell r="Y423">
            <v>0.10126582278481022</v>
          </cell>
          <cell r="Z423">
            <v>2.3785853850213368E-2</v>
          </cell>
          <cell r="AB423">
            <v>0.71027554779256286</v>
          </cell>
          <cell r="AC423">
            <v>1.3424239993277955</v>
          </cell>
          <cell r="AD423">
            <v>0.55295663254927341</v>
          </cell>
          <cell r="AE423">
            <v>1.1462234275521497</v>
          </cell>
          <cell r="AF423">
            <v>1.1181466387151289</v>
          </cell>
          <cell r="AG423">
            <v>1.3675731491617329</v>
          </cell>
          <cell r="AH423">
            <v>0.85955353700630543</v>
          </cell>
          <cell r="AI423">
            <v>1.1015774455559759</v>
          </cell>
          <cell r="AJ423">
            <v>0.69991573383024774</v>
          </cell>
          <cell r="AK423">
            <v>1.2567870126545151</v>
          </cell>
          <cell r="AL423">
            <v>1.6790930534703752</v>
          </cell>
        </row>
        <row r="424">
          <cell r="A424" t="str">
            <v>28/09/2005</v>
          </cell>
          <cell r="B424">
            <v>22.8</v>
          </cell>
          <cell r="C424">
            <v>51.5</v>
          </cell>
          <cell r="D424">
            <v>103.9</v>
          </cell>
          <cell r="E424">
            <v>55.3</v>
          </cell>
          <cell r="F424">
            <v>15.4</v>
          </cell>
          <cell r="G424">
            <v>2.9750000000000001</v>
          </cell>
          <cell r="H424">
            <v>9.8000000000000007</v>
          </cell>
          <cell r="I424">
            <v>58.8</v>
          </cell>
          <cell r="J424">
            <v>125.4</v>
          </cell>
          <cell r="K424">
            <v>168.4</v>
          </cell>
          <cell r="L424">
            <v>27.1</v>
          </cell>
          <cell r="M424">
            <v>15221.46</v>
          </cell>
          <cell r="O424">
            <v>6.6225165562914245E-3</v>
          </cell>
          <cell r="P424">
            <v>3.8986354775829568E-3</v>
          </cell>
          <cell r="Q424">
            <v>-8.5877862595419296E-3</v>
          </cell>
          <cell r="R424">
            <v>-4.1594454072790388E-2</v>
          </cell>
          <cell r="S424">
            <v>-1.5974440894568676E-2</v>
          </cell>
          <cell r="T424">
            <v>-7.03125E-2</v>
          </cell>
          <cell r="U424">
            <v>-4.8543689320388328E-2</v>
          </cell>
          <cell r="V424">
            <v>-9.1891891891891953E-2</v>
          </cell>
          <cell r="W424">
            <v>6.4205457463886173E-3</v>
          </cell>
          <cell r="X424">
            <v>2.3809523809523725E-3</v>
          </cell>
          <cell r="Y424">
            <v>0.13152400835073075</v>
          </cell>
          <cell r="Z424">
            <v>2.0053316463636062E-2</v>
          </cell>
          <cell r="AB424">
            <v>0.71050472688681021</v>
          </cell>
          <cell r="AC424">
            <v>1.3424375633057981</v>
          </cell>
          <cell r="AD424">
            <v>0.55211024908268824</v>
          </cell>
          <cell r="AE424">
            <v>1.1418103478516939</v>
          </cell>
          <cell r="AF424">
            <v>1.1155758031719645</v>
          </cell>
          <cell r="AG424">
            <v>1.3620351769871839</v>
          </cell>
          <cell r="AH424">
            <v>0.85597061574447941</v>
          </cell>
          <cell r="AI424">
            <v>1.0934959396664083</v>
          </cell>
          <cell r="AJ424">
            <v>0.70012277333952422</v>
          </cell>
          <cell r="AK424">
            <v>1.2545172505216067</v>
          </cell>
          <cell r="AL424">
            <v>1.6853835361870313</v>
          </cell>
        </row>
        <row r="425">
          <cell r="A425" t="str">
            <v>29/09/2005</v>
          </cell>
          <cell r="B425">
            <v>22.8</v>
          </cell>
          <cell r="C425">
            <v>51.5</v>
          </cell>
          <cell r="D425">
            <v>104.3</v>
          </cell>
          <cell r="E425">
            <v>57.55</v>
          </cell>
          <cell r="F425">
            <v>15.65</v>
          </cell>
          <cell r="G425">
            <v>3</v>
          </cell>
          <cell r="H425">
            <v>9.85</v>
          </cell>
          <cell r="I425">
            <v>59.4</v>
          </cell>
          <cell r="J425">
            <v>126.1</v>
          </cell>
          <cell r="K425">
            <v>172</v>
          </cell>
          <cell r="L425">
            <v>27.05</v>
          </cell>
          <cell r="M425">
            <v>15431.25</v>
          </cell>
          <cell r="O425">
            <v>4.405286343612369E-3</v>
          </cell>
          <cell r="P425">
            <v>9.8039215686274161E-3</v>
          </cell>
          <cell r="Q425">
            <v>-6.6666666666667096E-3</v>
          </cell>
          <cell r="R425">
            <v>6.9991251093612927E-3</v>
          </cell>
          <cell r="S425">
            <v>0</v>
          </cell>
          <cell r="T425">
            <v>-9.7744360902255689E-2</v>
          </cell>
          <cell r="U425">
            <v>-4.3689320388349606E-2</v>
          </cell>
          <cell r="V425">
            <v>-8.6153846153846136E-2</v>
          </cell>
          <cell r="W425">
            <v>1.2851405622489986E-2</v>
          </cell>
          <cell r="X425">
            <v>3.1175059952038398E-2</v>
          </cell>
          <cell r="Y425">
            <v>0.13179916317991647</v>
          </cell>
          <cell r="Z425">
            <v>3.5407671326630252E-2</v>
          </cell>
          <cell r="AB425">
            <v>0.70889911557145946</v>
          </cell>
          <cell r="AC425">
            <v>1.340098044494207</v>
          </cell>
          <cell r="AD425">
            <v>0.54917256135493497</v>
          </cell>
          <cell r="AE425">
            <v>1.1370059113578974</v>
          </cell>
          <cell r="AF425">
            <v>1.1096753920304352</v>
          </cell>
          <cell r="AG425">
            <v>1.3419358909005037</v>
          </cell>
          <cell r="AH425">
            <v>0.84667109565690057</v>
          </cell>
          <cell r="AI425">
            <v>1.0737518253666942</v>
          </cell>
          <cell r="AJ425">
            <v>0.6998870629750682</v>
          </cell>
          <cell r="AK425">
            <v>1.2510078948104213</v>
          </cell>
          <cell r="AL425">
            <v>1.6952406017960922</v>
          </cell>
        </row>
        <row r="426">
          <cell r="A426" t="str">
            <v>30/09/2005</v>
          </cell>
          <cell r="B426">
            <v>22.7</v>
          </cell>
          <cell r="C426">
            <v>52</v>
          </cell>
          <cell r="D426">
            <v>104.3</v>
          </cell>
          <cell r="E426">
            <v>57.1</v>
          </cell>
          <cell r="F426">
            <v>15.55</v>
          </cell>
          <cell r="G426">
            <v>3.1</v>
          </cell>
          <cell r="H426">
            <v>9.8000000000000007</v>
          </cell>
          <cell r="I426">
            <v>59.45</v>
          </cell>
          <cell r="J426">
            <v>126.2</v>
          </cell>
          <cell r="K426">
            <v>170</v>
          </cell>
          <cell r="L426">
            <v>26.55</v>
          </cell>
          <cell r="M426">
            <v>15428.52</v>
          </cell>
          <cell r="O426">
            <v>-1.089324618736387E-2</v>
          </cell>
          <cell r="P426">
            <v>-4.784688995215336E-3</v>
          </cell>
          <cell r="Q426">
            <v>-1.1374407582938395E-2</v>
          </cell>
          <cell r="R426">
            <v>-1.7482517482517723E-3</v>
          </cell>
          <cell r="S426">
            <v>-3.1152647975077885E-2</v>
          </cell>
          <cell r="T426">
            <v>-5.3435114503816772E-2</v>
          </cell>
          <cell r="U426">
            <v>-3.4482758620689613E-2</v>
          </cell>
          <cell r="V426">
            <v>-7.3987538940810005E-2</v>
          </cell>
          <cell r="W426">
            <v>7.1827613727055706E-3</v>
          </cell>
          <cell r="X426">
            <v>1.1904761904761862E-2</v>
          </cell>
          <cell r="Y426">
            <v>8.1466395112016254E-2</v>
          </cell>
          <cell r="Z426">
            <v>1.88044572843582E-2</v>
          </cell>
          <cell r="AB426">
            <v>0.70805293266604341</v>
          </cell>
          <cell r="AC426">
            <v>1.3396737073702627</v>
          </cell>
          <cell r="AD426">
            <v>0.54831066999499356</v>
          </cell>
          <cell r="AE426">
            <v>1.1357806211402857</v>
          </cell>
          <cell r="AF426">
            <v>1.1065808389382159</v>
          </cell>
          <cell r="AG426">
            <v>1.3383389375851042</v>
          </cell>
          <cell r="AH426">
            <v>0.84453027322369256</v>
          </cell>
          <cell r="AI426">
            <v>1.0679813498937276</v>
          </cell>
          <cell r="AJ426">
            <v>0.70017147218832942</v>
          </cell>
          <cell r="AK426">
            <v>1.2497402876553094</v>
          </cell>
          <cell r="AL426">
            <v>1.697665938582936</v>
          </cell>
        </row>
        <row r="427">
          <cell r="A427" t="str">
            <v>03/10/2005</v>
          </cell>
          <cell r="B427">
            <v>22.8</v>
          </cell>
          <cell r="C427">
            <v>51.95</v>
          </cell>
          <cell r="D427">
            <v>104.8</v>
          </cell>
          <cell r="E427">
            <v>56.3</v>
          </cell>
          <cell r="F427">
            <v>15.5</v>
          </cell>
          <cell r="G427">
            <v>3</v>
          </cell>
          <cell r="H427">
            <v>9.85</v>
          </cell>
          <cell r="I427">
            <v>59.35</v>
          </cell>
          <cell r="J427">
            <v>126</v>
          </cell>
          <cell r="K427">
            <v>169.6</v>
          </cell>
          <cell r="L427">
            <v>27.15</v>
          </cell>
          <cell r="M427">
            <v>15394.39</v>
          </cell>
          <cell r="O427">
            <v>-1.0845986984815648E-2</v>
          </cell>
          <cell r="P427">
            <v>-1.7958412098298626E-2</v>
          </cell>
          <cell r="Q427">
            <v>-5.6925996204933993E-3</v>
          </cell>
          <cell r="R427">
            <v>-7.0546737213404986E-3</v>
          </cell>
          <cell r="S427">
            <v>-3.4267912772585674E-2</v>
          </cell>
          <cell r="T427">
            <v>-3.2258064516129115E-2</v>
          </cell>
          <cell r="U427">
            <v>-2.4752475247524774E-2</v>
          </cell>
          <cell r="V427">
            <v>-7.6264591439688667E-2</v>
          </cell>
          <cell r="W427">
            <v>0</v>
          </cell>
          <cell r="X427">
            <v>-5.278592375366653E-3</v>
          </cell>
          <cell r="Y427">
            <v>0.10816326530612241</v>
          </cell>
          <cell r="Z427">
            <v>1.1332364115099969E-2</v>
          </cell>
          <cell r="AB427">
            <v>0.70789994647634846</v>
          </cell>
          <cell r="AC427">
            <v>1.3394850299319121</v>
          </cell>
          <cell r="AD427">
            <v>0.54823807654074075</v>
          </cell>
          <cell r="AE427">
            <v>1.1354718873259126</v>
          </cell>
          <cell r="AF427">
            <v>1.1057459266486807</v>
          </cell>
          <cell r="AG427">
            <v>1.3378513173870035</v>
          </cell>
          <cell r="AH427">
            <v>0.84419183557236133</v>
          </cell>
          <cell r="AI427">
            <v>1.0663495889409891</v>
          </cell>
          <cell r="AJ427">
            <v>0.70021988432752347</v>
          </cell>
          <cell r="AK427">
            <v>1.2492074297988653</v>
          </cell>
          <cell r="AL427">
            <v>1.6991526677449535</v>
          </cell>
        </row>
        <row r="428">
          <cell r="A428" t="str">
            <v>04/10/2005</v>
          </cell>
          <cell r="B428">
            <v>22.9</v>
          </cell>
          <cell r="C428">
            <v>52</v>
          </cell>
          <cell r="D428">
            <v>104.4</v>
          </cell>
          <cell r="E428">
            <v>55.9</v>
          </cell>
          <cell r="F428">
            <v>15.65</v>
          </cell>
          <cell r="G428">
            <v>3.0249999999999999</v>
          </cell>
          <cell r="H428">
            <v>9.9</v>
          </cell>
          <cell r="I428">
            <v>59.5</v>
          </cell>
          <cell r="J428">
            <v>125.8</v>
          </cell>
          <cell r="K428">
            <v>171</v>
          </cell>
          <cell r="L428">
            <v>27.45</v>
          </cell>
          <cell r="M428">
            <v>15382.21</v>
          </cell>
          <cell r="O428">
            <v>-4.3478260869566077E-3</v>
          </cell>
          <cell r="P428">
            <v>-3.6144578313253017E-2</v>
          </cell>
          <cell r="Q428">
            <v>-7.6045627376425395E-3</v>
          </cell>
          <cell r="R428">
            <v>3.5906642728904536E-3</v>
          </cell>
          <cell r="S428">
            <v>-2.4922118380062308E-2</v>
          </cell>
          <cell r="T428">
            <v>-1.6260162601626105E-2</v>
          </cell>
          <cell r="U428">
            <v>-1.4925373134328401E-2</v>
          </cell>
          <cell r="V428">
            <v>-6.6666666666666652E-2</v>
          </cell>
          <cell r="W428">
            <v>-1.5873015873015817E-3</v>
          </cell>
          <cell r="X428">
            <v>-9.8436595251881753E-3</v>
          </cell>
          <cell r="Y428">
            <v>0.14613778705636737</v>
          </cell>
          <cell r="Z428">
            <v>1.4605449060008713E-2</v>
          </cell>
          <cell r="AB428">
            <v>0.70775645790132224</v>
          </cell>
          <cell r="AC428">
            <v>1.3382492621640845</v>
          </cell>
          <cell r="AD428">
            <v>0.54795269253585932</v>
          </cell>
          <cell r="AE428">
            <v>1.1351246995712692</v>
          </cell>
          <cell r="AF428">
            <v>1.1043101696709918</v>
          </cell>
          <cell r="AG428">
            <v>1.3373287556211031</v>
          </cell>
          <cell r="AH428">
            <v>0.84379094847333869</v>
          </cell>
          <cell r="AI428">
            <v>1.0633493729433652</v>
          </cell>
          <cell r="AJ428">
            <v>0.70016768313392419</v>
          </cell>
          <cell r="AK428">
            <v>1.2478210734130415</v>
          </cell>
          <cell r="AL428">
            <v>1.7033364735062397</v>
          </cell>
        </row>
        <row r="429">
          <cell r="A429" t="str">
            <v>05/10/2005</v>
          </cell>
          <cell r="B429">
            <v>22.85</v>
          </cell>
          <cell r="C429">
            <v>51.4</v>
          </cell>
          <cell r="D429">
            <v>103.7</v>
          </cell>
          <cell r="E429">
            <v>55.3</v>
          </cell>
          <cell r="F429">
            <v>15.45</v>
          </cell>
          <cell r="G429">
            <v>2.9750000000000001</v>
          </cell>
          <cell r="H429">
            <v>9.9</v>
          </cell>
          <cell r="I429">
            <v>59.65</v>
          </cell>
          <cell r="J429">
            <v>125.1</v>
          </cell>
          <cell r="K429">
            <v>170.5</v>
          </cell>
          <cell r="L429">
            <v>27.05</v>
          </cell>
          <cell r="M429">
            <v>15161.03</v>
          </cell>
          <cell r="O429">
            <v>-4.3572984749454813E-3</v>
          </cell>
          <cell r="P429">
            <v>-4.3720930232558186E-2</v>
          </cell>
          <cell r="Q429">
            <v>-1.6129032258064502E-2</v>
          </cell>
          <cell r="R429">
            <v>-9.8478066248881557E-3</v>
          </cell>
          <cell r="S429">
            <v>-4.3343653250773939E-2</v>
          </cell>
          <cell r="T429">
            <v>-3.2520325203252098E-2</v>
          </cell>
          <cell r="U429">
            <v>-1.4925373134328401E-2</v>
          </cell>
          <cell r="V429">
            <v>-6.6510172143974922E-2</v>
          </cell>
          <cell r="W429">
            <v>-1.1848341232227444E-2</v>
          </cell>
          <cell r="X429">
            <v>-3.672316384180796E-2</v>
          </cell>
          <cell r="Y429">
            <v>0.13417190775681331</v>
          </cell>
          <cell r="Z429">
            <v>-4.1735168875047801E-3</v>
          </cell>
          <cell r="AB429">
            <v>0.70707261323958748</v>
          </cell>
          <cell r="AC429">
            <v>1.3392976300092745</v>
          </cell>
          <cell r="AD429">
            <v>0.54835876912046921</v>
          </cell>
          <cell r="AE429">
            <v>1.1352081522153217</v>
          </cell>
          <cell r="AF429">
            <v>1.1068235803953907</v>
          </cell>
          <cell r="AG429">
            <v>1.3376695924753601</v>
          </cell>
          <cell r="AH429">
            <v>0.84340373880113262</v>
          </cell>
          <cell r="AI429">
            <v>1.0675063299233896</v>
          </cell>
          <cell r="AJ429">
            <v>0.70005821791409817</v>
          </cell>
          <cell r="AK429">
            <v>1.2506552128779662</v>
          </cell>
          <cell r="AL429">
            <v>1.694094255890944</v>
          </cell>
        </row>
        <row r="430">
          <cell r="A430" t="str">
            <v>06/10/2005</v>
          </cell>
          <cell r="B430">
            <v>22.75</v>
          </cell>
          <cell r="C430">
            <v>50.45</v>
          </cell>
          <cell r="D430">
            <v>102.8</v>
          </cell>
          <cell r="E430">
            <v>53.5</v>
          </cell>
          <cell r="F430">
            <v>15.2</v>
          </cell>
          <cell r="G430">
            <v>2.9750000000000001</v>
          </cell>
          <cell r="H430">
            <v>9.85</v>
          </cell>
          <cell r="I430">
            <v>59</v>
          </cell>
          <cell r="J430">
            <v>123.9</v>
          </cell>
          <cell r="K430">
            <v>168</v>
          </cell>
          <cell r="L430">
            <v>26.4</v>
          </cell>
          <cell r="M430">
            <v>14839.3</v>
          </cell>
          <cell r="O430">
            <v>-6.5502183406113135E-3</v>
          </cell>
          <cell r="P430">
            <v>-3.4449760765550175E-2</v>
          </cell>
          <cell r="Q430">
            <v>-2.3741690408357052E-2</v>
          </cell>
          <cell r="R430">
            <v>-4.035874439461884E-2</v>
          </cell>
          <cell r="S430">
            <v>-4.1009463722397554E-2</v>
          </cell>
          <cell r="T430">
            <v>-4.0322580645161255E-2</v>
          </cell>
          <cell r="U430">
            <v>-1.9900497512437942E-2</v>
          </cell>
          <cell r="V430">
            <v>-7.0133963750985018E-2</v>
          </cell>
          <cell r="W430">
            <v>-2.4409448818897617E-2</v>
          </cell>
          <cell r="X430">
            <v>-4.8158640226628857E-2</v>
          </cell>
          <cell r="Y430">
            <v>0.10229645093945727</v>
          </cell>
          <cell r="Z430">
            <v>-2.1552573919453644E-2</v>
          </cell>
          <cell r="AB430">
            <v>0.70370748666033112</v>
          </cell>
          <cell r="AC430">
            <v>1.3362038938199574</v>
          </cell>
          <cell r="AD430">
            <v>0.5489973761534066</v>
          </cell>
          <cell r="AE430">
            <v>1.1372599596972632</v>
          </cell>
          <cell r="AF430">
            <v>1.1091088856979336</v>
          </cell>
          <cell r="AG430">
            <v>1.3358279593210782</v>
          </cell>
          <cell r="AH430">
            <v>0.84081674505006898</v>
          </cell>
          <cell r="AI430">
            <v>1.0748511260921247</v>
          </cell>
          <cell r="AJ430">
            <v>0.69986508986173845</v>
          </cell>
          <cell r="AK430">
            <v>1.2556418385579702</v>
          </cell>
          <cell r="AL430">
            <v>1.6724790221385704</v>
          </cell>
        </row>
        <row r="431">
          <cell r="A431" t="str">
            <v>07/10/2005</v>
          </cell>
          <cell r="B431">
            <v>22.8</v>
          </cell>
          <cell r="C431">
            <v>50.6</v>
          </cell>
          <cell r="D431">
            <v>102.5</v>
          </cell>
          <cell r="E431">
            <v>53.6</v>
          </cell>
          <cell r="F431">
            <v>15.25</v>
          </cell>
          <cell r="G431">
            <v>2.9750000000000001</v>
          </cell>
          <cell r="H431">
            <v>9.85</v>
          </cell>
          <cell r="I431">
            <v>58.7</v>
          </cell>
          <cell r="J431">
            <v>123.7</v>
          </cell>
          <cell r="K431">
            <v>167.8</v>
          </cell>
          <cell r="L431">
            <v>26.45</v>
          </cell>
          <cell r="M431">
            <v>14847.79</v>
          </cell>
          <cell r="O431">
            <v>-2.1881838074399029E-3</v>
          </cell>
          <cell r="P431">
            <v>-4.5283018867924518E-2</v>
          </cell>
          <cell r="Q431">
            <v>-2.4738344433872461E-2</v>
          </cell>
          <cell r="R431">
            <v>-4.1144901610017826E-2</v>
          </cell>
          <cell r="S431">
            <v>-3.1746031746031744E-2</v>
          </cell>
          <cell r="T431">
            <v>-1.6528925619834656E-2</v>
          </cell>
          <cell r="U431">
            <v>-2.4752475247524774E-2</v>
          </cell>
          <cell r="V431">
            <v>-7.2669826224328493E-2</v>
          </cell>
          <cell r="W431">
            <v>-2.3677979479084454E-2</v>
          </cell>
          <cell r="X431">
            <v>-3.839541547277936E-2</v>
          </cell>
          <cell r="Y431">
            <v>0.1020833333333333</v>
          </cell>
          <cell r="Z431">
            <v>-2.0966953870459548E-2</v>
          </cell>
          <cell r="AB431">
            <v>0.69981629870329698</v>
          </cell>
          <cell r="AC431">
            <v>1.3351692291658088</v>
          </cell>
          <cell r="AD431">
            <v>0.54983063344695893</v>
          </cell>
          <cell r="AE431">
            <v>1.1394730560645814</v>
          </cell>
          <cell r="AF431">
            <v>1.1098675948039995</v>
          </cell>
          <cell r="AG431">
            <v>1.3302214060477193</v>
          </cell>
          <cell r="AH431">
            <v>0.83922299164980663</v>
          </cell>
          <cell r="AI431">
            <v>1.0824342584362296</v>
          </cell>
          <cell r="AJ431">
            <v>0.6996259405270856</v>
          </cell>
          <cell r="AK431">
            <v>1.2589263442368277</v>
          </cell>
          <cell r="AL431">
            <v>1.6519147377224381</v>
          </cell>
        </row>
        <row r="432">
          <cell r="A432" t="str">
            <v>10/10/2005</v>
          </cell>
          <cell r="B432">
            <v>22.75</v>
          </cell>
          <cell r="C432">
            <v>50.65</v>
          </cell>
          <cell r="D432">
            <v>102.6</v>
          </cell>
          <cell r="E432">
            <v>54.3</v>
          </cell>
          <cell r="F432">
            <v>15.3</v>
          </cell>
          <cell r="G432">
            <v>2.9750000000000001</v>
          </cell>
          <cell r="H432">
            <v>9.9</v>
          </cell>
          <cell r="I432">
            <v>58.3</v>
          </cell>
          <cell r="J432">
            <v>123.9</v>
          </cell>
          <cell r="K432">
            <v>168.8</v>
          </cell>
          <cell r="L432">
            <v>26.15</v>
          </cell>
          <cell r="M432">
            <v>14898.77</v>
          </cell>
          <cell r="O432">
            <v>-2.1929824561404132E-3</v>
          </cell>
          <cell r="P432">
            <v>-4.971857410881797E-2</v>
          </cell>
          <cell r="Q432">
            <v>-2.4714828897338448E-2</v>
          </cell>
          <cell r="R432">
            <v>-3.035714285714286E-2</v>
          </cell>
          <cell r="S432">
            <v>-2.8571428571428581E-2</v>
          </cell>
          <cell r="T432">
            <v>-2.4590163934426146E-2</v>
          </cell>
          <cell r="U432">
            <v>-2.4630541871921152E-2</v>
          </cell>
          <cell r="V432">
            <v>-8.0441640378548951E-2</v>
          </cell>
          <cell r="W432">
            <v>-1.9778481012658222E-2</v>
          </cell>
          <cell r="X432">
            <v>-3.8724373576309645E-2</v>
          </cell>
          <cell r="Y432">
            <v>8.5062240663900335E-2</v>
          </cell>
          <cell r="Z432">
            <v>-1.9804220979368847E-2</v>
          </cell>
          <cell r="AB432">
            <v>0.69628400412482117</v>
          </cell>
          <cell r="AC432">
            <v>1.3351446466447097</v>
          </cell>
          <cell r="AD432">
            <v>0.55071242790335484</v>
          </cell>
          <cell r="AE432">
            <v>1.1400558769560774</v>
          </cell>
          <cell r="AF432">
            <v>1.1102829731150292</v>
          </cell>
          <cell r="AG432">
            <v>1.3264679664730121</v>
          </cell>
          <cell r="AH432">
            <v>0.83785843935599957</v>
          </cell>
          <cell r="AI432">
            <v>1.0910022120114564</v>
          </cell>
          <cell r="AJ432">
            <v>0.69891171377373662</v>
          </cell>
          <cell r="AK432">
            <v>1.2623015904358419</v>
          </cell>
          <cell r="AL432">
            <v>1.635563940424996</v>
          </cell>
        </row>
        <row r="433">
          <cell r="A433" t="str">
            <v>11/10/2005</v>
          </cell>
          <cell r="B433">
            <v>22.75</v>
          </cell>
          <cell r="C433">
            <v>50.65</v>
          </cell>
          <cell r="D433">
            <v>102.6</v>
          </cell>
          <cell r="E433">
            <v>54.3</v>
          </cell>
          <cell r="F433">
            <v>15.3</v>
          </cell>
          <cell r="G433">
            <v>2.9750000000000001</v>
          </cell>
          <cell r="H433">
            <v>9.9</v>
          </cell>
          <cell r="I433">
            <v>58.3</v>
          </cell>
          <cell r="J433">
            <v>123.9</v>
          </cell>
          <cell r="K433">
            <v>168.8</v>
          </cell>
          <cell r="L433">
            <v>26.15</v>
          </cell>
          <cell r="M433">
            <v>14898.77</v>
          </cell>
          <cell r="O433">
            <v>6.6371681415928752E-3</v>
          </cell>
          <cell r="P433">
            <v>-4.433962264150948E-2</v>
          </cell>
          <cell r="Q433">
            <v>-1.9120458891013437E-2</v>
          </cell>
          <cell r="R433">
            <v>-2.8622540250447304E-2</v>
          </cell>
          <cell r="S433">
            <v>-1.9230769230769162E-2</v>
          </cell>
          <cell r="T433">
            <v>-1.6528925619834656E-2</v>
          </cell>
          <cell r="U433">
            <v>-1.9801980198019709E-2</v>
          </cell>
          <cell r="V433">
            <v>-7.4603174603174671E-2</v>
          </cell>
          <cell r="W433">
            <v>-1.7446471054718415E-2</v>
          </cell>
          <cell r="X433">
            <v>-2.4277456647398776E-2</v>
          </cell>
          <cell r="Y433">
            <v>8.5062240663900335E-2</v>
          </cell>
          <cell r="Z433">
            <v>-1.1399045556369392E-2</v>
          </cell>
          <cell r="AB433">
            <v>0.69355027179310991</v>
          </cell>
          <cell r="AC433">
            <v>1.3357654793230893</v>
          </cell>
          <cell r="AD433">
            <v>0.55120839922360143</v>
          </cell>
          <cell r="AE433">
            <v>1.1413096584381979</v>
          </cell>
          <cell r="AF433">
            <v>1.1105653037459198</v>
          </cell>
          <cell r="AG433">
            <v>1.3242453072416676</v>
          </cell>
          <cell r="AH433">
            <v>0.83716946408638337</v>
          </cell>
          <cell r="AI433">
            <v>1.0972085596286234</v>
          </cell>
          <cell r="AJ433">
            <v>0.69881120308248279</v>
          </cell>
          <cell r="AK433">
            <v>1.264184605729693</v>
          </cell>
          <cell r="AL433">
            <v>1.6259137867169935</v>
          </cell>
        </row>
        <row r="434">
          <cell r="A434" t="str">
            <v>12/10/2005</v>
          </cell>
          <cell r="B434">
            <v>22.6</v>
          </cell>
          <cell r="C434">
            <v>49.55</v>
          </cell>
          <cell r="D434">
            <v>101.3</v>
          </cell>
          <cell r="E434">
            <v>54</v>
          </cell>
          <cell r="F434">
            <v>15</v>
          </cell>
          <cell r="G434">
            <v>2.95</v>
          </cell>
          <cell r="H434">
            <v>9.6999999999999993</v>
          </cell>
          <cell r="I434">
            <v>56</v>
          </cell>
          <cell r="J434">
            <v>122.1</v>
          </cell>
          <cell r="K434">
            <v>165.1</v>
          </cell>
          <cell r="L434">
            <v>25.95</v>
          </cell>
          <cell r="M434">
            <v>14575.02</v>
          </cell>
          <cell r="O434">
            <v>2.2172949002217113E-3</v>
          </cell>
          <cell r="P434">
            <v>-7.0356472795497171E-2</v>
          </cell>
          <cell r="Q434">
            <v>-3.1548757170172026E-2</v>
          </cell>
          <cell r="R434">
            <v>-3.5714285714285698E-2</v>
          </cell>
          <cell r="S434">
            <v>-2.9126213592232997E-2</v>
          </cell>
          <cell r="T434">
            <v>-2.4793388429751984E-2</v>
          </cell>
          <cell r="U434">
            <v>-3.0000000000000027E-2</v>
          </cell>
          <cell r="V434">
            <v>-0.11181601903251381</v>
          </cell>
          <cell r="W434">
            <v>-3.3254156769596199E-2</v>
          </cell>
          <cell r="X434">
            <v>-4.841498559077817E-2</v>
          </cell>
          <cell r="Y434">
            <v>6.3524590163934525E-2</v>
          </cell>
          <cell r="Z434">
            <v>-3.3910842852805989E-2</v>
          </cell>
          <cell r="AB434">
            <v>0.6850550331033971</v>
          </cell>
          <cell r="AC434">
            <v>1.3361412877611554</v>
          </cell>
          <cell r="AD434">
            <v>0.55227597715358567</v>
          </cell>
          <cell r="AE434">
            <v>1.1396156057902416</v>
          </cell>
          <cell r="AF434">
            <v>1.1076126178793946</v>
          </cell>
          <cell r="AG434">
            <v>1.314406834281199</v>
          </cell>
          <cell r="AH434">
            <v>0.83365595446468299</v>
          </cell>
          <cell r="AI434">
            <v>1.1134570536574371</v>
          </cell>
          <cell r="AJ434">
            <v>0.69861373468023913</v>
          </cell>
          <cell r="AK434">
            <v>1.2672024091222955</v>
          </cell>
          <cell r="AL434">
            <v>1.6016835214903395</v>
          </cell>
        </row>
        <row r="435">
          <cell r="A435" t="str">
            <v>13/10/2005</v>
          </cell>
          <cell r="B435">
            <v>22.65</v>
          </cell>
          <cell r="C435">
            <v>49.5</v>
          </cell>
          <cell r="D435">
            <v>101.3</v>
          </cell>
          <cell r="E435">
            <v>54</v>
          </cell>
          <cell r="F435">
            <v>14.95</v>
          </cell>
          <cell r="G435">
            <v>2.95</v>
          </cell>
          <cell r="H435">
            <v>9.75</v>
          </cell>
          <cell r="I435">
            <v>55.8</v>
          </cell>
          <cell r="J435">
            <v>122.3</v>
          </cell>
          <cell r="K435">
            <v>164.9</v>
          </cell>
          <cell r="L435">
            <v>26.05</v>
          </cell>
          <cell r="M435">
            <v>14621.83</v>
          </cell>
          <cell r="O435">
            <v>6.6666666666665986E-3</v>
          </cell>
          <cell r="P435">
            <v>-6.6037735849056589E-2</v>
          </cell>
          <cell r="Q435">
            <v>-2.9693486590038343E-2</v>
          </cell>
          <cell r="R435">
            <v>-4.6778464254192409E-2</v>
          </cell>
          <cell r="S435">
            <v>-2.9220779220779258E-2</v>
          </cell>
          <cell r="T435">
            <v>-1.6666666666666607E-2</v>
          </cell>
          <cell r="U435">
            <v>-2.010050251256279E-2</v>
          </cell>
          <cell r="V435">
            <v>-0.11428571428571432</v>
          </cell>
          <cell r="W435">
            <v>-2.8594122319301141E-2</v>
          </cell>
          <cell r="X435">
            <v>-3.5672514619882967E-2</v>
          </cell>
          <cell r="Y435">
            <v>6.7622950819672178E-2</v>
          </cell>
          <cell r="Z435">
            <v>-2.7869785426786198E-2</v>
          </cell>
          <cell r="AB435">
            <v>0.67793515661993664</v>
          </cell>
          <cell r="AC435">
            <v>1.3371988885681512</v>
          </cell>
          <cell r="AD435">
            <v>0.55345710558604755</v>
          </cell>
          <cell r="AE435">
            <v>1.1417728637896658</v>
          </cell>
          <cell r="AF435">
            <v>1.1065071205345447</v>
          </cell>
          <cell r="AG435">
            <v>1.3061957006699862</v>
          </cell>
          <cell r="AH435">
            <v>0.82977092086582815</v>
          </cell>
          <cell r="AI435">
            <v>1.1287832644291789</v>
          </cell>
          <cell r="AJ435">
            <v>0.69836234999608371</v>
          </cell>
          <cell r="AK435">
            <v>1.2686993403144495</v>
          </cell>
          <cell r="AL435">
            <v>1.5826599440232638</v>
          </cell>
        </row>
        <row r="436">
          <cell r="A436" t="str">
            <v>14/10/2005</v>
          </cell>
          <cell r="B436">
            <v>22.6</v>
          </cell>
          <cell r="C436">
            <v>48.8</v>
          </cell>
          <cell r="D436">
            <v>101</v>
          </cell>
          <cell r="E436">
            <v>53.25</v>
          </cell>
          <cell r="F436">
            <v>14.85</v>
          </cell>
          <cell r="G436">
            <v>2.95</v>
          </cell>
          <cell r="H436">
            <v>9.65</v>
          </cell>
          <cell r="I436">
            <v>54.6</v>
          </cell>
          <cell r="J436">
            <v>121.8</v>
          </cell>
          <cell r="K436">
            <v>161.5</v>
          </cell>
          <cell r="L436">
            <v>26.1</v>
          </cell>
          <cell r="M436">
            <v>14485.88</v>
          </cell>
          <cell r="O436">
            <v>4.4444444444444731E-3</v>
          </cell>
          <cell r="P436">
            <v>-7.0476190476190581E-2</v>
          </cell>
          <cell r="Q436">
            <v>-3.2567049808429172E-2</v>
          </cell>
          <cell r="R436">
            <v>-5.2491103202847E-2</v>
          </cell>
          <cell r="S436">
            <v>-3.2573289902280145E-2</v>
          </cell>
          <cell r="T436">
            <v>-1.6666666666666607E-2</v>
          </cell>
          <cell r="U436">
            <v>-1.5306122448979664E-2</v>
          </cell>
          <cell r="V436">
            <v>-0.1235955056179775</v>
          </cell>
          <cell r="W436">
            <v>-3.2565528196981774E-2</v>
          </cell>
          <cell r="X436">
            <v>-4.3812907045589156E-2</v>
          </cell>
          <cell r="Y436">
            <v>7.186858316221767E-2</v>
          </cell>
          <cell r="Z436">
            <v>-3.3191841529179422E-2</v>
          </cell>
          <cell r="AB436">
            <v>0.66963113816006881</v>
          </cell>
          <cell r="AC436">
            <v>1.3377817220434904</v>
          </cell>
          <cell r="AD436">
            <v>0.55476657202283219</v>
          </cell>
          <cell r="AE436">
            <v>1.1441120698742049</v>
          </cell>
          <cell r="AF436">
            <v>1.1046940787128339</v>
          </cell>
          <cell r="AG436">
            <v>1.2954111496783645</v>
          </cell>
          <cell r="AH436">
            <v>0.82333239187653673</v>
          </cell>
          <cell r="AI436">
            <v>1.1467304912519358</v>
          </cell>
          <cell r="AJ436">
            <v>0.69813765327372179</v>
          </cell>
          <cell r="AK436">
            <v>1.2706927132235264</v>
          </cell>
          <cell r="AL436">
            <v>1.5584496705298794</v>
          </cell>
        </row>
        <row r="437">
          <cell r="A437" t="str">
            <v>17/10/2005</v>
          </cell>
          <cell r="B437">
            <v>22.45</v>
          </cell>
          <cell r="C437">
            <v>49.3</v>
          </cell>
          <cell r="D437">
            <v>101.2</v>
          </cell>
          <cell r="E437">
            <v>53.1</v>
          </cell>
          <cell r="F437">
            <v>14.85</v>
          </cell>
          <cell r="G437">
            <v>2.95</v>
          </cell>
          <cell r="H437">
            <v>9.75</v>
          </cell>
          <cell r="I437">
            <v>55.2</v>
          </cell>
          <cell r="J437">
            <v>121.9</v>
          </cell>
          <cell r="K437">
            <v>160.5</v>
          </cell>
          <cell r="L437">
            <v>26.1</v>
          </cell>
          <cell r="M437">
            <v>14541.35</v>
          </cell>
          <cell r="O437">
            <v>-2.2222222222222365E-3</v>
          </cell>
          <cell r="P437">
            <v>-6.095238095238098E-2</v>
          </cell>
          <cell r="Q437">
            <v>-3.0651340996168619E-2</v>
          </cell>
          <cell r="R437">
            <v>-5.5160142348754437E-2</v>
          </cell>
          <cell r="S437">
            <v>-3.2573289902280145E-2</v>
          </cell>
          <cell r="T437">
            <v>-1.6666666666666607E-2</v>
          </cell>
          <cell r="U437">
            <v>-5.1020408163265918E-3</v>
          </cell>
          <cell r="V437">
            <v>-0.11396468699839479</v>
          </cell>
          <cell r="W437">
            <v>-3.1771247021445626E-2</v>
          </cell>
          <cell r="X437">
            <v>-4.9733570159857909E-2</v>
          </cell>
          <cell r="Y437">
            <v>7.186858316221767E-2</v>
          </cell>
          <cell r="Z437">
            <v>-2.9489695125206938E-2</v>
          </cell>
          <cell r="AB437">
            <v>0.66414004706260588</v>
          </cell>
          <cell r="AC437">
            <v>1.3373723260213704</v>
          </cell>
          <cell r="AD437">
            <v>0.55595212963730989</v>
          </cell>
          <cell r="AE437">
            <v>1.1475766918565775</v>
          </cell>
          <cell r="AF437">
            <v>1.1039185445973292</v>
          </cell>
          <cell r="AG437">
            <v>1.2868472734221856</v>
          </cell>
          <cell r="AH437">
            <v>0.81619298142759478</v>
          </cell>
          <cell r="AI437">
            <v>1.1615071777551902</v>
          </cell>
          <cell r="AJ437">
            <v>0.69830115681742055</v>
          </cell>
          <cell r="AK437">
            <v>1.2746041297860982</v>
          </cell>
          <cell r="AL437">
            <v>1.5382139131183059</v>
          </cell>
        </row>
        <row r="438">
          <cell r="A438" t="str">
            <v>18/10/2005</v>
          </cell>
          <cell r="B438">
            <v>22.55</v>
          </cell>
          <cell r="C438">
            <v>49.8</v>
          </cell>
          <cell r="D438">
            <v>101.2</v>
          </cell>
          <cell r="E438">
            <v>53.95</v>
          </cell>
          <cell r="F438">
            <v>14.85</v>
          </cell>
          <cell r="G438">
            <v>2.95</v>
          </cell>
          <cell r="H438">
            <v>9.65</v>
          </cell>
          <cell r="I438">
            <v>55.6</v>
          </cell>
          <cell r="J438">
            <v>121.6</v>
          </cell>
          <cell r="K438">
            <v>158.19999999999999</v>
          </cell>
          <cell r="L438">
            <v>26.4</v>
          </cell>
          <cell r="M438">
            <v>14597.4</v>
          </cell>
          <cell r="O438">
            <v>-2.2123893805310324E-3</v>
          </cell>
          <cell r="P438">
            <v>-6.6541705716963495E-2</v>
          </cell>
          <cell r="Q438">
            <v>-3.157894736842104E-2</v>
          </cell>
          <cell r="R438">
            <v>-4.9339207048458067E-2</v>
          </cell>
          <cell r="S438">
            <v>-4.5016077170418112E-2</v>
          </cell>
          <cell r="T438">
            <v>-2.4793388429751984E-2</v>
          </cell>
          <cell r="U438">
            <v>-3.9800995024875663E-2</v>
          </cell>
          <cell r="V438">
            <v>-0.10250201775625511</v>
          </cell>
          <cell r="W438">
            <v>-3.5685963521015052E-2</v>
          </cell>
          <cell r="X438">
            <v>-6.2240663900414939E-2</v>
          </cell>
          <cell r="Y438">
            <v>7.0993914807302216E-2</v>
          </cell>
          <cell r="Z438">
            <v>-4.2282241143797417E-2</v>
          </cell>
          <cell r="AB438">
            <v>0.65464762839862978</v>
          </cell>
          <cell r="AC438">
            <v>1.3337391853281249</v>
          </cell>
          <cell r="AD438">
            <v>0.5558459036369291</v>
          </cell>
          <cell r="AE438">
            <v>1.1466136510308009</v>
          </cell>
          <cell r="AF438">
            <v>1.1024494659683794</v>
          </cell>
          <cell r="AG438">
            <v>1.2733680354753107</v>
          </cell>
          <cell r="AH438">
            <v>0.81334288107231889</v>
          </cell>
          <cell r="AI438">
            <v>1.1738256739435342</v>
          </cell>
          <cell r="AJ438">
            <v>0.69716701118663438</v>
          </cell>
          <cell r="AK438">
            <v>1.2787165464335795</v>
          </cell>
          <cell r="AL438">
            <v>1.5066034743666288</v>
          </cell>
        </row>
        <row r="439">
          <cell r="A439" t="str">
            <v>19/10/2005</v>
          </cell>
          <cell r="B439">
            <v>22.5</v>
          </cell>
          <cell r="C439">
            <v>49</v>
          </cell>
          <cell r="D439">
            <v>100.1</v>
          </cell>
          <cell r="E439">
            <v>52.8</v>
          </cell>
          <cell r="F439">
            <v>14.6</v>
          </cell>
          <cell r="G439">
            <v>2.875</v>
          </cell>
          <cell r="H439">
            <v>9.5500000000000007</v>
          </cell>
          <cell r="I439">
            <v>56.15</v>
          </cell>
          <cell r="J439">
            <v>120.1</v>
          </cell>
          <cell r="K439">
            <v>154.9</v>
          </cell>
          <cell r="L439">
            <v>25.95</v>
          </cell>
          <cell r="M439">
            <v>14372.76</v>
          </cell>
          <cell r="O439">
            <v>-4.4247787610620648E-3</v>
          </cell>
          <cell r="P439">
            <v>-7.1090047393364886E-2</v>
          </cell>
          <cell r="Q439">
            <v>-4.0268456375838979E-2</v>
          </cell>
          <cell r="R439">
            <v>-6.5486725663716827E-2</v>
          </cell>
          <cell r="S439">
            <v>-5.5016181229773475E-2</v>
          </cell>
          <cell r="T439">
            <v>-3.3613445378151252E-2</v>
          </cell>
          <cell r="U439">
            <v>-4.0201005025125469E-2</v>
          </cell>
          <cell r="V439">
            <v>-7.0364238410596025E-2</v>
          </cell>
          <cell r="W439">
            <v>-4.6068308181096196E-2</v>
          </cell>
          <cell r="X439">
            <v>-7.7976190476190421E-2</v>
          </cell>
          <cell r="Y439">
            <v>4.0080160320641323E-2</v>
          </cell>
          <cell r="Z439">
            <v>-5.5890780248061933E-2</v>
          </cell>
          <cell r="AB439">
            <v>0.64078959616731523</v>
          </cell>
          <cell r="AC439">
            <v>1.3247382085053614</v>
          </cell>
          <cell r="AD439">
            <v>0.55609276967989041</v>
          </cell>
          <cell r="AE439">
            <v>1.1456173385563078</v>
          </cell>
          <cell r="AF439">
            <v>1.0989764466549714</v>
          </cell>
          <cell r="AG439">
            <v>1.2540246191555786</v>
          </cell>
          <cell r="AH439">
            <v>0.80628250299642346</v>
          </cell>
          <cell r="AI439">
            <v>1.1727865315988928</v>
          </cell>
          <cell r="AJ439">
            <v>0.69607892260354665</v>
          </cell>
          <cell r="AK439">
            <v>1.2831907834377869</v>
          </cell>
          <cell r="AL439">
            <v>1.4714100246868225</v>
          </cell>
        </row>
        <row r="440">
          <cell r="A440" t="str">
            <v>20/10/2005</v>
          </cell>
          <cell r="B440">
            <v>22.5</v>
          </cell>
          <cell r="C440">
            <v>49.25</v>
          </cell>
          <cell r="D440">
            <v>100.6</v>
          </cell>
          <cell r="E440">
            <v>52.4</v>
          </cell>
          <cell r="F440">
            <v>14.55</v>
          </cell>
          <cell r="G440">
            <v>2.95</v>
          </cell>
          <cell r="H440">
            <v>9.6</v>
          </cell>
          <cell r="I440">
            <v>56.15</v>
          </cell>
          <cell r="J440">
            <v>120.4</v>
          </cell>
          <cell r="K440">
            <v>156.5</v>
          </cell>
          <cell r="L440">
            <v>25.55</v>
          </cell>
          <cell r="M440">
            <v>14408.94</v>
          </cell>
          <cell r="O440">
            <v>-8.8105726872246271E-3</v>
          </cell>
          <cell r="P440">
            <v>-4.7388781431334626E-2</v>
          </cell>
          <cell r="Q440">
            <v>-3.1761308950914446E-2</v>
          </cell>
          <cell r="R440">
            <v>-7.2566371681415998E-2</v>
          </cell>
          <cell r="S440">
            <v>-5.2117263843648121E-2</v>
          </cell>
          <cell r="T440">
            <v>0</v>
          </cell>
          <cell r="U440">
            <v>-3.0303030303030387E-2</v>
          </cell>
          <cell r="V440">
            <v>-6.338615512927448E-2</v>
          </cell>
          <cell r="W440">
            <v>-3.8338658146964799E-2</v>
          </cell>
          <cell r="X440">
            <v>-6.3995215311004716E-2</v>
          </cell>
          <cell r="Y440">
            <v>2.4048096192384794E-2</v>
          </cell>
          <cell r="Z440">
            <v>-5.0791339892423903E-2</v>
          </cell>
          <cell r="AB440">
            <v>0.63096884026863953</v>
          </cell>
          <cell r="AC440">
            <v>1.3117699249103913</v>
          </cell>
          <cell r="AD440">
            <v>0.55460353703530807</v>
          </cell>
          <cell r="AE440">
            <v>1.1486308980934234</v>
          </cell>
          <cell r="AF440">
            <v>1.0967519016082856</v>
          </cell>
          <cell r="AG440">
            <v>1.2289209884462422</v>
          </cell>
          <cell r="AH440">
            <v>0.79836692073436877</v>
          </cell>
          <cell r="AI440">
            <v>1.1715776567536813</v>
          </cell>
          <cell r="AJ440">
            <v>0.69387037386729777</v>
          </cell>
          <cell r="AK440">
            <v>1.2848683260034521</v>
          </cell>
          <cell r="AL440">
            <v>1.4477019142003842</v>
          </cell>
        </row>
        <row r="441">
          <cell r="A441" t="str">
            <v>21/10/2005</v>
          </cell>
          <cell r="B441">
            <v>22.7</v>
          </cell>
          <cell r="C441">
            <v>50</v>
          </cell>
          <cell r="D441">
            <v>100.4</v>
          </cell>
          <cell r="E441">
            <v>53</v>
          </cell>
          <cell r="F441">
            <v>14.55</v>
          </cell>
          <cell r="G441">
            <v>2.95</v>
          </cell>
          <cell r="H441">
            <v>9.6</v>
          </cell>
          <cell r="I441">
            <v>56</v>
          </cell>
          <cell r="J441">
            <v>120.9</v>
          </cell>
          <cell r="K441">
            <v>156.6</v>
          </cell>
          <cell r="L441">
            <v>25.75</v>
          </cell>
          <cell r="M441">
            <v>14487.85</v>
          </cell>
          <cell r="O441">
            <v>4.4247787610618428E-3</v>
          </cell>
          <cell r="P441">
            <v>-3.474903474903468E-2</v>
          </cell>
          <cell r="Q441">
            <v>-3.2755298651252374E-2</v>
          </cell>
          <cell r="R441">
            <v>-6.1946902654867242E-2</v>
          </cell>
          <cell r="S441">
            <v>-5.2117263843648121E-2</v>
          </cell>
          <cell r="T441">
            <v>-8.4033613445377853E-3</v>
          </cell>
          <cell r="U441">
            <v>-3.0303030303030387E-2</v>
          </cell>
          <cell r="V441">
            <v>-6.7443796835970016E-2</v>
          </cell>
          <cell r="W441">
            <v>-3.279999999999994E-2</v>
          </cell>
          <cell r="X441">
            <v>-6.507462686567167E-2</v>
          </cell>
          <cell r="Y441">
            <v>3.2064128256513058E-2</v>
          </cell>
          <cell r="Z441">
            <v>-4.3325495230114641E-2</v>
          </cell>
          <cell r="AB441">
            <v>0.6205859247815656</v>
          </cell>
          <cell r="AC441">
            <v>1.3002169392339897</v>
          </cell>
          <cell r="AD441">
            <v>0.55467790921430304</v>
          </cell>
          <cell r="AE441">
            <v>1.1506215316258741</v>
          </cell>
          <cell r="AF441">
            <v>1.0969959849728954</v>
          </cell>
          <cell r="AG441">
            <v>1.2124800621165954</v>
          </cell>
          <cell r="AH441">
            <v>0.7932900025219477</v>
          </cell>
          <cell r="AI441">
            <v>1.1738536387539642</v>
          </cell>
          <cell r="AJ441">
            <v>0.69193528306053664</v>
          </cell>
          <cell r="AK441">
            <v>1.2890061427932711</v>
          </cell>
          <cell r="AL441">
            <v>1.4286324249279856</v>
          </cell>
        </row>
        <row r="442">
          <cell r="A442" t="str">
            <v>24/10/2005</v>
          </cell>
          <cell r="B442">
            <v>22.65</v>
          </cell>
          <cell r="C442">
            <v>50.15</v>
          </cell>
          <cell r="D442">
            <v>100.3</v>
          </cell>
          <cell r="E442">
            <v>53.1</v>
          </cell>
          <cell r="F442">
            <v>14.45</v>
          </cell>
          <cell r="G442">
            <v>2.875</v>
          </cell>
          <cell r="H442">
            <v>9.5</v>
          </cell>
          <cell r="I442">
            <v>56</v>
          </cell>
          <cell r="J442">
            <v>120.7</v>
          </cell>
          <cell r="K442">
            <v>154.30000000000001</v>
          </cell>
          <cell r="L442">
            <v>25.4</v>
          </cell>
          <cell r="M442">
            <v>14402.35</v>
          </cell>
          <cell r="O442">
            <v>-6.5789473684211286E-3</v>
          </cell>
          <cell r="P442">
            <v>-2.7158098933074637E-2</v>
          </cell>
          <cell r="Q442">
            <v>-3.5576923076923062E-2</v>
          </cell>
          <cell r="R442">
            <v>-5.8510638297872286E-2</v>
          </cell>
          <cell r="S442">
            <v>-5.8631921824104261E-2</v>
          </cell>
          <cell r="T442">
            <v>-2.5423728813559365E-2</v>
          </cell>
          <cell r="U442">
            <v>-3.5532994923857864E-2</v>
          </cell>
          <cell r="V442">
            <v>-6.4327485380117011E-2</v>
          </cell>
          <cell r="W442">
            <v>-3.8247011952191268E-2</v>
          </cell>
          <cell r="X442">
            <v>-7.9355608591885396E-2</v>
          </cell>
          <cell r="Y442">
            <v>0</v>
          </cell>
          <cell r="Z442">
            <v>-5.7086703098208624E-2</v>
          </cell>
          <cell r="AB442">
            <v>0.60863302389045282</v>
          </cell>
          <cell r="AC442">
            <v>1.2778734474174211</v>
          </cell>
          <cell r="AD442">
            <v>0.5532275440603065</v>
          </cell>
          <cell r="AE442">
            <v>1.14689009546099</v>
          </cell>
          <cell r="AF442">
            <v>1.0945459665245088</v>
          </cell>
          <cell r="AG442">
            <v>1.1924105315318532</v>
          </cell>
          <cell r="AH442">
            <v>0.78523733802699258</v>
          </cell>
          <cell r="AI442">
            <v>1.1704724734419616</v>
          </cell>
          <cell r="AJ442">
            <v>0.68825483223868711</v>
          </cell>
          <cell r="AK442">
            <v>1.2929764654285749</v>
          </cell>
          <cell r="AL442">
            <v>1.4092041601460108</v>
          </cell>
        </row>
        <row r="443">
          <cell r="A443" t="str">
            <v>25/10/2005</v>
          </cell>
          <cell r="B443">
            <v>22.7</v>
          </cell>
          <cell r="C443">
            <v>49.8</v>
          </cell>
          <cell r="D443">
            <v>100.5</v>
          </cell>
          <cell r="E443">
            <v>53.1</v>
          </cell>
          <cell r="F443">
            <v>14.5</v>
          </cell>
          <cell r="G443">
            <v>2.9</v>
          </cell>
          <cell r="H443">
            <v>9.5</v>
          </cell>
          <cell r="I443">
            <v>56.05</v>
          </cell>
          <cell r="J443">
            <v>120.9</v>
          </cell>
          <cell r="K443">
            <v>158</v>
          </cell>
          <cell r="L443">
            <v>25.05</v>
          </cell>
          <cell r="M443">
            <v>14424.88</v>
          </cell>
          <cell r="O443">
            <v>2.2075055187638082E-3</v>
          </cell>
          <cell r="P443">
            <v>-2.9239766081871399E-2</v>
          </cell>
          <cell r="Q443">
            <v>-3.1791907514450823E-2</v>
          </cell>
          <cell r="R443">
            <v>-5.3475935828876997E-2</v>
          </cell>
          <cell r="S443">
            <v>-5.8441558441558517E-2</v>
          </cell>
          <cell r="T443">
            <v>-2.5210084033613467E-2</v>
          </cell>
          <cell r="U443">
            <v>-3.0612244897959218E-2</v>
          </cell>
          <cell r="V443">
            <v>-6.4273789649415769E-2</v>
          </cell>
          <cell r="W443">
            <v>-3.5885167464114853E-2</v>
          </cell>
          <cell r="X443">
            <v>-6.2314540059347223E-2</v>
          </cell>
          <cell r="Y443">
            <v>-4.0229885057471271E-2</v>
          </cell>
          <cell r="Z443">
            <v>-5.0362478176259495E-2</v>
          </cell>
          <cell r="AB443">
            <v>0.59712807768782528</v>
          </cell>
          <cell r="AC443">
            <v>1.2618151198680383</v>
          </cell>
          <cell r="AD443">
            <v>0.55197286891083308</v>
          </cell>
          <cell r="AE443">
            <v>1.1444588882618039</v>
          </cell>
          <cell r="AF443">
            <v>1.0944655684887807</v>
          </cell>
          <cell r="AG443">
            <v>1.1774868902873894</v>
          </cell>
          <cell r="AH443">
            <v>0.77847291178436973</v>
          </cell>
          <cell r="AI443">
            <v>1.1697795437440976</v>
          </cell>
          <cell r="AJ443">
            <v>0.68575193436424309</v>
          </cell>
          <cell r="AK443">
            <v>1.2940232116202388</v>
          </cell>
          <cell r="AL443">
            <v>1.4065643126035452</v>
          </cell>
        </row>
        <row r="444">
          <cell r="A444" t="str">
            <v>26/10/2005</v>
          </cell>
          <cell r="B444">
            <v>22.6</v>
          </cell>
          <cell r="C444">
            <v>49.35</v>
          </cell>
          <cell r="D444">
            <v>100.6</v>
          </cell>
          <cell r="E444">
            <v>52.8</v>
          </cell>
          <cell r="F444">
            <v>14.5</v>
          </cell>
          <cell r="G444">
            <v>2.875</v>
          </cell>
          <cell r="H444">
            <v>9.5</v>
          </cell>
          <cell r="I444">
            <v>56</v>
          </cell>
          <cell r="J444">
            <v>121.5</v>
          </cell>
          <cell r="K444">
            <v>159.1</v>
          </cell>
          <cell r="L444">
            <v>25.45</v>
          </cell>
          <cell r="M444">
            <v>14458.14</v>
          </cell>
          <cell r="O444">
            <v>-8.7719298245613198E-3</v>
          </cell>
          <cell r="P444">
            <v>-4.1747572815533984E-2</v>
          </cell>
          <cell r="Q444">
            <v>-3.1761308950914446E-2</v>
          </cell>
          <cell r="R444">
            <v>-4.5207956600361698E-2</v>
          </cell>
          <cell r="S444">
            <v>-5.8441558441558517E-2</v>
          </cell>
          <cell r="T444">
            <v>-3.3613445378151252E-2</v>
          </cell>
          <cell r="U444">
            <v>-3.0612244897959218E-2</v>
          </cell>
          <cell r="V444">
            <v>-4.7619047619047561E-2</v>
          </cell>
          <cell r="W444">
            <v>-3.1100478468899517E-2</v>
          </cell>
          <cell r="X444">
            <v>-5.5225653206650849E-2</v>
          </cell>
          <cell r="Y444">
            <v>-6.0885608856088624E-2</v>
          </cell>
          <cell r="Z444">
            <v>-5.0147620530487824E-2</v>
          </cell>
          <cell r="AB444">
            <v>0.58916097540963952</v>
          </cell>
          <cell r="AC444">
            <v>1.2499495398244502</v>
          </cell>
          <cell r="AD444">
            <v>0.55079677313729469</v>
          </cell>
          <cell r="AE444">
            <v>1.139939254062579</v>
          </cell>
          <cell r="AF444">
            <v>1.094452978687267</v>
          </cell>
          <cell r="AG444">
            <v>1.165579168190463</v>
          </cell>
          <cell r="AH444">
            <v>0.77204812650934984</v>
          </cell>
          <cell r="AI444">
            <v>1.1646303553937973</v>
          </cell>
          <cell r="AJ444">
            <v>0.68208945565763668</v>
          </cell>
          <cell r="AK444">
            <v>1.2931616969083957</v>
          </cell>
          <cell r="AL444">
            <v>1.4097711960674115</v>
          </cell>
        </row>
        <row r="445">
          <cell r="A445" t="str">
            <v>27/10/2005</v>
          </cell>
          <cell r="B445">
            <v>22.6</v>
          </cell>
          <cell r="C445">
            <v>48.5</v>
          </cell>
          <cell r="D445">
            <v>100.3</v>
          </cell>
          <cell r="E445">
            <v>52.85</v>
          </cell>
          <cell r="F445">
            <v>14.4</v>
          </cell>
          <cell r="G445">
            <v>2.85</v>
          </cell>
          <cell r="H445">
            <v>9.5</v>
          </cell>
          <cell r="I445">
            <v>56</v>
          </cell>
          <cell r="J445">
            <v>121.5</v>
          </cell>
          <cell r="K445">
            <v>159.5</v>
          </cell>
          <cell r="L445">
            <v>25.35</v>
          </cell>
          <cell r="M445">
            <v>14381.06</v>
          </cell>
          <cell r="O445">
            <v>-8.7719298245613198E-3</v>
          </cell>
          <cell r="P445">
            <v>-5.8252427184465994E-2</v>
          </cell>
          <cell r="Q445">
            <v>-3.8350910834132335E-2</v>
          </cell>
          <cell r="R445">
            <v>-8.1668114682884374E-2</v>
          </cell>
          <cell r="S445">
            <v>-7.9872204472843489E-2</v>
          </cell>
          <cell r="T445">
            <v>-4.9999999999999933E-2</v>
          </cell>
          <cell r="U445">
            <v>-3.5532994923857864E-2</v>
          </cell>
          <cell r="V445">
            <v>-5.7239057239057201E-2</v>
          </cell>
          <cell r="W445">
            <v>-3.6478984932593161E-2</v>
          </cell>
          <cell r="X445">
            <v>-7.2674418604651181E-2</v>
          </cell>
          <cell r="Y445">
            <v>-6.2846580406654362E-2</v>
          </cell>
          <cell r="Z445">
            <v>-6.8056055083029587E-2</v>
          </cell>
          <cell r="AB445">
            <v>0.57541264581184659</v>
          </cell>
          <cell r="AC445">
            <v>1.2329313189340179</v>
          </cell>
          <cell r="AD445">
            <v>0.54816366433019836</v>
          </cell>
          <cell r="AE445">
            <v>1.1398857656132388</v>
          </cell>
          <cell r="AF445">
            <v>1.0950807620355412</v>
          </cell>
          <cell r="AG445">
            <v>1.1489974773595368</v>
          </cell>
          <cell r="AH445">
            <v>0.76082170305177799</v>
          </cell>
          <cell r="AI445">
            <v>1.1541915837693586</v>
          </cell>
          <cell r="AJ445">
            <v>0.6750709685817704</v>
          </cell>
          <cell r="AK445">
            <v>1.2900687116311935</v>
          </cell>
          <cell r="AL445">
            <v>1.4056250444980529</v>
          </cell>
        </row>
        <row r="446">
          <cell r="A446" t="str">
            <v>28/10/2005</v>
          </cell>
          <cell r="B446">
            <v>22.4</v>
          </cell>
          <cell r="C446">
            <v>47.55</v>
          </cell>
          <cell r="D446">
            <v>100</v>
          </cell>
          <cell r="E446">
            <v>53</v>
          </cell>
          <cell r="F446">
            <v>14.2</v>
          </cell>
          <cell r="G446">
            <v>2.7749999999999999</v>
          </cell>
          <cell r="H446">
            <v>9.4499999999999993</v>
          </cell>
          <cell r="I446">
            <v>56</v>
          </cell>
          <cell r="J446">
            <v>120.6</v>
          </cell>
          <cell r="K446">
            <v>160.69999999999999</v>
          </cell>
          <cell r="L446">
            <v>25.35</v>
          </cell>
          <cell r="M446">
            <v>14215.83</v>
          </cell>
          <cell r="O446">
            <v>-1.3215859030836996E-2</v>
          </cell>
          <cell r="P446">
            <v>-8.5576923076923106E-2</v>
          </cell>
          <cell r="Q446">
            <v>-4.122722914669219E-2</v>
          </cell>
          <cell r="R446">
            <v>-7.1803852889667286E-2</v>
          </cell>
          <cell r="S446">
            <v>-8.6816720257234858E-2</v>
          </cell>
          <cell r="T446">
            <v>-0.10483870967741937</v>
          </cell>
          <cell r="U446">
            <v>-3.5714285714285809E-2</v>
          </cell>
          <cell r="V446">
            <v>-5.8031959629941121E-2</v>
          </cell>
          <cell r="W446">
            <v>-4.4374009508716394E-2</v>
          </cell>
          <cell r="X446">
            <v>-5.4705882352941271E-2</v>
          </cell>
          <cell r="Y446">
            <v>-4.5197740112994267E-2</v>
          </cell>
          <cell r="Z446">
            <v>-7.8600539779577039E-2</v>
          </cell>
          <cell r="AB446">
            <v>0.56007514610740627</v>
          </cell>
          <cell r="AC446">
            <v>1.2202809786094293</v>
          </cell>
          <cell r="AD446">
            <v>0.54422054707318535</v>
          </cell>
          <cell r="AE446">
            <v>1.1313408325023682</v>
          </cell>
          <cell r="AF446">
            <v>1.0939672411007964</v>
          </cell>
          <cell r="AG446">
            <v>1.1478289014174177</v>
          </cell>
          <cell r="AH446">
            <v>0.74577055821864158</v>
          </cell>
          <cell r="AI446">
            <v>1.1386115030257062</v>
          </cell>
          <cell r="AJ446">
            <v>0.66786393041803571</v>
          </cell>
          <cell r="AK446">
            <v>1.2745146734758255</v>
          </cell>
          <cell r="AL446">
            <v>1.3885957422141098</v>
          </cell>
        </row>
        <row r="447">
          <cell r="A447" t="str">
            <v>31/10/2005</v>
          </cell>
          <cell r="B447">
            <v>22.65</v>
          </cell>
          <cell r="C447">
            <v>47.1</v>
          </cell>
          <cell r="D447">
            <v>100.5</v>
          </cell>
          <cell r="E447">
            <v>52.95</v>
          </cell>
          <cell r="F447">
            <v>14.45</v>
          </cell>
          <cell r="G447">
            <v>2.8250000000000002</v>
          </cell>
          <cell r="H447">
            <v>9.5500000000000007</v>
          </cell>
          <cell r="I447">
            <v>55.5</v>
          </cell>
          <cell r="J447">
            <v>121.3</v>
          </cell>
          <cell r="K447">
            <v>161.19999999999999</v>
          </cell>
          <cell r="L447">
            <v>25.9</v>
          </cell>
          <cell r="M447">
            <v>14386.37</v>
          </cell>
          <cell r="O447">
            <v>-6.5789473684211286E-3</v>
          </cell>
          <cell r="P447">
            <v>-9.3358999037536083E-2</v>
          </cell>
          <cell r="Q447">
            <v>-4.1030534351145009E-2</v>
          </cell>
          <cell r="R447">
            <v>-5.9502664298401342E-2</v>
          </cell>
          <cell r="S447">
            <v>-6.7741935483870974E-2</v>
          </cell>
          <cell r="T447">
            <v>-5.8333333333333237E-2</v>
          </cell>
          <cell r="U447">
            <v>-3.0456852791878042E-2</v>
          </cell>
          <cell r="V447">
            <v>-6.4869418702611648E-2</v>
          </cell>
          <cell r="W447">
            <v>-3.730158730158728E-2</v>
          </cell>
          <cell r="X447">
            <v>-4.952830188679247E-2</v>
          </cell>
          <cell r="Y447">
            <v>-4.6040515653775316E-2</v>
          </cell>
          <cell r="Z447">
            <v>-6.5479697474209675E-2</v>
          </cell>
          <cell r="AB447">
            <v>0.54820327992648732</v>
          </cell>
          <cell r="AC447">
            <v>1.2178598301656323</v>
          </cell>
          <cell r="AD447">
            <v>0.54331582629570896</v>
          </cell>
          <cell r="AE447">
            <v>1.1254084446834087</v>
          </cell>
          <cell r="AF447">
            <v>1.0915894267809239</v>
          </cell>
          <cell r="AG447">
            <v>1.1369196115715108</v>
          </cell>
          <cell r="AH447">
            <v>0.73533658968812643</v>
          </cell>
          <cell r="AI447">
            <v>1.133239047688936</v>
          </cell>
          <cell r="AJ447">
            <v>0.66271609634551631</v>
          </cell>
          <cell r="AK447">
            <v>1.2659129079197413</v>
          </cell>
          <cell r="AL447">
            <v>1.3812179305910905</v>
          </cell>
        </row>
        <row r="448">
          <cell r="A448" t="str">
            <v>01/11/2005</v>
          </cell>
          <cell r="B448">
            <v>22.75</v>
          </cell>
          <cell r="C448">
            <v>47.95</v>
          </cell>
          <cell r="D448">
            <v>101.4</v>
          </cell>
          <cell r="E448">
            <v>53.2</v>
          </cell>
          <cell r="F448">
            <v>14.6</v>
          </cell>
          <cell r="G448">
            <v>2.8250000000000002</v>
          </cell>
          <cell r="H448">
            <v>10.1</v>
          </cell>
          <cell r="I448">
            <v>56.1</v>
          </cell>
          <cell r="J448">
            <v>122.1</v>
          </cell>
          <cell r="K448">
            <v>164.7</v>
          </cell>
          <cell r="L448">
            <v>26.4</v>
          </cell>
          <cell r="M448">
            <v>14572.26</v>
          </cell>
          <cell r="O448">
            <v>-6.5502183406113135E-3</v>
          </cell>
          <cell r="P448">
            <v>-7.788461538461533E-2</v>
          </cell>
          <cell r="Q448">
            <v>-2.8735632183908066E-2</v>
          </cell>
          <cell r="R448">
            <v>-4.8300536672629568E-2</v>
          </cell>
          <cell r="S448">
            <v>-6.7092651757188593E-2</v>
          </cell>
          <cell r="T448">
            <v>-6.6115702479338734E-2</v>
          </cell>
          <cell r="U448">
            <v>2.020202020202011E-2</v>
          </cell>
          <cell r="V448">
            <v>-5.7142857142857162E-2</v>
          </cell>
          <cell r="W448">
            <v>-2.9411764705882359E-2</v>
          </cell>
          <cell r="X448">
            <v>-3.6842105263158009E-2</v>
          </cell>
          <cell r="Y448">
            <v>-3.8251366120218622E-2</v>
          </cell>
          <cell r="Z448">
            <v>-5.2654982606530454E-2</v>
          </cell>
          <cell r="AB448">
            <v>0.54074380820041823</v>
          </cell>
          <cell r="AC448">
            <v>1.2160126128484887</v>
          </cell>
          <cell r="AD448">
            <v>0.54125926349916098</v>
          </cell>
          <cell r="AE448">
            <v>1.1216129113630262</v>
          </cell>
          <cell r="AF448">
            <v>1.093129053674035</v>
          </cell>
          <cell r="AG448">
            <v>1.1341095469538154</v>
          </cell>
          <cell r="AH448">
            <v>0.71674956442156135</v>
          </cell>
          <cell r="AI448">
            <v>1.1307871871352411</v>
          </cell>
          <cell r="AJ448">
            <v>0.65886535265014268</v>
          </cell>
          <cell r="AK448">
            <v>1.260121077625084</v>
          </cell>
          <cell r="AL448">
            <v>1.3779973521109412</v>
          </cell>
        </row>
        <row r="449">
          <cell r="A449" t="str">
            <v>02/11/2005</v>
          </cell>
          <cell r="B449">
            <v>22.85</v>
          </cell>
          <cell r="C449">
            <v>48.1</v>
          </cell>
          <cell r="D449">
            <v>101.4</v>
          </cell>
          <cell r="E449">
            <v>53.8</v>
          </cell>
          <cell r="F449">
            <v>14.65</v>
          </cell>
          <cell r="G449">
            <v>2.9</v>
          </cell>
          <cell r="H449">
            <v>9.75</v>
          </cell>
          <cell r="I449">
            <v>56.2</v>
          </cell>
          <cell r="J449">
            <v>122.2</v>
          </cell>
          <cell r="K449">
            <v>166</v>
          </cell>
          <cell r="L449">
            <v>26.65</v>
          </cell>
          <cell r="M449">
            <v>14597.48</v>
          </cell>
          <cell r="O449">
            <v>0</v>
          </cell>
          <cell r="P449">
            <v>-6.4202334630350189E-2</v>
          </cell>
          <cell r="Q449">
            <v>-2.2179363548698094E-2</v>
          </cell>
          <cell r="R449">
            <v>-2.7124773960216952E-2</v>
          </cell>
          <cell r="S449">
            <v>-5.1779935275080846E-2</v>
          </cell>
          <cell r="T449">
            <v>-2.5210084033613467E-2</v>
          </cell>
          <cell r="U449">
            <v>-1.5151515151515138E-2</v>
          </cell>
          <cell r="V449">
            <v>-5.7837384744341969E-2</v>
          </cell>
          <cell r="W449">
            <v>-2.3181454836130988E-2</v>
          </cell>
          <cell r="X449">
            <v>-2.6392961876832821E-2</v>
          </cell>
          <cell r="Y449">
            <v>-1.4787430683918745E-2</v>
          </cell>
          <cell r="Z449">
            <v>-3.7170957382183234E-2</v>
          </cell>
          <cell r="AB449">
            <v>0.53583744273985101</v>
          </cell>
          <cell r="AC449">
            <v>1.2156508550315686</v>
          </cell>
          <cell r="AD449">
            <v>0.54014684560087067</v>
          </cell>
          <cell r="AE449">
            <v>1.1182557837725764</v>
          </cell>
          <cell r="AF449">
            <v>1.0945032679077555</v>
          </cell>
          <cell r="AG449">
            <v>1.1278941077670026</v>
          </cell>
          <cell r="AH449">
            <v>0.71214032141934058</v>
          </cell>
          <cell r="AI449">
            <v>1.1323737030429009</v>
          </cell>
          <cell r="AJ449">
            <v>0.65688332851441733</v>
          </cell>
          <cell r="AK449">
            <v>1.2577013071349581</v>
          </cell>
          <cell r="AL449">
            <v>1.3753495286270458</v>
          </cell>
        </row>
        <row r="450">
          <cell r="A450" t="str">
            <v>03/11/2005</v>
          </cell>
          <cell r="B450">
            <v>22.9</v>
          </cell>
          <cell r="C450">
            <v>48</v>
          </cell>
          <cell r="D450">
            <v>101.7</v>
          </cell>
          <cell r="E450">
            <v>54.45</v>
          </cell>
          <cell r="F450">
            <v>14.65</v>
          </cell>
          <cell r="G450">
            <v>2.9</v>
          </cell>
          <cell r="H450">
            <v>9.75</v>
          </cell>
          <cell r="I450">
            <v>56.3</v>
          </cell>
          <cell r="J450">
            <v>122.4</v>
          </cell>
          <cell r="K450">
            <v>169</v>
          </cell>
          <cell r="L450">
            <v>26.6</v>
          </cell>
          <cell r="M450">
            <v>14601.59</v>
          </cell>
          <cell r="O450">
            <v>6.59340659340657E-3</v>
          </cell>
          <cell r="P450">
            <v>-4.8562933597621427E-2</v>
          </cell>
          <cell r="Q450">
            <v>-1.0700389105058328E-2</v>
          </cell>
          <cell r="R450">
            <v>1.7757009345794383E-2</v>
          </cell>
          <cell r="S450">
            <v>-3.6184210526315708E-2</v>
          </cell>
          <cell r="T450">
            <v>-2.5210084033613467E-2</v>
          </cell>
          <cell r="U450">
            <v>-1.015228426395931E-2</v>
          </cell>
          <cell r="V450">
            <v>-4.5762711864406835E-2</v>
          </cell>
          <cell r="W450">
            <v>-1.2106537530266359E-2</v>
          </cell>
          <cell r="X450">
            <v>5.9523809523809312E-3</v>
          </cell>
          <cell r="Y450">
            <v>7.5757575757577911E-3</v>
          </cell>
          <cell r="Z450">
            <v>-1.6018949680914774E-2</v>
          </cell>
          <cell r="AB450">
            <v>0.53394478369984122</v>
          </cell>
          <cell r="AC450">
            <v>1.2163504273178474</v>
          </cell>
          <cell r="AD450">
            <v>0.539620335560694</v>
          </cell>
          <cell r="AE450">
            <v>1.114849065527834</v>
          </cell>
          <cell r="AF450">
            <v>1.095799888449893</v>
          </cell>
          <cell r="AG450">
            <v>1.1270368812820333</v>
          </cell>
          <cell r="AH450">
            <v>0.71084639881893841</v>
          </cell>
          <cell r="AI450">
            <v>1.1341428709636363</v>
          </cell>
          <cell r="AJ450">
            <v>0.65619679226061878</v>
          </cell>
          <cell r="AK450">
            <v>1.2560706081755741</v>
          </cell>
          <cell r="AL450">
            <v>1.374687927657712</v>
          </cell>
        </row>
        <row r="451">
          <cell r="A451" t="str">
            <v>04/11/2005</v>
          </cell>
          <cell r="B451">
            <v>22.85</v>
          </cell>
          <cell r="C451">
            <v>48.3</v>
          </cell>
          <cell r="D451">
            <v>101.7</v>
          </cell>
          <cell r="E451">
            <v>54.7</v>
          </cell>
          <cell r="F451">
            <v>14.6</v>
          </cell>
          <cell r="G451">
            <v>2.875</v>
          </cell>
          <cell r="H451">
            <v>9.8000000000000007</v>
          </cell>
          <cell r="I451">
            <v>57.4</v>
          </cell>
          <cell r="J451">
            <v>122.7</v>
          </cell>
          <cell r="K451">
            <v>169.5</v>
          </cell>
          <cell r="L451">
            <v>26.8</v>
          </cell>
          <cell r="M451">
            <v>14585.79</v>
          </cell>
          <cell r="O451">
            <v>2.1929824561404132E-3</v>
          </cell>
          <cell r="P451">
            <v>-4.5454545454545525E-2</v>
          </cell>
          <cell r="Q451">
            <v>-7.8048780487804947E-3</v>
          </cell>
          <cell r="R451">
            <v>2.0522388059701413E-2</v>
          </cell>
          <cell r="S451">
            <v>-4.2622950819672156E-2</v>
          </cell>
          <cell r="T451">
            <v>-3.3613445378151252E-2</v>
          </cell>
          <cell r="U451">
            <v>-5.0761421319795996E-3</v>
          </cell>
          <cell r="V451">
            <v>-2.2146507666098825E-2</v>
          </cell>
          <cell r="W451">
            <v>-8.0840743734842402E-3</v>
          </cell>
          <cell r="X451">
            <v>1.013110846245513E-2</v>
          </cell>
          <cell r="Y451">
            <v>1.3232514177693888E-2</v>
          </cell>
          <cell r="Z451">
            <v>-1.764572370702977E-2</v>
          </cell>
          <cell r="AB451">
            <v>0.53224690687704779</v>
          </cell>
          <cell r="AC451">
            <v>1.2166264484323288</v>
          </cell>
          <cell r="AD451">
            <v>0.53870589353565934</v>
          </cell>
          <cell r="AE451">
            <v>1.1107762943613646</v>
          </cell>
          <cell r="AF451">
            <v>1.0976208446312055</v>
          </cell>
          <cell r="AG451">
            <v>1.1267299283407779</v>
          </cell>
          <cell r="AH451">
            <v>0.70888178362452492</v>
          </cell>
          <cell r="AI451">
            <v>1.133669924992778</v>
          </cell>
          <cell r="AJ451">
            <v>0.65498863810496188</v>
          </cell>
          <cell r="AK451">
            <v>1.2537464259705795</v>
          </cell>
          <cell r="AL451">
            <v>1.3732458825028622</v>
          </cell>
        </row>
        <row r="452">
          <cell r="A452" t="str">
            <v>07/11/2005</v>
          </cell>
          <cell r="B452">
            <v>22.9</v>
          </cell>
          <cell r="C452">
            <v>48.2</v>
          </cell>
          <cell r="D452">
            <v>101.1</v>
          </cell>
          <cell r="E452">
            <v>53.95</v>
          </cell>
          <cell r="F452">
            <v>14.5</v>
          </cell>
          <cell r="G452">
            <v>2.8</v>
          </cell>
          <cell r="H452">
            <v>9.6999999999999993</v>
          </cell>
          <cell r="I452">
            <v>57</v>
          </cell>
          <cell r="J452">
            <v>121.9</v>
          </cell>
          <cell r="K452">
            <v>168.3</v>
          </cell>
          <cell r="L452">
            <v>26.75</v>
          </cell>
          <cell r="M452">
            <v>14365.79</v>
          </cell>
          <cell r="O452">
            <v>6.59340659340657E-3</v>
          </cell>
          <cell r="P452">
            <v>-4.8371174728529032E-2</v>
          </cell>
          <cell r="Q452">
            <v>-1.4619883040935644E-2</v>
          </cell>
          <cell r="R452">
            <v>-6.4456721915284731E-3</v>
          </cell>
          <cell r="S452">
            <v>-5.2287581699346442E-2</v>
          </cell>
          <cell r="T452">
            <v>-5.882352941176483E-2</v>
          </cell>
          <cell r="U452">
            <v>-2.0202020202020332E-2</v>
          </cell>
          <cell r="V452">
            <v>-2.2298456260720356E-2</v>
          </cell>
          <cell r="W452">
            <v>-1.6142050040355072E-2</v>
          </cell>
          <cell r="X452">
            <v>-2.962085308056861E-3</v>
          </cell>
          <cell r="Y452">
            <v>2.2944550669216079E-2</v>
          </cell>
          <cell r="Z452">
            <v>-3.577342290672314E-2</v>
          </cell>
          <cell r="AB452">
            <v>0.52670856195009852</v>
          </cell>
          <cell r="AC452">
            <v>1.213841520721781</v>
          </cell>
          <cell r="AD452">
            <v>0.53651714742371959</v>
          </cell>
          <cell r="AE452">
            <v>1.1044640558731367</v>
          </cell>
          <cell r="AF452">
            <v>1.0992082239311693</v>
          </cell>
          <cell r="AG452">
            <v>1.1269888002176387</v>
          </cell>
          <cell r="AH452">
            <v>0.70566138298386161</v>
          </cell>
          <cell r="AI452">
            <v>1.1292911417248472</v>
          </cell>
          <cell r="AJ452">
            <v>0.6521111113962399</v>
          </cell>
          <cell r="AK452">
            <v>1.2478160865802526</v>
          </cell>
          <cell r="AL452">
            <v>1.3646413802394393</v>
          </cell>
        </row>
        <row r="453">
          <cell r="A453" t="str">
            <v>08/11/2005</v>
          </cell>
          <cell r="B453">
            <v>22.9</v>
          </cell>
          <cell r="C453">
            <v>48.25</v>
          </cell>
          <cell r="D453">
            <v>101.2</v>
          </cell>
          <cell r="E453">
            <v>53.95</v>
          </cell>
          <cell r="F453">
            <v>14.5</v>
          </cell>
          <cell r="G453">
            <v>2.8250000000000002</v>
          </cell>
          <cell r="H453">
            <v>9.6999999999999993</v>
          </cell>
          <cell r="I453">
            <v>57.5</v>
          </cell>
          <cell r="J453">
            <v>122.3</v>
          </cell>
          <cell r="K453">
            <v>167.9</v>
          </cell>
          <cell r="L453">
            <v>26.5</v>
          </cell>
          <cell r="M453">
            <v>14403.2</v>
          </cell>
          <cell r="O453">
            <v>6.59340659340657E-3</v>
          </cell>
          <cell r="P453">
            <v>-4.7384007897334657E-2</v>
          </cell>
          <cell r="Q453">
            <v>-1.3645224171539905E-2</v>
          </cell>
          <cell r="R453">
            <v>-6.4456721915284731E-3</v>
          </cell>
          <cell r="S453">
            <v>-5.2287581699346442E-2</v>
          </cell>
          <cell r="T453">
            <v>-5.0420168067226823E-2</v>
          </cell>
          <cell r="U453">
            <v>-2.0202020202020332E-2</v>
          </cell>
          <cell r="V453">
            <v>-1.3722126929674006E-2</v>
          </cell>
          <cell r="W453">
            <v>-1.2913640032284124E-2</v>
          </cell>
          <cell r="X453">
            <v>-5.3317535545024386E-3</v>
          </cell>
          <cell r="Y453">
            <v>1.3384321223709472E-2</v>
          </cell>
          <cell r="Z453">
            <v>-3.3262477372293153E-2</v>
          </cell>
          <cell r="AB453">
            <v>0.52185078739062207</v>
          </cell>
          <cell r="AC453">
            <v>1.2116210454625269</v>
          </cell>
          <cell r="AD453">
            <v>0.5345734526168604</v>
          </cell>
          <cell r="AE453">
            <v>1.0991290527142905</v>
          </cell>
          <cell r="AF453">
            <v>1.1011003705491897</v>
          </cell>
          <cell r="AG453">
            <v>1.126338246714893</v>
          </cell>
          <cell r="AH453">
            <v>0.70299639740764253</v>
          </cell>
          <cell r="AI453">
            <v>1.1243698669105979</v>
          </cell>
          <cell r="AJ453">
            <v>0.64922444501456467</v>
          </cell>
          <cell r="AK453">
            <v>1.2432652016750356</v>
          </cell>
          <cell r="AL453">
            <v>1.3588348991881209</v>
          </cell>
        </row>
        <row r="454">
          <cell r="A454" t="str">
            <v>09/11/2005</v>
          </cell>
          <cell r="B454">
            <v>22.95</v>
          </cell>
          <cell r="C454">
            <v>48.2</v>
          </cell>
          <cell r="D454">
            <v>101.9</v>
          </cell>
          <cell r="E454">
            <v>54.15</v>
          </cell>
          <cell r="F454">
            <v>14.75</v>
          </cell>
          <cell r="G454">
            <v>2.875</v>
          </cell>
          <cell r="H454">
            <v>9.75</v>
          </cell>
          <cell r="I454">
            <v>57.8</v>
          </cell>
          <cell r="J454">
            <v>123.3</v>
          </cell>
          <cell r="K454">
            <v>167.3</v>
          </cell>
          <cell r="L454">
            <v>26</v>
          </cell>
          <cell r="M454">
            <v>14597.55</v>
          </cell>
          <cell r="O454">
            <v>1.5486725663716783E-2</v>
          </cell>
          <cell r="P454">
            <v>-2.7245206861755689E-2</v>
          </cell>
          <cell r="Q454">
            <v>5.9230009871669154E-3</v>
          </cell>
          <cell r="R454">
            <v>2.7777777777777679E-3</v>
          </cell>
          <cell r="S454">
            <v>-1.6666666666666718E-2</v>
          </cell>
          <cell r="T454">
            <v>-2.5423728813559365E-2</v>
          </cell>
          <cell r="U454">
            <v>5.1546391752577136E-3</v>
          </cell>
          <cell r="V454">
            <v>3.2142857142857029E-2</v>
          </cell>
          <cell r="W454">
            <v>9.8280098280099093E-3</v>
          </cell>
          <cell r="X454">
            <v>1.3325257419745773E-2</v>
          </cell>
          <cell r="Y454">
            <v>1.9267822736031004E-3</v>
          </cell>
          <cell r="Z454">
            <v>1.5457954774675819E-3</v>
          </cell>
          <cell r="AB454">
            <v>0.5217347526912407</v>
          </cell>
          <cell r="AC454">
            <v>1.2116667104054397</v>
          </cell>
          <cell r="AD454">
            <v>0.53450112365682967</v>
          </cell>
          <cell r="AE454">
            <v>1.099106175975318</v>
          </cell>
          <cell r="AF454">
            <v>1.1011806048243264</v>
          </cell>
          <cell r="AG454">
            <v>1.1263946254488193</v>
          </cell>
          <cell r="AH454">
            <v>0.70289961557921266</v>
          </cell>
          <cell r="AI454">
            <v>1.1241629145115002</v>
          </cell>
          <cell r="AJ454">
            <v>0.64912414386595751</v>
          </cell>
          <cell r="AK454">
            <v>1.2432448613283287</v>
          </cell>
          <cell r="AL454">
            <v>1.3589605989102171</v>
          </cell>
        </row>
        <row r="455">
          <cell r="A455" t="str">
            <v>10/11/2005</v>
          </cell>
          <cell r="B455">
            <v>23</v>
          </cell>
          <cell r="C455">
            <v>49.2</v>
          </cell>
          <cell r="D455">
            <v>102.1</v>
          </cell>
          <cell r="E455">
            <v>53.9</v>
          </cell>
          <cell r="F455">
            <v>14.7</v>
          </cell>
          <cell r="G455">
            <v>2.85</v>
          </cell>
          <cell r="H455">
            <v>9.65</v>
          </cell>
          <cell r="I455">
            <v>57.5</v>
          </cell>
          <cell r="J455">
            <v>123.6</v>
          </cell>
          <cell r="K455">
            <v>166.3</v>
          </cell>
          <cell r="L455">
            <v>26.05</v>
          </cell>
          <cell r="M455">
            <v>14633.33</v>
          </cell>
          <cell r="O455">
            <v>1.5452538631346657E-2</v>
          </cell>
          <cell r="P455">
            <v>-6.0606060606059886E-3</v>
          </cell>
          <cell r="Q455">
            <v>7.8973346495556651E-3</v>
          </cell>
          <cell r="R455">
            <v>-1.8518518518518823E-3</v>
          </cell>
          <cell r="S455">
            <v>-1.6722408026755842E-2</v>
          </cell>
          <cell r="T455">
            <v>-3.3898305084745783E-2</v>
          </cell>
          <cell r="U455">
            <v>-1.025641025641022E-2</v>
          </cell>
          <cell r="V455">
            <v>3.0465949820788651E-2</v>
          </cell>
          <cell r="W455">
            <v>1.0629599345870711E-2</v>
          </cell>
          <cell r="X455">
            <v>8.4899939357185872E-3</v>
          </cell>
          <cell r="Y455">
            <v>0</v>
          </cell>
          <cell r="Z455">
            <v>7.8649526085317056E-4</v>
          </cell>
          <cell r="AB455">
            <v>0.52154707319034055</v>
          </cell>
          <cell r="AC455">
            <v>1.2115435230055067</v>
          </cell>
          <cell r="AD455">
            <v>0.53436505228344133</v>
          </cell>
          <cell r="AE455">
            <v>1.0991034201895142</v>
          </cell>
          <cell r="AF455">
            <v>1.1013012502522528</v>
          </cell>
          <cell r="AG455">
            <v>1.1265517431720655</v>
          </cell>
          <cell r="AH455">
            <v>0.70287752285272009</v>
          </cell>
          <cell r="AI455">
            <v>1.1238411913340587</v>
          </cell>
          <cell r="AJ455">
            <v>0.64895321835454145</v>
          </cell>
          <cell r="AK455">
            <v>1.2432469899047189</v>
          </cell>
          <cell r="AL455">
            <v>1.3591683645221806</v>
          </cell>
        </row>
        <row r="456">
          <cell r="A456" t="str">
            <v>11/11/2005</v>
          </cell>
          <cell r="B456">
            <v>23.05</v>
          </cell>
          <cell r="C456">
            <v>49.5</v>
          </cell>
          <cell r="D456">
            <v>102.8</v>
          </cell>
          <cell r="E456">
            <v>54.8</v>
          </cell>
          <cell r="F456">
            <v>14.75</v>
          </cell>
          <cell r="G456">
            <v>2.85</v>
          </cell>
          <cell r="H456">
            <v>9.65</v>
          </cell>
          <cell r="I456">
            <v>58</v>
          </cell>
          <cell r="J456">
            <v>124.5</v>
          </cell>
          <cell r="K456">
            <v>167.2</v>
          </cell>
          <cell r="L456">
            <v>26.75</v>
          </cell>
          <cell r="M456">
            <v>14740.6</v>
          </cell>
          <cell r="O456">
            <v>1.9911504424778625E-2</v>
          </cell>
          <cell r="P456">
            <v>1.4344262295082011E-2</v>
          </cell>
          <cell r="Q456">
            <v>1.7821782178217838E-2</v>
          </cell>
          <cell r="R456">
            <v>2.9107981220657164E-2</v>
          </cell>
          <cell r="S456">
            <v>-6.7340067340067034E-3</v>
          </cell>
          <cell r="T456">
            <v>-3.3898305084745783E-2</v>
          </cell>
          <cell r="U456">
            <v>0</v>
          </cell>
          <cell r="V456">
            <v>6.2271062271062272E-2</v>
          </cell>
          <cell r="W456">
            <v>2.2167487684729092E-2</v>
          </cell>
          <cell r="X456">
            <v>3.5294117647058698E-2</v>
          </cell>
          <cell r="Y456">
            <v>2.4904214559386961E-2</v>
          </cell>
          <cell r="Z456">
            <v>1.758401974888657E-2</v>
          </cell>
          <cell r="AB456">
            <v>0.5226374079458348</v>
          </cell>
          <cell r="AC456">
            <v>1.2124460334704616</v>
          </cell>
          <cell r="AD456">
            <v>0.53541967229618381</v>
          </cell>
          <cell r="AE456">
            <v>1.0999350544284314</v>
          </cell>
          <cell r="AF456">
            <v>1.0998681554078793</v>
          </cell>
          <cell r="AG456">
            <v>1.1241763470235684</v>
          </cell>
          <cell r="AH456">
            <v>0.70293809265259644</v>
          </cell>
          <cell r="AI456">
            <v>1.1270285198757648</v>
          </cell>
          <cell r="AJ456">
            <v>0.65024198234706776</v>
          </cell>
          <cell r="AK456">
            <v>1.2436159086278697</v>
          </cell>
          <cell r="AL456">
            <v>1.3577867582146188</v>
          </cell>
        </row>
        <row r="457">
          <cell r="A457" t="str">
            <v>14/11/2005</v>
          </cell>
          <cell r="B457">
            <v>22.95</v>
          </cell>
          <cell r="C457">
            <v>49.6</v>
          </cell>
          <cell r="D457">
            <v>102.6</v>
          </cell>
          <cell r="E457">
            <v>54.8</v>
          </cell>
          <cell r="F457">
            <v>14.65</v>
          </cell>
          <cell r="G457">
            <v>2.8250000000000002</v>
          </cell>
          <cell r="H457">
            <v>9.75</v>
          </cell>
          <cell r="I457">
            <v>57.9</v>
          </cell>
          <cell r="J457">
            <v>124.5</v>
          </cell>
          <cell r="K457">
            <v>170.3</v>
          </cell>
          <cell r="L457">
            <v>26.75</v>
          </cell>
          <cell r="M457">
            <v>14629.49</v>
          </cell>
          <cell r="O457">
            <v>2.2271714922049046E-2</v>
          </cell>
          <cell r="P457">
            <v>6.0851926977687487E-3</v>
          </cell>
          <cell r="Q457">
            <v>1.383399209486158E-2</v>
          </cell>
          <cell r="R457">
            <v>3.2015065913370888E-2</v>
          </cell>
          <cell r="S457">
            <v>-1.3468013468013407E-2</v>
          </cell>
          <cell r="T457">
            <v>-4.2372881355932202E-2</v>
          </cell>
          <cell r="U457">
            <v>0</v>
          </cell>
          <cell r="V457">
            <v>4.8913043478260754E-2</v>
          </cell>
          <cell r="W457">
            <v>2.132895816242808E-2</v>
          </cell>
          <cell r="X457">
            <v>6.1059190031152788E-2</v>
          </cell>
          <cell r="Y457">
            <v>2.4904214559386961E-2</v>
          </cell>
          <cell r="Z457">
            <v>6.0613354330925073E-3</v>
          </cell>
          <cell r="AB457">
            <v>0.5229899475545432</v>
          </cell>
          <cell r="AC457">
            <v>1.2127205995573942</v>
          </cell>
          <cell r="AD457">
            <v>0.535677369678913</v>
          </cell>
          <cell r="AE457">
            <v>1.1003330859676363</v>
          </cell>
          <cell r="AF457">
            <v>1.0996431277350645</v>
          </cell>
          <cell r="AG457">
            <v>1.123727938223396</v>
          </cell>
          <cell r="AH457">
            <v>0.70306497708371762</v>
          </cell>
          <cell r="AI457">
            <v>1.1277094473775267</v>
          </cell>
          <cell r="AJ457">
            <v>0.65061294541398251</v>
          </cell>
          <cell r="AK457">
            <v>1.2442588782922355</v>
          </cell>
          <cell r="AL457">
            <v>1.3577092356758718</v>
          </cell>
        </row>
        <row r="458">
          <cell r="A458" t="str">
            <v>15/11/2005</v>
          </cell>
          <cell r="B458">
            <v>22.9</v>
          </cell>
          <cell r="C458">
            <v>50</v>
          </cell>
          <cell r="D458">
            <v>102.5</v>
          </cell>
          <cell r="E458">
            <v>54.55</v>
          </cell>
          <cell r="F458">
            <v>14.6</v>
          </cell>
          <cell r="G458">
            <v>2.8250000000000002</v>
          </cell>
          <cell r="H458">
            <v>9.65</v>
          </cell>
          <cell r="I458">
            <v>58.1</v>
          </cell>
          <cell r="J458">
            <v>124.4</v>
          </cell>
          <cell r="K458">
            <v>168.9</v>
          </cell>
          <cell r="L458">
            <v>26.7</v>
          </cell>
          <cell r="M458">
            <v>14627.41</v>
          </cell>
          <cell r="O458">
            <v>1.5521064301551979E-2</v>
          </cell>
          <cell r="P458">
            <v>4.0160642570281624E-3</v>
          </cell>
          <cell r="Q458">
            <v>1.2845849802371578E-2</v>
          </cell>
          <cell r="R458">
            <v>1.1121408711770142E-2</v>
          </cell>
          <cell r="S458">
            <v>-1.6835016835016869E-2</v>
          </cell>
          <cell r="T458">
            <v>-4.2372881355932202E-2</v>
          </cell>
          <cell r="U458">
            <v>0</v>
          </cell>
          <cell r="V458">
            <v>4.496402877697836E-2</v>
          </cell>
          <cell r="W458">
            <v>2.3026315789473673E-2</v>
          </cell>
          <cell r="X458">
            <v>6.7635903919089913E-2</v>
          </cell>
          <cell r="Y458">
            <v>1.1363636363636465E-2</v>
          </cell>
          <cell r="Z458">
            <v>2.0558455615382609E-3</v>
          </cell>
          <cell r="AB458">
            <v>0.52291698879606463</v>
          </cell>
          <cell r="AC458">
            <v>1.212640738151141</v>
          </cell>
          <cell r="AD458">
            <v>0.53560765730913273</v>
          </cell>
          <cell r="AE458">
            <v>1.1002910471645777</v>
          </cell>
          <cell r="AF458">
            <v>1.0996966449754519</v>
          </cell>
          <cell r="AG458">
            <v>1.1238258406406045</v>
          </cell>
          <cell r="AH458">
            <v>0.70302258444016863</v>
          </cell>
          <cell r="AI458">
            <v>1.1275341881310101</v>
          </cell>
          <cell r="AJ458">
            <v>0.65050312042742287</v>
          </cell>
          <cell r="AK458">
            <v>1.2440537920677575</v>
          </cell>
          <cell r="AL458">
            <v>1.3577580580880677</v>
          </cell>
        </row>
        <row r="459">
          <cell r="A459" t="str">
            <v>16/11/2005</v>
          </cell>
          <cell r="B459">
            <v>23</v>
          </cell>
          <cell r="C459">
            <v>49.6</v>
          </cell>
          <cell r="D459">
            <v>102.5</v>
          </cell>
          <cell r="E459">
            <v>53.95</v>
          </cell>
          <cell r="F459">
            <v>14.6</v>
          </cell>
          <cell r="G459">
            <v>2.85</v>
          </cell>
          <cell r="H459">
            <v>9.65</v>
          </cell>
          <cell r="I459">
            <v>58</v>
          </cell>
          <cell r="J459">
            <v>124.6</v>
          </cell>
          <cell r="K459">
            <v>170.1</v>
          </cell>
          <cell r="L459">
            <v>26.5</v>
          </cell>
          <cell r="M459">
            <v>14650.54</v>
          </cell>
          <cell r="O459">
            <v>2.2222222222222143E-2</v>
          </cell>
          <cell r="P459">
            <v>1.2244897959183598E-2</v>
          </cell>
          <cell r="Q459">
            <v>2.3976023976024052E-2</v>
          </cell>
          <cell r="R459">
            <v>2.1780303030303205E-2</v>
          </cell>
          <cell r="S459">
            <v>0</v>
          </cell>
          <cell r="T459">
            <v>-8.6956521739129933E-3</v>
          </cell>
          <cell r="U459">
            <v>1.0471204188481575E-2</v>
          </cell>
          <cell r="V459">
            <v>3.2947462154942153E-2</v>
          </cell>
          <cell r="W459">
            <v>3.7468776019983441E-2</v>
          </cell>
          <cell r="X459">
            <v>9.8127824402840513E-2</v>
          </cell>
          <cell r="Y459">
            <v>2.1194605009633882E-2</v>
          </cell>
          <cell r="Z459">
            <v>1.9326837712450473E-2</v>
          </cell>
          <cell r="AB459">
            <v>0.52420807769910938</v>
          </cell>
          <cell r="AC459">
            <v>1.2133205270480103</v>
          </cell>
          <cell r="AD459">
            <v>0.5371376017445082</v>
          </cell>
          <cell r="AE459">
            <v>1.1005297296312238</v>
          </cell>
          <cell r="AF459">
            <v>1.0984705455443928</v>
          </cell>
          <cell r="AG459">
            <v>1.1228972806297242</v>
          </cell>
          <cell r="AH459">
            <v>0.70374991256001018</v>
          </cell>
          <cell r="AI459">
            <v>1.1287671501211252</v>
          </cell>
          <cell r="AJ459">
            <v>0.65293117405436063</v>
          </cell>
          <cell r="AK459">
            <v>1.248805554709705</v>
          </cell>
          <cell r="AL459">
            <v>1.3557988201029585</v>
          </cell>
        </row>
        <row r="460">
          <cell r="A460" t="str">
            <v>17/11/2005</v>
          </cell>
          <cell r="B460">
            <v>23.05</v>
          </cell>
          <cell r="C460">
            <v>49.5</v>
          </cell>
          <cell r="D460">
            <v>102.8</v>
          </cell>
          <cell r="E460">
            <v>54.5</v>
          </cell>
          <cell r="F460">
            <v>14.65</v>
          </cell>
          <cell r="G460">
            <v>2.85</v>
          </cell>
          <cell r="H460">
            <v>9.65</v>
          </cell>
          <cell r="I460">
            <v>57.9</v>
          </cell>
          <cell r="J460">
            <v>124.8</v>
          </cell>
          <cell r="K460">
            <v>168.5</v>
          </cell>
          <cell r="L460">
            <v>26.65</v>
          </cell>
          <cell r="M460">
            <v>14787.98</v>
          </cell>
          <cell r="O460">
            <v>2.4444444444444491E-2</v>
          </cell>
          <cell r="P460">
            <v>5.0761421319795996E-3</v>
          </cell>
          <cell r="Q460">
            <v>2.1868787276341894E-2</v>
          </cell>
          <cell r="R460">
            <v>4.0076335877862634E-2</v>
          </cell>
          <cell r="S460">
            <v>6.8728522336769515E-3</v>
          </cell>
          <cell r="T460">
            <v>-3.3898305084745783E-2</v>
          </cell>
          <cell r="U460">
            <v>5.2083333333334814E-3</v>
          </cell>
          <cell r="V460">
            <v>3.116651825467498E-2</v>
          </cell>
          <cell r="W460">
            <v>3.6544850498338777E-2</v>
          </cell>
          <cell r="X460">
            <v>7.667731629392982E-2</v>
          </cell>
          <cell r="Y460">
            <v>4.3052837573385405E-2</v>
          </cell>
          <cell r="Z460">
            <v>2.6305890648444574E-2</v>
          </cell>
          <cell r="AB460">
            <v>0.52587955328368097</v>
          </cell>
          <cell r="AC460">
            <v>1.2126798173864242</v>
          </cell>
          <cell r="AD460">
            <v>0.53869376624354148</v>
          </cell>
          <cell r="AE460">
            <v>1.1019507674144864</v>
          </cell>
          <cell r="AF460">
            <v>1.0966627206096671</v>
          </cell>
          <cell r="AG460">
            <v>1.1182129284824869</v>
          </cell>
          <cell r="AH460">
            <v>0.70373439351801792</v>
          </cell>
          <cell r="AI460">
            <v>1.1295164292378694</v>
          </cell>
          <cell r="AJ460">
            <v>0.65579050410729667</v>
          </cell>
          <cell r="AK460">
            <v>1.2524145588532072</v>
          </cell>
          <cell r="AL460">
            <v>1.354306475526379</v>
          </cell>
        </row>
        <row r="461">
          <cell r="A461" t="str">
            <v>18/11/2005</v>
          </cell>
          <cell r="B461">
            <v>23.1</v>
          </cell>
          <cell r="C461">
            <v>50.7</v>
          </cell>
          <cell r="D461">
            <v>103.1</v>
          </cell>
          <cell r="E461">
            <v>54.9</v>
          </cell>
          <cell r="F461">
            <v>14.75</v>
          </cell>
          <cell r="G461">
            <v>2.875</v>
          </cell>
          <cell r="H461">
            <v>9.6999999999999993</v>
          </cell>
          <cell r="I461">
            <v>58.4</v>
          </cell>
          <cell r="J461">
            <v>125.2</v>
          </cell>
          <cell r="K461">
            <v>168.5</v>
          </cell>
          <cell r="L461">
            <v>27.1</v>
          </cell>
          <cell r="M461">
            <v>14883.32</v>
          </cell>
          <cell r="O461">
            <v>1.7621145374449476E-2</v>
          </cell>
          <cell r="P461">
            <v>1.4000000000000012E-2</v>
          </cell>
          <cell r="Q461">
            <v>2.6892430278884438E-2</v>
          </cell>
          <cell r="R461">
            <v>3.5849056603773466E-2</v>
          </cell>
          <cell r="S461">
            <v>1.3745704467353903E-2</v>
          </cell>
          <cell r="T461">
            <v>-2.5423728813559365E-2</v>
          </cell>
          <cell r="U461">
            <v>1.0416666666666741E-2</v>
          </cell>
          <cell r="V461">
            <v>4.2857142857142927E-2</v>
          </cell>
          <cell r="W461">
            <v>3.556658395368073E-2</v>
          </cell>
          <cell r="X461">
            <v>7.5989782886334734E-2</v>
          </cell>
          <cell r="Y461">
            <v>5.2427184466019572E-2</v>
          </cell>
          <cell r="Z461">
            <v>2.7296665826882505E-2</v>
          </cell>
          <cell r="AB461">
            <v>0.52682120856995818</v>
          </cell>
          <cell r="AC461">
            <v>1.2128380985221006</v>
          </cell>
          <cell r="AD461">
            <v>0.54076905751262871</v>
          </cell>
          <cell r="AE461">
            <v>1.1028491957611686</v>
          </cell>
          <cell r="AF461">
            <v>1.0954159994258601</v>
          </cell>
          <cell r="AG461">
            <v>1.114175500830332</v>
          </cell>
          <cell r="AH461">
            <v>0.70419576474374546</v>
          </cell>
          <cell r="AI461">
            <v>1.131405511018857</v>
          </cell>
          <cell r="AJ461">
            <v>0.65855848639568348</v>
          </cell>
          <cell r="AK461">
            <v>1.2559216454267386</v>
          </cell>
          <cell r="AL461">
            <v>1.3536218412052434</v>
          </cell>
        </row>
        <row r="462">
          <cell r="A462" t="str">
            <v>21/11/2005</v>
          </cell>
          <cell r="B462">
            <v>23.15</v>
          </cell>
          <cell r="C462">
            <v>51.05</v>
          </cell>
          <cell r="D462">
            <v>103.3</v>
          </cell>
          <cell r="E462">
            <v>54.8</v>
          </cell>
          <cell r="F462">
            <v>14.7</v>
          </cell>
          <cell r="G462">
            <v>2.8250000000000002</v>
          </cell>
          <cell r="H462">
            <v>9.6</v>
          </cell>
          <cell r="I462">
            <v>58.4</v>
          </cell>
          <cell r="J462">
            <v>125.7</v>
          </cell>
          <cell r="K462">
            <v>173.4</v>
          </cell>
          <cell r="L462">
            <v>27.4</v>
          </cell>
          <cell r="M462">
            <v>14885.57</v>
          </cell>
          <cell r="O462">
            <v>2.207505518763786E-2</v>
          </cell>
          <cell r="P462">
            <v>1.7946161515453696E-2</v>
          </cell>
          <cell r="Q462">
            <v>2.9910269192422678E-2</v>
          </cell>
          <cell r="R462">
            <v>3.2015065913370888E-2</v>
          </cell>
          <cell r="S462">
            <v>1.730103806228378E-2</v>
          </cell>
          <cell r="T462">
            <v>-1.7391304347825987E-2</v>
          </cell>
          <cell r="U462">
            <v>1.0526315789473717E-2</v>
          </cell>
          <cell r="V462">
            <v>4.2857142857142927E-2</v>
          </cell>
          <cell r="W462">
            <v>4.1425020712510419E-2</v>
          </cell>
          <cell r="X462">
            <v>0.12378483473752433</v>
          </cell>
          <cell r="Y462">
            <v>7.8740157480315043E-2</v>
          </cell>
          <cell r="Z462">
            <v>3.3551469031095627E-2</v>
          </cell>
          <cell r="AB462">
            <v>0.5281417792371853</v>
          </cell>
          <cell r="AC462">
            <v>1.2125534773780029</v>
          </cell>
          <cell r="AD462">
            <v>0.54329389871458511</v>
          </cell>
          <cell r="AE462">
            <v>1.1025452896544516</v>
          </cell>
          <cell r="AF462">
            <v>1.0934348133452403</v>
          </cell>
          <cell r="AG462">
            <v>1.1093102809327218</v>
          </cell>
          <cell r="AH462">
            <v>0.70420038468410662</v>
          </cell>
          <cell r="AI462">
            <v>1.1328127511578936</v>
          </cell>
          <cell r="AJ462">
            <v>0.66222008153083844</v>
          </cell>
          <cell r="AK462">
            <v>1.265546181823362</v>
          </cell>
          <cell r="AL462">
            <v>1.3551306674370469</v>
          </cell>
        </row>
        <row r="463">
          <cell r="A463" t="str">
            <v>22/11/2005</v>
          </cell>
          <cell r="B463">
            <v>23.15</v>
          </cell>
          <cell r="C463">
            <v>51.85</v>
          </cell>
          <cell r="D463">
            <v>103.2</v>
          </cell>
          <cell r="E463">
            <v>55</v>
          </cell>
          <cell r="F463">
            <v>14.65</v>
          </cell>
          <cell r="G463">
            <v>2.8250000000000002</v>
          </cell>
          <cell r="H463">
            <v>9.5500000000000007</v>
          </cell>
          <cell r="I463">
            <v>58.5</v>
          </cell>
          <cell r="J463">
            <v>125.7</v>
          </cell>
          <cell r="K463">
            <v>170.9</v>
          </cell>
          <cell r="L463">
            <v>27.9</v>
          </cell>
          <cell r="M463">
            <v>14885.65</v>
          </cell>
          <cell r="O463">
            <v>1.982378854625555E-2</v>
          </cell>
          <cell r="P463">
            <v>4.116465863453822E-2</v>
          </cell>
          <cell r="Q463">
            <v>2.6865671641790989E-2</v>
          </cell>
          <cell r="R463">
            <v>3.5781544256120457E-2</v>
          </cell>
          <cell r="S463">
            <v>1.0344827586207028E-2</v>
          </cell>
          <cell r="T463">
            <v>-2.5862068965517127E-2</v>
          </cell>
          <cell r="U463">
            <v>5.2631578947368585E-3</v>
          </cell>
          <cell r="V463">
            <v>4.3710972346119537E-2</v>
          </cell>
          <cell r="W463">
            <v>3.9702233250620278E-2</v>
          </cell>
          <cell r="X463">
            <v>8.1645569620253156E-2</v>
          </cell>
          <cell r="Y463">
            <v>0.11377245508982026</v>
          </cell>
          <cell r="Z463">
            <v>3.1942726733255267E-2</v>
          </cell>
          <cell r="AB463">
            <v>0.52919792846009017</v>
          </cell>
          <cell r="AC463">
            <v>1.2154117816613075</v>
          </cell>
          <cell r="AD463">
            <v>0.54537637802077099</v>
          </cell>
          <cell r="AE463">
            <v>1.1029497285177128</v>
          </cell>
          <cell r="AF463">
            <v>1.090944423904709</v>
          </cell>
          <cell r="AG463">
            <v>1.1039486861536376</v>
          </cell>
          <cell r="AH463">
            <v>0.70369213204400949</v>
          </cell>
          <cell r="AI463">
            <v>1.1344556815813447</v>
          </cell>
          <cell r="AJ463">
            <v>0.66554920090544267</v>
          </cell>
          <cell r="AK463">
            <v>1.2695345472591282</v>
          </cell>
          <cell r="AL463">
            <v>1.3611540569263689</v>
          </cell>
        </row>
        <row r="464">
          <cell r="A464" t="str">
            <v>23/11/2005</v>
          </cell>
          <cell r="B464">
            <v>23.25</v>
          </cell>
          <cell r="C464">
            <v>52.15</v>
          </cell>
          <cell r="D464">
            <v>103.6</v>
          </cell>
          <cell r="E464">
            <v>54.7</v>
          </cell>
          <cell r="F464">
            <v>14.9</v>
          </cell>
          <cell r="G464">
            <v>2.85</v>
          </cell>
          <cell r="H464">
            <v>9.65</v>
          </cell>
          <cell r="I464">
            <v>59.6</v>
          </cell>
          <cell r="J464">
            <v>125.5</v>
          </cell>
          <cell r="K464">
            <v>173.5</v>
          </cell>
          <cell r="L464">
            <v>29</v>
          </cell>
          <cell r="M464">
            <v>15062.35</v>
          </cell>
          <cell r="O464">
            <v>2.8761061946902533E-2</v>
          </cell>
          <cell r="P464">
            <v>5.6737588652482129E-2</v>
          </cell>
          <cell r="Q464">
            <v>2.9821073558648159E-2</v>
          </cell>
          <cell r="R464">
            <v>3.5984848484848619E-2</v>
          </cell>
          <cell r="S464">
            <v>2.7586206896551779E-2</v>
          </cell>
          <cell r="T464">
            <v>-8.6956521739129933E-3</v>
          </cell>
          <cell r="U464">
            <v>1.5789473684210575E-2</v>
          </cell>
          <cell r="V464">
            <v>6.4285714285714279E-2</v>
          </cell>
          <cell r="W464">
            <v>3.292181069958855E-2</v>
          </cell>
          <cell r="X464">
            <v>9.0509113764927651E-2</v>
          </cell>
          <cell r="Y464">
            <v>0.13948919449901775</v>
          </cell>
          <cell r="Z464">
            <v>4.1790299443773549E-2</v>
          </cell>
          <cell r="AB464">
            <v>0.53120770622552016</v>
          </cell>
          <cell r="AC464">
            <v>1.2197808117319155</v>
          </cell>
          <cell r="AD464">
            <v>0.54772699299686067</v>
          </cell>
          <cell r="AE464">
            <v>1.1017235157491143</v>
          </cell>
          <cell r="AF464">
            <v>1.0887295568355981</v>
          </cell>
          <cell r="AG464">
            <v>1.0979094431277827</v>
          </cell>
          <cell r="AH464">
            <v>0.70361507888914487</v>
          </cell>
          <cell r="AI464">
            <v>1.1381777727370732</v>
          </cell>
          <cell r="AJ464">
            <v>0.66774242849364618</v>
          </cell>
          <cell r="AK464">
            <v>1.2741995103910984</v>
          </cell>
          <cell r="AL464">
            <v>1.3711401776469239</v>
          </cell>
        </row>
        <row r="465">
          <cell r="A465" t="str">
            <v>25/11/2005</v>
          </cell>
          <cell r="B465">
            <v>23.25</v>
          </cell>
          <cell r="C465">
            <v>52.85</v>
          </cell>
          <cell r="D465">
            <v>103.4</v>
          </cell>
          <cell r="E465">
            <v>55.45</v>
          </cell>
          <cell r="F465">
            <v>14.75</v>
          </cell>
          <cell r="G465">
            <v>2.95</v>
          </cell>
          <cell r="H465">
            <v>9.6</v>
          </cell>
          <cell r="I465">
            <v>58.35</v>
          </cell>
          <cell r="J465">
            <v>125.3</v>
          </cell>
          <cell r="K465">
            <v>171.2</v>
          </cell>
          <cell r="L465">
            <v>28.8</v>
          </cell>
          <cell r="M465">
            <v>15081.47</v>
          </cell>
          <cell r="O465">
            <v>2.8761061946902533E-2</v>
          </cell>
          <cell r="P465">
            <v>8.9690721649484662E-2</v>
          </cell>
          <cell r="Q465">
            <v>3.0907278165503538E-2</v>
          </cell>
          <cell r="R465">
            <v>4.9195837275307408E-2</v>
          </cell>
          <cell r="S465">
            <v>2.430555555555558E-2</v>
          </cell>
          <cell r="T465">
            <v>3.5087719298245723E-2</v>
          </cell>
          <cell r="U465">
            <v>1.0526315789473717E-2</v>
          </cell>
          <cell r="V465">
            <v>4.1964285714285676E-2</v>
          </cell>
          <cell r="W465">
            <v>3.1275720164609E-2</v>
          </cell>
          <cell r="X465">
            <v>7.3354231974921635E-2</v>
          </cell>
          <cell r="Y465">
            <v>0.13609467455621305</v>
          </cell>
          <cell r="Z465">
            <v>4.8703642151552096E-2</v>
          </cell>
          <cell r="AB465">
            <v>0.53281839074029924</v>
          </cell>
          <cell r="AC465">
            <v>1.2295392337820203</v>
          </cell>
          <cell r="AD465">
            <v>0.54991783241284553</v>
          </cell>
          <cell r="AE465">
            <v>1.1013863985562111</v>
          </cell>
          <cell r="AF465">
            <v>1.0840950032073664</v>
          </cell>
          <cell r="AG465">
            <v>1.0979123153435975</v>
          </cell>
          <cell r="AH465">
            <v>0.70157668305028797</v>
          </cell>
          <cell r="AI465">
            <v>1.1366584163680202</v>
          </cell>
          <cell r="AJ465">
            <v>0.66906608779517518</v>
          </cell>
          <cell r="AK465">
            <v>1.2745809894316673</v>
          </cell>
          <cell r="AL465">
            <v>1.3801777380525073</v>
          </cell>
        </row>
        <row r="466">
          <cell r="A466" t="str">
            <v>28/11/2005</v>
          </cell>
          <cell r="B466">
            <v>23.3</v>
          </cell>
          <cell r="C466">
            <v>52.7</v>
          </cell>
          <cell r="D466">
            <v>103.5</v>
          </cell>
          <cell r="E466">
            <v>54.7</v>
          </cell>
          <cell r="F466">
            <v>14.8</v>
          </cell>
          <cell r="G466">
            <v>2.9249999999999998</v>
          </cell>
          <cell r="H466">
            <v>9.6</v>
          </cell>
          <cell r="I466">
            <v>58.3</v>
          </cell>
          <cell r="J466">
            <v>125.4</v>
          </cell>
          <cell r="K466">
            <v>170.9</v>
          </cell>
          <cell r="L466">
            <v>29.2</v>
          </cell>
          <cell r="M466">
            <v>15100</v>
          </cell>
          <cell r="O466">
            <v>4.0178571428571619E-2</v>
          </cell>
          <cell r="P466">
            <v>0.10830704521556278</v>
          </cell>
          <cell r="Q466">
            <v>3.499999999999992E-2</v>
          </cell>
          <cell r="R466">
            <v>3.2075471698113311E-2</v>
          </cell>
          <cell r="S466">
            <v>4.2253521126760729E-2</v>
          </cell>
          <cell r="T466">
            <v>5.4054054054053946E-2</v>
          </cell>
          <cell r="U466">
            <v>1.5873015873015817E-2</v>
          </cell>
          <cell r="V466">
            <v>4.1071428571428426E-2</v>
          </cell>
          <cell r="W466">
            <v>3.9800995024875663E-2</v>
          </cell>
          <cell r="X466">
            <v>6.3472308649657805E-2</v>
          </cell>
          <cell r="Y466">
            <v>0.15187376725838253</v>
          </cell>
          <cell r="Z466">
            <v>6.2196157382298445E-2</v>
          </cell>
          <cell r="AB466">
            <v>0.53588587296155654</v>
          </cell>
          <cell r="AC466">
            <v>1.2423284143897197</v>
          </cell>
          <cell r="AD466">
            <v>0.55186002296428016</v>
          </cell>
          <cell r="AE466">
            <v>1.0931055950302677</v>
          </cell>
          <cell r="AF466">
            <v>1.079073274670276</v>
          </cell>
          <cell r="AG466">
            <v>1.0989360646063151</v>
          </cell>
          <cell r="AH466">
            <v>0.69799727782002807</v>
          </cell>
          <cell r="AI466">
            <v>1.1307579390823366</v>
          </cell>
          <cell r="AJ466">
            <v>0.67060996961436148</v>
          </cell>
          <cell r="AK466">
            <v>1.26840939492246</v>
          </cell>
          <cell r="AL466">
            <v>1.390862689707216</v>
          </cell>
        </row>
        <row r="467">
          <cell r="A467" t="str">
            <v>29/11/2005</v>
          </cell>
          <cell r="B467">
            <v>23.25</v>
          </cell>
          <cell r="C467">
            <v>52.85</v>
          </cell>
          <cell r="D467">
            <v>103.2</v>
          </cell>
          <cell r="E467">
            <v>54.3</v>
          </cell>
          <cell r="F467">
            <v>14.8</v>
          </cell>
          <cell r="G467">
            <v>2.9</v>
          </cell>
          <cell r="H467">
            <v>9.6</v>
          </cell>
          <cell r="I467">
            <v>58.4</v>
          </cell>
          <cell r="J467">
            <v>125.2</v>
          </cell>
          <cell r="K467">
            <v>170.3</v>
          </cell>
          <cell r="L467">
            <v>28.8</v>
          </cell>
          <cell r="M467">
            <v>15028.76</v>
          </cell>
          <cell r="O467">
            <v>2.6490066225165698E-2</v>
          </cell>
          <cell r="P467">
            <v>0.12208067940552025</v>
          </cell>
          <cell r="Q467">
            <v>2.6865671641790989E-2</v>
          </cell>
          <cell r="R467">
            <v>2.5495750708215192E-2</v>
          </cell>
          <cell r="S467">
            <v>2.4221453287197381E-2</v>
          </cell>
          <cell r="T467">
            <v>2.6548672566371501E-2</v>
          </cell>
          <cell r="U467">
            <v>5.2356020942407877E-3</v>
          </cell>
          <cell r="V467">
            <v>5.2252252252252163E-2</v>
          </cell>
          <cell r="W467">
            <v>3.215169002473206E-2</v>
          </cell>
          <cell r="X467">
            <v>5.6451612903225978E-2</v>
          </cell>
          <cell r="Y467">
            <v>0.11196911196911197</v>
          </cell>
          <cell r="Z467">
            <v>4.465268167021974E-2</v>
          </cell>
          <cell r="AB467">
            <v>0.53723759727626186</v>
          </cell>
          <cell r="AC467">
            <v>1.2570308637224481</v>
          </cell>
          <cell r="AD467">
            <v>0.55343887858823371</v>
          </cell>
          <cell r="AE467">
            <v>1.0896302211423465</v>
          </cell>
          <cell r="AF467">
            <v>1.075822131639157</v>
          </cell>
          <cell r="AG467">
            <v>1.0982343344271612</v>
          </cell>
          <cell r="AH467">
            <v>0.69584403149770391</v>
          </cell>
          <cell r="AI467">
            <v>1.1320210775677466</v>
          </cell>
          <cell r="AJ467">
            <v>0.67235458262082404</v>
          </cell>
          <cell r="AK467">
            <v>1.2668105321146523</v>
          </cell>
          <cell r="AL467">
            <v>1.3954743629660777</v>
          </cell>
        </row>
        <row r="468">
          <cell r="A468" t="str">
            <v>30/11/2005</v>
          </cell>
          <cell r="B468">
            <v>23.2</v>
          </cell>
          <cell r="C468">
            <v>53.65</v>
          </cell>
          <cell r="D468">
            <v>102.6</v>
          </cell>
          <cell r="E468">
            <v>53.8</v>
          </cell>
          <cell r="F468">
            <v>14.8</v>
          </cell>
          <cell r="G468">
            <v>2.9249999999999998</v>
          </cell>
          <cell r="H468">
            <v>9.6</v>
          </cell>
          <cell r="I468">
            <v>58</v>
          </cell>
          <cell r="J468">
            <v>124.5</v>
          </cell>
          <cell r="K468">
            <v>171.2</v>
          </cell>
          <cell r="L468">
            <v>28.2</v>
          </cell>
          <cell r="M468">
            <v>14937.14</v>
          </cell>
          <cell r="O468">
            <v>1.978021978021971E-2</v>
          </cell>
          <cell r="P468">
            <v>0.11887382690302384</v>
          </cell>
          <cell r="Q468">
            <v>1.1834319526627057E-2</v>
          </cell>
          <cell r="R468">
            <v>1.1278195488721776E-2</v>
          </cell>
          <cell r="S468">
            <v>1.3698630136986356E-2</v>
          </cell>
          <cell r="T468">
            <v>3.5398230088495408E-2</v>
          </cell>
          <cell r="U468">
            <v>-4.9504950495049549E-2</v>
          </cell>
          <cell r="V468">
            <v>3.3868092691622165E-2</v>
          </cell>
          <cell r="W468">
            <v>1.9656019656019597E-2</v>
          </cell>
          <cell r="X468">
            <v>3.9465695203400042E-2</v>
          </cell>
          <cell r="Y468">
            <v>6.8181818181818121E-2</v>
          </cell>
          <cell r="Z468">
            <v>2.5039355597553214E-2</v>
          </cell>
          <cell r="AB468">
            <v>0.53825443108434368</v>
          </cell>
          <cell r="AC468">
            <v>1.2663378603814961</v>
          </cell>
          <cell r="AD468">
            <v>0.55387546398877507</v>
          </cell>
          <cell r="AE468">
            <v>1.088492026981678</v>
          </cell>
          <cell r="AF468">
            <v>1.0750948852793534</v>
          </cell>
          <cell r="AG468">
            <v>1.1005188396622929</v>
          </cell>
          <cell r="AH468">
            <v>0.69118430373507622</v>
          </cell>
          <cell r="AI468">
            <v>1.132992310121588</v>
          </cell>
          <cell r="AJ468">
            <v>0.67329795270036419</v>
          </cell>
          <cell r="AK468">
            <v>1.266683817291911</v>
          </cell>
          <cell r="AL468">
            <v>1.396383181335906</v>
          </cell>
        </row>
        <row r="469">
          <cell r="A469" t="str">
            <v>01/12/2005</v>
          </cell>
          <cell r="B469">
            <v>23.25</v>
          </cell>
          <cell r="C469">
            <v>52.15</v>
          </cell>
          <cell r="D469">
            <v>102.7</v>
          </cell>
          <cell r="E469">
            <v>53.8</v>
          </cell>
          <cell r="F469">
            <v>14.75</v>
          </cell>
          <cell r="G469">
            <v>2.875</v>
          </cell>
          <cell r="H469">
            <v>9.65</v>
          </cell>
          <cell r="I469">
            <v>58.4</v>
          </cell>
          <cell r="J469">
            <v>124.9</v>
          </cell>
          <cell r="K469">
            <v>169.8</v>
          </cell>
          <cell r="L469">
            <v>27.95</v>
          </cell>
          <cell r="M469">
            <v>15068.03</v>
          </cell>
          <cell r="O469">
            <v>1.7505470459518557E-2</v>
          </cell>
          <cell r="P469">
            <v>8.4199584199584177E-2</v>
          </cell>
          <cell r="Q469">
            <v>1.2820512820512775E-2</v>
          </cell>
          <cell r="R469">
            <v>0</v>
          </cell>
          <cell r="S469">
            <v>6.8259385665527805E-3</v>
          </cell>
          <cell r="T469">
            <v>-8.6206896551723755E-3</v>
          </cell>
          <cell r="U469">
            <v>-1.025641025641022E-2</v>
          </cell>
          <cell r="V469">
            <v>3.9145907473309594E-2</v>
          </cell>
          <cell r="W469">
            <v>2.2094926350245458E-2</v>
          </cell>
          <cell r="X469">
            <v>2.2891566265060392E-2</v>
          </cell>
          <cell r="Y469">
            <v>4.8780487804878092E-2</v>
          </cell>
          <cell r="Z469">
            <v>3.223501590685518E-2</v>
          </cell>
          <cell r="AB469">
            <v>0.53889153208935869</v>
          </cell>
          <cell r="AC469">
            <v>1.2736187842867202</v>
          </cell>
          <cell r="AD469">
            <v>0.55410724458737493</v>
          </cell>
          <cell r="AE469">
            <v>1.0847608624333254</v>
          </cell>
          <cell r="AF469">
            <v>1.0724324253441091</v>
          </cell>
          <cell r="AG469">
            <v>1.0975233394519304</v>
          </cell>
          <cell r="AH469">
            <v>0.68897325179782709</v>
          </cell>
          <cell r="AI469">
            <v>1.1339488667462794</v>
          </cell>
          <cell r="AJ469">
            <v>0.67427193663763718</v>
          </cell>
          <cell r="AK469">
            <v>1.2635326771415005</v>
          </cell>
          <cell r="AL469">
            <v>1.3941711898157261</v>
          </cell>
        </row>
        <row r="470">
          <cell r="A470" t="str">
            <v>02/12/2005</v>
          </cell>
          <cell r="B470">
            <v>23.35</v>
          </cell>
          <cell r="C470">
            <v>52.65</v>
          </cell>
          <cell r="D470">
            <v>103.1</v>
          </cell>
          <cell r="E470">
            <v>53.65</v>
          </cell>
          <cell r="F470">
            <v>14.75</v>
          </cell>
          <cell r="G470">
            <v>2.875</v>
          </cell>
          <cell r="H470">
            <v>9.75</v>
          </cell>
          <cell r="I470">
            <v>59</v>
          </cell>
          <cell r="J470">
            <v>125.6</v>
          </cell>
          <cell r="K470">
            <v>169.7</v>
          </cell>
          <cell r="L470">
            <v>28.1</v>
          </cell>
          <cell r="M470">
            <v>15200.38</v>
          </cell>
          <cell r="O470">
            <v>1.9650655021834273E-2</v>
          </cell>
          <cell r="P470">
            <v>9.6875000000000044E-2</v>
          </cell>
          <cell r="Q470">
            <v>1.3765978367748177E-2</v>
          </cell>
          <cell r="R470">
            <v>-1.469237832874204E-2</v>
          </cell>
          <cell r="S470">
            <v>6.8259385665527805E-3</v>
          </cell>
          <cell r="T470">
            <v>-8.6206896551723755E-3</v>
          </cell>
          <cell r="U470">
            <v>0</v>
          </cell>
          <cell r="V470">
            <v>4.7957371225577416E-2</v>
          </cell>
          <cell r="W470">
            <v>2.614379084967311E-2</v>
          </cell>
          <cell r="X470">
            <v>4.1420118343193923E-3</v>
          </cell>
          <cell r="Y470">
            <v>5.6390977443609103E-2</v>
          </cell>
          <cell r="Z470">
            <v>4.1008547699257436E-2</v>
          </cell>
          <cell r="AB470">
            <v>0.53932452042044643</v>
          </cell>
          <cell r="AC470">
            <v>1.2832580279429175</v>
          </cell>
          <cell r="AD470">
            <v>0.55381464034378425</v>
          </cell>
          <cell r="AE470">
            <v>1.0762762151321765</v>
          </cell>
          <cell r="AF470">
            <v>1.0675676506841307</v>
          </cell>
          <cell r="AG470">
            <v>1.0921947448849154</v>
          </cell>
          <cell r="AH470">
            <v>0.68675192644600114</v>
          </cell>
          <cell r="AI470">
            <v>1.1350134335307309</v>
          </cell>
          <cell r="AJ470">
            <v>0.6752486908075257</v>
          </cell>
          <cell r="AK470">
            <v>1.2549470552185531</v>
          </cell>
          <cell r="AL470">
            <v>1.3906128057068974</v>
          </cell>
        </row>
        <row r="471">
          <cell r="A471" t="str">
            <v>05/12/2005</v>
          </cell>
          <cell r="B471">
            <v>23.35</v>
          </cell>
          <cell r="C471">
            <v>52.85</v>
          </cell>
          <cell r="D471">
            <v>103.1</v>
          </cell>
          <cell r="E471">
            <v>53.6</v>
          </cell>
          <cell r="F471">
            <v>14.7</v>
          </cell>
          <cell r="G471">
            <v>2.9</v>
          </cell>
          <cell r="H471">
            <v>9.6999999999999993</v>
          </cell>
          <cell r="I471">
            <v>59.05</v>
          </cell>
          <cell r="J471">
            <v>125.3</v>
          </cell>
          <cell r="K471">
            <v>173.5</v>
          </cell>
          <cell r="L471">
            <v>28</v>
          </cell>
          <cell r="M471">
            <v>15158.82</v>
          </cell>
          <cell r="O471">
            <v>2.1881838074398141E-2</v>
          </cell>
          <cell r="P471">
            <v>9.4202898550724834E-2</v>
          </cell>
          <cell r="Q471">
            <v>1.3765978367748177E-2</v>
          </cell>
          <cell r="R471">
            <v>-2.0109689213894E-2</v>
          </cell>
          <cell r="S471">
            <v>6.8493150684931781E-3</v>
          </cell>
          <cell r="T471">
            <v>8.6956521739129933E-3</v>
          </cell>
          <cell r="U471">
            <v>-1.0204081632653184E-2</v>
          </cell>
          <cell r="V471">
            <v>2.8745644599303066E-2</v>
          </cell>
          <cell r="W471">
            <v>2.1189894050529734E-2</v>
          </cell>
          <cell r="X471">
            <v>2.3598820058997161E-2</v>
          </cell>
          <cell r="Y471">
            <v>4.4776119402984982E-2</v>
          </cell>
          <cell r="Z471">
            <v>3.9286867560824446E-2</v>
          </cell>
          <cell r="AB471">
            <v>0.54018040561485503</v>
          </cell>
          <cell r="AC471">
            <v>1.292203042136215</v>
          </cell>
          <cell r="AD471">
            <v>0.55367723413344372</v>
          </cell>
          <cell r="AE471">
            <v>1.0678356144188172</v>
          </cell>
          <cell r="AF471">
            <v>1.0632856502243107</v>
          </cell>
          <cell r="AG471">
            <v>1.0899541166328368</v>
          </cell>
          <cell r="AH471">
            <v>0.68338733083245773</v>
          </cell>
          <cell r="AI471">
            <v>1.1335447621483981</v>
          </cell>
          <cell r="AJ471">
            <v>0.67562050451954192</v>
          </cell>
          <cell r="AK471">
            <v>1.2500072505028124</v>
          </cell>
          <cell r="AL471">
            <v>1.3859698794192963</v>
          </cell>
        </row>
        <row r="472">
          <cell r="A472" t="str">
            <v>06/12/2005</v>
          </cell>
          <cell r="B472">
            <v>23.2</v>
          </cell>
          <cell r="C472">
            <v>53</v>
          </cell>
          <cell r="D472">
            <v>102.7</v>
          </cell>
          <cell r="E472">
            <v>52.85</v>
          </cell>
          <cell r="F472">
            <v>14.55</v>
          </cell>
          <cell r="G472">
            <v>2.9</v>
          </cell>
          <cell r="H472">
            <v>9.65</v>
          </cell>
          <cell r="I472">
            <v>59</v>
          </cell>
          <cell r="J472">
            <v>124.4</v>
          </cell>
          <cell r="K472">
            <v>172.8</v>
          </cell>
          <cell r="L472">
            <v>27.85</v>
          </cell>
          <cell r="M472">
            <v>14990.61</v>
          </cell>
          <cell r="O472">
            <v>1.3100436681222849E-2</v>
          </cell>
          <cell r="P472">
            <v>9.9585062240663769E-2</v>
          </cell>
          <cell r="Q472">
            <v>1.5825914935707397E-2</v>
          </cell>
          <cell r="R472">
            <v>-2.0389249304911927E-2</v>
          </cell>
          <cell r="S472">
            <v>3.4482758620690834E-3</v>
          </cell>
          <cell r="T472">
            <v>3.5714285714285809E-2</v>
          </cell>
          <cell r="U472">
            <v>-5.1546391752576026E-3</v>
          </cell>
          <cell r="V472">
            <v>3.5087719298245723E-2</v>
          </cell>
          <cell r="W472">
            <v>2.0508613617719496E-2</v>
          </cell>
          <cell r="X472">
            <v>2.673796791443861E-2</v>
          </cell>
          <cell r="Y472">
            <v>4.1121495327102853E-2</v>
          </cell>
          <cell r="Z472">
            <v>4.3493605294244064E-2</v>
          </cell>
          <cell r="AB472">
            <v>0.53936993278493861</v>
          </cell>
          <cell r="AC472">
            <v>1.3020333294280306</v>
          </cell>
          <cell r="AD472">
            <v>0.55348342741364576</v>
          </cell>
          <cell r="AE472">
            <v>1.0577953714265425</v>
          </cell>
          <cell r="AF472">
            <v>1.0573278617436754</v>
          </cell>
          <cell r="AG472">
            <v>1.0910450085981536</v>
          </cell>
          <cell r="AH472">
            <v>0.68003118667767659</v>
          </cell>
          <cell r="AI472">
            <v>1.1321787254702216</v>
          </cell>
          <cell r="AJ472">
            <v>0.67547105246939232</v>
          </cell>
          <cell r="AK472">
            <v>1.2442379717463339</v>
          </cell>
          <cell r="AL472">
            <v>1.3793597737085432</v>
          </cell>
        </row>
        <row r="473">
          <cell r="A473" t="str">
            <v>07/12/2005</v>
          </cell>
          <cell r="B473">
            <v>23.3</v>
          </cell>
          <cell r="C473">
            <v>52.5</v>
          </cell>
          <cell r="D473">
            <v>103.1</v>
          </cell>
          <cell r="E473">
            <v>52.45</v>
          </cell>
          <cell r="F473">
            <v>14.55</v>
          </cell>
          <cell r="G473">
            <v>2.9</v>
          </cell>
          <cell r="H473">
            <v>9.65</v>
          </cell>
          <cell r="I473">
            <v>59</v>
          </cell>
          <cell r="J473">
            <v>125.1</v>
          </cell>
          <cell r="K473">
            <v>171.3</v>
          </cell>
          <cell r="L473">
            <v>28</v>
          </cell>
          <cell r="M473">
            <v>15134.95</v>
          </cell>
          <cell r="O473">
            <v>1.7467248908296984E-2</v>
          </cell>
          <cell r="P473">
            <v>8.8082901554404236E-2</v>
          </cell>
          <cell r="Q473">
            <v>1.8774703557312256E-2</v>
          </cell>
          <cell r="R473">
            <v>-2.7803521779425355E-2</v>
          </cell>
          <cell r="S473">
            <v>3.4482758620690834E-3</v>
          </cell>
          <cell r="T473">
            <v>2.6548672566371501E-2</v>
          </cell>
          <cell r="U473">
            <v>-5.1546391752576026E-3</v>
          </cell>
          <cell r="V473">
            <v>2.6086956521739202E-2</v>
          </cell>
          <cell r="W473">
            <v>2.2894521668029411E-2</v>
          </cell>
          <cell r="X473">
            <v>2.0250148898153686E-2</v>
          </cell>
          <cell r="Y473">
            <v>5.6603773584905648E-2</v>
          </cell>
          <cell r="Z473">
            <v>5.0804682292823866E-2</v>
          </cell>
          <cell r="AB473">
            <v>0.53850689425717124</v>
          </cell>
          <cell r="AC473">
            <v>1.3095449582783498</v>
          </cell>
          <cell r="AD473">
            <v>0.55305391670435677</v>
          </cell>
          <cell r="AE473">
            <v>1.0433087919152382</v>
          </cell>
          <cell r="AF473">
            <v>1.048965844207346</v>
          </cell>
          <cell r="AG473">
            <v>1.0891226003911776</v>
          </cell>
          <cell r="AH473">
            <v>0.67520583687397517</v>
          </cell>
          <cell r="AI473">
            <v>1.1273758699390977</v>
          </cell>
          <cell r="AJ473">
            <v>0.67482236417135744</v>
          </cell>
          <cell r="AK473">
            <v>1.2346333590009642</v>
          </cell>
          <cell r="AL473">
            <v>1.3726827528837948</v>
          </cell>
        </row>
        <row r="474">
          <cell r="A474" t="str">
            <v>08/12/2005</v>
          </cell>
          <cell r="B474">
            <v>23.2</v>
          </cell>
          <cell r="C474">
            <v>52.5</v>
          </cell>
          <cell r="D474">
            <v>102.4</v>
          </cell>
          <cell r="E474">
            <v>52.7</v>
          </cell>
          <cell r="F474">
            <v>14.45</v>
          </cell>
          <cell r="G474">
            <v>2.9</v>
          </cell>
          <cell r="H474">
            <v>9.5500000000000007</v>
          </cell>
          <cell r="I474">
            <v>58.35</v>
          </cell>
          <cell r="J474">
            <v>124</v>
          </cell>
          <cell r="K474">
            <v>166.8</v>
          </cell>
          <cell r="L474">
            <v>28.2</v>
          </cell>
          <cell r="M474">
            <v>14879.16</v>
          </cell>
          <cell r="O474">
            <v>1.089324618736387E-2</v>
          </cell>
          <cell r="P474">
            <v>8.9211618257261316E-2</v>
          </cell>
          <cell r="Q474">
            <v>4.9067713444552741E-3</v>
          </cell>
          <cell r="R474">
            <v>-2.6777469990766356E-2</v>
          </cell>
          <cell r="S474">
            <v>-2.033898305084747E-2</v>
          </cell>
          <cell r="T474">
            <v>8.6956521739129933E-3</v>
          </cell>
          <cell r="U474">
            <v>-2.051282051282044E-2</v>
          </cell>
          <cell r="V474">
            <v>9.5155709342560346E-3</v>
          </cell>
          <cell r="W474">
            <v>5.6772100567721306E-3</v>
          </cell>
          <cell r="X474">
            <v>-2.9886431560072202E-3</v>
          </cell>
          <cell r="Y474">
            <v>8.4615384615384537E-2</v>
          </cell>
          <cell r="Z474">
            <v>1.9291593452325895E-2</v>
          </cell>
          <cell r="AB474">
            <v>0.53884192997108527</v>
          </cell>
          <cell r="AC474">
            <v>1.3142818925714967</v>
          </cell>
          <cell r="AD474">
            <v>0.55312773954205507</v>
          </cell>
          <cell r="AE474">
            <v>1.0408350296625142</v>
          </cell>
          <cell r="AF474">
            <v>1.0469446425731108</v>
          </cell>
          <cell r="AG474">
            <v>1.0894836830262513</v>
          </cell>
          <cell r="AH474">
            <v>0.67407237497812322</v>
          </cell>
          <cell r="AI474">
            <v>1.1270000685059698</v>
          </cell>
          <cell r="AJ474">
            <v>0.6748573178407592</v>
          </cell>
          <cell r="AK474">
            <v>1.2326010431847652</v>
          </cell>
          <cell r="AL474">
            <v>1.3747471855583648</v>
          </cell>
        </row>
        <row r="475">
          <cell r="A475" t="str">
            <v>09/12/2005</v>
          </cell>
          <cell r="B475">
            <v>23.2</v>
          </cell>
          <cell r="C475">
            <v>52.8</v>
          </cell>
          <cell r="D475">
            <v>102.4</v>
          </cell>
          <cell r="E475">
            <v>53.6</v>
          </cell>
          <cell r="F475">
            <v>14.5</v>
          </cell>
          <cell r="G475">
            <v>2.875</v>
          </cell>
          <cell r="H475">
            <v>9.5500000000000007</v>
          </cell>
          <cell r="I475">
            <v>57.85</v>
          </cell>
          <cell r="J475">
            <v>124.1</v>
          </cell>
          <cell r="K475">
            <v>165.1</v>
          </cell>
          <cell r="L475">
            <v>28.4</v>
          </cell>
          <cell r="M475">
            <v>14910.51</v>
          </cell>
          <cell r="O475">
            <v>8.6956521739129933E-3</v>
          </cell>
          <cell r="P475">
            <v>7.3170731707316916E-2</v>
          </cell>
          <cell r="Q475">
            <v>2.9382957884427352E-3</v>
          </cell>
          <cell r="R475">
            <v>-5.5658627087198376E-3</v>
          </cell>
          <cell r="S475">
            <v>-1.3605442176870652E-2</v>
          </cell>
          <cell r="T475">
            <v>8.7719298245614308E-3</v>
          </cell>
          <cell r="U475">
            <v>-1.0362694300518061E-2</v>
          </cell>
          <cell r="V475">
            <v>6.0869565217391841E-3</v>
          </cell>
          <cell r="W475">
            <v>4.045307443365731E-3</v>
          </cell>
          <cell r="X475">
            <v>-7.2158749248347753E-3</v>
          </cell>
          <cell r="Y475">
            <v>9.0211132437619801E-2</v>
          </cell>
          <cell r="Z475">
            <v>1.8941689963938524E-2</v>
          </cell>
          <cell r="AB475">
            <v>0.5390531689752307</v>
          </cell>
          <cell r="AC475">
            <v>1.3179853126684999</v>
          </cell>
          <cell r="AD475">
            <v>0.55309981918767837</v>
          </cell>
          <cell r="AE475">
            <v>1.0396521592054884</v>
          </cell>
          <cell r="AF475">
            <v>1.045389673373625</v>
          </cell>
          <cell r="AG475">
            <v>1.0898579405410247</v>
          </cell>
          <cell r="AH475">
            <v>0.6735583438299716</v>
          </cell>
          <cell r="AI475">
            <v>1.1264675700046345</v>
          </cell>
          <cell r="AJ475">
            <v>0.674813055999684</v>
          </cell>
          <cell r="AK475">
            <v>1.2304263271857516</v>
          </cell>
          <cell r="AL475">
            <v>1.3770804016566085</v>
          </cell>
        </row>
        <row r="476">
          <cell r="A476" t="str">
            <v>12/12/2005</v>
          </cell>
          <cell r="B476">
            <v>23.35</v>
          </cell>
          <cell r="C476">
            <v>52.9</v>
          </cell>
          <cell r="D476">
            <v>102.7</v>
          </cell>
          <cell r="E476">
            <v>54.1</v>
          </cell>
          <cell r="F476">
            <v>14.55</v>
          </cell>
          <cell r="G476">
            <v>2.875</v>
          </cell>
          <cell r="H476">
            <v>9.5</v>
          </cell>
          <cell r="I476">
            <v>57.85</v>
          </cell>
          <cell r="J476">
            <v>124.7</v>
          </cell>
          <cell r="K476">
            <v>168.2</v>
          </cell>
          <cell r="L476">
            <v>28.95</v>
          </cell>
          <cell r="M476">
            <v>14984.4</v>
          </cell>
          <cell r="O476">
            <v>1.3015184381778733E-2</v>
          </cell>
          <cell r="P476">
            <v>6.8686868686868685E-2</v>
          </cell>
          <cell r="Q476">
            <v>-9.7276264591439343E-4</v>
          </cell>
          <cell r="R476">
            <v>-1.2773722627737127E-2</v>
          </cell>
          <cell r="S476">
            <v>-1.3559322033898202E-2</v>
          </cell>
          <cell r="T476">
            <v>8.7719298245614308E-3</v>
          </cell>
          <cell r="U476">
            <v>-1.5544041450777257E-2</v>
          </cell>
          <cell r="V476">
            <v>-2.586206896551646E-3</v>
          </cell>
          <cell r="W476">
            <v>1.6064257028112205E-3</v>
          </cell>
          <cell r="X476">
            <v>5.9808612440190867E-3</v>
          </cell>
          <cell r="Y476">
            <v>8.2242990654205483E-2</v>
          </cell>
          <cell r="Z476">
            <v>1.6539353893328501E-2</v>
          </cell>
          <cell r="AB476">
            <v>0.53948368801793223</v>
          </cell>
          <cell r="AC476">
            <v>1.3209524601237994</v>
          </cell>
          <cell r="AD476">
            <v>0.55295841015051872</v>
          </cell>
          <cell r="AE476">
            <v>1.0384688274046623</v>
          </cell>
          <cell r="AF476">
            <v>1.0442358838153605</v>
          </cell>
          <cell r="AG476">
            <v>1.0902841378837969</v>
          </cell>
          <cell r="AH476">
            <v>0.67297448069298582</v>
          </cell>
          <cell r="AI476">
            <v>1.125758225182145</v>
          </cell>
          <cell r="AJ476">
            <v>0.67473931847532886</v>
          </cell>
          <cell r="AK476">
            <v>1.2293901803856999</v>
          </cell>
          <cell r="AL476">
            <v>1.3787738846291224</v>
          </cell>
        </row>
        <row r="477">
          <cell r="A477" t="str">
            <v>13/12/2005</v>
          </cell>
          <cell r="B477">
            <v>23.25</v>
          </cell>
          <cell r="C477">
            <v>52.1</v>
          </cell>
          <cell r="D477">
            <v>102.6</v>
          </cell>
          <cell r="E477">
            <v>54.95</v>
          </cell>
          <cell r="F477">
            <v>14.5</v>
          </cell>
          <cell r="G477">
            <v>2.9</v>
          </cell>
          <cell r="H477">
            <v>9.5</v>
          </cell>
          <cell r="I477">
            <v>58.05</v>
          </cell>
          <cell r="J477">
            <v>124.7</v>
          </cell>
          <cell r="K477">
            <v>167.5</v>
          </cell>
          <cell r="L477">
            <v>29.4</v>
          </cell>
          <cell r="M477">
            <v>14942.62</v>
          </cell>
          <cell r="O477">
            <v>1.3071895424836555E-2</v>
          </cell>
          <cell r="P477">
            <v>5.0403225806451513E-2</v>
          </cell>
          <cell r="Q477">
            <v>0</v>
          </cell>
          <cell r="R477">
            <v>2.7372262773723843E-3</v>
          </cell>
          <cell r="S477">
            <v>-1.0238907849829393E-2</v>
          </cell>
          <cell r="T477">
            <v>2.6548672566371501E-2</v>
          </cell>
          <cell r="U477">
            <v>-2.5641025641025661E-2</v>
          </cell>
          <cell r="V477">
            <v>2.5906735751295429E-3</v>
          </cell>
          <cell r="W477">
            <v>1.6064257028112205E-3</v>
          </cell>
          <cell r="X477">
            <v>-1.6441573693482203E-2</v>
          </cell>
          <cell r="Y477">
            <v>9.9065420560747519E-2</v>
          </cell>
          <cell r="Z477">
            <v>2.1404027071347143E-2</v>
          </cell>
          <cell r="AB477">
            <v>0.53992558834119231</v>
          </cell>
          <cell r="AC477">
            <v>1.323539872071589</v>
          </cell>
          <cell r="AD477">
            <v>0.55264597322569897</v>
          </cell>
          <cell r="AE477">
            <v>1.0374764418348223</v>
          </cell>
          <cell r="AF477">
            <v>1.0424870628397729</v>
          </cell>
          <cell r="AG477">
            <v>1.0917025548385888</v>
          </cell>
          <cell r="AH477">
            <v>0.67127413135615854</v>
          </cell>
          <cell r="AI477">
            <v>1.1247341565946913</v>
          </cell>
          <cell r="AJ477">
            <v>0.67442045317309229</v>
          </cell>
          <cell r="AK477">
            <v>1.2260672640160128</v>
          </cell>
          <cell r="AL477">
            <v>1.3818328585341737</v>
          </cell>
        </row>
        <row r="478">
          <cell r="A478" t="str">
            <v>14/12/2005</v>
          </cell>
          <cell r="B478">
            <v>23.25</v>
          </cell>
          <cell r="C478">
            <v>52.05</v>
          </cell>
          <cell r="D478">
            <v>102.6</v>
          </cell>
          <cell r="E478">
            <v>54.05</v>
          </cell>
          <cell r="F478">
            <v>14.55</v>
          </cell>
          <cell r="G478">
            <v>2.875</v>
          </cell>
          <cell r="H478">
            <v>9.5500000000000007</v>
          </cell>
          <cell r="I478">
            <v>58.05</v>
          </cell>
          <cell r="J478">
            <v>125.4</v>
          </cell>
          <cell r="K478">
            <v>168.4</v>
          </cell>
          <cell r="L478">
            <v>30.4</v>
          </cell>
          <cell r="M478">
            <v>14976.26</v>
          </cell>
          <cell r="O478">
            <v>1.5283842794759916E-2</v>
          </cell>
          <cell r="P478">
            <v>4.0999999999999925E-2</v>
          </cell>
          <cell r="Q478">
            <v>9.7560975609756184E-4</v>
          </cell>
          <cell r="R478">
            <v>-9.1659028414299293E-3</v>
          </cell>
          <cell r="S478">
            <v>-3.424657534246478E-3</v>
          </cell>
          <cell r="T478">
            <v>1.7699115044247815E-2</v>
          </cell>
          <cell r="U478">
            <v>-1.0362694300518061E-2</v>
          </cell>
          <cell r="V478">
            <v>-8.6058519793463795E-4</v>
          </cell>
          <cell r="W478">
            <v>8.0385852090032461E-3</v>
          </cell>
          <cell r="X478">
            <v>-2.9603315571343769E-3</v>
          </cell>
          <cell r="Y478">
            <v>0.13857677902621712</v>
          </cell>
          <cell r="Z478">
            <v>2.3849061453804943E-2</v>
          </cell>
          <cell r="AB478">
            <v>0.54049589624413197</v>
          </cell>
          <cell r="AC478">
            <v>1.3255424793107144</v>
          </cell>
          <cell r="AD478">
            <v>0.5522618246784553</v>
          </cell>
          <cell r="AE478">
            <v>1.0352649460759191</v>
          </cell>
          <cell r="AF478">
            <v>1.0408133938445192</v>
          </cell>
          <cell r="AG478">
            <v>1.092456887967644</v>
          </cell>
          <cell r="AH478">
            <v>0.67035704284931297</v>
          </cell>
          <cell r="AI478">
            <v>1.1231030973925946</v>
          </cell>
          <cell r="AJ478">
            <v>0.67441504547137865</v>
          </cell>
          <cell r="AK478">
            <v>1.2230651750774963</v>
          </cell>
          <cell r="AL478">
            <v>1.3880227576667736</v>
          </cell>
        </row>
        <row r="479">
          <cell r="A479" t="str">
            <v>15/12/2005</v>
          </cell>
          <cell r="B479">
            <v>23.3</v>
          </cell>
          <cell r="C479">
            <v>52.8</v>
          </cell>
          <cell r="D479">
            <v>102.9</v>
          </cell>
          <cell r="E479">
            <v>54.6</v>
          </cell>
          <cell r="F479">
            <v>14.7</v>
          </cell>
          <cell r="G479">
            <v>2.85</v>
          </cell>
          <cell r="H479">
            <v>9.4499999999999993</v>
          </cell>
          <cell r="I479">
            <v>58.6</v>
          </cell>
          <cell r="J479">
            <v>125.9</v>
          </cell>
          <cell r="K479">
            <v>168.8</v>
          </cell>
          <cell r="L479">
            <v>29.95</v>
          </cell>
          <cell r="M479">
            <v>15059.02</v>
          </cell>
          <cell r="O479">
            <v>1.304347826086949E-2</v>
          </cell>
          <cell r="P479">
            <v>6.4516129032258007E-2</v>
          </cell>
          <cell r="Q479">
            <v>3.9024390243902474E-3</v>
          </cell>
          <cell r="R479">
            <v>1.2048192771084265E-2</v>
          </cell>
          <cell r="S479">
            <v>6.8493150684931781E-3</v>
          </cell>
          <cell r="T479">
            <v>0</v>
          </cell>
          <cell r="U479">
            <v>-2.0725388601036343E-2</v>
          </cell>
          <cell r="V479">
            <v>1.0344827586207028E-2</v>
          </cell>
          <cell r="W479">
            <v>1.043338683788142E-2</v>
          </cell>
          <cell r="X479">
            <v>-7.6425631981186237E-3</v>
          </cell>
          <cell r="Y479">
            <v>0.1301886792452831</v>
          </cell>
          <cell r="Z479">
            <v>2.7881566140224079E-2</v>
          </cell>
          <cell r="AB479">
            <v>0.54078214081112708</v>
          </cell>
          <cell r="AC479">
            <v>1.3296004072679288</v>
          </cell>
          <cell r="AD479">
            <v>0.55186266346993351</v>
          </cell>
          <cell r="AE479">
            <v>1.0341459237854014</v>
          </cell>
          <cell r="AF479">
            <v>1.0393486735952993</v>
          </cell>
          <cell r="AG479">
            <v>1.0913623122113576</v>
          </cell>
          <cell r="AH479">
            <v>0.66806881154697573</v>
          </cell>
          <cell r="AI479">
            <v>1.1217440168525736</v>
          </cell>
          <cell r="AJ479">
            <v>0.67437910508659216</v>
          </cell>
          <cell r="AK479">
            <v>1.2185790432251769</v>
          </cell>
          <cell r="AL479">
            <v>1.3942091196410087</v>
          </cell>
        </row>
        <row r="480">
          <cell r="A480" t="str">
            <v>16/12/2005</v>
          </cell>
          <cell r="B480">
            <v>23.3</v>
          </cell>
          <cell r="C480">
            <v>52.4</v>
          </cell>
          <cell r="D480">
            <v>103.1</v>
          </cell>
          <cell r="E480">
            <v>54.5</v>
          </cell>
          <cell r="F480">
            <v>14.6</v>
          </cell>
          <cell r="G480">
            <v>2.875</v>
          </cell>
          <cell r="H480">
            <v>9.5</v>
          </cell>
          <cell r="I480">
            <v>58.5</v>
          </cell>
          <cell r="J480">
            <v>125.6</v>
          </cell>
          <cell r="K480">
            <v>168.9</v>
          </cell>
          <cell r="L480">
            <v>30</v>
          </cell>
          <cell r="M480">
            <v>15029.81</v>
          </cell>
          <cell r="O480">
            <v>1.0845986984815648E-2</v>
          </cell>
          <cell r="P480">
            <v>5.8585858585858519E-2</v>
          </cell>
          <cell r="Q480">
            <v>2.9182879377431803E-3</v>
          </cell>
          <cell r="R480">
            <v>0</v>
          </cell>
          <cell r="S480">
            <v>-3.4129692832765013E-3</v>
          </cell>
          <cell r="T480">
            <v>8.7719298245614308E-3</v>
          </cell>
          <cell r="U480">
            <v>-1.5544041450777257E-2</v>
          </cell>
          <cell r="V480">
            <v>1.0362694300518172E-2</v>
          </cell>
          <cell r="W480">
            <v>6.4102564102563875E-3</v>
          </cell>
          <cell r="X480">
            <v>2.3738872403560318E-3</v>
          </cell>
          <cell r="Y480">
            <v>0.12570356472795496</v>
          </cell>
          <cell r="Z480">
            <v>1.6353146271498975E-2</v>
          </cell>
          <cell r="AB480">
            <v>0.54109658571885655</v>
          </cell>
          <cell r="AC480">
            <v>1.3319624078951786</v>
          </cell>
          <cell r="AD480">
            <v>0.55190646419160572</v>
          </cell>
          <cell r="AE480">
            <v>1.0336025987865602</v>
          </cell>
          <cell r="AF480">
            <v>1.0387200852308032</v>
          </cell>
          <cell r="AG480">
            <v>1.0917718764117457</v>
          </cell>
          <cell r="AH480">
            <v>0.66753357176822392</v>
          </cell>
          <cell r="AI480">
            <v>1.1216582457080115</v>
          </cell>
          <cell r="AJ480">
            <v>0.67452620059232227</v>
          </cell>
          <cell r="AK480">
            <v>1.2174774243234974</v>
          </cell>
          <cell r="AL480">
            <v>1.3976899944893739</v>
          </cell>
        </row>
        <row r="481">
          <cell r="A481" t="str">
            <v>19/12/2005</v>
          </cell>
          <cell r="B481">
            <v>23.45</v>
          </cell>
          <cell r="C481">
            <v>52.6</v>
          </cell>
          <cell r="D481">
            <v>102.4</v>
          </cell>
          <cell r="E481">
            <v>54.95</v>
          </cell>
          <cell r="F481">
            <v>14.8</v>
          </cell>
          <cell r="G481">
            <v>2.9</v>
          </cell>
          <cell r="H481">
            <v>9.5500000000000007</v>
          </cell>
          <cell r="I481">
            <v>59</v>
          </cell>
          <cell r="J481">
            <v>126.5</v>
          </cell>
          <cell r="K481">
            <v>172.7</v>
          </cell>
          <cell r="L481">
            <v>31.2</v>
          </cell>
          <cell r="M481">
            <v>15182.89</v>
          </cell>
          <cell r="O481">
            <v>1.5151515151515138E-2</v>
          </cell>
          <cell r="P481">
            <v>3.7475345167652829E-2</v>
          </cell>
          <cell r="Q481">
            <v>-6.7895247332685482E-3</v>
          </cell>
          <cell r="R481">
            <v>9.107468123863427E-4</v>
          </cell>
          <cell r="S481">
            <v>3.3898305084745228E-3</v>
          </cell>
          <cell r="T481">
            <v>8.6956521739129933E-3</v>
          </cell>
          <cell r="U481">
            <v>-1.546391752577303E-2</v>
          </cell>
          <cell r="V481">
            <v>1.0273972602739656E-2</v>
          </cell>
          <cell r="W481">
            <v>1.0383386581469534E-2</v>
          </cell>
          <cell r="X481">
            <v>2.4925816023738889E-2</v>
          </cell>
          <cell r="Y481">
            <v>0.1512915129151291</v>
          </cell>
          <cell r="Z481">
            <v>2.0127901570348605E-2</v>
          </cell>
          <cell r="AB481">
            <v>0.54164948703773586</v>
          </cell>
          <cell r="AC481">
            <v>1.3335802006274309</v>
          </cell>
          <cell r="AD481">
            <v>0.55127192697101257</v>
          </cell>
          <cell r="AE481">
            <v>1.032701285774982</v>
          </cell>
          <cell r="AF481">
            <v>1.0380500878676555</v>
          </cell>
          <cell r="AG481">
            <v>1.0920720788810658</v>
          </cell>
          <cell r="AH481">
            <v>0.66667545209865575</v>
          </cell>
          <cell r="AI481">
            <v>1.1212896436802591</v>
          </cell>
          <cell r="AJ481">
            <v>0.67480649335304221</v>
          </cell>
          <cell r="AK481">
            <v>1.2170617684580198</v>
          </cell>
          <cell r="AL481">
            <v>1.4035319986626567</v>
          </cell>
        </row>
        <row r="482">
          <cell r="A482" t="str">
            <v>20/12/2005</v>
          </cell>
          <cell r="B482">
            <v>23.45</v>
          </cell>
          <cell r="C482">
            <v>52.4</v>
          </cell>
          <cell r="D482">
            <v>102.4</v>
          </cell>
          <cell r="E482">
            <v>54.3</v>
          </cell>
          <cell r="F482">
            <v>14.75</v>
          </cell>
          <cell r="G482">
            <v>2.85</v>
          </cell>
          <cell r="H482">
            <v>9.5500000000000007</v>
          </cell>
          <cell r="I482">
            <v>59.2</v>
          </cell>
          <cell r="J482">
            <v>126.1</v>
          </cell>
          <cell r="K482">
            <v>172</v>
          </cell>
          <cell r="L482">
            <v>31</v>
          </cell>
          <cell r="M482">
            <v>15169.17</v>
          </cell>
          <cell r="O482">
            <v>1.2958963282937441E-2</v>
          </cell>
          <cell r="P482">
            <v>2.6444662095984395E-2</v>
          </cell>
          <cell r="Q482">
            <v>-8.7124878993223298E-3</v>
          </cell>
          <cell r="R482">
            <v>-9.124087591240837E-3</v>
          </cell>
          <cell r="S482">
            <v>3.4013605442178019E-3</v>
          </cell>
          <cell r="T482">
            <v>8.8495575221239076E-3</v>
          </cell>
          <cell r="U482">
            <v>-5.2083333333332593E-3</v>
          </cell>
          <cell r="V482">
            <v>1.3698630136986356E-2</v>
          </cell>
          <cell r="W482">
            <v>3.1821797931581575E-3</v>
          </cell>
          <cell r="X482">
            <v>-8.073817762399127E-3</v>
          </cell>
          <cell r="Y482">
            <v>0.13138686131386867</v>
          </cell>
          <cell r="Z482">
            <v>1.9052008085683081E-2</v>
          </cell>
          <cell r="AB482">
            <v>0.54206939104031771</v>
          </cell>
          <cell r="AC482">
            <v>1.3345441716629414</v>
          </cell>
          <cell r="AD482">
            <v>0.55061789720113263</v>
          </cell>
          <cell r="AE482">
            <v>1.0313911861790825</v>
          </cell>
          <cell r="AF482">
            <v>1.0374967044244305</v>
          </cell>
          <cell r="AG482">
            <v>1.0924194084162104</v>
          </cell>
          <cell r="AH482">
            <v>0.66648283547395049</v>
          </cell>
          <cell r="AI482">
            <v>1.1212024473331712</v>
          </cell>
          <cell r="AJ482">
            <v>0.67471279053835709</v>
          </cell>
          <cell r="AK482">
            <v>1.2149637703187399</v>
          </cell>
          <cell r="AL482">
            <v>1.4078936914081581</v>
          </cell>
        </row>
        <row r="483">
          <cell r="A483" t="str">
            <v>21/12/2005</v>
          </cell>
          <cell r="B483">
            <v>23.45</v>
          </cell>
          <cell r="C483">
            <v>54.15</v>
          </cell>
          <cell r="D483">
            <v>102.5</v>
          </cell>
          <cell r="E483">
            <v>55.3</v>
          </cell>
          <cell r="F483">
            <v>14.85</v>
          </cell>
          <cell r="G483">
            <v>2.875</v>
          </cell>
          <cell r="H483">
            <v>9.5</v>
          </cell>
          <cell r="I483">
            <v>59.3</v>
          </cell>
          <cell r="J483">
            <v>126.3</v>
          </cell>
          <cell r="K483">
            <v>173.6</v>
          </cell>
          <cell r="L483">
            <v>31.1</v>
          </cell>
          <cell r="M483">
            <v>15221.42</v>
          </cell>
          <cell r="O483">
            <v>1.2958963282937441E-2</v>
          </cell>
          <cell r="P483">
            <v>4.4358727097396189E-2</v>
          </cell>
          <cell r="Q483">
            <v>-6.7829457364341206E-3</v>
          </cell>
          <cell r="R483">
            <v>5.4545454545453786E-3</v>
          </cell>
          <cell r="S483">
            <v>1.3651877133105783E-2</v>
          </cell>
          <cell r="T483">
            <v>1.7699115044247815E-2</v>
          </cell>
          <cell r="U483">
            <v>-5.2356020942408987E-3</v>
          </cell>
          <cell r="V483">
            <v>1.3675213675213627E-2</v>
          </cell>
          <cell r="W483">
            <v>4.7732696897373472E-3</v>
          </cell>
          <cell r="X483">
            <v>1.5798712697483897E-2</v>
          </cell>
          <cell r="Y483">
            <v>0.11469534050179231</v>
          </cell>
          <cell r="Z483">
            <v>2.255662332514885E-2</v>
          </cell>
          <cell r="AB483">
            <v>0.54246452276427581</v>
          </cell>
          <cell r="AC483">
            <v>1.3366471885550943</v>
          </cell>
          <cell r="AD483">
            <v>0.54980135856145451</v>
          </cell>
          <cell r="AE483">
            <v>1.0305006599561986</v>
          </cell>
          <cell r="AF483">
            <v>1.0372553273104583</v>
          </cell>
          <cell r="AG483">
            <v>1.0931942473420138</v>
          </cell>
          <cell r="AH483">
            <v>0.66608177830572901</v>
          </cell>
          <cell r="AI483">
            <v>1.1208249678228859</v>
          </cell>
          <cell r="AJ483">
            <v>0.67454324097971652</v>
          </cell>
          <cell r="AK483">
            <v>1.2136774484910446</v>
          </cell>
          <cell r="AL483">
            <v>1.4118694700399672</v>
          </cell>
        </row>
        <row r="484">
          <cell r="A484" t="str">
            <v>22/12/2005</v>
          </cell>
          <cell r="B484">
            <v>23.45</v>
          </cell>
          <cell r="C484">
            <v>53.9</v>
          </cell>
          <cell r="D484">
            <v>102.4</v>
          </cell>
          <cell r="E484">
            <v>55.45</v>
          </cell>
          <cell r="F484">
            <v>14.8</v>
          </cell>
          <cell r="G484">
            <v>2.85</v>
          </cell>
          <cell r="H484">
            <v>9.4499999999999993</v>
          </cell>
          <cell r="I484">
            <v>59.3</v>
          </cell>
          <cell r="J484">
            <v>125.7</v>
          </cell>
          <cell r="K484">
            <v>171.4</v>
          </cell>
          <cell r="L484">
            <v>30.95</v>
          </cell>
          <cell r="M484">
            <v>15182.53</v>
          </cell>
          <cell r="O484">
            <v>8.6021505376343566E-3</v>
          </cell>
          <cell r="P484">
            <v>3.3557046979865834E-2</v>
          </cell>
          <cell r="Q484">
            <v>-1.1583011583011449E-2</v>
          </cell>
          <cell r="R484">
            <v>1.3711151736745864E-2</v>
          </cell>
          <cell r="S484">
            <v>-6.7114093959731447E-3</v>
          </cell>
          <cell r="T484">
            <v>0</v>
          </cell>
          <cell r="U484">
            <v>-2.0725388601036343E-2</v>
          </cell>
          <cell r="V484">
            <v>-5.0335570469799418E-3</v>
          </cell>
          <cell r="W484">
            <v>1.5936254980080111E-3</v>
          </cell>
          <cell r="X484">
            <v>-1.2103746397694515E-2</v>
          </cell>
          <cell r="Y484">
            <v>6.7241379310344795E-2</v>
          </cell>
          <cell r="Z484">
            <v>7.978834643996402E-3</v>
          </cell>
          <cell r="AB484">
            <v>0.54255029639523478</v>
          </cell>
          <cell r="AC484">
            <v>1.337009835637857</v>
          </cell>
          <cell r="AD484">
            <v>0.54972106852533331</v>
          </cell>
          <cell r="AE484">
            <v>1.0305947646614817</v>
          </cell>
          <cell r="AF484">
            <v>1.0371746950501874</v>
          </cell>
          <cell r="AG484">
            <v>1.0932822699081395</v>
          </cell>
          <cell r="AH484">
            <v>0.66597473109167393</v>
          </cell>
          <cell r="AI484">
            <v>1.1207524238788216</v>
          </cell>
          <cell r="AJ484">
            <v>0.67458156903026367</v>
          </cell>
          <cell r="AK484">
            <v>1.213410628661199</v>
          </cell>
          <cell r="AL484">
            <v>1.4121573305289097</v>
          </cell>
        </row>
        <row r="485">
          <cell r="A485" t="str">
            <v>23/12/2005</v>
          </cell>
          <cell r="B485">
            <v>23.35</v>
          </cell>
          <cell r="C485">
            <v>54</v>
          </cell>
          <cell r="D485">
            <v>102.3</v>
          </cell>
          <cell r="E485">
            <v>55.6</v>
          </cell>
          <cell r="F485">
            <v>14.8</v>
          </cell>
          <cell r="G485">
            <v>2.9</v>
          </cell>
          <cell r="H485">
            <v>9.5</v>
          </cell>
          <cell r="I485">
            <v>59.3</v>
          </cell>
          <cell r="J485">
            <v>125.4</v>
          </cell>
          <cell r="K485">
            <v>172.4</v>
          </cell>
          <cell r="L485">
            <v>30.9</v>
          </cell>
          <cell r="M485">
            <v>15183.58</v>
          </cell>
          <cell r="O485">
            <v>4.3010752688172893E-3</v>
          </cell>
          <cell r="P485">
            <v>2.1759697256386046E-2</v>
          </cell>
          <cell r="Q485">
            <v>-1.0638297872340496E-2</v>
          </cell>
          <cell r="R485">
            <v>2.7051397655544207E-3</v>
          </cell>
          <cell r="S485">
            <v>3.3898305084745228E-3</v>
          </cell>
          <cell r="T485">
            <v>-1.6949152542372947E-2</v>
          </cell>
          <cell r="U485">
            <v>-1.041666666666663E-2</v>
          </cell>
          <cell r="V485">
            <v>1.6281062553556103E-2</v>
          </cell>
          <cell r="W485">
            <v>7.9808459696728562E-4</v>
          </cell>
          <cell r="X485">
            <v>7.0093457943927184E-3</v>
          </cell>
          <cell r="Y485">
            <v>7.2916666666666519E-2</v>
          </cell>
          <cell r="Z485">
            <v>6.7705601642280566E-3</v>
          </cell>
          <cell r="AB485">
            <v>0.54257461771318538</v>
          </cell>
          <cell r="AC485">
            <v>1.3371351737816828</v>
          </cell>
          <cell r="AD485">
            <v>0.54969054194405009</v>
          </cell>
          <cell r="AE485">
            <v>1.0305966594881784</v>
          </cell>
          <cell r="AF485">
            <v>1.0371859412383411</v>
          </cell>
          <cell r="AG485">
            <v>1.0932560819689261</v>
          </cell>
          <cell r="AH485">
            <v>0.66597261956394982</v>
          </cell>
          <cell r="AI485">
            <v>1.1208161254645617</v>
          </cell>
          <cell r="AJ485">
            <v>0.67459953031040676</v>
          </cell>
          <cell r="AK485">
            <v>1.21337472398483</v>
          </cell>
          <cell r="AL485">
            <v>1.4123233571783163</v>
          </cell>
        </row>
        <row r="486">
          <cell r="A486" t="str">
            <v>27/12/2005</v>
          </cell>
          <cell r="B486">
            <v>23.35</v>
          </cell>
          <cell r="C486">
            <v>54</v>
          </cell>
          <cell r="D486">
            <v>102.3</v>
          </cell>
          <cell r="E486">
            <v>55.6</v>
          </cell>
          <cell r="F486">
            <v>14.8</v>
          </cell>
          <cell r="G486">
            <v>2.9</v>
          </cell>
          <cell r="H486">
            <v>9.5</v>
          </cell>
          <cell r="I486">
            <v>59.3</v>
          </cell>
          <cell r="J486">
            <v>125.4</v>
          </cell>
          <cell r="K486">
            <v>172.4</v>
          </cell>
          <cell r="L486">
            <v>30.9</v>
          </cell>
          <cell r="M486">
            <v>15183.58</v>
          </cell>
          <cell r="O486">
            <v>2.1459227467810482E-3</v>
          </cell>
          <cell r="P486">
            <v>2.4667931688804545E-2</v>
          </cell>
          <cell r="Q486">
            <v>-1.1594202898550732E-2</v>
          </cell>
          <cell r="R486">
            <v>1.6453382084095081E-2</v>
          </cell>
          <cell r="S486">
            <v>0</v>
          </cell>
          <cell r="T486">
            <v>-8.5470085470085166E-3</v>
          </cell>
          <cell r="U486">
            <v>-1.041666666666663E-2</v>
          </cell>
          <cell r="V486">
            <v>1.7152658662092701E-2</v>
          </cell>
          <cell r="W486">
            <v>0</v>
          </cell>
          <cell r="X486">
            <v>8.7770626097132265E-3</v>
          </cell>
          <cell r="Y486">
            <v>5.821917808219168E-2</v>
          </cell>
          <cell r="Z486">
            <v>5.5350993377483171E-3</v>
          </cell>
          <cell r="AB486">
            <v>0.54257183245283935</v>
          </cell>
          <cell r="AC486">
            <v>1.3371126144075376</v>
          </cell>
          <cell r="AD486">
            <v>0.54969547605856106</v>
          </cell>
          <cell r="AE486">
            <v>1.0305862713228808</v>
          </cell>
          <cell r="AF486">
            <v>1.0371856087172089</v>
          </cell>
          <cell r="AG486">
            <v>1.0932536020270907</v>
          </cell>
          <cell r="AH486">
            <v>0.66597239513805462</v>
          </cell>
          <cell r="AI486">
            <v>1.1208047011617088</v>
          </cell>
          <cell r="AJ486">
            <v>0.6745967128379956</v>
          </cell>
          <cell r="AK486">
            <v>1.2133781135672774</v>
          </cell>
          <cell r="AL486">
            <v>1.4123062365206522</v>
          </cell>
        </row>
        <row r="487">
          <cell r="A487" t="str">
            <v>28/12/2005</v>
          </cell>
          <cell r="B487">
            <v>23.5</v>
          </cell>
          <cell r="C487">
            <v>53.8</v>
          </cell>
          <cell r="D487">
            <v>102.3</v>
          </cell>
          <cell r="E487">
            <v>55.2</v>
          </cell>
          <cell r="F487">
            <v>14.75</v>
          </cell>
          <cell r="G487">
            <v>2.875</v>
          </cell>
          <cell r="H487">
            <v>9.5500000000000007</v>
          </cell>
          <cell r="I487">
            <v>59.3</v>
          </cell>
          <cell r="J487">
            <v>125.3</v>
          </cell>
          <cell r="K487">
            <v>170.8</v>
          </cell>
          <cell r="L487">
            <v>30.95</v>
          </cell>
          <cell r="M487">
            <v>15101.54</v>
          </cell>
          <cell r="O487">
            <v>1.0752688172043001E-2</v>
          </cell>
          <cell r="P487">
            <v>1.7975402081362279E-2</v>
          </cell>
          <cell r="Q487">
            <v>-8.720930232558155E-3</v>
          </cell>
          <cell r="R487">
            <v>1.6574585635359185E-2</v>
          </cell>
          <cell r="S487">
            <v>-3.3783783783783994E-3</v>
          </cell>
          <cell r="T487">
            <v>-8.6206896551723755E-3</v>
          </cell>
          <cell r="U487">
            <v>-5.2083333333332593E-3</v>
          </cell>
          <cell r="V487">
            <v>1.5410958904109595E-2</v>
          </cell>
          <cell r="W487">
            <v>7.987220447283061E-4</v>
          </cell>
          <cell r="X487">
            <v>2.9359953024075125E-3</v>
          </cell>
          <cell r="Y487">
            <v>7.4652777777777679E-2</v>
          </cell>
          <cell r="Z487">
            <v>4.8427149012959525E-3</v>
          </cell>
          <cell r="AB487">
            <v>0.54315649315444048</v>
          </cell>
          <cell r="AC487">
            <v>1.3366980010683738</v>
          </cell>
          <cell r="AD487">
            <v>0.54956777169081461</v>
          </cell>
          <cell r="AE487">
            <v>1.0312416969544793</v>
          </cell>
          <cell r="AF487">
            <v>1.0368972628879358</v>
          </cell>
          <cell r="AG487">
            <v>1.0934232677493245</v>
          </cell>
          <cell r="AH487">
            <v>0.66594681919145227</v>
          </cell>
          <cell r="AI487">
            <v>1.1224660499747583</v>
          </cell>
          <cell r="AJ487">
            <v>0.67465097194321333</v>
          </cell>
          <cell r="AK487">
            <v>1.2154195785404429</v>
          </cell>
          <cell r="AL487">
            <v>1.4116953942644148</v>
          </cell>
        </row>
        <row r="488">
          <cell r="A488" t="str">
            <v>29/12/2005</v>
          </cell>
          <cell r="B488">
            <v>23.5</v>
          </cell>
          <cell r="C488">
            <v>53.75</v>
          </cell>
          <cell r="D488">
            <v>102.1</v>
          </cell>
          <cell r="E488">
            <v>55.05</v>
          </cell>
          <cell r="F488">
            <v>15</v>
          </cell>
          <cell r="G488">
            <v>2.9</v>
          </cell>
          <cell r="H488">
            <v>9.6</v>
          </cell>
          <cell r="I488">
            <v>59.8</v>
          </cell>
          <cell r="J488">
            <v>124.9</v>
          </cell>
          <cell r="K488">
            <v>172.5</v>
          </cell>
          <cell r="L488">
            <v>31.35</v>
          </cell>
          <cell r="M488">
            <v>15045.59</v>
          </cell>
          <cell r="O488">
            <v>1.2931034482758674E-2</v>
          </cell>
          <cell r="P488">
            <v>1.8639328984155767E-3</v>
          </cell>
          <cell r="Q488">
            <v>-4.873294346978585E-3</v>
          </cell>
          <cell r="R488">
            <v>2.3234200743494471E-2</v>
          </cell>
          <cell r="S488">
            <v>1.3513513513513375E-2</v>
          </cell>
          <cell r="T488">
            <v>-8.5470085470085166E-3</v>
          </cell>
          <cell r="U488">
            <v>0</v>
          </cell>
          <cell r="V488">
            <v>3.1034482758620641E-2</v>
          </cell>
          <cell r="W488">
            <v>3.2128514056224411E-3</v>
          </cell>
          <cell r="X488">
            <v>7.593457943925408E-3</v>
          </cell>
          <cell r="Y488">
            <v>0.11170212765957466</v>
          </cell>
          <cell r="Z488">
            <v>7.2604260253301689E-3</v>
          </cell>
          <cell r="AB488">
            <v>0.54302878386628495</v>
          </cell>
          <cell r="AC488">
            <v>1.3372071789419206</v>
          </cell>
          <cell r="AD488">
            <v>0.54951618524213885</v>
          </cell>
          <cell r="AE488">
            <v>1.0314710963002123</v>
          </cell>
          <cell r="AF488">
            <v>1.0374263498938454</v>
          </cell>
          <cell r="AG488">
            <v>1.0941817173107835</v>
          </cell>
          <cell r="AH488">
            <v>0.66602838245964791</v>
          </cell>
          <cell r="AI488">
            <v>1.1221216325626457</v>
          </cell>
          <cell r="AJ488">
            <v>0.67461310056987933</v>
          </cell>
          <cell r="AK488">
            <v>1.214583317308342</v>
          </cell>
          <cell r="AL488">
            <v>1.4129382056767386</v>
          </cell>
        </row>
        <row r="489">
          <cell r="A489" t="str">
            <v>30/12/2005</v>
          </cell>
          <cell r="B489">
            <v>23.45</v>
          </cell>
          <cell r="C489">
            <v>53.9</v>
          </cell>
          <cell r="D489">
            <v>101.2</v>
          </cell>
          <cell r="E489">
            <v>55.8</v>
          </cell>
          <cell r="F489">
            <v>14.9</v>
          </cell>
          <cell r="G489">
            <v>2.875</v>
          </cell>
          <cell r="H489">
            <v>9.5</v>
          </cell>
          <cell r="I489">
            <v>60</v>
          </cell>
          <cell r="J489">
            <v>124.5</v>
          </cell>
          <cell r="K489">
            <v>173.3</v>
          </cell>
          <cell r="L489">
            <v>32.15</v>
          </cell>
          <cell r="M489">
            <v>14876.43</v>
          </cell>
          <cell r="O489">
            <v>8.6021505376343566E-3</v>
          </cell>
          <cell r="P489">
            <v>3.3557046979865834E-2</v>
          </cell>
          <cell r="Q489">
            <v>-1.4605647517039966E-2</v>
          </cell>
          <cell r="R489">
            <v>3.7174721189590976E-2</v>
          </cell>
          <cell r="S489">
            <v>1.0169491525423791E-2</v>
          </cell>
          <cell r="T489">
            <v>0</v>
          </cell>
          <cell r="U489">
            <v>-1.5544041450777257E-2</v>
          </cell>
          <cell r="V489">
            <v>2.7397260273972712E-2</v>
          </cell>
          <cell r="W489">
            <v>-3.2025620496397567E-3</v>
          </cell>
          <cell r="X489">
            <v>2.0612485276796155E-2</v>
          </cell>
          <cell r="Y489">
            <v>0.15026833631484782</v>
          </cell>
          <cell r="Z489">
            <v>-1.2715663560531776E-2</v>
          </cell>
          <cell r="AB489">
            <v>0.54165310615274687</v>
          </cell>
          <cell r="AC489">
            <v>1.3323631497134267</v>
          </cell>
          <cell r="AD489">
            <v>0.54937343564540952</v>
          </cell>
          <cell r="AE489">
            <v>1.0274924000561834</v>
          </cell>
          <cell r="AF489">
            <v>1.0358287451902779</v>
          </cell>
          <cell r="AG489">
            <v>1.0920011896388406</v>
          </cell>
          <cell r="AH489">
            <v>0.66584865513211788</v>
          </cell>
          <cell r="AI489">
            <v>1.1200591253228609</v>
          </cell>
          <cell r="AJ489">
            <v>0.67369519606857919</v>
          </cell>
          <cell r="AK489">
            <v>1.21094546686857</v>
          </cell>
          <cell r="AL489">
            <v>1.4033520529242465</v>
          </cell>
        </row>
        <row r="490">
          <cell r="A490" t="str">
            <v>03/01/2006</v>
          </cell>
          <cell r="B490">
            <v>23.55</v>
          </cell>
          <cell r="C490">
            <v>53.95</v>
          </cell>
          <cell r="D490">
            <v>101.3</v>
          </cell>
          <cell r="E490">
            <v>54.5</v>
          </cell>
          <cell r="F490">
            <v>15</v>
          </cell>
          <cell r="G490">
            <v>2.875</v>
          </cell>
          <cell r="H490">
            <v>9.6</v>
          </cell>
          <cell r="I490">
            <v>59.85</v>
          </cell>
          <cell r="J490">
            <v>124.9</v>
          </cell>
          <cell r="K490">
            <v>177.1</v>
          </cell>
          <cell r="L490">
            <v>33.950000000000003</v>
          </cell>
          <cell r="M490">
            <v>14944.77</v>
          </cell>
          <cell r="O490">
            <v>8.565310492505418E-3</v>
          </cell>
          <cell r="P490">
            <v>2.4691358024691468E-2</v>
          </cell>
          <cell r="Q490">
            <v>-1.7458777885547949E-2</v>
          </cell>
          <cell r="R490">
            <v>1.5843429636533068E-2</v>
          </cell>
          <cell r="S490">
            <v>1.6949152542372836E-2</v>
          </cell>
          <cell r="T490">
            <v>0</v>
          </cell>
          <cell r="U490">
            <v>-1.5384615384615441E-2</v>
          </cell>
          <cell r="V490">
            <v>1.4406779661017E-2</v>
          </cell>
          <cell r="W490">
            <v>-5.5732484076431721E-3</v>
          </cell>
          <cell r="X490">
            <v>4.3606364172068313E-2</v>
          </cell>
          <cell r="Y490">
            <v>0.20818505338078297</v>
          </cell>
          <cell r="Z490">
            <v>-1.6816026967746756E-2</v>
          </cell>
          <cell r="AB490">
            <v>0.53966528260436364</v>
          </cell>
          <cell r="AC490">
            <v>1.3270921853836537</v>
          </cell>
          <cell r="AD490">
            <v>0.54948003104778009</v>
          </cell>
          <cell r="AE490">
            <v>1.024029446698427</v>
          </cell>
          <cell r="AF490">
            <v>1.0321396217308416</v>
          </cell>
          <cell r="AG490">
            <v>1.0889539480251866</v>
          </cell>
          <cell r="AH490">
            <v>0.66560474621499011</v>
          </cell>
          <cell r="AI490">
            <v>1.1169410576106349</v>
          </cell>
          <cell r="AJ490">
            <v>0.67246237786922669</v>
          </cell>
          <cell r="AK490">
            <v>1.2051697316091143</v>
          </cell>
          <cell r="AL490">
            <v>1.385152019812268</v>
          </cell>
        </row>
        <row r="491">
          <cell r="A491" t="str">
            <v>04/01/2006</v>
          </cell>
          <cell r="B491">
            <v>23.65</v>
          </cell>
          <cell r="C491">
            <v>53.85</v>
          </cell>
          <cell r="D491">
            <v>102.2</v>
          </cell>
          <cell r="E491">
            <v>54.4</v>
          </cell>
          <cell r="F491">
            <v>15.3</v>
          </cell>
          <cell r="G491">
            <v>2.9249999999999998</v>
          </cell>
          <cell r="H491">
            <v>9.8000000000000007</v>
          </cell>
          <cell r="I491">
            <v>60.05</v>
          </cell>
          <cell r="J491">
            <v>126.4</v>
          </cell>
          <cell r="K491">
            <v>180.5</v>
          </cell>
          <cell r="L491">
            <v>35.450000000000003</v>
          </cell>
          <cell r="M491">
            <v>15200.06</v>
          </cell>
          <cell r="O491">
            <v>1.2847965738757905E-2</v>
          </cell>
          <cell r="P491">
            <v>1.8921475875118166E-2</v>
          </cell>
          <cell r="Q491">
            <v>-8.7293889427739746E-3</v>
          </cell>
          <cell r="R491">
            <v>1.4925373134328401E-2</v>
          </cell>
          <cell r="S491">
            <v>4.081632653061229E-2</v>
          </cell>
          <cell r="T491">
            <v>8.6206896551723755E-3</v>
          </cell>
          <cell r="U491">
            <v>1.0309278350515649E-2</v>
          </cell>
          <cell r="V491">
            <v>1.693480101608813E-2</v>
          </cell>
          <cell r="W491">
            <v>8.7789305666401418E-3</v>
          </cell>
          <cell r="X491">
            <v>4.0345821325648457E-2</v>
          </cell>
          <cell r="Y491">
            <v>0.26607142857142874</v>
          </cell>
          <cell r="Z491">
            <v>2.7205283788580559E-3</v>
          </cell>
          <cell r="AB491">
            <v>0.54034331780811573</v>
          </cell>
          <cell r="AC491">
            <v>1.3327982347067087</v>
          </cell>
          <cell r="AD491">
            <v>0.54928430307610265</v>
          </cell>
          <cell r="AE491">
            <v>1.0258032615729673</v>
          </cell>
          <cell r="AF491">
            <v>1.0314879563858002</v>
          </cell>
          <cell r="AG491">
            <v>1.088575389946969</v>
          </cell>
          <cell r="AH491">
            <v>0.66954313450908343</v>
          </cell>
          <cell r="AI491">
            <v>1.1206306349721209</v>
          </cell>
          <cell r="AJ491">
            <v>0.67190899379214286</v>
          </cell>
          <cell r="AK491">
            <v>1.2031174882783715</v>
          </cell>
          <cell r="AL491">
            <v>1.3845463639270041</v>
          </cell>
        </row>
        <row r="492">
          <cell r="A492" t="str">
            <v>05/01/2006</v>
          </cell>
          <cell r="B492">
            <v>23.7</v>
          </cell>
          <cell r="C492">
            <v>53.95</v>
          </cell>
          <cell r="D492">
            <v>102.7</v>
          </cell>
          <cell r="E492">
            <v>54.25</v>
          </cell>
          <cell r="F492">
            <v>15.4</v>
          </cell>
          <cell r="G492">
            <v>2.95</v>
          </cell>
          <cell r="H492">
            <v>9.8000000000000007</v>
          </cell>
          <cell r="I492">
            <v>59.25</v>
          </cell>
          <cell r="J492">
            <v>126.7</v>
          </cell>
          <cell r="K492">
            <v>185</v>
          </cell>
          <cell r="L492">
            <v>34.75</v>
          </cell>
          <cell r="M492">
            <v>15271.13</v>
          </cell>
          <cell r="O492">
            <v>2.155172413793105E-2</v>
          </cell>
          <cell r="P492">
            <v>1.7924528301886955E-2</v>
          </cell>
          <cell r="Q492">
            <v>0</v>
          </cell>
          <cell r="R492">
            <v>2.6490066225165476E-2</v>
          </cell>
          <cell r="S492">
            <v>5.841924398625431E-2</v>
          </cell>
          <cell r="T492">
            <v>1.7241379310344973E-2</v>
          </cell>
          <cell r="U492">
            <v>1.5544041450777257E-2</v>
          </cell>
          <cell r="V492">
            <v>4.237288135593209E-3</v>
          </cell>
          <cell r="W492">
            <v>1.8488745980707266E-2</v>
          </cell>
          <cell r="X492">
            <v>7.060185185185186E-2</v>
          </cell>
          <cell r="Y492">
            <v>0.2477558348294433</v>
          </cell>
          <cell r="Z492">
            <v>1.8713047701194085E-2</v>
          </cell>
          <cell r="AB492">
            <v>0.54275218194109176</v>
          </cell>
          <cell r="AC492">
            <v>1.3440616279194357</v>
          </cell>
          <cell r="AD492">
            <v>0.54809419833302997</v>
          </cell>
          <cell r="AE492">
            <v>1.0242867640385214</v>
          </cell>
          <cell r="AF492">
            <v>1.0339389736217912</v>
          </cell>
          <cell r="AG492">
            <v>1.0899419431286772</v>
          </cell>
          <cell r="AH492">
            <v>0.67697509042412374</v>
          </cell>
          <cell r="AI492">
            <v>1.1235227019577094</v>
          </cell>
          <cell r="AJ492">
            <v>0.67321096047852014</v>
          </cell>
          <cell r="AK492">
            <v>1.2027214436544165</v>
          </cell>
          <cell r="AL492">
            <v>1.3995218688872821</v>
          </cell>
        </row>
        <row r="493">
          <cell r="A493" t="str">
            <v>06/01/2006</v>
          </cell>
          <cell r="B493">
            <v>23.75</v>
          </cell>
          <cell r="C493">
            <v>54.05</v>
          </cell>
          <cell r="D493">
            <v>102.3</v>
          </cell>
          <cell r="E493">
            <v>55</v>
          </cell>
          <cell r="F493">
            <v>15.5</v>
          </cell>
          <cell r="G493">
            <v>3.0249999999999999</v>
          </cell>
          <cell r="H493">
            <v>9.8000000000000007</v>
          </cell>
          <cell r="I493">
            <v>59.3</v>
          </cell>
          <cell r="J493">
            <v>127.7</v>
          </cell>
          <cell r="K493">
            <v>182.2</v>
          </cell>
          <cell r="L493">
            <v>34.950000000000003</v>
          </cell>
          <cell r="M493">
            <v>15344.44</v>
          </cell>
          <cell r="O493">
            <v>1.93133047210301E-2</v>
          </cell>
          <cell r="P493">
            <v>2.9523809523809508E-2</v>
          </cell>
          <cell r="Q493">
            <v>-7.7594568380212614E-3</v>
          </cell>
          <cell r="R493">
            <v>4.8617731172545309E-2</v>
          </cell>
          <cell r="S493">
            <v>6.5292096219931262E-2</v>
          </cell>
          <cell r="T493">
            <v>4.31034482758621E-2</v>
          </cell>
          <cell r="U493">
            <v>1.5544041450777257E-2</v>
          </cell>
          <cell r="V493">
            <v>5.0847457627118953E-3</v>
          </cell>
          <cell r="W493">
            <v>2.0783373301358932E-2</v>
          </cell>
          <cell r="X493">
            <v>6.3631056625802485E-2</v>
          </cell>
          <cell r="Y493">
            <v>0.24821428571428572</v>
          </cell>
          <cell r="Z493">
            <v>1.3841472882302197E-2</v>
          </cell>
          <cell r="AB493">
            <v>0.5439762012671131</v>
          </cell>
          <cell r="AC493">
            <v>1.3501677816520128</v>
          </cell>
          <cell r="AD493">
            <v>0.54690262070393081</v>
          </cell>
          <cell r="AE493">
            <v>1.0253779612946083</v>
          </cell>
          <cell r="AF493">
            <v>1.0370998678603689</v>
          </cell>
          <cell r="AG493">
            <v>1.0928845162150815</v>
          </cell>
          <cell r="AH493">
            <v>0.68415440165161512</v>
          </cell>
          <cell r="AI493">
            <v>1.1263867883035668</v>
          </cell>
          <cell r="AJ493">
            <v>0.67466555916469051</v>
          </cell>
          <cell r="AK493">
            <v>1.2020973159731172</v>
          </cell>
          <cell r="AL493">
            <v>1.4074052318255685</v>
          </cell>
        </row>
        <row r="494">
          <cell r="A494" t="str">
            <v>09/01/2006</v>
          </cell>
          <cell r="B494">
            <v>23.85</v>
          </cell>
          <cell r="C494">
            <v>54.05</v>
          </cell>
          <cell r="D494">
            <v>103.2</v>
          </cell>
          <cell r="E494">
            <v>56.15</v>
          </cell>
          <cell r="F494">
            <v>15.7</v>
          </cell>
          <cell r="G494">
            <v>3.1749999999999998</v>
          </cell>
          <cell r="H494">
            <v>9.9499999999999993</v>
          </cell>
          <cell r="I494">
            <v>60.3</v>
          </cell>
          <cell r="J494">
            <v>129.80000000000001</v>
          </cell>
          <cell r="K494">
            <v>183.5</v>
          </cell>
          <cell r="L494">
            <v>36.4</v>
          </cell>
          <cell r="M494">
            <v>15547.43</v>
          </cell>
          <cell r="O494">
            <v>2.8017241379310498E-2</v>
          </cell>
          <cell r="P494">
            <v>2.9523809523809508E-2</v>
          </cell>
          <cell r="Q494">
            <v>7.8125E-3</v>
          </cell>
          <cell r="R494">
            <v>6.5464895635673592E-2</v>
          </cell>
          <cell r="S494">
            <v>8.6505190311418678E-2</v>
          </cell>
          <cell r="T494">
            <v>9.4827586206896575E-2</v>
          </cell>
          <cell r="U494">
            <v>4.1884816753926524E-2</v>
          </cell>
          <cell r="V494">
            <v>3.3419023136246784E-2</v>
          </cell>
          <cell r="W494">
            <v>4.6774193548387188E-2</v>
          </cell>
          <cell r="X494">
            <v>0.10011990407673843</v>
          </cell>
          <cell r="Y494">
            <v>0.29078014184397172</v>
          </cell>
          <cell r="Z494">
            <v>4.4913153699536856E-2</v>
          </cell>
          <cell r="AB494">
            <v>0.54785059947587855</v>
          </cell>
          <cell r="AC494">
            <v>1.3553443079297798</v>
          </cell>
          <cell r="AD494">
            <v>0.54351738456992238</v>
          </cell>
          <cell r="AE494">
            <v>1.0287677716251156</v>
          </cell>
          <cell r="AF494">
            <v>1.0468580088709718</v>
          </cell>
          <cell r="AG494">
            <v>1.102897912878388</v>
          </cell>
          <cell r="AH494">
            <v>0.69580035302693999</v>
          </cell>
          <cell r="AI494">
            <v>1.1288722419681458</v>
          </cell>
          <cell r="AJ494">
            <v>0.67931616487709412</v>
          </cell>
          <cell r="AK494">
            <v>1.2065163799349239</v>
          </cell>
          <cell r="AL494">
            <v>1.4431212813070635</v>
          </cell>
        </row>
        <row r="495">
          <cell r="A495" t="str">
            <v>10/01/2006</v>
          </cell>
          <cell r="B495">
            <v>23.8</v>
          </cell>
          <cell r="C495">
            <v>54.65</v>
          </cell>
          <cell r="D495">
            <v>103.2</v>
          </cell>
          <cell r="E495">
            <v>56.65</v>
          </cell>
          <cell r="F495">
            <v>15.65</v>
          </cell>
          <cell r="G495">
            <v>3.0249999999999999</v>
          </cell>
          <cell r="H495">
            <v>10.050000000000001</v>
          </cell>
          <cell r="I495">
            <v>60</v>
          </cell>
          <cell r="J495">
            <v>130.9</v>
          </cell>
          <cell r="K495">
            <v>183.6</v>
          </cell>
          <cell r="L495">
            <v>36.9</v>
          </cell>
          <cell r="M495">
            <v>15569.91</v>
          </cell>
          <cell r="O495">
            <v>2.5862068965517349E-2</v>
          </cell>
          <cell r="P495">
            <v>3.5037878787878896E-2</v>
          </cell>
          <cell r="Q495">
            <v>7.8125E-3</v>
          </cell>
          <cell r="R495">
            <v>5.6902985074626766E-2</v>
          </cell>
          <cell r="S495">
            <v>7.9310344827586254E-2</v>
          </cell>
          <cell r="T495">
            <v>5.2173913043478182E-2</v>
          </cell>
          <cell r="U495">
            <v>5.2356020942408321E-2</v>
          </cell>
          <cell r="V495">
            <v>3.7165082108902237E-2</v>
          </cell>
          <cell r="W495">
            <v>5.4794520547945202E-2</v>
          </cell>
          <cell r="X495">
            <v>0.11205330102967892</v>
          </cell>
          <cell r="Y495">
            <v>0.29929577464788726</v>
          </cell>
          <cell r="Z495">
            <v>4.4223839426015488E-2</v>
          </cell>
          <cell r="AB495">
            <v>0.55424478066247962</v>
          </cell>
          <cell r="AC495">
            <v>1.3664598670044428</v>
          </cell>
          <cell r="AD495">
            <v>0.54074056651423186</v>
          </cell>
          <cell r="AE495">
            <v>1.0302128771666139</v>
          </cell>
          <cell r="AF495">
            <v>1.0558503085450388</v>
          </cell>
          <cell r="AG495">
            <v>1.1054784910428173</v>
          </cell>
          <cell r="AH495">
            <v>0.70778962216806007</v>
          </cell>
          <cell r="AI495">
            <v>1.1293292168235958</v>
          </cell>
          <cell r="AJ495">
            <v>0.68410894842742653</v>
          </cell>
          <cell r="AK495">
            <v>1.2139350438553536</v>
          </cell>
          <cell r="AL495">
            <v>1.4765170050276821</v>
          </cell>
        </row>
        <row r="496">
          <cell r="A496" t="str">
            <v>11/01/2006</v>
          </cell>
          <cell r="B496">
            <v>23.9</v>
          </cell>
          <cell r="C496">
            <v>54.55</v>
          </cell>
          <cell r="D496">
            <v>103.4</v>
          </cell>
          <cell r="E496">
            <v>56.8</v>
          </cell>
          <cell r="F496">
            <v>15.8</v>
          </cell>
          <cell r="G496">
            <v>3.1</v>
          </cell>
          <cell r="H496">
            <v>10.050000000000001</v>
          </cell>
          <cell r="I496">
            <v>59.8</v>
          </cell>
          <cell r="J496">
            <v>130.9</v>
          </cell>
          <cell r="K496">
            <v>180.2</v>
          </cell>
          <cell r="L496">
            <v>35.950000000000003</v>
          </cell>
          <cell r="M496">
            <v>15650.88</v>
          </cell>
          <cell r="O496">
            <v>2.3554603854389677E-2</v>
          </cell>
          <cell r="P496">
            <v>3.1190926275992403E-2</v>
          </cell>
          <cell r="Q496">
            <v>6.8159688412852137E-3</v>
          </cell>
          <cell r="R496">
            <v>4.9907578558225474E-2</v>
          </cell>
          <cell r="S496">
            <v>8.5910652920962116E-2</v>
          </cell>
          <cell r="T496">
            <v>7.8260869565217384E-2</v>
          </cell>
          <cell r="U496">
            <v>5.7894736842105443E-2</v>
          </cell>
          <cell r="V496">
            <v>3.3707865168539186E-2</v>
          </cell>
          <cell r="W496">
            <v>4.9719326383319995E-2</v>
          </cell>
          <cell r="X496">
            <v>7.1343638525564801E-2</v>
          </cell>
          <cell r="Y496">
            <v>0.24179620034542326</v>
          </cell>
          <cell r="Z496">
            <v>4.4478257387683184E-2</v>
          </cell>
          <cell r="AB496">
            <v>0.55958837292774866</v>
          </cell>
          <cell r="AC496">
            <v>1.3786140323843343</v>
          </cell>
          <cell r="AD496">
            <v>0.53716652401212295</v>
          </cell>
          <cell r="AE496">
            <v>1.0305735677080323</v>
          </cell>
          <cell r="AF496">
            <v>1.0631483884389821</v>
          </cell>
          <cell r="AG496">
            <v>1.1150057889840324</v>
          </cell>
          <cell r="AH496">
            <v>0.7220650447319974</v>
          </cell>
          <cell r="AI496">
            <v>1.1310536046593349</v>
          </cell>
          <cell r="AJ496">
            <v>0.69016783091457257</v>
          </cell>
          <cell r="AK496">
            <v>1.2131645593440537</v>
          </cell>
          <cell r="AL496">
            <v>1.5019914079633181</v>
          </cell>
        </row>
        <row r="497">
          <cell r="A497" t="str">
            <v>12/01/2006</v>
          </cell>
          <cell r="B497">
            <v>23.95</v>
          </cell>
          <cell r="C497">
            <v>54.75</v>
          </cell>
          <cell r="D497">
            <v>103.8</v>
          </cell>
          <cell r="E497">
            <v>57.65</v>
          </cell>
          <cell r="F497">
            <v>15.75</v>
          </cell>
          <cell r="G497">
            <v>3.0750000000000002</v>
          </cell>
          <cell r="H497">
            <v>9.9499999999999993</v>
          </cell>
          <cell r="I497">
            <v>59</v>
          </cell>
          <cell r="J497">
            <v>131.19999999999999</v>
          </cell>
          <cell r="K497">
            <v>180.2</v>
          </cell>
          <cell r="L497">
            <v>34.950000000000003</v>
          </cell>
          <cell r="M497">
            <v>15719.37</v>
          </cell>
          <cell r="O497">
            <v>3.0107526881720359E-2</v>
          </cell>
          <cell r="P497">
            <v>5.0863723608445266E-2</v>
          </cell>
          <cell r="Q497">
            <v>1.1695906432748648E-2</v>
          </cell>
          <cell r="R497">
            <v>4.9135577797998042E-2</v>
          </cell>
          <cell r="S497">
            <v>8.6206896551724199E-2</v>
          </cell>
          <cell r="T497">
            <v>6.0344827586207073E-2</v>
          </cell>
          <cell r="U497">
            <v>4.7368421052631504E-2</v>
          </cell>
          <cell r="V497">
            <v>1.6365202411714019E-2</v>
          </cell>
          <cell r="W497">
            <v>5.2125100240577371E-2</v>
          </cell>
          <cell r="X497">
            <v>7.5820895522388021E-2</v>
          </cell>
          <cell r="Y497">
            <v>0.18877551020408179</v>
          </cell>
          <cell r="Z497">
            <v>5.1982182508823804E-2</v>
          </cell>
          <cell r="AB497">
            <v>0.56291788244995777</v>
          </cell>
          <cell r="AC497">
            <v>1.3916215241886678</v>
          </cell>
          <cell r="AD497">
            <v>0.53366862158569395</v>
          </cell>
          <cell r="AE497">
            <v>1.0268404240918549</v>
          </cell>
          <cell r="AF497">
            <v>1.0710829217203079</v>
          </cell>
          <cell r="AG497">
            <v>1.117998982756943</v>
          </cell>
          <cell r="AH497">
            <v>0.73483913589557326</v>
          </cell>
          <cell r="AI497">
            <v>1.130541449946163</v>
          </cell>
          <cell r="AJ497">
            <v>0.69580568119518338</v>
          </cell>
          <cell r="AK497">
            <v>1.2099045497297491</v>
          </cell>
          <cell r="AL497">
            <v>1.5147304789699325</v>
          </cell>
        </row>
        <row r="498">
          <cell r="A498" t="str">
            <v>13/01/2006</v>
          </cell>
          <cell r="B498">
            <v>23.9</v>
          </cell>
          <cell r="C498">
            <v>55.8</v>
          </cell>
          <cell r="D498">
            <v>103.9</v>
          </cell>
          <cell r="E498">
            <v>57.7</v>
          </cell>
          <cell r="F498">
            <v>15.8</v>
          </cell>
          <cell r="G498">
            <v>3.125</v>
          </cell>
          <cell r="H498">
            <v>9.9499999999999993</v>
          </cell>
          <cell r="I498">
            <v>59.3</v>
          </cell>
          <cell r="J498">
            <v>131.19999999999999</v>
          </cell>
          <cell r="K498">
            <v>182</v>
          </cell>
          <cell r="L498">
            <v>35.200000000000003</v>
          </cell>
          <cell r="M498">
            <v>15787.97</v>
          </cell>
          <cell r="O498">
            <v>2.7956989247311714E-2</v>
          </cell>
          <cell r="P498">
            <v>7.2046109510086387E-2</v>
          </cell>
          <cell r="Q498">
            <v>1.2670565302144388E-2</v>
          </cell>
          <cell r="R498">
            <v>6.7530064754856678E-2</v>
          </cell>
          <cell r="S498">
            <v>8.5910652920962116E-2</v>
          </cell>
          <cell r="T498">
            <v>8.6956521739130377E-2</v>
          </cell>
          <cell r="U498">
            <v>4.1884816753926524E-2</v>
          </cell>
          <cell r="V498">
            <v>2.1533161068044704E-2</v>
          </cell>
          <cell r="W498">
            <v>4.6251993620414433E-2</v>
          </cell>
          <cell r="X498">
            <v>8.0760095011876532E-2</v>
          </cell>
          <cell r="Y498">
            <v>0.15789473684210531</v>
          </cell>
          <cell r="Z498">
            <v>5.4199780185440138E-2</v>
          </cell>
          <cell r="AB498">
            <v>0.56267278087336881</v>
          </cell>
          <cell r="AC498">
            <v>1.4048316842419439</v>
          </cell>
          <cell r="AD498">
            <v>0.53249888874196161</v>
          </cell>
          <cell r="AE498">
            <v>1.0278781956351923</v>
          </cell>
          <cell r="AF498">
            <v>1.0803012604777473</v>
          </cell>
          <cell r="AG498">
            <v>1.1259699853457252</v>
          </cell>
          <cell r="AH498">
            <v>0.74553042957109761</v>
          </cell>
          <cell r="AI498">
            <v>1.1303155050891811</v>
          </cell>
          <cell r="AJ498">
            <v>0.69981814927209285</v>
          </cell>
          <cell r="AK498">
            <v>1.2102681442073657</v>
          </cell>
          <cell r="AL498">
            <v>1.5235760752120877</v>
          </cell>
        </row>
        <row r="499">
          <cell r="A499" t="str">
            <v>17/01/2006</v>
          </cell>
          <cell r="B499">
            <v>23.8</v>
          </cell>
          <cell r="C499">
            <v>56.2</v>
          </cell>
          <cell r="D499">
            <v>103.1</v>
          </cell>
          <cell r="E499">
            <v>57.25</v>
          </cell>
          <cell r="F499">
            <v>15.5</v>
          </cell>
          <cell r="G499">
            <v>3.1</v>
          </cell>
          <cell r="H499">
            <v>9.8000000000000007</v>
          </cell>
          <cell r="I499">
            <v>59.5</v>
          </cell>
          <cell r="J499">
            <v>130</v>
          </cell>
          <cell r="K499">
            <v>190.5</v>
          </cell>
          <cell r="L499">
            <v>34.450000000000003</v>
          </cell>
          <cell r="M499">
            <v>15576.2</v>
          </cell>
          <cell r="O499">
            <v>2.1459227467811148E-2</v>
          </cell>
          <cell r="P499">
            <v>6.4393939393939448E-2</v>
          </cell>
          <cell r="Q499">
            <v>1.9436345966956647E-3</v>
          </cell>
          <cell r="R499">
            <v>4.8534798534798584E-2</v>
          </cell>
          <cell r="S499">
            <v>5.4421768707483054E-2</v>
          </cell>
          <cell r="T499">
            <v>8.7719298245614086E-2</v>
          </cell>
          <cell r="U499">
            <v>3.7037037037037202E-2</v>
          </cell>
          <cell r="V499">
            <v>1.5358361774743923E-2</v>
          </cell>
          <cell r="W499">
            <v>3.2565528196981663E-2</v>
          </cell>
          <cell r="X499">
            <v>0.12855450236966814</v>
          </cell>
          <cell r="Y499">
            <v>0.15025041736227052</v>
          </cell>
          <cell r="Z499">
            <v>3.4343536299174859E-2</v>
          </cell>
          <cell r="AB499">
            <v>0.56169503805533749</v>
          </cell>
          <cell r="AC499">
            <v>1.4172009991716228</v>
          </cell>
          <cell r="AD499">
            <v>0.53227236639108289</v>
          </cell>
          <cell r="AE499">
            <v>1.0247462937141736</v>
          </cell>
          <cell r="AF499">
            <v>1.0862808369292243</v>
          </cell>
          <cell r="AG499">
            <v>1.1316795902814489</v>
          </cell>
          <cell r="AH499">
            <v>0.7557534755573837</v>
          </cell>
          <cell r="AI499">
            <v>1.1376920023206296</v>
          </cell>
          <cell r="AJ499">
            <v>0.70216404819798262</v>
          </cell>
          <cell r="AK499">
            <v>1.2144208398868663</v>
          </cell>
          <cell r="AL499">
            <v>1.532121751487574</v>
          </cell>
        </row>
        <row r="500">
          <cell r="A500" t="str">
            <v>18/01/2006</v>
          </cell>
          <cell r="B500">
            <v>23.8</v>
          </cell>
          <cell r="C500">
            <v>56</v>
          </cell>
          <cell r="D500">
            <v>102.9</v>
          </cell>
          <cell r="E500">
            <v>56.75</v>
          </cell>
          <cell r="F500">
            <v>15.5</v>
          </cell>
          <cell r="G500">
            <v>3.1</v>
          </cell>
          <cell r="H500">
            <v>9.9</v>
          </cell>
          <cell r="I500">
            <v>60</v>
          </cell>
          <cell r="J500">
            <v>129.19999999999999</v>
          </cell>
          <cell r="K500">
            <v>186.8</v>
          </cell>
          <cell r="L500">
            <v>34.1</v>
          </cell>
          <cell r="M500">
            <v>15481.21</v>
          </cell>
          <cell r="O500">
            <v>2.1459227467811148E-2</v>
          </cell>
          <cell r="P500">
            <v>6.8702290076335881E-2</v>
          </cell>
          <cell r="Q500">
            <v>-1.9398642095052043E-3</v>
          </cell>
          <cell r="R500">
            <v>4.1284403669724856E-2</v>
          </cell>
          <cell r="S500">
            <v>6.164383561643838E-2</v>
          </cell>
          <cell r="T500">
            <v>7.8260869565217384E-2</v>
          </cell>
          <cell r="U500">
            <v>4.2105263157894868E-2</v>
          </cell>
          <cell r="V500">
            <v>2.564102564102555E-2</v>
          </cell>
          <cell r="W500">
            <v>2.8662420382165488E-2</v>
          </cell>
          <cell r="X500">
            <v>0.10597986974541151</v>
          </cell>
          <cell r="Y500">
            <v>0.13666666666666671</v>
          </cell>
          <cell r="Z500">
            <v>3.0033646466588682E-2</v>
          </cell>
          <cell r="AB500">
            <v>0.56183078044135126</v>
          </cell>
          <cell r="AC500">
            <v>1.4284272857285791</v>
          </cell>
          <cell r="AD500">
            <v>0.53181963474348182</v>
          </cell>
          <cell r="AE500">
            <v>1.0224836508397155</v>
          </cell>
          <cell r="AF500">
            <v>1.090116154252273</v>
          </cell>
          <cell r="AG500">
            <v>1.1376679543573289</v>
          </cell>
          <cell r="AH500">
            <v>0.76362676647183869</v>
          </cell>
          <cell r="AI500">
            <v>1.1413399682913823</v>
          </cell>
          <cell r="AJ500">
            <v>0.7051713548020101</v>
          </cell>
          <cell r="AK500">
            <v>1.2176527158218862</v>
          </cell>
          <cell r="AL500">
            <v>1.5352397958824557</v>
          </cell>
        </row>
        <row r="501">
          <cell r="A501" t="str">
            <v>19/01/2006</v>
          </cell>
          <cell r="B501">
            <v>23.9</v>
          </cell>
          <cell r="C501">
            <v>57.1</v>
          </cell>
          <cell r="D501">
            <v>103.5</v>
          </cell>
          <cell r="E501">
            <v>57.45</v>
          </cell>
          <cell r="F501">
            <v>15.65</v>
          </cell>
          <cell r="G501">
            <v>3.1749999999999998</v>
          </cell>
          <cell r="H501">
            <v>10</v>
          </cell>
          <cell r="I501">
            <v>60.5</v>
          </cell>
          <cell r="J501">
            <v>130.19999999999999</v>
          </cell>
          <cell r="K501">
            <v>189.9</v>
          </cell>
          <cell r="L501">
            <v>34.950000000000003</v>
          </cell>
          <cell r="M501">
            <v>15670.42</v>
          </cell>
          <cell r="O501">
            <v>1.9189765458422103E-2</v>
          </cell>
          <cell r="P501">
            <v>8.5551330798478986E-2</v>
          </cell>
          <cell r="Q501">
            <v>1.07421875E-2</v>
          </cell>
          <cell r="R501">
            <v>4.5495905368516887E-2</v>
          </cell>
          <cell r="S501">
            <v>5.7432432432432456E-2</v>
          </cell>
          <cell r="T501">
            <v>9.4827586206896575E-2</v>
          </cell>
          <cell r="U501">
            <v>4.7120418848167533E-2</v>
          </cell>
          <cell r="V501">
            <v>2.5423728813559254E-2</v>
          </cell>
          <cell r="W501">
            <v>2.9249011857707341E-2</v>
          </cell>
          <cell r="X501">
            <v>9.9594672843080545E-2</v>
          </cell>
          <cell r="Y501">
            <v>0.12019230769230771</v>
          </cell>
          <cell r="Z501">
            <v>3.2110487529054099E-2</v>
          </cell>
          <cell r="AB501">
            <v>0.56024726371716449</v>
          </cell>
          <cell r="AC501">
            <v>1.4424832999263604</v>
          </cell>
          <cell r="AD501">
            <v>0.53099038011958166</v>
          </cell>
          <cell r="AE501">
            <v>1.0180713179962804</v>
          </cell>
          <cell r="AF501">
            <v>1.0946178551746435</v>
          </cell>
          <cell r="AG501">
            <v>1.1410188518558131</v>
          </cell>
          <cell r="AH501">
            <v>0.77155176561849037</v>
          </cell>
          <cell r="AI501">
            <v>1.1480228911454948</v>
          </cell>
          <cell r="AJ501">
            <v>0.70864608906151771</v>
          </cell>
          <cell r="AK501">
            <v>1.2227404177815802</v>
          </cell>
          <cell r="AL501">
            <v>1.5386622385919582</v>
          </cell>
        </row>
        <row r="502">
          <cell r="A502" t="str">
            <v>20/01/2006</v>
          </cell>
          <cell r="B502">
            <v>23.95</v>
          </cell>
          <cell r="C502">
            <v>56.8</v>
          </cell>
          <cell r="D502">
            <v>103.4</v>
          </cell>
          <cell r="E502">
            <v>57.6</v>
          </cell>
          <cell r="F502">
            <v>15.45</v>
          </cell>
          <cell r="G502">
            <v>3.125</v>
          </cell>
          <cell r="H502">
            <v>9.9</v>
          </cell>
          <cell r="I502">
            <v>60.6</v>
          </cell>
          <cell r="J502">
            <v>129.9</v>
          </cell>
          <cell r="K502">
            <v>189.7</v>
          </cell>
          <cell r="L502">
            <v>35.049999999999997</v>
          </cell>
          <cell r="M502">
            <v>15662.08</v>
          </cell>
          <cell r="O502">
            <v>2.1321961620469176E-2</v>
          </cell>
          <cell r="P502">
            <v>8.3969465648854991E-2</v>
          </cell>
          <cell r="Q502">
            <v>9.765625E-3</v>
          </cell>
          <cell r="R502">
            <v>6.0773480662983603E-2</v>
          </cell>
          <cell r="S502">
            <v>4.7457627118643986E-2</v>
          </cell>
          <cell r="T502">
            <v>9.6491228070175294E-2</v>
          </cell>
          <cell r="U502">
            <v>3.6649214659685736E-2</v>
          </cell>
          <cell r="V502">
            <v>2.3648648648648685E-2</v>
          </cell>
          <cell r="W502">
            <v>3.0134813639968394E-2</v>
          </cell>
          <cell r="X502">
            <v>0.10290697674418592</v>
          </cell>
          <cell r="Y502">
            <v>0.13064516129032255</v>
          </cell>
          <cell r="Z502">
            <v>3.2494197111641476E-2</v>
          </cell>
          <cell r="AB502">
            <v>0.56020858257577533</v>
          </cell>
          <cell r="AC502">
            <v>1.4575691146772878</v>
          </cell>
          <cell r="AD502">
            <v>0.52868213169521461</v>
          </cell>
          <cell r="AE502">
            <v>1.0176715221364492</v>
          </cell>
          <cell r="AF502">
            <v>1.1001934936063613</v>
          </cell>
          <cell r="AG502">
            <v>1.1454945164622647</v>
          </cell>
          <cell r="AH502">
            <v>0.78045621414754296</v>
          </cell>
          <cell r="AI502">
            <v>1.151272396210216</v>
          </cell>
          <cell r="AJ502">
            <v>0.71121623429951542</v>
          </cell>
          <cell r="AK502">
            <v>1.2271226469692791</v>
          </cell>
          <cell r="AL502">
            <v>1.5422781563580537</v>
          </cell>
        </row>
        <row r="503">
          <cell r="A503" t="str">
            <v>23/01/2006</v>
          </cell>
          <cell r="B503">
            <v>23.85</v>
          </cell>
          <cell r="C503">
            <v>55.95</v>
          </cell>
          <cell r="D503">
            <v>103</v>
          </cell>
          <cell r="E503">
            <v>57.2</v>
          </cell>
          <cell r="F503">
            <v>15.25</v>
          </cell>
          <cell r="G503">
            <v>3.0750000000000002</v>
          </cell>
          <cell r="H503">
            <v>9.8000000000000007</v>
          </cell>
          <cell r="I503">
            <v>59.9</v>
          </cell>
          <cell r="J503">
            <v>128.6</v>
          </cell>
          <cell r="K503">
            <v>189.3</v>
          </cell>
          <cell r="L503">
            <v>35</v>
          </cell>
          <cell r="M503">
            <v>15464.77</v>
          </cell>
          <cell r="O503">
            <v>1.7057569296375252E-2</v>
          </cell>
          <cell r="P503">
            <v>3.3240997229917024E-2</v>
          </cell>
          <cell r="Q503">
            <v>4.8780487804878092E-3</v>
          </cell>
          <cell r="R503">
            <v>3.4358047016274984E-2</v>
          </cell>
          <cell r="S503">
            <v>2.6936026936027035E-2</v>
          </cell>
          <cell r="T503">
            <v>6.956521739130439E-2</v>
          </cell>
          <cell r="U503">
            <v>3.1578947368421151E-2</v>
          </cell>
          <cell r="V503">
            <v>1.0118043844856706E-2</v>
          </cell>
          <cell r="W503">
            <v>1.8210609659540689E-2</v>
          </cell>
          <cell r="X503">
            <v>9.0437788018433274E-2</v>
          </cell>
          <cell r="Y503">
            <v>0.12540192926045002</v>
          </cell>
          <cell r="Z503">
            <v>1.5987338894794423E-2</v>
          </cell>
          <cell r="AB503">
            <v>0.55619206242163788</v>
          </cell>
          <cell r="AC503">
            <v>1.4619883547681944</v>
          </cell>
          <cell r="AD503">
            <v>0.52553321951549314</v>
          </cell>
          <cell r="AE503">
            <v>1.0141187988326887</v>
          </cell>
          <cell r="AF503">
            <v>1.1053686303526087</v>
          </cell>
          <cell r="AG503">
            <v>1.141589257859785</v>
          </cell>
          <cell r="AH503">
            <v>0.78546140908847117</v>
          </cell>
          <cell r="AI503">
            <v>1.1588426546656445</v>
          </cell>
          <cell r="AJ503">
            <v>0.71327950508742588</v>
          </cell>
          <cell r="AK503">
            <v>1.2302517381858113</v>
          </cell>
          <cell r="AL503">
            <v>1.5397597181319254</v>
          </cell>
        </row>
        <row r="504">
          <cell r="A504" t="str">
            <v>24/01/2006</v>
          </cell>
          <cell r="B504">
            <v>23.7</v>
          </cell>
          <cell r="C504">
            <v>56</v>
          </cell>
          <cell r="D504">
            <v>103</v>
          </cell>
          <cell r="E504">
            <v>56.5</v>
          </cell>
          <cell r="F504">
            <v>15.35</v>
          </cell>
          <cell r="G504">
            <v>3.1</v>
          </cell>
          <cell r="H504">
            <v>9.8000000000000007</v>
          </cell>
          <cell r="I504">
            <v>60</v>
          </cell>
          <cell r="J504">
            <v>128.6</v>
          </cell>
          <cell r="K504">
            <v>191.1</v>
          </cell>
          <cell r="L504">
            <v>36.049999999999997</v>
          </cell>
          <cell r="M504">
            <v>15530.57</v>
          </cell>
          <cell r="O504">
            <v>1.0660980810234477E-2</v>
          </cell>
          <cell r="P504">
            <v>3.8961038961039085E-2</v>
          </cell>
          <cell r="Q504">
            <v>5.859375E-3</v>
          </cell>
          <cell r="R504">
            <v>1.8935978358881833E-2</v>
          </cell>
          <cell r="S504">
            <v>3.716216216216206E-2</v>
          </cell>
          <cell r="T504">
            <v>8.7719298245614086E-2</v>
          </cell>
          <cell r="U504">
            <v>3.7037037037037202E-2</v>
          </cell>
          <cell r="V504">
            <v>1.180438448566612E-2</v>
          </cell>
          <cell r="W504">
            <v>2.3070803500397696E-2</v>
          </cell>
          <cell r="X504">
            <v>0.11493582263710622</v>
          </cell>
          <cell r="Y504">
            <v>0.1647819063004845</v>
          </cell>
          <cell r="Z504">
            <v>2.2923715612615192E-2</v>
          </cell>
          <cell r="AB504">
            <v>0.55081494129121944</v>
          </cell>
          <cell r="AC504">
            <v>1.4625028129928859</v>
          </cell>
          <cell r="AD504">
            <v>0.52205869781951042</v>
          </cell>
          <cell r="AE504">
            <v>1.0108184918186696</v>
          </cell>
          <cell r="AF504">
            <v>1.114405443662746</v>
          </cell>
          <cell r="AG504">
            <v>1.1426818315623675</v>
          </cell>
          <cell r="AH504">
            <v>0.79796266751361467</v>
          </cell>
          <cell r="AI504">
            <v>1.1660824614966925</v>
          </cell>
          <cell r="AJ504">
            <v>0.71656168778762441</v>
          </cell>
          <cell r="AK504">
            <v>1.2388233283400629</v>
          </cell>
          <cell r="AL504">
            <v>1.5371767862463608</v>
          </cell>
        </row>
        <row r="505">
          <cell r="A505" t="str">
            <v>25/01/2006</v>
          </cell>
          <cell r="B505">
            <v>23.9</v>
          </cell>
          <cell r="C505">
            <v>55.25</v>
          </cell>
          <cell r="D505">
            <v>102.9</v>
          </cell>
          <cell r="E505">
            <v>56.7</v>
          </cell>
          <cell r="F505">
            <v>15.2</v>
          </cell>
          <cell r="G505">
            <v>3.1</v>
          </cell>
          <cell r="H505">
            <v>9.85</v>
          </cell>
          <cell r="I505">
            <v>60.8</v>
          </cell>
          <cell r="J505">
            <v>128.30000000000001</v>
          </cell>
          <cell r="K505">
            <v>191.4</v>
          </cell>
          <cell r="L505">
            <v>36.700000000000003</v>
          </cell>
          <cell r="M505">
            <v>15520.39</v>
          </cell>
          <cell r="O505">
            <v>2.3554603854389677E-2</v>
          </cell>
          <cell r="P505">
            <v>2.314814814814814E-2</v>
          </cell>
          <cell r="Q505">
            <v>5.8651026392961825E-3</v>
          </cell>
          <cell r="R505">
            <v>1.9784172661870603E-2</v>
          </cell>
          <cell r="S505">
            <v>2.7027027027026973E-2</v>
          </cell>
          <cell r="T505">
            <v>6.8965517241379448E-2</v>
          </cell>
          <cell r="U505">
            <v>3.6842105263157787E-2</v>
          </cell>
          <cell r="V505">
            <v>2.5295109612141653E-2</v>
          </cell>
          <cell r="W505">
            <v>2.3125996810207328E-2</v>
          </cell>
          <cell r="X505">
            <v>0.11020881670533633</v>
          </cell>
          <cell r="Y505">
            <v>0.1877022653721685</v>
          </cell>
          <cell r="Z505">
            <v>2.2182515585915885E-2</v>
          </cell>
          <cell r="AB505">
            <v>0.54951573983458191</v>
          </cell>
          <cell r="AC505">
            <v>1.4594660922388405</v>
          </cell>
          <cell r="AD505">
            <v>0.5204639882501696</v>
          </cell>
          <cell r="AE505">
            <v>1.0034407961127374</v>
          </cell>
          <cell r="AF505">
            <v>1.1192685061953622</v>
          </cell>
          <cell r="AG505">
            <v>1.1440431144236651</v>
          </cell>
          <cell r="AH505">
            <v>0.80419433231805615</v>
          </cell>
          <cell r="AI505">
            <v>1.164309544643898</v>
          </cell>
          <cell r="AJ505">
            <v>0.71918164626334724</v>
          </cell>
          <cell r="AK505">
            <v>1.2412945148810324</v>
          </cell>
          <cell r="AL505">
            <v>1.5360306247779685</v>
          </cell>
        </row>
        <row r="506">
          <cell r="A506" t="str">
            <v>26/01/2006</v>
          </cell>
          <cell r="B506">
            <v>23.95</v>
          </cell>
          <cell r="C506">
            <v>54.05</v>
          </cell>
          <cell r="D506">
            <v>103</v>
          </cell>
          <cell r="E506">
            <v>56.05</v>
          </cell>
          <cell r="F506">
            <v>15.25</v>
          </cell>
          <cell r="G506">
            <v>3.1</v>
          </cell>
          <cell r="H506">
            <v>9.9499999999999993</v>
          </cell>
          <cell r="I506">
            <v>61.25</v>
          </cell>
          <cell r="J506">
            <v>128.69999999999999</v>
          </cell>
          <cell r="K506">
            <v>191</v>
          </cell>
          <cell r="L506">
            <v>37</v>
          </cell>
          <cell r="M506">
            <v>15520.07</v>
          </cell>
          <cell r="O506">
            <v>2.5695931477516032E-2</v>
          </cell>
          <cell r="P506">
            <v>9.2592592592577461E-4</v>
          </cell>
          <cell r="Q506">
            <v>6.8426197458455462E-3</v>
          </cell>
          <cell r="R506">
            <v>8.0935251798559538E-3</v>
          </cell>
          <cell r="S506">
            <v>3.0405405405405261E-2</v>
          </cell>
          <cell r="T506">
            <v>6.8965517241379448E-2</v>
          </cell>
          <cell r="U506">
            <v>4.7368421052631504E-2</v>
          </cell>
          <cell r="V506">
            <v>3.2883642495784127E-2</v>
          </cell>
          <cell r="W506">
            <v>2.631578947368407E-2</v>
          </cell>
          <cell r="X506">
            <v>0.10788863109048719</v>
          </cell>
          <cell r="Y506">
            <v>0.19741100323624594</v>
          </cell>
          <cell r="Z506">
            <v>2.2161440187360215E-2</v>
          </cell>
          <cell r="AB506">
            <v>0.54762011602647453</v>
          </cell>
          <cell r="AC506">
            <v>1.4552458315464829</v>
          </cell>
          <cell r="AD506">
            <v>0.52064055218102656</v>
          </cell>
          <cell r="AE506">
            <v>0.99593296186925651</v>
          </cell>
          <cell r="AF506">
            <v>1.1236172992634079</v>
          </cell>
          <cell r="AG506">
            <v>1.1429904727312123</v>
          </cell>
          <cell r="AH506">
            <v>0.81138843822530005</v>
          </cell>
          <cell r="AI506">
            <v>1.1623101058395064</v>
          </cell>
          <cell r="AJ506">
            <v>0.72150474495874872</v>
          </cell>
          <cell r="AK506">
            <v>1.243777240640995</v>
          </cell>
          <cell r="AL506">
            <v>1.5346914017396347</v>
          </cell>
        </row>
        <row r="507">
          <cell r="A507" t="str">
            <v>27/01/2006</v>
          </cell>
          <cell r="B507">
            <v>24.15</v>
          </cell>
          <cell r="C507">
            <v>54.25</v>
          </cell>
          <cell r="D507">
            <v>103.5</v>
          </cell>
          <cell r="E507">
            <v>56.1</v>
          </cell>
          <cell r="F507">
            <v>15.55</v>
          </cell>
          <cell r="G507">
            <v>3.125</v>
          </cell>
          <cell r="H507">
            <v>10.050000000000001</v>
          </cell>
          <cell r="I507">
            <v>61</v>
          </cell>
          <cell r="J507">
            <v>129.69999999999999</v>
          </cell>
          <cell r="K507">
            <v>192.8</v>
          </cell>
          <cell r="L507">
            <v>37.85</v>
          </cell>
          <cell r="M507">
            <v>15753.14</v>
          </cell>
          <cell r="O507">
            <v>2.765957446808498E-2</v>
          </cell>
          <cell r="P507">
            <v>8.3643122676579917E-3</v>
          </cell>
          <cell r="Q507">
            <v>1.1730205278592365E-2</v>
          </cell>
          <cell r="R507">
            <v>1.6304347826086918E-2</v>
          </cell>
          <cell r="S507">
            <v>5.4237288135593253E-2</v>
          </cell>
          <cell r="T507">
            <v>8.6956521739130377E-2</v>
          </cell>
          <cell r="U507">
            <v>5.2356020942408321E-2</v>
          </cell>
          <cell r="V507">
            <v>2.8667790893760481E-2</v>
          </cell>
          <cell r="W507">
            <v>3.5115722266560123E-2</v>
          </cell>
          <cell r="X507">
            <v>0.12880562060889922</v>
          </cell>
          <cell r="Y507">
            <v>0.22294022617124409</v>
          </cell>
          <cell r="Z507">
            <v>4.3147917364718902E-2</v>
          </cell>
          <cell r="AB507">
            <v>0.54871290808457762</v>
          </cell>
          <cell r="AC507">
            <v>1.4515051610566496</v>
          </cell>
          <cell r="AD507">
            <v>0.5196140760540463</v>
          </cell>
          <cell r="AE507">
            <v>0.98222087012436732</v>
          </cell>
          <cell r="AF507">
            <v>1.1298121358563296</v>
          </cell>
          <cell r="AG507">
            <v>1.1435172057225576</v>
          </cell>
          <cell r="AH507">
            <v>0.8234185098705632</v>
          </cell>
          <cell r="AI507">
            <v>1.156334292488002</v>
          </cell>
          <cell r="AJ507">
            <v>0.72544535411902811</v>
          </cell>
          <cell r="AK507">
            <v>1.2578658603322039</v>
          </cell>
          <cell r="AL507">
            <v>1.544256441202654</v>
          </cell>
        </row>
        <row r="508">
          <cell r="A508" t="str">
            <v>30/01/2006</v>
          </cell>
          <cell r="B508">
            <v>24.15</v>
          </cell>
          <cell r="C508">
            <v>54.25</v>
          </cell>
          <cell r="D508">
            <v>103.5</v>
          </cell>
          <cell r="E508">
            <v>56.1</v>
          </cell>
          <cell r="F508">
            <v>15.55</v>
          </cell>
          <cell r="G508">
            <v>3.125</v>
          </cell>
          <cell r="H508">
            <v>10.050000000000001</v>
          </cell>
          <cell r="I508">
            <v>61</v>
          </cell>
          <cell r="J508">
            <v>129.69999999999999</v>
          </cell>
          <cell r="K508">
            <v>192.8</v>
          </cell>
          <cell r="L508">
            <v>37.85</v>
          </cell>
          <cell r="M508">
            <v>15753.14</v>
          </cell>
          <cell r="O508">
            <v>2.765957446808498E-2</v>
          </cell>
          <cell r="P508">
            <v>9.302325581395321E-3</v>
          </cell>
          <cell r="Q508">
            <v>1.3712047012732764E-2</v>
          </cell>
          <cell r="R508">
            <v>1.9073569482288999E-2</v>
          </cell>
          <cell r="S508">
            <v>3.6666666666666625E-2</v>
          </cell>
          <cell r="T508">
            <v>7.7586206896551824E-2</v>
          </cell>
          <cell r="U508">
            <v>4.6875000000000222E-2</v>
          </cell>
          <cell r="V508">
            <v>2.006688963210701E-2</v>
          </cell>
          <cell r="W508">
            <v>3.8430744595676414E-2</v>
          </cell>
          <cell r="X508">
            <v>0.11768115942029</v>
          </cell>
          <cell r="Y508">
            <v>0.20733652312599671</v>
          </cell>
          <cell r="Z508">
            <v>4.7027069061432503E-2</v>
          </cell>
          <cell r="AB508">
            <v>0.54736779059873863</v>
          </cell>
          <cell r="AC508">
            <v>1.4445637082410594</v>
          </cell>
          <cell r="AD508">
            <v>0.51860854593796746</v>
          </cell>
          <cell r="AE508">
            <v>0.96807954892642367</v>
          </cell>
          <cell r="AF508">
            <v>1.1293808616679017</v>
          </cell>
          <cell r="AG508">
            <v>1.1403859906824132</v>
          </cell>
          <cell r="AH508">
            <v>0.8331026205841775</v>
          </cell>
          <cell r="AI508">
            <v>1.1456795574078633</v>
          </cell>
          <cell r="AJ508">
            <v>0.72959318047246691</v>
          </cell>
          <cell r="AK508">
            <v>1.2682610113435899</v>
          </cell>
          <cell r="AL508">
            <v>1.5536624903337328</v>
          </cell>
        </row>
        <row r="509">
          <cell r="A509" t="str">
            <v>31/01/2006</v>
          </cell>
          <cell r="B509">
            <v>24.15</v>
          </cell>
          <cell r="C509">
            <v>54.25</v>
          </cell>
          <cell r="D509">
            <v>103.5</v>
          </cell>
          <cell r="E509">
            <v>56.1</v>
          </cell>
          <cell r="F509">
            <v>15.55</v>
          </cell>
          <cell r="G509">
            <v>3.125</v>
          </cell>
          <cell r="H509">
            <v>10.050000000000001</v>
          </cell>
          <cell r="I509">
            <v>61</v>
          </cell>
          <cell r="J509">
            <v>129.69999999999999</v>
          </cell>
          <cell r="K509">
            <v>192.8</v>
          </cell>
          <cell r="L509">
            <v>37.85</v>
          </cell>
          <cell r="M509">
            <v>15753.14</v>
          </cell>
          <cell r="O509">
            <v>2.9850746268656581E-2</v>
          </cell>
          <cell r="P509">
            <v>6.4935064935065512E-3</v>
          </cell>
          <cell r="Q509">
            <v>2.2727272727272707E-2</v>
          </cell>
          <cell r="R509">
            <v>5.3763440860215006E-3</v>
          </cell>
          <cell r="S509">
            <v>4.3624161073825496E-2</v>
          </cell>
          <cell r="T509">
            <v>8.6956521739130377E-2</v>
          </cell>
          <cell r="U509">
            <v>5.7894736842105443E-2</v>
          </cell>
          <cell r="V509">
            <v>1.6666666666666607E-2</v>
          </cell>
          <cell r="W509">
            <v>4.1767068273092178E-2</v>
          </cell>
          <cell r="X509">
            <v>0.11252163877668786</v>
          </cell>
          <cell r="Y509">
            <v>0.17729393468118215</v>
          </cell>
          <cell r="Z509">
            <v>5.8932821920312906E-2</v>
          </cell>
          <cell r="AB509">
            <v>0.54491836257743975</v>
          </cell>
          <cell r="AC509">
            <v>1.4343177238959046</v>
          </cell>
          <cell r="AD509">
            <v>0.51891342662209261</v>
          </cell>
          <cell r="AE509">
            <v>0.94717348933966561</v>
          </cell>
          <cell r="AF509">
            <v>1.128311596724741</v>
          </cell>
          <cell r="AG509">
            <v>1.1410555832437401</v>
          </cell>
          <cell r="AH509">
            <v>0.84420096615385898</v>
          </cell>
          <cell r="AI509">
            <v>1.1195854369910097</v>
          </cell>
          <cell r="AJ509">
            <v>0.73161003283061898</v>
          </cell>
          <cell r="AK509">
            <v>1.274444960475237</v>
          </cell>
          <cell r="AL509">
            <v>1.5555863099069061</v>
          </cell>
        </row>
        <row r="510">
          <cell r="A510" t="str">
            <v>01/02/2006</v>
          </cell>
          <cell r="B510">
            <v>24.05</v>
          </cell>
          <cell r="C510">
            <v>54.95</v>
          </cell>
          <cell r="D510">
            <v>103.5</v>
          </cell>
          <cell r="E510">
            <v>55.75</v>
          </cell>
          <cell r="F510">
            <v>15.45</v>
          </cell>
          <cell r="G510">
            <v>3.2</v>
          </cell>
          <cell r="H510">
            <v>10.15</v>
          </cell>
          <cell r="I510">
            <v>62.2</v>
          </cell>
          <cell r="J510">
            <v>128.69999999999999</v>
          </cell>
          <cell r="K510">
            <v>190.2</v>
          </cell>
          <cell r="L510">
            <v>37.700000000000003</v>
          </cell>
          <cell r="M510">
            <v>15742.3</v>
          </cell>
          <cell r="O510">
            <v>2.1231422505307851E-2</v>
          </cell>
          <cell r="P510">
            <v>1.853568118628357E-2</v>
          </cell>
          <cell r="Q510">
            <v>2.1717670286278468E-2</v>
          </cell>
          <cell r="R510">
            <v>2.2935779816513735E-2</v>
          </cell>
          <cell r="S510">
            <v>3.0000000000000027E-2</v>
          </cell>
          <cell r="T510">
            <v>0.11304347826086958</v>
          </cell>
          <cell r="U510">
            <v>5.7291666666666741E-2</v>
          </cell>
          <cell r="V510">
            <v>3.9264828738512891E-2</v>
          </cell>
          <cell r="W510">
            <v>3.0424339471577078E-2</v>
          </cell>
          <cell r="X510">
            <v>7.3969508752117497E-2</v>
          </cell>
          <cell r="Y510">
            <v>0.11045655375552288</v>
          </cell>
          <cell r="Z510">
            <v>5.3365157175386368E-2</v>
          </cell>
          <cell r="AB510">
            <v>0.53644895765273037</v>
          </cell>
          <cell r="AC510">
            <v>1.4277187246546525</v>
          </cell>
          <cell r="AD510">
            <v>0.51879090045262755</v>
          </cell>
          <cell r="AE510">
            <v>0.9360729966089385</v>
          </cell>
          <cell r="AF510">
            <v>1.1275108561398681</v>
          </cell>
          <cell r="AG510">
            <v>1.1392904270955246</v>
          </cell>
          <cell r="AH510">
            <v>0.84607683521153276</v>
          </cell>
          <cell r="AI510">
            <v>1.1061036333901741</v>
          </cell>
          <cell r="AJ510">
            <v>0.73422676967264278</v>
          </cell>
          <cell r="AK510">
            <v>1.2873873775856761</v>
          </cell>
          <cell r="AL510">
            <v>1.5466466251202533</v>
          </cell>
        </row>
        <row r="511">
          <cell r="A511" t="str">
            <v>02/02/2006</v>
          </cell>
          <cell r="B511">
            <v>24.1</v>
          </cell>
          <cell r="C511">
            <v>56</v>
          </cell>
          <cell r="D511">
            <v>103.1</v>
          </cell>
          <cell r="E511">
            <v>56.05</v>
          </cell>
          <cell r="F511">
            <v>15.4</v>
          </cell>
          <cell r="G511">
            <v>3.2250000000000001</v>
          </cell>
          <cell r="H511">
            <v>10.45</v>
          </cell>
          <cell r="I511">
            <v>62.65</v>
          </cell>
          <cell r="J511">
            <v>128.9</v>
          </cell>
          <cell r="K511">
            <v>194.8</v>
          </cell>
          <cell r="L511">
            <v>37.799999999999997</v>
          </cell>
          <cell r="M511">
            <v>15691.69</v>
          </cell>
          <cell r="O511">
            <v>1.9027484143763429E-2</v>
          </cell>
          <cell r="P511">
            <v>3.9925719591457742E-2</v>
          </cell>
          <cell r="Q511">
            <v>8.8062622309197369E-3</v>
          </cell>
          <cell r="R511">
            <v>3.0330882352941124E-2</v>
          </cell>
          <cell r="S511">
            <v>6.5359477124182774E-3</v>
          </cell>
          <cell r="T511">
            <v>0.10256410256410264</v>
          </cell>
          <cell r="U511">
            <v>6.6326530612244694E-2</v>
          </cell>
          <cell r="V511">
            <v>4.3297252289758559E-2</v>
          </cell>
          <cell r="W511">
            <v>1.9778481012658222E-2</v>
          </cell>
          <cell r="X511">
            <v>7.9224376731301893E-2</v>
          </cell>
          <cell r="Y511">
            <v>6.6290550070521759E-2</v>
          </cell>
          <cell r="Z511">
            <v>3.234395127387657E-2</v>
          </cell>
          <cell r="AB511">
            <v>0.53131955906452544</v>
          </cell>
          <cell r="AC511">
            <v>1.4260806517331137</v>
          </cell>
          <cell r="AD511">
            <v>0.51907980165459944</v>
          </cell>
          <cell r="AE511">
            <v>0.93159632822792227</v>
          </cell>
          <cell r="AF511">
            <v>1.1249560491766375</v>
          </cell>
          <cell r="AG511">
            <v>1.136393009437453</v>
          </cell>
          <cell r="AH511">
            <v>0.84632254732495515</v>
          </cell>
          <cell r="AI511">
            <v>1.098737593785813</v>
          </cell>
          <cell r="AJ511">
            <v>0.73669754221437367</v>
          </cell>
          <cell r="AK511">
            <v>1.2976413891818337</v>
          </cell>
          <cell r="AL511">
            <v>1.5388157272531549</v>
          </cell>
        </row>
        <row r="512">
          <cell r="A512" t="str">
            <v>03/02/2006</v>
          </cell>
          <cell r="B512">
            <v>23.8</v>
          </cell>
          <cell r="C512">
            <v>56.05</v>
          </cell>
          <cell r="D512">
            <v>102.5</v>
          </cell>
          <cell r="E512">
            <v>55.8</v>
          </cell>
          <cell r="F512">
            <v>15.2</v>
          </cell>
          <cell r="G512">
            <v>3.1749999999999998</v>
          </cell>
          <cell r="H512">
            <v>10.199999999999999</v>
          </cell>
          <cell r="I512">
            <v>61.9</v>
          </cell>
          <cell r="J512">
            <v>128</v>
          </cell>
          <cell r="K512">
            <v>193.5</v>
          </cell>
          <cell r="L512">
            <v>37</v>
          </cell>
          <cell r="M512">
            <v>15429.73</v>
          </cell>
          <cell r="O512">
            <v>4.2194092827005925E-3</v>
          </cell>
          <cell r="P512">
            <v>3.8924930491195386E-2</v>
          </cell>
          <cell r="Q512">
            <v>-1.9474196689386325E-3</v>
          </cell>
          <cell r="R512">
            <v>2.857142857142847E-2</v>
          </cell>
          <cell r="S512">
            <v>-1.2987012987013102E-2</v>
          </cell>
          <cell r="T512">
            <v>7.6271186440677763E-2</v>
          </cell>
          <cell r="U512">
            <v>4.0816326530612068E-2</v>
          </cell>
          <cell r="V512">
            <v>4.4725738396624415E-2</v>
          </cell>
          <cell r="W512">
            <v>1.0260457774269982E-2</v>
          </cell>
          <cell r="X512">
            <v>4.5945945945945921E-2</v>
          </cell>
          <cell r="Y512">
            <v>6.4748201438848962E-2</v>
          </cell>
          <cell r="Z512">
            <v>1.0385609971233389E-2</v>
          </cell>
          <cell r="AB512">
            <v>0.52969315879814383</v>
          </cell>
          <cell r="AC512">
            <v>1.4239531246030956</v>
          </cell>
          <cell r="AD512">
            <v>0.52063430749786299</v>
          </cell>
          <cell r="AE512">
            <v>0.93650495125034472</v>
          </cell>
          <cell r="AF512">
            <v>1.1244904936772213</v>
          </cell>
          <cell r="AG512">
            <v>1.1293460655320193</v>
          </cell>
          <cell r="AH512">
            <v>0.84254242576488747</v>
          </cell>
          <cell r="AI512">
            <v>1.0936178982312286</v>
          </cell>
          <cell r="AJ512">
            <v>0.73687521959747559</v>
          </cell>
          <cell r="AK512">
            <v>1.3010980512180828</v>
          </cell>
          <cell r="AL512">
            <v>1.5338553986070584</v>
          </cell>
        </row>
        <row r="513">
          <cell r="A513" t="str">
            <v>06/02/2006</v>
          </cell>
          <cell r="B513">
            <v>23.9</v>
          </cell>
          <cell r="C513">
            <v>55.75</v>
          </cell>
          <cell r="D513">
            <v>102.8</v>
          </cell>
          <cell r="E513">
            <v>56.3</v>
          </cell>
          <cell r="F513">
            <v>15.25</v>
          </cell>
          <cell r="G513">
            <v>3.1749999999999998</v>
          </cell>
          <cell r="H513">
            <v>10.199999999999999</v>
          </cell>
          <cell r="I513">
            <v>62.05</v>
          </cell>
          <cell r="J513">
            <v>128.4</v>
          </cell>
          <cell r="K513">
            <v>193</v>
          </cell>
          <cell r="L513">
            <v>37.299999999999997</v>
          </cell>
          <cell r="M513">
            <v>15548.06</v>
          </cell>
          <cell r="O513">
            <v>6.3157894736840525E-3</v>
          </cell>
          <cell r="P513">
            <v>3.1452358926919555E-2</v>
          </cell>
          <cell r="Q513">
            <v>4.8875855327468187E-3</v>
          </cell>
          <cell r="R513">
            <v>2.3636363636363678E-2</v>
          </cell>
          <cell r="S513">
            <v>-1.6129032258064502E-2</v>
          </cell>
          <cell r="T513">
            <v>4.9586776859504189E-2</v>
          </cell>
          <cell r="U513">
            <v>4.0816326530612068E-2</v>
          </cell>
          <cell r="V513">
            <v>4.637436762225966E-2</v>
          </cell>
          <cell r="W513">
            <v>5.4815974941269108E-3</v>
          </cell>
          <cell r="X513">
            <v>5.9275521405049547E-2</v>
          </cell>
          <cell r="Y513">
            <v>6.7238912732474843E-2</v>
          </cell>
          <cell r="Z513">
            <v>1.3269953155670589E-2</v>
          </cell>
          <cell r="AB513">
            <v>0.52891661310091087</v>
          </cell>
          <cell r="AC513">
            <v>1.4227739410627847</v>
          </cell>
          <cell r="AD513">
            <v>0.52089744434168495</v>
          </cell>
          <cell r="AE513">
            <v>0.93707675430280923</v>
          </cell>
          <cell r="AF513">
            <v>1.1239506593216499</v>
          </cell>
          <cell r="AG513">
            <v>1.1240519020942363</v>
          </cell>
          <cell r="AH513">
            <v>0.84091452595326088</v>
          </cell>
          <cell r="AI513">
            <v>1.0918862538093381</v>
          </cell>
          <cell r="AJ513">
            <v>0.73680748039100019</v>
          </cell>
          <cell r="AK513">
            <v>1.3027816246431259</v>
          </cell>
          <cell r="AL513">
            <v>1.5307763646887265</v>
          </cell>
        </row>
        <row r="514">
          <cell r="A514" t="str">
            <v>07/02/2006</v>
          </cell>
          <cell r="B514">
            <v>24.05</v>
          </cell>
          <cell r="C514">
            <v>55.7</v>
          </cell>
          <cell r="D514">
            <v>102.6</v>
          </cell>
          <cell r="E514">
            <v>56.8</v>
          </cell>
          <cell r="F514">
            <v>15.2</v>
          </cell>
          <cell r="G514">
            <v>3.1749999999999998</v>
          </cell>
          <cell r="H514">
            <v>10.4</v>
          </cell>
          <cell r="I514">
            <v>62.05</v>
          </cell>
          <cell r="J514">
            <v>128</v>
          </cell>
          <cell r="K514">
            <v>191</v>
          </cell>
          <cell r="L514">
            <v>38.85</v>
          </cell>
          <cell r="M514">
            <v>15517.01</v>
          </cell>
          <cell r="O514">
            <v>8.3857442348007627E-3</v>
          </cell>
          <cell r="P514">
            <v>3.052728954671613E-2</v>
          </cell>
          <cell r="Q514">
            <v>-5.8139534883722144E-3</v>
          </cell>
          <cell r="R514">
            <v>1.1576135351736294E-2</v>
          </cell>
          <cell r="S514">
            <v>-3.1847133757961776E-2</v>
          </cell>
          <cell r="T514">
            <v>0</v>
          </cell>
          <cell r="U514">
            <v>4.5226130653266416E-2</v>
          </cell>
          <cell r="V514">
            <v>2.9021558872305064E-2</v>
          </cell>
          <cell r="W514">
            <v>-1.3867488443759735E-2</v>
          </cell>
          <cell r="X514">
            <v>4.0871934604904681E-2</v>
          </cell>
          <cell r="Y514">
            <v>6.7307692307692291E-2</v>
          </cell>
          <cell r="Z514">
            <v>-1.9565934691456732E-3</v>
          </cell>
          <cell r="AB514">
            <v>0.52850202073020813</v>
          </cell>
          <cell r="AC514">
            <v>1.4196383821888046</v>
          </cell>
          <cell r="AD514">
            <v>0.52048965912102674</v>
          </cell>
          <cell r="AE514">
            <v>0.93617685387068128</v>
          </cell>
          <cell r="AF514">
            <v>1.1255527327130537</v>
          </cell>
          <cell r="AG514">
            <v>1.1234857967722593</v>
          </cell>
          <cell r="AH514">
            <v>0.83736804174513435</v>
          </cell>
          <cell r="AI514">
            <v>1.0900470054886984</v>
          </cell>
          <cell r="AJ514">
            <v>0.73703768695953564</v>
          </cell>
          <cell r="AK514">
            <v>1.3004878397137909</v>
          </cell>
          <cell r="AL514">
            <v>1.529859946526507</v>
          </cell>
        </row>
        <row r="515">
          <cell r="A515" t="str">
            <v>08/02/2006</v>
          </cell>
          <cell r="B515">
            <v>24.15</v>
          </cell>
          <cell r="C515">
            <v>56.4</v>
          </cell>
          <cell r="D515">
            <v>102.4</v>
          </cell>
          <cell r="E515">
            <v>58.3</v>
          </cell>
          <cell r="F515">
            <v>15.1</v>
          </cell>
          <cell r="G515">
            <v>3.125</v>
          </cell>
          <cell r="H515">
            <v>10.25</v>
          </cell>
          <cell r="I515">
            <v>62.5</v>
          </cell>
          <cell r="J515">
            <v>127.8</v>
          </cell>
          <cell r="K515">
            <v>191.3</v>
          </cell>
          <cell r="L515">
            <v>38.6</v>
          </cell>
          <cell r="M515">
            <v>15373.44</v>
          </cell>
          <cell r="O515">
            <v>1.4705882352941124E-2</v>
          </cell>
          <cell r="P515">
            <v>3.20219579139982E-2</v>
          </cell>
          <cell r="Q515">
            <v>-7.7519379844961378E-3</v>
          </cell>
          <cell r="R515">
            <v>2.9126213592232997E-2</v>
          </cell>
          <cell r="S515">
            <v>-3.5143769968051131E-2</v>
          </cell>
          <cell r="T515">
            <v>3.3057851239669533E-2</v>
          </cell>
          <cell r="U515">
            <v>1.990049751243772E-2</v>
          </cell>
          <cell r="V515">
            <v>4.1666666666666741E-2</v>
          </cell>
          <cell r="W515">
            <v>-2.3682200152788435E-2</v>
          </cell>
          <cell r="X515">
            <v>4.193899782135091E-2</v>
          </cell>
          <cell r="Y515">
            <v>4.6070460704607186E-2</v>
          </cell>
          <cell r="Z515">
            <v>-1.2618570049537814E-2</v>
          </cell>
          <cell r="AB515">
            <v>0.52729523223228036</v>
          </cell>
          <cell r="AC515">
            <v>1.4133026284509647</v>
          </cell>
          <cell r="AD515">
            <v>0.51961114284508225</v>
          </cell>
          <cell r="AE515">
            <v>0.93091915899807609</v>
          </cell>
          <cell r="AF515">
            <v>1.1279943418055383</v>
          </cell>
          <cell r="AG515">
            <v>1.1170435322293961</v>
          </cell>
          <cell r="AH515">
            <v>0.83316223396258549</v>
          </cell>
          <cell r="AI515">
            <v>1.0842552635735567</v>
          </cell>
          <cell r="AJ515">
            <v>0.73704164343336687</v>
          </cell>
          <cell r="AK515">
            <v>1.2956377191358104</v>
          </cell>
          <cell r="AL515">
            <v>1.5301820176812646</v>
          </cell>
        </row>
        <row r="516">
          <cell r="A516" t="str">
            <v>09/02/2006</v>
          </cell>
          <cell r="B516">
            <v>24.3</v>
          </cell>
          <cell r="C516">
            <v>56.3</v>
          </cell>
          <cell r="D516">
            <v>102.4</v>
          </cell>
          <cell r="E516">
            <v>58.35</v>
          </cell>
          <cell r="F516">
            <v>15.1</v>
          </cell>
          <cell r="G516">
            <v>3.1749999999999998</v>
          </cell>
          <cell r="H516">
            <v>10.199999999999999</v>
          </cell>
          <cell r="I516">
            <v>63.3</v>
          </cell>
          <cell r="J516">
            <v>128.19999999999999</v>
          </cell>
          <cell r="K516">
            <v>191.3</v>
          </cell>
          <cell r="L516">
            <v>37.9</v>
          </cell>
          <cell r="M516">
            <v>15413.43</v>
          </cell>
          <cell r="O516">
            <v>1.6736401673640211E-2</v>
          </cell>
          <cell r="P516">
            <v>3.208065994500453E-2</v>
          </cell>
          <cell r="Q516">
            <v>-9.6711798839458352E-3</v>
          </cell>
          <cell r="R516">
            <v>2.7288732394366244E-2</v>
          </cell>
          <cell r="S516">
            <v>-4.4303797468354444E-2</v>
          </cell>
          <cell r="T516">
            <v>2.4193548387096753E-2</v>
          </cell>
          <cell r="U516">
            <v>1.4925373134328179E-2</v>
          </cell>
          <cell r="V516">
            <v>5.8528428093645557E-2</v>
          </cell>
          <cell r="W516">
            <v>-2.0626432391138372E-2</v>
          </cell>
          <cell r="X516">
            <v>6.1598224195338558E-2</v>
          </cell>
          <cell r="Y516">
            <v>5.4242002781641041E-2</v>
          </cell>
          <cell r="Z516">
            <v>-1.5171670858124209E-2</v>
          </cell>
          <cell r="AB516">
            <v>0.52511966886901806</v>
          </cell>
          <cell r="AC516">
            <v>1.4067007549511394</v>
          </cell>
          <cell r="AD516">
            <v>0.51846588939463534</v>
          </cell>
          <cell r="AE516">
            <v>0.92517443616199857</v>
          </cell>
          <cell r="AF516">
            <v>1.1311518647724892</v>
          </cell>
          <cell r="AG516">
            <v>1.1113336839513301</v>
          </cell>
          <cell r="AH516">
            <v>0.82906222621639725</v>
          </cell>
          <cell r="AI516">
            <v>1.0758003317239599</v>
          </cell>
          <cell r="AJ516">
            <v>0.7367229878118372</v>
          </cell>
          <cell r="AK516">
            <v>1.2866416722712011</v>
          </cell>
          <cell r="AL516">
            <v>1.5295260221837841</v>
          </cell>
        </row>
        <row r="517">
          <cell r="A517" t="str">
            <v>10/02/2006</v>
          </cell>
          <cell r="B517">
            <v>24.7</v>
          </cell>
          <cell r="C517">
            <v>56.1</v>
          </cell>
          <cell r="D517">
            <v>102.5</v>
          </cell>
          <cell r="E517">
            <v>58.55</v>
          </cell>
          <cell r="F517">
            <v>15.1</v>
          </cell>
          <cell r="G517">
            <v>3.2</v>
          </cell>
          <cell r="H517">
            <v>10.3</v>
          </cell>
          <cell r="I517">
            <v>64.8</v>
          </cell>
          <cell r="J517">
            <v>128.30000000000001</v>
          </cell>
          <cell r="K517">
            <v>195.4</v>
          </cell>
          <cell r="L517">
            <v>37.700000000000003</v>
          </cell>
          <cell r="M517">
            <v>15425.95</v>
          </cell>
          <cell r="O517">
            <v>3.1315240083507279E-2</v>
          </cell>
          <cell r="P517">
            <v>2.4657534246575352E-2</v>
          </cell>
          <cell r="Q517">
            <v>-1.2524084778420042E-2</v>
          </cell>
          <cell r="R517">
            <v>1.5611448395489891E-2</v>
          </cell>
          <cell r="S517">
            <v>-4.1269841269841345E-2</v>
          </cell>
          <cell r="T517">
            <v>4.0650406504064929E-2</v>
          </cell>
          <cell r="U517">
            <v>3.5175879396984966E-2</v>
          </cell>
          <cell r="V517">
            <v>9.8305084745762716E-2</v>
          </cell>
          <cell r="W517">
            <v>-2.2103658536585247E-2</v>
          </cell>
          <cell r="X517">
            <v>8.4350721420643815E-2</v>
          </cell>
          <cell r="Y517">
            <v>7.8683834048640877E-2</v>
          </cell>
          <cell r="Z517">
            <v>-1.8666142472630876E-2</v>
          </cell>
          <cell r="AB517">
            <v>0.5195172570821156</v>
          </cell>
          <cell r="AC517">
            <v>1.3986862127112003</v>
          </cell>
          <cell r="AD517">
            <v>0.51765200488541496</v>
          </cell>
          <cell r="AE517">
            <v>0.91959720502968023</v>
          </cell>
          <cell r="AF517">
            <v>1.1334028837969528</v>
          </cell>
          <cell r="AG517">
            <v>1.1011861060236114</v>
          </cell>
          <cell r="AH517">
            <v>0.82070801413167704</v>
          </cell>
          <cell r="AI517">
            <v>1.0596072344490646</v>
          </cell>
          <cell r="AJ517">
            <v>0.73630654245497817</v>
          </cell>
          <cell r="AK517">
            <v>1.272724862564677</v>
          </cell>
          <cell r="AL517">
            <v>1.522295122976016</v>
          </cell>
        </row>
        <row r="518">
          <cell r="A518" t="str">
            <v>13/02/2006</v>
          </cell>
          <cell r="B518">
            <v>25.5</v>
          </cell>
          <cell r="C518">
            <v>55.6</v>
          </cell>
          <cell r="D518">
            <v>101.9</v>
          </cell>
          <cell r="E518">
            <v>60</v>
          </cell>
          <cell r="F518">
            <v>15.15</v>
          </cell>
          <cell r="G518">
            <v>3.2749999999999999</v>
          </cell>
          <cell r="H518">
            <v>10.85</v>
          </cell>
          <cell r="I518">
            <v>64.400000000000006</v>
          </cell>
          <cell r="J518">
            <v>127.8</v>
          </cell>
          <cell r="K518">
            <v>199.9</v>
          </cell>
          <cell r="L518">
            <v>38.700000000000003</v>
          </cell>
          <cell r="M518">
            <v>15312.09</v>
          </cell>
          <cell r="O518">
            <v>6.6945606694560622E-2</v>
          </cell>
          <cell r="P518">
            <v>-3.5842293906809264E-3</v>
          </cell>
          <cell r="Q518">
            <v>-1.9249278152069338E-2</v>
          </cell>
          <cell r="R518">
            <v>3.9861351819757251E-2</v>
          </cell>
          <cell r="S518">
            <v>-4.1139240506329111E-2</v>
          </cell>
          <cell r="T518">
            <v>4.8000000000000043E-2</v>
          </cell>
          <cell r="U518">
            <v>9.0452261306532611E-2</v>
          </cell>
          <cell r="V518">
            <v>8.6003372681281665E-2</v>
          </cell>
          <cell r="W518">
            <v>-2.5914634146341431E-2</v>
          </cell>
          <cell r="X518">
            <v>9.8351648351648446E-2</v>
          </cell>
          <cell r="Y518">
            <v>9.9431818181818121E-2</v>
          </cell>
          <cell r="Z518">
            <v>-3.0141937183817746E-2</v>
          </cell>
          <cell r="AB518">
            <v>0.50371832266900918</v>
          </cell>
          <cell r="AC518">
            <v>1.3890854771685817</v>
          </cell>
          <cell r="AD518">
            <v>0.51677556573599859</v>
          </cell>
          <cell r="AE518">
            <v>0.90651963477848163</v>
          </cell>
          <cell r="AF518">
            <v>1.1340143693447622</v>
          </cell>
          <cell r="AG518">
            <v>1.083951152728436</v>
          </cell>
          <cell r="AH518">
            <v>0.79728246921076151</v>
          </cell>
          <cell r="AI518">
            <v>1.0377391425203333</v>
          </cell>
          <cell r="AJ518">
            <v>0.73491629085708732</v>
          </cell>
          <cell r="AK518">
            <v>1.2496350253747155</v>
          </cell>
          <cell r="AL518">
            <v>1.5048703839154014</v>
          </cell>
        </row>
        <row r="519">
          <cell r="A519" t="str">
            <v>14/02/2006</v>
          </cell>
          <cell r="B519">
            <v>26.2</v>
          </cell>
          <cell r="C519">
            <v>56</v>
          </cell>
          <cell r="D519">
            <v>102.6</v>
          </cell>
          <cell r="E519">
            <v>61</v>
          </cell>
          <cell r="F519">
            <v>15.45</v>
          </cell>
          <cell r="G519">
            <v>3.2749999999999999</v>
          </cell>
          <cell r="H519">
            <v>10.8</v>
          </cell>
          <cell r="I519">
            <v>65</v>
          </cell>
          <cell r="J519">
            <v>128.5</v>
          </cell>
          <cell r="K519">
            <v>202.2</v>
          </cell>
          <cell r="L519">
            <v>39.700000000000003</v>
          </cell>
          <cell r="M519">
            <v>15420.32</v>
          </cell>
          <cell r="O519">
            <v>0.10084033613445365</v>
          </cell>
          <cell r="P519">
            <v>-3.558718861210064E-3</v>
          </cell>
          <cell r="Q519">
            <v>-4.8496605237633439E-3</v>
          </cell>
          <cell r="R519">
            <v>6.5502183406113579E-2</v>
          </cell>
          <cell r="S519">
            <v>-3.225806451612967E-3</v>
          </cell>
          <cell r="T519">
            <v>5.6451612903225756E-2</v>
          </cell>
          <cell r="U519">
            <v>0.1020408163265305</v>
          </cell>
          <cell r="V519">
            <v>9.243697478991586E-2</v>
          </cell>
          <cell r="W519">
            <v>-1.1538461538461497E-2</v>
          </cell>
          <cell r="X519">
            <v>6.1417322834645516E-2</v>
          </cell>
          <cell r="Y519">
            <v>0.1523947750362844</v>
          </cell>
          <cell r="Z519">
            <v>-1.0007575660302304E-2</v>
          </cell>
          <cell r="AB519">
            <v>0.49161350049271646</v>
          </cell>
          <cell r="AC519">
            <v>1.3923129392623086</v>
          </cell>
          <cell r="AD519">
            <v>0.51533431960097931</v>
          </cell>
          <cell r="AE519">
            <v>0.89966209773262851</v>
          </cell>
          <cell r="AF519">
            <v>1.135171615544907</v>
          </cell>
          <cell r="AG519">
            <v>1.0747330710388205</v>
          </cell>
          <cell r="AH519">
            <v>0.78753573020179135</v>
          </cell>
          <cell r="AI519">
            <v>1.0314597269109367</v>
          </cell>
          <cell r="AJ519">
            <v>0.73229012556063211</v>
          </cell>
          <cell r="AK519">
            <v>1.2396603756755669</v>
          </cell>
          <cell r="AL519">
            <v>1.5010880772916178</v>
          </cell>
        </row>
        <row r="520">
          <cell r="A520" t="str">
            <v>15/02/2006</v>
          </cell>
          <cell r="B520">
            <v>26.1</v>
          </cell>
          <cell r="C520">
            <v>55.6</v>
          </cell>
          <cell r="D520">
            <v>102.7</v>
          </cell>
          <cell r="E520">
            <v>62.35</v>
          </cell>
          <cell r="F520">
            <v>15.65</v>
          </cell>
          <cell r="G520">
            <v>3.3</v>
          </cell>
          <cell r="H520">
            <v>10.85</v>
          </cell>
          <cell r="I520">
            <v>64.55</v>
          </cell>
          <cell r="J520">
            <v>128.6</v>
          </cell>
          <cell r="K520">
            <v>201.2</v>
          </cell>
          <cell r="L520">
            <v>39.799999999999997</v>
          </cell>
          <cell r="M520">
            <v>15423.26</v>
          </cell>
          <cell r="O520">
            <v>9.6638655462184975E-2</v>
          </cell>
          <cell r="P520">
            <v>-7.1428571428571175E-3</v>
          </cell>
          <cell r="Q520">
            <v>-1.9436345966958868E-3</v>
          </cell>
          <cell r="R520">
            <v>9.8678414096916356E-2</v>
          </cell>
          <cell r="S520">
            <v>9.6774193548387899E-3</v>
          </cell>
          <cell r="T520">
            <v>6.4516129032258007E-2</v>
          </cell>
          <cell r="U520">
            <v>9.59595959595958E-2</v>
          </cell>
          <cell r="V520">
            <v>7.5833333333333197E-2</v>
          </cell>
          <cell r="W520">
            <v>-4.6439628482971562E-3</v>
          </cell>
          <cell r="X520">
            <v>7.7087794432548096E-2</v>
          </cell>
          <cell r="Y520">
            <v>0.1671554252199412</v>
          </cell>
          <cell r="Z520">
            <v>-3.7432474593392939E-3</v>
          </cell>
          <cell r="AB520">
            <v>0.4843168037186571</v>
          </cell>
          <cell r="AC520">
            <v>1.3989611510662965</v>
          </cell>
          <cell r="AD520">
            <v>0.51512978007731902</v>
          </cell>
          <cell r="AE520">
            <v>0.89525606123368595</v>
          </cell>
          <cell r="AF520">
            <v>1.1348904062847687</v>
          </cell>
          <cell r="AG520">
            <v>1.0701523714917887</v>
          </cell>
          <cell r="AH520">
            <v>0.7819705151677655</v>
          </cell>
          <cell r="AI520">
            <v>1.0255792983013332</v>
          </cell>
          <cell r="AJ520">
            <v>0.73015227079075007</v>
          </cell>
          <cell r="AK520">
            <v>1.2321472230221684</v>
          </cell>
          <cell r="AL520">
            <v>1.4973296157544769</v>
          </cell>
        </row>
        <row r="521">
          <cell r="A521" t="str">
            <v>16/02/2006</v>
          </cell>
          <cell r="B521">
            <v>25.95</v>
          </cell>
          <cell r="C521">
            <v>55.6</v>
          </cell>
          <cell r="D521">
            <v>102.6</v>
          </cell>
          <cell r="E521">
            <v>62</v>
          </cell>
          <cell r="F521">
            <v>15.6</v>
          </cell>
          <cell r="G521">
            <v>3.25</v>
          </cell>
          <cell r="H521">
            <v>10.75</v>
          </cell>
          <cell r="I521">
            <v>65.2</v>
          </cell>
          <cell r="J521">
            <v>128.6</v>
          </cell>
          <cell r="K521">
            <v>198.1</v>
          </cell>
          <cell r="L521">
            <v>39.25</v>
          </cell>
          <cell r="M521">
            <v>15450.88</v>
          </cell>
          <cell r="O521">
            <v>8.5774058577405832E-2</v>
          </cell>
          <cell r="P521">
            <v>-2.6269702276707552E-2</v>
          </cell>
          <cell r="Q521">
            <v>-8.6956521739131043E-3</v>
          </cell>
          <cell r="R521">
            <v>7.9199303742384597E-2</v>
          </cell>
          <cell r="S521">
            <v>-3.1948881789137795E-3</v>
          </cell>
          <cell r="T521">
            <v>2.3622047244094446E-2</v>
          </cell>
          <cell r="U521">
            <v>7.4999999999999956E-2</v>
          </cell>
          <cell r="V521">
            <v>7.7685950413223237E-2</v>
          </cell>
          <cell r="W521">
            <v>-1.2288786482334779E-2</v>
          </cell>
          <cell r="X521">
            <v>4.3180621379673489E-2</v>
          </cell>
          <cell r="Y521">
            <v>0.12303290414878387</v>
          </cell>
          <cell r="Z521">
            <v>-1.4009835090571965E-2</v>
          </cell>
          <cell r="AB521">
            <v>0.47332791339653491</v>
          </cell>
          <cell r="AC521">
            <v>1.4019797613189342</v>
          </cell>
          <cell r="AD521">
            <v>0.51428695910296041</v>
          </cell>
          <cell r="AE521">
            <v>0.88525313139309647</v>
          </cell>
          <cell r="AF521">
            <v>1.133122750921203</v>
          </cell>
          <cell r="AG521">
            <v>1.0639715139891666</v>
          </cell>
          <cell r="AH521">
            <v>0.7714987781722632</v>
          </cell>
          <cell r="AI521">
            <v>1.0154156717406242</v>
          </cell>
          <cell r="AJ521">
            <v>0.72821847661650974</v>
          </cell>
          <cell r="AK521">
            <v>1.2258663175253697</v>
          </cell>
          <cell r="AL521">
            <v>1.4903590961362436</v>
          </cell>
        </row>
        <row r="522">
          <cell r="A522" t="str">
            <v>17/02/2006</v>
          </cell>
          <cell r="B522">
            <v>25.95</v>
          </cell>
          <cell r="C522">
            <v>56.45</v>
          </cell>
          <cell r="D522">
            <v>102.5</v>
          </cell>
          <cell r="E522">
            <v>63.3</v>
          </cell>
          <cell r="F522">
            <v>15.55</v>
          </cell>
          <cell r="G522">
            <v>3.2749999999999999</v>
          </cell>
          <cell r="H522">
            <v>10.6</v>
          </cell>
          <cell r="I522">
            <v>64.2</v>
          </cell>
          <cell r="J522">
            <v>129.19999999999999</v>
          </cell>
          <cell r="K522">
            <v>199.5</v>
          </cell>
          <cell r="L522">
            <v>38.549999999999997</v>
          </cell>
          <cell r="M522">
            <v>15475.69</v>
          </cell>
          <cell r="O522">
            <v>8.3507306889352817E-2</v>
          </cell>
          <cell r="P522">
            <v>-6.1619718309857685E-3</v>
          </cell>
          <cell r="Q522">
            <v>-8.704061895551285E-3</v>
          </cell>
          <cell r="R522">
            <v>9.8958333333333259E-2</v>
          </cell>
          <cell r="S522">
            <v>6.4724919093852584E-3</v>
          </cell>
          <cell r="T522">
            <v>4.8000000000000043E-2</v>
          </cell>
          <cell r="U522">
            <v>7.0707070707070718E-2</v>
          </cell>
          <cell r="V522">
            <v>5.9405940594059459E-2</v>
          </cell>
          <cell r="W522">
            <v>-5.388760585065544E-3</v>
          </cell>
          <cell r="X522">
            <v>5.1660516605166018E-2</v>
          </cell>
          <cell r="Y522">
            <v>9.9857346647646228E-2</v>
          </cell>
          <cell r="Z522">
            <v>-1.1900718167701774E-2</v>
          </cell>
          <cell r="AB522">
            <v>0.46377210596206248</v>
          </cell>
          <cell r="AC522">
            <v>1.4028508961980828</v>
          </cell>
          <cell r="AD522">
            <v>0.51335700244287541</v>
          </cell>
          <cell r="AE522">
            <v>0.8777341210406151</v>
          </cell>
          <cell r="AF522">
            <v>1.1313617701336574</v>
          </cell>
          <cell r="AG522">
            <v>1.0555611011437513</v>
          </cell>
          <cell r="AH522">
            <v>0.76237859907618311</v>
          </cell>
          <cell r="AI522">
            <v>1.0081433411656411</v>
          </cell>
          <cell r="AJ522">
            <v>0.72449722667673144</v>
          </cell>
          <cell r="AK522">
            <v>1.2193444581444541</v>
          </cell>
          <cell r="AL522">
            <v>1.4897163351514218</v>
          </cell>
        </row>
        <row r="523">
          <cell r="A523" t="str">
            <v>21/02/2006</v>
          </cell>
          <cell r="B523">
            <v>25.95</v>
          </cell>
          <cell r="C523">
            <v>55.75</v>
          </cell>
          <cell r="D523">
            <v>102.7</v>
          </cell>
          <cell r="E523">
            <v>61.8</v>
          </cell>
          <cell r="F523">
            <v>15.4</v>
          </cell>
          <cell r="G523">
            <v>3.1749999999999998</v>
          </cell>
          <cell r="H523">
            <v>10.7</v>
          </cell>
          <cell r="I523">
            <v>65</v>
          </cell>
          <cell r="J523">
            <v>129.6</v>
          </cell>
          <cell r="K523">
            <v>203.6</v>
          </cell>
          <cell r="L523">
            <v>38.65</v>
          </cell>
          <cell r="M523">
            <v>15627.24</v>
          </cell>
          <cell r="O523">
            <v>8.8050314465408785E-2</v>
          </cell>
          <cell r="P523">
            <v>-3.5746201966041502E-3</v>
          </cell>
          <cell r="Q523">
            <v>-2.9126213592233219E-3</v>
          </cell>
          <cell r="R523">
            <v>8.0419580419580416E-2</v>
          </cell>
          <cell r="S523">
            <v>9.8360655737705915E-3</v>
          </cell>
          <cell r="T523">
            <v>3.2520325203251987E-2</v>
          </cell>
          <cell r="U523">
            <v>9.183673469387732E-2</v>
          </cell>
          <cell r="V523">
            <v>8.5141903171953359E-2</v>
          </cell>
          <cell r="W523">
            <v>7.7760497667185291E-3</v>
          </cell>
          <cell r="X523">
            <v>7.5541468568409931E-2</v>
          </cell>
          <cell r="Y523">
            <v>0.10428571428571431</v>
          </cell>
          <cell r="Z523">
            <v>1.0505814182816708E-2</v>
          </cell>
          <cell r="AB523">
            <v>0.46131193483138533</v>
          </cell>
          <cell r="AC523">
            <v>1.4055567364032471</v>
          </cell>
          <cell r="AD523">
            <v>0.5113564041544354</v>
          </cell>
          <cell r="AE523">
            <v>0.88423963632868208</v>
          </cell>
          <cell r="AF523">
            <v>1.1323451570498908</v>
          </cell>
          <cell r="AG523">
            <v>1.0552628696297648</v>
          </cell>
          <cell r="AH523">
            <v>0.76320844732019466</v>
          </cell>
          <cell r="AI523">
            <v>1.0082214154602138</v>
          </cell>
          <cell r="AJ523">
            <v>0.72104214189324756</v>
          </cell>
          <cell r="AK523">
            <v>1.2197937882462158</v>
          </cell>
          <cell r="AL523">
            <v>1.4988798840588842</v>
          </cell>
        </row>
        <row r="524">
          <cell r="A524" t="str">
            <v>22/02/2006</v>
          </cell>
          <cell r="B524">
            <v>25.9</v>
          </cell>
          <cell r="C524">
            <v>55.65</v>
          </cell>
          <cell r="D524">
            <v>102.6</v>
          </cell>
          <cell r="E524">
            <v>61</v>
          </cell>
          <cell r="F524">
            <v>15.45</v>
          </cell>
          <cell r="G524">
            <v>3.2250000000000001</v>
          </cell>
          <cell r="H524">
            <v>10.65</v>
          </cell>
          <cell r="I524">
            <v>64.5</v>
          </cell>
          <cell r="J524">
            <v>129.6</v>
          </cell>
          <cell r="K524">
            <v>199.9</v>
          </cell>
          <cell r="L524">
            <v>38.75</v>
          </cell>
          <cell r="M524">
            <v>15635.72</v>
          </cell>
          <cell r="O524">
            <v>9.2827004219409259E-2</v>
          </cell>
          <cell r="P524">
            <v>-6.2499999999999778E-3</v>
          </cell>
          <cell r="Q524">
            <v>-3.8834951456311328E-3</v>
          </cell>
          <cell r="R524">
            <v>7.9646017699114946E-2</v>
          </cell>
          <cell r="S524">
            <v>6.514657980456029E-3</v>
          </cell>
          <cell r="T524">
            <v>4.0322580645161255E-2</v>
          </cell>
          <cell r="U524">
            <v>8.6734693877551061E-2</v>
          </cell>
          <cell r="V524">
            <v>7.4999999999999956E-2</v>
          </cell>
          <cell r="W524">
            <v>7.7760497667185291E-3</v>
          </cell>
          <cell r="X524">
            <v>4.6049188906331917E-2</v>
          </cell>
          <cell r="Y524">
            <v>7.4895977808599357E-2</v>
          </cell>
          <cell r="Z524">
            <v>6.7705177594898913E-3</v>
          </cell>
          <cell r="AB524">
            <v>0.4548931921297058</v>
          </cell>
          <cell r="AC524">
            <v>1.4089895703516362</v>
          </cell>
          <cell r="AD524">
            <v>0.50868947674317855</v>
          </cell>
          <cell r="AE524">
            <v>0.89153712268003427</v>
          </cell>
          <cell r="AF524">
            <v>1.1351000796100545</v>
          </cell>
          <cell r="AG524">
            <v>1.0542170137332456</v>
          </cell>
          <cell r="AH524">
            <v>0.76748907771461572</v>
          </cell>
          <cell r="AI524">
            <v>1.00686357003964</v>
          </cell>
          <cell r="AJ524">
            <v>0.71758656939994925</v>
          </cell>
          <cell r="AK524">
            <v>1.2175037782688327</v>
          </cell>
          <cell r="AL524">
            <v>1.5070936688110486</v>
          </cell>
        </row>
        <row r="525">
          <cell r="A525" t="str">
            <v>23/02/2006</v>
          </cell>
          <cell r="B525">
            <v>26.6</v>
          </cell>
          <cell r="C525">
            <v>55.55</v>
          </cell>
          <cell r="D525">
            <v>103.2</v>
          </cell>
          <cell r="E525">
            <v>60.9</v>
          </cell>
          <cell r="F525">
            <v>15.65</v>
          </cell>
          <cell r="G525">
            <v>3.2749999999999999</v>
          </cell>
          <cell r="H525">
            <v>10.8</v>
          </cell>
          <cell r="I525">
            <v>67.099999999999994</v>
          </cell>
          <cell r="J525">
            <v>130.5</v>
          </cell>
          <cell r="K525">
            <v>201.6</v>
          </cell>
          <cell r="L525">
            <v>39.049999999999997</v>
          </cell>
          <cell r="M525">
            <v>15812.53</v>
          </cell>
          <cell r="O525">
            <v>0.11297071129707126</v>
          </cell>
          <cell r="P525">
            <v>5.4298642533936459E-3</v>
          </cell>
          <cell r="Q525">
            <v>2.9154518950436081E-3</v>
          </cell>
          <cell r="R525">
            <v>7.4074074074073959E-2</v>
          </cell>
          <cell r="S525">
            <v>2.9605263157894912E-2</v>
          </cell>
          <cell r="T525">
            <v>5.6451612903225756E-2</v>
          </cell>
          <cell r="U525">
            <v>9.6446700507614391E-2</v>
          </cell>
          <cell r="V525">
            <v>0.10361842105263164</v>
          </cell>
          <cell r="W525">
            <v>1.7147310989867437E-2</v>
          </cell>
          <cell r="X525">
            <v>5.3291536050156685E-2</v>
          </cell>
          <cell r="Y525">
            <v>6.4032697547683703E-2</v>
          </cell>
          <cell r="Z525">
            <v>1.8822980608090401E-2</v>
          </cell>
          <cell r="AB525">
            <v>0.4574835887366227</v>
          </cell>
          <cell r="AC525">
            <v>1.4063661825158293</v>
          </cell>
          <cell r="AD525">
            <v>0.50774143759613499</v>
          </cell>
          <cell r="AE525">
            <v>0.89506932961587338</v>
          </cell>
          <cell r="AF525">
            <v>1.1354522193173902</v>
          </cell>
          <cell r="AG525">
            <v>1.0576268546584739</v>
          </cell>
          <cell r="AH525">
            <v>0.77276343889472154</v>
          </cell>
          <cell r="AI525">
            <v>1.0059292217048161</v>
          </cell>
          <cell r="AJ525">
            <v>0.71683117865860069</v>
          </cell>
          <cell r="AK525">
            <v>1.2166523276173768</v>
          </cell>
          <cell r="AL525">
            <v>1.5098964505241437</v>
          </cell>
        </row>
        <row r="526">
          <cell r="A526" t="str">
            <v>24/02/2006</v>
          </cell>
          <cell r="B526">
            <v>26.4</v>
          </cell>
          <cell r="C526">
            <v>55.5</v>
          </cell>
          <cell r="D526">
            <v>103.2</v>
          </cell>
          <cell r="E526">
            <v>60.8</v>
          </cell>
          <cell r="F526">
            <v>15.65</v>
          </cell>
          <cell r="G526">
            <v>3.45</v>
          </cell>
          <cell r="H526">
            <v>10.7</v>
          </cell>
          <cell r="I526">
            <v>69.75</v>
          </cell>
          <cell r="J526">
            <v>131.80000000000001</v>
          </cell>
          <cell r="K526">
            <v>199.5</v>
          </cell>
          <cell r="L526">
            <v>38.75</v>
          </cell>
          <cell r="M526">
            <v>15856.05</v>
          </cell>
          <cell r="O526">
            <v>0.10229645093945727</v>
          </cell>
          <cell r="P526">
            <v>2.6827012025901986E-2</v>
          </cell>
          <cell r="Q526">
            <v>1.9417475728156219E-3</v>
          </cell>
          <cell r="R526">
            <v>8.4745762711864403E-2</v>
          </cell>
          <cell r="S526">
            <v>2.6229508196721429E-2</v>
          </cell>
          <cell r="T526">
            <v>0.11290322580645173</v>
          </cell>
          <cell r="U526">
            <v>7.5376884422110546E-2</v>
          </cell>
          <cell r="V526">
            <v>0.13877551020408174</v>
          </cell>
          <cell r="W526">
            <v>2.4087024087024345E-2</v>
          </cell>
          <cell r="X526">
            <v>4.4502617801047029E-2</v>
          </cell>
          <cell r="Y526">
            <v>4.7297297297297369E-2</v>
          </cell>
          <cell r="Z526">
            <v>2.1648098236670243E-2</v>
          </cell>
          <cell r="AB526">
            <v>0.46061179299608745</v>
          </cell>
          <cell r="AC526">
            <v>1.4050368233343509</v>
          </cell>
          <cell r="AD526">
            <v>0.50760533057301038</v>
          </cell>
          <cell r="AE526">
            <v>0.90002482819950169</v>
          </cell>
          <cell r="AF526">
            <v>1.1364715991997723</v>
          </cell>
          <cell r="AG526">
            <v>1.062976946435745</v>
          </cell>
          <cell r="AH526">
            <v>0.77880042461271415</v>
          </cell>
          <cell r="AI526">
            <v>1.0053114642596566</v>
          </cell>
          <cell r="AJ526">
            <v>0.71571220903380006</v>
          </cell>
          <cell r="AK526">
            <v>1.2185388305703631</v>
          </cell>
          <cell r="AL526">
            <v>1.5135787289419038</v>
          </cell>
        </row>
        <row r="527">
          <cell r="A527" t="str">
            <v>27/02/2006</v>
          </cell>
          <cell r="B527">
            <v>26.5</v>
          </cell>
          <cell r="C527">
            <v>55.5</v>
          </cell>
          <cell r="D527">
            <v>103.7</v>
          </cell>
          <cell r="E527">
            <v>60.1</v>
          </cell>
          <cell r="F527">
            <v>15.6</v>
          </cell>
          <cell r="G527">
            <v>3.5750000000000002</v>
          </cell>
          <cell r="H527">
            <v>10.75</v>
          </cell>
          <cell r="I527">
            <v>68</v>
          </cell>
          <cell r="J527">
            <v>133</v>
          </cell>
          <cell r="K527">
            <v>199.8</v>
          </cell>
          <cell r="L527">
            <v>39.65</v>
          </cell>
          <cell r="M527">
            <v>15949.89</v>
          </cell>
          <cell r="O527">
            <v>9.7308488612836586E-2</v>
          </cell>
          <cell r="P527">
            <v>2.3041474654377891E-2</v>
          </cell>
          <cell r="Q527">
            <v>1.9323671497584183E-3</v>
          </cell>
          <cell r="R527">
            <v>7.1301247771835996E-2</v>
          </cell>
          <cell r="S527">
            <v>3.215434083601254E-3</v>
          </cell>
          <cell r="T527">
            <v>0.14400000000000013</v>
          </cell>
          <cell r="U527">
            <v>6.9651741293532243E-2</v>
          </cell>
          <cell r="V527">
            <v>0.11475409836065564</v>
          </cell>
          <cell r="W527">
            <v>2.5443330763299965E-2</v>
          </cell>
          <cell r="X527">
            <v>3.6307053941908807E-2</v>
          </cell>
          <cell r="Y527">
            <v>4.7556142668427892E-2</v>
          </cell>
          <cell r="Z527">
            <v>1.2489573507249885E-2</v>
          </cell>
          <cell r="AB527">
            <v>0.4624812471821832</v>
          </cell>
          <cell r="AC527">
            <v>1.4075281574622287</v>
          </cell>
          <cell r="AD527">
            <v>0.50678975121307246</v>
          </cell>
          <cell r="AE527">
            <v>0.90278853380394641</v>
          </cell>
          <cell r="AF527">
            <v>1.1368452255119494</v>
          </cell>
          <cell r="AG527">
            <v>1.0636645322679592</v>
          </cell>
          <cell r="AH527">
            <v>0.78173149111688256</v>
          </cell>
          <cell r="AI527">
            <v>0.99657109855557102</v>
          </cell>
          <cell r="AJ527">
            <v>0.71454608780277695</v>
          </cell>
          <cell r="AK527">
            <v>1.2242723465366609</v>
          </cell>
          <cell r="AL527">
            <v>1.5204575033287269</v>
          </cell>
        </row>
        <row r="528">
          <cell r="A528" t="str">
            <v>28/02/2006</v>
          </cell>
          <cell r="B528">
            <v>26.65</v>
          </cell>
          <cell r="C528">
            <v>54.3</v>
          </cell>
          <cell r="D528">
            <v>103.9</v>
          </cell>
          <cell r="E528">
            <v>59.85</v>
          </cell>
          <cell r="F528">
            <v>15.65</v>
          </cell>
          <cell r="G528">
            <v>3.5249999999999999</v>
          </cell>
          <cell r="H528">
            <v>10.65</v>
          </cell>
          <cell r="I528">
            <v>68.7</v>
          </cell>
          <cell r="J528">
            <v>133.6</v>
          </cell>
          <cell r="K528">
            <v>201</v>
          </cell>
          <cell r="L528">
            <v>39.85</v>
          </cell>
          <cell r="M528">
            <v>15918.48</v>
          </cell>
          <cell r="O528">
            <v>0.10351966873706009</v>
          </cell>
          <cell r="P528">
            <v>9.2165898617513342E-4</v>
          </cell>
          <cell r="Q528">
            <v>3.8647342995170586E-3</v>
          </cell>
          <cell r="R528">
            <v>6.6844919786096302E-2</v>
          </cell>
          <cell r="S528">
            <v>6.4308681672025081E-3</v>
          </cell>
          <cell r="T528">
            <v>0.12799999999999989</v>
          </cell>
          <cell r="U528">
            <v>5.9701492537313383E-2</v>
          </cell>
          <cell r="V528">
            <v>0.1262295081967213</v>
          </cell>
          <cell r="W528">
            <v>3.0069390902081716E-2</v>
          </cell>
          <cell r="X528">
            <v>4.2531120331950056E-2</v>
          </cell>
          <cell r="Y528">
            <v>5.2840158520475633E-2</v>
          </cell>
          <cell r="Z528">
            <v>1.0495685304644065E-2</v>
          </cell>
          <cell r="AB528">
            <v>0.4625891098185152</v>
          </cell>
          <cell r="AC528">
            <v>1.4083494426899721</v>
          </cell>
          <cell r="AD528">
            <v>0.50665184264048724</v>
          </cell>
          <cell r="AE528">
            <v>0.90163111512358574</v>
          </cell>
          <cell r="AF528">
            <v>1.1365117901297945</v>
          </cell>
          <cell r="AG528">
            <v>1.0622587863700645</v>
          </cell>
          <cell r="AH528">
            <v>0.78433090832916841</v>
          </cell>
          <cell r="AI528">
            <v>0.98531966260406734</v>
          </cell>
          <cell r="AJ528">
            <v>0.71271061516080514</v>
          </cell>
          <cell r="AK528">
            <v>1.2310035645194197</v>
          </cell>
          <cell r="AL528">
            <v>1.5327766275423604</v>
          </cell>
        </row>
        <row r="529">
          <cell r="A529" t="str">
            <v>01/03/2006</v>
          </cell>
          <cell r="B529">
            <v>26.6</v>
          </cell>
          <cell r="C529">
            <v>54.4</v>
          </cell>
          <cell r="D529">
            <v>103.5</v>
          </cell>
          <cell r="E529">
            <v>62.2</v>
          </cell>
          <cell r="F529">
            <v>15.6</v>
          </cell>
          <cell r="G529">
            <v>3.45</v>
          </cell>
          <cell r="H529">
            <v>10.55</v>
          </cell>
          <cell r="I529">
            <v>67.55</v>
          </cell>
          <cell r="J529">
            <v>132.69999999999999</v>
          </cell>
          <cell r="K529">
            <v>202</v>
          </cell>
          <cell r="L529">
            <v>40.4</v>
          </cell>
          <cell r="M529">
            <v>15818.09</v>
          </cell>
          <cell r="O529">
            <v>0.10144927536231907</v>
          </cell>
          <cell r="P529">
            <v>2.7649769585254003E-3</v>
          </cell>
          <cell r="Q529">
            <v>0</v>
          </cell>
          <cell r="R529">
            <v>0.10873440285204983</v>
          </cell>
          <cell r="S529">
            <v>3.215434083601254E-3</v>
          </cell>
          <cell r="T529">
            <v>0.10400000000000009</v>
          </cell>
          <cell r="U529">
            <v>4.9751243781094523E-2</v>
          </cell>
          <cell r="V529">
            <v>0.10737704918032787</v>
          </cell>
          <cell r="W529">
            <v>2.3130300693908978E-2</v>
          </cell>
          <cell r="X529">
            <v>4.7717842323651283E-2</v>
          </cell>
          <cell r="Y529">
            <v>6.7371202113606365E-2</v>
          </cell>
          <cell r="Z529">
            <v>4.1229875440706998E-3</v>
          </cell>
          <cell r="AB529">
            <v>0.45971907152783087</v>
          </cell>
          <cell r="AC529">
            <v>1.4060686614066991</v>
          </cell>
          <cell r="AD529">
            <v>0.50624949102872008</v>
          </cell>
          <cell r="AE529">
            <v>0.89749546197703234</v>
          </cell>
          <cell r="AF529">
            <v>1.1357872474370758</v>
          </cell>
          <cell r="AG529">
            <v>1.0598210364168557</v>
          </cell>
          <cell r="AH529">
            <v>0.78461131429822362</v>
          </cell>
          <cell r="AI529">
            <v>0.97592971499092185</v>
          </cell>
          <cell r="AJ529">
            <v>0.71189480350312162</v>
          </cell>
          <cell r="AK529">
            <v>1.2326207505138251</v>
          </cell>
          <cell r="AL529">
            <v>1.535863392005028</v>
          </cell>
        </row>
        <row r="530">
          <cell r="A530" t="str">
            <v>02/03/2006</v>
          </cell>
          <cell r="B530">
            <v>26.65</v>
          </cell>
          <cell r="C530">
            <v>56.05</v>
          </cell>
          <cell r="D530">
            <v>103.5</v>
          </cell>
          <cell r="E530">
            <v>62.2</v>
          </cell>
          <cell r="F530">
            <v>15.6</v>
          </cell>
          <cell r="G530">
            <v>3.5750000000000002</v>
          </cell>
          <cell r="H530">
            <v>10.6</v>
          </cell>
          <cell r="I530">
            <v>68</v>
          </cell>
          <cell r="J530">
            <v>132.9</v>
          </cell>
          <cell r="K530">
            <v>199.7</v>
          </cell>
          <cell r="L530">
            <v>41.1</v>
          </cell>
          <cell r="M530">
            <v>15882.45</v>
          </cell>
          <cell r="O530">
            <v>0.10810810810810811</v>
          </cell>
          <cell r="P530">
            <v>2.0018198362147244E-2</v>
          </cell>
          <cell r="Q530">
            <v>0</v>
          </cell>
          <cell r="R530">
            <v>0.11569506726457401</v>
          </cell>
          <cell r="S530">
            <v>9.7087378640776656E-3</v>
          </cell>
          <cell r="T530">
            <v>0.1171875</v>
          </cell>
          <cell r="U530">
            <v>4.4334975369457963E-2</v>
          </cell>
          <cell r="V530">
            <v>9.3247588424437255E-2</v>
          </cell>
          <cell r="W530">
            <v>3.2634032634032861E-2</v>
          </cell>
          <cell r="X530">
            <v>4.9947423764458376E-2</v>
          </cell>
          <cell r="Y530">
            <v>9.01856763925728E-2</v>
          </cell>
          <cell r="Z530">
            <v>8.9027651613806658E-3</v>
          </cell>
          <cell r="AB530">
            <v>0.45859755171282396</v>
          </cell>
          <cell r="AC530">
            <v>1.404266142246565</v>
          </cell>
          <cell r="AD530">
            <v>0.50570588030634578</v>
          </cell>
          <cell r="AE530">
            <v>0.8965681656630986</v>
          </cell>
          <cell r="AF530">
            <v>1.1354159297679021</v>
          </cell>
          <cell r="AG530">
            <v>1.0582182984800772</v>
          </cell>
          <cell r="AH530">
            <v>0.78481242965392961</v>
          </cell>
          <cell r="AI530">
            <v>0.97139696774742501</v>
          </cell>
          <cell r="AJ530">
            <v>0.71211221047718731</v>
          </cell>
          <cell r="AK530">
            <v>1.2347487384068332</v>
          </cell>
          <cell r="AL530">
            <v>1.53852527089266</v>
          </cell>
        </row>
        <row r="531">
          <cell r="A531" t="str">
            <v>03/03/2006</v>
          </cell>
          <cell r="B531">
            <v>26.55</v>
          </cell>
          <cell r="C531">
            <v>55.8</v>
          </cell>
          <cell r="D531">
            <v>102.9</v>
          </cell>
          <cell r="E531">
            <v>62.25</v>
          </cell>
          <cell r="F531">
            <v>15.55</v>
          </cell>
          <cell r="G531">
            <v>3.5249999999999999</v>
          </cell>
          <cell r="H531">
            <v>10.7</v>
          </cell>
          <cell r="I531">
            <v>67.95</v>
          </cell>
          <cell r="J531">
            <v>132.1</v>
          </cell>
          <cell r="K531">
            <v>207.4</v>
          </cell>
          <cell r="L531">
            <v>40.799999999999997</v>
          </cell>
          <cell r="M531">
            <v>15802</v>
          </cell>
          <cell r="O531">
            <v>0.10165975103734426</v>
          </cell>
          <cell r="P531">
            <v>-3.5714285714286698E-3</v>
          </cell>
          <cell r="Q531">
            <v>-1.9398642095052043E-3</v>
          </cell>
          <cell r="R531">
            <v>0.11061552185548629</v>
          </cell>
          <cell r="S531">
            <v>9.7402597402598268E-3</v>
          </cell>
          <cell r="T531">
            <v>9.3023255813953432E-2</v>
          </cell>
          <cell r="U531">
            <v>2.3923444976076569E-2</v>
          </cell>
          <cell r="V531">
            <v>8.459696727853161E-2</v>
          </cell>
          <cell r="W531">
            <v>2.4825446082234137E-2</v>
          </cell>
          <cell r="X531">
            <v>6.468172484599588E-2</v>
          </cell>
          <cell r="Y531">
            <v>7.9365079365079305E-2</v>
          </cell>
          <cell r="Z531">
            <v>7.0298355371536392E-3</v>
          </cell>
          <cell r="AB531">
            <v>0.45635351155620402</v>
          </cell>
          <cell r="AC531">
            <v>1.404362814706464</v>
          </cell>
          <cell r="AD531">
            <v>0.50507013051911132</v>
          </cell>
          <cell r="AE531">
            <v>0.89660562301099189</v>
          </cell>
          <cell r="AF531">
            <v>1.1344397896365455</v>
          </cell>
          <cell r="AG531">
            <v>1.0557180126135082</v>
          </cell>
          <cell r="AH531">
            <v>0.78495278806234947</v>
          </cell>
          <cell r="AI531">
            <v>0.96423737935689968</v>
          </cell>
          <cell r="AJ531">
            <v>0.71224714696422597</v>
          </cell>
          <cell r="AK531">
            <v>1.2381772576232499</v>
          </cell>
          <cell r="AL531">
            <v>1.5429949396174989</v>
          </cell>
        </row>
        <row r="532">
          <cell r="A532" t="str">
            <v>06/03/2006</v>
          </cell>
          <cell r="B532">
            <v>26.55</v>
          </cell>
          <cell r="C532">
            <v>55</v>
          </cell>
          <cell r="D532">
            <v>103.4</v>
          </cell>
          <cell r="E532">
            <v>62.8</v>
          </cell>
          <cell r="F532">
            <v>15.5</v>
          </cell>
          <cell r="G532">
            <v>3.5</v>
          </cell>
          <cell r="H532">
            <v>10.7</v>
          </cell>
          <cell r="I532">
            <v>66.900000000000006</v>
          </cell>
          <cell r="J532">
            <v>132.30000000000001</v>
          </cell>
          <cell r="K532">
            <v>204</v>
          </cell>
          <cell r="L532">
            <v>40.4</v>
          </cell>
          <cell r="M532">
            <v>15811.83</v>
          </cell>
          <cell r="O532">
            <v>0.11554621848739499</v>
          </cell>
          <cell r="P532">
            <v>-1.8733273862622579E-2</v>
          </cell>
          <cell r="Q532">
            <v>8.7804878048780566E-3</v>
          </cell>
          <cell r="R532">
            <v>0.12544802867383509</v>
          </cell>
          <cell r="S532">
            <v>1.9736842105263275E-2</v>
          </cell>
          <cell r="T532">
            <v>0.10236220472440949</v>
          </cell>
          <cell r="U532">
            <v>4.9019607843137303E-2</v>
          </cell>
          <cell r="V532">
            <v>8.0775444264943541E-2</v>
          </cell>
          <cell r="W532">
            <v>3.3593750000000089E-2</v>
          </cell>
          <cell r="X532">
            <v>5.4263565891472965E-2</v>
          </cell>
          <cell r="Y532">
            <v>9.1891891891891841E-2</v>
          </cell>
          <cell r="Z532">
            <v>2.4763881156702139E-2</v>
          </cell>
          <cell r="AB532">
            <v>0.46305125146456488</v>
          </cell>
          <cell r="AC532">
            <v>1.4021809407943704</v>
          </cell>
          <cell r="AD532">
            <v>0.5051942314204878</v>
          </cell>
          <cell r="AE532">
            <v>0.90469735518913386</v>
          </cell>
          <cell r="AF532">
            <v>1.1340035247611591</v>
          </cell>
          <cell r="AG532">
            <v>1.0607709244441723</v>
          </cell>
          <cell r="AH532">
            <v>0.78770366271867254</v>
          </cell>
          <cell r="AI532">
            <v>0.96600146801092246</v>
          </cell>
          <cell r="AJ532">
            <v>0.71397963751518434</v>
          </cell>
          <cell r="AK532">
            <v>1.2397894387691271</v>
          </cell>
          <cell r="AL532">
            <v>1.5457087963749803</v>
          </cell>
        </row>
        <row r="533">
          <cell r="A533" t="str">
            <v>07/03/2006</v>
          </cell>
          <cell r="B533">
            <v>25.8</v>
          </cell>
          <cell r="C533">
            <v>55.15</v>
          </cell>
          <cell r="D533">
            <v>102.7</v>
          </cell>
          <cell r="E533">
            <v>60.5</v>
          </cell>
          <cell r="F533">
            <v>15.3</v>
          </cell>
          <cell r="G533">
            <v>3.35</v>
          </cell>
          <cell r="H533">
            <v>10.45</v>
          </cell>
          <cell r="I533">
            <v>66.900000000000006</v>
          </cell>
          <cell r="J533">
            <v>132.6</v>
          </cell>
          <cell r="K533">
            <v>204</v>
          </cell>
          <cell r="L533">
            <v>40.35</v>
          </cell>
          <cell r="M533">
            <v>15602.36</v>
          </cell>
          <cell r="O533">
            <v>7.9497907949790836E-2</v>
          </cell>
          <cell r="P533">
            <v>-1.0762331838565009E-2</v>
          </cell>
          <cell r="Q533">
            <v>-9.7276264591439343E-4</v>
          </cell>
          <cell r="R533">
            <v>7.460035523978692E-2</v>
          </cell>
          <cell r="S533">
            <v>3.2786885245901232E-3</v>
          </cell>
          <cell r="T533">
            <v>5.5118110236220597E-2</v>
          </cell>
          <cell r="U533">
            <v>2.450980392156854E-2</v>
          </cell>
          <cell r="V533">
            <v>7.8162771958098398E-2</v>
          </cell>
          <cell r="W533">
            <v>3.2710280373831724E-2</v>
          </cell>
          <cell r="X533">
            <v>5.6994818652849721E-2</v>
          </cell>
          <cell r="Y533">
            <v>8.17694369973192E-2</v>
          </cell>
          <cell r="Z533">
            <v>3.4923971222133865E-3</v>
          </cell>
          <cell r="AB533">
            <v>0.4608208365568508</v>
          </cell>
          <cell r="AC533">
            <v>1.4026130600424429</v>
          </cell>
          <cell r="AD533">
            <v>0.50488469671997516</v>
          </cell>
          <cell r="AE533">
            <v>0.9037012793590069</v>
          </cell>
          <cell r="AF533">
            <v>1.1338515277106753</v>
          </cell>
          <cell r="AG533">
            <v>1.0590624834072333</v>
          </cell>
          <cell r="AH533">
            <v>0.78693946440356788</v>
          </cell>
          <cell r="AI533">
            <v>0.96320586297789357</v>
          </cell>
          <cell r="AJ533">
            <v>0.71301094458288394</v>
          </cell>
          <cell r="AK533">
            <v>1.2391911980817476</v>
          </cell>
          <cell r="AL533">
            <v>1.5459177596200424</v>
          </cell>
        </row>
        <row r="534">
          <cell r="A534" t="str">
            <v>08/03/2006</v>
          </cell>
          <cell r="B534">
            <v>25.8</v>
          </cell>
          <cell r="C534">
            <v>55</v>
          </cell>
          <cell r="D534">
            <v>102.4</v>
          </cell>
          <cell r="E534">
            <v>60.45</v>
          </cell>
          <cell r="F534">
            <v>15.05</v>
          </cell>
          <cell r="G534">
            <v>3.3</v>
          </cell>
          <cell r="H534">
            <v>10.35</v>
          </cell>
          <cell r="I534">
            <v>67.8</v>
          </cell>
          <cell r="J534">
            <v>132.4</v>
          </cell>
          <cell r="K534">
            <v>198.1</v>
          </cell>
          <cell r="L534">
            <v>38.700000000000003</v>
          </cell>
          <cell r="M534">
            <v>15493.09</v>
          </cell>
          <cell r="O534">
            <v>7.2765072765072825E-2</v>
          </cell>
          <cell r="P534">
            <v>-1.2567324955116699E-2</v>
          </cell>
          <cell r="Q534">
            <v>-1.9493177387913674E-3</v>
          </cell>
          <cell r="R534">
            <v>6.4260563380281743E-2</v>
          </cell>
          <cell r="S534">
            <v>-9.8684210526315264E-3</v>
          </cell>
          <cell r="T534">
            <v>3.937007874015741E-2</v>
          </cell>
          <cell r="U534">
            <v>-4.8076923076924016E-3</v>
          </cell>
          <cell r="V534">
            <v>9.2667203867848436E-2</v>
          </cell>
          <cell r="W534">
            <v>3.4375000000000044E-2</v>
          </cell>
          <cell r="X534">
            <v>3.717277486910997E-2</v>
          </cell>
          <cell r="Y534">
            <v>-3.8610038610038533E-3</v>
          </cell>
          <cell r="Z534">
            <v>-1.5415340970973412E-3</v>
          </cell>
          <cell r="AB534">
            <v>0.4574443393867697</v>
          </cell>
          <cell r="AC534">
            <v>1.4019114968552591</v>
          </cell>
          <cell r="AD534">
            <v>0.50464309534970198</v>
          </cell>
          <cell r="AE534">
            <v>0.89999825374948328</v>
          </cell>
          <cell r="AF534">
            <v>1.1339482133810062</v>
          </cell>
          <cell r="AG534">
            <v>1.0563838078529699</v>
          </cell>
          <cell r="AH534">
            <v>0.78656285062132947</v>
          </cell>
          <cell r="AI534">
            <v>0.95891646079509962</v>
          </cell>
          <cell r="AJ534">
            <v>0.71076132343411869</v>
          </cell>
          <cell r="AK534">
            <v>1.2374811287255072</v>
          </cell>
          <cell r="AL534">
            <v>1.5474393987096013</v>
          </cell>
        </row>
        <row r="535">
          <cell r="A535" t="str">
            <v>09/03/2006</v>
          </cell>
          <cell r="B535">
            <v>25.25</v>
          </cell>
          <cell r="C535">
            <v>55.15</v>
          </cell>
          <cell r="D535">
            <v>102.3</v>
          </cell>
          <cell r="E535">
            <v>62.55</v>
          </cell>
          <cell r="F535">
            <v>15.15</v>
          </cell>
          <cell r="G535">
            <v>3.4</v>
          </cell>
          <cell r="H535">
            <v>10.5</v>
          </cell>
          <cell r="I535">
            <v>66.8</v>
          </cell>
          <cell r="J535">
            <v>132.6</v>
          </cell>
          <cell r="K535">
            <v>196</v>
          </cell>
          <cell r="L535">
            <v>37.85</v>
          </cell>
          <cell r="M535">
            <v>15510.13</v>
          </cell>
          <cell r="O535">
            <v>4.554865424430643E-2</v>
          </cell>
          <cell r="P535">
            <v>-2.2163120567375905E-2</v>
          </cell>
          <cell r="Q535">
            <v>-9.7656250000011102E-4</v>
          </cell>
          <cell r="R535">
            <v>7.2898799313893647E-2</v>
          </cell>
          <cell r="S535">
            <v>3.3112582781458233E-3</v>
          </cell>
          <cell r="T535">
            <v>8.8000000000000078E-2</v>
          </cell>
          <cell r="U535">
            <v>2.4390243902439046E-2</v>
          </cell>
          <cell r="V535">
            <v>6.8799999999999972E-2</v>
          </cell>
          <cell r="W535">
            <v>3.7558685446009266E-2</v>
          </cell>
          <cell r="X535">
            <v>2.4568740198640748E-2</v>
          </cell>
          <cell r="Y535">
            <v>-1.9430051813471461E-2</v>
          </cell>
          <cell r="Z535">
            <v>8.8913086466007041E-3</v>
          </cell>
          <cell r="AB535">
            <v>0.45741816707566502</v>
          </cell>
          <cell r="AC535">
            <v>1.4013936752832836</v>
          </cell>
          <cell r="AD535">
            <v>0.50478891423314942</v>
          </cell>
          <cell r="AE535">
            <v>0.89922308469554968</v>
          </cell>
          <cell r="AF535">
            <v>1.1340059881012783</v>
          </cell>
          <cell r="AG535">
            <v>1.0557977188024712</v>
          </cell>
          <cell r="AH535">
            <v>0.78637146724892304</v>
          </cell>
          <cell r="AI535">
            <v>0.9589798597056417</v>
          </cell>
          <cell r="AJ535">
            <v>0.71046899365499327</v>
          </cell>
          <cell r="AK535">
            <v>1.2372091622035761</v>
          </cell>
          <cell r="AL535">
            <v>1.5471832049764485</v>
          </cell>
        </row>
        <row r="536">
          <cell r="A536" t="str">
            <v>10/03/2006</v>
          </cell>
          <cell r="B536">
            <v>25.1</v>
          </cell>
          <cell r="C536">
            <v>55.6</v>
          </cell>
          <cell r="D536">
            <v>102.2</v>
          </cell>
          <cell r="E536">
            <v>62.85</v>
          </cell>
          <cell r="F536">
            <v>15.1</v>
          </cell>
          <cell r="G536">
            <v>3.25</v>
          </cell>
          <cell r="H536">
            <v>10.3</v>
          </cell>
          <cell r="I536">
            <v>67.3</v>
          </cell>
          <cell r="J536">
            <v>132.5</v>
          </cell>
          <cell r="K536">
            <v>192.9</v>
          </cell>
          <cell r="L536">
            <v>37.85</v>
          </cell>
          <cell r="M536">
            <v>15445.05</v>
          </cell>
          <cell r="O536">
            <v>3.292181069958855E-2</v>
          </cell>
          <cell r="P536">
            <v>-1.243339253996445E-2</v>
          </cell>
          <cell r="Q536">
            <v>-1.953125E-3</v>
          </cell>
          <cell r="R536">
            <v>7.7120822622108065E-2</v>
          </cell>
          <cell r="S536">
            <v>0</v>
          </cell>
          <cell r="T536">
            <v>2.3622047244094446E-2</v>
          </cell>
          <cell r="U536">
            <v>9.8039215686276382E-3</v>
          </cell>
          <cell r="V536">
            <v>6.3191153238546516E-2</v>
          </cell>
          <cell r="W536">
            <v>3.354134165366629E-2</v>
          </cell>
          <cell r="X536">
            <v>8.3638264506011861E-3</v>
          </cell>
          <cell r="Y536">
            <v>-1.3192612137202797E-3</v>
          </cell>
          <cell r="Z536">
            <v>2.0514577222590091E-3</v>
          </cell>
          <cell r="AB536">
            <v>0.45513701092044861</v>
          </cell>
          <cell r="AC536">
            <v>1.3994544316390594</v>
          </cell>
          <cell r="AD536">
            <v>0.50528959023416886</v>
          </cell>
          <cell r="AE536">
            <v>0.89476568292528458</v>
          </cell>
          <cell r="AF536">
            <v>1.134220716292786</v>
          </cell>
          <cell r="AG536">
            <v>1.0535554152307489</v>
          </cell>
          <cell r="AH536">
            <v>0.78539802863002373</v>
          </cell>
          <cell r="AI536">
            <v>0.95790478686855585</v>
          </cell>
          <cell r="AJ536">
            <v>0.70865539540733613</v>
          </cell>
          <cell r="AK536">
            <v>1.2371573810124354</v>
          </cell>
          <cell r="AL536">
            <v>1.5476283258417791</v>
          </cell>
        </row>
        <row r="537">
          <cell r="A537" t="str">
            <v>13/03/2006</v>
          </cell>
          <cell r="B537">
            <v>25.7</v>
          </cell>
          <cell r="C537">
            <v>56.2</v>
          </cell>
          <cell r="D537">
            <v>102.3</v>
          </cell>
          <cell r="E537">
            <v>64.05</v>
          </cell>
          <cell r="F537">
            <v>15.15</v>
          </cell>
          <cell r="G537">
            <v>3.3</v>
          </cell>
          <cell r="H537">
            <v>10.199999999999999</v>
          </cell>
          <cell r="I537">
            <v>68.05</v>
          </cell>
          <cell r="J537">
            <v>133</v>
          </cell>
          <cell r="K537">
            <v>196.4</v>
          </cell>
          <cell r="L537">
            <v>39.1</v>
          </cell>
          <cell r="M537">
            <v>15542.07</v>
          </cell>
          <cell r="O537">
            <v>4.0485829959514108E-2</v>
          </cell>
          <cell r="P537">
            <v>1.7825311942958333E-3</v>
          </cell>
          <cell r="Q537">
            <v>-1.9512195121951237E-3</v>
          </cell>
          <cell r="R537">
            <v>9.3936806148591012E-2</v>
          </cell>
          <cell r="S537">
            <v>3.3112582781458233E-3</v>
          </cell>
          <cell r="T537">
            <v>3.1249999999999778E-2</v>
          </cell>
          <cell r="U537">
            <v>-9.7087378640777766E-3</v>
          </cell>
          <cell r="V537">
            <v>5.0154320987654266E-2</v>
          </cell>
          <cell r="W537">
            <v>3.6632891660171474E-2</v>
          </cell>
          <cell r="X537">
            <v>5.1177072671442225E-3</v>
          </cell>
          <cell r="Y537">
            <v>3.7135278514588865E-2</v>
          </cell>
          <cell r="Z537">
            <v>7.5275752870973545E-3</v>
          </cell>
          <cell r="AB537">
            <v>0.45397844050247255</v>
          </cell>
          <cell r="AC537">
            <v>1.3980253043866844</v>
          </cell>
          <cell r="AD537">
            <v>0.50569942233184428</v>
          </cell>
          <cell r="AE537">
            <v>0.89213387698122604</v>
          </cell>
          <cell r="AF537">
            <v>1.1343721059116503</v>
          </cell>
          <cell r="AG537">
            <v>1.0524779569490055</v>
          </cell>
          <cell r="AH537">
            <v>0.78497127790079646</v>
          </cell>
          <cell r="AI537">
            <v>0.95790770914481549</v>
          </cell>
          <cell r="AJ537">
            <v>0.70779433409557635</v>
          </cell>
          <cell r="AK537">
            <v>1.2368743575749932</v>
          </cell>
          <cell r="AL537">
            <v>1.5467052821635949</v>
          </cell>
        </row>
        <row r="538">
          <cell r="A538" t="str">
            <v>14/03/2006</v>
          </cell>
          <cell r="B538">
            <v>25.65</v>
          </cell>
          <cell r="C538">
            <v>55.7</v>
          </cell>
          <cell r="D538">
            <v>102.1</v>
          </cell>
          <cell r="E538">
            <v>64</v>
          </cell>
          <cell r="F538">
            <v>15.05</v>
          </cell>
          <cell r="G538">
            <v>3.35</v>
          </cell>
          <cell r="H538">
            <v>10.35</v>
          </cell>
          <cell r="I538">
            <v>68.45</v>
          </cell>
          <cell r="J538">
            <v>132.80000000000001</v>
          </cell>
          <cell r="K538">
            <v>195.5</v>
          </cell>
          <cell r="L538">
            <v>40</v>
          </cell>
          <cell r="M538">
            <v>15519.76</v>
          </cell>
          <cell r="O538">
            <v>5.8823529411764497E-3</v>
          </cell>
          <cell r="P538">
            <v>1.7985611510791255E-3</v>
          </cell>
          <cell r="Q538">
            <v>1.9627085377820208E-3</v>
          </cell>
          <cell r="R538">
            <v>6.6666666666666652E-2</v>
          </cell>
          <cell r="S538">
            <v>-6.6006600660065695E-3</v>
          </cell>
          <cell r="T538">
            <v>2.2900763358778775E-2</v>
          </cell>
          <cell r="U538">
            <v>-4.6082949308755783E-2</v>
          </cell>
          <cell r="V538">
            <v>6.2888198757763858E-2</v>
          </cell>
          <cell r="W538">
            <v>3.9123630672926568E-2</v>
          </cell>
          <cell r="X538">
            <v>-2.2011005502751368E-2</v>
          </cell>
          <cell r="Y538">
            <v>3.3591731266149782E-2</v>
          </cell>
          <cell r="Z538">
            <v>1.3562485591450901E-2</v>
          </cell>
          <cell r="AB538">
            <v>0.45307114929685571</v>
          </cell>
          <cell r="AC538">
            <v>1.39670755593885</v>
          </cell>
          <cell r="AD538">
            <v>0.50564327493165551</v>
          </cell>
          <cell r="AE538">
            <v>0.89142632817035872</v>
          </cell>
          <cell r="AF538">
            <v>1.1341742597880495</v>
          </cell>
          <cell r="AG538">
            <v>1.0516494525705387</v>
          </cell>
          <cell r="AH538">
            <v>0.78342919880417472</v>
          </cell>
          <cell r="AI538">
            <v>0.95879872577696468</v>
          </cell>
          <cell r="AJ538">
            <v>0.70808326678190181</v>
          </cell>
          <cell r="AK538">
            <v>1.2352223872809871</v>
          </cell>
          <cell r="AL538">
            <v>1.5450893223997564</v>
          </cell>
        </row>
        <row r="539">
          <cell r="A539" t="str">
            <v>15/03/2006</v>
          </cell>
          <cell r="B539">
            <v>26.15</v>
          </cell>
          <cell r="C539">
            <v>56.2</v>
          </cell>
          <cell r="D539">
            <v>102.3</v>
          </cell>
          <cell r="E539">
            <v>64.05</v>
          </cell>
          <cell r="F539">
            <v>15.2</v>
          </cell>
          <cell r="G539">
            <v>3.3</v>
          </cell>
          <cell r="H539">
            <v>10.5</v>
          </cell>
          <cell r="I539">
            <v>70.099999999999994</v>
          </cell>
          <cell r="J539">
            <v>133.69999999999999</v>
          </cell>
          <cell r="K539">
            <v>197.2</v>
          </cell>
          <cell r="L539">
            <v>40.65</v>
          </cell>
          <cell r="M539">
            <v>15720.36</v>
          </cell>
          <cell r="O539">
            <v>-1.9083969465648609E-3</v>
          </cell>
          <cell r="P539">
            <v>3.5714285714285587E-3</v>
          </cell>
          <cell r="Q539">
            <v>-2.9239766081871066E-3</v>
          </cell>
          <cell r="R539">
            <v>5.0000000000000044E-2</v>
          </cell>
          <cell r="S539">
            <v>-1.6181229773462813E-2</v>
          </cell>
          <cell r="T539">
            <v>7.6335877862594437E-3</v>
          </cell>
          <cell r="U539">
            <v>-2.777777777777779E-2</v>
          </cell>
          <cell r="V539">
            <v>7.846153846153836E-2</v>
          </cell>
          <cell r="W539">
            <v>4.0466926070038767E-2</v>
          </cell>
          <cell r="X539">
            <v>-2.4727992087042572E-2</v>
          </cell>
          <cell r="Y539">
            <v>2.3929471032745564E-2</v>
          </cell>
          <cell r="Z539">
            <v>1.9457443165900701E-2</v>
          </cell>
          <cell r="AB539">
            <v>0.44806610258148438</v>
          </cell>
          <cell r="AC539">
            <v>1.3926376944515708</v>
          </cell>
          <cell r="AD539">
            <v>0.50494339461425952</v>
          </cell>
          <cell r="AE539">
            <v>0.88764085563767758</v>
          </cell>
          <cell r="AF539">
            <v>1.1344029767722612</v>
          </cell>
          <cell r="AG539">
            <v>1.0474971310463859</v>
          </cell>
          <cell r="AH539">
            <v>0.78094195921742859</v>
          </cell>
          <cell r="AI539">
            <v>0.96282785738100429</v>
          </cell>
          <cell r="AJ539">
            <v>0.70760175781951318</v>
          </cell>
          <cell r="AK539">
            <v>1.2285360768666591</v>
          </cell>
          <cell r="AL539">
            <v>1.5397072590202343</v>
          </cell>
        </row>
        <row r="540">
          <cell r="A540" t="str">
            <v>16/03/2006</v>
          </cell>
          <cell r="B540">
            <v>26.9</v>
          </cell>
          <cell r="C540">
            <v>56.25</v>
          </cell>
          <cell r="D540">
            <v>102.5</v>
          </cell>
          <cell r="E540">
            <v>63.5</v>
          </cell>
          <cell r="F540">
            <v>15.25</v>
          </cell>
          <cell r="G540">
            <v>3.35</v>
          </cell>
          <cell r="H540">
            <v>10.5</v>
          </cell>
          <cell r="I540">
            <v>69</v>
          </cell>
          <cell r="J540">
            <v>133.19999999999999</v>
          </cell>
          <cell r="K540">
            <v>201.4</v>
          </cell>
          <cell r="L540">
            <v>40.1</v>
          </cell>
          <cell r="M540">
            <v>15729.04</v>
          </cell>
          <cell r="O540">
            <v>3.0651340996168397E-2</v>
          </cell>
          <cell r="P540">
            <v>1.1690647482014427E-2</v>
          </cell>
          <cell r="Q540">
            <v>-1.9474196689386325E-3</v>
          </cell>
          <cell r="R540">
            <v>1.8444266238973439E-2</v>
          </cell>
          <cell r="S540">
            <v>-2.5559105431309903E-2</v>
          </cell>
          <cell r="T540">
            <v>1.5151515151515138E-2</v>
          </cell>
          <cell r="U540">
            <v>-3.2258064516129004E-2</v>
          </cell>
          <cell r="V540">
            <v>6.8938807126258661E-2</v>
          </cell>
          <cell r="W540">
            <v>3.5769828926905056E-2</v>
          </cell>
          <cell r="X540">
            <v>9.940357852884496E-4</v>
          </cell>
          <cell r="Y540">
            <v>7.5376884422111434E-3</v>
          </cell>
          <cell r="Z540">
            <v>1.9825899323489438E-2</v>
          </cell>
          <cell r="AB540">
            <v>0.44625229269255934</v>
          </cell>
          <cell r="AC540">
            <v>1.3920836959151328</v>
          </cell>
          <cell r="AD540">
            <v>0.50509420395593063</v>
          </cell>
          <cell r="AE540">
            <v>0.88748997399056995</v>
          </cell>
          <cell r="AF540">
            <v>1.1347085350950732</v>
          </cell>
          <cell r="AG540">
            <v>1.045990069370049</v>
          </cell>
          <cell r="AH540">
            <v>0.78032269732510651</v>
          </cell>
          <cell r="AI540">
            <v>0.96483660500946633</v>
          </cell>
          <cell r="AJ540">
            <v>0.7054459121074208</v>
          </cell>
          <cell r="AK540">
            <v>1.2220584431425854</v>
          </cell>
          <cell r="AL540">
            <v>1.5336648817574656</v>
          </cell>
        </row>
        <row r="541">
          <cell r="A541" t="str">
            <v>17/03/2006</v>
          </cell>
          <cell r="B541">
            <v>27.25</v>
          </cell>
          <cell r="C541">
            <v>56.5</v>
          </cell>
          <cell r="D541">
            <v>100.3</v>
          </cell>
          <cell r="E541">
            <v>62.65</v>
          </cell>
          <cell r="F541">
            <v>15.65</v>
          </cell>
          <cell r="G541">
            <v>3.375</v>
          </cell>
          <cell r="H541">
            <v>10.45</v>
          </cell>
          <cell r="I541">
            <v>69.75</v>
          </cell>
          <cell r="J541">
            <v>133.19999999999999</v>
          </cell>
          <cell r="K541">
            <v>205</v>
          </cell>
          <cell r="L541">
            <v>40.049999999999997</v>
          </cell>
          <cell r="M541">
            <v>15801.66</v>
          </cell>
          <cell r="O541">
            <v>5.0096339113680166E-2</v>
          </cell>
          <cell r="P541">
            <v>1.618705035971213E-2</v>
          </cell>
          <cell r="Q541">
            <v>-2.2417153996101336E-2</v>
          </cell>
          <cell r="R541">
            <v>1.0483870967741948E-2</v>
          </cell>
          <cell r="S541">
            <v>3.2051282051281937E-3</v>
          </cell>
          <cell r="T541">
            <v>3.8461538461538547E-2</v>
          </cell>
          <cell r="U541">
            <v>-2.7906976744186074E-2</v>
          </cell>
          <cell r="V541">
            <v>6.9785276073619507E-2</v>
          </cell>
          <cell r="W541">
            <v>3.5769828926905056E-2</v>
          </cell>
          <cell r="X541">
            <v>3.4830893488137393E-2</v>
          </cell>
          <cell r="Y541">
            <v>2.0382165605095537E-2</v>
          </cell>
          <cell r="Z541">
            <v>2.2702914008781327E-2</v>
          </cell>
          <cell r="AB541">
            <v>0.44479630662646613</v>
          </cell>
          <cell r="AC541">
            <v>1.3848885897013417</v>
          </cell>
          <cell r="AD541">
            <v>0.50357313213567667</v>
          </cell>
          <cell r="AE541">
            <v>0.88225875114923724</v>
          </cell>
          <cell r="AF541">
            <v>1.1362188803401385</v>
          </cell>
          <cell r="AG541">
            <v>1.0440415377658867</v>
          </cell>
          <cell r="AH541">
            <v>0.77820146888759834</v>
          </cell>
          <cell r="AI541">
            <v>0.96753157472161655</v>
          </cell>
          <cell r="AJ541">
            <v>0.70285041020680805</v>
          </cell>
          <cell r="AK541">
            <v>1.2176154163894721</v>
          </cell>
          <cell r="AL541">
            <v>1.5278834111359432</v>
          </cell>
        </row>
        <row r="542">
          <cell r="A542" t="str">
            <v>20/03/2006</v>
          </cell>
          <cell r="B542">
            <v>27.3</v>
          </cell>
          <cell r="C542">
            <v>56.4</v>
          </cell>
          <cell r="D542">
            <v>100.7</v>
          </cell>
          <cell r="E542">
            <v>62</v>
          </cell>
          <cell r="F542">
            <v>15.65</v>
          </cell>
          <cell r="G542">
            <v>3.4</v>
          </cell>
          <cell r="H542">
            <v>10.7</v>
          </cell>
          <cell r="I542">
            <v>69.5</v>
          </cell>
          <cell r="J542">
            <v>134</v>
          </cell>
          <cell r="K542">
            <v>207.6</v>
          </cell>
          <cell r="L542">
            <v>40.4</v>
          </cell>
          <cell r="M542">
            <v>15929.95</v>
          </cell>
          <cell r="O542">
            <v>5.2023121387283267E-2</v>
          </cell>
          <cell r="P542">
            <v>-8.8573959255988655E-4</v>
          </cell>
          <cell r="Q542">
            <v>-1.7560975609756113E-2</v>
          </cell>
          <cell r="R542">
            <v>-2.0537124802527562E-2</v>
          </cell>
          <cell r="S542">
            <v>6.4308681672025081E-3</v>
          </cell>
          <cell r="T542">
            <v>3.8167938931297662E-2</v>
          </cell>
          <cell r="U542">
            <v>9.4339622641508303E-3</v>
          </cell>
          <cell r="V542">
            <v>8.255451713395634E-2</v>
          </cell>
          <cell r="W542">
            <v>3.7151702786377694E-2</v>
          </cell>
          <cell r="X542">
            <v>4.0601503759398527E-2</v>
          </cell>
          <cell r="Y542">
            <v>4.7989623865110298E-2</v>
          </cell>
          <cell r="Z542">
            <v>2.9353133850574586E-2</v>
          </cell>
          <cell r="AB542">
            <v>0.44503117754945343</v>
          </cell>
          <cell r="AC542">
            <v>1.3745450361638336</v>
          </cell>
          <cell r="AD542">
            <v>0.50164750538206293</v>
          </cell>
          <cell r="AE542">
            <v>0.87440207048181007</v>
          </cell>
          <cell r="AF542">
            <v>1.1354413592165518</v>
          </cell>
          <cell r="AG542">
            <v>1.0406641662452403</v>
          </cell>
          <cell r="AH542">
            <v>0.77710827947824845</v>
          </cell>
          <cell r="AI542">
            <v>0.97177933265405159</v>
          </cell>
          <cell r="AJ542">
            <v>0.70107356262132126</v>
          </cell>
          <cell r="AK542">
            <v>1.2125545147862626</v>
          </cell>
          <cell r="AL542">
            <v>1.5217597405678298</v>
          </cell>
        </row>
        <row r="543">
          <cell r="A543" t="str">
            <v>21/03/2006</v>
          </cell>
          <cell r="B543">
            <v>27.95</v>
          </cell>
          <cell r="C543">
            <v>57.3</v>
          </cell>
          <cell r="D543">
            <v>100.6</v>
          </cell>
          <cell r="E543">
            <v>62.85</v>
          </cell>
          <cell r="F543">
            <v>15.7</v>
          </cell>
          <cell r="G543">
            <v>3.4</v>
          </cell>
          <cell r="H543">
            <v>10.95</v>
          </cell>
          <cell r="I543">
            <v>69.5</v>
          </cell>
          <cell r="J543">
            <v>133.5</v>
          </cell>
          <cell r="K543">
            <v>209</v>
          </cell>
          <cell r="L543">
            <v>41.4</v>
          </cell>
          <cell r="M543">
            <v>15922.75</v>
          </cell>
          <cell r="O543">
            <v>7.707129094412335E-2</v>
          </cell>
          <cell r="P543">
            <v>2.7802690582959588E-2</v>
          </cell>
          <cell r="Q543">
            <v>-2.0447906523855974E-2</v>
          </cell>
          <cell r="R543">
            <v>1.6990291262136026E-2</v>
          </cell>
          <cell r="S543">
            <v>1.9480519480519431E-2</v>
          </cell>
          <cell r="T543">
            <v>7.0866141732283561E-2</v>
          </cell>
          <cell r="U543">
            <v>2.3364485981308469E-2</v>
          </cell>
          <cell r="V543">
            <v>6.9230769230769207E-2</v>
          </cell>
          <cell r="W543">
            <v>3.009259259259256E-2</v>
          </cell>
          <cell r="X543">
            <v>2.6522593320235766E-2</v>
          </cell>
          <cell r="Y543">
            <v>7.1151358344113902E-2</v>
          </cell>
          <cell r="Z543">
            <v>1.8909929072568277E-2</v>
          </cell>
          <cell r="AB543">
            <v>0.44329890360144858</v>
          </cell>
          <cell r="AC543">
            <v>1.3637318533601615</v>
          </cell>
          <cell r="AD543">
            <v>0.50106907926994948</v>
          </cell>
          <cell r="AE543">
            <v>0.86944836790934599</v>
          </cell>
          <cell r="AF543">
            <v>1.1373810192516429</v>
          </cell>
          <cell r="AG543">
            <v>1.037645083294124</v>
          </cell>
          <cell r="AH543">
            <v>0.77826569258767553</v>
          </cell>
          <cell r="AI543">
            <v>0.97416577132654625</v>
          </cell>
          <cell r="AJ543">
            <v>0.69647435730578378</v>
          </cell>
          <cell r="AK543">
            <v>1.2079286511088771</v>
          </cell>
          <cell r="AL543">
            <v>1.5180388685246069</v>
          </cell>
        </row>
        <row r="544">
          <cell r="A544" t="str">
            <v>22/03/2006</v>
          </cell>
          <cell r="B544">
            <v>28.05</v>
          </cell>
          <cell r="C544">
            <v>58</v>
          </cell>
          <cell r="D544">
            <v>100.3</v>
          </cell>
          <cell r="E544">
            <v>66.5</v>
          </cell>
          <cell r="F544">
            <v>15.65</v>
          </cell>
          <cell r="G544">
            <v>3.4</v>
          </cell>
          <cell r="H544">
            <v>11.2</v>
          </cell>
          <cell r="I544">
            <v>70.8</v>
          </cell>
          <cell r="J544">
            <v>130.6</v>
          </cell>
          <cell r="K544">
            <v>207.8</v>
          </cell>
          <cell r="L544">
            <v>41.7</v>
          </cell>
          <cell r="M544">
            <v>15642.81</v>
          </cell>
          <cell r="O544">
            <v>8.3011583011583179E-2</v>
          </cell>
          <cell r="P544">
            <v>4.2228212039532753E-2</v>
          </cell>
          <cell r="Q544">
            <v>-2.2417153996101336E-2</v>
          </cell>
          <cell r="R544">
            <v>9.0163934426229497E-2</v>
          </cell>
          <cell r="S544">
            <v>1.2944983818770295E-2</v>
          </cell>
          <cell r="T544">
            <v>5.4263565891472743E-2</v>
          </cell>
          <cell r="U544">
            <v>5.1643192488262768E-2</v>
          </cell>
          <cell r="V544">
            <v>9.7674418604651203E-2</v>
          </cell>
          <cell r="W544">
            <v>7.7160493827159726E-3</v>
          </cell>
          <cell r="X544">
            <v>3.9519759879939942E-2</v>
          </cell>
          <cell r="Y544">
            <v>7.6129032258064555E-2</v>
          </cell>
          <cell r="Z544">
            <v>4.5344889778031749E-4</v>
          </cell>
          <cell r="AB544">
            <v>0.43475203068496643</v>
          </cell>
          <cell r="AC544">
            <v>1.3514566289738468</v>
          </cell>
          <cell r="AD544">
            <v>0.50035982145379965</v>
          </cell>
          <cell r="AE544">
            <v>0.85787913565898288</v>
          </cell>
          <cell r="AF544">
            <v>1.139794896759319</v>
          </cell>
          <cell r="AG544">
            <v>1.0250505290717027</v>
          </cell>
          <cell r="AH544">
            <v>0.77799488642248948</v>
          </cell>
          <cell r="AI544">
            <v>0.97092799749123482</v>
          </cell>
          <cell r="AJ544">
            <v>0.69050015420314959</v>
          </cell>
          <cell r="AK544">
            <v>1.1984131874600599</v>
          </cell>
          <cell r="AL544">
            <v>1.5132551098924414</v>
          </cell>
        </row>
        <row r="545">
          <cell r="A545" t="str">
            <v>23/03/2006</v>
          </cell>
          <cell r="B545">
            <v>28.1</v>
          </cell>
          <cell r="C545">
            <v>59.2</v>
          </cell>
          <cell r="D545">
            <v>100.4</v>
          </cell>
          <cell r="E545">
            <v>65.599999999999994</v>
          </cell>
          <cell r="F545">
            <v>15.8</v>
          </cell>
          <cell r="G545">
            <v>3.4750000000000001</v>
          </cell>
          <cell r="H545">
            <v>11.35</v>
          </cell>
          <cell r="I545">
            <v>70.900000000000006</v>
          </cell>
          <cell r="J545">
            <v>131.19999999999999</v>
          </cell>
          <cell r="K545">
            <v>209</v>
          </cell>
          <cell r="L545">
            <v>43.4</v>
          </cell>
          <cell r="M545">
            <v>15771.17</v>
          </cell>
          <cell r="O545">
            <v>5.6390977443609103E-2</v>
          </cell>
          <cell r="P545">
            <v>6.5706570657065866E-2</v>
          </cell>
          <cell r="Q545">
            <v>-2.7131782945736371E-2</v>
          </cell>
          <cell r="R545">
            <v>7.7175697865353055E-2</v>
          </cell>
          <cell r="S545">
            <v>9.5846645367412275E-3</v>
          </cell>
          <cell r="T545">
            <v>6.1068702290076438E-2</v>
          </cell>
          <cell r="U545">
            <v>5.0925925925925819E-2</v>
          </cell>
          <cell r="V545">
            <v>5.6631892697466713E-2</v>
          </cell>
          <cell r="W545">
            <v>5.3639846743294139E-3</v>
          </cell>
          <cell r="X545">
            <v>3.6706349206349298E-2</v>
          </cell>
          <cell r="Y545">
            <v>0.11139564660691437</v>
          </cell>
          <cell r="Z545">
            <v>-2.6156472114203799E-3</v>
          </cell>
          <cell r="AB545">
            <v>0.42446416824951572</v>
          </cell>
          <cell r="AC545">
            <v>1.3310270090612319</v>
          </cell>
          <cell r="AD545">
            <v>0.50093219451827942</v>
          </cell>
          <cell r="AE545">
            <v>0.8426182972518419</v>
          </cell>
          <cell r="AF545">
            <v>1.1417169841153092</v>
          </cell>
          <cell r="AG545">
            <v>1.0127533245094733</v>
          </cell>
          <cell r="AH545">
            <v>0.77736378603480771</v>
          </cell>
          <cell r="AI545">
            <v>0.96566147725588747</v>
          </cell>
          <cell r="AJ545">
            <v>0.68340660618644766</v>
          </cell>
          <cell r="AK545">
            <v>1.1901469271400866</v>
          </cell>
          <cell r="AL545">
            <v>1.5047283106968021</v>
          </cell>
        </row>
        <row r="546">
          <cell r="A546" t="str">
            <v>24/03/2006</v>
          </cell>
          <cell r="B546">
            <v>28.2</v>
          </cell>
          <cell r="C546">
            <v>58.65</v>
          </cell>
          <cell r="D546">
            <v>100.1</v>
          </cell>
          <cell r="E546">
            <v>68</v>
          </cell>
          <cell r="F546">
            <v>15.65</v>
          </cell>
          <cell r="G546">
            <v>3.4750000000000001</v>
          </cell>
          <cell r="H546">
            <v>11.65</v>
          </cell>
          <cell r="I546">
            <v>73.25</v>
          </cell>
          <cell r="J546">
            <v>130.1</v>
          </cell>
          <cell r="K546">
            <v>206</v>
          </cell>
          <cell r="L546">
            <v>45.4</v>
          </cell>
          <cell r="M546">
            <v>15716.46</v>
          </cell>
          <cell r="O546">
            <v>6.8181818181818121E-2</v>
          </cell>
          <cell r="P546">
            <v>5.6756756756756621E-2</v>
          </cell>
          <cell r="Q546">
            <v>-3.0038759689922534E-2</v>
          </cell>
          <cell r="R546">
            <v>0.11842105263157898</v>
          </cell>
          <cell r="S546">
            <v>0</v>
          </cell>
          <cell r="T546">
            <v>7.2463768115942351E-3</v>
          </cell>
          <cell r="U546">
            <v>8.8785046728972139E-2</v>
          </cell>
          <cell r="V546">
            <v>5.017921146953408E-2</v>
          </cell>
          <cell r="W546">
            <v>-1.2898330804248959E-2</v>
          </cell>
          <cell r="X546">
            <v>3.2581453634085156E-2</v>
          </cell>
          <cell r="Y546">
            <v>0.17161290322580647</v>
          </cell>
          <cell r="Z546">
            <v>-8.8035797061689625E-3</v>
          </cell>
          <cell r="AB546">
            <v>0.41031258043041036</v>
          </cell>
          <cell r="AC546">
            <v>1.3082226450002683</v>
          </cell>
          <cell r="AD546">
            <v>0.50362525651255807</v>
          </cell>
          <cell r="AE546">
            <v>0.81925262618989536</v>
          </cell>
          <cell r="AF546">
            <v>1.1457619550221501</v>
          </cell>
          <cell r="AG546">
            <v>1.0024603132437029</v>
          </cell>
          <cell r="AH546">
            <v>0.77294944302547097</v>
          </cell>
          <cell r="AI546">
            <v>0.95735893217567347</v>
          </cell>
          <cell r="AJ546">
            <v>0.67535498762084334</v>
          </cell>
          <cell r="AK546">
            <v>1.1824133510269272</v>
          </cell>
          <cell r="AL546">
            <v>1.4921630654532445</v>
          </cell>
        </row>
        <row r="547">
          <cell r="A547" t="str">
            <v>27/03/2006</v>
          </cell>
          <cell r="B547">
            <v>28.45</v>
          </cell>
          <cell r="C547">
            <v>59.3</v>
          </cell>
          <cell r="D547">
            <v>100.3</v>
          </cell>
          <cell r="E547">
            <v>68.25</v>
          </cell>
          <cell r="F547">
            <v>15.55</v>
          </cell>
          <cell r="G547">
            <v>3.4750000000000001</v>
          </cell>
          <cell r="H547">
            <v>11.95</v>
          </cell>
          <cell r="I547">
            <v>74.599999999999994</v>
          </cell>
          <cell r="J547">
            <v>130.4</v>
          </cell>
          <cell r="K547">
            <v>209.2</v>
          </cell>
          <cell r="L547">
            <v>46.8</v>
          </cell>
          <cell r="M547">
            <v>15815.87</v>
          </cell>
          <cell r="O547">
            <v>7.3584905660377231E-2</v>
          </cell>
          <cell r="P547">
            <v>6.8468468468468435E-2</v>
          </cell>
          <cell r="Q547">
            <v>-3.2786885245901676E-2</v>
          </cell>
          <cell r="R547">
            <v>0.13560732113144747</v>
          </cell>
          <cell r="S547">
            <v>-3.2051282051280827E-3</v>
          </cell>
          <cell r="T547">
            <v>-2.7972027972028024E-2</v>
          </cell>
          <cell r="U547">
            <v>0.11162790697674407</v>
          </cell>
          <cell r="V547">
            <v>9.7058823529411642E-2</v>
          </cell>
          <cell r="W547">
            <v>-1.9548872180451093E-2</v>
          </cell>
          <cell r="X547">
            <v>4.7047047047046986E-2</v>
          </cell>
          <cell r="Y547">
            <v>0.18032786885245899</v>
          </cell>
          <cell r="Z547">
            <v>-8.4025657857200731E-3</v>
          </cell>
          <cell r="AB547">
            <v>0.39574900283092268</v>
          </cell>
          <cell r="AC547">
            <v>1.2853697537149149</v>
          </cell>
          <cell r="AD547">
            <v>0.50540688956470081</v>
          </cell>
          <cell r="AE547">
            <v>0.79218291708800903</v>
          </cell>
          <cell r="AF547">
            <v>1.1513120147442457</v>
          </cell>
          <cell r="AG547">
            <v>0.99535759532183543</v>
          </cell>
          <cell r="AH547">
            <v>0.76525017967358533</v>
          </cell>
          <cell r="AI547">
            <v>0.94482483704773768</v>
          </cell>
          <cell r="AJ547">
            <v>0.66750399983327791</v>
          </cell>
          <cell r="AK547">
            <v>1.1750720264308958</v>
          </cell>
          <cell r="AL547">
            <v>1.4787380753132173</v>
          </cell>
        </row>
        <row r="548">
          <cell r="A548" t="str">
            <v>28/03/2006</v>
          </cell>
          <cell r="B548">
            <v>28.2</v>
          </cell>
          <cell r="C548">
            <v>58.85</v>
          </cell>
          <cell r="D548">
            <v>100.3</v>
          </cell>
          <cell r="E548">
            <v>68</v>
          </cell>
          <cell r="F548">
            <v>15.65</v>
          </cell>
          <cell r="G548">
            <v>3.4750000000000001</v>
          </cell>
          <cell r="H548">
            <v>11.6</v>
          </cell>
          <cell r="I548">
            <v>74.5</v>
          </cell>
          <cell r="J548">
            <v>129.9</v>
          </cell>
          <cell r="K548">
            <v>202</v>
          </cell>
          <cell r="L548">
            <v>46.2</v>
          </cell>
          <cell r="M548">
            <v>15856.58</v>
          </cell>
          <cell r="O548">
            <v>5.8161350844277759E-2</v>
          </cell>
          <cell r="P548">
            <v>8.3793738489871261E-2</v>
          </cell>
          <cell r="Q548">
            <v>-3.464870067372483E-2</v>
          </cell>
          <cell r="R548">
            <v>0.13617376775271506</v>
          </cell>
          <cell r="S548">
            <v>0</v>
          </cell>
          <cell r="T548">
            <v>-1.4184397163120477E-2</v>
          </cell>
          <cell r="U548">
            <v>8.9201877934272256E-2</v>
          </cell>
          <cell r="V548">
            <v>8.4425036390101793E-2</v>
          </cell>
          <cell r="W548">
            <v>-2.7694610778443041E-2</v>
          </cell>
          <cell r="X548">
            <v>4.9751243781095411E-3</v>
          </cell>
          <cell r="Y548">
            <v>0.15934755332496864</v>
          </cell>
          <cell r="Z548">
            <v>-3.8885622245339313E-3</v>
          </cell>
          <cell r="AB548">
            <v>0.37989026392084096</v>
          </cell>
          <cell r="AC548">
            <v>1.2596772115750112</v>
          </cell>
          <cell r="AD548">
            <v>0.50808265838486755</v>
          </cell>
          <cell r="AE548">
            <v>0.76445482931954623</v>
          </cell>
          <cell r="AF548">
            <v>1.1621820227095518</v>
          </cell>
          <cell r="AG548">
            <v>0.97972354317647892</v>
          </cell>
          <cell r="AH548">
            <v>0.76361204593415521</v>
          </cell>
          <cell r="AI548">
            <v>0.93611378783104227</v>
          </cell>
          <cell r="AJ548">
            <v>0.65576487566317454</v>
          </cell>
          <cell r="AK548">
            <v>1.1784178680752029</v>
          </cell>
          <cell r="AL548">
            <v>1.4832800052515909</v>
          </cell>
        </row>
        <row r="549">
          <cell r="A549" t="str">
            <v>29/03/2006</v>
          </cell>
          <cell r="B549">
            <v>27.95</v>
          </cell>
          <cell r="C549">
            <v>59.3</v>
          </cell>
          <cell r="D549">
            <v>99.9</v>
          </cell>
          <cell r="E549">
            <v>66.3</v>
          </cell>
          <cell r="F549">
            <v>15.55</v>
          </cell>
          <cell r="G549">
            <v>3.4750000000000001</v>
          </cell>
          <cell r="H549">
            <v>11.6</v>
          </cell>
          <cell r="I549">
            <v>74.45</v>
          </cell>
          <cell r="J549">
            <v>129.1</v>
          </cell>
          <cell r="K549">
            <v>201</v>
          </cell>
          <cell r="L549">
            <v>46.3</v>
          </cell>
          <cell r="M549">
            <v>15745.11</v>
          </cell>
          <cell r="O549">
            <v>5.0751879699248104E-2</v>
          </cell>
          <cell r="P549">
            <v>9.0073529411764719E-2</v>
          </cell>
          <cell r="Q549">
            <v>-3.4782608695652084E-2</v>
          </cell>
          <cell r="R549">
            <v>6.5916398713826263E-2</v>
          </cell>
          <cell r="S549">
            <v>-3.2051282051280827E-3</v>
          </cell>
          <cell r="T549">
            <v>7.2463768115942351E-3</v>
          </cell>
          <cell r="U549">
            <v>9.9526066350710707E-2</v>
          </cell>
          <cell r="V549">
            <v>0.10214655810510731</v>
          </cell>
          <cell r="W549">
            <v>-2.7128862094951023E-2</v>
          </cell>
          <cell r="X549">
            <v>-4.9504950495049549E-3</v>
          </cell>
          <cell r="Y549">
            <v>0.14603960396039595</v>
          </cell>
          <cell r="Z549">
            <v>-4.6137049416206111E-3</v>
          </cell>
          <cell r="AB549">
            <v>0.36398218684009664</v>
          </cell>
          <cell r="AC549">
            <v>1.2283570540803148</v>
          </cell>
          <cell r="AD549">
            <v>0.50942293411689576</v>
          </cell>
          <cell r="AE549">
            <v>0.74172721298458788</v>
          </cell>
          <cell r="AF549">
            <v>1.1694875479944937</v>
          </cell>
          <cell r="AG549">
            <v>0.96765554095765083</v>
          </cell>
          <cell r="AH549">
            <v>0.75889712106690455</v>
          </cell>
          <cell r="AI549">
            <v>0.91994503762335433</v>
          </cell>
          <cell r="AJ549">
            <v>0.65068156358424478</v>
          </cell>
          <cell r="AK549">
            <v>1.1866017062693974</v>
          </cell>
          <cell r="AL549">
            <v>1.4816043565211745</v>
          </cell>
        </row>
        <row r="550">
          <cell r="A550" t="str">
            <v>30/03/2006</v>
          </cell>
          <cell r="B550">
            <v>27.7</v>
          </cell>
          <cell r="C550">
            <v>60.25</v>
          </cell>
          <cell r="D550">
            <v>100</v>
          </cell>
          <cell r="E550">
            <v>65.5</v>
          </cell>
          <cell r="F550">
            <v>15.65</v>
          </cell>
          <cell r="G550">
            <v>3.4750000000000001</v>
          </cell>
          <cell r="H550">
            <v>11.4</v>
          </cell>
          <cell r="I550">
            <v>74.849999999999994</v>
          </cell>
          <cell r="J550">
            <v>129.4</v>
          </cell>
          <cell r="K550">
            <v>197.2</v>
          </cell>
          <cell r="L550">
            <v>47.25</v>
          </cell>
          <cell r="M550">
            <v>15880.69</v>
          </cell>
          <cell r="O550">
            <v>3.9399624765478425E-2</v>
          </cell>
          <cell r="P550">
            <v>7.4933095450490761E-2</v>
          </cell>
          <cell r="Q550">
            <v>-3.3816425120772986E-2</v>
          </cell>
          <cell r="R550">
            <v>5.3054662379421247E-2</v>
          </cell>
          <cell r="S550">
            <v>3.2051282051281937E-3</v>
          </cell>
          <cell r="T550">
            <v>-2.7972027972028024E-2</v>
          </cell>
          <cell r="U550">
            <v>7.547169811320753E-2</v>
          </cell>
          <cell r="V550">
            <v>0.10073529411764692</v>
          </cell>
          <cell r="W550">
            <v>-2.6335590669676501E-2</v>
          </cell>
          <cell r="X550">
            <v>-1.2518778167250888E-2</v>
          </cell>
          <cell r="Y550">
            <v>0.14963503649635035</v>
          </cell>
          <cell r="Z550">
            <v>-1.1081413761726555E-4</v>
          </cell>
          <cell r="AB550">
            <v>0.35426627758927626</v>
          </cell>
          <cell r="AC550">
            <v>1.2043586479881863</v>
          </cell>
          <cell r="AD550">
            <v>0.50949075372801567</v>
          </cell>
          <cell r="AE550">
            <v>0.72538268639560399</v>
          </cell>
          <cell r="AF550">
            <v>1.1714991512350936</v>
          </cell>
          <cell r="AG550">
            <v>0.96379466780855194</v>
          </cell>
          <cell r="AH550">
            <v>0.75463064803233948</v>
          </cell>
          <cell r="AI550">
            <v>0.90853610601277235</v>
          </cell>
          <cell r="AJ550">
            <v>0.64919703125967787</v>
          </cell>
          <cell r="AK550">
            <v>1.1865845724101256</v>
          </cell>
          <cell r="AL550">
            <v>1.4771579133031891</v>
          </cell>
        </row>
        <row r="551">
          <cell r="A551" t="str">
            <v>31/03/2006</v>
          </cell>
          <cell r="B551">
            <v>28.05</v>
          </cell>
          <cell r="C551">
            <v>61.1</v>
          </cell>
          <cell r="D551">
            <v>99.95</v>
          </cell>
          <cell r="E551">
            <v>65.150000000000006</v>
          </cell>
          <cell r="F551">
            <v>15.6</v>
          </cell>
          <cell r="G551">
            <v>3.4750000000000001</v>
          </cell>
          <cell r="H551">
            <v>11.2</v>
          </cell>
          <cell r="I551">
            <v>75</v>
          </cell>
          <cell r="J551">
            <v>129.9</v>
          </cell>
          <cell r="K551">
            <v>196</v>
          </cell>
          <cell r="L551">
            <v>46.8</v>
          </cell>
          <cell r="M551">
            <v>15805.04</v>
          </cell>
          <cell r="O551">
            <v>5.6497175141242861E-2</v>
          </cell>
          <cell r="P551">
            <v>9.4982078853046659E-2</v>
          </cell>
          <cell r="Q551">
            <v>-2.8668610301263442E-2</v>
          </cell>
          <cell r="R551">
            <v>4.6586345381526284E-2</v>
          </cell>
          <cell r="S551">
            <v>3.215434083601254E-3</v>
          </cell>
          <cell r="T551">
            <v>-1.4184397163120477E-2</v>
          </cell>
          <cell r="U551">
            <v>4.6728971962616717E-2</v>
          </cell>
          <cell r="V551">
            <v>0.10375275938189832</v>
          </cell>
          <cell r="W551">
            <v>-1.6654049962149808E-2</v>
          </cell>
          <cell r="X551">
            <v>-5.4966248794599881E-2</v>
          </cell>
          <cell r="Y551">
            <v>0.14705882352941169</v>
          </cell>
          <cell r="Z551">
            <v>1.9238071130245338E-4</v>
          </cell>
          <cell r="AB551">
            <v>0.3435665066225298</v>
          </cell>
          <cell r="AC551">
            <v>1.1844317060974103</v>
          </cell>
          <cell r="AD551">
            <v>0.50956777991894031</v>
          </cell>
          <cell r="AE551">
            <v>0.71176920537901178</v>
          </cell>
          <cell r="AF551">
            <v>1.1743748307655948</v>
          </cell>
          <cell r="AG551">
            <v>0.96083646909711684</v>
          </cell>
          <cell r="AH551">
            <v>0.75448026453411055</v>
          </cell>
          <cell r="AI551">
            <v>0.89683373498940089</v>
          </cell>
          <cell r="AJ551">
            <v>0.64588601147789682</v>
          </cell>
          <cell r="AK551">
            <v>1.1904246140294978</v>
          </cell>
          <cell r="AL551">
            <v>1.4738998125397644</v>
          </cell>
        </row>
        <row r="552">
          <cell r="A552" t="str">
            <v>03/04/2006</v>
          </cell>
          <cell r="B552">
            <v>28.45</v>
          </cell>
          <cell r="C552">
            <v>61.1</v>
          </cell>
          <cell r="D552">
            <v>100.6</v>
          </cell>
          <cell r="E552">
            <v>64.55</v>
          </cell>
          <cell r="F552">
            <v>15.7</v>
          </cell>
          <cell r="G552">
            <v>4.8</v>
          </cell>
          <cell r="H552">
            <v>11.65</v>
          </cell>
          <cell r="I552">
            <v>74.3</v>
          </cell>
          <cell r="J552">
            <v>131</v>
          </cell>
          <cell r="K552">
            <v>195.5</v>
          </cell>
          <cell r="L552">
            <v>47.6</v>
          </cell>
          <cell r="M552">
            <v>16063.75</v>
          </cell>
          <cell r="O552">
            <v>7.1563088512240913E-2</v>
          </cell>
          <cell r="P552">
            <v>0.11090909090909085</v>
          </cell>
          <cell r="Q552">
            <v>-2.7079303675048516E-2</v>
          </cell>
          <cell r="R552">
            <v>2.7866242038216527E-2</v>
          </cell>
          <cell r="S552">
            <v>1.2903225806451646E-2</v>
          </cell>
          <cell r="T552">
            <v>0.37142857142857144</v>
          </cell>
          <cell r="U552">
            <v>8.8785046728972139E-2</v>
          </cell>
          <cell r="V552">
            <v>0.11061285500747364</v>
          </cell>
          <cell r="W552">
            <v>-9.8261526832956747E-3</v>
          </cell>
          <cell r="X552">
            <v>-4.166666666666663E-2</v>
          </cell>
          <cell r="Y552">
            <v>0.17821782178217838</v>
          </cell>
          <cell r="Z552">
            <v>1.5932374684018313E-2</v>
          </cell>
          <cell r="AB552">
            <v>0.33860348131071583</v>
          </cell>
          <cell r="AC552">
            <v>1.1778620803219246</v>
          </cell>
          <cell r="AD552">
            <v>0.50860080986927891</v>
          </cell>
          <cell r="AE552">
            <v>0.7046625448478564</v>
          </cell>
          <cell r="AF552">
            <v>1.1765238108745364</v>
          </cell>
          <cell r="AG552">
            <v>0.96681631257460787</v>
          </cell>
          <cell r="AH552">
            <v>0.75302192187857231</v>
          </cell>
          <cell r="AI552">
            <v>0.89391510888070347</v>
          </cell>
          <cell r="AJ552">
            <v>0.64208973084249432</v>
          </cell>
          <cell r="AK552">
            <v>1.1842689297846249</v>
          </cell>
          <cell r="AL552">
            <v>1.4724793421983662</v>
          </cell>
        </row>
        <row r="553">
          <cell r="A553" t="str">
            <v>04/04/2006</v>
          </cell>
          <cell r="B553">
            <v>28.7</v>
          </cell>
          <cell r="C553">
            <v>60.9</v>
          </cell>
          <cell r="D553">
            <v>100.5</v>
          </cell>
          <cell r="E553">
            <v>65.3</v>
          </cell>
          <cell r="F553">
            <v>15.9</v>
          </cell>
          <cell r="G553">
            <v>4.5750000000000002</v>
          </cell>
          <cell r="H553">
            <v>12</v>
          </cell>
          <cell r="I553">
            <v>74.349999999999994</v>
          </cell>
          <cell r="J553">
            <v>131</v>
          </cell>
          <cell r="K553">
            <v>199.4</v>
          </cell>
          <cell r="L553">
            <v>48.55</v>
          </cell>
          <cell r="M553">
            <v>16100.09</v>
          </cell>
          <cell r="O553">
            <v>0.11240310077519378</v>
          </cell>
          <cell r="P553">
            <v>0.1042611060743428</v>
          </cell>
          <cell r="Q553">
            <v>-2.1421616358325291E-2</v>
          </cell>
          <cell r="R553">
            <v>7.9338842975206658E-2</v>
          </cell>
          <cell r="S553">
            <v>3.9215686274509887E-2</v>
          </cell>
          <cell r="T553">
            <v>0.36567164179104483</v>
          </cell>
          <cell r="U553">
            <v>0.14832535885167464</v>
          </cell>
          <cell r="V553">
            <v>0.11136023916292959</v>
          </cell>
          <cell r="W553">
            <v>-1.2066365007541435E-2</v>
          </cell>
          <cell r="X553">
            <v>-2.2549019607843057E-2</v>
          </cell>
          <cell r="Y553">
            <v>0.2032218091697644</v>
          </cell>
          <cell r="Z553">
            <v>3.1900943190645403E-2</v>
          </cell>
          <cell r="AB553">
            <v>0.34001857915456707</v>
          </cell>
          <cell r="AC553">
            <v>1.176280226801709</v>
          </cell>
          <cell r="AD553">
            <v>0.50548179187729492</v>
          </cell>
          <cell r="AE553">
            <v>0.69972920495393875</v>
          </cell>
          <cell r="AF553">
            <v>1.1798449330221408</v>
          </cell>
          <cell r="AG553">
            <v>0.99955695484175788</v>
          </cell>
          <cell r="AH553">
            <v>0.75997433524309954</v>
          </cell>
          <cell r="AI553">
            <v>0.89637246426641892</v>
          </cell>
          <cell r="AJ553">
            <v>0.63501834787209854</v>
          </cell>
          <cell r="AK553">
            <v>1.1711066582264722</v>
          </cell>
          <cell r="AL553">
            <v>1.478550010309186</v>
          </cell>
        </row>
        <row r="554">
          <cell r="A554" t="str">
            <v>05/04/2006</v>
          </cell>
          <cell r="B554">
            <v>28.7</v>
          </cell>
          <cell r="C554">
            <v>60.9</v>
          </cell>
          <cell r="D554">
            <v>100.5</v>
          </cell>
          <cell r="E554">
            <v>65.3</v>
          </cell>
          <cell r="F554">
            <v>15.9</v>
          </cell>
          <cell r="G554">
            <v>4.5750000000000002</v>
          </cell>
          <cell r="H554">
            <v>12</v>
          </cell>
          <cell r="I554">
            <v>74.349999999999994</v>
          </cell>
          <cell r="J554">
            <v>131</v>
          </cell>
          <cell r="K554">
            <v>199.4</v>
          </cell>
          <cell r="L554">
            <v>48.55</v>
          </cell>
          <cell r="M554">
            <v>16100.09</v>
          </cell>
          <cell r="O554">
            <v>0.11240310077519378</v>
          </cell>
          <cell r="P554">
            <v>0.10727272727272719</v>
          </cell>
          <cell r="Q554">
            <v>-1.85546875E-2</v>
          </cell>
          <cell r="R554">
            <v>8.0231596360628599E-2</v>
          </cell>
          <cell r="S554">
            <v>5.6478405315614655E-2</v>
          </cell>
          <cell r="T554">
            <v>0.38636363636363646</v>
          </cell>
          <cell r="U554">
            <v>0.15942028985507251</v>
          </cell>
          <cell r="V554">
            <v>9.6607669616519232E-2</v>
          </cell>
          <cell r="W554">
            <v>-1.0574018126888296E-2</v>
          </cell>
          <cell r="X554">
            <v>6.5623422513882979E-3</v>
          </cell>
          <cell r="Y554">
            <v>0.25452196382428927</v>
          </cell>
          <cell r="Z554">
            <v>3.9178756464978814E-2</v>
          </cell>
          <cell r="AB554">
            <v>0.34321012445906296</v>
          </cell>
          <cell r="AC554">
            <v>1.1783450526716981</v>
          </cell>
          <cell r="AD554">
            <v>0.49998091550019352</v>
          </cell>
          <cell r="AE554">
            <v>0.69869028696097013</v>
          </cell>
          <cell r="AF554">
            <v>1.1847255573710982</v>
          </cell>
          <cell r="AG554">
            <v>1.0447623777069219</v>
          </cell>
          <cell r="AH554">
            <v>0.7708262325556442</v>
          </cell>
          <cell r="AI554">
            <v>0.89975233211887407</v>
          </cell>
          <cell r="AJ554">
            <v>0.62568183087619489</v>
          </cell>
          <cell r="AK554">
            <v>1.1616844955137879</v>
          </cell>
          <cell r="AL554">
            <v>1.4932862508373008</v>
          </cell>
        </row>
        <row r="555">
          <cell r="A555" t="str">
            <v>06/04/2006</v>
          </cell>
          <cell r="B555">
            <v>31.35</v>
          </cell>
          <cell r="C555">
            <v>60.5</v>
          </cell>
          <cell r="D555">
            <v>100.6</v>
          </cell>
          <cell r="E555">
            <v>69.400000000000006</v>
          </cell>
          <cell r="F555">
            <v>16.2</v>
          </cell>
          <cell r="G555">
            <v>4.5750000000000002</v>
          </cell>
          <cell r="H555">
            <v>12.2</v>
          </cell>
          <cell r="I555">
            <v>75.8</v>
          </cell>
          <cell r="J555">
            <v>132.19999999999999</v>
          </cell>
          <cell r="K555">
            <v>206.2</v>
          </cell>
          <cell r="L555">
            <v>53.85</v>
          </cell>
          <cell r="M555">
            <v>16411.13</v>
          </cell>
          <cell r="O555">
            <v>0.24158415841584158</v>
          </cell>
          <cell r="P555">
            <v>9.7008159564823337E-2</v>
          </cell>
          <cell r="Q555">
            <v>-1.6617790811339184E-2</v>
          </cell>
          <cell r="R555">
            <v>0.10951239008792979</v>
          </cell>
          <cell r="S555">
            <v>6.9306930693069146E-2</v>
          </cell>
          <cell r="T555">
            <v>0.34558823529411775</v>
          </cell>
          <cell r="U555">
            <v>0.16190476190476177</v>
          </cell>
          <cell r="V555">
            <v>0.13473053892215558</v>
          </cell>
          <cell r="W555">
            <v>-3.0165912518853588E-3</v>
          </cell>
          <cell r="X555">
            <v>5.2040816326530459E-2</v>
          </cell>
          <cell r="Y555">
            <v>0.4227212681638044</v>
          </cell>
          <cell r="Z555">
            <v>5.8091066934964575E-2</v>
          </cell>
          <cell r="AB555">
            <v>0.38119612957245058</v>
          </cell>
          <cell r="AC555">
            <v>1.1828411185462042</v>
          </cell>
          <cell r="AD555">
            <v>0.48932956617162682</v>
          </cell>
          <cell r="AE555">
            <v>0.70611756972803053</v>
          </cell>
          <cell r="AF555">
            <v>1.1882342381890119</v>
          </cell>
          <cell r="AG555">
            <v>1.104547077355853</v>
          </cell>
          <cell r="AH555">
            <v>0.7883259689337403</v>
          </cell>
          <cell r="AI555">
            <v>0.91507215521274499</v>
          </cell>
          <cell r="AJ555">
            <v>0.61373888699871504</v>
          </cell>
          <cell r="AK555">
            <v>1.1527876450457317</v>
          </cell>
          <cell r="AL555">
            <v>1.5524189654751299</v>
          </cell>
        </row>
        <row r="556">
          <cell r="A556" t="str">
            <v>07/04/2006</v>
          </cell>
          <cell r="B556">
            <v>31.2</v>
          </cell>
          <cell r="C556">
            <v>61.7</v>
          </cell>
          <cell r="D556">
            <v>100.2</v>
          </cell>
          <cell r="E556">
            <v>72.099999999999994</v>
          </cell>
          <cell r="F556">
            <v>16.25</v>
          </cell>
          <cell r="G556">
            <v>4.8499999999999996</v>
          </cell>
          <cell r="H556">
            <v>12.15</v>
          </cell>
          <cell r="I556">
            <v>75.5</v>
          </cell>
          <cell r="J556">
            <v>131.9</v>
          </cell>
          <cell r="K556">
            <v>207.8</v>
          </cell>
          <cell r="L556">
            <v>53.5</v>
          </cell>
          <cell r="M556">
            <v>16471.78</v>
          </cell>
          <cell r="O556">
            <v>0.24302788844621515</v>
          </cell>
          <cell r="P556">
            <v>0.10971223021582732</v>
          </cell>
          <cell r="Q556">
            <v>-1.9569471624266144E-2</v>
          </cell>
          <cell r="R556">
            <v>0.14717581543357183</v>
          </cell>
          <cell r="S556">
            <v>7.6158940397351049E-2</v>
          </cell>
          <cell r="T556">
            <v>0.49230769230769211</v>
          </cell>
          <cell r="U556">
            <v>0.17961165048543681</v>
          </cell>
          <cell r="V556">
            <v>0.12184249628528976</v>
          </cell>
          <cell r="W556">
            <v>-4.5283018867924296E-3</v>
          </cell>
          <cell r="X556">
            <v>7.7242094349403878E-2</v>
          </cell>
          <cell r="Y556">
            <v>0.41347424042272118</v>
          </cell>
          <cell r="Z556">
            <v>6.6476314417887927E-2</v>
          </cell>
          <cell r="AB556">
            <v>0.43345968004431795</v>
          </cell>
          <cell r="AC556">
            <v>1.1900895713147766</v>
          </cell>
          <cell r="AD556">
            <v>0.47612263308928815</v>
          </cell>
          <cell r="AE556">
            <v>0.72548258133556276</v>
          </cell>
          <cell r="AF556">
            <v>1.1903952004260687</v>
          </cell>
          <cell r="AG556">
            <v>1.2120074399967569</v>
          </cell>
          <cell r="AH556">
            <v>0.8164367705252632</v>
          </cell>
          <cell r="AI556">
            <v>0.92784319578744423</v>
          </cell>
          <cell r="AJ556">
            <v>0.59905610062825299</v>
          </cell>
          <cell r="AK556">
            <v>1.1445325743451487</v>
          </cell>
          <cell r="AL556">
            <v>1.6147285149621085</v>
          </cell>
        </row>
        <row r="557">
          <cell r="A557" t="str">
            <v>10/04/2006</v>
          </cell>
          <cell r="B557">
            <v>31</v>
          </cell>
          <cell r="C557">
            <v>61</v>
          </cell>
          <cell r="D557">
            <v>100.4</v>
          </cell>
          <cell r="E557">
            <v>72</v>
          </cell>
          <cell r="F557">
            <v>16.399999999999999</v>
          </cell>
          <cell r="G557">
            <v>4.8</v>
          </cell>
          <cell r="H557">
            <v>12.25</v>
          </cell>
          <cell r="I557">
            <v>73.599999999999994</v>
          </cell>
          <cell r="J557">
            <v>131.69999999999999</v>
          </cell>
          <cell r="K557">
            <v>203.6</v>
          </cell>
          <cell r="L557">
            <v>55.85</v>
          </cell>
          <cell r="M557">
            <v>16521.59</v>
          </cell>
          <cell r="O557">
            <v>0.20622568093385207</v>
          </cell>
          <cell r="P557">
            <v>8.5409252669039093E-2</v>
          </cell>
          <cell r="Q557">
            <v>-1.85728250244378E-2</v>
          </cell>
          <cell r="R557">
            <v>0.12412177985948492</v>
          </cell>
          <cell r="S557">
            <v>8.2508250825082285E-2</v>
          </cell>
          <cell r="T557">
            <v>0.45454545454545459</v>
          </cell>
          <cell r="U557">
            <v>0.20098039215686292</v>
          </cell>
          <cell r="V557">
            <v>8.1557678177810455E-2</v>
          </cell>
          <cell r="W557">
            <v>-9.7744360902256577E-3</v>
          </cell>
          <cell r="X557">
            <v>3.6659877800407248E-2</v>
          </cell>
          <cell r="Y557">
            <v>0.42838874680306893</v>
          </cell>
          <cell r="Z557">
            <v>6.3023779972680716E-2</v>
          </cell>
          <cell r="AB557">
            <v>0.4713598199515176</v>
          </cell>
          <cell r="AC557">
            <v>1.1899156096013856</v>
          </cell>
          <cell r="AD557">
            <v>0.46463563401159702</v>
          </cell>
          <cell r="AE557">
            <v>0.73913716558900511</v>
          </cell>
          <cell r="AF557">
            <v>1.1955973676063969</v>
          </cell>
          <cell r="AG557">
            <v>1.3001909714398181</v>
          </cell>
          <cell r="AH557">
            <v>0.84677718795567125</v>
          </cell>
          <cell r="AI557">
            <v>0.93223713802803954</v>
          </cell>
          <cell r="AJ557">
            <v>0.58556024700535014</v>
          </cell>
          <cell r="AK557">
            <v>1.1291841564799407</v>
          </cell>
          <cell r="AL557">
            <v>1.6758589212381387</v>
          </cell>
        </row>
        <row r="558">
          <cell r="A558" t="str">
            <v>11/04/2006</v>
          </cell>
          <cell r="B558">
            <v>31.1</v>
          </cell>
          <cell r="C558">
            <v>61.4</v>
          </cell>
          <cell r="D558">
            <v>100.4</v>
          </cell>
          <cell r="E558">
            <v>73.599999999999994</v>
          </cell>
          <cell r="F558">
            <v>16.5</v>
          </cell>
          <cell r="G558">
            <v>4.9000000000000004</v>
          </cell>
          <cell r="H558">
            <v>12.2</v>
          </cell>
          <cell r="I558">
            <v>73.2</v>
          </cell>
          <cell r="J558">
            <v>131.19999999999999</v>
          </cell>
          <cell r="K558">
            <v>202.8</v>
          </cell>
          <cell r="L558">
            <v>58.05</v>
          </cell>
          <cell r="M558">
            <v>16475.810000000001</v>
          </cell>
          <cell r="O558">
            <v>0.21247563352826515</v>
          </cell>
          <cell r="P558">
            <v>0.10233393177737882</v>
          </cell>
          <cell r="Q558">
            <v>-1.6650342801175166E-2</v>
          </cell>
          <cell r="R558">
            <v>0.14999999999999991</v>
          </cell>
          <cell r="S558">
            <v>9.6345514950165967E-2</v>
          </cell>
          <cell r="T558">
            <v>0.46268656716417911</v>
          </cell>
          <cell r="U558">
            <v>0.17874396135265691</v>
          </cell>
          <cell r="V558">
            <v>6.9393718042366714E-2</v>
          </cell>
          <cell r="W558">
            <v>-1.2048192771084487E-2</v>
          </cell>
          <cell r="X558">
            <v>3.7340153452685376E-2</v>
          </cell>
          <cell r="Y558">
            <v>0.45124999999999993</v>
          </cell>
          <cell r="Z558">
            <v>6.1602112403800202E-2</v>
          </cell>
          <cell r="AB558">
            <v>0.50890914377914942</v>
          </cell>
          <cell r="AC558">
            <v>1.1959324218469629</v>
          </cell>
          <cell r="AD558">
            <v>0.45705570959997788</v>
          </cell>
          <cell r="AE558">
            <v>0.75863220008259258</v>
          </cell>
          <cell r="AF558">
            <v>1.2045316590943047</v>
          </cell>
          <cell r="AG558">
            <v>1.3904955110324944</v>
          </cell>
          <cell r="AH558">
            <v>0.86987296267146519</v>
          </cell>
          <cell r="AI558">
            <v>0.93471236425792714</v>
          </cell>
          <cell r="AJ558">
            <v>0.57174159945470859</v>
          </cell>
          <cell r="AK558">
            <v>1.1161578098649214</v>
          </cell>
          <cell r="AL558">
            <v>1.7391715083375037</v>
          </cell>
        </row>
        <row r="559">
          <cell r="A559" t="str">
            <v>12/04/2006</v>
          </cell>
          <cell r="B559">
            <v>31</v>
          </cell>
          <cell r="C559">
            <v>62.55</v>
          </cell>
          <cell r="D559">
            <v>100.1</v>
          </cell>
          <cell r="E559">
            <v>73.400000000000006</v>
          </cell>
          <cell r="F559">
            <v>16.25</v>
          </cell>
          <cell r="G559">
            <v>4.8</v>
          </cell>
          <cell r="H559">
            <v>12.15</v>
          </cell>
          <cell r="I559">
            <v>74.5</v>
          </cell>
          <cell r="J559">
            <v>130.6</v>
          </cell>
          <cell r="K559">
            <v>199.8</v>
          </cell>
          <cell r="L559">
            <v>55.75</v>
          </cell>
          <cell r="M559">
            <v>16310.76</v>
          </cell>
          <cell r="O559">
            <v>0.18546845124282996</v>
          </cell>
          <cell r="P559">
            <v>0.11298932384341631</v>
          </cell>
          <cell r="Q559">
            <v>-2.1505376344086002E-2</v>
          </cell>
          <cell r="R559">
            <v>0.1459797033567527</v>
          </cell>
          <cell r="S559">
            <v>6.9078947368421018E-2</v>
          </cell>
          <cell r="T559">
            <v>0.45454545454545459</v>
          </cell>
          <cell r="U559">
            <v>0.15714285714285725</v>
          </cell>
          <cell r="V559">
            <v>6.2767475035663489E-2</v>
          </cell>
          <cell r="W559">
            <v>-2.3186237845923663E-2</v>
          </cell>
          <cell r="X559">
            <v>1.3184584178498993E-2</v>
          </cell>
          <cell r="Y559">
            <v>0.37146371463714645</v>
          </cell>
          <cell r="Z559">
            <v>3.7556391838354797E-2</v>
          </cell>
          <cell r="AB559">
            <v>0.52581300753122928</v>
          </cell>
          <cell r="AC559">
            <v>1.2024795759824005</v>
          </cell>
          <cell r="AD559">
            <v>0.45380377031277985</v>
          </cell>
          <cell r="AE559">
            <v>0.76936056150092103</v>
          </cell>
          <cell r="AF559">
            <v>1.2086539087861685</v>
          </cell>
          <cell r="AG559">
            <v>1.4364174150635542</v>
          </cell>
          <cell r="AH559">
            <v>0.88073757907524974</v>
          </cell>
          <cell r="AI559">
            <v>0.9340156410573548</v>
          </cell>
          <cell r="AJ559">
            <v>0.56545057076453276</v>
          </cell>
          <cell r="AK559">
            <v>1.1097561197282699</v>
          </cell>
          <cell r="AL559">
            <v>1.7634527883624631</v>
          </cell>
        </row>
        <row r="560">
          <cell r="A560" t="str">
            <v>13/04/2006</v>
          </cell>
          <cell r="B560">
            <v>31.2</v>
          </cell>
          <cell r="C560">
            <v>63.5</v>
          </cell>
          <cell r="D560">
            <v>100.3</v>
          </cell>
          <cell r="E560">
            <v>74</v>
          </cell>
          <cell r="F560">
            <v>16.350000000000001</v>
          </cell>
          <cell r="G560">
            <v>4.75</v>
          </cell>
          <cell r="H560">
            <v>12.25</v>
          </cell>
          <cell r="I560">
            <v>75.3</v>
          </cell>
          <cell r="J560">
            <v>131.5</v>
          </cell>
          <cell r="K560">
            <v>198.8</v>
          </cell>
          <cell r="L560">
            <v>56.25</v>
          </cell>
          <cell r="M560">
            <v>16429.45</v>
          </cell>
          <cell r="O560">
            <v>0.1598513011152416</v>
          </cell>
          <cell r="P560">
            <v>0.12888888888888883</v>
          </cell>
          <cell r="Q560">
            <v>-2.1463414634146361E-2</v>
          </cell>
          <cell r="R560">
            <v>0.16535433070866135</v>
          </cell>
          <cell r="S560">
            <v>7.2131147540983598E-2</v>
          </cell>
          <cell r="T560">
            <v>0.4179104477611939</v>
          </cell>
          <cell r="U560">
            <v>0.16666666666666674</v>
          </cell>
          <cell r="V560">
            <v>9.1304347826086873E-2</v>
          </cell>
          <cell r="W560">
            <v>-1.2762762762762669E-2</v>
          </cell>
          <cell r="X560">
            <v>-1.2909632571995955E-2</v>
          </cell>
          <cell r="Y560">
            <v>0.40274314214463836</v>
          </cell>
          <cell r="Z560">
            <v>4.4529736080523685E-2</v>
          </cell>
          <cell r="AB560">
            <v>0.54241971894006991</v>
          </cell>
          <cell r="AC560">
            <v>1.2114572282098415</v>
          </cell>
          <cell r="AD560">
            <v>0.44933910111822067</v>
          </cell>
          <cell r="AE560">
            <v>0.78057656479637205</v>
          </cell>
          <cell r="AF560">
            <v>1.2130802666118852</v>
          </cell>
          <cell r="AG560">
            <v>1.4858567746716338</v>
          </cell>
          <cell r="AH560">
            <v>0.89418039660592918</v>
          </cell>
          <cell r="AI560">
            <v>0.93641159656672979</v>
          </cell>
          <cell r="AJ560">
            <v>0.55963685422476417</v>
          </cell>
          <cell r="AK560">
            <v>1.0963381984856775</v>
          </cell>
          <cell r="AL560">
            <v>1.7969661321838133</v>
          </cell>
        </row>
        <row r="561">
          <cell r="A561" t="str">
            <v>17/04/2006</v>
          </cell>
          <cell r="B561">
            <v>31.2</v>
          </cell>
          <cell r="C561">
            <v>63.5</v>
          </cell>
          <cell r="D561">
            <v>100.3</v>
          </cell>
          <cell r="E561">
            <v>74</v>
          </cell>
          <cell r="F561">
            <v>16.350000000000001</v>
          </cell>
          <cell r="G561">
            <v>4.75</v>
          </cell>
          <cell r="H561">
            <v>12.25</v>
          </cell>
          <cell r="I561">
            <v>75.3</v>
          </cell>
          <cell r="J561">
            <v>131.5</v>
          </cell>
          <cell r="K561">
            <v>198.8</v>
          </cell>
          <cell r="L561">
            <v>56.25</v>
          </cell>
          <cell r="M561">
            <v>16429.45</v>
          </cell>
          <cell r="O561">
            <v>0.14495412844036704</v>
          </cell>
          <cell r="P561">
            <v>0.12389380530973448</v>
          </cell>
          <cell r="Q561">
            <v>0</v>
          </cell>
          <cell r="R561">
            <v>0.18116520351157228</v>
          </cell>
          <cell r="S561">
            <v>4.4728434504792469E-2</v>
          </cell>
          <cell r="T561">
            <v>0.40740740740740744</v>
          </cell>
          <cell r="U561">
            <v>0.17224880382775121</v>
          </cell>
          <cell r="V561">
            <v>7.9569892473118298E-2</v>
          </cell>
          <cell r="W561">
            <v>-1.2762762762762669E-2</v>
          </cell>
          <cell r="X561">
            <v>-3.0243902439024306E-2</v>
          </cell>
          <cell r="Y561">
            <v>0.40449438202247201</v>
          </cell>
          <cell r="Z561">
            <v>3.9729370205408898E-2</v>
          </cell>
          <cell r="AB561">
            <v>0.55458034006522994</v>
          </cell>
          <cell r="AC561">
            <v>1.2224969063130797</v>
          </cell>
          <cell r="AD561">
            <v>0.44880196609153794</v>
          </cell>
          <cell r="AE561">
            <v>0.7921568588396628</v>
          </cell>
          <cell r="AF561">
            <v>1.2144394569410768</v>
          </cell>
          <cell r="AG561">
            <v>1.5273240751087165</v>
          </cell>
          <cell r="AH561">
            <v>0.90470981875119705</v>
          </cell>
          <cell r="AI561">
            <v>0.93583446164383244</v>
          </cell>
          <cell r="AJ561">
            <v>0.5548699159010696</v>
          </cell>
          <cell r="AK561">
            <v>1.0842337688821873</v>
          </cell>
          <cell r="AL561">
            <v>1.8232246096874596</v>
          </cell>
        </row>
        <row r="562">
          <cell r="A562" t="str">
            <v>18/04/2006</v>
          </cell>
          <cell r="B562">
            <v>31.5</v>
          </cell>
          <cell r="C562">
            <v>65.5</v>
          </cell>
          <cell r="D562">
            <v>100.6</v>
          </cell>
          <cell r="E562">
            <v>77.3</v>
          </cell>
          <cell r="F562">
            <v>16.45</v>
          </cell>
          <cell r="G562">
            <v>4.7750000000000004</v>
          </cell>
          <cell r="H562">
            <v>12.4</v>
          </cell>
          <cell r="I562">
            <v>75.650000000000006</v>
          </cell>
          <cell r="J562">
            <v>132.30000000000001</v>
          </cell>
          <cell r="K562">
            <v>200</v>
          </cell>
          <cell r="L562">
            <v>57.7</v>
          </cell>
          <cell r="M562">
            <v>16637.53</v>
          </cell>
          <cell r="O562">
            <v>0.15384615384615374</v>
          </cell>
          <cell r="P562">
            <v>0.16134751773049638</v>
          </cell>
          <cell r="Q562">
            <v>-9.9304865938443232E-4</v>
          </cell>
          <cell r="R562">
            <v>0.24677419354838714</v>
          </cell>
          <cell r="S562">
            <v>5.1118210862619806E-2</v>
          </cell>
          <cell r="T562">
            <v>0.40441176470588247</v>
          </cell>
          <cell r="U562">
            <v>0.15887850467289732</v>
          </cell>
          <cell r="V562">
            <v>8.8489208633093508E-2</v>
          </cell>
          <cell r="W562">
            <v>-1.2686567164179041E-2</v>
          </cell>
          <cell r="X562">
            <v>-3.6608863198458574E-2</v>
          </cell>
          <cell r="Y562">
            <v>0.42821782178217838</v>
          </cell>
          <cell r="Z562">
            <v>4.441821851292671E-2</v>
          </cell>
          <cell r="AB562">
            <v>0.56927495521027849</v>
          </cell>
          <cell r="AC562">
            <v>1.2435360158400148</v>
          </cell>
          <cell r="AD562">
            <v>0.44812876020686732</v>
          </cell>
          <cell r="AE562">
            <v>0.81427473373737125</v>
          </cell>
          <cell r="AF562">
            <v>1.2202487177500578</v>
          </cell>
          <cell r="AG562">
            <v>1.580637481724203</v>
          </cell>
          <cell r="AH562">
            <v>0.90995201439363393</v>
          </cell>
          <cell r="AI562">
            <v>0.93715496715933966</v>
          </cell>
          <cell r="AJ562">
            <v>0.54842052644463368</v>
          </cell>
          <cell r="AK562">
            <v>1.0699533458879895</v>
          </cell>
          <cell r="AL562">
            <v>1.8567307212186539</v>
          </cell>
        </row>
        <row r="563">
          <cell r="A563" t="str">
            <v>19/04/2006</v>
          </cell>
          <cell r="B563">
            <v>31.7</v>
          </cell>
          <cell r="C563">
            <v>64.45</v>
          </cell>
          <cell r="D563">
            <v>100.4</v>
          </cell>
          <cell r="E563">
            <v>76</v>
          </cell>
          <cell r="F563">
            <v>16.350000000000001</v>
          </cell>
          <cell r="G563">
            <v>4.7750000000000004</v>
          </cell>
          <cell r="H563">
            <v>12.05</v>
          </cell>
          <cell r="I563">
            <v>75.650000000000006</v>
          </cell>
          <cell r="J563">
            <v>133.1</v>
          </cell>
          <cell r="K563">
            <v>203</v>
          </cell>
          <cell r="L563">
            <v>58.8</v>
          </cell>
          <cell r="M563">
            <v>16830.439999999999</v>
          </cell>
          <cell r="O563">
            <v>0.13416815742397148</v>
          </cell>
          <cell r="P563">
            <v>0.12478184991273999</v>
          </cell>
          <cell r="Q563">
            <v>-1.9880715705764551E-3</v>
          </cell>
          <cell r="R563">
            <v>0.20922832140015912</v>
          </cell>
          <cell r="S563">
            <v>4.140127388535042E-2</v>
          </cell>
          <cell r="T563">
            <v>0.40441176470588247</v>
          </cell>
          <cell r="U563">
            <v>0.10045662100456632</v>
          </cell>
          <cell r="V563">
            <v>8.8489208633093508E-2</v>
          </cell>
          <cell r="W563">
            <v>-2.9962546816479918E-3</v>
          </cell>
          <cell r="X563">
            <v>-2.8708133971291905E-2</v>
          </cell>
          <cell r="Y563">
            <v>0.42028985507246386</v>
          </cell>
          <cell r="Z563">
            <v>5.7005856400433208E-2</v>
          </cell>
          <cell r="AB563">
            <v>0.58423758971892537</v>
          </cell>
          <cell r="AC563">
            <v>1.2629972831940792</v>
          </cell>
          <cell r="AD563">
            <v>0.44374441907549711</v>
          </cell>
          <cell r="AE563">
            <v>0.84197355227634152</v>
          </cell>
          <cell r="AF563">
            <v>1.2212358012185451</v>
          </cell>
          <cell r="AG563">
            <v>1.6515780585605055</v>
          </cell>
          <cell r="AH563">
            <v>0.90596401682278938</v>
          </cell>
          <cell r="AI563">
            <v>0.93848120082838382</v>
          </cell>
          <cell r="AJ563">
            <v>0.54163154806978264</v>
          </cell>
          <cell r="AK563">
            <v>1.0479991997801219</v>
          </cell>
          <cell r="AL563">
            <v>1.9005793835539031</v>
          </cell>
        </row>
        <row r="564">
          <cell r="A564" t="str">
            <v>20/04/2006</v>
          </cell>
          <cell r="B564">
            <v>32.299999999999997</v>
          </cell>
          <cell r="C564">
            <v>64</v>
          </cell>
          <cell r="D564">
            <v>100.2</v>
          </cell>
          <cell r="E564">
            <v>70.2</v>
          </cell>
          <cell r="F564">
            <v>16.350000000000001</v>
          </cell>
          <cell r="G564">
            <v>4.875</v>
          </cell>
          <cell r="H564">
            <v>11.9</v>
          </cell>
          <cell r="I564">
            <v>75.849999999999994</v>
          </cell>
          <cell r="J564">
            <v>134</v>
          </cell>
          <cell r="K564">
            <v>200</v>
          </cell>
          <cell r="L564">
            <v>59.6</v>
          </cell>
          <cell r="M564">
            <v>16944.34</v>
          </cell>
          <cell r="O564">
            <v>0.15151515151515138</v>
          </cell>
          <cell r="P564">
            <v>0.10344827586206895</v>
          </cell>
          <cell r="Q564">
            <v>-9.9700897308074854E-4</v>
          </cell>
          <cell r="R564">
            <v>5.5639097744361043E-2</v>
          </cell>
          <cell r="S564">
            <v>4.4728434504792469E-2</v>
          </cell>
          <cell r="T564">
            <v>0.43382352941176472</v>
          </cell>
          <cell r="U564">
            <v>6.25E-2</v>
          </cell>
          <cell r="V564">
            <v>7.1327683615819204E-2</v>
          </cell>
          <cell r="W564">
            <v>2.6033690658499253E-2</v>
          </cell>
          <cell r="X564">
            <v>-3.7536092396535214E-2</v>
          </cell>
          <cell r="Y564">
            <v>0.42925659472422062</v>
          </cell>
          <cell r="Z564">
            <v>8.3203081799241962E-2</v>
          </cell>
          <cell r="AB564">
            <v>0.61018479203284814</v>
          </cell>
          <cell r="AC564">
            <v>1.2624627226456899</v>
          </cell>
          <cell r="AD564">
            <v>0.4355547912789936</v>
          </cell>
          <cell r="AE564">
            <v>0.83358390384359582</v>
          </cell>
          <cell r="AF564">
            <v>1.2084581505508376</v>
          </cell>
          <cell r="AG564">
            <v>1.7511342337938032</v>
          </cell>
          <cell r="AH564">
            <v>0.88972940052309868</v>
          </cell>
          <cell r="AI564">
            <v>0.92953486994108914</v>
          </cell>
          <cell r="AJ564">
            <v>0.53602920994253545</v>
          </cell>
          <cell r="AK564">
            <v>1.0047161918797467</v>
          </cell>
          <cell r="AL564">
            <v>1.9616893418360879</v>
          </cell>
        </row>
        <row r="565">
          <cell r="A565" t="str">
            <v>21/04/2006</v>
          </cell>
          <cell r="B565">
            <v>32.200000000000003</v>
          </cell>
          <cell r="C565">
            <v>63.8</v>
          </cell>
          <cell r="D565">
            <v>100.4</v>
          </cell>
          <cell r="E565">
            <v>68</v>
          </cell>
          <cell r="F565">
            <v>16.25</v>
          </cell>
          <cell r="G565">
            <v>4.7750000000000004</v>
          </cell>
          <cell r="H565">
            <v>11.95</v>
          </cell>
          <cell r="I565">
            <v>74.150000000000006</v>
          </cell>
          <cell r="J565">
            <v>133.69999999999999</v>
          </cell>
          <cell r="K565">
            <v>199.9</v>
          </cell>
          <cell r="L565">
            <v>58.9</v>
          </cell>
          <cell r="M565">
            <v>16912.150000000001</v>
          </cell>
          <cell r="O565">
            <v>0.14590747330960863</v>
          </cell>
          <cell r="P565">
            <v>7.7702702702702631E-2</v>
          </cell>
          <cell r="Q565">
            <v>0</v>
          </cell>
          <cell r="R565">
            <v>3.6585365853658569E-2</v>
          </cell>
          <cell r="S565">
            <v>2.8481012658227778E-2</v>
          </cell>
          <cell r="T565">
            <v>0.37410071942446055</v>
          </cell>
          <cell r="U565">
            <v>5.2863436123347984E-2</v>
          </cell>
          <cell r="V565">
            <v>4.5839210155148136E-2</v>
          </cell>
          <cell r="W565">
            <v>1.9054878048780477E-2</v>
          </cell>
          <cell r="X565">
            <v>-4.3540669856459324E-2</v>
          </cell>
          <cell r="Y565">
            <v>0.35714285714285721</v>
          </cell>
          <cell r="Z565">
            <v>7.2345932483132369E-2</v>
          </cell>
          <cell r="AB565">
            <v>0.63237870068153457</v>
          </cell>
          <cell r="AC565">
            <v>1.2598535508619473</v>
          </cell>
          <cell r="AD565">
            <v>0.42939643803578459</v>
          </cell>
          <cell r="AE565">
            <v>0.82332044096859813</v>
          </cell>
          <cell r="AF565">
            <v>1.1954704319048208</v>
          </cell>
          <cell r="AG565">
            <v>1.8170593398126369</v>
          </cell>
          <cell r="AH565">
            <v>0.88084000782512495</v>
          </cell>
          <cell r="AI565">
            <v>0.91959709802862777</v>
          </cell>
          <cell r="AJ565">
            <v>0.53173787455606836</v>
          </cell>
          <cell r="AK565">
            <v>0.96935053540689187</v>
          </cell>
          <cell r="AL565">
            <v>1.9980645727512585</v>
          </cell>
        </row>
        <row r="566">
          <cell r="A566" t="str">
            <v>24/04/2006</v>
          </cell>
          <cell r="B566">
            <v>31.45</v>
          </cell>
          <cell r="C566">
            <v>64.650000000000006</v>
          </cell>
          <cell r="D566">
            <v>100.1</v>
          </cell>
          <cell r="E566">
            <v>67.599999999999994</v>
          </cell>
          <cell r="F566">
            <v>15.85</v>
          </cell>
          <cell r="G566">
            <v>4.5750000000000002</v>
          </cell>
          <cell r="H566">
            <v>11.5</v>
          </cell>
          <cell r="I566">
            <v>73</v>
          </cell>
          <cell r="J566">
            <v>132.1</v>
          </cell>
          <cell r="K566">
            <v>197.4</v>
          </cell>
          <cell r="L566">
            <v>58.3</v>
          </cell>
          <cell r="M566">
            <v>16705.669999999998</v>
          </cell>
          <cell r="O566">
            <v>0.11524822695035453</v>
          </cell>
          <cell r="P566">
            <v>0.10230179028133013</v>
          </cell>
          <cell r="Q566">
            <v>0</v>
          </cell>
          <cell r="R566">
            <v>-5.8823529411765607E-3</v>
          </cell>
          <cell r="S566">
            <v>1.2779552715654896E-2</v>
          </cell>
          <cell r="T566">
            <v>0.31654676258992809</v>
          </cell>
          <cell r="U566">
            <v>-1.2875536480686733E-2</v>
          </cell>
          <cell r="V566">
            <v>-3.4129692832765013E-3</v>
          </cell>
          <cell r="W566">
            <v>1.537279016141424E-2</v>
          </cell>
          <cell r="X566">
            <v>-4.1747572815533984E-2</v>
          </cell>
          <cell r="Y566">
            <v>0.28414096916299547</v>
          </cell>
          <cell r="Z566">
            <v>6.2941018524527825E-2</v>
          </cell>
          <cell r="AB566">
            <v>0.64537207282803133</v>
          </cell>
          <cell r="AC566">
            <v>1.2650091452037879</v>
          </cell>
          <cell r="AD566">
            <v>0.4255667799672469</v>
          </cell>
          <cell r="AE566">
            <v>0.8068646901131511</v>
          </cell>
          <cell r="AF566">
            <v>1.1836036459535171</v>
          </cell>
          <cell r="AG566">
            <v>1.8601237861957904</v>
          </cell>
          <cell r="AH566">
            <v>0.86265326909032169</v>
          </cell>
          <cell r="AI566">
            <v>0.90302646477448234</v>
          </cell>
          <cell r="AJ566">
            <v>0.52834793259660895</v>
          </cell>
          <cell r="AK566">
            <v>0.94328341029810936</v>
          </cell>
          <cell r="AL566">
            <v>2.0162297355987904</v>
          </cell>
        </row>
        <row r="567">
          <cell r="A567" t="str">
            <v>25/04/2006</v>
          </cell>
          <cell r="B567">
            <v>30.6</v>
          </cell>
          <cell r="C567">
            <v>63.4</v>
          </cell>
          <cell r="D567">
            <v>100.1</v>
          </cell>
          <cell r="E567">
            <v>66.45</v>
          </cell>
          <cell r="F567">
            <v>15.85</v>
          </cell>
          <cell r="G567">
            <v>4.3</v>
          </cell>
          <cell r="H567">
            <v>11.35</v>
          </cell>
          <cell r="I567">
            <v>70.650000000000006</v>
          </cell>
          <cell r="J567">
            <v>131.9</v>
          </cell>
          <cell r="K567">
            <v>199.2</v>
          </cell>
          <cell r="L567">
            <v>56.05</v>
          </cell>
          <cell r="M567">
            <v>16577.77</v>
          </cell>
          <cell r="O567">
            <v>7.5571177504393683E-2</v>
          </cell>
          <cell r="P567">
            <v>6.9139966273187303E-2</v>
          </cell>
          <cell r="Q567">
            <v>-1.9940179461614971E-3</v>
          </cell>
          <cell r="R567">
            <v>-2.637362637362628E-2</v>
          </cell>
          <cell r="S567">
            <v>1.9292604501607746E-2</v>
          </cell>
          <cell r="T567">
            <v>0.2374100719424459</v>
          </cell>
          <cell r="U567">
            <v>-5.0209205020920522E-2</v>
          </cell>
          <cell r="V567">
            <v>-5.294906166219826E-2</v>
          </cell>
          <cell r="W567">
            <v>1.1503067484662566E-2</v>
          </cell>
          <cell r="X567">
            <v>-4.780114722753348E-2</v>
          </cell>
          <cell r="Y567">
            <v>0.19764957264957261</v>
          </cell>
          <cell r="Z567">
            <v>4.8173132429641941E-2</v>
          </cell>
          <cell r="AB567">
            <v>0.64956710258055472</v>
          </cell>
          <cell r="AC567">
            <v>1.2662004687547737</v>
          </cell>
          <cell r="AD567">
            <v>0.42365551794404688</v>
          </cell>
          <cell r="AE567">
            <v>0.7943746694560968</v>
          </cell>
          <cell r="AF567">
            <v>1.1792505587274029</v>
          </cell>
          <cell r="AG567">
            <v>1.8812151304661515</v>
          </cell>
          <cell r="AH567">
            <v>0.84696423023948875</v>
          </cell>
          <cell r="AI567">
            <v>0.88647701930593115</v>
          </cell>
          <cell r="AJ567">
            <v>0.52669676965571732</v>
          </cell>
          <cell r="AK567">
            <v>0.9268547294144408</v>
          </cell>
          <cell r="AL567">
            <v>2.0205685868556933</v>
          </cell>
        </row>
        <row r="568">
          <cell r="A568" t="str">
            <v>26/04/2006</v>
          </cell>
          <cell r="B568">
            <v>31</v>
          </cell>
          <cell r="C568">
            <v>62.95</v>
          </cell>
          <cell r="D568">
            <v>100.2</v>
          </cell>
          <cell r="E568">
            <v>67.25</v>
          </cell>
          <cell r="F568">
            <v>15.95</v>
          </cell>
          <cell r="G568">
            <v>4.375</v>
          </cell>
          <cell r="H568">
            <v>11.6</v>
          </cell>
          <cell r="I568">
            <v>70.900000000000006</v>
          </cell>
          <cell r="J568">
            <v>132</v>
          </cell>
          <cell r="K568">
            <v>198</v>
          </cell>
          <cell r="L568">
            <v>55.85</v>
          </cell>
          <cell r="M568">
            <v>16672.66</v>
          </cell>
          <cell r="O568">
            <v>9.9290780141843893E-2</v>
          </cell>
          <cell r="P568">
            <v>6.9668649107901492E-2</v>
          </cell>
          <cell r="Q568">
            <v>-9.9700897308074854E-4</v>
          </cell>
          <cell r="R568">
            <v>-1.1029411764705843E-2</v>
          </cell>
          <cell r="S568">
            <v>1.9169329073482455E-2</v>
          </cell>
          <cell r="T568">
            <v>0.25899280575539563</v>
          </cell>
          <cell r="U568">
            <v>0</v>
          </cell>
          <cell r="V568">
            <v>-4.8322147651006619E-2</v>
          </cell>
          <cell r="W568">
            <v>1.6166281755196188E-2</v>
          </cell>
          <cell r="X568">
            <v>-1.980198019801982E-2</v>
          </cell>
          <cell r="Y568">
            <v>0.20887445887445888</v>
          </cell>
          <cell r="Z568">
            <v>5.1466331327436388E-2</v>
          </cell>
          <cell r="AB568">
            <v>0.65976680281844569</v>
          </cell>
          <cell r="AC568">
            <v>1.2710689391678474</v>
          </cell>
          <cell r="AD568">
            <v>0.41937981178680966</v>
          </cell>
          <cell r="AE568">
            <v>0.78314390309044091</v>
          </cell>
          <cell r="AF568">
            <v>1.1740233979821266</v>
          </cell>
          <cell r="AG568">
            <v>1.9097727761075511</v>
          </cell>
          <cell r="AH568">
            <v>0.84624639876539509</v>
          </cell>
          <cell r="AI568">
            <v>0.87335532243046687</v>
          </cell>
          <cell r="AJ568">
            <v>0.52489708339378005</v>
          </cell>
          <cell r="AK568">
            <v>0.91511550291227794</v>
          </cell>
          <cell r="AL568">
            <v>2.0418536182356517</v>
          </cell>
        </row>
        <row r="569">
          <cell r="A569" t="str">
            <v>27/04/2006</v>
          </cell>
          <cell r="B569">
            <v>32.35</v>
          </cell>
          <cell r="C569">
            <v>62.95</v>
          </cell>
          <cell r="D569">
            <v>100.9</v>
          </cell>
          <cell r="E569">
            <v>68.5</v>
          </cell>
          <cell r="F569">
            <v>15.95</v>
          </cell>
          <cell r="G569">
            <v>4.4249999999999998</v>
          </cell>
          <cell r="H569">
            <v>11.5</v>
          </cell>
          <cell r="I569">
            <v>73.099999999999994</v>
          </cell>
          <cell r="J569">
            <v>132.19999999999999</v>
          </cell>
          <cell r="K569">
            <v>199.3</v>
          </cell>
          <cell r="L569">
            <v>56.55</v>
          </cell>
          <cell r="M569">
            <v>16742.849999999999</v>
          </cell>
          <cell r="O569">
            <v>0.15742397137745989</v>
          </cell>
          <cell r="P569">
            <v>6.155143338954483E-2</v>
          </cell>
          <cell r="Q569">
            <v>1.0010010010010006E-2</v>
          </cell>
          <cell r="R569">
            <v>3.3182503770739169E-2</v>
          </cell>
          <cell r="S569">
            <v>2.5723472668810254E-2</v>
          </cell>
          <cell r="T569">
            <v>0.27338129496402863</v>
          </cell>
          <cell r="U569">
            <v>-8.6206896551723755E-3</v>
          </cell>
          <cell r="V569">
            <v>-1.8132975151108233E-2</v>
          </cell>
          <cell r="W569">
            <v>2.4012393493415995E-2</v>
          </cell>
          <cell r="X569">
            <v>-8.4577114427860645E-3</v>
          </cell>
          <cell r="Y569">
            <v>0.22138228941684668</v>
          </cell>
          <cell r="Z569">
            <v>6.336824576011213E-2</v>
          </cell>
          <cell r="AB569">
            <v>0.68275438447038994</v>
          </cell>
          <cell r="AC569">
            <v>1.2697105469133683</v>
          </cell>
          <cell r="AD569">
            <v>0.41597154327660257</v>
          </cell>
          <cell r="AE569">
            <v>0.77649048513699059</v>
          </cell>
          <cell r="AF569">
            <v>1.1657502729192859</v>
          </cell>
          <cell r="AG569">
            <v>1.9428804761986955</v>
          </cell>
          <cell r="AH569">
            <v>0.83821319481588086</v>
          </cell>
          <cell r="AI569">
            <v>0.85824785542768434</v>
          </cell>
          <cell r="AJ569">
            <v>0.52331945513249156</v>
          </cell>
          <cell r="AK569">
            <v>0.89979584749034291</v>
          </cell>
          <cell r="AL569">
            <v>2.0608357115645459</v>
          </cell>
        </row>
        <row r="570">
          <cell r="A570" t="str">
            <v>28/04/2006</v>
          </cell>
          <cell r="B570">
            <v>32.4</v>
          </cell>
          <cell r="C570">
            <v>63.5</v>
          </cell>
          <cell r="D570">
            <v>100.4</v>
          </cell>
          <cell r="E570">
            <v>71.900000000000006</v>
          </cell>
          <cell r="F570">
            <v>16</v>
          </cell>
          <cell r="G570">
            <v>4.5750000000000002</v>
          </cell>
          <cell r="H570">
            <v>11.65</v>
          </cell>
          <cell r="I570">
            <v>73.7</v>
          </cell>
          <cell r="J570">
            <v>132.19999999999999</v>
          </cell>
          <cell r="K570">
            <v>200</v>
          </cell>
          <cell r="L570">
            <v>55.75</v>
          </cell>
          <cell r="M570">
            <v>16661.3</v>
          </cell>
          <cell r="O570">
            <v>0.16967509025270755</v>
          </cell>
          <cell r="P570">
            <v>5.3941908713692976E-2</v>
          </cell>
          <cell r="Q570">
            <v>4.0000000000000036E-3</v>
          </cell>
          <cell r="R570">
            <v>9.7709923664122122E-2</v>
          </cell>
          <cell r="S570">
            <v>2.2364217252396124E-2</v>
          </cell>
          <cell r="T570">
            <v>0.31654676258992809</v>
          </cell>
          <cell r="U570">
            <v>2.1929824561403466E-2</v>
          </cell>
          <cell r="V570">
            <v>-1.5364061456245692E-2</v>
          </cell>
          <cell r="W570">
            <v>2.163833075734134E-2</v>
          </cell>
          <cell r="X570">
            <v>1.4198782961460488E-2</v>
          </cell>
          <cell r="Y570">
            <v>0.17989417989418</v>
          </cell>
          <cell r="Z570">
            <v>4.9154665194018676E-2</v>
          </cell>
          <cell r="AB570">
            <v>0.70192775406397501</v>
          </cell>
          <cell r="AC570">
            <v>1.2690025704044796</v>
          </cell>
          <cell r="AD570">
            <v>0.41326577972079798</v>
          </cell>
          <cell r="AE570">
            <v>0.78318102450029314</v>
          </cell>
          <cell r="AF570">
            <v>1.161788277428196</v>
          </cell>
          <cell r="AG570">
            <v>1.9776336749697687</v>
          </cell>
          <cell r="AH570">
            <v>0.84032310192637971</v>
          </cell>
          <cell r="AI570">
            <v>0.85074063978828041</v>
          </cell>
          <cell r="AJ570">
            <v>0.52340421953509064</v>
          </cell>
          <cell r="AK570">
            <v>0.89581619679545832</v>
          </cell>
          <cell r="AL570">
            <v>2.0741377016820848</v>
          </cell>
        </row>
        <row r="571">
          <cell r="A571" t="str">
            <v>01/05/2006</v>
          </cell>
          <cell r="B571">
            <v>32.4</v>
          </cell>
          <cell r="C571">
            <v>63.5</v>
          </cell>
          <cell r="D571">
            <v>100.4</v>
          </cell>
          <cell r="E571">
            <v>71.900000000000006</v>
          </cell>
          <cell r="F571">
            <v>16</v>
          </cell>
          <cell r="G571">
            <v>4.5750000000000002</v>
          </cell>
          <cell r="H571">
            <v>11.65</v>
          </cell>
          <cell r="I571">
            <v>73.7</v>
          </cell>
          <cell r="J571">
            <v>132.19999999999999</v>
          </cell>
          <cell r="K571">
            <v>200</v>
          </cell>
          <cell r="L571">
            <v>55.75</v>
          </cell>
          <cell r="M571">
            <v>16661.3</v>
          </cell>
          <cell r="O571">
            <v>0.15508021390374327</v>
          </cell>
          <cell r="P571">
            <v>3.9279869067103013E-2</v>
          </cell>
          <cell r="Q571">
            <v>4.5022511255627951E-3</v>
          </cell>
          <cell r="R571">
            <v>0.1036070606293169</v>
          </cell>
          <cell r="S571">
            <v>2.5641025641025772E-2</v>
          </cell>
          <cell r="T571">
            <v>0.31654676258992809</v>
          </cell>
          <cell r="U571">
            <v>4.0178571428571619E-2</v>
          </cell>
          <cell r="V571">
            <v>-1.7333333333333312E-2</v>
          </cell>
          <cell r="W571">
            <v>1.7705927636643359E-2</v>
          </cell>
          <cell r="X571">
            <v>2.0408163265306145E-2</v>
          </cell>
          <cell r="Y571">
            <v>0.19123931623931623</v>
          </cell>
          <cell r="Z571">
            <v>5.4176389303665085E-2</v>
          </cell>
          <cell r="AB571">
            <v>0.72151454346878818</v>
          </cell>
          <cell r="AC571">
            <v>1.2668647592700895</v>
          </cell>
          <cell r="AD571">
            <v>0.41000697049546386</v>
          </cell>
          <cell r="AE571">
            <v>0.79120121370826713</v>
          </cell>
          <cell r="AF571">
            <v>1.1567697803457828</v>
          </cell>
          <cell r="AG571">
            <v>2.0166556897402081</v>
          </cell>
          <cell r="AH571">
            <v>0.84610100306370006</v>
          </cell>
          <cell r="AI571">
            <v>0.84152506550607109</v>
          </cell>
          <cell r="AJ571">
            <v>0.5221490386798483</v>
          </cell>
          <cell r="AK571">
            <v>0.89167755202429466</v>
          </cell>
          <cell r="AL571">
            <v>2.0901541174958411</v>
          </cell>
        </row>
        <row r="572">
          <cell r="A572" t="str">
            <v>02/05/2006</v>
          </cell>
          <cell r="B572">
            <v>33</v>
          </cell>
          <cell r="C572">
            <v>65.2</v>
          </cell>
          <cell r="D572">
            <v>100.7</v>
          </cell>
          <cell r="E572">
            <v>69.7</v>
          </cell>
          <cell r="F572">
            <v>16.05</v>
          </cell>
          <cell r="G572">
            <v>4.5750000000000002</v>
          </cell>
          <cell r="H572">
            <v>11.65</v>
          </cell>
          <cell r="I572">
            <v>74.150000000000006</v>
          </cell>
          <cell r="J572">
            <v>135.9</v>
          </cell>
          <cell r="K572">
            <v>209</v>
          </cell>
          <cell r="L572">
            <v>56.95</v>
          </cell>
          <cell r="M572">
            <v>16868.04</v>
          </cell>
          <cell r="O572">
            <v>0.15992970123022854</v>
          </cell>
          <cell r="P572">
            <v>6.7103109656301063E-2</v>
          </cell>
          <cell r="Q572">
            <v>9.940357852884496E-4</v>
          </cell>
          <cell r="R572">
            <v>7.9783113865220745E-2</v>
          </cell>
          <cell r="S572">
            <v>2.2292993630573354E-2</v>
          </cell>
          <cell r="T572">
            <v>-4.6874999999999889E-2</v>
          </cell>
          <cell r="U572">
            <v>0</v>
          </cell>
          <cell r="V572">
            <v>-2.0188425302825053E-3</v>
          </cell>
          <cell r="W572">
            <v>3.7404580152671896E-2</v>
          </cell>
          <cell r="X572">
            <v>6.9053708439897665E-2</v>
          </cell>
          <cell r="Y572">
            <v>0.1964285714285714</v>
          </cell>
          <cell r="Z572">
            <v>5.0068632791222534E-2</v>
          </cell>
          <cell r="AB572">
            <v>0.73972426222320653</v>
          </cell>
          <cell r="AC572">
            <v>1.2702011941650859</v>
          </cell>
          <cell r="AD572">
            <v>0.4068345420750214</v>
          </cell>
          <cell r="AE572">
            <v>0.79553351797033167</v>
          </cell>
          <cell r="AF572">
            <v>1.1524514245599713</v>
          </cell>
          <cell r="AG572">
            <v>1.9962050148648134</v>
          </cell>
          <cell r="AH572">
            <v>0.84291287183021635</v>
          </cell>
          <cell r="AI572">
            <v>0.83617928895492133</v>
          </cell>
          <cell r="AJ572">
            <v>0.52409663628766567</v>
          </cell>
          <cell r="AK572">
            <v>0.89551021158975141</v>
          </cell>
          <cell r="AL572">
            <v>2.1044354131089271</v>
          </cell>
        </row>
        <row r="573">
          <cell r="A573" t="str">
            <v>03/05/2006</v>
          </cell>
          <cell r="B573">
            <v>33.049999999999997</v>
          </cell>
          <cell r="C573">
            <v>65.599999999999994</v>
          </cell>
          <cell r="D573">
            <v>101</v>
          </cell>
          <cell r="E573">
            <v>72</v>
          </cell>
          <cell r="F573">
            <v>16.3</v>
          </cell>
          <cell r="G573">
            <v>4.55</v>
          </cell>
          <cell r="H573">
            <v>12</v>
          </cell>
          <cell r="I573">
            <v>75.5</v>
          </cell>
          <cell r="J573">
            <v>137.30000000000001</v>
          </cell>
          <cell r="K573">
            <v>209</v>
          </cell>
          <cell r="L573">
            <v>57.45</v>
          </cell>
          <cell r="M573">
            <v>17026.98</v>
          </cell>
          <cell r="O573">
            <v>0.15156794425087106</v>
          </cell>
          <cell r="P573">
            <v>7.7175697865353055E-2</v>
          </cell>
          <cell r="Q573">
            <v>4.9751243781095411E-3</v>
          </cell>
          <cell r="R573">
            <v>0.10260336906584988</v>
          </cell>
          <cell r="S573">
            <v>2.515723270440251E-2</v>
          </cell>
          <cell r="T573">
            <v>-5.464480874317057E-3</v>
          </cell>
          <cell r="U573">
            <v>0</v>
          </cell>
          <cell r="V573">
            <v>1.5467383994620221E-2</v>
          </cell>
          <cell r="W573">
            <v>4.8091603053435295E-2</v>
          </cell>
          <cell r="X573">
            <v>4.8144433299899703E-2</v>
          </cell>
          <cell r="Y573">
            <v>0.18331616889804336</v>
          </cell>
          <cell r="Z573">
            <v>5.7570485630825674E-2</v>
          </cell>
          <cell r="AB573">
            <v>0.75819805356058834</v>
          </cell>
          <cell r="AC573">
            <v>1.2738600960095221</v>
          </cell>
          <cell r="AD573">
            <v>0.40393518695281133</v>
          </cell>
          <cell r="AE573">
            <v>0.80314430874829834</v>
          </cell>
          <cell r="AF573">
            <v>1.1463751546890133</v>
          </cell>
          <cell r="AG573">
            <v>1.9749262324940344</v>
          </cell>
          <cell r="AH573">
            <v>0.83644198290819438</v>
          </cell>
          <cell r="AI573">
            <v>0.83045991551333764</v>
          </cell>
          <cell r="AJ573">
            <v>0.52794530951459018</v>
          </cell>
          <cell r="AK573">
            <v>0.89394121236989199</v>
          </cell>
          <cell r="AL573">
            <v>2.1126324235010876</v>
          </cell>
        </row>
        <row r="574">
          <cell r="A574" t="str">
            <v>04/05/2006</v>
          </cell>
          <cell r="B574">
            <v>32.65</v>
          </cell>
          <cell r="C574">
            <v>66</v>
          </cell>
          <cell r="D574">
            <v>101.1</v>
          </cell>
          <cell r="E574">
            <v>71.8</v>
          </cell>
          <cell r="F574">
            <v>16.350000000000001</v>
          </cell>
          <cell r="G574">
            <v>4.5250000000000004</v>
          </cell>
          <cell r="H574">
            <v>12.05</v>
          </cell>
          <cell r="I574">
            <v>74.5</v>
          </cell>
          <cell r="J574">
            <v>137.19999999999999</v>
          </cell>
          <cell r="K574">
            <v>206</v>
          </cell>
          <cell r="L574">
            <v>57.9</v>
          </cell>
          <cell r="M574">
            <v>17013.93</v>
          </cell>
          <cell r="O574">
            <v>0.13763066202090579</v>
          </cell>
          <cell r="P574">
            <v>8.3743842364532028E-2</v>
          </cell>
          <cell r="Q574">
            <v>5.9701492537311829E-3</v>
          </cell>
          <cell r="R574">
            <v>9.9540581929555838E-2</v>
          </cell>
          <cell r="S574">
            <v>2.8301886792452935E-2</v>
          </cell>
          <cell r="T574">
            <v>-1.0928961748633892E-2</v>
          </cell>
          <cell r="U574">
            <v>4.1666666666666519E-3</v>
          </cell>
          <cell r="V574">
            <v>2.0174848688636615E-3</v>
          </cell>
          <cell r="W574">
            <v>4.7328244274809084E-2</v>
          </cell>
          <cell r="X574">
            <v>3.3099297893681046E-2</v>
          </cell>
          <cell r="Y574">
            <v>0.19258496395468594</v>
          </cell>
          <cell r="Z574">
            <v>5.6759931155664356E-2</v>
          </cell>
          <cell r="AB574">
            <v>0.77346309416635561</v>
          </cell>
          <cell r="AC574">
            <v>1.2802151246337345</v>
          </cell>
          <cell r="AD574">
            <v>0.40136609427895836</v>
          </cell>
          <cell r="AE574">
            <v>0.81083907837536351</v>
          </cell>
          <cell r="AF574">
            <v>1.1405010608621591</v>
          </cell>
          <cell r="AG574">
            <v>1.953356235532413</v>
          </cell>
          <cell r="AH574">
            <v>0.83060715218442482</v>
          </cell>
          <cell r="AI574">
            <v>0.82338234227466212</v>
          </cell>
          <cell r="AJ574">
            <v>0.53092942743527083</v>
          </cell>
          <cell r="AK574">
            <v>0.88950137899794446</v>
          </cell>
          <cell r="AL574">
            <v>2.1225914822304386</v>
          </cell>
        </row>
        <row r="575">
          <cell r="A575" t="str">
            <v>05/05/2006</v>
          </cell>
          <cell r="B575">
            <v>32.65</v>
          </cell>
          <cell r="C575">
            <v>66</v>
          </cell>
          <cell r="D575">
            <v>101.1</v>
          </cell>
          <cell r="E575">
            <v>71.8</v>
          </cell>
          <cell r="F575">
            <v>16.350000000000001</v>
          </cell>
          <cell r="G575">
            <v>4.5250000000000004</v>
          </cell>
          <cell r="H575">
            <v>12.05</v>
          </cell>
          <cell r="I575">
            <v>74.5</v>
          </cell>
          <cell r="J575">
            <v>137.19999999999999</v>
          </cell>
          <cell r="K575">
            <v>206</v>
          </cell>
          <cell r="L575">
            <v>57.9</v>
          </cell>
          <cell r="M575">
            <v>17013.93</v>
          </cell>
          <cell r="O575">
            <v>4.1467304625199208E-2</v>
          </cell>
          <cell r="P575">
            <v>9.0909090909090828E-2</v>
          </cell>
          <cell r="Q575">
            <v>4.9701789264413598E-3</v>
          </cell>
          <cell r="R575">
            <v>3.4582132564841439E-2</v>
          </cell>
          <cell r="S575">
            <v>9.2592592592593004E-3</v>
          </cell>
          <cell r="T575">
            <v>-1.0928961748633892E-2</v>
          </cell>
          <cell r="U575">
            <v>-1.2295081967212962E-2</v>
          </cell>
          <cell r="V575">
            <v>-1.715039577836408E-2</v>
          </cell>
          <cell r="W575">
            <v>3.7821482602117928E-2</v>
          </cell>
          <cell r="X575">
            <v>-9.6993210475260216E-4</v>
          </cell>
          <cell r="Y575">
            <v>7.5208913649025044E-2</v>
          </cell>
          <cell r="Z575">
            <v>3.6731169639141248E-2</v>
          </cell>
          <cell r="AB575">
            <v>0.77528808819789297</v>
          </cell>
          <cell r="AC575">
            <v>1.2905884754877128</v>
          </cell>
          <cell r="AD575">
            <v>0.39938573445818915</v>
          </cell>
          <cell r="AE575">
            <v>0.81182998082521707</v>
          </cell>
          <cell r="AF575">
            <v>1.1376230154318208</v>
          </cell>
          <cell r="AG575">
            <v>1.9488921412673401</v>
          </cell>
          <cell r="AH575">
            <v>0.82963739504925316</v>
          </cell>
          <cell r="AI575">
            <v>0.82311658562345935</v>
          </cell>
          <cell r="AJ575">
            <v>0.53214502250026574</v>
          </cell>
          <cell r="AK575">
            <v>0.88662636448751986</v>
          </cell>
          <cell r="AL575">
            <v>2.1287580531506975</v>
          </cell>
        </row>
        <row r="576">
          <cell r="A576" t="str">
            <v>08/05/2006</v>
          </cell>
          <cell r="B576">
            <v>32.75</v>
          </cell>
          <cell r="C576">
            <v>65.05</v>
          </cell>
          <cell r="D576">
            <v>101.6</v>
          </cell>
          <cell r="E576">
            <v>72</v>
          </cell>
          <cell r="F576">
            <v>16.350000000000001</v>
          </cell>
          <cell r="G576">
            <v>4.5250000000000004</v>
          </cell>
          <cell r="H576">
            <v>12.15</v>
          </cell>
          <cell r="I576">
            <v>75</v>
          </cell>
          <cell r="J576">
            <v>140.80000000000001</v>
          </cell>
          <cell r="K576">
            <v>212.2</v>
          </cell>
          <cell r="L576">
            <v>59.25</v>
          </cell>
          <cell r="M576">
            <v>17301.79</v>
          </cell>
          <cell r="O576">
            <v>4.9679487179487225E-2</v>
          </cell>
          <cell r="P576">
            <v>5.4294975688816693E-2</v>
          </cell>
          <cell r="Q576">
            <v>1.3972055888223478E-2</v>
          </cell>
          <cell r="R576">
            <v>-1.3869625520109841E-3</v>
          </cell>
          <cell r="S576">
            <v>6.1538461538461764E-3</v>
          </cell>
          <cell r="T576">
            <v>-6.7010309278350388E-2</v>
          </cell>
          <cell r="U576">
            <v>0</v>
          </cell>
          <cell r="V576">
            <v>-6.6225165562914245E-3</v>
          </cell>
          <cell r="W576">
            <v>6.7475360121304062E-2</v>
          </cell>
          <cell r="X576">
            <v>2.117420596727615E-2</v>
          </cell>
          <cell r="Y576">
            <v>0.10747663551401865</v>
          </cell>
          <cell r="Z576">
            <v>5.0389818222438709E-2</v>
          </cell>
          <cell r="AB576">
            <v>0.7751963971245811</v>
          </cell>
          <cell r="AC576">
            <v>1.2934334784727759</v>
          </cell>
          <cell r="AD576">
            <v>0.39903809334196794</v>
          </cell>
          <cell r="AE576">
            <v>0.80425804937504208</v>
          </cell>
          <cell r="AF576">
            <v>1.1306158212568729</v>
          </cell>
          <cell r="AG576">
            <v>1.9248145586461991</v>
          </cell>
          <cell r="AH576">
            <v>0.82524417799997296</v>
          </cell>
          <cell r="AI576">
            <v>0.81816519961030643</v>
          </cell>
          <cell r="AJ576">
            <v>0.53810035759071395</v>
          </cell>
          <cell r="AK576">
            <v>0.88152460886988893</v>
          </cell>
          <cell r="AL576">
            <v>2.1262884447392953</v>
          </cell>
        </row>
        <row r="577">
          <cell r="A577" t="str">
            <v>09/05/2006</v>
          </cell>
          <cell r="B577">
            <v>32.35</v>
          </cell>
          <cell r="C577">
            <v>64.5</v>
          </cell>
          <cell r="D577">
            <v>101.1</v>
          </cell>
          <cell r="E577">
            <v>71.45</v>
          </cell>
          <cell r="F577">
            <v>16.25</v>
          </cell>
          <cell r="G577">
            <v>4.4749999999999996</v>
          </cell>
          <cell r="H577">
            <v>11.9</v>
          </cell>
          <cell r="I577">
            <v>74.3</v>
          </cell>
          <cell r="J577">
            <v>140.1</v>
          </cell>
          <cell r="K577">
            <v>210.8</v>
          </cell>
          <cell r="L577">
            <v>58.55</v>
          </cell>
          <cell r="M577">
            <v>17133.990000000002</v>
          </cell>
          <cell r="O577">
            <v>4.3548387096774333E-2</v>
          </cell>
          <cell r="P577">
            <v>5.7377049180327822E-2</v>
          </cell>
          <cell r="Q577">
            <v>6.9721115537848544E-3</v>
          </cell>
          <cell r="R577">
            <v>-7.6388888888888618E-3</v>
          </cell>
          <cell r="S577">
            <v>-9.1463414634145312E-3</v>
          </cell>
          <cell r="T577">
            <v>-6.770833333333337E-2</v>
          </cell>
          <cell r="U577">
            <v>-2.8571428571428581E-2</v>
          </cell>
          <cell r="V577">
            <v>9.5108695652175168E-3</v>
          </cell>
          <cell r="W577">
            <v>6.3781321184510409E-2</v>
          </cell>
          <cell r="X577">
            <v>3.5363457760314354E-2</v>
          </cell>
          <cell r="Y577">
            <v>4.834377797672329E-2</v>
          </cell>
          <cell r="Z577">
            <v>3.7066650364765197E-2</v>
          </cell>
          <cell r="AB577">
            <v>0.77628032547558989</v>
          </cell>
          <cell r="AC577">
            <v>1.2994706047490929</v>
          </cell>
          <cell r="AD577">
            <v>0.39812011992044805</v>
          </cell>
          <cell r="AE577">
            <v>0.80144095917792613</v>
          </cell>
          <cell r="AF577">
            <v>1.1261768319108829</v>
          </cell>
          <cell r="AG577">
            <v>1.9146690609729557</v>
          </cell>
          <cell r="AH577">
            <v>0.82305823722772975</v>
          </cell>
          <cell r="AI577">
            <v>0.8224046523070685</v>
          </cell>
          <cell r="AJ577">
            <v>0.54198058986321151</v>
          </cell>
          <cell r="AK577">
            <v>0.88292163253671807</v>
          </cell>
          <cell r="AL577">
            <v>2.1272549722449545</v>
          </cell>
        </row>
        <row r="578">
          <cell r="A578" t="str">
            <v>10/05/2006</v>
          </cell>
          <cell r="B578">
            <v>32.200000000000003</v>
          </cell>
          <cell r="C578">
            <v>63.75</v>
          </cell>
          <cell r="D578">
            <v>101.2</v>
          </cell>
          <cell r="E578">
            <v>71.3</v>
          </cell>
          <cell r="F578">
            <v>16.5</v>
          </cell>
          <cell r="G578">
            <v>4.4000000000000004</v>
          </cell>
          <cell r="H578">
            <v>11.8</v>
          </cell>
          <cell r="I578">
            <v>73.95</v>
          </cell>
          <cell r="J578">
            <v>141.80000000000001</v>
          </cell>
          <cell r="K578">
            <v>212.4</v>
          </cell>
          <cell r="L578">
            <v>58.9</v>
          </cell>
          <cell r="M578">
            <v>17080.59</v>
          </cell>
          <cell r="O578">
            <v>3.5369774919614239E-2</v>
          </cell>
          <cell r="P578">
            <v>3.8273615635179281E-2</v>
          </cell>
          <cell r="Q578">
            <v>7.9681274900398336E-3</v>
          </cell>
          <cell r="R578">
            <v>-3.125E-2</v>
          </cell>
          <cell r="S578">
            <v>0</v>
          </cell>
          <cell r="T578">
            <v>-0.10204081632653061</v>
          </cell>
          <cell r="U578">
            <v>-3.2786885245901565E-2</v>
          </cell>
          <cell r="V578">
            <v>1.0245901639344357E-2</v>
          </cell>
          <cell r="W578">
            <v>8.0792682926829507E-2</v>
          </cell>
          <cell r="X578">
            <v>4.7337278106508895E-2</v>
          </cell>
          <cell r="Y578">
            <v>1.4642549526270532E-2</v>
          </cell>
          <cell r="Z578">
            <v>3.6707148237324905E-2</v>
          </cell>
          <cell r="AB578">
            <v>0.77650328348729447</v>
          </cell>
          <cell r="AC578">
            <v>1.3027180571195698</v>
          </cell>
          <cell r="AD578">
            <v>0.3975651642706135</v>
          </cell>
          <cell r="AE578">
            <v>0.79589384716080125</v>
          </cell>
          <cell r="AF578">
            <v>1.1226316229789768</v>
          </cell>
          <cell r="AG578">
            <v>1.9014080630949233</v>
          </cell>
          <cell r="AH578">
            <v>0.81911558293955467</v>
          </cell>
          <cell r="AI578">
            <v>0.82419193676661884</v>
          </cell>
          <cell r="AJ578">
            <v>0.54750844884571748</v>
          </cell>
          <cell r="AK578">
            <v>0.88425173819151925</v>
          </cell>
          <cell r="AL578">
            <v>2.1218501175250086</v>
          </cell>
        </row>
        <row r="579">
          <cell r="A579" t="str">
            <v>11/05/2006</v>
          </cell>
          <cell r="B579">
            <v>32</v>
          </cell>
          <cell r="C579">
            <v>63.65</v>
          </cell>
          <cell r="D579">
            <v>101</v>
          </cell>
          <cell r="E579">
            <v>70.599999999999994</v>
          </cell>
          <cell r="F579">
            <v>16.5</v>
          </cell>
          <cell r="G579">
            <v>4.3</v>
          </cell>
          <cell r="H579">
            <v>11.9</v>
          </cell>
          <cell r="I579">
            <v>75.2</v>
          </cell>
          <cell r="J579">
            <v>142.19999999999999</v>
          </cell>
          <cell r="K579">
            <v>214.6</v>
          </cell>
          <cell r="L579">
            <v>63.4</v>
          </cell>
          <cell r="M579">
            <v>17140.78</v>
          </cell>
          <cell r="O579">
            <v>3.2258064516129004E-2</v>
          </cell>
          <cell r="P579">
            <v>1.7585931254995968E-2</v>
          </cell>
          <cell r="Q579">
            <v>8.9910089910090196E-3</v>
          </cell>
          <cell r="R579">
            <v>-3.8147138964577776E-2</v>
          </cell>
          <cell r="S579">
            <v>1.538461538461533E-2</v>
          </cell>
          <cell r="T579">
            <v>-0.10416666666666663</v>
          </cell>
          <cell r="U579">
            <v>-2.0576131687242816E-2</v>
          </cell>
          <cell r="V579">
            <v>9.3959731543624692E-3</v>
          </cell>
          <cell r="W579">
            <v>8.8820826952526799E-2</v>
          </cell>
          <cell r="X579">
            <v>7.4074074074073959E-2</v>
          </cell>
          <cell r="Y579">
            <v>0.13721973094170403</v>
          </cell>
          <cell r="Z579">
            <v>5.0887880147828746E-2</v>
          </cell>
          <cell r="AB579">
            <v>0.7725455396669263</v>
          </cell>
          <cell r="AC579">
            <v>1.293655354392762</v>
          </cell>
          <cell r="AD579">
            <v>0.3976043461488476</v>
          </cell>
          <cell r="AE579">
            <v>0.78044014261871664</v>
          </cell>
          <cell r="AF579">
            <v>1.1182075818173838</v>
          </cell>
          <cell r="AG579">
            <v>1.8691870859862014</v>
          </cell>
          <cell r="AH579">
            <v>0.80812550353000256</v>
          </cell>
          <cell r="AI579">
            <v>0.81682514654998861</v>
          </cell>
          <cell r="AJ579">
            <v>0.55723446272776123</v>
          </cell>
          <cell r="AK579">
            <v>0.88518592482144687</v>
          </cell>
          <cell r="AL579">
            <v>2.1145369941409458</v>
          </cell>
        </row>
        <row r="580">
          <cell r="A580" t="str">
            <v>12/05/2006</v>
          </cell>
          <cell r="B580">
            <v>31.75</v>
          </cell>
          <cell r="C580">
            <v>64.25</v>
          </cell>
          <cell r="D580">
            <v>100.6</v>
          </cell>
          <cell r="E580">
            <v>70.8</v>
          </cell>
          <cell r="F580">
            <v>16.399999999999999</v>
          </cell>
          <cell r="G580">
            <v>4.2249999999999996</v>
          </cell>
          <cell r="H580">
            <v>11.8</v>
          </cell>
          <cell r="I580">
            <v>75.2</v>
          </cell>
          <cell r="J580">
            <v>141</v>
          </cell>
          <cell r="K580">
            <v>212</v>
          </cell>
          <cell r="L580">
            <v>64.599999999999994</v>
          </cell>
          <cell r="M580">
            <v>16901.849999999999</v>
          </cell>
          <cell r="O580">
            <v>1.7628205128205066E-2</v>
          </cell>
          <cell r="P580">
            <v>1.1811023622047223E-2</v>
          </cell>
          <cell r="Q580">
            <v>2.9910269192421346E-3</v>
          </cell>
          <cell r="R580">
            <v>-4.3243243243243246E-2</v>
          </cell>
          <cell r="S580">
            <v>3.0581039755350758E-3</v>
          </cell>
          <cell r="T580">
            <v>-0.11052631578947381</v>
          </cell>
          <cell r="U580">
            <v>-3.6734693877551017E-2</v>
          </cell>
          <cell r="V580">
            <v>-1.3280212483398612E-3</v>
          </cell>
          <cell r="W580">
            <v>7.2243346007604625E-2</v>
          </cell>
          <cell r="X580">
            <v>6.6398390342052194E-2</v>
          </cell>
          <cell r="Y580">
            <v>0.14844444444444438</v>
          </cell>
          <cell r="Z580">
            <v>2.8753244935161959E-2</v>
          </cell>
          <cell r="AB580">
            <v>0.77122491993530851</v>
          </cell>
          <cell r="AC580">
            <v>1.2917483918710688</v>
          </cell>
          <cell r="AD580">
            <v>0.39775500373155809</v>
          </cell>
          <cell r="AE580">
            <v>0.77596183755122972</v>
          </cell>
          <cell r="AF580">
            <v>1.1172364279950207</v>
          </cell>
          <cell r="AG580">
            <v>1.8594330484393382</v>
          </cell>
          <cell r="AH580">
            <v>0.80433734757133257</v>
          </cell>
          <cell r="AI580">
            <v>0.81470288104303146</v>
          </cell>
          <cell r="AJ580">
            <v>0.56046751730780109</v>
          </cell>
          <cell r="AK580">
            <v>0.8862203756013417</v>
          </cell>
          <cell r="AL580">
            <v>2.1149592255752743</v>
          </cell>
        </row>
        <row r="581">
          <cell r="A581" t="str">
            <v>15/05/2006</v>
          </cell>
          <cell r="B581">
            <v>30.6</v>
          </cell>
          <cell r="C581">
            <v>63.3</v>
          </cell>
          <cell r="D581">
            <v>100.3</v>
          </cell>
          <cell r="E581">
            <v>69.95</v>
          </cell>
          <cell r="F581">
            <v>16.25</v>
          </cell>
          <cell r="G581">
            <v>4.1749999999999998</v>
          </cell>
          <cell r="H581">
            <v>11.55</v>
          </cell>
          <cell r="I581">
            <v>72.900000000000006</v>
          </cell>
          <cell r="J581">
            <v>137.69999999999999</v>
          </cell>
          <cell r="K581">
            <v>207.2</v>
          </cell>
          <cell r="L581">
            <v>60.95</v>
          </cell>
          <cell r="M581">
            <v>16494.84</v>
          </cell>
          <cell r="O581">
            <v>-1.9230769230769162E-2</v>
          </cell>
          <cell r="P581">
            <v>-3.1496062992126816E-3</v>
          </cell>
          <cell r="Q581">
            <v>0</v>
          </cell>
          <cell r="R581">
            <v>-5.472972972972967E-2</v>
          </cell>
          <cell r="S581">
            <v>-6.1162079510703737E-3</v>
          </cell>
          <cell r="T581">
            <v>-0.12105263157894741</v>
          </cell>
          <cell r="U581">
            <v>-5.7142857142857051E-2</v>
          </cell>
          <cell r="V581">
            <v>-3.1872509960159223E-2</v>
          </cell>
          <cell r="W581">
            <v>4.7148288973383856E-2</v>
          </cell>
          <cell r="X581">
            <v>4.2253521126760507E-2</v>
          </cell>
          <cell r="Y581">
            <v>8.3555555555555605E-2</v>
          </cell>
          <cell r="Z581">
            <v>3.9800480235188118E-3</v>
          </cell>
          <cell r="AB581">
            <v>0.77333082995027813</v>
          </cell>
          <cell r="AC581">
            <v>1.2922548990734846</v>
          </cell>
          <cell r="AD581">
            <v>0.39728732863330812</v>
          </cell>
          <cell r="AE581">
            <v>0.77999394407340494</v>
          </cell>
          <cell r="AF581">
            <v>1.1172712426403542</v>
          </cell>
          <cell r="AG581">
            <v>1.8668264469029596</v>
          </cell>
          <cell r="AH581">
            <v>0.80784067191096176</v>
          </cell>
          <cell r="AI581">
            <v>0.81716304821889618</v>
          </cell>
          <cell r="AJ581">
            <v>0.55791741722593191</v>
          </cell>
          <cell r="AK581">
            <v>0.88508360983523882</v>
          </cell>
          <cell r="AL581">
            <v>2.114450768948533</v>
          </cell>
        </row>
        <row r="582">
          <cell r="A582" t="str">
            <v>16/05/2006</v>
          </cell>
          <cell r="B582">
            <v>29.3</v>
          </cell>
          <cell r="C582">
            <v>61</v>
          </cell>
          <cell r="D582">
            <v>100.1</v>
          </cell>
          <cell r="E582">
            <v>68.8</v>
          </cell>
          <cell r="F582">
            <v>15.65</v>
          </cell>
          <cell r="G582">
            <v>4.1500000000000004</v>
          </cell>
          <cell r="H582">
            <v>11.55</v>
          </cell>
          <cell r="I582">
            <v>72</v>
          </cell>
          <cell r="J582">
            <v>137.80000000000001</v>
          </cell>
          <cell r="K582">
            <v>204.8</v>
          </cell>
          <cell r="L582">
            <v>58.3</v>
          </cell>
          <cell r="M582">
            <v>16393.11</v>
          </cell>
          <cell r="O582">
            <v>-6.9841269841269815E-2</v>
          </cell>
          <cell r="P582">
            <v>-6.8702290076335881E-2</v>
          </cell>
          <cell r="Q582">
            <v>-4.9701789264413598E-3</v>
          </cell>
          <cell r="R582">
            <v>-0.10996119016817596</v>
          </cell>
          <cell r="S582">
            <v>-4.8632218844984698E-2</v>
          </cell>
          <cell r="T582">
            <v>-0.13089005235602091</v>
          </cell>
          <cell r="U582">
            <v>-6.8548387096774133E-2</v>
          </cell>
          <cell r="V582">
            <v>-4.8248512888301454E-2</v>
          </cell>
          <cell r="W582">
            <v>4.1572184429327308E-2</v>
          </cell>
          <cell r="X582">
            <v>2.4000000000000021E-2</v>
          </cell>
          <cell r="Y582">
            <v>1.0398613518197486E-2</v>
          </cell>
          <cell r="Z582">
            <v>-1.4690882600962851E-2</v>
          </cell>
          <cell r="AB582">
            <v>0.78639819757400908</v>
          </cell>
          <cell r="AC582">
            <v>1.3050319971896387</v>
          </cell>
          <cell r="AD582">
            <v>0.3940400679545068</v>
          </cell>
          <cell r="AE582">
            <v>0.79156403878314463</v>
          </cell>
          <cell r="AF582">
            <v>1.1191143887703381</v>
          </cell>
          <cell r="AG582">
            <v>1.8883742293126198</v>
          </cell>
          <cell r="AH582">
            <v>0.82013483684275768</v>
          </cell>
          <cell r="AI582">
            <v>0.82687622536548011</v>
          </cell>
          <cell r="AJ582">
            <v>0.55083491004357221</v>
          </cell>
          <cell r="AK582">
            <v>0.88451599842504147</v>
          </cell>
          <cell r="AL582">
            <v>2.1306753472852136</v>
          </cell>
        </row>
        <row r="583">
          <cell r="A583" t="str">
            <v>17/05/2006</v>
          </cell>
          <cell r="B583">
            <v>29.85</v>
          </cell>
          <cell r="C583">
            <v>62</v>
          </cell>
          <cell r="D583">
            <v>100.1</v>
          </cell>
          <cell r="E583">
            <v>68.25</v>
          </cell>
          <cell r="F583">
            <v>15.85</v>
          </cell>
          <cell r="G583">
            <v>4.3</v>
          </cell>
          <cell r="H583">
            <v>11.65</v>
          </cell>
          <cell r="I583">
            <v>71.099999999999994</v>
          </cell>
          <cell r="J583">
            <v>140.6</v>
          </cell>
          <cell r="K583">
            <v>203.2</v>
          </cell>
          <cell r="L583">
            <v>59.4</v>
          </cell>
          <cell r="M583">
            <v>16615.55</v>
          </cell>
          <cell r="O583">
            <v>-5.8359621451104071E-2</v>
          </cell>
          <cell r="P583">
            <v>-3.80139643134213E-2</v>
          </cell>
          <cell r="Q583">
            <v>-2.9880478087650486E-3</v>
          </cell>
          <cell r="R583">
            <v>-0.10197368421052633</v>
          </cell>
          <cell r="S583">
            <v>-3.0581039755351758E-2</v>
          </cell>
          <cell r="T583">
            <v>-9.9476439790575966E-2</v>
          </cell>
          <cell r="U583">
            <v>-3.319502074688796E-2</v>
          </cell>
          <cell r="V583">
            <v>-6.0145406477197794E-2</v>
          </cell>
          <cell r="W583">
            <v>5.6348610067618266E-2</v>
          </cell>
          <cell r="X583">
            <v>9.8522167487669066E-4</v>
          </cell>
          <cell r="Y583">
            <v>1.0204081632653184E-2</v>
          </cell>
          <cell r="Z583">
            <v>-1.276793714246327E-2</v>
          </cell>
          <cell r="AB583">
            <v>0.794433368398757</v>
          </cell>
          <cell r="AC583">
            <v>1.3077857067820955</v>
          </cell>
          <cell r="AD583">
            <v>0.39251569067501751</v>
          </cell>
          <cell r="AE583">
            <v>0.80502800821619636</v>
          </cell>
          <cell r="AF583">
            <v>1.1199807612167603</v>
          </cell>
          <cell r="AG583">
            <v>1.8987114847422331</v>
          </cell>
          <cell r="AH583">
            <v>0.82334498307413573</v>
          </cell>
          <cell r="AI583">
            <v>0.83435209371527441</v>
          </cell>
          <cell r="AJ583">
            <v>0.54268747150336138</v>
          </cell>
          <cell r="AK583">
            <v>0.88518311443689224</v>
          </cell>
          <cell r="AL583">
            <v>2.1341116571236118</v>
          </cell>
        </row>
        <row r="584">
          <cell r="A584" t="str">
            <v>18/05/2006</v>
          </cell>
          <cell r="B584">
            <v>29</v>
          </cell>
          <cell r="C584">
            <v>60.85</v>
          </cell>
          <cell r="D584">
            <v>99.75</v>
          </cell>
          <cell r="E584">
            <v>70</v>
          </cell>
          <cell r="F584">
            <v>15.65</v>
          </cell>
          <cell r="G584">
            <v>4.2750000000000004</v>
          </cell>
          <cell r="H584">
            <v>11.35</v>
          </cell>
          <cell r="I584">
            <v>69.900000000000006</v>
          </cell>
          <cell r="J584">
            <v>138.19999999999999</v>
          </cell>
          <cell r="K584">
            <v>198.7</v>
          </cell>
          <cell r="L584">
            <v>57.9</v>
          </cell>
          <cell r="M584">
            <v>16266.52</v>
          </cell>
          <cell r="O584">
            <v>-0.10216718266253866</v>
          </cell>
          <cell r="P584">
            <v>-4.9218749999999978E-2</v>
          </cell>
          <cell r="Q584">
            <v>-4.4910179640719194E-3</v>
          </cell>
          <cell r="R584">
            <v>-2.8490028490029129E-3</v>
          </cell>
          <cell r="S584">
            <v>-4.2813455657492394E-2</v>
          </cell>
          <cell r="T584">
            <v>-0.12307692307692297</v>
          </cell>
          <cell r="U584">
            <v>-4.6218487394958041E-2</v>
          </cell>
          <cell r="V584">
            <v>-7.8444297956492881E-2</v>
          </cell>
          <cell r="W584">
            <v>3.1343283582089487E-2</v>
          </cell>
          <cell r="X584">
            <v>-6.5000000000000613E-3</v>
          </cell>
          <cell r="Y584">
            <v>-2.8523489932886004E-2</v>
          </cell>
          <cell r="Z584">
            <v>-4.0002738377534874E-2</v>
          </cell>
          <cell r="AB584">
            <v>0.81417463356498709</v>
          </cell>
          <cell r="AC584">
            <v>1.3068094665423582</v>
          </cell>
          <cell r="AD584">
            <v>0.38809129443199081</v>
          </cell>
          <cell r="AE584">
            <v>0.80321273855186448</v>
          </cell>
          <cell r="AF584">
            <v>1.1171011492410168</v>
          </cell>
          <cell r="AG584">
            <v>1.9105345388030537</v>
          </cell>
          <cell r="AH584">
            <v>0.82703101032822224</v>
          </cell>
          <cell r="AI584">
            <v>0.84700270503867614</v>
          </cell>
          <cell r="AJ584">
            <v>0.52957045945397296</v>
          </cell>
          <cell r="AK584">
            <v>0.88169475618643089</v>
          </cell>
          <cell r="AL584">
            <v>2.133257994233654</v>
          </cell>
        </row>
        <row r="585">
          <cell r="A585" t="str">
            <v>19/05/2006</v>
          </cell>
          <cell r="B585">
            <v>29.2</v>
          </cell>
          <cell r="C585">
            <v>63.2</v>
          </cell>
          <cell r="D585">
            <v>99.7</v>
          </cell>
          <cell r="E585">
            <v>69.95</v>
          </cell>
          <cell r="F585">
            <v>15.7</v>
          </cell>
          <cell r="G585">
            <v>4.3499999999999996</v>
          </cell>
          <cell r="H585">
            <v>11.35</v>
          </cell>
          <cell r="I585">
            <v>70.349999999999994</v>
          </cell>
          <cell r="J585">
            <v>138.30000000000001</v>
          </cell>
          <cell r="K585">
            <v>196.9</v>
          </cell>
          <cell r="L585">
            <v>56.65</v>
          </cell>
          <cell r="M585">
            <v>16313.36</v>
          </cell>
          <cell r="O585">
            <v>-9.3167701863354102E-2</v>
          </cell>
          <cell r="P585">
            <v>-9.4043887147334804E-3</v>
          </cell>
          <cell r="Q585">
            <v>-6.9721115537848544E-3</v>
          </cell>
          <cell r="R585">
            <v>2.8676470588235414E-2</v>
          </cell>
          <cell r="S585">
            <v>-3.3846153846153859E-2</v>
          </cell>
          <cell r="T585">
            <v>-8.900523560209439E-2</v>
          </cell>
          <cell r="U585">
            <v>-5.0209205020920522E-2</v>
          </cell>
          <cell r="V585">
            <v>-5.1247471341874684E-2</v>
          </cell>
          <cell r="W585">
            <v>3.4405385190725779E-2</v>
          </cell>
          <cell r="X585">
            <v>-1.5007503751875984E-2</v>
          </cell>
          <cell r="Y585">
            <v>-3.8200339558573826E-2</v>
          </cell>
          <cell r="Z585">
            <v>-3.54059064045672E-2</v>
          </cell>
          <cell r="AB585">
            <v>0.83059710265752129</v>
          </cell>
          <cell r="AC585">
            <v>1.2975781265114135</v>
          </cell>
          <cell r="AD585">
            <v>0.38544553553859495</v>
          </cell>
          <cell r="AE585">
            <v>0.79532967015372114</v>
          </cell>
          <cell r="AF585">
            <v>1.1138644861606342</v>
          </cell>
          <cell r="AG585">
            <v>1.9140035136618663</v>
          </cell>
          <cell r="AH585">
            <v>0.83146607942385398</v>
          </cell>
          <cell r="AI585">
            <v>0.85302039569229715</v>
          </cell>
          <cell r="AJ585">
            <v>0.51776470883205272</v>
          </cell>
          <cell r="AK585">
            <v>0.88200515909811161</v>
          </cell>
          <cell r="AL585">
            <v>2.1366438989261058</v>
          </cell>
        </row>
        <row r="586">
          <cell r="A586" t="str">
            <v>22/05/2006</v>
          </cell>
          <cell r="B586">
            <v>28.7</v>
          </cell>
          <cell r="C586">
            <v>62.9</v>
          </cell>
          <cell r="D586">
            <v>98.8</v>
          </cell>
          <cell r="E586">
            <v>65.8</v>
          </cell>
          <cell r="F586">
            <v>15.35</v>
          </cell>
          <cell r="G586">
            <v>4.2750000000000004</v>
          </cell>
          <cell r="H586">
            <v>11</v>
          </cell>
          <cell r="I586">
            <v>70</v>
          </cell>
          <cell r="J586">
            <v>133.80000000000001</v>
          </cell>
          <cell r="K586">
            <v>192</v>
          </cell>
          <cell r="L586">
            <v>53</v>
          </cell>
          <cell r="M586">
            <v>15805.52</v>
          </cell>
          <cell r="O586">
            <v>-8.7440381558028579E-2</v>
          </cell>
          <cell r="P586">
            <v>-2.7068832173240631E-2</v>
          </cell>
          <cell r="Q586">
            <v>-1.2987012987012991E-2</v>
          </cell>
          <cell r="R586">
            <v>-2.6627218934911157E-2</v>
          </cell>
          <cell r="S586">
            <v>-3.1545741324921162E-2</v>
          </cell>
          <cell r="T586">
            <v>-6.557377049180324E-2</v>
          </cell>
          <cell r="U586">
            <v>-4.3478260869565188E-2</v>
          </cell>
          <cell r="V586">
            <v>-4.1095890410958957E-2</v>
          </cell>
          <cell r="W586">
            <v>1.2869038607115968E-2</v>
          </cell>
          <cell r="X586">
            <v>-2.7355623100303927E-2</v>
          </cell>
          <cell r="Y586">
            <v>-9.0909090909090828E-2</v>
          </cell>
          <cell r="Z586">
            <v>-5.3882903229861334E-2</v>
          </cell>
          <cell r="AB586">
            <v>0.84581502604410574</v>
          </cell>
          <cell r="AC586">
            <v>1.2843269591206732</v>
          </cell>
          <cell r="AD586">
            <v>0.38175624290478244</v>
          </cell>
          <cell r="AE586">
            <v>0.79752341097340007</v>
          </cell>
          <cell r="AF586">
            <v>1.1030209995231877</v>
          </cell>
          <cell r="AG586">
            <v>1.90205742680493</v>
          </cell>
          <cell r="AH586">
            <v>0.82959696089196744</v>
          </cell>
          <cell r="AI586">
            <v>0.85335058541397957</v>
          </cell>
          <cell r="AJ586">
            <v>0.50584177010382259</v>
          </cell>
          <cell r="AK586">
            <v>0.88055281000435748</v>
          </cell>
          <cell r="AL586">
            <v>2.1446220921180887</v>
          </cell>
        </row>
        <row r="587">
          <cell r="A587" t="str">
            <v>23/05/2006</v>
          </cell>
          <cell r="B587">
            <v>29.8</v>
          </cell>
          <cell r="C587">
            <v>63.1</v>
          </cell>
          <cell r="D587">
            <v>98.9</v>
          </cell>
          <cell r="E587">
            <v>67.5</v>
          </cell>
          <cell r="F587">
            <v>15.25</v>
          </cell>
          <cell r="G587">
            <v>4.2750000000000004</v>
          </cell>
          <cell r="H587">
            <v>11</v>
          </cell>
          <cell r="I587">
            <v>72</v>
          </cell>
          <cell r="J587">
            <v>134.4</v>
          </cell>
          <cell r="K587">
            <v>190.7</v>
          </cell>
          <cell r="L587">
            <v>51.3</v>
          </cell>
          <cell r="M587">
            <v>15864.56</v>
          </cell>
          <cell r="O587">
            <v>-2.6143790849673221E-2</v>
          </cell>
          <cell r="P587">
            <v>-4.7318611987381409E-3</v>
          </cell>
          <cell r="Q587">
            <v>-1.1988011988011915E-2</v>
          </cell>
          <cell r="R587">
            <v>1.5801354401805856E-2</v>
          </cell>
          <cell r="S587">
            <v>-3.7854889589905349E-2</v>
          </cell>
          <cell r="T587">
            <v>-5.8139534883719923E-3</v>
          </cell>
          <cell r="U587">
            <v>-3.0837004405286361E-2</v>
          </cell>
          <cell r="V587">
            <v>1.9108280254777066E-2</v>
          </cell>
          <cell r="W587">
            <v>1.8953752843062999E-2</v>
          </cell>
          <cell r="X587">
            <v>-4.267068273092367E-2</v>
          </cell>
          <cell r="Y587">
            <v>-8.4745762711864403E-2</v>
          </cell>
          <cell r="Z587">
            <v>-4.3022071122955641E-2</v>
          </cell>
          <cell r="AB587">
            <v>0.84584358003965698</v>
          </cell>
          <cell r="AC587">
            <v>1.2716482244769653</v>
          </cell>
          <cell r="AD587">
            <v>0.3799987622100699</v>
          </cell>
          <cell r="AE587">
            <v>0.79336891816702793</v>
          </cell>
          <cell r="AF587">
            <v>1.0985271564608736</v>
          </cell>
          <cell r="AG587">
            <v>1.8829314549000522</v>
          </cell>
          <cell r="AH587">
            <v>0.82636285224227435</v>
          </cell>
          <cell r="AI587">
            <v>0.84103687733340204</v>
          </cell>
          <cell r="AJ587">
            <v>0.49590481484006133</v>
          </cell>
          <cell r="AK587">
            <v>0.88449533534910574</v>
          </cell>
          <cell r="AL587">
            <v>2.1532877014565002</v>
          </cell>
        </row>
        <row r="588">
          <cell r="A588" t="str">
            <v>24/05/2006</v>
          </cell>
          <cell r="B588">
            <v>31.1</v>
          </cell>
          <cell r="C588">
            <v>63</v>
          </cell>
          <cell r="D588">
            <v>97.35</v>
          </cell>
          <cell r="E588">
            <v>69</v>
          </cell>
          <cell r="F588">
            <v>15.25</v>
          </cell>
          <cell r="G588">
            <v>4.25</v>
          </cell>
          <cell r="H588">
            <v>10.75</v>
          </cell>
          <cell r="I588">
            <v>71</v>
          </cell>
          <cell r="J588">
            <v>134.69999999999999</v>
          </cell>
          <cell r="K588">
            <v>192.4</v>
          </cell>
          <cell r="L588">
            <v>51.05</v>
          </cell>
          <cell r="M588">
            <v>15822.64</v>
          </cell>
          <cell r="O588">
            <v>3.225806451612856E-3</v>
          </cell>
          <cell r="P588">
            <v>7.9428117553614896E-4</v>
          </cell>
          <cell r="Q588">
            <v>-2.844311377245512E-2</v>
          </cell>
          <cell r="R588">
            <v>2.6022304832713727E-2</v>
          </cell>
          <cell r="S588">
            <v>-4.3887147335423204E-2</v>
          </cell>
          <cell r="T588">
            <v>-2.8571428571428581E-2</v>
          </cell>
          <cell r="U588">
            <v>-7.3275862068965525E-2</v>
          </cell>
          <cell r="V588">
            <v>1.4104372355430161E-3</v>
          </cell>
          <cell r="W588">
            <v>2.0454545454545281E-2</v>
          </cell>
          <cell r="X588">
            <v>-2.8282828282828243E-2</v>
          </cell>
          <cell r="Y588">
            <v>-8.5944494180841602E-2</v>
          </cell>
          <cell r="Z588">
            <v>-5.098286656118467E-2</v>
          </cell>
          <cell r="AB588">
            <v>0.83620299979294332</v>
          </cell>
          <cell r="AC588">
            <v>1.2532188605236321</v>
          </cell>
          <cell r="AD588">
            <v>0.38073761767685504</v>
          </cell>
          <cell r="AE588">
            <v>0.78345264612845122</v>
          </cell>
          <cell r="AF588">
            <v>1.0928914028140997</v>
          </cell>
          <cell r="AG588">
            <v>1.8630116974661028</v>
          </cell>
          <cell r="AH588">
            <v>0.83140399684654809</v>
          </cell>
          <cell r="AI588">
            <v>0.83075661114614319</v>
          </cell>
          <cell r="AJ588">
            <v>0.48340997022016718</v>
          </cell>
          <cell r="AK588">
            <v>0.88380201150649029</v>
          </cell>
          <cell r="AL588">
            <v>2.1588335320472183</v>
          </cell>
        </row>
        <row r="589">
          <cell r="A589" t="str">
            <v>25/05/2006</v>
          </cell>
          <cell r="B589">
            <v>30.4</v>
          </cell>
          <cell r="C589">
            <v>63.05</v>
          </cell>
          <cell r="D589">
            <v>97.3</v>
          </cell>
          <cell r="E589">
            <v>66.7</v>
          </cell>
          <cell r="F589">
            <v>15.2</v>
          </cell>
          <cell r="G589">
            <v>4.3499999999999996</v>
          </cell>
          <cell r="H589">
            <v>10.6</v>
          </cell>
          <cell r="I589">
            <v>70</v>
          </cell>
          <cell r="J589">
            <v>133.6</v>
          </cell>
          <cell r="K589">
            <v>191.1</v>
          </cell>
          <cell r="L589">
            <v>50.1</v>
          </cell>
          <cell r="M589">
            <v>15696.89</v>
          </cell>
          <cell r="O589">
            <v>-6.0278207109737303E-2</v>
          </cell>
          <cell r="P589">
            <v>1.5885623510722979E-3</v>
          </cell>
          <cell r="Q589">
            <v>-3.567888999008928E-2</v>
          </cell>
          <cell r="R589">
            <v>-2.6277372262773713E-2</v>
          </cell>
          <cell r="S589">
            <v>-4.7021943573667735E-2</v>
          </cell>
          <cell r="T589">
            <v>-1.6949152542372947E-2</v>
          </cell>
          <cell r="U589">
            <v>-7.8260869565217384E-2</v>
          </cell>
          <cell r="V589">
            <v>-4.2407660738714048E-2</v>
          </cell>
          <cell r="W589">
            <v>1.0590015128593144E-2</v>
          </cell>
          <cell r="X589">
            <v>-4.1144004014049274E-2</v>
          </cell>
          <cell r="Y589">
            <v>-0.11405835543766574</v>
          </cell>
          <cell r="Z589">
            <v>-6.2472040303771403E-2</v>
          </cell>
          <cell r="AB589">
            <v>0.84215753001266314</v>
          </cell>
          <cell r="AC589">
            <v>1.2318218283881595</v>
          </cell>
          <cell r="AD589">
            <v>0.3825051683846713</v>
          </cell>
          <cell r="AE589">
            <v>0.78920010538486884</v>
          </cell>
          <cell r="AF589">
            <v>1.0846428384434859</v>
          </cell>
          <cell r="AG589">
            <v>1.8299867827707603</v>
          </cell>
          <cell r="AH589">
            <v>0.83804783992171983</v>
          </cell>
          <cell r="AI589">
            <v>0.83179147009684784</v>
          </cell>
          <cell r="AJ589">
            <v>0.47010653852043194</v>
          </cell>
          <cell r="AK589">
            <v>0.88389842202604374</v>
          </cell>
          <cell r="AL589">
            <v>2.1669482414442669</v>
          </cell>
        </row>
        <row r="590">
          <cell r="A590" t="str">
            <v>26/05/2006</v>
          </cell>
          <cell r="B590">
            <v>30.5</v>
          </cell>
          <cell r="C590">
            <v>64</v>
          </cell>
          <cell r="D590">
            <v>97.9</v>
          </cell>
          <cell r="E590">
            <v>66.900000000000006</v>
          </cell>
          <cell r="F590">
            <v>15.1</v>
          </cell>
          <cell r="G590">
            <v>4.3499999999999996</v>
          </cell>
          <cell r="H590">
            <v>10.95</v>
          </cell>
          <cell r="I590">
            <v>70.900000000000006</v>
          </cell>
          <cell r="J590">
            <v>134.9</v>
          </cell>
          <cell r="K590">
            <v>193.5</v>
          </cell>
          <cell r="L590">
            <v>52.25</v>
          </cell>
          <cell r="M590">
            <v>15895.1</v>
          </cell>
          <cell r="O590">
            <v>-5.8641975308641903E-2</v>
          </cell>
          <cell r="P590">
            <v>7.8740157480314821E-3</v>
          </cell>
          <cell r="Q590">
            <v>-2.490039840637448E-2</v>
          </cell>
          <cell r="R590">
            <v>-6.9541029207232263E-2</v>
          </cell>
          <cell r="S590">
            <v>-5.6250000000000022E-2</v>
          </cell>
          <cell r="T590">
            <v>-4.9180327868852625E-2</v>
          </cell>
          <cell r="U590">
            <v>-6.0085836909871349E-2</v>
          </cell>
          <cell r="V590">
            <v>-3.7991858887381214E-2</v>
          </cell>
          <cell r="W590">
            <v>2.0423600605143921E-2</v>
          </cell>
          <cell r="X590">
            <v>-3.2499999999999973E-2</v>
          </cell>
          <cell r="Y590">
            <v>-6.2780269058295923E-2</v>
          </cell>
          <cell r="Z590">
            <v>-4.5986807752096071E-2</v>
          </cell>
          <cell r="AB590">
            <v>0.84858027780412315</v>
          </cell>
          <cell r="AC590">
            <v>1.2165773766945225</v>
          </cell>
          <cell r="AD590">
            <v>0.38124615767152015</v>
          </cell>
          <cell r="AE590">
            <v>0.80977386174835053</v>
          </cell>
          <cell r="AF590">
            <v>1.0848038158088169</v>
          </cell>
          <cell r="AG590">
            <v>1.8192593002381785</v>
          </cell>
          <cell r="AH590">
            <v>0.84266604685688318</v>
          </cell>
          <cell r="AI590">
            <v>0.83567663315873497</v>
          </cell>
          <cell r="AJ590">
            <v>0.46005494540934916</v>
          </cell>
          <cell r="AK590">
            <v>0.88731221161611673</v>
          </cell>
          <cell r="AL590">
            <v>2.1680396059390334</v>
          </cell>
        </row>
        <row r="591">
          <cell r="A591" t="str">
            <v>30/05/2006</v>
          </cell>
          <cell r="B591">
            <v>29.55</v>
          </cell>
          <cell r="C591">
            <v>63</v>
          </cell>
          <cell r="D591">
            <v>97.45</v>
          </cell>
          <cell r="E591">
            <v>69.45</v>
          </cell>
          <cell r="F591">
            <v>15</v>
          </cell>
          <cell r="G591">
            <v>4.4000000000000004</v>
          </cell>
          <cell r="H591">
            <v>11.05</v>
          </cell>
          <cell r="I591">
            <v>71.099999999999994</v>
          </cell>
          <cell r="J591">
            <v>135.9</v>
          </cell>
          <cell r="K591">
            <v>195.2</v>
          </cell>
          <cell r="L591">
            <v>52.35</v>
          </cell>
          <cell r="M591">
            <v>15857.89</v>
          </cell>
          <cell r="O591">
            <v>-8.796296296296291E-2</v>
          </cell>
          <cell r="P591">
            <v>-7.8740157480314821E-3</v>
          </cell>
          <cell r="Q591">
            <v>-2.9382470119521886E-2</v>
          </cell>
          <cell r="R591">
            <v>-3.4075104311543813E-2</v>
          </cell>
          <cell r="S591">
            <v>-6.25E-2</v>
          </cell>
          <cell r="T591">
            <v>-3.8251366120218511E-2</v>
          </cell>
          <cell r="U591">
            <v>-5.1502145922746712E-2</v>
          </cell>
          <cell r="V591">
            <v>-3.5278154681139817E-2</v>
          </cell>
          <cell r="W591">
            <v>2.7987897125567374E-2</v>
          </cell>
          <cell r="X591">
            <v>-2.4000000000000021E-2</v>
          </cell>
          <cell r="Y591">
            <v>-6.0986547085201792E-2</v>
          </cell>
          <cell r="Z591">
            <v>-4.822012688085564E-2</v>
          </cell>
          <cell r="AB591">
            <v>0.86272406719196604</v>
          </cell>
          <cell r="AC591">
            <v>1.206982805598652</v>
          </cell>
          <cell r="AD591">
            <v>0.38114391242660234</v>
          </cell>
          <cell r="AE591">
            <v>0.82043738855052328</v>
          </cell>
          <cell r="AF591">
            <v>1.0852028011309409</v>
          </cell>
          <cell r="AG591">
            <v>1.8057908873172805</v>
          </cell>
          <cell r="AH591">
            <v>0.84357239055083388</v>
          </cell>
          <cell r="AI591">
            <v>0.83750601895687427</v>
          </cell>
          <cell r="AJ591">
            <v>0.44734142303264468</v>
          </cell>
          <cell r="AK591">
            <v>0.88842206030481152</v>
          </cell>
          <cell r="AL591">
            <v>2.1689041734594512</v>
          </cell>
        </row>
        <row r="592">
          <cell r="A592" t="str">
            <v>31/05/2006</v>
          </cell>
          <cell r="B592">
            <v>29.55</v>
          </cell>
          <cell r="C592">
            <v>63</v>
          </cell>
          <cell r="D592">
            <v>97.45</v>
          </cell>
          <cell r="E592">
            <v>69.45</v>
          </cell>
          <cell r="F592">
            <v>15</v>
          </cell>
          <cell r="G592">
            <v>4.4000000000000004</v>
          </cell>
          <cell r="H592">
            <v>11.05</v>
          </cell>
          <cell r="I592">
            <v>71.099999999999994</v>
          </cell>
          <cell r="J592">
            <v>135.9</v>
          </cell>
          <cell r="K592">
            <v>195.2</v>
          </cell>
          <cell r="L592">
            <v>52.35</v>
          </cell>
          <cell r="M592">
            <v>15857.89</v>
          </cell>
          <cell r="O592">
            <v>-0.1045454545454545</v>
          </cell>
          <cell r="P592">
            <v>-3.3742331288343586E-2</v>
          </cell>
          <cell r="Q592">
            <v>-3.2274081429990109E-2</v>
          </cell>
          <cell r="R592">
            <v>-3.5868005738880493E-3</v>
          </cell>
          <cell r="S592">
            <v>-6.5420560747663559E-2</v>
          </cell>
          <cell r="T592">
            <v>-3.8251366120218511E-2</v>
          </cell>
          <cell r="U592">
            <v>-5.1502145922746712E-2</v>
          </cell>
          <cell r="V592">
            <v>-4.1132838840188923E-2</v>
          </cell>
          <cell r="W592">
            <v>0</v>
          </cell>
          <cell r="X592">
            <v>-6.6028708133971326E-2</v>
          </cell>
          <cell r="Y592">
            <v>-8.0772607550482878E-2</v>
          </cell>
          <cell r="Z592">
            <v>-5.9885440157837033E-2</v>
          </cell>
          <cell r="AB592">
            <v>0.88088219577837279</v>
          </cell>
          <cell r="AC592">
            <v>1.197296968971578</v>
          </cell>
          <cell r="AD592">
            <v>0.38054574752777837</v>
          </cell>
          <cell r="AE592">
            <v>0.81945503260820307</v>
          </cell>
          <cell r="AF592">
            <v>1.0821194277070028</v>
          </cell>
          <cell r="AG592">
            <v>1.7847195048012652</v>
          </cell>
          <cell r="AH592">
            <v>0.84357539631021716</v>
          </cell>
          <cell r="AI592">
            <v>0.83950760130480417</v>
          </cell>
          <cell r="AJ592">
            <v>0.43965251927812454</v>
          </cell>
          <cell r="AK592">
            <v>0.89716662619051057</v>
          </cell>
          <cell r="AL592">
            <v>2.1695193135611515</v>
          </cell>
        </row>
        <row r="593">
          <cell r="A593" t="str">
            <v>01/06/2006</v>
          </cell>
          <cell r="B593">
            <v>29.25</v>
          </cell>
          <cell r="C593">
            <v>62.2</v>
          </cell>
          <cell r="D593">
            <v>96.6</v>
          </cell>
          <cell r="E593">
            <v>69.8</v>
          </cell>
          <cell r="F593">
            <v>14.75</v>
          </cell>
          <cell r="G593">
            <v>4.4000000000000004</v>
          </cell>
          <cell r="H593">
            <v>11</v>
          </cell>
          <cell r="I593">
            <v>70.25</v>
          </cell>
          <cell r="J593">
            <v>134</v>
          </cell>
          <cell r="K593">
            <v>192</v>
          </cell>
          <cell r="L593">
            <v>51.65</v>
          </cell>
          <cell r="M593">
            <v>15645.27</v>
          </cell>
          <cell r="O593">
            <v>-0.11497730711043863</v>
          </cell>
          <cell r="P593">
            <v>-5.1829268292682751E-2</v>
          </cell>
          <cell r="Q593">
            <v>-4.3564356435643603E-2</v>
          </cell>
          <cell r="R593">
            <v>-3.0555555555555558E-2</v>
          </cell>
          <cell r="S593">
            <v>-9.5092024539877307E-2</v>
          </cell>
          <cell r="T593">
            <v>-3.296703296703285E-2</v>
          </cell>
          <cell r="U593">
            <v>-8.333333333333337E-2</v>
          </cell>
          <cell r="V593">
            <v>-6.9536423841059625E-2</v>
          </cell>
          <cell r="W593">
            <v>-2.4034959941733547E-2</v>
          </cell>
          <cell r="X593">
            <v>-8.1339712918660267E-2</v>
          </cell>
          <cell r="Y593">
            <v>-0.10095735422106189</v>
          </cell>
          <cell r="Z593">
            <v>-8.1148271742845668E-2</v>
          </cell>
          <cell r="AB593">
            <v>0.8996032636025032</v>
          </cell>
          <cell r="AC593">
            <v>1.1828551392837132</v>
          </cell>
          <cell r="AD593">
            <v>0.38110765514139755</v>
          </cell>
          <cell r="AE593">
            <v>0.81671622104278974</v>
          </cell>
          <cell r="AF593">
            <v>1.0809276174212463</v>
          </cell>
          <cell r="AG593">
            <v>1.7450557632397952</v>
          </cell>
          <cell r="AH593">
            <v>0.84789604098501581</v>
          </cell>
          <cell r="AI593">
            <v>0.84431329945644706</v>
          </cell>
          <cell r="AJ593">
            <v>0.43588815337498688</v>
          </cell>
          <cell r="AK593">
            <v>0.90647335520910322</v>
          </cell>
          <cell r="AL593">
            <v>2.1620119581837778</v>
          </cell>
        </row>
        <row r="594">
          <cell r="A594" t="str">
            <v>02/06/2006</v>
          </cell>
          <cell r="B594">
            <v>29.85</v>
          </cell>
          <cell r="C594">
            <v>61.35</v>
          </cell>
          <cell r="D594">
            <v>96.6</v>
          </cell>
          <cell r="E594">
            <v>69.55</v>
          </cell>
          <cell r="F594">
            <v>14.75</v>
          </cell>
          <cell r="G594">
            <v>4.45</v>
          </cell>
          <cell r="H594">
            <v>11.7</v>
          </cell>
          <cell r="I594">
            <v>69.7</v>
          </cell>
          <cell r="J594">
            <v>135.6</v>
          </cell>
          <cell r="K594">
            <v>193.9</v>
          </cell>
          <cell r="L594">
            <v>52.95</v>
          </cell>
          <cell r="M594">
            <v>15912.71</v>
          </cell>
          <cell r="O594">
            <v>-8.5758039816232645E-2</v>
          </cell>
          <cell r="P594">
            <v>-7.0454545454545436E-2</v>
          </cell>
          <cell r="Q594">
            <v>-4.451038575667654E-2</v>
          </cell>
          <cell r="R594">
            <v>-3.1337047353760417E-2</v>
          </cell>
          <cell r="S594">
            <v>-9.7859327217125425E-2</v>
          </cell>
          <cell r="T594">
            <v>-1.6574585635359185E-2</v>
          </cell>
          <cell r="U594">
            <v>-2.904564315352709E-2</v>
          </cell>
          <cell r="V594">
            <v>-6.4429530201342233E-2</v>
          </cell>
          <cell r="W594">
            <v>-1.1661807580174877E-2</v>
          </cell>
          <cell r="X594">
            <v>-5.8737864077669899E-2</v>
          </cell>
          <cell r="Y594">
            <v>-8.5492227979274582E-2</v>
          </cell>
          <cell r="Z594">
            <v>-6.4724610951144235E-2</v>
          </cell>
          <cell r="AB594">
            <v>0.90950796097300723</v>
          </cell>
          <cell r="AC594">
            <v>1.1840147301517938</v>
          </cell>
          <cell r="AD594">
            <v>0.38391156529838233</v>
          </cell>
          <cell r="AE594">
            <v>0.82216744295150967</v>
          </cell>
          <cell r="AF594">
            <v>1.0854630454559049</v>
          </cell>
          <cell r="AG594">
            <v>1.7160848826002055</v>
          </cell>
          <cell r="AH594">
            <v>0.83922684696336058</v>
          </cell>
          <cell r="AI594">
            <v>0.85214929979788834</v>
          </cell>
          <cell r="AJ594">
            <v>0.43057851946516584</v>
          </cell>
          <cell r="AK594">
            <v>0.90996609117327076</v>
          </cell>
          <cell r="AL594">
            <v>2.1610407664996152</v>
          </cell>
        </row>
        <row r="595">
          <cell r="A595" t="str">
            <v>05/06/2006</v>
          </cell>
          <cell r="B595">
            <v>30.5</v>
          </cell>
          <cell r="C595">
            <v>60.3</v>
          </cell>
          <cell r="D595">
            <v>96.8</v>
          </cell>
          <cell r="E595">
            <v>69.95</v>
          </cell>
          <cell r="F595">
            <v>14.9</v>
          </cell>
          <cell r="G595">
            <v>4.4000000000000004</v>
          </cell>
          <cell r="H595">
            <v>11.5</v>
          </cell>
          <cell r="I595">
            <v>69.150000000000006</v>
          </cell>
          <cell r="J595">
            <v>135.4</v>
          </cell>
          <cell r="K595">
            <v>195</v>
          </cell>
          <cell r="L595">
            <v>55.55</v>
          </cell>
          <cell r="M595">
            <v>16016.23</v>
          </cell>
          <cell r="O595">
            <v>-6.5849923430321589E-2</v>
          </cell>
          <cell r="P595">
            <v>-8.636363636363642E-2</v>
          </cell>
          <cell r="Q595">
            <v>-4.2532146389713144E-2</v>
          </cell>
          <cell r="R595">
            <v>-2.5766016713091866E-2</v>
          </cell>
          <cell r="S595">
            <v>-8.8685015290519975E-2</v>
          </cell>
          <cell r="T595">
            <v>-2.7624309392265234E-2</v>
          </cell>
          <cell r="U595">
            <v>-4.5643153526971014E-2</v>
          </cell>
          <cell r="V595">
            <v>-7.1812080536912681E-2</v>
          </cell>
          <cell r="W595">
            <v>-1.3119533527696681E-2</v>
          </cell>
          <cell r="X595">
            <v>-5.3398058252427161E-2</v>
          </cell>
          <cell r="Y595">
            <v>-4.0587219343696024E-2</v>
          </cell>
          <cell r="Z595">
            <v>-5.8640184836777909E-2</v>
          </cell>
          <cell r="AB595">
            <v>0.91505904025875062</v>
          </cell>
          <cell r="AC595">
            <v>1.1900464825664341</v>
          </cell>
          <cell r="AD595">
            <v>0.38628958030166571</v>
          </cell>
          <cell r="AE595">
            <v>0.83042933137647212</v>
          </cell>
          <cell r="AF595">
            <v>1.0893728067434914</v>
          </cell>
          <cell r="AG595">
            <v>1.6971189591281144</v>
          </cell>
          <cell r="AH595">
            <v>0.83699483414643894</v>
          </cell>
          <cell r="AI595">
            <v>0.86406479825782045</v>
          </cell>
          <cell r="AJ595">
            <v>0.42640452777576715</v>
          </cell>
          <cell r="AK595">
            <v>0.91112633755475003</v>
          </cell>
          <cell r="AL595">
            <v>2.1501574499792384</v>
          </cell>
        </row>
        <row r="596">
          <cell r="A596" t="str">
            <v>06/06/2006</v>
          </cell>
          <cell r="B596">
            <v>30.85</v>
          </cell>
          <cell r="C596">
            <v>59</v>
          </cell>
          <cell r="D596">
            <v>96.6</v>
          </cell>
          <cell r="E596">
            <v>73.2</v>
          </cell>
          <cell r="F596">
            <v>15</v>
          </cell>
          <cell r="G596">
            <v>4.5250000000000004</v>
          </cell>
          <cell r="H596">
            <v>11.5</v>
          </cell>
          <cell r="I596">
            <v>69.150000000000006</v>
          </cell>
          <cell r="J596">
            <v>134.6</v>
          </cell>
          <cell r="K596">
            <v>190</v>
          </cell>
          <cell r="L596">
            <v>55.9</v>
          </cell>
          <cell r="M596">
            <v>15973.11</v>
          </cell>
          <cell r="O596">
            <v>-5.8015267175572482E-2</v>
          </cell>
          <cell r="P596">
            <v>-9.3005380476556487E-2</v>
          </cell>
          <cell r="Q596">
            <v>-4.9212598425196874E-2</v>
          </cell>
          <cell r="R596">
            <v>1.6666666666666607E-2</v>
          </cell>
          <cell r="S596">
            <v>-8.2568807339449601E-2</v>
          </cell>
          <cell r="T596">
            <v>0</v>
          </cell>
          <cell r="U596">
            <v>-5.3497942386831254E-2</v>
          </cell>
          <cell r="V596">
            <v>-7.7999999999999958E-2</v>
          </cell>
          <cell r="W596">
            <v>-4.403409090909105E-2</v>
          </cell>
          <cell r="X596">
            <v>-0.10461828463713474</v>
          </cell>
          <cell r="Y596">
            <v>-5.6540084388185696E-2</v>
          </cell>
          <cell r="Z596">
            <v>-7.67943663632491E-2</v>
          </cell>
          <cell r="AB596">
            <v>0.91301853362094687</v>
          </cell>
          <cell r="AC596">
            <v>1.1939121664455068</v>
          </cell>
          <cell r="AD596">
            <v>0.38979300277681939</v>
          </cell>
          <cell r="AE596">
            <v>0.8168513563656794</v>
          </cell>
          <cell r="AF596">
            <v>1.0856263415438121</v>
          </cell>
          <cell r="AG596">
            <v>1.6569808423730028</v>
          </cell>
          <cell r="AH596">
            <v>0.83297053209488403</v>
          </cell>
          <cell r="AI596">
            <v>0.87450128605038502</v>
          </cell>
          <cell r="AJ596">
            <v>0.4291161973929653</v>
          </cell>
          <cell r="AK596">
            <v>0.92481380127729418</v>
          </cell>
          <cell r="AL596">
            <v>2.1318638051992012</v>
          </cell>
        </row>
        <row r="597">
          <cell r="A597" t="str">
            <v>07/06/2006</v>
          </cell>
          <cell r="B597">
            <v>30.55</v>
          </cell>
          <cell r="C597">
            <v>57.4</v>
          </cell>
          <cell r="D597">
            <v>96.05</v>
          </cell>
          <cell r="E597">
            <v>72.5</v>
          </cell>
          <cell r="F597">
            <v>14.85</v>
          </cell>
          <cell r="G597">
            <v>4.4249999999999998</v>
          </cell>
          <cell r="H597">
            <v>11.65</v>
          </cell>
          <cell r="I597">
            <v>69.3</v>
          </cell>
          <cell r="J597">
            <v>134</v>
          </cell>
          <cell r="K597">
            <v>187.5</v>
          </cell>
          <cell r="L597">
            <v>54.75</v>
          </cell>
          <cell r="M597">
            <v>15816.55</v>
          </cell>
          <cell r="O597">
            <v>-5.564142194744981E-2</v>
          </cell>
          <cell r="P597">
            <v>-0.110077519379845</v>
          </cell>
          <cell r="Q597">
            <v>-4.9950544015825882E-2</v>
          </cell>
          <cell r="R597">
            <v>1.469559132260323E-2</v>
          </cell>
          <cell r="S597">
            <v>-8.6153846153846136E-2</v>
          </cell>
          <cell r="T597">
            <v>-1.1173184357541888E-2</v>
          </cell>
          <cell r="U597">
            <v>-2.1008403361344574E-2</v>
          </cell>
          <cell r="V597">
            <v>-6.7294751009421283E-2</v>
          </cell>
          <cell r="W597">
            <v>-4.3540328336902134E-2</v>
          </cell>
          <cell r="X597">
            <v>-0.11053130929791277</v>
          </cell>
          <cell r="Y597">
            <v>-6.4901793339026459E-2</v>
          </cell>
          <cell r="Z597">
            <v>-7.6890438245849513E-2</v>
          </cell>
          <cell r="AB597">
            <v>0.9104674411769681</v>
          </cell>
          <cell r="AC597">
            <v>1.2022631943327358</v>
          </cell>
          <cell r="AD597">
            <v>0.39362007588739134</v>
          </cell>
          <cell r="AE597">
            <v>0.80531623684522935</v>
          </cell>
          <cell r="AF597">
            <v>1.0832413537821819</v>
          </cell>
          <cell r="AG597">
            <v>1.6208512931788062</v>
          </cell>
          <cell r="AH597">
            <v>0.81886847070953961</v>
          </cell>
          <cell r="AI597">
            <v>0.88340019077030629</v>
          </cell>
          <cell r="AJ597">
            <v>0.43148146773486423</v>
          </cell>
          <cell r="AK597">
            <v>0.94361093508883143</v>
          </cell>
          <cell r="AL597">
            <v>2.1168114723048923</v>
          </cell>
        </row>
        <row r="598">
          <cell r="A598" t="str">
            <v>08/06/2006</v>
          </cell>
          <cell r="B598">
            <v>30.05</v>
          </cell>
          <cell r="C598">
            <v>55.8</v>
          </cell>
          <cell r="D598">
            <v>95.35</v>
          </cell>
          <cell r="E598">
            <v>69.900000000000006</v>
          </cell>
          <cell r="F598">
            <v>14.75</v>
          </cell>
          <cell r="G598">
            <v>4.375</v>
          </cell>
          <cell r="H598">
            <v>11.25</v>
          </cell>
          <cell r="I598">
            <v>69.2</v>
          </cell>
          <cell r="J598">
            <v>132.4</v>
          </cell>
          <cell r="K598">
            <v>184.1</v>
          </cell>
          <cell r="L598">
            <v>51.3</v>
          </cell>
          <cell r="M598">
            <v>15450.11</v>
          </cell>
          <cell r="O598">
            <v>-6.6770186335403769E-2</v>
          </cell>
          <cell r="P598">
            <v>-0.12470588235294122</v>
          </cell>
          <cell r="Q598">
            <v>-5.7806324110671992E-2</v>
          </cell>
          <cell r="R598">
            <v>-1.9635343618513157E-2</v>
          </cell>
          <cell r="S598">
            <v>-0.10606060606060608</v>
          </cell>
          <cell r="T598">
            <v>-5.6818181818182323E-3</v>
          </cell>
          <cell r="U598">
            <v>-4.6610169491525522E-2</v>
          </cell>
          <cell r="V598">
            <v>-6.4232589587559175E-2</v>
          </cell>
          <cell r="W598">
            <v>-6.629055007052187E-2</v>
          </cell>
          <cell r="X598">
            <v>-0.1332391713747646</v>
          </cell>
          <cell r="Y598">
            <v>-0.12903225806451613</v>
          </cell>
          <cell r="Z598">
            <v>-9.5458060874946349E-2</v>
          </cell>
          <cell r="AB598">
            <v>0.90710974303450964</v>
          </cell>
          <cell r="AC598">
            <v>1.2086465346304887</v>
          </cell>
          <cell r="AD598">
            <v>0.39716249765446016</v>
          </cell>
          <cell r="AE598">
            <v>0.7923107432493135</v>
          </cell>
          <cell r="AF598">
            <v>1.0803541972536601</v>
          </cell>
          <cell r="AG598">
            <v>1.5703825779959157</v>
          </cell>
          <cell r="AH598">
            <v>0.80785699654340271</v>
          </cell>
          <cell r="AI598">
            <v>0.88378847182182585</v>
          </cell>
          <cell r="AJ598">
            <v>0.44006657285422218</v>
          </cell>
          <cell r="AK598">
            <v>0.96606871350659662</v>
          </cell>
          <cell r="AL598">
            <v>2.1103620250567894</v>
          </cell>
        </row>
        <row r="599">
          <cell r="A599" t="str">
            <v>09/06/2006</v>
          </cell>
          <cell r="B599">
            <v>30.1</v>
          </cell>
          <cell r="C599">
            <v>56.9</v>
          </cell>
          <cell r="D599">
            <v>95.8</v>
          </cell>
          <cell r="E599">
            <v>69.5</v>
          </cell>
          <cell r="F599">
            <v>14.75</v>
          </cell>
          <cell r="G599">
            <v>4.25</v>
          </cell>
          <cell r="H599">
            <v>11.2</v>
          </cell>
          <cell r="I599">
            <v>69</v>
          </cell>
          <cell r="J599">
            <v>134.19999999999999</v>
          </cell>
          <cell r="K599">
            <v>183.9</v>
          </cell>
          <cell r="L599">
            <v>51.25</v>
          </cell>
          <cell r="M599">
            <v>15628.69</v>
          </cell>
          <cell r="O599">
            <v>-5.9374999999999956E-2</v>
          </cell>
          <cell r="P599">
            <v>-0.1060487038491752</v>
          </cell>
          <cell r="Q599">
            <v>-5.1485148514851531E-2</v>
          </cell>
          <cell r="R599">
            <v>-1.5580736543909235E-2</v>
          </cell>
          <cell r="S599">
            <v>-0.10606060606060608</v>
          </cell>
          <cell r="T599">
            <v>-1.1627906976744096E-2</v>
          </cell>
          <cell r="U599">
            <v>-5.882352941176483E-2</v>
          </cell>
          <cell r="V599">
            <v>-8.2446808510638347E-2</v>
          </cell>
          <cell r="W599">
            <v>-5.6258790436005679E-2</v>
          </cell>
          <cell r="X599">
            <v>-0.14305684995340162</v>
          </cell>
          <cell r="Y599">
            <v>-0.19164037854889593</v>
          </cell>
          <cell r="Z599">
            <v>-8.8215938831255003E-2</v>
          </cell>
          <cell r="AB599">
            <v>0.90382831340650338</v>
          </cell>
          <cell r="AC599">
            <v>1.2110309730299007</v>
          </cell>
          <cell r="AD599">
            <v>0.39996333465355249</v>
          </cell>
          <cell r="AE599">
            <v>0.78085354780368943</v>
          </cell>
          <cell r="AF599">
            <v>1.0805562005915557</v>
          </cell>
          <cell r="AG599">
            <v>1.5325581767641772</v>
          </cell>
          <cell r="AH599">
            <v>0.80434952394216597</v>
          </cell>
          <cell r="AI599">
            <v>0.89019309837151261</v>
          </cell>
          <cell r="AJ599">
            <v>0.44560456762815737</v>
          </cell>
          <cell r="AK599">
            <v>0.99021578302878877</v>
          </cell>
          <cell r="AL599">
            <v>2.1302280553346598</v>
          </cell>
        </row>
        <row r="600">
          <cell r="A600" t="str">
            <v>12/06/2006</v>
          </cell>
          <cell r="B600">
            <v>30</v>
          </cell>
          <cell r="C600">
            <v>57.15</v>
          </cell>
          <cell r="D600">
            <v>96</v>
          </cell>
          <cell r="E600">
            <v>70.099999999999994</v>
          </cell>
          <cell r="F600">
            <v>14.7</v>
          </cell>
          <cell r="G600">
            <v>4.2</v>
          </cell>
          <cell r="H600">
            <v>11.5</v>
          </cell>
          <cell r="I600">
            <v>69.05</v>
          </cell>
          <cell r="J600">
            <v>134</v>
          </cell>
          <cell r="K600">
            <v>184.2</v>
          </cell>
          <cell r="L600">
            <v>50.8</v>
          </cell>
          <cell r="M600">
            <v>15621.44</v>
          </cell>
          <cell r="O600">
            <v>-5.5118110236220486E-2</v>
          </cell>
          <cell r="P600">
            <v>-0.11050583657587554</v>
          </cell>
          <cell r="Q600">
            <v>-4.5725646123260355E-2</v>
          </cell>
          <cell r="R600">
            <v>-9.8870056497175618E-3</v>
          </cell>
          <cell r="S600">
            <v>-0.10365853658536583</v>
          </cell>
          <cell r="T600">
            <v>-5.9171597633135287E-3</v>
          </cell>
          <cell r="U600">
            <v>-2.5423728813559365E-2</v>
          </cell>
          <cell r="V600">
            <v>-8.178191489361708E-2</v>
          </cell>
          <cell r="W600">
            <v>-4.9645390070921946E-2</v>
          </cell>
          <cell r="X600">
            <v>-0.13113207547169814</v>
          </cell>
          <cell r="Y600">
            <v>-0.21362229102167185</v>
          </cell>
          <cell r="Z600">
            <v>-7.5755612551288709E-2</v>
          </cell>
          <cell r="AB600">
            <v>0.90305761611093838</v>
          </cell>
          <cell r="AC600">
            <v>1.2183458345614919</v>
          </cell>
          <cell r="AD600">
            <v>0.40209279166552697</v>
          </cell>
          <cell r="AE600">
            <v>0.77237060537320634</v>
          </cell>
          <cell r="AF600">
            <v>1.0838073502604804</v>
          </cell>
          <cell r="AG600">
            <v>1.5058985293805689</v>
          </cell>
          <cell r="AH600">
            <v>0.79507029694628562</v>
          </cell>
          <cell r="AI600">
            <v>0.89777047092988416</v>
          </cell>
          <cell r="AJ600">
            <v>0.45001478166364345</v>
          </cell>
          <cell r="AK600">
            <v>1.0104063326273574</v>
          </cell>
          <cell r="AL600">
            <v>2.1599943841682827</v>
          </cell>
        </row>
        <row r="601">
          <cell r="A601" t="str">
            <v>13/06/2006</v>
          </cell>
          <cell r="B601">
            <v>28.25</v>
          </cell>
          <cell r="C601">
            <v>56.9</v>
          </cell>
          <cell r="D601">
            <v>94.3</v>
          </cell>
          <cell r="E601">
            <v>68.7</v>
          </cell>
          <cell r="F601">
            <v>14.55</v>
          </cell>
          <cell r="G601">
            <v>3.9750000000000001</v>
          </cell>
          <cell r="H601">
            <v>11.35</v>
          </cell>
          <cell r="I601">
            <v>65.650000000000006</v>
          </cell>
          <cell r="J601">
            <v>132.30000000000001</v>
          </cell>
          <cell r="K601">
            <v>179</v>
          </cell>
          <cell r="L601">
            <v>48</v>
          </cell>
          <cell r="M601">
            <v>15234.42</v>
          </cell>
          <cell r="O601">
            <v>-7.6797385620915093E-2</v>
          </cell>
          <cell r="P601">
            <v>-0.10110584518167454</v>
          </cell>
          <cell r="Q601">
            <v>-5.9820538384845467E-2</v>
          </cell>
          <cell r="R601">
            <v>-1.7869907076483171E-2</v>
          </cell>
          <cell r="S601">
            <v>-0.10461538461538455</v>
          </cell>
          <cell r="T601">
            <v>-4.7904191616766401E-2</v>
          </cell>
          <cell r="U601">
            <v>-1.7316017316017396E-2</v>
          </cell>
          <cell r="V601">
            <v>-9.9451303155006832E-2</v>
          </cell>
          <cell r="W601">
            <v>-3.9215686274509665E-2</v>
          </cell>
          <cell r="X601">
            <v>-0.13610038610038611</v>
          </cell>
          <cell r="Y601">
            <v>-0.21246923707957344</v>
          </cell>
          <cell r="Z601">
            <v>-7.6412987334220861E-2</v>
          </cell>
          <cell r="AB601">
            <v>0.90820411746696739</v>
          </cell>
          <cell r="AC601">
            <v>1.2214542420982344</v>
          </cell>
          <cell r="AD601">
            <v>0.40729035476634529</v>
          </cell>
          <cell r="AE601">
            <v>0.76516004901434853</v>
          </cell>
          <cell r="AF601">
            <v>1.0870119453821343</v>
          </cell>
          <cell r="AG601">
            <v>1.4923691933949823</v>
          </cell>
          <cell r="AH601">
            <v>0.78457461585445709</v>
          </cell>
          <cell r="AI601">
            <v>0.90822112116814657</v>
          </cell>
          <cell r="AJ601">
            <v>0.45168910779350957</v>
          </cell>
          <cell r="AK601">
            <v>1.0299501667500286</v>
          </cell>
          <cell r="AL601">
            <v>2.1885383914513343</v>
          </cell>
        </row>
        <row r="602">
          <cell r="A602" t="str">
            <v>14/06/2006</v>
          </cell>
          <cell r="B602">
            <v>28.75</v>
          </cell>
          <cell r="C602">
            <v>56.9</v>
          </cell>
          <cell r="D602">
            <v>94.2</v>
          </cell>
          <cell r="E602">
            <v>66.3</v>
          </cell>
          <cell r="F602">
            <v>14.6</v>
          </cell>
          <cell r="G602">
            <v>3.9249999999999998</v>
          </cell>
          <cell r="H602">
            <v>10.95</v>
          </cell>
          <cell r="I602">
            <v>64</v>
          </cell>
          <cell r="J602">
            <v>132.30000000000001</v>
          </cell>
          <cell r="K602">
            <v>178.6</v>
          </cell>
          <cell r="L602">
            <v>45.5</v>
          </cell>
          <cell r="M602">
            <v>15247.92</v>
          </cell>
          <cell r="O602">
            <v>-1.8771331058020535E-2</v>
          </cell>
          <cell r="P602">
            <v>-6.7213114754098413E-2</v>
          </cell>
          <cell r="Q602">
            <v>-5.8941058941058833E-2</v>
          </cell>
          <cell r="R602">
            <v>-3.6337209302325535E-2</v>
          </cell>
          <cell r="S602">
            <v>-6.7092651757188593E-2</v>
          </cell>
          <cell r="T602">
            <v>-5.4216867469879637E-2</v>
          </cell>
          <cell r="U602">
            <v>-5.1948051948052076E-2</v>
          </cell>
          <cell r="V602">
            <v>-0.11111111111111116</v>
          </cell>
          <cell r="W602">
            <v>-3.9912917271407888E-2</v>
          </cell>
          <cell r="X602">
            <v>-0.12792968750000011</v>
          </cell>
          <cell r="Y602">
            <v>-0.21955403087478553</v>
          </cell>
          <cell r="Z602">
            <v>-6.9858007418970525E-2</v>
          </cell>
          <cell r="AB602">
            <v>0.90016974584864695</v>
          </cell>
          <cell r="AC602">
            <v>1.2183347516483298</v>
          </cell>
          <cell r="AD602">
            <v>0.4123295313772366</v>
          </cell>
          <cell r="AE602">
            <v>0.7648519008010819</v>
          </cell>
          <cell r="AF602">
            <v>1.0824250299954876</v>
          </cell>
          <cell r="AG602">
            <v>1.4837919189731437</v>
          </cell>
          <cell r="AH602">
            <v>0.78485471356300329</v>
          </cell>
          <cell r="AI602">
            <v>0.92199862266643484</v>
          </cell>
          <cell r="AJ602">
            <v>0.45382617937161041</v>
          </cell>
          <cell r="AK602">
            <v>1.0469285070470862</v>
          </cell>
          <cell r="AL602">
            <v>2.2182288557165792</v>
          </cell>
        </row>
        <row r="603">
          <cell r="A603" t="str">
            <v>15/06/2006</v>
          </cell>
          <cell r="B603">
            <v>29.05</v>
          </cell>
          <cell r="C603">
            <v>56.1</v>
          </cell>
          <cell r="D603">
            <v>94.7</v>
          </cell>
          <cell r="E603">
            <v>63.95</v>
          </cell>
          <cell r="F603">
            <v>14.7</v>
          </cell>
          <cell r="G603">
            <v>3.9750000000000001</v>
          </cell>
          <cell r="H603">
            <v>11.1</v>
          </cell>
          <cell r="I603">
            <v>64.3</v>
          </cell>
          <cell r="J603">
            <v>133.30000000000001</v>
          </cell>
          <cell r="K603">
            <v>180.4</v>
          </cell>
          <cell r="L603">
            <v>47</v>
          </cell>
          <cell r="M603">
            <v>15435.08</v>
          </cell>
          <cell r="O603">
            <v>-2.6800670016750461E-2</v>
          </cell>
          <cell r="P603">
            <v>-9.5161290322580583E-2</v>
          </cell>
          <cell r="Q603">
            <v>-5.3946053946053896E-2</v>
          </cell>
          <cell r="R603">
            <v>-6.3003663003663002E-2</v>
          </cell>
          <cell r="S603">
            <v>-7.2555205047318605E-2</v>
          </cell>
          <cell r="T603">
            <v>-7.5581395348837122E-2</v>
          </cell>
          <cell r="U603">
            <v>-4.7210300429184615E-2</v>
          </cell>
          <cell r="V603">
            <v>-9.5639943741209543E-2</v>
          </cell>
          <cell r="W603">
            <v>-5.192034139402546E-2</v>
          </cell>
          <cell r="X603">
            <v>-0.11220472440944873</v>
          </cell>
          <cell r="Y603">
            <v>-0.20875420875420869</v>
          </cell>
          <cell r="Z603">
            <v>-7.1046098383742873E-2</v>
          </cell>
          <cell r="AB603">
            <v>0.89461988197185482</v>
          </cell>
          <cell r="AC603">
            <v>1.2206220034506237</v>
          </cell>
          <cell r="AD603">
            <v>0.41539793252218649</v>
          </cell>
          <cell r="AE603">
            <v>0.77032514543712294</v>
          </cell>
          <cell r="AF603">
            <v>1.0794956389379344</v>
          </cell>
          <cell r="AG603">
            <v>1.4825502596987257</v>
          </cell>
          <cell r="AH603">
            <v>0.78453410968028003</v>
          </cell>
          <cell r="AI603">
            <v>0.92993457958671155</v>
          </cell>
          <cell r="AJ603">
            <v>0.45910782292065905</v>
          </cell>
          <cell r="AK603">
            <v>1.0587792575783925</v>
          </cell>
          <cell r="AL603">
            <v>2.2476579414696261</v>
          </cell>
        </row>
        <row r="604">
          <cell r="A604" t="str">
            <v>16/06/2006</v>
          </cell>
          <cell r="B604">
            <v>30.1</v>
          </cell>
          <cell r="C604">
            <v>62.25</v>
          </cell>
          <cell r="D604">
            <v>96.45</v>
          </cell>
          <cell r="E604">
            <v>65.05</v>
          </cell>
          <cell r="F604">
            <v>14.95</v>
          </cell>
          <cell r="G604">
            <v>4.0750000000000002</v>
          </cell>
          <cell r="H604">
            <v>11.5</v>
          </cell>
          <cell r="I604">
            <v>65.150000000000006</v>
          </cell>
          <cell r="J604">
            <v>135.6</v>
          </cell>
          <cell r="K604">
            <v>189.5</v>
          </cell>
          <cell r="L604">
            <v>49.05</v>
          </cell>
          <cell r="M604">
            <v>15842.65</v>
          </cell>
          <cell r="O604">
            <v>3.7931034482758585E-2</v>
          </cell>
          <cell r="P604">
            <v>2.3007395234182493E-2</v>
          </cell>
          <cell r="Q604">
            <v>-3.3082706766917269E-2</v>
          </cell>
          <cell r="R604">
            <v>-7.071428571428573E-2</v>
          </cell>
          <cell r="S604">
            <v>-4.4728434504792358E-2</v>
          </cell>
          <cell r="T604">
            <v>-4.6783625730994149E-2</v>
          </cell>
          <cell r="U604">
            <v>1.3215859030837107E-2</v>
          </cell>
          <cell r="V604">
            <v>-6.7954220314735303E-2</v>
          </cell>
          <cell r="W604">
            <v>-1.8813314037626538E-2</v>
          </cell>
          <cell r="X604">
            <v>-4.6300956215400091E-2</v>
          </cell>
          <cell r="Y604">
            <v>-0.15284974093264247</v>
          </cell>
          <cell r="Z604">
            <v>-2.6057816914742737E-2</v>
          </cell>
          <cell r="AB604">
            <v>0.88959215551469994</v>
          </cell>
          <cell r="AC604">
            <v>1.2149014271895719</v>
          </cell>
          <cell r="AD604">
            <v>0.41651420345988849</v>
          </cell>
          <cell r="AE604">
            <v>0.77723368431999806</v>
          </cell>
          <cell r="AF604">
            <v>1.0804339184158256</v>
          </cell>
          <cell r="AG604">
            <v>1.4859900228462859</v>
          </cell>
          <cell r="AH604">
            <v>0.78165361931820854</v>
          </cell>
          <cell r="AI604">
            <v>0.93501870800779041</v>
          </cell>
          <cell r="AJ604">
            <v>0.46006693802189175</v>
          </cell>
          <cell r="AK604">
            <v>1.0620461274672195</v>
          </cell>
          <cell r="AL604">
            <v>2.2655103129896466</v>
          </cell>
        </row>
        <row r="605">
          <cell r="A605" t="str">
            <v>19/06/2006</v>
          </cell>
          <cell r="B605">
            <v>29.95</v>
          </cell>
          <cell r="C605">
            <v>58.25</v>
          </cell>
          <cell r="D605">
            <v>96.5</v>
          </cell>
          <cell r="E605">
            <v>66.8</v>
          </cell>
          <cell r="F605">
            <v>14.85</v>
          </cell>
          <cell r="G605">
            <v>4.125</v>
          </cell>
          <cell r="H605">
            <v>11.25</v>
          </cell>
          <cell r="I605">
            <v>64.45</v>
          </cell>
          <cell r="J605">
            <v>135.30000000000001</v>
          </cell>
          <cell r="K605">
            <v>186.7</v>
          </cell>
          <cell r="L605">
            <v>47.9</v>
          </cell>
          <cell r="M605">
            <v>15768.86</v>
          </cell>
          <cell r="O605">
            <v>2.5684931506849251E-2</v>
          </cell>
          <cell r="P605">
            <v>-7.8322784810126667E-2</v>
          </cell>
          <cell r="Q605">
            <v>-3.2096288866599876E-2</v>
          </cell>
          <cell r="R605">
            <v>-4.5032165832737725E-2</v>
          </cell>
          <cell r="S605">
            <v>-5.414012738853502E-2</v>
          </cell>
          <cell r="T605">
            <v>-5.1724137931034364E-2</v>
          </cell>
          <cell r="U605">
            <v>-8.8105726872246271E-3</v>
          </cell>
          <cell r="V605">
            <v>-8.3866382373844917E-2</v>
          </cell>
          <cell r="W605">
            <v>-2.1691973969631184E-2</v>
          </cell>
          <cell r="X605">
            <v>-5.1802945657694388E-2</v>
          </cell>
          <cell r="Y605">
            <v>-0.1544571932921448</v>
          </cell>
          <cell r="Z605">
            <v>-3.33775506701256E-2</v>
          </cell>
          <cell r="AB605">
            <v>0.884535544244057</v>
          </cell>
          <cell r="AC605">
            <v>1.219540767121112</v>
          </cell>
          <cell r="AD605">
            <v>0.41737728930245493</v>
          </cell>
          <cell r="AE605">
            <v>0.78124100057286205</v>
          </cell>
          <cell r="AF605">
            <v>1.0818236109511083</v>
          </cell>
          <cell r="AG605">
            <v>1.4890600231950291</v>
          </cell>
          <cell r="AH605">
            <v>0.78041011098365953</v>
          </cell>
          <cell r="AI605">
            <v>0.94208564681660478</v>
          </cell>
          <cell r="AJ605">
            <v>0.46113500856140871</v>
          </cell>
          <cell r="AK605">
            <v>1.0657914899487455</v>
          </cell>
          <cell r="AL605">
            <v>2.2843713720389234</v>
          </cell>
        </row>
        <row r="606">
          <cell r="A606" t="str">
            <v>20/06/2006</v>
          </cell>
          <cell r="B606">
            <v>30.35</v>
          </cell>
          <cell r="C606">
            <v>57.15</v>
          </cell>
          <cell r="D606">
            <v>96</v>
          </cell>
          <cell r="E606">
            <v>68.900000000000006</v>
          </cell>
          <cell r="F606">
            <v>14.75</v>
          </cell>
          <cell r="G606">
            <v>4.125</v>
          </cell>
          <cell r="H606">
            <v>11.45</v>
          </cell>
          <cell r="I606">
            <v>63.7</v>
          </cell>
          <cell r="J606">
            <v>134.19999999999999</v>
          </cell>
          <cell r="K606">
            <v>186</v>
          </cell>
          <cell r="L606">
            <v>47</v>
          </cell>
          <cell r="M606">
            <v>15608.97</v>
          </cell>
          <cell r="O606">
            <v>5.7491289198606355E-2</v>
          </cell>
          <cell r="P606">
            <v>-9.1414944356120853E-2</v>
          </cell>
          <cell r="Q606">
            <v>-2.8340080971659853E-2</v>
          </cell>
          <cell r="R606">
            <v>4.7112462006079214E-2</v>
          </cell>
          <cell r="S606">
            <v>-3.9087947882736174E-2</v>
          </cell>
          <cell r="T606">
            <v>-3.5087719298245723E-2</v>
          </cell>
          <cell r="U606">
            <v>4.0909090909090784E-2</v>
          </cell>
          <cell r="V606">
            <v>-8.9999999999999969E-2</v>
          </cell>
          <cell r="W606">
            <v>2.989536621823552E-3</v>
          </cell>
          <cell r="X606">
            <v>-3.125E-2</v>
          </cell>
          <cell r="Y606">
            <v>-0.1132075471698113</v>
          </cell>
          <cell r="Z606">
            <v>-1.2435528853210864E-2</v>
          </cell>
          <cell r="AB606">
            <v>0.88121188333318567</v>
          </cell>
          <cell r="AC606">
            <v>1.2242537370885118</v>
          </cell>
          <cell r="AD606">
            <v>0.41811999615789186</v>
          </cell>
          <cell r="AE606">
            <v>0.77848957500041838</v>
          </cell>
          <cell r="AF606">
            <v>1.0831007454888779</v>
          </cell>
          <cell r="AG606">
            <v>1.4919657394834316</v>
          </cell>
          <cell r="AH606">
            <v>0.77769821935536609</v>
          </cell>
          <cell r="AI606">
            <v>0.94743879092308203</v>
          </cell>
          <cell r="AJ606">
            <v>0.46067963462221279</v>
          </cell>
          <cell r="AK606">
            <v>1.067714204076069</v>
          </cell>
          <cell r="AL606">
            <v>2.2953534106346454</v>
          </cell>
        </row>
        <row r="607">
          <cell r="A607" t="str">
            <v>21/06/2006</v>
          </cell>
          <cell r="B607">
            <v>30.25</v>
          </cell>
          <cell r="C607">
            <v>55.15</v>
          </cell>
          <cell r="D607">
            <v>96.05</v>
          </cell>
          <cell r="E607">
            <v>69.2</v>
          </cell>
          <cell r="F607">
            <v>14.75</v>
          </cell>
          <cell r="G607">
            <v>4.125</v>
          </cell>
          <cell r="H607">
            <v>11.45</v>
          </cell>
          <cell r="I607">
            <v>63.9</v>
          </cell>
          <cell r="J607">
            <v>133.9</v>
          </cell>
          <cell r="K607">
            <v>187</v>
          </cell>
          <cell r="L607">
            <v>47.15</v>
          </cell>
          <cell r="M607">
            <v>15659.36</v>
          </cell>
          <cell r="O607">
            <v>1.5100671140939603E-2</v>
          </cell>
          <cell r="P607">
            <v>-0.12599049128367679</v>
          </cell>
          <cell r="Q607">
            <v>-2.8816986855409565E-2</v>
          </cell>
          <cell r="R607">
            <v>2.5185185185185199E-2</v>
          </cell>
          <cell r="S607">
            <v>-3.2786885245901676E-2</v>
          </cell>
          <cell r="T607">
            <v>-3.5087719298245723E-2</v>
          </cell>
          <cell r="U607">
            <v>4.0909090909090784E-2</v>
          </cell>
          <cell r="V607">
            <v>-0.11250000000000004</v>
          </cell>
          <cell r="W607">
            <v>-3.7202380952381375E-3</v>
          </cell>
          <cell r="X607">
            <v>-1.9402202412165614E-2</v>
          </cell>
          <cell r="Y607">
            <v>-8.0896686159844022E-2</v>
          </cell>
          <cell r="Z607">
            <v>-1.2934490461758763E-2</v>
          </cell>
          <cell r="AB607">
            <v>0.88113258660261129</v>
          </cell>
          <cell r="AC607">
            <v>1.2315375161288094</v>
          </cell>
          <cell r="AD607">
            <v>0.41888407066703159</v>
          </cell>
          <cell r="AE607">
            <v>0.77827874946827336</v>
          </cell>
          <cell r="AF607">
            <v>1.0842100697074251</v>
          </cell>
          <cell r="AG607">
            <v>1.4957968040347618</v>
          </cell>
          <cell r="AH607">
            <v>0.77479510451276323</v>
          </cell>
          <cell r="AI607">
            <v>0.95453860307534577</v>
          </cell>
          <cell r="AJ607">
            <v>0.46072017712111746</v>
          </cell>
          <cell r="AK607">
            <v>1.0687601280780938</v>
          </cell>
          <cell r="AL607">
            <v>2.3049221418990729</v>
          </cell>
        </row>
        <row r="608">
          <cell r="A608" t="str">
            <v>22/06/2006</v>
          </cell>
          <cell r="B608">
            <v>31.4</v>
          </cell>
          <cell r="C608">
            <v>56</v>
          </cell>
          <cell r="D608">
            <v>97</v>
          </cell>
          <cell r="E608">
            <v>69</v>
          </cell>
          <cell r="F608">
            <v>14.8</v>
          </cell>
          <cell r="G608">
            <v>4.1749999999999998</v>
          </cell>
          <cell r="H608">
            <v>11.4</v>
          </cell>
          <cell r="I608">
            <v>64.5</v>
          </cell>
          <cell r="J608">
            <v>134.9</v>
          </cell>
          <cell r="K608">
            <v>188.9</v>
          </cell>
          <cell r="L608">
            <v>47.8</v>
          </cell>
          <cell r="M608">
            <v>15826.7</v>
          </cell>
          <cell r="O608">
            <v>9.6463022508037621E-3</v>
          </cell>
          <cell r="P608">
            <v>-0.11111111111111116</v>
          </cell>
          <cell r="Q608">
            <v>-3.5952747817153963E-3</v>
          </cell>
          <cell r="R608">
            <v>0</v>
          </cell>
          <cell r="S608">
            <v>-2.9508196721311442E-2</v>
          </cell>
          <cell r="T608">
            <v>-1.764705882352946E-2</v>
          </cell>
          <cell r="U608">
            <v>6.0465116279069697E-2</v>
          </cell>
          <cell r="V608">
            <v>-9.1549295774647876E-2</v>
          </cell>
          <cell r="W608">
            <v>1.4847809948033142E-3</v>
          </cell>
          <cell r="X608">
            <v>-1.8191268191268151E-2</v>
          </cell>
          <cell r="Y608">
            <v>-6.3663075416258597E-2</v>
          </cell>
          <cell r="Z608">
            <v>2.5659434835145767E-4</v>
          </cell>
          <cell r="AB608">
            <v>0.88348302600102158</v>
          </cell>
          <cell r="AC608">
            <v>1.2345837370296222</v>
          </cell>
          <cell r="AD608">
            <v>0.4182272041983775</v>
          </cell>
          <cell r="AE608">
            <v>0.78111778045809688</v>
          </cell>
          <cell r="AF608">
            <v>1.085861869574702</v>
          </cell>
          <cell r="AG608">
            <v>1.4973571660563674</v>
          </cell>
          <cell r="AH608">
            <v>0.77378377275783805</v>
          </cell>
          <cell r="AI608">
            <v>0.95731643422510437</v>
          </cell>
          <cell r="AJ608">
            <v>0.46074876703303763</v>
          </cell>
          <cell r="AK608">
            <v>1.0694396599067628</v>
          </cell>
          <cell r="AL608">
            <v>2.3142780167041943</v>
          </cell>
        </row>
        <row r="609">
          <cell r="A609" t="str">
            <v>23/06/2006</v>
          </cell>
          <cell r="B609">
            <v>31.2</v>
          </cell>
          <cell r="C609">
            <v>56</v>
          </cell>
          <cell r="D609">
            <v>97.15</v>
          </cell>
          <cell r="E609">
            <v>68</v>
          </cell>
          <cell r="F609">
            <v>14.8</v>
          </cell>
          <cell r="G609">
            <v>4.2</v>
          </cell>
          <cell r="H609">
            <v>11.25</v>
          </cell>
          <cell r="I609">
            <v>64.5</v>
          </cell>
          <cell r="J609">
            <v>134.80000000000001</v>
          </cell>
          <cell r="K609">
            <v>188.5</v>
          </cell>
          <cell r="L609">
            <v>46.45</v>
          </cell>
          <cell r="M609">
            <v>15808.81</v>
          </cell>
          <cell r="O609">
            <v>2.6315789473684292E-2</v>
          </cell>
          <cell r="P609">
            <v>-0.11181601903251381</v>
          </cell>
          <cell r="Q609">
            <v>-1.5416238437819807E-3</v>
          </cell>
          <cell r="R609">
            <v>1.9490254872563728E-2</v>
          </cell>
          <cell r="S609">
            <v>-2.631578947368407E-2</v>
          </cell>
          <cell r="T609">
            <v>-3.4482758620689502E-2</v>
          </cell>
          <cell r="U609">
            <v>6.1320754716981174E-2</v>
          </cell>
          <cell r="V609">
            <v>-7.8571428571428625E-2</v>
          </cell>
          <cell r="W609">
            <v>8.9820359281438389E-3</v>
          </cell>
          <cell r="X609">
            <v>-1.3605442176870763E-2</v>
          </cell>
          <cell r="Y609">
            <v>-7.2854291417165595E-2</v>
          </cell>
          <cell r="Z609">
            <v>7.1300748109976997E-3</v>
          </cell>
          <cell r="AB609">
            <v>0.88773338008742786</v>
          </cell>
          <cell r="AC609">
            <v>1.2390832210164342</v>
          </cell>
          <cell r="AD609">
            <v>0.41754626870766715</v>
          </cell>
          <cell r="AE609">
            <v>0.78679427650187839</v>
          </cell>
          <cell r="AF609">
            <v>1.0879264128194228</v>
          </cell>
          <cell r="AG609">
            <v>1.500860320150083</v>
          </cell>
          <cell r="AH609">
            <v>0.77600146402849546</v>
          </cell>
          <cell r="AI609">
            <v>0.96037073641924209</v>
          </cell>
          <cell r="AJ609">
            <v>0.45973097517648959</v>
          </cell>
          <cell r="AK609">
            <v>1.0712759368091092</v>
          </cell>
          <cell r="AL609">
            <v>2.3267925631696116</v>
          </cell>
        </row>
        <row r="610">
          <cell r="A610" t="str">
            <v>26/06/2006</v>
          </cell>
          <cell r="B610">
            <v>31.4</v>
          </cell>
          <cell r="C610">
            <v>56</v>
          </cell>
          <cell r="D610">
            <v>97.25</v>
          </cell>
          <cell r="E610">
            <v>69.3</v>
          </cell>
          <cell r="F610">
            <v>14.75</v>
          </cell>
          <cell r="G610">
            <v>4.3</v>
          </cell>
          <cell r="H610">
            <v>11.35</v>
          </cell>
          <cell r="I610">
            <v>64.599999999999994</v>
          </cell>
          <cell r="J610">
            <v>134.1</v>
          </cell>
          <cell r="K610">
            <v>186.2</v>
          </cell>
          <cell r="L610">
            <v>45.95</v>
          </cell>
          <cell r="M610">
            <v>15804.81</v>
          </cell>
          <cell r="O610">
            <v>2.9508196721311331E-2</v>
          </cell>
          <cell r="P610">
            <v>-0.125</v>
          </cell>
          <cell r="Q610">
            <v>-6.639427987742641E-3</v>
          </cell>
          <cell r="R610">
            <v>3.587443946188329E-2</v>
          </cell>
          <cell r="S610">
            <v>-2.3178807947019875E-2</v>
          </cell>
          <cell r="T610">
            <v>-1.1494252873563204E-2</v>
          </cell>
          <cell r="U610">
            <v>3.6529680365296802E-2</v>
          </cell>
          <cell r="V610">
            <v>-8.885754583921035E-2</v>
          </cell>
          <cell r="W610">
            <v>-5.9303187546331237E-3</v>
          </cell>
          <cell r="X610">
            <v>-3.772609819121453E-2</v>
          </cell>
          <cell r="Y610">
            <v>-0.12057416267942578</v>
          </cell>
          <cell r="Z610">
            <v>-5.6803669055244255E-3</v>
          </cell>
          <cell r="AB610">
            <v>0.89145251588564278</v>
          </cell>
          <cell r="AC610">
            <v>1.2470967589457087</v>
          </cell>
          <cell r="AD610">
            <v>0.41559851666919001</v>
          </cell>
          <cell r="AE610">
            <v>0.79142006886977245</v>
          </cell>
          <cell r="AF610">
            <v>1.090556148147664</v>
          </cell>
          <cell r="AG610">
            <v>1.5044840877302517</v>
          </cell>
          <cell r="AH610">
            <v>0.7792862273076343</v>
          </cell>
          <cell r="AI610">
            <v>0.96838694715035045</v>
          </cell>
          <cell r="AJ610">
            <v>0.45947743306828298</v>
          </cell>
          <cell r="AK610">
            <v>1.0751692178783341</v>
          </cell>
          <cell r="AL610">
            <v>2.3455078523460027</v>
          </cell>
        </row>
        <row r="611">
          <cell r="A611" t="str">
            <v>27/06/2006</v>
          </cell>
          <cell r="B611">
            <v>31.5</v>
          </cell>
          <cell r="C611">
            <v>55</v>
          </cell>
          <cell r="D611">
            <v>97.35</v>
          </cell>
          <cell r="E611">
            <v>68.2</v>
          </cell>
          <cell r="F611">
            <v>14.8</v>
          </cell>
          <cell r="G611">
            <v>4.3250000000000002</v>
          </cell>
          <cell r="H611">
            <v>11.35</v>
          </cell>
          <cell r="I611">
            <v>64.25</v>
          </cell>
          <cell r="J611">
            <v>133.5</v>
          </cell>
          <cell r="K611">
            <v>186.1</v>
          </cell>
          <cell r="L611">
            <v>45.8</v>
          </cell>
          <cell r="M611">
            <v>15774.7</v>
          </cell>
          <cell r="O611">
            <v>6.5989847715735905E-2</v>
          </cell>
          <cell r="P611">
            <v>-0.12698412698412698</v>
          </cell>
          <cell r="Q611">
            <v>-1.0261672652642773E-3</v>
          </cell>
          <cell r="R611">
            <v>-1.7998560115190743E-2</v>
          </cell>
          <cell r="S611">
            <v>-1.3333333333333308E-2</v>
          </cell>
          <cell r="T611">
            <v>-1.7045454545454586E-2</v>
          </cell>
          <cell r="U611">
            <v>2.7149321266968229E-2</v>
          </cell>
          <cell r="V611">
            <v>-9.6343178621659531E-2</v>
          </cell>
          <cell r="W611">
            <v>-1.7660044150110465E-2</v>
          </cell>
          <cell r="X611">
            <v>-4.6618852459016313E-2</v>
          </cell>
          <cell r="Y611">
            <v>-0.12511938872970396</v>
          </cell>
          <cell r="Z611">
            <v>-5.2459690412783866E-3</v>
          </cell>
          <cell r="AB611">
            <v>0.89184886100708016</v>
          </cell>
          <cell r="AC611">
            <v>1.2544969686685328</v>
          </cell>
          <cell r="AD611">
            <v>0.41428011424714117</v>
          </cell>
          <cell r="AE611">
            <v>0.79738547228142187</v>
          </cell>
          <cell r="AF611">
            <v>1.0912858236398628</v>
          </cell>
          <cell r="AG611">
            <v>1.5070318001757264</v>
          </cell>
          <cell r="AH611">
            <v>0.77900013483669195</v>
          </cell>
          <cell r="AI611">
            <v>0.97404913017213524</v>
          </cell>
          <cell r="AJ611">
            <v>0.46000321210724898</v>
          </cell>
          <cell r="AK611">
            <v>1.0790415548198202</v>
          </cell>
          <cell r="AL611">
            <v>2.3586962340739102</v>
          </cell>
        </row>
        <row r="612">
          <cell r="A612" t="str">
            <v>28/06/2006</v>
          </cell>
          <cell r="B612">
            <v>31.4</v>
          </cell>
          <cell r="C612">
            <v>54.65</v>
          </cell>
          <cell r="D612">
            <v>97.1</v>
          </cell>
          <cell r="E612">
            <v>66.3</v>
          </cell>
          <cell r="F612">
            <v>14.75</v>
          </cell>
          <cell r="G612">
            <v>4.3</v>
          </cell>
          <cell r="H612">
            <v>11.3</v>
          </cell>
          <cell r="I612">
            <v>63.3</v>
          </cell>
          <cell r="J612">
            <v>133</v>
          </cell>
          <cell r="K612">
            <v>186.8</v>
          </cell>
          <cell r="L612">
            <v>45.4</v>
          </cell>
          <cell r="M612">
            <v>15742.66</v>
          </cell>
          <cell r="O612">
            <v>6.2605752961082839E-2</v>
          </cell>
          <cell r="P612">
            <v>-0.13253968253968251</v>
          </cell>
          <cell r="Q612">
            <v>-3.5915854284249704E-3</v>
          </cell>
          <cell r="R612">
            <v>-4.5356371490280822E-2</v>
          </cell>
          <cell r="S612">
            <v>-1.6666666666666718E-2</v>
          </cell>
          <cell r="T612">
            <v>-2.2727272727272818E-2</v>
          </cell>
          <cell r="U612">
            <v>2.2624434389140191E-2</v>
          </cell>
          <cell r="V612">
            <v>-0.10970464135021096</v>
          </cell>
          <cell r="W612">
            <v>-2.1339220014716775E-2</v>
          </cell>
          <cell r="X612">
            <v>-4.3032786885245811E-2</v>
          </cell>
          <cell r="Y612">
            <v>-0.13276026743075464</v>
          </cell>
          <cell r="Z612">
            <v>-7.2664143842591233E-3</v>
          </cell>
          <cell r="AB612">
            <v>0.89163372014658315</v>
          </cell>
          <cell r="AC612">
            <v>1.2621306491983526</v>
          </cell>
          <cell r="AD612">
            <v>0.41300453760404732</v>
          </cell>
          <cell r="AE612">
            <v>0.80604796485458519</v>
          </cell>
          <cell r="AF612">
            <v>1.0917604818178681</v>
          </cell>
          <cell r="AG612">
            <v>1.5093742471060616</v>
          </cell>
          <cell r="AH612">
            <v>0.77941352265454</v>
          </cell>
          <cell r="AI612">
            <v>0.98212271975368326</v>
          </cell>
          <cell r="AJ612">
            <v>0.46045603921797285</v>
          </cell>
          <cell r="AK612">
            <v>1.0824836694587023</v>
          </cell>
          <cell r="AL612">
            <v>2.3716049677370998</v>
          </cell>
        </row>
        <row r="613">
          <cell r="A613" t="str">
            <v>29/06/2006</v>
          </cell>
          <cell r="B613">
            <v>31.5</v>
          </cell>
          <cell r="C613">
            <v>54.9</v>
          </cell>
          <cell r="D613">
            <v>97.45</v>
          </cell>
          <cell r="E613">
            <v>66.2</v>
          </cell>
          <cell r="F613">
            <v>14.85</v>
          </cell>
          <cell r="G613">
            <v>4.2750000000000004</v>
          </cell>
          <cell r="H613">
            <v>11.45</v>
          </cell>
          <cell r="I613">
            <v>63.6</v>
          </cell>
          <cell r="J613">
            <v>133.69999999999999</v>
          </cell>
          <cell r="K613">
            <v>187.8</v>
          </cell>
          <cell r="L613">
            <v>47.5</v>
          </cell>
          <cell r="M613">
            <v>15865.22</v>
          </cell>
          <cell r="O613">
            <v>7.6923076923076872E-2</v>
          </cell>
          <cell r="P613">
            <v>-0.11736334405144699</v>
          </cell>
          <cell r="Q613">
            <v>8.7991718426501109E-3</v>
          </cell>
          <cell r="R613">
            <v>-5.1575931232091587E-2</v>
          </cell>
          <cell r="S613">
            <v>6.7796610169490457E-3</v>
          </cell>
          <cell r="T613">
            <v>-2.8409090909090939E-2</v>
          </cell>
          <cell r="U613">
            <v>4.0909090909090784E-2</v>
          </cell>
          <cell r="V613">
            <v>-9.4661921708184993E-2</v>
          </cell>
          <cell r="W613">
            <v>-2.2388059701493601E-3</v>
          </cell>
          <cell r="X613">
            <v>-2.1874999999999978E-2</v>
          </cell>
          <cell r="Y613">
            <v>-8.0348499515972893E-2</v>
          </cell>
          <cell r="Z613">
            <v>1.4058562108547834E-2</v>
          </cell>
          <cell r="AB613">
            <v>0.89414870305682814</v>
          </cell>
          <cell r="AC613">
            <v>1.2602730113804428</v>
          </cell>
          <cell r="AD613">
            <v>0.4118939974611624</v>
          </cell>
          <cell r="AE613">
            <v>0.80979228505977618</v>
          </cell>
          <cell r="AF613">
            <v>1.0915239408589354</v>
          </cell>
          <cell r="AG613">
            <v>1.5091796917221285</v>
          </cell>
          <cell r="AH613">
            <v>0.78104350159327984</v>
          </cell>
          <cell r="AI613">
            <v>0.98344149716011497</v>
          </cell>
          <cell r="AJ613">
            <v>0.4600379694927566</v>
          </cell>
          <cell r="AK613">
            <v>1.0834966442593477</v>
          </cell>
          <cell r="AL613">
            <v>2.3734918350624139</v>
          </cell>
        </row>
        <row r="614">
          <cell r="A614" t="str">
            <v>30/06/2006</v>
          </cell>
          <cell r="B614">
            <v>31.95</v>
          </cell>
          <cell r="C614">
            <v>56.9</v>
          </cell>
          <cell r="D614">
            <v>98.5</v>
          </cell>
          <cell r="E614">
            <v>68</v>
          </cell>
          <cell r="F614">
            <v>15.2</v>
          </cell>
          <cell r="G614">
            <v>4.375</v>
          </cell>
          <cell r="H614">
            <v>11.45</v>
          </cell>
          <cell r="I614">
            <v>67</v>
          </cell>
          <cell r="J614">
            <v>136.1</v>
          </cell>
          <cell r="K614">
            <v>191</v>
          </cell>
          <cell r="L614">
            <v>49.95</v>
          </cell>
          <cell r="M614">
            <v>16267.62</v>
          </cell>
          <cell r="O614">
            <v>7.035175879396971E-2</v>
          </cell>
          <cell r="P614">
            <v>-7.2534637326813423E-2</v>
          </cell>
          <cell r="Q614">
            <v>1.9668737060041463E-2</v>
          </cell>
          <cell r="R614">
            <v>-2.2286125089863384E-2</v>
          </cell>
          <cell r="S614">
            <v>3.050847457627115E-2</v>
          </cell>
          <cell r="T614">
            <v>-1.6853932584269704E-2</v>
          </cell>
          <cell r="U614">
            <v>-2.1367521367521403E-2</v>
          </cell>
          <cell r="V614">
            <v>-3.8737446197991465E-2</v>
          </cell>
          <cell r="W614">
            <v>3.6873156342183133E-3</v>
          </cell>
          <cell r="X614">
            <v>-1.4956162970603426E-2</v>
          </cell>
          <cell r="Y614">
            <v>-5.6657223796033995E-2</v>
          </cell>
          <cell r="Z614">
            <v>2.2303554831326844E-2</v>
          </cell>
          <cell r="AB614">
            <v>0.89694035948906048</v>
          </cell>
          <cell r="AC614">
            <v>1.2571885698488348</v>
          </cell>
          <cell r="AD614">
            <v>0.41168583466069064</v>
          </cell>
          <cell r="AE614">
            <v>0.81313579424923899</v>
          </cell>
          <cell r="AF614">
            <v>1.091932541209452</v>
          </cell>
          <cell r="AG614">
            <v>1.5080923710500289</v>
          </cell>
          <cell r="AH614">
            <v>0.78091052568150632</v>
          </cell>
          <cell r="AI614">
            <v>0.98295741747583631</v>
          </cell>
          <cell r="AJ614">
            <v>0.46007485914111912</v>
          </cell>
          <cell r="AK614">
            <v>1.0827541893042107</v>
          </cell>
          <cell r="AL614">
            <v>2.3714134913445197</v>
          </cell>
        </row>
        <row r="615">
          <cell r="A615" t="str">
            <v>03/07/2006</v>
          </cell>
          <cell r="B615">
            <v>31.85</v>
          </cell>
          <cell r="C615">
            <v>60.95</v>
          </cell>
          <cell r="D615">
            <v>98.65</v>
          </cell>
          <cell r="E615">
            <v>70.900000000000006</v>
          </cell>
          <cell r="F615">
            <v>15.25</v>
          </cell>
          <cell r="G615">
            <v>4.375</v>
          </cell>
          <cell r="H615">
            <v>11.65</v>
          </cell>
          <cell r="I615">
            <v>67.5</v>
          </cell>
          <cell r="J615">
            <v>135.9</v>
          </cell>
          <cell r="K615">
            <v>193.3</v>
          </cell>
          <cell r="L615">
            <v>50.6</v>
          </cell>
          <cell r="M615">
            <v>16326.66</v>
          </cell>
          <cell r="O615">
            <v>4.4262295081967329E-2</v>
          </cell>
          <cell r="P615">
            <v>1.0779436152570598E-2</v>
          </cell>
          <cell r="Q615">
            <v>1.9111570247933862E-2</v>
          </cell>
          <cell r="R615">
            <v>1.3581129378127166E-2</v>
          </cell>
          <cell r="S615">
            <v>2.3489932885905951E-2</v>
          </cell>
          <cell r="T615">
            <v>-5.6818181818182323E-3</v>
          </cell>
          <cell r="U615">
            <v>1.304347826086949E-2</v>
          </cell>
          <cell r="V615">
            <v>-2.3861171366594491E-2</v>
          </cell>
          <cell r="W615">
            <v>3.6927621861151394E-3</v>
          </cell>
          <cell r="X615">
            <v>-8.7179487179486204E-3</v>
          </cell>
          <cell r="Y615">
            <v>-8.9108910891089077E-2</v>
          </cell>
          <cell r="Z615">
            <v>1.9382214166504763E-2</v>
          </cell>
          <cell r="AB615">
            <v>0.8988861943656451</v>
          </cell>
          <cell r="AC615">
            <v>1.2572802282844129</v>
          </cell>
          <cell r="AD615">
            <v>0.4115742730012909</v>
          </cell>
          <cell r="AE615">
            <v>0.81856892081465316</v>
          </cell>
          <cell r="AF615">
            <v>1.0921038863707064</v>
          </cell>
          <cell r="AG615">
            <v>1.5084232329204681</v>
          </cell>
          <cell r="AH615">
            <v>0.78213470017007736</v>
          </cell>
          <cell r="AI615">
            <v>0.98344023154207139</v>
          </cell>
          <cell r="AJ615">
            <v>0.46020319297086881</v>
          </cell>
          <cell r="AK615">
            <v>1.0824684065926744</v>
          </cell>
          <cell r="AL615">
            <v>2.3692227404226167</v>
          </cell>
        </row>
        <row r="616">
          <cell r="A616" t="str">
            <v>05/07/2006</v>
          </cell>
          <cell r="B616">
            <v>31.7</v>
          </cell>
          <cell r="C616">
            <v>60.65</v>
          </cell>
          <cell r="D616">
            <v>98.6</v>
          </cell>
          <cell r="E616">
            <v>69.2</v>
          </cell>
          <cell r="F616">
            <v>15.1</v>
          </cell>
          <cell r="G616">
            <v>4.45</v>
          </cell>
          <cell r="H616">
            <v>11.7</v>
          </cell>
          <cell r="I616">
            <v>66.599999999999994</v>
          </cell>
          <cell r="J616">
            <v>135.80000000000001</v>
          </cell>
          <cell r="K616">
            <v>190</v>
          </cell>
          <cell r="L616">
            <v>49.3</v>
          </cell>
          <cell r="M616">
            <v>16267.18</v>
          </cell>
          <cell r="O616">
            <v>2.7552674230145735E-2</v>
          </cell>
          <cell r="P616">
            <v>2.7966101694915313E-2</v>
          </cell>
          <cell r="Q616">
            <v>2.0703933747411973E-2</v>
          </cell>
          <cell r="R616">
            <v>-5.4644808743169349E-2</v>
          </cell>
          <cell r="S616">
            <v>6.6666666666665986E-3</v>
          </cell>
          <cell r="T616">
            <v>-1.6574585635359185E-2</v>
          </cell>
          <cell r="U616">
            <v>1.7391304347825987E-2</v>
          </cell>
          <cell r="V616">
            <v>-3.6876355748373224E-2</v>
          </cell>
          <cell r="W616">
            <v>8.9153046062409036E-3</v>
          </cell>
          <cell r="X616">
            <v>0</v>
          </cell>
          <cell r="Y616">
            <v>-0.11806797853309481</v>
          </cell>
          <cell r="Z616">
            <v>1.8410315837053659E-2</v>
          </cell>
          <cell r="AB616">
            <v>0.8992333733623542</v>
          </cell>
          <cell r="AC616">
            <v>1.2575912531726567</v>
          </cell>
          <cell r="AD616">
            <v>0.41195999130483224</v>
          </cell>
          <cell r="AE616">
            <v>0.8183196179353035</v>
          </cell>
          <cell r="AF616">
            <v>1.0918485177419421</v>
          </cell>
          <cell r="AG616">
            <v>1.5076735622873598</v>
          </cell>
          <cell r="AH616">
            <v>0.78275822165090359</v>
          </cell>
          <cell r="AI616">
            <v>0.98292292384231339</v>
          </cell>
          <cell r="AJ616">
            <v>0.46047153972700444</v>
          </cell>
          <cell r="AK616">
            <v>1.0821682208860393</v>
          </cell>
          <cell r="AL616">
            <v>2.3646422329607342</v>
          </cell>
        </row>
        <row r="617">
          <cell r="A617" t="str">
            <v>06/07/2006</v>
          </cell>
          <cell r="B617">
            <v>32.1</v>
          </cell>
          <cell r="C617">
            <v>61.7</v>
          </cell>
          <cell r="D617">
            <v>98.75</v>
          </cell>
          <cell r="E617">
            <v>69.3</v>
          </cell>
          <cell r="F617">
            <v>15.3</v>
          </cell>
          <cell r="G617">
            <v>4.45</v>
          </cell>
          <cell r="H617">
            <v>11.9</v>
          </cell>
          <cell r="I617">
            <v>66.599999999999994</v>
          </cell>
          <cell r="J617">
            <v>136.5</v>
          </cell>
          <cell r="K617">
            <v>190</v>
          </cell>
          <cell r="L617">
            <v>50.1</v>
          </cell>
          <cell r="M617">
            <v>16440.990000000002</v>
          </cell>
          <cell r="O617">
            <v>5.0736497545008197E-2</v>
          </cell>
          <cell r="P617">
            <v>7.4912891986062879E-2</v>
          </cell>
          <cell r="Q617">
            <v>2.811035918792304E-2</v>
          </cell>
          <cell r="R617">
            <v>-4.4137931034482825E-2</v>
          </cell>
          <cell r="S617">
            <v>3.0303030303030276E-2</v>
          </cell>
          <cell r="T617">
            <v>5.6497175141243527E-3</v>
          </cell>
          <cell r="U617">
            <v>2.1459227467811148E-2</v>
          </cell>
          <cell r="V617">
            <v>-3.8961038961038974E-2</v>
          </cell>
          <cell r="W617">
            <v>1.8656716417910557E-2</v>
          </cell>
          <cell r="X617">
            <v>1.3333333333333419E-2</v>
          </cell>
          <cell r="Y617">
            <v>-8.4931506849315053E-2</v>
          </cell>
          <cell r="Z617">
            <v>3.948016476412386E-2</v>
          </cell>
          <cell r="AB617">
            <v>0.90008542840681305</v>
          </cell>
          <cell r="AC617">
            <v>1.2599632605891224</v>
          </cell>
          <cell r="AD617">
            <v>0.41373786361058129</v>
          </cell>
          <cell r="AE617">
            <v>0.81249644474060756</v>
          </cell>
          <cell r="AF617">
            <v>1.091289298796023</v>
          </cell>
          <cell r="AG617">
            <v>1.5015016391333025</v>
          </cell>
          <cell r="AH617">
            <v>0.78205636342867646</v>
          </cell>
          <cell r="AI617">
            <v>0.97719276940821309</v>
          </cell>
          <cell r="AJ617">
            <v>0.46070839478453485</v>
          </cell>
          <cell r="AK617">
            <v>1.0805314293276984</v>
          </cell>
          <cell r="AL617">
            <v>2.3454386305949497</v>
          </cell>
        </row>
        <row r="618">
          <cell r="A618" t="str">
            <v>07/07/2006</v>
          </cell>
          <cell r="B618">
            <v>32.35</v>
          </cell>
          <cell r="C618">
            <v>63.5</v>
          </cell>
          <cell r="D618">
            <v>98.85</v>
          </cell>
          <cell r="E618">
            <v>70.150000000000006</v>
          </cell>
          <cell r="F618">
            <v>15.25</v>
          </cell>
          <cell r="G618">
            <v>4.4249999999999998</v>
          </cell>
          <cell r="H618">
            <v>11.95</v>
          </cell>
          <cell r="I618">
            <v>67.400000000000006</v>
          </cell>
          <cell r="J618">
            <v>137.4</v>
          </cell>
          <cell r="K618">
            <v>191.7</v>
          </cell>
          <cell r="L618">
            <v>50.05</v>
          </cell>
          <cell r="M618">
            <v>16459.78</v>
          </cell>
          <cell r="O618">
            <v>7.6539101497504092E-2</v>
          </cell>
          <cell r="P618">
            <v>0.13799283154121866</v>
          </cell>
          <cell r="Q618">
            <v>3.6706869428421607E-2</v>
          </cell>
          <cell r="R618">
            <v>3.5765379113019691E-3</v>
          </cell>
          <cell r="S618">
            <v>3.3898305084745672E-2</v>
          </cell>
          <cell r="T618">
            <v>1.1428571428571344E-2</v>
          </cell>
          <cell r="U618">
            <v>6.2222222222222179E-2</v>
          </cell>
          <cell r="V618">
            <v>-2.6011560693641522E-2</v>
          </cell>
          <cell r="W618">
            <v>3.7764350453172169E-2</v>
          </cell>
          <cell r="X618">
            <v>4.12819120043455E-2</v>
          </cell>
          <cell r="Y618">
            <v>-2.4366471734892814E-2</v>
          </cell>
          <cell r="Z618">
            <v>6.5350343783959985E-2</v>
          </cell>
          <cell r="AB618">
            <v>0.90027701414632444</v>
          </cell>
          <cell r="AC618">
            <v>1.269087727667833</v>
          </cell>
          <cell r="AD618">
            <v>0.41700537723204295</v>
          </cell>
          <cell r="AE618">
            <v>0.8022786134058344</v>
          </cell>
          <cell r="AF618">
            <v>1.0866902317178524</v>
          </cell>
          <cell r="AG618">
            <v>1.484867060628887</v>
          </cell>
          <cell r="AH618">
            <v>0.78263960724273351</v>
          </cell>
          <cell r="AI618">
            <v>0.96275853111140008</v>
          </cell>
          <cell r="AJ618">
            <v>0.46167916704077244</v>
          </cell>
          <cell r="AK618">
            <v>1.0741062686504321</v>
          </cell>
          <cell r="AL618">
            <v>2.308454305258981</v>
          </cell>
        </row>
        <row r="619">
          <cell r="A619" t="str">
            <v>10/07/2006</v>
          </cell>
          <cell r="B619">
            <v>32.35</v>
          </cell>
          <cell r="C619">
            <v>63</v>
          </cell>
          <cell r="D619">
            <v>99.15</v>
          </cell>
          <cell r="E619">
            <v>70.150000000000006</v>
          </cell>
          <cell r="F619">
            <v>15.45</v>
          </cell>
          <cell r="G619">
            <v>4.4000000000000004</v>
          </cell>
          <cell r="H619">
            <v>12</v>
          </cell>
          <cell r="I619">
            <v>67.400000000000006</v>
          </cell>
          <cell r="J619">
            <v>139.30000000000001</v>
          </cell>
          <cell r="K619">
            <v>192.2</v>
          </cell>
          <cell r="L619">
            <v>50.2</v>
          </cell>
          <cell r="M619">
            <v>16603.810000000001</v>
          </cell>
          <cell r="O619">
            <v>7.4750830564784154E-2</v>
          </cell>
          <cell r="P619">
            <v>0.10720562390158173</v>
          </cell>
          <cell r="Q619">
            <v>3.4968684759916657E-2</v>
          </cell>
          <cell r="R619">
            <v>9.3525179856115415E-3</v>
          </cell>
          <cell r="S619">
            <v>4.7457627118643986E-2</v>
          </cell>
          <cell r="T619">
            <v>3.529411764705892E-2</v>
          </cell>
          <cell r="U619">
            <v>7.1428571428571397E-2</v>
          </cell>
          <cell r="V619">
            <v>-2.3188405797101352E-2</v>
          </cell>
          <cell r="W619">
            <v>3.8002980625931659E-2</v>
          </cell>
          <cell r="X619">
            <v>4.513322457857516E-2</v>
          </cell>
          <cell r="Y619">
            <v>-2.0487804878048688E-2</v>
          </cell>
          <cell r="Z619">
            <v>6.23929452820422E-2</v>
          </cell>
          <cell r="AB619">
            <v>0.90031910127311043</v>
          </cell>
          <cell r="AC619">
            <v>1.2734108590590214</v>
          </cell>
          <cell r="AD619">
            <v>0.41998789285503496</v>
          </cell>
          <cell r="AE619">
            <v>0.79389852993028309</v>
          </cell>
          <cell r="AF619">
            <v>1.0850074958848059</v>
          </cell>
          <cell r="AG619">
            <v>1.4739496127319349</v>
          </cell>
          <cell r="AH619">
            <v>0.78454903594724479</v>
          </cell>
          <cell r="AI619">
            <v>0.94999223896932883</v>
          </cell>
          <cell r="AJ619">
            <v>0.46257373752033759</v>
          </cell>
          <cell r="AK619">
            <v>1.0686157777608161</v>
          </cell>
          <cell r="AL619">
            <v>2.2758533878256264</v>
          </cell>
        </row>
        <row r="620">
          <cell r="A620" t="str">
            <v>11/07/2006</v>
          </cell>
          <cell r="B620">
            <v>32.299999999999997</v>
          </cell>
          <cell r="C620">
            <v>62.45</v>
          </cell>
          <cell r="D620">
            <v>99.05</v>
          </cell>
          <cell r="E620">
            <v>70.400000000000006</v>
          </cell>
          <cell r="F620">
            <v>15.4</v>
          </cell>
          <cell r="G620">
            <v>4.4249999999999998</v>
          </cell>
          <cell r="H620">
            <v>12.15</v>
          </cell>
          <cell r="I620">
            <v>68.45</v>
          </cell>
          <cell r="J620">
            <v>138.5</v>
          </cell>
          <cell r="K620">
            <v>190.8</v>
          </cell>
          <cell r="L620">
            <v>50.45</v>
          </cell>
          <cell r="M620">
            <v>16490.13</v>
          </cell>
          <cell r="O620">
            <v>7.6666666666666661E-2</v>
          </cell>
          <cell r="P620">
            <v>9.2738407699037628E-2</v>
          </cell>
          <cell r="Q620">
            <v>3.1770833333333304E-2</v>
          </cell>
          <cell r="R620">
            <v>4.2796005706136064E-3</v>
          </cell>
          <cell r="S620">
            <v>4.7619047619047672E-2</v>
          </cell>
          <cell r="T620">
            <v>5.3571428571428381E-2</v>
          </cell>
          <cell r="U620">
            <v>5.65217391304349E-2</v>
          </cell>
          <cell r="V620">
            <v>-8.6893555394640387E-3</v>
          </cell>
          <cell r="W620">
            <v>3.3582089552238736E-2</v>
          </cell>
          <cell r="X620">
            <v>3.5830618892508159E-2</v>
          </cell>
          <cell r="Y620">
            <v>-6.8897637795274358E-3</v>
          </cell>
          <cell r="Z620">
            <v>5.5608829915807956E-2</v>
          </cell>
          <cell r="AB620">
            <v>0.902052080570513</v>
          </cell>
          <cell r="AC620">
            <v>1.2767053358791765</v>
          </cell>
          <cell r="AD620">
            <v>0.42239078198475205</v>
          </cell>
          <cell r="AE620">
            <v>0.78700403653905382</v>
          </cell>
          <cell r="AF620">
            <v>1.084476700570252</v>
          </cell>
          <cell r="AG620">
            <v>1.4681261626116797</v>
          </cell>
          <cell r="AH620">
            <v>0.78570804027885011</v>
          </cell>
          <cell r="AI620">
            <v>0.94226150447654466</v>
          </cell>
          <cell r="AJ620">
            <v>0.46361284138023995</v>
          </cell>
          <cell r="AK620">
            <v>1.0647950152278016</v>
          </cell>
          <cell r="AL620">
            <v>2.2520577042354808</v>
          </cell>
        </row>
        <row r="621">
          <cell r="A621" t="str">
            <v>12/07/2006</v>
          </cell>
          <cell r="B621">
            <v>32.299999999999997</v>
          </cell>
          <cell r="C621">
            <v>61.75</v>
          </cell>
          <cell r="D621">
            <v>99.2</v>
          </cell>
          <cell r="E621">
            <v>70.2</v>
          </cell>
          <cell r="F621">
            <v>15.45</v>
          </cell>
          <cell r="G621">
            <v>4.45</v>
          </cell>
          <cell r="H621">
            <v>12.25</v>
          </cell>
          <cell r="I621">
            <v>68.099999999999994</v>
          </cell>
          <cell r="J621">
            <v>138.4</v>
          </cell>
          <cell r="K621">
            <v>188.5</v>
          </cell>
          <cell r="L621">
            <v>50.4</v>
          </cell>
          <cell r="M621">
            <v>16522.21</v>
          </cell>
          <cell r="O621">
            <v>0.14336283185840704</v>
          </cell>
          <cell r="P621">
            <v>8.5237258347979017E-2</v>
          </cell>
          <cell r="Q621">
            <v>5.1961823966065745E-2</v>
          </cell>
          <cell r="R621">
            <v>2.1834061135371119E-2</v>
          </cell>
          <cell r="S621">
            <v>6.1855670103092786E-2</v>
          </cell>
          <cell r="T621">
            <v>0.11949685534591192</v>
          </cell>
          <cell r="U621">
            <v>7.9295154185021977E-2</v>
          </cell>
          <cell r="V621">
            <v>3.7319116527037233E-2</v>
          </cell>
          <cell r="W621">
            <v>4.6107331821617414E-2</v>
          </cell>
          <cell r="X621">
            <v>5.307262569832405E-2</v>
          </cell>
          <cell r="Y621">
            <v>5.0000000000000044E-2</v>
          </cell>
          <cell r="Z621">
            <v>8.4531606716894858E-2</v>
          </cell>
          <cell r="AB621">
            <v>0.91262131082916897</v>
          </cell>
          <cell r="AC621">
            <v>1.2726167454717088</v>
          </cell>
          <cell r="AD621">
            <v>0.42791604807024447</v>
          </cell>
          <cell r="AE621">
            <v>0.77507575992372257</v>
          </cell>
          <cell r="AF621">
            <v>1.0800453010177125</v>
          </cell>
          <cell r="AG621">
            <v>1.4635586209260409</v>
          </cell>
          <cell r="AH621">
            <v>0.78709263170567867</v>
          </cell>
          <cell r="AI621">
            <v>0.93350840739867924</v>
          </cell>
          <cell r="AJ621">
            <v>0.46482061911043326</v>
          </cell>
          <cell r="AK621">
            <v>1.0552264282843389</v>
          </cell>
          <cell r="AL621">
            <v>2.2120030499578278</v>
          </cell>
        </row>
        <row r="622">
          <cell r="A622" t="str">
            <v>13/07/2006</v>
          </cell>
          <cell r="B622">
            <v>32.15</v>
          </cell>
          <cell r="C622">
            <v>61</v>
          </cell>
          <cell r="D622">
            <v>98.75</v>
          </cell>
          <cell r="E622">
            <v>70.150000000000006</v>
          </cell>
          <cell r="F622">
            <v>15.25</v>
          </cell>
          <cell r="G622">
            <v>4.4000000000000004</v>
          </cell>
          <cell r="H622">
            <v>12.45</v>
          </cell>
          <cell r="I622">
            <v>68.099999999999994</v>
          </cell>
          <cell r="J622">
            <v>136.80000000000001</v>
          </cell>
          <cell r="K622">
            <v>185.5</v>
          </cell>
          <cell r="L622">
            <v>49.7</v>
          </cell>
          <cell r="M622">
            <v>16305.48</v>
          </cell>
          <cell r="O622">
            <v>0.11826086956521742</v>
          </cell>
          <cell r="P622">
            <v>7.2056239015817258E-2</v>
          </cell>
          <cell r="Q622">
            <v>4.8301486199575416E-2</v>
          </cell>
          <cell r="R622">
            <v>5.8069381598793601E-2</v>
          </cell>
          <cell r="S622">
            <v>4.4520547945205546E-2</v>
          </cell>
          <cell r="T622">
            <v>0.12101910828025497</v>
          </cell>
          <cell r="U622">
            <v>0.13698630136986312</v>
          </cell>
          <cell r="V622">
            <v>6.4062499999999911E-2</v>
          </cell>
          <cell r="W622">
            <v>3.4013605442176909E-2</v>
          </cell>
          <cell r="X622">
            <v>3.8633818589025815E-2</v>
          </cell>
          <cell r="Y622">
            <v>9.2307692307692424E-2</v>
          </cell>
          <cell r="Z622">
            <v>6.9357656650874233E-2</v>
          </cell>
          <cell r="AB622">
            <v>0.92056296855410369</v>
          </cell>
          <cell r="AC622">
            <v>1.271907899053252</v>
          </cell>
          <cell r="AD622">
            <v>0.43276658878958285</v>
          </cell>
          <cell r="AE622">
            <v>0.77559391673259481</v>
          </cell>
          <cell r="AF622">
            <v>1.0769556481277056</v>
          </cell>
          <cell r="AG622">
            <v>1.464617150600392</v>
          </cell>
          <cell r="AH622">
            <v>0.80160580383021363</v>
          </cell>
          <cell r="AI622">
            <v>0.93422139774213853</v>
          </cell>
          <cell r="AJ622">
            <v>0.46518778287884521</v>
          </cell>
          <cell r="AK622">
            <v>1.0496358710212599</v>
          </cell>
          <cell r="AL622">
            <v>2.1937525471385513</v>
          </cell>
        </row>
        <row r="623">
          <cell r="A623" t="str">
            <v>14/07/2006</v>
          </cell>
          <cell r="B623">
            <v>32.25</v>
          </cell>
          <cell r="C623">
            <v>60.5</v>
          </cell>
          <cell r="D623">
            <v>98.3</v>
          </cell>
          <cell r="E623">
            <v>68.3</v>
          </cell>
          <cell r="F623">
            <v>15.1</v>
          </cell>
          <cell r="G623">
            <v>4.2750000000000004</v>
          </cell>
          <cell r="H623">
            <v>12.2</v>
          </cell>
          <cell r="I623">
            <v>66.8</v>
          </cell>
          <cell r="J623">
            <v>135.6</v>
          </cell>
          <cell r="K623">
            <v>182.1</v>
          </cell>
          <cell r="L623">
            <v>48.9</v>
          </cell>
          <cell r="M623">
            <v>16135.71</v>
          </cell>
          <cell r="O623">
            <v>0.11015490533562811</v>
          </cell>
          <cell r="P623">
            <v>7.8431372549019551E-2</v>
          </cell>
          <cell r="Q623">
            <v>3.8014783526927109E-2</v>
          </cell>
          <cell r="R623">
            <v>6.8021892103205639E-2</v>
          </cell>
          <cell r="S623">
            <v>2.7210884353741527E-2</v>
          </cell>
          <cell r="T623">
            <v>7.547169811320753E-2</v>
          </cell>
          <cell r="U623">
            <v>9.9099099099098975E-2</v>
          </cell>
          <cell r="V623">
            <v>3.8880248833592645E-2</v>
          </cell>
          <cell r="W623">
            <v>1.7254313578394465E-2</v>
          </cell>
          <cell r="X623">
            <v>9.4235033259422174E-3</v>
          </cell>
          <cell r="Y623">
            <v>4.042553191489362E-2</v>
          </cell>
          <cell r="Z623">
            <v>4.539205498125054E-2</v>
          </cell>
          <cell r="AB623">
            <v>0.92912291681234671</v>
          </cell>
          <cell r="AC623">
            <v>1.2761078325529547</v>
          </cell>
          <cell r="AD623">
            <v>0.43604274418286415</v>
          </cell>
          <cell r="AE623">
            <v>0.78233067162961345</v>
          </cell>
          <cell r="AF623">
            <v>1.0758309755073669</v>
          </cell>
          <cell r="AG623">
            <v>1.4667795048799666</v>
          </cell>
          <cell r="AH623">
            <v>0.81153390345207954</v>
          </cell>
          <cell r="AI623">
            <v>0.93640549722677491</v>
          </cell>
          <cell r="AJ623">
            <v>0.46554682197836167</v>
          </cell>
          <cell r="AK623">
            <v>1.0478235252931638</v>
          </cell>
          <cell r="AL623">
            <v>2.1819327588575153</v>
          </cell>
        </row>
        <row r="624">
          <cell r="A624" t="str">
            <v>17/07/2006</v>
          </cell>
          <cell r="B624">
            <v>31.9</v>
          </cell>
          <cell r="C624">
            <v>60.3</v>
          </cell>
          <cell r="D624">
            <v>97.85</v>
          </cell>
          <cell r="E624">
            <v>69.099999999999994</v>
          </cell>
          <cell r="F624">
            <v>15.1</v>
          </cell>
          <cell r="G624">
            <v>4.2249999999999996</v>
          </cell>
          <cell r="H624">
            <v>12.4</v>
          </cell>
          <cell r="I624">
            <v>66.8</v>
          </cell>
          <cell r="J624">
            <v>134.9</v>
          </cell>
          <cell r="K624">
            <v>177.9</v>
          </cell>
          <cell r="L624">
            <v>48.25</v>
          </cell>
          <cell r="M624">
            <v>16064.82</v>
          </cell>
          <cell r="O624">
            <v>5.980066445182719E-2</v>
          </cell>
          <cell r="P624">
            <v>-3.1325301204819356E-2</v>
          </cell>
          <cell r="Q624">
            <v>1.4515292897874454E-2</v>
          </cell>
          <cell r="R624">
            <v>6.2259800153727785E-2</v>
          </cell>
          <cell r="S624">
            <v>1.0033444816053505E-2</v>
          </cell>
          <cell r="T624">
            <v>3.6809815950920033E-2</v>
          </cell>
          <cell r="U624">
            <v>7.8260869565217384E-2</v>
          </cell>
          <cell r="V624">
            <v>2.5326170376055224E-2</v>
          </cell>
          <cell r="W624">
            <v>-5.1622418879054832E-3</v>
          </cell>
          <cell r="X624">
            <v>-6.1213720316622644E-2</v>
          </cell>
          <cell r="Y624">
            <v>-1.6309887869520812E-2</v>
          </cell>
          <cell r="Z624">
            <v>1.4023537728852231E-2</v>
          </cell>
          <cell r="AB624">
            <v>0.93356519015374562</v>
          </cell>
          <cell r="AC624">
            <v>1.2774575880361954</v>
          </cell>
          <cell r="AD624">
            <v>0.43630974530306554</v>
          </cell>
          <cell r="AE624">
            <v>0.78699456702137316</v>
          </cell>
          <cell r="AF624">
            <v>1.0749993085087717</v>
          </cell>
          <cell r="AG624">
            <v>1.4699019097668282</v>
          </cell>
          <cell r="AH624">
            <v>0.81753847108803546</v>
          </cell>
          <cell r="AI624">
            <v>0.94028819920666562</v>
          </cell>
          <cell r="AJ624">
            <v>0.46627375564054457</v>
          </cell>
          <cell r="AK624">
            <v>1.0504894545957142</v>
          </cell>
          <cell r="AL624">
            <v>2.1798184004609147</v>
          </cell>
        </row>
        <row r="625">
          <cell r="A625" t="str">
            <v>18/07/2006</v>
          </cell>
          <cell r="B625">
            <v>31.75</v>
          </cell>
          <cell r="C625">
            <v>59.4</v>
          </cell>
          <cell r="D625">
            <v>97.95</v>
          </cell>
          <cell r="E625">
            <v>68.2</v>
          </cell>
          <cell r="F625">
            <v>15.1</v>
          </cell>
          <cell r="G625">
            <v>4.2249999999999996</v>
          </cell>
          <cell r="H625">
            <v>12.5</v>
          </cell>
          <cell r="I625">
            <v>67.05</v>
          </cell>
          <cell r="J625">
            <v>134.80000000000001</v>
          </cell>
          <cell r="K625">
            <v>180.4</v>
          </cell>
          <cell r="L625">
            <v>48.3</v>
          </cell>
          <cell r="M625">
            <v>16043.94</v>
          </cell>
          <cell r="O625">
            <v>6.0100166944908162E-2</v>
          </cell>
          <cell r="P625">
            <v>1.9742489270386132E-2</v>
          </cell>
          <cell r="Q625">
            <v>1.5025906735751215E-2</v>
          </cell>
          <cell r="R625">
            <v>2.0958083832335328E-2</v>
          </cell>
          <cell r="S625">
            <v>1.6835016835016869E-2</v>
          </cell>
          <cell r="T625">
            <v>2.4242424242424176E-2</v>
          </cell>
          <cell r="U625">
            <v>0.11111111111111116</v>
          </cell>
          <cell r="V625">
            <v>4.0341349883630695E-2</v>
          </cell>
          <cell r="W625">
            <v>-3.6954915003695188E-3</v>
          </cell>
          <cell r="X625">
            <v>-3.3743974290305179E-2</v>
          </cell>
          <cell r="Y625">
            <v>8.3507306889352151E-3</v>
          </cell>
          <cell r="Z625">
            <v>1.7444507719645008E-2</v>
          </cell>
          <cell r="AB625">
            <v>0.93668749666382212</v>
          </cell>
          <cell r="AC625">
            <v>1.2799078763456431</v>
          </cell>
          <cell r="AD625">
            <v>0.4365924465775855</v>
          </cell>
          <cell r="AE625">
            <v>0.79049956990318293</v>
          </cell>
          <cell r="AF625">
            <v>1.0734296865626571</v>
          </cell>
          <cell r="AG625">
            <v>1.4689008356410951</v>
          </cell>
          <cell r="AH625">
            <v>0.82131308200279884</v>
          </cell>
          <cell r="AI625">
            <v>0.94453810601886001</v>
          </cell>
          <cell r="AJ625">
            <v>0.46726692576963236</v>
          </cell>
          <cell r="AK625">
            <v>1.0529070126762994</v>
          </cell>
          <cell r="AL625">
            <v>2.1794544992684641</v>
          </cell>
        </row>
        <row r="626">
          <cell r="A626" t="str">
            <v>19/07/2006</v>
          </cell>
          <cell r="B626">
            <v>31.6</v>
          </cell>
          <cell r="C626">
            <v>58</v>
          </cell>
          <cell r="D626">
            <v>97.8</v>
          </cell>
          <cell r="E626">
            <v>69.400000000000006</v>
          </cell>
          <cell r="F626">
            <v>15.1</v>
          </cell>
          <cell r="G626">
            <v>4.25</v>
          </cell>
          <cell r="H626">
            <v>12.8</v>
          </cell>
          <cell r="I626">
            <v>67.349999999999994</v>
          </cell>
          <cell r="J626">
            <v>135.5</v>
          </cell>
          <cell r="K626">
            <v>182.3</v>
          </cell>
          <cell r="L626">
            <v>48.05</v>
          </cell>
          <cell r="M626">
            <v>16097.54</v>
          </cell>
          <cell r="O626">
            <v>4.1186161449752845E-2</v>
          </cell>
          <cell r="P626">
            <v>1.4873140857392775E-2</v>
          </cell>
          <cell r="Q626">
            <v>1.8750000000000044E-2</v>
          </cell>
          <cell r="R626">
            <v>7.2568940493469292E-3</v>
          </cell>
          <cell r="S626">
            <v>2.3728813559322104E-2</v>
          </cell>
          <cell r="T626">
            <v>3.0303030303030276E-2</v>
          </cell>
          <cell r="U626">
            <v>0.11790393013100453</v>
          </cell>
          <cell r="V626">
            <v>5.7299843014128493E-2</v>
          </cell>
          <cell r="W626">
            <v>9.6870342771981921E-3</v>
          </cell>
          <cell r="X626">
            <v>-1.9892473118279463E-2</v>
          </cell>
          <cell r="Y626">
            <v>2.2340425531914843E-2</v>
          </cell>
          <cell r="Z626">
            <v>3.1300591903245412E-2</v>
          </cell>
          <cell r="AB626">
            <v>0.93906354398786396</v>
          </cell>
          <cell r="AC626">
            <v>1.2806959560521733</v>
          </cell>
          <cell r="AD626">
            <v>0.4377027913704537</v>
          </cell>
          <cell r="AE626">
            <v>0.79067695672271421</v>
          </cell>
          <cell r="AF626">
            <v>1.0728270409530862</v>
          </cell>
          <cell r="AG626">
            <v>1.4660037560380892</v>
          </cell>
          <cell r="AH626">
            <v>0.8249530481829086</v>
          </cell>
          <cell r="AI626">
            <v>0.94604908413980449</v>
          </cell>
          <cell r="AJ626">
            <v>0.46900523608099731</v>
          </cell>
          <cell r="AK626">
            <v>1.0527040679292363</v>
          </cell>
          <cell r="AL626">
            <v>2.175248848353728</v>
          </cell>
        </row>
        <row r="627">
          <cell r="A627" t="str">
            <v>20/07/2006</v>
          </cell>
          <cell r="B627">
            <v>31.8</v>
          </cell>
          <cell r="C627">
            <v>60.3</v>
          </cell>
          <cell r="D627">
            <v>98.65</v>
          </cell>
          <cell r="E627">
            <v>70.3</v>
          </cell>
          <cell r="F627">
            <v>15.3</v>
          </cell>
          <cell r="G627">
            <v>4.2750000000000004</v>
          </cell>
          <cell r="H627">
            <v>12.65</v>
          </cell>
          <cell r="I627">
            <v>68.7</v>
          </cell>
          <cell r="J627">
            <v>137.80000000000001</v>
          </cell>
          <cell r="K627">
            <v>187</v>
          </cell>
          <cell r="L627">
            <v>49.3</v>
          </cell>
          <cell r="M627">
            <v>16472.62</v>
          </cell>
          <cell r="O627">
            <v>5.123966942148761E-2</v>
          </cell>
          <cell r="P627">
            <v>9.3381686310063383E-2</v>
          </cell>
          <cell r="Q627">
            <v>2.7069234773555495E-2</v>
          </cell>
          <cell r="R627">
            <v>1.5895953757225412E-2</v>
          </cell>
          <cell r="S627">
            <v>3.7288135593220417E-2</v>
          </cell>
          <cell r="T627">
            <v>3.6363636363636376E-2</v>
          </cell>
          <cell r="U627">
            <v>0.10480349344978168</v>
          </cell>
          <cell r="V627">
            <v>7.5117370892018753E-2</v>
          </cell>
          <cell r="W627">
            <v>2.9126213592232997E-2</v>
          </cell>
          <cell r="X627">
            <v>0</v>
          </cell>
          <cell r="Y627">
            <v>4.5599151643690217E-2</v>
          </cell>
          <cell r="Z627">
            <v>5.1934434102032245E-2</v>
          </cell>
          <cell r="AB627">
            <v>0.94044520815093358</v>
          </cell>
          <cell r="AC627">
            <v>1.284372693884211</v>
          </cell>
          <cell r="AD627">
            <v>0.4394408026369821</v>
          </cell>
          <cell r="AE627">
            <v>0.78340322951942609</v>
          </cell>
          <cell r="AF627">
            <v>1.0708230066218158</v>
          </cell>
          <cell r="AG627">
            <v>1.4599473638544784</v>
          </cell>
          <cell r="AH627">
            <v>0.82993669343439902</v>
          </cell>
          <cell r="AI627">
            <v>0.94708790844020352</v>
          </cell>
          <cell r="AJ627">
            <v>0.47110127732160789</v>
          </cell>
          <cell r="AK627">
            <v>1.0461370177080482</v>
          </cell>
          <cell r="AL627">
            <v>2.1624395237858538</v>
          </cell>
        </row>
        <row r="628">
          <cell r="A628" t="str">
            <v>21/07/2006</v>
          </cell>
          <cell r="B628">
            <v>31.6</v>
          </cell>
          <cell r="C628">
            <v>61</v>
          </cell>
          <cell r="D628">
            <v>98.5</v>
          </cell>
          <cell r="E628">
            <v>71.05</v>
          </cell>
          <cell r="F628">
            <v>15.5</v>
          </cell>
          <cell r="G628">
            <v>4.2249999999999996</v>
          </cell>
          <cell r="H628">
            <v>13</v>
          </cell>
          <cell r="I628">
            <v>68.900000000000006</v>
          </cell>
          <cell r="J628">
            <v>137.19999999999999</v>
          </cell>
          <cell r="K628">
            <v>186</v>
          </cell>
          <cell r="L628">
            <v>49</v>
          </cell>
          <cell r="M628">
            <v>16464.18</v>
          </cell>
          <cell r="O628">
            <v>6.3694267515923553E-3</v>
          </cell>
          <cell r="P628">
            <v>8.9285714285714191E-2</v>
          </cell>
          <cell r="Q628">
            <v>1.5463917525773141E-2</v>
          </cell>
          <cell r="R628">
            <v>2.9710144927536097E-2</v>
          </cell>
          <cell r="S628">
            <v>4.7297297297297147E-2</v>
          </cell>
          <cell r="T628">
            <v>1.1976047904191489E-2</v>
          </cell>
          <cell r="U628">
            <v>0.14035087719298245</v>
          </cell>
          <cell r="V628">
            <v>6.8217054263566057E-2</v>
          </cell>
          <cell r="W628">
            <v>1.7049666419569842E-2</v>
          </cell>
          <cell r="X628">
            <v>-1.5352038115404976E-2</v>
          </cell>
          <cell r="Y628">
            <v>2.5104602510460206E-2</v>
          </cell>
          <cell r="Z628">
            <v>4.0278769421294269E-2</v>
          </cell>
          <cell r="AB628">
            <v>0.93787393589383727</v>
          </cell>
          <cell r="AC628">
            <v>1.2870046566436326</v>
          </cell>
          <cell r="AD628">
            <v>0.44039527198686157</v>
          </cell>
          <cell r="AE628">
            <v>0.78065727375811556</v>
          </cell>
          <cell r="AF628">
            <v>1.070143392718119</v>
          </cell>
          <cell r="AG628">
            <v>1.4560877383093591</v>
          </cell>
          <cell r="AH628">
            <v>0.83729603993325141</v>
          </cell>
          <cell r="AI628">
            <v>0.94929666805351132</v>
          </cell>
          <cell r="AJ628">
            <v>0.47201224333554864</v>
          </cell>
          <cell r="AK628">
            <v>1.0398169517713576</v>
          </cell>
          <cell r="AL628">
            <v>2.1527328224174993</v>
          </cell>
        </row>
        <row r="629">
          <cell r="A629" t="str">
            <v>24/07/2006</v>
          </cell>
          <cell r="B629">
            <v>30.55</v>
          </cell>
          <cell r="C629">
            <v>60.8</v>
          </cell>
          <cell r="D629">
            <v>98.75</v>
          </cell>
          <cell r="E629">
            <v>71</v>
          </cell>
          <cell r="F629">
            <v>15.74</v>
          </cell>
          <cell r="G629">
            <v>4.25</v>
          </cell>
          <cell r="H629">
            <v>12.92</v>
          </cell>
          <cell r="I629">
            <v>68.5</v>
          </cell>
          <cell r="J629">
            <v>137.30000000000001</v>
          </cell>
          <cell r="K629">
            <v>187.2</v>
          </cell>
          <cell r="L629">
            <v>48.4</v>
          </cell>
          <cell r="M629">
            <v>16480.59</v>
          </cell>
          <cell r="O629">
            <v>-2.0833333333333259E-2</v>
          </cell>
          <cell r="P629">
            <v>8.5714285714285632E-2</v>
          </cell>
          <cell r="Q629">
            <v>1.6469377251672634E-2</v>
          </cell>
          <cell r="R629">
            <v>4.4117647058823595E-2</v>
          </cell>
          <cell r="S629">
            <v>6.351351351351342E-2</v>
          </cell>
          <cell r="T629">
            <v>1.1904761904761862E-2</v>
          </cell>
          <cell r="U629">
            <v>0.14844444444444438</v>
          </cell>
          <cell r="V629">
            <v>6.2015503875969102E-2</v>
          </cell>
          <cell r="W629">
            <v>1.8545994065281901E-2</v>
          </cell>
          <cell r="X629">
            <v>-6.8965517241379448E-3</v>
          </cell>
          <cell r="Y629">
            <v>4.1980624327233595E-2</v>
          </cell>
          <cell r="Z629">
            <v>4.2494027064655659E-2</v>
          </cell>
          <cell r="AB629">
            <v>0.93329009278617103</v>
          </cell>
          <cell r="AC629">
            <v>1.2892253068806971</v>
          </cell>
          <cell r="AD629">
            <v>0.44124304387444679</v>
          </cell>
          <cell r="AE629">
            <v>0.77847327731774685</v>
          </cell>
          <cell r="AF629">
            <v>1.0703138062935909</v>
          </cell>
          <cell r="AG629">
            <v>1.4533903676093951</v>
          </cell>
          <cell r="AH629">
            <v>0.84443971779021743</v>
          </cell>
          <cell r="AI629">
            <v>0.95021099185731173</v>
          </cell>
          <cell r="AJ629">
            <v>0.47379489457937446</v>
          </cell>
          <cell r="AK629">
            <v>1.0311003185936554</v>
          </cell>
          <cell r="AL629">
            <v>2.1423000987618965</v>
          </cell>
        </row>
        <row r="630">
          <cell r="A630" t="str">
            <v>25/07/2006</v>
          </cell>
          <cell r="B630">
            <v>30.95</v>
          </cell>
          <cell r="C630">
            <v>60.95</v>
          </cell>
          <cell r="D630">
            <v>98.95</v>
          </cell>
          <cell r="E630">
            <v>70.25</v>
          </cell>
          <cell r="F630">
            <v>15.7</v>
          </cell>
          <cell r="G630">
            <v>4.22</v>
          </cell>
          <cell r="H630">
            <v>12.78</v>
          </cell>
          <cell r="I630">
            <v>68.5</v>
          </cell>
          <cell r="J630">
            <v>138.5</v>
          </cell>
          <cell r="K630">
            <v>189.6</v>
          </cell>
          <cell r="L630">
            <v>48.65</v>
          </cell>
          <cell r="M630">
            <v>16583.86</v>
          </cell>
          <cell r="O630">
            <v>-1.4331210191082744E-2</v>
          </cell>
          <cell r="P630">
            <v>8.8392857142857162E-2</v>
          </cell>
          <cell r="Q630">
            <v>1.7480719794344513E-2</v>
          </cell>
          <cell r="R630">
            <v>1.3708513708513781E-2</v>
          </cell>
          <cell r="S630">
            <v>6.4406779661016822E-2</v>
          </cell>
          <cell r="T630">
            <v>-1.8604651162790753E-2</v>
          </cell>
          <cell r="U630">
            <v>0.12599118942731269</v>
          </cell>
          <cell r="V630">
            <v>6.0371517027863808E-2</v>
          </cell>
          <cell r="W630">
            <v>3.2811334824757621E-2</v>
          </cell>
          <cell r="X630">
            <v>1.8259935553168738E-2</v>
          </cell>
          <cell r="Y630">
            <v>5.8759521218715971E-2</v>
          </cell>
          <cell r="Z630">
            <v>4.9291956056415787E-2</v>
          </cell>
          <cell r="AB630">
            <v>0.92639833242704783</v>
          </cell>
          <cell r="AC630">
            <v>1.2900983692041275</v>
          </cell>
          <cell r="AD630">
            <v>0.44170952539489561</v>
          </cell>
          <cell r="AE630">
            <v>0.77190352154328001</v>
          </cell>
          <cell r="AF630">
            <v>1.0694303684745115</v>
          </cell>
          <cell r="AG630">
            <v>1.4453137783944849</v>
          </cell>
          <cell r="AH630">
            <v>0.85041223874045324</v>
          </cell>
          <cell r="AI630">
            <v>0.94979170459290108</v>
          </cell>
          <cell r="AJ630">
            <v>0.4762438080538976</v>
          </cell>
          <cell r="AK630">
            <v>1.0203179442524906</v>
          </cell>
          <cell r="AL630">
            <v>2.126235009611229</v>
          </cell>
        </row>
        <row r="631">
          <cell r="A631" t="str">
            <v>26/07/2006</v>
          </cell>
          <cell r="B631">
            <v>31.5</v>
          </cell>
          <cell r="C631">
            <v>62</v>
          </cell>
          <cell r="D631">
            <v>98.8</v>
          </cell>
          <cell r="E631">
            <v>73.3</v>
          </cell>
          <cell r="F631">
            <v>15.8</v>
          </cell>
          <cell r="G631">
            <v>4.2699999999999996</v>
          </cell>
          <cell r="H631">
            <v>12.8</v>
          </cell>
          <cell r="I631">
            <v>69.75</v>
          </cell>
          <cell r="J631">
            <v>138.80000000000001</v>
          </cell>
          <cell r="K631">
            <v>194.1</v>
          </cell>
          <cell r="L631">
            <v>49.4</v>
          </cell>
          <cell r="M631">
            <v>16617.240000000002</v>
          </cell>
          <cell r="O631">
            <v>0</v>
          </cell>
          <cell r="P631">
            <v>0.1272727272727272</v>
          </cell>
          <cell r="Q631">
            <v>1.4894709809964102E-2</v>
          </cell>
          <cell r="R631">
            <v>7.4780058651026327E-2</v>
          </cell>
          <cell r="S631">
            <v>6.7567567567567544E-2</v>
          </cell>
          <cell r="T631">
            <v>-1.2716763005780507E-2</v>
          </cell>
          <cell r="U631">
            <v>0.12775330396475781</v>
          </cell>
          <cell r="V631">
            <v>8.5603112840466844E-2</v>
          </cell>
          <cell r="W631">
            <v>3.9700374531835392E-2</v>
          </cell>
          <cell r="X631">
            <v>4.2987641053197301E-2</v>
          </cell>
          <cell r="Y631">
            <v>7.8602620087336206E-2</v>
          </cell>
          <cell r="Z631">
            <v>5.3410841410613141E-2</v>
          </cell>
          <cell r="AB631">
            <v>0.91961526087963175</v>
          </cell>
          <cell r="AC631">
            <v>1.2924709078482697</v>
          </cell>
          <cell r="AD631">
            <v>0.44155144199532192</v>
          </cell>
          <cell r="AE631">
            <v>0.77123583154552489</v>
          </cell>
          <cell r="AF631">
            <v>1.069797105702589</v>
          </cell>
          <cell r="AG631">
            <v>1.4358824052567645</v>
          </cell>
          <cell r="AH631">
            <v>0.85793995025073244</v>
          </cell>
          <cell r="AI631">
            <v>0.9521364285362387</v>
          </cell>
          <cell r="AJ631">
            <v>0.47867802456002656</v>
          </cell>
          <cell r="AK631">
            <v>1.0137925042743927</v>
          </cell>
          <cell r="AL631">
            <v>2.1114593189622517</v>
          </cell>
        </row>
        <row r="632">
          <cell r="A632" t="str">
            <v>27/07/2006</v>
          </cell>
          <cell r="B632">
            <v>31.9</v>
          </cell>
          <cell r="C632">
            <v>63.95</v>
          </cell>
          <cell r="D632">
            <v>99.1</v>
          </cell>
          <cell r="E632">
            <v>71.7</v>
          </cell>
          <cell r="F632">
            <v>15.86</v>
          </cell>
          <cell r="G632">
            <v>4.3099999999999996</v>
          </cell>
          <cell r="H632">
            <v>12.92</v>
          </cell>
          <cell r="I632">
            <v>70.349999999999994</v>
          </cell>
          <cell r="J632">
            <v>140.19999999999999</v>
          </cell>
          <cell r="K632">
            <v>196.8</v>
          </cell>
          <cell r="L632">
            <v>50.75</v>
          </cell>
          <cell r="M632">
            <v>16916.77</v>
          </cell>
          <cell r="O632">
            <v>1.5923566878980999E-2</v>
          </cell>
          <cell r="P632">
            <v>0.17017383348581894</v>
          </cell>
          <cell r="Q632">
            <v>2.059732234809486E-2</v>
          </cell>
          <cell r="R632">
            <v>8.1447963800905132E-2</v>
          </cell>
          <cell r="S632">
            <v>7.5254237288135517E-2</v>
          </cell>
          <cell r="T632">
            <v>2.3255813953488857E-3</v>
          </cell>
          <cell r="U632">
            <v>0.14336283185840704</v>
          </cell>
          <cell r="V632">
            <v>0.11137440758293837</v>
          </cell>
          <cell r="W632">
            <v>5.4135338345864481E-2</v>
          </cell>
          <cell r="X632">
            <v>5.3533190578158418E-2</v>
          </cell>
          <cell r="Y632">
            <v>0.11784140969163004</v>
          </cell>
          <cell r="Z632">
            <v>7.4581423977904571E-2</v>
          </cell>
          <cell r="AB632">
            <v>0.90839812291469713</v>
          </cell>
          <cell r="AC632">
            <v>1.2999010415670198</v>
          </cell>
          <cell r="AD632">
            <v>0.44061976559780291</v>
          </cell>
          <cell r="AE632">
            <v>0.77125002613168681</v>
          </cell>
          <cell r="AF632">
            <v>1.0683522659689901</v>
          </cell>
          <cell r="AG632">
            <v>1.4154400741474635</v>
          </cell>
          <cell r="AH632">
            <v>0.86921023023603616</v>
          </cell>
          <cell r="AI632">
            <v>0.95715681291833365</v>
          </cell>
          <cell r="AJ632">
            <v>0.48283807273754803</v>
          </cell>
          <cell r="AK632">
            <v>1.0055501960490194</v>
          </cell>
          <cell r="AL632">
            <v>2.0923517892801269</v>
          </cell>
        </row>
        <row r="633">
          <cell r="A633" t="str">
            <v>28/07/2006</v>
          </cell>
          <cell r="B633">
            <v>32.15</v>
          </cell>
          <cell r="C633">
            <v>64</v>
          </cell>
          <cell r="D633">
            <v>99.05</v>
          </cell>
          <cell r="E633">
            <v>70.8</v>
          </cell>
          <cell r="F633">
            <v>15.74</v>
          </cell>
          <cell r="G633">
            <v>4.37</v>
          </cell>
          <cell r="H633">
            <v>12.78</v>
          </cell>
          <cell r="I633">
            <v>68.8</v>
          </cell>
          <cell r="J633">
            <v>139.80000000000001</v>
          </cell>
          <cell r="K633">
            <v>197</v>
          </cell>
          <cell r="L633">
            <v>50.55</v>
          </cell>
          <cell r="M633">
            <v>16955.04</v>
          </cell>
          <cell r="O633">
            <v>2.0634920634920562E-2</v>
          </cell>
          <cell r="P633">
            <v>0.16575591985428062</v>
          </cell>
          <cell r="Q633">
            <v>1.641867624422777E-2</v>
          </cell>
          <cell r="R633">
            <v>6.9486404833836835E-2</v>
          </cell>
          <cell r="S633">
            <v>5.9932659932659949E-2</v>
          </cell>
          <cell r="T633">
            <v>2.2222222222222143E-2</v>
          </cell>
          <cell r="U633">
            <v>0.1161572052401747</v>
          </cell>
          <cell r="V633">
            <v>8.1761006289308158E-2</v>
          </cell>
          <cell r="W633">
            <v>4.5624532535527562E-2</v>
          </cell>
          <cell r="X633">
            <v>4.8988285410010546E-2</v>
          </cell>
          <cell r="Y633">
            <v>6.4210526315789496E-2</v>
          </cell>
          <cell r="Z633">
            <v>6.8692397584149578E-2</v>
          </cell>
          <cell r="AB633">
            <v>0.90054534184808666</v>
          </cell>
          <cell r="AC633">
            <v>1.3078482336559392</v>
          </cell>
          <cell r="AD633">
            <v>0.43998238255260652</v>
          </cell>
          <cell r="AE633">
            <v>0.76959411674500766</v>
          </cell>
          <cell r="AF633">
            <v>1.0657337366124793</v>
          </cell>
          <cell r="AG633">
            <v>1.4019398758432302</v>
          </cell>
          <cell r="AH633">
            <v>0.87499328827429468</v>
          </cell>
          <cell r="AI633">
            <v>0.95743567334126967</v>
          </cell>
          <cell r="AJ633">
            <v>0.48606930487893013</v>
          </cell>
          <cell r="AK633">
            <v>0.99876685747201854</v>
          </cell>
          <cell r="AL633">
            <v>2.0687092678119963</v>
          </cell>
        </row>
        <row r="634">
          <cell r="A634" t="str">
            <v>31/07/2006</v>
          </cell>
          <cell r="B634">
            <v>32.1</v>
          </cell>
          <cell r="C634">
            <v>64.900000000000006</v>
          </cell>
          <cell r="D634">
            <v>99.3</v>
          </cell>
          <cell r="E634">
            <v>71.25</v>
          </cell>
          <cell r="F634">
            <v>15.8</v>
          </cell>
          <cell r="G634">
            <v>4.3899999999999997</v>
          </cell>
          <cell r="H634">
            <v>13.16</v>
          </cell>
          <cell r="I634">
            <v>68.8</v>
          </cell>
          <cell r="J634">
            <v>140.1</v>
          </cell>
          <cell r="K634">
            <v>198.4</v>
          </cell>
          <cell r="L634">
            <v>50.5</v>
          </cell>
          <cell r="M634">
            <v>16971.34</v>
          </cell>
          <cell r="O634">
            <v>4.6948356807512415E-3</v>
          </cell>
          <cell r="P634">
            <v>0.14059753954305809</v>
          </cell>
          <cell r="Q634">
            <v>8.1218274111674038E-3</v>
          </cell>
          <cell r="R634">
            <v>4.7794117647058876E-2</v>
          </cell>
          <cell r="S634">
            <v>3.9473684210526327E-2</v>
          </cell>
          <cell r="T634">
            <v>3.4285714285713365E-3</v>
          </cell>
          <cell r="U634">
            <v>0.14934497816593906</v>
          </cell>
          <cell r="V634">
            <v>2.6865671641790989E-2</v>
          </cell>
          <cell r="W634">
            <v>2.9390154298310156E-2</v>
          </cell>
          <cell r="X634">
            <v>3.8743455497382229E-2</v>
          </cell>
          <cell r="Y634">
            <v>1.1011011011010874E-2</v>
          </cell>
          <cell r="Z634">
            <v>4.3258940152277825E-2</v>
          </cell>
          <cell r="AB634">
            <v>0.89902829213971758</v>
          </cell>
          <cell r="AC634">
            <v>1.3121951631435946</v>
          </cell>
          <cell r="AD634">
            <v>0.43959024925742124</v>
          </cell>
          <cell r="AE634">
            <v>0.76528565233297663</v>
          </cell>
          <cell r="AF634">
            <v>1.0633496969297389</v>
          </cell>
          <cell r="AG634">
            <v>1.3972102136972657</v>
          </cell>
          <cell r="AH634">
            <v>0.88328354220906624</v>
          </cell>
          <cell r="AI634">
            <v>0.95291901272166124</v>
          </cell>
          <cell r="AJ634">
            <v>0.48803065999442596</v>
          </cell>
          <cell r="AK634">
            <v>0.99587602278662124</v>
          </cell>
          <cell r="AL634">
            <v>2.0522857130629975</v>
          </cell>
        </row>
        <row r="635">
          <cell r="A635" t="str">
            <v>01/08/2006</v>
          </cell>
          <cell r="B635">
            <v>32.799999999999997</v>
          </cell>
          <cell r="C635">
            <v>63.55</v>
          </cell>
          <cell r="D635">
            <v>99.1</v>
          </cell>
          <cell r="E635">
            <v>70</v>
          </cell>
          <cell r="F635">
            <v>15.82</v>
          </cell>
          <cell r="G635">
            <v>4.3600000000000003</v>
          </cell>
          <cell r="H635">
            <v>12.98</v>
          </cell>
          <cell r="I635">
            <v>68.3</v>
          </cell>
          <cell r="J635">
            <v>139.9</v>
          </cell>
          <cell r="K635">
            <v>194.5</v>
          </cell>
          <cell r="L635">
            <v>50.2</v>
          </cell>
          <cell r="M635">
            <v>16911.37</v>
          </cell>
          <cell r="O635">
            <v>2.9827315541601118E-2</v>
          </cell>
          <cell r="P635">
            <v>4.2657916324856382E-2</v>
          </cell>
          <cell r="Q635">
            <v>4.5615813482005052E-3</v>
          </cell>
          <cell r="R635">
            <v>-1.2693935119887256E-2</v>
          </cell>
          <cell r="S635">
            <v>3.7377049180327804E-2</v>
          </cell>
          <cell r="T635">
            <v>-3.4285714285713365E-3</v>
          </cell>
          <cell r="U635">
            <v>0.11416309012875536</v>
          </cell>
          <cell r="V635">
            <v>1.185185185185178E-2</v>
          </cell>
          <cell r="W635">
            <v>2.9433406916850702E-2</v>
          </cell>
          <cell r="X635">
            <v>6.2079668908432417E-3</v>
          </cell>
          <cell r="Y635">
            <v>-7.905138339920903E-3</v>
          </cell>
          <cell r="Z635">
            <v>3.5813203680360672E-2</v>
          </cell>
          <cell r="AB635">
            <v>0.90145493238303398</v>
          </cell>
          <cell r="AC635">
            <v>1.3116830713615051</v>
          </cell>
          <cell r="AD635">
            <v>0.43914399358138839</v>
          </cell>
          <cell r="AE635">
            <v>0.75471937199787231</v>
          </cell>
          <cell r="AF635">
            <v>1.0612752659167164</v>
          </cell>
          <cell r="AG635">
            <v>1.3966463833795866</v>
          </cell>
          <cell r="AH635">
            <v>0.88581945502508919</v>
          </cell>
          <cell r="AI635">
            <v>0.94815323581403155</v>
          </cell>
          <cell r="AJ635">
            <v>0.49004224742278168</v>
          </cell>
          <cell r="AK635">
            <v>0.99104426920386368</v>
          </cell>
          <cell r="AL635">
            <v>2.037015984718078</v>
          </cell>
        </row>
        <row r="636">
          <cell r="A636" t="str">
            <v>02/08/2006</v>
          </cell>
          <cell r="B636">
            <v>33.799999999999997</v>
          </cell>
          <cell r="C636">
            <v>62.9</v>
          </cell>
          <cell r="D636">
            <v>99.15</v>
          </cell>
          <cell r="E636">
            <v>70.900000000000006</v>
          </cell>
          <cell r="F636">
            <v>15.92</v>
          </cell>
          <cell r="G636">
            <v>4.3499999999999996</v>
          </cell>
          <cell r="H636">
            <v>13</v>
          </cell>
          <cell r="I636">
            <v>68.25</v>
          </cell>
          <cell r="J636">
            <v>140.4</v>
          </cell>
          <cell r="K636">
            <v>195.6</v>
          </cell>
          <cell r="L636">
            <v>50.65</v>
          </cell>
          <cell r="M636">
            <v>17032.75</v>
          </cell>
          <cell r="O636">
            <v>6.6246056782334417E-2</v>
          </cell>
          <cell r="P636">
            <v>3.7098103874690924E-2</v>
          </cell>
          <cell r="Q636">
            <v>5.5780933062881122E-3</v>
          </cell>
          <cell r="R636">
            <v>2.4566473988439252E-2</v>
          </cell>
          <cell r="S636">
            <v>5.4304635761589504E-2</v>
          </cell>
          <cell r="T636">
            <v>-2.2471910112359716E-2</v>
          </cell>
          <cell r="U636">
            <v>0.11111111111111116</v>
          </cell>
          <cell r="V636">
            <v>2.4774774774774855E-2</v>
          </cell>
          <cell r="W636">
            <v>3.3873343151693547E-2</v>
          </cell>
          <cell r="X636">
            <v>2.9473684210526319E-2</v>
          </cell>
          <cell r="Y636">
            <v>2.738336713995948E-2</v>
          </cell>
          <cell r="Z636">
            <v>4.7062244347207072E-2</v>
          </cell>
          <cell r="AB636">
            <v>0.90846986587598311</v>
          </cell>
          <cell r="AC636">
            <v>1.3107329556404805</v>
          </cell>
          <cell r="AD636">
            <v>0.43839996230742589</v>
          </cell>
          <cell r="AE636">
            <v>0.74398225130083662</v>
          </cell>
          <cell r="AF636">
            <v>1.0584312204699524</v>
          </cell>
          <cell r="AG636">
            <v>1.3889314819232297</v>
          </cell>
          <cell r="AH636">
            <v>0.8873551949287064</v>
          </cell>
          <cell r="AI636">
            <v>0.94039099405810023</v>
          </cell>
          <cell r="AJ636">
            <v>0.49093662699718055</v>
          </cell>
          <cell r="AK636">
            <v>0.98477522654965333</v>
          </cell>
          <cell r="AL636">
            <v>2.017329071940273</v>
          </cell>
        </row>
        <row r="637">
          <cell r="A637" t="str">
            <v>03/08/2006</v>
          </cell>
          <cell r="B637">
            <v>33.85</v>
          </cell>
          <cell r="C637">
            <v>63.6</v>
          </cell>
          <cell r="D637">
            <v>99.3</v>
          </cell>
          <cell r="E637">
            <v>71</v>
          </cell>
          <cell r="F637">
            <v>16</v>
          </cell>
          <cell r="G637">
            <v>4.3600000000000003</v>
          </cell>
          <cell r="H637">
            <v>13.3</v>
          </cell>
          <cell r="I637">
            <v>68.099999999999994</v>
          </cell>
          <cell r="J637">
            <v>140.80000000000001</v>
          </cell>
          <cell r="K637">
            <v>196.9</v>
          </cell>
          <cell r="L637">
            <v>51.15</v>
          </cell>
          <cell r="M637">
            <v>17048.419999999998</v>
          </cell>
          <cell r="O637">
            <v>5.4517133956386354E-2</v>
          </cell>
          <cell r="P637">
            <v>3.0794165316045286E-2</v>
          </cell>
          <cell r="Q637">
            <v>5.5696202531645422E-3</v>
          </cell>
          <cell r="R637">
            <v>2.4531024531024626E-2</v>
          </cell>
          <cell r="S637">
            <v>4.5751633986928164E-2</v>
          </cell>
          <cell r="T637">
            <v>-2.0224719101123556E-2</v>
          </cell>
          <cell r="U637">
            <v>0.11764705882352944</v>
          </cell>
          <cell r="V637">
            <v>2.2522522522522515E-2</v>
          </cell>
          <cell r="W637">
            <v>3.1501831501831612E-2</v>
          </cell>
          <cell r="X637">
            <v>3.6315789473684301E-2</v>
          </cell>
          <cell r="Y637">
            <v>2.0958083832335328E-2</v>
          </cell>
          <cell r="Z637">
            <v>3.6946071982283168E-2</v>
          </cell>
          <cell r="AB637">
            <v>0.91371574440146675</v>
          </cell>
          <cell r="AC637">
            <v>1.3083916683681938</v>
          </cell>
          <cell r="AD637">
            <v>0.43832752218767651</v>
          </cell>
          <cell r="AE637">
            <v>0.73829602765481361</v>
          </cell>
          <cell r="AF637">
            <v>1.0544617622150811</v>
          </cell>
          <cell r="AG637">
            <v>1.3898189727250185</v>
          </cell>
          <cell r="AH637">
            <v>0.88736093885259437</v>
          </cell>
          <cell r="AI637">
            <v>0.92853124213312488</v>
          </cell>
          <cell r="AJ637">
            <v>0.49310452072098659</v>
          </cell>
          <cell r="AK637">
            <v>0.97845855137621451</v>
          </cell>
          <cell r="AL637">
            <v>2.0042159365634777</v>
          </cell>
        </row>
        <row r="638">
          <cell r="A638" t="str">
            <v>04/08/2006</v>
          </cell>
          <cell r="B638">
            <v>32.950000000000003</v>
          </cell>
          <cell r="C638">
            <v>65.400000000000006</v>
          </cell>
          <cell r="D638">
            <v>99.15</v>
          </cell>
          <cell r="E638">
            <v>69.599999999999994</v>
          </cell>
          <cell r="F638">
            <v>15.82</v>
          </cell>
          <cell r="G638">
            <v>4.41</v>
          </cell>
          <cell r="H638">
            <v>13.12</v>
          </cell>
          <cell r="I638">
            <v>67.2</v>
          </cell>
          <cell r="J638">
            <v>140.4</v>
          </cell>
          <cell r="K638">
            <v>195</v>
          </cell>
          <cell r="L638">
            <v>50.65</v>
          </cell>
          <cell r="M638">
            <v>16887.8</v>
          </cell>
          <cell r="O638">
            <v>1.8547140649149974E-2</v>
          </cell>
          <cell r="P638">
            <v>2.992125984251981E-2</v>
          </cell>
          <cell r="Q638">
            <v>3.0349013657058332E-3</v>
          </cell>
          <cell r="R638">
            <v>-7.8403421240200721E-3</v>
          </cell>
          <cell r="S638">
            <v>3.7377049180327804E-2</v>
          </cell>
          <cell r="T638">
            <v>-3.3898305084745228E-3</v>
          </cell>
          <cell r="U638">
            <v>9.7907949790794868E-2</v>
          </cell>
          <cell r="V638">
            <v>-2.9673590504450953E-3</v>
          </cell>
          <cell r="W638">
            <v>2.1834061135371119E-2</v>
          </cell>
          <cell r="X638">
            <v>1.7214397496087663E-2</v>
          </cell>
          <cell r="Y638">
            <v>1.1988011988012026E-2</v>
          </cell>
          <cell r="Z638">
            <v>2.6003992762965167E-2</v>
          </cell>
          <cell r="AB638">
            <v>0.92123809721437289</v>
          </cell>
          <cell r="AC638">
            <v>1.3088435040784341</v>
          </cell>
          <cell r="AD638">
            <v>0.43815098580974404</v>
          </cell>
          <cell r="AE638">
            <v>0.73161041505835889</v>
          </cell>
          <cell r="AF638">
            <v>1.0482918659825657</v>
          </cell>
          <cell r="AG638">
            <v>1.3962834914516264</v>
          </cell>
          <cell r="AH638">
            <v>0.88728963963675234</v>
          </cell>
          <cell r="AI638">
            <v>0.91770899902110903</v>
          </cell>
          <cell r="AJ638">
            <v>0.49427415030428357</v>
          </cell>
          <cell r="AK638">
            <v>0.97271000489393034</v>
          </cell>
          <cell r="AL638">
            <v>1.9983098729002198</v>
          </cell>
        </row>
        <row r="639">
          <cell r="A639" t="str">
            <v>07/08/2006</v>
          </cell>
          <cell r="B639">
            <v>33</v>
          </cell>
          <cell r="C639">
            <v>64.7</v>
          </cell>
          <cell r="D639">
            <v>99.2</v>
          </cell>
          <cell r="E639">
            <v>69.400000000000006</v>
          </cell>
          <cell r="F639">
            <v>15.84</v>
          </cell>
          <cell r="G639">
            <v>4.3899999999999997</v>
          </cell>
          <cell r="H639">
            <v>13.2</v>
          </cell>
          <cell r="I639">
            <v>67.8</v>
          </cell>
          <cell r="J639">
            <v>140.6</v>
          </cell>
          <cell r="K639">
            <v>196.1</v>
          </cell>
          <cell r="L639">
            <v>50.45</v>
          </cell>
          <cell r="M639">
            <v>16953.55</v>
          </cell>
          <cell r="O639">
            <v>2.0092735703245657E-2</v>
          </cell>
          <cell r="P639">
            <v>2.698412698412711E-2</v>
          </cell>
          <cell r="Q639">
            <v>5.0428643469491163E-4</v>
          </cell>
          <cell r="R639">
            <v>-1.0691375623663624E-2</v>
          </cell>
          <cell r="S639">
            <v>2.5242718446601975E-2</v>
          </cell>
          <cell r="T639">
            <v>-2.2727272727274261E-3</v>
          </cell>
          <cell r="U639">
            <v>9.9999999999999867E-2</v>
          </cell>
          <cell r="V639">
            <v>5.9347181008901906E-3</v>
          </cell>
          <cell r="W639">
            <v>9.3323761665469185E-3</v>
          </cell>
          <cell r="X639">
            <v>2.0291363163371434E-2</v>
          </cell>
          <cell r="Y639">
            <v>4.980079681274896E-3</v>
          </cell>
          <cell r="Z639">
            <v>2.106384016680507E-2</v>
          </cell>
          <cell r="AB639">
            <v>0.93098892375543241</v>
          </cell>
          <cell r="AC639">
            <v>1.3077464216518864</v>
          </cell>
          <cell r="AD639">
            <v>0.43853519665676777</v>
          </cell>
          <cell r="AE639">
            <v>0.72782287008980784</v>
          </cell>
          <cell r="AF639">
            <v>1.0414742714402898</v>
          </cell>
          <cell r="AG639">
            <v>1.4107805464460605</v>
          </cell>
          <cell r="AH639">
            <v>0.885585195826608</v>
          </cell>
          <cell r="AI639">
            <v>0.91087391204334589</v>
          </cell>
          <cell r="AJ639">
            <v>0.49499464897689016</v>
          </cell>
          <cell r="AK639">
            <v>0.96536418289564485</v>
          </cell>
          <cell r="AL639">
            <v>1.9967181614700791</v>
          </cell>
        </row>
        <row r="640">
          <cell r="A640" t="str">
            <v>08/08/2006</v>
          </cell>
          <cell r="B640">
            <v>32.950000000000003</v>
          </cell>
          <cell r="C640">
            <v>64.8</v>
          </cell>
          <cell r="D640">
            <v>99.3</v>
          </cell>
          <cell r="E640">
            <v>69.55</v>
          </cell>
          <cell r="F640">
            <v>15.92</v>
          </cell>
          <cell r="G640">
            <v>4.38</v>
          </cell>
          <cell r="H640">
            <v>13.2</v>
          </cell>
          <cell r="I640">
            <v>67.75</v>
          </cell>
          <cell r="J640">
            <v>141.1</v>
          </cell>
          <cell r="K640">
            <v>196.4</v>
          </cell>
          <cell r="L640">
            <v>50.75</v>
          </cell>
          <cell r="M640">
            <v>17048.2</v>
          </cell>
          <cell r="O640">
            <v>2.0123839009288158E-2</v>
          </cell>
          <cell r="P640">
            <v>3.7630104083266502E-2</v>
          </cell>
          <cell r="Q640">
            <v>2.5239777889953796E-3</v>
          </cell>
          <cell r="R640">
            <v>-1.2073863636363757E-2</v>
          </cell>
          <cell r="S640">
            <v>3.3766233766233666E-2</v>
          </cell>
          <cell r="T640">
            <v>-1.016949152542368E-2</v>
          </cell>
          <cell r="U640">
            <v>8.6419753086419693E-2</v>
          </cell>
          <cell r="V640">
            <v>-1.0226442658875179E-2</v>
          </cell>
          <cell r="W640">
            <v>1.8772563176895352E-2</v>
          </cell>
          <cell r="X640">
            <v>2.9350104821803003E-2</v>
          </cell>
          <cell r="Y640">
            <v>5.9464816650147689E-3</v>
          </cell>
          <cell r="Z640">
            <v>3.3842668311286683E-2</v>
          </cell>
          <cell r="AB640">
            <v>0.93596410257508067</v>
          </cell>
          <cell r="AC640">
            <v>1.3067740493501152</v>
          </cell>
          <cell r="AD640">
            <v>0.43872906252055083</v>
          </cell>
          <cell r="AE640">
            <v>0.72309881537294474</v>
          </cell>
          <cell r="AF640">
            <v>1.0352134881235657</v>
          </cell>
          <cell r="AG640">
            <v>1.4157128253651212</v>
          </cell>
          <cell r="AH640">
            <v>0.88383583780923436</v>
          </cell>
          <cell r="AI640">
            <v>0.90089084206660863</v>
          </cell>
          <cell r="AJ640">
            <v>0.49592893975466407</v>
          </cell>
          <cell r="AK640">
            <v>0.95756231168332429</v>
          </cell>
          <cell r="AL640">
            <v>1.9906038323351469</v>
          </cell>
        </row>
        <row r="641">
          <cell r="A641" t="str">
            <v>09/08/2006</v>
          </cell>
          <cell r="B641">
            <v>33.799999999999997</v>
          </cell>
          <cell r="C641">
            <v>64</v>
          </cell>
          <cell r="D641">
            <v>99.85</v>
          </cell>
          <cell r="E641">
            <v>72.349999999999994</v>
          </cell>
          <cell r="F641">
            <v>16.04</v>
          </cell>
          <cell r="G641">
            <v>4.43</v>
          </cell>
          <cell r="H641">
            <v>13.26</v>
          </cell>
          <cell r="I641">
            <v>75.3</v>
          </cell>
          <cell r="J641">
            <v>142.19999999999999</v>
          </cell>
          <cell r="K641">
            <v>192.9</v>
          </cell>
          <cell r="L641">
            <v>50.75</v>
          </cell>
          <cell r="M641">
            <v>17346.580000000002</v>
          </cell>
          <cell r="O641">
            <v>4.6439628482972228E-2</v>
          </cell>
          <cell r="P641">
            <v>3.6437246963562764E-2</v>
          </cell>
          <cell r="Q641">
            <v>6.5524193548385234E-3</v>
          </cell>
          <cell r="R641">
            <v>3.0626780626780592E-2</v>
          </cell>
          <cell r="S641">
            <v>3.818770226537227E-2</v>
          </cell>
          <cell r="T641">
            <v>-4.4943820224719877E-3</v>
          </cell>
          <cell r="U641">
            <v>8.2448979591836613E-2</v>
          </cell>
          <cell r="V641">
            <v>0.10572687224669619</v>
          </cell>
          <cell r="W641">
            <v>2.7456647398843792E-2</v>
          </cell>
          <cell r="X641">
            <v>2.3342175066312976E-2</v>
          </cell>
          <cell r="Y641">
            <v>6.9444444444444198E-3</v>
          </cell>
          <cell r="Z641">
            <v>4.9894656949645455E-2</v>
          </cell>
          <cell r="AB641">
            <v>0.94104048969079901</v>
          </cell>
          <cell r="AC641">
            <v>1.3028418997349378</v>
          </cell>
          <cell r="AD641">
            <v>0.43808806050915039</v>
          </cell>
          <cell r="AE641">
            <v>0.71808918922051634</v>
          </cell>
          <cell r="AF641">
            <v>1.0282259042198034</v>
          </cell>
          <cell r="AG641">
            <v>1.4126907679080929</v>
          </cell>
          <cell r="AH641">
            <v>0.88196709556982356</v>
          </cell>
          <cell r="AI641">
            <v>0.89930970012930844</v>
          </cell>
          <cell r="AJ641">
            <v>0.49710302843831911</v>
          </cell>
          <cell r="AK641">
            <v>0.9368767590127135</v>
          </cell>
          <cell r="AL641">
            <v>1.9762868168586143</v>
          </cell>
        </row>
        <row r="642">
          <cell r="A642" t="str">
            <v>10/08/2006</v>
          </cell>
          <cell r="B642">
            <v>33.799999999999997</v>
          </cell>
          <cell r="C642">
            <v>65.5</v>
          </cell>
          <cell r="D642">
            <v>99.45</v>
          </cell>
          <cell r="E642">
            <v>75</v>
          </cell>
          <cell r="F642">
            <v>15.86</v>
          </cell>
          <cell r="G642">
            <v>4.43</v>
          </cell>
          <cell r="H642">
            <v>13.12</v>
          </cell>
          <cell r="I642">
            <v>73.2</v>
          </cell>
          <cell r="J642">
            <v>141</v>
          </cell>
          <cell r="K642">
            <v>192.5</v>
          </cell>
          <cell r="L642">
            <v>50.65</v>
          </cell>
          <cell r="M642">
            <v>17222.14</v>
          </cell>
          <cell r="O642">
            <v>5.1321928460342114E-2</v>
          </cell>
          <cell r="P642">
            <v>7.3770491803278659E-2</v>
          </cell>
          <cell r="Q642">
            <v>7.088607594936791E-3</v>
          </cell>
          <cell r="R642">
            <v>6.9137562366357708E-2</v>
          </cell>
          <cell r="S642">
            <v>4.0000000000000036E-2</v>
          </cell>
          <cell r="T642">
            <v>6.8181818181816123E-3</v>
          </cell>
          <cell r="U642">
            <v>5.3815261044176665E-2</v>
          </cell>
          <cell r="V642">
            <v>7.488986784140983E-2</v>
          </cell>
          <cell r="W642">
            <v>3.0701754385964897E-2</v>
          </cell>
          <cell r="X642">
            <v>3.7735849056603765E-2</v>
          </cell>
          <cell r="Y642">
            <v>1.9114688128772483E-2</v>
          </cell>
          <cell r="Z642">
            <v>5.6217909561693258E-2</v>
          </cell>
          <cell r="AB642">
            <v>0.94922007735928571</v>
          </cell>
          <cell r="AC642">
            <v>1.3047420753552028</v>
          </cell>
          <cell r="AD642">
            <v>0.43619442677686548</v>
          </cell>
          <cell r="AE642">
            <v>0.71915241693105092</v>
          </cell>
          <cell r="AF642">
            <v>1.0198510255205002</v>
          </cell>
          <cell r="AG642">
            <v>1.411870222605931</v>
          </cell>
          <cell r="AH642">
            <v>0.87463332039972241</v>
          </cell>
          <cell r="AI642">
            <v>0.89601951503843102</v>
          </cell>
          <cell r="AJ642">
            <v>0.49947008858141367</v>
          </cell>
          <cell r="AK642">
            <v>0.9148755884005414</v>
          </cell>
          <cell r="AL642">
            <v>1.9602219171397168</v>
          </cell>
        </row>
        <row r="643">
          <cell r="A643" t="str">
            <v>11/08/2006</v>
          </cell>
          <cell r="B643">
            <v>34.15</v>
          </cell>
          <cell r="C643">
            <v>66</v>
          </cell>
          <cell r="D643">
            <v>99.6</v>
          </cell>
          <cell r="E643">
            <v>74.150000000000006</v>
          </cell>
          <cell r="F643">
            <v>15.86</v>
          </cell>
          <cell r="G643">
            <v>4.38</v>
          </cell>
          <cell r="H643">
            <v>13.1</v>
          </cell>
          <cell r="I643">
            <v>72.75</v>
          </cell>
          <cell r="J643">
            <v>141.1</v>
          </cell>
          <cell r="K643">
            <v>193.9</v>
          </cell>
          <cell r="L643">
            <v>51.9</v>
          </cell>
          <cell r="M643">
            <v>17249.95</v>
          </cell>
          <cell r="O643">
            <v>5.8914728682170514E-2</v>
          </cell>
          <cell r="P643">
            <v>9.0909090909090828E-2</v>
          </cell>
          <cell r="Q643">
            <v>1.3224821973550238E-2</v>
          </cell>
          <cell r="R643">
            <v>8.5651537335285743E-2</v>
          </cell>
          <cell r="S643">
            <v>5.0331125827814516E-2</v>
          </cell>
          <cell r="T643">
            <v>2.4561403508771784E-2</v>
          </cell>
          <cell r="U643">
            <v>7.3770491803278659E-2</v>
          </cell>
          <cell r="V643">
            <v>8.9071856287425089E-2</v>
          </cell>
          <cell r="W643">
            <v>4.0560471976401224E-2</v>
          </cell>
          <cell r="X643">
            <v>6.4799560680944612E-2</v>
          </cell>
          <cell r="Y643">
            <v>6.1349693251533832E-2</v>
          </cell>
          <cell r="Z643">
            <v>6.9054290142795294E-2</v>
          </cell>
          <cell r="AB643">
            <v>0.95444892347626098</v>
          </cell>
          <cell r="AC643">
            <v>1.3051604560123586</v>
          </cell>
          <cell r="AD643">
            <v>0.43469341376913045</v>
          </cell>
          <cell r="AE643">
            <v>0.7132188401350491</v>
          </cell>
          <cell r="AF643">
            <v>1.0127901975275027</v>
          </cell>
          <cell r="AG643">
            <v>1.405069940860366</v>
          </cell>
          <cell r="AH643">
            <v>0.87000752222038547</v>
          </cell>
          <cell r="AI643">
            <v>0.89324442303195584</v>
          </cell>
          <cell r="AJ643">
            <v>0.50153242913869367</v>
          </cell>
          <cell r="AK643">
            <v>0.89727083635920502</v>
          </cell>
          <cell r="AL643">
            <v>1.9449551392263473</v>
          </cell>
        </row>
        <row r="644">
          <cell r="A644" t="str">
            <v>14/08/2006</v>
          </cell>
          <cell r="B644">
            <v>34.549999999999997</v>
          </cell>
          <cell r="C644">
            <v>67</v>
          </cell>
          <cell r="D644">
            <v>99.7</v>
          </cell>
          <cell r="E644">
            <v>75.5</v>
          </cell>
          <cell r="F644">
            <v>15.84</v>
          </cell>
          <cell r="G644">
            <v>4.37</v>
          </cell>
          <cell r="H644">
            <v>13.06</v>
          </cell>
          <cell r="I644">
            <v>72.45</v>
          </cell>
          <cell r="J644">
            <v>140.80000000000001</v>
          </cell>
          <cell r="K644">
            <v>194</v>
          </cell>
          <cell r="L644">
            <v>52.3</v>
          </cell>
          <cell r="M644">
            <v>17290.009999999998</v>
          </cell>
          <cell r="O644">
            <v>8.3072100313479558E-2</v>
          </cell>
          <cell r="P644">
            <v>0.11111111111111116</v>
          </cell>
          <cell r="Q644">
            <v>1.8906489524783021E-2</v>
          </cell>
          <cell r="R644">
            <v>9.2619392185238958E-2</v>
          </cell>
          <cell r="S644">
            <v>4.9006622516556408E-2</v>
          </cell>
          <cell r="T644">
            <v>3.4319526627219155E-2</v>
          </cell>
          <cell r="U644">
            <v>5.32258064516129E-2</v>
          </cell>
          <cell r="V644">
            <v>8.458083832335328E-2</v>
          </cell>
          <cell r="W644">
            <v>4.3736100815418899E-2</v>
          </cell>
          <cell r="X644">
            <v>9.0500281056773435E-2</v>
          </cell>
          <cell r="Y644">
            <v>8.393782383419679E-2</v>
          </cell>
          <cell r="Z644">
            <v>7.6265404778889545E-2</v>
          </cell>
          <cell r="AB644">
            <v>0.96395552116779182</v>
          </cell>
          <cell r="AC644">
            <v>1.3085289531244788</v>
          </cell>
          <cell r="AD644">
            <v>0.43427443620429507</v>
          </cell>
          <cell r="AE644">
            <v>0.71119378499643959</v>
          </cell>
          <cell r="AF644">
            <v>1.0036122109302574</v>
          </cell>
          <cell r="AG644">
            <v>1.402733107498044</v>
          </cell>
          <cell r="AH644">
            <v>0.86305511451488615</v>
          </cell>
          <cell r="AI644">
            <v>0.88926115364780933</v>
          </cell>
          <cell r="AJ644">
            <v>0.50364347633238615</v>
          </cell>
          <cell r="AK644">
            <v>0.88636905402064403</v>
          </cell>
          <cell r="AL644">
            <v>1.9334149012664312</v>
          </cell>
        </row>
        <row r="645">
          <cell r="A645" t="str">
            <v>15/08/2006</v>
          </cell>
          <cell r="B645">
            <v>34.4</v>
          </cell>
          <cell r="C645">
            <v>66.8</v>
          </cell>
          <cell r="D645">
            <v>99.65</v>
          </cell>
          <cell r="E645">
            <v>75.3</v>
          </cell>
          <cell r="F645">
            <v>15.9</v>
          </cell>
          <cell r="G645">
            <v>4.37</v>
          </cell>
          <cell r="H645">
            <v>13.06</v>
          </cell>
          <cell r="I645">
            <v>73.849999999999994</v>
          </cell>
          <cell r="J645">
            <v>140.6</v>
          </cell>
          <cell r="K645">
            <v>193.5</v>
          </cell>
          <cell r="L645">
            <v>52.4</v>
          </cell>
          <cell r="M645">
            <v>17274.07</v>
          </cell>
          <cell r="O645">
            <v>8.3464566929133843E-2</v>
          </cell>
          <cell r="P645">
            <v>0.12457912457912457</v>
          </cell>
          <cell r="Q645">
            <v>1.7355793772332762E-2</v>
          </cell>
          <cell r="R645">
            <v>0.10410557184750724</v>
          </cell>
          <cell r="S645">
            <v>5.2980132450331174E-2</v>
          </cell>
          <cell r="T645">
            <v>3.4319526627219155E-2</v>
          </cell>
          <cell r="U645">
            <v>4.4799999999999951E-2</v>
          </cell>
          <cell r="V645">
            <v>0.10141685309470549</v>
          </cell>
          <cell r="W645">
            <v>4.3026706231453771E-2</v>
          </cell>
          <cell r="X645">
            <v>7.2616407982261544E-2</v>
          </cell>
          <cell r="Y645">
            <v>8.4886128364389357E-2</v>
          </cell>
          <cell r="Z645">
            <v>7.6672562973932878E-2</v>
          </cell>
          <cell r="AB645">
            <v>0.97247500953610411</v>
          </cell>
          <cell r="AC645">
            <v>1.3135100406981315</v>
          </cell>
          <cell r="AD645">
            <v>0.43356339214683265</v>
          </cell>
          <cell r="AE645">
            <v>0.71119146622621376</v>
          </cell>
          <cell r="AF645">
            <v>0.99367803989839909</v>
          </cell>
          <cell r="AG645">
            <v>1.4008962048237443</v>
          </cell>
          <cell r="AH645">
            <v>0.85815562305955317</v>
          </cell>
          <cell r="AI645">
            <v>0.88735195218604723</v>
          </cell>
          <cell r="AJ645">
            <v>0.50519676469720864</v>
          </cell>
          <cell r="AK645">
            <v>0.87099524370887849</v>
          </cell>
          <cell r="AL645">
            <v>1.9239019419760486</v>
          </cell>
        </row>
        <row r="646">
          <cell r="A646" t="str">
            <v>16/08/2006</v>
          </cell>
          <cell r="B646">
            <v>34.65</v>
          </cell>
          <cell r="C646">
            <v>67.099999999999994</v>
          </cell>
          <cell r="D646">
            <v>99.8</v>
          </cell>
          <cell r="E646">
            <v>79.5</v>
          </cell>
          <cell r="F646">
            <v>16.16</v>
          </cell>
          <cell r="G646">
            <v>4.42</v>
          </cell>
          <cell r="H646">
            <v>13.08</v>
          </cell>
          <cell r="I646">
            <v>75.2</v>
          </cell>
          <cell r="J646">
            <v>140.9</v>
          </cell>
          <cell r="K646">
            <v>193.6</v>
          </cell>
          <cell r="L646">
            <v>54.1</v>
          </cell>
          <cell r="M646">
            <v>17451.03</v>
          </cell>
          <cell r="O646">
            <v>9.6518987341772E-2</v>
          </cell>
          <cell r="P646">
            <v>0.15689655172413786</v>
          </cell>
          <cell r="Q646">
            <v>2.0449897750511203E-2</v>
          </cell>
          <cell r="R646">
            <v>0.14553314121037464</v>
          </cell>
          <cell r="S646">
            <v>7.0198675496688789E-2</v>
          </cell>
          <cell r="T646">
            <v>4.0000000000000036E-2</v>
          </cell>
          <cell r="U646">
            <v>2.1874999999999867E-2</v>
          </cell>
          <cell r="V646">
            <v>0.1165553080920565</v>
          </cell>
          <cell r="W646">
            <v>3.9852398523985366E-2</v>
          </cell>
          <cell r="X646">
            <v>6.1985737794843621E-2</v>
          </cell>
          <cell r="Y646">
            <v>0.12591050988553598</v>
          </cell>
          <cell r="Z646">
            <v>8.4080548953442413E-2</v>
          </cell>
          <cell r="AB646">
            <v>0.98225387038149459</v>
          </cell>
          <cell r="AC646">
            <v>1.3232526486343064</v>
          </cell>
          <cell r="AD646">
            <v>0.43315037362428177</v>
          </cell>
          <cell r="AE646">
            <v>0.72087471676240478</v>
          </cell>
          <cell r="AF646">
            <v>0.98553055185706073</v>
          </cell>
          <cell r="AG646">
            <v>1.394369978750257</v>
          </cell>
          <cell r="AH646">
            <v>0.84514144401602165</v>
          </cell>
          <cell r="AI646">
            <v>0.89398503252138573</v>
          </cell>
          <cell r="AJ646">
            <v>0.50435978429074668</v>
          </cell>
          <cell r="AK646">
            <v>0.85378853745252603</v>
          </cell>
          <cell r="AL646">
            <v>1.9124714908045259</v>
          </cell>
        </row>
        <row r="647">
          <cell r="A647" t="str">
            <v>17/08/2006</v>
          </cell>
          <cell r="B647">
            <v>33.799999999999997</v>
          </cell>
          <cell r="C647">
            <v>66.150000000000006</v>
          </cell>
          <cell r="D647">
            <v>99.65</v>
          </cell>
          <cell r="E647">
            <v>77.7</v>
          </cell>
          <cell r="F647">
            <v>16.260000000000002</v>
          </cell>
          <cell r="G647">
            <v>4.3899999999999997</v>
          </cell>
          <cell r="H647">
            <v>13.04</v>
          </cell>
          <cell r="I647">
            <v>75.349999999999994</v>
          </cell>
          <cell r="J647">
            <v>140.6</v>
          </cell>
          <cell r="K647">
            <v>195.6</v>
          </cell>
          <cell r="L647">
            <v>54.15</v>
          </cell>
          <cell r="M647">
            <v>17373.05</v>
          </cell>
          <cell r="O647">
            <v>6.2893081761006275E-2</v>
          </cell>
          <cell r="P647">
            <v>9.7014925373134497E-2</v>
          </cell>
          <cell r="Q647">
            <v>1.0136847440445962E-2</v>
          </cell>
          <cell r="R647">
            <v>0.10526315789473695</v>
          </cell>
          <cell r="S647">
            <v>6.2745098039215685E-2</v>
          </cell>
          <cell r="T647">
            <v>2.6900584795321425E-2</v>
          </cell>
          <cell r="U647">
            <v>3.0830039525691522E-2</v>
          </cell>
          <cell r="V647">
            <v>9.6797671033478805E-2</v>
          </cell>
          <cell r="W647">
            <v>2.0319303338171224E-2</v>
          </cell>
          <cell r="X647">
            <v>4.5989304812834142E-2</v>
          </cell>
          <cell r="Y647">
            <v>9.8377281947261697E-2</v>
          </cell>
          <cell r="Z647">
            <v>5.4662221310271208E-2</v>
          </cell>
          <cell r="AB647">
            <v>0.98980142921200143</v>
          </cell>
          <cell r="AC647">
            <v>1.3286203475002256</v>
          </cell>
          <cell r="AD647">
            <v>0.43321965160244008</v>
          </cell>
          <cell r="AE647">
            <v>0.72405359797200086</v>
          </cell>
          <cell r="AF647">
            <v>0.98087338686391989</v>
          </cell>
          <cell r="AG647">
            <v>1.3916946939442216</v>
          </cell>
          <cell r="AH647">
            <v>0.84398304893885345</v>
          </cell>
          <cell r="AI647">
            <v>0.89895979647239221</v>
          </cell>
          <cell r="AJ647">
            <v>0.50462491945080745</v>
          </cell>
          <cell r="AK647">
            <v>0.84454680809075444</v>
          </cell>
          <cell r="AL647">
            <v>1.9141515958327597</v>
          </cell>
        </row>
        <row r="648">
          <cell r="A648" t="str">
            <v>18/08/2006</v>
          </cell>
          <cell r="B648">
            <v>34.049999999999997</v>
          </cell>
          <cell r="C648">
            <v>66.3</v>
          </cell>
          <cell r="D648">
            <v>99.6</v>
          </cell>
          <cell r="E648">
            <v>77.95</v>
          </cell>
          <cell r="F648">
            <v>16.2</v>
          </cell>
          <cell r="G648">
            <v>4.16</v>
          </cell>
          <cell r="H648">
            <v>13.04</v>
          </cell>
          <cell r="I648">
            <v>75</v>
          </cell>
          <cell r="J648">
            <v>140.1</v>
          </cell>
          <cell r="K648">
            <v>195.7</v>
          </cell>
          <cell r="L648">
            <v>54.35</v>
          </cell>
          <cell r="M648">
            <v>17330.7</v>
          </cell>
          <cell r="O648">
            <v>7.7531645569620222E-2</v>
          </cell>
          <cell r="P648">
            <v>8.6885245901639374E-2</v>
          </cell>
          <cell r="Q648">
            <v>1.1167512690355208E-2</v>
          </cell>
          <cell r="R648">
            <v>9.7114707952146384E-2</v>
          </cell>
          <cell r="S648">
            <v>4.5161290322580649E-2</v>
          </cell>
          <cell r="T648">
            <v>-1.5384615384615219E-2</v>
          </cell>
          <cell r="U648">
            <v>3.0769230769229772E-3</v>
          </cell>
          <cell r="V648">
            <v>8.8534107402031825E-2</v>
          </cell>
          <cell r="W648">
            <v>2.1137026239067103E-2</v>
          </cell>
          <cell r="X648">
            <v>5.2150537634408467E-2</v>
          </cell>
          <cell r="Y648">
            <v>0.10918367346938784</v>
          </cell>
          <cell r="Z648">
            <v>5.2630619927624744E-2</v>
          </cell>
          <cell r="AB648">
            <v>0.99580943635099839</v>
          </cell>
          <cell r="AC648">
            <v>1.3383982364758398</v>
          </cell>
          <cell r="AD648">
            <v>0.43277650966718501</v>
          </cell>
          <cell r="AE648">
            <v>0.72896942259864328</v>
          </cell>
          <cell r="AF648">
            <v>0.98054267622292979</v>
          </cell>
          <cell r="AG648">
            <v>1.3834797943729853</v>
          </cell>
          <cell r="AH648">
            <v>0.83896935442411213</v>
          </cell>
          <cell r="AI648">
            <v>0.90306795128514139</v>
          </cell>
          <cell r="AJ648">
            <v>0.50448776031566933</v>
          </cell>
          <cell r="AK648">
            <v>0.84103091576535638</v>
          </cell>
          <cell r="AL648">
            <v>1.9128126650805619</v>
          </cell>
        </row>
        <row r="649">
          <cell r="A649" t="str">
            <v>21/08/2006</v>
          </cell>
          <cell r="B649">
            <v>33.4</v>
          </cell>
          <cell r="C649">
            <v>65.5</v>
          </cell>
          <cell r="D649">
            <v>97.9</v>
          </cell>
          <cell r="E649">
            <v>75.2</v>
          </cell>
          <cell r="F649">
            <v>15.98</v>
          </cell>
          <cell r="G649">
            <v>4.09</v>
          </cell>
          <cell r="H649">
            <v>12.92</v>
          </cell>
          <cell r="I649">
            <v>73.45</v>
          </cell>
          <cell r="J649">
            <v>138.5</v>
          </cell>
          <cell r="K649">
            <v>194.3</v>
          </cell>
          <cell r="L649">
            <v>53.55</v>
          </cell>
          <cell r="M649">
            <v>17007.88</v>
          </cell>
          <cell r="O649">
            <v>9.3289689034369738E-2</v>
          </cell>
          <cell r="P649">
            <v>7.7302631578947345E-2</v>
          </cell>
          <cell r="Q649">
            <v>-8.6075949367088178E-3</v>
          </cell>
          <cell r="R649">
            <v>5.9154929577464932E-2</v>
          </cell>
          <cell r="S649">
            <v>1.5247776365946653E-2</v>
          </cell>
          <cell r="T649">
            <v>-3.7647058823529478E-2</v>
          </cell>
          <cell r="U649">
            <v>0</v>
          </cell>
          <cell r="V649">
            <v>7.2262773722627793E-2</v>
          </cell>
          <cell r="W649">
            <v>8.7399854333576332E-3</v>
          </cell>
          <cell r="X649">
            <v>3.7927350427350515E-2</v>
          </cell>
          <cell r="Y649">
            <v>0.10640495867768585</v>
          </cell>
          <cell r="Z649">
            <v>3.1994606989191654E-2</v>
          </cell>
          <cell r="AB649">
            <v>0.9995942810303361</v>
          </cell>
          <cell r="AC649">
            <v>1.3418939223767437</v>
          </cell>
          <cell r="AD649">
            <v>0.43197659164417468</v>
          </cell>
          <cell r="AE649">
            <v>0.73033589797650544</v>
          </cell>
          <cell r="AF649">
            <v>0.98011273015041622</v>
          </cell>
          <cell r="AG649">
            <v>1.3781375759375649</v>
          </cell>
          <cell r="AH649">
            <v>0.83696009053325782</v>
          </cell>
          <cell r="AI649">
            <v>0.90534681635067837</v>
          </cell>
          <cell r="AJ649">
            <v>0.50417863321172063</v>
          </cell>
          <cell r="AK649">
            <v>0.8408816112944284</v>
          </cell>
          <cell r="AL649">
            <v>1.9137423303213508</v>
          </cell>
        </row>
        <row r="650">
          <cell r="A650" t="str">
            <v>22/08/2006</v>
          </cell>
          <cell r="B650">
            <v>34.700000000000003</v>
          </cell>
          <cell r="C650">
            <v>65.25</v>
          </cell>
          <cell r="D650">
            <v>98.4</v>
          </cell>
          <cell r="E650">
            <v>75</v>
          </cell>
          <cell r="F650">
            <v>16.059999999999999</v>
          </cell>
          <cell r="G650">
            <v>4.17</v>
          </cell>
          <cell r="H650">
            <v>12.96</v>
          </cell>
          <cell r="I650">
            <v>73.5</v>
          </cell>
          <cell r="J650">
            <v>139.1</v>
          </cell>
          <cell r="K650">
            <v>194.2</v>
          </cell>
          <cell r="L650">
            <v>53.75</v>
          </cell>
          <cell r="M650">
            <v>17149.75</v>
          </cell>
          <cell r="O650">
            <v>0.12116316639741531</v>
          </cell>
          <cell r="P650">
            <v>7.0549630844954914E-2</v>
          </cell>
          <cell r="Q650">
            <v>-5.5583628094997284E-3</v>
          </cell>
          <cell r="R650">
            <v>6.7615658362989217E-2</v>
          </cell>
          <cell r="S650">
            <v>2.2929936305732479E-2</v>
          </cell>
          <cell r="T650">
            <v>-1.1848341232227444E-2</v>
          </cell>
          <cell r="U650">
            <v>1.4084507042253724E-2</v>
          </cell>
          <cell r="V650">
            <v>7.2992700729926918E-2</v>
          </cell>
          <cell r="W650">
            <v>4.3321299638989785E-3</v>
          </cell>
          <cell r="X650">
            <v>2.4261603375527407E-2</v>
          </cell>
          <cell r="Y650">
            <v>0.10483042137718401</v>
          </cell>
          <cell r="Z650">
            <v>3.4122936397195769E-2</v>
          </cell>
          <cell r="AB650">
            <v>1.0081886481002744</v>
          </cell>
          <cell r="AC650">
            <v>1.3476578546133668</v>
          </cell>
          <cell r="AD650">
            <v>0.4320435104243468</v>
          </cell>
          <cell r="AE650">
            <v>0.73335329119864456</v>
          </cell>
          <cell r="AF650">
            <v>0.98035190742099731</v>
          </cell>
          <cell r="AG650">
            <v>1.3756078869780295</v>
          </cell>
          <cell r="AH650">
            <v>0.83580969852957254</v>
          </cell>
          <cell r="AI650">
            <v>0.90646455391442859</v>
          </cell>
          <cell r="AJ650">
            <v>0.50406502758177829</v>
          </cell>
          <cell r="AK650">
            <v>0.84113843963832879</v>
          </cell>
          <cell r="AL650">
            <v>1.9187844042216515</v>
          </cell>
        </row>
        <row r="651">
          <cell r="A651" t="str">
            <v>23/08/2006</v>
          </cell>
          <cell r="B651">
            <v>33.85</v>
          </cell>
          <cell r="C651">
            <v>63.75</v>
          </cell>
          <cell r="D651">
            <v>98.05</v>
          </cell>
          <cell r="E651">
            <v>75.75</v>
          </cell>
          <cell r="F651">
            <v>16.04</v>
          </cell>
          <cell r="G651">
            <v>4.07</v>
          </cell>
          <cell r="H651">
            <v>13.08</v>
          </cell>
          <cell r="I651">
            <v>73</v>
          </cell>
          <cell r="J651">
            <v>138.80000000000001</v>
          </cell>
          <cell r="K651">
            <v>192.4</v>
          </cell>
          <cell r="L651">
            <v>53.7</v>
          </cell>
          <cell r="M651">
            <v>17088.39</v>
          </cell>
          <cell r="O651">
            <v>7.460317460317456E-2</v>
          </cell>
          <cell r="P651">
            <v>2.8225806451612989E-2</v>
          </cell>
          <cell r="Q651">
            <v>-7.5910931174089091E-3</v>
          </cell>
          <cell r="R651">
            <v>3.3424283765348006E-2</v>
          </cell>
          <cell r="S651">
            <v>1.5189873417721378E-2</v>
          </cell>
          <cell r="T651">
            <v>-4.6838407494145029E-2</v>
          </cell>
          <cell r="U651">
            <v>2.1874999999999867E-2</v>
          </cell>
          <cell r="V651">
            <v>4.6594982078853153E-2</v>
          </cell>
          <cell r="W651">
            <v>0</v>
          </cell>
          <cell r="X651">
            <v>-8.758371973209611E-3</v>
          </cell>
          <cell r="Y651">
            <v>8.7044534412955565E-2</v>
          </cell>
          <cell r="Z651">
            <v>2.8353083905630294E-2</v>
          </cell>
          <cell r="AB651">
            <v>1.010212958194652</v>
          </cell>
          <cell r="AC651">
            <v>1.3481607379258185</v>
          </cell>
          <cell r="AD651">
            <v>0.43169175691941575</v>
          </cell>
          <cell r="AE651">
            <v>0.73351512503918836</v>
          </cell>
          <cell r="AF651">
            <v>0.98016071982008801</v>
          </cell>
          <cell r="AG651">
            <v>1.3706256934512342</v>
          </cell>
          <cell r="AH651">
            <v>0.83528409756348032</v>
          </cell>
          <cell r="AI651">
            <v>0.90709305001514551</v>
          </cell>
          <cell r="AJ651">
            <v>0.50340123552324223</v>
          </cell>
          <cell r="AK651">
            <v>0.83882248276451432</v>
          </cell>
          <cell r="AL651">
            <v>1.9188201860083562</v>
          </cell>
        </row>
        <row r="652">
          <cell r="A652" t="str">
            <v>24/08/2006</v>
          </cell>
          <cell r="B652">
            <v>33.35</v>
          </cell>
          <cell r="C652">
            <v>64.3</v>
          </cell>
          <cell r="D652">
            <v>97.7</v>
          </cell>
          <cell r="E652">
            <v>75</v>
          </cell>
          <cell r="F652">
            <v>16.14</v>
          </cell>
          <cell r="G652">
            <v>4.05</v>
          </cell>
          <cell r="H652">
            <v>12.76</v>
          </cell>
          <cell r="I652">
            <v>73.25</v>
          </cell>
          <cell r="J652">
            <v>137.9</v>
          </cell>
          <cell r="K652">
            <v>189</v>
          </cell>
          <cell r="L652">
            <v>53.4</v>
          </cell>
          <cell r="M652">
            <v>16883.04</v>
          </cell>
          <cell r="O652">
            <v>4.5454545454545636E-2</v>
          </cell>
          <cell r="P652">
            <v>5.4730258014072941E-3</v>
          </cell>
          <cell r="Q652">
            <v>-1.412714429868811E-2</v>
          </cell>
          <cell r="R652">
            <v>4.6025104602510414E-2</v>
          </cell>
          <cell r="S652">
            <v>1.7654476670870167E-2</v>
          </cell>
          <cell r="T652">
            <v>-6.0324825986078801E-2</v>
          </cell>
          <cell r="U652">
            <v>-1.2383900928792602E-2</v>
          </cell>
          <cell r="V652">
            <v>4.1222459132906897E-2</v>
          </cell>
          <cell r="W652">
            <v>-1.6405135520684566E-2</v>
          </cell>
          <cell r="X652">
            <v>-3.963414634146345E-2</v>
          </cell>
          <cell r="Y652">
            <v>5.221674876847282E-2</v>
          </cell>
          <cell r="Z652">
            <v>-1.9938794462536213E-3</v>
          </cell>
          <cell r="AB652">
            <v>1.008196970715127</v>
          </cell>
          <cell r="AC652">
            <v>1.3460178365700544</v>
          </cell>
          <cell r="AD652">
            <v>0.43159858837471698</v>
          </cell>
          <cell r="AE652">
            <v>0.7322366058315054</v>
          </cell>
          <cell r="AF652">
            <v>0.97936192444838999</v>
          </cell>
          <cell r="AG652">
            <v>1.3729476399486851</v>
          </cell>
          <cell r="AH652">
            <v>0.83580699215207321</v>
          </cell>
          <cell r="AI652">
            <v>0.90639063161482081</v>
          </cell>
          <cell r="AJ652">
            <v>0.50372933383179974</v>
          </cell>
          <cell r="AK652">
            <v>0.84112615254374778</v>
          </cell>
          <cell r="AL652">
            <v>1.9174761080650453</v>
          </cell>
        </row>
        <row r="653">
          <cell r="A653" t="str">
            <v>25/08/2006</v>
          </cell>
          <cell r="B653">
            <v>33.35</v>
          </cell>
          <cell r="C653">
            <v>66.650000000000006</v>
          </cell>
          <cell r="D653">
            <v>98.25</v>
          </cell>
          <cell r="E653">
            <v>73.7</v>
          </cell>
          <cell r="F653">
            <v>16.14</v>
          </cell>
          <cell r="G653">
            <v>4.05</v>
          </cell>
          <cell r="H653">
            <v>12.78</v>
          </cell>
          <cell r="I653">
            <v>73.95</v>
          </cell>
          <cell r="J653">
            <v>138.80000000000001</v>
          </cell>
          <cell r="K653">
            <v>189.2</v>
          </cell>
          <cell r="L653">
            <v>53.2</v>
          </cell>
          <cell r="M653">
            <v>16955.45</v>
          </cell>
          <cell r="O653">
            <v>3.7325038880248851E-2</v>
          </cell>
          <cell r="P653">
            <v>4.1406250000000089E-2</v>
          </cell>
          <cell r="Q653">
            <v>-8.0767289247853924E-3</v>
          </cell>
          <cell r="R653">
            <v>4.0960451977401169E-2</v>
          </cell>
          <cell r="S653">
            <v>2.5412960609911162E-2</v>
          </cell>
          <cell r="T653">
            <v>-7.3226544622425727E-2</v>
          </cell>
          <cell r="U653">
            <v>0</v>
          </cell>
          <cell r="V653">
            <v>7.4854651162790775E-2</v>
          </cell>
          <cell r="W653">
            <v>-7.1530758226037161E-3</v>
          </cell>
          <cell r="X653">
            <v>-3.9593908629441676E-2</v>
          </cell>
          <cell r="Y653">
            <v>5.2423343224530239E-2</v>
          </cell>
          <cell r="Z653">
            <v>2.4181600279282733E-5</v>
          </cell>
          <cell r="AB653">
            <v>1.0066258164761754</v>
          </cell>
          <cell r="AC653">
            <v>1.3429645424369046</v>
          </cell>
          <cell r="AD653">
            <v>0.43131855169851985</v>
          </cell>
          <cell r="AE653">
            <v>0.73129288841112317</v>
          </cell>
          <cell r="AF653">
            <v>0.97859683910744533</v>
          </cell>
          <cell r="AG653">
            <v>1.3751948953856064</v>
          </cell>
          <cell r="AH653">
            <v>0.83604734538459957</v>
          </cell>
          <cell r="AI653">
            <v>0.90493366562108546</v>
          </cell>
          <cell r="AJ653">
            <v>0.50378448689840527</v>
          </cell>
          <cell r="AK653">
            <v>0.84350704882229788</v>
          </cell>
          <cell r="AL653">
            <v>1.9164597857928913</v>
          </cell>
        </row>
        <row r="654">
          <cell r="A654" t="str">
            <v>28/08/2006</v>
          </cell>
          <cell r="B654">
            <v>33.299999999999997</v>
          </cell>
          <cell r="C654">
            <v>65.8</v>
          </cell>
          <cell r="D654">
            <v>97.95</v>
          </cell>
          <cell r="E654">
            <v>74.25</v>
          </cell>
          <cell r="F654">
            <v>15.98</v>
          </cell>
          <cell r="G654">
            <v>4.03</v>
          </cell>
          <cell r="H654">
            <v>12.46</v>
          </cell>
          <cell r="I654">
            <v>74.400000000000006</v>
          </cell>
          <cell r="J654">
            <v>139.1</v>
          </cell>
          <cell r="K654">
            <v>190.9</v>
          </cell>
          <cell r="L654">
            <v>52.6</v>
          </cell>
          <cell r="M654">
            <v>16922.29</v>
          </cell>
          <cell r="O654">
            <v>3.738317757009324E-2</v>
          </cell>
          <cell r="P654">
            <v>1.3867488443759513E-2</v>
          </cell>
          <cell r="Q654">
            <v>-1.3595166163141936E-2</v>
          </cell>
          <cell r="R654">
            <v>4.2105263157894646E-2</v>
          </cell>
          <cell r="S654">
            <v>1.13924050632912E-2</v>
          </cell>
          <cell r="T654">
            <v>-8.2004555808655955E-2</v>
          </cell>
          <cell r="U654">
            <v>-5.3191489361702038E-2</v>
          </cell>
          <cell r="V654">
            <v>8.1395348837209447E-2</v>
          </cell>
          <cell r="W654">
            <v>-7.137758743754441E-3</v>
          </cell>
          <cell r="X654">
            <v>-3.7802419354838745E-2</v>
          </cell>
          <cell r="Y654">
            <v>4.1584158415841621E-2</v>
          </cell>
          <cell r="Z654">
            <v>-2.8901665985124891E-3</v>
          </cell>
          <cell r="AB654">
            <v>1.0052564431518738</v>
          </cell>
          <cell r="AC654">
            <v>1.3412956076812765</v>
          </cell>
          <cell r="AD654">
            <v>0.43123324872646718</v>
          </cell>
          <cell r="AE654">
            <v>0.73029492359580217</v>
          </cell>
          <cell r="AF654">
            <v>0.97782866866303542</v>
          </cell>
          <cell r="AG654">
            <v>1.378563435428547</v>
          </cell>
          <cell r="AH654">
            <v>0.83837645783746217</v>
          </cell>
          <cell r="AI654">
            <v>0.90210028553353772</v>
          </cell>
          <cell r="AJ654">
            <v>0.50392496070356407</v>
          </cell>
          <cell r="AK654">
            <v>0.84578827043728033</v>
          </cell>
          <cell r="AL654">
            <v>1.9157149381968241</v>
          </cell>
        </row>
        <row r="655">
          <cell r="A655" t="str">
            <v>29/08/2006</v>
          </cell>
          <cell r="B655">
            <v>33.799999999999997</v>
          </cell>
          <cell r="C655">
            <v>68.099999999999994</v>
          </cell>
          <cell r="D655">
            <v>98.35</v>
          </cell>
          <cell r="E655">
            <v>74.95</v>
          </cell>
          <cell r="F655">
            <v>16.14</v>
          </cell>
          <cell r="G655">
            <v>4.09</v>
          </cell>
          <cell r="H655">
            <v>12.8</v>
          </cell>
          <cell r="I655">
            <v>74.8</v>
          </cell>
          <cell r="J655">
            <v>140.1</v>
          </cell>
          <cell r="K655">
            <v>194.7</v>
          </cell>
          <cell r="L655">
            <v>52.65</v>
          </cell>
          <cell r="M655">
            <v>17083.28</v>
          </cell>
          <cell r="O655">
            <v>3.0487804878048808E-2</v>
          </cell>
          <cell r="P655">
            <v>7.1597167584579013E-2</v>
          </cell>
          <cell r="Q655">
            <v>-7.568113017154432E-3</v>
          </cell>
          <cell r="R655">
            <v>7.071428571428573E-2</v>
          </cell>
          <cell r="S655">
            <v>2.0227560050569027E-2</v>
          </cell>
          <cell r="T655">
            <v>-6.1926605504587284E-2</v>
          </cell>
          <cell r="U655">
            <v>-1.3867488443759624E-2</v>
          </cell>
          <cell r="V655">
            <v>9.5168374816983814E-2</v>
          </cell>
          <cell r="W655">
            <v>1.4295925661185205E-3</v>
          </cell>
          <cell r="X655">
            <v>1.0282776349612721E-3</v>
          </cell>
          <cell r="Y655">
            <v>4.8804780876493981E-2</v>
          </cell>
          <cell r="Z655">
            <v>1.0165350293914743E-2</v>
          </cell>
          <cell r="AB655">
            <v>1.0020417496475122</v>
          </cell>
          <cell r="AC655">
            <v>1.3368452226720351</v>
          </cell>
          <cell r="AD655">
            <v>0.43053872404724092</v>
          </cell>
          <cell r="AE655">
            <v>0.73068807935204605</v>
          </cell>
          <cell r="AF655">
            <v>0.97851978459935807</v>
          </cell>
          <cell r="AG655">
            <v>1.3790046906864306</v>
          </cell>
          <cell r="AH655">
            <v>0.8379778292970973</v>
          </cell>
          <cell r="AI655">
            <v>0.90381467508066171</v>
          </cell>
          <cell r="AJ655">
            <v>0.50277019863223538</v>
          </cell>
          <cell r="AK655">
            <v>0.85013572313602725</v>
          </cell>
          <cell r="AL655">
            <v>1.9122989456270438</v>
          </cell>
        </row>
        <row r="656">
          <cell r="A656" t="str">
            <v>30/08/2006</v>
          </cell>
          <cell r="B656">
            <v>34.549999999999997</v>
          </cell>
          <cell r="C656">
            <v>67</v>
          </cell>
          <cell r="D656">
            <v>98.45</v>
          </cell>
          <cell r="E656">
            <v>75.150000000000006</v>
          </cell>
          <cell r="F656">
            <v>16.72</v>
          </cell>
          <cell r="G656">
            <v>4.0999999999999996</v>
          </cell>
          <cell r="H656">
            <v>12.94</v>
          </cell>
          <cell r="I656">
            <v>74.900000000000006</v>
          </cell>
          <cell r="J656">
            <v>140.6</v>
          </cell>
          <cell r="K656">
            <v>194.7</v>
          </cell>
          <cell r="L656">
            <v>52.55</v>
          </cell>
          <cell r="M656">
            <v>17284.71</v>
          </cell>
          <cell r="O656">
            <v>2.2189349112426093E-2</v>
          </cell>
          <cell r="P656">
            <v>6.5182829888712268E-2</v>
          </cell>
          <cell r="Q656">
            <v>-7.0600100857287629E-3</v>
          </cell>
          <cell r="R656">
            <v>5.9943582510578297E-2</v>
          </cell>
          <cell r="S656">
            <v>5.0251256281407031E-2</v>
          </cell>
          <cell r="T656">
            <v>-5.7471264367816133E-2</v>
          </cell>
          <cell r="U656">
            <v>-4.6153846153846878E-3</v>
          </cell>
          <cell r="V656">
            <v>9.7435897435897534E-2</v>
          </cell>
          <cell r="W656">
            <v>1.4245014245013454E-3</v>
          </cell>
          <cell r="X656">
            <v>-4.6012269938651151E-3</v>
          </cell>
          <cell r="Y656">
            <v>3.7512339585389798E-2</v>
          </cell>
          <cell r="Z656">
            <v>1.479267880993973E-2</v>
          </cell>
          <cell r="AB656">
            <v>0.99749777257593786</v>
          </cell>
          <cell r="AC656">
            <v>1.332101559655098</v>
          </cell>
          <cell r="AD656">
            <v>0.42964623163887417</v>
          </cell>
          <cell r="AE656">
            <v>0.73010802732844915</v>
          </cell>
          <cell r="AF656">
            <v>0.97917856208013576</v>
          </cell>
          <cell r="AG656">
            <v>1.37671011333712</v>
          </cell>
          <cell r="AH656">
            <v>0.83674045379145567</v>
          </cell>
          <cell r="AI656">
            <v>0.90641001873125504</v>
          </cell>
          <cell r="AJ656">
            <v>0.5008563320210262</v>
          </cell>
          <cell r="AK656">
            <v>0.8550210943978257</v>
          </cell>
          <cell r="AL656">
            <v>1.9067201070510196</v>
          </cell>
        </row>
        <row r="657">
          <cell r="A657" t="str">
            <v>31/08/2006</v>
          </cell>
          <cell r="B657">
            <v>34.6</v>
          </cell>
          <cell r="C657">
            <v>66.7</v>
          </cell>
          <cell r="D657">
            <v>98.5</v>
          </cell>
          <cell r="E657">
            <v>74.7</v>
          </cell>
          <cell r="F657">
            <v>17.059999999999999</v>
          </cell>
          <cell r="G657">
            <v>4.04</v>
          </cell>
          <cell r="H657">
            <v>12.96</v>
          </cell>
          <cell r="I657">
            <v>74.400000000000006</v>
          </cell>
          <cell r="J657">
            <v>141.19999999999999</v>
          </cell>
          <cell r="K657">
            <v>196.5</v>
          </cell>
          <cell r="L657">
            <v>52.8</v>
          </cell>
          <cell r="M657">
            <v>17392.27</v>
          </cell>
          <cell r="O657">
            <v>2.215657311669128E-2</v>
          </cell>
          <cell r="P657">
            <v>4.8742138364779919E-2</v>
          </cell>
          <cell r="Q657">
            <v>-8.0563947633434108E-3</v>
          </cell>
          <cell r="R657">
            <v>5.2112676056337959E-2</v>
          </cell>
          <cell r="S657">
            <v>6.624999999999992E-2</v>
          </cell>
          <cell r="T657">
            <v>-7.3394495412844152E-2</v>
          </cell>
          <cell r="U657">
            <v>-2.5563909774436122E-2</v>
          </cell>
          <cell r="V657">
            <v>9.2511013215859306E-2</v>
          </cell>
          <cell r="W657">
            <v>2.8409090909089496E-3</v>
          </cell>
          <cell r="X657">
            <v>-2.0314880650076361E-3</v>
          </cell>
          <cell r="Y657">
            <v>3.2258064516129004E-2</v>
          </cell>
          <cell r="Z657">
            <v>2.0169024460917839E-2</v>
          </cell>
          <cell r="AB657">
            <v>0.99269652180482093</v>
          </cell>
          <cell r="AC657">
            <v>1.3260163294610119</v>
          </cell>
          <cell r="AD657">
            <v>0.42905681798048223</v>
          </cell>
          <cell r="AE657">
            <v>0.72993727778207318</v>
          </cell>
          <cell r="AF657">
            <v>0.98056697328576625</v>
          </cell>
          <cell r="AG657">
            <v>1.3762388400327272</v>
          </cell>
          <cell r="AH657">
            <v>0.83408781627228856</v>
          </cell>
          <cell r="AI657">
            <v>0.90860450996064734</v>
          </cell>
          <cell r="AJ657">
            <v>0.49907303673226511</v>
          </cell>
          <cell r="AK657">
            <v>0.85843574276979784</v>
          </cell>
          <cell r="AL657">
            <v>1.900075070534319</v>
          </cell>
        </row>
        <row r="658">
          <cell r="A658" t="str">
            <v>01/09/2006</v>
          </cell>
          <cell r="B658">
            <v>34.9</v>
          </cell>
          <cell r="C658">
            <v>66.349999999999994</v>
          </cell>
          <cell r="D658">
            <v>98.15</v>
          </cell>
          <cell r="E658">
            <v>74.400000000000006</v>
          </cell>
          <cell r="F658">
            <v>17.14</v>
          </cell>
          <cell r="G658">
            <v>4.03</v>
          </cell>
          <cell r="H658">
            <v>12.9</v>
          </cell>
          <cell r="I658">
            <v>74.099999999999994</v>
          </cell>
          <cell r="J658">
            <v>141</v>
          </cell>
          <cell r="K658">
            <v>195.8</v>
          </cell>
          <cell r="L658">
            <v>53.6</v>
          </cell>
          <cell r="M658">
            <v>17423.72</v>
          </cell>
          <cell r="O658">
            <v>5.9180576631259418E-2</v>
          </cell>
          <cell r="P658">
            <v>1.4525993883791832E-2</v>
          </cell>
          <cell r="Q658">
            <v>-1.0085728693898122E-2</v>
          </cell>
          <cell r="R658">
            <v>6.8965517241379448E-2</v>
          </cell>
          <cell r="S658">
            <v>8.3438685208596652E-2</v>
          </cell>
          <cell r="T658">
            <v>-8.6167800453514687E-2</v>
          </cell>
          <cell r="U658">
            <v>-1.6768292682926789E-2</v>
          </cell>
          <cell r="V658">
            <v>0.1026785714285714</v>
          </cell>
          <cell r="W658">
            <v>4.2735042735042583E-3</v>
          </cell>
          <cell r="X658">
            <v>4.1025641025642656E-3</v>
          </cell>
          <cell r="Y658">
            <v>5.8242843040474002E-2</v>
          </cell>
          <cell r="Z658">
            <v>3.1734151280806477E-2</v>
          </cell>
          <cell r="AB658">
            <v>0.99171323571621439</v>
          </cell>
          <cell r="AC658">
            <v>1.3220050131044165</v>
          </cell>
          <cell r="AD658">
            <v>0.42801990825996988</v>
          </cell>
          <cell r="AE658">
            <v>0.73126194111919018</v>
          </cell>
          <cell r="AF658">
            <v>0.98421303648259384</v>
          </cell>
          <cell r="AG658">
            <v>1.3680232457266028</v>
          </cell>
          <cell r="AH658">
            <v>0.8300470378626239</v>
          </cell>
          <cell r="AI658">
            <v>0.91244424255862644</v>
          </cell>
          <cell r="AJ658">
            <v>0.4976257456933626</v>
          </cell>
          <cell r="AK658">
            <v>0.85797019848845324</v>
          </cell>
          <cell r="AL658">
            <v>1.8954029806235615</v>
          </cell>
        </row>
        <row r="659">
          <cell r="A659" t="str">
            <v>05/09/2006</v>
          </cell>
          <cell r="B659">
            <v>34.450000000000003</v>
          </cell>
          <cell r="C659">
            <v>67.3</v>
          </cell>
          <cell r="D659">
            <v>98.4</v>
          </cell>
          <cell r="E659">
            <v>75.3</v>
          </cell>
          <cell r="F659">
            <v>16.899999999999999</v>
          </cell>
          <cell r="G659">
            <v>4.12</v>
          </cell>
          <cell r="H659">
            <v>12.96</v>
          </cell>
          <cell r="I659">
            <v>74.95</v>
          </cell>
          <cell r="J659">
            <v>141.9</v>
          </cell>
          <cell r="K659">
            <v>198</v>
          </cell>
          <cell r="L659">
            <v>54.7</v>
          </cell>
          <cell r="M659">
            <v>17438.8</v>
          </cell>
          <cell r="O659">
            <v>4.3939393939393945E-2</v>
          </cell>
          <cell r="P659">
            <v>4.0185471406491313E-2</v>
          </cell>
          <cell r="Q659">
            <v>-8.0645161290322509E-3</v>
          </cell>
          <cell r="R659">
            <v>8.5014409221901843E-2</v>
          </cell>
          <cell r="S659">
            <v>6.6919191919191823E-2</v>
          </cell>
          <cell r="T659">
            <v>-6.1503416856491966E-2</v>
          </cell>
          <cell r="U659">
            <v>-1.8181818181818077E-2</v>
          </cell>
          <cell r="V659">
            <v>0.10545722713864314</v>
          </cell>
          <cell r="W659">
            <v>9.2460881934566252E-3</v>
          </cell>
          <cell r="X659">
            <v>9.6889342172361559E-3</v>
          </cell>
          <cell r="Y659">
            <v>8.4241823587710707E-2</v>
          </cell>
          <cell r="Z659">
            <v>2.8622323938054306E-2</v>
          </cell>
          <cell r="AB659">
            <v>0.99147541517642468</v>
          </cell>
          <cell r="AC659">
            <v>1.3220503562923236</v>
          </cell>
          <cell r="AD659">
            <v>0.42753411075068165</v>
          </cell>
          <cell r="AE659">
            <v>0.73373501415345677</v>
          </cell>
          <cell r="AF659">
            <v>0.9866004459238239</v>
          </cell>
          <cell r="AG659">
            <v>1.3624409084181788</v>
          </cell>
          <cell r="AH659">
            <v>0.82750011956022484</v>
          </cell>
          <cell r="AI659">
            <v>0.91629901945308123</v>
          </cell>
          <cell r="AJ659">
            <v>0.4972522872882526</v>
          </cell>
          <cell r="AK659">
            <v>0.85700970245039965</v>
          </cell>
          <cell r="AL659">
            <v>1.8945116198870897</v>
          </cell>
        </row>
        <row r="660">
          <cell r="A660" t="str">
            <v>06/09/2006</v>
          </cell>
          <cell r="B660">
            <v>34</v>
          </cell>
          <cell r="C660">
            <v>68.900000000000006</v>
          </cell>
          <cell r="D660">
            <v>97.7</v>
          </cell>
          <cell r="E660">
            <v>76.05</v>
          </cell>
          <cell r="F660">
            <v>17.04</v>
          </cell>
          <cell r="G660">
            <v>4.16</v>
          </cell>
          <cell r="H660">
            <v>12.74</v>
          </cell>
          <cell r="I660">
            <v>74.7</v>
          </cell>
          <cell r="J660">
            <v>140.6</v>
          </cell>
          <cell r="K660">
            <v>196.3</v>
          </cell>
          <cell r="L660">
            <v>54</v>
          </cell>
          <cell r="M660">
            <v>17258.509999999998</v>
          </cell>
          <cell r="O660">
            <v>3.1866464339908918E-2</v>
          </cell>
          <cell r="P660">
            <v>6.3271604938271775E-2</v>
          </cell>
          <cell r="Q660">
            <v>-1.611278952668671E-2</v>
          </cell>
          <cell r="R660">
            <v>9.3457943925233655E-2</v>
          </cell>
          <cell r="S660">
            <v>7.035175879396971E-2</v>
          </cell>
          <cell r="T660">
            <v>-5.0228310502283047E-2</v>
          </cell>
          <cell r="U660">
            <v>-3.4848484848484795E-2</v>
          </cell>
          <cell r="V660">
            <v>0.10258302583025825</v>
          </cell>
          <cell r="W660">
            <v>-3.5435861091424048E-3</v>
          </cell>
          <cell r="X660">
            <v>-5.0916496945008216E-4</v>
          </cell>
          <cell r="Y660">
            <v>6.4039408866995107E-2</v>
          </cell>
          <cell r="Z660">
            <v>1.2336199716098895E-2</v>
          </cell>
          <cell r="AB660">
            <v>0.99035346104466349</v>
          </cell>
          <cell r="AC660">
            <v>1.320977300214528</v>
          </cell>
          <cell r="AD660">
            <v>0.42728265397223592</v>
          </cell>
          <cell r="AE660">
            <v>0.73326165824806866</v>
          </cell>
          <cell r="AF660">
            <v>0.98691472454538598</v>
          </cell>
          <cell r="AG660">
            <v>1.3612668465961799</v>
          </cell>
          <cell r="AH660">
            <v>0.82629279172544479</v>
          </cell>
          <cell r="AI660">
            <v>0.91610801514034479</v>
          </cell>
          <cell r="AJ660">
            <v>0.49678875854359106</v>
          </cell>
          <cell r="AK660">
            <v>0.85823959926586524</v>
          </cell>
          <cell r="AL660">
            <v>1.8930724561369492</v>
          </cell>
        </row>
        <row r="661">
          <cell r="A661" t="str">
            <v>07/09/2006</v>
          </cell>
          <cell r="B661">
            <v>34.200000000000003</v>
          </cell>
          <cell r="C661">
            <v>67.8</v>
          </cell>
          <cell r="D661">
            <v>97.35</v>
          </cell>
          <cell r="E661">
            <v>75</v>
          </cell>
          <cell r="F661">
            <v>16.940000000000001</v>
          </cell>
          <cell r="G661">
            <v>4.17</v>
          </cell>
          <cell r="H661">
            <v>12.68</v>
          </cell>
          <cell r="I661">
            <v>75</v>
          </cell>
          <cell r="J661">
            <v>139.4</v>
          </cell>
          <cell r="K661">
            <v>193.9</v>
          </cell>
          <cell r="L661">
            <v>53.85</v>
          </cell>
          <cell r="M661">
            <v>17096.439999999999</v>
          </cell>
          <cell r="O661">
            <v>1.1834319526627279E-2</v>
          </cell>
          <cell r="P661">
            <v>5.9374999999999956E-2</v>
          </cell>
          <cell r="Q661">
            <v>-2.5037556334501776E-2</v>
          </cell>
          <cell r="R661">
            <v>3.662750518313751E-2</v>
          </cell>
          <cell r="S661">
            <v>5.610972568578565E-2</v>
          </cell>
          <cell r="T661">
            <v>-5.8690744920993132E-2</v>
          </cell>
          <cell r="U661">
            <v>-4.3740573152337814E-2</v>
          </cell>
          <cell r="V661">
            <v>-3.9840637450199168E-3</v>
          </cell>
          <cell r="W661">
            <v>-1.9690576652601877E-2</v>
          </cell>
          <cell r="X661">
            <v>5.1840331778123527E-3</v>
          </cell>
          <cell r="Y661">
            <v>6.1083743842364591E-2</v>
          </cell>
          <cell r="Z661">
            <v>-1.442013353640903E-2</v>
          </cell>
          <cell r="AB661">
            <v>0.99021826320051654</v>
          </cell>
          <cell r="AC661">
            <v>1.315927956765893</v>
          </cell>
          <cell r="AD661">
            <v>0.42791914502041933</v>
          </cell>
          <cell r="AE661">
            <v>0.73110910683507369</v>
          </cell>
          <cell r="AF661">
            <v>0.98130965325528896</v>
          </cell>
          <cell r="AG661">
            <v>1.3650555230298329</v>
          </cell>
          <cell r="AH661">
            <v>0.82943280662594832</v>
          </cell>
          <cell r="AI661">
            <v>0.91573218149605651</v>
          </cell>
          <cell r="AJ661">
            <v>0.49793646666557317</v>
          </cell>
          <cell r="AK661">
            <v>0.85712981029804136</v>
          </cell>
          <cell r="AL661">
            <v>1.8905607832262821</v>
          </cell>
        </row>
        <row r="662">
          <cell r="A662" t="str">
            <v>08/09/2006</v>
          </cell>
          <cell r="B662">
            <v>33.9</v>
          </cell>
          <cell r="C662">
            <v>68</v>
          </cell>
          <cell r="D662">
            <v>97.55</v>
          </cell>
          <cell r="E662">
            <v>75</v>
          </cell>
          <cell r="F662">
            <v>16.98</v>
          </cell>
          <cell r="G662">
            <v>4.18</v>
          </cell>
          <cell r="H662">
            <v>12.82</v>
          </cell>
          <cell r="I662">
            <v>74.5</v>
          </cell>
          <cell r="J662">
            <v>138.69999999999999</v>
          </cell>
          <cell r="K662">
            <v>193.3</v>
          </cell>
          <cell r="L662">
            <v>54.95</v>
          </cell>
          <cell r="M662">
            <v>17145.759999999998</v>
          </cell>
          <cell r="O662">
            <v>2.9585798816569309E-3</v>
          </cell>
          <cell r="P662">
            <v>3.8167938931297662E-2</v>
          </cell>
          <cell r="Q662">
            <v>-1.9105077928607384E-2</v>
          </cell>
          <cell r="R662">
            <v>0</v>
          </cell>
          <cell r="S662">
            <v>7.0617906683480447E-2</v>
          </cell>
          <cell r="T662">
            <v>-5.6433408577878152E-2</v>
          </cell>
          <cell r="U662">
            <v>-2.286585365853655E-2</v>
          </cell>
          <cell r="V662">
            <v>1.7759562841529908E-2</v>
          </cell>
          <cell r="W662">
            <v>-1.6312056737588732E-2</v>
          </cell>
          <cell r="X662">
            <v>4.155844155844246E-3</v>
          </cell>
          <cell r="Y662">
            <v>8.4896347482724677E-2</v>
          </cell>
          <cell r="Z662">
            <v>-4.4349889154310373E-3</v>
          </cell>
          <cell r="AB662">
            <v>0.98843167901790197</v>
          </cell>
          <cell r="AC662">
            <v>1.309833092628081</v>
          </cell>
          <cell r="AD662">
            <v>0.427773562984885</v>
          </cell>
          <cell r="AE662">
            <v>0.73023783235058337</v>
          </cell>
          <cell r="AF662">
            <v>0.97762327954674466</v>
          </cell>
          <cell r="AG662">
            <v>1.3660005448111106</v>
          </cell>
          <cell r="AH662">
            <v>0.82794133134774661</v>
          </cell>
          <cell r="AI662">
            <v>0.91395174091136933</v>
          </cell>
          <cell r="AJ662">
            <v>0.49825601528244029</v>
          </cell>
          <cell r="AK662">
            <v>0.858657247207543</v>
          </cell>
          <cell r="AL662">
            <v>1.8846331606704454</v>
          </cell>
        </row>
        <row r="663">
          <cell r="A663" t="str">
            <v>11/09/2006</v>
          </cell>
          <cell r="B663">
            <v>34</v>
          </cell>
          <cell r="C663">
            <v>67.8</v>
          </cell>
          <cell r="D663">
            <v>97.1</v>
          </cell>
          <cell r="E663">
            <v>73.8</v>
          </cell>
          <cell r="F663">
            <v>16.88</v>
          </cell>
          <cell r="G663">
            <v>4.16</v>
          </cell>
          <cell r="H663">
            <v>12.92</v>
          </cell>
          <cell r="I663">
            <v>74.95</v>
          </cell>
          <cell r="J663">
            <v>138.1</v>
          </cell>
          <cell r="K663">
            <v>192.2</v>
          </cell>
          <cell r="L663">
            <v>54.75</v>
          </cell>
          <cell r="M663">
            <v>16948.59</v>
          </cell>
          <cell r="O663">
            <v>-4.3923865300146137E-3</v>
          </cell>
          <cell r="P663">
            <v>2.7272727272727337E-2</v>
          </cell>
          <cell r="Q663">
            <v>-2.5100401606425682E-2</v>
          </cell>
          <cell r="R663">
            <v>-4.7201618341201623E-3</v>
          </cell>
          <cell r="S663">
            <v>6.4312736443884022E-2</v>
          </cell>
          <cell r="T663">
            <v>-5.0228310502283047E-2</v>
          </cell>
          <cell r="U663">
            <v>-1.3740458015267132E-2</v>
          </cell>
          <cell r="V663">
            <v>3.0240549828178809E-2</v>
          </cell>
          <cell r="W663">
            <v>-2.1261516654854762E-2</v>
          </cell>
          <cell r="X663">
            <v>-8.7674058793193455E-3</v>
          </cell>
          <cell r="Y663">
            <v>5.4913294797687806E-2</v>
          </cell>
          <cell r="Z663">
            <v>-1.747019556578433E-2</v>
          </cell>
          <cell r="AB663">
            <v>0.98640686503603636</v>
          </cell>
          <cell r="AC663">
            <v>1.3016643260201457</v>
          </cell>
          <cell r="AD663">
            <v>0.42778671254500961</v>
          </cell>
          <cell r="AE663">
            <v>0.72644111865978944</v>
          </cell>
          <cell r="AF663">
            <v>0.97010365420820166</v>
          </cell>
          <cell r="AG663">
            <v>1.3650447288523384</v>
          </cell>
          <cell r="AH663">
            <v>0.8263612718860267</v>
          </cell>
          <cell r="AI663">
            <v>0.90924861534982604</v>
          </cell>
          <cell r="AJ663">
            <v>0.49847102055262044</v>
          </cell>
          <cell r="AK663">
            <v>0.8596529216706813</v>
          </cell>
          <cell r="AL663">
            <v>1.8767708203616174</v>
          </cell>
        </row>
        <row r="664">
          <cell r="A664" t="str">
            <v>12/09/2006</v>
          </cell>
          <cell r="B664">
            <v>34.5</v>
          </cell>
          <cell r="C664">
            <v>68</v>
          </cell>
          <cell r="D664">
            <v>97.3</v>
          </cell>
          <cell r="E664">
            <v>73.8</v>
          </cell>
          <cell r="F664">
            <v>16.7</v>
          </cell>
          <cell r="G664">
            <v>4.1500000000000004</v>
          </cell>
          <cell r="H664">
            <v>12.76</v>
          </cell>
          <cell r="I664">
            <v>74.900000000000006</v>
          </cell>
          <cell r="J664">
            <v>138.9</v>
          </cell>
          <cell r="K664">
            <v>191.3</v>
          </cell>
          <cell r="L664">
            <v>54.7</v>
          </cell>
          <cell r="M664">
            <v>17075.400000000001</v>
          </cell>
          <cell r="O664">
            <v>-1.4471780028942893E-3</v>
          </cell>
          <cell r="P664">
            <v>1.4925373134328401E-2</v>
          </cell>
          <cell r="Q664">
            <v>-2.4072216649949851E-2</v>
          </cell>
          <cell r="R664">
            <v>-2.2516556291390821E-2</v>
          </cell>
          <cell r="S664">
            <v>5.4292929292929282E-2</v>
          </cell>
          <cell r="T664">
            <v>-5.0343249427917569E-2</v>
          </cell>
          <cell r="U664">
            <v>-2.297090352220521E-2</v>
          </cell>
          <cell r="V664">
            <v>3.3816425120772875E-2</v>
          </cell>
          <cell r="W664">
            <v>-1.3494318181818232E-2</v>
          </cell>
          <cell r="X664">
            <v>-1.3917525773195827E-2</v>
          </cell>
          <cell r="Y664">
            <v>4.5889101338432159E-2</v>
          </cell>
          <cell r="Z664">
            <v>-1.2412369917657484E-2</v>
          </cell>
          <cell r="AB664">
            <v>0.98440974289284644</v>
          </cell>
          <cell r="AC664">
            <v>1.295798062772562</v>
          </cell>
          <cell r="AD664">
            <v>0.42788576705185538</v>
          </cell>
          <cell r="AE664">
            <v>0.72405419817098338</v>
          </cell>
          <cell r="AF664">
            <v>0.96336599636851716</v>
          </cell>
          <cell r="AG664">
            <v>1.3657882881269974</v>
          </cell>
          <cell r="AH664">
            <v>0.82591431157240625</v>
          </cell>
          <cell r="AI664">
            <v>0.90528528566732791</v>
          </cell>
          <cell r="AJ664">
            <v>0.49788264670676685</v>
          </cell>
          <cell r="AK664">
            <v>0.86249818413939483</v>
          </cell>
          <cell r="AL664">
            <v>1.8712737167763998</v>
          </cell>
        </row>
        <row r="665">
          <cell r="A665" t="str">
            <v>13/09/2006</v>
          </cell>
          <cell r="B665">
            <v>34.950000000000003</v>
          </cell>
          <cell r="C665">
            <v>69.5</v>
          </cell>
          <cell r="D665">
            <v>98</v>
          </cell>
          <cell r="E665">
            <v>74.900000000000006</v>
          </cell>
          <cell r="F665">
            <v>17.02</v>
          </cell>
          <cell r="G665">
            <v>4.17</v>
          </cell>
          <cell r="H665">
            <v>12.8</v>
          </cell>
          <cell r="I665">
            <v>74.900000000000006</v>
          </cell>
          <cell r="J665">
            <v>139.80000000000001</v>
          </cell>
          <cell r="K665">
            <v>195</v>
          </cell>
          <cell r="L665">
            <v>55.2</v>
          </cell>
          <cell r="M665">
            <v>17210.04</v>
          </cell>
          <cell r="O665">
            <v>1.5988372093023395E-2</v>
          </cell>
          <cell r="P665">
            <v>4.041916167664672E-2</v>
          </cell>
          <cell r="Q665">
            <v>-1.6557952834922229E-2</v>
          </cell>
          <cell r="R665">
            <v>-5.312084993359778E-3</v>
          </cell>
          <cell r="S665">
            <v>7.0440251572327028E-2</v>
          </cell>
          <cell r="T665">
            <v>-4.5766590389016093E-2</v>
          </cell>
          <cell r="U665">
            <v>-1.9908116385911168E-2</v>
          </cell>
          <cell r="V665">
            <v>1.4218009478673244E-2</v>
          </cell>
          <cell r="W665">
            <v>-5.6899004267424447E-3</v>
          </cell>
          <cell r="X665">
            <v>7.7519379844961378E-3</v>
          </cell>
          <cell r="Y665">
            <v>5.3435114503816772E-2</v>
          </cell>
          <cell r="Z665">
            <v>-3.7067118519259479E-3</v>
          </cell>
          <cell r="AB665">
            <v>0.98001569470861849</v>
          </cell>
          <cell r="AC665">
            <v>1.2885567463252876</v>
          </cell>
          <cell r="AD665">
            <v>0.42739421492107893</v>
          </cell>
          <cell r="AE665">
            <v>0.71982885868717572</v>
          </cell>
          <cell r="AF665">
            <v>0.95592633741496957</v>
          </cell>
          <cell r="AG665">
            <v>1.3646900347162558</v>
          </cell>
          <cell r="AH665">
            <v>0.82516007842260319</v>
          </cell>
          <cell r="AI665">
            <v>0.90241024508989742</v>
          </cell>
          <cell r="AJ665">
            <v>0.4967728577199389</v>
          </cell>
          <cell r="AK665">
            <v>0.86388147425262596</v>
          </cell>
          <cell r="AL665">
            <v>1.86883458890691</v>
          </cell>
        </row>
        <row r="666">
          <cell r="A666" t="str">
            <v>14/09/2006</v>
          </cell>
          <cell r="B666">
            <v>35.799999999999997</v>
          </cell>
          <cell r="C666">
            <v>70.8</v>
          </cell>
          <cell r="D666">
            <v>98</v>
          </cell>
          <cell r="E666">
            <v>75</v>
          </cell>
          <cell r="F666">
            <v>17.12</v>
          </cell>
          <cell r="G666">
            <v>4.12</v>
          </cell>
          <cell r="H666">
            <v>12.8</v>
          </cell>
          <cell r="I666">
            <v>75.5</v>
          </cell>
          <cell r="J666">
            <v>139.80000000000001</v>
          </cell>
          <cell r="K666">
            <v>194.9</v>
          </cell>
          <cell r="L666">
            <v>54.95</v>
          </cell>
          <cell r="M666">
            <v>17183.45</v>
          </cell>
          <cell r="O666">
            <v>3.3189033189033212E-2</v>
          </cell>
          <cell r="P666">
            <v>5.5141579731743606E-2</v>
          </cell>
          <cell r="Q666">
            <v>-1.8036072144288595E-2</v>
          </cell>
          <cell r="R666">
            <v>-5.6603773584905648E-2</v>
          </cell>
          <cell r="S666">
            <v>5.9405940594059459E-2</v>
          </cell>
          <cell r="T666">
            <v>-6.7873303167420795E-2</v>
          </cell>
          <cell r="U666">
            <v>-2.1406727828746086E-2</v>
          </cell>
          <cell r="V666">
            <v>3.9893617021276029E-3</v>
          </cell>
          <cell r="W666">
            <v>-7.8069552874379111E-3</v>
          </cell>
          <cell r="X666">
            <v>6.7148760330579815E-3</v>
          </cell>
          <cell r="Y666">
            <v>1.5711645101663674E-2</v>
          </cell>
          <cell r="Z666">
            <v>-1.5333192367441795E-2</v>
          </cell>
          <cell r="AB666">
            <v>0.97383260211946521</v>
          </cell>
          <cell r="AC666">
            <v>1.2779895498682055</v>
          </cell>
          <cell r="AD666">
            <v>0.42700184084526716</v>
          </cell>
          <cell r="AE666">
            <v>0.72026393470894345</v>
          </cell>
          <cell r="AF666">
            <v>0.94576245769185863</v>
          </cell>
          <cell r="AG666">
            <v>1.3649802767373262</v>
          </cell>
          <cell r="AH666">
            <v>0.82070085267619752</v>
          </cell>
          <cell r="AI666">
            <v>0.89983647463588035</v>
          </cell>
          <cell r="AJ666">
            <v>0.49588357237435321</v>
          </cell>
          <cell r="AK666">
            <v>0.86499868114891354</v>
          </cell>
          <cell r="AL666">
            <v>1.8664362087974582</v>
          </cell>
        </row>
        <row r="667">
          <cell r="A667" t="str">
            <v>15/09/2006</v>
          </cell>
          <cell r="B667">
            <v>35.450000000000003</v>
          </cell>
          <cell r="C667">
            <v>70</v>
          </cell>
          <cell r="D667">
            <v>97.95</v>
          </cell>
          <cell r="E667">
            <v>75</v>
          </cell>
          <cell r="F667">
            <v>17.22</v>
          </cell>
          <cell r="G667">
            <v>4.1399999999999997</v>
          </cell>
          <cell r="H667">
            <v>12.82</v>
          </cell>
          <cell r="I667">
            <v>76</v>
          </cell>
          <cell r="J667">
            <v>140.30000000000001</v>
          </cell>
          <cell r="K667">
            <v>197.6</v>
          </cell>
          <cell r="L667">
            <v>55.1</v>
          </cell>
          <cell r="M667">
            <v>17237.650000000001</v>
          </cell>
          <cell r="O667">
            <v>4.8816568047337361E-2</v>
          </cell>
          <cell r="P667">
            <v>5.8201058201058142E-2</v>
          </cell>
          <cell r="Q667">
            <v>-1.7059708981435051E-2</v>
          </cell>
          <cell r="R667">
            <v>-3.4749034749034791E-2</v>
          </cell>
          <cell r="S667">
            <v>5.9040590405903925E-2</v>
          </cell>
          <cell r="T667">
            <v>-5.6947608200455635E-2</v>
          </cell>
          <cell r="U667">
            <v>-1.6871165644171682E-2</v>
          </cell>
          <cell r="V667">
            <v>8.6264100862640802E-3</v>
          </cell>
          <cell r="W667">
            <v>-2.1337126600283751E-3</v>
          </cell>
          <cell r="X667">
            <v>1.0224948875255713E-2</v>
          </cell>
          <cell r="Y667">
            <v>1.7543859649122862E-2</v>
          </cell>
          <cell r="Z667">
            <v>-7.7936804418335948E-3</v>
          </cell>
          <cell r="AB667">
            <v>0.96716975481476419</v>
          </cell>
          <cell r="AC667">
            <v>1.2704406544482187</v>
          </cell>
          <cell r="AD667">
            <v>0.4263174620798344</v>
          </cell>
          <cell r="AE667">
            <v>0.71849546516294116</v>
          </cell>
          <cell r="AF667">
            <v>0.93751284026207571</v>
          </cell>
          <cell r="AG667">
            <v>1.3610031634077624</v>
          </cell>
          <cell r="AH667">
            <v>0.8160174407046259</v>
          </cell>
          <cell r="AI667">
            <v>0.8980504327306249</v>
          </cell>
          <cell r="AJ667">
            <v>0.49519522200078564</v>
          </cell>
          <cell r="AK667">
            <v>0.8667187523221086</v>
          </cell>
          <cell r="AL667">
            <v>1.8665678860903339</v>
          </cell>
        </row>
        <row r="668">
          <cell r="A668" t="str">
            <v>18/09/2006</v>
          </cell>
          <cell r="B668">
            <v>35.85</v>
          </cell>
          <cell r="C668">
            <v>69.5</v>
          </cell>
          <cell r="D668">
            <v>98.5</v>
          </cell>
          <cell r="E668">
            <v>77</v>
          </cell>
          <cell r="F668">
            <v>17.34</v>
          </cell>
          <cell r="G668">
            <v>4.1399999999999997</v>
          </cell>
          <cell r="H668">
            <v>12.9</v>
          </cell>
          <cell r="I668">
            <v>75.2</v>
          </cell>
          <cell r="J668">
            <v>140.5</v>
          </cell>
          <cell r="K668">
            <v>197</v>
          </cell>
          <cell r="L668">
            <v>55.6</v>
          </cell>
          <cell r="M668">
            <v>17387.21</v>
          </cell>
          <cell r="O668">
            <v>5.2863436123348206E-2</v>
          </cell>
          <cell r="P668">
            <v>4.8265460030165963E-2</v>
          </cell>
          <cell r="Q668">
            <v>-1.1044176706827225E-2</v>
          </cell>
          <cell r="R668">
            <v>-1.2187299550994291E-2</v>
          </cell>
          <cell r="S668">
            <v>7.0370370370370416E-2</v>
          </cell>
          <cell r="T668">
            <v>-4.8076923076924016E-3</v>
          </cell>
          <cell r="U668">
            <v>-1.0736196319018343E-2</v>
          </cell>
          <cell r="V668">
            <v>2.666666666666595E-3</v>
          </cell>
          <cell r="W668">
            <v>2.855103497501732E-3</v>
          </cell>
          <cell r="X668">
            <v>6.6428206438426951E-3</v>
          </cell>
          <cell r="Y668">
            <v>2.2999080036798514E-2</v>
          </cell>
          <cell r="Z668">
            <v>3.2606876813976449E-3</v>
          </cell>
          <cell r="AB668">
            <v>0.96428374403931938</v>
          </cell>
          <cell r="AC668">
            <v>1.2719559177320978</v>
          </cell>
          <cell r="AD668">
            <v>0.42555175665755096</v>
          </cell>
          <cell r="AE668">
            <v>0.71745744116926102</v>
          </cell>
          <cell r="AF668">
            <v>0.93451726927940471</v>
          </cell>
          <cell r="AG668">
            <v>1.3582131316228827</v>
          </cell>
          <cell r="AH668">
            <v>0.81283201398635463</v>
          </cell>
          <cell r="AI668">
            <v>0.89771022118823551</v>
          </cell>
          <cell r="AJ668">
            <v>0.49493448093699316</v>
          </cell>
          <cell r="AK668">
            <v>0.86710157323831782</v>
          </cell>
          <cell r="AL668">
            <v>1.8661529560557666</v>
          </cell>
        </row>
        <row r="669">
          <cell r="A669" t="str">
            <v>19/09/2006</v>
          </cell>
          <cell r="B669">
            <v>36.4</v>
          </cell>
          <cell r="C669">
            <v>72</v>
          </cell>
          <cell r="D669">
            <v>98.5</v>
          </cell>
          <cell r="E669">
            <v>79.099999999999994</v>
          </cell>
          <cell r="F669">
            <v>17.46</v>
          </cell>
          <cell r="G669">
            <v>4.17</v>
          </cell>
          <cell r="H669">
            <v>12.76</v>
          </cell>
          <cell r="I669">
            <v>75.5</v>
          </cell>
          <cell r="J669">
            <v>140</v>
          </cell>
          <cell r="K669">
            <v>196.4</v>
          </cell>
          <cell r="L669">
            <v>56.2</v>
          </cell>
          <cell r="M669">
            <v>17346.7</v>
          </cell>
          <cell r="O669">
            <v>8.9820359281437057E-2</v>
          </cell>
          <cell r="P669">
            <v>9.92366412213741E-2</v>
          </cell>
          <cell r="Q669">
            <v>6.1287027579162157E-3</v>
          </cell>
          <cell r="R669">
            <v>5.1861702127659504E-2</v>
          </cell>
          <cell r="S669">
            <v>9.2615769712140139E-2</v>
          </cell>
          <cell r="T669">
            <v>1.9559902200489088E-2</v>
          </cell>
          <cell r="U669">
            <v>-1.2383900928792602E-2</v>
          </cell>
          <cell r="V669">
            <v>2.7910142954390649E-2</v>
          </cell>
          <cell r="W669">
            <v>1.0830324909747224E-2</v>
          </cell>
          <cell r="X669">
            <v>1.0808028821410076E-2</v>
          </cell>
          <cell r="Y669">
            <v>4.948646125116718E-2</v>
          </cell>
          <cell r="Z669">
            <v>1.9921354101745781E-2</v>
          </cell>
          <cell r="AB669">
            <v>0.96365431117783718</v>
          </cell>
          <cell r="AC669">
            <v>1.2737597156496063</v>
          </cell>
          <cell r="AD669">
            <v>0.42509808606968985</v>
          </cell>
          <cell r="AE669">
            <v>0.7172169220649125</v>
          </cell>
          <cell r="AF669">
            <v>0.93587219493750029</v>
          </cell>
          <cell r="AG669">
            <v>1.3550940429698854</v>
          </cell>
          <cell r="AH669">
            <v>0.80887930815133746</v>
          </cell>
          <cell r="AI669">
            <v>0.89702195869214396</v>
          </cell>
          <cell r="AJ669">
            <v>0.49475599865728115</v>
          </cell>
          <cell r="AK669">
            <v>0.86754872772699421</v>
          </cell>
          <cell r="AL669">
            <v>1.8643414867755184</v>
          </cell>
        </row>
        <row r="670">
          <cell r="A670" t="str">
            <v>20/09/2006</v>
          </cell>
          <cell r="B670">
            <v>36.549999999999997</v>
          </cell>
          <cell r="C670">
            <v>70.5</v>
          </cell>
          <cell r="D670">
            <v>98.6</v>
          </cell>
          <cell r="E670">
            <v>77.55</v>
          </cell>
          <cell r="F670">
            <v>17.64</v>
          </cell>
          <cell r="G670">
            <v>4.1900000000000004</v>
          </cell>
          <cell r="H670">
            <v>12.8</v>
          </cell>
          <cell r="I670">
            <v>75.349999999999994</v>
          </cell>
          <cell r="J670">
            <v>140.80000000000001</v>
          </cell>
          <cell r="K670">
            <v>196.6</v>
          </cell>
          <cell r="L670">
            <v>57.05</v>
          </cell>
          <cell r="M670">
            <v>17512.96</v>
          </cell>
          <cell r="O670">
            <v>5.3314121037463913E-2</v>
          </cell>
          <cell r="P670">
            <v>8.0459770114942541E-2</v>
          </cell>
          <cell r="Q670">
            <v>2.0325203252031798E-3</v>
          </cell>
          <cell r="R670">
            <v>3.400000000000003E-2</v>
          </cell>
          <cell r="S670">
            <v>9.8381070983810881E-2</v>
          </cell>
          <cell r="T670">
            <v>4.7961630695445567E-3</v>
          </cell>
          <cell r="U670">
            <v>-1.2345679012345734E-2</v>
          </cell>
          <cell r="V670">
            <v>2.517006802721089E-2</v>
          </cell>
          <cell r="W670">
            <v>1.2221423436376888E-2</v>
          </cell>
          <cell r="X670">
            <v>1.2358393408856916E-2</v>
          </cell>
          <cell r="Y670">
            <v>6.1395348837209207E-2</v>
          </cell>
          <cell r="Z670">
            <v>2.117873438388318E-2</v>
          </cell>
          <cell r="AB670">
            <v>0.96270024682972022</v>
          </cell>
          <cell r="AC670">
            <v>1.2749240553035559</v>
          </cell>
          <cell r="AD670">
            <v>0.4250021167065503</v>
          </cell>
          <cell r="AE670">
            <v>0.71696819915698839</v>
          </cell>
          <cell r="AF670">
            <v>0.93775911907629173</v>
          </cell>
          <cell r="AG670">
            <v>1.352161456415913</v>
          </cell>
          <cell r="AH670">
            <v>0.80620147134733533</v>
          </cell>
          <cell r="AI670">
            <v>0.89557986670787537</v>
          </cell>
          <cell r="AJ670">
            <v>0.49443206964277703</v>
          </cell>
          <cell r="AK670">
            <v>0.86755060105217274</v>
          </cell>
          <cell r="AL670">
            <v>1.8626201300758669</v>
          </cell>
        </row>
        <row r="671">
          <cell r="A671" t="str">
            <v>21/09/2006</v>
          </cell>
          <cell r="B671">
            <v>36.75</v>
          </cell>
          <cell r="C671">
            <v>70.2</v>
          </cell>
          <cell r="D671">
            <v>98.45</v>
          </cell>
          <cell r="E671">
            <v>77.55</v>
          </cell>
          <cell r="F671">
            <v>17.600000000000001</v>
          </cell>
          <cell r="G671">
            <v>4.25</v>
          </cell>
          <cell r="H671">
            <v>12.82</v>
          </cell>
          <cell r="I671">
            <v>75.5</v>
          </cell>
          <cell r="J671">
            <v>140.80000000000001</v>
          </cell>
          <cell r="K671">
            <v>199.2</v>
          </cell>
          <cell r="L671">
            <v>58.95</v>
          </cell>
          <cell r="M671">
            <v>17619.97</v>
          </cell>
          <cell r="O671">
            <v>8.5672082717872966E-2</v>
          </cell>
          <cell r="P671">
            <v>0.10117647058823542</v>
          </cell>
          <cell r="Q671">
            <v>4.0795512493625452E-3</v>
          </cell>
          <cell r="R671">
            <v>2.3762376237623783E-2</v>
          </cell>
          <cell r="S671">
            <v>9.7256857855361645E-2</v>
          </cell>
          <cell r="T671">
            <v>4.4226044226044259E-2</v>
          </cell>
          <cell r="U671">
            <v>-1.9877675840978548E-2</v>
          </cell>
          <cell r="V671">
            <v>3.4246575342465668E-2</v>
          </cell>
          <cell r="W671">
            <v>1.4409221902017322E-2</v>
          </cell>
          <cell r="X671">
            <v>3.5343035343035289E-2</v>
          </cell>
          <cell r="Y671">
            <v>9.77653631284916E-2</v>
          </cell>
          <cell r="Z671">
            <v>3.1107670178407876E-2</v>
          </cell>
          <cell r="AB671">
            <v>0.96521806105184427</v>
          </cell>
          <cell r="AC671">
            <v>1.2779699246174205</v>
          </cell>
          <cell r="AD671">
            <v>0.42517837463220182</v>
          </cell>
          <cell r="AE671">
            <v>0.71633926881920451</v>
          </cell>
          <cell r="AF671">
            <v>0.94216051163971337</v>
          </cell>
          <cell r="AG671">
            <v>1.3533782328487709</v>
          </cell>
          <cell r="AH671">
            <v>0.80400593342916027</v>
          </cell>
          <cell r="AI671">
            <v>0.89698752068328147</v>
          </cell>
          <cell r="AJ671">
            <v>0.49438217912582866</v>
          </cell>
          <cell r="AK671">
            <v>0.86815743794182598</v>
          </cell>
          <cell r="AL671">
            <v>1.862399598233931</v>
          </cell>
        </row>
        <row r="672">
          <cell r="A672" t="str">
            <v>22/09/2006</v>
          </cell>
          <cell r="B672">
            <v>36.15</v>
          </cell>
          <cell r="C672">
            <v>70</v>
          </cell>
          <cell r="D672">
            <v>98.35</v>
          </cell>
          <cell r="E672">
            <v>78.45</v>
          </cell>
          <cell r="F672">
            <v>17.3</v>
          </cell>
          <cell r="G672">
            <v>4.32</v>
          </cell>
          <cell r="H672">
            <v>12.86</v>
          </cell>
          <cell r="I672">
            <v>74.8</v>
          </cell>
          <cell r="J672">
            <v>141.6</v>
          </cell>
          <cell r="K672">
            <v>207.2</v>
          </cell>
          <cell r="L672">
            <v>57.85</v>
          </cell>
          <cell r="M672">
            <v>17600.650000000001</v>
          </cell>
          <cell r="O672">
            <v>8.3958020989505222E-2</v>
          </cell>
          <cell r="P672">
            <v>8.8646967340590965E-2</v>
          </cell>
          <cell r="Q672">
            <v>6.6530194472875781E-3</v>
          </cell>
          <cell r="R672">
            <v>4.6000000000000041E-2</v>
          </cell>
          <cell r="S672">
            <v>7.1871127633209353E-2</v>
          </cell>
          <cell r="T672">
            <v>6.6666666666666874E-2</v>
          </cell>
          <cell r="U672">
            <v>7.8369905956112706E-3</v>
          </cell>
          <cell r="V672">
            <v>2.1160409556314042E-2</v>
          </cell>
          <cell r="W672">
            <v>2.6831036983321122E-2</v>
          </cell>
          <cell r="X672">
            <v>9.6296296296296324E-2</v>
          </cell>
          <cell r="Y672">
            <v>8.3333333333333481E-2</v>
          </cell>
          <cell r="Z672">
            <v>4.2504785867947925E-2</v>
          </cell>
          <cell r="AB672">
            <v>0.96801396881407387</v>
          </cell>
          <cell r="AC672">
            <v>1.2807928927615748</v>
          </cell>
          <cell r="AD672">
            <v>0.42536381072635587</v>
          </cell>
          <cell r="AE672">
            <v>0.71682959569679439</v>
          </cell>
          <cell r="AF672">
            <v>0.9462625852582387</v>
          </cell>
          <cell r="AG672">
            <v>1.3562870775065468</v>
          </cell>
          <cell r="AH672">
            <v>0.80216982729162001</v>
          </cell>
          <cell r="AI672">
            <v>0.89762417502589409</v>
          </cell>
          <cell r="AJ672">
            <v>0.49495268340275184</v>
          </cell>
          <cell r="AK672">
            <v>0.87356050545160391</v>
          </cell>
          <cell r="AL672">
            <v>1.8590052493912066</v>
          </cell>
        </row>
        <row r="673">
          <cell r="A673" t="str">
            <v>25/09/2006</v>
          </cell>
          <cell r="B673">
            <v>35.950000000000003</v>
          </cell>
          <cell r="C673">
            <v>73.599999999999994</v>
          </cell>
          <cell r="D673">
            <v>98.35</v>
          </cell>
          <cell r="E673">
            <v>77</v>
          </cell>
          <cell r="F673">
            <v>16.96</v>
          </cell>
          <cell r="G673">
            <v>4.32</v>
          </cell>
          <cell r="H673">
            <v>12.78</v>
          </cell>
          <cell r="I673">
            <v>76.349999999999994</v>
          </cell>
          <cell r="J673">
            <v>141.4</v>
          </cell>
          <cell r="K673">
            <v>206.8</v>
          </cell>
          <cell r="L673">
            <v>57.55</v>
          </cell>
          <cell r="M673">
            <v>17546.04</v>
          </cell>
          <cell r="O673">
            <v>7.7961019490254913E-2</v>
          </cell>
          <cell r="P673">
            <v>0.10427606901725417</v>
          </cell>
          <cell r="Q673">
            <v>1.0178117048345037E-3</v>
          </cell>
          <cell r="R673">
            <v>4.4776119402984982E-2</v>
          </cell>
          <cell r="S673">
            <v>5.0805452292441267E-2</v>
          </cell>
          <cell r="T673">
            <v>6.6666666666666874E-2</v>
          </cell>
          <cell r="U673">
            <v>0</v>
          </cell>
          <cell r="V673">
            <v>3.2454361054766512E-2</v>
          </cell>
          <cell r="W673">
            <v>1.8731988472622474E-2</v>
          </cell>
          <cell r="X673">
            <v>9.3023255813953654E-2</v>
          </cell>
          <cell r="Y673">
            <v>8.1766917293232932E-2</v>
          </cell>
          <cell r="Z673">
            <v>3.4831868219363127E-2</v>
          </cell>
          <cell r="AB673">
            <v>0.96993208271662601</v>
          </cell>
          <cell r="AC673">
            <v>1.2843709265528875</v>
          </cell>
          <cell r="AD673">
            <v>0.42523442832024572</v>
          </cell>
          <cell r="AE673">
            <v>0.71729763340077457</v>
          </cell>
          <cell r="AF673">
            <v>0.94832035003216764</v>
          </cell>
          <cell r="AG673">
            <v>1.3583648102795605</v>
          </cell>
          <cell r="AH673">
            <v>0.80058405751167316</v>
          </cell>
          <cell r="AI673">
            <v>0.89888958566676969</v>
          </cell>
          <cell r="AJ673">
            <v>0.49500638273802833</v>
          </cell>
          <cell r="AK673">
            <v>0.87782593025467115</v>
          </cell>
          <cell r="AL673">
            <v>1.857269522387369</v>
          </cell>
        </row>
        <row r="674">
          <cell r="A674" t="str">
            <v>26/09/2006</v>
          </cell>
          <cell r="B674">
            <v>35.5</v>
          </cell>
          <cell r="C674">
            <v>70.3</v>
          </cell>
          <cell r="D674">
            <v>98.25</v>
          </cell>
          <cell r="E674">
            <v>77</v>
          </cell>
          <cell r="F674">
            <v>16.600000000000001</v>
          </cell>
          <cell r="G674">
            <v>4.2300000000000004</v>
          </cell>
          <cell r="H674">
            <v>12.64</v>
          </cell>
          <cell r="I674">
            <v>76.2</v>
          </cell>
          <cell r="J674">
            <v>140.6</v>
          </cell>
          <cell r="K674">
            <v>204</v>
          </cell>
          <cell r="L674">
            <v>56.25</v>
          </cell>
          <cell r="M674">
            <v>17308.080000000002</v>
          </cell>
          <cell r="O674">
            <v>6.6066066066066131E-2</v>
          </cell>
          <cell r="P674">
            <v>6.8389057750759985E-2</v>
          </cell>
          <cell r="Q674">
            <v>3.0627871362940429E-3</v>
          </cell>
          <cell r="R674">
            <v>3.7037037037036979E-2</v>
          </cell>
          <cell r="S674">
            <v>3.8798498122653458E-2</v>
          </cell>
          <cell r="T674">
            <v>4.9627791563275458E-2</v>
          </cell>
          <cell r="U674">
            <v>1.4446227929374E-2</v>
          </cell>
          <cell r="V674">
            <v>2.4193548387096753E-2</v>
          </cell>
          <cell r="W674">
            <v>1.078360891444996E-2</v>
          </cell>
          <cell r="X674">
            <v>6.8622315348349838E-2</v>
          </cell>
          <cell r="Y674">
            <v>6.9391634980988659E-2</v>
          </cell>
          <cell r="Z674">
            <v>2.2797741913180847E-2</v>
          </cell>
          <cell r="AB674">
            <v>0.97150915716391661</v>
          </cell>
          <cell r="AC674">
            <v>1.2859968244441935</v>
          </cell>
          <cell r="AD674">
            <v>0.42551447748370197</v>
          </cell>
          <cell r="AE674">
            <v>0.71845790004431453</v>
          </cell>
          <cell r="AF674">
            <v>0.95001210943804071</v>
          </cell>
          <cell r="AG674">
            <v>1.3614728966891969</v>
          </cell>
          <cell r="AH674">
            <v>0.80167404126403896</v>
          </cell>
          <cell r="AI674">
            <v>0.90117470038150638</v>
          </cell>
          <cell r="AJ674">
            <v>0.4950843970333203</v>
          </cell>
          <cell r="AK674">
            <v>0.87991029933746434</v>
          </cell>
          <cell r="AL674">
            <v>1.8568437109454292</v>
          </cell>
        </row>
        <row r="675">
          <cell r="A675" t="str">
            <v>27/09/2006</v>
          </cell>
          <cell r="B675">
            <v>35.85</v>
          </cell>
          <cell r="C675">
            <v>71.099999999999994</v>
          </cell>
          <cell r="D675">
            <v>98.45</v>
          </cell>
          <cell r="E675">
            <v>78.2</v>
          </cell>
          <cell r="F675">
            <v>17.48</v>
          </cell>
          <cell r="G675">
            <v>4.32</v>
          </cell>
          <cell r="H675">
            <v>12.7</v>
          </cell>
          <cell r="I675">
            <v>76.05</v>
          </cell>
          <cell r="J675">
            <v>141.80000000000001</v>
          </cell>
          <cell r="K675">
            <v>205.8</v>
          </cell>
          <cell r="L675">
            <v>57.15</v>
          </cell>
          <cell r="M675">
            <v>17521.509999999998</v>
          </cell>
          <cell r="O675">
            <v>6.065088757396464E-2</v>
          </cell>
          <cell r="P675">
            <v>4.4052863436123246E-2</v>
          </cell>
          <cell r="Q675">
            <v>1.0167768174886849E-3</v>
          </cell>
          <cell r="R675">
            <v>4.3362241494329545E-2</v>
          </cell>
          <cell r="S675">
            <v>8.3023543990086823E-2</v>
          </cell>
          <cell r="T675">
            <v>5.6234718826406072E-2</v>
          </cell>
          <cell r="U675">
            <v>-7.812500000000111E-3</v>
          </cell>
          <cell r="V675">
            <v>1.6711229946523964E-2</v>
          </cell>
          <cell r="W675">
            <v>1.2134189864382749E-2</v>
          </cell>
          <cell r="X675">
            <v>5.7010785824345156E-2</v>
          </cell>
          <cell r="Y675">
            <v>8.5470085470085388E-2</v>
          </cell>
          <cell r="Z675">
            <v>2.5652567890943612E-2</v>
          </cell>
          <cell r="AB675">
            <v>0.97359209054518991</v>
          </cell>
          <cell r="AC675">
            <v>1.2871033965700522</v>
          </cell>
          <cell r="AD675">
            <v>0.42588374157610187</v>
          </cell>
          <cell r="AE675">
            <v>0.72073046570057619</v>
          </cell>
          <cell r="AF675">
            <v>0.95368993630153676</v>
          </cell>
          <cell r="AG675">
            <v>1.3657855183200176</v>
          </cell>
          <cell r="AH675">
            <v>0.80265504445161384</v>
          </cell>
          <cell r="AI675">
            <v>0.90421154585472518</v>
          </cell>
          <cell r="AJ675">
            <v>0.49514512358075635</v>
          </cell>
          <cell r="AK675">
            <v>0.88188375181125067</v>
          </cell>
          <cell r="AL675">
            <v>1.8561052813929184</v>
          </cell>
        </row>
        <row r="676">
          <cell r="A676" t="str">
            <v>28/09/2006</v>
          </cell>
          <cell r="B676">
            <v>35.75</v>
          </cell>
          <cell r="C676">
            <v>70.349999999999994</v>
          </cell>
          <cell r="D676">
            <v>98.45</v>
          </cell>
          <cell r="E676">
            <v>77</v>
          </cell>
          <cell r="F676">
            <v>17.36</v>
          </cell>
          <cell r="G676">
            <v>4.38</v>
          </cell>
          <cell r="H676">
            <v>12.92</v>
          </cell>
          <cell r="I676">
            <v>75.75</v>
          </cell>
          <cell r="J676">
            <v>141.9</v>
          </cell>
          <cell r="K676">
            <v>202.6</v>
          </cell>
          <cell r="L676">
            <v>57.05</v>
          </cell>
          <cell r="M676">
            <v>17530.57</v>
          </cell>
          <cell r="O676">
            <v>3.473227206946472E-2</v>
          </cell>
          <cell r="P676">
            <v>4.9999999999999822E-2</v>
          </cell>
          <cell r="Q676">
            <v>0</v>
          </cell>
          <cell r="R676">
            <v>2.461743180306053E-2</v>
          </cell>
          <cell r="S676">
            <v>3.8277511961722466E-2</v>
          </cell>
          <cell r="T676">
            <v>6.8292682926829329E-2</v>
          </cell>
          <cell r="U676">
            <v>-1.5455950540957941E-3</v>
          </cell>
          <cell r="V676">
            <v>1.1348464619492571E-2</v>
          </cell>
          <cell r="W676">
            <v>9.2460881934566252E-3</v>
          </cell>
          <cell r="X676">
            <v>4.0575243965074614E-2</v>
          </cell>
          <cell r="Y676">
            <v>8.5632730732635665E-2</v>
          </cell>
          <cell r="Z676">
            <v>1.4224132195449046E-2</v>
          </cell>
          <cell r="AB676">
            <v>0.97448311185392056</v>
          </cell>
          <cell r="AC676">
            <v>1.2880251175161557</v>
          </cell>
          <cell r="AD676">
            <v>0.42608749698752474</v>
          </cell>
          <cell r="AE676">
            <v>0.72246795822615228</v>
          </cell>
          <cell r="AF676">
            <v>0.95467569786718831</v>
          </cell>
          <cell r="AG676">
            <v>1.3687504132932948</v>
          </cell>
          <cell r="AH676">
            <v>0.80430826788554222</v>
          </cell>
          <cell r="AI676">
            <v>0.90694649514427539</v>
          </cell>
          <cell r="AJ676">
            <v>0.49530167297426869</v>
          </cell>
          <cell r="AK676">
            <v>0.88251312402157334</v>
          </cell>
          <cell r="AL676">
            <v>1.8551413617613979</v>
          </cell>
        </row>
        <row r="677">
          <cell r="A677" t="str">
            <v>29/09/2006</v>
          </cell>
          <cell r="B677">
            <v>35.549999999999997</v>
          </cell>
          <cell r="C677">
            <v>70.150000000000006</v>
          </cell>
          <cell r="D677">
            <v>98.45</v>
          </cell>
          <cell r="E677">
            <v>76.099999999999994</v>
          </cell>
          <cell r="F677">
            <v>17.5</v>
          </cell>
          <cell r="G677">
            <v>4.4800000000000004</v>
          </cell>
          <cell r="H677">
            <v>13.58</v>
          </cell>
          <cell r="I677">
            <v>76.75</v>
          </cell>
          <cell r="J677">
            <v>142.1</v>
          </cell>
          <cell r="K677">
            <v>202.6</v>
          </cell>
          <cell r="L677">
            <v>56.85</v>
          </cell>
          <cell r="M677">
            <v>17543.05</v>
          </cell>
          <cell r="O677">
            <v>2.7456647398843792E-2</v>
          </cell>
          <cell r="P677">
            <v>5.1724137931034475E-2</v>
          </cell>
          <cell r="Q677">
            <v>-5.0761421319789335E-4</v>
          </cell>
          <cell r="R677">
            <v>1.8741633199464314E-2</v>
          </cell>
          <cell r="S677">
            <v>2.5791324736225141E-2</v>
          </cell>
          <cell r="T677">
            <v>0.10891089108910901</v>
          </cell>
          <cell r="U677">
            <v>4.7839506172839386E-2</v>
          </cell>
          <cell r="V677">
            <v>3.1586021505376261E-2</v>
          </cell>
          <cell r="W677">
            <v>6.3739376770539646E-3</v>
          </cell>
          <cell r="X677">
            <v>3.1043256997455471E-2</v>
          </cell>
          <cell r="Y677">
            <v>7.6704545454545636E-2</v>
          </cell>
          <cell r="Z677">
            <v>8.6693686333065845E-3</v>
          </cell>
          <cell r="AB677">
            <v>0.97832094716920159</v>
          </cell>
          <cell r="AC677">
            <v>1.2908556421395501</v>
          </cell>
          <cell r="AD677">
            <v>0.42685235954468559</v>
          </cell>
          <cell r="AE677">
            <v>0.72493841788703195</v>
          </cell>
          <cell r="AF677">
            <v>0.95663316144925481</v>
          </cell>
          <cell r="AG677">
            <v>1.3790598421161477</v>
          </cell>
          <cell r="AH677">
            <v>0.80980166803033005</v>
          </cell>
          <cell r="AI677">
            <v>0.91526635035199388</v>
          </cell>
          <cell r="AJ677">
            <v>0.49585901090678719</v>
          </cell>
          <cell r="AK677">
            <v>0.8825695366154962</v>
          </cell>
          <cell r="AL677">
            <v>1.8541000885938355</v>
          </cell>
        </row>
        <row r="678">
          <cell r="A678" t="str">
            <v>02/10/2006</v>
          </cell>
          <cell r="B678">
            <v>35.549999999999997</v>
          </cell>
          <cell r="C678">
            <v>70.150000000000006</v>
          </cell>
          <cell r="D678">
            <v>98.45</v>
          </cell>
          <cell r="E678">
            <v>76.099999999999994</v>
          </cell>
          <cell r="F678">
            <v>17.5</v>
          </cell>
          <cell r="G678">
            <v>4.4800000000000004</v>
          </cell>
          <cell r="H678">
            <v>13.58</v>
          </cell>
          <cell r="I678">
            <v>76.75</v>
          </cell>
          <cell r="J678">
            <v>142.1</v>
          </cell>
          <cell r="K678">
            <v>202.6</v>
          </cell>
          <cell r="L678">
            <v>56.85</v>
          </cell>
          <cell r="M678">
            <v>17543.05</v>
          </cell>
          <cell r="O678">
            <v>1.862464183381074E-2</v>
          </cell>
          <cell r="P678">
            <v>5.7272042200452233E-2</v>
          </cell>
          <cell r="Q678">
            <v>3.0565461029037344E-3</v>
          </cell>
          <cell r="R678">
            <v>2.2849462365591267E-2</v>
          </cell>
          <cell r="S678">
            <v>2.100350058343059E-2</v>
          </cell>
          <cell r="T678">
            <v>0.11166253101736978</v>
          </cell>
          <cell r="U678">
            <v>5.2713178294573559E-2</v>
          </cell>
          <cell r="V678">
            <v>3.5762483130904243E-2</v>
          </cell>
          <cell r="W678">
            <v>7.8014184397163788E-3</v>
          </cell>
          <cell r="X678">
            <v>3.4729315628192037E-2</v>
          </cell>
          <cell r="Y678">
            <v>6.0634328358208922E-2</v>
          </cell>
          <cell r="Z678">
            <v>6.8487096900087252E-3</v>
          </cell>
          <cell r="AB678">
            <v>0.97965953581228793</v>
          </cell>
          <cell r="AC678">
            <v>1.2911794164435542</v>
          </cell>
          <cell r="AD678">
            <v>0.42692879107436316</v>
          </cell>
          <cell r="AE678">
            <v>0.72562177218925306</v>
          </cell>
          <cell r="AF678">
            <v>0.9573990372618516</v>
          </cell>
          <cell r="AG678">
            <v>1.3799705187935922</v>
          </cell>
          <cell r="AH678">
            <v>0.81066973560244826</v>
          </cell>
          <cell r="AI678">
            <v>0.91704220585027485</v>
          </cell>
          <cell r="AJ678">
            <v>0.49596303491124638</v>
          </cell>
          <cell r="AK678">
            <v>0.88240941913606519</v>
          </cell>
          <cell r="AL678">
            <v>1.8542564238774721</v>
          </cell>
        </row>
        <row r="679">
          <cell r="A679" t="str">
            <v>03/10/2006</v>
          </cell>
          <cell r="B679">
            <v>36.200000000000003</v>
          </cell>
          <cell r="C679">
            <v>68.5</v>
          </cell>
          <cell r="D679">
            <v>98.6</v>
          </cell>
          <cell r="E679">
            <v>75.599999999999994</v>
          </cell>
          <cell r="F679">
            <v>17.62</v>
          </cell>
          <cell r="G679">
            <v>4.71</v>
          </cell>
          <cell r="H679">
            <v>13.42</v>
          </cell>
          <cell r="I679">
            <v>76.75</v>
          </cell>
          <cell r="J679">
            <v>141.80000000000001</v>
          </cell>
          <cell r="K679">
            <v>200</v>
          </cell>
          <cell r="L679">
            <v>56.6</v>
          </cell>
          <cell r="M679">
            <v>17606.53</v>
          </cell>
          <cell r="O679">
            <v>5.079825834542806E-2</v>
          </cell>
          <cell r="P679">
            <v>1.7830609212481363E-2</v>
          </cell>
          <cell r="Q679">
            <v>2.0325203252031798E-3</v>
          </cell>
          <cell r="R679">
            <v>3.9840637450199168E-3</v>
          </cell>
          <cell r="S679">
            <v>4.2603550295858161E-2</v>
          </cell>
          <cell r="T679">
            <v>0.14320388349514568</v>
          </cell>
          <cell r="U679">
            <v>3.5493827160493652E-2</v>
          </cell>
          <cell r="V679">
            <v>2.4016010673782562E-2</v>
          </cell>
          <cell r="W679">
            <v>-7.0472163495416407E-4</v>
          </cell>
          <cell r="X679">
            <v>1.0101010101010166E-2</v>
          </cell>
          <cell r="Y679">
            <v>3.4734917733089565E-2</v>
          </cell>
          <cell r="Z679">
            <v>9.6182076748398959E-3</v>
          </cell>
          <cell r="AB679">
            <v>0.97958070158016863</v>
          </cell>
          <cell r="AC679">
            <v>1.291199240096208</v>
          </cell>
          <cell r="AD679">
            <v>0.42689134656887939</v>
          </cell>
          <cell r="AE679">
            <v>0.72572028526408405</v>
          </cell>
          <cell r="AF679">
            <v>0.95722084711563837</v>
          </cell>
          <cell r="AG679">
            <v>1.3794100468150658</v>
          </cell>
          <cell r="AH679">
            <v>0.81059381829904265</v>
          </cell>
          <cell r="AI679">
            <v>0.91699700579105103</v>
          </cell>
          <cell r="AJ679">
            <v>0.49600615273073784</v>
          </cell>
          <cell r="AK679">
            <v>0.88241630344294908</v>
          </cell>
          <cell r="AL679">
            <v>1.8544304853723657</v>
          </cell>
        </row>
        <row r="680">
          <cell r="A680" t="str">
            <v>04/10/2006</v>
          </cell>
          <cell r="B680">
            <v>36.65</v>
          </cell>
          <cell r="C680">
            <v>68.5</v>
          </cell>
          <cell r="D680">
            <v>98.45</v>
          </cell>
          <cell r="E680">
            <v>74.150000000000006</v>
          </cell>
          <cell r="F680">
            <v>17.82</v>
          </cell>
          <cell r="G680">
            <v>4.68</v>
          </cell>
          <cell r="H680">
            <v>13.6</v>
          </cell>
          <cell r="I680">
            <v>76.150000000000006</v>
          </cell>
          <cell r="J680">
            <v>141.80000000000001</v>
          </cell>
          <cell r="K680">
            <v>200.4</v>
          </cell>
          <cell r="L680">
            <v>56.6</v>
          </cell>
          <cell r="M680">
            <v>17629.21</v>
          </cell>
          <cell r="O680">
            <v>7.794117647058818E-2</v>
          </cell>
          <cell r="P680">
            <v>-5.8055152394775877E-3</v>
          </cell>
          <cell r="Q680">
            <v>7.6765609007165558E-3</v>
          </cell>
          <cell r="R680">
            <v>-2.4983563445101775E-2</v>
          </cell>
          <cell r="S680">
            <v>4.5774647887323994E-2</v>
          </cell>
          <cell r="T680">
            <v>0.125</v>
          </cell>
          <cell r="U680">
            <v>6.7503924646781677E-2</v>
          </cell>
          <cell r="V680">
            <v>1.9410977242302563E-2</v>
          </cell>
          <cell r="W680">
            <v>8.5348506401139446E-3</v>
          </cell>
          <cell r="X680">
            <v>2.0886398369841963E-2</v>
          </cell>
          <cell r="Y680">
            <v>4.8148148148148273E-2</v>
          </cell>
          <cell r="Z680">
            <v>2.1479258638202214E-2</v>
          </cell>
          <cell r="AB680">
            <v>0.98085903535739094</v>
          </cell>
          <cell r="AC680">
            <v>1.2905443590590364</v>
          </cell>
          <cell r="AD680">
            <v>0.42716151279389358</v>
          </cell>
          <cell r="AE680">
            <v>0.72428708086566695</v>
          </cell>
          <cell r="AF680">
            <v>0.95832793138630779</v>
          </cell>
          <cell r="AG680">
            <v>1.3821134794759555</v>
          </cell>
          <cell r="AH680">
            <v>0.81200620499012444</v>
          </cell>
          <cell r="AI680">
            <v>0.91756240810013834</v>
          </cell>
          <cell r="AJ680">
            <v>0.4959592798188443</v>
          </cell>
          <cell r="AK680">
            <v>0.88261221970436143</v>
          </cell>
          <cell r="AL680">
            <v>1.8525883059084154</v>
          </cell>
        </row>
        <row r="681">
          <cell r="A681" t="str">
            <v>05/10/2006</v>
          </cell>
          <cell r="B681">
            <v>37.75</v>
          </cell>
          <cell r="C681">
            <v>69.05</v>
          </cell>
          <cell r="D681">
            <v>98.85</v>
          </cell>
          <cell r="E681">
            <v>75</v>
          </cell>
          <cell r="F681">
            <v>17.940000000000001</v>
          </cell>
          <cell r="G681">
            <v>4.7699999999999996</v>
          </cell>
          <cell r="H681">
            <v>13.48</v>
          </cell>
          <cell r="I681">
            <v>76.599999999999994</v>
          </cell>
          <cell r="J681">
            <v>145.19999999999999</v>
          </cell>
          <cell r="K681">
            <v>203</v>
          </cell>
          <cell r="L681">
            <v>57.8</v>
          </cell>
          <cell r="M681">
            <v>17907.669999999998</v>
          </cell>
          <cell r="O681">
            <v>0.10380116959064312</v>
          </cell>
          <cell r="P681">
            <v>1.8436578171091345E-2</v>
          </cell>
          <cell r="Q681">
            <v>1.5408320493066174E-2</v>
          </cell>
          <cell r="R681">
            <v>0</v>
          </cell>
          <cell r="S681">
            <v>5.9031877213695294E-2</v>
          </cell>
          <cell r="T681">
            <v>0.14388489208633093</v>
          </cell>
          <cell r="U681">
            <v>6.3091482649842323E-2</v>
          </cell>
          <cell r="V681">
            <v>2.1333333333333204E-2</v>
          </cell>
          <cell r="W681">
            <v>4.1606886657101771E-2</v>
          </cell>
          <cell r="X681">
            <v>4.6931407942238268E-2</v>
          </cell>
          <cell r="Y681">
            <v>7.3351903435468824E-2</v>
          </cell>
          <cell r="Z681">
            <v>4.745022940448429E-2</v>
          </cell>
          <cell r="AB681">
            <v>0.98275395578036018</v>
          </cell>
          <cell r="AC681">
            <v>1.2830210554078274</v>
          </cell>
          <cell r="AD681">
            <v>0.42742866169057625</v>
          </cell>
          <cell r="AE681">
            <v>0.71797643527906196</v>
          </cell>
          <cell r="AF681">
            <v>0.95818469853121291</v>
          </cell>
          <cell r="AG681">
            <v>1.3861883087849103</v>
          </cell>
          <cell r="AH681">
            <v>0.8120062617462267</v>
          </cell>
          <cell r="AI681">
            <v>0.91134913115384508</v>
          </cell>
          <cell r="AJ681">
            <v>0.49684512636932832</v>
          </cell>
          <cell r="AK681">
            <v>0.88115201422748213</v>
          </cell>
          <cell r="AL681">
            <v>1.8500011203494462</v>
          </cell>
        </row>
        <row r="682">
          <cell r="A682" t="str">
            <v>06/10/2006</v>
          </cell>
          <cell r="B682">
            <v>38.049999999999997</v>
          </cell>
          <cell r="C682">
            <v>70.95</v>
          </cell>
          <cell r="D682">
            <v>98.8</v>
          </cell>
          <cell r="E682">
            <v>75.5</v>
          </cell>
          <cell r="F682">
            <v>17.86</v>
          </cell>
          <cell r="G682">
            <v>4.76</v>
          </cell>
          <cell r="H682">
            <v>13.56</v>
          </cell>
          <cell r="I682">
            <v>76.5</v>
          </cell>
          <cell r="J682">
            <v>146.1</v>
          </cell>
          <cell r="K682">
            <v>200.6</v>
          </cell>
          <cell r="L682">
            <v>58</v>
          </cell>
          <cell r="M682">
            <v>17903.39</v>
          </cell>
          <cell r="O682">
            <v>0.1224188790560472</v>
          </cell>
          <cell r="P682">
            <v>4.3382352941176539E-2</v>
          </cell>
          <cell r="Q682">
            <v>1.2813941568426523E-2</v>
          </cell>
          <cell r="R682">
            <v>6.6666666666665986E-3</v>
          </cell>
          <cell r="S682">
            <v>5.1825677267373305E-2</v>
          </cell>
          <cell r="T682">
            <v>0.13875598086124397</v>
          </cell>
          <cell r="U682">
            <v>5.7722308892355745E-2</v>
          </cell>
          <cell r="V682">
            <v>2.6845637583892579E-2</v>
          </cell>
          <cell r="W682">
            <v>5.3352559480894124E-2</v>
          </cell>
          <cell r="X682">
            <v>3.7765131919296424E-2</v>
          </cell>
          <cell r="Y682">
            <v>5.5505004549590398E-2</v>
          </cell>
          <cell r="Z682">
            <v>4.4187600899580959E-2</v>
          </cell>
          <cell r="AB682">
            <v>0.98634920869276999</v>
          </cell>
          <cell r="AC682">
            <v>1.2792405242046683</v>
          </cell>
          <cell r="AD682">
            <v>0.42727927292678214</v>
          </cell>
          <cell r="AE682">
            <v>0.7101279695256385</v>
          </cell>
          <cell r="AF682">
            <v>0.95739311516840431</v>
          </cell>
          <cell r="AG682">
            <v>1.3888298908269854</v>
          </cell>
          <cell r="AH682">
            <v>0.81123743550292127</v>
          </cell>
          <cell r="AI682">
            <v>0.90381914358147786</v>
          </cell>
          <cell r="AJ682">
            <v>0.49775386580259218</v>
          </cell>
          <cell r="AK682">
            <v>0.87763058287346907</v>
          </cell>
          <cell r="AL682">
            <v>1.8516441534770829</v>
          </cell>
        </row>
        <row r="683">
          <cell r="A683" t="str">
            <v>09/10/2006</v>
          </cell>
          <cell r="B683">
            <v>37.35</v>
          </cell>
          <cell r="C683">
            <v>69.75</v>
          </cell>
          <cell r="D683">
            <v>98.7</v>
          </cell>
          <cell r="E683">
            <v>74.150000000000006</v>
          </cell>
          <cell r="F683">
            <v>17.54</v>
          </cell>
          <cell r="G683">
            <v>4.79</v>
          </cell>
          <cell r="H683">
            <v>13.48</v>
          </cell>
          <cell r="I683">
            <v>75.5</v>
          </cell>
          <cell r="J683">
            <v>144</v>
          </cell>
          <cell r="K683">
            <v>202</v>
          </cell>
          <cell r="L683">
            <v>57.25</v>
          </cell>
          <cell r="M683">
            <v>17675.240000000002</v>
          </cell>
          <cell r="O683">
            <v>9.8529411764705976E-2</v>
          </cell>
          <cell r="P683">
            <v>2.8761061946902755E-2</v>
          </cell>
          <cell r="Q683">
            <v>1.6477857878475888E-2</v>
          </cell>
          <cell r="R683">
            <v>4.7425474254743083E-3</v>
          </cell>
          <cell r="S683">
            <v>3.9099526066350698E-2</v>
          </cell>
          <cell r="T683">
            <v>0.15144230769230771</v>
          </cell>
          <cell r="U683">
            <v>4.334365325077405E-2</v>
          </cell>
          <cell r="V683">
            <v>7.3382254836558136E-3</v>
          </cell>
          <cell r="W683">
            <v>4.2722664735698856E-2</v>
          </cell>
          <cell r="X683">
            <v>5.0988553590010532E-2</v>
          </cell>
          <cell r="Y683">
            <v>4.5662100456621113E-2</v>
          </cell>
          <cell r="Z683">
            <v>4.2873772980525304E-2</v>
          </cell>
          <cell r="AB683">
            <v>0.98807819311344824</v>
          </cell>
          <cell r="AC683">
            <v>1.2733841636699035</v>
          </cell>
          <cell r="AD683">
            <v>0.42736283353501336</v>
          </cell>
          <cell r="AE683">
            <v>0.70230374381240301</v>
          </cell>
          <cell r="AF683">
            <v>0.95636643398079635</v>
          </cell>
          <cell r="AG683">
            <v>1.3945733084984406</v>
          </cell>
          <cell r="AH683">
            <v>0.80878111612488557</v>
          </cell>
          <cell r="AI683">
            <v>0.8945374614488667</v>
          </cell>
          <cell r="AJ683">
            <v>0.49770153464725342</v>
          </cell>
          <cell r="AK683">
            <v>0.87624465216526692</v>
          </cell>
          <cell r="AL683">
            <v>1.8528984251268696</v>
          </cell>
        </row>
        <row r="684">
          <cell r="A684" t="str">
            <v>10/10/2006</v>
          </cell>
          <cell r="B684">
            <v>38</v>
          </cell>
          <cell r="C684">
            <v>69.7</v>
          </cell>
          <cell r="D684">
            <v>98.8</v>
          </cell>
          <cell r="E684">
            <v>74.900000000000006</v>
          </cell>
          <cell r="F684">
            <v>17.66</v>
          </cell>
          <cell r="G684">
            <v>4.93</v>
          </cell>
          <cell r="H684">
            <v>13.56</v>
          </cell>
          <cell r="I684">
            <v>75</v>
          </cell>
          <cell r="J684">
            <v>145.69999999999999</v>
          </cell>
          <cell r="K684">
            <v>207</v>
          </cell>
          <cell r="L684">
            <v>57.4</v>
          </cell>
          <cell r="M684">
            <v>17823.7</v>
          </cell>
          <cell r="O684">
            <v>0.10144927536231885</v>
          </cell>
          <cell r="P684">
            <v>2.5000000000000133E-2</v>
          </cell>
          <cell r="Q684">
            <v>1.5416238437821139E-2</v>
          </cell>
          <cell r="R684">
            <v>1.4905149051490652E-2</v>
          </cell>
          <cell r="S684">
            <v>5.7485029940119725E-2</v>
          </cell>
          <cell r="T684">
            <v>0.18795180722891547</v>
          </cell>
          <cell r="U684">
            <v>6.2695924764890387E-2</v>
          </cell>
          <cell r="V684">
            <v>1.3351134846462109E-3</v>
          </cell>
          <cell r="W684">
            <v>4.8956083513318704E-2</v>
          </cell>
          <cell r="X684">
            <v>8.2070047046523653E-2</v>
          </cell>
          <cell r="Y684">
            <v>4.936014625228502E-2</v>
          </cell>
          <cell r="Z684">
            <v>4.3823277931995586E-2</v>
          </cell>
          <cell r="AB684">
            <v>0.98993122072580875</v>
          </cell>
          <cell r="AC684">
            <v>1.2665577869638347</v>
          </cell>
          <cell r="AD684">
            <v>0.42729479769910755</v>
          </cell>
          <cell r="AE684">
            <v>0.69624748280879811</v>
          </cell>
          <cell r="AF684">
            <v>0.95709243257798726</v>
          </cell>
          <cell r="AG684">
            <v>1.4026613178268279</v>
          </cell>
          <cell r="AH684">
            <v>0.80792909340642782</v>
          </cell>
          <cell r="AI684">
            <v>0.88391324674528249</v>
          </cell>
          <cell r="AJ684">
            <v>0.49851355057398355</v>
          </cell>
          <cell r="AK684">
            <v>0.87747128849079747</v>
          </cell>
          <cell r="AL684">
            <v>1.8523156177597107</v>
          </cell>
        </row>
        <row r="685">
          <cell r="A685" t="str">
            <v>11/10/2006</v>
          </cell>
          <cell r="B685">
            <v>38.049999999999997</v>
          </cell>
          <cell r="C685">
            <v>70</v>
          </cell>
          <cell r="D685">
            <v>98.8</v>
          </cell>
          <cell r="E685">
            <v>76</v>
          </cell>
          <cell r="F685">
            <v>17.86</v>
          </cell>
          <cell r="G685">
            <v>4.87</v>
          </cell>
          <cell r="H685">
            <v>13.86</v>
          </cell>
          <cell r="I685">
            <v>75.900000000000006</v>
          </cell>
          <cell r="J685">
            <v>145.6</v>
          </cell>
          <cell r="K685">
            <v>205.8</v>
          </cell>
          <cell r="L685">
            <v>57.35</v>
          </cell>
          <cell r="M685">
            <v>17862.79</v>
          </cell>
          <cell r="O685">
            <v>8.8698140200285991E-2</v>
          </cell>
          <cell r="P685">
            <v>7.194244604316502E-3</v>
          </cell>
          <cell r="Q685">
            <v>8.1632653061223248E-3</v>
          </cell>
          <cell r="R685">
            <v>1.4686248331108098E-2</v>
          </cell>
          <cell r="S685">
            <v>4.9353701527614646E-2</v>
          </cell>
          <cell r="T685">
            <v>0.16786570743405282</v>
          </cell>
          <cell r="U685">
            <v>8.2812499999999956E-2</v>
          </cell>
          <cell r="V685">
            <v>1.3351134846461887E-2</v>
          </cell>
          <cell r="W685">
            <v>4.1487839771101376E-2</v>
          </cell>
          <cell r="X685">
            <v>5.5384615384615365E-2</v>
          </cell>
          <cell r="Y685">
            <v>3.8949275362318847E-2</v>
          </cell>
          <cell r="Z685">
            <v>3.7928441770036514E-2</v>
          </cell>
          <cell r="AB685">
            <v>0.99099794537271624</v>
          </cell>
          <cell r="AC685">
            <v>1.2601600731046656</v>
          </cell>
          <cell r="AD685">
            <v>0.42706762820482858</v>
          </cell>
          <cell r="AE685">
            <v>0.69155502259487567</v>
          </cell>
          <cell r="AF685">
            <v>0.95762038687959383</v>
          </cell>
          <cell r="AG685">
            <v>1.4081079216973078</v>
          </cell>
          <cell r="AH685">
            <v>0.80899226149868964</v>
          </cell>
          <cell r="AI685">
            <v>0.87685721458966992</v>
          </cell>
          <cell r="AJ685">
            <v>0.49877607362006665</v>
          </cell>
          <cell r="AK685">
            <v>0.87750619775726202</v>
          </cell>
          <cell r="AL685">
            <v>1.8505113510826634</v>
          </cell>
        </row>
        <row r="686">
          <cell r="A686" t="str">
            <v>12/10/2006</v>
          </cell>
          <cell r="B686">
            <v>37.450000000000003</v>
          </cell>
          <cell r="C686">
            <v>68.95</v>
          </cell>
          <cell r="D686">
            <v>99.2</v>
          </cell>
          <cell r="E686">
            <v>75.099999999999994</v>
          </cell>
          <cell r="F686">
            <v>17.84</v>
          </cell>
          <cell r="G686">
            <v>4.8499999999999996</v>
          </cell>
          <cell r="H686">
            <v>14.08</v>
          </cell>
          <cell r="I686">
            <v>75.7</v>
          </cell>
          <cell r="J686">
            <v>145.6</v>
          </cell>
          <cell r="K686">
            <v>205.6</v>
          </cell>
          <cell r="L686">
            <v>57.5</v>
          </cell>
          <cell r="M686">
            <v>17873.09</v>
          </cell>
          <cell r="O686">
            <v>4.6089385474860523E-2</v>
          </cell>
          <cell r="P686">
            <v>-2.6129943502824826E-2</v>
          </cell>
          <cell r="Q686">
            <v>1.2244897959183598E-2</v>
          </cell>
          <cell r="R686">
            <v>1.3333333333331865E-3</v>
          </cell>
          <cell r="S686">
            <v>4.2056074766354978E-2</v>
          </cell>
          <cell r="T686">
            <v>0.17718446601941729</v>
          </cell>
          <cell r="U686">
            <v>9.9999999999999867E-2</v>
          </cell>
          <cell r="V686">
            <v>2.6490066225166586E-3</v>
          </cell>
          <cell r="W686">
            <v>4.1487839771101376E-2</v>
          </cell>
          <cell r="X686">
            <v>5.4899948691636613E-2</v>
          </cell>
          <cell r="Y686">
            <v>4.6405823475887065E-2</v>
          </cell>
          <cell r="Z686">
            <v>4.0133966112742225E-2</v>
          </cell>
          <cell r="AB686">
            <v>0.99047515196070646</v>
          </cell>
          <cell r="AC686">
            <v>1.2483806944861149</v>
          </cell>
          <cell r="AD686">
            <v>0.42640064401109556</v>
          </cell>
          <cell r="AE686">
            <v>0.68416909457309294</v>
          </cell>
          <cell r="AF686">
            <v>0.95856194780362636</v>
          </cell>
          <cell r="AG686">
            <v>1.4162862272306576</v>
          </cell>
          <cell r="AH686">
            <v>0.81087436760043208</v>
          </cell>
          <cell r="AI686">
            <v>0.86154122639996156</v>
          </cell>
          <cell r="AJ686">
            <v>0.49740545300858868</v>
          </cell>
          <cell r="AK686">
            <v>0.87565260975983172</v>
          </cell>
          <cell r="AL686">
            <v>1.85501889241296</v>
          </cell>
        </row>
        <row r="687">
          <cell r="A687" t="str">
            <v>13/10/2006</v>
          </cell>
          <cell r="B687">
            <v>37.950000000000003</v>
          </cell>
          <cell r="C687">
            <v>67.25</v>
          </cell>
          <cell r="D687">
            <v>99.55</v>
          </cell>
          <cell r="E687">
            <v>74.349999999999994</v>
          </cell>
          <cell r="F687">
            <v>17.72</v>
          </cell>
          <cell r="G687">
            <v>4.84</v>
          </cell>
          <cell r="H687">
            <v>14.2</v>
          </cell>
          <cell r="I687">
            <v>74.95</v>
          </cell>
          <cell r="J687">
            <v>146.6</v>
          </cell>
          <cell r="K687">
            <v>205.4</v>
          </cell>
          <cell r="L687">
            <v>57.6</v>
          </cell>
          <cell r="M687">
            <v>17988.86</v>
          </cell>
          <cell r="O687">
            <v>7.0521861777150807E-2</v>
          </cell>
          <cell r="P687">
            <v>-3.9285714285714257E-2</v>
          </cell>
          <cell r="Q687">
            <v>1.6334864726901488E-2</v>
          </cell>
          <cell r="R687">
            <v>-8.6666666666667114E-3</v>
          </cell>
          <cell r="S687">
            <v>2.9036004645760727E-2</v>
          </cell>
          <cell r="T687">
            <v>0.16908212560386482</v>
          </cell>
          <cell r="U687">
            <v>0.10764430577223072</v>
          </cell>
          <cell r="V687">
            <v>-1.3815789473684226E-2</v>
          </cell>
          <cell r="W687">
            <v>4.4903777619386798E-2</v>
          </cell>
          <cell r="X687">
            <v>3.9473684210526327E-2</v>
          </cell>
          <cell r="Y687">
            <v>4.5372050816696818E-2</v>
          </cell>
          <cell r="Z687">
            <v>4.3579606268835835E-2</v>
          </cell>
          <cell r="AB687">
            <v>0.99128158379150522</v>
          </cell>
          <cell r="AC687">
            <v>1.2345423566451044</v>
          </cell>
          <cell r="AD687">
            <v>0.42602807625093897</v>
          </cell>
          <cell r="AE687">
            <v>0.67402126153184161</v>
          </cell>
          <cell r="AF687">
            <v>0.95738791393571143</v>
          </cell>
          <cell r="AG687">
            <v>1.4241114312404339</v>
          </cell>
          <cell r="AH687">
            <v>0.81445988768531308</v>
          </cell>
          <cell r="AI687">
            <v>0.8446559717685076</v>
          </cell>
          <cell r="AJ687">
            <v>0.49682533542760193</v>
          </cell>
          <cell r="AK687">
            <v>0.87354609602972977</v>
          </cell>
          <cell r="AL687">
            <v>1.8562523965113678</v>
          </cell>
        </row>
        <row r="688">
          <cell r="A688" t="str">
            <v>16/10/2006</v>
          </cell>
          <cell r="B688">
            <v>37.9</v>
          </cell>
          <cell r="C688">
            <v>68.599999999999994</v>
          </cell>
          <cell r="D688">
            <v>99.35</v>
          </cell>
          <cell r="E688">
            <v>73.900000000000006</v>
          </cell>
          <cell r="F688">
            <v>17.7</v>
          </cell>
          <cell r="G688">
            <v>4.91</v>
          </cell>
          <cell r="H688">
            <v>14.56</v>
          </cell>
          <cell r="I688">
            <v>75.099999999999994</v>
          </cell>
          <cell r="J688">
            <v>146.5</v>
          </cell>
          <cell r="K688">
            <v>208</v>
          </cell>
          <cell r="L688">
            <v>58.1</v>
          </cell>
          <cell r="M688">
            <v>18010.2</v>
          </cell>
          <cell r="O688">
            <v>5.7182705718270554E-2</v>
          </cell>
          <cell r="P688">
            <v>-1.2949640287769904E-2</v>
          </cell>
          <cell r="Q688">
            <v>8.6294416243655192E-3</v>
          </cell>
          <cell r="R688">
            <v>-4.0259740259740218E-2</v>
          </cell>
          <cell r="S688">
            <v>2.0761245674740358E-2</v>
          </cell>
          <cell r="T688">
            <v>0.18599033816425137</v>
          </cell>
          <cell r="U688">
            <v>0.12868217054263575</v>
          </cell>
          <cell r="V688">
            <v>-1.3297872340426453E-3</v>
          </cell>
          <cell r="W688">
            <v>4.2704626334519658E-2</v>
          </cell>
          <cell r="X688">
            <v>5.5837563451776706E-2</v>
          </cell>
          <cell r="Y688">
            <v>4.496402877697836E-2</v>
          </cell>
          <cell r="Z688">
            <v>3.5830360362588465E-2</v>
          </cell>
          <cell r="AB688">
            <v>0.99225378426269384</v>
          </cell>
          <cell r="AC688">
            <v>1.2249258929452655</v>
          </cell>
          <cell r="AD688">
            <v>0.42498238255581217</v>
          </cell>
          <cell r="AE688">
            <v>0.66239541871993457</v>
          </cell>
          <cell r="AF688">
            <v>0.95663214864778745</v>
          </cell>
          <cell r="AG688">
            <v>1.4327738684949236</v>
          </cell>
          <cell r="AH688">
            <v>0.81946481323030074</v>
          </cell>
          <cell r="AI688">
            <v>0.82798068884701814</v>
          </cell>
          <cell r="AJ688">
            <v>0.49540543420783745</v>
          </cell>
          <cell r="AK688">
            <v>0.87224715898660021</v>
          </cell>
          <cell r="AL688">
            <v>1.8634156183607773</v>
          </cell>
        </row>
        <row r="689">
          <cell r="A689" t="str">
            <v>17/10/2006</v>
          </cell>
          <cell r="B689">
            <v>37.85</v>
          </cell>
          <cell r="C689">
            <v>67.2</v>
          </cell>
          <cell r="D689">
            <v>99.2</v>
          </cell>
          <cell r="E689">
            <v>72</v>
          </cell>
          <cell r="F689">
            <v>17.52</v>
          </cell>
          <cell r="G689">
            <v>4.87</v>
          </cell>
          <cell r="H689">
            <v>14.42</v>
          </cell>
          <cell r="I689">
            <v>74.5</v>
          </cell>
          <cell r="J689">
            <v>146.80000000000001</v>
          </cell>
          <cell r="K689">
            <v>206.2</v>
          </cell>
          <cell r="L689">
            <v>58.4</v>
          </cell>
          <cell r="M689">
            <v>18014.84</v>
          </cell>
          <cell r="O689">
            <v>3.9835164835164916E-2</v>
          </cell>
          <cell r="P689">
            <v>-6.6666666666666652E-2</v>
          </cell>
          <cell r="Q689">
            <v>7.1065989847716171E-3</v>
          </cell>
          <cell r="R689">
            <v>-8.9759797724399459E-2</v>
          </cell>
          <cell r="S689">
            <v>3.4364261168384758E-3</v>
          </cell>
          <cell r="T689">
            <v>0.16786570743405282</v>
          </cell>
          <cell r="U689">
            <v>0.1300940438871474</v>
          </cell>
          <cell r="V689">
            <v>-1.3245033112582738E-2</v>
          </cell>
          <cell r="W689">
            <v>4.857142857142871E-2</v>
          </cell>
          <cell r="X689">
            <v>4.9898167006109828E-2</v>
          </cell>
          <cell r="Y689">
            <v>3.9145907473309594E-2</v>
          </cell>
          <cell r="Z689">
            <v>3.8516836055272785E-2</v>
          </cell>
          <cell r="AB689">
            <v>0.99041494800729513</v>
          </cell>
          <cell r="AC689">
            <v>1.2117543627621108</v>
          </cell>
          <cell r="AD689">
            <v>0.42388072793133524</v>
          </cell>
          <cell r="AE689">
            <v>0.64634249345709072</v>
          </cell>
          <cell r="AF689">
            <v>0.95394449721708952</v>
          </cell>
          <cell r="AG689">
            <v>1.439900783923578</v>
          </cell>
          <cell r="AH689">
            <v>0.82588223253669046</v>
          </cell>
          <cell r="AI689">
            <v>0.8116825581938073</v>
          </cell>
          <cell r="AJ689">
            <v>0.49447886592061524</v>
          </cell>
          <cell r="AK689">
            <v>0.86952093985221945</v>
          </cell>
          <cell r="AL689">
            <v>1.8678142779243347</v>
          </cell>
        </row>
        <row r="690">
          <cell r="A690" t="str">
            <v>18/10/2006</v>
          </cell>
          <cell r="B690">
            <v>38.049999999999997</v>
          </cell>
          <cell r="C690">
            <v>68.8</v>
          </cell>
          <cell r="D690">
            <v>99.15</v>
          </cell>
          <cell r="E690">
            <v>71.75</v>
          </cell>
          <cell r="F690">
            <v>17.88</v>
          </cell>
          <cell r="G690">
            <v>5.19</v>
          </cell>
          <cell r="H690">
            <v>14.58</v>
          </cell>
          <cell r="I690">
            <v>75.5</v>
          </cell>
          <cell r="J690">
            <v>146.80000000000001</v>
          </cell>
          <cell r="K690">
            <v>209</v>
          </cell>
          <cell r="L690">
            <v>58.85</v>
          </cell>
          <cell r="M690">
            <v>18048.09</v>
          </cell>
          <cell r="O690">
            <v>4.1039671682626455E-2</v>
          </cell>
          <cell r="P690">
            <v>-2.4113475177304999E-2</v>
          </cell>
          <cell r="Q690">
            <v>5.5780933062881122E-3</v>
          </cell>
          <cell r="R690">
            <v>-7.479045776918114E-2</v>
          </cell>
          <cell r="S690">
            <v>1.3605442176870763E-2</v>
          </cell>
          <cell r="T690">
            <v>0.23866348448687358</v>
          </cell>
          <cell r="U690">
            <v>0.13906249999999987</v>
          </cell>
          <cell r="V690">
            <v>1.9907100199072492E-3</v>
          </cell>
          <cell r="W690">
            <v>4.2613636363636465E-2</v>
          </cell>
          <cell r="X690">
            <v>6.307222787385558E-2</v>
          </cell>
          <cell r="Y690">
            <v>3.1551270815074473E-2</v>
          </cell>
          <cell r="Z690">
            <v>3.0556228073381098E-2</v>
          </cell>
          <cell r="AB690">
            <v>0.99165914364746111</v>
          </cell>
          <cell r="AC690">
            <v>1.2041912503572996</v>
          </cell>
          <cell r="AD690">
            <v>0.4232378410208068</v>
          </cell>
          <cell r="AE690">
            <v>0.63451730541548768</v>
          </cell>
          <cell r="AF690">
            <v>0.95269741343664149</v>
          </cell>
          <cell r="AG690">
            <v>1.4506500507219848</v>
          </cell>
          <cell r="AH690">
            <v>0.82732820989268618</v>
          </cell>
          <cell r="AI690">
            <v>0.79724346152758407</v>
          </cell>
          <cell r="AJ690">
            <v>0.49238318974603185</v>
          </cell>
          <cell r="AK690">
            <v>0.86610122360138697</v>
          </cell>
          <cell r="AL690">
            <v>1.8813922344293446</v>
          </cell>
        </row>
        <row r="691">
          <cell r="A691" t="str">
            <v>19/10/2006</v>
          </cell>
          <cell r="B691">
            <v>37.950000000000003</v>
          </cell>
          <cell r="C691">
            <v>69.150000000000006</v>
          </cell>
          <cell r="D691">
            <v>98.8</v>
          </cell>
          <cell r="E691">
            <v>73</v>
          </cell>
          <cell r="F691">
            <v>17.899999999999999</v>
          </cell>
          <cell r="G691">
            <v>5.23</v>
          </cell>
          <cell r="H691">
            <v>14.56</v>
          </cell>
          <cell r="I691">
            <v>75.5</v>
          </cell>
          <cell r="J691">
            <v>146.4</v>
          </cell>
          <cell r="K691">
            <v>207</v>
          </cell>
          <cell r="L691">
            <v>59.35</v>
          </cell>
          <cell r="M691">
            <v>17986.97</v>
          </cell>
          <cell r="O691">
            <v>3.2653061224489965E-2</v>
          </cell>
          <cell r="P691">
            <v>-1.4957264957264904E-2</v>
          </cell>
          <cell r="Q691">
            <v>3.5551041137633632E-3</v>
          </cell>
          <cell r="R691">
            <v>-5.8671824629271452E-2</v>
          </cell>
          <cell r="S691">
            <v>1.7045454545454364E-2</v>
          </cell>
          <cell r="T691">
            <v>0.23058823529411776</v>
          </cell>
          <cell r="U691">
            <v>0.13572542901716078</v>
          </cell>
          <cell r="V691">
            <v>0</v>
          </cell>
          <cell r="W691">
            <v>3.9772727272727293E-2</v>
          </cell>
          <cell r="X691">
            <v>3.9156626506024139E-2</v>
          </cell>
          <cell r="Y691">
            <v>6.785411365564098E-3</v>
          </cell>
          <cell r="Z691">
            <v>2.0828639322314491E-2</v>
          </cell>
          <cell r="AB691">
            <v>0.99628300944721349</v>
          </cell>
          <cell r="AC691">
            <v>1.2003527907670497</v>
          </cell>
          <cell r="AD691">
            <v>0.42177822695138328</v>
          </cell>
          <cell r="AE691">
            <v>0.6230167810411199</v>
          </cell>
          <cell r="AF691">
            <v>0.95255750766140312</v>
          </cell>
          <cell r="AG691">
            <v>1.4594114109374299</v>
          </cell>
          <cell r="AH691">
            <v>0.82731510776202022</v>
          </cell>
          <cell r="AI691">
            <v>0.78908554026209643</v>
          </cell>
          <cell r="AJ691">
            <v>0.48801958188870914</v>
          </cell>
          <cell r="AK691">
            <v>0.85927469384894983</v>
          </cell>
          <cell r="AL691">
            <v>1.9005847438148438</v>
          </cell>
        </row>
        <row r="692">
          <cell r="A692" t="str">
            <v>20/10/2006</v>
          </cell>
          <cell r="B692">
            <v>38.6</v>
          </cell>
          <cell r="C692">
            <v>69.25</v>
          </cell>
          <cell r="D692">
            <v>99</v>
          </cell>
          <cell r="E692">
            <v>73.5</v>
          </cell>
          <cell r="F692">
            <v>18</v>
          </cell>
          <cell r="G692">
            <v>5.44</v>
          </cell>
          <cell r="H692">
            <v>14.32</v>
          </cell>
          <cell r="I692">
            <v>75.150000000000006</v>
          </cell>
          <cell r="J692">
            <v>147.19999999999999</v>
          </cell>
          <cell r="K692">
            <v>207.6</v>
          </cell>
          <cell r="L692">
            <v>60.45</v>
          </cell>
          <cell r="M692">
            <v>18113.55</v>
          </cell>
          <cell r="O692">
            <v>6.777316735822958E-2</v>
          </cell>
          <cell r="P692">
            <v>-1.0714285714285676E-2</v>
          </cell>
          <cell r="Q692">
            <v>6.6090493136756745E-3</v>
          </cell>
          <cell r="R692">
            <v>-6.3097514340344163E-2</v>
          </cell>
          <cell r="S692">
            <v>4.0462427745664664E-2</v>
          </cell>
          <cell r="T692">
            <v>0.2592592592592593</v>
          </cell>
          <cell r="U692">
            <v>0.11353032659409035</v>
          </cell>
          <cell r="V692">
            <v>4.6791443850269232E-3</v>
          </cell>
          <cell r="W692">
            <v>3.9548022598870025E-2</v>
          </cell>
          <cell r="X692">
            <v>1.9305019305020377E-3</v>
          </cell>
          <cell r="Y692">
            <v>4.4943820224719211E-2</v>
          </cell>
          <cell r="Z692">
            <v>2.9140969225568192E-2</v>
          </cell>
          <cell r="AB692">
            <v>0.99969221483908233</v>
          </cell>
          <cell r="AC692">
            <v>1.1986105844910397</v>
          </cell>
          <cell r="AD692">
            <v>0.42167627746870368</v>
          </cell>
          <cell r="AE692">
            <v>0.60743015587620475</v>
          </cell>
          <cell r="AF692">
            <v>0.9526737327311281</v>
          </cell>
          <cell r="AG692">
            <v>1.4778734210038571</v>
          </cell>
          <cell r="AH692">
            <v>0.82960707391794697</v>
          </cell>
          <cell r="AI692">
            <v>0.78106724005746209</v>
          </cell>
          <cell r="AJ692">
            <v>0.48524023198340649</v>
          </cell>
          <cell r="AK692">
            <v>0.85304154140919719</v>
          </cell>
          <cell r="AL692">
            <v>1.9131834243751646</v>
          </cell>
        </row>
        <row r="693">
          <cell r="A693" t="str">
            <v>23/10/2006</v>
          </cell>
          <cell r="B693">
            <v>37.75</v>
          </cell>
          <cell r="C693">
            <v>68.2</v>
          </cell>
          <cell r="D693">
            <v>99.15</v>
          </cell>
          <cell r="E693">
            <v>72.8</v>
          </cell>
          <cell r="F693">
            <v>18</v>
          </cell>
          <cell r="G693">
            <v>5.37</v>
          </cell>
          <cell r="H693">
            <v>14.12</v>
          </cell>
          <cell r="I693">
            <v>75</v>
          </cell>
          <cell r="J693">
            <v>147.19999999999999</v>
          </cell>
          <cell r="K693">
            <v>213</v>
          </cell>
          <cell r="L693">
            <v>62.2</v>
          </cell>
          <cell r="M693">
            <v>18089.849999999999</v>
          </cell>
          <cell r="O693">
            <v>5.0069541029207132E-2</v>
          </cell>
          <cell r="P693">
            <v>-7.3369565217391242E-2</v>
          </cell>
          <cell r="Q693">
            <v>8.1342145399085908E-3</v>
          </cell>
          <cell r="R693">
            <v>-5.4545454545454564E-2</v>
          </cell>
          <cell r="S693">
            <v>6.1320754716981174E-2</v>
          </cell>
          <cell r="T693">
            <v>0.24305555555555558</v>
          </cell>
          <cell r="U693">
            <v>0.10485133020344284</v>
          </cell>
          <cell r="V693">
            <v>-1.7681728880157066E-2</v>
          </cell>
          <cell r="W693">
            <v>4.1018387553040991E-2</v>
          </cell>
          <cell r="X693">
            <v>2.9980657640231945E-2</v>
          </cell>
          <cell r="Y693">
            <v>8.0799304952215545E-2</v>
          </cell>
          <cell r="Z693">
            <v>3.0993318150420057E-2</v>
          </cell>
          <cell r="AB693">
            <v>1.0029691219031627</v>
          </cell>
          <cell r="AC693">
            <v>1.1940779385148304</v>
          </cell>
          <cell r="AD693">
            <v>0.42092822996498086</v>
          </cell>
          <cell r="AE693">
            <v>0.5937758402072959</v>
          </cell>
          <cell r="AF693">
            <v>0.95257892072257611</v>
          </cell>
          <cell r="AG693">
            <v>1.4920831592489039</v>
          </cell>
          <cell r="AH693">
            <v>0.83074603016665061</v>
          </cell>
          <cell r="AI693">
            <v>0.77063220664473486</v>
          </cell>
          <cell r="AJ693">
            <v>0.48322724500184122</v>
          </cell>
          <cell r="AK693">
            <v>0.84708631007077506</v>
          </cell>
          <cell r="AL693">
            <v>1.9247119811689866</v>
          </cell>
        </row>
        <row r="694">
          <cell r="A694" t="str">
            <v>24/10/2006</v>
          </cell>
          <cell r="B694">
            <v>38</v>
          </cell>
          <cell r="C694">
            <v>67</v>
          </cell>
          <cell r="D694">
            <v>99.15</v>
          </cell>
          <cell r="E694">
            <v>73.8</v>
          </cell>
          <cell r="F694">
            <v>18.02</v>
          </cell>
          <cell r="G694">
            <v>5.18</v>
          </cell>
          <cell r="H694">
            <v>13.74</v>
          </cell>
          <cell r="I694">
            <v>75</v>
          </cell>
          <cell r="J694">
            <v>146.9</v>
          </cell>
          <cell r="K694">
            <v>214</v>
          </cell>
          <cell r="L694">
            <v>62.55</v>
          </cell>
          <cell r="M694">
            <v>18153.41</v>
          </cell>
          <cell r="O694">
            <v>7.0422535211267512E-2</v>
          </cell>
          <cell r="P694">
            <v>-4.6941678520625807E-2</v>
          </cell>
          <cell r="Q694">
            <v>9.1603053435114212E-3</v>
          </cell>
          <cell r="R694">
            <v>-4.1558441558441572E-2</v>
          </cell>
          <cell r="S694">
            <v>8.554216867469866E-2</v>
          </cell>
          <cell r="T694">
            <v>0.22458628841607542</v>
          </cell>
          <cell r="U694">
            <v>8.7025316455696222E-2</v>
          </cell>
          <cell r="V694">
            <v>-1.5748031496063075E-2</v>
          </cell>
          <cell r="W694">
            <v>4.4807965860597543E-2</v>
          </cell>
          <cell r="X694">
            <v>4.9019607843137303E-2</v>
          </cell>
          <cell r="Y694">
            <v>0.11199999999999988</v>
          </cell>
          <cell r="Z694">
            <v>4.8840194868523756E-2</v>
          </cell>
          <cell r="AB694">
            <v>1.0077150757494</v>
          </cell>
          <cell r="AC694">
            <v>1.1893407409677907</v>
          </cell>
          <cell r="AD694">
            <v>0.42012581631508028</v>
          </cell>
          <cell r="AE694">
            <v>0.57554489287550203</v>
          </cell>
          <cell r="AF694">
            <v>0.95591875718006392</v>
          </cell>
          <cell r="AG694">
            <v>1.5132851376184715</v>
          </cell>
          <cell r="AH694">
            <v>0.83270416830535232</v>
          </cell>
          <cell r="AI694">
            <v>0.75700793959496904</v>
          </cell>
          <cell r="AJ694">
            <v>0.48123089632828642</v>
          </cell>
          <cell r="AK694">
            <v>0.83922169235628252</v>
          </cell>
          <cell r="AL694">
            <v>1.9370727010388451</v>
          </cell>
        </row>
        <row r="695">
          <cell r="A695" t="str">
            <v>25/10/2006</v>
          </cell>
          <cell r="B695">
            <v>37.85</v>
          </cell>
          <cell r="C695">
            <v>67</v>
          </cell>
          <cell r="D695">
            <v>99.1</v>
          </cell>
          <cell r="E695">
            <v>75</v>
          </cell>
          <cell r="F695">
            <v>18.02</v>
          </cell>
          <cell r="G695">
            <v>5.24</v>
          </cell>
          <cell r="H695">
            <v>13.46</v>
          </cell>
          <cell r="I695">
            <v>75</v>
          </cell>
          <cell r="J695">
            <v>147.1</v>
          </cell>
          <cell r="K695">
            <v>218</v>
          </cell>
          <cell r="L695">
            <v>62.65</v>
          </cell>
          <cell r="M695">
            <v>18157.939999999999</v>
          </cell>
          <cell r="O695">
            <v>5.5788005578800481E-2</v>
          </cell>
          <cell r="P695">
            <v>-5.7665260196905654E-2</v>
          </cell>
          <cell r="Q695">
            <v>6.6023362112745954E-3</v>
          </cell>
          <cell r="R695">
            <v>-4.0920716112532007E-2</v>
          </cell>
          <cell r="S695">
            <v>3.0892448512585657E-2</v>
          </cell>
          <cell r="T695">
            <v>0.21296296296296302</v>
          </cell>
          <cell r="U695">
            <v>5.9842519685039397E-2</v>
          </cell>
          <cell r="V695">
            <v>-1.3806706114398382E-2</v>
          </cell>
          <cell r="W695">
            <v>3.7376586741889817E-2</v>
          </cell>
          <cell r="X695">
            <v>5.9280855199222549E-2</v>
          </cell>
          <cell r="Y695">
            <v>9.6237970253718386E-2</v>
          </cell>
          <cell r="Z695">
            <v>3.6322782682542742E-2</v>
          </cell>
          <cell r="AB695">
            <v>1.0126171364604897</v>
          </cell>
          <cell r="AC695">
            <v>1.186767215479287</v>
          </cell>
          <cell r="AD695">
            <v>0.41981212234929649</v>
          </cell>
          <cell r="AE695">
            <v>0.56194839206348257</v>
          </cell>
          <cell r="AF695">
            <v>0.95383389712551492</v>
          </cell>
          <cell r="AG695">
            <v>1.5275635502053861</v>
          </cell>
          <cell r="AH695">
            <v>0.83240446957514125</v>
          </cell>
          <cell r="AI695">
            <v>0.74597938862787283</v>
          </cell>
          <cell r="AJ695">
            <v>0.47859556048534446</v>
          </cell>
          <cell r="AK695">
            <v>0.83538013270570233</v>
          </cell>
          <cell r="AL695">
            <v>1.9392597462165651</v>
          </cell>
        </row>
        <row r="696">
          <cell r="A696" t="str">
            <v>26/10/2006</v>
          </cell>
          <cell r="B696">
            <v>37.450000000000003</v>
          </cell>
          <cell r="C696">
            <v>67.8</v>
          </cell>
          <cell r="D696">
            <v>99.1</v>
          </cell>
          <cell r="E696">
            <v>74.45</v>
          </cell>
          <cell r="F696">
            <v>17.940000000000001</v>
          </cell>
          <cell r="G696">
            <v>5.13</v>
          </cell>
          <cell r="H696">
            <v>13.76</v>
          </cell>
          <cell r="I696">
            <v>74.099999999999994</v>
          </cell>
          <cell r="J696">
            <v>147.1</v>
          </cell>
          <cell r="K696">
            <v>218.6</v>
          </cell>
          <cell r="L696">
            <v>64.75</v>
          </cell>
          <cell r="M696">
            <v>18353.740000000002</v>
          </cell>
          <cell r="O696">
            <v>4.7552447552447585E-2</v>
          </cell>
          <cell r="P696">
            <v>-3.6247334754797356E-2</v>
          </cell>
          <cell r="Q696">
            <v>6.6023362112745954E-3</v>
          </cell>
          <cell r="R696">
            <v>-3.31168831168831E-2</v>
          </cell>
          <cell r="S696">
            <v>3.3410138248848087E-2</v>
          </cell>
          <cell r="T696">
            <v>0.17123287671232879</v>
          </cell>
          <cell r="U696">
            <v>6.5015479876161075E-2</v>
          </cell>
          <cell r="V696">
            <v>-2.1782178217821913E-2</v>
          </cell>
          <cell r="W696">
            <v>3.6645525017617864E-2</v>
          </cell>
          <cell r="X696">
            <v>7.8973346495557761E-2</v>
          </cell>
          <cell r="Y696">
            <v>0.13496932515337434</v>
          </cell>
          <cell r="Z696">
            <v>4.6956259836388847E-2</v>
          </cell>
          <cell r="AB696">
            <v>1.0133536038038209</v>
          </cell>
          <cell r="AC696">
            <v>1.1790640492889017</v>
          </cell>
          <cell r="AD696">
            <v>0.41906028024519942</v>
          </cell>
          <cell r="AE696">
            <v>0.54739037629206122</v>
          </cell>
          <cell r="AF696">
            <v>0.9508279329939715</v>
          </cell>
          <cell r="AG696">
            <v>1.5390102143144191</v>
          </cell>
          <cell r="AH696">
            <v>0.83209021494449642</v>
          </cell>
          <cell r="AI696">
            <v>0.73487458493793023</v>
          </cell>
          <cell r="AJ696">
            <v>0.47670110042647212</v>
          </cell>
          <cell r="AK696">
            <v>0.83454200751281504</v>
          </cell>
          <cell r="AL696">
            <v>1.9384696931508014</v>
          </cell>
        </row>
        <row r="697">
          <cell r="A697" t="str">
            <v>27/10/2006</v>
          </cell>
          <cell r="B697">
            <v>37.5</v>
          </cell>
          <cell r="C697">
            <v>67.8</v>
          </cell>
          <cell r="D697">
            <v>99.05</v>
          </cell>
          <cell r="E697">
            <v>74.400000000000006</v>
          </cell>
          <cell r="F697">
            <v>17.64</v>
          </cell>
          <cell r="G697">
            <v>5.16</v>
          </cell>
          <cell r="H697">
            <v>13.28</v>
          </cell>
          <cell r="I697">
            <v>74</v>
          </cell>
          <cell r="J697">
            <v>146.80000000000001</v>
          </cell>
          <cell r="K697">
            <v>219.8</v>
          </cell>
          <cell r="L697">
            <v>62.45</v>
          </cell>
          <cell r="M697">
            <v>18297.55</v>
          </cell>
          <cell r="O697">
            <v>5.4852320675105481E-2</v>
          </cell>
          <cell r="P697">
            <v>-3.3499643620812702E-2</v>
          </cell>
          <cell r="Q697">
            <v>6.0944641950226863E-3</v>
          </cell>
          <cell r="R697">
            <v>-2.233902759526929E-2</v>
          </cell>
          <cell r="S697">
            <v>8.0000000000000071E-3</v>
          </cell>
          <cell r="T697">
            <v>0.15178571428571419</v>
          </cell>
          <cell r="U697">
            <v>-2.2091310751104598E-2</v>
          </cell>
          <cell r="V697">
            <v>-3.5830618892508159E-2</v>
          </cell>
          <cell r="W697">
            <v>3.3075299085151499E-2</v>
          </cell>
          <cell r="X697">
            <v>8.4896347482724677E-2</v>
          </cell>
          <cell r="Y697">
            <v>9.8504837291117031E-2</v>
          </cell>
          <cell r="Z697">
            <v>4.3008484841575489E-2</v>
          </cell>
          <cell r="AB697">
            <v>1.0212225902338232</v>
          </cell>
          <cell r="AC697">
            <v>1.1750092237939234</v>
          </cell>
          <cell r="AD697">
            <v>0.41858110796867953</v>
          </cell>
          <cell r="AE697">
            <v>0.5254139830645127</v>
          </cell>
          <cell r="AF697">
            <v>0.94431758999772863</v>
          </cell>
          <cell r="AG697">
            <v>1.5527442920702299</v>
          </cell>
          <cell r="AH697">
            <v>0.82694084323696115</v>
          </cell>
          <cell r="AI697">
            <v>0.72312225007424269</v>
          </cell>
          <cell r="AJ697">
            <v>0.4745404834039853</v>
          </cell>
          <cell r="AK697">
            <v>0.83210565857136387</v>
          </cell>
          <cell r="AL697">
            <v>1.9436237409284285</v>
          </cell>
        </row>
        <row r="698">
          <cell r="A698" t="str">
            <v>30/10/2006</v>
          </cell>
          <cell r="B698">
            <v>37.5</v>
          </cell>
          <cell r="C698">
            <v>67.8</v>
          </cell>
          <cell r="D698">
            <v>99.05</v>
          </cell>
          <cell r="E698">
            <v>74.400000000000006</v>
          </cell>
          <cell r="F698">
            <v>17.64</v>
          </cell>
          <cell r="G698">
            <v>5.16</v>
          </cell>
          <cell r="H698">
            <v>13.28</v>
          </cell>
          <cell r="I698">
            <v>74</v>
          </cell>
          <cell r="J698">
            <v>146.80000000000001</v>
          </cell>
          <cell r="K698">
            <v>219.8</v>
          </cell>
          <cell r="L698">
            <v>62.45</v>
          </cell>
          <cell r="M698">
            <v>18297.55</v>
          </cell>
          <cell r="O698">
            <v>5.4852320675105481E-2</v>
          </cell>
          <cell r="P698">
            <v>-3.3499643620812702E-2</v>
          </cell>
          <cell r="Q698">
            <v>6.0944641950226863E-3</v>
          </cell>
          <cell r="R698">
            <v>-2.233902759526929E-2</v>
          </cell>
          <cell r="S698">
            <v>8.0000000000000071E-3</v>
          </cell>
          <cell r="T698">
            <v>0.15178571428571419</v>
          </cell>
          <cell r="U698">
            <v>-2.2091310751104598E-2</v>
          </cell>
          <cell r="V698">
            <v>-3.5830618892508159E-2</v>
          </cell>
          <cell r="W698">
            <v>3.3075299085151499E-2</v>
          </cell>
          <cell r="X698">
            <v>8.4896347482724677E-2</v>
          </cell>
          <cell r="Y698">
            <v>9.8504837291117031E-2</v>
          </cell>
          <cell r="Z698">
            <v>4.3008484841575489E-2</v>
          </cell>
          <cell r="AB698">
            <v>1.032765313435045</v>
          </cell>
          <cell r="AC698">
            <v>1.1669347386684257</v>
          </cell>
          <cell r="AD698">
            <v>0.41852934744561043</v>
          </cell>
          <cell r="AE698">
            <v>0.50494890708065709</v>
          </cell>
          <cell r="AF698">
            <v>0.93797077829372</v>
          </cell>
          <cell r="AG698">
            <v>1.5562873087953284</v>
          </cell>
          <cell r="AH698">
            <v>0.82455411760647601</v>
          </cell>
          <cell r="AI698">
            <v>0.71241329140330822</v>
          </cell>
          <cell r="AJ698">
            <v>0.47097862951659653</v>
          </cell>
          <cell r="AK698">
            <v>0.83683818739837479</v>
          </cell>
          <cell r="AL698">
            <v>1.9619347851932254</v>
          </cell>
        </row>
        <row r="699">
          <cell r="A699" t="str">
            <v>31/10/2006</v>
          </cell>
          <cell r="B699">
            <v>37.15</v>
          </cell>
          <cell r="C699">
            <v>68.05</v>
          </cell>
          <cell r="D699">
            <v>99.1</v>
          </cell>
          <cell r="E699">
            <v>75.599999999999994</v>
          </cell>
          <cell r="F699">
            <v>17.399999999999999</v>
          </cell>
          <cell r="G699">
            <v>5.22</v>
          </cell>
          <cell r="H699">
            <v>13.48</v>
          </cell>
          <cell r="I699">
            <v>74</v>
          </cell>
          <cell r="J699">
            <v>146.80000000000001</v>
          </cell>
          <cell r="K699">
            <v>219.2</v>
          </cell>
          <cell r="L699">
            <v>61.6</v>
          </cell>
          <cell r="M699">
            <v>18324.349999999999</v>
          </cell>
          <cell r="O699">
            <v>2.6243093922651894E-2</v>
          </cell>
          <cell r="P699">
            <v>-6.5693430656934559E-3</v>
          </cell>
          <cell r="Q699">
            <v>5.0709939148072536E-3</v>
          </cell>
          <cell r="R699">
            <v>0</v>
          </cell>
          <cell r="S699">
            <v>-1.2485811577752637E-2</v>
          </cell>
          <cell r="T699">
            <v>0.10828025477707004</v>
          </cell>
          <cell r="U699">
            <v>4.4709388971684305E-3</v>
          </cell>
          <cell r="V699">
            <v>-3.5830618892508159E-2</v>
          </cell>
          <cell r="W699">
            <v>3.5260930888575404E-2</v>
          </cell>
          <cell r="X699">
            <v>9.5999999999999863E-2</v>
          </cell>
          <cell r="Y699">
            <v>8.8339222614840951E-2</v>
          </cell>
          <cell r="Z699">
            <v>4.0770100638797047E-2</v>
          </cell>
          <cell r="AB699">
            <v>1.0393780558483148</v>
          </cell>
          <cell r="AC699">
            <v>1.1554431464944726</v>
          </cell>
          <cell r="AD699">
            <v>0.41702507984342896</v>
          </cell>
          <cell r="AE699">
            <v>0.48955867667784064</v>
          </cell>
          <cell r="AF699">
            <v>0.9325749678379095</v>
          </cell>
          <cell r="AG699">
            <v>1.5636217981152913</v>
          </cell>
          <cell r="AH699">
            <v>0.82298062455563703</v>
          </cell>
          <cell r="AI699">
            <v>0.69825740608698494</v>
          </cell>
          <cell r="AJ699">
            <v>0.46822415994139088</v>
          </cell>
          <cell r="AK699">
            <v>0.84061450317401587</v>
          </cell>
          <cell r="AL699">
            <v>1.9709273283791366</v>
          </cell>
        </row>
        <row r="700">
          <cell r="A700" t="str">
            <v>01/11/2006</v>
          </cell>
          <cell r="B700">
            <v>36.799999999999997</v>
          </cell>
          <cell r="C700">
            <v>68</v>
          </cell>
          <cell r="D700">
            <v>99.35</v>
          </cell>
          <cell r="E700">
            <v>75.7</v>
          </cell>
          <cell r="F700">
            <v>17.52</v>
          </cell>
          <cell r="G700">
            <v>5.37</v>
          </cell>
          <cell r="H700">
            <v>13.48</v>
          </cell>
          <cell r="I700">
            <v>74.75</v>
          </cell>
          <cell r="J700">
            <v>148.69999999999999</v>
          </cell>
          <cell r="K700">
            <v>222.2</v>
          </cell>
          <cell r="L700">
            <v>62.1</v>
          </cell>
          <cell r="M700">
            <v>18453.650000000001</v>
          </cell>
          <cell r="O700">
            <v>4.092769440654731E-3</v>
          </cell>
          <cell r="P700">
            <v>-7.2992700729926918E-3</v>
          </cell>
          <cell r="Q700">
            <v>9.1416962925341405E-3</v>
          </cell>
          <cell r="R700">
            <v>2.0903573836817291E-2</v>
          </cell>
          <cell r="S700">
            <v>-1.6835016835016869E-2</v>
          </cell>
          <cell r="T700">
            <v>0.14743589743589758</v>
          </cell>
          <cell r="U700">
            <v>-8.8235294117646745E-3</v>
          </cell>
          <cell r="V700">
            <v>-1.8384766907419636E-2</v>
          </cell>
          <cell r="W700">
            <v>4.8660084626233946E-2</v>
          </cell>
          <cell r="X700">
            <v>0.1087824351297404</v>
          </cell>
          <cell r="Y700">
            <v>9.7173144876325113E-2</v>
          </cell>
          <cell r="Z700">
            <v>4.6765566919901858E-2</v>
          </cell>
          <cell r="AB700">
            <v>1.0381519526788188</v>
          </cell>
          <cell r="AC700">
            <v>1.142922214137772</v>
          </cell>
          <cell r="AD700">
            <v>0.41739776108894555</v>
          </cell>
          <cell r="AE700">
            <v>0.47772961921525936</v>
          </cell>
          <cell r="AF700">
            <v>0.92273874246723508</v>
          </cell>
          <cell r="AG700">
            <v>1.5670644111078198</v>
          </cell>
          <cell r="AH700">
            <v>0.82795817181616216</v>
          </cell>
          <cell r="AI700">
            <v>0.68453589947994131</v>
          </cell>
          <cell r="AJ700">
            <v>0.46754088557870066</v>
          </cell>
          <cell r="AK700">
            <v>0.84673201878085924</v>
          </cell>
          <cell r="AL700">
            <v>1.9735403164511707</v>
          </cell>
        </row>
        <row r="701">
          <cell r="A701" t="str">
            <v>02/11/2006</v>
          </cell>
          <cell r="B701">
            <v>37</v>
          </cell>
          <cell r="C701">
            <v>67.55</v>
          </cell>
          <cell r="D701">
            <v>99.6</v>
          </cell>
          <cell r="E701">
            <v>75.5</v>
          </cell>
          <cell r="F701">
            <v>17.68</v>
          </cell>
          <cell r="G701">
            <v>5.36</v>
          </cell>
          <cell r="H701">
            <v>13.28</v>
          </cell>
          <cell r="I701">
            <v>74</v>
          </cell>
          <cell r="J701">
            <v>150.19999999999999</v>
          </cell>
          <cell r="K701">
            <v>221</v>
          </cell>
          <cell r="L701">
            <v>62.5</v>
          </cell>
          <cell r="M701">
            <v>18714.78</v>
          </cell>
          <cell r="O701">
            <v>-1.9867549668874163E-2</v>
          </cell>
          <cell r="P701">
            <v>-2.172338884866043E-2</v>
          </cell>
          <cell r="Q701">
            <v>7.587253414264028E-3</v>
          </cell>
          <cell r="R701">
            <v>6.6666666666665986E-3</v>
          </cell>
          <cell r="S701">
            <v>-1.449275362318847E-2</v>
          </cell>
          <cell r="T701">
            <v>0.12368972746331264</v>
          </cell>
          <cell r="U701">
            <v>-1.4836795252225587E-2</v>
          </cell>
          <cell r="V701">
            <v>-3.394255874673624E-2</v>
          </cell>
          <cell r="W701">
            <v>3.4435261707989051E-2</v>
          </cell>
          <cell r="X701">
            <v>8.8669950738916148E-2</v>
          </cell>
          <cell r="Y701">
            <v>8.1314878892733589E-2</v>
          </cell>
          <cell r="Z701">
            <v>4.5070631746061851E-2</v>
          </cell>
          <cell r="AB701">
            <v>1.0324919788215512</v>
          </cell>
          <cell r="AC701">
            <v>1.1300723489143676</v>
          </cell>
          <cell r="AD701">
            <v>0.417620545901771</v>
          </cell>
          <cell r="AE701">
            <v>0.46927502305983454</v>
          </cell>
          <cell r="AF701">
            <v>0.91460099152957808</v>
          </cell>
          <cell r="AG701">
            <v>1.5716744156704985</v>
          </cell>
          <cell r="AH701">
            <v>0.8217707755260647</v>
          </cell>
          <cell r="AI701">
            <v>0.66926505232148581</v>
          </cell>
          <cell r="AJ701">
            <v>0.4658376606858855</v>
          </cell>
          <cell r="AK701">
            <v>0.8502585984995823</v>
          </cell>
          <cell r="AL701">
            <v>1.9727432331911656</v>
          </cell>
        </row>
        <row r="702">
          <cell r="A702" t="str">
            <v>03/11/2006</v>
          </cell>
          <cell r="B702">
            <v>36.75</v>
          </cell>
          <cell r="C702">
            <v>67.45</v>
          </cell>
          <cell r="D702">
            <v>99.75</v>
          </cell>
          <cell r="E702">
            <v>74.3</v>
          </cell>
          <cell r="F702">
            <v>17.739999999999998</v>
          </cell>
          <cell r="G702">
            <v>5.29</v>
          </cell>
          <cell r="H702">
            <v>13.3</v>
          </cell>
          <cell r="I702">
            <v>73.599999999999994</v>
          </cell>
          <cell r="J702">
            <v>149.9</v>
          </cell>
          <cell r="K702">
            <v>221.4</v>
          </cell>
          <cell r="L702">
            <v>61.8</v>
          </cell>
          <cell r="M702">
            <v>18749.689999999999</v>
          </cell>
          <cell r="O702">
            <v>-3.4165571616294299E-2</v>
          </cell>
          <cell r="P702">
            <v>-4.9330514446793483E-2</v>
          </cell>
          <cell r="Q702">
            <v>9.6153846153845812E-3</v>
          </cell>
          <cell r="R702">
            <v>-1.5894039735099397E-2</v>
          </cell>
          <cell r="S702">
            <v>-6.7189249720045474E-3</v>
          </cell>
          <cell r="T702">
            <v>0.1113445378151261</v>
          </cell>
          <cell r="U702">
            <v>-1.9174041297935096E-2</v>
          </cell>
          <cell r="V702">
            <v>-3.7908496732026231E-2</v>
          </cell>
          <cell r="W702">
            <v>2.6009582477755089E-2</v>
          </cell>
          <cell r="X702">
            <v>0.10368893320039896</v>
          </cell>
          <cell r="Y702">
            <v>6.5517241379310365E-2</v>
          </cell>
          <cell r="Z702">
            <v>4.7270377286089404E-2</v>
          </cell>
          <cell r="AB702">
            <v>1.0219140694036004</v>
          </cell>
          <cell r="AC702">
            <v>1.1148528009664509</v>
          </cell>
          <cell r="AD702">
            <v>0.41808632663288542</v>
          </cell>
          <cell r="AE702">
            <v>0.46433410372303169</v>
          </cell>
          <cell r="AF702">
            <v>0.90739751527585233</v>
          </cell>
          <cell r="AG702">
            <v>1.570380156390256</v>
          </cell>
          <cell r="AH702">
            <v>0.81313465657581885</v>
          </cell>
          <cell r="AI702">
            <v>0.65580507530669818</v>
          </cell>
          <cell r="AJ702">
            <v>0.46425014471931131</v>
          </cell>
          <cell r="AK702">
            <v>0.85715081470542709</v>
          </cell>
          <cell r="AL702">
            <v>1.9661468410737206</v>
          </cell>
        </row>
        <row r="703">
          <cell r="A703" t="str">
            <v>06/11/2006</v>
          </cell>
          <cell r="B703">
            <v>37</v>
          </cell>
          <cell r="C703">
            <v>67.05</v>
          </cell>
          <cell r="D703">
            <v>100.1</v>
          </cell>
          <cell r="E703">
            <v>74.8</v>
          </cell>
          <cell r="F703">
            <v>17.7</v>
          </cell>
          <cell r="G703">
            <v>5.42</v>
          </cell>
          <cell r="H703">
            <v>13.16</v>
          </cell>
          <cell r="I703">
            <v>74</v>
          </cell>
          <cell r="J703">
            <v>150.4</v>
          </cell>
          <cell r="K703">
            <v>220.8</v>
          </cell>
          <cell r="L703">
            <v>62.35</v>
          </cell>
          <cell r="M703">
            <v>18936.55</v>
          </cell>
          <cell r="O703">
            <v>-9.3708165997322679E-3</v>
          </cell>
          <cell r="P703">
            <v>-3.8709677419354827E-2</v>
          </cell>
          <cell r="Q703">
            <v>1.4184397163120588E-2</v>
          </cell>
          <cell r="R703">
            <v>8.7660148347941114E-3</v>
          </cell>
          <cell r="S703">
            <v>9.1220068415052147E-3</v>
          </cell>
          <cell r="T703">
            <v>0.13152400835073075</v>
          </cell>
          <cell r="U703">
            <v>-2.3738872403560873E-2</v>
          </cell>
          <cell r="V703">
            <v>-1.9867549668874163E-2</v>
          </cell>
          <cell r="W703">
            <v>4.4444444444444509E-2</v>
          </cell>
          <cell r="X703">
            <v>9.3069306930693152E-2</v>
          </cell>
          <cell r="Y703">
            <v>8.9082969432314529E-2</v>
          </cell>
          <cell r="Z703">
            <v>7.1360275730343536E-2</v>
          </cell>
          <cell r="AB703">
            <v>1.0026748393497131</v>
          </cell>
          <cell r="AC703">
            <v>1.0884761205041902</v>
          </cell>
          <cell r="AD703">
            <v>0.41796225519782149</v>
          </cell>
          <cell r="AE703">
            <v>0.45776264409067852</v>
          </cell>
          <cell r="AF703">
            <v>0.89454431292360315</v>
          </cell>
          <cell r="AG703">
            <v>1.5661837576728763</v>
          </cell>
          <cell r="AH703">
            <v>0.79518431568775394</v>
          </cell>
          <cell r="AI703">
            <v>0.63904400673399409</v>
          </cell>
          <cell r="AJ703">
            <v>0.46423261203715988</v>
          </cell>
          <cell r="AK703">
            <v>0.86365575902511005</v>
          </cell>
          <cell r="AL703">
            <v>1.9511816749162003</v>
          </cell>
        </row>
        <row r="704">
          <cell r="A704" t="str">
            <v>07/11/2006</v>
          </cell>
          <cell r="B704">
            <v>37.15</v>
          </cell>
          <cell r="C704">
            <v>66.05</v>
          </cell>
          <cell r="D704">
            <v>101.1</v>
          </cell>
          <cell r="E704">
            <v>75.2</v>
          </cell>
          <cell r="F704">
            <v>17.440000000000001</v>
          </cell>
          <cell r="G704">
            <v>5.47</v>
          </cell>
          <cell r="H704">
            <v>12.98</v>
          </cell>
          <cell r="I704">
            <v>73.849999999999994</v>
          </cell>
          <cell r="J704">
            <v>151.19999999999999</v>
          </cell>
          <cell r="K704">
            <v>221.8</v>
          </cell>
          <cell r="L704">
            <v>62.4</v>
          </cell>
          <cell r="M704">
            <v>18939.310000000001</v>
          </cell>
          <cell r="O704">
            <v>-2.2368421052631593E-2</v>
          </cell>
          <cell r="P704">
            <v>-5.2367288378766252E-2</v>
          </cell>
          <cell r="Q704">
            <v>2.3279352226720729E-2</v>
          </cell>
          <cell r="R704">
            <v>4.0053404539386328E-3</v>
          </cell>
          <cell r="S704">
            <v>-1.2457531143827749E-2</v>
          </cell>
          <cell r="T704">
            <v>0.1095334685598377</v>
          </cell>
          <cell r="U704">
            <v>-4.2772861356932146E-2</v>
          </cell>
          <cell r="V704">
            <v>-1.5333333333333421E-2</v>
          </cell>
          <cell r="W704">
            <v>3.7748798901853231E-2</v>
          </cell>
          <cell r="X704">
            <v>7.1497584541062809E-2</v>
          </cell>
          <cell r="Y704">
            <v>8.710801393728218E-2</v>
          </cell>
          <cell r="Z704">
            <v>6.2591381138596303E-2</v>
          </cell>
          <cell r="AB704">
            <v>0.99012488113073793</v>
          </cell>
          <cell r="AC704">
            <v>1.0664545770334415</v>
          </cell>
          <cell r="AD704">
            <v>0.42061017203519796</v>
          </cell>
          <cell r="AE704">
            <v>0.44961783931279792</v>
          </cell>
          <cell r="AF704">
            <v>0.88097396620447077</v>
          </cell>
          <cell r="AG704">
            <v>1.559621615837226</v>
          </cell>
          <cell r="AH704">
            <v>0.77802126800025284</v>
          </cell>
          <cell r="AI704">
            <v>0.62692182623011383</v>
          </cell>
          <cell r="AJ704">
            <v>0.46332466567923808</v>
          </cell>
          <cell r="AK704">
            <v>0.86894814515798491</v>
          </cell>
          <cell r="AL704">
            <v>1.9501932058603517</v>
          </cell>
        </row>
        <row r="705">
          <cell r="A705" t="str">
            <v>08/11/2006</v>
          </cell>
          <cell r="B705">
            <v>37.950000000000003</v>
          </cell>
          <cell r="C705">
            <v>65.349999999999994</v>
          </cell>
          <cell r="D705">
            <v>101.7</v>
          </cell>
          <cell r="E705">
            <v>73.349999999999994</v>
          </cell>
          <cell r="F705">
            <v>17.3</v>
          </cell>
          <cell r="G705">
            <v>5.31</v>
          </cell>
          <cell r="H705">
            <v>12.74</v>
          </cell>
          <cell r="I705">
            <v>73.05</v>
          </cell>
          <cell r="J705">
            <v>150.9</v>
          </cell>
          <cell r="K705">
            <v>219.6</v>
          </cell>
          <cell r="L705">
            <v>62.3</v>
          </cell>
          <cell r="M705">
            <v>18811.240000000002</v>
          </cell>
          <cell r="O705">
            <v>-2.6281208935609035E-3</v>
          </cell>
          <cell r="P705">
            <v>-6.6428571428571503E-2</v>
          </cell>
          <cell r="Q705">
            <v>2.9352226720647856E-2</v>
          </cell>
          <cell r="R705">
            <v>-3.486842105263166E-2</v>
          </cell>
          <cell r="S705">
            <v>-3.1354983202687481E-2</v>
          </cell>
          <cell r="T705">
            <v>9.034907597535935E-2</v>
          </cell>
          <cell r="U705">
            <v>-8.0808080808080773E-2</v>
          </cell>
          <cell r="V705">
            <v>-3.7549407114624622E-2</v>
          </cell>
          <cell r="W705">
            <v>3.6401098901098994E-2</v>
          </cell>
          <cell r="X705">
            <v>6.7055393586005652E-2</v>
          </cell>
          <cell r="Y705">
            <v>8.631211857018295E-2</v>
          </cell>
          <cell r="Z705">
            <v>5.3096408791683647E-2</v>
          </cell>
          <cell r="AB705">
            <v>0.98397176989901747</v>
          </cell>
          <cell r="AC705">
            <v>1.0479910350772792</v>
          </cell>
          <cell r="AD705">
            <v>0.42414714867278869</v>
          </cell>
          <cell r="AE705">
            <v>0.43881059581796078</v>
          </cell>
          <cell r="AF705">
            <v>0.86812769724688499</v>
          </cell>
          <cell r="AG705">
            <v>1.5538632842517295</v>
          </cell>
          <cell r="AH705">
            <v>0.76060653408057</v>
          </cell>
          <cell r="AI705">
            <v>0.6164802015170302</v>
          </cell>
          <cell r="AJ705">
            <v>0.46309981760872243</v>
          </cell>
          <cell r="AK705">
            <v>0.87344044237936735</v>
          </cell>
          <cell r="AL705">
            <v>1.9508645097353847</v>
          </cell>
        </row>
        <row r="706">
          <cell r="A706" t="str">
            <v>09/11/2006</v>
          </cell>
          <cell r="B706">
            <v>37.35</v>
          </cell>
          <cell r="C706">
            <v>65.7</v>
          </cell>
          <cell r="D706">
            <v>102.3</v>
          </cell>
          <cell r="E706">
            <v>73.3</v>
          </cell>
          <cell r="F706">
            <v>17.399999999999999</v>
          </cell>
          <cell r="G706">
            <v>5.46</v>
          </cell>
          <cell r="H706">
            <v>12.88</v>
          </cell>
          <cell r="I706">
            <v>72.650000000000006</v>
          </cell>
          <cell r="J706">
            <v>151.19999999999999</v>
          </cell>
          <cell r="K706">
            <v>222</v>
          </cell>
          <cell r="L706">
            <v>63.95</v>
          </cell>
          <cell r="M706">
            <v>18952.86</v>
          </cell>
          <cell r="O706">
            <v>-2.6702269692924219E-3</v>
          </cell>
          <cell r="P706">
            <v>-4.7135605511240075E-2</v>
          </cell>
          <cell r="Q706">
            <v>3.125E-2</v>
          </cell>
          <cell r="R706">
            <v>-2.3968042609853524E-2</v>
          </cell>
          <cell r="S706">
            <v>-2.4663677130044914E-2</v>
          </cell>
          <cell r="T706">
            <v>0.12577319587628866</v>
          </cell>
          <cell r="U706">
            <v>-8.5227272727272707E-2</v>
          </cell>
          <cell r="V706">
            <v>-4.0290620871862526E-2</v>
          </cell>
          <cell r="W706">
            <v>3.8461538461538325E-2</v>
          </cell>
          <cell r="X706">
            <v>7.9766536964980483E-2</v>
          </cell>
          <cell r="Y706">
            <v>0.11217391304347823</v>
          </cell>
          <cell r="Z706">
            <v>6.0413168623892233E-2</v>
          </cell>
          <cell r="AB706">
            <v>0.97164709027955054</v>
          </cell>
          <cell r="AC706">
            <v>1.0295018463238412</v>
          </cell>
          <cell r="AD706">
            <v>0.42706568037941056</v>
          </cell>
          <cell r="AE706">
            <v>0.42819463788134127</v>
          </cell>
          <cell r="AF706">
            <v>0.85653808773807738</v>
          </cell>
          <cell r="AG706">
            <v>1.551852150259406</v>
          </cell>
          <cell r="AH706">
            <v>0.73980132264325416</v>
          </cell>
          <cell r="AI706">
            <v>0.60528511031878873</v>
          </cell>
          <cell r="AJ706">
            <v>0.46372102128405174</v>
          </cell>
          <cell r="AK706">
            <v>0.87647584282667013</v>
          </cell>
          <cell r="AL706">
            <v>1.9424025146473012</v>
          </cell>
        </row>
        <row r="707">
          <cell r="A707" t="str">
            <v>10/11/2006</v>
          </cell>
          <cell r="B707">
            <v>37.25</v>
          </cell>
          <cell r="C707">
            <v>66.3</v>
          </cell>
          <cell r="D707">
            <v>103</v>
          </cell>
          <cell r="E707">
            <v>75.099999999999994</v>
          </cell>
          <cell r="F707">
            <v>17.36</v>
          </cell>
          <cell r="G707">
            <v>5.64</v>
          </cell>
          <cell r="H707">
            <v>12.88</v>
          </cell>
          <cell r="I707">
            <v>72.400000000000006</v>
          </cell>
          <cell r="J707">
            <v>150.6</v>
          </cell>
          <cell r="K707">
            <v>221.4</v>
          </cell>
          <cell r="L707">
            <v>64.2</v>
          </cell>
          <cell r="M707">
            <v>18891.14</v>
          </cell>
          <cell r="O707">
            <v>-1.8445322793148922E-2</v>
          </cell>
          <cell r="P707">
            <v>-1.4126394052044633E-2</v>
          </cell>
          <cell r="Q707">
            <v>3.4655951783023609E-2</v>
          </cell>
          <cell r="R707">
            <v>1.0087424344317419E-2</v>
          </cell>
          <cell r="S707">
            <v>-2.0316027088036037E-2</v>
          </cell>
          <cell r="T707">
            <v>0.165289256198347</v>
          </cell>
          <cell r="U707">
            <v>-9.2957746478873116E-2</v>
          </cell>
          <cell r="V707">
            <v>-3.40226817878585E-2</v>
          </cell>
          <cell r="W707">
            <v>2.7285129604365688E-2</v>
          </cell>
          <cell r="X707">
            <v>7.7896786757546188E-2</v>
          </cell>
          <cell r="Y707">
            <v>0.11458333333333326</v>
          </cell>
          <cell r="Z707">
            <v>5.0157708715282689E-2</v>
          </cell>
          <cell r="AB707">
            <v>0.96186327554446405</v>
          </cell>
          <cell r="AC707">
            <v>1.0210534548881052</v>
          </cell>
          <cell r="AD707">
            <v>0.43043683059220877</v>
          </cell>
          <cell r="AE707">
            <v>0.42370586693628104</v>
          </cell>
          <cell r="AF707">
            <v>0.84905943256964678</v>
          </cell>
          <cell r="AG707">
            <v>1.5545402412082887</v>
          </cell>
          <cell r="AH707">
            <v>0.72333330593244816</v>
          </cell>
          <cell r="AI707">
            <v>0.59863290771486677</v>
          </cell>
          <cell r="AJ707">
            <v>0.46363958531379201</v>
          </cell>
          <cell r="AK707">
            <v>0.87925983463151847</v>
          </cell>
          <cell r="AL707">
            <v>1.9376557896394868</v>
          </cell>
        </row>
        <row r="708">
          <cell r="A708" t="str">
            <v>13/11/2006</v>
          </cell>
          <cell r="B708">
            <v>36.950000000000003</v>
          </cell>
          <cell r="C708">
            <v>66.7</v>
          </cell>
          <cell r="D708">
            <v>103</v>
          </cell>
          <cell r="E708">
            <v>74.5</v>
          </cell>
          <cell r="F708">
            <v>17.52</v>
          </cell>
          <cell r="G708">
            <v>5.65</v>
          </cell>
          <cell r="H708">
            <v>13.34</v>
          </cell>
          <cell r="I708">
            <v>71.8</v>
          </cell>
          <cell r="J708">
            <v>150.4</v>
          </cell>
          <cell r="K708">
            <v>224.6</v>
          </cell>
          <cell r="L708">
            <v>65.400000000000006</v>
          </cell>
          <cell r="M708">
            <v>18868.54</v>
          </cell>
          <cell r="O708">
            <v>-2.506596306068587E-2</v>
          </cell>
          <cell r="P708">
            <v>-2.7696793002915276E-2</v>
          </cell>
          <cell r="Q708">
            <v>3.6738802214393518E-2</v>
          </cell>
          <cell r="R708">
            <v>8.1190798376182816E-3</v>
          </cell>
          <cell r="S708">
            <v>-1.016949152542368E-2</v>
          </cell>
          <cell r="T708">
            <v>0.15071283095723009</v>
          </cell>
          <cell r="U708">
            <v>-8.3791208791208827E-2</v>
          </cell>
          <cell r="V708">
            <v>-4.3941411451398071E-2</v>
          </cell>
          <cell r="W708">
            <v>2.662116040955631E-2</v>
          </cell>
          <cell r="X708">
            <v>7.9807692307692246E-2</v>
          </cell>
          <cell r="Y708">
            <v>0.12564543889845092</v>
          </cell>
          <cell r="Z708">
            <v>4.7658549044430343E-2</v>
          </cell>
          <cell r="AB708">
            <v>0.9529561321765242</v>
          </cell>
          <cell r="AC708">
            <v>1.0131447645299634</v>
          </cell>
          <cell r="AD708">
            <v>0.43296481893290062</v>
          </cell>
          <cell r="AE708">
            <v>0.42081680310774616</v>
          </cell>
          <cell r="AF708">
            <v>0.84423867507932471</v>
          </cell>
          <cell r="AG708">
            <v>1.5587089749618017</v>
          </cell>
          <cell r="AH708">
            <v>0.71073161051257372</v>
          </cell>
          <cell r="AI708">
            <v>0.59111657210170199</v>
          </cell>
          <cell r="AJ708">
            <v>0.4634758069386492</v>
          </cell>
          <cell r="AK708">
            <v>0.88222156456895273</v>
          </cell>
          <cell r="AL708">
            <v>1.9367720457452899</v>
          </cell>
        </row>
        <row r="709">
          <cell r="A709" t="str">
            <v>14/11/2006</v>
          </cell>
          <cell r="B709">
            <v>37.700000000000003</v>
          </cell>
          <cell r="C709">
            <v>67.3</v>
          </cell>
          <cell r="D709">
            <v>103</v>
          </cell>
          <cell r="E709">
            <v>75.2</v>
          </cell>
          <cell r="F709">
            <v>17.36</v>
          </cell>
          <cell r="G709">
            <v>5.68</v>
          </cell>
          <cell r="H709">
            <v>13.16</v>
          </cell>
          <cell r="I709">
            <v>72.55</v>
          </cell>
          <cell r="J709">
            <v>148.19999999999999</v>
          </cell>
          <cell r="K709">
            <v>224.2</v>
          </cell>
          <cell r="L709">
            <v>65.75</v>
          </cell>
          <cell r="M709">
            <v>18878.419999999998</v>
          </cell>
          <cell r="O709">
            <v>-3.9630118890355837E-3</v>
          </cell>
          <cell r="P709">
            <v>1.4880952380951218E-3</v>
          </cell>
          <cell r="Q709">
            <v>3.8306451612903247E-2</v>
          </cell>
          <cell r="R709">
            <v>4.4444444444444509E-2</v>
          </cell>
          <cell r="S709">
            <v>-9.1324200913242004E-3</v>
          </cell>
          <cell r="T709">
            <v>0.16632443531827512</v>
          </cell>
          <cell r="U709">
            <v>-8.737864077669899E-2</v>
          </cell>
          <cell r="V709">
            <v>-2.6174496644295386E-2</v>
          </cell>
          <cell r="W709">
            <v>9.5367847411442774E-3</v>
          </cell>
          <cell r="X709">
            <v>8.7293889427739968E-2</v>
          </cell>
          <cell r="Y709">
            <v>0.12585616438356162</v>
          </cell>
          <cell r="Z709">
            <v>4.7937145153662097E-2</v>
          </cell>
          <cell r="AB709">
            <v>0.94587374544511915</v>
          </cell>
          <cell r="AC709">
            <v>1.0076876330605926</v>
          </cell>
          <cell r="AD709">
            <v>0.43643531287966963</v>
          </cell>
          <cell r="AE709">
            <v>0.4217812248379384</v>
          </cell>
          <cell r="AF709">
            <v>0.83882690893316725</v>
          </cell>
          <cell r="AG709">
            <v>1.5613107899849863</v>
          </cell>
          <cell r="AH709">
            <v>0.69714493357277807</v>
          </cell>
          <cell r="AI709">
            <v>0.5865634776615134</v>
          </cell>
          <cell r="AJ709">
            <v>0.46220516082634405</v>
          </cell>
          <cell r="AK709">
            <v>0.88804004347274046</v>
          </cell>
          <cell r="AL709">
            <v>1.935015845204332</v>
          </cell>
        </row>
        <row r="710">
          <cell r="A710" t="str">
            <v>15/11/2006</v>
          </cell>
          <cell r="B710">
            <v>38.5</v>
          </cell>
          <cell r="C710">
            <v>67.55</v>
          </cell>
          <cell r="D710">
            <v>103.2</v>
          </cell>
          <cell r="E710">
            <v>75.599999999999994</v>
          </cell>
          <cell r="F710">
            <v>17.399999999999999</v>
          </cell>
          <cell r="G710">
            <v>5.73</v>
          </cell>
          <cell r="H710">
            <v>13.14</v>
          </cell>
          <cell r="I710">
            <v>72.900000000000006</v>
          </cell>
          <cell r="J710">
            <v>147.69999999999999</v>
          </cell>
          <cell r="K710">
            <v>227.6</v>
          </cell>
          <cell r="L710">
            <v>67.95</v>
          </cell>
          <cell r="M710">
            <v>19093</v>
          </cell>
          <cell r="O710">
            <v>1.1826544021025009E-2</v>
          </cell>
          <cell r="P710">
            <v>-1.8168604651162767E-2</v>
          </cell>
          <cell r="Q710">
            <v>4.0847201210287398E-2</v>
          </cell>
          <cell r="R710">
            <v>5.3658536585365679E-2</v>
          </cell>
          <cell r="S710">
            <v>-2.684563758389269E-2</v>
          </cell>
          <cell r="T710">
            <v>0.10404624277456653</v>
          </cell>
          <cell r="U710">
            <v>-9.8765432098765427E-2</v>
          </cell>
          <cell r="V710">
            <v>-3.4437086092715119E-2</v>
          </cell>
          <cell r="W710">
            <v>6.13079019073548E-3</v>
          </cell>
          <cell r="X710">
            <v>8.8995215311004738E-2</v>
          </cell>
          <cell r="Y710">
            <v>0.15463041631265928</v>
          </cell>
          <cell r="Z710">
            <v>5.7895877070648361E-2</v>
          </cell>
          <cell r="AB710">
            <v>0.93704440485037666</v>
          </cell>
          <cell r="AC710">
            <v>0.99681181286751197</v>
          </cell>
          <cell r="AD710">
            <v>0.44086273928485153</v>
          </cell>
          <cell r="AE710">
            <v>0.42250944941314467</v>
          </cell>
          <cell r="AF710">
            <v>0.82835808720742454</v>
          </cell>
          <cell r="AG710">
            <v>1.5555100684446017</v>
          </cell>
          <cell r="AH710">
            <v>0.67690518800248345</v>
          </cell>
          <cell r="AI710">
            <v>0.57857767825367024</v>
          </cell>
          <cell r="AJ710">
            <v>0.45970772414137523</v>
          </cell>
          <cell r="AK710">
            <v>0.89547129061802944</v>
          </cell>
          <cell r="AL710">
            <v>1.9335404523952184</v>
          </cell>
        </row>
        <row r="711">
          <cell r="A711" t="str">
            <v>16/11/2006</v>
          </cell>
          <cell r="B711">
            <v>40.450000000000003</v>
          </cell>
          <cell r="C711">
            <v>67.5</v>
          </cell>
          <cell r="D711">
            <v>102.9</v>
          </cell>
          <cell r="E711">
            <v>76.5</v>
          </cell>
          <cell r="F711">
            <v>17.440000000000001</v>
          </cell>
          <cell r="G711">
            <v>5.78</v>
          </cell>
          <cell r="H711">
            <v>13.1</v>
          </cell>
          <cell r="I711">
            <v>72.5</v>
          </cell>
          <cell r="J711">
            <v>146.6</v>
          </cell>
          <cell r="K711">
            <v>223.2</v>
          </cell>
          <cell r="L711">
            <v>68.5</v>
          </cell>
          <cell r="M711">
            <v>19154.07</v>
          </cell>
          <cell r="O711">
            <v>6.5876152832674562E-2</v>
          </cell>
          <cell r="P711">
            <v>-2.3861171366594491E-2</v>
          </cell>
          <cell r="Q711">
            <v>4.1497975708502111E-2</v>
          </cell>
          <cell r="R711">
            <v>4.7945205479452024E-2</v>
          </cell>
          <cell r="S711">
            <v>-2.5698324022346175E-2</v>
          </cell>
          <cell r="T711">
            <v>0.10516252390057357</v>
          </cell>
          <cell r="U711">
            <v>-0.10027472527472536</v>
          </cell>
          <cell r="V711">
            <v>-3.9735099337748325E-2</v>
          </cell>
          <cell r="W711">
            <v>1.36612021857907E-3</v>
          </cell>
          <cell r="X711">
            <v>7.8260869565217384E-2</v>
          </cell>
          <cell r="Y711">
            <v>0.1541701769165964</v>
          </cell>
          <cell r="Z711">
            <v>6.4885859041294847E-2</v>
          </cell>
          <cell r="AB711">
            <v>0.93434568124862294</v>
          </cell>
          <cell r="AC711">
            <v>0.98263360183288684</v>
          </cell>
          <cell r="AD711">
            <v>0.44424708303517607</v>
          </cell>
          <cell r="AE711">
            <v>0.42268732570986928</v>
          </cell>
          <cell r="AF711">
            <v>0.81670378219200568</v>
          </cell>
          <cell r="AG711">
            <v>1.5520928777328606</v>
          </cell>
          <cell r="AH711">
            <v>0.65350327483427928</v>
          </cell>
          <cell r="AI711">
            <v>0.56564778483837552</v>
          </cell>
          <cell r="AJ711">
            <v>0.45463210361628009</v>
          </cell>
          <cell r="AK711">
            <v>0.89774800493032147</v>
          </cell>
          <cell r="AL711">
            <v>1.9317828580644663</v>
          </cell>
        </row>
        <row r="712">
          <cell r="A712" t="str">
            <v>17/11/2006</v>
          </cell>
          <cell r="B712">
            <v>42.3</v>
          </cell>
          <cell r="C712">
            <v>67.400000000000006</v>
          </cell>
          <cell r="D712">
            <v>103.5</v>
          </cell>
          <cell r="E712">
            <v>78.8</v>
          </cell>
          <cell r="F712">
            <v>17.920000000000002</v>
          </cell>
          <cell r="G712">
            <v>5.99</v>
          </cell>
          <cell r="H712">
            <v>13.38</v>
          </cell>
          <cell r="I712">
            <v>74</v>
          </cell>
          <cell r="J712">
            <v>147.19999999999999</v>
          </cell>
          <cell r="K712">
            <v>222.8</v>
          </cell>
          <cell r="L712">
            <v>67.45</v>
          </cell>
          <cell r="M712">
            <v>19182.71</v>
          </cell>
          <cell r="O712">
            <v>9.5854922279792643E-2</v>
          </cell>
          <cell r="P712">
            <v>-2.6714801444043257E-2</v>
          </cell>
          <cell r="Q712">
            <v>4.5454545454545414E-2</v>
          </cell>
          <cell r="R712">
            <v>7.2108843537414868E-2</v>
          </cell>
          <cell r="S712">
            <v>-4.444444444444362E-3</v>
          </cell>
          <cell r="T712">
            <v>0.10110294117647056</v>
          </cell>
          <cell r="U712">
            <v>-6.5642458100558576E-2</v>
          </cell>
          <cell r="V712">
            <v>-1.5302727877578248E-2</v>
          </cell>
          <cell r="W712">
            <v>0</v>
          </cell>
          <cell r="X712">
            <v>7.3217726396917149E-2</v>
          </cell>
          <cell r="Y712">
            <v>0.11579818031430933</v>
          </cell>
          <cell r="Z712">
            <v>5.9025425717211588E-2</v>
          </cell>
          <cell r="AB712">
            <v>0.93702068306083941</v>
          </cell>
          <cell r="AC712">
            <v>0.9714921084212953</v>
          </cell>
          <cell r="AD712">
            <v>0.44752027615294487</v>
          </cell>
          <cell r="AE712">
            <v>0.42604682580273023</v>
          </cell>
          <cell r="AF712">
            <v>0.8103793130418433</v>
          </cell>
          <cell r="AG712">
            <v>1.551881250453222</v>
          </cell>
          <cell r="AH712">
            <v>0.63898048419921571</v>
          </cell>
          <cell r="AI712">
            <v>0.55801373404295396</v>
          </cell>
          <cell r="AJ712">
            <v>0.45007270115259779</v>
          </cell>
          <cell r="AK712">
            <v>0.89862803712916073</v>
          </cell>
          <cell r="AL712">
            <v>1.9279009015917028</v>
          </cell>
        </row>
        <row r="713">
          <cell r="A713" t="str">
            <v>20/11/2006</v>
          </cell>
          <cell r="B713">
            <v>40.799999999999997</v>
          </cell>
          <cell r="C713">
            <v>67.75</v>
          </cell>
          <cell r="D713">
            <v>103.3</v>
          </cell>
          <cell r="E713">
            <v>77</v>
          </cell>
          <cell r="F713">
            <v>18.04</v>
          </cell>
          <cell r="G713">
            <v>5.82</v>
          </cell>
          <cell r="H713">
            <v>13.5</v>
          </cell>
          <cell r="I713">
            <v>73.5</v>
          </cell>
          <cell r="J713">
            <v>145.9</v>
          </cell>
          <cell r="K713">
            <v>222</v>
          </cell>
          <cell r="L713">
            <v>68.3</v>
          </cell>
          <cell r="M713">
            <v>18954.63</v>
          </cell>
          <cell r="O713">
            <v>8.079470198675498E-2</v>
          </cell>
          <cell r="P713">
            <v>-6.5982404692082053E-3</v>
          </cell>
          <cell r="Q713">
            <v>4.1855774079677222E-2</v>
          </cell>
          <cell r="R713">
            <v>5.7692307692307709E-2</v>
          </cell>
          <cell r="S713">
            <v>2.2222222222221255E-3</v>
          </cell>
          <cell r="T713">
            <v>8.3798882681564324E-2</v>
          </cell>
          <cell r="U713">
            <v>-4.3909348441926288E-2</v>
          </cell>
          <cell r="V713">
            <v>-2.0000000000000018E-2</v>
          </cell>
          <cell r="W713">
            <v>-8.8315217391302658E-3</v>
          </cell>
          <cell r="X713">
            <v>4.2253521126760507E-2</v>
          </cell>
          <cell r="Y713">
            <v>9.8070739549839026E-2</v>
          </cell>
          <cell r="Z713">
            <v>4.7804708165076093E-2</v>
          </cell>
          <cell r="AB713">
            <v>0.93884036116577674</v>
          </cell>
          <cell r="AC713">
            <v>0.96653658132656983</v>
          </cell>
          <cell r="AD713">
            <v>0.44967183226457186</v>
          </cell>
          <cell r="AE713">
            <v>0.42755383855401863</v>
          </cell>
          <cell r="AF713">
            <v>0.80735156238576489</v>
          </cell>
          <cell r="AG713">
            <v>1.5524221010764669</v>
          </cell>
          <cell r="AH713">
            <v>0.63153329629778299</v>
          </cell>
          <cell r="AI713">
            <v>0.55253792351838937</v>
          </cell>
          <cell r="AJ713">
            <v>0.44643443508495223</v>
          </cell>
          <cell r="AK713">
            <v>0.8970326980255573</v>
          </cell>
          <cell r="AL713">
            <v>1.9257652638274201</v>
          </cell>
        </row>
        <row r="714">
          <cell r="A714" t="str">
            <v>21/11/2006</v>
          </cell>
          <cell r="B714">
            <v>41</v>
          </cell>
          <cell r="C714">
            <v>68.099999999999994</v>
          </cell>
          <cell r="D714">
            <v>103.4</v>
          </cell>
          <cell r="E714">
            <v>77.2</v>
          </cell>
          <cell r="F714">
            <v>18.239999999999998</v>
          </cell>
          <cell r="G714">
            <v>5.81</v>
          </cell>
          <cell r="H714">
            <v>13.54</v>
          </cell>
          <cell r="I714">
            <v>73.8</v>
          </cell>
          <cell r="J714">
            <v>146.6</v>
          </cell>
          <cell r="K714">
            <v>230</v>
          </cell>
          <cell r="L714">
            <v>68.3</v>
          </cell>
          <cell r="M714">
            <v>19008.3</v>
          </cell>
          <cell r="O714">
            <v>7.8947368421052655E-2</v>
          </cell>
          <cell r="P714">
            <v>1.6417910447761086E-2</v>
          </cell>
          <cell r="Q714">
            <v>4.2864346949067045E-2</v>
          </cell>
          <cell r="R714">
            <v>4.6070460704607186E-2</v>
          </cell>
          <cell r="S714">
            <v>1.2208657047724669E-2</v>
          </cell>
          <cell r="T714">
            <v>0.12162162162162171</v>
          </cell>
          <cell r="U714">
            <v>-1.455604075691419E-2</v>
          </cell>
          <cell r="V714">
            <v>-1.6000000000000014E-2</v>
          </cell>
          <cell r="W714">
            <v>-2.0422055820287222E-3</v>
          </cell>
          <cell r="X714">
            <v>7.4766355140186924E-2</v>
          </cell>
          <cell r="Y714">
            <v>9.19264588329336E-2</v>
          </cell>
          <cell r="Z714">
            <v>4.7092529723065768E-2</v>
          </cell>
          <cell r="AB714">
            <v>0.9412030453090735</v>
          </cell>
          <cell r="AC714">
            <v>0.96430170425900208</v>
          </cell>
          <cell r="AD714">
            <v>0.45135097076059066</v>
          </cell>
          <cell r="AE714">
            <v>0.42819929471683638</v>
          </cell>
          <cell r="AF714">
            <v>0.80556296068097188</v>
          </cell>
          <cell r="AG714">
            <v>1.5583410704380367</v>
          </cell>
          <cell r="AH714">
            <v>0.62752072284405558</v>
          </cell>
          <cell r="AI714">
            <v>0.54741991643421872</v>
          </cell>
          <cell r="AJ714">
            <v>0.44305398717341649</v>
          </cell>
          <cell r="AK714">
            <v>0.89564709402168396</v>
          </cell>
          <cell r="AL714">
            <v>1.9235200851212917</v>
          </cell>
        </row>
        <row r="715">
          <cell r="A715" t="str">
            <v>22/11/2006</v>
          </cell>
          <cell r="B715">
            <v>41.05</v>
          </cell>
          <cell r="C715">
            <v>68.5</v>
          </cell>
          <cell r="D715">
            <v>103.7</v>
          </cell>
          <cell r="E715">
            <v>75.7</v>
          </cell>
          <cell r="F715">
            <v>18.52</v>
          </cell>
          <cell r="G715">
            <v>5.81</v>
          </cell>
          <cell r="H715">
            <v>13.52</v>
          </cell>
          <cell r="I715">
            <v>74</v>
          </cell>
          <cell r="J715">
            <v>146.5</v>
          </cell>
          <cell r="K715">
            <v>227.2</v>
          </cell>
          <cell r="L715">
            <v>70.400000000000006</v>
          </cell>
          <cell r="M715">
            <v>19250.79</v>
          </cell>
          <cell r="O715">
            <v>8.4544253632760746E-2</v>
          </cell>
          <cell r="P715">
            <v>2.2388059701492491E-2</v>
          </cell>
          <cell r="Q715">
            <v>4.6417759838546901E-2</v>
          </cell>
          <cell r="R715">
            <v>9.3333333333334156E-3</v>
          </cell>
          <cell r="S715">
            <v>2.7746947835738167E-2</v>
          </cell>
          <cell r="T715">
            <v>0.10877862595419829</v>
          </cell>
          <cell r="U715">
            <v>4.4576523031203408E-3</v>
          </cell>
          <cell r="V715">
            <v>-1.3333333333333308E-2</v>
          </cell>
          <cell r="W715">
            <v>-4.0788579197824637E-3</v>
          </cell>
          <cell r="X715">
            <v>4.2201834862385379E-2</v>
          </cell>
          <cell r="Y715">
            <v>0.12370311252992838</v>
          </cell>
          <cell r="Z715">
            <v>6.0185792000634564E-2</v>
          </cell>
          <cell r="AB715">
            <v>0.94299988923646316</v>
          </cell>
          <cell r="AC715">
            <v>0.95866953746857642</v>
          </cell>
          <cell r="AD715">
            <v>0.45426093073627649</v>
          </cell>
          <cell r="AE715">
            <v>0.42351206172133754</v>
          </cell>
          <cell r="AF715">
            <v>0.80352175394730307</v>
          </cell>
          <cell r="AG715">
            <v>1.56050671166498</v>
          </cell>
          <cell r="AH715">
            <v>0.62246700228666685</v>
          </cell>
          <cell r="AI715">
            <v>0.53956922802079865</v>
          </cell>
          <cell r="AJ715">
            <v>0.43761312438760386</v>
          </cell>
          <cell r="AK715">
            <v>0.89168565201252659</v>
          </cell>
          <cell r="AL715">
            <v>1.9189988054182994</v>
          </cell>
        </row>
        <row r="716">
          <cell r="A716" t="str">
            <v>24/11/2006</v>
          </cell>
          <cell r="B716">
            <v>43.65</v>
          </cell>
          <cell r="C716">
            <v>69.400000000000006</v>
          </cell>
          <cell r="D716">
            <v>103.3</v>
          </cell>
          <cell r="E716">
            <v>78.099999999999994</v>
          </cell>
          <cell r="F716">
            <v>18.940000000000001</v>
          </cell>
          <cell r="G716">
            <v>6.32</v>
          </cell>
          <cell r="H716">
            <v>14.3</v>
          </cell>
          <cell r="I716">
            <v>74.55</v>
          </cell>
          <cell r="J716">
            <v>146.1</v>
          </cell>
          <cell r="K716">
            <v>228.4</v>
          </cell>
          <cell r="L716">
            <v>70.45</v>
          </cell>
          <cell r="M716">
            <v>19260.3</v>
          </cell>
          <cell r="O716">
            <v>0.16555407209612794</v>
          </cell>
          <cell r="P716">
            <v>2.3598820058997161E-2</v>
          </cell>
          <cell r="Q716">
            <v>4.2381432896064553E-2</v>
          </cell>
          <cell r="R716">
            <v>4.9026192075218189E-2</v>
          </cell>
          <cell r="S716">
            <v>5.5741360089186065E-2</v>
          </cell>
          <cell r="T716">
            <v>0.23196881091617949</v>
          </cell>
          <cell r="U716">
            <v>3.9244186046511587E-2</v>
          </cell>
          <cell r="V716">
            <v>6.0728744939271273E-3</v>
          </cell>
          <cell r="W716">
            <v>-6.7980965329708098E-3</v>
          </cell>
          <cell r="X716">
            <v>4.4830741079597392E-2</v>
          </cell>
          <cell r="Y716">
            <v>8.8030888030887988E-2</v>
          </cell>
          <cell r="Z716">
            <v>4.9393747541372823E-2</v>
          </cell>
          <cell r="AB716">
            <v>0.95420206910312888</v>
          </cell>
          <cell r="AC716">
            <v>0.95514522505021748</v>
          </cell>
          <cell r="AD716">
            <v>0.45561559719099165</v>
          </cell>
          <cell r="AE716">
            <v>0.4244028319418553</v>
          </cell>
          <cell r="AF716">
            <v>0.80544004934365498</v>
          </cell>
          <cell r="AG716">
            <v>1.5792619496002347</v>
          </cell>
          <cell r="AH716">
            <v>0.62360117767423506</v>
          </cell>
          <cell r="AI716">
            <v>0.53455926493033945</v>
          </cell>
          <cell r="AJ716">
            <v>0.43382490783884181</v>
          </cell>
          <cell r="AK716">
            <v>0.88799032587252669</v>
          </cell>
          <cell r="AL716">
            <v>1.9133522266562024</v>
          </cell>
        </row>
        <row r="717">
          <cell r="A717" t="str">
            <v>27/11/2006</v>
          </cell>
          <cell r="B717">
            <v>42.95</v>
          </cell>
          <cell r="C717">
            <v>70.400000000000006</v>
          </cell>
          <cell r="D717">
            <v>103.4</v>
          </cell>
          <cell r="E717">
            <v>78.95</v>
          </cell>
          <cell r="F717">
            <v>18.88</v>
          </cell>
          <cell r="G717">
            <v>6.07</v>
          </cell>
          <cell r="H717">
            <v>13.96</v>
          </cell>
          <cell r="I717">
            <v>74.3</v>
          </cell>
          <cell r="J717">
            <v>145.4</v>
          </cell>
          <cell r="K717">
            <v>228.4</v>
          </cell>
          <cell r="L717">
            <v>69.849999999999994</v>
          </cell>
          <cell r="M717">
            <v>19204.009999999998</v>
          </cell>
          <cell r="O717">
            <v>0.14533333333333331</v>
          </cell>
          <cell r="P717">
            <v>3.8348082595870414E-2</v>
          </cell>
          <cell r="Q717">
            <v>4.3917213528521071E-2</v>
          </cell>
          <cell r="R717">
            <v>6.1155913978494514E-2</v>
          </cell>
          <cell r="S717">
            <v>7.029478458049887E-2</v>
          </cell>
          <cell r="T717">
            <v>0.17635658914728691</v>
          </cell>
          <cell r="U717">
            <v>5.1204819277108626E-2</v>
          </cell>
          <cell r="V717">
            <v>4.0540540540541237E-3</v>
          </cell>
          <cell r="W717">
            <v>-9.5367847411444995E-3</v>
          </cell>
          <cell r="X717">
            <v>3.9126478616924532E-2</v>
          </cell>
          <cell r="Y717">
            <v>0.11849479583666911</v>
          </cell>
          <cell r="Z717">
            <v>4.9539965733117253E-2</v>
          </cell>
          <cell r="AB717">
            <v>0.96490350766019994</v>
          </cell>
          <cell r="AC717">
            <v>0.95037297035360413</v>
          </cell>
          <cell r="AD717">
            <v>0.45684535486498529</v>
          </cell>
          <cell r="AE717">
            <v>0.42551238777338773</v>
          </cell>
          <cell r="AF717">
            <v>0.80963412676544633</v>
          </cell>
          <cell r="AG717">
            <v>1.5921446369891279</v>
          </cell>
          <cell r="AH717">
            <v>0.62725921833458087</v>
          </cell>
          <cell r="AI717">
            <v>0.53099216024255402</v>
          </cell>
          <cell r="AJ717">
            <v>0.42999008942883349</v>
          </cell>
          <cell r="AK717">
            <v>0.88479066643849191</v>
          </cell>
          <cell r="AL717">
            <v>1.9115685597633585</v>
          </cell>
        </row>
        <row r="718">
          <cell r="A718" t="str">
            <v>28/11/2006</v>
          </cell>
          <cell r="B718">
            <v>41.3</v>
          </cell>
          <cell r="C718">
            <v>70.8</v>
          </cell>
          <cell r="D718">
            <v>103</v>
          </cell>
          <cell r="E718">
            <v>78.95</v>
          </cell>
          <cell r="F718">
            <v>18.420000000000002</v>
          </cell>
          <cell r="G718">
            <v>5.79</v>
          </cell>
          <cell r="H718">
            <v>13.4</v>
          </cell>
          <cell r="I718">
            <v>73</v>
          </cell>
          <cell r="J718">
            <v>142.80000000000001</v>
          </cell>
          <cell r="K718">
            <v>222.6</v>
          </cell>
          <cell r="L718">
            <v>66.650000000000006</v>
          </cell>
          <cell r="M718">
            <v>18639.53</v>
          </cell>
          <cell r="O718">
            <v>0.10133333333333328</v>
          </cell>
          <cell r="P718">
            <v>4.4247787610619538E-2</v>
          </cell>
          <cell r="Q718">
            <v>3.9878849066128153E-2</v>
          </cell>
          <cell r="R718">
            <v>6.1155913978494514E-2</v>
          </cell>
          <cell r="S718">
            <v>4.4217687074830092E-2</v>
          </cell>
          <cell r="T718">
            <v>0.12209302325581395</v>
          </cell>
          <cell r="U718">
            <v>9.0361445783133654E-3</v>
          </cell>
          <cell r="V718">
            <v>-1.3513513513513487E-2</v>
          </cell>
          <cell r="W718">
            <v>-2.7247956403269713E-2</v>
          </cell>
          <cell r="X718">
            <v>1.2738853503184711E-2</v>
          </cell>
          <cell r="Y718">
            <v>6.7253803042433891E-2</v>
          </cell>
          <cell r="Z718">
            <v>1.8689933898254019E-2</v>
          </cell>
          <cell r="AB718">
            <v>0.97045480510189441</v>
          </cell>
          <cell r="AC718">
            <v>0.94450579543722668</v>
          </cell>
          <cell r="AD718">
            <v>0.45436371379555057</v>
          </cell>
          <cell r="AE718">
            <v>0.42713052739422652</v>
          </cell>
          <cell r="AF718">
            <v>0.8104529684475803</v>
          </cell>
          <cell r="AG718">
            <v>1.6016350203417671</v>
          </cell>
          <cell r="AH718">
            <v>0.63247168030305767</v>
          </cell>
          <cell r="AI718">
            <v>0.53149232675820091</v>
          </cell>
          <cell r="AJ718">
            <v>0.42929636235707869</v>
          </cell>
          <cell r="AK718">
            <v>0.88445805854211956</v>
          </cell>
          <cell r="AL718">
            <v>1.9124771486883558</v>
          </cell>
        </row>
        <row r="719">
          <cell r="A719" t="str">
            <v>29/11/2006</v>
          </cell>
          <cell r="B719">
            <v>41.7</v>
          </cell>
          <cell r="C719">
            <v>70.400000000000006</v>
          </cell>
          <cell r="D719">
            <v>103.5</v>
          </cell>
          <cell r="E719">
            <v>80.7</v>
          </cell>
          <cell r="F719">
            <v>18.52</v>
          </cell>
          <cell r="G719">
            <v>5.99</v>
          </cell>
          <cell r="H719">
            <v>14</v>
          </cell>
          <cell r="I719">
            <v>73.5</v>
          </cell>
          <cell r="J719">
            <v>143.80000000000001</v>
          </cell>
          <cell r="K719">
            <v>223.2</v>
          </cell>
          <cell r="L719">
            <v>67.2</v>
          </cell>
          <cell r="M719">
            <v>18780.93</v>
          </cell>
          <cell r="O719">
            <v>0.12247644683714687</v>
          </cell>
          <cell r="P719">
            <v>3.4533431300514561E-2</v>
          </cell>
          <cell r="Q719">
            <v>4.4399596367305838E-2</v>
          </cell>
          <cell r="R719">
            <v>6.7460317460317665E-2</v>
          </cell>
          <cell r="S719">
            <v>6.4367816091954078E-2</v>
          </cell>
          <cell r="T719">
            <v>0.14750957854406144</v>
          </cell>
          <cell r="U719">
            <v>3.8575667655786239E-2</v>
          </cell>
          <cell r="V719">
            <v>-6.7567567567567988E-3</v>
          </cell>
          <cell r="W719">
            <v>-2.043596730245234E-2</v>
          </cell>
          <cell r="X719">
            <v>1.8248175182481674E-2</v>
          </cell>
          <cell r="Y719">
            <v>9.0909090909090828E-2</v>
          </cell>
          <cell r="Z719">
            <v>2.4916572757014643E-2</v>
          </cell>
          <cell r="AB719">
            <v>0.9747203037069101</v>
          </cell>
          <cell r="AC719">
            <v>0.93882020861532101</v>
          </cell>
          <cell r="AD719">
            <v>0.45369083829837836</v>
          </cell>
          <cell r="AE719">
            <v>0.42867030813756024</v>
          </cell>
          <cell r="AF719">
            <v>0.81197885926622659</v>
          </cell>
          <cell r="AG719">
            <v>1.6085139728781639</v>
          </cell>
          <cell r="AH719">
            <v>0.63552878553282355</v>
          </cell>
          <cell r="AI719">
            <v>0.52960957468192049</v>
          </cell>
          <cell r="AJ719">
            <v>0.42821188778740443</v>
          </cell>
          <cell r="AK719">
            <v>0.88342499630376115</v>
          </cell>
          <cell r="AL719">
            <v>1.913531527628956</v>
          </cell>
        </row>
        <row r="720">
          <cell r="A720" t="str">
            <v>30/11/2006</v>
          </cell>
          <cell r="B720">
            <v>41.95</v>
          </cell>
          <cell r="C720">
            <v>70.7</v>
          </cell>
          <cell r="D720">
            <v>103.8</v>
          </cell>
          <cell r="E720">
            <v>82.1</v>
          </cell>
          <cell r="F720">
            <v>18.739999999999998</v>
          </cell>
          <cell r="G720">
            <v>6.03</v>
          </cell>
          <cell r="H720">
            <v>13.9</v>
          </cell>
          <cell r="I720">
            <v>74.849999999999994</v>
          </cell>
          <cell r="J720">
            <v>144.5</v>
          </cell>
          <cell r="K720">
            <v>228</v>
          </cell>
          <cell r="L720">
            <v>68.599999999999994</v>
          </cell>
          <cell r="M720">
            <v>18960.48</v>
          </cell>
          <cell r="O720">
            <v>0.1399456521739133</v>
          </cell>
          <cell r="P720">
            <v>3.9705882352941257E-2</v>
          </cell>
          <cell r="Q720">
            <v>4.4791142425767427E-2</v>
          </cell>
          <cell r="R720">
            <v>8.4544253632760746E-2</v>
          </cell>
          <cell r="S720">
            <v>6.9634703196346903E-2</v>
          </cell>
          <cell r="T720">
            <v>0.12290502793296088</v>
          </cell>
          <cell r="U720">
            <v>3.1157270029673612E-2</v>
          </cell>
          <cell r="V720">
            <v>1.3377926421402897E-3</v>
          </cell>
          <cell r="W720">
            <v>-2.8244788164088708E-2</v>
          </cell>
          <cell r="X720">
            <v>2.6102610261026227E-2</v>
          </cell>
          <cell r="Y720">
            <v>0.10466988727858273</v>
          </cell>
          <cell r="Z720">
            <v>2.7465027243932738E-2</v>
          </cell>
          <cell r="AB720">
            <v>0.97710262030128336</v>
          </cell>
          <cell r="AC720">
            <v>0.93771778832895192</v>
          </cell>
          <cell r="AD720">
            <v>0.45447635080349075</v>
          </cell>
          <cell r="AE720">
            <v>0.43012243070627126</v>
          </cell>
          <cell r="AF720">
            <v>0.81312636218309653</v>
          </cell>
          <cell r="AG720">
            <v>1.6101013150256263</v>
          </cell>
          <cell r="AH720">
            <v>0.63664835830995314</v>
          </cell>
          <cell r="AI720">
            <v>0.52894550099648774</v>
          </cell>
          <cell r="AJ720">
            <v>0.42715219910927438</v>
          </cell>
          <cell r="AK720">
            <v>0.88317589104032512</v>
          </cell>
          <cell r="AL720">
            <v>1.9140868390401848</v>
          </cell>
        </row>
        <row r="721">
          <cell r="A721" t="str">
            <v>01/12/2006</v>
          </cell>
          <cell r="B721">
            <v>40.799999999999997</v>
          </cell>
          <cell r="C721">
            <v>70.3</v>
          </cell>
          <cell r="D721">
            <v>103.4</v>
          </cell>
          <cell r="E721">
            <v>82.8</v>
          </cell>
          <cell r="F721">
            <v>18.34</v>
          </cell>
          <cell r="G721">
            <v>5.98</v>
          </cell>
          <cell r="H721">
            <v>13.94</v>
          </cell>
          <cell r="I721">
            <v>75.5</v>
          </cell>
          <cell r="J721">
            <v>144.30000000000001</v>
          </cell>
          <cell r="K721">
            <v>226.8</v>
          </cell>
          <cell r="L721">
            <v>67.5</v>
          </cell>
          <cell r="M721">
            <v>18690.82</v>
          </cell>
          <cell r="O721">
            <v>0.10270270270270254</v>
          </cell>
          <cell r="P721">
            <v>4.0710584752035484E-2</v>
          </cell>
          <cell r="Q721">
            <v>3.8152610441767099E-2</v>
          </cell>
          <cell r="R721">
            <v>9.6688741721854266E-2</v>
          </cell>
          <cell r="S721">
            <v>3.7330316742081537E-2</v>
          </cell>
          <cell r="T721">
            <v>0.11567164179104483</v>
          </cell>
          <cell r="U721">
            <v>4.9698795180722843E-2</v>
          </cell>
          <cell r="V721">
            <v>2.0270270270270174E-2</v>
          </cell>
          <cell r="W721">
            <v>-3.9280958721704229E-2</v>
          </cell>
          <cell r="X721">
            <v>2.6244343891402844E-2</v>
          </cell>
          <cell r="Y721">
            <v>8.0000000000000071E-2</v>
          </cell>
          <cell r="Z721">
            <v>-1.2802715287061339E-3</v>
          </cell>
          <cell r="AB721">
            <v>0.97292229798227314</v>
          </cell>
          <cell r="AC721">
            <v>0.93336886998453317</v>
          </cell>
          <cell r="AD721">
            <v>0.45074709306719102</v>
          </cell>
          <cell r="AE721">
            <v>0.42584258297571148</v>
          </cell>
          <cell r="AF721">
            <v>0.81110146423315221</v>
          </cell>
          <cell r="AG721">
            <v>1.6071628651937528</v>
          </cell>
          <cell r="AH721">
            <v>0.63581229620913959</v>
          </cell>
          <cell r="AI721">
            <v>0.52765230709226107</v>
          </cell>
          <cell r="AJ721">
            <v>0.43021118373369699</v>
          </cell>
          <cell r="AK721">
            <v>0.88201216890939294</v>
          </cell>
          <cell r="AL721">
            <v>1.9129946596534051</v>
          </cell>
        </row>
        <row r="722">
          <cell r="A722" t="str">
            <v>04/12/2006</v>
          </cell>
          <cell r="B722">
            <v>41.6</v>
          </cell>
          <cell r="C722">
            <v>71.95</v>
          </cell>
          <cell r="D722">
            <v>103.8</v>
          </cell>
          <cell r="E722">
            <v>83.45</v>
          </cell>
          <cell r="F722">
            <v>18.5</v>
          </cell>
          <cell r="G722">
            <v>5.92</v>
          </cell>
          <cell r="H722">
            <v>14.08</v>
          </cell>
          <cell r="I722">
            <v>75.400000000000006</v>
          </cell>
          <cell r="J722">
            <v>143.69999999999999</v>
          </cell>
          <cell r="K722">
            <v>227</v>
          </cell>
          <cell r="L722">
            <v>67.900000000000006</v>
          </cell>
          <cell r="M722">
            <v>18702.73</v>
          </cell>
          <cell r="O722">
            <v>0.13197278911564636</v>
          </cell>
          <cell r="P722">
            <v>6.6716085989621865E-2</v>
          </cell>
          <cell r="Q722">
            <v>4.0601503759398527E-2</v>
          </cell>
          <cell r="R722">
            <v>0.12314939434724104</v>
          </cell>
          <cell r="S722">
            <v>4.284103720405863E-2</v>
          </cell>
          <cell r="T722">
            <v>0.11909262759924388</v>
          </cell>
          <cell r="U722">
            <v>5.864661654135328E-2</v>
          </cell>
          <cell r="V722">
            <v>2.4456521739130599E-2</v>
          </cell>
          <cell r="W722">
            <v>-4.1360907271514424E-2</v>
          </cell>
          <cell r="X722">
            <v>2.5293586269196089E-2</v>
          </cell>
          <cell r="Y722">
            <v>9.8705501618123082E-2</v>
          </cell>
          <cell r="Z722">
            <v>-2.5045747423023679E-3</v>
          </cell>
          <cell r="AB722">
            <v>0.96782656542598799</v>
          </cell>
          <cell r="AC722">
            <v>0.92515505384373464</v>
          </cell>
          <cell r="AD722">
            <v>0.4466407004734671</v>
          </cell>
          <cell r="AE722">
            <v>0.42156802505854796</v>
          </cell>
          <cell r="AF722">
            <v>0.80953875378699947</v>
          </cell>
          <cell r="AG722">
            <v>1.6072083776090647</v>
          </cell>
          <cell r="AH722">
            <v>0.63518688424691272</v>
          </cell>
          <cell r="AI722">
            <v>0.5253064669552836</v>
          </cell>
          <cell r="AJ722">
            <v>0.4334037820324208</v>
          </cell>
          <cell r="AK722">
            <v>0.88289802983661614</v>
          </cell>
          <cell r="AL722">
            <v>1.9123830219834943</v>
          </cell>
        </row>
        <row r="723">
          <cell r="A723" t="str">
            <v>05/12/2006</v>
          </cell>
          <cell r="B723">
            <v>41.7</v>
          </cell>
          <cell r="C723">
            <v>70.8</v>
          </cell>
          <cell r="D723">
            <v>104.1</v>
          </cell>
          <cell r="E723">
            <v>87.1</v>
          </cell>
          <cell r="F723">
            <v>18.82</v>
          </cell>
          <cell r="G723">
            <v>6</v>
          </cell>
          <cell r="H723">
            <v>14.16</v>
          </cell>
          <cell r="I723">
            <v>76.3</v>
          </cell>
          <cell r="J723">
            <v>144.6</v>
          </cell>
          <cell r="K723">
            <v>227.2</v>
          </cell>
          <cell r="L723">
            <v>69.45</v>
          </cell>
          <cell r="M723">
            <v>18944.189999999999</v>
          </cell>
          <cell r="O723">
            <v>0.12702702702702706</v>
          </cell>
          <cell r="P723">
            <v>5.5928411633109576E-2</v>
          </cell>
          <cell r="Q723">
            <v>3.9960039960039939E-2</v>
          </cell>
          <cell r="R723">
            <v>0.16443850267379667</v>
          </cell>
          <cell r="S723">
            <v>6.3276836158192129E-2</v>
          </cell>
          <cell r="T723">
            <v>0.10701107011070121</v>
          </cell>
          <cell r="U723">
            <v>7.5987841945288848E-2</v>
          </cell>
          <cell r="V723">
            <v>3.1081081081081097E-2</v>
          </cell>
          <cell r="W723">
            <v>-3.8563829787234161E-2</v>
          </cell>
          <cell r="X723">
            <v>2.8985507246376718E-2</v>
          </cell>
          <cell r="Y723">
            <v>0.11387329591018447</v>
          </cell>
          <cell r="Z723">
            <v>4.0345258243967841E-4</v>
          </cell>
          <cell r="AB723">
            <v>0.9639329995781275</v>
          </cell>
          <cell r="AC723">
            <v>0.91879187592278766</v>
          </cell>
          <cell r="AD723">
            <v>0.44316989873588308</v>
          </cell>
          <cell r="AE723">
            <v>0.41582773924397537</v>
          </cell>
          <cell r="AF723">
            <v>0.80705621314379694</v>
          </cell>
          <cell r="AG723">
            <v>1.6075921755843814</v>
          </cell>
          <cell r="AH723">
            <v>0.63440735144418681</v>
          </cell>
          <cell r="AI723">
            <v>0.52402189697676238</v>
          </cell>
          <cell r="AJ723">
            <v>0.4362937552103861</v>
          </cell>
          <cell r="AK723">
            <v>0.88245620800001845</v>
          </cell>
          <cell r="AL723">
            <v>1.9120511944475569</v>
          </cell>
        </row>
        <row r="724">
          <cell r="A724" t="str">
            <v>06/12/2006</v>
          </cell>
          <cell r="B724">
            <v>41.9</v>
          </cell>
          <cell r="C724">
            <v>71.2</v>
          </cell>
          <cell r="D724">
            <v>104.1</v>
          </cell>
          <cell r="E724">
            <v>96</v>
          </cell>
          <cell r="F724">
            <v>18.739999999999998</v>
          </cell>
          <cell r="G724">
            <v>5.91</v>
          </cell>
          <cell r="H724">
            <v>14.22</v>
          </cell>
          <cell r="I724">
            <v>77.400000000000006</v>
          </cell>
          <cell r="J724">
            <v>142.1</v>
          </cell>
          <cell r="K724">
            <v>225</v>
          </cell>
          <cell r="L724">
            <v>70.400000000000006</v>
          </cell>
          <cell r="M724">
            <v>19026.36</v>
          </cell>
          <cell r="O724">
            <v>0.12786002691790044</v>
          </cell>
          <cell r="P724">
            <v>7.7971233913701754E-2</v>
          </cell>
          <cell r="Q724">
            <v>2.9673590504450953E-2</v>
          </cell>
          <cell r="R724">
            <v>0.27659574468085091</v>
          </cell>
          <cell r="S724">
            <v>7.4541284403669472E-2</v>
          </cell>
          <cell r="T724">
            <v>8.0438756855575999E-2</v>
          </cell>
          <cell r="U724">
            <v>9.5531587057010814E-2</v>
          </cell>
          <cell r="V724">
            <v>4.807041299932302E-2</v>
          </cell>
          <cell r="W724">
            <v>-6.0185185185185119E-2</v>
          </cell>
          <cell r="X724">
            <v>1.4427412082957503E-2</v>
          </cell>
          <cell r="Y724">
            <v>0.12820512820512842</v>
          </cell>
          <cell r="Z724">
            <v>4.596260370625993E-3</v>
          </cell>
          <cell r="AB724">
            <v>0.96330231625556206</v>
          </cell>
          <cell r="AC724">
            <v>0.91133795629858183</v>
          </cell>
          <cell r="AD724">
            <v>0.44094391548125483</v>
          </cell>
          <cell r="AE724">
            <v>0.40757911073223141</v>
          </cell>
          <cell r="AF724">
            <v>0.80599417827177122</v>
          </cell>
          <cell r="AG724">
            <v>1.6105038232181934</v>
          </cell>
          <cell r="AH724">
            <v>0.6342266667387213</v>
          </cell>
          <cell r="AI724">
            <v>0.52199931267049027</v>
          </cell>
          <cell r="AJ724">
            <v>0.43994298839871449</v>
          </cell>
          <cell r="AK724">
            <v>0.88357880000112732</v>
          </cell>
          <cell r="AL724">
            <v>1.9144250686741258</v>
          </cell>
        </row>
        <row r="725">
          <cell r="A725" t="str">
            <v>07/12/2006</v>
          </cell>
          <cell r="B725">
            <v>41.65</v>
          </cell>
          <cell r="C725">
            <v>68.900000000000006</v>
          </cell>
          <cell r="D725">
            <v>104.1</v>
          </cell>
          <cell r="E725">
            <v>85.9</v>
          </cell>
          <cell r="F725">
            <v>18.62</v>
          </cell>
          <cell r="G725">
            <v>5.88</v>
          </cell>
          <cell r="H725">
            <v>14</v>
          </cell>
          <cell r="I725">
            <v>78</v>
          </cell>
          <cell r="J725">
            <v>141.1</v>
          </cell>
          <cell r="K725">
            <v>224</v>
          </cell>
          <cell r="L725">
            <v>69.400000000000006</v>
          </cell>
          <cell r="M725">
            <v>18842.990000000002</v>
          </cell>
          <cell r="O725">
            <v>9.7496706192358173E-2</v>
          </cell>
          <cell r="P725">
            <v>5.4322876817138654E-2</v>
          </cell>
          <cell r="Q725">
            <v>2.3598820058996939E-2</v>
          </cell>
          <cell r="R725">
            <v>0.1710974778459442</v>
          </cell>
          <cell r="S725">
            <v>7.6300578034682154E-2</v>
          </cell>
          <cell r="T725">
            <v>0.10734463276836159</v>
          </cell>
          <cell r="U725">
            <v>9.8901098901098772E-2</v>
          </cell>
          <cell r="V725">
            <v>6.7761806981519568E-2</v>
          </cell>
          <cell r="W725">
            <v>-6.4943671305500383E-2</v>
          </cell>
          <cell r="X725">
            <v>2.0036429872495543E-2</v>
          </cell>
          <cell r="Y725">
            <v>0.11396468699839502</v>
          </cell>
          <cell r="Z725">
            <v>1.6878206859303191E-3</v>
          </cell>
          <cell r="AB725">
            <v>0.96521347489273923</v>
          </cell>
          <cell r="AC725">
            <v>0.90508037894518711</v>
          </cell>
          <cell r="AD725">
            <v>0.43859969412807126</v>
          </cell>
          <cell r="AE725">
            <v>0.40606418197869731</v>
          </cell>
          <cell r="AF725">
            <v>0.8055284749162438</v>
          </cell>
          <cell r="AG725">
            <v>1.6149773302766457</v>
          </cell>
          <cell r="AH725">
            <v>0.63480014680296093</v>
          </cell>
          <cell r="AI725">
            <v>0.51963959448654895</v>
          </cell>
          <cell r="AJ725">
            <v>0.44453221478164395</v>
          </cell>
          <cell r="AK725">
            <v>0.88594122516346419</v>
          </cell>
          <cell r="AL725">
            <v>1.9186304802736474</v>
          </cell>
        </row>
        <row r="726">
          <cell r="A726" t="str">
            <v>08/12/2006</v>
          </cell>
          <cell r="B726">
            <v>40.9</v>
          </cell>
          <cell r="C726">
            <v>68.75</v>
          </cell>
          <cell r="D726">
            <v>104.3</v>
          </cell>
          <cell r="E726">
            <v>83</v>
          </cell>
          <cell r="F726">
            <v>18.5</v>
          </cell>
          <cell r="G726">
            <v>5.83</v>
          </cell>
          <cell r="H726">
            <v>13.84</v>
          </cell>
          <cell r="I726">
            <v>78.2</v>
          </cell>
          <cell r="J726">
            <v>140.9</v>
          </cell>
          <cell r="K726">
            <v>226.6</v>
          </cell>
          <cell r="L726">
            <v>70.05</v>
          </cell>
          <cell r="M726">
            <v>18739.990000000002</v>
          </cell>
          <cell r="O726">
            <v>9.5046854082998511E-2</v>
          </cell>
          <cell r="P726">
            <v>4.6423135464231269E-2</v>
          </cell>
          <cell r="Q726">
            <v>1.9550342130987275E-2</v>
          </cell>
          <cell r="R726">
            <v>0.13233287858117326</v>
          </cell>
          <cell r="S726">
            <v>6.321839080459779E-2</v>
          </cell>
          <cell r="T726">
            <v>6.7765567765567747E-2</v>
          </cell>
          <cell r="U726">
            <v>7.4534161490683148E-2</v>
          </cell>
          <cell r="V726">
            <v>7.6393668272539461E-2</v>
          </cell>
          <cell r="W726">
            <v>-6.8121693121693028E-2</v>
          </cell>
          <cell r="X726">
            <v>2.0720720720720731E-2</v>
          </cell>
          <cell r="Y726">
            <v>9.5387021110242332E-2</v>
          </cell>
          <cell r="Z726">
            <v>-1.1231550277899904E-2</v>
          </cell>
          <cell r="AB726">
            <v>0.95721759987798116</v>
          </cell>
          <cell r="AC726">
            <v>0.90016991850656047</v>
          </cell>
          <cell r="AD726">
            <v>0.43528305866901296</v>
          </cell>
          <cell r="AE726">
            <v>0.39448320282636012</v>
          </cell>
          <cell r="AF726">
            <v>0.79828165419779706</v>
          </cell>
          <cell r="AG726">
            <v>1.6094141542348723</v>
          </cell>
          <cell r="AH726">
            <v>0.62811075057267229</v>
          </cell>
          <cell r="AI726">
            <v>0.51228626127041721</v>
          </cell>
          <cell r="AJ726">
            <v>0.45136086264186004</v>
          </cell>
          <cell r="AK726">
            <v>0.88339241465583873</v>
          </cell>
          <cell r="AL726">
            <v>1.9109986650738053</v>
          </cell>
        </row>
        <row r="727">
          <cell r="A727" t="str">
            <v>11/12/2006</v>
          </cell>
          <cell r="B727">
            <v>40.950000000000003</v>
          </cell>
          <cell r="C727">
            <v>68.55</v>
          </cell>
          <cell r="D727">
            <v>104.5</v>
          </cell>
          <cell r="E727">
            <v>84.2</v>
          </cell>
          <cell r="F727">
            <v>18.760000000000002</v>
          </cell>
          <cell r="G727">
            <v>5.77</v>
          </cell>
          <cell r="H727">
            <v>13.92</v>
          </cell>
          <cell r="I727">
            <v>79</v>
          </cell>
          <cell r="J727">
            <v>140.30000000000001</v>
          </cell>
          <cell r="K727">
            <v>231</v>
          </cell>
          <cell r="L727">
            <v>70.599999999999994</v>
          </cell>
          <cell r="M727">
            <v>18924.66</v>
          </cell>
          <cell r="O727">
            <v>9.9328859060402674E-2</v>
          </cell>
          <cell r="P727">
            <v>3.3936651583710509E-2</v>
          </cell>
          <cell r="Q727">
            <v>1.4563106796116498E-2</v>
          </cell>
          <cell r="R727">
            <v>0.12117177097203746</v>
          </cell>
          <cell r="S727">
            <v>8.0645161290322731E-2</v>
          </cell>
          <cell r="T727">
            <v>2.3049645390070816E-2</v>
          </cell>
          <cell r="U727">
            <v>8.0745341614906652E-2</v>
          </cell>
          <cell r="V727">
            <v>9.1160220994475072E-2</v>
          </cell>
          <cell r="W727">
            <v>-6.8393094289508571E-2</v>
          </cell>
          <cell r="X727">
            <v>4.3360433604336057E-2</v>
          </cell>
          <cell r="Y727">
            <v>9.968847352024901E-2</v>
          </cell>
          <cell r="Z727">
            <v>1.7743767713329639E-3</v>
          </cell>
          <cell r="AB727">
            <v>0.9530551887162293</v>
          </cell>
          <cell r="AC727">
            <v>0.89882691527976033</v>
          </cell>
          <cell r="AD727">
            <v>0.43400878994047143</v>
          </cell>
          <cell r="AE727">
            <v>0.38876923319081802</v>
          </cell>
          <cell r="AF727">
            <v>0.79367281534755518</v>
          </cell>
          <cell r="AG727">
            <v>1.6100151972080405</v>
          </cell>
          <cell r="AH727">
            <v>0.62434427585879937</v>
          </cell>
          <cell r="AI727">
            <v>0.50756507085600477</v>
          </cell>
          <cell r="AJ727">
            <v>0.45562857020523834</v>
          </cell>
          <cell r="AK727">
            <v>0.88122594392013831</v>
          </cell>
          <cell r="AL727">
            <v>1.9078536235583776</v>
          </cell>
        </row>
        <row r="728">
          <cell r="A728" t="str">
            <v>12/12/2006</v>
          </cell>
          <cell r="B728">
            <v>40.85</v>
          </cell>
          <cell r="C728">
            <v>68.45</v>
          </cell>
          <cell r="D728">
            <v>104.5</v>
          </cell>
          <cell r="E728">
            <v>83.35</v>
          </cell>
          <cell r="F728">
            <v>18.579999999999998</v>
          </cell>
          <cell r="G728">
            <v>5.79</v>
          </cell>
          <cell r="H728">
            <v>14.16</v>
          </cell>
          <cell r="I728">
            <v>79.5</v>
          </cell>
          <cell r="J728">
            <v>141</v>
          </cell>
          <cell r="K728">
            <v>229</v>
          </cell>
          <cell r="L728">
            <v>70.45</v>
          </cell>
          <cell r="M728">
            <v>18907.169999999998</v>
          </cell>
          <cell r="O728">
            <v>0.10554803788903921</v>
          </cell>
          <cell r="P728">
            <v>2.6236881559220437E-2</v>
          </cell>
          <cell r="Q728">
            <v>1.4563106796116498E-2</v>
          </cell>
          <cell r="R728">
            <v>0.11879194630872481</v>
          </cell>
          <cell r="S728">
            <v>6.0502283105022814E-2</v>
          </cell>
          <cell r="T728">
            <v>2.4778761061946764E-2</v>
          </cell>
          <cell r="U728">
            <v>6.1469265367316339E-2</v>
          </cell>
          <cell r="V728">
            <v>0.10724233983286902</v>
          </cell>
          <cell r="W728">
            <v>-6.25E-2</v>
          </cell>
          <cell r="X728">
            <v>1.9590382902938686E-2</v>
          </cell>
          <cell r="Y728">
            <v>7.7217125382262886E-2</v>
          </cell>
          <cell r="Z728">
            <v>2.04732321631651E-3</v>
          </cell>
          <cell r="AB728">
            <v>0.94842659782295724</v>
          </cell>
          <cell r="AC728">
            <v>0.89831889716496649</v>
          </cell>
          <cell r="AD728">
            <v>0.4327620108340261</v>
          </cell>
          <cell r="AE728">
            <v>0.38298074651311026</v>
          </cell>
          <cell r="AF728">
            <v>0.79013429925154099</v>
          </cell>
          <cell r="AG728">
            <v>1.6101554502164541</v>
          </cell>
          <cell r="AH728">
            <v>0.62145267556014205</v>
          </cell>
          <cell r="AI728">
            <v>0.50184896125821887</v>
          </cell>
          <cell r="AJ728">
            <v>0.45938727699471282</v>
          </cell>
          <cell r="AK728">
            <v>0.88042614667566688</v>
          </cell>
          <cell r="AL728">
            <v>1.9061643766671772</v>
          </cell>
        </row>
        <row r="729">
          <cell r="A729" t="str">
            <v>13/12/2006</v>
          </cell>
          <cell r="B729">
            <v>40.65</v>
          </cell>
          <cell r="C729">
            <v>69.7</v>
          </cell>
          <cell r="D729">
            <v>104.5</v>
          </cell>
          <cell r="E729">
            <v>84.15</v>
          </cell>
          <cell r="F729">
            <v>18.440000000000001</v>
          </cell>
          <cell r="G729">
            <v>5.74</v>
          </cell>
          <cell r="H729">
            <v>13.94</v>
          </cell>
          <cell r="I729">
            <v>78.099999999999994</v>
          </cell>
          <cell r="J729">
            <v>140.6</v>
          </cell>
          <cell r="K729">
            <v>231</v>
          </cell>
          <cell r="L729">
            <v>70</v>
          </cell>
          <cell r="M729">
            <v>18718.189999999999</v>
          </cell>
          <cell r="O729">
            <v>7.8249336870026331E-2</v>
          </cell>
          <cell r="P729">
            <v>3.5661218424962948E-2</v>
          </cell>
          <cell r="Q729">
            <v>1.4563106796116498E-2</v>
          </cell>
          <cell r="R729">
            <v>0.1190159574468086</v>
          </cell>
          <cell r="S729">
            <v>6.2211981566820285E-2</v>
          </cell>
          <cell r="T729">
            <v>1.0563380281690238E-2</v>
          </cell>
          <cell r="U729">
            <v>5.9270516717325084E-2</v>
          </cell>
          <cell r="V729">
            <v>7.6498966230186038E-2</v>
          </cell>
          <cell r="W729">
            <v>-5.1282051282051211E-2</v>
          </cell>
          <cell r="X729">
            <v>3.0330062444246186E-2</v>
          </cell>
          <cell r="Y729">
            <v>6.4638783269961975E-2</v>
          </cell>
          <cell r="Z729">
            <v>-8.4874687606272259E-3</v>
          </cell>
          <cell r="AB729">
            <v>0.94345733419717359</v>
          </cell>
          <cell r="AC729">
            <v>0.89486908299860624</v>
          </cell>
          <cell r="AD729">
            <v>0.43038923624803771</v>
          </cell>
          <cell r="AE729">
            <v>0.3743888242357663</v>
          </cell>
          <cell r="AF729">
            <v>0.78430110387740304</v>
          </cell>
          <cell r="AG729">
            <v>1.6112154479703973</v>
          </cell>
          <cell r="AH729">
            <v>0.61756105674654149</v>
          </cell>
          <cell r="AI729">
            <v>0.49564591696582555</v>
          </cell>
          <cell r="AJ729">
            <v>0.46407017425841096</v>
          </cell>
          <cell r="AK729">
            <v>0.87783563165080669</v>
          </cell>
          <cell r="AL729">
            <v>1.9025812552561143</v>
          </cell>
        </row>
        <row r="730">
          <cell r="A730" t="str">
            <v>14/12/2006</v>
          </cell>
          <cell r="B730">
            <v>41.65</v>
          </cell>
          <cell r="C730">
            <v>69.099999999999994</v>
          </cell>
          <cell r="D730">
            <v>104.9</v>
          </cell>
          <cell r="E730">
            <v>87.2</v>
          </cell>
          <cell r="F730">
            <v>18.62</v>
          </cell>
          <cell r="G730">
            <v>5.84</v>
          </cell>
          <cell r="H730">
            <v>14.02</v>
          </cell>
          <cell r="I730">
            <v>78.2</v>
          </cell>
          <cell r="J730">
            <v>140.69999999999999</v>
          </cell>
          <cell r="K730">
            <v>230</v>
          </cell>
          <cell r="L730">
            <v>71.05</v>
          </cell>
          <cell r="M730">
            <v>18919.400000000001</v>
          </cell>
          <cell r="O730">
            <v>8.181818181818179E-2</v>
          </cell>
          <cell r="P730">
            <v>2.2945965951147285E-2</v>
          </cell>
          <cell r="Q730">
            <v>1.6472868217054293E-2</v>
          </cell>
          <cell r="R730">
            <v>0.15343915343915349</v>
          </cell>
          <cell r="S730">
            <v>7.0114942528735735E-2</v>
          </cell>
          <cell r="T730">
            <v>1.9197207678882888E-2</v>
          </cell>
          <cell r="U730">
            <v>6.6971080669710803E-2</v>
          </cell>
          <cell r="V730">
            <v>7.2702331961591149E-2</v>
          </cell>
          <cell r="W730">
            <v>-4.7393364928909998E-2</v>
          </cell>
          <cell r="X730">
            <v>1.0544815465729274E-2</v>
          </cell>
          <cell r="Y730">
            <v>4.5621780721118332E-2</v>
          </cell>
          <cell r="Z730">
            <v>-9.0923375058921119E-3</v>
          </cell>
          <cell r="AB730">
            <v>0.93839255430634705</v>
          </cell>
          <cell r="AC730">
            <v>0.89248569728575489</v>
          </cell>
          <cell r="AD730">
            <v>0.42781237679826806</v>
          </cell>
          <cell r="AE730">
            <v>0.36297825831972153</v>
          </cell>
          <cell r="AF730">
            <v>0.77784339220709164</v>
          </cell>
          <cell r="AG730">
            <v>1.6119330313628297</v>
          </cell>
          <cell r="AH730">
            <v>0.61319323803153758</v>
          </cell>
          <cell r="AI730">
            <v>0.48996672054265011</v>
          </cell>
          <cell r="AJ730">
            <v>0.46841927824695684</v>
          </cell>
          <cell r="AK730">
            <v>0.87722232813517453</v>
          </cell>
          <cell r="AL730">
            <v>1.8999949574305317</v>
          </cell>
        </row>
        <row r="731">
          <cell r="A731" t="str">
            <v>15/12/2006</v>
          </cell>
          <cell r="B731">
            <v>42.05</v>
          </cell>
          <cell r="C731">
            <v>70</v>
          </cell>
          <cell r="D731">
            <v>105.2</v>
          </cell>
          <cell r="E731">
            <v>86.2</v>
          </cell>
          <cell r="F731">
            <v>19</v>
          </cell>
          <cell r="G731">
            <v>5.78</v>
          </cell>
          <cell r="H731">
            <v>13.76</v>
          </cell>
          <cell r="I731">
            <v>77.7</v>
          </cell>
          <cell r="J731">
            <v>141.4</v>
          </cell>
          <cell r="K731">
            <v>231</v>
          </cell>
          <cell r="L731">
            <v>71.75</v>
          </cell>
          <cell r="M731">
            <v>19110.650000000001</v>
          </cell>
          <cell r="O731">
            <v>3.9555006180469476E-2</v>
          </cell>
          <cell r="P731">
            <v>3.7037037037036979E-2</v>
          </cell>
          <cell r="Q731">
            <v>2.235179786200181E-2</v>
          </cell>
          <cell r="R731">
            <v>0.12679738562091503</v>
          </cell>
          <cell r="S731">
            <v>8.9449541284403633E-2</v>
          </cell>
          <cell r="T731">
            <v>0</v>
          </cell>
          <cell r="U731">
            <v>5.0381679389313039E-2</v>
          </cell>
          <cell r="V731">
            <v>7.1724137931034493E-2</v>
          </cell>
          <cell r="W731">
            <v>-3.5470668485675261E-2</v>
          </cell>
          <cell r="X731">
            <v>3.4946236559139754E-2</v>
          </cell>
          <cell r="Y731">
            <v>4.7445255474452663E-2</v>
          </cell>
          <cell r="Z731">
            <v>-2.2668811380557319E-3</v>
          </cell>
          <cell r="AB731">
            <v>0.93883969243246879</v>
          </cell>
          <cell r="AC731">
            <v>0.88936529926668684</v>
          </cell>
          <cell r="AD731">
            <v>0.42566979149263601</v>
          </cell>
          <cell r="AE731">
            <v>0.35671332964593316</v>
          </cell>
          <cell r="AF731">
            <v>0.77227283036926042</v>
          </cell>
          <cell r="AG731">
            <v>1.6162134121587084</v>
          </cell>
          <cell r="AH731">
            <v>0.61250754749462455</v>
          </cell>
          <cell r="AI731">
            <v>0.48619340649427034</v>
          </cell>
          <cell r="AJ731">
            <v>0.47115099093231905</v>
          </cell>
          <cell r="AK731">
            <v>0.87624145109691287</v>
          </cell>
          <cell r="AL731">
            <v>1.8984094291662645</v>
          </cell>
        </row>
        <row r="732">
          <cell r="A732" t="str">
            <v>18/12/2006</v>
          </cell>
          <cell r="B732">
            <v>42.15</v>
          </cell>
          <cell r="C732">
            <v>71.5</v>
          </cell>
          <cell r="D732">
            <v>104.3</v>
          </cell>
          <cell r="E732">
            <v>85.05</v>
          </cell>
          <cell r="F732">
            <v>19.22</v>
          </cell>
          <cell r="G732">
            <v>6.05</v>
          </cell>
          <cell r="H732">
            <v>13.72</v>
          </cell>
          <cell r="I732">
            <v>76.75</v>
          </cell>
          <cell r="J732">
            <v>141.80000000000001</v>
          </cell>
          <cell r="K732">
            <v>233.4</v>
          </cell>
          <cell r="L732">
            <v>73.2</v>
          </cell>
          <cell r="M732">
            <v>19192.91</v>
          </cell>
          <cell r="O732">
            <v>-3.5460992907800915E-3</v>
          </cell>
          <cell r="P732">
            <v>6.0830860534124565E-2</v>
          </cell>
          <cell r="Q732">
            <v>7.7294685990338952E-3</v>
          </cell>
          <cell r="R732">
            <v>7.9314720812182715E-2</v>
          </cell>
          <cell r="S732">
            <v>7.2544642857142794E-2</v>
          </cell>
          <cell r="T732">
            <v>1.001669449081799E-2</v>
          </cell>
          <cell r="U732">
            <v>2.5411061285500747E-2</v>
          </cell>
          <cell r="V732">
            <v>3.716216216216206E-2</v>
          </cell>
          <cell r="W732">
            <v>-3.6684782608695454E-2</v>
          </cell>
          <cell r="X732">
            <v>4.7576301615798844E-2</v>
          </cell>
          <cell r="Y732">
            <v>8.5248332097850321E-2</v>
          </cell>
          <cell r="Z732">
            <v>5.3172883289165362E-4</v>
          </cell>
          <cell r="AB732">
            <v>0.94063183037895381</v>
          </cell>
          <cell r="AC732">
            <v>0.88649109768678691</v>
          </cell>
          <cell r="AD732">
            <v>0.42480187259238428</v>
          </cell>
          <cell r="AE732">
            <v>0.35331879581713455</v>
          </cell>
          <cell r="AF732">
            <v>0.76798045993852726</v>
          </cell>
          <cell r="AG732">
            <v>1.6172152505050499</v>
          </cell>
          <cell r="AH732">
            <v>0.61175264385129924</v>
          </cell>
          <cell r="AI732">
            <v>0.48464504780180878</v>
          </cell>
          <cell r="AJ732">
            <v>0.47350414800693486</v>
          </cell>
          <cell r="AK732">
            <v>0.87365198754738194</v>
          </cell>
          <cell r="AL732">
            <v>1.8963726408202839</v>
          </cell>
        </row>
        <row r="733">
          <cell r="A733" t="str">
            <v>19/12/2006</v>
          </cell>
          <cell r="B733">
            <v>41.45</v>
          </cell>
          <cell r="C733">
            <v>72</v>
          </cell>
          <cell r="D733">
            <v>104.6</v>
          </cell>
          <cell r="E733">
            <v>82.9</v>
          </cell>
          <cell r="F733">
            <v>18.899999999999999</v>
          </cell>
          <cell r="G733">
            <v>6.06</v>
          </cell>
          <cell r="H733">
            <v>13.7</v>
          </cell>
          <cell r="I733">
            <v>75</v>
          </cell>
          <cell r="J733">
            <v>141.19999999999999</v>
          </cell>
          <cell r="K733">
            <v>230</v>
          </cell>
          <cell r="L733">
            <v>74.2</v>
          </cell>
          <cell r="M733">
            <v>18964.55</v>
          </cell>
          <cell r="O733">
            <v>1.5931372549019773E-2</v>
          </cell>
          <cell r="P733">
            <v>6.2730627306273101E-2</v>
          </cell>
          <cell r="Q733">
            <v>1.2584704743465513E-2</v>
          </cell>
          <cell r="R733">
            <v>7.6623376623376593E-2</v>
          </cell>
          <cell r="S733">
            <v>4.7671840354767125E-2</v>
          </cell>
          <cell r="T733">
            <v>4.1237113402061709E-2</v>
          </cell>
          <cell r="U733">
            <v>1.4814814814814836E-2</v>
          </cell>
          <cell r="V733">
            <v>2.0408163265306145E-2</v>
          </cell>
          <cell r="W733">
            <v>-3.2213845099383298E-2</v>
          </cell>
          <cell r="X733">
            <v>3.6036036036036112E-2</v>
          </cell>
          <cell r="Y733">
            <v>8.6383601756954809E-2</v>
          </cell>
          <cell r="Z733">
            <v>5.2335497975941614E-4</v>
          </cell>
          <cell r="AB733">
            <v>0.94167198844786071</v>
          </cell>
          <cell r="AC733">
            <v>0.88314379011191191</v>
          </cell>
          <cell r="AD733">
            <v>0.4236434440216173</v>
          </cell>
          <cell r="AE733">
            <v>0.35056142309602722</v>
          </cell>
          <cell r="AF733">
            <v>0.76549111680874948</v>
          </cell>
          <cell r="AG733">
            <v>1.6169841165911039</v>
          </cell>
          <cell r="AH733">
            <v>0.61222850629288128</v>
          </cell>
          <cell r="AI733">
            <v>0.48426926700223588</v>
          </cell>
          <cell r="AJ733">
            <v>0.47560068336748224</v>
          </cell>
          <cell r="AK733">
            <v>0.87197486893122544</v>
          </cell>
          <cell r="AL733">
            <v>1.8935694910068339</v>
          </cell>
        </row>
        <row r="734">
          <cell r="A734" t="str">
            <v>20/12/2006</v>
          </cell>
          <cell r="B734">
            <v>42.25</v>
          </cell>
          <cell r="C734">
            <v>72.099999999999994</v>
          </cell>
          <cell r="D734">
            <v>105.2</v>
          </cell>
          <cell r="E734">
            <v>83.65</v>
          </cell>
          <cell r="F734">
            <v>19.260000000000002</v>
          </cell>
          <cell r="G734">
            <v>6.19</v>
          </cell>
          <cell r="H734">
            <v>13.8</v>
          </cell>
          <cell r="I734">
            <v>74.849999999999994</v>
          </cell>
          <cell r="J734">
            <v>142.5</v>
          </cell>
          <cell r="K734">
            <v>230.6</v>
          </cell>
          <cell r="L734">
            <v>77.849999999999994</v>
          </cell>
          <cell r="M734">
            <v>19240.12</v>
          </cell>
          <cell r="O734">
            <v>3.0487804878048808E-2</v>
          </cell>
          <cell r="P734">
            <v>5.8737151248164476E-2</v>
          </cell>
          <cell r="Q734">
            <v>1.740812379110257E-2</v>
          </cell>
          <cell r="R734">
            <v>8.3549222797927536E-2</v>
          </cell>
          <cell r="S734">
            <v>5.5921052631579204E-2</v>
          </cell>
          <cell r="T734">
            <v>6.5404475043029375E-2</v>
          </cell>
          <cell r="U734">
            <v>1.9202363367799125E-2</v>
          </cell>
          <cell r="V734">
            <v>1.4227642276422703E-2</v>
          </cell>
          <cell r="W734">
            <v>-2.7967257844474736E-2</v>
          </cell>
          <cell r="X734">
            <v>2.6086956521738092E-3</v>
          </cell>
          <cell r="Y734">
            <v>0.13982430453879946</v>
          </cell>
          <cell r="Z734">
            <v>1.2195725025383686E-2</v>
          </cell>
          <cell r="AB734">
            <v>0.94193031934796834</v>
          </cell>
          <cell r="AC734">
            <v>0.88224063993661017</v>
          </cell>
          <cell r="AD734">
            <v>0.42320619323484054</v>
          </cell>
          <cell r="AE734">
            <v>0.34942760814007384</v>
          </cell>
          <cell r="AF734">
            <v>0.76456231317197032</v>
          </cell>
          <cell r="AG734">
            <v>1.6167032968044517</v>
          </cell>
          <cell r="AH734">
            <v>0.61240610968285802</v>
          </cell>
          <cell r="AI734">
            <v>0.48438085748313398</v>
          </cell>
          <cell r="AJ734">
            <v>0.47640279726734963</v>
          </cell>
          <cell r="AK734">
            <v>0.87232824764635808</v>
          </cell>
          <cell r="AL734">
            <v>1.8919148326292559</v>
          </cell>
        </row>
        <row r="735">
          <cell r="A735" t="str">
            <v>21/12/2006</v>
          </cell>
          <cell r="B735">
            <v>42.35</v>
          </cell>
          <cell r="C735">
            <v>72.099999999999994</v>
          </cell>
          <cell r="D735">
            <v>105.5</v>
          </cell>
          <cell r="E735">
            <v>83.5</v>
          </cell>
          <cell r="F735">
            <v>18.920000000000002</v>
          </cell>
          <cell r="G735">
            <v>6.38</v>
          </cell>
          <cell r="H735">
            <v>13.76</v>
          </cell>
          <cell r="I735">
            <v>74.650000000000006</v>
          </cell>
          <cell r="J735">
            <v>142.1</v>
          </cell>
          <cell r="K735">
            <v>229.6</v>
          </cell>
          <cell r="L735">
            <v>78.45</v>
          </cell>
          <cell r="M735">
            <v>19222.84</v>
          </cell>
          <cell r="O735">
            <v>3.1668696711327771E-2</v>
          </cell>
          <cell r="P735">
            <v>5.2554744525547425E-2</v>
          </cell>
          <cell r="Q735">
            <v>1.7357762777242103E-2</v>
          </cell>
          <cell r="R735">
            <v>0.1030383091149274</v>
          </cell>
          <cell r="S735">
            <v>2.1598272138229069E-2</v>
          </cell>
          <cell r="T735">
            <v>9.8106712564543841E-2</v>
          </cell>
          <cell r="U735">
            <v>1.7751479289940919E-2</v>
          </cell>
          <cell r="V735">
            <v>8.7837837837838606E-3</v>
          </cell>
          <cell r="W735">
            <v>-3.0034129692832812E-2</v>
          </cell>
          <cell r="X735">
            <v>1.0563380281690238E-2</v>
          </cell>
          <cell r="Y735">
            <v>0.11434659090909083</v>
          </cell>
          <cell r="Z735">
            <v>-1.4518884679538546E-3</v>
          </cell>
          <cell r="AB735">
            <v>0.94224042625874338</v>
          </cell>
          <cell r="AC735">
            <v>0.87900731068280014</v>
          </cell>
          <cell r="AD735">
            <v>0.42165759612608339</v>
          </cell>
          <cell r="AE735">
            <v>0.34489646521141604</v>
          </cell>
          <cell r="AF735">
            <v>0.76354565759982373</v>
          </cell>
          <cell r="AG735">
            <v>1.6128958511784186</v>
          </cell>
          <cell r="AH735">
            <v>0.61295351494273975</v>
          </cell>
          <cell r="AI735">
            <v>0.4847616900048396</v>
          </cell>
          <cell r="AJ735">
            <v>0.47856154022720965</v>
          </cell>
          <cell r="AK735">
            <v>0.8722150420701138</v>
          </cell>
          <cell r="AL735">
            <v>1.8866434967595129</v>
          </cell>
        </row>
        <row r="736">
          <cell r="A736" t="str">
            <v>22/12/2006</v>
          </cell>
          <cell r="B736">
            <v>42.15</v>
          </cell>
          <cell r="C736">
            <v>71.2</v>
          </cell>
          <cell r="D736">
            <v>105.6</v>
          </cell>
          <cell r="E736">
            <v>83</v>
          </cell>
          <cell r="F736">
            <v>19.12</v>
          </cell>
          <cell r="G736">
            <v>6.42</v>
          </cell>
          <cell r="H736">
            <v>13.78</v>
          </cell>
          <cell r="I736">
            <v>75.400000000000006</v>
          </cell>
          <cell r="J736">
            <v>141.6</v>
          </cell>
          <cell r="K736">
            <v>228</v>
          </cell>
          <cell r="L736">
            <v>78.55</v>
          </cell>
          <cell r="M736">
            <v>19320.52</v>
          </cell>
          <cell r="O736">
            <v>-3.4364261168384869E-2</v>
          </cell>
          <cell r="P736">
            <v>2.5936599423631135E-2</v>
          </cell>
          <cell r="Q736">
            <v>2.2265246853823806E-2</v>
          </cell>
          <cell r="R736">
            <v>6.2740076824584046E-2</v>
          </cell>
          <cell r="S736">
            <v>9.5036958817318329E-3</v>
          </cell>
          <cell r="T736">
            <v>1.5822784810126445E-2</v>
          </cell>
          <cell r="U736">
            <v>-3.6363636363636487E-2</v>
          </cell>
          <cell r="V736">
            <v>1.1401743796110031E-2</v>
          </cell>
          <cell r="W736">
            <v>-3.0800821355236097E-2</v>
          </cell>
          <cell r="X736">
            <v>-1.7513134851138146E-3</v>
          </cell>
          <cell r="Y736">
            <v>0.11497515968772176</v>
          </cell>
          <cell r="Z736">
            <v>3.1266387335608936E-3</v>
          </cell>
          <cell r="AB736">
            <v>0.94469280670495304</v>
          </cell>
          <cell r="AC736">
            <v>0.87889180271270251</v>
          </cell>
          <cell r="AD736">
            <v>0.41993578988005492</v>
          </cell>
          <cell r="AE736">
            <v>0.34258794095111522</v>
          </cell>
          <cell r="AF736">
            <v>0.76281358613402328</v>
          </cell>
          <cell r="AG736">
            <v>1.6124249256837588</v>
          </cell>
          <cell r="AH736">
            <v>0.61432905383991454</v>
          </cell>
          <cell r="AI736">
            <v>0.48414425625738383</v>
          </cell>
          <cell r="AJ736">
            <v>0.48017303340923695</v>
          </cell>
          <cell r="AK736">
            <v>0.87189138885067541</v>
          </cell>
          <cell r="AL736">
            <v>1.8835677777833377</v>
          </cell>
        </row>
        <row r="737">
          <cell r="A737" t="str">
            <v>26/12/2006</v>
          </cell>
          <cell r="B737">
            <v>42.15</v>
          </cell>
          <cell r="C737">
            <v>71.2</v>
          </cell>
          <cell r="D737">
            <v>105.6</v>
          </cell>
          <cell r="E737">
            <v>83</v>
          </cell>
          <cell r="F737">
            <v>19.12</v>
          </cell>
          <cell r="G737">
            <v>6.42</v>
          </cell>
          <cell r="H737">
            <v>13.78</v>
          </cell>
          <cell r="I737">
            <v>75.400000000000006</v>
          </cell>
          <cell r="J737">
            <v>141.6</v>
          </cell>
          <cell r="K737">
            <v>228</v>
          </cell>
          <cell r="L737">
            <v>78.55</v>
          </cell>
          <cell r="M737">
            <v>19320.52</v>
          </cell>
          <cell r="O737">
            <v>-1.8626309662398199E-2</v>
          </cell>
          <cell r="P737">
            <v>1.1363636363636243E-2</v>
          </cell>
          <cell r="Q737">
            <v>2.1276595744680771E-2</v>
          </cell>
          <cell r="R737">
            <v>5.1298290056998042E-2</v>
          </cell>
          <cell r="S737">
            <v>1.2711864406779849E-2</v>
          </cell>
          <cell r="T737">
            <v>5.7660626029653939E-2</v>
          </cell>
          <cell r="U737">
            <v>-1.2893982808023008E-2</v>
          </cell>
          <cell r="V737">
            <v>1.4804845222072816E-2</v>
          </cell>
          <cell r="W737">
            <v>-2.613480055020645E-2</v>
          </cell>
          <cell r="X737">
            <v>-1.7513134851138146E-3</v>
          </cell>
          <cell r="Y737">
            <v>0.12455261274158924</v>
          </cell>
          <cell r="Z737">
            <v>6.0669620563622573E-3</v>
          </cell>
          <cell r="AB737">
            <v>0.94570331860324741</v>
          </cell>
          <cell r="AC737">
            <v>0.87928517015950136</v>
          </cell>
          <cell r="AD737">
            <v>0.4185985197294656</v>
          </cell>
          <cell r="AE737">
            <v>0.34060566231494555</v>
          </cell>
          <cell r="AF737">
            <v>0.76241726821473821</v>
          </cell>
          <cell r="AG737">
            <v>1.6093862479964995</v>
          </cell>
          <cell r="AH737">
            <v>0.61449434926951629</v>
          </cell>
          <cell r="AI737">
            <v>0.48419306712547494</v>
          </cell>
          <cell r="AJ737">
            <v>0.48129919009088262</v>
          </cell>
          <cell r="AK737">
            <v>0.87224981447496597</v>
          </cell>
          <cell r="AL737">
            <v>1.881304879801142</v>
          </cell>
        </row>
        <row r="738">
          <cell r="A738" t="str">
            <v>27/12/2006</v>
          </cell>
          <cell r="B738">
            <v>42.4</v>
          </cell>
          <cell r="C738">
            <v>71.099999999999994</v>
          </cell>
          <cell r="D738">
            <v>105.9</v>
          </cell>
          <cell r="E738">
            <v>83.05</v>
          </cell>
          <cell r="F738">
            <v>19.38</v>
          </cell>
          <cell r="G738">
            <v>6.62</v>
          </cell>
          <cell r="H738">
            <v>13.98</v>
          </cell>
          <cell r="I738">
            <v>75.849999999999994</v>
          </cell>
          <cell r="J738">
            <v>142.19999999999999</v>
          </cell>
          <cell r="K738">
            <v>231.2</v>
          </cell>
          <cell r="L738">
            <v>81.599999999999994</v>
          </cell>
          <cell r="M738">
            <v>19725.73</v>
          </cell>
          <cell r="O738">
            <v>2.6634382566586012E-2</v>
          </cell>
          <cell r="P738">
            <v>4.237288135593209E-3</v>
          </cell>
          <cell r="Q738">
            <v>2.8155339805825408E-2</v>
          </cell>
          <cell r="R738">
            <v>5.1931602279923883E-2</v>
          </cell>
          <cell r="S738">
            <v>5.211726384364801E-2</v>
          </cell>
          <cell r="T738">
            <v>0.14335060449050085</v>
          </cell>
          <cell r="U738">
            <v>4.3283582089552297E-2</v>
          </cell>
          <cell r="V738">
            <v>3.9041095890410826E-2</v>
          </cell>
          <cell r="W738">
            <v>-4.2016806722691147E-3</v>
          </cell>
          <cell r="X738">
            <v>3.8634321653189474E-2</v>
          </cell>
          <cell r="Y738">
            <v>0.22430607651912959</v>
          </cell>
          <cell r="Z738">
            <v>5.8274001544030396E-2</v>
          </cell>
          <cell r="AB738">
            <v>0.93672500691672889</v>
          </cell>
          <cell r="AC738">
            <v>0.87283838013841808</v>
          </cell>
          <cell r="AD738">
            <v>0.41955460516085086</v>
          </cell>
          <cell r="AE738">
            <v>0.3400419476871524</v>
          </cell>
          <cell r="AF738">
            <v>0.76216665704834807</v>
          </cell>
          <cell r="AG738">
            <v>1.6088847109611411</v>
          </cell>
          <cell r="AH738">
            <v>0.61138733553621383</v>
          </cell>
          <cell r="AI738">
            <v>0.48390126770229946</v>
          </cell>
          <cell r="AJ738">
            <v>0.47687847827911695</v>
          </cell>
          <cell r="AK738">
            <v>0.86949483904254388</v>
          </cell>
          <cell r="AL738">
            <v>1.8904475348379099</v>
          </cell>
        </row>
        <row r="739">
          <cell r="A739" t="str">
            <v>28/12/2006</v>
          </cell>
          <cell r="B739">
            <v>43.9</v>
          </cell>
          <cell r="C739">
            <v>70.599999999999994</v>
          </cell>
          <cell r="D739">
            <v>106.1</v>
          </cell>
          <cell r="E739">
            <v>85.5</v>
          </cell>
          <cell r="F739">
            <v>21</v>
          </cell>
          <cell r="G739">
            <v>6.75</v>
          </cell>
          <cell r="H739">
            <v>14.38</v>
          </cell>
          <cell r="I739">
            <v>77.3</v>
          </cell>
          <cell r="J739">
            <v>142.80000000000001</v>
          </cell>
          <cell r="K739">
            <v>230</v>
          </cell>
          <cell r="L739">
            <v>84.5</v>
          </cell>
          <cell r="M739">
            <v>20001.91</v>
          </cell>
          <cell r="O739">
            <v>5.2757793764987904E-2</v>
          </cell>
          <cell r="P739">
            <v>2.8409090909089496E-3</v>
          </cell>
          <cell r="Q739">
            <v>2.5120772946859882E-2</v>
          </cell>
          <cell r="R739">
            <v>5.9479553903345694E-2</v>
          </cell>
          <cell r="S739">
            <v>0.13390928725701956</v>
          </cell>
          <cell r="T739">
            <v>0.12687813021702832</v>
          </cell>
          <cell r="U739">
            <v>2.7142857142857135E-2</v>
          </cell>
          <cell r="V739">
            <v>5.1700680272108723E-2</v>
          </cell>
          <cell r="W739">
            <v>-6.9541029207231819E-3</v>
          </cell>
          <cell r="X739">
            <v>3.0465949820788651E-2</v>
          </cell>
          <cell r="Y739">
            <v>0.25744047619047605</v>
          </cell>
          <cell r="Z739">
            <v>6.5011690049427751E-2</v>
          </cell>
          <cell r="AB739">
            <v>0.92986012110622207</v>
          </cell>
          <cell r="AC739">
            <v>0.86404726593504844</v>
          </cell>
          <cell r="AD739">
            <v>0.41996800290666203</v>
          </cell>
          <cell r="AE739">
            <v>0.34023399380388386</v>
          </cell>
          <cell r="AF739">
            <v>0.77299356269815589</v>
          </cell>
          <cell r="AG739">
            <v>1.6045347544909945</v>
          </cell>
          <cell r="AH739">
            <v>0.60523191433976764</v>
          </cell>
          <cell r="AI739">
            <v>0.48487200892644772</v>
          </cell>
          <cell r="AJ739">
            <v>0.47099599125931652</v>
          </cell>
          <cell r="AK739">
            <v>0.86404733325071625</v>
          </cell>
          <cell r="AL739">
            <v>1.9047487416160602</v>
          </cell>
        </row>
        <row r="740">
          <cell r="A740" t="str">
            <v>29/12/2006</v>
          </cell>
          <cell r="B740">
            <v>44.05</v>
          </cell>
          <cell r="C740">
            <v>70.45</v>
          </cell>
          <cell r="D740">
            <v>106.3</v>
          </cell>
          <cell r="E740">
            <v>91.5</v>
          </cell>
          <cell r="F740">
            <v>21.1</v>
          </cell>
          <cell r="G740">
            <v>6.98</v>
          </cell>
          <cell r="H740">
            <v>15</v>
          </cell>
          <cell r="I740">
            <v>81.5</v>
          </cell>
          <cell r="J740">
            <v>142.6</v>
          </cell>
          <cell r="K740">
            <v>229.8</v>
          </cell>
          <cell r="L740">
            <v>85.5</v>
          </cell>
          <cell r="M740">
            <v>19964.72</v>
          </cell>
          <cell r="O740">
            <v>5.0059594755661463E-2</v>
          </cell>
          <cell r="P740">
            <v>-3.5360678925034916E-3</v>
          </cell>
          <cell r="Q740">
            <v>2.4084778420038644E-2</v>
          </cell>
          <cell r="R740">
            <v>0.11449451887941553</v>
          </cell>
          <cell r="S740">
            <v>0.12593383137673442</v>
          </cell>
          <cell r="T740">
            <v>0.1575456053067994</v>
          </cell>
          <cell r="U740">
            <v>7.9136690647481966E-2</v>
          </cell>
          <cell r="V740">
            <v>8.8844355377421635E-2</v>
          </cell>
          <cell r="W740">
            <v>-1.3148788927335731E-2</v>
          </cell>
          <cell r="X740">
            <v>7.8947368421053987E-3</v>
          </cell>
          <cell r="Y740">
            <v>0.24635568513119543</v>
          </cell>
          <cell r="Z740">
            <v>5.2964903842096955E-2</v>
          </cell>
          <cell r="AB740">
            <v>0.92566262036867109</v>
          </cell>
          <cell r="AC740">
            <v>0.85745255151966038</v>
          </cell>
          <cell r="AD740">
            <v>0.42078064682195659</v>
          </cell>
          <cell r="AE740">
            <v>0.34681222191892225</v>
          </cell>
          <cell r="AF740">
            <v>0.78145699035429117</v>
          </cell>
          <cell r="AG740">
            <v>1.6062621914533239</v>
          </cell>
          <cell r="AH740">
            <v>0.60709156451771218</v>
          </cell>
          <cell r="AI740">
            <v>0.49072846994494135</v>
          </cell>
          <cell r="AJ740">
            <v>0.46673184905176757</v>
          </cell>
          <cell r="AK740">
            <v>0.85886543444654229</v>
          </cell>
          <cell r="AL740">
            <v>1.9177462100374856</v>
          </cell>
        </row>
        <row r="741">
          <cell r="A741" t="str">
            <v>03/01/2007</v>
          </cell>
          <cell r="B741">
            <v>43.55</v>
          </cell>
          <cell r="C741">
            <v>71.849999999999994</v>
          </cell>
          <cell r="D741">
            <v>107</v>
          </cell>
          <cell r="E741">
            <v>88.5</v>
          </cell>
          <cell r="F741">
            <v>21</v>
          </cell>
          <cell r="G741">
            <v>7.21</v>
          </cell>
          <cell r="H741">
            <v>16.100000000000001</v>
          </cell>
          <cell r="I741">
            <v>79.400000000000006</v>
          </cell>
          <cell r="J741">
            <v>144.80000000000001</v>
          </cell>
          <cell r="K741">
            <v>232.6</v>
          </cell>
          <cell r="L741">
            <v>86.6</v>
          </cell>
          <cell r="M741">
            <v>20413.39</v>
          </cell>
          <cell r="O741">
            <v>6.7401960784313708E-2</v>
          </cell>
          <cell r="P741">
            <v>2.204836415362732E-2</v>
          </cell>
          <cell r="Q741">
            <v>3.4816247582204918E-2</v>
          </cell>
          <cell r="R741">
            <v>6.8840579710145011E-2</v>
          </cell>
          <cell r="S741">
            <v>0.14503816793893121</v>
          </cell>
          <cell r="T741">
            <v>0.20568561872909696</v>
          </cell>
          <cell r="U741">
            <v>0.15494978479196564</v>
          </cell>
          <cell r="V741">
            <v>5.1655629139072845E-2</v>
          </cell>
          <cell r="W741">
            <v>3.4650034650034467E-3</v>
          </cell>
          <cell r="X741">
            <v>2.5573192239858766E-2</v>
          </cell>
          <cell r="Y741">
            <v>0.28296296296296286</v>
          </cell>
          <cell r="Z741">
            <v>9.2161285593676423E-2</v>
          </cell>
          <cell r="AB741">
            <v>0.91341671287633386</v>
          </cell>
          <cell r="AC741">
            <v>0.84646581676040766</v>
          </cell>
          <cell r="AD741">
            <v>0.42101827900581618</v>
          </cell>
          <cell r="AE741">
            <v>0.34918653623108942</v>
          </cell>
          <cell r="AF741">
            <v>0.79804853469333092</v>
          </cell>
          <cell r="AG741">
            <v>1.6095931684740672</v>
          </cell>
          <cell r="AH741">
            <v>0.6220099575095468</v>
          </cell>
          <cell r="AI741">
            <v>0.49119904136863268</v>
          </cell>
          <cell r="AJ741">
            <v>0.45759337220729157</v>
          </cell>
          <cell r="AK741">
            <v>0.84723855917929247</v>
          </cell>
          <cell r="AL741">
            <v>1.9455524550255927</v>
          </cell>
        </row>
        <row r="742">
          <cell r="A742" t="str">
            <v>04/01/2007</v>
          </cell>
          <cell r="B742">
            <v>43</v>
          </cell>
          <cell r="C742">
            <v>70.05</v>
          </cell>
          <cell r="D742">
            <v>106.8</v>
          </cell>
          <cell r="E742">
            <v>84.7</v>
          </cell>
          <cell r="F742">
            <v>20.100000000000001</v>
          </cell>
          <cell r="G742">
            <v>6.83</v>
          </cell>
          <cell r="H742">
            <v>15.72</v>
          </cell>
          <cell r="I742">
            <v>78.25</v>
          </cell>
          <cell r="J742">
            <v>143.9</v>
          </cell>
          <cell r="K742">
            <v>229.6</v>
          </cell>
          <cell r="L742">
            <v>83.15</v>
          </cell>
          <cell r="M742">
            <v>20025.580000000002</v>
          </cell>
          <cell r="O742">
            <v>3.3653846153846034E-2</v>
          </cell>
          <cell r="P742">
            <v>-2.6407227241139752E-2</v>
          </cell>
          <cell r="Q742">
            <v>2.8901734104046284E-2</v>
          </cell>
          <cell r="R742">
            <v>1.4979029358897611E-2</v>
          </cell>
          <cell r="S742">
            <v>8.6486486486486491E-2</v>
          </cell>
          <cell r="T742">
            <v>0.15371621621621623</v>
          </cell>
          <cell r="U742">
            <v>0.11647727272727271</v>
          </cell>
          <cell r="V742">
            <v>3.7798408488063595E-2</v>
          </cell>
          <cell r="W742">
            <v>1.3917884481560172E-3</v>
          </cell>
          <cell r="X742">
            <v>1.1453744493391982E-2</v>
          </cell>
          <cell r="Y742">
            <v>0.22459499263622984</v>
          </cell>
          <cell r="Z742">
            <v>7.0730315841591063E-2</v>
          </cell>
          <cell r="AB742">
            <v>0.9027448438778044</v>
          </cell>
          <cell r="AC742">
            <v>0.83523769664266601</v>
          </cell>
          <cell r="AD742">
            <v>0.42140441842892884</v>
          </cell>
          <cell r="AE742">
            <v>0.34161593935147494</v>
          </cell>
          <cell r="AF742">
            <v>0.80463209555559567</v>
          </cell>
          <cell r="AG742">
            <v>1.6091467069163228</v>
          </cell>
          <cell r="AH742">
            <v>0.62720495796817743</v>
          </cell>
          <cell r="AI742">
            <v>0.4906477347575835</v>
          </cell>
          <cell r="AJ742">
            <v>0.45258874415732125</v>
          </cell>
          <cell r="AK742">
            <v>0.84413340764154643</v>
          </cell>
          <cell r="AL742">
            <v>1.9757452659516561</v>
          </cell>
        </row>
        <row r="743">
          <cell r="A743" t="str">
            <v>05/01/2007</v>
          </cell>
          <cell r="B743">
            <v>43</v>
          </cell>
          <cell r="C743">
            <v>74.25</v>
          </cell>
          <cell r="D743">
            <v>106.8</v>
          </cell>
          <cell r="E743">
            <v>84.7</v>
          </cell>
          <cell r="F743">
            <v>20.05</v>
          </cell>
          <cell r="G743">
            <v>6.82</v>
          </cell>
          <cell r="H743">
            <v>15.34</v>
          </cell>
          <cell r="I743">
            <v>80.7</v>
          </cell>
          <cell r="J743">
            <v>143.4</v>
          </cell>
          <cell r="K743">
            <v>228</v>
          </cell>
          <cell r="L743">
            <v>82.7</v>
          </cell>
          <cell r="M743">
            <v>20211.28</v>
          </cell>
          <cell r="O743">
            <v>3.1175059952038398E-2</v>
          </cell>
          <cell r="P743">
            <v>4.8728813559322015E-2</v>
          </cell>
          <cell r="Q743">
            <v>2.5936599423631135E-2</v>
          </cell>
          <cell r="R743">
            <v>-2.7554535017221493E-2</v>
          </cell>
          <cell r="S743">
            <v>6.5356004250797017E-2</v>
          </cell>
          <cell r="T743">
            <v>0.13666666666666671</v>
          </cell>
          <cell r="U743">
            <v>8.3333333333333259E-2</v>
          </cell>
          <cell r="V743">
            <v>5.7667103538663333E-2</v>
          </cell>
          <cell r="W743">
            <v>-8.2987551867219622E-3</v>
          </cell>
          <cell r="X743">
            <v>3.5211267605634866E-3</v>
          </cell>
          <cell r="Y743">
            <v>0.19078473722102229</v>
          </cell>
          <cell r="Z743">
            <v>6.6885414472722227E-2</v>
          </cell>
          <cell r="AB743">
            <v>0.89285656788939138</v>
          </cell>
          <cell r="AC743">
            <v>0.83364823442747471</v>
          </cell>
          <cell r="AD743">
            <v>0.42178733541323721</v>
          </cell>
          <cell r="AE743">
            <v>0.32885452923743169</v>
          </cell>
          <cell r="AF743">
            <v>0.80723404084302608</v>
          </cell>
          <cell r="AG743">
            <v>1.6063352529080295</v>
          </cell>
          <cell r="AH743">
            <v>0.62947336894399031</v>
          </cell>
          <cell r="AI743">
            <v>0.49244240411530521</v>
          </cell>
          <cell r="AJ743">
            <v>0.44718561896475201</v>
          </cell>
          <cell r="AK743">
            <v>0.83707591215961485</v>
          </cell>
          <cell r="AL743">
            <v>1.9905037140568609</v>
          </cell>
        </row>
        <row r="744">
          <cell r="A744" t="str">
            <v>08/01/2007</v>
          </cell>
          <cell r="B744">
            <v>42.35</v>
          </cell>
          <cell r="C744">
            <v>78.900000000000006</v>
          </cell>
          <cell r="D744">
            <v>107</v>
          </cell>
          <cell r="E744">
            <v>84.55</v>
          </cell>
          <cell r="F744">
            <v>20</v>
          </cell>
          <cell r="G744">
            <v>6.8</v>
          </cell>
          <cell r="H744">
            <v>15.46</v>
          </cell>
          <cell r="I744">
            <v>83.1</v>
          </cell>
          <cell r="J744">
            <v>142.19999999999999</v>
          </cell>
          <cell r="K744">
            <v>224.6</v>
          </cell>
          <cell r="L744">
            <v>84.25</v>
          </cell>
          <cell r="M744">
            <v>20029.66</v>
          </cell>
          <cell r="O744">
            <v>1.0739856801909475E-2</v>
          </cell>
          <cell r="P744">
            <v>0.10814606741573041</v>
          </cell>
          <cell r="Q744">
            <v>2.7857829010566881E-2</v>
          </cell>
          <cell r="R744">
            <v>-0.11927083333333333</v>
          </cell>
          <cell r="S744">
            <v>6.7235859124866737E-2</v>
          </cell>
          <cell r="T744">
            <v>0.15059221658206434</v>
          </cell>
          <cell r="U744">
            <v>8.7201125175808691E-2</v>
          </cell>
          <cell r="V744">
            <v>7.3643410852713087E-2</v>
          </cell>
          <cell r="W744">
            <v>7.0372976776922336E-4</v>
          </cell>
          <cell r="X744">
            <v>-1.777777777777767E-3</v>
          </cell>
          <cell r="Y744">
            <v>0.19673295454545436</v>
          </cell>
          <cell r="Z744">
            <v>5.2732104301610905E-2</v>
          </cell>
          <cell r="AB744">
            <v>0.88596066354326997</v>
          </cell>
          <cell r="AC744">
            <v>0.83927708911156185</v>
          </cell>
          <cell r="AD744">
            <v>0.42296069475538106</v>
          </cell>
          <cell r="AE744">
            <v>0.31206780863938721</v>
          </cell>
          <cell r="AF744">
            <v>0.80933713046779077</v>
          </cell>
          <cell r="AG744">
            <v>1.608968463290543</v>
          </cell>
          <cell r="AH744">
            <v>0.6326497900651209</v>
          </cell>
          <cell r="AI744">
            <v>0.49574617782507591</v>
          </cell>
          <cell r="AJ744">
            <v>0.44484904397309555</v>
          </cell>
          <cell r="AK744">
            <v>0.83206896938084873</v>
          </cell>
          <cell r="AL744">
            <v>1.996712916193766</v>
          </cell>
        </row>
        <row r="745">
          <cell r="A745" t="str">
            <v>09/01/2007</v>
          </cell>
          <cell r="B745">
            <v>43.95</v>
          </cell>
          <cell r="C745">
            <v>80.7</v>
          </cell>
          <cell r="D745">
            <v>107.6</v>
          </cell>
          <cell r="E745">
            <v>85.75</v>
          </cell>
          <cell r="F745">
            <v>20.149999999999999</v>
          </cell>
          <cell r="G745">
            <v>6.68</v>
          </cell>
          <cell r="H745">
            <v>15.8</v>
          </cell>
          <cell r="I745">
            <v>82.65</v>
          </cell>
          <cell r="J745">
            <v>141.5</v>
          </cell>
          <cell r="K745">
            <v>222.2</v>
          </cell>
          <cell r="L745">
            <v>85.9</v>
          </cell>
          <cell r="M745">
            <v>19898.080000000002</v>
          </cell>
          <cell r="O745">
            <v>5.5222088835534366E-2</v>
          </cell>
          <cell r="P745">
            <v>0.17126269956458628</v>
          </cell>
          <cell r="Q745">
            <v>3.3621517771373677E-2</v>
          </cell>
          <cell r="R745">
            <v>-1.7462165308499422E-3</v>
          </cell>
          <cell r="S745">
            <v>8.2169709989258655E-2</v>
          </cell>
          <cell r="T745">
            <v>0.13605442176870741</v>
          </cell>
          <cell r="U745">
            <v>0.12857142857142856</v>
          </cell>
          <cell r="V745">
            <v>5.9615384615384626E-2</v>
          </cell>
          <cell r="W745">
            <v>2.8348688873141015E-3</v>
          </cell>
          <cell r="X745">
            <v>-8.0357142857143682E-3</v>
          </cell>
          <cell r="Y745">
            <v>0.23775216138328537</v>
          </cell>
          <cell r="Z745">
            <v>5.5993767443489606E-2</v>
          </cell>
          <cell r="AB745">
            <v>0.88264910987323864</v>
          </cell>
          <cell r="AC745">
            <v>0.852223313357934</v>
          </cell>
          <cell r="AD745">
            <v>0.42455877413492482</v>
          </cell>
          <cell r="AE745">
            <v>0.30690905619169123</v>
          </cell>
          <cell r="AF745">
            <v>0.81377717858468623</v>
          </cell>
          <cell r="AG745">
            <v>1.6096494623043585</v>
          </cell>
          <cell r="AH745">
            <v>0.64017331791510335</v>
          </cell>
          <cell r="AI745">
            <v>0.49741133467113385</v>
          </cell>
          <cell r="AJ745">
            <v>0.44262827574746894</v>
          </cell>
          <cell r="AK745">
            <v>0.82633959619171404</v>
          </cell>
          <cell r="AL745">
            <v>2.0100777762417086</v>
          </cell>
        </row>
        <row r="746">
          <cell r="A746" t="str">
            <v>10/01/2007</v>
          </cell>
          <cell r="B746">
            <v>43.35</v>
          </cell>
          <cell r="C746">
            <v>79.8</v>
          </cell>
          <cell r="D746">
            <v>107.6</v>
          </cell>
          <cell r="E746">
            <v>88.5</v>
          </cell>
          <cell r="F746">
            <v>19.98</v>
          </cell>
          <cell r="G746">
            <v>6.55</v>
          </cell>
          <cell r="H746">
            <v>15.8</v>
          </cell>
          <cell r="I746">
            <v>81.900000000000006</v>
          </cell>
          <cell r="J746">
            <v>140.1</v>
          </cell>
          <cell r="K746">
            <v>223</v>
          </cell>
          <cell r="L746">
            <v>82.95</v>
          </cell>
          <cell r="M746">
            <v>19568.34</v>
          </cell>
          <cell r="O746">
            <v>5.9902200488997526E-2</v>
          </cell>
          <cell r="P746">
            <v>0.16072727272727261</v>
          </cell>
          <cell r="Q746">
            <v>3.163950143815919E-2</v>
          </cell>
          <cell r="R746">
            <v>6.6265060240963791E-2</v>
          </cell>
          <cell r="S746">
            <v>8.0000000000000071E-2</v>
          </cell>
          <cell r="T746">
            <v>0.12349914236706683</v>
          </cell>
          <cell r="U746">
            <v>0.14161849710982666</v>
          </cell>
          <cell r="V746">
            <v>4.7314578005115182E-2</v>
          </cell>
          <cell r="W746">
            <v>-5.6777856635912283E-3</v>
          </cell>
          <cell r="X746">
            <v>-1.5887025595763382E-2</v>
          </cell>
          <cell r="Y746">
            <v>0.18415417558886515</v>
          </cell>
          <cell r="Z746">
            <v>4.4202264782425171E-2</v>
          </cell>
          <cell r="AB746">
            <v>0.88509301501518167</v>
          </cell>
          <cell r="AC746">
            <v>0.86178380488630824</v>
          </cell>
          <cell r="AD746">
            <v>0.42631349452381773</v>
          </cell>
          <cell r="AE746">
            <v>0.30693635671010788</v>
          </cell>
          <cell r="AF746">
            <v>0.81325115953483795</v>
          </cell>
          <cell r="AG746">
            <v>1.611834989225551</v>
          </cell>
          <cell r="AH746">
            <v>0.64743084430975073</v>
          </cell>
          <cell r="AI746">
            <v>0.49844644398731069</v>
          </cell>
          <cell r="AJ746">
            <v>0.43880366732087189</v>
          </cell>
          <cell r="AK746">
            <v>0.8178754823992298</v>
          </cell>
          <cell r="AL746">
            <v>2.002120165754516</v>
          </cell>
        </row>
        <row r="747">
          <cell r="A747" t="str">
            <v>11/01/2007</v>
          </cell>
          <cell r="B747">
            <v>43.85</v>
          </cell>
          <cell r="C747">
            <v>79.900000000000006</v>
          </cell>
          <cell r="D747">
            <v>108.2</v>
          </cell>
          <cell r="E747">
            <v>90.05</v>
          </cell>
          <cell r="F747">
            <v>20.149999999999999</v>
          </cell>
          <cell r="G747">
            <v>6.57</v>
          </cell>
          <cell r="H747">
            <v>16.260000000000002</v>
          </cell>
          <cell r="I747">
            <v>82.2</v>
          </cell>
          <cell r="J747">
            <v>139</v>
          </cell>
          <cell r="K747">
            <v>220</v>
          </cell>
          <cell r="L747">
            <v>81.150000000000006</v>
          </cell>
          <cell r="M747">
            <v>19385.37</v>
          </cell>
          <cell r="O747">
            <v>7.0818070818070789E-2</v>
          </cell>
          <cell r="P747">
            <v>0.16557257476294684</v>
          </cell>
          <cell r="Q747">
            <v>3.5406698564593331E-2</v>
          </cell>
          <cell r="R747">
            <v>6.947743467933476E-2</v>
          </cell>
          <cell r="S747">
            <v>7.4093816631129794E-2</v>
          </cell>
          <cell r="T747">
            <v>0.13864818024263448</v>
          </cell>
          <cell r="U747">
            <v>0.1681034482758621</v>
          </cell>
          <cell r="V747">
            <v>4.0506329113924044E-2</v>
          </cell>
          <cell r="W747">
            <v>-9.2658588738419034E-3</v>
          </cell>
          <cell r="X747">
            <v>-4.7619047619047672E-2</v>
          </cell>
          <cell r="Y747">
            <v>0.14943342776203994</v>
          </cell>
          <cell r="Z747">
            <v>2.4344426795514407E-2</v>
          </cell>
          <cell r="AB747">
            <v>0.88852578581339325</v>
          </cell>
          <cell r="AC747">
            <v>0.8640606780104424</v>
          </cell>
          <cell r="AD747">
            <v>0.42700743743156966</v>
          </cell>
          <cell r="AE747">
            <v>0.3063586561405191</v>
          </cell>
          <cell r="AF747">
            <v>0.8110391733555804</v>
          </cell>
          <cell r="AG747">
            <v>1.6165669786718875</v>
          </cell>
          <cell r="AH747">
            <v>0.64868534200457539</v>
          </cell>
          <cell r="AI747">
            <v>0.49849524969363518</v>
          </cell>
          <cell r="AJ747">
            <v>0.43606849458950564</v>
          </cell>
          <cell r="AK747">
            <v>0.81203597935179961</v>
          </cell>
          <cell r="AL747">
            <v>1.9903022104918231</v>
          </cell>
        </row>
        <row r="748">
          <cell r="A748" t="str">
            <v>12/01/2007</v>
          </cell>
          <cell r="B748">
            <v>45.55</v>
          </cell>
          <cell r="C748">
            <v>79.05</v>
          </cell>
          <cell r="D748">
            <v>109.6</v>
          </cell>
          <cell r="E748">
            <v>93.75</v>
          </cell>
          <cell r="F748">
            <v>20.149999999999999</v>
          </cell>
          <cell r="G748">
            <v>6.76</v>
          </cell>
          <cell r="H748">
            <v>16.78</v>
          </cell>
          <cell r="I748">
            <v>82.8</v>
          </cell>
          <cell r="J748">
            <v>139.4</v>
          </cell>
          <cell r="K748">
            <v>226.6</v>
          </cell>
          <cell r="L748">
            <v>82.95</v>
          </cell>
          <cell r="M748">
            <v>19613.41</v>
          </cell>
          <cell r="O748">
            <v>0.11505507955936345</v>
          </cell>
          <cell r="P748">
            <v>0.1548575602629656</v>
          </cell>
          <cell r="Q748">
            <v>4.8803827751196183E-2</v>
          </cell>
          <cell r="R748">
            <v>0.12477504499100189</v>
          </cell>
          <cell r="S748">
            <v>8.4499461786867514E-2</v>
          </cell>
          <cell r="T748">
            <v>0.16753022452504318</v>
          </cell>
          <cell r="U748">
            <v>0.18502824858757072</v>
          </cell>
          <cell r="V748">
            <v>4.1509433962264142E-2</v>
          </cell>
          <cell r="W748">
            <v>-1.1347517730496359E-2</v>
          </cell>
          <cell r="X748">
            <v>-1.0480349344978213E-2</v>
          </cell>
          <cell r="Y748">
            <v>0.17743080198722505</v>
          </cell>
          <cell r="Z748">
            <v>3.7353025333775491E-2</v>
          </cell>
          <cell r="AB748">
            <v>0.89461014405974337</v>
          </cell>
          <cell r="AC748">
            <v>0.87108717354827059</v>
          </cell>
          <cell r="AD748">
            <v>0.42946074998149403</v>
          </cell>
          <cell r="AE748">
            <v>0.3102002266472032</v>
          </cell>
          <cell r="AF748">
            <v>0.8102857140522971</v>
          </cell>
          <cell r="AG748">
            <v>1.6224320145893449</v>
          </cell>
          <cell r="AH748">
            <v>0.65530633843643427</v>
          </cell>
          <cell r="AI748">
            <v>0.49912615551335326</v>
          </cell>
          <cell r="AJ748">
            <v>0.43242948670284997</v>
          </cell>
          <cell r="AK748">
            <v>0.80747854913574579</v>
          </cell>
          <cell r="AL748">
            <v>1.9851799573725573</v>
          </cell>
        </row>
        <row r="749">
          <cell r="A749" t="str">
            <v>16/01/2007</v>
          </cell>
          <cell r="B749">
            <v>46.7</v>
          </cell>
          <cell r="C749">
            <v>78.25</v>
          </cell>
          <cell r="D749">
            <v>111.9</v>
          </cell>
          <cell r="E749">
            <v>94.3</v>
          </cell>
          <cell r="F749">
            <v>21.4</v>
          </cell>
          <cell r="G749">
            <v>6.79</v>
          </cell>
          <cell r="H749">
            <v>17.12</v>
          </cell>
          <cell r="I749">
            <v>85.8</v>
          </cell>
          <cell r="J749">
            <v>140.6</v>
          </cell>
          <cell r="K749">
            <v>227.4</v>
          </cell>
          <cell r="L749">
            <v>86.5</v>
          </cell>
          <cell r="M749">
            <v>20027.95</v>
          </cell>
          <cell r="O749">
            <v>0.14883148831488335</v>
          </cell>
          <cell r="P749">
            <v>0.12266857962697264</v>
          </cell>
          <cell r="Q749">
            <v>7.0813397129186662E-2</v>
          </cell>
          <cell r="R749">
            <v>0.12061794414735583</v>
          </cell>
          <cell r="S749">
            <v>0.16052060737527096</v>
          </cell>
          <cell r="T749">
            <v>0.18292682926829262</v>
          </cell>
          <cell r="U749">
            <v>0.22812051649928278</v>
          </cell>
          <cell r="V749">
            <v>9.8591549295774739E-2</v>
          </cell>
          <cell r="W749">
            <v>0</v>
          </cell>
          <cell r="X749">
            <v>-1.558441558441559E-2</v>
          </cell>
          <cell r="Y749">
            <v>0.23571428571428577</v>
          </cell>
          <cell r="Z749">
            <v>6.9972577476775433E-2</v>
          </cell>
          <cell r="AB749">
            <v>0.90754346958085008</v>
          </cell>
          <cell r="AC749">
            <v>0.87944598827837028</v>
          </cell>
          <cell r="AD749">
            <v>0.43701556864542884</v>
          </cell>
          <cell r="AE749">
            <v>0.32033867126971111</v>
          </cell>
          <cell r="AF749">
            <v>0.82151226816927292</v>
          </cell>
          <cell r="AG749">
            <v>1.6332222862376953</v>
          </cell>
          <cell r="AH749">
            <v>0.68050978615878222</v>
          </cell>
          <cell r="AI749">
            <v>0.50897455278144854</v>
          </cell>
          <cell r="AJ749">
            <v>0.42493809360887347</v>
          </cell>
          <cell r="AK749">
            <v>0.79291778452272299</v>
          </cell>
          <cell r="AL749">
            <v>1.9895028538681463</v>
          </cell>
        </row>
        <row r="750">
          <cell r="A750" t="str">
            <v>17/01/2007</v>
          </cell>
          <cell r="B750">
            <v>47</v>
          </cell>
          <cell r="C750">
            <v>77.7</v>
          </cell>
          <cell r="D750">
            <v>112.2</v>
          </cell>
          <cell r="E750">
            <v>98.1</v>
          </cell>
          <cell r="F750">
            <v>21.2</v>
          </cell>
          <cell r="G750">
            <v>6.79</v>
          </cell>
          <cell r="H750">
            <v>17.16</v>
          </cell>
          <cell r="I750">
            <v>90.55</v>
          </cell>
          <cell r="J750">
            <v>140.30000000000001</v>
          </cell>
          <cell r="K750">
            <v>229</v>
          </cell>
          <cell r="L750">
            <v>87.5</v>
          </cell>
          <cell r="M750">
            <v>20064.57</v>
          </cell>
          <cell r="O750">
            <v>0.12845138055222094</v>
          </cell>
          <cell r="P750">
            <v>0.12445730824891466</v>
          </cell>
          <cell r="Q750">
            <v>6.9590085795996126E-2</v>
          </cell>
          <cell r="R750">
            <v>0.125</v>
          </cell>
          <cell r="S750">
            <v>0.13856068743286776</v>
          </cell>
          <cell r="T750">
            <v>0.16267123287671237</v>
          </cell>
          <cell r="U750">
            <v>0.22396576319543504</v>
          </cell>
          <cell r="V750">
            <v>0.15792838874680304</v>
          </cell>
          <cell r="W750">
            <v>-2.842928216062357E-3</v>
          </cell>
          <cell r="X750">
            <v>-4.3478260869564966E-3</v>
          </cell>
          <cell r="Y750">
            <v>0.23152709359605916</v>
          </cell>
          <cell r="Z750">
            <v>6.0528875122889625E-2</v>
          </cell>
          <cell r="AB750">
            <v>0.91812191419217959</v>
          </cell>
          <cell r="AC750">
            <v>0.88549369145625367</v>
          </cell>
          <cell r="AD750">
            <v>0.44355445788227682</v>
          </cell>
          <cell r="AE750">
            <v>0.32751143560707974</v>
          </cell>
          <cell r="AF750">
            <v>0.8280283857459404</v>
          </cell>
          <cell r="AG750">
            <v>1.6404741329530801</v>
          </cell>
          <cell r="AH750">
            <v>0.70196546523564018</v>
          </cell>
          <cell r="AI750">
            <v>0.5249169843150493</v>
          </cell>
          <cell r="AJ750">
            <v>0.41903425647158449</v>
          </cell>
          <cell r="AK750">
            <v>0.78249322128695198</v>
          </cell>
          <cell r="AL750">
            <v>1.9972112653838987</v>
          </cell>
        </row>
        <row r="751">
          <cell r="A751" t="str">
            <v>18/01/2007</v>
          </cell>
          <cell r="B751">
            <v>45.5</v>
          </cell>
          <cell r="C751">
            <v>77.3</v>
          </cell>
          <cell r="D751">
            <v>112.4</v>
          </cell>
          <cell r="E751">
            <v>98.3</v>
          </cell>
          <cell r="F751">
            <v>21.4</v>
          </cell>
          <cell r="G751">
            <v>6.77</v>
          </cell>
          <cell r="H751">
            <v>17.079999999999998</v>
          </cell>
          <cell r="I751">
            <v>90.05</v>
          </cell>
          <cell r="J751">
            <v>141.5</v>
          </cell>
          <cell r="K751">
            <v>227.4</v>
          </cell>
          <cell r="L751">
            <v>89.75</v>
          </cell>
          <cell r="M751">
            <v>20277.509999999998</v>
          </cell>
          <cell r="O751">
            <v>8.2045184304399665E-2</v>
          </cell>
          <cell r="P751">
            <v>0.10428571428571431</v>
          </cell>
          <cell r="Q751">
            <v>6.8441064638783189E-2</v>
          </cell>
          <cell r="R751">
            <v>0.1403712296983759</v>
          </cell>
          <cell r="S751">
            <v>0.12631578947368416</v>
          </cell>
          <cell r="T751">
            <v>0.17128027681660885</v>
          </cell>
          <cell r="U751">
            <v>0.24127906976744184</v>
          </cell>
          <cell r="V751">
            <v>0.15894465894465881</v>
          </cell>
          <cell r="W751">
            <v>7.0721357850067612E-4</v>
          </cell>
          <cell r="X751">
            <v>-1.558441558441559E-2</v>
          </cell>
          <cell r="Y751">
            <v>0.25087108013937276</v>
          </cell>
          <cell r="Z751">
            <v>6.105810111116039E-2</v>
          </cell>
          <cell r="AB751">
            <v>0.91910443542028808</v>
          </cell>
          <cell r="AC751">
            <v>0.88955725120226781</v>
          </cell>
          <cell r="AD751">
            <v>0.44967550151098395</v>
          </cell>
          <cell r="AE751">
            <v>0.33826794554528922</v>
          </cell>
          <cell r="AF751">
            <v>0.83582703077698006</v>
          </cell>
          <cell r="AG751">
            <v>1.644866521839548</v>
          </cell>
          <cell r="AH751">
            <v>0.72403754746349025</v>
          </cell>
          <cell r="AI751">
            <v>0.53953402704755282</v>
          </cell>
          <cell r="AJ751">
            <v>0.41518895048755639</v>
          </cell>
          <cell r="AK751">
            <v>0.77004181967748075</v>
          </cell>
          <cell r="AL751">
            <v>2.0065776608478454</v>
          </cell>
        </row>
        <row r="752">
          <cell r="A752" t="str">
            <v>19/01/2007</v>
          </cell>
          <cell r="B752">
            <v>45.45</v>
          </cell>
          <cell r="C752">
            <v>76.8</v>
          </cell>
          <cell r="D752">
            <v>112.6</v>
          </cell>
          <cell r="E752">
            <v>96.15</v>
          </cell>
          <cell r="F752">
            <v>21.35</v>
          </cell>
          <cell r="G752">
            <v>6.7</v>
          </cell>
          <cell r="H752">
            <v>17.239999999999998</v>
          </cell>
          <cell r="I752">
            <v>89</v>
          </cell>
          <cell r="J752">
            <v>143</v>
          </cell>
          <cell r="K752">
            <v>228.2</v>
          </cell>
          <cell r="L752">
            <v>88.8</v>
          </cell>
          <cell r="M752">
            <v>20327.72</v>
          </cell>
          <cell r="O752">
            <v>7.8291814946619409E-2</v>
          </cell>
          <cell r="P752">
            <v>7.4125874125874125E-2</v>
          </cell>
          <cell r="Q752">
            <v>7.9578139980824414E-2</v>
          </cell>
          <cell r="R752">
            <v>0.13051146384479728</v>
          </cell>
          <cell r="S752">
            <v>0.11082206035379816</v>
          </cell>
          <cell r="T752">
            <v>0.10743801652892571</v>
          </cell>
          <cell r="U752">
            <v>0.25655976676384817</v>
          </cell>
          <cell r="V752">
            <v>0.15960912052117271</v>
          </cell>
          <cell r="W752">
            <v>8.4626234132580969E-3</v>
          </cell>
          <cell r="X752">
            <v>-2.227934875749793E-2</v>
          </cell>
          <cell r="Y752">
            <v>0.21311475409836067</v>
          </cell>
          <cell r="Z752">
            <v>5.9126521199755588E-2</v>
          </cell>
          <cell r="AB752">
            <v>0.919193256067525</v>
          </cell>
          <cell r="AC752">
            <v>0.89012334301667784</v>
          </cell>
          <cell r="AD752">
            <v>0.45677910294394453</v>
          </cell>
          <cell r="AE752">
            <v>0.34751020043191788</v>
          </cell>
          <cell r="AF752">
            <v>0.84146275274717541</v>
          </cell>
          <cell r="AG752">
            <v>1.6419038949743923</v>
          </cell>
          <cell r="AH752">
            <v>0.74633930704478113</v>
          </cell>
          <cell r="AI752">
            <v>0.55290044880265921</v>
          </cell>
          <cell r="AJ752">
            <v>0.41284761930828995</v>
          </cell>
          <cell r="AK752">
            <v>0.75941126060318098</v>
          </cell>
          <cell r="AL752">
            <v>2.0120480705660144</v>
          </cell>
        </row>
        <row r="753">
          <cell r="A753" t="str">
            <v>22/01/2007</v>
          </cell>
          <cell r="B753">
            <v>46.5</v>
          </cell>
          <cell r="C753">
            <v>77</v>
          </cell>
          <cell r="D753">
            <v>112.4</v>
          </cell>
          <cell r="E753">
            <v>96.55</v>
          </cell>
          <cell r="F753">
            <v>21.55</v>
          </cell>
          <cell r="G753">
            <v>6.7</v>
          </cell>
          <cell r="H753">
            <v>17.399999999999999</v>
          </cell>
          <cell r="I753">
            <v>90.2</v>
          </cell>
          <cell r="J753">
            <v>145.4</v>
          </cell>
          <cell r="K753">
            <v>229</v>
          </cell>
          <cell r="L753">
            <v>92.1</v>
          </cell>
          <cell r="M753">
            <v>20772.22</v>
          </cell>
          <cell r="O753">
            <v>0.12183353437876954</v>
          </cell>
          <cell r="P753">
            <v>6.944444444444442E-2</v>
          </cell>
          <cell r="Q753">
            <v>7.4569789674952203E-2</v>
          </cell>
          <cell r="R753">
            <v>0.16465621230398053</v>
          </cell>
          <cell r="S753">
            <v>0.14021164021164023</v>
          </cell>
          <cell r="T753">
            <v>0.10561056105610578</v>
          </cell>
          <cell r="U753">
            <v>0.27007299270072993</v>
          </cell>
          <cell r="V753">
            <v>0.20266666666666677</v>
          </cell>
          <cell r="W753">
            <v>2.9745042492917984E-2</v>
          </cell>
          <cell r="X753">
            <v>-4.3478260869564966E-3</v>
          </cell>
          <cell r="Y753">
            <v>0.24123989218328834</v>
          </cell>
          <cell r="Z753">
            <v>9.5318370327795998E-2</v>
          </cell>
          <cell r="AB753">
            <v>0.92100966673735163</v>
          </cell>
          <cell r="AC753">
            <v>0.88314996738668472</v>
          </cell>
          <cell r="AD753">
            <v>0.46489118057038731</v>
          </cell>
          <cell r="AE753">
            <v>0.36977673473344796</v>
          </cell>
          <cell r="AF753">
            <v>0.85275465899478853</v>
          </cell>
          <cell r="AG753">
            <v>1.621990683683592</v>
          </cell>
          <cell r="AH753">
            <v>0.78554429512131174</v>
          </cell>
          <cell r="AI753">
            <v>0.58339907990303908</v>
          </cell>
          <cell r="AJ753">
            <v>0.41014738416918139</v>
          </cell>
          <cell r="AK753">
            <v>0.73891587778311685</v>
          </cell>
          <cell r="AL753">
            <v>2.0139007305317995</v>
          </cell>
        </row>
        <row r="754">
          <cell r="A754" t="str">
            <v>23/01/2007</v>
          </cell>
          <cell r="B754">
            <v>45.95</v>
          </cell>
          <cell r="C754">
            <v>76.599999999999994</v>
          </cell>
          <cell r="D754">
            <v>110.7</v>
          </cell>
          <cell r="E754">
            <v>95.5</v>
          </cell>
          <cell r="F754">
            <v>21.3</v>
          </cell>
          <cell r="G754">
            <v>6.65</v>
          </cell>
          <cell r="H754">
            <v>17.04</v>
          </cell>
          <cell r="I754">
            <v>90.9</v>
          </cell>
          <cell r="J754">
            <v>144.4</v>
          </cell>
          <cell r="K754">
            <v>229.6</v>
          </cell>
          <cell r="L754">
            <v>92.35</v>
          </cell>
          <cell r="M754">
            <v>20769.7</v>
          </cell>
          <cell r="O754">
            <v>8.7573964497041468E-2</v>
          </cell>
          <cell r="P754">
            <v>6.2413314840499279E-2</v>
          </cell>
          <cell r="Q754">
            <v>5.2281368821292862E-2</v>
          </cell>
          <cell r="R754">
            <v>0.14166168559473991</v>
          </cell>
          <cell r="S754">
            <v>0.10591900311526481</v>
          </cell>
          <cell r="T754">
            <v>7.4313408723748031E-2</v>
          </cell>
          <cell r="U754">
            <v>0.23478260869565215</v>
          </cell>
          <cell r="V754">
            <v>0.21442885771543096</v>
          </cell>
          <cell r="W754">
            <v>1.3333333333333419E-2</v>
          </cell>
          <cell r="X754">
            <v>-4.3365134431916363E-3</v>
          </cell>
          <cell r="Y754">
            <v>0.18625561978163141</v>
          </cell>
          <cell r="Z754">
            <v>7.9499504161096857E-2</v>
          </cell>
          <cell r="AB754">
            <v>0.91922224538493413</v>
          </cell>
          <cell r="AC754">
            <v>0.8787702722385119</v>
          </cell>
          <cell r="AD754">
            <v>0.4685023680736069</v>
          </cell>
          <cell r="AE754">
            <v>0.38323426991721588</v>
          </cell>
          <cell r="AF754">
            <v>0.85790518162858886</v>
          </cell>
          <cell r="AG754">
            <v>1.6057971386702041</v>
          </cell>
          <cell r="AH754">
            <v>0.81176550623309107</v>
          </cell>
          <cell r="AI754">
            <v>0.61035308798883525</v>
          </cell>
          <cell r="AJ754">
            <v>0.40623871632334912</v>
          </cell>
          <cell r="AK754">
            <v>0.72475475050630922</v>
          </cell>
          <cell r="AL754">
            <v>2.0108695829551984</v>
          </cell>
        </row>
        <row r="755">
          <cell r="A755" t="str">
            <v>24/01/2007</v>
          </cell>
          <cell r="B755">
            <v>45.95</v>
          </cell>
          <cell r="C755">
            <v>77.900000000000006</v>
          </cell>
          <cell r="D755">
            <v>109.6</v>
          </cell>
          <cell r="E755">
            <v>93.25</v>
          </cell>
          <cell r="F755">
            <v>21.45</v>
          </cell>
          <cell r="G755">
            <v>6.78</v>
          </cell>
          <cell r="H755">
            <v>17.2</v>
          </cell>
          <cell r="I755">
            <v>90.9</v>
          </cell>
          <cell r="J755">
            <v>143.5</v>
          </cell>
          <cell r="K755">
            <v>227</v>
          </cell>
          <cell r="L755">
            <v>91.2</v>
          </cell>
          <cell r="M755">
            <v>20821.05</v>
          </cell>
          <cell r="O755">
            <v>8.5005903187721499E-2</v>
          </cell>
          <cell r="P755">
            <v>8.0443828016643737E-2</v>
          </cell>
          <cell r="Q755">
            <v>3.8862559241706007E-2</v>
          </cell>
          <cell r="R755">
            <v>0.11676646706586835</v>
          </cell>
          <cell r="S755">
            <v>0.13372093023255793</v>
          </cell>
          <cell r="T755">
            <v>6.2695924764890387E-2</v>
          </cell>
          <cell r="U755">
            <v>0.25</v>
          </cell>
          <cell r="V755">
            <v>0.21768251841929009</v>
          </cell>
          <cell r="W755">
            <v>9.8522167487684609E-3</v>
          </cell>
          <cell r="X755">
            <v>-1.1324041811846652E-2</v>
          </cell>
          <cell r="Y755">
            <v>0.16252390057361366</v>
          </cell>
          <cell r="Z755">
            <v>8.31412007799055E-2</v>
          </cell>
          <cell r="AB755">
            <v>0.91435847672343329</v>
          </cell>
          <cell r="AC755">
            <v>0.87873889215831869</v>
          </cell>
          <cell r="AD755">
            <v>0.46954555009751348</v>
          </cell>
          <cell r="AE755">
            <v>0.39290730644241945</v>
          </cell>
          <cell r="AF755">
            <v>0.86831021324156588</v>
          </cell>
          <cell r="AG755">
            <v>1.5862396117013549</v>
          </cell>
          <cell r="AH755">
            <v>0.84054404915821557</v>
          </cell>
          <cell r="AI755">
            <v>0.63777959015238017</v>
          </cell>
          <cell r="AJ755">
            <v>0.40208562847515433</v>
          </cell>
          <cell r="AK755">
            <v>0.71226478810628757</v>
          </cell>
          <cell r="AL755">
            <v>2.0039842289466274</v>
          </cell>
        </row>
        <row r="756">
          <cell r="A756" t="str">
            <v>25/01/2007</v>
          </cell>
          <cell r="B756">
            <v>45</v>
          </cell>
          <cell r="C756">
            <v>76.2</v>
          </cell>
          <cell r="D756">
            <v>108.6</v>
          </cell>
          <cell r="E756">
            <v>96.15</v>
          </cell>
          <cell r="F756">
            <v>20.9</v>
          </cell>
          <cell r="G756">
            <v>6.78</v>
          </cell>
          <cell r="H756">
            <v>16.8</v>
          </cell>
          <cell r="I756">
            <v>90.4</v>
          </cell>
          <cell r="J756">
            <v>144.1</v>
          </cell>
          <cell r="K756">
            <v>228.8</v>
          </cell>
          <cell r="L756">
            <v>88.9</v>
          </cell>
          <cell r="M756">
            <v>20669.830000000002</v>
          </cell>
          <cell r="O756">
            <v>6.7615658362989439E-2</v>
          </cell>
          <cell r="P756">
            <v>7.02247191011236E-2</v>
          </cell>
          <cell r="Q756">
            <v>2.8409090909090828E-2</v>
          </cell>
          <cell r="R756">
            <v>0.1584337349397591</v>
          </cell>
          <cell r="S756">
            <v>9.3096234309623327E-2</v>
          </cell>
          <cell r="T756">
            <v>5.6074766355140193E-2</v>
          </cell>
          <cell r="U756">
            <v>0.21915820029027588</v>
          </cell>
          <cell r="V756">
            <v>0.19893899204244025</v>
          </cell>
          <cell r="W756">
            <v>1.7655367231638408E-2</v>
          </cell>
          <cell r="X756">
            <v>3.5087719298245723E-3</v>
          </cell>
          <cell r="Y756">
            <v>0.13176320814767672</v>
          </cell>
          <cell r="Z756">
            <v>6.9838182409169169E-2</v>
          </cell>
          <cell r="AB756">
            <v>0.91041131342263559</v>
          </cell>
          <cell r="AC756">
            <v>0.87875861014984979</v>
          </cell>
          <cell r="AD756">
            <v>0.46971086773674847</v>
          </cell>
          <cell r="AE756">
            <v>0.40696636939785946</v>
          </cell>
          <cell r="AF756">
            <v>0.87203909690438663</v>
          </cell>
          <cell r="AG756">
            <v>1.5732374989449576</v>
          </cell>
          <cell r="AH756">
            <v>0.85981336792297458</v>
          </cell>
          <cell r="AI756">
            <v>0.65748628993216185</v>
          </cell>
          <cell r="AJ756">
            <v>0.40057963787434919</v>
          </cell>
          <cell r="AK756">
            <v>0.70495160175513671</v>
          </cell>
          <cell r="AL756">
            <v>1.9972461886269073</v>
          </cell>
        </row>
        <row r="757">
          <cell r="A757" t="str">
            <v>26/01/2007</v>
          </cell>
          <cell r="B757">
            <v>44.3</v>
          </cell>
          <cell r="C757">
            <v>78</v>
          </cell>
          <cell r="D757">
            <v>108.2</v>
          </cell>
          <cell r="E757">
            <v>96.35</v>
          </cell>
          <cell r="F757">
            <v>20.55</v>
          </cell>
          <cell r="G757">
            <v>6.73</v>
          </cell>
          <cell r="H757">
            <v>16.48</v>
          </cell>
          <cell r="I757">
            <v>90.7</v>
          </cell>
          <cell r="J757">
            <v>143.6</v>
          </cell>
          <cell r="K757">
            <v>224.2</v>
          </cell>
          <cell r="L757">
            <v>86.1</v>
          </cell>
          <cell r="M757">
            <v>20281.13</v>
          </cell>
          <cell r="O757">
            <v>5.100830367734277E-2</v>
          </cell>
          <cell r="P757">
            <v>9.550561797752799E-2</v>
          </cell>
          <cell r="Q757">
            <v>2.4621212121212155E-2</v>
          </cell>
          <cell r="R757">
            <v>0.16084337349397582</v>
          </cell>
          <cell r="S757">
            <v>7.4790794979079589E-2</v>
          </cell>
          <cell r="T757">
            <v>4.8286604361370777E-2</v>
          </cell>
          <cell r="U757">
            <v>0.19593613933236576</v>
          </cell>
          <cell r="V757">
            <v>0.20291777188328908</v>
          </cell>
          <cell r="W757">
            <v>1.4124293785310771E-2</v>
          </cell>
          <cell r="X757">
            <v>-1.6666666666666718E-2</v>
          </cell>
          <cell r="Y757">
            <v>9.6117122851686831E-2</v>
          </cell>
          <cell r="Z757">
            <v>4.971967628200491E-2</v>
          </cell>
          <cell r="AB757">
            <v>0.90822754379596182</v>
          </cell>
          <cell r="AC757">
            <v>0.88225978704225361</v>
          </cell>
          <cell r="AD757">
            <v>0.47026363774213126</v>
          </cell>
          <cell r="AE757">
            <v>0.41578817692151226</v>
          </cell>
          <cell r="AF757">
            <v>0.87412056417485806</v>
          </cell>
          <cell r="AG757">
            <v>1.5677894117563842</v>
          </cell>
          <cell r="AH757">
            <v>0.87029327689296243</v>
          </cell>
          <cell r="AI757">
            <v>0.67006349587379166</v>
          </cell>
          <cell r="AJ757">
            <v>0.4001122400210782</v>
          </cell>
          <cell r="AK757">
            <v>0.70046869824207325</v>
          </cell>
          <cell r="AL757">
            <v>1.9939159754573155</v>
          </cell>
        </row>
        <row r="758">
          <cell r="A758" t="str">
            <v>29/01/2007</v>
          </cell>
          <cell r="B758">
            <v>44.15</v>
          </cell>
          <cell r="C758">
            <v>76.55</v>
          </cell>
          <cell r="D758">
            <v>108.7</v>
          </cell>
          <cell r="E758">
            <v>95.6</v>
          </cell>
          <cell r="F758">
            <v>20.65</v>
          </cell>
          <cell r="G758">
            <v>6.62</v>
          </cell>
          <cell r="H758">
            <v>16.64</v>
          </cell>
          <cell r="I758">
            <v>90.15</v>
          </cell>
          <cell r="J758">
            <v>142.69999999999999</v>
          </cell>
          <cell r="K758">
            <v>226.4</v>
          </cell>
          <cell r="L758">
            <v>86.8</v>
          </cell>
          <cell r="M758">
            <v>20236.68</v>
          </cell>
          <cell r="O758">
            <v>4.1273584905660465E-2</v>
          </cell>
          <cell r="P758">
            <v>7.6652601969057654E-2</v>
          </cell>
          <cell r="Q758">
            <v>2.6440037771482405E-2</v>
          </cell>
          <cell r="R758">
            <v>0.15111378687537624</v>
          </cell>
          <cell r="S758">
            <v>6.5531475748193957E-2</v>
          </cell>
          <cell r="T758">
            <v>0</v>
          </cell>
          <cell r="U758">
            <v>0.19027181688125894</v>
          </cell>
          <cell r="V758">
            <v>0.18852999340804244</v>
          </cell>
          <cell r="W758">
            <v>3.5161744022502717E-3</v>
          </cell>
          <cell r="X758">
            <v>-2.0761245674740358E-2</v>
          </cell>
          <cell r="Y758">
            <v>6.3725490196078427E-2</v>
          </cell>
          <cell r="Z758">
            <v>2.5902716908322354E-2</v>
          </cell>
          <cell r="AB758">
            <v>0.9080611736849703</v>
          </cell>
          <cell r="AC758">
            <v>0.88275116710677182</v>
          </cell>
          <cell r="AD758">
            <v>0.47048001195842459</v>
          </cell>
          <cell r="AE758">
            <v>0.41697063737377738</v>
          </cell>
          <cell r="AF758">
            <v>0.87452638298585572</v>
          </cell>
          <cell r="AG758">
            <v>1.5669386378711949</v>
          </cell>
          <cell r="AH758">
            <v>0.8718637210067256</v>
          </cell>
          <cell r="AI758">
            <v>0.67176816147351071</v>
          </cell>
          <cell r="AJ758">
            <v>0.40003955888130815</v>
          </cell>
          <cell r="AK758">
            <v>0.70001459461615057</v>
          </cell>
          <cell r="AL758">
            <v>1.9936462876303644</v>
          </cell>
        </row>
        <row r="759">
          <cell r="A759" t="str">
            <v>30/01/2007</v>
          </cell>
          <cell r="B759">
            <v>45.1</v>
          </cell>
          <cell r="C759">
            <v>77</v>
          </cell>
          <cell r="D759">
            <v>109</v>
          </cell>
          <cell r="E759">
            <v>97.2</v>
          </cell>
          <cell r="F759">
            <v>20.75</v>
          </cell>
          <cell r="G759">
            <v>6.61</v>
          </cell>
          <cell r="H759">
            <v>16.72</v>
          </cell>
          <cell r="I759">
            <v>90.4</v>
          </cell>
          <cell r="J759">
            <v>143.30000000000001</v>
          </cell>
          <cell r="K759">
            <v>226.2</v>
          </cell>
          <cell r="L759">
            <v>86.7</v>
          </cell>
          <cell r="M759">
            <v>20460.46</v>
          </cell>
          <cell r="O759">
            <v>2.7334851936218652E-2</v>
          </cell>
          <cell r="P759">
            <v>9.0651558073654437E-2</v>
          </cell>
          <cell r="Q759">
            <v>2.7332704995287616E-2</v>
          </cell>
          <cell r="R759">
            <v>0.13684210526315788</v>
          </cell>
          <cell r="S759">
            <v>-1.1904761904761862E-2</v>
          </cell>
          <cell r="T759">
            <v>-2.0740740740740726E-2</v>
          </cell>
          <cell r="U759">
            <v>0.16272600834492335</v>
          </cell>
          <cell r="V759">
            <v>0.16946959896507119</v>
          </cell>
          <cell r="W759">
            <v>3.5014005602240772E-3</v>
          </cell>
          <cell r="X759">
            <v>-1.6521739130434865E-2</v>
          </cell>
          <cell r="Y759">
            <v>2.6035502958579926E-2</v>
          </cell>
          <cell r="Z759">
            <v>2.2925310632834428E-2</v>
          </cell>
          <cell r="AB759">
            <v>0.91074231623047563</v>
          </cell>
          <cell r="AC759">
            <v>0.8852855560690237</v>
          </cell>
          <cell r="AD759">
            <v>0.47072318408705982</v>
          </cell>
          <cell r="AE759">
            <v>0.41930071559106058</v>
          </cell>
          <cell r="AF759">
            <v>0.87377601173075126</v>
          </cell>
          <cell r="AG759">
            <v>1.5678079828534792</v>
          </cell>
          <cell r="AH759">
            <v>0.87274219574377987</v>
          </cell>
          <cell r="AI759">
            <v>0.67308094112043526</v>
          </cell>
          <cell r="AJ759">
            <v>0.39891174024917203</v>
          </cell>
          <cell r="AK759">
            <v>0.69400378425946319</v>
          </cell>
          <cell r="AL759">
            <v>1.9873289097767859</v>
          </cell>
        </row>
        <row r="760">
          <cell r="A760" t="str">
            <v>31/01/2007</v>
          </cell>
          <cell r="B760">
            <v>44.85</v>
          </cell>
          <cell r="C760">
            <v>76.45</v>
          </cell>
          <cell r="D760">
            <v>108.5</v>
          </cell>
          <cell r="E760">
            <v>98.5</v>
          </cell>
          <cell r="F760">
            <v>20.399999999999999</v>
          </cell>
          <cell r="G760">
            <v>6.54</v>
          </cell>
          <cell r="H760">
            <v>16.82</v>
          </cell>
          <cell r="I760">
            <v>88.05</v>
          </cell>
          <cell r="J760">
            <v>142.30000000000001</v>
          </cell>
          <cell r="K760">
            <v>223.4</v>
          </cell>
          <cell r="L760">
            <v>84.7</v>
          </cell>
          <cell r="M760">
            <v>20106.419999999998</v>
          </cell>
          <cell r="O760">
            <v>1.8161180476730987E-2</v>
          </cell>
          <cell r="P760">
            <v>8.516678495386798E-2</v>
          </cell>
          <cell r="Q760">
            <v>2.0696142991533328E-2</v>
          </cell>
          <cell r="R760">
            <v>7.6502732240437243E-2</v>
          </cell>
          <cell r="S760">
            <v>-3.3175355450237087E-2</v>
          </cell>
          <cell r="T760">
            <v>-6.3037249283667718E-2</v>
          </cell>
          <cell r="U760">
            <v>0.12133333333333329</v>
          </cell>
          <cell r="V760">
            <v>8.0368098159509183E-2</v>
          </cell>
          <cell r="W760">
            <v>-2.1037868162692153E-3</v>
          </cell>
          <cell r="X760">
            <v>-2.7850304612706767E-2</v>
          </cell>
          <cell r="Y760">
            <v>-9.3567251461987855E-3</v>
          </cell>
          <cell r="Z760">
            <v>7.0975200253244886E-3</v>
          </cell>
          <cell r="AB760">
            <v>0.91521337221183852</v>
          </cell>
          <cell r="AC760">
            <v>0.88530886540705611</v>
          </cell>
          <cell r="AD760">
            <v>0.46995265939386205</v>
          </cell>
          <cell r="AE760">
            <v>0.41998505093993466</v>
          </cell>
          <cell r="AF760">
            <v>0.87648593460657054</v>
          </cell>
          <cell r="AG760">
            <v>1.5750759165030057</v>
          </cell>
          <cell r="AH760">
            <v>0.87019893718670505</v>
          </cell>
          <cell r="AI760">
            <v>0.67252486046615145</v>
          </cell>
          <cell r="AJ760">
            <v>0.39764738361005719</v>
          </cell>
          <cell r="AK760">
            <v>0.68943673729320309</v>
          </cell>
          <cell r="AL760">
            <v>1.9842314710220852</v>
          </cell>
        </row>
      </sheetData>
      <sheetData sheetId="6" refreshError="1">
        <row r="1">
          <cell r="A1" t="str">
            <v>HK Banks: Balance Sheet Earning Assets Structure</v>
          </cell>
        </row>
        <row r="3">
          <cell r="A3" t="str">
            <v>(1)</v>
          </cell>
          <cell r="B3" t="str">
            <v>HSB</v>
          </cell>
          <cell r="C3" t="str">
            <v>Dec-01</v>
          </cell>
          <cell r="D3" t="str">
            <v>Dec-02</v>
          </cell>
          <cell r="E3" t="str">
            <v>Dec-03</v>
          </cell>
          <cell r="F3" t="str">
            <v>Dec-04</v>
          </cell>
          <cell r="G3">
            <v>38508</v>
          </cell>
          <cell r="H3">
            <v>38691</v>
          </cell>
        </row>
        <row r="4">
          <cell r="C4" t="str">
            <v>(HK$m)</v>
          </cell>
          <cell r="D4" t="str">
            <v>(HK$m)</v>
          </cell>
          <cell r="E4" t="str">
            <v>(HK$m)</v>
          </cell>
          <cell r="F4" t="str">
            <v>(HK$m)</v>
          </cell>
          <cell r="G4" t="str">
            <v>(HK$m)</v>
          </cell>
        </row>
        <row r="5">
          <cell r="B5" t="str">
            <v>Loans</v>
          </cell>
          <cell r="C5">
            <v>222436</v>
          </cell>
          <cell r="D5">
            <v>224562</v>
          </cell>
          <cell r="E5">
            <v>229466</v>
          </cell>
          <cell r="F5">
            <v>251553</v>
          </cell>
          <cell r="G5">
            <v>260512</v>
          </cell>
        </row>
        <row r="6">
          <cell r="B6" t="str">
            <v>Debt Securities</v>
          </cell>
          <cell r="C6">
            <v>45429</v>
          </cell>
          <cell r="D6">
            <v>80367</v>
          </cell>
          <cell r="E6">
            <v>115113</v>
          </cell>
          <cell r="F6">
            <v>190622</v>
          </cell>
          <cell r="G6">
            <v>212058</v>
          </cell>
        </row>
        <row r="7">
          <cell r="B7" t="str">
            <v>Cash</v>
          </cell>
          <cell r="C7">
            <v>177968</v>
          </cell>
          <cell r="D7">
            <v>138823</v>
          </cell>
          <cell r="E7">
            <v>118615</v>
          </cell>
          <cell r="F7">
            <v>82327</v>
          </cell>
          <cell r="G7">
            <v>73798</v>
          </cell>
        </row>
        <row r="8">
          <cell r="B8" t="str">
            <v>Total</v>
          </cell>
          <cell r="C8">
            <v>445833</v>
          </cell>
          <cell r="D8">
            <v>443752</v>
          </cell>
          <cell r="E8">
            <v>463194</v>
          </cell>
          <cell r="F8">
            <v>524502</v>
          </cell>
          <cell r="G8">
            <v>546368</v>
          </cell>
        </row>
        <row r="10">
          <cell r="C10" t="str">
            <v>Dec-01</v>
          </cell>
          <cell r="D10" t="str">
            <v>Dec-02</v>
          </cell>
          <cell r="E10" t="str">
            <v>Dec-03</v>
          </cell>
          <cell r="F10" t="str">
            <v>Dec-04</v>
          </cell>
          <cell r="G10">
            <v>38508</v>
          </cell>
        </row>
        <row r="11">
          <cell r="B11" t="str">
            <v>Loans</v>
          </cell>
          <cell r="C11">
            <v>0.49892224218485398</v>
          </cell>
          <cell r="D11">
            <v>0.50605293046566546</v>
          </cell>
          <cell r="E11">
            <v>0.4953993359154048</v>
          </cell>
          <cell r="F11">
            <v>0.47960350961483467</v>
          </cell>
          <cell r="G11">
            <v>0.47680684081058922</v>
          </cell>
        </row>
        <row r="12">
          <cell r="B12" t="str">
            <v>Debt Securities</v>
          </cell>
          <cell r="C12">
            <v>0.10189689861450364</v>
          </cell>
          <cell r="D12">
            <v>0.18110791613333574</v>
          </cell>
          <cell r="E12">
            <v>0.24852005854998122</v>
          </cell>
          <cell r="F12">
            <v>0.36343426717152649</v>
          </cell>
          <cell r="G12">
            <v>0.38812302331029636</v>
          </cell>
        </row>
        <row r="13">
          <cell r="B13" t="str">
            <v>Cash</v>
          </cell>
          <cell r="C13">
            <v>0.39918085920064234</v>
          </cell>
          <cell r="D13">
            <v>0.31283915340099877</v>
          </cell>
          <cell r="E13">
            <v>0.25608060553461398</v>
          </cell>
          <cell r="F13">
            <v>0.15696222321363884</v>
          </cell>
          <cell r="G13">
            <v>0.13507013587911446</v>
          </cell>
        </row>
        <row r="14">
          <cell r="B14" t="str">
            <v>Total</v>
          </cell>
          <cell r="C14">
            <v>1</v>
          </cell>
          <cell r="D14">
            <v>1</v>
          </cell>
          <cell r="E14">
            <v>1</v>
          </cell>
          <cell r="F14">
            <v>1</v>
          </cell>
          <cell r="G14">
            <v>1</v>
          </cell>
        </row>
        <row r="17">
          <cell r="A17" t="str">
            <v>(2)</v>
          </cell>
          <cell r="B17" t="str">
            <v>BEA</v>
          </cell>
          <cell r="C17" t="str">
            <v>Dec-01</v>
          </cell>
          <cell r="D17" t="str">
            <v>Dec-02</v>
          </cell>
          <cell r="E17" t="str">
            <v>Dec-03</v>
          </cell>
          <cell r="F17" t="str">
            <v>Dec-04</v>
          </cell>
          <cell r="G17">
            <v>38508</v>
          </cell>
        </row>
        <row r="18">
          <cell r="C18" t="str">
            <v>(HK$m)</v>
          </cell>
          <cell r="D18" t="str">
            <v>(HK$m)</v>
          </cell>
          <cell r="E18" t="str">
            <v>(HK$m)</v>
          </cell>
          <cell r="F18" t="str">
            <v>(HK$m)</v>
          </cell>
          <cell r="G18" t="str">
            <v>(HK$m)</v>
          </cell>
        </row>
        <row r="19">
          <cell r="B19" t="str">
            <v>Loans</v>
          </cell>
          <cell r="C19">
            <v>109851.6</v>
          </cell>
          <cell r="D19">
            <v>111824</v>
          </cell>
          <cell r="E19">
            <v>108379.79399999999</v>
          </cell>
          <cell r="F19">
            <v>122950</v>
          </cell>
          <cell r="G19">
            <v>134203.693</v>
          </cell>
        </row>
        <row r="20">
          <cell r="B20" t="str">
            <v>Debt Securities</v>
          </cell>
          <cell r="C20">
            <v>6785.3</v>
          </cell>
          <cell r="D20">
            <v>16634.278000000002</v>
          </cell>
          <cell r="E20">
            <v>22103.656999999999</v>
          </cell>
          <cell r="F20">
            <v>24895</v>
          </cell>
          <cell r="G20">
            <v>26527.843999999997</v>
          </cell>
        </row>
        <row r="21">
          <cell r="B21" t="str">
            <v>Cash</v>
          </cell>
          <cell r="C21">
            <v>54806.587</v>
          </cell>
          <cell r="D21">
            <v>46608.292000000001</v>
          </cell>
          <cell r="E21">
            <v>57109.031000000003</v>
          </cell>
          <cell r="F21">
            <v>49710</v>
          </cell>
          <cell r="G21">
            <v>43001.484999999993</v>
          </cell>
        </row>
        <row r="22">
          <cell r="B22" t="str">
            <v>Total</v>
          </cell>
          <cell r="C22">
            <v>171443.48700000002</v>
          </cell>
          <cell r="D22">
            <v>175066.57</v>
          </cell>
          <cell r="E22">
            <v>187592.48200000002</v>
          </cell>
          <cell r="F22">
            <v>197555</v>
          </cell>
          <cell r="G22">
            <v>203733.022</v>
          </cell>
        </row>
        <row r="24">
          <cell r="C24" t="str">
            <v>Dec-01</v>
          </cell>
          <cell r="D24" t="str">
            <v>Dec-02</v>
          </cell>
          <cell r="E24" t="str">
            <v>Dec-03</v>
          </cell>
          <cell r="F24" t="str">
            <v>Dec-04</v>
          </cell>
          <cell r="G24">
            <v>38508</v>
          </cell>
        </row>
        <row r="25">
          <cell r="B25" t="str">
            <v>Loans</v>
          </cell>
          <cell r="C25">
            <v>0.64074525035762941</v>
          </cell>
          <cell r="D25">
            <v>0.63875130471797092</v>
          </cell>
          <cell r="E25">
            <v>0.57774060476474731</v>
          </cell>
          <cell r="F25">
            <v>0.62235833059148082</v>
          </cell>
          <cell r="G25">
            <v>0.65872332174015458</v>
          </cell>
        </row>
        <row r="26">
          <cell r="B26" t="str">
            <v>Debt Securities</v>
          </cell>
          <cell r="C26">
            <v>3.957747312967333E-2</v>
          </cell>
          <cell r="D26">
            <v>9.5016872724472762E-2</v>
          </cell>
          <cell r="E26">
            <v>0.11782805347178037</v>
          </cell>
          <cell r="F26">
            <v>0.12601553997620915</v>
          </cell>
          <cell r="G26">
            <v>0.13020885735450385</v>
          </cell>
        </row>
        <row r="27">
          <cell r="B27" t="str">
            <v>Cash</v>
          </cell>
          <cell r="C27">
            <v>0.31967727651269712</v>
          </cell>
          <cell r="D27">
            <v>0.26623182255755623</v>
          </cell>
          <cell r="E27">
            <v>0.30443134176347214</v>
          </cell>
          <cell r="F27">
            <v>0.25162612943231</v>
          </cell>
          <cell r="G27">
            <v>0.21106782090534146</v>
          </cell>
        </row>
        <row r="28">
          <cell r="B28" t="str">
            <v>Total</v>
          </cell>
          <cell r="C28">
            <v>0.99999999999999978</v>
          </cell>
          <cell r="D28">
            <v>1</v>
          </cell>
          <cell r="E28">
            <v>0.99999999999999978</v>
          </cell>
          <cell r="F28">
            <v>1</v>
          </cell>
          <cell r="G28">
            <v>0.99999999999999989</v>
          </cell>
        </row>
        <row r="31">
          <cell r="A31" t="str">
            <v>(3)</v>
          </cell>
          <cell r="B31" t="str">
            <v>DSF</v>
          </cell>
          <cell r="C31" t="str">
            <v>Dec-01</v>
          </cell>
          <cell r="D31" t="str">
            <v>Dec-02</v>
          </cell>
          <cell r="E31" t="str">
            <v>Dec-03</v>
          </cell>
          <cell r="F31" t="str">
            <v>Dec-04</v>
          </cell>
          <cell r="G31">
            <v>38508</v>
          </cell>
        </row>
        <row r="32">
          <cell r="C32" t="str">
            <v>(HK$m)</v>
          </cell>
          <cell r="D32" t="str">
            <v>(HK$m)</v>
          </cell>
          <cell r="E32" t="str">
            <v>(HK$m)</v>
          </cell>
          <cell r="F32" t="str">
            <v>(HK$m)</v>
          </cell>
          <cell r="G32" t="str">
            <v>(HK$m)</v>
          </cell>
        </row>
        <row r="33">
          <cell r="B33" t="str">
            <v>Loans</v>
          </cell>
          <cell r="C33">
            <v>30081.342000000001</v>
          </cell>
          <cell r="D33">
            <v>29331</v>
          </cell>
          <cell r="E33">
            <v>29056.988000000001</v>
          </cell>
          <cell r="F33">
            <v>36394.648999999998</v>
          </cell>
          <cell r="G33">
            <v>46739.476999999999</v>
          </cell>
        </row>
        <row r="34">
          <cell r="B34" t="str">
            <v>Debt Securities</v>
          </cell>
          <cell r="C34">
            <v>14005.3</v>
          </cell>
          <cell r="D34">
            <v>18627.847000000002</v>
          </cell>
          <cell r="E34">
            <v>20529.862999999998</v>
          </cell>
          <cell r="F34">
            <v>21100.781999999999</v>
          </cell>
          <cell r="G34">
            <v>31343.273000000001</v>
          </cell>
        </row>
        <row r="35">
          <cell r="B35" t="str">
            <v>Cash</v>
          </cell>
          <cell r="C35">
            <v>7986.2039999999997</v>
          </cell>
          <cell r="D35">
            <v>10088.687</v>
          </cell>
          <cell r="E35">
            <v>11927.363000000001</v>
          </cell>
          <cell r="F35">
            <v>18377.170000000002</v>
          </cell>
          <cell r="G35">
            <v>10077.335999999999</v>
          </cell>
        </row>
        <row r="36">
          <cell r="B36" t="str">
            <v>Total</v>
          </cell>
          <cell r="C36">
            <v>52072.845999999998</v>
          </cell>
          <cell r="D36">
            <v>58047.534</v>
          </cell>
          <cell r="E36">
            <v>61514.213999999993</v>
          </cell>
          <cell r="F36">
            <v>75872.600999999995</v>
          </cell>
          <cell r="G36">
            <v>88160.085999999996</v>
          </cell>
        </row>
        <row r="38">
          <cell r="C38" t="str">
            <v>Dec-01</v>
          </cell>
          <cell r="D38" t="str">
            <v>Dec-02</v>
          </cell>
          <cell r="E38" t="str">
            <v>Dec-03</v>
          </cell>
          <cell r="F38" t="str">
            <v>Dec-04</v>
          </cell>
          <cell r="G38">
            <v>38508</v>
          </cell>
        </row>
        <row r="39">
          <cell r="B39" t="str">
            <v>Loans</v>
          </cell>
          <cell r="C39">
            <v>0.57767808581078905</v>
          </cell>
          <cell r="D39">
            <v>0.50529278298023828</v>
          </cell>
          <cell r="E39">
            <v>0.47236217632562133</v>
          </cell>
          <cell r="F39">
            <v>0.47968105113465137</v>
          </cell>
          <cell r="G39">
            <v>0.53016596422104223</v>
          </cell>
        </row>
        <row r="40">
          <cell r="B40" t="str">
            <v>Debt Securities</v>
          </cell>
          <cell r="C40">
            <v>0.2689559161026075</v>
          </cell>
          <cell r="D40">
            <v>0.32090677616037921</v>
          </cell>
          <cell r="E40">
            <v>0.33374177551874434</v>
          </cell>
          <cell r="F40">
            <v>0.27810806169673818</v>
          </cell>
          <cell r="G40">
            <v>0.35552679701333323</v>
          </cell>
        </row>
        <row r="41">
          <cell r="B41" t="str">
            <v>Cash</v>
          </cell>
          <cell r="C41">
            <v>0.15336599808660353</v>
          </cell>
          <cell r="D41">
            <v>0.17380044085938259</v>
          </cell>
          <cell r="E41">
            <v>0.19389604815563444</v>
          </cell>
          <cell r="F41">
            <v>0.24221088716861047</v>
          </cell>
          <cell r="G41">
            <v>0.11430723876562461</v>
          </cell>
        </row>
        <row r="42">
          <cell r="B42" t="str">
            <v>Total</v>
          </cell>
          <cell r="C42">
            <v>1</v>
          </cell>
          <cell r="D42">
            <v>1</v>
          </cell>
          <cell r="E42">
            <v>1</v>
          </cell>
          <cell r="F42">
            <v>1</v>
          </cell>
          <cell r="G42">
            <v>1</v>
          </cell>
        </row>
        <row r="45">
          <cell r="A45" t="str">
            <v>(4)</v>
          </cell>
          <cell r="B45" t="str">
            <v>BOCHK</v>
          </cell>
          <cell r="C45" t="str">
            <v>Dec-01</v>
          </cell>
          <cell r="D45" t="str">
            <v>Dec-02</v>
          </cell>
          <cell r="E45" t="str">
            <v>Dec-03</v>
          </cell>
          <cell r="F45" t="str">
            <v>Dec-04</v>
          </cell>
          <cell r="G45">
            <v>38508</v>
          </cell>
        </row>
        <row r="46">
          <cell r="C46" t="str">
            <v>(HK$m)</v>
          </cell>
          <cell r="D46" t="str">
            <v>(HK$m)</v>
          </cell>
          <cell r="E46" t="str">
            <v>(HK$m)</v>
          </cell>
          <cell r="F46" t="str">
            <v>(HK$m)</v>
          </cell>
          <cell r="G46" t="str">
            <v>(HK$m)</v>
          </cell>
        </row>
        <row r="47">
          <cell r="B47" t="str">
            <v>Loans</v>
          </cell>
          <cell r="C47">
            <v>308108</v>
          </cell>
          <cell r="D47">
            <v>308332</v>
          </cell>
          <cell r="E47">
            <v>300094</v>
          </cell>
          <cell r="F47">
            <v>309211</v>
          </cell>
          <cell r="G47">
            <v>336290</v>
          </cell>
        </row>
        <row r="48">
          <cell r="B48" t="str">
            <v>Debt Securities</v>
          </cell>
          <cell r="C48">
            <v>107201</v>
          </cell>
          <cell r="D48">
            <v>158633</v>
          </cell>
          <cell r="E48">
            <v>172518</v>
          </cell>
          <cell r="F48">
            <v>189388</v>
          </cell>
          <cell r="G48">
            <v>219087</v>
          </cell>
        </row>
        <row r="49">
          <cell r="B49" t="str">
            <v>Cash</v>
          </cell>
          <cell r="C49">
            <v>277028</v>
          </cell>
          <cell r="D49">
            <v>195234</v>
          </cell>
          <cell r="E49">
            <v>212346</v>
          </cell>
          <cell r="F49">
            <v>210228</v>
          </cell>
          <cell r="G49">
            <v>194679</v>
          </cell>
        </row>
        <row r="50">
          <cell r="B50" t="str">
            <v>Total</v>
          </cell>
          <cell r="C50">
            <v>692337</v>
          </cell>
          <cell r="D50">
            <v>662199</v>
          </cell>
          <cell r="E50">
            <v>684958</v>
          </cell>
          <cell r="F50">
            <v>708827</v>
          </cell>
          <cell r="G50">
            <v>750056</v>
          </cell>
        </row>
        <row r="52">
          <cell r="C52" t="str">
            <v>Dec-01</v>
          </cell>
          <cell r="D52" t="str">
            <v>Dec-02</v>
          </cell>
          <cell r="E52" t="str">
            <v>Dec-03</v>
          </cell>
          <cell r="F52" t="str">
            <v>Dec-04</v>
          </cell>
          <cell r="G52">
            <v>38508</v>
          </cell>
        </row>
        <row r="53">
          <cell r="B53" t="str">
            <v>Loans</v>
          </cell>
          <cell r="C53">
            <v>0.44502604945279539</v>
          </cell>
          <cell r="D53">
            <v>0.4656183413143179</v>
          </cell>
          <cell r="E53">
            <v>0.43812029350704712</v>
          </cell>
          <cell r="F53">
            <v>0.43622915041328841</v>
          </cell>
          <cell r="G53">
            <v>0.44835318962850773</v>
          </cell>
        </row>
        <row r="54">
          <cell r="B54" t="str">
            <v>Debt Securities</v>
          </cell>
          <cell r="C54">
            <v>0.15483933402374855</v>
          </cell>
          <cell r="D54">
            <v>0.23955487700827094</v>
          </cell>
          <cell r="E54">
            <v>0.25186653780231782</v>
          </cell>
          <cell r="F54">
            <v>0.26718508183237943</v>
          </cell>
          <cell r="G54">
            <v>0.29209419030045758</v>
          </cell>
        </row>
        <row r="55">
          <cell r="B55" t="str">
            <v>Cash</v>
          </cell>
          <cell r="C55">
            <v>0.40013461652345605</v>
          </cell>
          <cell r="D55">
            <v>0.29482678167741116</v>
          </cell>
          <cell r="E55">
            <v>0.31001316869063505</v>
          </cell>
          <cell r="F55">
            <v>0.29658576775433215</v>
          </cell>
          <cell r="G55">
            <v>0.25955262007103469</v>
          </cell>
        </row>
        <row r="56">
          <cell r="B56" t="str">
            <v>Total</v>
          </cell>
          <cell r="C56">
            <v>1</v>
          </cell>
          <cell r="D56">
            <v>1</v>
          </cell>
          <cell r="E56">
            <v>1</v>
          </cell>
          <cell r="F56">
            <v>1</v>
          </cell>
          <cell r="G56">
            <v>1</v>
          </cell>
        </row>
        <row r="59">
          <cell r="A59" t="str">
            <v>(5)</v>
          </cell>
          <cell r="B59" t="str">
            <v>WHB</v>
          </cell>
          <cell r="C59" t="str">
            <v>Dec-01</v>
          </cell>
          <cell r="D59" t="str">
            <v>Dec-02</v>
          </cell>
          <cell r="E59" t="str">
            <v>Dec-03</v>
          </cell>
          <cell r="F59" t="str">
            <v>Dec-04</v>
          </cell>
          <cell r="G59">
            <v>38508</v>
          </cell>
        </row>
        <row r="60">
          <cell r="C60" t="str">
            <v>(HK$m)</v>
          </cell>
          <cell r="D60" t="str">
            <v>(HK$m)</v>
          </cell>
          <cell r="E60" t="str">
            <v>(HK$m)</v>
          </cell>
          <cell r="F60" t="str">
            <v>(HK$m)</v>
          </cell>
          <cell r="G60" t="str">
            <v>(HK$m)</v>
          </cell>
        </row>
        <row r="61">
          <cell r="B61" t="str">
            <v>Loans</v>
          </cell>
          <cell r="C61">
            <v>35658.856</v>
          </cell>
          <cell r="D61">
            <v>34481</v>
          </cell>
          <cell r="E61">
            <v>47108.4</v>
          </cell>
          <cell r="F61">
            <v>49745.339</v>
          </cell>
          <cell r="G61">
            <v>52981.817999999999</v>
          </cell>
        </row>
        <row r="62">
          <cell r="B62" t="str">
            <v>Debt Securities</v>
          </cell>
          <cell r="C62">
            <v>4845.0380000000005</v>
          </cell>
          <cell r="D62">
            <v>7332.01</v>
          </cell>
          <cell r="E62">
            <v>18128.2</v>
          </cell>
          <cell r="F62">
            <v>20350.807000000001</v>
          </cell>
          <cell r="G62">
            <v>17465.474999999999</v>
          </cell>
        </row>
        <row r="63">
          <cell r="B63" t="str">
            <v>Cash</v>
          </cell>
          <cell r="C63">
            <v>12484.609</v>
          </cell>
          <cell r="D63">
            <v>13215.563</v>
          </cell>
          <cell r="E63">
            <v>19945.7</v>
          </cell>
          <cell r="F63">
            <v>21964.845000000001</v>
          </cell>
          <cell r="G63">
            <v>25134.902999999998</v>
          </cell>
        </row>
        <row r="64">
          <cell r="B64" t="str">
            <v>Total</v>
          </cell>
          <cell r="C64">
            <v>52988.502999999997</v>
          </cell>
          <cell r="D64">
            <v>55028.573000000004</v>
          </cell>
          <cell r="E64">
            <v>85182.3</v>
          </cell>
          <cell r="F64">
            <v>92060.991000000009</v>
          </cell>
          <cell r="G64">
            <v>95582.195999999996</v>
          </cell>
        </row>
        <row r="66">
          <cell r="C66" t="str">
            <v>Dec-01</v>
          </cell>
          <cell r="D66" t="str">
            <v>Dec-02</v>
          </cell>
          <cell r="E66" t="str">
            <v>Dec-03</v>
          </cell>
          <cell r="F66" t="str">
            <v>Dec-04</v>
          </cell>
          <cell r="G66">
            <v>38508</v>
          </cell>
        </row>
        <row r="67">
          <cell r="B67" t="str">
            <v>Loans</v>
          </cell>
          <cell r="C67">
            <v>0.67295458412931575</v>
          </cell>
          <cell r="D67">
            <v>0.62660174742310681</v>
          </cell>
          <cell r="E67">
            <v>0.55303038307253971</v>
          </cell>
          <cell r="F67">
            <v>0.54035198252428107</v>
          </cell>
          <cell r="G67">
            <v>0.55430634801485412</v>
          </cell>
        </row>
        <row r="68">
          <cell r="B68" t="str">
            <v>Debt Securities</v>
          </cell>
          <cell r="C68">
            <v>9.1435645955123518E-2</v>
          </cell>
          <cell r="D68">
            <v>0.13324005330830585</v>
          </cell>
          <cell r="E68">
            <v>0.21281651235057047</v>
          </cell>
          <cell r="F68">
            <v>0.22105787455622761</v>
          </cell>
          <cell r="G68">
            <v>0.18272728322751655</v>
          </cell>
        </row>
        <row r="69">
          <cell r="B69" t="str">
            <v>Cash</v>
          </cell>
          <cell r="C69">
            <v>0.23560976991556076</v>
          </cell>
          <cell r="D69">
            <v>0.24015819926858722</v>
          </cell>
          <cell r="E69">
            <v>0.23415310457688979</v>
          </cell>
          <cell r="F69">
            <v>0.23859014291949127</v>
          </cell>
          <cell r="G69">
            <v>0.2629663687576293</v>
          </cell>
        </row>
        <row r="70">
          <cell r="B70" t="str">
            <v>Total</v>
          </cell>
          <cell r="C70">
            <v>1</v>
          </cell>
          <cell r="D70">
            <v>1</v>
          </cell>
          <cell r="E70">
            <v>0.99999999999999989</v>
          </cell>
          <cell r="F70">
            <v>1</v>
          </cell>
          <cell r="G70">
            <v>1</v>
          </cell>
        </row>
        <row r="73">
          <cell r="A73" t="str">
            <v>(6)</v>
          </cell>
          <cell r="B73" t="str">
            <v>WLB</v>
          </cell>
          <cell r="C73" t="str">
            <v>Dec-01</v>
          </cell>
          <cell r="D73" t="str">
            <v>Dec-02</v>
          </cell>
          <cell r="E73" t="str">
            <v>Dec-03</v>
          </cell>
          <cell r="F73" t="str">
            <v>Dec-04</v>
          </cell>
          <cell r="G73">
            <v>38508</v>
          </cell>
        </row>
        <row r="74">
          <cell r="C74" t="str">
            <v>(HK$m)</v>
          </cell>
          <cell r="D74" t="str">
            <v>(HK$m)</v>
          </cell>
          <cell r="E74" t="str">
            <v>(HK$m)</v>
          </cell>
          <cell r="F74" t="str">
            <v>(HK$m)</v>
          </cell>
          <cell r="G74" t="str">
            <v>(HK$m)</v>
          </cell>
        </row>
        <row r="75">
          <cell r="B75" t="str">
            <v>Loans</v>
          </cell>
          <cell r="C75">
            <v>28913.611000000001</v>
          </cell>
          <cell r="D75">
            <v>30307.994999999999</v>
          </cell>
          <cell r="E75">
            <v>30081.159</v>
          </cell>
          <cell r="F75">
            <v>32324.799999999999</v>
          </cell>
          <cell r="G75">
            <v>36365.673000000003</v>
          </cell>
        </row>
        <row r="76">
          <cell r="B76" t="str">
            <v>Debt Securities</v>
          </cell>
          <cell r="C76">
            <v>7531.89</v>
          </cell>
          <cell r="D76">
            <v>8441.2420000000002</v>
          </cell>
          <cell r="E76">
            <v>11529.797</v>
          </cell>
          <cell r="F76">
            <v>12371</v>
          </cell>
          <cell r="G76">
            <v>13225.2</v>
          </cell>
        </row>
        <row r="77">
          <cell r="B77" t="str">
            <v>Cash</v>
          </cell>
          <cell r="C77">
            <v>26091.608</v>
          </cell>
          <cell r="D77">
            <v>20495.191999999999</v>
          </cell>
          <cell r="E77">
            <v>24130.102999999999</v>
          </cell>
          <cell r="F77">
            <v>23932</v>
          </cell>
          <cell r="G77">
            <v>19869.945999999996</v>
          </cell>
        </row>
        <row r="78">
          <cell r="B78" t="str">
            <v>Total</v>
          </cell>
          <cell r="C78">
            <v>62537.109000000004</v>
          </cell>
          <cell r="D78">
            <v>59244.429000000004</v>
          </cell>
          <cell r="E78">
            <v>65741.058999999994</v>
          </cell>
          <cell r="F78">
            <v>68627.8</v>
          </cell>
          <cell r="G78">
            <v>69460.819000000003</v>
          </cell>
        </row>
        <row r="80">
          <cell r="C80" t="str">
            <v>Dec-01</v>
          </cell>
          <cell r="D80" t="str">
            <v>Dec-02</v>
          </cell>
          <cell r="E80" t="str">
            <v>Dec-03</v>
          </cell>
          <cell r="F80" t="str">
            <v>Dec-04</v>
          </cell>
          <cell r="G80">
            <v>38508</v>
          </cell>
        </row>
        <row r="81">
          <cell r="B81" t="str">
            <v>Loans</v>
          </cell>
          <cell r="C81">
            <v>0.46234326246197277</v>
          </cell>
          <cell r="D81">
            <v>0.51157544281505352</v>
          </cell>
          <cell r="E81">
            <v>0.45757034428058124</v>
          </cell>
          <cell r="F81">
            <v>0.47101611883230993</v>
          </cell>
          <cell r="G81">
            <v>0.52354224328970267</v>
          </cell>
        </row>
        <row r="82">
          <cell r="B82" t="str">
            <v>Debt Securities</v>
          </cell>
          <cell r="C82">
            <v>0.12043873022656036</v>
          </cell>
          <cell r="D82">
            <v>0.14248161628834333</v>
          </cell>
          <cell r="E82">
            <v>0.17538197855924409</v>
          </cell>
          <cell r="F82">
            <v>0.18026222609496442</v>
          </cell>
          <cell r="G82">
            <v>0.19039798537359601</v>
          </cell>
        </row>
        <row r="83">
          <cell r="B83" t="str">
            <v>Cash</v>
          </cell>
          <cell r="C83">
            <v>0.41721800731146685</v>
          </cell>
          <cell r="D83">
            <v>0.3459429408966031</v>
          </cell>
          <cell r="E83">
            <v>0.36704767716017478</v>
          </cell>
          <cell r="F83">
            <v>0.34872165507272562</v>
          </cell>
          <cell r="G83">
            <v>0.2860597713367013</v>
          </cell>
        </row>
        <row r="84">
          <cell r="B84" t="str">
            <v>Total</v>
          </cell>
          <cell r="C84">
            <v>1</v>
          </cell>
          <cell r="D84">
            <v>1</v>
          </cell>
          <cell r="E84">
            <v>1</v>
          </cell>
          <cell r="F84">
            <v>1</v>
          </cell>
          <cell r="G84">
            <v>1</v>
          </cell>
        </row>
        <row r="87">
          <cell r="A87" t="str">
            <v>(7)</v>
          </cell>
          <cell r="B87" t="str">
            <v>CIFH</v>
          </cell>
          <cell r="C87" t="str">
            <v>Dec-01</v>
          </cell>
          <cell r="D87" t="str">
            <v>Dec-02</v>
          </cell>
          <cell r="E87" t="str">
            <v>Dec-03</v>
          </cell>
          <cell r="F87" t="str">
            <v>Dec-04</v>
          </cell>
          <cell r="G87">
            <v>38508</v>
          </cell>
        </row>
        <row r="88">
          <cell r="C88" t="str">
            <v>(HK$m)</v>
          </cell>
          <cell r="D88" t="str">
            <v>(HK$m)</v>
          </cell>
          <cell r="E88" t="str">
            <v>(HK$m)</v>
          </cell>
          <cell r="F88" t="str">
            <v>(HK$m)</v>
          </cell>
          <cell r="G88" t="str">
            <v>(HK$m)</v>
          </cell>
        </row>
        <row r="89">
          <cell r="B89" t="str">
            <v>Loans</v>
          </cell>
          <cell r="C89">
            <v>33701.258000000002</v>
          </cell>
          <cell r="D89">
            <v>43531.504999999997</v>
          </cell>
          <cell r="E89">
            <v>41073.517</v>
          </cell>
          <cell r="F89">
            <v>43323.3</v>
          </cell>
          <cell r="G89">
            <v>44686.550999999999</v>
          </cell>
        </row>
        <row r="90">
          <cell r="B90" t="str">
            <v>Debt Securities</v>
          </cell>
          <cell r="C90">
            <v>14508.974</v>
          </cell>
          <cell r="D90">
            <v>21841.027000000002</v>
          </cell>
          <cell r="E90">
            <v>24965.781999999999</v>
          </cell>
          <cell r="F90">
            <v>26263.095999999998</v>
          </cell>
          <cell r="G90">
            <v>23345.915000000001</v>
          </cell>
        </row>
        <row r="91">
          <cell r="B91" t="str">
            <v>Cash</v>
          </cell>
          <cell r="C91">
            <v>6910.4979999999996</v>
          </cell>
          <cell r="D91">
            <v>6167.6670000000004</v>
          </cell>
          <cell r="E91">
            <v>8158.0159999999996</v>
          </cell>
          <cell r="F91">
            <v>8710.0970000000016</v>
          </cell>
          <cell r="G91">
            <v>8451.6959999999999</v>
          </cell>
        </row>
        <row r="92">
          <cell r="B92" t="str">
            <v>Total</v>
          </cell>
          <cell r="C92">
            <v>55120.73</v>
          </cell>
          <cell r="D92">
            <v>71540.198999999993</v>
          </cell>
          <cell r="E92">
            <v>74197.315000000002</v>
          </cell>
          <cell r="F92">
            <v>78296.493000000017</v>
          </cell>
          <cell r="G92">
            <v>76484.161999999997</v>
          </cell>
        </row>
        <row r="94">
          <cell r="C94" t="str">
            <v>Dec-01</v>
          </cell>
          <cell r="D94" t="str">
            <v>Dec-02</v>
          </cell>
          <cell r="E94" t="str">
            <v>Dec-03</v>
          </cell>
          <cell r="F94" t="str">
            <v>Dec-04</v>
          </cell>
          <cell r="G94">
            <v>38508</v>
          </cell>
        </row>
        <row r="95">
          <cell r="B95" t="str">
            <v>Loans</v>
          </cell>
          <cell r="C95">
            <v>0.61140804920399272</v>
          </cell>
          <cell r="D95">
            <v>0.60849013014347364</v>
          </cell>
          <cell r="E95">
            <v>0.55357147357690772</v>
          </cell>
          <cell r="F95">
            <v>0.55332363353745606</v>
          </cell>
          <cell r="G95">
            <v>0.5842588822506809</v>
          </cell>
        </row>
        <row r="96">
          <cell r="B96" t="str">
            <v>Debt Securities</v>
          </cell>
          <cell r="C96">
            <v>0.2632217316425236</v>
          </cell>
          <cell r="D96">
            <v>0.30529726371043509</v>
          </cell>
          <cell r="E96">
            <v>0.33647824048619546</v>
          </cell>
          <cell r="F96">
            <v>0.33543132002093623</v>
          </cell>
          <cell r="G96">
            <v>0.30523855383288373</v>
          </cell>
        </row>
        <row r="97">
          <cell r="B97" t="str">
            <v>Cash</v>
          </cell>
          <cell r="C97">
            <v>0.12537021915348362</v>
          </cell>
          <cell r="D97">
            <v>8.6212606146091386E-2</v>
          </cell>
          <cell r="E97">
            <v>0.10995028593689676</v>
          </cell>
          <cell r="F97">
            <v>0.11124504644160754</v>
          </cell>
          <cell r="G97">
            <v>0.11050256391643541</v>
          </cell>
        </row>
        <row r="98">
          <cell r="B98" t="str">
            <v>Total</v>
          </cell>
          <cell r="C98">
            <v>1</v>
          </cell>
          <cell r="D98">
            <v>1</v>
          </cell>
          <cell r="E98">
            <v>1</v>
          </cell>
          <cell r="F98">
            <v>0.99999999999999978</v>
          </cell>
          <cell r="G98">
            <v>1</v>
          </cell>
        </row>
        <row r="101">
          <cell r="A101" t="str">
            <v>(8)</v>
          </cell>
          <cell r="B101" t="str">
            <v>ICBCA</v>
          </cell>
          <cell r="C101" t="str">
            <v>Dec-01</v>
          </cell>
          <cell r="D101" t="str">
            <v>Dec-02</v>
          </cell>
          <cell r="E101" t="str">
            <v>Dec-03</v>
          </cell>
          <cell r="F101" t="str">
            <v>Dec-04</v>
          </cell>
          <cell r="G101">
            <v>38508</v>
          </cell>
          <cell r="H101">
            <v>38691</v>
          </cell>
        </row>
        <row r="102">
          <cell r="C102" t="str">
            <v>(HK$m)</v>
          </cell>
          <cell r="D102" t="str">
            <v>(HK$m)</v>
          </cell>
          <cell r="E102" t="str">
            <v>(HK$m)</v>
          </cell>
          <cell r="F102" t="str">
            <v>(HK$m)</v>
          </cell>
          <cell r="G102" t="str">
            <v>(HK$m)</v>
          </cell>
          <cell r="H102" t="str">
            <v>(HK$m)</v>
          </cell>
        </row>
        <row r="103">
          <cell r="B103" t="str">
            <v>Loans</v>
          </cell>
          <cell r="C103">
            <v>28020.455999999998</v>
          </cell>
          <cell r="D103">
            <v>33266.928999999996</v>
          </cell>
          <cell r="E103">
            <v>41465.576999999997</v>
          </cell>
          <cell r="F103">
            <v>61366.802000000003</v>
          </cell>
          <cell r="G103">
            <v>68711.489000000001</v>
          </cell>
          <cell r="H103">
            <v>68152.663</v>
          </cell>
        </row>
        <row r="104">
          <cell r="B104" t="str">
            <v>Debt Securities</v>
          </cell>
          <cell r="C104">
            <v>5047.2719999999999</v>
          </cell>
          <cell r="D104">
            <v>6557.7809999999999</v>
          </cell>
          <cell r="E104">
            <v>6020.1019999999999</v>
          </cell>
          <cell r="F104">
            <v>9198.5960000000014</v>
          </cell>
          <cell r="G104">
            <v>9784.3580000000002</v>
          </cell>
          <cell r="H104">
            <v>13264.277</v>
          </cell>
        </row>
        <row r="105">
          <cell r="B105" t="str">
            <v>Cash</v>
          </cell>
          <cell r="C105">
            <v>8973.1090000000004</v>
          </cell>
          <cell r="D105">
            <v>18849.143</v>
          </cell>
          <cell r="E105">
            <v>26615.113999999998</v>
          </cell>
          <cell r="F105">
            <v>27402.334999999999</v>
          </cell>
          <cell r="G105">
            <v>28167.934000000001</v>
          </cell>
          <cell r="H105">
            <v>29779.263000000003</v>
          </cell>
        </row>
        <row r="106">
          <cell r="B106" t="str">
            <v>Total</v>
          </cell>
          <cell r="C106">
            <v>42040.837</v>
          </cell>
          <cell r="D106">
            <v>58673.853000000003</v>
          </cell>
          <cell r="E106">
            <v>74100.792999999991</v>
          </cell>
          <cell r="F106">
            <v>97967.733000000007</v>
          </cell>
          <cell r="G106">
            <v>106663.78100000002</v>
          </cell>
          <cell r="H106">
            <v>111196.20300000001</v>
          </cell>
        </row>
        <row r="108">
          <cell r="C108" t="str">
            <v>Dec-01</v>
          </cell>
          <cell r="D108" t="str">
            <v>Dec-02</v>
          </cell>
          <cell r="E108" t="str">
            <v>Dec-03</v>
          </cell>
          <cell r="F108" t="str">
            <v>Dec-04</v>
          </cell>
          <cell r="G108">
            <v>38508</v>
          </cell>
          <cell r="H108">
            <v>38691</v>
          </cell>
        </row>
        <row r="109">
          <cell r="B109" t="str">
            <v>Loans</v>
          </cell>
          <cell r="C109">
            <v>0.66650566448046689</v>
          </cell>
          <cell r="D109">
            <v>0.56698047424974796</v>
          </cell>
          <cell r="E109">
            <v>0.55958344467379728</v>
          </cell>
          <cell r="F109">
            <v>0.62639810191382095</v>
          </cell>
          <cell r="G109">
            <v>0.64418763666365808</v>
          </cell>
          <cell r="H109">
            <v>0.61290458811799531</v>
          </cell>
        </row>
        <row r="110">
          <cell r="B110" t="str">
            <v>Debt Securities</v>
          </cell>
          <cell r="C110">
            <v>0.12005641086546398</v>
          </cell>
          <cell r="D110">
            <v>0.11176666717285466</v>
          </cell>
          <cell r="E110">
            <v>8.1242072537604293E-2</v>
          </cell>
          <cell r="F110">
            <v>9.3894139614315669E-2</v>
          </cell>
          <cell r="G110">
            <v>9.1730837855822853E-2</v>
          </cell>
          <cell r="H110">
            <v>0.1192871396876744</v>
          </cell>
        </row>
        <row r="111">
          <cell r="B111" t="str">
            <v>Cash</v>
          </cell>
          <cell r="C111">
            <v>0.21343792465406911</v>
          </cell>
          <cell r="D111">
            <v>0.32125285857739733</v>
          </cell>
          <cell r="E111">
            <v>0.35917448278859854</v>
          </cell>
          <cell r="F111">
            <v>0.27970775847186335</v>
          </cell>
          <cell r="G111">
            <v>0.264081525480519</v>
          </cell>
          <cell r="H111">
            <v>0.26780827219433023</v>
          </cell>
        </row>
        <row r="112">
          <cell r="B112" t="str">
            <v>Total</v>
          </cell>
          <cell r="C112">
            <v>0.99999999999999989</v>
          </cell>
          <cell r="D112">
            <v>1</v>
          </cell>
          <cell r="E112">
            <v>1</v>
          </cell>
          <cell r="F112">
            <v>1</v>
          </cell>
          <cell r="G112">
            <v>0.99999999999999989</v>
          </cell>
          <cell r="H112">
            <v>1</v>
          </cell>
        </row>
        <row r="114">
          <cell r="A114" t="str">
            <v>Total of HK banks</v>
          </cell>
        </row>
        <row r="116">
          <cell r="B116" t="str">
            <v>(HK$m)</v>
          </cell>
          <cell r="C116" t="str">
            <v>Dec-01</v>
          </cell>
          <cell r="D116" t="str">
            <v>Dec-02</v>
          </cell>
          <cell r="E116" t="str">
            <v>Dec-03</v>
          </cell>
          <cell r="F116" t="str">
            <v>Dec-04</v>
          </cell>
          <cell r="G116">
            <v>38508</v>
          </cell>
        </row>
        <row r="117">
          <cell r="B117" t="str">
            <v>Loans</v>
          </cell>
          <cell r="C117">
            <v>796771.12300000014</v>
          </cell>
          <cell r="D117">
            <v>815636.429</v>
          </cell>
          <cell r="E117">
            <v>826725.43500000006</v>
          </cell>
          <cell r="F117">
            <v>906868.89000000013</v>
          </cell>
          <cell r="G117">
            <v>980490.70099999988</v>
          </cell>
        </row>
        <row r="118">
          <cell r="B118" t="str">
            <v>Debt Securities</v>
          </cell>
          <cell r="C118">
            <v>205353.774</v>
          </cell>
          <cell r="D118">
            <v>318434.18500000006</v>
          </cell>
          <cell r="E118">
            <v>390908.40100000007</v>
          </cell>
          <cell r="F118">
            <v>494189.28100000008</v>
          </cell>
          <cell r="G118">
            <v>552837.06499999994</v>
          </cell>
        </row>
        <row r="119">
          <cell r="B119" t="str">
            <v>Cash</v>
          </cell>
          <cell r="C119">
            <v>572248.61500000011</v>
          </cell>
          <cell r="D119">
            <v>449481.54400000005</v>
          </cell>
          <cell r="E119">
            <v>478846.32700000005</v>
          </cell>
          <cell r="F119">
            <v>442651.44700000004</v>
          </cell>
          <cell r="G119">
            <v>403180.3</v>
          </cell>
        </row>
        <row r="120">
          <cell r="B120" t="str">
            <v>Total</v>
          </cell>
          <cell r="C120">
            <v>1574373.5120000001</v>
          </cell>
          <cell r="D120">
            <v>1583552.1580000001</v>
          </cell>
          <cell r="E120">
            <v>1696480.1630000002</v>
          </cell>
          <cell r="F120">
            <v>1843709.6180000002</v>
          </cell>
          <cell r="G120">
            <v>1936508.0659999999</v>
          </cell>
        </row>
        <row r="122">
          <cell r="B122" t="str">
            <v>Loan Mix (%)</v>
          </cell>
        </row>
        <row r="123">
          <cell r="B123" t="str">
            <v>Loans</v>
          </cell>
          <cell r="C123">
            <v>0.50608773389983208</v>
          </cell>
          <cell r="D123">
            <v>0.51506761231668885</v>
          </cell>
          <cell r="E123">
            <v>0.48731806774447972</v>
          </cell>
          <cell r="F123">
            <v>0.49187186590898396</v>
          </cell>
          <cell r="G123">
            <v>0.50631893469221412</v>
          </cell>
        </row>
        <row r="124">
          <cell r="B124" t="str">
            <v>Debt Securities</v>
          </cell>
          <cell r="C124">
            <v>0.13043523181429134</v>
          </cell>
          <cell r="D124">
            <v>0.20108853591673109</v>
          </cell>
          <cell r="E124">
            <v>0.23042320772482858</v>
          </cell>
          <cell r="F124">
            <v>0.26804073492662117</v>
          </cell>
          <cell r="G124">
            <v>0.2854814161151033</v>
          </cell>
        </row>
        <row r="125">
          <cell r="B125" t="str">
            <v>Cash</v>
          </cell>
          <cell r="C125">
            <v>0.36347703428587669</v>
          </cell>
          <cell r="D125">
            <v>0.28384385176658011</v>
          </cell>
          <cell r="E125">
            <v>0.28225872453069173</v>
          </cell>
          <cell r="F125">
            <v>0.24008739916439487</v>
          </cell>
          <cell r="G125">
            <v>0.2081996491926825</v>
          </cell>
        </row>
        <row r="126">
          <cell r="B126" t="str">
            <v>Total</v>
          </cell>
          <cell r="C126">
            <v>1</v>
          </cell>
          <cell r="D126">
            <v>1</v>
          </cell>
          <cell r="E126">
            <v>1</v>
          </cell>
          <cell r="F126">
            <v>1</v>
          </cell>
          <cell r="G126">
            <v>1</v>
          </cell>
        </row>
        <row r="130">
          <cell r="A130" t="str">
            <v>LCH</v>
          </cell>
          <cell r="H130" t="str">
            <v>Dec-05</v>
          </cell>
        </row>
        <row r="131">
          <cell r="H131" t="str">
            <v>(HK$m)</v>
          </cell>
        </row>
        <row r="132">
          <cell r="B132" t="str">
            <v>Loans</v>
          </cell>
          <cell r="H132">
            <v>24508.061000000002</v>
          </cell>
        </row>
        <row r="133">
          <cell r="B133" t="str">
            <v>Debt Securities</v>
          </cell>
          <cell r="H133">
            <v>9994.6750000000011</v>
          </cell>
        </row>
        <row r="134">
          <cell r="B134" t="str">
            <v>Cash</v>
          </cell>
          <cell r="H134">
            <v>13827.894999999999</v>
          </cell>
        </row>
        <row r="135">
          <cell r="B135" t="str">
            <v>Total</v>
          </cell>
          <cell r="H135">
            <v>48330.631000000001</v>
          </cell>
        </row>
        <row r="139">
          <cell r="E139">
            <v>38691</v>
          </cell>
          <cell r="F139">
            <v>38508</v>
          </cell>
        </row>
        <row r="140">
          <cell r="E140" t="str">
            <v>LCH</v>
          </cell>
          <cell r="F140" t="str">
            <v>HK Banks</v>
          </cell>
        </row>
        <row r="141">
          <cell r="D141" t="str">
            <v>Loans</v>
          </cell>
          <cell r="E141">
            <v>0.50709168270532201</v>
          </cell>
          <cell r="F141">
            <v>0.50631893469221412</v>
          </cell>
        </row>
        <row r="142">
          <cell r="D142" t="str">
            <v>Debt Securities</v>
          </cell>
          <cell r="E142">
            <v>0.20679794145456121</v>
          </cell>
          <cell r="F142">
            <v>0.2854814161151033</v>
          </cell>
        </row>
        <row r="143">
          <cell r="D143" t="str">
            <v>Cash</v>
          </cell>
          <cell r="E143">
            <v>0.28611037584011678</v>
          </cell>
          <cell r="F143">
            <v>0.2081996491926825</v>
          </cell>
        </row>
        <row r="144">
          <cell r="D144" t="str">
            <v>Total</v>
          </cell>
          <cell r="E144">
            <v>1</v>
          </cell>
          <cell r="F144">
            <v>1</v>
          </cell>
        </row>
        <row r="153">
          <cell r="C153" t="str">
            <v>DSF</v>
          </cell>
          <cell r="D153">
            <v>0.35</v>
          </cell>
        </row>
        <row r="154">
          <cell r="C154" t="str">
            <v>ICBCA</v>
          </cell>
          <cell r="D154">
            <v>0.12</v>
          </cell>
        </row>
        <row r="155">
          <cell r="C155" t="str">
            <v>BEA</v>
          </cell>
          <cell r="D155">
            <v>0.11899999999999999</v>
          </cell>
        </row>
        <row r="156">
          <cell r="C156" t="str">
            <v>WHB</v>
          </cell>
          <cell r="D156">
            <v>0.11</v>
          </cell>
        </row>
        <row r="157">
          <cell r="C157" t="str">
            <v>HSB</v>
          </cell>
          <cell r="D157">
            <v>7.0000000000000007E-2</v>
          </cell>
        </row>
        <row r="158">
          <cell r="C158" t="str">
            <v>CIFH</v>
          </cell>
          <cell r="D158">
            <v>0.06</v>
          </cell>
        </row>
        <row r="159">
          <cell r="C159" t="str">
            <v>WLB</v>
          </cell>
          <cell r="D159">
            <v>6.8000000000000005E-2</v>
          </cell>
        </row>
        <row r="160">
          <cell r="C160" t="str">
            <v>BOCHK</v>
          </cell>
          <cell r="D160">
            <v>0.05</v>
          </cell>
        </row>
      </sheetData>
      <sheetData sheetId="7" refreshError="1">
        <row r="1">
          <cell r="D1" t="str">
            <v>The industry should benefit from wider Prime-HIBOR spread and moderately strong lending growth.  However, a flat yield curve, a cooling property market and high valuations offset the positives.</v>
          </cell>
        </row>
        <row r="2">
          <cell r="D2" t="str">
            <v>P/E and P/B on this page are based on the latest closing prices while 2004 and 2005 P/E and P/B on the front page are based on historical closing prices</v>
          </cell>
        </row>
        <row r="3">
          <cell r="F3" t="str">
            <v>2/21/2007</v>
          </cell>
        </row>
        <row r="4">
          <cell r="C4" t="str">
            <v>2007 Div Yld</v>
          </cell>
          <cell r="D4" t="str">
            <v>(HK$)</v>
          </cell>
          <cell r="E4" t="str">
            <v>Ratings</v>
          </cell>
          <cell r="F4" t="str">
            <v>Current Price</v>
          </cell>
          <cell r="G4" t="str">
            <v>Price Target</v>
          </cell>
          <cell r="H4" t="str">
            <v>Estimated Potential Cap. Appreciation (%)</v>
          </cell>
          <cell r="I4" t="str">
            <v>Est. Potential Total Return (%)*</v>
          </cell>
        </row>
        <row r="5">
          <cell r="B5" t="str">
            <v>0005.HK</v>
          </cell>
          <cell r="C5">
            <v>4.9511519212795294</v>
          </cell>
          <cell r="D5" t="str">
            <v>HSBC</v>
          </cell>
          <cell r="E5" t="str">
            <v>Overweight</v>
          </cell>
          <cell r="F5">
            <v>139.10000000000352</v>
          </cell>
          <cell r="G5">
            <v>160</v>
          </cell>
          <cell r="H5">
            <v>15.025161754130799</v>
          </cell>
          <cell r="I5">
            <v>19.976313675410328</v>
          </cell>
        </row>
        <row r="6">
          <cell r="B6" t="str">
            <v>2388.HK</v>
          </cell>
          <cell r="C6">
            <v>4.728289094803678</v>
          </cell>
          <cell r="D6" t="str">
            <v>BOC Hong Kong</v>
          </cell>
          <cell r="E6" t="str">
            <v>Overweight</v>
          </cell>
          <cell r="F6">
            <v>20.2</v>
          </cell>
          <cell r="G6">
            <v>22</v>
          </cell>
          <cell r="H6">
            <v>8.9108910891089188</v>
          </cell>
          <cell r="I6">
            <v>13.639180183912597</v>
          </cell>
        </row>
        <row r="7">
          <cell r="B7" t="str">
            <v>0011.HK</v>
          </cell>
          <cell r="C7">
            <v>5.1676659056342205</v>
          </cell>
          <cell r="D7" t="str">
            <v>Hang Seng Bank</v>
          </cell>
          <cell r="E7" t="str">
            <v>Overweight</v>
          </cell>
          <cell r="F7">
            <v>113</v>
          </cell>
          <cell r="G7">
            <v>121.19999694824219</v>
          </cell>
          <cell r="H7">
            <v>7.2566344674709571</v>
          </cell>
          <cell r="I7">
            <v>12.424300373105178</v>
          </cell>
        </row>
        <row r="8">
          <cell r="B8" t="str">
            <v>0349.HK</v>
          </cell>
          <cell r="C8">
            <v>4.1238630201465352</v>
          </cell>
          <cell r="D8" t="str">
            <v>ICBC (Asia)</v>
          </cell>
          <cell r="E8" t="str">
            <v>Overweight</v>
          </cell>
          <cell r="F8">
            <v>17.260000000000002</v>
          </cell>
          <cell r="G8">
            <v>18</v>
          </cell>
          <cell r="H8">
            <v>4.2873696407879303</v>
          </cell>
          <cell r="I8">
            <v>8.4112326609344663</v>
          </cell>
        </row>
        <row r="9">
          <cell r="B9" t="str">
            <v>0096.HK</v>
          </cell>
          <cell r="C9">
            <v>4.1165296849708222</v>
          </cell>
          <cell r="D9" t="str">
            <v>Wing Lung Bank</v>
          </cell>
          <cell r="E9" t="str">
            <v>Equal-Weight</v>
          </cell>
          <cell r="F9">
            <v>93.05</v>
          </cell>
          <cell r="G9">
            <v>81.900001525878906</v>
          </cell>
          <cell r="H9">
            <v>-11.98280330373035</v>
          </cell>
          <cell r="I9">
            <v>-7.8662736187595277</v>
          </cell>
        </row>
        <row r="10">
          <cell r="B10" t="str">
            <v>2888.HK</v>
          </cell>
          <cell r="C10">
            <v>2.6086884368412875</v>
          </cell>
          <cell r="D10" t="str">
            <v>Standard Chartered Bank</v>
          </cell>
          <cell r="E10" t="str">
            <v>Equal-Weight</v>
          </cell>
          <cell r="F10">
            <v>235.400000000006</v>
          </cell>
          <cell r="G10">
            <v>200</v>
          </cell>
          <cell r="H10">
            <v>-15.03823279524431</v>
          </cell>
          <cell r="I10">
            <v>-12.429544358403023</v>
          </cell>
        </row>
        <row r="11">
          <cell r="B11" t="str">
            <v>0183.HK</v>
          </cell>
          <cell r="C11">
            <v>2.5145768130027708</v>
          </cell>
          <cell r="D11" t="str">
            <v>CITIC Int'l Financial Hlds.</v>
          </cell>
          <cell r="E11" t="str">
            <v>Underweight</v>
          </cell>
          <cell r="F11">
            <v>6.75</v>
          </cell>
          <cell r="G11">
            <v>6.5199999809265137</v>
          </cell>
          <cell r="H11">
            <v>-3.4074076899775707</v>
          </cell>
          <cell r="I11">
            <v>-0.8928308769747999</v>
          </cell>
        </row>
        <row r="12">
          <cell r="B12" t="str">
            <v>0302.HK</v>
          </cell>
          <cell r="C12">
            <v>3.1639941362565596</v>
          </cell>
          <cell r="D12" t="str">
            <v>Wing Hang Bank</v>
          </cell>
          <cell r="E12" t="str">
            <v>Underweight</v>
          </cell>
          <cell r="F12">
            <v>96.5</v>
          </cell>
          <cell r="G12">
            <v>86.900001525878906</v>
          </cell>
          <cell r="H12">
            <v>-9.94818494727574</v>
          </cell>
          <cell r="I12">
            <v>-6.7841908110191804</v>
          </cell>
        </row>
        <row r="13">
          <cell r="B13" t="str">
            <v>0023.HK</v>
          </cell>
          <cell r="C13">
            <v>2.8752297307071624</v>
          </cell>
          <cell r="D13" t="str">
            <v>Bank of East Asia</v>
          </cell>
          <cell r="E13" t="str">
            <v>Underweight</v>
          </cell>
          <cell r="F13">
            <v>47.75</v>
          </cell>
          <cell r="G13">
            <v>42</v>
          </cell>
          <cell r="H13">
            <v>-12.041884816753923</v>
          </cell>
          <cell r="I13">
            <v>-9.1666550860467595</v>
          </cell>
        </row>
        <row r="14">
          <cell r="B14" t="str">
            <v>0440.HK</v>
          </cell>
          <cell r="C14">
            <v>3.6241952678999296</v>
          </cell>
          <cell r="D14" t="str">
            <v>Dah Sing Financial</v>
          </cell>
          <cell r="E14" t="str">
            <v>++</v>
          </cell>
          <cell r="F14">
            <v>72.150000000000006</v>
          </cell>
          <cell r="G14" t="str">
            <v>++</v>
          </cell>
          <cell r="H14" t="str">
            <v>++</v>
          </cell>
          <cell r="I14" t="str">
            <v>++</v>
          </cell>
        </row>
        <row r="19">
          <cell r="D19" t="str">
            <v>Company (Code, Current Price)</v>
          </cell>
          <cell r="E19" t="str">
            <v>Rating</v>
          </cell>
          <cell r="F19" t="str">
            <v>Price Target</v>
          </cell>
          <cell r="G19" t="str">
            <v>Est. Potential Total Return (%)*</v>
          </cell>
          <cell r="H19" t="str">
            <v>Current Target Price</v>
          </cell>
          <cell r="J19" t="str">
            <v>Current Price</v>
          </cell>
          <cell r="L19" t="str">
            <v>Ratings</v>
          </cell>
          <cell r="M19" t="str">
            <v>2007 Div Yld</v>
          </cell>
          <cell r="N19" t="str">
            <v>Estimated Potential Cap. Appreciation (%)</v>
          </cell>
        </row>
        <row r="20">
          <cell r="B20" t="str">
            <v>0440.HK</v>
          </cell>
          <cell r="D20" t="str">
            <v>DSF (0440.HK, HK$72.15)</v>
          </cell>
          <cell r="E20" t="str">
            <v>+</v>
          </cell>
          <cell r="F20" t="str">
            <v>++</v>
          </cell>
          <cell r="G20" t="e">
            <v>#VALUE!</v>
          </cell>
          <cell r="H20" t="str">
            <v>++</v>
          </cell>
          <cell r="I20" t="str">
            <v>DSF (0440.HK, HK$</v>
          </cell>
          <cell r="J20">
            <v>72.150000000000006</v>
          </cell>
          <cell r="K20" t="str">
            <v>)</v>
          </cell>
          <cell r="L20" t="str">
            <v>++</v>
          </cell>
          <cell r="M20">
            <v>3.6241952678999296</v>
          </cell>
          <cell r="N20" t="e">
            <v>#VALUE!</v>
          </cell>
        </row>
        <row r="21">
          <cell r="B21" t="str">
            <v>0302.HK</v>
          </cell>
          <cell r="D21" t="str">
            <v>WHB (0302.HK, HK$96.5)</v>
          </cell>
          <cell r="E21" t="str">
            <v>U</v>
          </cell>
          <cell r="F21">
            <v>86.900001525878906</v>
          </cell>
          <cell r="G21">
            <v>-6.7841908110191804</v>
          </cell>
          <cell r="H21">
            <v>86.900001525878906</v>
          </cell>
          <cell r="I21" t="str">
            <v>WHB (0302.HK, HK$</v>
          </cell>
          <cell r="J21">
            <v>96.5</v>
          </cell>
          <cell r="K21" t="str">
            <v>)</v>
          </cell>
          <cell r="L21" t="str">
            <v>Underweight</v>
          </cell>
          <cell r="M21">
            <v>3.1639941362565596</v>
          </cell>
          <cell r="N21">
            <v>-9.94818494727574</v>
          </cell>
        </row>
        <row r="22">
          <cell r="B22" t="str">
            <v>0096.HK</v>
          </cell>
          <cell r="D22" t="str">
            <v>WLB (0096.HK, HK$93.05)</v>
          </cell>
          <cell r="E22" t="str">
            <v>E</v>
          </cell>
          <cell r="F22">
            <v>81.900001525878906</v>
          </cell>
          <cell r="G22">
            <v>-7.8662736187595277</v>
          </cell>
          <cell r="H22">
            <v>81.900001525878906</v>
          </cell>
          <cell r="I22" t="str">
            <v>WLB (0096.HK, HK$</v>
          </cell>
          <cell r="J22">
            <v>93.05</v>
          </cell>
          <cell r="K22" t="str">
            <v>)</v>
          </cell>
          <cell r="L22" t="str">
            <v>Equal-Weight</v>
          </cell>
          <cell r="M22">
            <v>4.1165296849708222</v>
          </cell>
          <cell r="N22">
            <v>-11.98280330373035</v>
          </cell>
        </row>
        <row r="23">
          <cell r="B23" t="str">
            <v>2388.HK</v>
          </cell>
          <cell r="D23" t="str">
            <v>BOCHK (2388.HK, HK$20.2)</v>
          </cell>
          <cell r="E23" t="str">
            <v>O</v>
          </cell>
          <cell r="F23">
            <v>22</v>
          </cell>
          <cell r="G23">
            <v>13.639180183912597</v>
          </cell>
          <cell r="H23">
            <v>22</v>
          </cell>
          <cell r="I23" t="str">
            <v>BOCHK (2388.HK, HK$</v>
          </cell>
          <cell r="J23">
            <v>20.2</v>
          </cell>
          <cell r="K23" t="str">
            <v>)</v>
          </cell>
          <cell r="L23" t="str">
            <v>Overweight</v>
          </cell>
          <cell r="M23">
            <v>4.728289094803678</v>
          </cell>
          <cell r="N23">
            <v>8.9108910891089188</v>
          </cell>
        </row>
        <row r="24">
          <cell r="B24" t="str">
            <v>0005.HK</v>
          </cell>
          <cell r="D24" t="str">
            <v>HSBC (0005.HK, HK$139.100000000004)</v>
          </cell>
          <cell r="E24" t="str">
            <v>O</v>
          </cell>
          <cell r="F24">
            <v>160</v>
          </cell>
          <cell r="G24">
            <v>19.976313675410328</v>
          </cell>
          <cell r="H24">
            <v>160</v>
          </cell>
          <cell r="I24" t="str">
            <v>HSBC (0005.HK, HK$</v>
          </cell>
          <cell r="J24">
            <v>139.10000000000352</v>
          </cell>
          <cell r="K24" t="str">
            <v>)</v>
          </cell>
          <cell r="L24" t="str">
            <v>Overweight</v>
          </cell>
          <cell r="M24">
            <v>4.9511519212795294</v>
          </cell>
          <cell r="N24">
            <v>15.025161754130799</v>
          </cell>
        </row>
        <row r="25">
          <cell r="B25" t="str">
            <v>0011.HK</v>
          </cell>
          <cell r="D25" t="str">
            <v>HSB (0011.HK, HK$113)</v>
          </cell>
          <cell r="E25" t="str">
            <v>O</v>
          </cell>
          <cell r="F25">
            <v>121.19999694824219</v>
          </cell>
          <cell r="G25">
            <v>12.424300373105178</v>
          </cell>
          <cell r="H25">
            <v>121.19999694824219</v>
          </cell>
          <cell r="I25" t="str">
            <v>HSB (0011.HK, HK$</v>
          </cell>
          <cell r="J25">
            <v>113</v>
          </cell>
          <cell r="K25" t="str">
            <v>)</v>
          </cell>
          <cell r="L25" t="str">
            <v>Overweight</v>
          </cell>
          <cell r="M25">
            <v>5.1676659056342205</v>
          </cell>
          <cell r="N25">
            <v>7.2566344674709571</v>
          </cell>
        </row>
        <row r="26">
          <cell r="B26" t="str">
            <v>0349.HK</v>
          </cell>
          <cell r="D26" t="str">
            <v>ICBCA (0349.HK, HK$17.26)</v>
          </cell>
          <cell r="E26" t="str">
            <v>O</v>
          </cell>
          <cell r="F26">
            <v>18</v>
          </cell>
          <cell r="G26">
            <v>8.4112326609344663</v>
          </cell>
          <cell r="H26">
            <v>18</v>
          </cell>
          <cell r="I26" t="str">
            <v>ICBCA (0349.HK, HK$</v>
          </cell>
          <cell r="J26">
            <v>17.260000000000002</v>
          </cell>
          <cell r="K26" t="str">
            <v>)</v>
          </cell>
          <cell r="L26" t="str">
            <v>Overweight</v>
          </cell>
          <cell r="M26">
            <v>4.1238630201465352</v>
          </cell>
          <cell r="N26">
            <v>4.2873696407879303</v>
          </cell>
        </row>
        <row r="27">
          <cell r="B27" t="str">
            <v>2888.HK</v>
          </cell>
          <cell r="D27" t="str">
            <v>STAN (2888.HK, HK$235.400000000006)</v>
          </cell>
          <cell r="E27" t="str">
            <v>E</v>
          </cell>
          <cell r="F27">
            <v>200</v>
          </cell>
          <cell r="G27">
            <v>-12.429544358403023</v>
          </cell>
          <cell r="H27">
            <v>200</v>
          </cell>
          <cell r="I27" t="str">
            <v>STAN (2888.HK, HK$</v>
          </cell>
          <cell r="J27">
            <v>235.400000000006</v>
          </cell>
          <cell r="K27" t="str">
            <v>)</v>
          </cell>
          <cell r="L27" t="str">
            <v>Equal-Weight</v>
          </cell>
          <cell r="M27">
            <v>2.6086884368412875</v>
          </cell>
          <cell r="N27">
            <v>-15.03823279524431</v>
          </cell>
        </row>
        <row r="28">
          <cell r="B28" t="str">
            <v>0023.HK</v>
          </cell>
          <cell r="D28" t="str">
            <v>BEA (0023.HK, HK$47.75)</v>
          </cell>
          <cell r="E28" t="str">
            <v>U</v>
          </cell>
          <cell r="F28">
            <v>42</v>
          </cell>
          <cell r="G28">
            <v>-9.1666550860467595</v>
          </cell>
          <cell r="H28">
            <v>42</v>
          </cell>
          <cell r="I28" t="str">
            <v>BEA (0023.HK, HK$</v>
          </cell>
          <cell r="J28">
            <v>47.75</v>
          </cell>
          <cell r="K28" t="str">
            <v>)</v>
          </cell>
          <cell r="L28" t="str">
            <v>Underweight</v>
          </cell>
          <cell r="M28">
            <v>2.8752297307071624</v>
          </cell>
          <cell r="N28">
            <v>-12.041884816753923</v>
          </cell>
        </row>
        <row r="29">
          <cell r="B29" t="str">
            <v>0183.HK</v>
          </cell>
          <cell r="D29" t="str">
            <v>CIFH (0183.HK, HK$6.75)</v>
          </cell>
          <cell r="E29" t="str">
            <v>U</v>
          </cell>
          <cell r="F29">
            <v>6.5199999809265137</v>
          </cell>
          <cell r="G29">
            <v>-0.8928308769747999</v>
          </cell>
          <cell r="H29">
            <v>6.5199999809265137</v>
          </cell>
          <cell r="I29" t="str">
            <v>CIFH (0183.HK, HK$</v>
          </cell>
          <cell r="J29">
            <v>6.75</v>
          </cell>
          <cell r="K29" t="str">
            <v>)</v>
          </cell>
          <cell r="L29" t="str">
            <v>Underweight</v>
          </cell>
          <cell r="M29">
            <v>2.5145768130027708</v>
          </cell>
          <cell r="N29">
            <v>-3.4074076899775707</v>
          </cell>
        </row>
        <row r="38">
          <cell r="E38" t="str">
            <v>2/21/2007</v>
          </cell>
        </row>
        <row r="39">
          <cell r="D39" t="str">
            <v>(HK$)</v>
          </cell>
          <cell r="E39" t="str">
            <v>Close Price</v>
          </cell>
          <cell r="F39" t="str">
            <v>Ratings</v>
          </cell>
          <cell r="G39" t="str">
            <v>Old Price Target</v>
          </cell>
          <cell r="H39" t="str">
            <v>New Price Target</v>
          </cell>
          <cell r="I39" t="str">
            <v>Chg in Price Target</v>
          </cell>
        </row>
        <row r="40">
          <cell r="D40" t="str">
            <v>CITIC Int'l Financial Hlds.</v>
          </cell>
          <cell r="E40">
            <v>6.75</v>
          </cell>
          <cell r="F40" t="str">
            <v>Underweight</v>
          </cell>
          <cell r="G40">
            <v>6.5199999809265137</v>
          </cell>
          <cell r="H40">
            <v>18</v>
          </cell>
          <cell r="I40">
            <v>1.7607362043952244</v>
          </cell>
        </row>
        <row r="41">
          <cell r="D41" t="str">
            <v>Wing Hang Bank</v>
          </cell>
          <cell r="E41">
            <v>96.5</v>
          </cell>
          <cell r="F41" t="str">
            <v>Underweight</v>
          </cell>
          <cell r="G41">
            <v>86.900001525878906</v>
          </cell>
          <cell r="H41">
            <v>86.9</v>
          </cell>
          <cell r="I41">
            <v>-1.7559020459856356E-8</v>
          </cell>
        </row>
        <row r="42">
          <cell r="D42" t="str">
            <v>ICBC (Asia)</v>
          </cell>
          <cell r="E42">
            <v>17.260000000000002</v>
          </cell>
          <cell r="F42" t="str">
            <v>Overweight</v>
          </cell>
          <cell r="G42">
            <v>18</v>
          </cell>
          <cell r="H42">
            <v>22</v>
          </cell>
          <cell r="I42">
            <v>0.22222222222222232</v>
          </cell>
        </row>
        <row r="43">
          <cell r="D43" t="str">
            <v>Wing Lung Bank</v>
          </cell>
          <cell r="E43">
            <v>93.05</v>
          </cell>
          <cell r="F43" t="str">
            <v>Equal-Weight</v>
          </cell>
          <cell r="G43">
            <v>81.900001525878906</v>
          </cell>
          <cell r="H43">
            <v>81.900000000000006</v>
          </cell>
          <cell r="I43">
            <v>-1.863099963195225E-8</v>
          </cell>
        </row>
        <row r="44">
          <cell r="D44" t="str">
            <v>Standard Chartered Bank</v>
          </cell>
          <cell r="E44">
            <v>235.400000000006</v>
          </cell>
          <cell r="F44" t="str">
            <v>Equal-Weight</v>
          </cell>
          <cell r="G44">
            <v>200</v>
          </cell>
          <cell r="H44">
            <v>6.52</v>
          </cell>
          <cell r="I44">
            <v>-0.96740000000000004</v>
          </cell>
        </row>
        <row r="45">
          <cell r="D45" t="str">
            <v>BOC Hong Kong</v>
          </cell>
          <cell r="E45">
            <v>20.2</v>
          </cell>
          <cell r="F45" t="str">
            <v>Overweight</v>
          </cell>
          <cell r="G45">
            <v>22</v>
          </cell>
          <cell r="H45" t="str">
            <v>No Change</v>
          </cell>
          <cell r="I45" t="str">
            <v>No Change</v>
          </cell>
        </row>
        <row r="46">
          <cell r="D46" t="str">
            <v>Dah Sing Financial</v>
          </cell>
          <cell r="E46">
            <v>72.150000000000006</v>
          </cell>
          <cell r="F46" t="str">
            <v>++</v>
          </cell>
          <cell r="G46" t="str">
            <v>++</v>
          </cell>
          <cell r="H46" t="str">
            <v>No Change</v>
          </cell>
          <cell r="I46" t="str">
            <v>No Change</v>
          </cell>
        </row>
        <row r="47">
          <cell r="D47" t="str">
            <v>Hang Seng Bank</v>
          </cell>
          <cell r="E47">
            <v>113</v>
          </cell>
          <cell r="F47" t="str">
            <v>Overweight</v>
          </cell>
          <cell r="G47" t="str">
            <v>Overweight</v>
          </cell>
          <cell r="H47" t="str">
            <v>Overweight</v>
          </cell>
          <cell r="I47" t="str">
            <v>Overweight</v>
          </cell>
        </row>
        <row r="54">
          <cell r="D54" t="str">
            <v>Company</v>
          </cell>
          <cell r="E54" t="str">
            <v>Ratings</v>
          </cell>
        </row>
        <row r="55">
          <cell r="D55" t="str">
            <v>CITIC Int'l Financial Hlds.</v>
          </cell>
          <cell r="E55" t="str">
            <v>From Equalweight to Underweight</v>
          </cell>
        </row>
        <row r="56">
          <cell r="D56" t="str">
            <v>Wing Hang Bank</v>
          </cell>
          <cell r="E56" t="str">
            <v>From Equalweight to Underweight</v>
          </cell>
        </row>
      </sheetData>
      <sheetData sheetId="8" refreshError="1">
        <row r="1">
          <cell r="B1" t="str">
            <v>2006E</v>
          </cell>
          <cell r="C1" t="str">
            <v>2007E</v>
          </cell>
          <cell r="D1" t="str">
            <v>2008E</v>
          </cell>
        </row>
        <row r="2">
          <cell r="A2" t="str">
            <v>CIFH</v>
          </cell>
          <cell r="B2">
            <v>0.53126044424323471</v>
          </cell>
          <cell r="C2">
            <v>0.51759888274944421</v>
          </cell>
          <cell r="D2">
            <v>0.51759888274944421</v>
          </cell>
        </row>
        <row r="3">
          <cell r="A3" t="str">
            <v>BEA</v>
          </cell>
          <cell r="B3">
            <v>0.4580909571655209</v>
          </cell>
          <cell r="C3">
            <v>0.46783333537948601</v>
          </cell>
          <cell r="D3">
            <v>0.46783333537948601</v>
          </cell>
        </row>
        <row r="4">
          <cell r="A4" t="str">
            <v>ICBCA</v>
          </cell>
          <cell r="B4">
            <v>0.38379683185453206</v>
          </cell>
          <cell r="C4">
            <v>0.36281697880884067</v>
          </cell>
          <cell r="D4">
            <v>0.36281697880884067</v>
          </cell>
        </row>
        <row r="5">
          <cell r="A5" t="str">
            <v>WHB</v>
          </cell>
          <cell r="B5">
            <v>0.34353325100021653</v>
          </cell>
          <cell r="C5">
            <v>0.3370760023489654</v>
          </cell>
          <cell r="D5">
            <v>0.3370760023489654</v>
          </cell>
        </row>
        <row r="6">
          <cell r="A6" t="str">
            <v>DSF</v>
          </cell>
          <cell r="B6">
            <v>0.41003553720128294</v>
          </cell>
          <cell r="C6">
            <v>0.3675196309993437</v>
          </cell>
          <cell r="D6">
            <v>0.3675196309993437</v>
          </cell>
        </row>
        <row r="7">
          <cell r="A7" t="str">
            <v>BOCHK</v>
          </cell>
          <cell r="B7">
            <v>0.29273872329178646</v>
          </cell>
          <cell r="C7">
            <v>0.29281356814779469</v>
          </cell>
          <cell r="D7">
            <v>0.29281356814779469</v>
          </cell>
        </row>
        <row r="8">
          <cell r="A8" t="str">
            <v>WLB</v>
          </cell>
          <cell r="B8">
            <v>0.31026149463547514</v>
          </cell>
          <cell r="C8">
            <v>0.29602811079755409</v>
          </cell>
          <cell r="D8">
            <v>0.29602811079755409</v>
          </cell>
        </row>
        <row r="9">
          <cell r="A9" t="str">
            <v>HSB</v>
          </cell>
          <cell r="B9">
            <v>0.27958696257619242</v>
          </cell>
          <cell r="C9">
            <v>0.27075780702411101</v>
          </cell>
          <cell r="D9">
            <v>0.27075780702411101</v>
          </cell>
        </row>
      </sheetData>
      <sheetData sheetId="9" refreshError="1">
        <row r="1">
          <cell r="K1" t="str">
            <v>2006FY</v>
          </cell>
          <cell r="U1" t="str">
            <v>2005FY</v>
          </cell>
          <cell r="W1" t="str">
            <v>2006FY</v>
          </cell>
        </row>
        <row r="2">
          <cell r="G2" t="str">
            <v>Price</v>
          </cell>
          <cell r="J2" t="str">
            <v>Change in 2006E IBES EPS</v>
          </cell>
          <cell r="M2" t="str">
            <v>Change in Bond Yields</v>
          </cell>
          <cell r="U2" t="str">
            <v>Unwind of Discount Rate</v>
          </cell>
          <cell r="Z2" t="str">
            <v>MS</v>
          </cell>
        </row>
        <row r="3">
          <cell r="A3" t="str">
            <v>(%)</v>
          </cell>
          <cell r="B3" t="str">
            <v>Ticker</v>
          </cell>
          <cell r="C3" t="str">
            <v>Country</v>
          </cell>
          <cell r="D3" t="str">
            <v>Sedol</v>
          </cell>
          <cell r="E3" t="str">
            <v>Rating</v>
          </cell>
          <cell r="G3">
            <v>38352</v>
          </cell>
          <cell r="H3" t="str">
            <v>Mkt Cap</v>
          </cell>
          <cell r="I3" t="str">
            <v>% Change</v>
          </cell>
          <cell r="J3">
            <v>38717</v>
          </cell>
          <cell r="K3" t="str">
            <v>IBES '06E</v>
          </cell>
          <cell r="L3" t="str">
            <v>IBES % EPS Change</v>
          </cell>
          <cell r="M3">
            <v>38352</v>
          </cell>
          <cell r="N3" t="str">
            <v>Current</v>
          </cell>
          <cell r="O3" t="str">
            <v>Change</v>
          </cell>
          <cell r="P3" t="str">
            <v>Risk Free Rate</v>
          </cell>
          <cell r="Q3" t="str">
            <v>Beta</v>
          </cell>
          <cell r="R3" t="str">
            <v>ERP</v>
          </cell>
          <cell r="S3" t="str">
            <v>Current COE</v>
          </cell>
          <cell r="T3" t="str">
            <v>% COE</v>
          </cell>
          <cell r="U3" t="str">
            <v>DPS '05E</v>
          </cell>
          <cell r="V3" t="str">
            <v>Div Yld 05</v>
          </cell>
          <cell r="W3" t="str">
            <v>DPS '06E</v>
          </cell>
          <cell r="X3" t="str">
            <v>Div Yld 06</v>
          </cell>
          <cell r="Y3" t="str">
            <v>COE- Div Yld</v>
          </cell>
          <cell r="Z3" t="str">
            <v>De Rating / Re Rating</v>
          </cell>
          <cell r="AB3" t="str">
            <v>P/E 07E</v>
          </cell>
        </row>
        <row r="4">
          <cell r="E4" t="str">
            <v>mscalc:stockRating</v>
          </cell>
          <cell r="J4" t="str">
            <v>Per Jenny</v>
          </cell>
          <cell r="K4" t="str">
            <v>mscalc:consensusEps</v>
          </cell>
          <cell r="U4" t="str">
            <v>mscalc:dividendsPerShareCalc</v>
          </cell>
          <cell r="W4" t="str">
            <v>mscalc:dividendsPerShareCalc</v>
          </cell>
          <cell r="AB4" t="str">
            <v>mscalc:priceToEarnings</v>
          </cell>
        </row>
        <row r="5">
          <cell r="A5" t="str">
            <v>STAN</v>
          </cell>
          <cell r="B5" t="str">
            <v>2888.HK</v>
          </cell>
          <cell r="D5">
            <v>655848</v>
          </cell>
          <cell r="E5" t="str">
            <v>Equal-Weight</v>
          </cell>
          <cell r="F5" t="str">
            <v>E</v>
          </cell>
          <cell r="G5">
            <v>144</v>
          </cell>
          <cell r="H5">
            <v>9411.4270512820531</v>
          </cell>
          <cell r="I5">
            <v>64.357132300569816</v>
          </cell>
          <cell r="J5">
            <v>14.328000000000001</v>
          </cell>
          <cell r="K5">
            <v>13.22599983215332</v>
          </cell>
          <cell r="L5">
            <v>-7.6912351189746042E-2</v>
          </cell>
          <cell r="M5">
            <v>4.1818999999999997</v>
          </cell>
          <cell r="N5">
            <v>4.633</v>
          </cell>
          <cell r="O5">
            <v>4.5110000000000003E-3</v>
          </cell>
          <cell r="P5">
            <v>4.633</v>
          </cell>
          <cell r="Q5">
            <v>1</v>
          </cell>
          <cell r="R5">
            <v>6</v>
          </cell>
          <cell r="S5">
            <v>0.10632999999999999</v>
          </cell>
          <cell r="T5">
            <v>-4.2424527414652503E-2</v>
          </cell>
          <cell r="U5">
            <v>4.6006900526447883</v>
          </cell>
          <cell r="V5">
            <v>4.8884085565090456E-4</v>
          </cell>
          <cell r="W5">
            <v>5.0939854284161292</v>
          </cell>
          <cell r="X5">
            <v>5.4125536973930128E-4</v>
          </cell>
          <cell r="Y5">
            <v>0.10578874463026069</v>
          </cell>
          <cell r="Z5">
            <v>64.370680434543956</v>
          </cell>
          <cell r="AB5">
            <v>26.247724790680746</v>
          </cell>
        </row>
        <row r="6">
          <cell r="A6" t="str">
            <v>HSBC</v>
          </cell>
          <cell r="B6" t="str">
            <v>0005.HK</v>
          </cell>
          <cell r="D6">
            <v>615816</v>
          </cell>
          <cell r="E6" t="str">
            <v>Overweight</v>
          </cell>
          <cell r="F6" t="str">
            <v>O</v>
          </cell>
          <cell r="G6">
            <v>133</v>
          </cell>
          <cell r="H6">
            <v>2770.5331730769235</v>
          </cell>
          <cell r="I6">
            <v>19.831076489300177</v>
          </cell>
          <cell r="J6">
            <v>91.361400000000003</v>
          </cell>
          <cell r="K6">
            <v>85.167656497955321</v>
          </cell>
          <cell r="L6">
            <v>-6.7793876867524805E-2</v>
          </cell>
          <cell r="M6">
            <v>4.1818999999999997</v>
          </cell>
          <cell r="N6">
            <v>4.633</v>
          </cell>
          <cell r="O6">
            <v>4.5110000000000029E-3</v>
          </cell>
          <cell r="P6">
            <v>4.633</v>
          </cell>
          <cell r="Q6">
            <v>0.9</v>
          </cell>
          <cell r="R6">
            <v>6</v>
          </cell>
          <cell r="S6">
            <v>0.10033000000000002</v>
          </cell>
          <cell r="T6">
            <v>-4.4961626632114046E-2</v>
          </cell>
          <cell r="U6">
            <v>5.6599820000000003</v>
          </cell>
          <cell r="V6">
            <v>2.0429215773345487E-3</v>
          </cell>
          <cell r="W6">
            <v>5.9619136499999996</v>
          </cell>
          <cell r="X6">
            <v>2.1519011964685354E-3</v>
          </cell>
          <cell r="Y6">
            <v>9.8178098803531483E-2</v>
          </cell>
          <cell r="Z6">
            <v>19.845653893996285</v>
          </cell>
          <cell r="AB6">
            <v>19.53783884390894</v>
          </cell>
        </row>
        <row r="7">
          <cell r="A7" t="str">
            <v>BEA</v>
          </cell>
          <cell r="B7" t="str">
            <v>0023.HK</v>
          </cell>
          <cell r="C7" t="str">
            <v>Hong Kong</v>
          </cell>
          <cell r="D7">
            <v>607564</v>
          </cell>
          <cell r="E7" t="str">
            <v>Underweight</v>
          </cell>
          <cell r="F7" t="str">
            <v>U</v>
          </cell>
          <cell r="G7">
            <v>24.15</v>
          </cell>
          <cell r="H7">
            <v>204741.64666666667</v>
          </cell>
          <cell r="I7">
            <v>8476.9149758454114</v>
          </cell>
          <cell r="J7">
            <v>1.9060000000000001</v>
          </cell>
          <cell r="K7">
            <v>2.122999906539917</v>
          </cell>
          <cell r="L7">
            <v>0.11385094781737504</v>
          </cell>
          <cell r="M7">
            <v>4.1818999999999997</v>
          </cell>
          <cell r="N7">
            <v>4.633</v>
          </cell>
          <cell r="O7">
            <v>4.5110000000000029E-3</v>
          </cell>
          <cell r="P7">
            <v>4.633</v>
          </cell>
          <cell r="Q7">
            <v>1</v>
          </cell>
          <cell r="R7">
            <v>6</v>
          </cell>
          <cell r="S7">
            <v>0.10632999999999999</v>
          </cell>
          <cell r="T7">
            <v>-4.2424527414652524E-2</v>
          </cell>
          <cell r="U7">
            <v>1.26</v>
          </cell>
          <cell r="V7">
            <v>6.1540972269865824E-6</v>
          </cell>
          <cell r="W7">
            <v>1.46</v>
          </cell>
          <cell r="X7">
            <v>7.1309380566669925E-6</v>
          </cell>
          <cell r="Y7">
            <v>0.10632286906194333</v>
          </cell>
          <cell r="Z7">
            <v>8476.7372265559479</v>
          </cell>
          <cell r="AB7">
            <v>13.130921041611622</v>
          </cell>
        </row>
        <row r="8">
          <cell r="A8" t="str">
            <v>WHB</v>
          </cell>
          <cell r="B8" t="str">
            <v>0302.HK</v>
          </cell>
          <cell r="C8" t="str">
            <v>Hong Kong</v>
          </cell>
          <cell r="D8">
            <v>697237</v>
          </cell>
          <cell r="E8" t="str">
            <v>Equal-Weight</v>
          </cell>
          <cell r="F8" t="str">
            <v>E</v>
          </cell>
          <cell r="G8">
            <v>54.5</v>
          </cell>
          <cell r="H8">
            <v>3638.7984935897434</v>
          </cell>
          <cell r="I8">
            <v>65.766944836509055</v>
          </cell>
          <cell r="J8">
            <v>5.1690000000000005</v>
          </cell>
          <cell r="K8">
            <v>5.3769998550415039</v>
          </cell>
          <cell r="L8">
            <v>4.0239863618011906E-2</v>
          </cell>
          <cell r="M8">
            <v>4.1818999999999997</v>
          </cell>
          <cell r="N8">
            <v>4.633</v>
          </cell>
          <cell r="O8">
            <v>4.5110000000000029E-3</v>
          </cell>
          <cell r="P8">
            <v>4.633</v>
          </cell>
          <cell r="Q8">
            <v>1</v>
          </cell>
          <cell r="R8">
            <v>6</v>
          </cell>
          <cell r="S8">
            <v>0.10632999999999999</v>
          </cell>
          <cell r="T8">
            <v>-4.2424527414652524E-2</v>
          </cell>
          <cell r="U8">
            <v>2.2978105165008298</v>
          </cell>
          <cell r="V8">
            <v>6.3147506534059171E-4</v>
          </cell>
          <cell r="W8">
            <v>2.8530717367326601</v>
          </cell>
          <cell r="X8">
            <v>7.8406972569620113E-4</v>
          </cell>
          <cell r="Y8">
            <v>0.1055459302743038</v>
          </cell>
          <cell r="Z8">
            <v>65.663583570031392</v>
          </cell>
          <cell r="AB8">
            <v>21.032921630282313</v>
          </cell>
        </row>
        <row r="9">
          <cell r="A9" t="str">
            <v>CIFH</v>
          </cell>
          <cell r="B9" t="str">
            <v>0183.HK</v>
          </cell>
          <cell r="C9" t="str">
            <v>Hong Kong</v>
          </cell>
          <cell r="D9">
            <v>648449</v>
          </cell>
          <cell r="E9" t="str">
            <v>Equal-Weight</v>
          </cell>
          <cell r="F9" t="str">
            <v>E</v>
          </cell>
          <cell r="G9">
            <v>3.45</v>
          </cell>
          <cell r="H9">
            <v>2481.1449153846156</v>
          </cell>
          <cell r="I9">
            <v>718.17243924191757</v>
          </cell>
          <cell r="J9">
            <v>0.28999999999999998</v>
          </cell>
          <cell r="K9">
            <v>0.27399998903274536</v>
          </cell>
          <cell r="L9">
            <v>-5.5172451611222861E-2</v>
          </cell>
          <cell r="M9">
            <v>4.1818999999999997</v>
          </cell>
          <cell r="N9">
            <v>4.633</v>
          </cell>
          <cell r="O9">
            <v>4.5110000000000029E-3</v>
          </cell>
          <cell r="P9">
            <v>4.633</v>
          </cell>
          <cell r="Q9">
            <v>1.1000000000000001</v>
          </cell>
          <cell r="R9">
            <v>6</v>
          </cell>
          <cell r="S9">
            <v>0.11233</v>
          </cell>
          <cell r="T9">
            <v>-4.0158461675420663E-2</v>
          </cell>
          <cell r="U9">
            <v>0.172129251896466</v>
          </cell>
          <cell r="V9">
            <v>6.9374928819819983E-5</v>
          </cell>
          <cell r="W9">
            <v>0.15525730052320399</v>
          </cell>
          <cell r="X9">
            <v>6.257486193592071E-5</v>
          </cell>
          <cell r="Y9">
            <v>0.11226742513806408</v>
          </cell>
          <cell r="Z9">
            <v>718.15550273006625</v>
          </cell>
          <cell r="AB9">
            <v>18.947147469366453</v>
          </cell>
        </row>
        <row r="10">
          <cell r="A10" t="str">
            <v>WLB</v>
          </cell>
          <cell r="B10" t="str">
            <v>0096.HK</v>
          </cell>
          <cell r="C10" t="str">
            <v>Hong Kong</v>
          </cell>
          <cell r="D10">
            <v>697221</v>
          </cell>
          <cell r="E10" t="str">
            <v>Equal-Weight</v>
          </cell>
          <cell r="F10" t="str">
            <v>E</v>
          </cell>
          <cell r="G10">
            <v>63</v>
          </cell>
          <cell r="H10">
            <v>27380.786641025639</v>
          </cell>
          <cell r="I10">
            <v>433.61566096866096</v>
          </cell>
          <cell r="J10">
            <v>4.8879999999999999</v>
          </cell>
          <cell r="K10">
            <v>6.1389999389648437</v>
          </cell>
          <cell r="L10">
            <v>0.25593288440360973</v>
          </cell>
          <cell r="M10">
            <v>4.1818999999999997</v>
          </cell>
          <cell r="N10">
            <v>4.633</v>
          </cell>
          <cell r="O10">
            <v>4.5110000000000029E-3</v>
          </cell>
          <cell r="P10">
            <v>4.633</v>
          </cell>
          <cell r="Q10">
            <v>1.1000000000000001</v>
          </cell>
          <cell r="R10">
            <v>6</v>
          </cell>
          <cell r="S10">
            <v>0.11233</v>
          </cell>
          <cell r="T10">
            <v>-4.0158461675420663E-2</v>
          </cell>
          <cell r="U10">
            <v>2.7</v>
          </cell>
          <cell r="V10">
            <v>9.8609292545105007E-5</v>
          </cell>
          <cell r="W10">
            <v>2.9894148938237901</v>
          </cell>
          <cell r="X10">
            <v>1.0917929177917189E-4</v>
          </cell>
          <cell r="Y10">
            <v>0.11222082070822083</v>
          </cell>
          <cell r="Z10">
            <v>433.2876657252246</v>
          </cell>
          <cell r="AB10">
            <v>15.827075737364755</v>
          </cell>
        </row>
        <row r="11">
          <cell r="A11" t="str">
            <v>BOCHK</v>
          </cell>
          <cell r="B11" t="str">
            <v>2388.HK</v>
          </cell>
          <cell r="C11" t="str">
            <v>Hong Kong</v>
          </cell>
          <cell r="D11">
            <v>653611</v>
          </cell>
          <cell r="E11" t="str">
            <v>Overweight</v>
          </cell>
          <cell r="F11" t="str">
            <v>O</v>
          </cell>
          <cell r="G11">
            <v>14.85</v>
          </cell>
          <cell r="H11">
            <v>2769.9076282051283</v>
          </cell>
          <cell r="I11">
            <v>185.52576620909954</v>
          </cell>
          <cell r="J11">
            <v>1.048</v>
          </cell>
          <cell r="K11">
            <v>1.253000020980835</v>
          </cell>
          <cell r="L11">
            <v>0.1956107070427815</v>
          </cell>
          <cell r="M11">
            <v>4.1818999999999997</v>
          </cell>
          <cell r="N11">
            <v>4.633</v>
          </cell>
          <cell r="O11">
            <v>4.5110000000000029E-3</v>
          </cell>
          <cell r="P11">
            <v>4.633</v>
          </cell>
          <cell r="Q11">
            <v>1</v>
          </cell>
          <cell r="R11">
            <v>6</v>
          </cell>
          <cell r="S11">
            <v>0.10632999999999999</v>
          </cell>
          <cell r="T11">
            <v>-4.2424527414652524E-2</v>
          </cell>
          <cell r="U11">
            <v>0.81682808716707</v>
          </cell>
          <cell r="V11">
            <v>2.948936198628278E-4</v>
          </cell>
          <cell r="W11">
            <v>0.88595565594102299</v>
          </cell>
          <cell r="X11">
            <v>3.1985025309855302E-4</v>
          </cell>
          <cell r="Y11">
            <v>0.10601014974690144</v>
          </cell>
          <cell r="Z11">
            <v>185.2665698797245</v>
          </cell>
          <cell r="AB11">
            <v>19.483645966160875</v>
          </cell>
        </row>
        <row r="12">
          <cell r="A12" t="str">
            <v>DSF</v>
          </cell>
          <cell r="B12" t="str">
            <v>0440.HK</v>
          </cell>
          <cell r="C12" t="str">
            <v>Hong Kong</v>
          </cell>
          <cell r="D12">
            <v>624979</v>
          </cell>
          <cell r="E12" t="str">
            <v>++</v>
          </cell>
          <cell r="F12" t="str">
            <v>+</v>
          </cell>
          <cell r="G12">
            <v>60.25</v>
          </cell>
          <cell r="H12">
            <v>41790.441282051288</v>
          </cell>
          <cell r="I12">
            <v>692.61728268964794</v>
          </cell>
          <cell r="J12">
            <v>4.6520000000000001</v>
          </cell>
          <cell r="K12">
            <v>5.0349998474121094</v>
          </cell>
          <cell r="L12">
            <v>8.2330147767005313E-2</v>
          </cell>
          <cell r="M12">
            <v>4.1818999999999997</v>
          </cell>
          <cell r="N12">
            <v>4.633</v>
          </cell>
          <cell r="O12">
            <v>4.5110000000000029E-3</v>
          </cell>
          <cell r="P12">
            <v>4.633</v>
          </cell>
          <cell r="Q12">
            <v>1</v>
          </cell>
          <cell r="R12">
            <v>6</v>
          </cell>
          <cell r="S12">
            <v>0.10632999999999999</v>
          </cell>
          <cell r="T12">
            <v>-4.2424527414652524E-2</v>
          </cell>
          <cell r="U12">
            <v>2.6148568857897994</v>
          </cell>
          <cell r="V12">
            <v>6.257069333491012E-5</v>
          </cell>
          <cell r="W12">
            <v>2.6148568857897994</v>
          </cell>
          <cell r="X12">
            <v>6.257069333491012E-5</v>
          </cell>
          <cell r="Y12">
            <v>0.10626742930666508</v>
          </cell>
          <cell r="Z12">
            <v>692.47110963998887</v>
          </cell>
          <cell r="AB12">
            <v>20.102540548899043</v>
          </cell>
        </row>
        <row r="13">
          <cell r="A13" t="str">
            <v>ICBCA</v>
          </cell>
          <cell r="B13" t="str">
            <v>0349.HK</v>
          </cell>
          <cell r="C13" t="str">
            <v>Hong Kong</v>
          </cell>
          <cell r="D13">
            <v>691253</v>
          </cell>
          <cell r="E13" t="str">
            <v>Overweight</v>
          </cell>
          <cell r="F13" t="str">
            <v>O</v>
          </cell>
          <cell r="G13">
            <v>11.1</v>
          </cell>
          <cell r="H13">
            <v>27697.198205128207</v>
          </cell>
          <cell r="I13">
            <v>2494.2430815430816</v>
          </cell>
          <cell r="J13">
            <v>1.02</v>
          </cell>
          <cell r="K13">
            <v>1.0269999504089355</v>
          </cell>
          <cell r="L13">
            <v>6.8626964793485623E-3</v>
          </cell>
          <cell r="M13">
            <v>4.1818999999999997</v>
          </cell>
          <cell r="N13">
            <v>4.633</v>
          </cell>
          <cell r="O13">
            <v>4.5110000000000029E-3</v>
          </cell>
          <cell r="P13">
            <v>4.633</v>
          </cell>
          <cell r="Q13">
            <v>1.1000000000000001</v>
          </cell>
          <cell r="R13">
            <v>6</v>
          </cell>
          <cell r="S13">
            <v>0.11233</v>
          </cell>
          <cell r="T13">
            <v>-4.0158461675420663E-2</v>
          </cell>
          <cell r="U13">
            <v>0.53</v>
          </cell>
          <cell r="V13">
            <v>1.9135509522471092E-5</v>
          </cell>
          <cell r="W13">
            <v>0.56402744459451304</v>
          </cell>
          <cell r="X13">
            <v>2.0364061390515735E-5</v>
          </cell>
          <cell r="Y13">
            <v>0.11230963593860949</v>
          </cell>
          <cell r="Z13">
            <v>2494.1640676723387</v>
          </cell>
          <cell r="AB13">
            <v>19.047205078469407</v>
          </cell>
        </row>
        <row r="14">
          <cell r="A14" t="str">
            <v>HSB</v>
          </cell>
          <cell r="B14" t="str">
            <v>0011.HK</v>
          </cell>
          <cell r="C14" t="str">
            <v>Hong Kong</v>
          </cell>
          <cell r="D14">
            <v>640837</v>
          </cell>
          <cell r="E14" t="str">
            <v>Overweight</v>
          </cell>
          <cell r="F14" t="str">
            <v>O</v>
          </cell>
          <cell r="G14">
            <v>108</v>
          </cell>
          <cell r="H14">
            <v>2313.31585</v>
          </cell>
          <cell r="I14">
            <v>20.419591203703703</v>
          </cell>
          <cell r="J14">
            <v>6.625</v>
          </cell>
          <cell r="K14">
            <v>6.2170000076293945</v>
          </cell>
          <cell r="L14">
            <v>-6.1584904508770633E-2</v>
          </cell>
          <cell r="M14">
            <v>4.1818999999999997</v>
          </cell>
          <cell r="N14">
            <v>4.633</v>
          </cell>
          <cell r="O14">
            <v>4.5110000000000029E-3</v>
          </cell>
          <cell r="P14">
            <v>4.633</v>
          </cell>
          <cell r="Q14">
            <v>0.8</v>
          </cell>
          <cell r="R14">
            <v>6</v>
          </cell>
          <cell r="S14">
            <v>9.4329999999999997E-2</v>
          </cell>
          <cell r="T14">
            <v>-4.7821477790734687E-2</v>
          </cell>
          <cell r="U14">
            <v>5.2</v>
          </cell>
          <cell r="V14">
            <v>2.2478556051911372E-3</v>
          </cell>
          <cell r="W14">
            <v>5.3654781822304107</v>
          </cell>
          <cell r="X14">
            <v>2.3193885012418045E-3</v>
          </cell>
          <cell r="Y14">
            <v>9.2010611498758194E-2</v>
          </cell>
          <cell r="Z14">
            <v>20.43698697450445</v>
          </cell>
          <cell r="AB14">
            <v>17.631142815076565</v>
          </cell>
        </row>
        <row r="19">
          <cell r="A19" t="str">
            <v>Sorting</v>
          </cell>
          <cell r="E19" t="str">
            <v>mscalc:stockRating</v>
          </cell>
          <cell r="U19" t="str">
            <v>mscalc:dividendsPerShareCalc</v>
          </cell>
        </row>
        <row r="20">
          <cell r="A20" t="str">
            <v>(%)</v>
          </cell>
          <cell r="F20" t="str">
            <v>Rating</v>
          </cell>
          <cell r="I20" t="str">
            <v>Price Chg</v>
          </cell>
          <cell r="L20" t="str">
            <v>IBES % EPS Chg</v>
          </cell>
          <cell r="T20" t="str">
            <v>% COE</v>
          </cell>
          <cell r="Y20" t="str">
            <v>COE- Div Yld</v>
          </cell>
          <cell r="Z20" t="str">
            <v>De Rating / Re Rating</v>
          </cell>
        </row>
        <row r="21">
          <cell r="A21" t="str">
            <v>WHB</v>
          </cell>
          <cell r="F21" t="str">
            <v>E</v>
          </cell>
          <cell r="I21">
            <v>65.766944836509055</v>
          </cell>
          <cell r="L21">
            <v>4.0239863618011906E-2</v>
          </cell>
          <cell r="T21">
            <v>-4.2424527414652524E-2</v>
          </cell>
          <cell r="Y21">
            <v>0.1055459302743038</v>
          </cell>
          <cell r="Z21">
            <v>65.663583570031392</v>
          </cell>
        </row>
        <row r="22">
          <cell r="A22" t="str">
            <v>BEA</v>
          </cell>
          <cell r="F22" t="str">
            <v>U</v>
          </cell>
          <cell r="I22">
            <v>8476.9149758454114</v>
          </cell>
          <cell r="L22">
            <v>0.11385094781737504</v>
          </cell>
          <cell r="T22">
            <v>-4.2424527414652524E-2</v>
          </cell>
          <cell r="Y22">
            <v>0.10632286906194333</v>
          </cell>
          <cell r="Z22">
            <v>8476.7372265559479</v>
          </cell>
        </row>
        <row r="23">
          <cell r="A23" t="str">
            <v>CIFH</v>
          </cell>
          <cell r="F23" t="str">
            <v>E</v>
          </cell>
          <cell r="I23">
            <v>718.17243924191757</v>
          </cell>
          <cell r="L23">
            <v>-5.5172451611222861E-2</v>
          </cell>
          <cell r="T23">
            <v>-4.0158461675420663E-2</v>
          </cell>
          <cell r="Y23">
            <v>0.11226742513806408</v>
          </cell>
          <cell r="Z23">
            <v>718.15550273006625</v>
          </cell>
        </row>
        <row r="24">
          <cell r="A24" t="str">
            <v>WLB</v>
          </cell>
          <cell r="F24" t="str">
            <v>E</v>
          </cell>
          <cell r="I24">
            <v>433.61566096866096</v>
          </cell>
          <cell r="L24">
            <v>0.25593288440360973</v>
          </cell>
          <cell r="T24">
            <v>-4.0158461675420663E-2</v>
          </cell>
          <cell r="Y24">
            <v>0.11222082070822083</v>
          </cell>
          <cell r="Z24">
            <v>433.2876657252246</v>
          </cell>
        </row>
        <row r="25">
          <cell r="A25" t="str">
            <v>ICBCA</v>
          </cell>
          <cell r="F25" t="str">
            <v>O</v>
          </cell>
          <cell r="I25">
            <v>2494.2430815430816</v>
          </cell>
          <cell r="L25">
            <v>6.8626964793485623E-3</v>
          </cell>
          <cell r="T25">
            <v>-4.0158461675420663E-2</v>
          </cell>
          <cell r="Y25">
            <v>0.11230963593860949</v>
          </cell>
          <cell r="Z25">
            <v>2494.1640676723387</v>
          </cell>
        </row>
        <row r="26">
          <cell r="A26" t="str">
            <v>DSF</v>
          </cell>
          <cell r="F26" t="str">
            <v>+</v>
          </cell>
          <cell r="I26">
            <v>692.61728268964794</v>
          </cell>
          <cell r="L26">
            <v>8.2330147767005313E-2</v>
          </cell>
          <cell r="T26">
            <v>-4.2424527414652524E-2</v>
          </cell>
          <cell r="Y26">
            <v>0.10626742930666508</v>
          </cell>
          <cell r="Z26">
            <v>692.47110963998887</v>
          </cell>
        </row>
        <row r="27">
          <cell r="A27" t="str">
            <v>BOCHK</v>
          </cell>
          <cell r="F27" t="str">
            <v>O</v>
          </cell>
          <cell r="I27">
            <v>185.52576620909954</v>
          </cell>
          <cell r="L27">
            <v>0.1956107070427815</v>
          </cell>
          <cell r="T27">
            <v>-4.2424527414652524E-2</v>
          </cell>
          <cell r="Y27">
            <v>0.10601014974690144</v>
          </cell>
          <cell r="Z27">
            <v>185.2665698797245</v>
          </cell>
        </row>
        <row r="28">
          <cell r="A28" t="str">
            <v>HSB</v>
          </cell>
          <cell r="F28" t="str">
            <v>O</v>
          </cell>
          <cell r="I28">
            <v>20.419591203703703</v>
          </cell>
          <cell r="L28">
            <v>-6.1584904508770633E-2</v>
          </cell>
          <cell r="T28">
            <v>-4.7821477790734687E-2</v>
          </cell>
          <cell r="Y28">
            <v>9.2010611498758194E-2</v>
          </cell>
          <cell r="Z28">
            <v>20.43698697450445</v>
          </cell>
        </row>
        <row r="34">
          <cell r="A34" t="str">
            <v>31/12/2004 IBES of 2006 EPS</v>
          </cell>
        </row>
        <row r="35">
          <cell r="A35" t="str">
            <v>Per Jenny</v>
          </cell>
        </row>
        <row r="36">
          <cell r="A36">
            <v>10.548</v>
          </cell>
        </row>
        <row r="37">
          <cell r="A37">
            <v>78.616200000000006</v>
          </cell>
        </row>
        <row r="38">
          <cell r="A38">
            <v>1.851</v>
          </cell>
        </row>
        <row r="39">
          <cell r="A39">
            <v>4.6559999999999997</v>
          </cell>
        </row>
        <row r="40">
          <cell r="A40">
            <v>0.31</v>
          </cell>
        </row>
        <row r="41">
          <cell r="A41">
            <v>4.758</v>
          </cell>
        </row>
        <row r="42">
          <cell r="A42">
            <v>1.028</v>
          </cell>
        </row>
        <row r="43">
          <cell r="A43">
            <v>5.1859999999999999</v>
          </cell>
        </row>
        <row r="44">
          <cell r="A44">
            <v>1.0206</v>
          </cell>
        </row>
        <row r="45">
          <cell r="A45">
            <v>6.4329999999999998</v>
          </cell>
        </row>
      </sheetData>
      <sheetData sheetId="10" refreshError="1">
        <row r="1">
          <cell r="A1" t="str">
            <v>(HK$mn)</v>
          </cell>
          <cell r="B1" t="str">
            <v>HSB</v>
          </cell>
          <cell r="C1" t="str">
            <v>BOCHK</v>
          </cell>
          <cell r="D1" t="str">
            <v>BEA</v>
          </cell>
          <cell r="E1" t="str">
            <v>WHB</v>
          </cell>
          <cell r="F1" t="str">
            <v>WLB</v>
          </cell>
          <cell r="G1" t="str">
            <v>ICBCA</v>
          </cell>
          <cell r="H1" t="str">
            <v>CIFH</v>
          </cell>
          <cell r="I1" t="str">
            <v>DSF</v>
          </cell>
        </row>
        <row r="3">
          <cell r="A3" t="str">
            <v>FINANCIAL RATIOS 2004</v>
          </cell>
        </row>
        <row r="4">
          <cell r="A4" t="str">
            <v>Income Decomposition</v>
          </cell>
        </row>
        <row r="5">
          <cell r="A5" t="str">
            <v>Net Interest Income</v>
          </cell>
          <cell r="B5">
            <v>10005</v>
          </cell>
          <cell r="C5">
            <v>4485</v>
          </cell>
          <cell r="D5">
            <v>3628</v>
          </cell>
          <cell r="E5">
            <v>741.62599999999998</v>
          </cell>
          <cell r="F5">
            <v>1071.56</v>
          </cell>
          <cell r="G5">
            <v>1274.8380000000002</v>
          </cell>
          <cell r="H5">
            <v>1473.4569999999999</v>
          </cell>
          <cell r="J5">
            <v>1681</v>
          </cell>
          <cell r="K5">
            <v>199664.4</v>
          </cell>
        </row>
        <row r="6">
          <cell r="A6" t="str">
            <v>Non-Interest Income</v>
          </cell>
          <cell r="B6">
            <v>6048</v>
          </cell>
          <cell r="C6">
            <v>121</v>
          </cell>
          <cell r="D6">
            <v>1867</v>
          </cell>
          <cell r="E6">
            <v>640</v>
          </cell>
          <cell r="F6">
            <v>547.89599999999996</v>
          </cell>
          <cell r="G6">
            <v>370.108</v>
          </cell>
          <cell r="H6">
            <v>680.90600000000006</v>
          </cell>
          <cell r="J6">
            <v>547</v>
          </cell>
          <cell r="K6">
            <v>120697.2</v>
          </cell>
        </row>
        <row r="7">
          <cell r="A7" t="str">
            <v xml:space="preserve">   Fee &amp; Commission Income</v>
          </cell>
          <cell r="B7">
            <v>3425</v>
          </cell>
          <cell r="C7">
            <v>7316</v>
          </cell>
          <cell r="D7">
            <v>1209</v>
          </cell>
          <cell r="E7">
            <v>475.3</v>
          </cell>
          <cell r="F7">
            <v>192.36699999999999</v>
          </cell>
          <cell r="G7">
            <v>271</v>
          </cell>
          <cell r="H7">
            <v>434.42700000000002</v>
          </cell>
          <cell r="J7">
            <v>321</v>
          </cell>
          <cell r="K7">
            <v>81073.2</v>
          </cell>
        </row>
        <row r="9">
          <cell r="A9" t="str">
            <v>Loan Decomposition</v>
          </cell>
        </row>
        <row r="11">
          <cell r="A11" t="str">
            <v>Large Corporates</v>
          </cell>
          <cell r="B11">
            <v>75219</v>
          </cell>
          <cell r="C11">
            <v>115034</v>
          </cell>
          <cell r="D11">
            <v>23398.5</v>
          </cell>
          <cell r="E11">
            <v>12759</v>
          </cell>
          <cell r="F11">
            <v>10308.927</v>
          </cell>
          <cell r="G11">
            <v>15952</v>
          </cell>
          <cell r="H11">
            <v>11036.6</v>
          </cell>
          <cell r="J11">
            <v>3592</v>
          </cell>
          <cell r="K11">
            <v>1850167.8</v>
          </cell>
        </row>
        <row r="12">
          <cell r="A12" t="str">
            <v>SMEs</v>
          </cell>
          <cell r="B12">
            <v>28619</v>
          </cell>
          <cell r="C12">
            <v>52477</v>
          </cell>
          <cell r="D12">
            <v>11241.8</v>
          </cell>
          <cell r="E12">
            <v>8698</v>
          </cell>
          <cell r="F12">
            <v>2431.2419999999997</v>
          </cell>
          <cell r="G12">
            <v>15453.053000000002</v>
          </cell>
          <cell r="H12">
            <v>12512.6</v>
          </cell>
          <cell r="J12">
            <v>7849</v>
          </cell>
        </row>
        <row r="13">
          <cell r="A13" t="str">
            <v>Total Corporates</v>
          </cell>
          <cell r="B13">
            <v>103838</v>
          </cell>
          <cell r="C13">
            <v>167511</v>
          </cell>
          <cell r="D13">
            <v>34640.300000000003</v>
          </cell>
          <cell r="E13">
            <v>21457</v>
          </cell>
          <cell r="F13">
            <v>12740.169</v>
          </cell>
          <cell r="G13">
            <v>31405.053</v>
          </cell>
          <cell r="H13">
            <v>23549.200000000001</v>
          </cell>
          <cell r="J13">
            <v>11441</v>
          </cell>
          <cell r="K13">
            <v>1850167.8</v>
          </cell>
        </row>
        <row r="15">
          <cell r="A15" t="str">
            <v>Mortgages</v>
          </cell>
          <cell r="B15">
            <v>110261</v>
          </cell>
          <cell r="C15">
            <v>108247</v>
          </cell>
          <cell r="D15">
            <v>36443.5</v>
          </cell>
          <cell r="E15">
            <v>14412</v>
          </cell>
          <cell r="F15">
            <v>12547.194</v>
          </cell>
          <cell r="G15">
            <v>7982.87</v>
          </cell>
          <cell r="H15">
            <v>10944</v>
          </cell>
          <cell r="J15">
            <v>11006</v>
          </cell>
          <cell r="K15">
            <v>1339681.2</v>
          </cell>
        </row>
        <row r="16">
          <cell r="A16" t="str">
            <v>Unsecured Consumer</v>
          </cell>
          <cell r="B16">
            <v>11209</v>
          </cell>
          <cell r="C16">
            <v>11143</v>
          </cell>
          <cell r="D16">
            <v>4382.6000000000004</v>
          </cell>
          <cell r="E16">
            <v>3494</v>
          </cell>
          <cell r="F16">
            <v>1319.1410000000001</v>
          </cell>
          <cell r="G16">
            <v>597.38900000000001</v>
          </cell>
          <cell r="H16">
            <v>1888</v>
          </cell>
          <cell r="J16">
            <v>4901</v>
          </cell>
          <cell r="K16">
            <v>1046331</v>
          </cell>
        </row>
        <row r="17">
          <cell r="A17" t="str">
            <v>Total Consumers</v>
          </cell>
          <cell r="B17">
            <v>121470</v>
          </cell>
          <cell r="C17">
            <v>119390</v>
          </cell>
          <cell r="D17">
            <v>40826.1</v>
          </cell>
          <cell r="E17">
            <v>17906</v>
          </cell>
          <cell r="F17">
            <v>13866.334999999999</v>
          </cell>
          <cell r="G17">
            <v>8580.259</v>
          </cell>
          <cell r="H17">
            <v>12832</v>
          </cell>
          <cell r="J17">
            <v>15907</v>
          </cell>
          <cell r="K17">
            <v>2386012.2000000002</v>
          </cell>
        </row>
        <row r="19">
          <cell r="A19" t="str">
            <v>Loans outside of HK</v>
          </cell>
          <cell r="B19">
            <v>6691</v>
          </cell>
          <cell r="C19">
            <v>21681</v>
          </cell>
          <cell r="D19">
            <v>27440.2</v>
          </cell>
          <cell r="E19">
            <v>7247</v>
          </cell>
          <cell r="F19">
            <v>2655.422</v>
          </cell>
          <cell r="G19">
            <v>389.68799999999999</v>
          </cell>
          <cell r="H19">
            <v>3802</v>
          </cell>
          <cell r="J19">
            <v>575</v>
          </cell>
        </row>
        <row r="20">
          <cell r="A20" t="str">
            <v>Total</v>
          </cell>
          <cell r="B20">
            <v>231999</v>
          </cell>
          <cell r="C20">
            <v>308582</v>
          </cell>
          <cell r="D20">
            <v>102906.6</v>
          </cell>
          <cell r="E20">
            <v>46610</v>
          </cell>
          <cell r="F20">
            <v>29261.925999999999</v>
          </cell>
          <cell r="G20">
            <v>40375</v>
          </cell>
          <cell r="H20">
            <v>40183.199999999997</v>
          </cell>
          <cell r="J20">
            <v>27923</v>
          </cell>
          <cell r="K20">
            <v>4236180</v>
          </cell>
        </row>
        <row r="27">
          <cell r="A27" t="str">
            <v>ROE Decomposition (Annualised)</v>
          </cell>
        </row>
        <row r="28">
          <cell r="A28" t="str">
            <v>Net Interest Income Yield</v>
          </cell>
          <cell r="B28">
            <v>1.8291077683605491E-2</v>
          </cell>
          <cell r="C28">
            <v>0.57308970099667778</v>
          </cell>
          <cell r="D28">
            <v>1.7245886989052571E-2</v>
          </cell>
          <cell r="E28">
            <v>7.769959105632788E-3</v>
          </cell>
          <cell r="F28">
            <v>1.5082513620337705E-2</v>
          </cell>
          <cell r="G28">
            <v>1.2832606814829133E-2</v>
          </cell>
          <cell r="H28">
            <v>1.7629858766651348E-2</v>
          </cell>
          <cell r="J28">
            <v>3.0884271252457331E-2</v>
          </cell>
          <cell r="K28">
            <v>2.4751115821066393E-2</v>
          </cell>
        </row>
        <row r="29">
          <cell r="A29" t="str">
            <v>+ Non-Interest Income Yield</v>
          </cell>
          <cell r="B29">
            <v>1.1056915325381909E-2</v>
          </cell>
          <cell r="C29">
            <v>1.5461282903143369E-2</v>
          </cell>
          <cell r="D29">
            <v>8.8748817553917173E-3</v>
          </cell>
          <cell r="E29">
            <v>6.7052312454053452E-3</v>
          </cell>
          <cell r="F29">
            <v>7.7117929770881216E-3</v>
          </cell>
          <cell r="G29">
            <v>3.7255325327788945E-3</v>
          </cell>
          <cell r="H29">
            <v>8.1470152256669214E-3</v>
          </cell>
          <cell r="J29">
            <v>1.0049789634202356E-2</v>
          </cell>
          <cell r="K29">
            <v>1.4962058216078654E-2</v>
          </cell>
        </row>
        <row r="30">
          <cell r="A30" t="str">
            <v>= Total Income Yield</v>
          </cell>
          <cell r="B30">
            <v>2.93479930089874E-2</v>
          </cell>
          <cell r="C30">
            <v>0.58855098389982119</v>
          </cell>
          <cell r="D30">
            <v>2.6120768744444287E-2</v>
          </cell>
          <cell r="E30">
            <v>1.4475190351038133E-2</v>
          </cell>
          <cell r="F30">
            <v>2.2794306597425828E-2</v>
          </cell>
          <cell r="G30">
            <v>1.6558139347608029E-2</v>
          </cell>
          <cell r="H30">
            <v>2.5776873992318268E-2</v>
          </cell>
          <cell r="J30">
            <v>4.0934060886659684E-2</v>
          </cell>
          <cell r="K30">
            <v>3.9713174037145048E-2</v>
          </cell>
        </row>
        <row r="31">
          <cell r="A31" t="str">
            <v>- Cost / Assets</v>
          </cell>
          <cell r="B31">
            <v>7.736915617892897E-3</v>
          </cell>
          <cell r="C31">
            <v>1.6382570917454637</v>
          </cell>
          <cell r="D31">
            <v>1.2929661689697627E-2</v>
          </cell>
          <cell r="E31">
            <v>1.0823070907066081E-2</v>
          </cell>
          <cell r="F31">
            <v>7.5147811969322117E-3</v>
          </cell>
          <cell r="G31">
            <v>7.4921748898897919E-3</v>
          </cell>
          <cell r="H31">
            <v>1.3370666890076455E-2</v>
          </cell>
          <cell r="J31">
            <v>1.7031361957779861E-2</v>
          </cell>
          <cell r="K31">
            <v>2.038452315570442E-2</v>
          </cell>
        </row>
        <row r="32">
          <cell r="A32" t="str">
            <v>= Underlying Profitability</v>
          </cell>
          <cell r="B32">
            <v>2.1611077391094503E-2</v>
          </cell>
          <cell r="C32">
            <v>-1.0497061078456427</v>
          </cell>
          <cell r="D32">
            <v>1.3191107054746659E-2</v>
          </cell>
          <cell r="E32">
            <v>3.6521194439720524E-3</v>
          </cell>
          <cell r="F32">
            <v>1.5279525400493616E-2</v>
          </cell>
          <cell r="G32">
            <v>9.0659644577182376E-3</v>
          </cell>
          <cell r="H32">
            <v>1.2406207102241813E-2</v>
          </cell>
          <cell r="J32">
            <v>2.3902698928879824E-2</v>
          </cell>
          <cell r="K32">
            <v>1.9328650881440628E-2</v>
          </cell>
        </row>
        <row r="33">
          <cell r="A33" t="str">
            <v>- Amortisation / Assets</v>
          </cell>
          <cell r="B33">
            <v>0</v>
          </cell>
          <cell r="C33">
            <v>-1.8228980322003578</v>
          </cell>
          <cell r="D33">
            <v>6.8451150121928608E-4</v>
          </cell>
          <cell r="E33">
            <v>4.714615719425633E-4</v>
          </cell>
          <cell r="F33">
            <v>0</v>
          </cell>
          <cell r="G33">
            <v>0</v>
          </cell>
          <cell r="H33">
            <v>7.2191801901560473E-4</v>
          </cell>
          <cell r="J33">
            <v>0</v>
          </cell>
          <cell r="K33">
            <v>1.4020282030059485E-3</v>
          </cell>
        </row>
        <row r="34">
          <cell r="A34" t="str">
            <v>- Provisions / Assets</v>
          </cell>
          <cell r="B34">
            <v>-1.4205064827747592E-3</v>
          </cell>
          <cell r="C34">
            <v>1.430232558139535</v>
          </cell>
          <cell r="D34">
            <v>1.2977197210615632E-3</v>
          </cell>
          <cell r="E34">
            <v>5.7030087126936648E-4</v>
          </cell>
          <cell r="F34">
            <v>-1.603034338926669E-3</v>
          </cell>
          <cell r="G34">
            <v>-2.1699424170543364E-4</v>
          </cell>
          <cell r="H34">
            <v>9.318911580321927E-4</v>
          </cell>
          <cell r="J34">
            <v>7.8083374671590513E-3</v>
          </cell>
          <cell r="K34">
            <v>6.0364566009421632E-3</v>
          </cell>
        </row>
        <row r="35">
          <cell r="A35" t="str">
            <v>+ Associate Income / Assets</v>
          </cell>
          <cell r="B35">
            <v>9.8539638895186001E-4</v>
          </cell>
          <cell r="C35">
            <v>1.8228980322003578</v>
          </cell>
          <cell r="D35">
            <v>1.6399754716712063E-3</v>
          </cell>
          <cell r="E35">
            <v>7.6632411595926322E-4</v>
          </cell>
          <cell r="F35">
            <v>3.9845727544714259E-4</v>
          </cell>
          <cell r="G35">
            <v>0</v>
          </cell>
          <cell r="H35">
            <v>1.1435513568585326E-3</v>
          </cell>
          <cell r="J35">
            <v>1.9401422036046959E-2</v>
          </cell>
          <cell r="K35">
            <v>5.0182940507592221E-4</v>
          </cell>
        </row>
        <row r="36">
          <cell r="A36" t="str">
            <v>= Pretax ROA</v>
          </cell>
          <cell r="B36">
            <v>2.4016980262821123E-2</v>
          </cell>
          <cell r="C36">
            <v>1.165857398415538</v>
          </cell>
          <cell r="D36">
            <v>1.2848851304137016E-2</v>
          </cell>
          <cell r="E36">
            <v>3.3766811167193858E-3</v>
          </cell>
          <cell r="F36">
            <v>1.7281017014867426E-2</v>
          </cell>
          <cell r="G36">
            <v>9.2829586994236709E-3</v>
          </cell>
          <cell r="H36">
            <v>1.1895949282052547E-2</v>
          </cell>
          <cell r="J36">
            <v>3.5495783497767733E-2</v>
          </cell>
          <cell r="K36">
            <v>1.2391995482568439E-2</v>
          </cell>
        </row>
        <row r="37">
          <cell r="A37" t="str">
            <v>x (1- Tax Rate)</v>
          </cell>
          <cell r="B37">
            <v>0.84499999999999997</v>
          </cell>
          <cell r="C37">
            <v>0.84499999999999997</v>
          </cell>
          <cell r="D37">
            <v>0.84499999999999997</v>
          </cell>
          <cell r="E37">
            <v>0.84499999999999997</v>
          </cell>
          <cell r="F37">
            <v>0.84499999999999997</v>
          </cell>
          <cell r="G37">
            <v>0.84499999999999997</v>
          </cell>
          <cell r="H37">
            <v>0.84499999999999997</v>
          </cell>
          <cell r="J37">
            <v>0.84499999999999997</v>
          </cell>
          <cell r="K37">
            <v>0.84499999999999997</v>
          </cell>
        </row>
        <row r="38">
          <cell r="A38" t="str">
            <v>= ROA</v>
          </cell>
          <cell r="B38">
            <v>2.0294348322083849E-2</v>
          </cell>
          <cell r="C38">
            <v>0.98514950166112958</v>
          </cell>
          <cell r="D38">
            <v>1.0857279351995777E-2</v>
          </cell>
          <cell r="E38">
            <v>2.853295543627881E-3</v>
          </cell>
          <cell r="F38">
            <v>1.4602459377562974E-2</v>
          </cell>
          <cell r="G38">
            <v>7.8441001010130015E-3</v>
          </cell>
          <cell r="H38">
            <v>1.0052077143334403E-2</v>
          </cell>
          <cell r="J38">
            <v>2.9993937055613734E-2</v>
          </cell>
          <cell r="K38">
            <v>1.047123618277033E-2</v>
          </cell>
        </row>
        <row r="39">
          <cell r="A39" t="str">
            <v>x Assets / Equity</v>
          </cell>
          <cell r="B39">
            <v>14.666130416130416</v>
          </cell>
          <cell r="C39">
            <v>0.14804025423728814</v>
          </cell>
          <cell r="D39">
            <v>9.6975522057806671</v>
          </cell>
          <cell r="E39">
            <v>12.90740041301901</v>
          </cell>
          <cell r="F39">
            <v>7.4249301154897189</v>
          </cell>
          <cell r="G39">
            <v>11.630814696107835</v>
          </cell>
          <cell r="H39">
            <v>10.042937619705258</v>
          </cell>
          <cell r="J39">
            <v>11.053818034118603</v>
          </cell>
          <cell r="K39">
            <v>13.887126878197467</v>
          </cell>
        </row>
        <row r="40">
          <cell r="A40" t="str">
            <v>= ROE</v>
          </cell>
          <cell r="B40">
            <v>0.2976395592020592</v>
          </cell>
          <cell r="C40">
            <v>2.9888014527845036E-3</v>
          </cell>
          <cell r="D40">
            <v>0.10528903332872354</v>
          </cell>
          <cell r="E40">
            <v>3.6828628078287816E-2</v>
          </cell>
          <cell r="F40">
            <v>0.10842224039268258</v>
          </cell>
          <cell r="G40">
            <v>9.1233274732602967E-2</v>
          </cell>
          <cell r="H40">
            <v>0.10095238369897244</v>
          </cell>
          <cell r="J40">
            <v>0.33154752233956131</v>
          </cell>
          <cell r="K40">
            <v>0.14541538544170371</v>
          </cell>
        </row>
        <row r="42">
          <cell r="A42" t="str">
            <v>Profitability</v>
          </cell>
        </row>
        <row r="43">
          <cell r="A43" t="str">
            <v>ROA (annualised)</v>
          </cell>
          <cell r="B43">
            <v>2.0775592883207676E-2</v>
          </cell>
          <cell r="C43">
            <v>0.61433107590084335</v>
          </cell>
          <cell r="D43">
            <v>1.2202368219652135E-2</v>
          </cell>
          <cell r="E43">
            <v>1.2692311270580134E-2</v>
          </cell>
          <cell r="F43">
            <v>1.4546836380273861E-2</v>
          </cell>
          <cell r="G43">
            <v>7.6530407328500635E-3</v>
          </cell>
          <cell r="H43">
            <v>1.1298634389694804E-2</v>
          </cell>
          <cell r="J43">
            <v>1.5925333921255211E-2</v>
          </cell>
          <cell r="K43">
            <v>1.3520386456987709E-2</v>
          </cell>
        </row>
        <row r="44">
          <cell r="A44" t="str">
            <v>ROE (annualised)</v>
          </cell>
          <cell r="B44">
            <v>0.2976395592020592</v>
          </cell>
          <cell r="C44">
            <v>2.9888014527845036E-3</v>
          </cell>
          <cell r="D44">
            <v>0.10528903332872354</v>
          </cell>
          <cell r="E44">
            <v>3.6828628078287816E-2</v>
          </cell>
          <cell r="F44">
            <v>0.10842224039268258</v>
          </cell>
          <cell r="G44">
            <v>9.1233274732602967E-2</v>
          </cell>
          <cell r="H44">
            <v>0.10095238369897244</v>
          </cell>
          <cell r="J44">
            <v>0.33154752233956131</v>
          </cell>
          <cell r="K44">
            <v>0.14541538544170371</v>
          </cell>
        </row>
        <row r="45">
          <cell r="A45" t="str">
            <v>Cash ROE (ex-amort)</v>
          </cell>
          <cell r="B45">
            <v>0.2976395592020592</v>
          </cell>
          <cell r="C45">
            <v>9.094572866222761E-2</v>
          </cell>
          <cell r="D45">
            <v>0.11833310284423547</v>
          </cell>
          <cell r="E45">
            <v>0.16382474373605188</v>
          </cell>
          <cell r="F45">
            <v>0.10800924352499684</v>
          </cell>
          <cell r="G45">
            <v>8.9011098625544405E-2</v>
          </cell>
          <cell r="H45">
            <v>0.1134714803635615</v>
          </cell>
          <cell r="J45">
            <v>0.33154752233956131</v>
          </cell>
          <cell r="K45">
            <v>0.159</v>
          </cell>
        </row>
        <row r="46">
          <cell r="A46" t="str">
            <v>Net Interest Margin</v>
          </cell>
          <cell r="B46">
            <v>2.0201020853187743</v>
          </cell>
          <cell r="C46">
            <v>0.62421016884989455</v>
          </cell>
          <cell r="D46">
            <v>1.8475750577367205</v>
          </cell>
          <cell r="E46">
            <v>2.0137157389249651</v>
          </cell>
          <cell r="F46">
            <v>1.5820756247237657</v>
          </cell>
          <cell r="G46">
            <v>1.4903453418741017</v>
          </cell>
          <cell r="H46">
            <v>1.8600974749819053</v>
          </cell>
          <cell r="J46">
            <v>6.4992343032159265</v>
          </cell>
          <cell r="K46">
            <v>2.27</v>
          </cell>
        </row>
        <row r="47">
          <cell r="A47" t="str">
            <v>Cost / Income Ratio</v>
          </cell>
          <cell r="B47">
            <v>26.362673643555723</v>
          </cell>
          <cell r="C47">
            <v>0</v>
          </cell>
          <cell r="D47">
            <v>49.499545040946316</v>
          </cell>
          <cell r="E47">
            <v>40.593221035332782</v>
          </cell>
          <cell r="F47">
            <v>32.967799063389194</v>
          </cell>
          <cell r="G47">
            <v>45.247685942274089</v>
          </cell>
          <cell r="H47">
            <v>51.870785006983503</v>
          </cell>
          <cell r="J47" t="e">
            <v>#REF!</v>
          </cell>
          <cell r="K47">
            <v>51</v>
          </cell>
        </row>
        <row r="49">
          <cell r="A49" t="str">
            <v>Liquidity &amp; Capital Adequacy</v>
          </cell>
        </row>
        <row r="50">
          <cell r="A50" t="str">
            <v>Gross Loans / Deposits</v>
          </cell>
          <cell r="B50">
            <v>0.56217985965225947</v>
          </cell>
          <cell r="C50">
            <v>3.6479171569781125E-3</v>
          </cell>
          <cell r="D50">
            <v>0.69272506000473277</v>
          </cell>
          <cell r="E50">
            <v>0.58881766692339599</v>
          </cell>
          <cell r="F50">
            <v>0.55137032501786276</v>
          </cell>
          <cell r="G50">
            <v>0.73527162081328712</v>
          </cell>
          <cell r="H50">
            <v>0.65673932931799861</v>
          </cell>
          <cell r="J50">
            <v>0</v>
          </cell>
          <cell r="K50">
            <v>0.82199999999999995</v>
          </cell>
        </row>
        <row r="51">
          <cell r="A51" t="str">
            <v>Total CAR</v>
          </cell>
          <cell r="B51">
            <v>0.12028704576055214</v>
          </cell>
          <cell r="C51">
            <v>9.3255701319653328E-3</v>
          </cell>
          <cell r="D51">
            <v>0.16100000000000003</v>
          </cell>
          <cell r="E51">
            <v>0.157</v>
          </cell>
          <cell r="F51">
            <v>0.20500000000000002</v>
          </cell>
          <cell r="G51">
            <v>0.17399999999999999</v>
          </cell>
          <cell r="H51">
            <v>0.1588</v>
          </cell>
          <cell r="J51">
            <v>0.14285246760047127</v>
          </cell>
          <cell r="K51">
            <v>0.12</v>
          </cell>
        </row>
        <row r="52">
          <cell r="A52" t="str">
            <v>Tier 1 CAR</v>
          </cell>
          <cell r="B52">
            <v>0.1079886943244209</v>
          </cell>
          <cell r="C52" t="str">
            <v xml:space="preserve"> </v>
          </cell>
          <cell r="D52">
            <v>0.12199307774227904</v>
          </cell>
          <cell r="E52">
            <v>0.10518742683212363</v>
          </cell>
          <cell r="F52">
            <v>0.18284179464853054</v>
          </cell>
          <cell r="G52">
            <v>0.10038212856052631</v>
          </cell>
          <cell r="H52">
            <v>0.11713444273117253</v>
          </cell>
          <cell r="J52">
            <v>30556</v>
          </cell>
          <cell r="K52">
            <v>8.8999999999999996E-2</v>
          </cell>
        </row>
        <row r="54">
          <cell r="A54" t="str">
            <v>Asset Quality</v>
          </cell>
        </row>
        <row r="55">
          <cell r="A55" t="str">
            <v>NPLs / Gross Customer Loans</v>
          </cell>
          <cell r="B55">
            <v>7.0991907001789643E-3</v>
          </cell>
          <cell r="C55">
            <v>0</v>
          </cell>
          <cell r="D55">
            <v>1.09523312819443E-2</v>
          </cell>
          <cell r="E55">
            <v>1.6396613775298063E-2</v>
          </cell>
          <cell r="F55">
            <v>7.9835536943924333E-3</v>
          </cell>
          <cell r="G55">
            <v>1.2999999999999999E-2</v>
          </cell>
          <cell r="H55">
            <v>4.41E-2</v>
          </cell>
          <cell r="J55">
            <v>0</v>
          </cell>
          <cell r="K55">
            <v>2.8000000000000001E-2</v>
          </cell>
        </row>
        <row r="56">
          <cell r="A56" t="str">
            <v>Cum. Provs / NPLs</v>
          </cell>
          <cell r="B56">
            <v>1.1000000000000001</v>
          </cell>
          <cell r="C56">
            <v>1.21</v>
          </cell>
          <cell r="D56">
            <v>1.17</v>
          </cell>
          <cell r="E56">
            <v>1.31</v>
          </cell>
          <cell r="F56">
            <v>1.6</v>
          </cell>
          <cell r="G56">
            <v>1.45</v>
          </cell>
          <cell r="H56">
            <v>1.1399999999999999</v>
          </cell>
          <cell r="J56">
            <v>1.7</v>
          </cell>
          <cell r="K56">
            <v>0.91</v>
          </cell>
        </row>
        <row r="58">
          <cell r="A58" t="str">
            <v>Assets</v>
          </cell>
          <cell r="B58">
            <v>546988</v>
          </cell>
          <cell r="C58">
            <v>7826</v>
          </cell>
          <cell r="D58">
            <v>210369</v>
          </cell>
          <cell r="E58">
            <v>95447.864000000001</v>
          </cell>
          <cell r="F58">
            <v>71046.513000000006</v>
          </cell>
          <cell r="G58">
            <v>99343.65</v>
          </cell>
          <cell r="H58">
            <v>83577.357000000018</v>
          </cell>
          <cell r="J58">
            <v>54429</v>
          </cell>
          <cell r="K58">
            <v>8066884.7999999998</v>
          </cell>
        </row>
        <row r="59">
          <cell r="A59" t="str">
            <v>Costs</v>
          </cell>
          <cell r="B59">
            <v>4232</v>
          </cell>
          <cell r="C59">
            <v>12821</v>
          </cell>
          <cell r="D59">
            <v>2720</v>
          </cell>
          <cell r="E59">
            <v>1033.039</v>
          </cell>
          <cell r="F59">
            <v>533.899</v>
          </cell>
          <cell r="G59">
            <v>744.3</v>
          </cell>
          <cell r="H59">
            <v>1117.4849999999999</v>
          </cell>
          <cell r="J59">
            <v>927</v>
          </cell>
          <cell r="K59">
            <v>164439.6</v>
          </cell>
        </row>
        <row r="60">
          <cell r="A60" t="str">
            <v>Amortization/goodwill</v>
          </cell>
          <cell r="B60">
            <v>0</v>
          </cell>
          <cell r="C60">
            <v>-14266</v>
          </cell>
          <cell r="D60">
            <v>144</v>
          </cell>
          <cell r="E60">
            <v>45</v>
          </cell>
          <cell r="F60">
            <v>0</v>
          </cell>
          <cell r="G60">
            <v>0</v>
          </cell>
          <cell r="H60">
            <v>60.335999999999999</v>
          </cell>
          <cell r="J60">
            <v>0</v>
          </cell>
          <cell r="K60">
            <v>11310</v>
          </cell>
        </row>
        <row r="61">
          <cell r="A61" t="str">
            <v>Provisions</v>
          </cell>
          <cell r="B61">
            <v>-777</v>
          </cell>
          <cell r="C61">
            <v>11193</v>
          </cell>
          <cell r="D61">
            <v>273</v>
          </cell>
          <cell r="E61">
            <v>54.433999999999997</v>
          </cell>
          <cell r="F61">
            <v>-113.89</v>
          </cell>
          <cell r="G61">
            <v>-21.557000000000002</v>
          </cell>
          <cell r="H61">
            <v>77.885000000000005</v>
          </cell>
          <cell r="J61">
            <v>425</v>
          </cell>
          <cell r="K61">
            <v>48695.4</v>
          </cell>
        </row>
        <row r="62">
          <cell r="A62" t="str">
            <v>Associates</v>
          </cell>
          <cell r="B62">
            <v>539</v>
          </cell>
          <cell r="C62">
            <v>14266</v>
          </cell>
          <cell r="D62">
            <v>345</v>
          </cell>
          <cell r="E62">
            <v>73.143999999999991</v>
          </cell>
          <cell r="F62">
            <v>28.308999999999997</v>
          </cell>
          <cell r="G62">
            <v>0</v>
          </cell>
          <cell r="H62">
            <v>95.574999999999989</v>
          </cell>
          <cell r="J62">
            <v>1056</v>
          </cell>
          <cell r="K62">
            <v>4048.2</v>
          </cell>
        </row>
        <row r="63">
          <cell r="A63" t="str">
            <v>Equity</v>
          </cell>
          <cell r="B63">
            <v>37296</v>
          </cell>
          <cell r="C63">
            <v>52864</v>
          </cell>
          <cell r="D63">
            <v>21693</v>
          </cell>
          <cell r="E63">
            <v>7394.817</v>
          </cell>
          <cell r="F63">
            <v>9568.6440000000002</v>
          </cell>
          <cell r="G63">
            <v>8541.4179999999997</v>
          </cell>
          <cell r="H63">
            <v>8322.0030000000006</v>
          </cell>
          <cell r="J63">
            <v>4924</v>
          </cell>
          <cell r="K63">
            <v>580889.4</v>
          </cell>
        </row>
        <row r="64">
          <cell r="A64" t="str">
            <v>Profits</v>
          </cell>
          <cell r="B64">
            <v>11364</v>
          </cell>
          <cell r="C64">
            <v>158</v>
          </cell>
          <cell r="D64">
            <v>2423</v>
          </cell>
          <cell r="E64">
            <v>1166.454</v>
          </cell>
          <cell r="F64">
            <v>1033.502</v>
          </cell>
          <cell r="G64">
            <v>760.28100000000018</v>
          </cell>
          <cell r="H64">
            <v>903.39099999999996</v>
          </cell>
          <cell r="J64">
            <v>866.8</v>
          </cell>
          <cell r="K64">
            <v>96766.8</v>
          </cell>
        </row>
        <row r="65">
          <cell r="A65" t="str">
            <v>Cash profits</v>
          </cell>
          <cell r="B65">
            <v>11364</v>
          </cell>
          <cell r="C65">
            <v>4807.7550000000001</v>
          </cell>
          <cell r="D65">
            <v>2567</v>
          </cell>
          <cell r="E65">
            <v>1211.454</v>
          </cell>
          <cell r="F65">
            <v>1033.502</v>
          </cell>
          <cell r="G65">
            <v>760.28100000000018</v>
          </cell>
          <cell r="H65">
            <v>944.31</v>
          </cell>
          <cell r="J65">
            <v>866.8</v>
          </cell>
          <cell r="K65">
            <v>109067.4</v>
          </cell>
        </row>
        <row r="66">
          <cell r="A66" t="str">
            <v>NPLs</v>
          </cell>
          <cell r="B66">
            <v>1793</v>
          </cell>
          <cell r="C66">
            <v>9239</v>
          </cell>
          <cell r="D66">
            <v>1365</v>
          </cell>
          <cell r="E66">
            <v>825</v>
          </cell>
          <cell r="F66">
            <v>258.06700000000001</v>
          </cell>
          <cell r="G66">
            <v>764.87699999999995</v>
          </cell>
          <cell r="H66">
            <v>1883.8820000000001</v>
          </cell>
          <cell r="J66">
            <v>307.78202007655102</v>
          </cell>
          <cell r="K66">
            <v>118613.04000000001</v>
          </cell>
        </row>
        <row r="69">
          <cell r="A69" t="str">
            <v>2005 FINANCIAL RATIOS</v>
          </cell>
        </row>
        <row r="70">
          <cell r="A70" t="str">
            <v>Income Decomposition</v>
          </cell>
        </row>
        <row r="71">
          <cell r="A71" t="str">
            <v>Net Interest Income</v>
          </cell>
          <cell r="B71">
            <v>11068</v>
          </cell>
          <cell r="C71">
            <v>12874</v>
          </cell>
          <cell r="D71">
            <v>3760</v>
          </cell>
          <cell r="E71">
            <v>1864.9999999999995</v>
          </cell>
          <cell r="F71">
            <v>1134.6179999999999</v>
          </cell>
          <cell r="G71">
            <v>1315.9969999999998</v>
          </cell>
          <cell r="H71">
            <v>1099.2569999999998</v>
          </cell>
          <cell r="I71">
            <v>1398.271</v>
          </cell>
          <cell r="K71">
            <v>116551</v>
          </cell>
        </row>
        <row r="72">
          <cell r="A72" t="str">
            <v>Non-Interest Income</v>
          </cell>
          <cell r="B72">
            <v>5164</v>
          </cell>
          <cell r="C72">
            <v>5022</v>
          </cell>
          <cell r="D72">
            <v>2192</v>
          </cell>
          <cell r="E72">
            <v>755.8</v>
          </cell>
          <cell r="F72">
            <v>505.10899999999998</v>
          </cell>
          <cell r="G72">
            <v>716.98800000000006</v>
          </cell>
          <cell r="H72">
            <v>870.79099999999994</v>
          </cell>
          <cell r="I72">
            <v>860</v>
          </cell>
          <cell r="K72">
            <v>12488</v>
          </cell>
        </row>
        <row r="73">
          <cell r="A73" t="str">
            <v>Fee &amp; Commission Income</v>
          </cell>
          <cell r="B73">
            <v>2874</v>
          </cell>
          <cell r="C73">
            <v>3053</v>
          </cell>
          <cell r="D73">
            <v>1369</v>
          </cell>
          <cell r="E73">
            <v>481.9</v>
          </cell>
          <cell r="F73">
            <v>201.94200000000001</v>
          </cell>
          <cell r="G73">
            <v>402.56600000000003</v>
          </cell>
          <cell r="H73">
            <v>426.82499999999999</v>
          </cell>
          <cell r="I73">
            <v>355.774</v>
          </cell>
          <cell r="K73">
            <v>6471</v>
          </cell>
        </row>
        <row r="75">
          <cell r="A75" t="str">
            <v>Loan Decomposition</v>
          </cell>
        </row>
        <row r="77">
          <cell r="A77" t="str">
            <v>Large Corporates</v>
          </cell>
          <cell r="B77">
            <v>85227</v>
          </cell>
          <cell r="C77">
            <v>112889</v>
          </cell>
          <cell r="D77">
            <v>33553.91399999999</v>
          </cell>
          <cell r="E77">
            <v>14253.100999999997</v>
          </cell>
          <cell r="F77">
            <v>15978.135999999999</v>
          </cell>
          <cell r="G77">
            <v>26898.303000000004</v>
          </cell>
          <cell r="H77">
            <v>10938.263000000001</v>
          </cell>
          <cell r="I77">
            <v>6852.4519999999993</v>
          </cell>
        </row>
        <row r="78">
          <cell r="A78" t="str">
            <v>SMEs</v>
          </cell>
          <cell r="B78">
            <v>41116</v>
          </cell>
          <cell r="C78">
            <v>55094</v>
          </cell>
          <cell r="D78">
            <v>11030.409</v>
          </cell>
          <cell r="E78">
            <v>8181.7029999999995</v>
          </cell>
          <cell r="F78">
            <v>2758.2280000000001</v>
          </cell>
          <cell r="G78">
            <v>22685.807999999997</v>
          </cell>
          <cell r="H78">
            <v>11898.54</v>
          </cell>
          <cell r="I78">
            <v>12899.377</v>
          </cell>
        </row>
        <row r="79">
          <cell r="A79" t="str">
            <v>Total Corporates</v>
          </cell>
          <cell r="B79">
            <v>126343</v>
          </cell>
          <cell r="C79">
            <v>167983</v>
          </cell>
          <cell r="D79">
            <v>44584.322999999989</v>
          </cell>
          <cell r="E79">
            <v>22434.803999999996</v>
          </cell>
          <cell r="F79">
            <v>18736.363999999998</v>
          </cell>
          <cell r="G79">
            <v>49584.111000000004</v>
          </cell>
          <cell r="H79">
            <v>22836.803</v>
          </cell>
          <cell r="I79">
            <v>19751.828999999998</v>
          </cell>
        </row>
        <row r="81">
          <cell r="A81" t="str">
            <v>Mortgages</v>
          </cell>
          <cell r="B81">
            <v>104197</v>
          </cell>
          <cell r="C81">
            <v>115162</v>
          </cell>
          <cell r="D81">
            <v>38509.168000000005</v>
          </cell>
          <cell r="E81">
            <v>15418.353999999999</v>
          </cell>
          <cell r="F81">
            <v>12911.677</v>
          </cell>
          <cell r="G81">
            <v>11578.088</v>
          </cell>
          <cell r="H81">
            <v>11435.112999999999</v>
          </cell>
          <cell r="I81">
            <v>12702.881000000001</v>
          </cell>
        </row>
        <row r="82">
          <cell r="A82" t="str">
            <v>Unsecured Consumer</v>
          </cell>
          <cell r="B82">
            <v>15298</v>
          </cell>
          <cell r="C82">
            <v>12761</v>
          </cell>
          <cell r="D82">
            <v>5341.5540000000001</v>
          </cell>
          <cell r="E82">
            <v>3909.0519999999997</v>
          </cell>
          <cell r="F82">
            <v>1983.317</v>
          </cell>
          <cell r="G82">
            <v>1032.0130000000001</v>
          </cell>
          <cell r="H82">
            <v>1895.7159999999999</v>
          </cell>
          <cell r="I82">
            <v>7400.32</v>
          </cell>
        </row>
        <row r="83">
          <cell r="A83" t="str">
            <v>Total Consumers</v>
          </cell>
          <cell r="B83">
            <v>119495</v>
          </cell>
          <cell r="C83">
            <v>127923</v>
          </cell>
          <cell r="D83">
            <v>43850.722000000009</v>
          </cell>
          <cell r="E83">
            <v>19327.405999999999</v>
          </cell>
          <cell r="F83">
            <v>14894.993999999999</v>
          </cell>
          <cell r="G83">
            <v>12610.101000000001</v>
          </cell>
          <cell r="H83">
            <v>13330.829</v>
          </cell>
          <cell r="I83">
            <v>20103.201000000001</v>
          </cell>
        </row>
        <row r="85">
          <cell r="A85" t="str">
            <v>Loans outside of HK</v>
          </cell>
          <cell r="B85">
            <v>15876</v>
          </cell>
          <cell r="C85">
            <v>38108</v>
          </cell>
          <cell r="D85">
            <v>50308.701999999997</v>
          </cell>
          <cell r="E85">
            <v>12639</v>
          </cell>
          <cell r="F85">
            <v>3224.1889999999999</v>
          </cell>
          <cell r="G85">
            <v>6105.0749999999998</v>
          </cell>
          <cell r="H85">
            <v>6794.0649999999996</v>
          </cell>
          <cell r="I85">
            <v>5063.5879999999997</v>
          </cell>
        </row>
        <row r="86">
          <cell r="A86" t="str">
            <v>Total</v>
          </cell>
          <cell r="B86">
            <v>261714</v>
          </cell>
          <cell r="C86">
            <v>334014</v>
          </cell>
          <cell r="D86">
            <v>138743.747</v>
          </cell>
          <cell r="E86">
            <v>54401.209999999992</v>
          </cell>
          <cell r="F86">
            <v>36855.546999999991</v>
          </cell>
          <cell r="G86">
            <v>68299.287000000011</v>
          </cell>
          <cell r="H86">
            <v>42961.697</v>
          </cell>
          <cell r="I86">
            <v>44918.618000000002</v>
          </cell>
        </row>
        <row r="92">
          <cell r="A92" t="str">
            <v>ROE Decomposition (Annualised)</v>
          </cell>
          <cell r="B92" t="str">
            <v>0011.HK</v>
          </cell>
          <cell r="C92" t="str">
            <v>2388.HK</v>
          </cell>
          <cell r="D92" t="str">
            <v>0023.HK</v>
          </cell>
          <cell r="E92" t="str">
            <v>0302.HK</v>
          </cell>
          <cell r="F92" t="str">
            <v>0096.HK</v>
          </cell>
          <cell r="G92" t="str">
            <v>0349.HK</v>
          </cell>
          <cell r="H92" t="str">
            <v>0183.HK</v>
          </cell>
          <cell r="I92" t="str">
            <v>0440.HK</v>
          </cell>
          <cell r="K92" t="str">
            <v>0939.HK</v>
          </cell>
        </row>
        <row r="93">
          <cell r="A93" t="str">
            <v>(%)</v>
          </cell>
          <cell r="B93" t="str">
            <v>HSB</v>
          </cell>
          <cell r="C93" t="str">
            <v>BOCHK</v>
          </cell>
          <cell r="D93" t="str">
            <v>BEA</v>
          </cell>
          <cell r="E93" t="str">
            <v>WHB</v>
          </cell>
          <cell r="F93" t="str">
            <v>WLB</v>
          </cell>
          <cell r="G93" t="str">
            <v>ICBCA</v>
          </cell>
          <cell r="H93" t="str">
            <v>CIFH</v>
          </cell>
          <cell r="I93" t="str">
            <v>DSF</v>
          </cell>
          <cell r="J93" t="str">
            <v>Average</v>
          </cell>
          <cell r="K93" t="str">
            <v>CCB</v>
          </cell>
        </row>
        <row r="94">
          <cell r="A94" t="str">
            <v>Net Interest Income Yield</v>
          </cell>
          <cell r="B94">
            <v>1.9055817637133706E-2</v>
          </cell>
          <cell r="C94">
            <v>1.6307039488267519E-2</v>
          </cell>
          <cell r="D94">
            <v>1.5745459570601215E-2</v>
          </cell>
          <cell r="E94">
            <v>1.7877235747232406E-2</v>
          </cell>
          <cell r="F94">
            <v>1.5184577210985109E-2</v>
          </cell>
          <cell r="G94">
            <v>1.1403853729713819E-2</v>
          </cell>
          <cell r="H94">
            <v>1.2926857279161352E-2</v>
          </cell>
          <cell r="I94">
            <v>1.4955429531935403E-2</v>
          </cell>
          <cell r="J94">
            <v>1.5432033774378816E-2</v>
          </cell>
          <cell r="K94" t="e">
            <v>#DIV/0!</v>
          </cell>
        </row>
        <row r="95">
          <cell r="A95" t="str">
            <v>+ Non-Interest Income Yield</v>
          </cell>
          <cell r="B95">
            <v>8.8908784132777797E-3</v>
          </cell>
          <cell r="C95">
            <v>6.3611893980176698E-3</v>
          </cell>
          <cell r="D95">
            <v>9.1792679198824112E-3</v>
          </cell>
          <cell r="E95">
            <v>7.2448336609963835E-3</v>
          </cell>
          <cell r="F95">
            <v>6.7598668542747228E-3</v>
          </cell>
          <cell r="G95">
            <v>6.2131040404803765E-3</v>
          </cell>
          <cell r="H95">
            <v>1.0240181301532029E-2</v>
          </cell>
          <cell r="I95">
            <v>9.1982665716906428E-3</v>
          </cell>
          <cell r="J95">
            <v>8.0109485200190022E-3</v>
          </cell>
          <cell r="K95" t="e">
            <v>#DIV/0!</v>
          </cell>
        </row>
        <row r="96">
          <cell r="A96" t="str">
            <v>= Total Income Yield</v>
          </cell>
          <cell r="B96">
            <v>2.7946696050411488E-2</v>
          </cell>
          <cell r="C96">
            <v>2.266822888628519E-2</v>
          </cell>
          <cell r="D96">
            <v>2.4924727490483627E-2</v>
          </cell>
          <cell r="E96">
            <v>2.5122069408228788E-2</v>
          </cell>
          <cell r="F96">
            <v>2.1944444065259833E-2</v>
          </cell>
          <cell r="G96">
            <v>1.7616957770194196E-2</v>
          </cell>
          <cell r="H96">
            <v>2.3167038580693383E-2</v>
          </cell>
          <cell r="I96">
            <v>2.4153696103626048E-2</v>
          </cell>
          <cell r="J96">
            <v>2.344298229439782E-2</v>
          </cell>
          <cell r="K96" t="e">
            <v>#DIV/0!</v>
          </cell>
        </row>
        <row r="97">
          <cell r="A97" t="str">
            <v>- Cost / Assets</v>
          </cell>
          <cell r="B97">
            <v>7.8268654660652182E-3</v>
          </cell>
          <cell r="C97">
            <v>7.257987903353494E-3</v>
          </cell>
          <cell r="D97">
            <v>1.2512615211956499E-2</v>
          </cell>
          <cell r="E97">
            <v>9.3535710415850754E-3</v>
          </cell>
          <cell r="F97">
            <v>7.7098447576259528E-3</v>
          </cell>
          <cell r="G97">
            <v>7.7143000223666826E-3</v>
          </cell>
          <cell r="H97">
            <v>1.2873127522690859E-2</v>
          </cell>
          <cell r="I97">
            <v>1.0701701851515871E-2</v>
          </cell>
          <cell r="J97">
            <v>9.4937517221449566E-3</v>
          </cell>
          <cell r="K97" t="e">
            <v>#DIV/0!</v>
          </cell>
        </row>
        <row r="98">
          <cell r="A98" t="str">
            <v>= Underlying Profitability</v>
          </cell>
          <cell r="B98">
            <v>2.0119830584346271E-2</v>
          </cell>
          <cell r="C98">
            <v>1.5410240982931697E-2</v>
          </cell>
          <cell r="D98">
            <v>1.2412112278527128E-2</v>
          </cell>
          <cell r="E98">
            <v>1.5768498366643714E-2</v>
          </cell>
          <cell r="F98">
            <v>1.4234599307633881E-2</v>
          </cell>
          <cell r="G98">
            <v>9.9026577478275139E-3</v>
          </cell>
          <cell r="H98">
            <v>1.0293911058002524E-2</v>
          </cell>
          <cell r="I98">
            <v>1.3451994252110177E-2</v>
          </cell>
          <cell r="J98">
            <v>1.3949230572252863E-2</v>
          </cell>
          <cell r="K98" t="e">
            <v>#DIV/0!</v>
          </cell>
        </row>
        <row r="99">
          <cell r="A99" t="str">
            <v>- Amortisation / Assets</v>
          </cell>
          <cell r="B99">
            <v>0</v>
          </cell>
          <cell r="C99">
            <v>0</v>
          </cell>
          <cell r="D99">
            <v>0</v>
          </cell>
          <cell r="E99">
            <v>0</v>
          </cell>
          <cell r="F99">
            <v>0</v>
          </cell>
          <cell r="G99">
            <v>0</v>
          </cell>
          <cell r="H99">
            <v>0</v>
          </cell>
          <cell r="I99">
            <v>0</v>
          </cell>
          <cell r="J99">
            <v>0</v>
          </cell>
          <cell r="K99" t="e">
            <v>#DIV/0!</v>
          </cell>
        </row>
        <row r="100">
          <cell r="A100" t="str">
            <v>- Provisions / Assets</v>
          </cell>
          <cell r="B100">
            <v>1.0640129472125615E-3</v>
          </cell>
          <cell r="C100">
            <v>-3.350327749453751E-3</v>
          </cell>
          <cell r="D100">
            <v>5.9464235612376941E-4</v>
          </cell>
          <cell r="E100">
            <v>5.1816185284310728E-4</v>
          </cell>
          <cell r="F100">
            <v>2.653846193995113E-4</v>
          </cell>
          <cell r="G100">
            <v>5.4801014733855933E-5</v>
          </cell>
          <cell r="H100">
            <v>-6.7676679467652779E-4</v>
          </cell>
          <cell r="I100">
            <v>1.3972808661926342E-3</v>
          </cell>
          <cell r="J100">
            <v>-1.6601360953104929E-5</v>
          </cell>
          <cell r="K100" t="e">
            <v>#DIV/0!</v>
          </cell>
        </row>
        <row r="101">
          <cell r="A101" t="str">
            <v>+ Associate Income / Assets</v>
          </cell>
          <cell r="B101">
            <v>3.9427016975999447E-3</v>
          </cell>
          <cell r="C101">
            <v>1.9721967130054783E-3</v>
          </cell>
          <cell r="D101">
            <v>1.6289850460010301E-3</v>
          </cell>
          <cell r="E101">
            <v>2.5984777835709179E-4</v>
          </cell>
          <cell r="F101">
            <v>3.5068911271844347E-3</v>
          </cell>
          <cell r="G101">
            <v>0</v>
          </cell>
          <cell r="H101">
            <v>3.3177801230664257E-3</v>
          </cell>
          <cell r="I101">
            <v>3.1709847483435021E-3</v>
          </cell>
          <cell r="J101">
            <v>2.2249234041947386E-3</v>
          </cell>
          <cell r="K101" t="e">
            <v>#DIV/0!</v>
          </cell>
        </row>
        <row r="102">
          <cell r="A102" t="str">
            <v>= Pretax ROA</v>
          </cell>
          <cell r="B102">
            <v>2.2998519334733653E-2</v>
          </cell>
          <cell r="C102">
            <v>2.0732765445390926E-2</v>
          </cell>
          <cell r="D102">
            <v>1.344645496840439E-2</v>
          </cell>
          <cell r="E102">
            <v>1.5510184292157699E-2</v>
          </cell>
          <cell r="F102">
            <v>1.7476105815418804E-2</v>
          </cell>
          <cell r="G102">
            <v>9.8478567330936573E-3</v>
          </cell>
          <cell r="H102">
            <v>1.4288457975745478E-2</v>
          </cell>
          <cell r="I102">
            <v>1.5225698134261044E-2</v>
          </cell>
          <cell r="J102">
            <v>1.6190755337400706E-2</v>
          </cell>
          <cell r="K102" t="e">
            <v>#DIV/0!</v>
          </cell>
        </row>
        <row r="103">
          <cell r="A103" t="str">
            <v>x (1- Tax Rate)</v>
          </cell>
          <cell r="B103">
            <v>0.82499999999999996</v>
          </cell>
          <cell r="C103">
            <v>0.82499999999999996</v>
          </cell>
          <cell r="D103">
            <v>0.82499999999999996</v>
          </cell>
          <cell r="E103">
            <v>0.82499999999999996</v>
          </cell>
          <cell r="F103">
            <v>0.82499999999999996</v>
          </cell>
          <cell r="G103">
            <v>0.82499999999999996</v>
          </cell>
          <cell r="H103">
            <v>0.82499999999999996</v>
          </cell>
          <cell r="I103">
            <v>0.82499999999999996</v>
          </cell>
          <cell r="J103">
            <v>0.82500000000000007</v>
          </cell>
          <cell r="K103">
            <v>0.82499999999999996</v>
          </cell>
        </row>
        <row r="104">
          <cell r="A104" t="str">
            <v>= ROA</v>
          </cell>
          <cell r="B104">
            <v>2.01133526273976E-2</v>
          </cell>
          <cell r="C104">
            <v>1.7394880150771102E-2</v>
          </cell>
          <cell r="D104">
            <v>1.2396252627079401E-2</v>
          </cell>
          <cell r="E104">
            <v>1.3525271601690099E-2</v>
          </cell>
          <cell r="F104">
            <v>1.5214479043176601E-2</v>
          </cell>
          <cell r="G104">
            <v>9.1330019911757404E-3</v>
          </cell>
          <cell r="H104">
            <v>1.30812005062331E-2</v>
          </cell>
          <cell r="I104">
            <v>1.20948153748039E-2</v>
          </cell>
          <cell r="J104">
            <v>1.4119156740290944E-2</v>
          </cell>
          <cell r="K104">
            <v>9.1999999999999998E-3</v>
          </cell>
        </row>
        <row r="105">
          <cell r="A105" t="str">
            <v>x Assets / Equity (x)</v>
          </cell>
          <cell r="B105">
            <v>14.916533977091786</v>
          </cell>
          <cell r="C105">
            <v>9.9386290677912754</v>
          </cell>
          <cell r="D105">
            <v>9.8665041523778036</v>
          </cell>
          <cell r="E105">
            <v>12.544897630334033</v>
          </cell>
          <cell r="F105">
            <v>7.371576112268702</v>
          </cell>
          <cell r="G105">
            <v>11.692100308677313</v>
          </cell>
          <cell r="H105">
            <v>8.993530095289243</v>
          </cell>
          <cell r="I105">
            <v>10.278412929868228</v>
          </cell>
          <cell r="J105">
            <v>10.700273034212298</v>
          </cell>
          <cell r="K105">
            <v>15.940593095728891</v>
          </cell>
        </row>
        <row r="106">
          <cell r="A106" t="str">
            <v>= ROE</v>
          </cell>
          <cell r="B106">
            <v>0.29755752026654803</v>
          </cell>
          <cell r="C106">
            <v>0.17779475996916902</v>
          </cell>
          <cell r="D106">
            <v>0.119705420951717</v>
          </cell>
          <cell r="E106">
            <v>0.17169739179340598</v>
          </cell>
          <cell r="F106">
            <v>0.11254887120402399</v>
          </cell>
          <cell r="G106">
            <v>0.10652430750031799</v>
          </cell>
          <cell r="H106">
            <v>0.12407235736320199</v>
          </cell>
          <cell r="I106">
            <v>0.11752169041132399</v>
          </cell>
          <cell r="J106">
            <v>0.15342778993246353</v>
          </cell>
          <cell r="K106">
            <v>0.16200000000000001</v>
          </cell>
        </row>
        <row r="108">
          <cell r="A108" t="str">
            <v>Tier 1 Ratio</v>
          </cell>
          <cell r="B108">
            <v>0.10381383544260384</v>
          </cell>
          <cell r="C108">
            <v>0.14715479166666678</v>
          </cell>
          <cell r="D108">
            <v>0.11243615762487022</v>
          </cell>
          <cell r="E108">
            <v>0.10235906913142263</v>
          </cell>
          <cell r="F108">
            <v>0.15759391389850214</v>
          </cell>
          <cell r="G108">
            <v>9.5795899710997681E-2</v>
          </cell>
          <cell r="H108">
            <v>0.11923312970268553</v>
          </cell>
          <cell r="I108">
            <v>0.10781771411358895</v>
          </cell>
          <cell r="J108">
            <v>0.11827556391141722</v>
          </cell>
          <cell r="K108">
            <v>0.11106443408952714</v>
          </cell>
        </row>
        <row r="109">
          <cell r="L109" t="str">
            <v>2005 DSF and WHB Macau Dupont Analysis</v>
          </cell>
        </row>
        <row r="110">
          <cell r="M110" t="str">
            <v>DSF</v>
          </cell>
          <cell r="N110" t="str">
            <v>WHB</v>
          </cell>
          <cell r="O110" t="str">
            <v>HK Banks Ave.</v>
          </cell>
        </row>
        <row r="111">
          <cell r="L111" t="str">
            <v>Net Interest Income Yield</v>
          </cell>
          <cell r="M111">
            <v>1.7948717948717947E-2</v>
          </cell>
          <cell r="N111">
            <v>2.0166666666666666E-2</v>
          </cell>
          <cell r="O111">
            <v>1.5432033774378816E-2</v>
          </cell>
        </row>
        <row r="112">
          <cell r="A112" t="str">
            <v>Profitability</v>
          </cell>
          <cell r="L112" t="str">
            <v>+ Non-Interest Income Yield</v>
          </cell>
          <cell r="M112">
            <v>1.0256410256410256E-2</v>
          </cell>
          <cell r="N112">
            <v>7.2500000000000004E-3</v>
          </cell>
          <cell r="O112">
            <v>8.0109485200190022E-3</v>
          </cell>
        </row>
        <row r="113">
          <cell r="A113" t="str">
            <v>ROA (annualised)</v>
          </cell>
          <cell r="B113">
            <v>1.9527564477807239E-2</v>
          </cell>
          <cell r="C113">
            <v>1.7092371512714144E-2</v>
          </cell>
          <cell r="D113">
            <v>1.1503398255436581E-2</v>
          </cell>
          <cell r="E113">
            <v>1.2928625179414588E-2</v>
          </cell>
          <cell r="F113">
            <v>1.4840313270015214E-2</v>
          </cell>
          <cell r="G113">
            <v>8.4976581708369279E-3</v>
          </cell>
          <cell r="H113">
            <v>1.2968956760046529E-2</v>
          </cell>
          <cell r="I113">
            <v>1.0896737189812123E-2</v>
          </cell>
          <cell r="L113" t="str">
            <v>= Total Income Yield</v>
          </cell>
          <cell r="M113">
            <v>2.8205128205128202E-2</v>
          </cell>
          <cell r="N113">
            <v>2.7416666666666666E-2</v>
          </cell>
          <cell r="O113">
            <v>2.344298229439782E-2</v>
          </cell>
        </row>
        <row r="114">
          <cell r="A114" t="str">
            <v>ROE (annualised)</v>
          </cell>
          <cell r="B114">
            <v>0.10381383544260384</v>
          </cell>
          <cell r="C114">
            <v>0.14715479166666678</v>
          </cell>
          <cell r="D114">
            <v>0.11243615762487022</v>
          </cell>
          <cell r="E114">
            <v>0.10235906913142263</v>
          </cell>
          <cell r="F114">
            <v>0.15759391389850214</v>
          </cell>
          <cell r="G114">
            <v>9.5795899710997681E-2</v>
          </cell>
          <cell r="H114">
            <v>0.11923312970268553</v>
          </cell>
          <cell r="I114">
            <v>0.10781771411358895</v>
          </cell>
          <cell r="L114" t="str">
            <v>- Cost / Assets</v>
          </cell>
          <cell r="M114">
            <v>1.5719063545150503E-2</v>
          </cell>
          <cell r="N114">
            <v>9.2499999999999995E-3</v>
          </cell>
          <cell r="O114">
            <v>9.4937517221449566E-3</v>
          </cell>
        </row>
        <row r="115">
          <cell r="A115" t="str">
            <v>Cash ROE (ex-amort)</v>
          </cell>
          <cell r="B115">
            <v>0.10381383544260384</v>
          </cell>
          <cell r="C115">
            <v>0.16987474035374836</v>
          </cell>
          <cell r="D115">
            <v>0.11349832665372062</v>
          </cell>
          <cell r="E115">
            <v>0.16218827937671498</v>
          </cell>
          <cell r="F115">
            <v>0.10939649879982838</v>
          </cell>
          <cell r="G115">
            <v>9.9355471722276725E-2</v>
          </cell>
          <cell r="H115">
            <v>0.11663670292598333</v>
          </cell>
          <cell r="I115">
            <v>0.11200116442514091</v>
          </cell>
          <cell r="L115" t="str">
            <v>= Underlying Profitability</v>
          </cell>
          <cell r="M115">
            <v>1.2597547380156076E-2</v>
          </cell>
          <cell r="N115">
            <v>1.8166666666666668E-2</v>
          </cell>
          <cell r="O115">
            <v>1.3949230572252863E-2</v>
          </cell>
        </row>
        <row r="116">
          <cell r="A116" t="str">
            <v>Net Interest Margin</v>
          </cell>
          <cell r="B116">
            <v>2.0512573403154168</v>
          </cell>
          <cell r="C116">
            <v>1.7301740253491864</v>
          </cell>
          <cell r="D116">
            <v>1.7420392051482818</v>
          </cell>
          <cell r="E116">
            <v>1.9175162446012914</v>
          </cell>
          <cell r="F116">
            <v>1.5972796573790207</v>
          </cell>
          <cell r="G116">
            <v>1.2549801535784508</v>
          </cell>
          <cell r="H116">
            <v>1.3388115883967542</v>
          </cell>
          <cell r="I116">
            <v>1.7045430060834845</v>
          </cell>
          <cell r="L116" t="str">
            <v>- Provisions / Assets</v>
          </cell>
          <cell r="M116">
            <v>1.4492753623188406E-3</v>
          </cell>
          <cell r="N116">
            <v>-1.25E-3</v>
          </cell>
          <cell r="O116">
            <v>-1.6601360953104929E-5</v>
          </cell>
        </row>
        <row r="117">
          <cell r="A117" t="str">
            <v>Cost / Income Ratio</v>
          </cell>
          <cell r="B117">
            <v>28.006407097092165</v>
          </cell>
          <cell r="C117">
            <v>32.018328118015198</v>
          </cell>
          <cell r="D117">
            <v>50.201612903225808</v>
          </cell>
          <cell r="E117">
            <v>37.23248626373627</v>
          </cell>
          <cell r="F117">
            <v>35.133470388668357</v>
          </cell>
          <cell r="G117">
            <v>43.789058945343918</v>
          </cell>
          <cell r="H117">
            <v>55.566564875576653</v>
          </cell>
          <cell r="I117">
            <v>44.306684184493363</v>
          </cell>
        </row>
        <row r="118">
          <cell r="L118" t="str">
            <v>= Pretax ROA</v>
          </cell>
          <cell r="M118">
            <v>1.1259754738015607E-2</v>
          </cell>
          <cell r="N118">
            <v>1.9416666666666665E-2</v>
          </cell>
          <cell r="O118">
            <v>1.6190755337400706E-2</v>
          </cell>
        </row>
        <row r="119">
          <cell r="A119" t="str">
            <v>Liquidity &amp; Capital Adequacy</v>
          </cell>
          <cell r="L119" t="str">
            <v>= ROA</v>
          </cell>
          <cell r="M119">
            <v>1.0033444816053512E-2</v>
          </cell>
          <cell r="N119">
            <v>1.7583333333333333E-2</v>
          </cell>
          <cell r="O119">
            <v>1.4119156740290944E-2</v>
          </cell>
        </row>
        <row r="120">
          <cell r="A120" t="str">
            <v>Gross Loans / Deposits</v>
          </cell>
          <cell r="B120">
            <v>0.60483300270304763</v>
          </cell>
          <cell r="C120">
            <v>0.52971057873196747</v>
          </cell>
          <cell r="D120">
            <v>0.82342774625626802</v>
          </cell>
          <cell r="E120">
            <v>0.60824984714775088</v>
          </cell>
          <cell r="F120">
            <v>0.6515531377342737</v>
          </cell>
          <cell r="G120">
            <v>0.71293394392126952</v>
          </cell>
          <cell r="H120">
            <v>0.66127402544904945</v>
          </cell>
          <cell r="I120">
            <v>0.80437726906971996</v>
          </cell>
          <cell r="L120" t="str">
            <v>x Assets / Equity (x)</v>
          </cell>
          <cell r="M120">
            <v>9.3000000000000007</v>
          </cell>
          <cell r="N120">
            <v>8.5</v>
          </cell>
          <cell r="O120">
            <v>10.700273034212298</v>
          </cell>
        </row>
        <row r="121">
          <cell r="A121" t="str">
            <v>Total CAR</v>
          </cell>
          <cell r="B121">
            <v>0.12838426449909113</v>
          </cell>
          <cell r="C121">
            <v>0.154</v>
          </cell>
          <cell r="D121">
            <v>0.17199999999999999</v>
          </cell>
          <cell r="E121">
            <v>0.14899999999999999</v>
          </cell>
          <cell r="F121">
            <v>0.17599999999999999</v>
          </cell>
          <cell r="G121">
            <v>0.158</v>
          </cell>
          <cell r="H121">
            <v>0.16009999999999999</v>
          </cell>
          <cell r="I121">
            <v>0.17199999999999999</v>
          </cell>
          <cell r="L121" t="str">
            <v>= ROE</v>
          </cell>
          <cell r="M121">
            <v>9.3311036789297669E-2</v>
          </cell>
          <cell r="N121">
            <v>0.14945833333333333</v>
          </cell>
          <cell r="O121">
            <v>0.15342778993246353</v>
          </cell>
        </row>
        <row r="122">
          <cell r="A122" t="str">
            <v>Tier 1 CAR</v>
          </cell>
          <cell r="B122">
            <v>0.10381383544260384</v>
          </cell>
          <cell r="C122">
            <v>0.14715479166666667</v>
          </cell>
          <cell r="D122">
            <v>0.11243615762487001</v>
          </cell>
          <cell r="E122">
            <v>0.10235906913142255</v>
          </cell>
          <cell r="F122">
            <v>0.15759391389850219</v>
          </cell>
          <cell r="G122">
            <v>9.5795899710997667E-2</v>
          </cell>
          <cell r="H122">
            <v>0.11923312970268544</v>
          </cell>
          <cell r="I122">
            <v>0.10781771411358899</v>
          </cell>
        </row>
        <row r="123">
          <cell r="L123" t="str">
            <v>Assets</v>
          </cell>
          <cell r="M123">
            <v>8970</v>
          </cell>
          <cell r="N123">
            <v>12000</v>
          </cell>
        </row>
        <row r="124">
          <cell r="A124" t="str">
            <v>Asset Quality</v>
          </cell>
        </row>
        <row r="125">
          <cell r="A125" t="str">
            <v>NPLs / Gross Customer Loans</v>
          </cell>
          <cell r="B125">
            <v>5.475442658780195E-3</v>
          </cell>
          <cell r="C125">
            <v>1.2647262133272417E-2</v>
          </cell>
          <cell r="D125">
            <v>9.853197654458315E-3</v>
          </cell>
          <cell r="E125">
            <v>1.0035683485510436E-2</v>
          </cell>
          <cell r="F125">
            <v>6.4800238707926512E-3</v>
          </cell>
          <cell r="G125">
            <v>8.9999999999999993E-3</v>
          </cell>
          <cell r="H125">
            <v>2.7300000000000001E-2</v>
          </cell>
          <cell r="I125">
            <v>6.630155729423627E-3</v>
          </cell>
          <cell r="M125">
            <v>9.3088071348940912E-2</v>
          </cell>
        </row>
        <row r="126">
          <cell r="A126" t="str">
            <v>Cum. Provs / NPLs</v>
          </cell>
          <cell r="B126">
            <v>1.2171634121274408</v>
          </cell>
          <cell r="C126">
            <v>0.84262366056932569</v>
          </cell>
          <cell r="D126">
            <v>1.0131663864742766</v>
          </cell>
          <cell r="E126">
            <v>1.1158522037828975</v>
          </cell>
          <cell r="F126">
            <v>1.4787752714034974</v>
          </cell>
          <cell r="G126">
            <v>1.3174478771637088</v>
          </cell>
          <cell r="H126">
            <v>1.2924778629140454</v>
          </cell>
          <cell r="I126">
            <v>1.0010500730850869</v>
          </cell>
        </row>
        <row r="128">
          <cell r="A128" t="str">
            <v>Assets</v>
          </cell>
          <cell r="B128">
            <v>580820</v>
          </cell>
          <cell r="C128">
            <v>789475</v>
          </cell>
          <cell r="D128">
            <v>238799</v>
          </cell>
          <cell r="E128">
            <v>104322.61600000001</v>
          </cell>
          <cell r="F128">
            <v>74721.737999999998</v>
          </cell>
          <cell r="G128">
            <v>115399.323</v>
          </cell>
          <cell r="H128">
            <v>85036.677999999985</v>
          </cell>
          <cell r="I128">
            <v>93495.876999999993</v>
          </cell>
        </row>
        <row r="129">
          <cell r="A129" t="str">
            <v>Costs</v>
          </cell>
          <cell r="B129">
            <v>4546</v>
          </cell>
          <cell r="C129">
            <v>5730</v>
          </cell>
          <cell r="D129">
            <v>2988</v>
          </cell>
          <cell r="E129">
            <v>975.78899999999999</v>
          </cell>
          <cell r="F129">
            <v>576.09299999999996</v>
          </cell>
          <cell r="G129">
            <v>890.22500000000002</v>
          </cell>
          <cell r="H129">
            <v>1094.6880000000001</v>
          </cell>
          <cell r="I129">
            <v>1000.5650000000001</v>
          </cell>
        </row>
        <row r="130">
          <cell r="A130" t="str">
            <v>Amortization/goodwill</v>
          </cell>
          <cell r="B130">
            <v>0</v>
          </cell>
          <cell r="C130">
            <v>0</v>
          </cell>
          <cell r="D130">
            <v>0</v>
          </cell>
          <cell r="E130">
            <v>0</v>
          </cell>
          <cell r="F130">
            <v>0</v>
          </cell>
          <cell r="G130">
            <v>0</v>
          </cell>
          <cell r="H130">
            <v>0</v>
          </cell>
          <cell r="I130">
            <v>0</v>
          </cell>
        </row>
        <row r="131">
          <cell r="A131" t="str">
            <v>Provisions</v>
          </cell>
          <cell r="B131">
            <v>618</v>
          </cell>
          <cell r="C131">
            <v>-2645</v>
          </cell>
          <cell r="D131">
            <v>142</v>
          </cell>
          <cell r="E131">
            <v>54.055999999999997</v>
          </cell>
          <cell r="F131">
            <v>19.829999999999998</v>
          </cell>
          <cell r="G131">
            <v>6.3239999999999998</v>
          </cell>
          <cell r="H131">
            <v>-57.55</v>
          </cell>
          <cell r="I131">
            <v>130.63999999999999</v>
          </cell>
        </row>
        <row r="132">
          <cell r="A132" t="str">
            <v>Exceptionals</v>
          </cell>
          <cell r="B132">
            <v>2290</v>
          </cell>
          <cell r="C132">
            <v>1557</v>
          </cell>
          <cell r="D132">
            <v>389</v>
          </cell>
          <cell r="E132">
            <v>27.108000000000001</v>
          </cell>
          <cell r="F132">
            <v>262.041</v>
          </cell>
          <cell r="G132">
            <v>0</v>
          </cell>
          <cell r="H132">
            <v>282.13299999999998</v>
          </cell>
          <cell r="I132">
            <v>296.47399999999999</v>
          </cell>
        </row>
        <row r="133">
          <cell r="A133" t="str">
            <v>Equity</v>
          </cell>
          <cell r="B133">
            <v>38938</v>
          </cell>
          <cell r="C133">
            <v>79435</v>
          </cell>
          <cell r="D133">
            <v>24203</v>
          </cell>
          <cell r="E133">
            <v>8315.94</v>
          </cell>
          <cell r="F133">
            <v>10136.467000000001</v>
          </cell>
          <cell r="G133">
            <v>9869.8539999999994</v>
          </cell>
          <cell r="H133">
            <v>9455.3169999999991</v>
          </cell>
          <cell r="I133">
            <v>9096.3340000000007</v>
          </cell>
        </row>
        <row r="134">
          <cell r="A134" t="str">
            <v>Profits</v>
          </cell>
          <cell r="B134">
            <v>11342</v>
          </cell>
          <cell r="C134">
            <v>13494</v>
          </cell>
          <cell r="D134">
            <v>2747</v>
          </cell>
          <cell r="E134">
            <v>1348.7479999999994</v>
          </cell>
          <cell r="F134">
            <v>1108.894</v>
          </cell>
          <cell r="G134">
            <v>980.6239999999998</v>
          </cell>
          <cell r="H134">
            <v>1102.8369999999998</v>
          </cell>
          <cell r="I134">
            <v>1018.7999999999997</v>
          </cell>
        </row>
        <row r="135">
          <cell r="A135" t="str">
            <v>Cash profits</v>
          </cell>
          <cell r="B135">
            <v>11342</v>
          </cell>
          <cell r="C135">
            <v>13494</v>
          </cell>
          <cell r="D135">
            <v>2747</v>
          </cell>
          <cell r="E135">
            <v>1348.7479999999994</v>
          </cell>
          <cell r="F135">
            <v>1108.894</v>
          </cell>
          <cell r="G135">
            <v>980.6239999999998</v>
          </cell>
          <cell r="H135">
            <v>1102.8369999999998</v>
          </cell>
          <cell r="I135">
            <v>1018.7999999999997</v>
          </cell>
        </row>
        <row r="136">
          <cell r="A136" t="str">
            <v>NPLs</v>
          </cell>
          <cell r="B136">
            <v>1433</v>
          </cell>
          <cell r="C136">
            <v>4263</v>
          </cell>
          <cell r="D136">
            <v>1435</v>
          </cell>
          <cell r="E136">
            <v>560</v>
          </cell>
          <cell r="F136">
            <v>247.24799999999999</v>
          </cell>
          <cell r="G136">
            <v>661.07600000000002</v>
          </cell>
          <cell r="H136">
            <v>1170.8389999999999</v>
          </cell>
          <cell r="I136">
            <v>309.89001122181384</v>
          </cell>
        </row>
        <row r="138">
          <cell r="A138" t="str">
            <v>1997 FINANCIAL RATIOS</v>
          </cell>
        </row>
        <row r="139">
          <cell r="A139" t="str">
            <v>Income Decomposition</v>
          </cell>
        </row>
        <row r="140">
          <cell r="A140" t="str">
            <v>Net Interest Income</v>
          </cell>
          <cell r="B140">
            <v>11157</v>
          </cell>
          <cell r="C140">
            <v>36589</v>
          </cell>
          <cell r="D140">
            <v>3228</v>
          </cell>
          <cell r="E140">
            <v>1350.511</v>
          </cell>
          <cell r="F140">
            <v>1174.3589999999999</v>
          </cell>
          <cell r="G140">
            <v>526.56200000000013</v>
          </cell>
          <cell r="H140">
            <v>830.58000000000015</v>
          </cell>
          <cell r="I140">
            <v>60.932000000000002</v>
          </cell>
        </row>
        <row r="141">
          <cell r="A141" t="str">
            <v>Non-Interest Income</v>
          </cell>
          <cell r="B141">
            <v>3346</v>
          </cell>
          <cell r="C141">
            <v>228</v>
          </cell>
          <cell r="D141">
            <v>1164.8599999999999</v>
          </cell>
          <cell r="E141">
            <v>400.69299999999998</v>
          </cell>
          <cell r="F141">
            <v>435.38099999999997</v>
          </cell>
          <cell r="G141">
            <v>163.57</v>
          </cell>
          <cell r="H141">
            <v>297.30399999999997</v>
          </cell>
          <cell r="I141">
            <v>0</v>
          </cell>
        </row>
        <row r="142">
          <cell r="A142" t="str">
            <v>Fee &amp; Commission Income</v>
          </cell>
          <cell r="B142">
            <v>1757</v>
          </cell>
          <cell r="C142">
            <v>-1480</v>
          </cell>
          <cell r="D142">
            <v>899</v>
          </cell>
          <cell r="E142">
            <v>314.84500000000003</v>
          </cell>
          <cell r="F142">
            <v>216.93700000000001</v>
          </cell>
          <cell r="G142">
            <v>147.75800000000001</v>
          </cell>
          <cell r="H142">
            <v>237.595</v>
          </cell>
          <cell r="I142">
            <v>29.013999999999999</v>
          </cell>
        </row>
        <row r="161">
          <cell r="A161" t="str">
            <v>ROE Decomposition (Annualised)</v>
          </cell>
        </row>
        <row r="162">
          <cell r="A162" t="str">
            <v>(%)</v>
          </cell>
          <cell r="B162" t="str">
            <v>HSB</v>
          </cell>
          <cell r="C162" t="str">
            <v>BOCHK</v>
          </cell>
          <cell r="D162" t="str">
            <v>BEA</v>
          </cell>
          <cell r="E162" t="str">
            <v>WHB</v>
          </cell>
          <cell r="F162" t="str">
            <v>WLB</v>
          </cell>
          <cell r="G162" t="str">
            <v>ICBCA</v>
          </cell>
          <cell r="H162" t="str">
            <v>CIFH</v>
          </cell>
          <cell r="I162" t="str">
            <v>DSF</v>
          </cell>
        </row>
        <row r="163">
          <cell r="A163" t="str">
            <v>Net Interest Income Yield</v>
          </cell>
          <cell r="B163">
            <v>2.7952948250591907E-2</v>
          </cell>
          <cell r="C163">
            <v>4.2864339268978444</v>
          </cell>
          <cell r="D163">
            <v>2.4521422060164083E-2</v>
          </cell>
          <cell r="E163">
            <v>2.8494801434311753E-2</v>
          </cell>
          <cell r="F163">
            <v>2.3772675088757418E-2</v>
          </cell>
          <cell r="G163">
            <v>2.4564471649872899E-2</v>
          </cell>
          <cell r="H163">
            <v>2.0917067521723391E-2</v>
          </cell>
          <cell r="I163" t="e">
            <v>#DIV/0!</v>
          </cell>
        </row>
        <row r="164">
          <cell r="A164" t="str">
            <v>+ Non-Interest Income Yield</v>
          </cell>
          <cell r="B164">
            <v>8.3831285154145844E-3</v>
          </cell>
          <cell r="C164">
            <v>2.6710402999062792E-2</v>
          </cell>
          <cell r="D164">
            <v>8.8488301428137333E-3</v>
          </cell>
          <cell r="E164">
            <v>8.454331339114364E-3</v>
          </cell>
          <cell r="F164">
            <v>8.8134642411888467E-3</v>
          </cell>
          <cell r="G164">
            <v>7.6306505744237318E-3</v>
          </cell>
          <cell r="H164">
            <v>7.4872111566356642E-3</v>
          </cell>
          <cell r="I164" t="e">
            <v>#DIV/0!</v>
          </cell>
        </row>
        <row r="165">
          <cell r="A165" t="str">
            <v>= Total Income Yield</v>
          </cell>
          <cell r="B165">
            <v>3.6336076766006489E-2</v>
          </cell>
          <cell r="C165">
            <v>4.3131443298969074</v>
          </cell>
          <cell r="D165">
            <v>3.3370252202977818E-2</v>
          </cell>
          <cell r="E165">
            <v>3.6949132773426117E-2</v>
          </cell>
          <cell r="F165">
            <v>3.2586139329946265E-2</v>
          </cell>
          <cell r="G165">
            <v>3.219512222429663E-2</v>
          </cell>
          <cell r="H165">
            <v>2.8404278678359055E-2</v>
          </cell>
          <cell r="I165" t="e">
            <v>#DIV/0!</v>
          </cell>
        </row>
        <row r="166">
          <cell r="A166" t="str">
            <v>- Cost / Assets</v>
          </cell>
          <cell r="B166">
            <v>9.3452090144938438E-3</v>
          </cell>
          <cell r="C166">
            <v>0.56865042174320524</v>
          </cell>
          <cell r="D166">
            <v>1.2731692494682468E-2</v>
          </cell>
          <cell r="E166">
            <v>1.095919493273087E-2</v>
          </cell>
          <cell r="F166">
            <v>9.4126804564197177E-3</v>
          </cell>
          <cell r="G166">
            <v>1.0496168160374564E-2</v>
          </cell>
          <cell r="H166">
            <v>9.6324584293492922E-3</v>
          </cell>
          <cell r="I166" t="e">
            <v>#DIV/0!</v>
          </cell>
        </row>
        <row r="167">
          <cell r="A167" t="str">
            <v>= Underlying Profitability</v>
          </cell>
          <cell r="B167">
            <v>2.6990867751512646E-2</v>
          </cell>
          <cell r="C167">
            <v>3.7444939081537023</v>
          </cell>
          <cell r="D167">
            <v>2.063855970829535E-2</v>
          </cell>
          <cell r="E167">
            <v>2.5989937840695247E-2</v>
          </cell>
          <cell r="F167">
            <v>2.3173458873526547E-2</v>
          </cell>
          <cell r="G167">
            <v>2.1698954063922065E-2</v>
          </cell>
          <cell r="H167">
            <v>1.8771820249009762E-2</v>
          </cell>
          <cell r="I167" t="e">
            <v>#DIV/0!</v>
          </cell>
        </row>
        <row r="168">
          <cell r="A168" t="str">
            <v>- Amortisation / Assets</v>
          </cell>
          <cell r="B168">
            <v>0</v>
          </cell>
          <cell r="C168">
            <v>0</v>
          </cell>
          <cell r="D168">
            <v>0</v>
          </cell>
          <cell r="E168">
            <v>0</v>
          </cell>
          <cell r="F168">
            <v>0</v>
          </cell>
          <cell r="G168">
            <v>0</v>
          </cell>
          <cell r="H168">
            <v>0</v>
          </cell>
          <cell r="I168" t="e">
            <v>#DIV/0!</v>
          </cell>
        </row>
        <row r="169">
          <cell r="A169" t="str">
            <v>- Provisions / Assets</v>
          </cell>
          <cell r="B169">
            <v>1.5909404086336704E-3</v>
          </cell>
          <cell r="C169">
            <v>1.7361761949390815</v>
          </cell>
          <cell r="D169">
            <v>2.2181707687632937E-3</v>
          </cell>
          <cell r="E169">
            <v>3.5256886613093071E-3</v>
          </cell>
          <cell r="F169">
            <v>1.1419946476819789E-3</v>
          </cell>
          <cell r="G169">
            <v>2.7030799427390983E-3</v>
          </cell>
          <cell r="H169">
            <v>5.2907906300462609E-3</v>
          </cell>
          <cell r="I169" t="e">
            <v>#DIV/0!</v>
          </cell>
        </row>
        <row r="170">
          <cell r="A170" t="str">
            <v>+ Associate Income / Assets</v>
          </cell>
          <cell r="B170">
            <v>1.7362546506821E-3</v>
          </cell>
          <cell r="C170">
            <v>0.39081537019681351</v>
          </cell>
          <cell r="D170">
            <v>1.8991188088726829E-5</v>
          </cell>
          <cell r="E170">
            <v>-5.2999265998461098E-4</v>
          </cell>
          <cell r="F170">
            <v>5.0662424305202404E-4</v>
          </cell>
          <cell r="G170">
            <v>0</v>
          </cell>
          <cell r="H170">
            <v>7.4405205992116063E-4</v>
          </cell>
          <cell r="I170" t="e">
            <v>#DIV/0!</v>
          </cell>
        </row>
        <row r="171">
          <cell r="A171" t="str">
            <v>= Pretax ROA</v>
          </cell>
          <cell r="B171">
            <v>2.7136181993561076E-2</v>
          </cell>
          <cell r="C171">
            <v>2.3991330834114342</v>
          </cell>
          <cell r="D171">
            <v>1.8439380127620784E-2</v>
          </cell>
          <cell r="E171">
            <v>2.1934256519401327E-2</v>
          </cell>
          <cell r="F171">
            <v>2.2538088468896593E-2</v>
          </cell>
          <cell r="G171">
            <v>1.8995874121182966E-2</v>
          </cell>
          <cell r="H171">
            <v>1.4225081678884661E-2</v>
          </cell>
          <cell r="I171" t="e">
            <v>#DIV/0!</v>
          </cell>
        </row>
        <row r="172">
          <cell r="A172" t="str">
            <v>x (1- Tax Rate)</v>
          </cell>
          <cell r="B172">
            <v>0.83499999999999996</v>
          </cell>
          <cell r="C172">
            <v>0.83499999999999996</v>
          </cell>
          <cell r="D172">
            <v>0.83499999999999996</v>
          </cell>
          <cell r="E172">
            <v>0.83499999999999996</v>
          </cell>
          <cell r="F172">
            <v>0.83499999999999996</v>
          </cell>
          <cell r="G172">
            <v>0.83499999999999996</v>
          </cell>
          <cell r="H172">
            <v>0.83499999999999996</v>
          </cell>
          <cell r="I172">
            <v>0.83499999999999996</v>
          </cell>
        </row>
        <row r="173">
          <cell r="A173" t="str">
            <v>= ROA</v>
          </cell>
          <cell r="B173">
            <v>2.2658711964623497E-2</v>
          </cell>
          <cell r="C173">
            <v>2.0032761246485475</v>
          </cell>
          <cell r="D173">
            <v>1.5396882406563353E-2</v>
          </cell>
          <cell r="E173">
            <v>1.8315104193700107E-2</v>
          </cell>
          <cell r="F173">
            <v>1.8819303871528654E-2</v>
          </cell>
          <cell r="G173">
            <v>1.5861554891187776E-2</v>
          </cell>
          <cell r="H173">
            <v>1.1877943201868692E-2</v>
          </cell>
          <cell r="I173" t="e">
            <v>#DIV/0!</v>
          </cell>
        </row>
        <row r="174">
          <cell r="A174" t="str">
            <v>x Assets / Equity</v>
          </cell>
          <cell r="B174">
            <v>7.641579874406494</v>
          </cell>
          <cell r="C174">
            <v>0.16147094430992737</v>
          </cell>
          <cell r="D174">
            <v>9.9212644713369365</v>
          </cell>
          <cell r="E174">
            <v>11.594442299816967</v>
          </cell>
          <cell r="F174">
            <v>8.5897976231421787</v>
          </cell>
          <cell r="G174">
            <v>8.9056169664367957</v>
          </cell>
          <cell r="H174">
            <v>8.4088065763969944</v>
          </cell>
          <cell r="I174">
            <v>0</v>
          </cell>
        </row>
        <row r="175">
          <cell r="A175" t="str">
            <v>= ROE</v>
          </cell>
          <cell r="B175">
            <v>0.17314835732884054</v>
          </cell>
          <cell r="C175">
            <v>2.913135593220339E-3</v>
          </cell>
          <cell r="D175">
            <v>0.15275654238958974</v>
          </cell>
          <cell r="E175">
            <v>0.21235341878899164</v>
          </cell>
          <cell r="F175">
            <v>0.16165401166484722</v>
          </cell>
          <cell r="G175">
            <v>0.14125693235303041</v>
          </cell>
          <cell r="H175">
            <v>9.9879326909943431E-2</v>
          </cell>
          <cell r="I175" t="e">
            <v>#DIV/0!</v>
          </cell>
        </row>
        <row r="177">
          <cell r="A177" t="str">
            <v>Profitability</v>
          </cell>
        </row>
        <row r="178">
          <cell r="A178" t="str">
            <v>ROA (annualised)</v>
          </cell>
          <cell r="B178">
            <v>2.3458228418955993E-2</v>
          </cell>
          <cell r="C178">
            <v>-4.0260074976569804E-2</v>
          </cell>
          <cell r="D178">
            <v>1.6942334017016104E-2</v>
          </cell>
          <cell r="E178">
            <v>1.8383586317846725E-2</v>
          </cell>
          <cell r="F178">
            <v>1.9011111664197781E-2</v>
          </cell>
          <cell r="G178">
            <v>1.5904707230173214E-2</v>
          </cell>
          <cell r="H178">
            <v>1.2995211095086731E-2</v>
          </cell>
          <cell r="I178" t="e">
            <v>#REF!</v>
          </cell>
        </row>
        <row r="179">
          <cell r="A179" t="str">
            <v>ROE (annualised)</v>
          </cell>
          <cell r="B179">
            <v>0.17314835732884054</v>
          </cell>
          <cell r="C179">
            <v>2.913135593220339E-3</v>
          </cell>
          <cell r="D179">
            <v>0.15275654238958974</v>
          </cell>
          <cell r="E179">
            <v>0.21235341878899164</v>
          </cell>
          <cell r="F179">
            <v>0.16165401166484722</v>
          </cell>
          <cell r="G179">
            <v>0.14125693235303041</v>
          </cell>
          <cell r="H179">
            <v>9.9879326909943431E-2</v>
          </cell>
          <cell r="I179" t="e">
            <v>#DIV/0!</v>
          </cell>
        </row>
        <row r="180">
          <cell r="A180" t="str">
            <v>Cash ROE (ex-amort)</v>
          </cell>
          <cell r="B180">
            <v>0.17314835732884054</v>
          </cell>
          <cell r="C180">
            <v>-6.5008323244552029E-3</v>
          </cell>
          <cell r="D180">
            <v>0.16808937654454509</v>
          </cell>
          <cell r="E180">
            <v>0.21314743082597848</v>
          </cell>
          <cell r="F180">
            <v>0.16330160178641664</v>
          </cell>
          <cell r="G180">
            <v>0.14164123055524055</v>
          </cell>
          <cell r="H180">
            <v>0.10927421651803249</v>
          </cell>
          <cell r="I180" t="e">
            <v>#REF!</v>
          </cell>
        </row>
        <row r="181">
          <cell r="A181" t="str">
            <v>Net Interest Margin</v>
          </cell>
          <cell r="B181">
            <v>3.0747692269533546</v>
          </cell>
          <cell r="C181">
            <v>5.0382179725678817</v>
          </cell>
          <cell r="D181">
            <v>2.742740616436901</v>
          </cell>
          <cell r="E181">
            <v>3.2249180282302556</v>
          </cell>
          <cell r="F181">
            <v>2.5693745221978554</v>
          </cell>
          <cell r="G181">
            <v>2.5486945419876914</v>
          </cell>
          <cell r="H181">
            <v>2.5542438933887794</v>
          </cell>
          <cell r="I181">
            <v>0</v>
          </cell>
        </row>
        <row r="182">
          <cell r="A182" t="str">
            <v>Cost / Income Ratio</v>
          </cell>
          <cell r="B182">
            <v>25.718816796524855</v>
          </cell>
          <cell r="C182">
            <v>0</v>
          </cell>
          <cell r="D182">
            <v>38.152820713612549</v>
          </cell>
          <cell r="E182">
            <v>29.660222338459707</v>
          </cell>
          <cell r="F182">
            <v>28.885534309888559</v>
          </cell>
          <cell r="G182">
            <v>32.601734161001083</v>
          </cell>
          <cell r="H182">
            <v>33.911998042351875</v>
          </cell>
          <cell r="I182">
            <v>0</v>
          </cell>
        </row>
        <row r="184">
          <cell r="A184" t="str">
            <v>Liquidity &amp; Capital Adequacy</v>
          </cell>
        </row>
        <row r="185">
          <cell r="A185" t="str">
            <v>Gross Loans / Deposits</v>
          </cell>
          <cell r="B185">
            <v>0.63124934250017017</v>
          </cell>
          <cell r="C185">
            <v>-3.3626132308536921E-2</v>
          </cell>
          <cell r="D185">
            <v>0.74527101163045861</v>
          </cell>
          <cell r="E185">
            <v>0.7951274125931459</v>
          </cell>
          <cell r="F185">
            <v>0.67599493572882174</v>
          </cell>
          <cell r="G185">
            <v>0.77735227166469201</v>
          </cell>
          <cell r="H185">
            <v>0.72053378554349079</v>
          </cell>
          <cell r="I185">
            <v>0.77476476045442444</v>
          </cell>
        </row>
        <row r="186">
          <cell r="A186" t="str">
            <v>Total CAR</v>
          </cell>
          <cell r="B186">
            <v>0.221</v>
          </cell>
          <cell r="C186">
            <v>1.9452862479200667E-2</v>
          </cell>
          <cell r="D186">
            <v>0.153</v>
          </cell>
          <cell r="E186">
            <v>0.14899999999999999</v>
          </cell>
          <cell r="F186">
            <v>0.17699999999999999</v>
          </cell>
          <cell r="G186">
            <v>0.1653</v>
          </cell>
          <cell r="H186">
            <v>0.24179999999999999</v>
          </cell>
          <cell r="I186">
            <v>0</v>
          </cell>
        </row>
        <row r="187">
          <cell r="A187" t="str">
            <v>Tier 1 CAR</v>
          </cell>
          <cell r="B187">
            <v>0.16300000000000001</v>
          </cell>
          <cell r="C187" t="str">
            <v xml:space="preserve"> </v>
          </cell>
          <cell r="D187">
            <v>0.14370429409748145</v>
          </cell>
          <cell r="E187">
            <v>0.12833925915186928</v>
          </cell>
          <cell r="F187">
            <v>0.12593842334145514</v>
          </cell>
          <cell r="G187">
            <v>0.13900000000000001</v>
          </cell>
          <cell r="H187">
            <v>0.15070342704636655</v>
          </cell>
          <cell r="I187">
            <v>4.9862823043001686E-2</v>
          </cell>
        </row>
        <row r="189">
          <cell r="A189" t="str">
            <v>Asset Quality</v>
          </cell>
        </row>
        <row r="190">
          <cell r="A190" t="str">
            <v>NPLs / Gross Customer Loans</v>
          </cell>
          <cell r="B190">
            <v>7.9790193886784058E-3</v>
          </cell>
          <cell r="C190">
            <v>0</v>
          </cell>
          <cell r="D190">
            <v>1.1395329897267048E-2</v>
          </cell>
          <cell r="E190">
            <v>6.5762775112921659E-3</v>
          </cell>
          <cell r="F190">
            <v>3.5410882210406701E-4</v>
          </cell>
          <cell r="G190">
            <v>0</v>
          </cell>
          <cell r="H190">
            <v>2.8997343525106033E-2</v>
          </cell>
          <cell r="I190">
            <v>9.0578641477685653E-3</v>
          </cell>
        </row>
        <row r="191">
          <cell r="A191" t="str">
            <v>Cum. Provs / NPLs</v>
          </cell>
          <cell r="B191">
            <v>1.2344390539721044</v>
          </cell>
          <cell r="C191">
            <v>0.41552305114738053</v>
          </cell>
          <cell r="D191">
            <v>1.634339899707872</v>
          </cell>
          <cell r="E191">
            <v>2.627392763283531</v>
          </cell>
        </row>
        <row r="193">
          <cell r="A193" t="str">
            <v>Assets</v>
          </cell>
          <cell r="B193">
            <v>399135</v>
          </cell>
          <cell r="C193">
            <v>8536</v>
          </cell>
          <cell r="D193">
            <v>131640</v>
          </cell>
          <cell r="E193">
            <v>47394.996000000006</v>
          </cell>
          <cell r="F193">
            <v>49399.531000000003</v>
          </cell>
          <cell r="G193">
            <v>21435.917999999998</v>
          </cell>
          <cell r="H193">
            <v>39708.242999999995</v>
          </cell>
          <cell r="I193">
            <v>0</v>
          </cell>
        </row>
        <row r="194">
          <cell r="A194" t="str">
            <v>Costs</v>
          </cell>
          <cell r="B194">
            <v>3730</v>
          </cell>
          <cell r="C194">
            <v>4854</v>
          </cell>
          <cell r="D194">
            <v>1676</v>
          </cell>
          <cell r="E194">
            <v>519.41099999999994</v>
          </cell>
          <cell r="F194">
            <v>464.98200000000003</v>
          </cell>
          <cell r="G194">
            <v>224.995</v>
          </cell>
          <cell r="H194">
            <v>382.488</v>
          </cell>
          <cell r="I194">
            <v>272.01900000000001</v>
          </cell>
        </row>
        <row r="195">
          <cell r="A195" t="str">
            <v>Amortization/goodwill</v>
          </cell>
          <cell r="B195">
            <v>0</v>
          </cell>
          <cell r="C195">
            <v>0</v>
          </cell>
          <cell r="D195">
            <v>0</v>
          </cell>
          <cell r="E195">
            <v>0</v>
          </cell>
          <cell r="F195">
            <v>0</v>
          </cell>
          <cell r="G195">
            <v>0</v>
          </cell>
          <cell r="H195">
            <v>0</v>
          </cell>
          <cell r="I195">
            <v>0</v>
          </cell>
        </row>
        <row r="196">
          <cell r="A196" t="str">
            <v>Provisions</v>
          </cell>
          <cell r="B196">
            <v>635</v>
          </cell>
          <cell r="C196">
            <v>14820</v>
          </cell>
          <cell r="D196">
            <v>292</v>
          </cell>
          <cell r="E196">
            <v>167.1</v>
          </cell>
          <cell r="F196">
            <v>56.414000000000001</v>
          </cell>
          <cell r="G196">
            <v>57.942999999999998</v>
          </cell>
          <cell r="H196">
            <v>210.08799999999999</v>
          </cell>
          <cell r="I196">
            <v>755.149</v>
          </cell>
        </row>
        <row r="197">
          <cell r="A197" t="str">
            <v>Associates</v>
          </cell>
          <cell r="B197">
            <v>693</v>
          </cell>
          <cell r="C197">
            <v>3336</v>
          </cell>
          <cell r="D197">
            <v>2.5</v>
          </cell>
          <cell r="E197">
            <v>-25.119000000000003</v>
          </cell>
          <cell r="F197">
            <v>25.026999999999997</v>
          </cell>
          <cell r="G197">
            <v>0</v>
          </cell>
          <cell r="H197">
            <v>29.545000000000002</v>
          </cell>
          <cell r="I197">
            <v>526.88299999999992</v>
          </cell>
        </row>
        <row r="198">
          <cell r="A198" t="str">
            <v>Equity</v>
          </cell>
          <cell r="B198">
            <v>52232</v>
          </cell>
          <cell r="C198">
            <v>52864</v>
          </cell>
          <cell r="D198">
            <v>13268.47</v>
          </cell>
          <cell r="E198">
            <v>4087.7339999999999</v>
          </cell>
          <cell r="F198">
            <v>5750.9539999999997</v>
          </cell>
          <cell r="G198">
            <v>2407.011</v>
          </cell>
          <cell r="H198">
            <v>4722.2210000000005</v>
          </cell>
          <cell r="I198">
            <v>2406.9079999999999</v>
          </cell>
        </row>
        <row r="199">
          <cell r="A199" t="str">
            <v>Profits</v>
          </cell>
          <cell r="B199">
            <v>9363</v>
          </cell>
          <cell r="C199">
            <v>154</v>
          </cell>
          <cell r="D199">
            <v>2230.2888499999999</v>
          </cell>
          <cell r="E199">
            <v>871.2900000000003</v>
          </cell>
          <cell r="F199">
            <v>939.13999999999987</v>
          </cell>
          <cell r="G199">
            <v>340.93200000000013</v>
          </cell>
          <cell r="H199">
            <v>516.01699999999994</v>
          </cell>
          <cell r="I199" t="e">
            <v>#REF!</v>
          </cell>
        </row>
        <row r="200">
          <cell r="A200" t="str">
            <v>Cash profits</v>
          </cell>
          <cell r="B200">
            <v>9363</v>
          </cell>
          <cell r="C200">
            <v>-343.65999999999985</v>
          </cell>
          <cell r="D200">
            <v>2230.2888499999999</v>
          </cell>
          <cell r="E200">
            <v>871.2900000000003</v>
          </cell>
          <cell r="F200">
            <v>939.13999999999987</v>
          </cell>
          <cell r="G200">
            <v>340.93200000000013</v>
          </cell>
          <cell r="H200">
            <v>516.01699999999994</v>
          </cell>
          <cell r="I200" t="e">
            <v>#REF!</v>
          </cell>
        </row>
        <row r="201">
          <cell r="A201" t="str">
            <v>NPLs</v>
          </cell>
          <cell r="B201">
            <v>1649</v>
          </cell>
          <cell r="C201">
            <v>53121</v>
          </cell>
          <cell r="D201">
            <v>979.44</v>
          </cell>
          <cell r="E201">
            <v>219.934</v>
          </cell>
          <cell r="F201">
            <v>10.259</v>
          </cell>
          <cell r="G201">
            <v>1301.6669999999999</v>
          </cell>
          <cell r="H201">
            <v>592.69100000000003</v>
          </cell>
          <cell r="I201">
            <v>59.545999999999999</v>
          </cell>
        </row>
        <row r="203">
          <cell r="B203" t="str">
            <v>e=Morgan Stanley Estimates.  All other values are actual.</v>
          </cell>
        </row>
        <row r="205">
          <cell r="B205" t="str">
            <v>ND = Not Disclosed, NA = Not Available, and NM = Non Meaningful</v>
          </cell>
        </row>
        <row r="207">
          <cell r="B207" t="str">
            <v>Consensus EPS provided by Thomson Financial/First Call</v>
          </cell>
        </row>
        <row r="209">
          <cell r="B209" t="str">
            <v>Ratios for companies are based on the currency reported by the companies unless explicitly noted.</v>
          </cell>
        </row>
        <row r="211">
          <cell r="B211" t="str">
            <v xml:space="preserve">Although the information provided to you on this site is obtained or compiled from sources we believe to be reliable, </v>
          </cell>
        </row>
        <row r="212">
          <cell r="B212" t="str">
            <v xml:space="preserve">Morgan Stanley cannot and does not guarantee the accuracy, validity, timeliness or completeness of any information or </v>
          </cell>
        </row>
        <row r="213">
          <cell r="B213" t="str">
            <v>data made available to you for any particular purpose.</v>
          </cell>
        </row>
        <row r="223">
          <cell r="A223" t="str">
            <v>2007 FINANCIAL RATIOS</v>
          </cell>
        </row>
        <row r="224">
          <cell r="B224" t="str">
            <v>HSB</v>
          </cell>
          <cell r="C224" t="str">
            <v>BEA</v>
          </cell>
          <cell r="D224" t="str">
            <v>BOCHK</v>
          </cell>
          <cell r="E224" t="str">
            <v>DSF</v>
          </cell>
          <cell r="F224" t="str">
            <v>WHB</v>
          </cell>
          <cell r="G224" t="str">
            <v>CIFH</v>
          </cell>
          <cell r="H224" t="str">
            <v>ICBCA</v>
          </cell>
          <cell r="I224" t="str">
            <v>WLB</v>
          </cell>
          <cell r="J224" t="str">
            <v>HK Banks Average</v>
          </cell>
        </row>
        <row r="225">
          <cell r="A225" t="str">
            <v>Net Interest Income Yield</v>
          </cell>
          <cell r="B225">
            <v>2.0484631376694352E-2</v>
          </cell>
          <cell r="C225">
            <v>1.7815121687635424E-2</v>
          </cell>
          <cell r="D225">
            <v>1.8802775572154987E-2</v>
          </cell>
          <cell r="E225">
            <v>2.2361876916314596E-2</v>
          </cell>
          <cell r="F225">
            <v>1.8657230080817006E-2</v>
          </cell>
          <cell r="G225">
            <v>1.1679327181502244E-2</v>
          </cell>
          <cell r="H225">
            <v>1.3963650566448256E-2</v>
          </cell>
          <cell r="I225">
            <v>1.7960147680130652E-2</v>
          </cell>
          <cell r="J225">
            <v>1.8703938559516693E-2</v>
          </cell>
        </row>
        <row r="226">
          <cell r="A226" t="str">
            <v>+ Non-Interest Income Yield</v>
          </cell>
          <cell r="B226">
            <v>7.4903793948161495E-3</v>
          </cell>
          <cell r="C226">
            <v>8.8356688797083718E-3</v>
          </cell>
          <cell r="D226">
            <v>7.0963005398053487E-3</v>
          </cell>
          <cell r="E226">
            <v>1.1351981766395645E-2</v>
          </cell>
          <cell r="F226">
            <v>7.7746193510402359E-3</v>
          </cell>
          <cell r="G226">
            <v>1.0777256026177727E-2</v>
          </cell>
          <cell r="H226">
            <v>6.0353479465391213E-3</v>
          </cell>
          <cell r="I226">
            <v>8.0431175484176731E-3</v>
          </cell>
          <cell r="J226">
            <v>7.7770342877889554E-3</v>
          </cell>
        </row>
        <row r="227">
          <cell r="A227" t="str">
            <v>= Total Income Yield</v>
          </cell>
          <cell r="B227">
            <v>2.7975010771510503E-2</v>
          </cell>
          <cell r="C227">
            <v>2.6650790567343798E-2</v>
          </cell>
          <cell r="D227">
            <v>2.5899076111960337E-2</v>
          </cell>
          <cell r="E227">
            <v>3.3713858682710242E-2</v>
          </cell>
          <cell r="F227">
            <v>2.6431849431857241E-2</v>
          </cell>
          <cell r="G227">
            <v>2.2456583207679969E-2</v>
          </cell>
          <cell r="H227">
            <v>1.9998998512987379E-2</v>
          </cell>
          <cell r="I227">
            <v>2.6003265228548324E-2</v>
          </cell>
          <cell r="J227">
            <v>2.6480972847305648E-2</v>
          </cell>
        </row>
        <row r="228">
          <cell r="A228" t="str">
            <v>- Cost / Assets</v>
          </cell>
          <cell r="B228">
            <v>7.5744525679700683E-3</v>
          </cell>
          <cell r="C228">
            <v>1.2468128241620594E-2</v>
          </cell>
          <cell r="D228">
            <v>7.5836008880744198E-3</v>
          </cell>
          <cell r="E228">
            <v>1.2390504902633688E-2</v>
          </cell>
          <cell r="F228">
            <v>8.9095421411802111E-3</v>
          </cell>
          <cell r="G228">
            <v>1.1623502378665083E-2</v>
          </cell>
          <cell r="H228">
            <v>7.2559762196845777E-3</v>
          </cell>
          <cell r="I228">
            <v>7.6976974801748884E-3</v>
          </cell>
          <cell r="J228">
            <v>8.6241143127756981E-3</v>
          </cell>
        </row>
        <row r="229">
          <cell r="A229" t="str">
            <v>= Underlying Profitability</v>
          </cell>
          <cell r="B229">
            <v>2.0400558203540434E-2</v>
          </cell>
          <cell r="C229">
            <v>1.4182662325723206E-2</v>
          </cell>
          <cell r="D229">
            <v>1.8315475223885914E-2</v>
          </cell>
          <cell r="E229">
            <v>2.1323353780076552E-2</v>
          </cell>
          <cell r="F229">
            <v>1.7522307290677032E-2</v>
          </cell>
          <cell r="G229">
            <v>1.0833080829014886E-2</v>
          </cell>
          <cell r="H229">
            <v>1.2743022293302798E-2</v>
          </cell>
          <cell r="I229">
            <v>1.8305567748373434E-2</v>
          </cell>
          <cell r="J229">
            <v>1.7856858534529951E-2</v>
          </cell>
        </row>
        <row r="230">
          <cell r="A230" t="str">
            <v>- Provisions / Assets</v>
          </cell>
          <cell r="B230">
            <v>5.8218718131635067E-4</v>
          </cell>
          <cell r="C230">
            <v>1.4977307450978823E-3</v>
          </cell>
          <cell r="D230">
            <v>5.2334813432921017E-4</v>
          </cell>
          <cell r="E230">
            <v>2.8407229657313633E-3</v>
          </cell>
          <cell r="F230">
            <v>8.4059986271949321E-4</v>
          </cell>
          <cell r="G230">
            <v>1.3037275560670739E-3</v>
          </cell>
          <cell r="H230">
            <v>7.0727038906143245E-4</v>
          </cell>
          <cell r="I230">
            <v>1.5822402788650699E-3</v>
          </cell>
          <cell r="J230">
            <v>8.5703279962193104E-4</v>
          </cell>
        </row>
        <row r="231">
          <cell r="A231" t="str">
            <v>+ Associate Income / Assets</v>
          </cell>
          <cell r="B231">
            <v>2.5340819682133343E-3</v>
          </cell>
          <cell r="C231">
            <v>8.5248344161429387E-4</v>
          </cell>
          <cell r="D231">
            <v>1.0113397606782686E-3</v>
          </cell>
          <cell r="E231">
            <v>1.1352324599744337E-3</v>
          </cell>
          <cell r="F231">
            <v>-1.1594886664723057E-5</v>
          </cell>
          <cell r="G231">
            <v>9.019827825061633E-3</v>
          </cell>
          <cell r="H231">
            <v>1.4642621462543031E-4</v>
          </cell>
          <cell r="I231">
            <v>6.9506022646268286E-4</v>
          </cell>
          <cell r="J231">
            <v>1.6682731066549458E-3</v>
          </cell>
        </row>
        <row r="232">
          <cell r="A232" t="str">
            <v>= Pretax ROA</v>
          </cell>
          <cell r="B232">
            <v>2.2352452990437418E-2</v>
          </cell>
          <cell r="C232">
            <v>1.3537415022239617E-2</v>
          </cell>
          <cell r="D232">
            <v>1.8803466850234974E-2</v>
          </cell>
          <cell r="E232">
            <v>1.9617863274319622E-2</v>
          </cell>
          <cell r="F232">
            <v>1.6670112541292813E-2</v>
          </cell>
          <cell r="G232">
            <v>1.8549181098009446E-2</v>
          </cell>
          <cell r="H232">
            <v>1.2182178118866797E-2</v>
          </cell>
          <cell r="I232">
            <v>1.7418387695971045E-2</v>
          </cell>
          <cell r="J232">
            <v>1.8668098841562963E-2</v>
          </cell>
        </row>
        <row r="233">
          <cell r="A233" t="str">
            <v>x (1- Tax Rate)</v>
          </cell>
          <cell r="B233">
            <v>0.82499999999999996</v>
          </cell>
          <cell r="C233">
            <v>0.82499999999999996</v>
          </cell>
          <cell r="D233">
            <v>0.82499999999999996</v>
          </cell>
          <cell r="E233">
            <v>0.82499999999999996</v>
          </cell>
          <cell r="F233">
            <v>0.82499999999999996</v>
          </cell>
          <cell r="G233">
            <v>0.82499999999999996</v>
          </cell>
          <cell r="H233">
            <v>0.82499999999999996</v>
          </cell>
          <cell r="I233">
            <v>0.82499999999999996</v>
          </cell>
          <cell r="J233">
            <v>0.82499999999999996</v>
          </cell>
        </row>
        <row r="234">
          <cell r="A234" t="str">
            <v>= ROA</v>
          </cell>
          <cell r="B234">
            <v>1.8440773717110868E-2</v>
          </cell>
          <cell r="C234">
            <v>1.1168367393347683E-2</v>
          </cell>
          <cell r="D234">
            <v>1.5512860151443852E-2</v>
          </cell>
          <cell r="E234">
            <v>1.6184737201313686E-2</v>
          </cell>
          <cell r="F234">
            <v>1.375284284656657E-2</v>
          </cell>
          <cell r="G234">
            <v>1.5303074405857792E-2</v>
          </cell>
          <cell r="H234">
            <v>1.0050296948065108E-2</v>
          </cell>
          <cell r="I234">
            <v>1.4370169849176112E-2</v>
          </cell>
          <cell r="J234">
            <v>1.5401181544289443E-2</v>
          </cell>
        </row>
        <row r="235">
          <cell r="A235" t="str">
            <v>x Assets / Equity (x)</v>
          </cell>
          <cell r="B235">
            <v>16.414567966797176</v>
          </cell>
          <cell r="C235">
            <v>10.886693340475077</v>
          </cell>
          <cell r="D235">
            <v>10.324595633509624</v>
          </cell>
          <cell r="E235">
            <v>9.8618822541859981</v>
          </cell>
          <cell r="F235">
            <v>12.84555029446714</v>
          </cell>
          <cell r="G235">
            <v>5.2031624731240731</v>
          </cell>
          <cell r="H235">
            <v>12.393241478414524</v>
          </cell>
          <cell r="I235">
            <v>7.4224856163227271</v>
          </cell>
          <cell r="J235">
            <v>11.137352679938736</v>
          </cell>
        </row>
        <row r="236">
          <cell r="A236" t="str">
            <v>= ROE</v>
          </cell>
          <cell r="B236">
            <v>0.30269733353984335</v>
          </cell>
          <cell r="C236">
            <v>0.12158659092513721</v>
          </cell>
          <cell r="D236">
            <v>0.16016400818284263</v>
          </cell>
          <cell r="E236">
            <v>0.15961197259429938</v>
          </cell>
          <cell r="F236">
            <v>0.1766628344774735</v>
          </cell>
          <cell r="G236">
            <v>7.9624382471984737E-2</v>
          </cell>
          <cell r="H236">
            <v>0.12455575700714339</v>
          </cell>
          <cell r="I236">
            <v>0.10666237900962422</v>
          </cell>
          <cell r="J236">
            <v>0.17152839054651503</v>
          </cell>
        </row>
        <row r="239">
          <cell r="A239" t="str">
            <v>Net Interest Income</v>
          </cell>
          <cell r="B239">
            <v>14717.09295603578</v>
          </cell>
          <cell r="C239">
            <v>5588.1009609440262</v>
          </cell>
          <cell r="D239">
            <v>17324.125265863375</v>
          </cell>
          <cell r="E239">
            <v>2422.9532832370269</v>
          </cell>
          <cell r="F239">
            <v>2413.6367978801582</v>
          </cell>
          <cell r="G239">
            <v>1280.6069923432037</v>
          </cell>
          <cell r="H239">
            <v>1907.2610190966643</v>
          </cell>
          <cell r="I239">
            <v>1550.38199537331</v>
          </cell>
          <cell r="J239">
            <v>47204.15927077354</v>
          </cell>
        </row>
        <row r="240">
          <cell r="A240" t="str">
            <v>Non Interest Income</v>
          </cell>
          <cell r="B240">
            <v>5381.43</v>
          </cell>
          <cell r="C240">
            <v>2771.5</v>
          </cell>
          <cell r="D240">
            <v>6538.2474520335882</v>
          </cell>
          <cell r="E240">
            <v>1230.0095199999998</v>
          </cell>
          <cell r="F240">
            <v>1005.7820627122876</v>
          </cell>
          <cell r="G240">
            <v>1181.6973024999998</v>
          </cell>
          <cell r="H240">
            <v>824.35347550000006</v>
          </cell>
          <cell r="I240">
            <v>694.30969365209387</v>
          </cell>
          <cell r="J240">
            <v>19627.329506397971</v>
          </cell>
        </row>
        <row r="241">
          <cell r="A241" t="str">
            <v>Opearting Income</v>
          </cell>
          <cell r="B241">
            <v>20098.52295603578</v>
          </cell>
          <cell r="C241">
            <v>8359.6009609440262</v>
          </cell>
          <cell r="D241">
            <v>23862.372717896964</v>
          </cell>
          <cell r="E241">
            <v>3652.9628032370265</v>
          </cell>
          <cell r="F241">
            <v>3419.4188605924455</v>
          </cell>
          <cell r="G241">
            <v>2462.3042948432035</v>
          </cell>
          <cell r="H241">
            <v>2731.6144945966644</v>
          </cell>
          <cell r="I241">
            <v>2244.6916890254038</v>
          </cell>
          <cell r="J241">
            <v>66831.488777171515</v>
          </cell>
        </row>
        <row r="242">
          <cell r="A242" t="str">
            <v>Operating Expense</v>
          </cell>
          <cell r="B242">
            <v>5441.8320000000012</v>
          </cell>
          <cell r="C242">
            <v>3910.9</v>
          </cell>
          <cell r="D242">
            <v>6987.2264999999998</v>
          </cell>
          <cell r="E242">
            <v>1342.5355415000001</v>
          </cell>
          <cell r="F242">
            <v>1152.6040398851558</v>
          </cell>
          <cell r="G242">
            <v>1274.4859520000002</v>
          </cell>
          <cell r="H242">
            <v>991.0761182</v>
          </cell>
          <cell r="I242">
            <v>664.49184002516108</v>
          </cell>
          <cell r="J242">
            <v>21765.151991610317</v>
          </cell>
        </row>
        <row r="243">
          <cell r="A243" t="str">
            <v>Pre-Provision Profit</v>
          </cell>
          <cell r="B243">
            <v>14656.690956035778</v>
          </cell>
          <cell r="C243">
            <v>4448.7009609440265</v>
          </cell>
          <cell r="D243">
            <v>16875.146217896963</v>
          </cell>
          <cell r="E243">
            <v>2310.4272617370261</v>
          </cell>
          <cell r="F243">
            <v>2266.81482070729</v>
          </cell>
          <cell r="G243">
            <v>1187.8183428432033</v>
          </cell>
          <cell r="H243">
            <v>1740.5383763966643</v>
          </cell>
          <cell r="I243">
            <v>1580.1998490002427</v>
          </cell>
          <cell r="J243">
            <v>45066.336785561201</v>
          </cell>
        </row>
        <row r="244">
          <cell r="A244" t="str">
            <v>Provision Expense</v>
          </cell>
          <cell r="B244">
            <v>418.26980957993896</v>
          </cell>
          <cell r="C244">
            <v>469.7958713201333</v>
          </cell>
          <cell r="D244">
            <v>482.19203606311044</v>
          </cell>
          <cell r="E244">
            <v>307.79791259668514</v>
          </cell>
          <cell r="F244">
            <v>108.74619395077599</v>
          </cell>
          <cell r="G244">
            <v>142.95024006642006</v>
          </cell>
          <cell r="H244">
            <v>96.604339717541052</v>
          </cell>
          <cell r="I244">
            <v>136.58444709898981</v>
          </cell>
          <cell r="J244">
            <v>2162.9408503935947</v>
          </cell>
        </row>
        <row r="245">
          <cell r="A245" t="str">
            <v>Associates</v>
          </cell>
          <cell r="B245">
            <v>1820.6000000000004</v>
          </cell>
          <cell r="C245">
            <v>267.39999999999964</v>
          </cell>
          <cell r="D245">
            <v>931.8080000000009</v>
          </cell>
          <cell r="E245">
            <v>123.00466666666648</v>
          </cell>
          <cell r="F245">
            <v>-1.5</v>
          </cell>
          <cell r="G245">
            <v>989</v>
          </cell>
          <cell r="H245">
            <v>20</v>
          </cell>
          <cell r="I245">
            <v>60</v>
          </cell>
          <cell r="J245">
            <v>4210.3126666666676</v>
          </cell>
        </row>
        <row r="246">
          <cell r="A246" t="str">
            <v>Profit before tax</v>
          </cell>
          <cell r="B246">
            <v>16059.02114645584</v>
          </cell>
          <cell r="C246">
            <v>4246.3050896238929</v>
          </cell>
          <cell r="D246">
            <v>17324.762181833852</v>
          </cell>
          <cell r="E246">
            <v>2125.6340158070075</v>
          </cell>
          <cell r="F246">
            <v>2156.5686267565138</v>
          </cell>
          <cell r="G246">
            <v>2033.8681027767832</v>
          </cell>
          <cell r="H246">
            <v>1663.9340366791232</v>
          </cell>
          <cell r="I246">
            <v>1503.6154019012529</v>
          </cell>
          <cell r="J246">
            <v>47113.70860183426</v>
          </cell>
        </row>
        <row r="248">
          <cell r="A248" t="str">
            <v>Assets</v>
          </cell>
          <cell r="B248">
            <v>718445.58417485701</v>
          </cell>
          <cell r="C248">
            <v>313671.78169893974</v>
          </cell>
          <cell r="D248">
            <v>921359.99812275881</v>
          </cell>
          <cell r="E248">
            <v>108351.96402808694</v>
          </cell>
          <cell r="F248">
            <v>129367.37058100665</v>
          </cell>
          <cell r="G248">
            <v>109647.32577844324</v>
          </cell>
          <cell r="H248">
            <v>136587.564263418</v>
          </cell>
          <cell r="I248">
            <v>86323.454739099994</v>
          </cell>
          <cell r="J248">
            <v>2523755.0433866102</v>
          </cell>
        </row>
        <row r="249">
          <cell r="A249" t="str">
            <v>Equities</v>
          </cell>
          <cell r="B249">
            <v>43768.778174856874</v>
          </cell>
          <cell r="C249">
            <v>28812.401698939713</v>
          </cell>
          <cell r="D249">
            <v>89239.330122758751</v>
          </cell>
          <cell r="E249">
            <v>10986.945619036935</v>
          </cell>
          <cell r="F249">
            <v>10070.98704340662</v>
          </cell>
          <cell r="G249">
            <v>21073.208139243245</v>
          </cell>
          <cell r="H249">
            <v>11021.133131417992</v>
          </cell>
          <cell r="I249">
            <v>11629.992862400002</v>
          </cell>
          <cell r="J249">
            <v>226602.77679206012</v>
          </cell>
        </row>
      </sheetData>
      <sheetData sheetId="11" refreshError="1">
        <row r="2">
          <cell r="B2" t="str">
            <v>Div Yld 07E</v>
          </cell>
        </row>
        <row r="3">
          <cell r="A3" t="str">
            <v>HSBC</v>
          </cell>
          <cell r="B3">
            <v>4.9511519212796555</v>
          </cell>
        </row>
        <row r="4">
          <cell r="A4" t="str">
            <v>HSB</v>
          </cell>
          <cell r="B4">
            <v>5.1676659056342151</v>
          </cell>
        </row>
        <row r="5">
          <cell r="A5" t="str">
            <v>BOCHK</v>
          </cell>
          <cell r="B5">
            <v>4.7282890948036762</v>
          </cell>
        </row>
        <row r="6">
          <cell r="A6" t="str">
            <v>WLB</v>
          </cell>
          <cell r="B6">
            <v>4.1165296849708266</v>
          </cell>
        </row>
        <row r="7">
          <cell r="A7" t="str">
            <v>DSF</v>
          </cell>
          <cell r="B7">
            <v>4.0589243098659615</v>
          </cell>
        </row>
        <row r="8">
          <cell r="A8" t="str">
            <v>ICBCA</v>
          </cell>
          <cell r="B8">
            <v>3.5910147410300004</v>
          </cell>
        </row>
        <row r="9">
          <cell r="A9" t="str">
            <v>BEA</v>
          </cell>
          <cell r="B9">
            <v>2.8752297307071619</v>
          </cell>
        </row>
        <row r="10">
          <cell r="A10" t="str">
            <v>WHB</v>
          </cell>
          <cell r="B10">
            <v>3.163994136256556</v>
          </cell>
        </row>
        <row r="11">
          <cell r="A11" t="str">
            <v>CIFH</v>
          </cell>
          <cell r="B11">
            <v>2.5145768130027668</v>
          </cell>
        </row>
        <row r="12">
          <cell r="A12" t="str">
            <v>STAN</v>
          </cell>
          <cell r="B12">
            <v>2.6086884368413541</v>
          </cell>
        </row>
        <row r="15">
          <cell r="A15" t="str">
            <v>ave</v>
          </cell>
          <cell r="B15">
            <v>3.7776064774392184</v>
          </cell>
        </row>
      </sheetData>
      <sheetData sheetId="12" refreshError="1">
        <row r="3">
          <cell r="D3" t="str">
            <v>2006E</v>
          </cell>
          <cell r="G3" t="str">
            <v>2007E</v>
          </cell>
        </row>
        <row r="4">
          <cell r="C4" t="str">
            <v>(HK$)</v>
          </cell>
          <cell r="D4" t="str">
            <v>Old</v>
          </cell>
          <cell r="E4" t="str">
            <v xml:space="preserve">New </v>
          </cell>
          <cell r="F4" t="str">
            <v>Chg</v>
          </cell>
          <cell r="G4" t="str">
            <v>Old</v>
          </cell>
          <cell r="H4" t="str">
            <v xml:space="preserve">New </v>
          </cell>
          <cell r="I4" t="str">
            <v>Chg</v>
          </cell>
          <cell r="K4" t="str">
            <v>Old</v>
          </cell>
          <cell r="L4" t="str">
            <v>Old</v>
          </cell>
          <cell r="M4" t="str">
            <v>Old</v>
          </cell>
        </row>
        <row r="5">
          <cell r="C5" t="str">
            <v>(HK$)</v>
          </cell>
          <cell r="D5">
            <v>2006</v>
          </cell>
          <cell r="E5">
            <v>2006</v>
          </cell>
          <cell r="F5" t="str">
            <v>06E Chg</v>
          </cell>
          <cell r="G5">
            <v>2007</v>
          </cell>
          <cell r="H5">
            <v>2007</v>
          </cell>
          <cell r="I5" t="str">
            <v>07E Chg</v>
          </cell>
          <cell r="K5">
            <v>2008</v>
          </cell>
          <cell r="L5">
            <v>2009</v>
          </cell>
          <cell r="M5">
            <v>2010</v>
          </cell>
        </row>
        <row r="6">
          <cell r="B6" t="str">
            <v>2388.HK</v>
          </cell>
          <cell r="C6" t="str">
            <v>BOCHK</v>
          </cell>
          <cell r="D6">
            <v>1.2656509370586024</v>
          </cell>
          <cell r="E6">
            <v>1.2656509370586038</v>
          </cell>
          <cell r="F6">
            <v>0</v>
          </cell>
          <cell r="G6">
            <v>1.3644491387862059</v>
          </cell>
          <cell r="H6">
            <v>1.3644491387862037</v>
          </cell>
          <cell r="I6">
            <v>-1.6653345369377348E-15</v>
          </cell>
          <cell r="K6">
            <v>1.4741954763308309</v>
          </cell>
          <cell r="L6" t="str">
            <v>NA</v>
          </cell>
          <cell r="M6" t="str">
            <v>NA</v>
          </cell>
        </row>
        <row r="7">
          <cell r="B7" t="str">
            <v>0302.HK</v>
          </cell>
          <cell r="C7" t="str">
            <v>WHB</v>
          </cell>
          <cell r="D7">
            <v>5.7027417665255093</v>
          </cell>
          <cell r="E7">
            <v>5.7027417665255067</v>
          </cell>
          <cell r="F7">
            <v>0</v>
          </cell>
          <cell r="G7">
            <v>6.1031069760353533</v>
          </cell>
          <cell r="H7">
            <v>6.1031069760353489</v>
          </cell>
          <cell r="I7">
            <v>0</v>
          </cell>
          <cell r="K7">
            <v>6.409465371061108</v>
          </cell>
          <cell r="L7" t="str">
            <v>NA</v>
          </cell>
          <cell r="M7" t="str">
            <v>NA</v>
          </cell>
        </row>
        <row r="8">
          <cell r="B8" t="str">
            <v>0349.HK</v>
          </cell>
          <cell r="C8" t="str">
            <v>ICBCA</v>
          </cell>
          <cell r="D8">
            <v>1.0255044447172956</v>
          </cell>
          <cell r="E8">
            <v>1.0255044447172967</v>
          </cell>
          <cell r="F8">
            <v>0</v>
          </cell>
          <cell r="G8">
            <v>1.1862979287954818</v>
          </cell>
          <cell r="H8">
            <v>1.1862979287954865</v>
          </cell>
          <cell r="I8">
            <v>3.9968028886505635E-15</v>
          </cell>
          <cell r="K8">
            <v>1.3098677441408779</v>
          </cell>
          <cell r="L8" t="str">
            <v>NA</v>
          </cell>
          <cell r="M8" t="str">
            <v>NA</v>
          </cell>
        </row>
        <row r="9">
          <cell r="B9" t="str">
            <v>0096.HK</v>
          </cell>
          <cell r="C9" t="str">
            <v>WLB</v>
          </cell>
          <cell r="D9">
            <v>4.9823581563729702</v>
          </cell>
          <cell r="E9">
            <v>4.982358156372988</v>
          </cell>
          <cell r="F9">
            <v>3.5527136788005009E-15</v>
          </cell>
          <cell r="G9">
            <v>5.4720441026647952</v>
          </cell>
          <cell r="H9">
            <v>5.4720441026647926</v>
          </cell>
          <cell r="I9">
            <v>0</v>
          </cell>
          <cell r="K9">
            <v>6.0418439982767351</v>
          </cell>
          <cell r="L9" t="str">
            <v>NA</v>
          </cell>
          <cell r="M9" t="str">
            <v>NA</v>
          </cell>
        </row>
        <row r="10">
          <cell r="B10" t="str">
            <v>0011.HK</v>
          </cell>
          <cell r="C10" t="str">
            <v>HSB</v>
          </cell>
          <cell r="D10">
            <v>6.3123272732122633</v>
          </cell>
          <cell r="E10">
            <v>6.3123272732122411</v>
          </cell>
          <cell r="F10">
            <v>-3.5527136788005009E-15</v>
          </cell>
          <cell r="G10">
            <v>7.0354969558634606</v>
          </cell>
          <cell r="H10">
            <v>7.0354969558634499</v>
          </cell>
          <cell r="I10">
            <v>-1.5543122344752192E-15</v>
          </cell>
          <cell r="K10">
            <v>7.4765494394836045</v>
          </cell>
          <cell r="L10" t="str">
            <v>NA</v>
          </cell>
          <cell r="M10" t="str">
            <v>NA</v>
          </cell>
        </row>
        <row r="11">
          <cell r="B11" t="str">
            <v>0023.HK</v>
          </cell>
          <cell r="C11" t="str">
            <v>BEA</v>
          </cell>
          <cell r="D11">
            <v>2.2174193548387096</v>
          </cell>
          <cell r="E11">
            <v>2.2174193548387096</v>
          </cell>
          <cell r="F11">
            <v>0</v>
          </cell>
          <cell r="G11">
            <v>2.1792415816073962</v>
          </cell>
          <cell r="H11">
            <v>2.1792415816074127</v>
          </cell>
          <cell r="I11">
            <v>7.5495165674510645E-15</v>
          </cell>
          <cell r="K11">
            <v>2.2996359094789343</v>
          </cell>
          <cell r="L11">
            <v>2.4683494844602225</v>
          </cell>
          <cell r="M11" t="str">
            <v>NA</v>
          </cell>
        </row>
        <row r="12">
          <cell r="B12" t="str">
            <v>0440.HK</v>
          </cell>
          <cell r="C12" t="str">
            <v>DSF</v>
          </cell>
          <cell r="D12">
            <v>4.7893241709301702</v>
          </cell>
          <cell r="E12">
            <v>4.789324170930179</v>
          </cell>
          <cell r="F12">
            <v>1.7763568394002505E-15</v>
          </cell>
          <cell r="G12">
            <v>5.7421840971927454</v>
          </cell>
          <cell r="H12">
            <v>5.7421840971927276</v>
          </cell>
          <cell r="I12">
            <v>-3.1086244689504383E-15</v>
          </cell>
          <cell r="K12">
            <v>6.7278473402532271</v>
          </cell>
          <cell r="L12" t="str">
            <v>NA</v>
          </cell>
          <cell r="M12" t="str">
            <v>NA</v>
          </cell>
        </row>
        <row r="13">
          <cell r="B13" t="str">
            <v>0183.HK</v>
          </cell>
          <cell r="C13" t="str">
            <v>CIFH</v>
          </cell>
          <cell r="D13">
            <v>0.31051460104640755</v>
          </cell>
          <cell r="E13">
            <v>0.31051460104640799</v>
          </cell>
          <cell r="F13">
            <v>0</v>
          </cell>
          <cell r="G13">
            <v>0.30860715432306624</v>
          </cell>
          <cell r="H13">
            <v>0.30860715432306679</v>
          </cell>
          <cell r="I13">
            <v>1.7763568394002505E-15</v>
          </cell>
          <cell r="K13">
            <v>0.34747898547045764</v>
          </cell>
          <cell r="L13" t="str">
            <v>NA</v>
          </cell>
          <cell r="M13" t="str">
            <v>NA</v>
          </cell>
        </row>
        <row r="17">
          <cell r="B17" t="str">
            <v>(HK$)</v>
          </cell>
          <cell r="C17">
            <v>2005</v>
          </cell>
          <cell r="D17" t="str">
            <v>2006E</v>
          </cell>
          <cell r="E17" t="str">
            <v>2007E</v>
          </cell>
          <cell r="F17" t="str">
            <v>06E Chg</v>
          </cell>
          <cell r="G17" t="str">
            <v>07E Chg</v>
          </cell>
          <cell r="H17" t="str">
            <v>05-07 CAGR</v>
          </cell>
        </row>
        <row r="19">
          <cell r="B19" t="str">
            <v>WHB</v>
          </cell>
          <cell r="C19">
            <v>4.5880454316467079</v>
          </cell>
          <cell r="D19">
            <v>5.7027417665255067</v>
          </cell>
          <cell r="E19">
            <v>6.1031069760353489</v>
          </cell>
          <cell r="F19">
            <v>0.24295669070537529</v>
          </cell>
          <cell r="G19">
            <v>7.0205740659684768E-2</v>
          </cell>
          <cell r="H19">
            <v>0.15335137134537491</v>
          </cell>
        </row>
        <row r="20">
          <cell r="B20" t="str">
            <v>BOCHK</v>
          </cell>
          <cell r="C20">
            <v>1.2762938861985471</v>
          </cell>
          <cell r="D20">
            <v>1.2656509370586038</v>
          </cell>
          <cell r="E20">
            <v>1.3644491387862037</v>
          </cell>
          <cell r="F20">
            <v>-8.338948619148745E-3</v>
          </cell>
          <cell r="G20">
            <v>7.8061176928615694E-2</v>
          </cell>
          <cell r="H20">
            <v>3.3959032150649993E-2</v>
          </cell>
        </row>
        <row r="21">
          <cell r="B21" t="str">
            <v>WLB</v>
          </cell>
          <cell r="C21">
            <v>4.7758001845039111</v>
          </cell>
          <cell r="D21">
            <v>4.982358156372988</v>
          </cell>
          <cell r="E21">
            <v>5.4720441026647926</v>
          </cell>
          <cell r="F21">
            <v>4.325096609763901E-2</v>
          </cell>
          <cell r="G21">
            <v>9.8283971349077293E-2</v>
          </cell>
          <cell r="H21">
            <v>7.0413851815958495E-2</v>
          </cell>
        </row>
        <row r="22">
          <cell r="B22" t="str">
            <v>DSF</v>
          </cell>
          <cell r="C22">
            <v>4.0921907761023766</v>
          </cell>
          <cell r="D22">
            <v>4.789324170930179</v>
          </cell>
          <cell r="E22">
            <v>5.7421840971927276</v>
          </cell>
          <cell r="F22">
            <v>0.17035701240981482</v>
          </cell>
          <cell r="G22">
            <v>0.19895498660252198</v>
          </cell>
          <cell r="H22">
            <v>0.18456970083401059</v>
          </cell>
        </row>
        <row r="23">
          <cell r="B23" t="str">
            <v>HSB</v>
          </cell>
          <cell r="C23">
            <v>5.9326289360811799</v>
          </cell>
          <cell r="D23">
            <v>6.3123272732122411</v>
          </cell>
          <cell r="E23">
            <v>7.0354969558634499</v>
          </cell>
          <cell r="F23">
            <v>6.4001699958310843E-2</v>
          </cell>
          <cell r="G23">
            <v>0.11456466867935378</v>
          </cell>
          <cell r="H23">
            <v>8.8989762205459844E-2</v>
          </cell>
        </row>
        <row r="24">
          <cell r="B24" t="str">
            <v>ICBCA</v>
          </cell>
          <cell r="C24">
            <v>0.91095506740029275</v>
          </cell>
          <cell r="D24">
            <v>1.0255044447172967</v>
          </cell>
          <cell r="E24">
            <v>1.1862979287954865</v>
          </cell>
          <cell r="F24">
            <v>0.12574646260425104</v>
          </cell>
          <cell r="G24">
            <v>0.15679452673900007</v>
          </cell>
          <cell r="H24">
            <v>0.14116490764323286</v>
          </cell>
        </row>
        <row r="25">
          <cell r="B25" t="str">
            <v>BEA</v>
          </cell>
          <cell r="C25">
            <v>1.8192052980132449</v>
          </cell>
          <cell r="D25">
            <v>2.2174193548387096</v>
          </cell>
          <cell r="E25">
            <v>2.1792415816074127</v>
          </cell>
          <cell r="F25">
            <v>0.2188945124886974</v>
          </cell>
          <cell r="G25">
            <v>-1.7217209342016315E-2</v>
          </cell>
          <cell r="H25">
            <v>9.4490086981761756E-2</v>
          </cell>
        </row>
        <row r="26">
          <cell r="B26" t="str">
            <v>*CIFH</v>
          </cell>
          <cell r="C26">
            <v>0.27</v>
          </cell>
          <cell r="D26">
            <v>0.31051460104640799</v>
          </cell>
          <cell r="E26">
            <v>0.30860715432306679</v>
          </cell>
          <cell r="F26">
            <v>0.15005407794965908</v>
          </cell>
          <cell r="G26">
            <v>-6.142856783266426E-3</v>
          </cell>
          <cell r="H26">
            <v>6.9106851748599984E-2</v>
          </cell>
        </row>
        <row r="27">
          <cell r="B27" t="str">
            <v>* For CIFH, 2005 EPS excluding HK$253mn disposal gain</v>
          </cell>
        </row>
        <row r="38">
          <cell r="K38" t="str">
            <v>07E Chg</v>
          </cell>
        </row>
        <row r="39">
          <cell r="J39" t="str">
            <v>DSF</v>
          </cell>
          <cell r="K39">
            <v>0.19895498660252198</v>
          </cell>
        </row>
        <row r="40">
          <cell r="J40" t="str">
            <v>ICBCA</v>
          </cell>
          <cell r="K40">
            <v>0.15679452673900007</v>
          </cell>
        </row>
        <row r="41">
          <cell r="J41" t="str">
            <v>HSB</v>
          </cell>
          <cell r="K41">
            <v>0.11456466867935378</v>
          </cell>
        </row>
        <row r="42">
          <cell r="J42" t="str">
            <v>WLB</v>
          </cell>
          <cell r="K42">
            <v>9.8283971349077293E-2</v>
          </cell>
        </row>
        <row r="43">
          <cell r="J43" t="str">
            <v>BOCHK</v>
          </cell>
          <cell r="K43">
            <v>7.8061176928615694E-2</v>
          </cell>
        </row>
        <row r="44">
          <cell r="J44" t="str">
            <v>WHB</v>
          </cell>
          <cell r="K44">
            <v>7.0205740659684768E-2</v>
          </cell>
        </row>
        <row r="45">
          <cell r="J45" t="str">
            <v>CIFH</v>
          </cell>
          <cell r="K45">
            <v>-6.142856783266426E-3</v>
          </cell>
        </row>
        <row r="46">
          <cell r="J46" t="str">
            <v>BEA</v>
          </cell>
          <cell r="K46">
            <v>-1.7217209342016315E-2</v>
          </cell>
        </row>
      </sheetData>
      <sheetData sheetId="13" refreshError="1">
        <row r="1">
          <cell r="B1">
            <v>1994</v>
          </cell>
          <cell r="C1">
            <v>1995</v>
          </cell>
          <cell r="D1">
            <v>1996</v>
          </cell>
          <cell r="E1">
            <v>1997</v>
          </cell>
          <cell r="F1">
            <v>1998</v>
          </cell>
          <cell r="G1">
            <v>1999</v>
          </cell>
          <cell r="H1">
            <v>2000</v>
          </cell>
          <cell r="I1">
            <v>2001</v>
          </cell>
          <cell r="J1">
            <v>2002</v>
          </cell>
          <cell r="K1">
            <v>2003</v>
          </cell>
          <cell r="L1">
            <v>2004</v>
          </cell>
          <cell r="M1">
            <v>2005</v>
          </cell>
          <cell r="N1">
            <v>2006</v>
          </cell>
        </row>
        <row r="2">
          <cell r="A2" t="str">
            <v>Total Assets</v>
          </cell>
        </row>
        <row r="3">
          <cell r="A3" t="str">
            <v>(HK$mn)</v>
          </cell>
        </row>
        <row r="4">
          <cell r="A4" t="str">
            <v>HSB</v>
          </cell>
          <cell r="B4">
            <v>304172</v>
          </cell>
          <cell r="C4">
            <v>345167</v>
          </cell>
          <cell r="D4">
            <v>394342</v>
          </cell>
          <cell r="E4">
            <v>399135</v>
          </cell>
          <cell r="F4">
            <v>431258</v>
          </cell>
          <cell r="G4">
            <v>431258</v>
          </cell>
          <cell r="H4">
            <v>500784</v>
          </cell>
          <cell r="I4">
            <v>474787</v>
          </cell>
          <cell r="J4">
            <v>474654</v>
          </cell>
          <cell r="K4">
            <v>502959</v>
          </cell>
          <cell r="L4">
            <v>546988</v>
          </cell>
          <cell r="M4">
            <v>580820</v>
          </cell>
          <cell r="N4">
            <v>662345.58325650729</v>
          </cell>
        </row>
        <row r="5">
          <cell r="A5" t="str">
            <v>BEA</v>
          </cell>
          <cell r="B5">
            <v>79665</v>
          </cell>
          <cell r="C5">
            <v>93048</v>
          </cell>
          <cell r="D5">
            <v>113052</v>
          </cell>
          <cell r="E5">
            <v>131640</v>
          </cell>
          <cell r="F5">
            <v>135728</v>
          </cell>
          <cell r="G5">
            <v>145467</v>
          </cell>
          <cell r="H5">
            <v>178796</v>
          </cell>
          <cell r="I5">
            <v>181765</v>
          </cell>
          <cell r="J5">
            <v>185243</v>
          </cell>
          <cell r="K5">
            <v>198476</v>
          </cell>
          <cell r="L5">
            <v>210369</v>
          </cell>
          <cell r="M5">
            <v>238799</v>
          </cell>
          <cell r="N5">
            <v>294202</v>
          </cell>
        </row>
        <row r="6">
          <cell r="A6" t="str">
            <v>BOCHK</v>
          </cell>
          <cell r="G6">
            <v>745064</v>
          </cell>
          <cell r="H6">
            <v>817000</v>
          </cell>
          <cell r="I6">
            <v>740630</v>
          </cell>
          <cell r="J6">
            <v>706379</v>
          </cell>
          <cell r="K6">
            <v>731127</v>
          </cell>
          <cell r="L6">
            <v>762016</v>
          </cell>
          <cell r="M6">
            <v>789475</v>
          </cell>
          <cell r="N6">
            <v>843108.19422733318</v>
          </cell>
        </row>
        <row r="7">
          <cell r="A7" t="str">
            <v>DSF</v>
          </cell>
          <cell r="B7">
            <v>28765.994999999999</v>
          </cell>
          <cell r="C7">
            <v>33022.300999999999</v>
          </cell>
          <cell r="D7">
            <v>38461.492999999995</v>
          </cell>
          <cell r="E7">
            <v>42018.402000000002</v>
          </cell>
          <cell r="F7">
            <v>40037</v>
          </cell>
          <cell r="G7">
            <v>43598</v>
          </cell>
          <cell r="H7">
            <v>48878</v>
          </cell>
          <cell r="I7">
            <v>54429</v>
          </cell>
          <cell r="J7">
            <v>60129</v>
          </cell>
          <cell r="K7">
            <v>63755</v>
          </cell>
          <cell r="L7">
            <v>74973.002999999997</v>
          </cell>
          <cell r="M7">
            <v>93495.876999999993</v>
          </cell>
          <cell r="N7">
            <v>99991.299450220278</v>
          </cell>
        </row>
        <row r="8">
          <cell r="A8" t="str">
            <v>WHB</v>
          </cell>
          <cell r="B8">
            <v>24858.429</v>
          </cell>
          <cell r="C8">
            <v>29567.965</v>
          </cell>
          <cell r="D8">
            <v>38419.58</v>
          </cell>
          <cell r="E8">
            <v>47394.996000000006</v>
          </cell>
          <cell r="F8">
            <v>48444.642</v>
          </cell>
          <cell r="G8">
            <v>50441</v>
          </cell>
          <cell r="H8">
            <v>54529.667999999998</v>
          </cell>
          <cell r="I8">
            <v>55061</v>
          </cell>
          <cell r="J8">
            <v>57119.790999999997</v>
          </cell>
          <cell r="K8">
            <v>88663.864999999991</v>
          </cell>
          <cell r="L8">
            <v>95447.864000000001</v>
          </cell>
          <cell r="M8">
            <v>104322.61600000001</v>
          </cell>
          <cell r="N8">
            <v>119866.36939533777</v>
          </cell>
        </row>
        <row r="9">
          <cell r="A9" t="str">
            <v>CIFH</v>
          </cell>
          <cell r="C9">
            <v>25720.716</v>
          </cell>
          <cell r="D9">
            <v>27123.88</v>
          </cell>
          <cell r="E9">
            <v>39708.242999999995</v>
          </cell>
          <cell r="F9">
            <v>45885.977999999996</v>
          </cell>
          <cell r="G9">
            <v>48783.089</v>
          </cell>
          <cell r="H9">
            <v>56657.828999999998</v>
          </cell>
          <cell r="I9">
            <v>59427.301000000007</v>
          </cell>
          <cell r="J9">
            <v>76194.292999999991</v>
          </cell>
          <cell r="K9">
            <v>79917.456999999995</v>
          </cell>
          <cell r="L9">
            <v>83577.357000000018</v>
          </cell>
          <cell r="M9">
            <v>85036.677999999985</v>
          </cell>
          <cell r="N9">
            <v>99420.784305973619</v>
          </cell>
        </row>
        <row r="10">
          <cell r="A10" t="str">
            <v>ICBCA</v>
          </cell>
          <cell r="E10">
            <v>21435.917999999998</v>
          </cell>
          <cell r="F10">
            <v>21464.943000000003</v>
          </cell>
          <cell r="G10">
            <v>19158.246999999999</v>
          </cell>
          <cell r="H10">
            <v>20656.986999999997</v>
          </cell>
          <cell r="I10">
            <v>43497.175999999992</v>
          </cell>
          <cell r="J10">
            <v>62261.487000000001</v>
          </cell>
          <cell r="K10">
            <v>75318.62</v>
          </cell>
          <cell r="L10">
            <v>99343.65</v>
          </cell>
          <cell r="M10">
            <v>115399.323</v>
          </cell>
          <cell r="N10">
            <v>127643.17713968067</v>
          </cell>
        </row>
        <row r="11">
          <cell r="A11" t="str">
            <v>WLB</v>
          </cell>
          <cell r="B11">
            <v>32680.175999999999</v>
          </cell>
          <cell r="C11">
            <v>39642.209000000003</v>
          </cell>
          <cell r="D11">
            <v>46869.666999999994</v>
          </cell>
          <cell r="E11">
            <v>49399.531000000003</v>
          </cell>
          <cell r="F11">
            <v>52072</v>
          </cell>
          <cell r="G11">
            <v>59735.841999999997</v>
          </cell>
          <cell r="H11">
            <v>65481.883000000002</v>
          </cell>
          <cell r="I11">
            <v>67404.065000000002</v>
          </cell>
          <cell r="J11">
            <v>61731.034000000007</v>
          </cell>
          <cell r="K11">
            <v>67781.097000000009</v>
          </cell>
          <cell r="L11">
            <v>71046.513000000006</v>
          </cell>
          <cell r="M11">
            <v>74721.737999999998</v>
          </cell>
          <cell r="N11">
            <v>80451.588269999993</v>
          </cell>
        </row>
        <row r="14">
          <cell r="A14" t="str">
            <v>Total Equity</v>
          </cell>
        </row>
        <row r="15">
          <cell r="A15" t="str">
            <v>(HK$mn)</v>
          </cell>
          <cell r="B15">
            <v>1994</v>
          </cell>
          <cell r="C15">
            <v>1995</v>
          </cell>
          <cell r="D15">
            <v>1996</v>
          </cell>
          <cell r="E15">
            <v>1997</v>
          </cell>
          <cell r="F15">
            <v>1998</v>
          </cell>
          <cell r="G15">
            <v>1999</v>
          </cell>
          <cell r="H15">
            <v>2000</v>
          </cell>
          <cell r="I15">
            <v>2001</v>
          </cell>
          <cell r="J15">
            <v>2002</v>
          </cell>
          <cell r="K15">
            <v>2003</v>
          </cell>
          <cell r="L15">
            <v>2004</v>
          </cell>
          <cell r="M15">
            <v>2005</v>
          </cell>
          <cell r="N15">
            <v>2006</v>
          </cell>
        </row>
        <row r="16">
          <cell r="A16" t="str">
            <v>HSB</v>
          </cell>
          <cell r="B16">
            <v>38974</v>
          </cell>
          <cell r="C16">
            <v>47102</v>
          </cell>
          <cell r="D16">
            <v>53768</v>
          </cell>
          <cell r="E16">
            <v>52232</v>
          </cell>
          <cell r="F16">
            <v>45526</v>
          </cell>
          <cell r="G16">
            <v>39574</v>
          </cell>
          <cell r="H16">
            <v>45937</v>
          </cell>
          <cell r="I16">
            <v>45071</v>
          </cell>
          <cell r="J16">
            <v>43564</v>
          </cell>
          <cell r="K16">
            <v>39641</v>
          </cell>
          <cell r="L16">
            <v>37296</v>
          </cell>
          <cell r="M16">
            <v>38938</v>
          </cell>
          <cell r="N16">
            <v>40941.133256507164</v>
          </cell>
        </row>
        <row r="17">
          <cell r="A17" t="str">
            <v>BEA</v>
          </cell>
          <cell r="B17">
            <v>9098.9</v>
          </cell>
          <cell r="C17">
            <v>10138.5</v>
          </cell>
          <cell r="D17">
            <v>11687</v>
          </cell>
          <cell r="E17">
            <v>13268.47</v>
          </cell>
          <cell r="F17">
            <v>14120</v>
          </cell>
          <cell r="G17">
            <v>15030</v>
          </cell>
          <cell r="H17">
            <v>17307</v>
          </cell>
          <cell r="I17">
            <v>18246</v>
          </cell>
          <cell r="J17">
            <v>18874</v>
          </cell>
          <cell r="K17">
            <v>20100</v>
          </cell>
          <cell r="L17">
            <v>21693</v>
          </cell>
          <cell r="M17">
            <v>24203</v>
          </cell>
          <cell r="N17">
            <v>27262</v>
          </cell>
        </row>
        <row r="18">
          <cell r="A18" t="str">
            <v>BOCHK</v>
          </cell>
          <cell r="G18">
            <v>31006</v>
          </cell>
          <cell r="H18">
            <v>33345</v>
          </cell>
          <cell r="I18">
            <v>52170</v>
          </cell>
          <cell r="J18">
            <v>56941</v>
          </cell>
          <cell r="K18">
            <v>60261</v>
          </cell>
          <cell r="L18">
            <v>72358</v>
          </cell>
          <cell r="M18">
            <v>79435</v>
          </cell>
          <cell r="N18">
            <v>84180.314227333205</v>
          </cell>
        </row>
        <row r="19">
          <cell r="A19" t="str">
            <v>DSF</v>
          </cell>
          <cell r="B19">
            <v>2863.8530000000001</v>
          </cell>
          <cell r="C19">
            <v>2955.9340000000002</v>
          </cell>
          <cell r="D19">
            <v>3295.0110000000004</v>
          </cell>
          <cell r="E19">
            <v>3966.326</v>
          </cell>
          <cell r="F19">
            <v>3692</v>
          </cell>
          <cell r="G19">
            <v>4099</v>
          </cell>
          <cell r="H19">
            <v>4824</v>
          </cell>
          <cell r="I19">
            <v>5417</v>
          </cell>
          <cell r="J19">
            <v>6093.4069999999992</v>
          </cell>
          <cell r="K19">
            <v>6788</v>
          </cell>
          <cell r="L19">
            <v>8241.7419999999984</v>
          </cell>
          <cell r="M19">
            <v>9096.3340000000007</v>
          </cell>
          <cell r="N19">
            <v>10106.695405220289</v>
          </cell>
        </row>
        <row r="20">
          <cell r="A20" t="str">
            <v>WHB</v>
          </cell>
          <cell r="B20">
            <v>2216.5519999999997</v>
          </cell>
          <cell r="C20">
            <v>3125.248</v>
          </cell>
          <cell r="D20">
            <v>3587.9839999999999</v>
          </cell>
          <cell r="E20">
            <v>4087.7339999999999</v>
          </cell>
          <cell r="F20">
            <v>4406</v>
          </cell>
          <cell r="G20">
            <v>4840</v>
          </cell>
          <cell r="H20">
            <v>5416.3879999999999</v>
          </cell>
          <cell r="I20">
            <v>6031.9870000000001</v>
          </cell>
          <cell r="J20">
            <v>6337.7389999999996</v>
          </cell>
          <cell r="K20">
            <v>6686.8810000000003</v>
          </cell>
          <cell r="L20">
            <v>7394.817</v>
          </cell>
          <cell r="M20">
            <v>8315.94</v>
          </cell>
          <cell r="N20">
            <v>9173.4216753377477</v>
          </cell>
        </row>
        <row r="21">
          <cell r="A21" t="str">
            <v>CIFH</v>
          </cell>
          <cell r="C21">
            <v>1472.4079999999999</v>
          </cell>
          <cell r="D21">
            <v>2095.61</v>
          </cell>
          <cell r="E21">
            <v>4722.2210000000005</v>
          </cell>
          <cell r="F21">
            <v>5276.4210000000003</v>
          </cell>
          <cell r="G21">
            <v>5361.8889999999992</v>
          </cell>
          <cell r="H21">
            <v>5713.4369999999999</v>
          </cell>
          <cell r="I21">
            <v>6253.6769999999997</v>
          </cell>
          <cell r="J21">
            <v>7373.2269999999999</v>
          </cell>
          <cell r="K21">
            <v>7811.77</v>
          </cell>
          <cell r="L21">
            <v>8322.0030000000006</v>
          </cell>
          <cell r="M21">
            <v>9455.3169999999991</v>
          </cell>
          <cell r="N21">
            <v>16176.361395973621</v>
          </cell>
        </row>
        <row r="22">
          <cell r="A22" t="str">
            <v>ICBCA</v>
          </cell>
          <cell r="E22">
            <v>2407.011</v>
          </cell>
          <cell r="F22">
            <v>2416.0410000000002</v>
          </cell>
          <cell r="G22">
            <v>2429.6970000000001</v>
          </cell>
          <cell r="H22">
            <v>2524.6999999999998</v>
          </cell>
          <cell r="I22">
            <v>5070.6910000000007</v>
          </cell>
          <cell r="J22">
            <v>5951.3469999999998</v>
          </cell>
          <cell r="K22">
            <v>5917.3050000000003</v>
          </cell>
          <cell r="L22">
            <v>8541.4179999999997</v>
          </cell>
          <cell r="M22">
            <v>9869.8539999999994</v>
          </cell>
          <cell r="N22">
            <v>10489.074239680673</v>
          </cell>
        </row>
        <row r="23">
          <cell r="A23" t="str">
            <v>WLB</v>
          </cell>
          <cell r="B23">
            <v>2476.2929999999997</v>
          </cell>
          <cell r="C23">
            <v>4706.55</v>
          </cell>
          <cell r="D23">
            <v>5229.7559999999994</v>
          </cell>
          <cell r="E23">
            <v>5750.9539999999997</v>
          </cell>
          <cell r="F23">
            <v>5509</v>
          </cell>
          <cell r="G23">
            <v>6114</v>
          </cell>
          <cell r="H23">
            <v>6811.9870000000001</v>
          </cell>
          <cell r="I23">
            <v>7148.759</v>
          </cell>
          <cell r="J23">
            <v>7746.5569999999998</v>
          </cell>
          <cell r="K23">
            <v>8288.2710000000006</v>
          </cell>
          <cell r="L23">
            <v>9568.6440000000002</v>
          </cell>
          <cell r="M23">
            <v>10136.467000000001</v>
          </cell>
          <cell r="N23">
            <v>10854.508280000002</v>
          </cell>
        </row>
        <row r="26">
          <cell r="A26" t="str">
            <v>Equity to Assets</v>
          </cell>
          <cell r="B26">
            <v>1994</v>
          </cell>
          <cell r="C26">
            <v>1995</v>
          </cell>
          <cell r="D26">
            <v>1996</v>
          </cell>
          <cell r="E26">
            <v>1997</v>
          </cell>
          <cell r="F26">
            <v>1998</v>
          </cell>
          <cell r="G26">
            <v>1999</v>
          </cell>
          <cell r="H26">
            <v>2000</v>
          </cell>
          <cell r="I26">
            <v>2001</v>
          </cell>
          <cell r="J26">
            <v>2002</v>
          </cell>
          <cell r="K26">
            <v>2003</v>
          </cell>
          <cell r="L26">
            <v>2004</v>
          </cell>
          <cell r="M26" t="str">
            <v>2005E</v>
          </cell>
          <cell r="N26" t="str">
            <v>2006E</v>
          </cell>
        </row>
        <row r="27">
          <cell r="A27" t="str">
            <v>(HK$mn)</v>
          </cell>
        </row>
        <row r="28">
          <cell r="A28" t="str">
            <v>HSB</v>
          </cell>
          <cell r="B28">
            <v>0.12813145194166459</v>
          </cell>
          <cell r="C28">
            <v>0.13646148096428684</v>
          </cell>
          <cell r="D28">
            <v>0.1363486516779851</v>
          </cell>
          <cell r="E28">
            <v>0.13086299121851003</v>
          </cell>
          <cell r="F28">
            <v>0.10556557791391696</v>
          </cell>
          <cell r="G28">
            <v>9.1764094810994817E-2</v>
          </cell>
          <cell r="H28">
            <v>9.1730167097990353E-2</v>
          </cell>
          <cell r="I28">
            <v>9.492888389951705E-2</v>
          </cell>
          <cell r="J28">
            <v>9.1780539087419469E-2</v>
          </cell>
          <cell r="K28">
            <v>7.8815569459936105E-2</v>
          </cell>
          <cell r="L28">
            <v>6.8184311173188447E-2</v>
          </cell>
          <cell r="M28">
            <v>6.7039702489583686E-2</v>
          </cell>
          <cell r="N28">
            <v>6.1812344328190147E-2</v>
          </cell>
        </row>
        <row r="29">
          <cell r="A29" t="str">
            <v>BEA</v>
          </cell>
          <cell r="B29">
            <v>0.11421452331638737</v>
          </cell>
          <cell r="C29">
            <v>0.10895989166881609</v>
          </cell>
          <cell r="D29">
            <v>0.10337720694901462</v>
          </cell>
          <cell r="E29">
            <v>0.10079360376785171</v>
          </cell>
          <cell r="F29">
            <v>0.10403159259695863</v>
          </cell>
          <cell r="G29">
            <v>0.10332240301924148</v>
          </cell>
          <cell r="H29">
            <v>9.6797467504865883E-2</v>
          </cell>
          <cell r="I29">
            <v>0.10038236184083844</v>
          </cell>
          <cell r="J29">
            <v>0.10188779063176476</v>
          </cell>
          <cell r="K29">
            <v>0.10127169027993309</v>
          </cell>
          <cell r="L29">
            <v>0.10311880552743037</v>
          </cell>
          <cell r="M29">
            <v>0.10135302074129289</v>
          </cell>
          <cell r="N29">
            <v>9.2664223900585319E-2</v>
          </cell>
        </row>
        <row r="30">
          <cell r="A30" t="str">
            <v>BOCHK</v>
          </cell>
          <cell r="G30">
            <v>4.1615216947805823E-2</v>
          </cell>
          <cell r="H30">
            <v>4.0813953488372093E-2</v>
          </cell>
          <cell r="I30">
            <v>7.04400307846023E-2</v>
          </cell>
          <cell r="J30">
            <v>8.0609701024520836E-2</v>
          </cell>
          <cell r="K30">
            <v>8.2422068942878596E-2</v>
          </cell>
          <cell r="L30">
            <v>9.4956011422332343E-2</v>
          </cell>
          <cell r="M30">
            <v>0.10061749897083505</v>
          </cell>
          <cell r="N30">
            <v>9.9845209433031643E-2</v>
          </cell>
        </row>
        <row r="31">
          <cell r="A31" t="str">
            <v>DSF</v>
          </cell>
          <cell r="B31">
            <v>9.9556890001545231E-2</v>
          </cell>
          <cell r="C31">
            <v>8.9513265595877176E-2</v>
          </cell>
          <cell r="D31">
            <v>8.5670387262397771E-2</v>
          </cell>
          <cell r="E31">
            <v>9.43949748493529E-2</v>
          </cell>
          <cell r="F31">
            <v>9.2214701401203886E-2</v>
          </cell>
          <cell r="G31">
            <v>9.4018074223588238E-2</v>
          </cell>
          <cell r="H31">
            <v>9.8694709276156964E-2</v>
          </cell>
          <cell r="I31">
            <v>9.9524150728471955E-2</v>
          </cell>
          <cell r="J31">
            <v>0.10133890468825357</v>
          </cell>
          <cell r="K31">
            <v>0.1064700807779782</v>
          </cell>
          <cell r="L31">
            <v>0.10992946354303026</v>
          </cell>
          <cell r="M31">
            <v>9.7291284833875627E-2</v>
          </cell>
          <cell r="N31">
            <v>0.10107574819799009</v>
          </cell>
        </row>
        <row r="32">
          <cell r="A32" t="str">
            <v>WHB</v>
          </cell>
          <cell r="B32">
            <v>8.916701855937878E-2</v>
          </cell>
          <cell r="C32">
            <v>0.10569709481190201</v>
          </cell>
          <cell r="D32">
            <v>9.3389464434540922E-2</v>
          </cell>
          <cell r="E32">
            <v>8.6248219115790184E-2</v>
          </cell>
          <cell r="F32">
            <v>9.0949170395355591E-2</v>
          </cell>
          <cell r="G32">
            <v>9.5953688467714751E-2</v>
          </cell>
          <cell r="H32">
            <v>9.9329194522145267E-2</v>
          </cell>
          <cell r="I32">
            <v>0.10955098890321643</v>
          </cell>
          <cell r="J32">
            <v>0.11095522040688138</v>
          </cell>
          <cell r="K32">
            <v>7.5418334177063007E-2</v>
          </cell>
          <cell r="L32">
            <v>7.7474934378835333E-2</v>
          </cell>
          <cell r="M32">
            <v>7.9713683560235879E-2</v>
          </cell>
          <cell r="N32">
            <v>7.6530403995822949E-2</v>
          </cell>
        </row>
        <row r="33">
          <cell r="A33" t="str">
            <v>CIFH</v>
          </cell>
          <cell r="C33">
            <v>5.7245995795762443E-2</v>
          </cell>
          <cell r="D33">
            <v>7.7260701640030849E-2</v>
          </cell>
          <cell r="E33">
            <v>0.11892294000517729</v>
          </cell>
          <cell r="F33">
            <v>0.11498983414933427</v>
          </cell>
          <cell r="G33">
            <v>0.10991286345151287</v>
          </cell>
          <cell r="H33">
            <v>0.10084108588064679</v>
          </cell>
          <cell r="I33">
            <v>0.10523239142225219</v>
          </cell>
          <cell r="J33">
            <v>9.6768756683653465E-2</v>
          </cell>
          <cell r="K33">
            <v>9.7747980144062899E-2</v>
          </cell>
          <cell r="L33">
            <v>9.9572459559830281E-2</v>
          </cell>
          <cell r="M33">
            <v>0.11119104393988674</v>
          </cell>
          <cell r="N33">
            <v>0.16270603283705615</v>
          </cell>
        </row>
        <row r="34">
          <cell r="A34" t="str">
            <v>ICBCA</v>
          </cell>
          <cell r="E34">
            <v>0.11228868294793815</v>
          </cell>
          <cell r="F34">
            <v>0.11255753159931521</v>
          </cell>
          <cell r="G34">
            <v>0.12682251147508433</v>
          </cell>
          <cell r="H34">
            <v>0.12222014759461292</v>
          </cell>
          <cell r="I34">
            <v>0.11657517720230853</v>
          </cell>
          <cell r="J34">
            <v>9.5586329314621091E-2</v>
          </cell>
          <cell r="K34">
            <v>7.8563640703985291E-2</v>
          </cell>
          <cell r="L34">
            <v>8.5978499883988563E-2</v>
          </cell>
          <cell r="M34">
            <v>8.5527832775934037E-2</v>
          </cell>
          <cell r="N34">
            <v>8.2174969902248804E-2</v>
          </cell>
        </row>
        <row r="35">
          <cell r="A35" t="str">
            <v>WLB</v>
          </cell>
          <cell r="B35">
            <v>7.5773551525548696E-2</v>
          </cell>
          <cell r="C35">
            <v>0.11872572489590577</v>
          </cell>
          <cell r="D35">
            <v>0.11158082262457722</v>
          </cell>
          <cell r="E35">
            <v>0.11641717813069924</v>
          </cell>
          <cell r="F35">
            <v>0.10579582117068674</v>
          </cell>
          <cell r="G35">
            <v>0.10235061221703379</v>
          </cell>
          <cell r="H35">
            <v>0.10402857535419377</v>
          </cell>
          <cell r="I35">
            <v>0.10605827704901774</v>
          </cell>
          <cell r="J35">
            <v>0.12548885865090156</v>
          </cell>
          <cell r="K35">
            <v>0.12227997726268726</v>
          </cell>
          <cell r="L35">
            <v>0.13468140230893527</v>
          </cell>
          <cell r="M35">
            <v>0.13565619953861352</v>
          </cell>
          <cell r="N35">
            <v>0.13491975128659572</v>
          </cell>
        </row>
        <row r="43">
          <cell r="C43" t="str">
            <v>Equity to Asset 06E</v>
          </cell>
        </row>
        <row r="44">
          <cell r="A44" t="str">
            <v>WLB</v>
          </cell>
          <cell r="C44">
            <v>0.13491975128659572</v>
          </cell>
        </row>
        <row r="45">
          <cell r="A45" t="str">
            <v>CIFH</v>
          </cell>
          <cell r="C45">
            <v>0.16270603283705615</v>
          </cell>
        </row>
        <row r="46">
          <cell r="A46" t="str">
            <v>BEA</v>
          </cell>
          <cell r="C46">
            <v>9.2664223900585319E-2</v>
          </cell>
        </row>
        <row r="47">
          <cell r="A47" t="str">
            <v>ICBCA</v>
          </cell>
          <cell r="C47">
            <v>8.2174969902248804E-2</v>
          </cell>
        </row>
        <row r="48">
          <cell r="A48" t="str">
            <v>DSF</v>
          </cell>
          <cell r="C48">
            <v>0.10107574819799009</v>
          </cell>
        </row>
        <row r="49">
          <cell r="A49" t="str">
            <v>BOCHK</v>
          </cell>
          <cell r="C49">
            <v>9.9845209433031643E-2</v>
          </cell>
        </row>
        <row r="50">
          <cell r="A50" t="str">
            <v>WHB</v>
          </cell>
          <cell r="C50">
            <v>7.6530403995822949E-2</v>
          </cell>
        </row>
        <row r="51">
          <cell r="A51" t="str">
            <v>HSB</v>
          </cell>
          <cell r="C51">
            <v>6.1812344328190147E-2</v>
          </cell>
        </row>
      </sheetData>
      <sheetData sheetId="14" refreshError="1">
        <row r="1">
          <cell r="A1" t="str">
            <v>EPS 2007E</v>
          </cell>
          <cell r="B1" t="str">
            <v>(refresh)</v>
          </cell>
          <cell r="C1" t="str">
            <v>(refresh)</v>
          </cell>
        </row>
        <row r="2">
          <cell r="B2">
            <v>2007</v>
          </cell>
          <cell r="C2">
            <v>2007</v>
          </cell>
        </row>
        <row r="3">
          <cell r="A3" t="str">
            <v>(HK$)</v>
          </cell>
          <cell r="B3" t="str">
            <v>MS EPS</v>
          </cell>
          <cell r="C3" t="str">
            <v>IBES Consensus</v>
          </cell>
          <cell r="D3" t="str">
            <v>% Variation</v>
          </cell>
        </row>
        <row r="4">
          <cell r="A4" t="str">
            <v>DSF</v>
          </cell>
          <cell r="B4">
            <v>5.7421840971927276</v>
          </cell>
          <cell r="C4">
            <v>5.2030000686645508</v>
          </cell>
          <cell r="D4">
            <v>0.10362944866663604</v>
          </cell>
          <cell r="E4" t="str">
            <v>0440.HK</v>
          </cell>
        </row>
        <row r="5">
          <cell r="A5" t="str">
            <v>HSB</v>
          </cell>
          <cell r="B5">
            <v>7.0354969558634499</v>
          </cell>
          <cell r="C5">
            <v>6.4710001945495605</v>
          </cell>
          <cell r="D5">
            <v>8.7234854634892001E-2</v>
          </cell>
          <cell r="E5" t="str">
            <v>0011.HK</v>
          </cell>
        </row>
        <row r="6">
          <cell r="A6" t="str">
            <v>BOCHK</v>
          </cell>
          <cell r="B6">
            <v>1.3644491387862037</v>
          </cell>
          <cell r="C6">
            <v>1.2569999694824219</v>
          </cell>
          <cell r="D6">
            <v>8.5480645912843434E-2</v>
          </cell>
          <cell r="E6" t="str">
            <v>2388.HK</v>
          </cell>
        </row>
        <row r="7">
          <cell r="A7" t="str">
            <v>WHB</v>
          </cell>
          <cell r="B7">
            <v>6.1031069760353489</v>
          </cell>
          <cell r="C7">
            <v>5.809999942779541</v>
          </cell>
          <cell r="D7">
            <v>5.0448715342944261E-2</v>
          </cell>
          <cell r="E7" t="str">
            <v>0302.HK</v>
          </cell>
        </row>
        <row r="8">
          <cell r="A8" t="str">
            <v>ICBCA</v>
          </cell>
          <cell r="B8">
            <v>1.1862979287954865</v>
          </cell>
          <cell r="C8">
            <v>1.1339999437332153</v>
          </cell>
          <cell r="D8">
            <v>4.6118154900521624E-2</v>
          </cell>
          <cell r="E8" t="str">
            <v>0349.HK</v>
          </cell>
        </row>
        <row r="9">
          <cell r="A9" t="str">
            <v>WLB</v>
          </cell>
          <cell r="B9">
            <v>5.4720441026647926</v>
          </cell>
          <cell r="C9">
            <v>5.3540000915527344</v>
          </cell>
          <cell r="D9">
            <v>2.2047816416421506E-2</v>
          </cell>
          <cell r="E9" t="str">
            <v>0096.HK</v>
          </cell>
        </row>
        <row r="10">
          <cell r="A10" t="str">
            <v>HSBC (US$)</v>
          </cell>
          <cell r="B10">
            <v>1.5436887645425608</v>
          </cell>
          <cell r="C10">
            <v>1.5130997363231014</v>
          </cell>
          <cell r="D10">
            <v>2.0216134789496465E-2</v>
          </cell>
          <cell r="E10" t="str">
            <v>0005.HK</v>
          </cell>
        </row>
        <row r="11">
          <cell r="A11" t="str">
            <v>STAN (US$)</v>
          </cell>
          <cell r="B11">
            <v>1.9193777499650435</v>
          </cell>
          <cell r="C11">
            <v>1.9230522607582976</v>
          </cell>
          <cell r="D11">
            <v>-1.9107701169832625E-3</v>
          </cell>
          <cell r="E11" t="str">
            <v>2888.HK</v>
          </cell>
        </row>
        <row r="12">
          <cell r="A12" t="str">
            <v>CIFH</v>
          </cell>
          <cell r="B12">
            <v>0.30860715432306679</v>
          </cell>
          <cell r="C12">
            <v>0.33100000023841858</v>
          </cell>
          <cell r="D12">
            <v>-6.765210241456876E-2</v>
          </cell>
          <cell r="E12" t="str">
            <v>0183.HK</v>
          </cell>
        </row>
        <row r="13">
          <cell r="A13" t="str">
            <v>BEA</v>
          </cell>
          <cell r="B13">
            <v>2.1792415816074127</v>
          </cell>
          <cell r="C13">
            <v>2.4690001010894775</v>
          </cell>
          <cell r="D13">
            <v>-0.11735865031119486</v>
          </cell>
          <cell r="E13" t="str">
            <v>0023.HK</v>
          </cell>
        </row>
        <row r="16">
          <cell r="B16" t="str">
            <v>2006E</v>
          </cell>
          <cell r="E16" t="str">
            <v>2007E</v>
          </cell>
        </row>
        <row r="17">
          <cell r="A17" t="str">
            <v>(HK$)</v>
          </cell>
          <cell r="B17" t="str">
            <v>MS</v>
          </cell>
          <cell r="C17" t="str">
            <v>IBES</v>
          </cell>
          <cell r="D17" t="str">
            <v>% Var.</v>
          </cell>
          <cell r="E17" t="str">
            <v>MS</v>
          </cell>
          <cell r="F17" t="str">
            <v>IBES</v>
          </cell>
          <cell r="G17" t="str">
            <v>% Var.</v>
          </cell>
        </row>
        <row r="18">
          <cell r="A18" t="str">
            <v>DSF</v>
          </cell>
          <cell r="B18">
            <v>5.550255558049499</v>
          </cell>
          <cell r="C18">
            <v>5.0349998474121094</v>
          </cell>
          <cell r="D18">
            <v>0.10233480163901509</v>
          </cell>
          <cell r="E18">
            <v>5.7421840971927276</v>
          </cell>
          <cell r="F18">
            <v>5.2030000686645508</v>
          </cell>
          <cell r="G18">
            <v>0.10362944866663604</v>
          </cell>
          <cell r="H18" t="str">
            <v>0440.HK</v>
          </cell>
        </row>
        <row r="19">
          <cell r="A19" t="str">
            <v>HSB</v>
          </cell>
          <cell r="B19">
            <v>6.3123272732122411</v>
          </cell>
          <cell r="C19">
            <v>6.2170000076293945</v>
          </cell>
          <cell r="D19">
            <v>1.533332241689922E-2</v>
          </cell>
          <cell r="E19">
            <v>7.0354969558634499</v>
          </cell>
          <cell r="F19">
            <v>6.4710001945495605</v>
          </cell>
          <cell r="G19">
            <v>8.7234854634892001E-2</v>
          </cell>
          <cell r="H19" t="str">
            <v>0011.HK</v>
          </cell>
        </row>
        <row r="20">
          <cell r="A20" t="str">
            <v>BOCHK</v>
          </cell>
          <cell r="B20">
            <v>1.2656509370586038</v>
          </cell>
          <cell r="C20">
            <v>1.253000020980835</v>
          </cell>
          <cell r="D20">
            <v>1.0096501090132382E-2</v>
          </cell>
          <cell r="E20">
            <v>1.3644491387862037</v>
          </cell>
          <cell r="F20">
            <v>1.2569999694824219</v>
          </cell>
          <cell r="G20">
            <v>8.5480645912843434E-2</v>
          </cell>
          <cell r="H20" t="str">
            <v>2388.HK</v>
          </cell>
        </row>
        <row r="21">
          <cell r="A21" t="str">
            <v>WHB</v>
          </cell>
          <cell r="B21">
            <v>5.7027417665255067</v>
          </cell>
          <cell r="C21">
            <v>5.3769998550415039</v>
          </cell>
          <cell r="D21">
            <v>6.0580606335442821E-2</v>
          </cell>
          <cell r="E21">
            <v>6.1031069760353489</v>
          </cell>
          <cell r="F21">
            <v>5.809999942779541</v>
          </cell>
          <cell r="G21">
            <v>5.0448715342944261E-2</v>
          </cell>
          <cell r="H21" t="str">
            <v>0302.HK</v>
          </cell>
        </row>
        <row r="22">
          <cell r="A22" t="str">
            <v>ICBCA</v>
          </cell>
          <cell r="B22">
            <v>1.0255044447172967</v>
          </cell>
          <cell r="C22">
            <v>1.0269999504089355</v>
          </cell>
          <cell r="D22">
            <v>-1.4561886697690429E-3</v>
          </cell>
          <cell r="E22">
            <v>1.1862979287954865</v>
          </cell>
          <cell r="F22">
            <v>1.1339999437332153</v>
          </cell>
          <cell r="G22">
            <v>4.6118154900521624E-2</v>
          </cell>
          <cell r="H22" t="str">
            <v>0349.HK</v>
          </cell>
        </row>
        <row r="23">
          <cell r="A23" t="str">
            <v>WLB</v>
          </cell>
          <cell r="B23">
            <v>6.8515154248537424</v>
          </cell>
          <cell r="C23">
            <v>6.1389999389648437</v>
          </cell>
          <cell r="D23">
            <v>0.11606377145673052</v>
          </cell>
          <cell r="E23">
            <v>5.4720441026647926</v>
          </cell>
          <cell r="F23">
            <v>5.3540000915527344</v>
          </cell>
          <cell r="G23">
            <v>2.2047816416421506E-2</v>
          </cell>
          <cell r="H23" t="str">
            <v>0096.HK</v>
          </cell>
        </row>
        <row r="24">
          <cell r="A24" t="str">
            <v>HSBC (US$)</v>
          </cell>
          <cell r="B24">
            <v>1.3743414229791624</v>
          </cell>
          <cell r="C24">
            <v>1.407413063584412</v>
          </cell>
          <cell r="D24">
            <v>-2.3498176520418523E-2</v>
          </cell>
          <cell r="E24">
            <v>1.5436887645425608</v>
          </cell>
          <cell r="F24">
            <v>1.5130997363231014</v>
          </cell>
          <cell r="G24">
            <v>2.0216134789496465E-2</v>
          </cell>
          <cell r="H24" t="str">
            <v>0005.HK</v>
          </cell>
        </row>
        <row r="25">
          <cell r="A25" t="str">
            <v>STAN (US$)</v>
          </cell>
          <cell r="B25">
            <v>1.7193522847758742</v>
          </cell>
          <cell r="C25">
            <v>1.700415246930941</v>
          </cell>
          <cell r="D25">
            <v>1.1136713740430348E-2</v>
          </cell>
          <cell r="E25">
            <v>1.9193777499650435</v>
          </cell>
          <cell r="F25">
            <v>1.9230522607582976</v>
          </cell>
          <cell r="G25">
            <v>-1.9107701169832625E-3</v>
          </cell>
          <cell r="H25" t="str">
            <v>2888.HK</v>
          </cell>
        </row>
        <row r="26">
          <cell r="A26" t="str">
            <v>BEA</v>
          </cell>
          <cell r="B26">
            <v>2.2174193548387096</v>
          </cell>
          <cell r="C26">
            <v>2.122999906539917</v>
          </cell>
          <cell r="D26">
            <v>4.4474541900794584E-2</v>
          </cell>
          <cell r="E26">
            <v>2.1792415816074127</v>
          </cell>
          <cell r="F26">
            <v>2.4690001010894775</v>
          </cell>
          <cell r="G26">
            <v>-0.11735865031119486</v>
          </cell>
          <cell r="H26" t="str">
            <v>0023.HK</v>
          </cell>
        </row>
        <row r="27">
          <cell r="A27" t="str">
            <v>CIFH</v>
          </cell>
          <cell r="B27">
            <v>0.31051460104640799</v>
          </cell>
          <cell r="C27">
            <v>0.27399998903274536</v>
          </cell>
          <cell r="D27">
            <v>0.13326501268326263</v>
          </cell>
          <cell r="E27">
            <v>0.30860715432306679</v>
          </cell>
          <cell r="F27">
            <v>0.33100000023841858</v>
          </cell>
          <cell r="G27">
            <v>-6.765210241456876E-2</v>
          </cell>
          <cell r="H27" t="str">
            <v>0183.HK</v>
          </cell>
        </row>
      </sheetData>
      <sheetData sheetId="15" refreshError="1">
        <row r="1">
          <cell r="A1" t="str">
            <v>2007E</v>
          </cell>
        </row>
        <row r="2">
          <cell r="A2" t="str">
            <v>(%)</v>
          </cell>
          <cell r="B2" t="str">
            <v>Modelware ROE 07E</v>
          </cell>
          <cell r="C2" t="str">
            <v>COE</v>
          </cell>
          <cell r="D2" t="str">
            <v>Implied P/B 07E</v>
          </cell>
          <cell r="E2" t="str">
            <v>P/B 07E</v>
          </cell>
          <cell r="F2" t="str">
            <v>Prem to Growth</v>
          </cell>
        </row>
        <row r="3">
          <cell r="A3" t="str">
            <v>BEA</v>
          </cell>
          <cell r="B3">
            <v>12.280832588909522</v>
          </cell>
          <cell r="C3">
            <v>8.7100000000000009</v>
          </cell>
          <cell r="D3">
            <v>1.4099692983822643</v>
          </cell>
          <cell r="E3">
            <v>2.6184904954582926</v>
          </cell>
          <cell r="F3">
            <v>0.85712589519688942</v>
          </cell>
        </row>
        <row r="4">
          <cell r="A4" t="str">
            <v>CIFH</v>
          </cell>
          <cell r="B4">
            <v>9.172987648715127</v>
          </cell>
          <cell r="C4">
            <v>9.2100000000000009</v>
          </cell>
          <cell r="D4">
            <v>0.9959812865054426</v>
          </cell>
          <cell r="E4">
            <v>1.7732468522631843</v>
          </cell>
          <cell r="F4">
            <v>0.78040177690978574</v>
          </cell>
        </row>
        <row r="5">
          <cell r="A5" t="str">
            <v>STAN</v>
          </cell>
          <cell r="B5">
            <v>18.625757432230234</v>
          </cell>
          <cell r="C5">
            <v>9.6</v>
          </cell>
          <cell r="D5">
            <v>1.940183065857316</v>
          </cell>
          <cell r="E5">
            <v>2.6514155079394244</v>
          </cell>
          <cell r="F5">
            <v>0.36658006896263329</v>
          </cell>
        </row>
        <row r="6">
          <cell r="A6" t="str">
            <v>WLB</v>
          </cell>
          <cell r="B6">
            <v>11.301607329954212</v>
          </cell>
          <cell r="C6">
            <v>8.11</v>
          </cell>
          <cell r="D6">
            <v>1.3935397447539104</v>
          </cell>
          <cell r="E6">
            <v>1.8577223877626234</v>
          </cell>
          <cell r="F6">
            <v>0.33309609198888301</v>
          </cell>
        </row>
        <row r="7">
          <cell r="A7" t="str">
            <v>WHB</v>
          </cell>
          <cell r="B7">
            <v>18.645735105285219</v>
          </cell>
          <cell r="C7">
            <v>8.7100000000000009</v>
          </cell>
          <cell r="D7">
            <v>2.140727337001747</v>
          </cell>
          <cell r="E7">
            <v>2.8168153588850395</v>
          </cell>
          <cell r="F7">
            <v>0.31582164164363213</v>
          </cell>
        </row>
        <row r="8">
          <cell r="A8" t="str">
            <v>HSB</v>
          </cell>
          <cell r="B8">
            <v>31.75652731290586</v>
          </cell>
          <cell r="C8">
            <v>8.2100000000000009</v>
          </cell>
          <cell r="D8">
            <v>3.8680301233746475</v>
          </cell>
          <cell r="E8">
            <v>4.9357877694676233</v>
          </cell>
          <cell r="F8">
            <v>0.27604687968702146</v>
          </cell>
        </row>
        <row r="9">
          <cell r="A9" t="str">
            <v>ICBCA</v>
          </cell>
          <cell r="B9">
            <v>12.367590943177033</v>
          </cell>
          <cell r="C9">
            <v>8.66</v>
          </cell>
          <cell r="D9">
            <v>1.4281282844315282</v>
          </cell>
          <cell r="E9">
            <v>1.7559837186641472</v>
          </cell>
          <cell r="F9">
            <v>0.2295700167881789</v>
          </cell>
        </row>
        <row r="10">
          <cell r="A10" t="str">
            <v>BOCHK</v>
          </cell>
          <cell r="B10">
            <v>16.63715539104221</v>
          </cell>
          <cell r="C10">
            <v>8.2100000000000009</v>
          </cell>
          <cell r="D10">
            <v>2.0264501085313285</v>
          </cell>
          <cell r="E10">
            <v>2.393233563118522</v>
          </cell>
          <cell r="F10">
            <v>0.18099801867464693</v>
          </cell>
        </row>
        <row r="11">
          <cell r="A11" t="str">
            <v>DSF</v>
          </cell>
          <cell r="B11">
            <v>13.554659772215746</v>
          </cell>
          <cell r="C11">
            <v>8.9349999999999987</v>
          </cell>
          <cell r="D11">
            <v>1.5170296331522941</v>
          </cell>
          <cell r="E11">
            <v>1.6349046334475732</v>
          </cell>
          <cell r="F11">
            <v>7.7701185078594692E-2</v>
          </cell>
        </row>
        <row r="12">
          <cell r="A12" t="str">
            <v>HSBC</v>
          </cell>
          <cell r="B12">
            <v>17.306263750758873</v>
          </cell>
          <cell r="C12">
            <v>9.1</v>
          </cell>
          <cell r="D12">
            <v>1.9017872253581181</v>
          </cell>
          <cell r="E12">
            <v>1.8580001246152802</v>
          </cell>
          <cell r="F12">
            <v>-2.3024184913531753E-2</v>
          </cell>
        </row>
      </sheetData>
      <sheetData sheetId="16" refreshError="1"/>
      <sheetData sheetId="17" refreshError="1"/>
      <sheetData sheetId="18" refreshError="1">
        <row r="1">
          <cell r="A1" t="str">
            <v>11 HK Equity</v>
          </cell>
          <cell r="F1" t="str">
            <v>23 HK Equity</v>
          </cell>
          <cell r="J1" t="str">
            <v>2388 HK Equity</v>
          </cell>
          <cell r="N1" t="str">
            <v>440 HK Equity</v>
          </cell>
          <cell r="R1" t="str">
            <v>302 HK Equity</v>
          </cell>
          <cell r="V1" t="str">
            <v>96 HK Equity</v>
          </cell>
          <cell r="Z1" t="str">
            <v>183 HK Equity</v>
          </cell>
          <cell r="AD1" t="str">
            <v>349 HK Equity</v>
          </cell>
        </row>
        <row r="2">
          <cell r="B2" t="str">
            <v>Price (LS)</v>
          </cell>
          <cell r="C2" t="str">
            <v>Net Money Flow (RS)</v>
          </cell>
        </row>
        <row r="3">
          <cell r="A3" t="str">
            <v>Date</v>
          </cell>
          <cell r="B3" t="str">
            <v>Last Price</v>
          </cell>
          <cell r="C3" t="str">
            <v>Mf Net Non Blck</v>
          </cell>
          <cell r="F3" t="str">
            <v>Last Price</v>
          </cell>
          <cell r="G3" t="str">
            <v>Mf Net Non Blck</v>
          </cell>
          <cell r="J3" t="str">
            <v>Last Price</v>
          </cell>
          <cell r="K3" t="str">
            <v>Mf Net Non Blck</v>
          </cell>
          <cell r="N3" t="str">
            <v>Last Price</v>
          </cell>
          <cell r="O3" t="str">
            <v>Mf Net Non Blck</v>
          </cell>
          <cell r="R3" t="str">
            <v>Last Price</v>
          </cell>
          <cell r="S3" t="str">
            <v>Mf Net Non Blck</v>
          </cell>
          <cell r="V3" t="str">
            <v>Last Price</v>
          </cell>
          <cell r="W3" t="str">
            <v>Mf Net Non Blck</v>
          </cell>
          <cell r="Z3" t="str">
            <v>Last Price</v>
          </cell>
          <cell r="AA3" t="str">
            <v>Mf Net Non Blck</v>
          </cell>
          <cell r="AD3" t="str">
            <v>Last Price</v>
          </cell>
          <cell r="AE3" t="str">
            <v>Mf Net Non Blck</v>
          </cell>
        </row>
        <row r="4">
          <cell r="A4" t="e">
            <v>#NAME?</v>
          </cell>
          <cell r="B4">
            <v>104.5</v>
          </cell>
          <cell r="C4">
            <v>-135.94</v>
          </cell>
          <cell r="F4">
            <v>23.7</v>
          </cell>
          <cell r="G4">
            <v>11.24</v>
          </cell>
          <cell r="J4">
            <v>14.5</v>
          </cell>
          <cell r="K4">
            <v>23.26</v>
          </cell>
          <cell r="N4">
            <v>58</v>
          </cell>
          <cell r="O4">
            <v>0.85</v>
          </cell>
          <cell r="R4">
            <v>51.75</v>
          </cell>
          <cell r="S4">
            <v>-21.9</v>
          </cell>
          <cell r="V4">
            <v>58.75</v>
          </cell>
          <cell r="W4">
            <v>-3.27</v>
          </cell>
          <cell r="Z4">
            <v>3.2250000000000001</v>
          </cell>
          <cell r="AA4">
            <v>2.96</v>
          </cell>
          <cell r="AD4">
            <v>11.05</v>
          </cell>
          <cell r="AE4">
            <v>16.36</v>
          </cell>
        </row>
        <row r="5">
          <cell r="A5">
            <v>38366</v>
          </cell>
          <cell r="B5">
            <v>105</v>
          </cell>
          <cell r="C5">
            <v>-54.89</v>
          </cell>
          <cell r="F5">
            <v>23</v>
          </cell>
          <cell r="G5">
            <v>-16.989999999999998</v>
          </cell>
          <cell r="J5">
            <v>14.4</v>
          </cell>
          <cell r="K5">
            <v>-11.77</v>
          </cell>
          <cell r="N5">
            <v>59.5</v>
          </cell>
          <cell r="O5">
            <v>-0.52</v>
          </cell>
          <cell r="R5">
            <v>50.75</v>
          </cell>
          <cell r="S5">
            <v>-3.92</v>
          </cell>
          <cell r="V5">
            <v>58.25</v>
          </cell>
          <cell r="W5">
            <v>-1.34</v>
          </cell>
          <cell r="Z5">
            <v>3.1</v>
          </cell>
          <cell r="AA5">
            <v>-7.04</v>
          </cell>
          <cell r="AD5">
            <v>10.9</v>
          </cell>
          <cell r="AE5">
            <v>-0.24</v>
          </cell>
        </row>
        <row r="6">
          <cell r="A6">
            <v>38373</v>
          </cell>
          <cell r="B6">
            <v>103.5</v>
          </cell>
          <cell r="C6">
            <v>-34.96</v>
          </cell>
          <cell r="F6">
            <v>22.85</v>
          </cell>
          <cell r="G6">
            <v>-4.8499999999999996</v>
          </cell>
          <cell r="J6">
            <v>14.2</v>
          </cell>
          <cell r="K6">
            <v>-28.72</v>
          </cell>
          <cell r="N6">
            <v>57.5</v>
          </cell>
          <cell r="O6">
            <v>5.65</v>
          </cell>
          <cell r="R6">
            <v>51</v>
          </cell>
          <cell r="S6">
            <v>-6.71</v>
          </cell>
          <cell r="V6">
            <v>56.75</v>
          </cell>
          <cell r="W6">
            <v>-3.38</v>
          </cell>
          <cell r="Z6">
            <v>3.0750000000000002</v>
          </cell>
          <cell r="AA6">
            <v>-20.32</v>
          </cell>
          <cell r="AD6">
            <v>10.65</v>
          </cell>
          <cell r="AE6">
            <v>-5.43</v>
          </cell>
        </row>
        <row r="7">
          <cell r="A7">
            <v>38380</v>
          </cell>
          <cell r="B7">
            <v>105</v>
          </cell>
          <cell r="C7">
            <v>-40.71</v>
          </cell>
          <cell r="F7">
            <v>23.25</v>
          </cell>
          <cell r="G7">
            <v>26.19</v>
          </cell>
          <cell r="J7">
            <v>14.25</v>
          </cell>
          <cell r="K7">
            <v>-4.5599999999999996</v>
          </cell>
          <cell r="N7">
            <v>57</v>
          </cell>
          <cell r="O7">
            <v>-7.0000000000000007E-2</v>
          </cell>
          <cell r="R7">
            <v>49.8</v>
          </cell>
          <cell r="S7">
            <v>-5.46</v>
          </cell>
          <cell r="V7">
            <v>54.25</v>
          </cell>
          <cell r="W7">
            <v>-14.5</v>
          </cell>
          <cell r="Z7">
            <v>3.1</v>
          </cell>
          <cell r="AA7">
            <v>-0.19</v>
          </cell>
          <cell r="AD7">
            <v>10.8</v>
          </cell>
          <cell r="AE7">
            <v>2.84</v>
          </cell>
        </row>
        <row r="8">
          <cell r="A8">
            <v>38387</v>
          </cell>
          <cell r="B8">
            <v>104.5</v>
          </cell>
          <cell r="C8">
            <v>6.59</v>
          </cell>
          <cell r="F8">
            <v>23.3</v>
          </cell>
          <cell r="G8">
            <v>-20.07</v>
          </cell>
          <cell r="J8">
            <v>14.4</v>
          </cell>
          <cell r="K8">
            <v>-11.13</v>
          </cell>
          <cell r="N8">
            <v>56.25</v>
          </cell>
          <cell r="O8">
            <v>-12.27</v>
          </cell>
          <cell r="R8">
            <v>52.25</v>
          </cell>
          <cell r="S8">
            <v>0.61</v>
          </cell>
          <cell r="V8">
            <v>57.5</v>
          </cell>
          <cell r="W8">
            <v>5.39</v>
          </cell>
          <cell r="Z8">
            <v>3.05</v>
          </cell>
          <cell r="AA8">
            <v>-19.829999999999998</v>
          </cell>
          <cell r="AD8">
            <v>10.8</v>
          </cell>
          <cell r="AE8">
            <v>-4.1900000000000004</v>
          </cell>
        </row>
        <row r="9">
          <cell r="A9">
            <v>38394</v>
          </cell>
          <cell r="B9">
            <v>106</v>
          </cell>
          <cell r="C9">
            <v>3.27</v>
          </cell>
          <cell r="F9">
            <v>23.6</v>
          </cell>
          <cell r="G9">
            <v>1.18</v>
          </cell>
          <cell r="J9">
            <v>14.55</v>
          </cell>
          <cell r="K9">
            <v>-0.56999999999999995</v>
          </cell>
          <cell r="N9">
            <v>59.25</v>
          </cell>
          <cell r="O9">
            <v>8.3699999999999992</v>
          </cell>
          <cell r="R9">
            <v>53</v>
          </cell>
          <cell r="S9">
            <v>0.45</v>
          </cell>
          <cell r="V9">
            <v>58.5</v>
          </cell>
          <cell r="W9">
            <v>8.2100000000000009</v>
          </cell>
          <cell r="Z9">
            <v>3.25</v>
          </cell>
          <cell r="AA9">
            <v>11.82</v>
          </cell>
          <cell r="AD9">
            <v>10.95</v>
          </cell>
          <cell r="AE9">
            <v>3.18</v>
          </cell>
        </row>
        <row r="10">
          <cell r="A10">
            <v>38401</v>
          </cell>
          <cell r="B10">
            <v>106.5</v>
          </cell>
          <cell r="C10">
            <v>-32.450000000000003</v>
          </cell>
          <cell r="F10">
            <v>23.7</v>
          </cell>
          <cell r="G10">
            <v>-17.899999999999999</v>
          </cell>
          <cell r="J10">
            <v>14.75</v>
          </cell>
          <cell r="K10">
            <v>10.64</v>
          </cell>
          <cell r="N10">
            <v>59.25</v>
          </cell>
          <cell r="O10">
            <v>7.16</v>
          </cell>
          <cell r="R10">
            <v>51</v>
          </cell>
          <cell r="S10">
            <v>-13.82</v>
          </cell>
          <cell r="V10">
            <v>59.25</v>
          </cell>
          <cell r="W10">
            <v>-0.5</v>
          </cell>
          <cell r="Z10">
            <v>3.2</v>
          </cell>
          <cell r="AA10">
            <v>-10.24</v>
          </cell>
          <cell r="AD10">
            <v>10.85</v>
          </cell>
          <cell r="AE10">
            <v>-5.67</v>
          </cell>
        </row>
        <row r="11">
          <cell r="A11">
            <v>38408</v>
          </cell>
          <cell r="B11">
            <v>107</v>
          </cell>
          <cell r="C11">
            <v>-3.46</v>
          </cell>
          <cell r="F11">
            <v>23.7</v>
          </cell>
          <cell r="G11">
            <v>-26.33</v>
          </cell>
          <cell r="J11">
            <v>14.8</v>
          </cell>
          <cell r="K11">
            <v>10.1</v>
          </cell>
          <cell r="N11">
            <v>58</v>
          </cell>
          <cell r="O11">
            <v>-0.89</v>
          </cell>
          <cell r="R11">
            <v>51</v>
          </cell>
          <cell r="S11">
            <v>-13.88</v>
          </cell>
          <cell r="V11">
            <v>60.75</v>
          </cell>
          <cell r="W11">
            <v>-0.37</v>
          </cell>
          <cell r="Z11">
            <v>3.2</v>
          </cell>
          <cell r="AA11">
            <v>-1.61</v>
          </cell>
          <cell r="AD11">
            <v>10.85</v>
          </cell>
          <cell r="AE11">
            <v>-6.7</v>
          </cell>
        </row>
        <row r="12">
          <cell r="A12">
            <v>38415</v>
          </cell>
          <cell r="B12">
            <v>105.5</v>
          </cell>
          <cell r="C12">
            <v>-34.86</v>
          </cell>
          <cell r="F12">
            <v>23.6</v>
          </cell>
          <cell r="G12">
            <v>-6.19</v>
          </cell>
          <cell r="J12">
            <v>14.5</v>
          </cell>
          <cell r="K12">
            <v>34.409999999999997</v>
          </cell>
          <cell r="N12">
            <v>55.5</v>
          </cell>
          <cell r="O12">
            <v>-5.3</v>
          </cell>
          <cell r="R12">
            <v>50.5</v>
          </cell>
          <cell r="S12">
            <v>-12.24</v>
          </cell>
          <cell r="V12">
            <v>60.5</v>
          </cell>
          <cell r="W12">
            <v>9.92</v>
          </cell>
          <cell r="Z12">
            <v>3.125</v>
          </cell>
          <cell r="AA12">
            <v>-0.39</v>
          </cell>
          <cell r="AD12">
            <v>10.6</v>
          </cell>
          <cell r="AE12">
            <v>-5.6</v>
          </cell>
        </row>
        <row r="13">
          <cell r="A13">
            <v>38422</v>
          </cell>
          <cell r="B13">
            <v>107</v>
          </cell>
          <cell r="C13">
            <v>-16.149999999999999</v>
          </cell>
          <cell r="F13">
            <v>23</v>
          </cell>
          <cell r="G13">
            <v>-5.95</v>
          </cell>
          <cell r="J13">
            <v>14.6</v>
          </cell>
          <cell r="K13">
            <v>30.34</v>
          </cell>
          <cell r="N13">
            <v>55.75</v>
          </cell>
          <cell r="O13">
            <v>-0.48</v>
          </cell>
          <cell r="R13">
            <v>49.9</v>
          </cell>
          <cell r="S13">
            <v>-9.9</v>
          </cell>
          <cell r="V13">
            <v>59.5</v>
          </cell>
          <cell r="W13">
            <v>-4.1790000000000003</v>
          </cell>
          <cell r="Z13">
            <v>3.15</v>
          </cell>
          <cell r="AA13">
            <v>-6.71</v>
          </cell>
          <cell r="AD13">
            <v>10.7</v>
          </cell>
          <cell r="AE13">
            <v>-4.34</v>
          </cell>
        </row>
        <row r="14">
          <cell r="A14">
            <v>38429</v>
          </cell>
          <cell r="B14">
            <v>104.5</v>
          </cell>
          <cell r="C14">
            <v>-69.88</v>
          </cell>
          <cell r="F14">
            <v>22.8</v>
          </cell>
          <cell r="G14">
            <v>9.98</v>
          </cell>
          <cell r="J14">
            <v>14.55</v>
          </cell>
          <cell r="K14">
            <v>10.55</v>
          </cell>
          <cell r="N14">
            <v>52.5</v>
          </cell>
          <cell r="O14">
            <v>-34.880000000000003</v>
          </cell>
          <cell r="R14">
            <v>49.3</v>
          </cell>
          <cell r="S14">
            <v>-18</v>
          </cell>
          <cell r="V14">
            <v>58.5</v>
          </cell>
          <cell r="W14">
            <v>-12.34</v>
          </cell>
          <cell r="Z14">
            <v>3.0249999999999999</v>
          </cell>
          <cell r="AA14">
            <v>-15.93</v>
          </cell>
          <cell r="AD14">
            <v>10.65</v>
          </cell>
          <cell r="AE14">
            <v>-2.14</v>
          </cell>
        </row>
        <row r="15">
          <cell r="A15">
            <v>38436</v>
          </cell>
          <cell r="B15">
            <v>104</v>
          </cell>
          <cell r="C15">
            <v>-17.77</v>
          </cell>
          <cell r="F15">
            <v>22.65</v>
          </cell>
          <cell r="G15">
            <v>-6.77</v>
          </cell>
          <cell r="J15">
            <v>14.45</v>
          </cell>
          <cell r="K15">
            <v>-113.06</v>
          </cell>
          <cell r="N15">
            <v>50.75</v>
          </cell>
          <cell r="O15">
            <v>-13.4</v>
          </cell>
          <cell r="R15">
            <v>46.6</v>
          </cell>
          <cell r="S15">
            <v>-65.67</v>
          </cell>
          <cell r="V15">
            <v>57.75</v>
          </cell>
          <cell r="W15">
            <v>-4.57</v>
          </cell>
          <cell r="Z15">
            <v>2.95</v>
          </cell>
          <cell r="AA15">
            <v>-12.8</v>
          </cell>
          <cell r="AD15">
            <v>10.6</v>
          </cell>
          <cell r="AE15">
            <v>-7.18</v>
          </cell>
        </row>
        <row r="16">
          <cell r="A16">
            <v>38443</v>
          </cell>
          <cell r="B16">
            <v>103.5</v>
          </cell>
          <cell r="C16">
            <v>-97.33</v>
          </cell>
          <cell r="F16">
            <v>22.65</v>
          </cell>
          <cell r="G16">
            <v>-12.03</v>
          </cell>
          <cell r="J16">
            <v>14.35</v>
          </cell>
          <cell r="K16">
            <v>-76.64</v>
          </cell>
          <cell r="N16">
            <v>50.25</v>
          </cell>
          <cell r="O16">
            <v>-4.45</v>
          </cell>
          <cell r="R16">
            <v>47.6</v>
          </cell>
          <cell r="S16">
            <v>2.73</v>
          </cell>
          <cell r="V16">
            <v>57.75</v>
          </cell>
          <cell r="W16">
            <v>-2.41</v>
          </cell>
          <cell r="Z16">
            <v>3.0249999999999999</v>
          </cell>
          <cell r="AA16">
            <v>-0.05</v>
          </cell>
          <cell r="AD16">
            <v>10.6</v>
          </cell>
          <cell r="AE16">
            <v>-7.94</v>
          </cell>
        </row>
        <row r="17">
          <cell r="A17">
            <v>38450</v>
          </cell>
          <cell r="B17">
            <v>104</v>
          </cell>
          <cell r="C17">
            <v>-23.73</v>
          </cell>
          <cell r="F17">
            <v>22.65</v>
          </cell>
          <cell r="G17">
            <v>4.01</v>
          </cell>
          <cell r="J17">
            <v>14.35</v>
          </cell>
          <cell r="K17">
            <v>-60.69</v>
          </cell>
          <cell r="N17">
            <v>53.5</v>
          </cell>
          <cell r="O17">
            <v>5.93</v>
          </cell>
          <cell r="R17">
            <v>49.7</v>
          </cell>
          <cell r="S17">
            <v>10.119999999999999</v>
          </cell>
          <cell r="V17">
            <v>59</v>
          </cell>
          <cell r="W17">
            <v>1.1100000000000001</v>
          </cell>
          <cell r="Z17">
            <v>3.0249999999999999</v>
          </cell>
          <cell r="AA17">
            <v>5.58</v>
          </cell>
          <cell r="AD17">
            <v>10.050000000000001</v>
          </cell>
          <cell r="AE17">
            <v>-6.27</v>
          </cell>
        </row>
        <row r="18">
          <cell r="A18">
            <v>38457</v>
          </cell>
          <cell r="B18">
            <v>103.5</v>
          </cell>
          <cell r="C18">
            <v>-44.26</v>
          </cell>
          <cell r="F18">
            <v>22.7</v>
          </cell>
          <cell r="G18">
            <v>7.07</v>
          </cell>
          <cell r="J18">
            <v>14.4</v>
          </cell>
          <cell r="K18">
            <v>-38.78</v>
          </cell>
          <cell r="N18">
            <v>52</v>
          </cell>
          <cell r="O18">
            <v>0.68</v>
          </cell>
          <cell r="R18">
            <v>48.2</v>
          </cell>
          <cell r="S18">
            <v>2.73</v>
          </cell>
          <cell r="V18">
            <v>56</v>
          </cell>
          <cell r="W18">
            <v>-1.98</v>
          </cell>
          <cell r="Z18">
            <v>3</v>
          </cell>
          <cell r="AA18">
            <v>2.92</v>
          </cell>
          <cell r="AD18">
            <v>9.9499999999999993</v>
          </cell>
          <cell r="AE18">
            <v>-9.43</v>
          </cell>
        </row>
        <row r="19">
          <cell r="A19">
            <v>38464</v>
          </cell>
          <cell r="B19">
            <v>104</v>
          </cell>
          <cell r="C19">
            <v>-43.06</v>
          </cell>
          <cell r="F19">
            <v>22.75</v>
          </cell>
          <cell r="G19">
            <v>1.04</v>
          </cell>
          <cell r="J19">
            <v>14.5</v>
          </cell>
          <cell r="K19">
            <v>-47.26</v>
          </cell>
          <cell r="N19">
            <v>50.25</v>
          </cell>
          <cell r="O19">
            <v>-4.0599999999999996</v>
          </cell>
          <cell r="R19">
            <v>48.3</v>
          </cell>
          <cell r="S19">
            <v>2.48</v>
          </cell>
          <cell r="V19">
            <v>57</v>
          </cell>
          <cell r="W19">
            <v>1.34</v>
          </cell>
          <cell r="Z19">
            <v>3</v>
          </cell>
          <cell r="AA19">
            <v>-2.27</v>
          </cell>
          <cell r="AD19">
            <v>9.9</v>
          </cell>
          <cell r="AE19">
            <v>-5.08</v>
          </cell>
        </row>
        <row r="20">
          <cell r="A20">
            <v>38471</v>
          </cell>
          <cell r="B20">
            <v>106.5</v>
          </cell>
          <cell r="C20">
            <v>37.590000000000003</v>
          </cell>
          <cell r="F20">
            <v>22.85</v>
          </cell>
          <cell r="G20">
            <v>3</v>
          </cell>
          <cell r="J20">
            <v>14.75</v>
          </cell>
          <cell r="K20">
            <v>84</v>
          </cell>
          <cell r="N20">
            <v>50.25</v>
          </cell>
          <cell r="O20">
            <v>2.94</v>
          </cell>
          <cell r="R20">
            <v>49.2</v>
          </cell>
          <cell r="S20">
            <v>4.41</v>
          </cell>
          <cell r="V20">
            <v>57</v>
          </cell>
          <cell r="W20">
            <v>1.84</v>
          </cell>
          <cell r="Z20">
            <v>3.05</v>
          </cell>
          <cell r="AA20">
            <v>4.4400000000000004</v>
          </cell>
          <cell r="AD20">
            <v>9.8000000000000007</v>
          </cell>
          <cell r="AE20">
            <v>-0.61</v>
          </cell>
        </row>
        <row r="21">
          <cell r="A21">
            <v>38478</v>
          </cell>
          <cell r="B21">
            <v>106</v>
          </cell>
          <cell r="C21">
            <v>-36.56</v>
          </cell>
          <cell r="F21">
            <v>23.15</v>
          </cell>
          <cell r="G21">
            <v>4.1399999999999997</v>
          </cell>
          <cell r="J21">
            <v>14.85</v>
          </cell>
          <cell r="K21">
            <v>37.36</v>
          </cell>
          <cell r="N21">
            <v>50.5</v>
          </cell>
          <cell r="O21">
            <v>0.52</v>
          </cell>
          <cell r="R21">
            <v>50</v>
          </cell>
          <cell r="S21">
            <v>-2.21</v>
          </cell>
          <cell r="V21">
            <v>56.25</v>
          </cell>
          <cell r="W21">
            <v>-0.48499999999999999</v>
          </cell>
          <cell r="Z21">
            <v>3.0750000000000002</v>
          </cell>
          <cell r="AA21">
            <v>-2.37</v>
          </cell>
          <cell r="AD21">
            <v>9.8000000000000007</v>
          </cell>
          <cell r="AE21">
            <v>-3.8</v>
          </cell>
        </row>
        <row r="22">
          <cell r="A22">
            <v>38485</v>
          </cell>
          <cell r="B22">
            <v>105</v>
          </cell>
          <cell r="C22">
            <v>-27.78</v>
          </cell>
          <cell r="F22">
            <v>22.75</v>
          </cell>
          <cell r="G22">
            <v>-20.81</v>
          </cell>
          <cell r="J22">
            <v>14.8</v>
          </cell>
          <cell r="K22">
            <v>18.75</v>
          </cell>
          <cell r="N22">
            <v>50.5</v>
          </cell>
          <cell r="O22">
            <v>2.94</v>
          </cell>
          <cell r="R22">
            <v>51.75</v>
          </cell>
          <cell r="S22">
            <v>19.62</v>
          </cell>
          <cell r="V22">
            <v>56.25</v>
          </cell>
          <cell r="W22">
            <v>-1.62</v>
          </cell>
          <cell r="Z22">
            <v>2.9750000000000001</v>
          </cell>
          <cell r="AA22">
            <v>-3.13</v>
          </cell>
          <cell r="AD22">
            <v>9.65</v>
          </cell>
          <cell r="AE22">
            <v>-3.79</v>
          </cell>
        </row>
        <row r="23">
          <cell r="A23">
            <v>38492</v>
          </cell>
          <cell r="B23">
            <v>105.5</v>
          </cell>
          <cell r="C23">
            <v>-37.68</v>
          </cell>
          <cell r="F23">
            <v>22.65</v>
          </cell>
          <cell r="G23">
            <v>-1.6</v>
          </cell>
          <cell r="J23">
            <v>14.4</v>
          </cell>
          <cell r="K23">
            <v>-4.08</v>
          </cell>
          <cell r="N23">
            <v>49.5</v>
          </cell>
          <cell r="O23">
            <v>-1.33</v>
          </cell>
          <cell r="R23">
            <v>51</v>
          </cell>
          <cell r="S23">
            <v>3.14</v>
          </cell>
          <cell r="V23">
            <v>56.75</v>
          </cell>
          <cell r="W23">
            <v>-1.03</v>
          </cell>
          <cell r="Z23">
            <v>2.875</v>
          </cell>
          <cell r="AA23">
            <v>-0.6</v>
          </cell>
          <cell r="AD23">
            <v>9.5500000000000007</v>
          </cell>
          <cell r="AE23">
            <v>-2.15</v>
          </cell>
        </row>
        <row r="24">
          <cell r="A24">
            <v>38499</v>
          </cell>
          <cell r="B24">
            <v>104.5</v>
          </cell>
          <cell r="C24">
            <v>-53.27</v>
          </cell>
          <cell r="F24">
            <v>22.75</v>
          </cell>
          <cell r="G24">
            <v>21.34</v>
          </cell>
          <cell r="J24">
            <v>14.4</v>
          </cell>
          <cell r="K24">
            <v>-6.06</v>
          </cell>
          <cell r="N24">
            <v>50.5</v>
          </cell>
          <cell r="O24">
            <v>7.0999999999999994E-2</v>
          </cell>
          <cell r="R24">
            <v>53</v>
          </cell>
          <cell r="S24">
            <v>12.51</v>
          </cell>
          <cell r="V24">
            <v>57.25</v>
          </cell>
          <cell r="W24">
            <v>-1.554</v>
          </cell>
          <cell r="Z24">
            <v>2.9</v>
          </cell>
          <cell r="AA24">
            <v>-0.97</v>
          </cell>
          <cell r="AD24">
            <v>9.5</v>
          </cell>
          <cell r="AE24">
            <v>-0.11799999999999999</v>
          </cell>
        </row>
        <row r="25">
          <cell r="A25">
            <v>38506</v>
          </cell>
          <cell r="B25">
            <v>104.5</v>
          </cell>
          <cell r="C25">
            <v>-10.52</v>
          </cell>
          <cell r="F25">
            <v>22.75</v>
          </cell>
          <cell r="G25">
            <v>6.68</v>
          </cell>
          <cell r="J25">
            <v>14.35</v>
          </cell>
          <cell r="K25">
            <v>19.739999999999998</v>
          </cell>
          <cell r="N25">
            <v>50.75</v>
          </cell>
          <cell r="O25">
            <v>-1.53</v>
          </cell>
          <cell r="R25">
            <v>55</v>
          </cell>
          <cell r="S25">
            <v>79.45</v>
          </cell>
          <cell r="V25">
            <v>58.75</v>
          </cell>
          <cell r="W25">
            <v>4.95</v>
          </cell>
          <cell r="Z25">
            <v>2.9249999999999998</v>
          </cell>
          <cell r="AA25">
            <v>-3.51</v>
          </cell>
          <cell r="AD25">
            <v>9.5500000000000007</v>
          </cell>
          <cell r="AE25">
            <v>-3.2</v>
          </cell>
        </row>
        <row r="26">
          <cell r="A26">
            <v>38513</v>
          </cell>
          <cell r="B26">
            <v>105.5</v>
          </cell>
          <cell r="C26">
            <v>-16.53</v>
          </cell>
          <cell r="F26">
            <v>22.75</v>
          </cell>
          <cell r="G26">
            <v>16.29</v>
          </cell>
          <cell r="J26">
            <v>14.5</v>
          </cell>
          <cell r="K26">
            <v>30.8</v>
          </cell>
          <cell r="N26">
            <v>52</v>
          </cell>
          <cell r="O26">
            <v>4.7699999999999996</v>
          </cell>
          <cell r="R26">
            <v>51.75</v>
          </cell>
          <cell r="S26">
            <v>-12.59</v>
          </cell>
          <cell r="V26">
            <v>58.75</v>
          </cell>
          <cell r="W26">
            <v>0.76</v>
          </cell>
          <cell r="Z26">
            <v>2.9</v>
          </cell>
          <cell r="AA26">
            <v>-3.64</v>
          </cell>
          <cell r="AD26">
            <v>9.5500000000000007</v>
          </cell>
          <cell r="AE26">
            <v>-2.17</v>
          </cell>
        </row>
        <row r="27">
          <cell r="A27">
            <v>38520</v>
          </cell>
          <cell r="B27">
            <v>105</v>
          </cell>
          <cell r="C27">
            <v>51.11</v>
          </cell>
          <cell r="F27">
            <v>22.7</v>
          </cell>
          <cell r="G27">
            <v>0.22</v>
          </cell>
          <cell r="J27">
            <v>14.4</v>
          </cell>
          <cell r="K27">
            <v>-21.75</v>
          </cell>
          <cell r="N27">
            <v>51.75</v>
          </cell>
          <cell r="O27">
            <v>7.58</v>
          </cell>
          <cell r="R27">
            <v>52.5</v>
          </cell>
          <cell r="S27">
            <v>1.3180000000000001</v>
          </cell>
          <cell r="V27">
            <v>58.75</v>
          </cell>
          <cell r="W27">
            <v>0.36</v>
          </cell>
          <cell r="Z27">
            <v>2.9249999999999998</v>
          </cell>
          <cell r="AA27">
            <v>2.89</v>
          </cell>
          <cell r="AD27">
            <v>9.6</v>
          </cell>
          <cell r="AE27">
            <v>-0.13</v>
          </cell>
        </row>
        <row r="28">
          <cell r="A28">
            <v>38527</v>
          </cell>
          <cell r="B28">
            <v>106.5</v>
          </cell>
          <cell r="C28">
            <v>-31.09</v>
          </cell>
          <cell r="F28">
            <v>22.9</v>
          </cell>
          <cell r="G28">
            <v>-0.54</v>
          </cell>
          <cell r="J28">
            <v>14.6</v>
          </cell>
          <cell r="K28">
            <v>12.26</v>
          </cell>
          <cell r="N28">
            <v>51.5</v>
          </cell>
          <cell r="O28">
            <v>3.67</v>
          </cell>
          <cell r="R28">
            <v>51.75</v>
          </cell>
          <cell r="S28">
            <v>-18.39</v>
          </cell>
          <cell r="V28">
            <v>58</v>
          </cell>
          <cell r="W28">
            <v>-1.24</v>
          </cell>
          <cell r="Z28">
            <v>3.0750000000000002</v>
          </cell>
          <cell r="AA28">
            <v>18.04</v>
          </cell>
          <cell r="AD28">
            <v>9.6</v>
          </cell>
          <cell r="AE28">
            <v>-0.28000000000000003</v>
          </cell>
        </row>
        <row r="29">
          <cell r="A29">
            <v>38534</v>
          </cell>
          <cell r="B29">
            <v>106</v>
          </cell>
          <cell r="C29">
            <v>-27.7</v>
          </cell>
          <cell r="F29">
            <v>22.95</v>
          </cell>
          <cell r="G29">
            <v>-11.45</v>
          </cell>
          <cell r="J29">
            <v>14.7</v>
          </cell>
          <cell r="K29">
            <v>44.76</v>
          </cell>
          <cell r="N29">
            <v>52</v>
          </cell>
          <cell r="O29">
            <v>4.5999999999999996</v>
          </cell>
          <cell r="R29">
            <v>50.75</v>
          </cell>
          <cell r="S29">
            <v>-12.89</v>
          </cell>
          <cell r="V29">
            <v>58.5</v>
          </cell>
          <cell r="W29">
            <v>5.89</v>
          </cell>
          <cell r="Z29">
            <v>3</v>
          </cell>
          <cell r="AA29">
            <v>0.48</v>
          </cell>
          <cell r="AD29">
            <v>9.5500000000000007</v>
          </cell>
          <cell r="AE29">
            <v>0.03</v>
          </cell>
        </row>
        <row r="30">
          <cell r="A30">
            <v>38541</v>
          </cell>
          <cell r="B30">
            <v>104.9</v>
          </cell>
          <cell r="C30">
            <v>-67.010000000000005</v>
          </cell>
          <cell r="F30">
            <v>22.8</v>
          </cell>
          <cell r="G30">
            <v>11.48</v>
          </cell>
          <cell r="J30">
            <v>14.5</v>
          </cell>
          <cell r="K30">
            <v>-15.84</v>
          </cell>
          <cell r="N30">
            <v>51.8</v>
          </cell>
          <cell r="O30">
            <v>2.65</v>
          </cell>
          <cell r="R30">
            <v>52.2</v>
          </cell>
          <cell r="S30">
            <v>10.87</v>
          </cell>
          <cell r="V30">
            <v>58</v>
          </cell>
          <cell r="W30">
            <v>-0.37</v>
          </cell>
          <cell r="Z30">
            <v>3.0249999999999999</v>
          </cell>
          <cell r="AA30">
            <v>4.1500000000000004</v>
          </cell>
          <cell r="AD30">
            <v>9.4499999999999993</v>
          </cell>
          <cell r="AE30">
            <v>-0.56000000000000005</v>
          </cell>
        </row>
        <row r="31">
          <cell r="A31">
            <v>38548</v>
          </cell>
          <cell r="B31">
            <v>106</v>
          </cell>
          <cell r="C31">
            <v>-32.56</v>
          </cell>
          <cell r="F31">
            <v>23.25</v>
          </cell>
          <cell r="G31">
            <v>-2.5099999999999998</v>
          </cell>
          <cell r="J31">
            <v>15.15</v>
          </cell>
          <cell r="K31">
            <v>383.07</v>
          </cell>
          <cell r="N31">
            <v>53.2</v>
          </cell>
          <cell r="O31">
            <v>-5.65</v>
          </cell>
          <cell r="R31">
            <v>53.6</v>
          </cell>
          <cell r="S31">
            <v>4.8600000000000003</v>
          </cell>
          <cell r="V31">
            <v>59.1</v>
          </cell>
          <cell r="W31">
            <v>-2.4500000000000002</v>
          </cell>
          <cell r="Z31">
            <v>3.125</v>
          </cell>
          <cell r="AA31">
            <v>3.07</v>
          </cell>
          <cell r="AD31">
            <v>9.65</v>
          </cell>
          <cell r="AE31">
            <v>-7.03</v>
          </cell>
        </row>
        <row r="32">
          <cell r="A32">
            <v>38555</v>
          </cell>
          <cell r="B32">
            <v>107.2</v>
          </cell>
          <cell r="C32">
            <v>11.61</v>
          </cell>
          <cell r="F32">
            <v>23.65</v>
          </cell>
          <cell r="G32">
            <v>-23.17</v>
          </cell>
          <cell r="J32">
            <v>15.55</v>
          </cell>
          <cell r="K32">
            <v>191.63</v>
          </cell>
          <cell r="N32">
            <v>54.85</v>
          </cell>
          <cell r="O32">
            <v>14.48</v>
          </cell>
          <cell r="R32">
            <v>55.05</v>
          </cell>
          <cell r="S32">
            <v>19.86</v>
          </cell>
          <cell r="V32">
            <v>61.5</v>
          </cell>
          <cell r="W32">
            <v>4.42</v>
          </cell>
          <cell r="Z32">
            <v>3.15</v>
          </cell>
          <cell r="AA32">
            <v>6.47</v>
          </cell>
          <cell r="AD32">
            <v>10.35</v>
          </cell>
          <cell r="AE32">
            <v>17.239999999999998</v>
          </cell>
        </row>
        <row r="33">
          <cell r="A33">
            <v>38562</v>
          </cell>
          <cell r="B33">
            <v>107.5</v>
          </cell>
          <cell r="C33">
            <v>-39.619999999999997</v>
          </cell>
          <cell r="F33">
            <v>23.65</v>
          </cell>
          <cell r="G33">
            <v>-1.52</v>
          </cell>
          <cell r="J33">
            <v>15.7</v>
          </cell>
          <cell r="K33">
            <v>227.26</v>
          </cell>
          <cell r="N33">
            <v>56.8</v>
          </cell>
          <cell r="O33">
            <v>36.9</v>
          </cell>
          <cell r="R33">
            <v>55.55</v>
          </cell>
          <cell r="S33">
            <v>4.5999999999999996</v>
          </cell>
          <cell r="V33">
            <v>63.1</v>
          </cell>
          <cell r="W33">
            <v>12.02</v>
          </cell>
          <cell r="Z33">
            <v>3.2</v>
          </cell>
          <cell r="AA33">
            <v>1.536</v>
          </cell>
          <cell r="AD33">
            <v>10.1</v>
          </cell>
          <cell r="AE33">
            <v>-2.65</v>
          </cell>
        </row>
        <row r="34">
          <cell r="A34">
            <v>38569</v>
          </cell>
          <cell r="B34">
            <v>107.2</v>
          </cell>
          <cell r="C34">
            <v>58.19</v>
          </cell>
          <cell r="F34">
            <v>23.6</v>
          </cell>
          <cell r="G34">
            <v>17.07</v>
          </cell>
          <cell r="J34">
            <v>16.100000000000001</v>
          </cell>
          <cell r="K34">
            <v>330.89</v>
          </cell>
          <cell r="N34">
            <v>57.3</v>
          </cell>
          <cell r="O34">
            <v>16.77</v>
          </cell>
          <cell r="R34">
            <v>56.6</v>
          </cell>
          <cell r="S34">
            <v>12.85</v>
          </cell>
          <cell r="V34">
            <v>64.150000000000006</v>
          </cell>
          <cell r="W34">
            <v>11.16</v>
          </cell>
          <cell r="Z34">
            <v>3.15</v>
          </cell>
          <cell r="AA34">
            <v>10.41</v>
          </cell>
          <cell r="AD34">
            <v>10.4</v>
          </cell>
          <cell r="AE34">
            <v>1.54</v>
          </cell>
        </row>
        <row r="35">
          <cell r="A35">
            <v>38576</v>
          </cell>
          <cell r="B35">
            <v>107.7</v>
          </cell>
          <cell r="C35">
            <v>42.76</v>
          </cell>
          <cell r="F35">
            <v>23.5</v>
          </cell>
          <cell r="G35">
            <v>10.49</v>
          </cell>
          <cell r="J35">
            <v>16.55</v>
          </cell>
          <cell r="K35">
            <v>118.96</v>
          </cell>
          <cell r="N35">
            <v>57.35</v>
          </cell>
          <cell r="O35">
            <v>9.7200000000000006</v>
          </cell>
          <cell r="R35">
            <v>59.1</v>
          </cell>
          <cell r="S35">
            <v>18.95</v>
          </cell>
          <cell r="V35">
            <v>65.2</v>
          </cell>
          <cell r="W35">
            <v>-0.56000000000000005</v>
          </cell>
          <cell r="Z35">
            <v>3.1749999999999998</v>
          </cell>
          <cell r="AA35">
            <v>-3.62</v>
          </cell>
          <cell r="AD35">
            <v>10.45</v>
          </cell>
          <cell r="AE35">
            <v>4.2</v>
          </cell>
        </row>
        <row r="36">
          <cell r="A36">
            <v>38583</v>
          </cell>
          <cell r="B36">
            <v>107.3</v>
          </cell>
          <cell r="C36">
            <v>60.53</v>
          </cell>
          <cell r="F36">
            <v>23</v>
          </cell>
          <cell r="G36">
            <v>9.65</v>
          </cell>
          <cell r="J36">
            <v>15.7</v>
          </cell>
          <cell r="K36">
            <v>-73.900000000000006</v>
          </cell>
          <cell r="N36">
            <v>52.1</v>
          </cell>
          <cell r="O36">
            <v>-25.22</v>
          </cell>
          <cell r="R36">
            <v>56.45</v>
          </cell>
          <cell r="S36">
            <v>-7.85</v>
          </cell>
          <cell r="V36">
            <v>63.5</v>
          </cell>
          <cell r="W36">
            <v>2.17</v>
          </cell>
          <cell r="Z36">
            <v>3.1749999999999998</v>
          </cell>
          <cell r="AA36">
            <v>-6.97</v>
          </cell>
          <cell r="AD36">
            <v>10.45</v>
          </cell>
          <cell r="AE36">
            <v>13.04</v>
          </cell>
        </row>
        <row r="37">
          <cell r="A37">
            <v>38590</v>
          </cell>
          <cell r="B37">
            <v>105</v>
          </cell>
          <cell r="C37">
            <v>-63.82</v>
          </cell>
          <cell r="F37">
            <v>22.8</v>
          </cell>
          <cell r="G37">
            <v>-6.1</v>
          </cell>
          <cell r="J37">
            <v>15.85</v>
          </cell>
          <cell r="K37">
            <v>-96.96</v>
          </cell>
          <cell r="N37">
            <v>51.35</v>
          </cell>
          <cell r="O37">
            <v>-10.9</v>
          </cell>
          <cell r="R37">
            <v>57.3</v>
          </cell>
          <cell r="S37">
            <v>-3.81</v>
          </cell>
          <cell r="V37">
            <v>65.2</v>
          </cell>
          <cell r="W37">
            <v>6.77</v>
          </cell>
          <cell r="Z37">
            <v>3.25</v>
          </cell>
          <cell r="AA37">
            <v>1.69</v>
          </cell>
          <cell r="AD37">
            <v>10.3</v>
          </cell>
          <cell r="AE37">
            <v>2.42</v>
          </cell>
        </row>
        <row r="38">
          <cell r="A38">
            <v>38597</v>
          </cell>
          <cell r="B38">
            <v>105.4</v>
          </cell>
          <cell r="C38">
            <v>-43.27</v>
          </cell>
          <cell r="F38">
            <v>23.05</v>
          </cell>
          <cell r="G38">
            <v>-16.399999999999999</v>
          </cell>
          <cell r="J38">
            <v>16.05</v>
          </cell>
          <cell r="K38">
            <v>-78.41</v>
          </cell>
          <cell r="N38">
            <v>52.9</v>
          </cell>
          <cell r="O38">
            <v>8.77</v>
          </cell>
          <cell r="R38">
            <v>56.7</v>
          </cell>
          <cell r="S38">
            <v>-1.01</v>
          </cell>
          <cell r="V38">
            <v>64.25</v>
          </cell>
          <cell r="W38">
            <v>0.99</v>
          </cell>
          <cell r="Z38">
            <v>3.1</v>
          </cell>
          <cell r="AA38">
            <v>5.85</v>
          </cell>
          <cell r="AD38">
            <v>10.1</v>
          </cell>
          <cell r="AE38">
            <v>-10.41</v>
          </cell>
        </row>
        <row r="39">
          <cell r="A39">
            <v>38604</v>
          </cell>
          <cell r="B39">
            <v>105.1</v>
          </cell>
          <cell r="C39">
            <v>8.69</v>
          </cell>
          <cell r="F39">
            <v>22.85</v>
          </cell>
          <cell r="G39">
            <v>9.59</v>
          </cell>
          <cell r="J39">
            <v>15.75</v>
          </cell>
          <cell r="K39">
            <v>-21.48</v>
          </cell>
          <cell r="N39">
            <v>53</v>
          </cell>
          <cell r="O39">
            <v>14.95</v>
          </cell>
          <cell r="R39">
            <v>55.9</v>
          </cell>
          <cell r="S39">
            <v>-15</v>
          </cell>
          <cell r="V39">
            <v>63.3</v>
          </cell>
          <cell r="W39">
            <v>-1.08</v>
          </cell>
          <cell r="Z39">
            <v>3.0249999999999999</v>
          </cell>
          <cell r="AA39">
            <v>1.24</v>
          </cell>
          <cell r="AD39">
            <v>10.1</v>
          </cell>
          <cell r="AE39">
            <v>-5.92</v>
          </cell>
        </row>
        <row r="40">
          <cell r="A40">
            <v>38611</v>
          </cell>
          <cell r="B40">
            <v>104.4</v>
          </cell>
          <cell r="C40">
            <v>-25.51</v>
          </cell>
          <cell r="F40">
            <v>22.5</v>
          </cell>
          <cell r="G40">
            <v>-26.2</v>
          </cell>
          <cell r="J40">
            <v>15.35</v>
          </cell>
          <cell r="K40">
            <v>-114.67</v>
          </cell>
          <cell r="N40">
            <v>52.5</v>
          </cell>
          <cell r="O40">
            <v>5.93</v>
          </cell>
          <cell r="R40">
            <v>56.2</v>
          </cell>
          <cell r="S40">
            <v>-11.67</v>
          </cell>
          <cell r="V40">
            <v>62.3</v>
          </cell>
          <cell r="W40">
            <v>2.63</v>
          </cell>
          <cell r="Z40">
            <v>3</v>
          </cell>
          <cell r="AA40">
            <v>-3.67</v>
          </cell>
          <cell r="AD40">
            <v>9.8000000000000007</v>
          </cell>
          <cell r="AE40">
            <v>-7.96</v>
          </cell>
        </row>
        <row r="41">
          <cell r="A41">
            <v>38618</v>
          </cell>
          <cell r="B41">
            <v>103.8</v>
          </cell>
          <cell r="C41">
            <v>-3.18</v>
          </cell>
          <cell r="F41">
            <v>22.6</v>
          </cell>
          <cell r="G41">
            <v>15.2</v>
          </cell>
          <cell r="J41">
            <v>15.35</v>
          </cell>
          <cell r="K41">
            <v>-16.36</v>
          </cell>
          <cell r="N41">
            <v>51.8</v>
          </cell>
          <cell r="O41">
            <v>-2.5099999999999998</v>
          </cell>
          <cell r="R41">
            <v>56.5</v>
          </cell>
          <cell r="S41">
            <v>-9.2200000000000006</v>
          </cell>
          <cell r="V41">
            <v>60.05</v>
          </cell>
          <cell r="W41">
            <v>0.31</v>
          </cell>
          <cell r="Z41">
            <v>2.9750000000000001</v>
          </cell>
          <cell r="AA41">
            <v>-0.61</v>
          </cell>
          <cell r="AD41">
            <v>9.9</v>
          </cell>
          <cell r="AE41">
            <v>0.04</v>
          </cell>
        </row>
        <row r="42">
          <cell r="A42">
            <v>38625</v>
          </cell>
          <cell r="B42">
            <v>104.3</v>
          </cell>
          <cell r="C42">
            <v>-88.07</v>
          </cell>
          <cell r="F42">
            <v>22.7</v>
          </cell>
          <cell r="G42">
            <v>-7.41</v>
          </cell>
          <cell r="J42">
            <v>15.55</v>
          </cell>
          <cell r="K42">
            <v>-10.77</v>
          </cell>
          <cell r="N42">
            <v>52</v>
          </cell>
          <cell r="O42">
            <v>-0.19</v>
          </cell>
          <cell r="R42">
            <v>57.1</v>
          </cell>
          <cell r="S42">
            <v>-3.39</v>
          </cell>
          <cell r="V42">
            <v>59.45</v>
          </cell>
          <cell r="W42">
            <v>-1.728</v>
          </cell>
          <cell r="Z42">
            <v>3.1</v>
          </cell>
          <cell r="AA42">
            <v>8.33</v>
          </cell>
          <cell r="AD42">
            <v>9.8000000000000007</v>
          </cell>
          <cell r="AE42">
            <v>-11.28</v>
          </cell>
        </row>
        <row r="43">
          <cell r="A43">
            <v>38632</v>
          </cell>
          <cell r="B43">
            <v>102.5</v>
          </cell>
          <cell r="C43">
            <v>-122.2</v>
          </cell>
          <cell r="F43">
            <v>22.8</v>
          </cell>
          <cell r="G43">
            <v>10.76</v>
          </cell>
          <cell r="J43">
            <v>15.25</v>
          </cell>
          <cell r="K43">
            <v>-83.65</v>
          </cell>
          <cell r="N43">
            <v>50.6</v>
          </cell>
          <cell r="O43">
            <v>-2.66</v>
          </cell>
          <cell r="R43">
            <v>53.6</v>
          </cell>
          <cell r="S43">
            <v>-21.63</v>
          </cell>
          <cell r="V43">
            <v>58.7</v>
          </cell>
          <cell r="W43">
            <v>-0.91</v>
          </cell>
          <cell r="Z43">
            <v>2.9750000000000001</v>
          </cell>
          <cell r="AA43">
            <v>-5.52</v>
          </cell>
          <cell r="AD43">
            <v>9.85</v>
          </cell>
          <cell r="AE43">
            <v>4.0199999999999996</v>
          </cell>
        </row>
        <row r="44">
          <cell r="A44">
            <v>38639</v>
          </cell>
          <cell r="B44">
            <v>101</v>
          </cell>
          <cell r="C44">
            <v>-132.09</v>
          </cell>
          <cell r="F44">
            <v>22.6</v>
          </cell>
          <cell r="G44">
            <v>-10.85</v>
          </cell>
          <cell r="J44">
            <v>14.85</v>
          </cell>
          <cell r="K44">
            <v>-176.9</v>
          </cell>
          <cell r="N44">
            <v>48.8</v>
          </cell>
          <cell r="O44">
            <v>-7.58</v>
          </cell>
          <cell r="R44">
            <v>53.25</v>
          </cell>
          <cell r="S44">
            <v>-7.24</v>
          </cell>
          <cell r="V44">
            <v>54.6</v>
          </cell>
          <cell r="W44">
            <v>-7.21</v>
          </cell>
          <cell r="Z44">
            <v>2.95</v>
          </cell>
          <cell r="AA44">
            <v>0</v>
          </cell>
          <cell r="AD44">
            <v>9.65</v>
          </cell>
          <cell r="AE44">
            <v>1.2030000000000001</v>
          </cell>
        </row>
        <row r="45">
          <cell r="A45">
            <v>38646</v>
          </cell>
          <cell r="B45">
            <v>100.4</v>
          </cell>
          <cell r="C45">
            <v>-99.86</v>
          </cell>
          <cell r="F45">
            <v>22.7</v>
          </cell>
          <cell r="G45">
            <v>20.76</v>
          </cell>
          <cell r="J45">
            <v>14.55</v>
          </cell>
          <cell r="K45">
            <v>-219.91</v>
          </cell>
          <cell r="N45">
            <v>50</v>
          </cell>
          <cell r="O45">
            <v>2.5</v>
          </cell>
          <cell r="R45">
            <v>53</v>
          </cell>
          <cell r="S45">
            <v>0.42</v>
          </cell>
          <cell r="V45">
            <v>56</v>
          </cell>
          <cell r="W45">
            <v>3.2909999999999999</v>
          </cell>
          <cell r="Z45">
            <v>2.95</v>
          </cell>
          <cell r="AA45">
            <v>2.7170000000000001</v>
          </cell>
          <cell r="AD45">
            <v>9.6</v>
          </cell>
          <cell r="AE45">
            <v>-0.62</v>
          </cell>
        </row>
        <row r="46">
          <cell r="A46">
            <v>38653</v>
          </cell>
          <cell r="B46">
            <v>100</v>
          </cell>
          <cell r="C46">
            <v>-50.85</v>
          </cell>
          <cell r="F46">
            <v>22.4</v>
          </cell>
          <cell r="G46">
            <v>4.51</v>
          </cell>
          <cell r="J46">
            <v>14.2</v>
          </cell>
          <cell r="K46">
            <v>-155.30000000000001</v>
          </cell>
          <cell r="N46">
            <v>47.55</v>
          </cell>
          <cell r="O46">
            <v>-4.4400000000000004</v>
          </cell>
          <cell r="R46">
            <v>53</v>
          </cell>
          <cell r="S46">
            <v>-3.38</v>
          </cell>
          <cell r="V46">
            <v>56</v>
          </cell>
          <cell r="W46">
            <v>2.601</v>
          </cell>
          <cell r="Z46">
            <v>2.7749999999999999</v>
          </cell>
          <cell r="AA46">
            <v>-0.59</v>
          </cell>
          <cell r="AD46">
            <v>9.4499999999999993</v>
          </cell>
          <cell r="AE46">
            <v>-3.46</v>
          </cell>
        </row>
        <row r="47">
          <cell r="A47">
            <v>38660</v>
          </cell>
          <cell r="B47">
            <v>101.7</v>
          </cell>
          <cell r="C47">
            <v>-34.25</v>
          </cell>
          <cell r="F47">
            <v>22.85</v>
          </cell>
          <cell r="G47">
            <v>5.96</v>
          </cell>
          <cell r="J47">
            <v>14.6</v>
          </cell>
          <cell r="K47">
            <v>-44.82</v>
          </cell>
          <cell r="N47">
            <v>48.3</v>
          </cell>
          <cell r="O47">
            <v>-1.22</v>
          </cell>
          <cell r="R47">
            <v>54.7</v>
          </cell>
          <cell r="S47">
            <v>6.98</v>
          </cell>
          <cell r="V47">
            <v>57.4</v>
          </cell>
          <cell r="W47">
            <v>-1.1499999999999999</v>
          </cell>
          <cell r="Z47">
            <v>2.875</v>
          </cell>
          <cell r="AA47">
            <v>1.82</v>
          </cell>
          <cell r="AD47">
            <v>9.8000000000000007</v>
          </cell>
          <cell r="AE47">
            <v>3.01</v>
          </cell>
        </row>
        <row r="48">
          <cell r="A48">
            <v>38667</v>
          </cell>
          <cell r="B48">
            <v>102.8</v>
          </cell>
          <cell r="C48">
            <v>18.96</v>
          </cell>
          <cell r="F48">
            <v>23.05</v>
          </cell>
          <cell r="G48">
            <v>18.239999999999998</v>
          </cell>
          <cell r="J48">
            <v>14.75</v>
          </cell>
          <cell r="K48">
            <v>52.66</v>
          </cell>
          <cell r="N48">
            <v>49.5</v>
          </cell>
          <cell r="O48">
            <v>3.6680000000000001</v>
          </cell>
          <cell r="R48">
            <v>54.8</v>
          </cell>
          <cell r="S48">
            <v>-0.55000000000000004</v>
          </cell>
          <cell r="V48">
            <v>58</v>
          </cell>
          <cell r="W48">
            <v>0.9</v>
          </cell>
          <cell r="Z48">
            <v>2.85</v>
          </cell>
          <cell r="AA48">
            <v>1.84</v>
          </cell>
          <cell r="AD48">
            <v>9.65</v>
          </cell>
          <cell r="AE48">
            <v>-1.57</v>
          </cell>
        </row>
        <row r="49">
          <cell r="A49">
            <v>38674</v>
          </cell>
          <cell r="B49">
            <v>103.1</v>
          </cell>
          <cell r="C49">
            <v>52.42</v>
          </cell>
          <cell r="F49">
            <v>23.1</v>
          </cell>
          <cell r="G49">
            <v>4.9800000000000004</v>
          </cell>
          <cell r="J49">
            <v>14.75</v>
          </cell>
          <cell r="K49">
            <v>35.47</v>
          </cell>
          <cell r="N49">
            <v>50.7</v>
          </cell>
          <cell r="O49">
            <v>-0.85</v>
          </cell>
          <cell r="R49">
            <v>54.9</v>
          </cell>
          <cell r="S49">
            <v>-3.78</v>
          </cell>
          <cell r="V49">
            <v>58.4</v>
          </cell>
          <cell r="W49">
            <v>0.26</v>
          </cell>
          <cell r="Z49">
            <v>2.875</v>
          </cell>
          <cell r="AA49">
            <v>-0.08</v>
          </cell>
          <cell r="AD49">
            <v>9.6999999999999993</v>
          </cell>
          <cell r="AE49">
            <v>-0.3</v>
          </cell>
        </row>
        <row r="50">
          <cell r="A50">
            <v>38681</v>
          </cell>
          <cell r="B50">
            <v>103.4</v>
          </cell>
          <cell r="C50">
            <v>49.1</v>
          </cell>
          <cell r="F50">
            <v>23.25</v>
          </cell>
          <cell r="G50">
            <v>14.85</v>
          </cell>
          <cell r="J50">
            <v>14.75</v>
          </cell>
          <cell r="K50">
            <v>-22.87</v>
          </cell>
          <cell r="N50">
            <v>52.85</v>
          </cell>
          <cell r="O50">
            <v>7.98</v>
          </cell>
          <cell r="R50">
            <v>55.45</v>
          </cell>
          <cell r="S50">
            <v>-1.32</v>
          </cell>
          <cell r="V50">
            <v>58.35</v>
          </cell>
          <cell r="W50">
            <v>-0.30599999999999999</v>
          </cell>
          <cell r="Z50">
            <v>2.95</v>
          </cell>
          <cell r="AA50">
            <v>8.0399999999999991</v>
          </cell>
          <cell r="AD50">
            <v>9.6</v>
          </cell>
          <cell r="AE50">
            <v>-3.8</v>
          </cell>
        </row>
        <row r="51">
          <cell r="A51">
            <v>38688</v>
          </cell>
          <cell r="B51">
            <v>103.1</v>
          </cell>
          <cell r="C51">
            <v>-6.34</v>
          </cell>
          <cell r="F51">
            <v>23.35</v>
          </cell>
          <cell r="G51">
            <v>-8.57</v>
          </cell>
          <cell r="J51">
            <v>14.75</v>
          </cell>
          <cell r="K51">
            <v>-12.65</v>
          </cell>
          <cell r="N51">
            <v>52.65</v>
          </cell>
          <cell r="O51">
            <v>2.11</v>
          </cell>
          <cell r="R51">
            <v>53.65</v>
          </cell>
          <cell r="S51">
            <v>-5.08</v>
          </cell>
          <cell r="V51">
            <v>59</v>
          </cell>
          <cell r="W51">
            <v>6.89</v>
          </cell>
          <cell r="Z51">
            <v>2.875</v>
          </cell>
          <cell r="AA51">
            <v>-0.64</v>
          </cell>
          <cell r="AD51">
            <v>9.75</v>
          </cell>
          <cell r="AE51">
            <v>0.39</v>
          </cell>
        </row>
        <row r="52">
          <cell r="A52">
            <v>38695</v>
          </cell>
          <cell r="B52">
            <v>102.4</v>
          </cell>
          <cell r="C52">
            <v>-44.9</v>
          </cell>
          <cell r="F52">
            <v>23.2</v>
          </cell>
          <cell r="G52">
            <v>1.89</v>
          </cell>
          <cell r="J52">
            <v>14.5</v>
          </cell>
          <cell r="K52">
            <v>-31.38</v>
          </cell>
          <cell r="N52">
            <v>52.8</v>
          </cell>
          <cell r="O52">
            <v>7.28</v>
          </cell>
          <cell r="R52">
            <v>53.6</v>
          </cell>
          <cell r="S52">
            <v>-11.42</v>
          </cell>
          <cell r="V52">
            <v>57.85</v>
          </cell>
          <cell r="W52">
            <v>-0.63</v>
          </cell>
          <cell r="Z52">
            <v>2.875</v>
          </cell>
          <cell r="AA52">
            <v>4.9400000000000004</v>
          </cell>
          <cell r="AD52">
            <v>9.5500000000000007</v>
          </cell>
          <cell r="AE52">
            <v>-3.75</v>
          </cell>
        </row>
        <row r="53">
          <cell r="A53">
            <v>38702</v>
          </cell>
          <cell r="B53">
            <v>103.1</v>
          </cell>
          <cell r="C53">
            <v>-24.6</v>
          </cell>
          <cell r="F53">
            <v>23.3</v>
          </cell>
          <cell r="G53">
            <v>21.66</v>
          </cell>
          <cell r="J53">
            <v>14.6</v>
          </cell>
          <cell r="K53">
            <v>19.12</v>
          </cell>
          <cell r="N53">
            <v>52.4</v>
          </cell>
          <cell r="O53">
            <v>-2.35</v>
          </cell>
          <cell r="R53">
            <v>54.5</v>
          </cell>
          <cell r="S53">
            <v>8.85</v>
          </cell>
          <cell r="V53">
            <v>58.5</v>
          </cell>
          <cell r="W53">
            <v>0.99</v>
          </cell>
          <cell r="Z53">
            <v>2.875</v>
          </cell>
          <cell r="AA53">
            <v>-7.82</v>
          </cell>
          <cell r="AD53">
            <v>9.5</v>
          </cell>
          <cell r="AE53">
            <v>-5.55</v>
          </cell>
        </row>
        <row r="54">
          <cell r="A54">
            <v>38709</v>
          </cell>
          <cell r="B54">
            <v>102.3</v>
          </cell>
          <cell r="C54">
            <v>-16.37</v>
          </cell>
          <cell r="F54">
            <v>23.35</v>
          </cell>
          <cell r="G54">
            <v>8.94</v>
          </cell>
          <cell r="J54">
            <v>14.8</v>
          </cell>
          <cell r="K54">
            <v>-13.3</v>
          </cell>
          <cell r="N54">
            <v>54</v>
          </cell>
          <cell r="O54">
            <v>10.1</v>
          </cell>
          <cell r="R54">
            <v>55.6</v>
          </cell>
          <cell r="S54">
            <v>-0.64</v>
          </cell>
          <cell r="V54">
            <v>59.3</v>
          </cell>
          <cell r="W54">
            <v>1.01</v>
          </cell>
          <cell r="Z54">
            <v>2.9</v>
          </cell>
          <cell r="AA54">
            <v>-2.02</v>
          </cell>
          <cell r="AD54">
            <v>9.5</v>
          </cell>
          <cell r="AE54">
            <v>0.31</v>
          </cell>
        </row>
        <row r="55">
          <cell r="A55">
            <v>38716</v>
          </cell>
          <cell r="B55">
            <v>101.2</v>
          </cell>
          <cell r="C55">
            <v>-24.34</v>
          </cell>
          <cell r="F55">
            <v>23.45</v>
          </cell>
          <cell r="G55">
            <v>7.11</v>
          </cell>
          <cell r="J55">
            <v>14.9</v>
          </cell>
          <cell r="K55">
            <v>-7.45</v>
          </cell>
          <cell r="N55">
            <v>53.9</v>
          </cell>
          <cell r="O55">
            <v>1.66</v>
          </cell>
          <cell r="R55">
            <v>55.8</v>
          </cell>
          <cell r="S55">
            <v>2.37</v>
          </cell>
          <cell r="V55">
            <v>60</v>
          </cell>
          <cell r="W55">
            <v>-0.36</v>
          </cell>
          <cell r="Z55">
            <v>2.875</v>
          </cell>
          <cell r="AA55">
            <v>-0.5</v>
          </cell>
          <cell r="AD55">
            <v>9.5</v>
          </cell>
          <cell r="AE55">
            <v>0.14000000000000001</v>
          </cell>
        </row>
        <row r="56">
          <cell r="A56">
            <v>38723</v>
          </cell>
          <cell r="B56">
            <v>102.3</v>
          </cell>
          <cell r="C56">
            <v>-23.7</v>
          </cell>
          <cell r="F56">
            <v>23.75</v>
          </cell>
          <cell r="G56">
            <v>16.05</v>
          </cell>
          <cell r="J56">
            <v>15.5</v>
          </cell>
          <cell r="K56">
            <v>53.27</v>
          </cell>
          <cell r="N56">
            <v>54.05</v>
          </cell>
          <cell r="O56">
            <v>2.56</v>
          </cell>
          <cell r="R56">
            <v>55</v>
          </cell>
          <cell r="S56">
            <v>-7.3</v>
          </cell>
          <cell r="V56">
            <v>59.3</v>
          </cell>
          <cell r="W56">
            <v>0.53400000000000003</v>
          </cell>
          <cell r="Z56">
            <v>3.0249999999999999</v>
          </cell>
          <cell r="AA56">
            <v>1.31</v>
          </cell>
          <cell r="AD56">
            <v>9.8000000000000007</v>
          </cell>
          <cell r="AE56">
            <v>-0.8</v>
          </cell>
        </row>
        <row r="57">
          <cell r="A57">
            <v>38730</v>
          </cell>
          <cell r="B57">
            <v>103.9</v>
          </cell>
          <cell r="C57">
            <v>22.48</v>
          </cell>
          <cell r="F57">
            <v>23.9</v>
          </cell>
          <cell r="G57">
            <v>28.57</v>
          </cell>
          <cell r="J57">
            <v>15.8</v>
          </cell>
          <cell r="K57">
            <v>275.82</v>
          </cell>
          <cell r="N57">
            <v>55.8</v>
          </cell>
          <cell r="O57">
            <v>13.25</v>
          </cell>
          <cell r="R57">
            <v>57.7</v>
          </cell>
          <cell r="S57">
            <v>2.21</v>
          </cell>
          <cell r="V57">
            <v>59.3</v>
          </cell>
          <cell r="W57">
            <v>-3.17</v>
          </cell>
          <cell r="Z57">
            <v>3.125</v>
          </cell>
          <cell r="AA57">
            <v>18.079999999999998</v>
          </cell>
          <cell r="AD57">
            <v>9.9499999999999993</v>
          </cell>
          <cell r="AE57">
            <v>0.68</v>
          </cell>
        </row>
        <row r="58">
          <cell r="A58">
            <v>38737</v>
          </cell>
          <cell r="B58">
            <v>103.4</v>
          </cell>
          <cell r="C58">
            <v>134.33000000000001</v>
          </cell>
          <cell r="F58">
            <v>23.95</v>
          </cell>
          <cell r="G58">
            <v>20.86</v>
          </cell>
          <cell r="J58">
            <v>15.45</v>
          </cell>
          <cell r="K58">
            <v>70.28</v>
          </cell>
          <cell r="N58">
            <v>56.8</v>
          </cell>
          <cell r="O58">
            <v>21.28</v>
          </cell>
          <cell r="R58">
            <v>57.6</v>
          </cell>
          <cell r="S58">
            <v>6.05</v>
          </cell>
          <cell r="V58">
            <v>60.6</v>
          </cell>
          <cell r="W58">
            <v>-0.88</v>
          </cell>
          <cell r="Z58">
            <v>3.125</v>
          </cell>
          <cell r="AA58">
            <v>-8.82</v>
          </cell>
          <cell r="AD58">
            <v>9.9</v>
          </cell>
          <cell r="AE58">
            <v>-3.81</v>
          </cell>
        </row>
        <row r="59">
          <cell r="A59">
            <v>38744</v>
          </cell>
          <cell r="B59">
            <v>103.5</v>
          </cell>
          <cell r="C59">
            <v>23.64</v>
          </cell>
          <cell r="F59">
            <v>24.15</v>
          </cell>
          <cell r="G59">
            <v>7.98</v>
          </cell>
          <cell r="J59">
            <v>15.55</v>
          </cell>
          <cell r="K59">
            <v>-42.04</v>
          </cell>
          <cell r="N59">
            <v>54.25</v>
          </cell>
          <cell r="O59">
            <v>-6.7</v>
          </cell>
          <cell r="R59">
            <v>56.1</v>
          </cell>
          <cell r="S59">
            <v>-5.47</v>
          </cell>
          <cell r="V59">
            <v>61</v>
          </cell>
          <cell r="W59">
            <v>2.67</v>
          </cell>
          <cell r="Z59">
            <v>3.125</v>
          </cell>
          <cell r="AA59">
            <v>-4.17</v>
          </cell>
          <cell r="AD59">
            <v>10.050000000000001</v>
          </cell>
          <cell r="AE59">
            <v>-0.28999999999999998</v>
          </cell>
        </row>
        <row r="60">
          <cell r="A60">
            <v>38751</v>
          </cell>
          <cell r="B60">
            <v>102.5</v>
          </cell>
          <cell r="C60">
            <v>41.5</v>
          </cell>
          <cell r="F60">
            <v>23.8</v>
          </cell>
          <cell r="G60">
            <v>8.83</v>
          </cell>
          <cell r="J60">
            <v>15.2</v>
          </cell>
          <cell r="K60">
            <v>-19.39</v>
          </cell>
          <cell r="N60">
            <v>56.05</v>
          </cell>
          <cell r="O60">
            <v>1.42</v>
          </cell>
          <cell r="R60">
            <v>55.8</v>
          </cell>
          <cell r="S60">
            <v>-0.45900000000000002</v>
          </cell>
          <cell r="V60">
            <v>61.9</v>
          </cell>
          <cell r="W60">
            <v>0.87</v>
          </cell>
          <cell r="Z60">
            <v>3.1749999999999998</v>
          </cell>
          <cell r="AA60">
            <v>12.6</v>
          </cell>
          <cell r="AD60">
            <v>10.199999999999999</v>
          </cell>
          <cell r="AE60">
            <v>22.41</v>
          </cell>
        </row>
        <row r="61">
          <cell r="A61">
            <v>38758</v>
          </cell>
          <cell r="B61">
            <v>102.5</v>
          </cell>
          <cell r="C61">
            <v>29.69</v>
          </cell>
          <cell r="F61">
            <v>24.7</v>
          </cell>
          <cell r="G61">
            <v>67.7</v>
          </cell>
          <cell r="J61">
            <v>15.1</v>
          </cell>
          <cell r="K61">
            <v>-78.239999999999995</v>
          </cell>
          <cell r="N61">
            <v>56.1</v>
          </cell>
          <cell r="O61">
            <v>13.33</v>
          </cell>
          <cell r="R61">
            <v>58.55</v>
          </cell>
          <cell r="S61">
            <v>24.24</v>
          </cell>
          <cell r="V61">
            <v>64.8</v>
          </cell>
          <cell r="W61">
            <v>9.18</v>
          </cell>
          <cell r="Z61">
            <v>3.2</v>
          </cell>
          <cell r="AA61">
            <v>6.54</v>
          </cell>
          <cell r="AD61">
            <v>10.3</v>
          </cell>
          <cell r="AE61">
            <v>11.82</v>
          </cell>
        </row>
        <row r="62">
          <cell r="A62">
            <v>38765</v>
          </cell>
          <cell r="B62">
            <v>102.5</v>
          </cell>
          <cell r="C62">
            <v>-16.440000000000001</v>
          </cell>
          <cell r="F62">
            <v>25.95</v>
          </cell>
          <cell r="G62">
            <v>160.18</v>
          </cell>
          <cell r="J62">
            <v>15.55</v>
          </cell>
          <cell r="K62">
            <v>79.73</v>
          </cell>
          <cell r="N62">
            <v>56.45</v>
          </cell>
          <cell r="O62">
            <v>-0.12</v>
          </cell>
          <cell r="R62">
            <v>63.3</v>
          </cell>
          <cell r="S62">
            <v>51.29</v>
          </cell>
          <cell r="V62">
            <v>64.2</v>
          </cell>
          <cell r="W62">
            <v>2.83</v>
          </cell>
          <cell r="Z62">
            <v>3.2749999999999999</v>
          </cell>
          <cell r="AA62">
            <v>3.78</v>
          </cell>
          <cell r="AD62">
            <v>10.6</v>
          </cell>
          <cell r="AE62">
            <v>45.1</v>
          </cell>
        </row>
        <row r="63">
          <cell r="A63">
            <v>38772</v>
          </cell>
          <cell r="B63">
            <v>103.2</v>
          </cell>
          <cell r="C63">
            <v>79.62</v>
          </cell>
          <cell r="F63">
            <v>26.4</v>
          </cell>
          <cell r="G63">
            <v>44.99</v>
          </cell>
          <cell r="J63">
            <v>15.65</v>
          </cell>
          <cell r="K63">
            <v>62.66</v>
          </cell>
          <cell r="N63">
            <v>55.5</v>
          </cell>
          <cell r="O63">
            <v>-5.62</v>
          </cell>
          <cell r="R63">
            <v>60.8</v>
          </cell>
          <cell r="S63">
            <v>-4.67</v>
          </cell>
          <cell r="V63">
            <v>69.75</v>
          </cell>
          <cell r="W63">
            <v>3.94</v>
          </cell>
          <cell r="Z63">
            <v>3.45</v>
          </cell>
          <cell r="AA63">
            <v>3.26</v>
          </cell>
          <cell r="AD63">
            <v>10.7</v>
          </cell>
          <cell r="AE63">
            <v>0.62</v>
          </cell>
        </row>
        <row r="64">
          <cell r="A64">
            <v>38779</v>
          </cell>
          <cell r="B64">
            <v>102.9</v>
          </cell>
          <cell r="C64">
            <v>-25.52</v>
          </cell>
          <cell r="F64">
            <v>26.55</v>
          </cell>
          <cell r="G64">
            <v>-5.63</v>
          </cell>
          <cell r="J64">
            <v>15.55</v>
          </cell>
          <cell r="K64">
            <v>10.86</v>
          </cell>
          <cell r="N64">
            <v>55.8</v>
          </cell>
          <cell r="O64">
            <v>4.8899999999999997</v>
          </cell>
          <cell r="R64">
            <v>62.25</v>
          </cell>
          <cell r="S64">
            <v>-12.01</v>
          </cell>
          <cell r="V64">
            <v>67.95</v>
          </cell>
          <cell r="W64">
            <v>-10.32</v>
          </cell>
          <cell r="Z64">
            <v>3.5249999999999999</v>
          </cell>
          <cell r="AA64">
            <v>10.4</v>
          </cell>
          <cell r="AD64">
            <v>10.7</v>
          </cell>
          <cell r="AE64">
            <v>3.37</v>
          </cell>
        </row>
        <row r="65">
          <cell r="A65">
            <v>38786</v>
          </cell>
          <cell r="B65">
            <v>102.2</v>
          </cell>
          <cell r="C65">
            <v>-27.35</v>
          </cell>
          <cell r="F65">
            <v>25.1</v>
          </cell>
          <cell r="G65">
            <v>16.27</v>
          </cell>
          <cell r="J65">
            <v>15.1</v>
          </cell>
          <cell r="K65">
            <v>-17.77</v>
          </cell>
          <cell r="N65">
            <v>55.6</v>
          </cell>
          <cell r="O65">
            <v>2.33</v>
          </cell>
          <cell r="R65">
            <v>62.85</v>
          </cell>
          <cell r="S65">
            <v>-3.25</v>
          </cell>
          <cell r="V65">
            <v>67.3</v>
          </cell>
          <cell r="W65">
            <v>-5.07</v>
          </cell>
          <cell r="Z65">
            <v>3.25</v>
          </cell>
          <cell r="AA65">
            <v>-15.234999999999999</v>
          </cell>
          <cell r="AD65">
            <v>10.3</v>
          </cell>
          <cell r="AE65">
            <v>2.2000000000000002</v>
          </cell>
        </row>
        <row r="66">
          <cell r="A66">
            <v>38793</v>
          </cell>
          <cell r="B66">
            <v>100.3</v>
          </cell>
          <cell r="C66">
            <v>-34.590000000000003</v>
          </cell>
          <cell r="F66">
            <v>27.25</v>
          </cell>
          <cell r="G66">
            <v>110.18</v>
          </cell>
          <cell r="J66">
            <v>15.65</v>
          </cell>
          <cell r="K66">
            <v>-33.369999999999997</v>
          </cell>
          <cell r="N66">
            <v>56.5</v>
          </cell>
          <cell r="O66">
            <v>-0.3</v>
          </cell>
          <cell r="R66">
            <v>62.65</v>
          </cell>
          <cell r="S66">
            <v>11.65</v>
          </cell>
          <cell r="V66">
            <v>69.75</v>
          </cell>
          <cell r="W66">
            <v>6.64</v>
          </cell>
          <cell r="Z66">
            <v>3.375</v>
          </cell>
          <cell r="AA66">
            <v>10</v>
          </cell>
          <cell r="AD66">
            <v>10.45</v>
          </cell>
          <cell r="AE66">
            <v>-3.27</v>
          </cell>
        </row>
        <row r="67">
          <cell r="A67">
            <v>38800</v>
          </cell>
          <cell r="B67">
            <v>100.1</v>
          </cell>
          <cell r="C67">
            <v>1.73</v>
          </cell>
          <cell r="F67">
            <v>28.2</v>
          </cell>
          <cell r="G67">
            <v>132.5</v>
          </cell>
          <cell r="J67">
            <v>15.65</v>
          </cell>
          <cell r="K67">
            <v>58.11</v>
          </cell>
          <cell r="N67">
            <v>58.65</v>
          </cell>
          <cell r="O67">
            <v>25</v>
          </cell>
          <cell r="R67">
            <v>68</v>
          </cell>
          <cell r="S67">
            <v>43.51</v>
          </cell>
          <cell r="V67">
            <v>73.25</v>
          </cell>
          <cell r="W67">
            <v>4.78</v>
          </cell>
          <cell r="Z67">
            <v>3.4750000000000001</v>
          </cell>
          <cell r="AA67">
            <v>5.16</v>
          </cell>
          <cell r="AD67">
            <v>11.65</v>
          </cell>
          <cell r="AE67">
            <v>84.94</v>
          </cell>
        </row>
        <row r="68">
          <cell r="A68">
            <v>38807</v>
          </cell>
          <cell r="B68">
            <v>99.95</v>
          </cell>
          <cell r="C68">
            <v>-28.51</v>
          </cell>
          <cell r="F68">
            <v>28.05</v>
          </cell>
          <cell r="G68">
            <v>49.19</v>
          </cell>
          <cell r="J68">
            <v>15.6</v>
          </cell>
          <cell r="K68">
            <v>46.43</v>
          </cell>
          <cell r="N68">
            <v>61.1</v>
          </cell>
          <cell r="O68">
            <v>13.8</v>
          </cell>
          <cell r="R68">
            <v>65.150000000000006</v>
          </cell>
          <cell r="S68">
            <v>-0.35</v>
          </cell>
          <cell r="V68">
            <v>75</v>
          </cell>
          <cell r="W68">
            <v>1.5</v>
          </cell>
          <cell r="Z68">
            <v>3.4750000000000001</v>
          </cell>
          <cell r="AA68">
            <v>0</v>
          </cell>
          <cell r="AD68">
            <v>11.2</v>
          </cell>
          <cell r="AE68">
            <v>11.07</v>
          </cell>
        </row>
        <row r="69">
          <cell r="A69">
            <v>38814</v>
          </cell>
          <cell r="B69">
            <v>100.2</v>
          </cell>
          <cell r="C69">
            <v>75.489999999999995</v>
          </cell>
          <cell r="F69">
            <v>31.2</v>
          </cell>
          <cell r="G69">
            <v>111.51</v>
          </cell>
          <cell r="J69">
            <v>16.25</v>
          </cell>
          <cell r="K69">
            <v>181.65</v>
          </cell>
          <cell r="N69">
            <v>61.7</v>
          </cell>
          <cell r="O69">
            <v>-2.71</v>
          </cell>
          <cell r="R69">
            <v>72.099999999999994</v>
          </cell>
          <cell r="S69">
            <v>25.13</v>
          </cell>
          <cell r="V69">
            <v>75.5</v>
          </cell>
          <cell r="W69">
            <v>3.41</v>
          </cell>
          <cell r="Z69">
            <v>4.8499999999999996</v>
          </cell>
          <cell r="AA69">
            <v>206.26</v>
          </cell>
          <cell r="AD69">
            <v>12.15</v>
          </cell>
          <cell r="AE69">
            <v>45.88</v>
          </cell>
        </row>
        <row r="70">
          <cell r="A70">
            <v>38821</v>
          </cell>
          <cell r="B70">
            <v>100.3</v>
          </cell>
          <cell r="C70">
            <v>5.56</v>
          </cell>
          <cell r="F70">
            <v>31.2</v>
          </cell>
          <cell r="G70">
            <v>38.74</v>
          </cell>
          <cell r="J70">
            <v>16.350000000000001</v>
          </cell>
          <cell r="K70">
            <v>137.80000000000001</v>
          </cell>
          <cell r="N70">
            <v>63.5</v>
          </cell>
          <cell r="O70">
            <v>7.81</v>
          </cell>
          <cell r="R70">
            <v>74</v>
          </cell>
          <cell r="S70">
            <v>14.22</v>
          </cell>
          <cell r="V70">
            <v>75.3</v>
          </cell>
          <cell r="W70">
            <v>6.29</v>
          </cell>
          <cell r="Z70">
            <v>4.75</v>
          </cell>
          <cell r="AA70">
            <v>-3.23</v>
          </cell>
          <cell r="AD70">
            <v>12.25</v>
          </cell>
          <cell r="AE70">
            <v>20.51</v>
          </cell>
        </row>
        <row r="71">
          <cell r="A71">
            <v>38828</v>
          </cell>
          <cell r="B71">
            <v>100.4</v>
          </cell>
          <cell r="C71">
            <v>39.590000000000003</v>
          </cell>
          <cell r="F71">
            <v>32.200000000000003</v>
          </cell>
          <cell r="G71">
            <v>93.51</v>
          </cell>
          <cell r="J71">
            <v>16.25</v>
          </cell>
          <cell r="K71">
            <v>136.58000000000001</v>
          </cell>
          <cell r="N71">
            <v>63.8</v>
          </cell>
          <cell r="O71">
            <v>9.6300000000000008</v>
          </cell>
          <cell r="R71">
            <v>68</v>
          </cell>
          <cell r="S71">
            <v>-3.84</v>
          </cell>
          <cell r="V71">
            <v>74.150000000000006</v>
          </cell>
          <cell r="W71">
            <v>11.28</v>
          </cell>
          <cell r="Z71">
            <v>4.7750000000000004</v>
          </cell>
          <cell r="AA71">
            <v>24.53</v>
          </cell>
          <cell r="AD71">
            <v>11.95</v>
          </cell>
          <cell r="AE71">
            <v>18.190000000000001</v>
          </cell>
        </row>
        <row r="72">
          <cell r="A72">
            <v>38835</v>
          </cell>
          <cell r="B72">
            <v>100.4</v>
          </cell>
          <cell r="C72">
            <v>36.72</v>
          </cell>
          <cell r="F72">
            <v>32.4</v>
          </cell>
          <cell r="G72">
            <v>91.35</v>
          </cell>
          <cell r="J72">
            <v>16</v>
          </cell>
          <cell r="K72">
            <v>21.37</v>
          </cell>
          <cell r="N72">
            <v>63.5</v>
          </cell>
          <cell r="O72">
            <v>3.41</v>
          </cell>
          <cell r="R72">
            <v>71.900000000000006</v>
          </cell>
          <cell r="S72">
            <v>9.34</v>
          </cell>
          <cell r="V72">
            <v>73.7</v>
          </cell>
          <cell r="W72">
            <v>6.6</v>
          </cell>
          <cell r="Z72">
            <v>4.5750000000000002</v>
          </cell>
          <cell r="AA72">
            <v>-31.11</v>
          </cell>
          <cell r="AD72">
            <v>11.65</v>
          </cell>
          <cell r="AE72">
            <v>-4.3</v>
          </cell>
        </row>
        <row r="73">
          <cell r="A73">
            <v>38842</v>
          </cell>
          <cell r="B73">
            <v>101.1</v>
          </cell>
          <cell r="C73">
            <v>-51.23</v>
          </cell>
          <cell r="F73">
            <v>32.65</v>
          </cell>
          <cell r="G73">
            <v>-11.35</v>
          </cell>
          <cell r="J73">
            <v>16.350000000000001</v>
          </cell>
          <cell r="K73">
            <v>-6.68</v>
          </cell>
          <cell r="N73">
            <v>66</v>
          </cell>
          <cell r="O73">
            <v>0.65</v>
          </cell>
          <cell r="R73">
            <v>71.8</v>
          </cell>
          <cell r="S73">
            <v>3.58</v>
          </cell>
          <cell r="V73">
            <v>74.5</v>
          </cell>
          <cell r="W73">
            <v>1.67</v>
          </cell>
          <cell r="Z73">
            <v>4.5250000000000004</v>
          </cell>
          <cell r="AA73">
            <v>-0.79</v>
          </cell>
          <cell r="AD73">
            <v>12.05</v>
          </cell>
          <cell r="AE73">
            <v>7.42</v>
          </cell>
        </row>
        <row r="74">
          <cell r="A74">
            <v>38849</v>
          </cell>
          <cell r="B74">
            <v>100.6</v>
          </cell>
          <cell r="C74">
            <v>0.21</v>
          </cell>
          <cell r="F74">
            <v>31.75</v>
          </cell>
          <cell r="G74">
            <v>43.11</v>
          </cell>
          <cell r="J74">
            <v>16.399999999999999</v>
          </cell>
          <cell r="K74">
            <v>91.16</v>
          </cell>
          <cell r="N74">
            <v>64.25</v>
          </cell>
          <cell r="O74">
            <v>12.38</v>
          </cell>
          <cell r="R74">
            <v>70.8</v>
          </cell>
          <cell r="S74">
            <v>-1.39</v>
          </cell>
          <cell r="V74">
            <v>75.2</v>
          </cell>
          <cell r="W74">
            <v>-5.46</v>
          </cell>
          <cell r="Z74">
            <v>4.2249999999999996</v>
          </cell>
          <cell r="AA74">
            <v>-12.99</v>
          </cell>
          <cell r="AD74">
            <v>11.8</v>
          </cell>
          <cell r="AE74">
            <v>1.06</v>
          </cell>
        </row>
        <row r="75">
          <cell r="A75">
            <v>38856</v>
          </cell>
          <cell r="B75">
            <v>99.7</v>
          </cell>
          <cell r="C75">
            <v>-108.63</v>
          </cell>
          <cell r="F75">
            <v>29.2</v>
          </cell>
          <cell r="G75">
            <v>-17.52</v>
          </cell>
          <cell r="J75">
            <v>15.7</v>
          </cell>
          <cell r="K75">
            <v>50.94</v>
          </cell>
          <cell r="N75">
            <v>63.2</v>
          </cell>
          <cell r="O75">
            <v>-0.23</v>
          </cell>
          <cell r="R75">
            <v>69.95</v>
          </cell>
          <cell r="S75">
            <v>-1.1100000000000001</v>
          </cell>
          <cell r="V75">
            <v>70.349999999999994</v>
          </cell>
          <cell r="W75">
            <v>0.24199999999999999</v>
          </cell>
          <cell r="Z75">
            <v>4.3499999999999996</v>
          </cell>
          <cell r="AA75">
            <v>-9.59</v>
          </cell>
          <cell r="AD75">
            <v>11.35</v>
          </cell>
          <cell r="AE75">
            <v>0.17</v>
          </cell>
        </row>
        <row r="76">
          <cell r="A76">
            <v>38863</v>
          </cell>
          <cell r="B76">
            <v>97.9</v>
          </cell>
          <cell r="C76">
            <v>-146.36000000000001</v>
          </cell>
          <cell r="F76">
            <v>30.5</v>
          </cell>
          <cell r="G76">
            <v>15.97</v>
          </cell>
          <cell r="J76">
            <v>15.1</v>
          </cell>
          <cell r="K76">
            <v>-137.22</v>
          </cell>
          <cell r="N76">
            <v>64</v>
          </cell>
          <cell r="O76">
            <v>-2.64</v>
          </cell>
          <cell r="R76">
            <v>66.900000000000006</v>
          </cell>
          <cell r="S76">
            <v>-8.49</v>
          </cell>
          <cell r="V76">
            <v>70.900000000000006</v>
          </cell>
          <cell r="W76">
            <v>0.89</v>
          </cell>
          <cell r="Z76">
            <v>4.3499999999999996</v>
          </cell>
          <cell r="AA76">
            <v>25.19</v>
          </cell>
          <cell r="AD76">
            <v>10.95</v>
          </cell>
          <cell r="AE76">
            <v>-9.7200000000000006</v>
          </cell>
        </row>
        <row r="77">
          <cell r="A77">
            <v>38870</v>
          </cell>
          <cell r="B77">
            <v>96.6</v>
          </cell>
          <cell r="C77">
            <v>-42.9</v>
          </cell>
          <cell r="F77">
            <v>29.85</v>
          </cell>
          <cell r="G77">
            <v>-4.25</v>
          </cell>
          <cell r="J77">
            <v>14.75</v>
          </cell>
          <cell r="K77">
            <v>-76.89</v>
          </cell>
          <cell r="N77">
            <v>61.35</v>
          </cell>
          <cell r="O77">
            <v>0.62</v>
          </cell>
          <cell r="R77">
            <v>69.55</v>
          </cell>
          <cell r="S77">
            <v>6.31</v>
          </cell>
          <cell r="V77">
            <v>69.7</v>
          </cell>
          <cell r="W77">
            <v>2.2400000000000002</v>
          </cell>
          <cell r="Z77">
            <v>4.45</v>
          </cell>
          <cell r="AA77">
            <v>-1.78</v>
          </cell>
          <cell r="AD77">
            <v>11.7</v>
          </cell>
          <cell r="AE77">
            <v>8.51</v>
          </cell>
        </row>
        <row r="78">
          <cell r="A78">
            <v>38877</v>
          </cell>
          <cell r="B78">
            <v>95.8</v>
          </cell>
          <cell r="C78">
            <v>11.41</v>
          </cell>
          <cell r="F78">
            <v>30.1</v>
          </cell>
          <cell r="G78">
            <v>25.81</v>
          </cell>
          <cell r="J78">
            <v>14.75</v>
          </cell>
          <cell r="K78">
            <v>-43.99</v>
          </cell>
          <cell r="N78">
            <v>56.9</v>
          </cell>
          <cell r="O78">
            <v>0.17</v>
          </cell>
          <cell r="R78">
            <v>69.5</v>
          </cell>
          <cell r="S78">
            <v>8.3699999999999992</v>
          </cell>
          <cell r="V78">
            <v>69</v>
          </cell>
          <cell r="W78">
            <v>-1.43</v>
          </cell>
          <cell r="Z78">
            <v>4.25</v>
          </cell>
          <cell r="AA78">
            <v>-1.82</v>
          </cell>
          <cell r="AD78">
            <v>11.2</v>
          </cell>
          <cell r="AE78">
            <v>-2.67</v>
          </cell>
        </row>
        <row r="79">
          <cell r="A79">
            <v>38884</v>
          </cell>
          <cell r="B79">
            <v>96.45</v>
          </cell>
          <cell r="C79">
            <v>-42.32</v>
          </cell>
          <cell r="F79">
            <v>30.1</v>
          </cell>
          <cell r="G79">
            <v>33.97</v>
          </cell>
          <cell r="J79">
            <v>14.95</v>
          </cell>
          <cell r="K79">
            <v>-4.07</v>
          </cell>
          <cell r="N79">
            <v>62.25</v>
          </cell>
          <cell r="O79">
            <v>-0.6</v>
          </cell>
          <cell r="R79">
            <v>65.05</v>
          </cell>
          <cell r="S79">
            <v>-1.33</v>
          </cell>
          <cell r="V79">
            <v>65.150000000000006</v>
          </cell>
          <cell r="W79">
            <v>-0.23</v>
          </cell>
          <cell r="Z79">
            <v>4.0750000000000002</v>
          </cell>
          <cell r="AA79">
            <v>-24.68</v>
          </cell>
          <cell r="AD79">
            <v>11.5</v>
          </cell>
          <cell r="AE79">
            <v>0.14000000000000001</v>
          </cell>
        </row>
        <row r="80">
          <cell r="A80">
            <v>38891</v>
          </cell>
          <cell r="B80">
            <v>97.15</v>
          </cell>
          <cell r="C80">
            <v>-6.11</v>
          </cell>
          <cell r="F80">
            <v>31.2</v>
          </cell>
          <cell r="G80">
            <v>57.3</v>
          </cell>
          <cell r="J80">
            <v>14.8</v>
          </cell>
          <cell r="K80">
            <v>31.01</v>
          </cell>
          <cell r="N80">
            <v>56</v>
          </cell>
          <cell r="O80">
            <v>4.8010000000000002</v>
          </cell>
          <cell r="R80">
            <v>68</v>
          </cell>
          <cell r="S80">
            <v>1.55</v>
          </cell>
          <cell r="V80">
            <v>64.5</v>
          </cell>
          <cell r="W80">
            <v>-1.72</v>
          </cell>
          <cell r="Z80">
            <v>4.2</v>
          </cell>
          <cell r="AA80">
            <v>-4.46</v>
          </cell>
          <cell r="AD80">
            <v>11.25</v>
          </cell>
          <cell r="AE80">
            <v>-0.28999999999999998</v>
          </cell>
        </row>
        <row r="81">
          <cell r="A81">
            <v>38898</v>
          </cell>
          <cell r="B81">
            <v>98.5</v>
          </cell>
          <cell r="C81">
            <v>-26.61</v>
          </cell>
          <cell r="F81">
            <v>31.95</v>
          </cell>
          <cell r="G81">
            <v>20.95</v>
          </cell>
          <cell r="J81">
            <v>15.2</v>
          </cell>
          <cell r="K81">
            <v>28.44</v>
          </cell>
          <cell r="N81">
            <v>56.9</v>
          </cell>
          <cell r="O81">
            <v>1.67</v>
          </cell>
          <cell r="R81">
            <v>68</v>
          </cell>
          <cell r="S81">
            <v>-4.84</v>
          </cell>
          <cell r="V81">
            <v>67</v>
          </cell>
          <cell r="W81">
            <v>-2.63</v>
          </cell>
          <cell r="Z81">
            <v>4.375</v>
          </cell>
          <cell r="AA81">
            <v>18.329999999999998</v>
          </cell>
          <cell r="AD81">
            <v>11.45</v>
          </cell>
          <cell r="AE81">
            <v>-14.7</v>
          </cell>
        </row>
        <row r="82">
          <cell r="A82">
            <v>38905</v>
          </cell>
          <cell r="B82">
            <v>98.85</v>
          </cell>
          <cell r="C82">
            <v>34.619999999999997</v>
          </cell>
          <cell r="F82">
            <v>32.35</v>
          </cell>
          <cell r="G82">
            <v>24.3</v>
          </cell>
          <cell r="J82">
            <v>15.25</v>
          </cell>
          <cell r="K82">
            <v>19.579999999999998</v>
          </cell>
          <cell r="N82">
            <v>63.5</v>
          </cell>
          <cell r="O82">
            <v>8.86</v>
          </cell>
          <cell r="R82">
            <v>70.150000000000006</v>
          </cell>
          <cell r="S82">
            <v>7.24</v>
          </cell>
          <cell r="V82">
            <v>67.400000000000006</v>
          </cell>
          <cell r="W82">
            <v>-7.11</v>
          </cell>
          <cell r="Z82">
            <v>4.4249999999999998</v>
          </cell>
          <cell r="AA82">
            <v>-0.82</v>
          </cell>
          <cell r="AD82">
            <v>11.95</v>
          </cell>
          <cell r="AE82">
            <v>6.81</v>
          </cell>
        </row>
        <row r="83">
          <cell r="A83">
            <v>38912</v>
          </cell>
          <cell r="B83">
            <v>98.3</v>
          </cell>
          <cell r="C83">
            <v>16.55</v>
          </cell>
          <cell r="F83">
            <v>32.25</v>
          </cell>
          <cell r="G83">
            <v>37.81</v>
          </cell>
          <cell r="J83">
            <v>15.1</v>
          </cell>
          <cell r="K83">
            <v>68.5</v>
          </cell>
          <cell r="N83">
            <v>60.5</v>
          </cell>
          <cell r="O83">
            <v>-0.93</v>
          </cell>
          <cell r="R83">
            <v>68.3</v>
          </cell>
          <cell r="S83">
            <v>-4.71</v>
          </cell>
          <cell r="V83">
            <v>66.8</v>
          </cell>
          <cell r="W83">
            <v>1.07</v>
          </cell>
          <cell r="Z83">
            <v>4.2750000000000004</v>
          </cell>
          <cell r="AA83">
            <v>-11.01</v>
          </cell>
          <cell r="AD83">
            <v>12.2</v>
          </cell>
          <cell r="AE83">
            <v>26.48</v>
          </cell>
        </row>
        <row r="84">
          <cell r="A84">
            <v>38919</v>
          </cell>
          <cell r="B84">
            <v>98.5</v>
          </cell>
          <cell r="C84">
            <v>-2.5499999999999998</v>
          </cell>
          <cell r="F84">
            <v>31.6</v>
          </cell>
          <cell r="G84">
            <v>-5.09</v>
          </cell>
          <cell r="J84">
            <v>15.5</v>
          </cell>
          <cell r="K84">
            <v>88.46</v>
          </cell>
          <cell r="N84">
            <v>61</v>
          </cell>
          <cell r="O84">
            <v>-1.69</v>
          </cell>
          <cell r="R84">
            <v>71.05</v>
          </cell>
          <cell r="S84">
            <v>0.44</v>
          </cell>
          <cell r="V84">
            <v>68.900000000000006</v>
          </cell>
          <cell r="W84">
            <v>-1.62</v>
          </cell>
          <cell r="Z84">
            <v>4.2249999999999996</v>
          </cell>
          <cell r="AA84">
            <v>-5.67</v>
          </cell>
          <cell r="AD84">
            <v>13</v>
          </cell>
          <cell r="AE84">
            <v>33.08</v>
          </cell>
        </row>
        <row r="85">
          <cell r="A85">
            <v>38926</v>
          </cell>
          <cell r="B85">
            <v>99.05</v>
          </cell>
          <cell r="C85">
            <v>29.46</v>
          </cell>
          <cell r="F85">
            <v>32.15</v>
          </cell>
          <cell r="G85">
            <v>9.39</v>
          </cell>
          <cell r="J85">
            <v>15.74</v>
          </cell>
          <cell r="K85">
            <v>157.9</v>
          </cell>
          <cell r="N85">
            <v>64</v>
          </cell>
          <cell r="O85">
            <v>9.08</v>
          </cell>
          <cell r="R85">
            <v>70.8</v>
          </cell>
          <cell r="S85">
            <v>13.9</v>
          </cell>
          <cell r="V85">
            <v>68.8</v>
          </cell>
          <cell r="W85">
            <v>-0.28999999999999998</v>
          </cell>
          <cell r="Z85">
            <v>4.37</v>
          </cell>
          <cell r="AA85">
            <v>6.23</v>
          </cell>
          <cell r="AD85">
            <v>12.78</v>
          </cell>
          <cell r="AE85">
            <v>17.440000000000001</v>
          </cell>
        </row>
        <row r="86">
          <cell r="A86">
            <v>38933</v>
          </cell>
          <cell r="B86">
            <v>99.15</v>
          </cell>
          <cell r="C86">
            <v>12.7</v>
          </cell>
          <cell r="F86">
            <v>32.950000000000003</v>
          </cell>
          <cell r="G86">
            <v>53.42</v>
          </cell>
          <cell r="J86">
            <v>15.82</v>
          </cell>
          <cell r="K86">
            <v>169.3</v>
          </cell>
          <cell r="N86">
            <v>65.400000000000006</v>
          </cell>
          <cell r="O86">
            <v>-1.94</v>
          </cell>
          <cell r="R86">
            <v>69.599999999999994</v>
          </cell>
          <cell r="S86">
            <v>-3.4</v>
          </cell>
          <cell r="V86">
            <v>67.2</v>
          </cell>
          <cell r="W86">
            <v>-5.03</v>
          </cell>
          <cell r="Z86">
            <v>4.41</v>
          </cell>
          <cell r="AA86">
            <v>7.88</v>
          </cell>
          <cell r="AD86">
            <v>13.12</v>
          </cell>
          <cell r="AE86">
            <v>19.84</v>
          </cell>
        </row>
        <row r="87">
          <cell r="A87">
            <v>38940</v>
          </cell>
          <cell r="B87">
            <v>99.6</v>
          </cell>
          <cell r="C87">
            <v>26.88</v>
          </cell>
          <cell r="F87">
            <v>34.15</v>
          </cell>
          <cell r="G87">
            <v>13.68</v>
          </cell>
          <cell r="J87">
            <v>15.86</v>
          </cell>
          <cell r="K87">
            <v>142.09</v>
          </cell>
          <cell r="N87">
            <v>66</v>
          </cell>
          <cell r="O87">
            <v>7.73</v>
          </cell>
          <cell r="R87">
            <v>74.150000000000006</v>
          </cell>
          <cell r="S87">
            <v>20.75</v>
          </cell>
          <cell r="V87">
            <v>72.75</v>
          </cell>
          <cell r="W87">
            <v>-5.5</v>
          </cell>
          <cell r="Z87">
            <v>4.38</v>
          </cell>
          <cell r="AA87">
            <v>-0.98</v>
          </cell>
          <cell r="AD87">
            <v>13.1</v>
          </cell>
          <cell r="AE87">
            <v>14.4</v>
          </cell>
        </row>
        <row r="88">
          <cell r="A88">
            <v>38947</v>
          </cell>
          <cell r="B88">
            <v>99.6</v>
          </cell>
          <cell r="C88">
            <v>29.37</v>
          </cell>
          <cell r="F88">
            <v>34.049999999999997</v>
          </cell>
          <cell r="G88">
            <v>-7.33</v>
          </cell>
          <cell r="J88">
            <v>16.2</v>
          </cell>
          <cell r="K88">
            <v>357.01</v>
          </cell>
          <cell r="N88">
            <v>66.3</v>
          </cell>
          <cell r="O88">
            <v>9.7799999999999994</v>
          </cell>
          <cell r="R88">
            <v>77.95</v>
          </cell>
          <cell r="S88">
            <v>22.38</v>
          </cell>
          <cell r="V88">
            <v>75</v>
          </cell>
          <cell r="W88">
            <v>4.79</v>
          </cell>
          <cell r="Z88">
            <v>4.16</v>
          </cell>
          <cell r="AA88">
            <v>-17.329999999999998</v>
          </cell>
          <cell r="AD88">
            <v>13.04</v>
          </cell>
          <cell r="AE88">
            <v>-1.1000000000000001</v>
          </cell>
        </row>
        <row r="89">
          <cell r="A89">
            <v>38954</v>
          </cell>
          <cell r="B89">
            <v>98.25</v>
          </cell>
          <cell r="C89">
            <v>-15.84</v>
          </cell>
          <cell r="F89">
            <v>33.35</v>
          </cell>
          <cell r="G89">
            <v>12.8</v>
          </cell>
          <cell r="J89">
            <v>16.14</v>
          </cell>
          <cell r="K89">
            <v>208.29</v>
          </cell>
          <cell r="N89">
            <v>66.650000000000006</v>
          </cell>
          <cell r="O89">
            <v>4.12</v>
          </cell>
          <cell r="R89">
            <v>73.7</v>
          </cell>
          <cell r="S89">
            <v>0.92</v>
          </cell>
          <cell r="V89">
            <v>73.95</v>
          </cell>
          <cell r="W89">
            <v>-12.34</v>
          </cell>
          <cell r="Z89">
            <v>4.05</v>
          </cell>
          <cell r="AA89">
            <v>-11.1</v>
          </cell>
          <cell r="AD89">
            <v>12.78</v>
          </cell>
          <cell r="AE89">
            <v>-0.05</v>
          </cell>
        </row>
        <row r="90">
          <cell r="A90">
            <v>38961</v>
          </cell>
          <cell r="B90">
            <v>98.15</v>
          </cell>
          <cell r="C90">
            <v>-1.6</v>
          </cell>
          <cell r="F90">
            <v>34.9</v>
          </cell>
          <cell r="G90">
            <v>47.43</v>
          </cell>
          <cell r="J90">
            <v>17.14</v>
          </cell>
          <cell r="K90">
            <v>862.19</v>
          </cell>
          <cell r="N90">
            <v>66.349999999999994</v>
          </cell>
          <cell r="O90">
            <v>7.78</v>
          </cell>
          <cell r="R90">
            <v>74.400000000000006</v>
          </cell>
          <cell r="S90">
            <v>8.86</v>
          </cell>
          <cell r="V90">
            <v>74.099999999999994</v>
          </cell>
          <cell r="W90">
            <v>0.3</v>
          </cell>
          <cell r="Z90">
            <v>4.03</v>
          </cell>
          <cell r="AA90">
            <v>3.88</v>
          </cell>
          <cell r="AD90">
            <v>12.9</v>
          </cell>
          <cell r="AE90">
            <v>7.75</v>
          </cell>
        </row>
        <row r="91">
          <cell r="A91">
            <v>38968</v>
          </cell>
          <cell r="B91">
            <v>97.55</v>
          </cell>
          <cell r="C91">
            <v>42.2</v>
          </cell>
          <cell r="F91">
            <v>33.9</v>
          </cell>
          <cell r="G91">
            <v>-9.7899999999999991</v>
          </cell>
          <cell r="J91">
            <v>16.98</v>
          </cell>
          <cell r="K91">
            <v>114.68</v>
          </cell>
          <cell r="N91">
            <v>68</v>
          </cell>
          <cell r="O91">
            <v>3.32</v>
          </cell>
          <cell r="R91">
            <v>75</v>
          </cell>
          <cell r="S91">
            <v>3</v>
          </cell>
          <cell r="V91">
            <v>74.5</v>
          </cell>
          <cell r="W91">
            <v>11.68</v>
          </cell>
          <cell r="Z91">
            <v>4.18</v>
          </cell>
          <cell r="AA91">
            <v>21.91</v>
          </cell>
          <cell r="AD91">
            <v>12.82</v>
          </cell>
          <cell r="AE91">
            <v>0.74</v>
          </cell>
        </row>
        <row r="92">
          <cell r="A92">
            <v>38975</v>
          </cell>
          <cell r="B92">
            <v>97.95</v>
          </cell>
          <cell r="C92">
            <v>0.97</v>
          </cell>
          <cell r="F92">
            <v>35.450000000000003</v>
          </cell>
          <cell r="G92">
            <v>54.86</v>
          </cell>
          <cell r="J92">
            <v>17.22</v>
          </cell>
          <cell r="K92">
            <v>335.23</v>
          </cell>
          <cell r="N92">
            <v>70</v>
          </cell>
          <cell r="O92">
            <v>3.53</v>
          </cell>
          <cell r="R92">
            <v>75</v>
          </cell>
          <cell r="S92">
            <v>-0.18</v>
          </cell>
          <cell r="V92">
            <v>76</v>
          </cell>
          <cell r="W92">
            <v>-4.16</v>
          </cell>
          <cell r="Z92">
            <v>4.1399999999999997</v>
          </cell>
          <cell r="AA92">
            <v>2.6539999999999999</v>
          </cell>
          <cell r="AD92">
            <v>12.82</v>
          </cell>
          <cell r="AE92">
            <v>-1.17</v>
          </cell>
        </row>
        <row r="93">
          <cell r="A93">
            <v>38982</v>
          </cell>
          <cell r="B93">
            <v>98.35</v>
          </cell>
          <cell r="C93">
            <v>14.24</v>
          </cell>
          <cell r="F93">
            <v>36.15</v>
          </cell>
          <cell r="G93">
            <v>14.87</v>
          </cell>
          <cell r="J93">
            <v>17.3</v>
          </cell>
          <cell r="K93">
            <v>395.7</v>
          </cell>
          <cell r="N93">
            <v>70</v>
          </cell>
          <cell r="O93">
            <v>-3.92</v>
          </cell>
          <cell r="R93">
            <v>78.45</v>
          </cell>
          <cell r="S93">
            <v>8.98</v>
          </cell>
          <cell r="V93">
            <v>74.8</v>
          </cell>
          <cell r="W93">
            <v>-1.97</v>
          </cell>
          <cell r="Z93">
            <v>4.32</v>
          </cell>
          <cell r="AA93">
            <v>20.89</v>
          </cell>
          <cell r="AD93">
            <v>12.86</v>
          </cell>
          <cell r="AE93">
            <v>-2.6</v>
          </cell>
        </row>
        <row r="94">
          <cell r="A94">
            <v>38989</v>
          </cell>
          <cell r="B94">
            <v>98.45</v>
          </cell>
          <cell r="C94">
            <v>-26.15</v>
          </cell>
          <cell r="F94">
            <v>35.549999999999997</v>
          </cell>
          <cell r="G94">
            <v>-1.1299999999999999</v>
          </cell>
          <cell r="J94">
            <v>17.5</v>
          </cell>
          <cell r="K94">
            <v>188.01</v>
          </cell>
          <cell r="N94">
            <v>70.150000000000006</v>
          </cell>
          <cell r="O94">
            <v>-0.7</v>
          </cell>
          <cell r="R94">
            <v>76.099999999999994</v>
          </cell>
          <cell r="S94">
            <v>1.45</v>
          </cell>
          <cell r="V94">
            <v>76.75</v>
          </cell>
          <cell r="W94">
            <v>5.07</v>
          </cell>
          <cell r="Z94">
            <v>4.4800000000000004</v>
          </cell>
          <cell r="AA94">
            <v>40.299999999999997</v>
          </cell>
          <cell r="AD94">
            <v>13.58</v>
          </cell>
          <cell r="AE94">
            <v>9.86</v>
          </cell>
        </row>
        <row r="95">
          <cell r="A95">
            <v>38996</v>
          </cell>
          <cell r="B95">
            <v>98.8</v>
          </cell>
          <cell r="C95">
            <v>76.709999999999994</v>
          </cell>
          <cell r="F95">
            <v>38.049999999999997</v>
          </cell>
          <cell r="G95">
            <v>144.31</v>
          </cell>
          <cell r="J95">
            <v>17.86</v>
          </cell>
          <cell r="K95">
            <v>317.89</v>
          </cell>
          <cell r="N95">
            <v>70.95</v>
          </cell>
          <cell r="O95">
            <v>-3.0169999999999999</v>
          </cell>
          <cell r="R95">
            <v>75.5</v>
          </cell>
          <cell r="S95">
            <v>-9.82</v>
          </cell>
          <cell r="V95">
            <v>76.5</v>
          </cell>
          <cell r="W95">
            <v>-4.8899999999999997</v>
          </cell>
          <cell r="Z95">
            <v>4.76</v>
          </cell>
          <cell r="AA95">
            <v>83.14</v>
          </cell>
          <cell r="AD95">
            <v>13.56</v>
          </cell>
          <cell r="AE95">
            <v>-2.11</v>
          </cell>
        </row>
        <row r="96">
          <cell r="A96">
            <v>39003</v>
          </cell>
          <cell r="B96">
            <v>99.55</v>
          </cell>
          <cell r="C96">
            <v>98.58</v>
          </cell>
          <cell r="F96">
            <v>37.950000000000003</v>
          </cell>
          <cell r="G96">
            <v>32.43</v>
          </cell>
          <cell r="J96">
            <v>17.72</v>
          </cell>
          <cell r="K96">
            <v>102.61</v>
          </cell>
          <cell r="N96">
            <v>67.25</v>
          </cell>
          <cell r="O96">
            <v>-0.44</v>
          </cell>
          <cell r="R96">
            <v>74.349999999999994</v>
          </cell>
          <cell r="S96">
            <v>-1.1000000000000001</v>
          </cell>
          <cell r="V96">
            <v>74.95</v>
          </cell>
          <cell r="W96">
            <v>-0.99</v>
          </cell>
          <cell r="Z96">
            <v>4.84</v>
          </cell>
          <cell r="AA96">
            <v>58.7</v>
          </cell>
          <cell r="AD96">
            <v>14.2</v>
          </cell>
          <cell r="AE96">
            <v>4.3</v>
          </cell>
        </row>
        <row r="97">
          <cell r="A97">
            <v>39010</v>
          </cell>
          <cell r="B97">
            <v>99</v>
          </cell>
          <cell r="C97">
            <v>26.98</v>
          </cell>
          <cell r="F97">
            <v>38.6</v>
          </cell>
          <cell r="G97">
            <v>47.24</v>
          </cell>
          <cell r="J97">
            <v>18</v>
          </cell>
          <cell r="K97">
            <v>193.59</v>
          </cell>
          <cell r="N97">
            <v>69.25</v>
          </cell>
          <cell r="O97">
            <v>2.29</v>
          </cell>
          <cell r="R97">
            <v>73.5</v>
          </cell>
          <cell r="S97">
            <v>-19.75</v>
          </cell>
          <cell r="V97">
            <v>75.150000000000006</v>
          </cell>
          <cell r="W97">
            <v>1.22</v>
          </cell>
          <cell r="Z97">
            <v>5.44</v>
          </cell>
          <cell r="AA97">
            <v>83.41</v>
          </cell>
          <cell r="AD97">
            <v>14.32</v>
          </cell>
          <cell r="AE97">
            <v>14.86</v>
          </cell>
        </row>
        <row r="98">
          <cell r="A98">
            <v>39017</v>
          </cell>
          <cell r="B98">
            <v>99.05</v>
          </cell>
          <cell r="C98">
            <v>-37.83</v>
          </cell>
          <cell r="F98">
            <v>37.5</v>
          </cell>
          <cell r="G98">
            <v>-16.170000000000002</v>
          </cell>
          <cell r="J98">
            <v>17.64</v>
          </cell>
          <cell r="K98">
            <v>93.3</v>
          </cell>
          <cell r="N98">
            <v>67.8</v>
          </cell>
          <cell r="O98">
            <v>-1.02</v>
          </cell>
          <cell r="R98">
            <v>74.400000000000006</v>
          </cell>
          <cell r="S98">
            <v>3.97</v>
          </cell>
          <cell r="V98">
            <v>74</v>
          </cell>
          <cell r="W98">
            <v>0.19</v>
          </cell>
          <cell r="Z98">
            <v>5.16</v>
          </cell>
          <cell r="AA98">
            <v>-43.05</v>
          </cell>
          <cell r="AD98">
            <v>13.28</v>
          </cell>
          <cell r="AE98">
            <v>-20.39</v>
          </cell>
        </row>
      </sheetData>
      <sheetData sheetId="19" refreshError="1">
        <row r="1">
          <cell r="B1" t="str">
            <v>Risk Free Rate (%)</v>
          </cell>
          <cell r="C1" t="str">
            <v>Beta</v>
          </cell>
          <cell r="D1" t="str">
            <v>Mkt Risk Premium (%)</v>
          </cell>
          <cell r="E1" t="str">
            <v>COE (%)</v>
          </cell>
          <cell r="F1" t="str">
            <v>P/E 06E</v>
          </cell>
          <cell r="G1" t="str">
            <v>Mkt Cap Explained by Earnings 06E</v>
          </cell>
        </row>
        <row r="2">
          <cell r="A2" t="str">
            <v>DSF</v>
          </cell>
          <cell r="B2">
            <v>3.71</v>
          </cell>
          <cell r="C2">
            <v>0.95</v>
          </cell>
          <cell r="D2">
            <v>5.5</v>
          </cell>
          <cell r="E2">
            <v>8.9349999999999987</v>
          </cell>
          <cell r="F2">
            <v>24.695730183305287</v>
          </cell>
          <cell r="G2">
            <v>0.45319339492413813</v>
          </cell>
        </row>
        <row r="3">
          <cell r="A3" t="str">
            <v>WLB</v>
          </cell>
          <cell r="B3">
            <v>3.71</v>
          </cell>
          <cell r="C3">
            <v>0.8</v>
          </cell>
          <cell r="D3">
            <v>5.5</v>
          </cell>
          <cell r="E3">
            <v>8.11</v>
          </cell>
          <cell r="F3">
            <v>17.855577292868489</v>
          </cell>
          <cell r="G3">
            <v>0.69056609173903183</v>
          </cell>
        </row>
        <row r="4">
          <cell r="A4" t="str">
            <v>BOCHK</v>
          </cell>
          <cell r="B4">
            <v>3.71</v>
          </cell>
          <cell r="C4">
            <v>0.9</v>
          </cell>
          <cell r="D4">
            <v>5</v>
          </cell>
          <cell r="E4">
            <v>8.2100000000000009</v>
          </cell>
          <cell r="F4">
            <v>20.904940783859153</v>
          </cell>
          <cell r="G4">
            <v>0.58265020177907978</v>
          </cell>
        </row>
        <row r="5">
          <cell r="A5" t="str">
            <v>ICBCA</v>
          </cell>
          <cell r="B5">
            <v>3.71</v>
          </cell>
          <cell r="C5">
            <v>0.9</v>
          </cell>
          <cell r="D5">
            <v>5.5</v>
          </cell>
          <cell r="E5">
            <v>8.66</v>
          </cell>
          <cell r="F5">
            <v>19.010330869412179</v>
          </cell>
          <cell r="G5">
            <v>0.60742467820138257</v>
          </cell>
        </row>
        <row r="6">
          <cell r="A6" t="str">
            <v>WHB</v>
          </cell>
          <cell r="B6">
            <v>3.71</v>
          </cell>
          <cell r="C6">
            <v>1</v>
          </cell>
          <cell r="D6">
            <v>5</v>
          </cell>
          <cell r="E6">
            <v>8.7100000000000009</v>
          </cell>
          <cell r="F6">
            <v>23.387103431083641</v>
          </cell>
          <cell r="G6">
            <v>0.49091398988368368</v>
          </cell>
        </row>
        <row r="7">
          <cell r="A7" t="str">
            <v>HSB</v>
          </cell>
          <cell r="B7">
            <v>3.71</v>
          </cell>
          <cell r="C7">
            <v>0.9</v>
          </cell>
          <cell r="D7">
            <v>5</v>
          </cell>
          <cell r="E7">
            <v>8.2100000000000009</v>
          </cell>
          <cell r="F7">
            <v>15.536401298569123</v>
          </cell>
          <cell r="G7">
            <v>0.78398257948042516</v>
          </cell>
        </row>
        <row r="8">
          <cell r="A8" t="str">
            <v>BEA</v>
          </cell>
          <cell r="B8">
            <v>3.71</v>
          </cell>
          <cell r="C8">
            <v>1</v>
          </cell>
          <cell r="D8">
            <v>5</v>
          </cell>
          <cell r="E8">
            <v>8.7100000000000009</v>
          </cell>
          <cell r="F8">
            <v>15.017966219274472</v>
          </cell>
          <cell r="G8">
            <v>0.76448808643879851</v>
          </cell>
        </row>
        <row r="9">
          <cell r="A9" t="str">
            <v>CIFH</v>
          </cell>
          <cell r="B9">
            <v>3.71</v>
          </cell>
          <cell r="C9">
            <v>1.1000000000000001</v>
          </cell>
          <cell r="D9">
            <v>5</v>
          </cell>
          <cell r="E9">
            <v>9.2100000000000009</v>
          </cell>
          <cell r="F9">
            <v>21.569794446421781</v>
          </cell>
          <cell r="G9">
            <v>0.5033781535438433</v>
          </cell>
        </row>
      </sheetData>
      <sheetData sheetId="20" refreshError="1">
        <row r="1">
          <cell r="A1" t="str">
            <v>CIFH</v>
          </cell>
        </row>
        <row r="2">
          <cell r="C2" t="str">
            <v>Current</v>
          </cell>
          <cell r="D2" t="str">
            <v>2006E</v>
          </cell>
          <cell r="E2" t="str">
            <v>2007E</v>
          </cell>
          <cell r="F2" t="str">
            <v>2008E</v>
          </cell>
          <cell r="G2" t="str">
            <v>2009E</v>
          </cell>
          <cell r="H2" t="str">
            <v>2006E</v>
          </cell>
          <cell r="I2" t="str">
            <v>2007E</v>
          </cell>
          <cell r="J2" t="str">
            <v>2008E</v>
          </cell>
          <cell r="K2" t="str">
            <v>2009E</v>
          </cell>
          <cell r="L2" t="str">
            <v>2006E</v>
          </cell>
          <cell r="M2" t="str">
            <v>2007E</v>
          </cell>
          <cell r="N2" t="str">
            <v>2008E</v>
          </cell>
          <cell r="O2" t="str">
            <v>2009E</v>
          </cell>
        </row>
        <row r="3">
          <cell r="B3" t="str">
            <v>(HK$)</v>
          </cell>
          <cell r="C3" t="str">
            <v>Price</v>
          </cell>
          <cell r="D3" t="str">
            <v>P/B</v>
          </cell>
          <cell r="E3" t="str">
            <v>P/B</v>
          </cell>
          <cell r="F3" t="str">
            <v>P/B</v>
          </cell>
          <cell r="G3" t="str">
            <v>P/B</v>
          </cell>
          <cell r="H3" t="str">
            <v>P/E</v>
          </cell>
          <cell r="I3" t="str">
            <v>P/E</v>
          </cell>
          <cell r="J3" t="str">
            <v>P/E</v>
          </cell>
          <cell r="K3" t="str">
            <v>P/E</v>
          </cell>
          <cell r="L3" t="str">
            <v>Div. Yld.</v>
          </cell>
          <cell r="M3" t="str">
            <v>Div. Yld.</v>
          </cell>
          <cell r="N3" t="str">
            <v>Div. Yld.</v>
          </cell>
          <cell r="O3" t="str">
            <v>Div. Yld.</v>
          </cell>
          <cell r="Q3" t="str">
            <v>Date:</v>
          </cell>
        </row>
        <row r="4">
          <cell r="B4" t="str">
            <v>WLB</v>
          </cell>
          <cell r="C4">
            <v>93.05</v>
          </cell>
          <cell r="D4">
            <v>1.990444666186205</v>
          </cell>
          <cell r="E4">
            <v>1.8577223877626234</v>
          </cell>
          <cell r="F4">
            <v>1.7329272120984685</v>
          </cell>
          <cell r="H4">
            <v>18.675895445408464</v>
          </cell>
          <cell r="I4">
            <v>17.00461440993983</v>
          </cell>
          <cell r="J4">
            <v>15.400927270968959</v>
          </cell>
          <cell r="L4">
            <v>3.2126973603694706</v>
          </cell>
          <cell r="M4">
            <v>4.1165296849708266</v>
          </cell>
          <cell r="N4">
            <v>4.5451808692033326</v>
          </cell>
        </row>
        <row r="5">
          <cell r="B5" t="str">
            <v>WHB</v>
          </cell>
          <cell r="C5">
            <v>96.5</v>
          </cell>
          <cell r="D5">
            <v>3.092424177912386</v>
          </cell>
          <cell r="E5">
            <v>2.8168153588850395</v>
          </cell>
          <cell r="F5">
            <v>2.5757387260779403</v>
          </cell>
          <cell r="H5">
            <v>16.921685033407059</v>
          </cell>
          <cell r="I5">
            <v>15.811618636035698</v>
          </cell>
          <cell r="J5">
            <v>15.055857924703073</v>
          </cell>
          <cell r="L5">
            <v>2.9565510225208862</v>
          </cell>
          <cell r="M5">
            <v>3.163994136256556</v>
          </cell>
          <cell r="N5">
            <v>3.3227290559590115</v>
          </cell>
        </row>
        <row r="6">
          <cell r="B6" t="str">
            <v>CIFH</v>
          </cell>
          <cell r="C6">
            <v>6.75</v>
          </cell>
          <cell r="D6">
            <v>2.3100374110893123</v>
          </cell>
          <cell r="E6">
            <v>1.7732468522631843</v>
          </cell>
          <cell r="F6">
            <v>1.7032799699125285</v>
          </cell>
          <cell r="H6">
            <v>21.738108215372385</v>
          </cell>
          <cell r="I6">
            <v>21.872467651653118</v>
          </cell>
          <cell r="J6">
            <v>19.425635167148513</v>
          </cell>
          <cell r="L6">
            <v>2.3001081558993186</v>
          </cell>
          <cell r="M6">
            <v>2.5145768130027668</v>
          </cell>
          <cell r="N6">
            <v>2.831310251981503</v>
          </cell>
        </row>
        <row r="7">
          <cell r="B7" t="str">
            <v>DSF</v>
          </cell>
          <cell r="C7">
            <v>72.150000000000006</v>
          </cell>
          <cell r="D7">
            <v>1.7772978782681026</v>
          </cell>
          <cell r="E7">
            <v>1.6349046334475732</v>
          </cell>
          <cell r="F7">
            <v>1.4730334576199051</v>
          </cell>
          <cell r="H7">
            <v>15.064755991655309</v>
          </cell>
          <cell r="I7">
            <v>12.564905405118084</v>
          </cell>
          <cell r="J7">
            <v>10.724083997614066</v>
          </cell>
          <cell r="L7">
            <v>3.385385068848775</v>
          </cell>
          <cell r="M7">
            <v>4.0589243098659615</v>
          </cell>
          <cell r="N7">
            <v>4.755650926582323</v>
          </cell>
        </row>
        <row r="8">
          <cell r="B8" t="str">
            <v>ICBCA</v>
          </cell>
          <cell r="C8">
            <v>17.260000000000002</v>
          </cell>
          <cell r="D8">
            <v>1.8450560933954434</v>
          </cell>
          <cell r="E8">
            <v>1.7559837186641472</v>
          </cell>
          <cell r="F8">
            <v>1.667118152367747</v>
          </cell>
          <cell r="H8">
            <v>16.830741289237519</v>
          </cell>
          <cell r="I8">
            <v>14.549464835975082</v>
          </cell>
          <cell r="J8">
            <v>13.176902841683908</v>
          </cell>
          <cell r="L8">
            <v>2.9531352607354124</v>
          </cell>
          <cell r="M8">
            <v>3.5910147410300004</v>
          </cell>
          <cell r="N8">
            <v>3.5910147410300004</v>
          </cell>
        </row>
        <row r="9">
          <cell r="B9" t="str">
            <v>Average</v>
          </cell>
          <cell r="D9">
            <v>2.1763057039405345</v>
          </cell>
          <cell r="E9">
            <v>2.0163565246898458</v>
          </cell>
          <cell r="F9">
            <v>1.8622043870410152</v>
          </cell>
          <cell r="H9">
            <v>16.873269439927086</v>
          </cell>
          <cell r="I9">
            <v>14.982650821767173</v>
          </cell>
          <cell r="J9">
            <v>13.589443008742503</v>
          </cell>
          <cell r="L9">
            <v>3.126942178118636</v>
          </cell>
          <cell r="M9">
            <v>3.7326157180308357</v>
          </cell>
          <cell r="N9">
            <v>4.0536438981936671</v>
          </cell>
        </row>
        <row r="10">
          <cell r="B10" t="str">
            <v>Pre/(Disc)</v>
          </cell>
          <cell r="D10">
            <v>6.1448953107385629E-2</v>
          </cell>
          <cell r="E10">
            <v>-0.12056879299361822</v>
          </cell>
          <cell r="F10">
            <v>-8.5342091466669046E-2</v>
          </cell>
          <cell r="H10">
            <v>0.28831630957860899</v>
          </cell>
          <cell r="I10">
            <v>0.45985299342865593</v>
          </cell>
          <cell r="J10">
            <v>0.42946514839875416</v>
          </cell>
          <cell r="L10">
            <v>-0.26442254928960418</v>
          </cell>
          <cell r="M10">
            <v>-0.32632314629769943</v>
          </cell>
          <cell r="N10">
            <v>-0.30153947335059328</v>
          </cell>
        </row>
        <row r="13">
          <cell r="A13" t="str">
            <v>WHB</v>
          </cell>
        </row>
        <row r="14">
          <cell r="C14" t="str">
            <v>Current</v>
          </cell>
          <cell r="D14" t="str">
            <v>2006E</v>
          </cell>
          <cell r="E14" t="str">
            <v>2007E</v>
          </cell>
          <cell r="F14" t="str">
            <v>2008E</v>
          </cell>
          <cell r="G14" t="str">
            <v>2009E</v>
          </cell>
          <cell r="H14" t="str">
            <v>2006E</v>
          </cell>
          <cell r="I14" t="str">
            <v>2007E</v>
          </cell>
          <cell r="J14" t="str">
            <v>2008E</v>
          </cell>
          <cell r="K14" t="str">
            <v>2009E</v>
          </cell>
          <cell r="L14" t="str">
            <v>2006E</v>
          </cell>
          <cell r="M14" t="str">
            <v>2007E</v>
          </cell>
          <cell r="N14" t="str">
            <v>2008E</v>
          </cell>
          <cell r="O14" t="str">
            <v>2009E</v>
          </cell>
        </row>
        <row r="15">
          <cell r="B15" t="str">
            <v>(HK$)</v>
          </cell>
          <cell r="C15" t="str">
            <v>Price</v>
          </cell>
          <cell r="D15" t="str">
            <v>P/B</v>
          </cell>
          <cell r="E15" t="str">
            <v>P/B</v>
          </cell>
          <cell r="F15" t="str">
            <v>P/B</v>
          </cell>
          <cell r="G15" t="str">
            <v>P/B</v>
          </cell>
          <cell r="H15" t="str">
            <v>P/E</v>
          </cell>
          <cell r="I15" t="str">
            <v>P/E</v>
          </cell>
          <cell r="J15" t="str">
            <v>P/E</v>
          </cell>
          <cell r="K15" t="str">
            <v>P/E</v>
          </cell>
          <cell r="L15" t="str">
            <v>Div. Yld.</v>
          </cell>
          <cell r="M15" t="str">
            <v>Div. Yld.</v>
          </cell>
          <cell r="N15" t="str">
            <v>Div. Yld.</v>
          </cell>
          <cell r="O15" t="str">
            <v>Div. Yld.</v>
          </cell>
          <cell r="T15" t="str">
            <v>PB 06E</v>
          </cell>
          <cell r="U15" t="str">
            <v>PE 06E</v>
          </cell>
          <cell r="V15" t="str">
            <v>P/E Discount</v>
          </cell>
          <cell r="W15" t="str">
            <v>P/B Discount</v>
          </cell>
          <cell r="X15" t="str">
            <v>Major Shareholders</v>
          </cell>
          <cell r="Y15" t="str">
            <v>% of shareholding</v>
          </cell>
        </row>
        <row r="16">
          <cell r="B16" t="str">
            <v>WLB</v>
          </cell>
          <cell r="C16">
            <v>93.05</v>
          </cell>
          <cell r="D16">
            <v>1.990444666186205</v>
          </cell>
          <cell r="E16">
            <v>1.8577223877626234</v>
          </cell>
          <cell r="F16">
            <v>1.7329272120984685</v>
          </cell>
          <cell r="H16">
            <v>18.675895445408464</v>
          </cell>
          <cell r="I16">
            <v>17.00461440993983</v>
          </cell>
          <cell r="J16">
            <v>15.400927270968959</v>
          </cell>
          <cell r="L16">
            <v>3.2126973603694706</v>
          </cell>
          <cell r="M16">
            <v>4.1165296849708266</v>
          </cell>
          <cell r="N16">
            <v>4.5451808692033326</v>
          </cell>
          <cell r="S16" t="str">
            <v>BEA</v>
          </cell>
          <cell r="T16">
            <v>2.2014793728078188</v>
          </cell>
          <cell r="U16">
            <v>15.017966219274472</v>
          </cell>
          <cell r="V16">
            <v>-0.76161958382104011</v>
          </cell>
          <cell r="W16">
            <v>-0.11940825087687246</v>
          </cell>
          <cell r="X16" t="str">
            <v>Li's Family</v>
          </cell>
          <cell r="Y16">
            <v>13.276999999999999</v>
          </cell>
        </row>
        <row r="17">
          <cell r="B17" t="str">
            <v>WHB</v>
          </cell>
          <cell r="C17">
            <v>96.5</v>
          </cell>
          <cell r="D17">
            <v>3.092424177912386</v>
          </cell>
          <cell r="E17">
            <v>2.8168153588850395</v>
          </cell>
          <cell r="F17">
            <v>2.5757387260779403</v>
          </cell>
          <cell r="H17">
            <v>16.921685033407059</v>
          </cell>
          <cell r="I17">
            <v>15.811618636035698</v>
          </cell>
          <cell r="J17">
            <v>15.055857924703073</v>
          </cell>
          <cell r="L17">
            <v>2.9565510225208862</v>
          </cell>
          <cell r="M17">
            <v>3.163994136256556</v>
          </cell>
          <cell r="N17">
            <v>3.3227290559590115</v>
          </cell>
          <cell r="X17" t="str">
            <v>Silchester Int'l</v>
          </cell>
          <cell r="Y17">
            <v>7.8920000000000003</v>
          </cell>
        </row>
        <row r="18">
          <cell r="B18" t="str">
            <v>CIFH</v>
          </cell>
          <cell r="C18">
            <v>6.75</v>
          </cell>
          <cell r="D18">
            <v>2.3100374110893123</v>
          </cell>
          <cell r="E18">
            <v>1.7732468522631843</v>
          </cell>
          <cell r="F18">
            <v>1.7032799699125285</v>
          </cell>
          <cell r="H18">
            <v>21.738108215372385</v>
          </cell>
          <cell r="I18">
            <v>21.872467651653118</v>
          </cell>
          <cell r="J18">
            <v>19.425635167148513</v>
          </cell>
          <cell r="L18">
            <v>2.3001081558993186</v>
          </cell>
          <cell r="M18">
            <v>2.5145768130027668</v>
          </cell>
          <cell r="N18">
            <v>2.831310251981503</v>
          </cell>
          <cell r="S18" t="str">
            <v>WLB</v>
          </cell>
          <cell r="T18">
            <v>2.9515818568782994</v>
          </cell>
          <cell r="U18">
            <v>17.855577292868489</v>
          </cell>
          <cell r="V18">
            <v>-0.71657813820843663</v>
          </cell>
          <cell r="W18">
            <v>0.18063274275131969</v>
          </cell>
          <cell r="X18" t="str">
            <v>Wu's Family</v>
          </cell>
          <cell r="Y18">
            <v>53.12</v>
          </cell>
        </row>
        <row r="19">
          <cell r="B19" t="str">
            <v>DSF</v>
          </cell>
          <cell r="C19">
            <v>72.150000000000006</v>
          </cell>
          <cell r="D19">
            <v>1.7772978782681026</v>
          </cell>
          <cell r="E19">
            <v>1.6349046334475732</v>
          </cell>
          <cell r="F19">
            <v>1.4730334576199051</v>
          </cell>
          <cell r="H19">
            <v>15.064755991655309</v>
          </cell>
          <cell r="I19">
            <v>12.564905405118084</v>
          </cell>
          <cell r="J19">
            <v>10.724083997614066</v>
          </cell>
          <cell r="L19">
            <v>3.385385068848775</v>
          </cell>
          <cell r="M19">
            <v>4.0589243098659615</v>
          </cell>
          <cell r="N19">
            <v>4.755650926582323</v>
          </cell>
          <cell r="X19" t="str">
            <v>Wings Investment</v>
          </cell>
          <cell r="Y19">
            <v>9.4440000000000008</v>
          </cell>
        </row>
        <row r="20">
          <cell r="B20" t="str">
            <v>ICBCA</v>
          </cell>
          <cell r="C20">
            <v>17.260000000000002</v>
          </cell>
          <cell r="D20">
            <v>1.8450560933954434</v>
          </cell>
          <cell r="E20">
            <v>1.7559837186641472</v>
          </cell>
          <cell r="F20">
            <v>1.667118152367747</v>
          </cell>
          <cell r="H20">
            <v>16.830741289237519</v>
          </cell>
          <cell r="I20">
            <v>14.549464835975082</v>
          </cell>
          <cell r="J20">
            <v>13.176902841683908</v>
          </cell>
          <cell r="L20">
            <v>2.9531352607354124</v>
          </cell>
          <cell r="M20">
            <v>3.5910147410300004</v>
          </cell>
          <cell r="N20">
            <v>3.5910147410300004</v>
          </cell>
          <cell r="S20" t="str">
            <v>WHB</v>
          </cell>
          <cell r="T20">
            <v>3.8313862263258174</v>
          </cell>
          <cell r="U20">
            <v>23.387103431083641</v>
          </cell>
          <cell r="V20">
            <v>-0.62877613601454541</v>
          </cell>
          <cell r="W20">
            <v>0.532554490530327</v>
          </cell>
          <cell r="X20" t="str">
            <v>Fung's Family</v>
          </cell>
          <cell r="Y20">
            <v>22.085999999999999</v>
          </cell>
        </row>
        <row r="21">
          <cell r="B21" t="str">
            <v>Average</v>
          </cell>
          <cell r="D21">
            <v>1.9807090122347657</v>
          </cell>
          <cell r="E21">
            <v>1.755464398034382</v>
          </cell>
          <cell r="F21">
            <v>1.6440896979996624</v>
          </cell>
          <cell r="H21">
            <v>18.077375235418423</v>
          </cell>
          <cell r="I21">
            <v>16.497863075671528</v>
          </cell>
          <cell r="J21">
            <v>14.68188731935386</v>
          </cell>
          <cell r="L21">
            <v>2.9628314614632441</v>
          </cell>
          <cell r="M21">
            <v>3.5702613872173887</v>
          </cell>
          <cell r="N21">
            <v>3.9307891971992897</v>
          </cell>
          <cell r="X21" t="str">
            <v>Bank of New York</v>
          </cell>
          <cell r="Y21">
            <v>20.186</v>
          </cell>
        </row>
        <row r="22">
          <cell r="B22" t="str">
            <v>Pre/(Disc)</v>
          </cell>
          <cell r="D22">
            <v>0.5612713219410812</v>
          </cell>
          <cell r="E22">
            <v>0.6045983968909121</v>
          </cell>
          <cell r="F22">
            <v>0.56666557135647788</v>
          </cell>
          <cell r="H22">
            <v>-6.3930199321583836E-2</v>
          </cell>
          <cell r="I22">
            <v>-4.1595959215335987E-2</v>
          </cell>
          <cell r="J22">
            <v>2.547156215102131E-2</v>
          </cell>
          <cell r="L22">
            <v>-2.1197422209281447E-3</v>
          </cell>
          <cell r="M22">
            <v>-0.11379201881839573</v>
          </cell>
          <cell r="N22">
            <v>-0.15469161807850818</v>
          </cell>
          <cell r="X22" t="str">
            <v>Aberdeen Int'l China</v>
          </cell>
          <cell r="Y22">
            <v>8.0050000000000008</v>
          </cell>
        </row>
        <row r="23">
          <cell r="S23" t="str">
            <v>DSF</v>
          </cell>
          <cell r="T23">
            <v>4.5036390276984832</v>
          </cell>
          <cell r="U23">
            <v>24.695730183305287</v>
          </cell>
          <cell r="V23">
            <v>-0.608004282804678</v>
          </cell>
          <cell r="W23">
            <v>0.80145561107939334</v>
          </cell>
          <cell r="X23" t="str">
            <v>Wong Shou Yeh</v>
          </cell>
          <cell r="Y23">
            <v>39.186999999999998</v>
          </cell>
        </row>
        <row r="24">
          <cell r="A24" t="str">
            <v>ICBCA</v>
          </cell>
          <cell r="X24" t="str">
            <v>Mitsubishi UFJ Fund</v>
          </cell>
          <cell r="Y24">
            <v>12.124000000000001</v>
          </cell>
        </row>
        <row r="25">
          <cell r="C25" t="str">
            <v>Current</v>
          </cell>
          <cell r="D25" t="str">
            <v>2006E</v>
          </cell>
          <cell r="E25" t="str">
            <v>2007E</v>
          </cell>
          <cell r="F25" t="str">
            <v>2008E</v>
          </cell>
          <cell r="G25" t="str">
            <v>2009E</v>
          </cell>
          <cell r="H25" t="str">
            <v>2006E</v>
          </cell>
          <cell r="I25" t="str">
            <v>2007E</v>
          </cell>
          <cell r="J25" t="str">
            <v>2008E</v>
          </cell>
          <cell r="K25" t="str">
            <v>2009E</v>
          </cell>
          <cell r="L25" t="str">
            <v>2006E</v>
          </cell>
          <cell r="M25" t="str">
            <v>2007E</v>
          </cell>
          <cell r="N25" t="str">
            <v>2008E</v>
          </cell>
          <cell r="O25" t="str">
            <v>2009E</v>
          </cell>
          <cell r="X25" t="str">
            <v>Aberdeen Asset Mgmt</v>
          </cell>
          <cell r="Y25">
            <v>7.2169999999999996</v>
          </cell>
        </row>
        <row r="26">
          <cell r="B26" t="str">
            <v>(HK$)</v>
          </cell>
          <cell r="C26" t="str">
            <v>Price</v>
          </cell>
          <cell r="D26" t="str">
            <v>P/B</v>
          </cell>
          <cell r="E26" t="str">
            <v>P/B</v>
          </cell>
          <cell r="F26" t="str">
            <v>P/B</v>
          </cell>
          <cell r="G26" t="str">
            <v>P/B</v>
          </cell>
          <cell r="H26" t="str">
            <v>P/E</v>
          </cell>
          <cell r="I26" t="str">
            <v>P/E</v>
          </cell>
          <cell r="J26" t="str">
            <v>P/E</v>
          </cell>
          <cell r="K26" t="str">
            <v>P/E</v>
          </cell>
          <cell r="L26" t="str">
            <v>Div. Yld.</v>
          </cell>
          <cell r="M26" t="str">
            <v>Div. Yld.</v>
          </cell>
          <cell r="N26" t="str">
            <v>Div. Yld.</v>
          </cell>
          <cell r="O26" t="str">
            <v>Div. Yld.</v>
          </cell>
          <cell r="X26" t="str">
            <v>JP Morgan Chase</v>
          </cell>
          <cell r="Y26">
            <v>4.9660000000000002</v>
          </cell>
        </row>
        <row r="27">
          <cell r="B27" t="str">
            <v>WLB</v>
          </cell>
          <cell r="C27">
            <v>93.05</v>
          </cell>
          <cell r="D27">
            <v>1.990444666186205</v>
          </cell>
          <cell r="E27">
            <v>1.8577223877626234</v>
          </cell>
          <cell r="F27">
            <v>1.7329272120984685</v>
          </cell>
          <cell r="H27">
            <v>18.675895445408464</v>
          </cell>
          <cell r="I27">
            <v>17.00461440993983</v>
          </cell>
          <cell r="J27">
            <v>15.400927270968959</v>
          </cell>
          <cell r="L27">
            <v>3.2126973603694706</v>
          </cell>
          <cell r="M27">
            <v>4.1165296849708266</v>
          </cell>
          <cell r="N27">
            <v>4.5451808692033326</v>
          </cell>
          <cell r="S27" t="str">
            <v>LCH</v>
          </cell>
          <cell r="T27">
            <v>1.1782772581320675</v>
          </cell>
          <cell r="U27">
            <v>14.82001755926251</v>
          </cell>
          <cell r="V27">
            <v>-0.76476162604345221</v>
          </cell>
          <cell r="W27">
            <v>-0.52868909674717302</v>
          </cell>
          <cell r="X27" t="str">
            <v>Liu Chong Hing Inv Ltd</v>
          </cell>
          <cell r="Y27">
            <v>45.463000000000001</v>
          </cell>
        </row>
        <row r="28">
          <cell r="B28" t="str">
            <v>WHB</v>
          </cell>
          <cell r="C28">
            <v>96.5</v>
          </cell>
          <cell r="D28">
            <v>3.092424177912386</v>
          </cell>
          <cell r="E28">
            <v>2.8168153588850395</v>
          </cell>
          <cell r="F28">
            <v>2.5757387260779403</v>
          </cell>
          <cell r="H28">
            <v>16.921685033407059</v>
          </cell>
          <cell r="I28">
            <v>15.811618636035698</v>
          </cell>
          <cell r="J28">
            <v>15.055857924703073</v>
          </cell>
          <cell r="L28">
            <v>2.9565510225208862</v>
          </cell>
          <cell r="M28">
            <v>3.163994136256556</v>
          </cell>
          <cell r="N28">
            <v>3.3227290559590115</v>
          </cell>
          <cell r="X28" t="str">
            <v>COSCO Pacific</v>
          </cell>
          <cell r="Y28">
            <v>20</v>
          </cell>
        </row>
        <row r="29">
          <cell r="B29" t="str">
            <v>CIFH</v>
          </cell>
          <cell r="C29">
            <v>6.75</v>
          </cell>
          <cell r="D29">
            <v>2.3100374110893123</v>
          </cell>
          <cell r="E29">
            <v>1.7732468522631843</v>
          </cell>
          <cell r="F29">
            <v>1.7032799699125285</v>
          </cell>
          <cell r="H29">
            <v>21.738108215372385</v>
          </cell>
          <cell r="I29">
            <v>21.872467651653118</v>
          </cell>
          <cell r="J29">
            <v>19.425635167148513</v>
          </cell>
          <cell r="L29">
            <v>2.3001081558993186</v>
          </cell>
          <cell r="M29">
            <v>2.5145768130027668</v>
          </cell>
          <cell r="N29">
            <v>2.831310251981503</v>
          </cell>
          <cell r="X29" t="str">
            <v>Mitsubishi Tokyo</v>
          </cell>
          <cell r="Y29">
            <v>9.1950000000000003</v>
          </cell>
        </row>
        <row r="30">
          <cell r="B30" t="str">
            <v>DSF</v>
          </cell>
          <cell r="C30">
            <v>72.150000000000006</v>
          </cell>
          <cell r="D30">
            <v>1.7772978782681026</v>
          </cell>
          <cell r="E30">
            <v>1.6349046334475732</v>
          </cell>
          <cell r="F30">
            <v>1.4730334576199051</v>
          </cell>
          <cell r="H30">
            <v>15.064755991655309</v>
          </cell>
          <cell r="I30">
            <v>12.564905405118084</v>
          </cell>
          <cell r="J30">
            <v>10.724083997614066</v>
          </cell>
          <cell r="L30">
            <v>3.385385068848775</v>
          </cell>
          <cell r="M30">
            <v>4.0589243098659615</v>
          </cell>
          <cell r="N30">
            <v>4.755650926582323</v>
          </cell>
          <cell r="X30" t="str">
            <v>Third Ave Mgmt</v>
          </cell>
          <cell r="Y30">
            <v>5.806</v>
          </cell>
        </row>
        <row r="31">
          <cell r="B31" t="str">
            <v>ICBCA</v>
          </cell>
          <cell r="C31">
            <v>17.260000000000002</v>
          </cell>
          <cell r="D31">
            <v>1.8450560933954434</v>
          </cell>
          <cell r="E31">
            <v>1.7559837186641472</v>
          </cell>
          <cell r="F31">
            <v>1.667118152367747</v>
          </cell>
          <cell r="H31">
            <v>16.830741289237519</v>
          </cell>
          <cell r="I31">
            <v>14.549464835975082</v>
          </cell>
          <cell r="J31">
            <v>13.176902841683908</v>
          </cell>
          <cell r="L31">
            <v>2.9531352607354124</v>
          </cell>
          <cell r="M31">
            <v>3.5910147410300004</v>
          </cell>
          <cell r="N31">
            <v>3.5910147410300004</v>
          </cell>
        </row>
        <row r="32">
          <cell r="B32" t="str">
            <v>Average</v>
          </cell>
          <cell r="D32">
            <v>2.2925510333640018</v>
          </cell>
          <cell r="E32">
            <v>2.0206723080896047</v>
          </cell>
          <cell r="F32">
            <v>1.8712448414272105</v>
          </cell>
          <cell r="H32">
            <v>18.100111171460803</v>
          </cell>
          <cell r="I32">
            <v>16.813401525686682</v>
          </cell>
          <cell r="J32">
            <v>15.151626090108653</v>
          </cell>
          <cell r="L32">
            <v>2.9636854019096126</v>
          </cell>
          <cell r="M32">
            <v>3.4635062360240276</v>
          </cell>
          <cell r="N32">
            <v>3.8637177759315424</v>
          </cell>
        </row>
        <row r="33">
          <cell r="B33" t="str">
            <v>Pre/(Disc)</v>
          </cell>
          <cell r="D33">
            <v>-0.19519519236695959</v>
          </cell>
          <cell r="E33">
            <v>-0.13099035819207172</v>
          </cell>
          <cell r="F33">
            <v>-0.1090860396995269</v>
          </cell>
          <cell r="H33">
            <v>-7.0130501973090231E-2</v>
          </cell>
          <cell r="I33">
            <v>-0.13465072408179102</v>
          </cell>
          <cell r="J33">
            <v>-0.13033078012094634</v>
          </cell>
          <cell r="L33">
            <v>-3.5598046835207953E-3</v>
          </cell>
          <cell r="M33">
            <v>3.6814862257140701E-2</v>
          </cell>
          <cell r="N33">
            <v>-7.0580474743860755E-2</v>
          </cell>
        </row>
        <row r="36">
          <cell r="A36" t="str">
            <v>WLB</v>
          </cell>
          <cell r="R36" t="str">
            <v>0183.HK</v>
          </cell>
          <cell r="S36" t="str">
            <v>CIFH</v>
          </cell>
          <cell r="T36">
            <v>2.3100374110893114</v>
          </cell>
          <cell r="U36">
            <v>21.738108215372417</v>
          </cell>
          <cell r="W36">
            <v>-0.65495066324805684</v>
          </cell>
          <cell r="X36" t="str">
            <v>CITIC Group</v>
          </cell>
          <cell r="Y36">
            <v>56.31</v>
          </cell>
        </row>
        <row r="37">
          <cell r="C37" t="str">
            <v>Current</v>
          </cell>
          <cell r="D37" t="str">
            <v>2006E</v>
          </cell>
          <cell r="E37" t="str">
            <v>2007E</v>
          </cell>
          <cell r="F37" t="str">
            <v>2008E</v>
          </cell>
          <cell r="G37" t="str">
            <v>2009E</v>
          </cell>
          <cell r="H37" t="str">
            <v>2006E</v>
          </cell>
          <cell r="I37" t="str">
            <v>2007E</v>
          </cell>
          <cell r="J37" t="str">
            <v>2008E</v>
          </cell>
          <cell r="K37" t="str">
            <v>2009E</v>
          </cell>
          <cell r="L37" t="str">
            <v>2006E</v>
          </cell>
          <cell r="M37" t="str">
            <v>2007E</v>
          </cell>
          <cell r="N37" t="str">
            <v>2008E</v>
          </cell>
          <cell r="O37" t="str">
            <v>2009E</v>
          </cell>
          <cell r="X37" t="str">
            <v>China Construction Bank</v>
          </cell>
          <cell r="Y37">
            <v>5.2720000000000002</v>
          </cell>
        </row>
        <row r="38">
          <cell r="B38" t="str">
            <v>(HK$)</v>
          </cell>
          <cell r="C38" t="str">
            <v>Price</v>
          </cell>
          <cell r="D38" t="str">
            <v>P/B</v>
          </cell>
          <cell r="E38" t="str">
            <v>P/B</v>
          </cell>
          <cell r="F38" t="str">
            <v>P/B</v>
          </cell>
          <cell r="G38" t="str">
            <v>P/B</v>
          </cell>
          <cell r="H38" t="str">
            <v>P/E</v>
          </cell>
          <cell r="I38" t="str">
            <v>P/E</v>
          </cell>
          <cell r="J38" t="str">
            <v>P/E</v>
          </cell>
          <cell r="K38" t="str">
            <v>P/E</v>
          </cell>
          <cell r="L38" t="str">
            <v>Div. Yld.</v>
          </cell>
          <cell r="M38" t="str">
            <v>Div. Yld.</v>
          </cell>
          <cell r="N38" t="str">
            <v>Div. Yld.</v>
          </cell>
          <cell r="O38" t="str">
            <v>Div. Yld.</v>
          </cell>
          <cell r="R38" t="str">
            <v>0349.HK</v>
          </cell>
          <cell r="S38" t="str">
            <v>ICBCA</v>
          </cell>
          <cell r="T38">
            <v>1.8450560933954434</v>
          </cell>
          <cell r="U38">
            <v>16.830741289237537</v>
          </cell>
          <cell r="W38">
            <v>-0.73284537636130898</v>
          </cell>
          <cell r="X38" t="str">
            <v>ICBC</v>
          </cell>
          <cell r="Y38">
            <v>59.716999999999999</v>
          </cell>
        </row>
        <row r="39">
          <cell r="B39" t="str">
            <v>WLB</v>
          </cell>
          <cell r="C39">
            <v>93.05</v>
          </cell>
          <cell r="D39">
            <v>1.990444666186205</v>
          </cell>
          <cell r="E39">
            <v>1.8577223877626234</v>
          </cell>
          <cell r="F39">
            <v>1.7329272120984685</v>
          </cell>
          <cell r="H39">
            <v>18.675895445408464</v>
          </cell>
          <cell r="I39">
            <v>17.00461440993983</v>
          </cell>
          <cell r="J39">
            <v>15.400927270968959</v>
          </cell>
          <cell r="L39">
            <v>3.2126973603694706</v>
          </cell>
          <cell r="M39">
            <v>4.1165296849708266</v>
          </cell>
          <cell r="N39">
            <v>4.5451808692033326</v>
          </cell>
          <cell r="X39" t="str">
            <v>Fortis Bank</v>
          </cell>
          <cell r="Y39">
            <v>8.4120000000000008</v>
          </cell>
        </row>
        <row r="40">
          <cell r="B40" t="str">
            <v>WHB</v>
          </cell>
          <cell r="C40">
            <v>96.5</v>
          </cell>
          <cell r="D40">
            <v>3.092424177912386</v>
          </cell>
          <cell r="E40">
            <v>2.8168153588850395</v>
          </cell>
          <cell r="F40">
            <v>2.5757387260779403</v>
          </cell>
          <cell r="H40">
            <v>16.921685033407059</v>
          </cell>
          <cell r="I40">
            <v>15.811618636035698</v>
          </cell>
          <cell r="J40">
            <v>15.055857924703073</v>
          </cell>
          <cell r="L40">
            <v>2.9565510225208862</v>
          </cell>
          <cell r="M40">
            <v>3.163994136256556</v>
          </cell>
          <cell r="N40">
            <v>3.3227290559590115</v>
          </cell>
        </row>
        <row r="41">
          <cell r="B41" t="str">
            <v>CIFH</v>
          </cell>
          <cell r="C41">
            <v>6.75</v>
          </cell>
          <cell r="D41">
            <v>2.3100374110893123</v>
          </cell>
          <cell r="E41">
            <v>1.7732468522631843</v>
          </cell>
          <cell r="F41">
            <v>1.7032799699125285</v>
          </cell>
          <cell r="H41">
            <v>21.738108215372385</v>
          </cell>
          <cell r="I41">
            <v>21.872467651653118</v>
          </cell>
          <cell r="J41">
            <v>19.425635167148513</v>
          </cell>
          <cell r="L41">
            <v>2.3001081558993186</v>
          </cell>
          <cell r="M41">
            <v>2.5145768130027668</v>
          </cell>
          <cell r="N41">
            <v>2.831310251981503</v>
          </cell>
        </row>
        <row r="42">
          <cell r="B42" t="str">
            <v>DSF</v>
          </cell>
          <cell r="C42">
            <v>72.150000000000006</v>
          </cell>
          <cell r="D42">
            <v>1.7772978782681026</v>
          </cell>
          <cell r="E42">
            <v>1.6349046334475732</v>
          </cell>
          <cell r="F42">
            <v>1.4730334576199051</v>
          </cell>
          <cell r="H42">
            <v>15.064755991655309</v>
          </cell>
          <cell r="I42">
            <v>12.564905405118084</v>
          </cell>
          <cell r="J42">
            <v>10.724083997614066</v>
          </cell>
          <cell r="L42">
            <v>3.385385068848775</v>
          </cell>
          <cell r="M42">
            <v>4.0589243098659615</v>
          </cell>
          <cell r="N42">
            <v>4.755650926582323</v>
          </cell>
        </row>
        <row r="43">
          <cell r="B43" t="str">
            <v>ICBCA</v>
          </cell>
          <cell r="C43">
            <v>17.260000000000002</v>
          </cell>
          <cell r="D43">
            <v>1.8450560933954434</v>
          </cell>
          <cell r="E43">
            <v>1.7559837186641472</v>
          </cell>
          <cell r="F43">
            <v>1.667118152367747</v>
          </cell>
          <cell r="H43">
            <v>16.830741289237519</v>
          </cell>
          <cell r="I43">
            <v>14.549464835975082</v>
          </cell>
          <cell r="J43">
            <v>13.176902841683908</v>
          </cell>
          <cell r="L43">
            <v>2.9531352607354124</v>
          </cell>
          <cell r="M43">
            <v>3.5910147410300004</v>
          </cell>
          <cell r="N43">
            <v>3.5910147410300004</v>
          </cell>
        </row>
        <row r="44">
          <cell r="B44" t="str">
            <v>Average</v>
          </cell>
          <cell r="D44">
            <v>2.2562038901663111</v>
          </cell>
          <cell r="E44">
            <v>1.9952376408149861</v>
          </cell>
          <cell r="F44">
            <v>1.8547925764945301</v>
          </cell>
          <cell r="H44">
            <v>17.638822632418069</v>
          </cell>
          <cell r="I44">
            <v>16.199614132195496</v>
          </cell>
          <cell r="J44">
            <v>14.59561998278739</v>
          </cell>
          <cell r="L44">
            <v>2.8987948770010981</v>
          </cell>
          <cell r="M44">
            <v>3.3321275000388209</v>
          </cell>
          <cell r="N44">
            <v>3.6251762438882098</v>
          </cell>
        </row>
        <row r="45">
          <cell r="B45" t="str">
            <v>Pre/(Disc)</v>
          </cell>
          <cell r="D45">
            <v>-0.11779042893172043</v>
          </cell>
          <cell r="E45">
            <v>-6.8921741570689532E-2</v>
          </cell>
          <cell r="F45">
            <v>-6.5702961042889974E-2</v>
          </cell>
          <cell r="H45">
            <v>5.8794900011318152E-2</v>
          </cell>
          <cell r="I45">
            <v>4.9692558796475161E-2</v>
          </cell>
          <cell r="J45">
            <v>5.5174585877904914E-2</v>
          </cell>
          <cell r="L45">
            <v>0.10828723545044872</v>
          </cell>
          <cell r="M45">
            <v>0.23540581352990464</v>
          </cell>
          <cell r="N45">
            <v>0.25378204076731037</v>
          </cell>
        </row>
        <row r="48">
          <cell r="A48" t="str">
            <v>DSF</v>
          </cell>
        </row>
        <row r="49">
          <cell r="C49" t="str">
            <v>Current</v>
          </cell>
          <cell r="D49" t="str">
            <v>2006E</v>
          </cell>
          <cell r="E49" t="str">
            <v>2007E</v>
          </cell>
          <cell r="F49" t="str">
            <v>2008E</v>
          </cell>
          <cell r="G49" t="str">
            <v>2009E</v>
          </cell>
          <cell r="H49" t="str">
            <v>2006E</v>
          </cell>
          <cell r="I49" t="str">
            <v>2007E</v>
          </cell>
          <cell r="J49" t="str">
            <v>2008E</v>
          </cell>
          <cell r="K49" t="str">
            <v>2009E</v>
          </cell>
          <cell r="L49" t="str">
            <v>2006E</v>
          </cell>
          <cell r="M49" t="str">
            <v>2007E</v>
          </cell>
          <cell r="N49" t="str">
            <v>2008E</v>
          </cell>
          <cell r="O49" t="str">
            <v>2009E</v>
          </cell>
        </row>
        <row r="50">
          <cell r="B50" t="str">
            <v>(HK$)</v>
          </cell>
          <cell r="C50" t="str">
            <v>Price</v>
          </cell>
          <cell r="D50" t="str">
            <v>P/B</v>
          </cell>
          <cell r="E50" t="str">
            <v>P/B</v>
          </cell>
          <cell r="F50" t="str">
            <v>P/B</v>
          </cell>
          <cell r="G50" t="str">
            <v>P/B</v>
          </cell>
          <cell r="H50" t="str">
            <v>P/E</v>
          </cell>
          <cell r="I50" t="str">
            <v>P/E</v>
          </cell>
          <cell r="J50" t="str">
            <v>P/E</v>
          </cell>
          <cell r="K50" t="str">
            <v>P/E</v>
          </cell>
          <cell r="L50" t="str">
            <v>Div. Yld.</v>
          </cell>
          <cell r="M50" t="str">
            <v>Div. Yld.</v>
          </cell>
          <cell r="N50" t="str">
            <v>Div. Yld.</v>
          </cell>
          <cell r="O50" t="str">
            <v>Div. Yld.</v>
          </cell>
        </row>
        <row r="51">
          <cell r="B51" t="str">
            <v>WLB</v>
          </cell>
          <cell r="C51">
            <v>93.05</v>
          </cell>
          <cell r="D51">
            <v>1.990444666186205</v>
          </cell>
          <cell r="E51">
            <v>1.8577223877626234</v>
          </cell>
          <cell r="F51">
            <v>1.7329272120984685</v>
          </cell>
          <cell r="H51">
            <v>18.675895445408464</v>
          </cell>
          <cell r="I51">
            <v>17.00461440993983</v>
          </cell>
          <cell r="J51">
            <v>15.400927270968959</v>
          </cell>
          <cell r="L51">
            <v>3.2126973603694706</v>
          </cell>
          <cell r="M51">
            <v>4.1165296849708266</v>
          </cell>
          <cell r="N51">
            <v>4.5451808692033326</v>
          </cell>
        </row>
        <row r="52">
          <cell r="B52" t="str">
            <v>WHB</v>
          </cell>
          <cell r="C52">
            <v>96.5</v>
          </cell>
          <cell r="D52">
            <v>3.092424177912386</v>
          </cell>
          <cell r="E52">
            <v>2.8168153588850395</v>
          </cell>
          <cell r="F52">
            <v>2.5757387260779403</v>
          </cell>
          <cell r="H52">
            <v>16.921685033407059</v>
          </cell>
          <cell r="I52">
            <v>15.811618636035698</v>
          </cell>
          <cell r="J52">
            <v>15.055857924703073</v>
          </cell>
          <cell r="L52">
            <v>2.9565510225208862</v>
          </cell>
          <cell r="M52">
            <v>3.163994136256556</v>
          </cell>
          <cell r="N52">
            <v>3.3227290559590115</v>
          </cell>
        </row>
        <row r="53">
          <cell r="B53" t="str">
            <v>CIFH</v>
          </cell>
          <cell r="C53">
            <v>6.75</v>
          </cell>
          <cell r="D53">
            <v>2.3100374110893123</v>
          </cell>
          <cell r="E53">
            <v>1.7732468522631843</v>
          </cell>
          <cell r="F53">
            <v>1.7032799699125285</v>
          </cell>
          <cell r="H53">
            <v>21.738108215372385</v>
          </cell>
          <cell r="I53">
            <v>21.872467651653118</v>
          </cell>
          <cell r="J53">
            <v>19.425635167148513</v>
          </cell>
          <cell r="L53">
            <v>2.3001081558993186</v>
          </cell>
          <cell r="M53">
            <v>2.5145768130027668</v>
          </cell>
          <cell r="N53">
            <v>2.831310251981503</v>
          </cell>
        </row>
        <row r="54">
          <cell r="B54" t="str">
            <v>DSF</v>
          </cell>
          <cell r="C54">
            <v>72.150000000000006</v>
          </cell>
          <cell r="D54">
            <v>1.7772978782681026</v>
          </cell>
          <cell r="E54">
            <v>1.6349046334475732</v>
          </cell>
          <cell r="F54">
            <v>1.4730334576199051</v>
          </cell>
          <cell r="H54">
            <v>15.064755991655309</v>
          </cell>
          <cell r="I54">
            <v>12.564905405118084</v>
          </cell>
          <cell r="J54">
            <v>10.724083997614066</v>
          </cell>
          <cell r="L54">
            <v>3.385385068848775</v>
          </cell>
          <cell r="M54">
            <v>4.0589243098659615</v>
          </cell>
          <cell r="N54">
            <v>4.755650926582323</v>
          </cell>
        </row>
        <row r="55">
          <cell r="B55" t="str">
            <v>ICBCA</v>
          </cell>
          <cell r="C55">
            <v>17.260000000000002</v>
          </cell>
          <cell r="D55">
            <v>1.8450560933954434</v>
          </cell>
          <cell r="E55">
            <v>1.7559837186641472</v>
          </cell>
          <cell r="F55">
            <v>1.667118152367747</v>
          </cell>
          <cell r="H55">
            <v>16.830741289237519</v>
          </cell>
          <cell r="I55">
            <v>14.549464835975082</v>
          </cell>
          <cell r="J55">
            <v>13.176902841683908</v>
          </cell>
          <cell r="L55">
            <v>2.9531352607354124</v>
          </cell>
          <cell r="M55">
            <v>3.5910147410300004</v>
          </cell>
          <cell r="N55">
            <v>3.5910147410300004</v>
          </cell>
        </row>
        <row r="56">
          <cell r="B56" t="str">
            <v>Average</v>
          </cell>
          <cell r="D56">
            <v>2.3094905871458367</v>
          </cell>
          <cell r="E56">
            <v>2.0509420793937485</v>
          </cell>
          <cell r="F56">
            <v>1.9197660151141711</v>
          </cell>
          <cell r="H56">
            <v>18.541607495856354</v>
          </cell>
          <cell r="I56">
            <v>17.309541383400934</v>
          </cell>
          <cell r="J56">
            <v>15.764830801126113</v>
          </cell>
          <cell r="L56">
            <v>2.8556229498812717</v>
          </cell>
          <cell r="M56">
            <v>3.3465288438150376</v>
          </cell>
          <cell r="N56">
            <v>3.572558729543462</v>
          </cell>
        </row>
        <row r="57">
          <cell r="B57" t="str">
            <v>Pre/(Disc)</v>
          </cell>
          <cell r="D57">
            <v>-0.23043727124925839</v>
          </cell>
          <cell r="E57">
            <v>-0.20285187481703748</v>
          </cell>
          <cell r="F57">
            <v>-0.23270156569976486</v>
          </cell>
          <cell r="H57">
            <v>-0.18751618515158652</v>
          </cell>
          <cell r="I57">
            <v>-0.27410523902341744</v>
          </cell>
          <cell r="J57">
            <v>-0.31974633074729708</v>
          </cell>
          <cell r="L57">
            <v>0.18551542982575109</v>
          </cell>
          <cell r="M57">
            <v>0.21287593781465652</v>
          </cell>
          <cell r="N57">
            <v>0.3311610211625684</v>
          </cell>
        </row>
      </sheetData>
      <sheetData sheetId="21" refreshError="1"/>
      <sheetData sheetId="22" refreshError="1">
        <row r="1">
          <cell r="A1" t="str">
            <v>M&amp;A Activities</v>
          </cell>
        </row>
        <row r="2">
          <cell r="A2" t="str">
            <v>Date</v>
          </cell>
          <cell r="B2" t="str">
            <v>Target</v>
          </cell>
          <cell r="C2" t="str">
            <v>Acquiror</v>
          </cell>
          <cell r="D2" t="str">
            <v>% Acquired</v>
          </cell>
          <cell r="E2" t="str">
            <v>Tran value (US$mn)</v>
          </cell>
          <cell r="F2" t="str">
            <v>P/B</v>
          </cell>
          <cell r="G2" t="str">
            <v>P/E</v>
          </cell>
          <cell r="I2" t="str">
            <v>Target factset code</v>
          </cell>
        </row>
        <row r="3">
          <cell r="A3" t="str">
            <v>4Q06</v>
          </cell>
          <cell r="B3" t="str">
            <v>CITIC Int'l Fina</v>
          </cell>
          <cell r="C3" t="str">
            <v>BBVA</v>
          </cell>
          <cell r="D3">
            <v>15</v>
          </cell>
          <cell r="E3">
            <v>624.6</v>
          </cell>
          <cell r="F3">
            <v>1.6</v>
          </cell>
          <cell r="G3">
            <v>17.5</v>
          </cell>
        </row>
        <row r="4">
          <cell r="A4" t="str">
            <v>4Q06</v>
          </cell>
          <cell r="B4" t="str">
            <v>Bank of America (HK)</v>
          </cell>
          <cell r="C4" t="str">
            <v>China Construction Bank</v>
          </cell>
          <cell r="D4">
            <v>100</v>
          </cell>
          <cell r="E4">
            <v>1253</v>
          </cell>
          <cell r="F4">
            <v>1.32</v>
          </cell>
          <cell r="G4">
            <v>18.100000000000001</v>
          </cell>
        </row>
        <row r="5">
          <cell r="A5" t="str">
            <v>1Q06</v>
          </cell>
          <cell r="B5" t="str">
            <v>Asia Commercial Bank</v>
          </cell>
          <cell r="C5" t="str">
            <v>JCG</v>
          </cell>
          <cell r="D5">
            <v>100</v>
          </cell>
          <cell r="E5">
            <v>576.92307692307691</v>
          </cell>
          <cell r="F5">
            <v>2.5</v>
          </cell>
          <cell r="G5">
            <v>63</v>
          </cell>
        </row>
        <row r="6">
          <cell r="A6" t="str">
            <v>3Q05</v>
          </cell>
          <cell r="B6" t="str">
            <v>Banco Comercial de Macau</v>
          </cell>
          <cell r="C6" t="str">
            <v>Dah Sing Financial</v>
          </cell>
          <cell r="D6">
            <v>100</v>
          </cell>
          <cell r="E6">
            <v>214.10256410256412</v>
          </cell>
          <cell r="F6">
            <v>2.6</v>
          </cell>
          <cell r="G6">
            <v>22.6</v>
          </cell>
        </row>
        <row r="7">
          <cell r="A7" t="str">
            <v>2Q05</v>
          </cell>
          <cell r="B7" t="str">
            <v>Pacific Finance</v>
          </cell>
          <cell r="C7" t="str">
            <v>Dah Sing Financial</v>
          </cell>
          <cell r="D7">
            <v>100</v>
          </cell>
          <cell r="E7">
            <v>120</v>
          </cell>
          <cell r="F7">
            <v>1.76</v>
          </cell>
          <cell r="G7">
            <v>13.76</v>
          </cell>
        </row>
        <row r="8">
          <cell r="A8" t="str">
            <v>1Q04</v>
          </cell>
          <cell r="B8" t="str">
            <v>Fortis Bank</v>
          </cell>
          <cell r="C8" t="str">
            <v>ICBC (Asia)</v>
          </cell>
          <cell r="D8">
            <v>100</v>
          </cell>
          <cell r="E8">
            <v>324</v>
          </cell>
          <cell r="F8">
            <v>1.05</v>
          </cell>
          <cell r="G8">
            <v>17.68</v>
          </cell>
        </row>
        <row r="9">
          <cell r="A9" t="str">
            <v>4Q03</v>
          </cell>
          <cell r="B9" t="str">
            <v>IBA (now Fubon)</v>
          </cell>
          <cell r="C9" t="str">
            <v>Fubon Financial</v>
          </cell>
          <cell r="D9">
            <v>75</v>
          </cell>
          <cell r="E9">
            <v>415</v>
          </cell>
          <cell r="F9">
            <v>1.1599999999999999</v>
          </cell>
          <cell r="G9">
            <v>15.98</v>
          </cell>
        </row>
        <row r="10">
          <cell r="A10" t="str">
            <v>3Q03</v>
          </cell>
          <cell r="B10" t="str">
            <v>Chekiang First</v>
          </cell>
          <cell r="C10" t="str">
            <v>Wing Hang</v>
          </cell>
          <cell r="D10">
            <v>100</v>
          </cell>
          <cell r="E10">
            <v>615</v>
          </cell>
          <cell r="F10">
            <v>1.22</v>
          </cell>
          <cell r="G10">
            <v>23.2</v>
          </cell>
        </row>
        <row r="11">
          <cell r="A11" t="str">
            <v>1Q02</v>
          </cell>
          <cell r="B11" t="str">
            <v>HK Chinese</v>
          </cell>
          <cell r="C11" t="str">
            <v>CITIC Ka Wah</v>
          </cell>
          <cell r="D11">
            <v>70</v>
          </cell>
          <cell r="E11">
            <v>538</v>
          </cell>
          <cell r="F11">
            <v>1.27</v>
          </cell>
          <cell r="G11">
            <v>46.1</v>
          </cell>
        </row>
        <row r="12">
          <cell r="A12" t="str">
            <v>2Q01</v>
          </cell>
          <cell r="B12" t="str">
            <v>Dao Heng</v>
          </cell>
          <cell r="C12" t="str">
            <v>DBS</v>
          </cell>
          <cell r="D12">
            <v>55</v>
          </cell>
          <cell r="E12">
            <v>5716</v>
          </cell>
          <cell r="F12">
            <v>3.37</v>
          </cell>
          <cell r="G12">
            <v>25.6</v>
          </cell>
        </row>
        <row r="13">
          <cell r="A13" t="str">
            <v>4Q00</v>
          </cell>
          <cell r="B13" t="str">
            <v>First Pacific</v>
          </cell>
          <cell r="C13" t="str">
            <v>Bank of East Asia</v>
          </cell>
          <cell r="D13">
            <v>75</v>
          </cell>
          <cell r="E13">
            <v>561</v>
          </cell>
          <cell r="F13">
            <v>1.49</v>
          </cell>
          <cell r="G13">
            <v>71.5</v>
          </cell>
        </row>
        <row r="14">
          <cell r="A14" t="str">
            <v>2Q00</v>
          </cell>
          <cell r="B14" t="str">
            <v>Union</v>
          </cell>
          <cell r="C14" t="str">
            <v>ICBC (Asia)</v>
          </cell>
          <cell r="E14">
            <v>232</v>
          </cell>
          <cell r="F14">
            <v>1.4</v>
          </cell>
          <cell r="G14" t="str">
            <v>NM</v>
          </cell>
        </row>
        <row r="15">
          <cell r="A15" t="str">
            <v>3Q00</v>
          </cell>
          <cell r="B15" t="str">
            <v>Chase</v>
          </cell>
          <cell r="C15" t="str">
            <v>Standard Chartered</v>
          </cell>
          <cell r="D15">
            <v>100</v>
          </cell>
          <cell r="F15">
            <v>4.5</v>
          </cell>
        </row>
        <row r="16">
          <cell r="A16" t="str">
            <v>Average</v>
          </cell>
          <cell r="F16">
            <v>1.7581818181818181</v>
          </cell>
          <cell r="G16">
            <v>30.456363636363633</v>
          </cell>
        </row>
        <row r="20">
          <cell r="B20" t="str">
            <v>Date</v>
          </cell>
          <cell r="C20" t="str">
            <v>Acquiree</v>
          </cell>
          <cell r="D20" t="str">
            <v>Total 
consideration</v>
          </cell>
          <cell r="E20" t="str">
            <v xml:space="preserve">%
purchased </v>
          </cell>
          <cell r="F20" t="str">
            <v>P/E of
Acquiree</v>
          </cell>
          <cell r="H20" t="str">
            <v>P/B ofAcquiree</v>
          </cell>
        </row>
        <row r="21">
          <cell r="A21" t="str">
            <v>DSF</v>
          </cell>
          <cell r="B21">
            <v>38567</v>
          </cell>
          <cell r="C21" t="str">
            <v>Banco Comercial de Macau</v>
          </cell>
          <cell r="D21" t="str">
            <v>HK$1,670 mn</v>
          </cell>
          <cell r="E21">
            <v>1</v>
          </cell>
          <cell r="F21">
            <v>22.6</v>
          </cell>
          <cell r="H21">
            <v>2.6</v>
          </cell>
        </row>
        <row r="22">
          <cell r="A22" t="str">
            <v>DSF</v>
          </cell>
          <cell r="B22">
            <v>38532</v>
          </cell>
          <cell r="C22" t="str">
            <v>Pacific Finance</v>
          </cell>
          <cell r="D22" t="str">
            <v>HK$936 mn</v>
          </cell>
          <cell r="E22">
            <v>1</v>
          </cell>
          <cell r="F22">
            <v>13.76</v>
          </cell>
          <cell r="H22">
            <v>1.76</v>
          </cell>
        </row>
        <row r="23">
          <cell r="A23" t="str">
            <v>BEA</v>
          </cell>
          <cell r="B23">
            <v>36851</v>
          </cell>
          <cell r="C23" t="str">
            <v>First Pacific Bank</v>
          </cell>
          <cell r="D23" t="str">
            <v>HK$4.37 bn</v>
          </cell>
          <cell r="E23">
            <v>0.75</v>
          </cell>
          <cell r="F23">
            <v>15.8</v>
          </cell>
          <cell r="H23">
            <v>1.5</v>
          </cell>
        </row>
        <row r="24">
          <cell r="A24" t="str">
            <v>WHB</v>
          </cell>
          <cell r="B24">
            <v>37834</v>
          </cell>
          <cell r="C24" t="str">
            <v xml:space="preserve">Chekiang First Bank </v>
          </cell>
          <cell r="D24" t="str">
            <v>HK$4.8bn</v>
          </cell>
          <cell r="E24">
            <v>1</v>
          </cell>
          <cell r="F24">
            <v>23</v>
          </cell>
          <cell r="H24">
            <v>1.2</v>
          </cell>
        </row>
        <row r="25">
          <cell r="A25" t="str">
            <v>ICBCA</v>
          </cell>
          <cell r="B25">
            <v>37834</v>
          </cell>
          <cell r="C25" t="str">
            <v>Fortis Bank HK</v>
          </cell>
          <cell r="D25" t="str">
            <v>HK$2.53bn</v>
          </cell>
          <cell r="F25">
            <v>8.5</v>
          </cell>
          <cell r="H25">
            <v>1.05</v>
          </cell>
        </row>
        <row r="27">
          <cell r="A27" t="str">
            <v>M&amp;A Valuation</v>
          </cell>
        </row>
        <row r="28">
          <cell r="D28" t="str">
            <v>Acquier Absolute Performance</v>
          </cell>
          <cell r="H28" t="str">
            <v>Acquirer Relative Performance</v>
          </cell>
          <cell r="L28" t="str">
            <v>Price</v>
          </cell>
          <cell r="Q28" t="str">
            <v>Local Market Index</v>
          </cell>
          <cell r="V28" t="str">
            <v>Date</v>
          </cell>
          <cell r="AA28" t="str">
            <v>Acquirer Stock FactSet code</v>
          </cell>
          <cell r="AB28" t="str">
            <v>Local Index FactSet code</v>
          </cell>
          <cell r="AC28" t="str">
            <v>Target stock Factset code</v>
          </cell>
          <cell r="AD28" t="str">
            <v>Acq date</v>
          </cell>
        </row>
        <row r="29">
          <cell r="A29" t="str">
            <v>Date</v>
          </cell>
          <cell r="B29" t="str">
            <v>Target</v>
          </cell>
          <cell r="C29" t="str">
            <v>Acquier</v>
          </cell>
          <cell r="D29" t="str">
            <v>After 3M</v>
          </cell>
          <cell r="E29" t="str">
            <v>After 1Y</v>
          </cell>
          <cell r="F29" t="str">
            <v>After 2Y</v>
          </cell>
          <cell r="G29" t="str">
            <v>Current</v>
          </cell>
          <cell r="H29" t="str">
            <v>After 3M</v>
          </cell>
          <cell r="I29" t="str">
            <v>After 1Y</v>
          </cell>
          <cell r="J29" t="str">
            <v>After 2Y</v>
          </cell>
          <cell r="K29" t="str">
            <v>Current</v>
          </cell>
          <cell r="L29" t="str">
            <v>Acq date</v>
          </cell>
          <cell r="M29" t="str">
            <v>+3M</v>
          </cell>
          <cell r="N29" t="str">
            <v>+1Y</v>
          </cell>
          <cell r="O29" t="str">
            <v>+2Y</v>
          </cell>
          <cell r="P29" t="str">
            <v>Current</v>
          </cell>
          <cell r="Q29" t="str">
            <v>Acq date</v>
          </cell>
          <cell r="R29" t="str">
            <v>+3M</v>
          </cell>
          <cell r="S29" t="str">
            <v>+1Y</v>
          </cell>
          <cell r="T29" t="str">
            <v>+2Y</v>
          </cell>
          <cell r="U29" t="str">
            <v>Current</v>
          </cell>
          <cell r="V29" t="str">
            <v>Acq date</v>
          </cell>
          <cell r="W29" t="str">
            <v>+3M</v>
          </cell>
          <cell r="X29" t="str">
            <v>+1Y</v>
          </cell>
          <cell r="Y29" t="str">
            <v>+2Y</v>
          </cell>
          <cell r="Z29" t="str">
            <v>Current</v>
          </cell>
          <cell r="AD29">
            <v>38763</v>
          </cell>
          <cell r="AE29">
            <v>38762</v>
          </cell>
          <cell r="AF29">
            <v>38761</v>
          </cell>
          <cell r="AG29">
            <v>38760</v>
          </cell>
          <cell r="AH29">
            <v>38759</v>
          </cell>
          <cell r="AI29">
            <v>38758</v>
          </cell>
          <cell r="AJ29">
            <v>38757</v>
          </cell>
          <cell r="AK29">
            <v>38756</v>
          </cell>
          <cell r="AL29">
            <v>38755</v>
          </cell>
          <cell r="AM29">
            <v>38754</v>
          </cell>
          <cell r="AN29">
            <v>38753</v>
          </cell>
          <cell r="AO29">
            <v>38752</v>
          </cell>
          <cell r="AP29">
            <v>38751</v>
          </cell>
          <cell r="AQ29">
            <v>38750</v>
          </cell>
          <cell r="AR29">
            <v>38749</v>
          </cell>
          <cell r="AS29">
            <v>38748</v>
          </cell>
          <cell r="AT29">
            <v>38747</v>
          </cell>
          <cell r="AU29">
            <v>38746</v>
          </cell>
          <cell r="AV29">
            <v>38745</v>
          </cell>
          <cell r="AW29">
            <v>38744</v>
          </cell>
          <cell r="AX29">
            <v>38743</v>
          </cell>
          <cell r="AY29">
            <v>38742</v>
          </cell>
          <cell r="AZ29">
            <v>38741</v>
          </cell>
          <cell r="BA29">
            <v>38740</v>
          </cell>
          <cell r="BB29">
            <v>38739</v>
          </cell>
          <cell r="BC29">
            <v>38738</v>
          </cell>
          <cell r="BD29">
            <v>38737</v>
          </cell>
          <cell r="BE29">
            <v>38736</v>
          </cell>
          <cell r="BF29">
            <v>38735</v>
          </cell>
          <cell r="BG29">
            <v>38734</v>
          </cell>
          <cell r="BH29">
            <v>38733</v>
          </cell>
          <cell r="BI29">
            <v>38732</v>
          </cell>
          <cell r="BJ29" t="str">
            <v>Acq price</v>
          </cell>
          <cell r="BK29" t="str">
            <v>Ave price in past 1 month</v>
          </cell>
          <cell r="BL29" t="str">
            <v>Premium</v>
          </cell>
        </row>
        <row r="30">
          <cell r="A30">
            <v>38763</v>
          </cell>
          <cell r="B30" t="str">
            <v>Asia Commercial</v>
          </cell>
          <cell r="C30" t="str">
            <v>JCG</v>
          </cell>
          <cell r="D30">
            <v>-0.16455696202531644</v>
          </cell>
          <cell r="E30">
            <v>-0.21392405063291142</v>
          </cell>
          <cell r="F30" t="str">
            <v>NA</v>
          </cell>
          <cell r="G30">
            <v>-0.20632911392405062</v>
          </cell>
          <cell r="H30">
            <v>-0.21883115023404776</v>
          </cell>
          <cell r="I30">
            <v>-0.40969881096815419</v>
          </cell>
          <cell r="J30" t="str">
            <v>NA</v>
          </cell>
          <cell r="K30">
            <v>-0.40484996140202156</v>
          </cell>
          <cell r="L30">
            <v>7.9</v>
          </cell>
          <cell r="M30">
            <v>6.6000000000000005</v>
          </cell>
          <cell r="N30">
            <v>6.21</v>
          </cell>
          <cell r="P30">
            <v>6.2700000000000005</v>
          </cell>
          <cell r="Q30">
            <v>15423.26</v>
          </cell>
          <cell r="R30">
            <v>16494.84</v>
          </cell>
          <cell r="S30">
            <v>20538.420000000002</v>
          </cell>
          <cell r="U30">
            <v>20567.91</v>
          </cell>
          <cell r="V30">
            <v>38763</v>
          </cell>
          <cell r="W30">
            <v>38852</v>
          </cell>
          <cell r="X30">
            <v>39128</v>
          </cell>
          <cell r="Z30">
            <v>39129</v>
          </cell>
          <cell r="AA30">
            <v>647749</v>
          </cell>
          <cell r="AB30">
            <v>180458</v>
          </cell>
          <cell r="AC30">
            <v>605775</v>
          </cell>
          <cell r="AD30">
            <v>3.6</v>
          </cell>
          <cell r="AE30">
            <v>3.6</v>
          </cell>
          <cell r="AF30">
            <v>3.4250000000000003</v>
          </cell>
          <cell r="AG30">
            <v>3.375</v>
          </cell>
          <cell r="AH30">
            <v>3.375</v>
          </cell>
          <cell r="AI30">
            <v>3.375</v>
          </cell>
          <cell r="AJ30">
            <v>3.4000000000000004</v>
          </cell>
          <cell r="AK30">
            <v>3.25</v>
          </cell>
          <cell r="AL30">
            <v>3.3000000000000003</v>
          </cell>
          <cell r="AM30">
            <v>3.375</v>
          </cell>
          <cell r="AN30">
            <v>3.4250000000000003</v>
          </cell>
          <cell r="AO30">
            <v>3.4250000000000003</v>
          </cell>
          <cell r="AP30">
            <v>3.4250000000000003</v>
          </cell>
          <cell r="AQ30">
            <v>3.4250000000000003</v>
          </cell>
          <cell r="AR30">
            <v>3.375</v>
          </cell>
          <cell r="AS30">
            <v>3.4000000000000004</v>
          </cell>
          <cell r="AT30">
            <v>3.4000000000000004</v>
          </cell>
          <cell r="AU30">
            <v>3.4000000000000004</v>
          </cell>
          <cell r="AV30">
            <v>3.4000000000000004</v>
          </cell>
          <cell r="AW30">
            <v>3.4000000000000004</v>
          </cell>
          <cell r="AX30">
            <v>3.3250000000000002</v>
          </cell>
          <cell r="AY30">
            <v>3.4250000000000003</v>
          </cell>
          <cell r="AZ30">
            <v>3.35</v>
          </cell>
          <cell r="BA30">
            <v>2.95</v>
          </cell>
          <cell r="BB30">
            <v>2.9250000000000003</v>
          </cell>
          <cell r="BC30">
            <v>2.9250000000000003</v>
          </cell>
          <cell r="BD30">
            <v>2.9250000000000003</v>
          </cell>
          <cell r="BE30">
            <v>2.9000000000000004</v>
          </cell>
          <cell r="BF30">
            <v>2.9250000000000003</v>
          </cell>
          <cell r="BG30">
            <v>2.9250000000000003</v>
          </cell>
          <cell r="BH30">
            <v>2.8250000000000002</v>
          </cell>
          <cell r="BI30">
            <v>2.8250000000000002</v>
          </cell>
          <cell r="BJ30">
            <v>5.5549999999999997</v>
          </cell>
          <cell r="BK30">
            <v>3.2508064516129025</v>
          </cell>
          <cell r="BL30">
            <v>0.7088067477052844</v>
          </cell>
        </row>
        <row r="31">
          <cell r="A31">
            <v>38567</v>
          </cell>
          <cell r="B31" t="str">
            <v>Banco Comercial de Macau</v>
          </cell>
          <cell r="C31" t="str">
            <v>Dah Sing Financial</v>
          </cell>
          <cell r="D31">
            <v>-0.16230366492146608</v>
          </cell>
          <cell r="E31">
            <v>0.10994764397905743</v>
          </cell>
          <cell r="F31" t="str">
            <v>NA</v>
          </cell>
          <cell r="G31">
            <v>0.26003490401396157</v>
          </cell>
          <cell r="H31">
            <v>-0.13264842788457865</v>
          </cell>
          <cell r="I31">
            <v>-1.5700959062635911E-2</v>
          </cell>
          <cell r="J31" t="str">
            <v>NA</v>
          </cell>
          <cell r="K31">
            <v>-7.3807805638245294E-2</v>
          </cell>
          <cell r="L31">
            <v>57.300000000000004</v>
          </cell>
          <cell r="M31">
            <v>48</v>
          </cell>
          <cell r="N31">
            <v>63.6</v>
          </cell>
          <cell r="P31">
            <v>72.2</v>
          </cell>
          <cell r="Q31">
            <v>15118.5</v>
          </cell>
          <cell r="R31">
            <v>14601.59</v>
          </cell>
          <cell r="S31">
            <v>17048.420000000002</v>
          </cell>
          <cell r="U31">
            <v>20567.91</v>
          </cell>
          <cell r="V31">
            <v>38567</v>
          </cell>
          <cell r="W31">
            <v>38659</v>
          </cell>
          <cell r="X31">
            <v>38932</v>
          </cell>
          <cell r="Z31">
            <v>39129</v>
          </cell>
          <cell r="AA31">
            <v>624979</v>
          </cell>
          <cell r="AB31">
            <v>180458</v>
          </cell>
          <cell r="AC31" t="str">
            <v>NA</v>
          </cell>
        </row>
        <row r="32">
          <cell r="A32">
            <v>38532</v>
          </cell>
          <cell r="B32" t="str">
            <v>Pacific Finance</v>
          </cell>
          <cell r="C32" t="str">
            <v>Dah Sing Financial</v>
          </cell>
          <cell r="D32">
            <v>-1.4354066985645897E-2</v>
          </cell>
          <cell r="E32">
            <v>5.0717703349282495E-2</v>
          </cell>
          <cell r="F32" t="str">
            <v>NA</v>
          </cell>
          <cell r="G32">
            <v>0.38181818181818183</v>
          </cell>
          <cell r="H32">
            <v>-8.8062019181389783E-2</v>
          </cell>
          <cell r="I32">
            <v>-5.4447977924375168E-2</v>
          </cell>
          <cell r="J32" t="str">
            <v>NA</v>
          </cell>
          <cell r="K32">
            <v>-4.0806523807762063E-2</v>
          </cell>
          <cell r="L32">
            <v>52.25</v>
          </cell>
          <cell r="M32">
            <v>51.5</v>
          </cell>
          <cell r="N32">
            <v>54.900000000000006</v>
          </cell>
          <cell r="P32">
            <v>72.2</v>
          </cell>
          <cell r="Q32">
            <v>14277.28</v>
          </cell>
          <cell r="R32">
            <v>15431.25</v>
          </cell>
          <cell r="S32">
            <v>15865.220000000001</v>
          </cell>
          <cell r="U32">
            <v>20567.91</v>
          </cell>
          <cell r="V32">
            <v>38532</v>
          </cell>
          <cell r="W32">
            <v>38624</v>
          </cell>
          <cell r="X32">
            <v>38897</v>
          </cell>
          <cell r="Z32">
            <v>39129</v>
          </cell>
          <cell r="AA32">
            <v>624979</v>
          </cell>
          <cell r="AB32">
            <v>180458</v>
          </cell>
          <cell r="AC32" t="str">
            <v>NA</v>
          </cell>
        </row>
        <row r="33">
          <cell r="A33">
            <v>37988</v>
          </cell>
          <cell r="B33" t="str">
            <v>Fortis Bank</v>
          </cell>
          <cell r="C33" t="str">
            <v>ICBC (Asia)</v>
          </cell>
          <cell r="D33">
            <v>-2.9661016949152463E-2</v>
          </cell>
          <cell r="E33">
            <v>-5.9322033898305038E-2</v>
          </cell>
          <cell r="F33">
            <v>-0.19491525423728817</v>
          </cell>
          <cell r="G33">
            <v>0.4627118644067798</v>
          </cell>
          <cell r="H33">
            <v>-2.4347373438883269E-2</v>
          </cell>
          <cell r="I33">
            <v>-0.15376305718063732</v>
          </cell>
          <cell r="J33">
            <v>-0.30720769222276845</v>
          </cell>
          <cell r="K33">
            <v>-8.9607224167837063E-2</v>
          </cell>
          <cell r="L33">
            <v>11.8</v>
          </cell>
          <cell r="M33">
            <v>11.450000000000001</v>
          </cell>
          <cell r="N33">
            <v>11.100000000000001</v>
          </cell>
          <cell r="O33">
            <v>9.5</v>
          </cell>
          <cell r="P33">
            <v>17.260000000000002</v>
          </cell>
          <cell r="Q33">
            <v>12801.48</v>
          </cell>
          <cell r="R33">
            <v>12731.76</v>
          </cell>
          <cell r="S33">
            <v>14230.14</v>
          </cell>
          <cell r="T33">
            <v>14876.43</v>
          </cell>
          <cell r="U33">
            <v>20567.91</v>
          </cell>
          <cell r="V33">
            <v>37988</v>
          </cell>
          <cell r="W33">
            <v>38080</v>
          </cell>
          <cell r="X33">
            <v>38353</v>
          </cell>
          <cell r="Y33">
            <v>38718</v>
          </cell>
          <cell r="Z33">
            <v>39129</v>
          </cell>
          <cell r="AA33">
            <v>691253</v>
          </cell>
          <cell r="AB33">
            <v>180458</v>
          </cell>
          <cell r="AC33" t="str">
            <v>NA</v>
          </cell>
          <cell r="AD33">
            <v>37873</v>
          </cell>
          <cell r="AE33">
            <v>37872</v>
          </cell>
          <cell r="AF33">
            <v>37871</v>
          </cell>
          <cell r="AG33">
            <v>37870</v>
          </cell>
          <cell r="AH33">
            <v>37869</v>
          </cell>
          <cell r="AI33">
            <v>37868</v>
          </cell>
          <cell r="AJ33">
            <v>37867</v>
          </cell>
          <cell r="AK33">
            <v>37866</v>
          </cell>
          <cell r="AL33">
            <v>37865</v>
          </cell>
          <cell r="AM33">
            <v>37864</v>
          </cell>
          <cell r="AN33">
            <v>37863</v>
          </cell>
          <cell r="AO33">
            <v>37862</v>
          </cell>
          <cell r="AP33">
            <v>37861</v>
          </cell>
          <cell r="AQ33">
            <v>37860</v>
          </cell>
          <cell r="AR33">
            <v>37859</v>
          </cell>
          <cell r="AS33">
            <v>37858</v>
          </cell>
          <cell r="AT33">
            <v>37857</v>
          </cell>
          <cell r="AU33">
            <v>37856</v>
          </cell>
          <cell r="AV33">
            <v>37855</v>
          </cell>
          <cell r="AW33">
            <v>37854</v>
          </cell>
          <cell r="AX33">
            <v>37853</v>
          </cell>
          <cell r="AY33">
            <v>37852</v>
          </cell>
          <cell r="AZ33">
            <v>37851</v>
          </cell>
          <cell r="BA33">
            <v>37850</v>
          </cell>
          <cell r="BB33">
            <v>37849</v>
          </cell>
          <cell r="BC33">
            <v>37848</v>
          </cell>
          <cell r="BD33">
            <v>37847</v>
          </cell>
          <cell r="BE33">
            <v>37846</v>
          </cell>
          <cell r="BF33">
            <v>37845</v>
          </cell>
          <cell r="BG33">
            <v>37844</v>
          </cell>
          <cell r="BH33">
            <v>37843</v>
          </cell>
          <cell r="BI33">
            <v>37842</v>
          </cell>
        </row>
        <row r="34">
          <cell r="A34">
            <v>37873</v>
          </cell>
          <cell r="B34" t="str">
            <v>IBA (now Fubon HK )</v>
          </cell>
          <cell r="C34" t="str">
            <v>Fubon Financial</v>
          </cell>
          <cell r="D34">
            <v>1.9354838709677358E-2</v>
          </cell>
          <cell r="E34">
            <v>6.4516129032259339E-3</v>
          </cell>
          <cell r="F34">
            <v>-6.7741935483870863E-2</v>
          </cell>
          <cell r="G34">
            <v>1.4516129032257963E-2</v>
          </cell>
          <cell r="H34">
            <v>-2.2023498713382716E-3</v>
          </cell>
          <cell r="I34">
            <v>-2.2011622795812147E-2</v>
          </cell>
          <cell r="J34">
            <v>-0.13886627633122439</v>
          </cell>
          <cell r="K34">
            <v>-0.262028487405354</v>
          </cell>
          <cell r="L34">
            <v>31</v>
          </cell>
          <cell r="M34">
            <v>31.6</v>
          </cell>
          <cell r="N34">
            <v>31.200000000000003</v>
          </cell>
          <cell r="O34">
            <v>28.900000000000002</v>
          </cell>
          <cell r="P34">
            <v>31.45</v>
          </cell>
          <cell r="Q34">
            <v>5680.6900000000005</v>
          </cell>
          <cell r="R34">
            <v>5803.42</v>
          </cell>
          <cell r="S34">
            <v>5846.02</v>
          </cell>
          <cell r="T34">
            <v>6149.88</v>
          </cell>
          <cell r="U34">
            <v>7809.45</v>
          </cell>
          <cell r="V34">
            <v>37873</v>
          </cell>
          <cell r="W34">
            <v>37965</v>
          </cell>
          <cell r="X34">
            <v>38238</v>
          </cell>
          <cell r="Y34">
            <v>38603</v>
          </cell>
          <cell r="Z34">
            <v>39129</v>
          </cell>
          <cell r="AA34">
            <v>641167</v>
          </cell>
          <cell r="AB34">
            <v>180530</v>
          </cell>
          <cell r="AC34">
            <v>646023</v>
          </cell>
          <cell r="AD34">
            <v>3.6</v>
          </cell>
          <cell r="AE34">
            <v>3.45</v>
          </cell>
          <cell r="AF34">
            <v>3.45</v>
          </cell>
          <cell r="AG34">
            <v>3.45</v>
          </cell>
          <cell r="AH34">
            <v>3.45</v>
          </cell>
          <cell r="AI34">
            <v>3.375</v>
          </cell>
          <cell r="AJ34">
            <v>3.45</v>
          </cell>
          <cell r="AK34">
            <v>3.35</v>
          </cell>
          <cell r="AL34">
            <v>3.3000000000000003</v>
          </cell>
          <cell r="AM34">
            <v>3.3000000000000003</v>
          </cell>
          <cell r="AN34">
            <v>3.3000000000000003</v>
          </cell>
          <cell r="AO34">
            <v>3.3000000000000003</v>
          </cell>
          <cell r="AP34">
            <v>3.3250000000000002</v>
          </cell>
          <cell r="AQ34">
            <v>3.3000000000000003</v>
          </cell>
          <cell r="AR34">
            <v>3.1</v>
          </cell>
          <cell r="AS34">
            <v>3.1</v>
          </cell>
          <cell r="AT34">
            <v>3.1</v>
          </cell>
          <cell r="AU34">
            <v>3.1</v>
          </cell>
          <cell r="AV34">
            <v>3.1</v>
          </cell>
          <cell r="AW34">
            <v>3.0500000000000003</v>
          </cell>
          <cell r="AX34">
            <v>3</v>
          </cell>
          <cell r="AY34">
            <v>3.0249999999999999</v>
          </cell>
          <cell r="AZ34">
            <v>3</v>
          </cell>
          <cell r="BA34">
            <v>3</v>
          </cell>
          <cell r="BB34">
            <v>3</v>
          </cell>
          <cell r="BC34">
            <v>3</v>
          </cell>
          <cell r="BD34">
            <v>3</v>
          </cell>
          <cell r="BE34">
            <v>3.0249999999999999</v>
          </cell>
          <cell r="BF34">
            <v>3</v>
          </cell>
          <cell r="BG34">
            <v>2.9750000000000001</v>
          </cell>
          <cell r="BH34">
            <v>3</v>
          </cell>
          <cell r="BI34">
            <v>3</v>
          </cell>
          <cell r="BJ34">
            <v>3.68</v>
          </cell>
          <cell r="BK34">
            <v>3.1733870967741935</v>
          </cell>
          <cell r="BL34">
            <v>0.15964421855146127</v>
          </cell>
        </row>
        <row r="35">
          <cell r="A35">
            <v>37834</v>
          </cell>
          <cell r="B35" t="str">
            <v>Chekiang First</v>
          </cell>
          <cell r="C35" t="str">
            <v>Wing Hang</v>
          </cell>
          <cell r="D35">
            <v>0.54019292604501623</v>
          </cell>
          <cell r="E35">
            <v>0.50803858520900325</v>
          </cell>
          <cell r="F35">
            <v>0.7861736334405145</v>
          </cell>
          <cell r="G35">
            <v>2.183279742765273</v>
          </cell>
          <cell r="H35">
            <v>0.2948885753082382</v>
          </cell>
          <cell r="I35">
            <v>0.26288988050960738</v>
          </cell>
          <cell r="J35">
            <v>0.23014607234728213</v>
          </cell>
          <cell r="K35">
            <v>0.58616800499925281</v>
          </cell>
          <cell r="L35">
            <v>31.1</v>
          </cell>
          <cell r="M35">
            <v>47.900000000000006</v>
          </cell>
          <cell r="N35">
            <v>46.900000000000006</v>
          </cell>
          <cell r="O35">
            <v>55.550000000000004</v>
          </cell>
          <cell r="P35">
            <v>99</v>
          </cell>
          <cell r="Q35">
            <v>10248.6</v>
          </cell>
          <cell r="R35">
            <v>12190.1</v>
          </cell>
          <cell r="S35">
            <v>12238.03</v>
          </cell>
          <cell r="T35">
            <v>14880.98</v>
          </cell>
          <cell r="U35">
            <v>20567.91</v>
          </cell>
          <cell r="V35">
            <v>37834</v>
          </cell>
          <cell r="W35">
            <v>37926</v>
          </cell>
          <cell r="X35">
            <v>38199</v>
          </cell>
          <cell r="Y35">
            <v>38564</v>
          </cell>
          <cell r="Z35">
            <v>39129</v>
          </cell>
          <cell r="AA35">
            <v>697237</v>
          </cell>
          <cell r="AB35">
            <v>180458</v>
          </cell>
          <cell r="AC35" t="str">
            <v>NA</v>
          </cell>
        </row>
        <row r="36">
          <cell r="A36">
            <v>37221</v>
          </cell>
          <cell r="B36" t="str">
            <v>HK Chinese</v>
          </cell>
          <cell r="C36" t="str">
            <v>CITIC Ka Wah</v>
          </cell>
          <cell r="D36">
            <v>0.10749717296774275</v>
          </cell>
          <cell r="E36">
            <v>-9.0814768183354877E-3</v>
          </cell>
          <cell r="F36">
            <v>0.63210109700509465</v>
          </cell>
          <cell r="G36">
            <v>2.1802655661642127</v>
          </cell>
          <cell r="H36">
            <v>0.19620820967994201</v>
          </cell>
          <cell r="I36">
            <v>0.12935636958803509</v>
          </cell>
          <cell r="J36">
            <v>0.53829221886906464</v>
          </cell>
          <cell r="K36">
            <v>0.76145549640775689</v>
          </cell>
          <cell r="L36">
            <v>2.1444749999999999</v>
          </cell>
          <cell r="M36">
            <v>2.375</v>
          </cell>
          <cell r="N36">
            <v>2.125</v>
          </cell>
          <cell r="O36">
            <v>3.5</v>
          </cell>
          <cell r="P36">
            <v>6.82</v>
          </cell>
          <cell r="Q36">
            <v>11391.960000000001</v>
          </cell>
          <cell r="R36">
            <v>10547.130000000001</v>
          </cell>
          <cell r="S36">
            <v>9995.52</v>
          </cell>
          <cell r="T36">
            <v>12086.67</v>
          </cell>
          <cell r="U36">
            <v>20567.91</v>
          </cell>
          <cell r="V36">
            <v>37221</v>
          </cell>
          <cell r="W36">
            <v>37313</v>
          </cell>
          <cell r="X36">
            <v>37586</v>
          </cell>
          <cell r="Y36">
            <v>37951</v>
          </cell>
          <cell r="Z36">
            <v>39129</v>
          </cell>
          <cell r="AA36">
            <v>648449</v>
          </cell>
          <cell r="AB36">
            <v>180458</v>
          </cell>
          <cell r="AC36" t="str">
            <v>NA</v>
          </cell>
        </row>
        <row r="37">
          <cell r="A37">
            <v>36992</v>
          </cell>
          <cell r="B37" t="str">
            <v>Dao Heng</v>
          </cell>
          <cell r="C37" t="str">
            <v>DBS</v>
          </cell>
          <cell r="D37">
            <v>-0.11764705882352944</v>
          </cell>
          <cell r="E37">
            <v>-8.496732026143794E-2</v>
          </cell>
          <cell r="F37">
            <v>-0.40849673202614378</v>
          </cell>
          <cell r="G37">
            <v>0.50326797385620914</v>
          </cell>
          <cell r="H37">
            <v>-0.14750699509842014</v>
          </cell>
          <cell r="I37">
            <v>-0.15035458468242546</v>
          </cell>
          <cell r="J37">
            <v>-0.26520147138449335</v>
          </cell>
          <cell r="K37">
            <v>-0.2494179054392881</v>
          </cell>
          <cell r="L37">
            <v>15.3</v>
          </cell>
          <cell r="M37">
            <v>13.5</v>
          </cell>
          <cell r="N37">
            <v>14</v>
          </cell>
          <cell r="O37">
            <v>9.0500000000000007</v>
          </cell>
          <cell r="P37">
            <v>23</v>
          </cell>
          <cell r="Q37">
            <v>1616.2</v>
          </cell>
          <cell r="R37">
            <v>1672.81</v>
          </cell>
          <cell r="S37">
            <v>1740.58</v>
          </cell>
          <cell r="T37">
            <v>1301.02</v>
          </cell>
          <cell r="U37">
            <v>3236.9300000000003</v>
          </cell>
          <cell r="V37">
            <v>36992</v>
          </cell>
          <cell r="W37">
            <v>37084</v>
          </cell>
          <cell r="X37">
            <v>37357</v>
          </cell>
          <cell r="Y37">
            <v>37722</v>
          </cell>
          <cell r="Z37">
            <v>39129</v>
          </cell>
          <cell r="AA37">
            <v>617520</v>
          </cell>
          <cell r="AB37">
            <v>180469</v>
          </cell>
        </row>
        <row r="44">
          <cell r="A44" t="str">
            <v>Family Linkage of Senior Management</v>
          </cell>
        </row>
        <row r="45">
          <cell r="B45" t="str">
            <v>Name (Age)</v>
          </cell>
          <cell r="C45" t="str">
            <v>Relationship</v>
          </cell>
          <cell r="D45" t="str">
            <v>Position</v>
          </cell>
        </row>
        <row r="46">
          <cell r="A46" t="str">
            <v>BEA</v>
          </cell>
          <cell r="B46" t="str">
            <v>Adrian Li Man-Kiu (32)</v>
          </cell>
          <cell r="C46" t="str">
            <v>Son of Chairman David Li</v>
          </cell>
          <cell r="D46" t="str">
            <v>General Manager, Corporate Banking Division</v>
          </cell>
        </row>
        <row r="47">
          <cell r="B47" t="str">
            <v>Brian Li Man-Bun (NA)</v>
          </cell>
          <cell r="C47" t="str">
            <v>Son of Chairman David Li</v>
          </cell>
          <cell r="D47" t="str">
            <v>General Manager, Wealth Management Division</v>
          </cell>
        </row>
        <row r="48">
          <cell r="A48" t="str">
            <v>LCH</v>
          </cell>
          <cell r="B48" t="str">
            <v>Andrew Liu (50)</v>
          </cell>
          <cell r="C48" t="str">
            <v>Liu's Family</v>
          </cell>
          <cell r="D48" t="str">
            <v>Non-Executive Director</v>
          </cell>
        </row>
        <row r="49">
          <cell r="B49" t="str">
            <v>Christopher Liu Kwun-Shing (30)</v>
          </cell>
          <cell r="C49" t="str">
            <v>Liu's Family</v>
          </cell>
          <cell r="D49" t="str">
            <v>Non-Executive Director</v>
          </cell>
        </row>
        <row r="50">
          <cell r="B50" t="str">
            <v>Don Liu Tit-Shing (44)</v>
          </cell>
          <cell r="C50" t="str">
            <v>Liu's Family</v>
          </cell>
          <cell r="D50" t="str">
            <v>Executive Director; Deputy Chief Executive Officer</v>
          </cell>
        </row>
        <row r="51">
          <cell r="B51" t="str">
            <v>Wilfred Liu Chun-Ning (44)</v>
          </cell>
          <cell r="C51" t="str">
            <v>Liu's Family</v>
          </cell>
          <cell r="D51" t="str">
            <v>Executive Director in charge of the Securities Business Division</v>
          </cell>
        </row>
        <row r="52">
          <cell r="A52" t="str">
            <v>WLB</v>
          </cell>
          <cell r="B52" t="str">
            <v>Anthony Wu Shang-Fung (41)</v>
          </cell>
          <cell r="C52" t="str">
            <v>Son of Vice Chairman Patrick Wu</v>
          </cell>
          <cell r="D52" t="str">
            <v>Non-Executive Director; Senior Manager</v>
          </cell>
        </row>
        <row r="53">
          <cell r="A53" t="str">
            <v>DSF</v>
          </cell>
          <cell r="B53" t="str">
            <v>Harold Wong Tsu-Hing (36)</v>
          </cell>
          <cell r="C53" t="str">
            <v>Son of Chairman David Wong</v>
          </cell>
          <cell r="D53" t="str">
            <v>Executive Director of Dah Sing Banking Group; Chief Executive and Executive Director of MEVAS Bank</v>
          </cell>
        </row>
        <row r="54">
          <cell r="A54" t="str">
            <v>WHB</v>
          </cell>
          <cell r="B54" t="str">
            <v>David Fung K M (NA)</v>
          </cell>
          <cell r="C54" t="str">
            <v>Fung's Family</v>
          </cell>
          <cell r="D54" t="str">
            <v xml:space="preserve">General Manager </v>
          </cell>
        </row>
        <row r="55">
          <cell r="B55" t="str">
            <v>Fung Kin Wai (NA)</v>
          </cell>
          <cell r="C55" t="str">
            <v>Fung's Family</v>
          </cell>
          <cell r="D55" t="str">
            <v>Deputy General Manager, Information Technology Division</v>
          </cell>
        </row>
        <row r="59">
          <cell r="A59" t="str">
            <v>Valuation</v>
          </cell>
        </row>
        <row r="60">
          <cell r="C60" t="str">
            <v>CIFH</v>
          </cell>
        </row>
        <row r="61">
          <cell r="B61" t="str">
            <v>P/E 05</v>
          </cell>
          <cell r="C61">
            <v>22.414801807543913</v>
          </cell>
        </row>
        <row r="62">
          <cell r="B62" t="str">
            <v>P/B 05</v>
          </cell>
          <cell r="C62">
            <v>2.4104250984257192</v>
          </cell>
        </row>
        <row r="63">
          <cell r="B63" t="str">
            <v>P/E 06E</v>
          </cell>
          <cell r="C63">
            <v>21.569794446421781</v>
          </cell>
        </row>
        <row r="64">
          <cell r="B64" t="str">
            <v>P/B 06E</v>
          </cell>
          <cell r="C64">
            <v>2.1177373593002944</v>
          </cell>
        </row>
        <row r="65">
          <cell r="B65" t="str">
            <v>Number of branches</v>
          </cell>
        </row>
        <row r="66">
          <cell r="B66" t="str">
            <v>Cost to Income 05</v>
          </cell>
          <cell r="C66">
            <v>0.55566564875576652</v>
          </cell>
        </row>
        <row r="67">
          <cell r="B67" t="str">
            <v>Total Assets 05(HK$mn)</v>
          </cell>
          <cell r="C67">
            <v>85036.677999999985</v>
          </cell>
        </row>
        <row r="68">
          <cell r="B68" t="str">
            <v>Mkt Cap (US$mn)</v>
          </cell>
          <cell r="C68">
            <v>18</v>
          </cell>
        </row>
        <row r="69">
          <cell r="B69" t="str">
            <v>Loan Mkt Share</v>
          </cell>
          <cell r="C69">
            <v>3.5312415612161994E-2</v>
          </cell>
        </row>
        <row r="70">
          <cell r="B70" t="str">
            <v>Major Shareholders</v>
          </cell>
          <cell r="C70" t="str">
            <v>CITIC Group (56.3%)</v>
          </cell>
        </row>
        <row r="71">
          <cell r="C71" t="str">
            <v>China Construction Bank (5.3%)</v>
          </cell>
        </row>
        <row r="74">
          <cell r="C74" t="str">
            <v>Dec 05</v>
          </cell>
        </row>
        <row r="75">
          <cell r="B75" t="str">
            <v>(HK$mn)</v>
          </cell>
          <cell r="C75" t="str">
            <v>CIFH</v>
          </cell>
        </row>
        <row r="76">
          <cell r="B76" t="str">
            <v>SMEs</v>
          </cell>
          <cell r="C76">
            <v>11898.539999999999</v>
          </cell>
        </row>
        <row r="77">
          <cell r="B77" t="str">
            <v>Corporates</v>
          </cell>
          <cell r="C77">
            <v>10938.263000000001</v>
          </cell>
        </row>
        <row r="78">
          <cell r="B78" t="str">
            <v>Mortgages</v>
          </cell>
          <cell r="C78">
            <v>11435.112999999999</v>
          </cell>
        </row>
        <row r="79">
          <cell r="B79" t="str">
            <v>Consumers</v>
          </cell>
          <cell r="C79">
            <v>1895.7159999999999</v>
          </cell>
        </row>
        <row r="80">
          <cell r="B80" t="str">
            <v>Loans for Use in HK</v>
          </cell>
          <cell r="C80">
            <v>36167.631999999998</v>
          </cell>
        </row>
        <row r="81">
          <cell r="B81" t="str">
            <v>Outside of HK</v>
          </cell>
          <cell r="C81">
            <v>6794.0649999999996</v>
          </cell>
        </row>
        <row r="82">
          <cell r="B82" t="str">
            <v>Total</v>
          </cell>
          <cell r="C82">
            <v>42961.697</v>
          </cell>
        </row>
        <row r="85">
          <cell r="A85" t="str">
            <v>ICBCA M&amp;A</v>
          </cell>
        </row>
        <row r="86">
          <cell r="A86" t="str">
            <v>Date</v>
          </cell>
          <cell r="B86" t="str">
            <v>Target</v>
          </cell>
          <cell r="C86" t="str">
            <v>Seller</v>
          </cell>
          <cell r="D86" t="str">
            <v>% Acquired</v>
          </cell>
          <cell r="E86" t="str">
            <v>Tran value (US$mn)</v>
          </cell>
          <cell r="F86" t="str">
            <v>P/B</v>
          </cell>
        </row>
        <row r="87">
          <cell r="A87">
            <v>37988</v>
          </cell>
          <cell r="B87" t="str">
            <v>Fortis Bank</v>
          </cell>
          <cell r="C87" t="str">
            <v>Fortis Bank in Belgium</v>
          </cell>
          <cell r="D87">
            <v>1</v>
          </cell>
          <cell r="E87">
            <v>324</v>
          </cell>
          <cell r="F87">
            <v>1.05</v>
          </cell>
        </row>
        <row r="88">
          <cell r="A88">
            <v>38373</v>
          </cell>
          <cell r="B88" t="str">
            <v>Chinese Merchantile Bank</v>
          </cell>
          <cell r="C88" t="str">
            <v>ICBC (75%) and CITIC Ka Wah (25%)</v>
          </cell>
          <cell r="D88">
            <v>1</v>
          </cell>
          <cell r="E88">
            <v>96.06</v>
          </cell>
          <cell r="F88">
            <v>1.1000000000000001</v>
          </cell>
        </row>
        <row r="89">
          <cell r="A89">
            <v>38770</v>
          </cell>
          <cell r="B89" t="str">
            <v>Credit Card Business from Parent</v>
          </cell>
          <cell r="C89" t="str">
            <v>ICBC</v>
          </cell>
          <cell r="D89">
            <v>1</v>
          </cell>
          <cell r="E89">
            <v>7.257935483870968</v>
          </cell>
          <cell r="F89">
            <v>1.0249079844029008</v>
          </cell>
        </row>
        <row r="95">
          <cell r="A95" t="str">
            <v>Chronology of events (HK Banks):</v>
          </cell>
        </row>
        <row r="96">
          <cell r="A96">
            <v>37683</v>
          </cell>
          <cell r="B96" t="str">
            <v>SARS: But HK Banks still managed to grow earnings by 10% on average in 2003 vs 2002</v>
          </cell>
        </row>
        <row r="97">
          <cell r="A97">
            <v>37773</v>
          </cell>
          <cell r="B97" t="str">
            <v xml:space="preserve">Signing of Closer Economic Partnership Arrangement (CEPA): Under the CEPA, the Chinese mainland significantly lowered its market entry requirements on Hong Kong-based banks in January 2004. </v>
          </cell>
        </row>
        <row r="98">
          <cell r="B98" t="str">
            <v>Prior to the signing of the CEPA, a Hong Kong-based lender must have an asset of at least US$20 billion if it wanted to set up a branch in the mainland. The CEPA lowered the restriction to US$6 billion. The CEPA meanwhile removed the restrictions that Hon</v>
          </cell>
        </row>
        <row r="99">
          <cell r="A99">
            <v>38473</v>
          </cell>
          <cell r="B99" t="str">
            <v>Refinements to the HKD Operation of the Linked Exchange Rate System: 
(a) the introduction with immediate effect of a strong-side Convertibility Undertaking by the HKMA to buy US dollars from licensed banks at 7.75;
(b) the shifting of the existing weak-s</v>
          </cell>
        </row>
        <row r="100">
          <cell r="A100">
            <v>38538</v>
          </cell>
          <cell r="B100" t="str">
            <v>Adoption of Basel II Requirement: capital adequacy standards of banks, which was introduced in Hong Kong under the Banking (Amendment) Ordinance passed by the Legislative Council in July 2005</v>
          </cell>
        </row>
        <row r="101">
          <cell r="A101">
            <v>38630</v>
          </cell>
          <cell r="B101" t="str">
            <v>Listing of China Construction Bank in Hong Kong</v>
          </cell>
        </row>
        <row r="102">
          <cell r="A102">
            <v>38874</v>
          </cell>
          <cell r="B102" t="str">
            <v>Listing of Bank of China in Hong Kong</v>
          </cell>
        </row>
        <row r="103">
          <cell r="A103" t="str">
            <v>2003-06</v>
          </cell>
          <cell r="B103" t="str">
            <v>M&amp;A Activities in Hong Kong (Please refer to the following tables for details)</v>
          </cell>
        </row>
      </sheetData>
      <sheetData sheetId="23" refreshError="1">
        <row r="1">
          <cell r="A1" t="str">
            <v>Net interet income</v>
          </cell>
        </row>
        <row r="3">
          <cell r="C3" t="str">
            <v>Treasury</v>
          </cell>
          <cell r="F3" t="str">
            <v>Wholesale</v>
          </cell>
          <cell r="I3" t="str">
            <v>Retail</v>
          </cell>
          <cell r="L3" t="str">
            <v xml:space="preserve">Others </v>
          </cell>
          <cell r="O3" t="str">
            <v>Total</v>
          </cell>
        </row>
        <row r="4">
          <cell r="B4" t="str">
            <v>(HK$mn)</v>
          </cell>
          <cell r="C4" t="str">
            <v>1H05</v>
          </cell>
          <cell r="D4" t="str">
            <v>1H04</v>
          </cell>
          <cell r="E4" t="str">
            <v>YoY</v>
          </cell>
          <cell r="F4" t="str">
            <v>1H05</v>
          </cell>
          <cell r="G4" t="str">
            <v>1H04</v>
          </cell>
          <cell r="H4" t="str">
            <v>YoY</v>
          </cell>
          <cell r="I4" t="str">
            <v>1H05</v>
          </cell>
          <cell r="J4" t="str">
            <v>1H04</v>
          </cell>
          <cell r="K4" t="str">
            <v>YoY</v>
          </cell>
          <cell r="L4" t="str">
            <v>1H05</v>
          </cell>
          <cell r="M4" t="str">
            <v>1H04</v>
          </cell>
          <cell r="N4" t="str">
            <v>YoY</v>
          </cell>
          <cell r="O4" t="str">
            <v>1H05</v>
          </cell>
          <cell r="P4" t="str">
            <v>1H04</v>
          </cell>
          <cell r="Q4" t="str">
            <v>YoY</v>
          </cell>
        </row>
        <row r="5">
          <cell r="B5" t="str">
            <v>BEA</v>
          </cell>
          <cell r="C5">
            <v>315.98099999999999</v>
          </cell>
          <cell r="D5">
            <v>269.19400000000002</v>
          </cell>
          <cell r="E5">
            <v>0.17380402237791315</v>
          </cell>
          <cell r="F5">
            <v>818.74800000000005</v>
          </cell>
          <cell r="G5">
            <v>615.16899999999998</v>
          </cell>
          <cell r="H5">
            <v>0.33093182523826803</v>
          </cell>
          <cell r="I5">
            <v>696.43299999999999</v>
          </cell>
          <cell r="J5">
            <v>915.92100000000005</v>
          </cell>
          <cell r="K5">
            <v>-0.2396363878544111</v>
          </cell>
          <cell r="L5">
            <v>-115.518</v>
          </cell>
          <cell r="M5">
            <v>2.477999999999998</v>
          </cell>
          <cell r="N5">
            <v>-47.617433414043624</v>
          </cell>
          <cell r="O5">
            <v>1715.644</v>
          </cell>
          <cell r="P5">
            <v>1802.7620000000002</v>
          </cell>
          <cell r="Q5">
            <v>-4.8324737264264561E-2</v>
          </cell>
          <cell r="R5" t="str">
            <v>p.16 of 1h05 report</v>
          </cell>
        </row>
        <row r="6">
          <cell r="B6" t="str">
            <v>DSF</v>
          </cell>
          <cell r="C6">
            <v>-24.873000000000001</v>
          </cell>
          <cell r="D6">
            <v>163.63499999999999</v>
          </cell>
          <cell r="E6">
            <v>-1.1520029333577779</v>
          </cell>
          <cell r="F6">
            <v>216.67699999999999</v>
          </cell>
          <cell r="G6">
            <v>278.55500000000001</v>
          </cell>
          <cell r="H6">
            <v>-0.22213925436628323</v>
          </cell>
          <cell r="I6">
            <v>386.31200000000001</v>
          </cell>
          <cell r="J6">
            <v>440.6</v>
          </cell>
          <cell r="K6">
            <v>-0.12321379936450294</v>
          </cell>
          <cell r="L6">
            <v>94.358000000000004</v>
          </cell>
          <cell r="M6">
            <v>-3.1230000000000011</v>
          </cell>
          <cell r="N6">
            <v>-31.213896894012159</v>
          </cell>
          <cell r="O6">
            <v>672.47399999999993</v>
          </cell>
          <cell r="P6">
            <v>879.66699999999992</v>
          </cell>
          <cell r="Q6">
            <v>-0.23553571976668441</v>
          </cell>
          <cell r="R6" t="str">
            <v>p.29 of 1h05 report</v>
          </cell>
        </row>
        <row r="7">
          <cell r="B7" t="str">
            <v>HSB</v>
          </cell>
          <cell r="C7">
            <v>686</v>
          </cell>
          <cell r="D7">
            <v>1002</v>
          </cell>
          <cell r="E7">
            <v>-0.31536926147704591</v>
          </cell>
          <cell r="F7">
            <v>1036</v>
          </cell>
          <cell r="G7">
            <v>884</v>
          </cell>
          <cell r="H7">
            <v>0.17194570135746612</v>
          </cell>
          <cell r="I7">
            <v>3363</v>
          </cell>
          <cell r="J7">
            <v>2794</v>
          </cell>
          <cell r="K7">
            <v>0.20365068002863285</v>
          </cell>
          <cell r="L7">
            <v>179</v>
          </cell>
          <cell r="M7">
            <v>35</v>
          </cell>
          <cell r="N7">
            <v>4.1142857142857139</v>
          </cell>
          <cell r="O7">
            <v>5264</v>
          </cell>
          <cell r="P7">
            <v>4715</v>
          </cell>
          <cell r="Q7">
            <v>0.11643690349946967</v>
          </cell>
          <cell r="R7" t="str">
            <v>p.29 of 1h05 report</v>
          </cell>
        </row>
        <row r="8">
          <cell r="B8" t="str">
            <v>WHB</v>
          </cell>
          <cell r="C8">
            <v>61.364999999999981</v>
          </cell>
          <cell r="D8">
            <v>91.52300000000001</v>
          </cell>
          <cell r="E8">
            <v>-0.32951280006118711</v>
          </cell>
          <cell r="F8" t="str">
            <v>NA</v>
          </cell>
          <cell r="G8" t="str">
            <v>NA</v>
          </cell>
          <cell r="H8" t="str">
            <v>NA</v>
          </cell>
          <cell r="I8" t="str">
            <v>NA</v>
          </cell>
          <cell r="J8" t="str">
            <v>NA</v>
          </cell>
          <cell r="K8" t="str">
            <v>NA</v>
          </cell>
          <cell r="L8" t="str">
            <v>NA</v>
          </cell>
          <cell r="M8" t="str">
            <v>NA</v>
          </cell>
          <cell r="N8" t="str">
            <v>NA</v>
          </cell>
          <cell r="O8">
            <v>900.38199999999995</v>
          </cell>
          <cell r="P8">
            <v>916.55</v>
          </cell>
          <cell r="Q8">
            <v>-1.764006328078116E-2</v>
          </cell>
        </row>
        <row r="9">
          <cell r="B9" t="str">
            <v>BOCHK</v>
          </cell>
          <cell r="C9">
            <v>568</v>
          </cell>
          <cell r="D9">
            <v>1014</v>
          </cell>
          <cell r="E9">
            <v>-0.43984220907297833</v>
          </cell>
          <cell r="F9">
            <v>1768</v>
          </cell>
          <cell r="G9">
            <v>1779</v>
          </cell>
          <cell r="H9">
            <v>-6.1832490163012954E-3</v>
          </cell>
          <cell r="I9">
            <v>3656</v>
          </cell>
          <cell r="J9">
            <v>2724</v>
          </cell>
          <cell r="K9">
            <v>0.342143906020558</v>
          </cell>
          <cell r="L9">
            <v>-131</v>
          </cell>
          <cell r="M9">
            <v>-8</v>
          </cell>
          <cell r="N9">
            <v>15.375</v>
          </cell>
          <cell r="O9">
            <v>5861</v>
          </cell>
          <cell r="P9">
            <v>5509</v>
          </cell>
          <cell r="Q9">
            <v>6.3895443819204978E-2</v>
          </cell>
          <cell r="R9" t="str">
            <v>p.39 of 1h05 report</v>
          </cell>
        </row>
        <row r="10">
          <cell r="B10" t="str">
            <v>CIFH</v>
          </cell>
          <cell r="C10">
            <v>78</v>
          </cell>
          <cell r="D10">
            <v>145</v>
          </cell>
          <cell r="E10">
            <v>-0.46206896551724141</v>
          </cell>
          <cell r="F10" t="str">
            <v>NA</v>
          </cell>
          <cell r="G10" t="str">
            <v>NA</v>
          </cell>
          <cell r="H10" t="str">
            <v>NA</v>
          </cell>
          <cell r="I10" t="str">
            <v>NA</v>
          </cell>
          <cell r="J10" t="str">
            <v>NA</v>
          </cell>
          <cell r="K10" t="str">
            <v>NA</v>
          </cell>
          <cell r="L10" t="str">
            <v>NA</v>
          </cell>
          <cell r="M10" t="str">
            <v>NA</v>
          </cell>
          <cell r="N10" t="str">
            <v>NA</v>
          </cell>
          <cell r="O10">
            <v>570.51400000000001</v>
          </cell>
          <cell r="P10">
            <v>769.66700000000003</v>
          </cell>
          <cell r="Q10">
            <v>-0.25875216164912884</v>
          </cell>
        </row>
        <row r="11">
          <cell r="B11" t="str">
            <v>ICBCA</v>
          </cell>
          <cell r="C11">
            <v>37.707999999999998</v>
          </cell>
          <cell r="D11">
            <v>191.91399999999999</v>
          </cell>
          <cell r="E11">
            <v>-0.80351615827922918</v>
          </cell>
          <cell r="F11">
            <v>431.048</v>
          </cell>
          <cell r="G11">
            <v>309.48700000000002</v>
          </cell>
          <cell r="H11">
            <v>0.39278224933519001</v>
          </cell>
          <cell r="I11" t="str">
            <v>NA</v>
          </cell>
          <cell r="J11" t="str">
            <v>NA</v>
          </cell>
          <cell r="K11" t="str">
            <v>NA</v>
          </cell>
          <cell r="L11">
            <v>101.361</v>
          </cell>
          <cell r="M11">
            <v>56.667999999999992</v>
          </cell>
          <cell r="N11">
            <v>0.78868144278958163</v>
          </cell>
          <cell r="O11">
            <v>570.11699999999996</v>
          </cell>
          <cell r="P11">
            <v>558.06899999999996</v>
          </cell>
          <cell r="Q11">
            <v>2.1588728275535818E-2</v>
          </cell>
          <cell r="R11" t="str">
            <v>p.9 of 1h05 report</v>
          </cell>
        </row>
        <row r="12">
          <cell r="B12" t="str">
            <v>WLB</v>
          </cell>
          <cell r="C12">
            <v>144.16300000000001</v>
          </cell>
          <cell r="D12">
            <v>107.24</v>
          </cell>
          <cell r="E12">
            <v>0.34430249906751231</v>
          </cell>
          <cell r="F12">
            <v>358.48099999999999</v>
          </cell>
          <cell r="G12">
            <v>415.17200000000003</v>
          </cell>
          <cell r="H12">
            <v>-0.13654822579557391</v>
          </cell>
          <cell r="I12" t="str">
            <v>NA</v>
          </cell>
          <cell r="J12" t="str">
            <v>NA</v>
          </cell>
          <cell r="K12" t="str">
            <v>NA</v>
          </cell>
          <cell r="L12">
            <v>39.049999999999997</v>
          </cell>
          <cell r="M12">
            <v>19.914000000000001</v>
          </cell>
          <cell r="N12">
            <v>0.96093200763282094</v>
          </cell>
          <cell r="O12">
            <v>541.69399999999996</v>
          </cell>
          <cell r="P12">
            <v>542.32600000000002</v>
          </cell>
          <cell r="Q12">
            <v>-1.1653507300037891E-3</v>
          </cell>
          <cell r="R12" t="str">
            <v>p.10 of 1h05 report</v>
          </cell>
        </row>
        <row r="13">
          <cell r="B13" t="str">
            <v>Total</v>
          </cell>
          <cell r="C13">
            <v>1866.3440000000001</v>
          </cell>
          <cell r="D13">
            <v>2984.5059999999994</v>
          </cell>
          <cell r="E13">
            <v>-0.37465563815251157</v>
          </cell>
          <cell r="F13">
            <v>4628.9539999999997</v>
          </cell>
          <cell r="G13">
            <v>4281.3829999999998</v>
          </cell>
          <cell r="H13">
            <v>8.1181945179863657E-2</v>
          </cell>
          <cell r="I13">
            <v>8101.7449999999999</v>
          </cell>
          <cell r="J13">
            <v>6874.5210000000006</v>
          </cell>
          <cell r="K13">
            <v>0.17851774690920275</v>
          </cell>
          <cell r="L13">
            <v>167.25100000000003</v>
          </cell>
          <cell r="M13">
            <v>102.937</v>
          </cell>
          <cell r="N13">
            <v>0.62478992004818523</v>
          </cell>
          <cell r="O13">
            <v>16095.824999999999</v>
          </cell>
          <cell r="P13">
            <v>15693.040999999997</v>
          </cell>
          <cell r="Q13">
            <v>2.5666408441805677E-2</v>
          </cell>
        </row>
        <row r="14">
          <cell r="B14" t="str">
            <v>Total (ex ICBCA)</v>
          </cell>
          <cell r="C14">
            <v>1828.636</v>
          </cell>
          <cell r="D14">
            <v>2792.5919999999996</v>
          </cell>
          <cell r="E14">
            <v>-0.34518325627230895</v>
          </cell>
          <cell r="F14">
            <v>4197.9059999999999</v>
          </cell>
          <cell r="G14">
            <v>3971.8959999999997</v>
          </cell>
          <cell r="H14">
            <v>5.6902295528382441E-2</v>
          </cell>
          <cell r="I14">
            <v>8101.7449999999999</v>
          </cell>
          <cell r="J14">
            <v>6874.5210000000006</v>
          </cell>
          <cell r="K14">
            <v>0.17851774690920275</v>
          </cell>
          <cell r="L14">
            <v>65.889999999999986</v>
          </cell>
          <cell r="M14">
            <v>46.268999999999998</v>
          </cell>
          <cell r="N14">
            <v>0.4240636279150185</v>
          </cell>
          <cell r="O14">
            <v>15525.707999999999</v>
          </cell>
          <cell r="P14">
            <v>15134.972</v>
          </cell>
          <cell r="Q14">
            <v>2.5816763982120294E-2</v>
          </cell>
        </row>
        <row r="15">
          <cell r="A15" t="str">
            <v>Bond portfolio</v>
          </cell>
          <cell r="G15" t="str">
            <v>Treasury NII as % of Bond Portfolio</v>
          </cell>
          <cell r="L15" t="str">
            <v>Treasury NII as % of PBT</v>
          </cell>
        </row>
        <row r="17">
          <cell r="B17" t="str">
            <v>(HK$mn)</v>
          </cell>
          <cell r="C17" t="str">
            <v>1H05</v>
          </cell>
          <cell r="D17" t="str">
            <v>1H04</v>
          </cell>
          <cell r="E17" t="str">
            <v>YoY</v>
          </cell>
          <cell r="G17" t="str">
            <v>(%)</v>
          </cell>
          <cell r="H17" t="str">
            <v>1H05</v>
          </cell>
          <cell r="I17" t="str">
            <v>1H04</v>
          </cell>
          <cell r="J17" t="str">
            <v>YoY</v>
          </cell>
          <cell r="L17" t="str">
            <v>(%)</v>
          </cell>
          <cell r="M17" t="str">
            <v>PBT</v>
          </cell>
          <cell r="N17" t="str">
            <v>Treasury NII as % of PBT</v>
          </cell>
        </row>
        <row r="18">
          <cell r="B18" t="str">
            <v>BEA</v>
          </cell>
          <cell r="C18">
            <v>26527.844000000001</v>
          </cell>
          <cell r="D18">
            <v>24881.004000000001</v>
          </cell>
          <cell r="E18">
            <v>6.618864737130381E-2</v>
          </cell>
          <cell r="G18" t="str">
            <v>BEA</v>
          </cell>
          <cell r="H18">
            <v>2.382259183972885E-2</v>
          </cell>
          <cell r="I18">
            <v>2.1638515873394819E-2</v>
          </cell>
          <cell r="J18">
            <v>2.1840759663340308E-3</v>
          </cell>
          <cell r="L18" t="str">
            <v>BEA</v>
          </cell>
          <cell r="M18" t="e">
            <v>#REF!</v>
          </cell>
          <cell r="N18" t="e">
            <v>#REF!</v>
          </cell>
          <cell r="R18" t="str">
            <v>p.2 of 1h05 report</v>
          </cell>
          <cell r="W18" t="str">
            <v>WLB</v>
          </cell>
          <cell r="X18">
            <v>0.28332864928393003</v>
          </cell>
        </row>
        <row r="19">
          <cell r="B19" t="str">
            <v>DSF</v>
          </cell>
          <cell r="C19">
            <v>28359.384999999998</v>
          </cell>
          <cell r="D19">
            <v>20467.098999999998</v>
          </cell>
          <cell r="E19">
            <v>0.38560843429740577</v>
          </cell>
          <cell r="G19" t="str">
            <v>DSF</v>
          </cell>
          <cell r="H19">
            <v>-1.7541283070842335E-3</v>
          </cell>
          <cell r="I19">
            <v>1.5990053109138719E-2</v>
          </cell>
          <cell r="J19">
            <v>-1.7744181416222953E-2</v>
          </cell>
          <cell r="L19" t="str">
            <v>DSF</v>
          </cell>
          <cell r="M19">
            <v>660.31</v>
          </cell>
          <cell r="N19">
            <v>-3.7668670775847714E-2</v>
          </cell>
          <cell r="R19" t="str">
            <v>page 3 of 1h04 report</v>
          </cell>
          <cell r="W19" t="str">
            <v>BEA</v>
          </cell>
          <cell r="X19" t="e">
            <v>#REF!</v>
          </cell>
        </row>
        <row r="20">
          <cell r="B20" t="str">
            <v>HSB</v>
          </cell>
          <cell r="C20">
            <v>212058</v>
          </cell>
          <cell r="D20">
            <v>167280</v>
          </cell>
          <cell r="E20">
            <v>0.2676829268292682</v>
          </cell>
          <cell r="G20" t="str">
            <v>HSB</v>
          </cell>
          <cell r="H20">
            <v>6.4699280385554893E-3</v>
          </cell>
          <cell r="I20">
            <v>1.1979913916786227E-2</v>
          </cell>
          <cell r="J20">
            <v>-5.5099858782307375E-3</v>
          </cell>
          <cell r="L20" t="str">
            <v>HSB</v>
          </cell>
          <cell r="M20">
            <v>7113</v>
          </cell>
          <cell r="N20">
            <v>9.6443132292984679E-2</v>
          </cell>
          <cell r="R20" t="str">
            <v>p.10 of 1h05 report</v>
          </cell>
          <cell r="W20" t="str">
            <v>HSB</v>
          </cell>
          <cell r="X20">
            <v>9.6443132292984679E-2</v>
          </cell>
        </row>
        <row r="21">
          <cell r="B21" t="str">
            <v>WHB</v>
          </cell>
          <cell r="C21">
            <v>0</v>
          </cell>
          <cell r="D21">
            <v>0</v>
          </cell>
          <cell r="E21" t="e">
            <v>#DIV/0!</v>
          </cell>
          <cell r="G21" t="str">
            <v>WHB</v>
          </cell>
          <cell r="H21" t="e">
            <v>#DIV/0!</v>
          </cell>
          <cell r="I21" t="e">
            <v>#DIV/0!</v>
          </cell>
          <cell r="J21" t="e">
            <v>#DIV/0!</v>
          </cell>
          <cell r="L21" t="str">
            <v>WHB</v>
          </cell>
          <cell r="M21">
            <v>835.12299999999993</v>
          </cell>
          <cell r="N21">
            <v>7.348019393550409E-2</v>
          </cell>
          <cell r="R21" t="str">
            <v>linkage</v>
          </cell>
          <cell r="W21" t="str">
            <v>CIFH</v>
          </cell>
          <cell r="X21">
            <v>9.4652383055767272E-2</v>
          </cell>
        </row>
        <row r="22">
          <cell r="B22" t="str">
            <v>BOCHK</v>
          </cell>
          <cell r="C22">
            <v>219087</v>
          </cell>
          <cell r="D22">
            <v>200266</v>
          </cell>
          <cell r="E22">
            <v>9.3980006591233733E-2</v>
          </cell>
          <cell r="G22" t="str">
            <v>BOCHK</v>
          </cell>
          <cell r="H22">
            <v>5.1851547558732372E-3</v>
          </cell>
          <cell r="I22">
            <v>1.0126531712821947E-2</v>
          </cell>
          <cell r="J22">
            <v>-4.9413769569487094E-3</v>
          </cell>
          <cell r="L22" t="str">
            <v>BOCHK</v>
          </cell>
          <cell r="M22">
            <v>7970</v>
          </cell>
          <cell r="N22">
            <v>7.1267252195734002E-2</v>
          </cell>
          <cell r="R22" t="str">
            <v>p.17 of 1h05 report and p.22 of 1h04 report</v>
          </cell>
          <cell r="W22" t="str">
            <v>Total</v>
          </cell>
          <cell r="X22" t="e">
            <v>#REF!</v>
          </cell>
        </row>
        <row r="23">
          <cell r="B23" t="str">
            <v>CIFH</v>
          </cell>
          <cell r="C23">
            <v>23345.915000000001</v>
          </cell>
          <cell r="D23">
            <v>26937.646000000001</v>
          </cell>
          <cell r="E23">
            <v>-0.13333499890821932</v>
          </cell>
          <cell r="G23" t="str">
            <v>CIFH</v>
          </cell>
          <cell r="H23">
            <v>6.6821111958987253E-3</v>
          </cell>
          <cell r="I23">
            <v>1.0765602903832057E-2</v>
          </cell>
          <cell r="J23">
            <v>-4.0834917079333316E-3</v>
          </cell>
          <cell r="L23" t="str">
            <v>CIFH</v>
          </cell>
          <cell r="M23">
            <v>824.06799999999976</v>
          </cell>
          <cell r="N23">
            <v>9.4652383055767272E-2</v>
          </cell>
          <cell r="R23" t="str">
            <v>linkage</v>
          </cell>
          <cell r="W23" t="str">
            <v>WHB</v>
          </cell>
          <cell r="X23">
            <v>7.348019393550409E-2</v>
          </cell>
        </row>
        <row r="24">
          <cell r="B24" t="str">
            <v>ICBCA</v>
          </cell>
          <cell r="C24">
            <v>9784.3580000000002</v>
          </cell>
          <cell r="D24">
            <v>9375.1869999999999</v>
          </cell>
          <cell r="E24">
            <v>4.3644036113626328E-2</v>
          </cell>
          <cell r="G24" t="str">
            <v>ICBCA</v>
          </cell>
          <cell r="H24">
            <v>7.7078128171516203E-3</v>
          </cell>
          <cell r="I24">
            <v>4.0940836700110617E-2</v>
          </cell>
          <cell r="J24">
            <v>-3.3233023882958998E-2</v>
          </cell>
          <cell r="L24" t="str">
            <v>ICBCA</v>
          </cell>
          <cell r="M24">
            <v>577.25900000000001</v>
          </cell>
          <cell r="N24">
            <v>6.5322498220036412E-2</v>
          </cell>
          <cell r="R24" t="str">
            <v>p.2 of 1h05 report</v>
          </cell>
          <cell r="W24" t="str">
            <v>BOCHK</v>
          </cell>
          <cell r="X24">
            <v>7.1267252195734002E-2</v>
          </cell>
        </row>
        <row r="25">
          <cell r="B25" t="str">
            <v>WLB</v>
          </cell>
          <cell r="C25">
            <v>19869.945999999996</v>
          </cell>
          <cell r="D25">
            <v>20625.692999999999</v>
          </cell>
          <cell r="E25">
            <v>-3.6641047648677927E-2</v>
          </cell>
          <cell r="G25" t="str">
            <v>WLB</v>
          </cell>
          <cell r="H25">
            <v>1.4510658458759781E-2</v>
          </cell>
          <cell r="I25">
            <v>1.0398680907351816E-2</v>
          </cell>
          <cell r="J25">
            <v>4.1119775514079655E-3</v>
          </cell>
          <cell r="L25" t="str">
            <v>WLB</v>
          </cell>
          <cell r="M25">
            <v>508.81900000000002</v>
          </cell>
          <cell r="N25">
            <v>0.28332864928393003</v>
          </cell>
          <cell r="R25" t="str">
            <v>linkage</v>
          </cell>
          <cell r="W25" t="str">
            <v>ICBCA</v>
          </cell>
          <cell r="X25">
            <v>6.5322498220036412E-2</v>
          </cell>
        </row>
        <row r="26">
          <cell r="B26" t="str">
            <v>Total</v>
          </cell>
          <cell r="C26">
            <v>539032.44799999997</v>
          </cell>
          <cell r="D26">
            <v>469832.62899999996</v>
          </cell>
          <cell r="E26">
            <v>0.14728610728311087</v>
          </cell>
          <cell r="G26" t="str">
            <v>Total</v>
          </cell>
          <cell r="H26">
            <v>6.9247927724009678E-3</v>
          </cell>
          <cell r="I26">
            <v>1.2704549730197643E-2</v>
          </cell>
          <cell r="J26">
            <v>-5.7797569577966749E-3</v>
          </cell>
          <cell r="L26" t="str">
            <v>Total</v>
          </cell>
          <cell r="M26" t="e">
            <v>#REF!</v>
          </cell>
          <cell r="N26" t="e">
            <v>#REF!</v>
          </cell>
          <cell r="W26" t="str">
            <v>DSF</v>
          </cell>
          <cell r="X26">
            <v>-3.7668670775847714E-2</v>
          </cell>
        </row>
        <row r="28">
          <cell r="A28" t="str">
            <v>Earning Assets</v>
          </cell>
          <cell r="G28" t="str">
            <v>Total NII as % of Earning Assets</v>
          </cell>
          <cell r="L28" t="str">
            <v>Treasury NII as % of Earning Assets</v>
          </cell>
        </row>
        <row r="30">
          <cell r="B30" t="str">
            <v>(HK$mn)</v>
          </cell>
          <cell r="C30" t="str">
            <v>1H05</v>
          </cell>
          <cell r="D30" t="str">
            <v>1H04</v>
          </cell>
          <cell r="E30" t="str">
            <v>YoY</v>
          </cell>
          <cell r="G30" t="str">
            <v>(%)</v>
          </cell>
          <cell r="H30" t="str">
            <v>1H05</v>
          </cell>
          <cell r="I30" t="str">
            <v>1H04</v>
          </cell>
          <cell r="J30" t="str">
            <v>YoY</v>
          </cell>
          <cell r="L30" t="str">
            <v>(%)</v>
          </cell>
          <cell r="M30" t="str">
            <v>1H05</v>
          </cell>
          <cell r="N30" t="str">
            <v>1H04</v>
          </cell>
          <cell r="O30" t="str">
            <v>YoY</v>
          </cell>
        </row>
        <row r="31">
          <cell r="B31" t="str">
            <v>BEA</v>
          </cell>
          <cell r="C31">
            <v>203733.02200000003</v>
          </cell>
          <cell r="D31">
            <v>195287.92099999997</v>
          </cell>
          <cell r="E31">
            <v>4.3244359183894687E-2</v>
          </cell>
          <cell r="G31" t="str">
            <v>BEA</v>
          </cell>
          <cell r="H31">
            <v>1.6842080710902131E-2</v>
          </cell>
          <cell r="I31">
            <v>1.8462606297088905E-2</v>
          </cell>
          <cell r="J31">
            <v>-1.6205255861867739E-3</v>
          </cell>
          <cell r="L31" t="str">
            <v>BEA</v>
          </cell>
          <cell r="M31">
            <v>3.1019124626738216E-3</v>
          </cell>
          <cell r="N31">
            <v>2.7568934998289021E-3</v>
          </cell>
          <cell r="O31">
            <v>3.4501896284491957E-4</v>
          </cell>
          <cell r="R31" t="str">
            <v>p.2 of 1h05 report</v>
          </cell>
        </row>
        <row r="32">
          <cell r="B32" t="str">
            <v>DSF</v>
          </cell>
          <cell r="C32">
            <v>75872.60100000001</v>
          </cell>
          <cell r="D32">
            <v>66583.425000000003</v>
          </cell>
          <cell r="E32">
            <v>0.13951183796868372</v>
          </cell>
          <cell r="G32" t="str">
            <v>DSF</v>
          </cell>
          <cell r="H32">
            <v>1.7726399019851707E-2</v>
          </cell>
          <cell r="I32">
            <v>2.6423002421398414E-2</v>
          </cell>
          <cell r="J32">
            <v>-8.6966034015467063E-3</v>
          </cell>
          <cell r="L32" t="str">
            <v>DSF</v>
          </cell>
          <cell r="M32">
            <v>-6.5565170225283297E-4</v>
          </cell>
          <cell r="N32">
            <v>4.9151872256496263E-3</v>
          </cell>
          <cell r="O32">
            <v>-5.5708389279024596E-3</v>
          </cell>
          <cell r="R32" t="str">
            <v>p.2 of 1h05 report and p.3 of 1h04 report</v>
          </cell>
        </row>
        <row r="33">
          <cell r="B33" t="str">
            <v>HSB</v>
          </cell>
          <cell r="C33">
            <v>546368</v>
          </cell>
          <cell r="D33">
            <v>481206</v>
          </cell>
          <cell r="E33">
            <v>0.1354139391445659</v>
          </cell>
          <cell r="G33" t="str">
            <v>HSB</v>
          </cell>
          <cell r="H33">
            <v>1.926906407403069E-2</v>
          </cell>
          <cell r="I33">
            <v>1.959659688366313E-2</v>
          </cell>
          <cell r="J33">
            <v>-3.2753280963243939E-4</v>
          </cell>
          <cell r="L33" t="str">
            <v>HSB</v>
          </cell>
          <cell r="M33">
            <v>2.5111280309242125E-3</v>
          </cell>
          <cell r="N33">
            <v>4.1645366017880074E-3</v>
          </cell>
          <cell r="O33">
            <v>-1.6534085708637949E-3</v>
          </cell>
          <cell r="R33" t="str">
            <v>p.10 of 1h05 report</v>
          </cell>
        </row>
        <row r="34">
          <cell r="B34" t="str">
            <v>WHB</v>
          </cell>
          <cell r="C34">
            <v>96228.994999999995</v>
          </cell>
          <cell r="D34">
            <v>84488.312000000005</v>
          </cell>
          <cell r="E34">
            <v>0.13896221527067532</v>
          </cell>
          <cell r="G34" t="str">
            <v>WHB</v>
          </cell>
          <cell r="H34">
            <v>1.8713320241991512E-2</v>
          </cell>
          <cell r="I34">
            <v>2.1696492172787164E-2</v>
          </cell>
          <cell r="J34">
            <v>-2.9831719307956521E-3</v>
          </cell>
          <cell r="L34" t="str">
            <v>WHB</v>
          </cell>
          <cell r="M34">
            <v>1.2753952174186167E-3</v>
          </cell>
          <cell r="N34">
            <v>2.1665245247176911E-3</v>
          </cell>
          <cell r="O34">
            <v>-8.9112930729907448E-4</v>
          </cell>
          <cell r="R34" t="str">
            <v>p.2 of 1h05 report and p.2 of 1h04 report</v>
          </cell>
        </row>
        <row r="35">
          <cell r="B35" t="str">
            <v>BOCHK</v>
          </cell>
          <cell r="C35">
            <v>783956</v>
          </cell>
          <cell r="D35">
            <v>727987</v>
          </cell>
          <cell r="E35">
            <v>7.6881867395983683E-2</v>
          </cell>
          <cell r="G35" t="str">
            <v>BOCHK</v>
          </cell>
          <cell r="H35">
            <v>1.4952369775854768E-2</v>
          </cell>
          <cell r="I35">
            <v>1.5134885650430571E-2</v>
          </cell>
          <cell r="J35">
            <v>-1.8251587457580355E-4</v>
          </cell>
          <cell r="L35" t="str">
            <v>BOCHK</v>
          </cell>
          <cell r="M35">
            <v>1.4490609166840996E-3</v>
          </cell>
          <cell r="N35">
            <v>2.7857640315005626E-3</v>
          </cell>
          <cell r="O35">
            <v>-1.336703114816463E-3</v>
          </cell>
          <cell r="R35" t="str">
            <v>p.17 of 1h05 report and p.22 of 1h04 report</v>
          </cell>
        </row>
        <row r="36">
          <cell r="B36" t="str">
            <v>CIFH</v>
          </cell>
          <cell r="C36">
            <v>84210.976999999999</v>
          </cell>
          <cell r="D36">
            <v>76043.954000000012</v>
          </cell>
          <cell r="E36">
            <v>0.10739871574799986</v>
          </cell>
          <cell r="G36" t="str">
            <v>CIFH</v>
          </cell>
          <cell r="H36">
            <v>1.354963498404727E-2</v>
          </cell>
          <cell r="I36">
            <v>2.0242687538315009E-2</v>
          </cell>
          <cell r="J36">
            <v>-6.693052554267739E-3</v>
          </cell>
          <cell r="L36" t="str">
            <v>CIFH</v>
          </cell>
          <cell r="M36">
            <v>1.8524900857046227E-3</v>
          </cell>
          <cell r="N36">
            <v>3.8135839175327461E-3</v>
          </cell>
          <cell r="O36">
            <v>-1.9610938318281234E-3</v>
          </cell>
          <cell r="R36" t="str">
            <v>p.2 of 1h05 report</v>
          </cell>
        </row>
        <row r="37">
          <cell r="B37" t="str">
            <v>ICBCA</v>
          </cell>
          <cell r="C37">
            <v>106663.78099999999</v>
          </cell>
          <cell r="D37">
            <v>94395.209000000003</v>
          </cell>
          <cell r="E37">
            <v>0.12997028270788591</v>
          </cell>
          <cell r="G37" t="str">
            <v>ICBCA</v>
          </cell>
          <cell r="H37">
            <v>1.0689982947444925E-2</v>
          </cell>
          <cell r="I37">
            <v>1.1824095860627841E-2</v>
          </cell>
          <cell r="J37">
            <v>-1.1341129131829161E-3</v>
          </cell>
          <cell r="L37" t="str">
            <v>ICBCA</v>
          </cell>
          <cell r="M37">
            <v>7.0704412775316871E-4</v>
          </cell>
          <cell r="N37">
            <v>4.0661809435688619E-3</v>
          </cell>
          <cell r="O37">
            <v>-3.3591368158156932E-3</v>
          </cell>
          <cell r="R37" t="str">
            <v>p.2 of 1h05 report</v>
          </cell>
        </row>
        <row r="38">
          <cell r="B38" t="str">
            <v>WLB</v>
          </cell>
          <cell r="C38">
            <v>69460.819000000003</v>
          </cell>
          <cell r="D38">
            <v>69105.842000000004</v>
          </cell>
          <cell r="E38">
            <v>5.1367147802061641E-3</v>
          </cell>
          <cell r="G38" t="str">
            <v>WLB</v>
          </cell>
          <cell r="H38">
            <v>1.5597109501401068E-2</v>
          </cell>
          <cell r="I38">
            <v>1.569551818788345E-2</v>
          </cell>
          <cell r="J38">
            <v>-9.8408686482382574E-5</v>
          </cell>
          <cell r="L38" t="str">
            <v>WLB</v>
          </cell>
          <cell r="M38">
            <v>4.1509156406577931E-3</v>
          </cell>
          <cell r="N38">
            <v>3.1036449856149642E-3</v>
          </cell>
          <cell r="O38">
            <v>1.0472706550428289E-3</v>
          </cell>
          <cell r="R38" t="str">
            <v>p.3 of 1h05 report</v>
          </cell>
        </row>
        <row r="39">
          <cell r="B39" t="str">
            <v>Total</v>
          </cell>
          <cell r="C39">
            <v>1966494.1949999998</v>
          </cell>
          <cell r="D39">
            <v>1795097.6629999997</v>
          </cell>
          <cell r="E39">
            <v>9.5480338219347427E-2</v>
          </cell>
          <cell r="G39" t="str">
            <v>Total</v>
          </cell>
          <cell r="H39">
            <v>1.6370071206846356E-2</v>
          </cell>
          <cell r="I39">
            <v>1.7484331157529894E-2</v>
          </cell>
          <cell r="J39">
            <v>-1.1142599506835382E-3</v>
          </cell>
          <cell r="L39" t="str">
            <v>Total</v>
          </cell>
          <cell r="M39">
            <v>1.8981434115039433E-3</v>
          </cell>
          <cell r="N39">
            <v>3.3251739574015589E-3</v>
          </cell>
          <cell r="O39">
            <v>-1.4270305458976157E-3</v>
          </cell>
        </row>
        <row r="41">
          <cell r="B41" t="str">
            <v>Ex Treasury NII as % of Earning Assets</v>
          </cell>
        </row>
        <row r="43">
          <cell r="B43" t="str">
            <v>(%)</v>
          </cell>
          <cell r="C43" t="str">
            <v>1H05</v>
          </cell>
          <cell r="D43" t="str">
            <v>1H04</v>
          </cell>
          <cell r="E43" t="str">
            <v>YoY</v>
          </cell>
        </row>
        <row r="44">
          <cell r="B44" t="str">
            <v>BEA</v>
          </cell>
          <cell r="C44">
            <v>1.374016824822831E-2</v>
          </cell>
          <cell r="D44">
            <v>1.5705712797260005E-2</v>
          </cell>
          <cell r="E44">
            <v>-1.9655445490316947E-3</v>
          </cell>
        </row>
        <row r="45">
          <cell r="B45" t="str">
            <v>DSF</v>
          </cell>
          <cell r="C45">
            <v>1.838205072210454E-2</v>
          </cell>
          <cell r="D45">
            <v>2.1507815195748788E-2</v>
          </cell>
          <cell r="E45">
            <v>-3.1257644736442484E-3</v>
          </cell>
        </row>
        <row r="46">
          <cell r="B46" t="str">
            <v>HSB</v>
          </cell>
          <cell r="C46">
            <v>1.6757936043106478E-2</v>
          </cell>
          <cell r="D46">
            <v>1.5432060281875121E-2</v>
          </cell>
          <cell r="E46">
            <v>1.3258757612313564E-3</v>
          </cell>
        </row>
        <row r="47">
          <cell r="B47" t="str">
            <v>WHB</v>
          </cell>
          <cell r="C47">
            <v>1.7437925024572896E-2</v>
          </cell>
          <cell r="D47">
            <v>1.9529967648069472E-2</v>
          </cell>
          <cell r="E47">
            <v>-2.0920426234965761E-3</v>
          </cell>
        </row>
        <row r="48">
          <cell r="B48" t="str">
            <v>BOCHK</v>
          </cell>
          <cell r="C48">
            <v>1.3503308859170667E-2</v>
          </cell>
          <cell r="D48">
            <v>1.2349121618930009E-2</v>
          </cell>
          <cell r="E48">
            <v>1.1541872402406582E-3</v>
          </cell>
        </row>
        <row r="49">
          <cell r="B49" t="str">
            <v>CIFH</v>
          </cell>
          <cell r="C49">
            <v>1.1697144898342648E-2</v>
          </cell>
          <cell r="D49">
            <v>1.6429103620782263E-2</v>
          </cell>
          <cell r="E49">
            <v>-4.7319587224396147E-3</v>
          </cell>
        </row>
        <row r="50">
          <cell r="B50" t="str">
            <v>ICBCA</v>
          </cell>
          <cell r="C50">
            <v>9.9829388196917557E-3</v>
          </cell>
          <cell r="D50">
            <v>7.7579149170589794E-3</v>
          </cell>
          <cell r="E50">
            <v>2.2250239026327763E-3</v>
          </cell>
        </row>
        <row r="51">
          <cell r="B51" t="str">
            <v>WLB</v>
          </cell>
          <cell r="C51">
            <v>1.1446193860743276E-2</v>
          </cell>
          <cell r="D51">
            <v>1.2591873202268487E-2</v>
          </cell>
          <cell r="E51">
            <v>-1.145679341525211E-3</v>
          </cell>
        </row>
        <row r="52">
          <cell r="B52" t="str">
            <v>Total</v>
          </cell>
          <cell r="C52">
            <v>1.4471927795342412E-2</v>
          </cell>
          <cell r="D52">
            <v>1.4159157200128336E-2</v>
          </cell>
          <cell r="E52">
            <v>3.1277059521407635E-4</v>
          </cell>
        </row>
        <row r="56">
          <cell r="B56" t="str">
            <v>NII % YoY</v>
          </cell>
          <cell r="G56" t="str">
            <v>Ex Treasury</v>
          </cell>
        </row>
        <row r="57">
          <cell r="C57" t="str">
            <v>Treasury</v>
          </cell>
          <cell r="D57" t="str">
            <v>Ex-Treasury</v>
          </cell>
          <cell r="E57" t="str">
            <v>Total</v>
          </cell>
          <cell r="G57" t="str">
            <v>1H05</v>
          </cell>
          <cell r="H57" t="str">
            <v>1H04</v>
          </cell>
        </row>
        <row r="58">
          <cell r="B58" t="str">
            <v>CIFH</v>
          </cell>
          <cell r="C58">
            <v>-0.46206896551724141</v>
          </cell>
          <cell r="D58">
            <v>0.45405361117559506</v>
          </cell>
          <cell r="E58">
            <v>-0.25875216164912884</v>
          </cell>
          <cell r="G58">
            <v>492.51400000000001</v>
          </cell>
          <cell r="H58">
            <v>624.66700000000003</v>
          </cell>
          <cell r="I58">
            <v>-0.21155751784550814</v>
          </cell>
        </row>
        <row r="59">
          <cell r="B59" t="str">
            <v>DSF</v>
          </cell>
          <cell r="C59">
            <v>-1.1520029333577779</v>
          </cell>
          <cell r="D59">
            <v>-0.21155751784550814</v>
          </cell>
          <cell r="E59">
            <v>-0.23553571976668441</v>
          </cell>
          <cell r="G59">
            <v>697.34699999999998</v>
          </cell>
          <cell r="H59">
            <v>716.03199999999993</v>
          </cell>
          <cell r="I59">
            <v>-2.6095202449052501E-2</v>
          </cell>
        </row>
        <row r="60">
          <cell r="B60" t="str">
            <v>WHB</v>
          </cell>
          <cell r="C60">
            <v>-0.32951280006118711</v>
          </cell>
          <cell r="D60">
            <v>1.6957020800531408E-2</v>
          </cell>
          <cell r="E60">
            <v>-1.764006328078116E-2</v>
          </cell>
          <cell r="G60">
            <v>839.01699999999994</v>
          </cell>
          <cell r="H60">
            <v>825.02699999999993</v>
          </cell>
          <cell r="I60">
            <v>1.6957020800531408E-2</v>
          </cell>
        </row>
        <row r="61">
          <cell r="B61" t="str">
            <v>WLB</v>
          </cell>
          <cell r="C61">
            <v>0.34430249906751231</v>
          </cell>
          <cell r="D61">
            <v>0.17753058954393763</v>
          </cell>
          <cell r="E61">
            <v>-1.1653507300037891E-3</v>
          </cell>
          <cell r="G61">
            <v>397.53099999999995</v>
          </cell>
          <cell r="H61">
            <v>435.08600000000001</v>
          </cell>
          <cell r="I61">
            <v>-8.6316268507835359E-2</v>
          </cell>
        </row>
        <row r="62">
          <cell r="B62" t="str">
            <v>ICBCA</v>
          </cell>
          <cell r="C62">
            <v>-0.80351615827922918</v>
          </cell>
          <cell r="D62">
            <v>0.11967909755137018</v>
          </cell>
          <cell r="E62">
            <v>2.1588728275535818E-2</v>
          </cell>
          <cell r="G62">
            <v>532.40899999999999</v>
          </cell>
          <cell r="H62">
            <v>366.15499999999997</v>
          </cell>
          <cell r="I62">
            <v>0.45405361117559506</v>
          </cell>
        </row>
        <row r="63">
          <cell r="B63" t="str">
            <v>Total</v>
          </cell>
          <cell r="C63">
            <v>-0.37465563815251157</v>
          </cell>
          <cell r="D63">
            <v>0.23296525720441696</v>
          </cell>
          <cell r="E63">
            <v>2.5666408441805677E-2</v>
          </cell>
          <cell r="G63">
            <v>14229.481</v>
          </cell>
          <cell r="H63">
            <v>12708.534999999998</v>
          </cell>
          <cell r="I63">
            <v>0.11967909755137018</v>
          </cell>
        </row>
        <row r="64">
          <cell r="B64" t="str">
            <v>BOCHK</v>
          </cell>
          <cell r="C64">
            <v>-0.43984220907297833</v>
          </cell>
          <cell r="D64">
            <v>-8.6316268507835359E-2</v>
          </cell>
          <cell r="E64">
            <v>6.3895443819204978E-2</v>
          </cell>
          <cell r="G64">
            <v>5293</v>
          </cell>
          <cell r="H64">
            <v>4495</v>
          </cell>
          <cell r="I64">
            <v>0.17753058954393763</v>
          </cell>
        </row>
        <row r="65">
          <cell r="B65" t="str">
            <v>HSB</v>
          </cell>
          <cell r="C65">
            <v>-0.31536926147704591</v>
          </cell>
          <cell r="D65">
            <v>-2.6095202449052501E-2</v>
          </cell>
          <cell r="E65">
            <v>0.11643690349946967</v>
          </cell>
          <cell r="G65">
            <v>4578</v>
          </cell>
          <cell r="H65">
            <v>3713</v>
          </cell>
          <cell r="I65">
            <v>0.23296525720441696</v>
          </cell>
        </row>
        <row r="71">
          <cell r="C71" t="str">
            <v>1H05</v>
          </cell>
          <cell r="D71" t="str">
            <v>1H05</v>
          </cell>
          <cell r="E71" t="str">
            <v>1H05</v>
          </cell>
          <cell r="I71" t="str">
            <v>1H05</v>
          </cell>
          <cell r="J71" t="str">
            <v>1H05</v>
          </cell>
          <cell r="K71" t="str">
            <v>1H05</v>
          </cell>
        </row>
        <row r="72">
          <cell r="C72" t="str">
            <v>Treasurt NII</v>
          </cell>
          <cell r="D72" t="str">
            <v>Total NII</v>
          </cell>
          <cell r="E72" t="str">
            <v>Treasury NII as % of Total NII</v>
          </cell>
          <cell r="I72" t="str">
            <v>Treasurt NII</v>
          </cell>
          <cell r="J72" t="str">
            <v>Attributable Profit (reported)</v>
          </cell>
          <cell r="K72" t="str">
            <v>Treasury NII as % of Attributable Profit (reported)</v>
          </cell>
        </row>
        <row r="73">
          <cell r="B73" t="str">
            <v>WLB</v>
          </cell>
          <cell r="C73">
            <v>144.16300000000001</v>
          </cell>
          <cell r="D73">
            <v>541.69399999999996</v>
          </cell>
          <cell r="E73">
            <v>0.26613364740979228</v>
          </cell>
          <cell r="H73" t="str">
            <v>WLB</v>
          </cell>
          <cell r="I73">
            <v>144.16300000000001</v>
          </cell>
          <cell r="J73">
            <v>630.95699999999999</v>
          </cell>
          <cell r="K73">
            <v>0.2284830820483805</v>
          </cell>
        </row>
        <row r="74">
          <cell r="B74" t="str">
            <v>BEA</v>
          </cell>
          <cell r="C74">
            <v>315.98099999999999</v>
          </cell>
          <cell r="D74">
            <v>1715.644</v>
          </cell>
          <cell r="E74">
            <v>0.18417632096169134</v>
          </cell>
          <cell r="H74" t="str">
            <v>BEA</v>
          </cell>
          <cell r="I74">
            <v>315.98099999999999</v>
          </cell>
          <cell r="J74" t="e">
            <v>#REF!</v>
          </cell>
          <cell r="K74" t="e">
            <v>#REF!</v>
          </cell>
        </row>
        <row r="75">
          <cell r="B75" t="str">
            <v>CIFH</v>
          </cell>
          <cell r="C75">
            <v>78</v>
          </cell>
          <cell r="D75">
            <v>570.51400000000001</v>
          </cell>
          <cell r="E75">
            <v>0.13671881846895956</v>
          </cell>
          <cell r="H75" t="str">
            <v>HSB</v>
          </cell>
          <cell r="I75">
            <v>686</v>
          </cell>
          <cell r="J75">
            <v>6096</v>
          </cell>
          <cell r="K75">
            <v>0.11253280839895013</v>
          </cell>
        </row>
        <row r="76">
          <cell r="B76" t="str">
            <v>HSB</v>
          </cell>
          <cell r="C76">
            <v>686</v>
          </cell>
          <cell r="D76">
            <v>5264</v>
          </cell>
          <cell r="E76">
            <v>0.13031914893617022</v>
          </cell>
          <cell r="H76" t="str">
            <v>Total</v>
          </cell>
          <cell r="I76">
            <v>1866.3440000000001</v>
          </cell>
          <cell r="J76">
            <v>16640.748</v>
          </cell>
          <cell r="K76">
            <v>0.1121550545684605</v>
          </cell>
        </row>
        <row r="77">
          <cell r="B77" t="str">
            <v>Total</v>
          </cell>
          <cell r="C77">
            <v>1866.3440000000001</v>
          </cell>
          <cell r="D77">
            <v>16095.824999999999</v>
          </cell>
          <cell r="E77">
            <v>0.11595205589026969</v>
          </cell>
          <cell r="H77" t="str">
            <v>CIFH</v>
          </cell>
          <cell r="I77">
            <v>78</v>
          </cell>
          <cell r="J77">
            <v>723.1759999999997</v>
          </cell>
          <cell r="K77">
            <v>0.10785756164474489</v>
          </cell>
        </row>
        <row r="78">
          <cell r="B78" t="str">
            <v>BOCHK</v>
          </cell>
          <cell r="C78">
            <v>568</v>
          </cell>
          <cell r="D78">
            <v>5861</v>
          </cell>
          <cell r="E78">
            <v>9.691178979696298E-2</v>
          </cell>
          <cell r="H78" t="str">
            <v>WHB</v>
          </cell>
          <cell r="I78">
            <v>61.364999999999981</v>
          </cell>
          <cell r="J78">
            <v>700.62799999999993</v>
          </cell>
          <cell r="K78">
            <v>8.758570882122893E-2</v>
          </cell>
        </row>
        <row r="79">
          <cell r="B79" t="str">
            <v>WHB</v>
          </cell>
          <cell r="C79">
            <v>61.364999999999981</v>
          </cell>
          <cell r="D79">
            <v>900.38199999999995</v>
          </cell>
          <cell r="E79">
            <v>6.8154405574522792E-2</v>
          </cell>
          <cell r="H79" t="str">
            <v>BOCHK</v>
          </cell>
          <cell r="I79">
            <v>568</v>
          </cell>
          <cell r="J79">
            <v>6546</v>
          </cell>
          <cell r="K79">
            <v>8.6770546898869538E-2</v>
          </cell>
        </row>
        <row r="80">
          <cell r="B80" t="str">
            <v>ICBCA</v>
          </cell>
          <cell r="C80">
            <v>37.707999999999998</v>
          </cell>
          <cell r="D80">
            <v>570.11699999999996</v>
          </cell>
          <cell r="E80">
            <v>6.614080969344889E-2</v>
          </cell>
          <cell r="H80" t="str">
            <v>ICBCA</v>
          </cell>
          <cell r="I80">
            <v>37.707999999999998</v>
          </cell>
          <cell r="J80">
            <v>475.55099999999999</v>
          </cell>
          <cell r="K80">
            <v>7.9293282949673111E-2</v>
          </cell>
        </row>
        <row r="81">
          <cell r="B81" t="str">
            <v>DSF</v>
          </cell>
          <cell r="C81">
            <v>-24.873000000000001</v>
          </cell>
          <cell r="D81">
            <v>672.47399999999993</v>
          </cell>
          <cell r="E81">
            <v>-3.698730359835474E-2</v>
          </cell>
          <cell r="H81" t="str">
            <v>DSF</v>
          </cell>
          <cell r="I81">
            <v>-24.873000000000001</v>
          </cell>
          <cell r="J81">
            <v>461.02299999999997</v>
          </cell>
          <cell r="K81">
            <v>-5.3951755118508193E-2</v>
          </cell>
        </row>
        <row r="108">
          <cell r="B108" t="str">
            <v>Treasury NII YoY</v>
          </cell>
        </row>
        <row r="109">
          <cell r="B109" t="str">
            <v>WLB</v>
          </cell>
          <cell r="C109">
            <v>0.34430249906751231</v>
          </cell>
        </row>
        <row r="110">
          <cell r="B110" t="str">
            <v>BEA</v>
          </cell>
          <cell r="C110">
            <v>0.17380402237791315</v>
          </cell>
        </row>
        <row r="111">
          <cell r="B111" t="str">
            <v>HSB</v>
          </cell>
          <cell r="C111">
            <v>-0.31536926147704591</v>
          </cell>
        </row>
        <row r="112">
          <cell r="B112" t="str">
            <v>WHB</v>
          </cell>
          <cell r="C112">
            <v>-0.32951280006118711</v>
          </cell>
        </row>
        <row r="113">
          <cell r="B113" t="str">
            <v>Total</v>
          </cell>
          <cell r="C113">
            <v>-0.34518325627230895</v>
          </cell>
        </row>
        <row r="114">
          <cell r="B114" t="str">
            <v>BOCHK</v>
          </cell>
          <cell r="C114">
            <v>-0.43984220907297833</v>
          </cell>
        </row>
        <row r="115">
          <cell r="B115" t="str">
            <v>CIFH</v>
          </cell>
          <cell r="C115">
            <v>-0.46206896551724141</v>
          </cell>
        </row>
        <row r="116">
          <cell r="B116" t="str">
            <v>DSF</v>
          </cell>
          <cell r="C116">
            <v>-1.1520029333577779</v>
          </cell>
        </row>
        <row r="129">
          <cell r="B129" t="str">
            <v>Ex-Treasury NII</v>
          </cell>
        </row>
        <row r="130">
          <cell r="C130" t="str">
            <v>1H05</v>
          </cell>
          <cell r="D130" t="str">
            <v>1H04</v>
          </cell>
          <cell r="E130" t="str">
            <v>YoY</v>
          </cell>
        </row>
        <row r="131">
          <cell r="B131" t="str">
            <v>BEA</v>
          </cell>
          <cell r="C131">
            <v>1399.663</v>
          </cell>
          <cell r="D131">
            <v>1533.5680000000002</v>
          </cell>
          <cell r="E131">
            <v>-8.7315984684083303E-2</v>
          </cell>
          <cell r="H131" t="str">
            <v>HSB</v>
          </cell>
          <cell r="I131">
            <v>0.23296525720441696</v>
          </cell>
        </row>
        <row r="132">
          <cell r="B132" t="str">
            <v>DSF</v>
          </cell>
          <cell r="C132">
            <v>697.34699999999998</v>
          </cell>
          <cell r="D132">
            <v>716.03199999999993</v>
          </cell>
          <cell r="E132">
            <v>-2.6095202449052501E-2</v>
          </cell>
          <cell r="H132" t="str">
            <v>BOCHK</v>
          </cell>
          <cell r="I132">
            <v>0.17753058954393763</v>
          </cell>
        </row>
        <row r="133">
          <cell r="B133" t="str">
            <v>HSB</v>
          </cell>
          <cell r="C133">
            <v>4578</v>
          </cell>
          <cell r="D133">
            <v>3713</v>
          </cell>
          <cell r="E133">
            <v>0.23296525720441696</v>
          </cell>
          <cell r="H133" t="str">
            <v>Total</v>
          </cell>
          <cell r="I133">
            <v>0.10975938190203194</v>
          </cell>
        </row>
        <row r="134">
          <cell r="B134" t="str">
            <v>WHB</v>
          </cell>
          <cell r="C134">
            <v>839.01699999999994</v>
          </cell>
          <cell r="D134">
            <v>825.02699999999993</v>
          </cell>
          <cell r="E134">
            <v>1.6957020800531408E-2</v>
          </cell>
          <cell r="H134" t="str">
            <v>WHB</v>
          </cell>
          <cell r="I134">
            <v>1.6957020800531408E-2</v>
          </cell>
        </row>
        <row r="135">
          <cell r="B135" t="str">
            <v>BOCHK</v>
          </cell>
          <cell r="C135">
            <v>5293</v>
          </cell>
          <cell r="D135">
            <v>4495</v>
          </cell>
          <cell r="E135">
            <v>0.17753058954393763</v>
          </cell>
          <cell r="H135" t="str">
            <v>DSF</v>
          </cell>
          <cell r="I135">
            <v>-2.6095202449052501E-2</v>
          </cell>
        </row>
        <row r="136">
          <cell r="B136" t="str">
            <v>CIFH</v>
          </cell>
          <cell r="C136">
            <v>492.51400000000001</v>
          </cell>
          <cell r="D136">
            <v>624.66700000000003</v>
          </cell>
          <cell r="E136">
            <v>-0.21155751784550814</v>
          </cell>
          <cell r="H136" t="str">
            <v>WLB</v>
          </cell>
          <cell r="I136">
            <v>-8.6316268507835359E-2</v>
          </cell>
        </row>
        <row r="137">
          <cell r="B137" t="str">
            <v>WLB</v>
          </cell>
          <cell r="C137">
            <v>397.53099999999995</v>
          </cell>
          <cell r="D137">
            <v>435.08600000000001</v>
          </cell>
          <cell r="E137">
            <v>-8.6316268507835359E-2</v>
          </cell>
          <cell r="H137" t="str">
            <v>BEA</v>
          </cell>
          <cell r="I137">
            <v>-8.7315984684083303E-2</v>
          </cell>
        </row>
        <row r="138">
          <cell r="B138" t="str">
            <v>Total</v>
          </cell>
          <cell r="C138">
            <v>13697.072</v>
          </cell>
          <cell r="D138">
            <v>12342.38</v>
          </cell>
          <cell r="E138">
            <v>0.10975938190203194</v>
          </cell>
          <cell r="H138" t="str">
            <v>CIFH</v>
          </cell>
          <cell r="I138">
            <v>-0.21155751784550814</v>
          </cell>
        </row>
        <row r="148">
          <cell r="B148" t="str">
            <v>(%)</v>
          </cell>
          <cell r="C148" t="str">
            <v>Treasury</v>
          </cell>
          <cell r="D148" t="str">
            <v>Core</v>
          </cell>
          <cell r="E148" t="str">
            <v>Total</v>
          </cell>
        </row>
        <row r="149">
          <cell r="B149" t="str">
            <v>BEA</v>
          </cell>
          <cell r="C149">
            <v>0.17380402237791315</v>
          </cell>
          <cell r="D149">
            <v>-8.7315984684083303E-2</v>
          </cell>
          <cell r="E149">
            <v>-4.8324737264264561E-2</v>
          </cell>
        </row>
        <row r="150">
          <cell r="B150" t="str">
            <v>DSF</v>
          </cell>
          <cell r="C150">
            <v>-1.1520029333577779</v>
          </cell>
          <cell r="D150">
            <v>-2.6095202449052501E-2</v>
          </cell>
          <cell r="E150">
            <v>-0.23553571976668441</v>
          </cell>
        </row>
        <row r="151">
          <cell r="B151" t="str">
            <v>HSB</v>
          </cell>
          <cell r="C151">
            <v>-0.31536926147704591</v>
          </cell>
          <cell r="D151">
            <v>0.23296525720441696</v>
          </cell>
          <cell r="E151">
            <v>0.11643690349946967</v>
          </cell>
        </row>
        <row r="152">
          <cell r="B152" t="str">
            <v>WHB</v>
          </cell>
          <cell r="C152">
            <v>-0.32951280006118711</v>
          </cell>
          <cell r="D152">
            <v>1.6957020800531408E-2</v>
          </cell>
          <cell r="E152">
            <v>-1.764006328078116E-2</v>
          </cell>
        </row>
        <row r="153">
          <cell r="B153" t="str">
            <v>BOCHK</v>
          </cell>
          <cell r="C153">
            <v>-0.43984220907297833</v>
          </cell>
          <cell r="D153">
            <v>0.17753058954393763</v>
          </cell>
          <cell r="E153">
            <v>6.3895443819204978E-2</v>
          </cell>
        </row>
        <row r="154">
          <cell r="B154" t="str">
            <v>CIFH</v>
          </cell>
          <cell r="C154">
            <v>-0.46206896551724141</v>
          </cell>
          <cell r="D154">
            <v>-0.21155751784550814</v>
          </cell>
          <cell r="E154">
            <v>-0.25875216164912884</v>
          </cell>
        </row>
        <row r="155">
          <cell r="B155" t="str">
            <v>WLB</v>
          </cell>
          <cell r="C155">
            <v>0.34430249906751231</v>
          </cell>
          <cell r="D155">
            <v>-8.6316268507835359E-2</v>
          </cell>
          <cell r="E155">
            <v>-1.1653507300037891E-3</v>
          </cell>
        </row>
        <row r="156">
          <cell r="B156" t="str">
            <v>Total</v>
          </cell>
          <cell r="C156">
            <v>-0.34518325627230895</v>
          </cell>
          <cell r="D156">
            <v>0.10975938190203194</v>
          </cell>
          <cell r="E156">
            <v>2.5816763982120294E-2</v>
          </cell>
        </row>
      </sheetData>
      <sheetData sheetId="24" refreshError="1"/>
      <sheetData sheetId="25" refreshError="1">
        <row r="1">
          <cell r="H1" t="str">
            <v>Note</v>
          </cell>
        </row>
        <row r="2">
          <cell r="A2" t="str">
            <v>HSBC</v>
          </cell>
          <cell r="B2" t="str">
            <v>FY ending Dec 31:</v>
          </cell>
          <cell r="C2">
            <v>2004</v>
          </cell>
          <cell r="D2">
            <v>2005</v>
          </cell>
          <cell r="E2" t="str">
            <v>2006E</v>
          </cell>
          <cell r="F2" t="str">
            <v>2007E</v>
          </cell>
          <cell r="H2" t="str">
            <v>update model</v>
          </cell>
        </row>
        <row r="3">
          <cell r="B3" t="str">
            <v>Revenues (US$m)</v>
          </cell>
          <cell r="C3">
            <v>51391</v>
          </cell>
          <cell r="D3">
            <v>58575</v>
          </cell>
          <cell r="E3">
            <v>66310.117510000011</v>
          </cell>
          <cell r="F3">
            <v>70980.684935800004</v>
          </cell>
          <cell r="H3" t="str">
            <v>bk_compAAA3a.xls</v>
          </cell>
        </row>
        <row r="4">
          <cell r="B4" t="str">
            <v>Expenses (US$m)</v>
          </cell>
          <cell r="C4">
            <v>26525</v>
          </cell>
          <cell r="D4">
            <v>30452</v>
          </cell>
          <cell r="E4">
            <v>34128.145458503997</v>
          </cell>
          <cell r="F4">
            <v>35418.370764042797</v>
          </cell>
          <cell r="H4" t="str">
            <v>Local Market Index</v>
          </cell>
        </row>
        <row r="5">
          <cell r="B5" t="str">
            <v xml:space="preserve">Cost/income </v>
          </cell>
          <cell r="C5">
            <v>51.614095853359544</v>
          </cell>
          <cell r="D5">
            <v>51.988049509176271</v>
          </cell>
          <cell r="E5">
            <v>51.467478478464834</v>
          </cell>
          <cell r="F5">
            <v>49.89860381888073</v>
          </cell>
          <cell r="H5" t="str">
            <v>1, 3, 12 mth Rel. Perf (%)</v>
          </cell>
        </row>
        <row r="6">
          <cell r="B6" t="str">
            <v>Pre provision profit (US$m)</v>
          </cell>
          <cell r="C6">
            <v>24866</v>
          </cell>
          <cell r="D6">
            <v>28123</v>
          </cell>
          <cell r="E6">
            <v>32181.972051496014</v>
          </cell>
          <cell r="F6">
            <v>35562.314171757207</v>
          </cell>
          <cell r="H6" t="str">
            <v>Lingkage to HSBC, STAN model</v>
          </cell>
        </row>
        <row r="7">
          <cell r="B7" t="str">
            <v>Bad debts (US$m)</v>
          </cell>
          <cell r="C7">
            <v>6191</v>
          </cell>
          <cell r="D7">
            <v>7801</v>
          </cell>
          <cell r="E7">
            <v>10661.5553355953</v>
          </cell>
          <cell r="F7">
            <v>11860.2926804975</v>
          </cell>
        </row>
        <row r="8">
          <cell r="B8" t="str">
            <v>Pre tax (US$m)</v>
          </cell>
          <cell r="C8">
            <v>18943</v>
          </cell>
          <cell r="D8">
            <v>20966</v>
          </cell>
          <cell r="E8">
            <v>22320.116715900742</v>
          </cell>
          <cell r="F8">
            <v>24621.061491259694</v>
          </cell>
        </row>
        <row r="9">
          <cell r="B9" t="str">
            <v>ROE</v>
          </cell>
          <cell r="C9">
            <v>17.845156594217006</v>
          </cell>
          <cell r="D9">
            <v>16.634679020516213</v>
          </cell>
          <cell r="E9">
            <v>16.534454149895719</v>
          </cell>
          <cell r="F9">
            <v>17.306263750758873</v>
          </cell>
        </row>
        <row r="10">
          <cell r="B10" t="str">
            <v>ModelWare (HK$)</v>
          </cell>
          <cell r="C10">
            <v>9.2622395049387727</v>
          </cell>
          <cell r="D10">
            <v>10.593316307302048</v>
          </cell>
          <cell r="E10">
            <v>10.689765022074036</v>
          </cell>
          <cell r="F10">
            <v>12.060994686247176</v>
          </cell>
        </row>
        <row r="11">
          <cell r="B11" t="str">
            <v>Dividend (HK$)</v>
          </cell>
          <cell r="C11">
            <v>4.8965490000000003</v>
          </cell>
          <cell r="D11">
            <v>5.6599820000000003</v>
          </cell>
          <cell r="E11">
            <v>5.9619136499999996</v>
          </cell>
          <cell r="F11">
            <v>6.8870523225000007</v>
          </cell>
        </row>
        <row r="12">
          <cell r="B12" t="str">
            <v>Price/Book</v>
          </cell>
          <cell r="C12">
            <v>2.2014793728078188</v>
          </cell>
          <cell r="D12">
            <v>2.0883872977884708</v>
          </cell>
          <cell r="E12">
            <v>2.0049206202797945</v>
          </cell>
          <cell r="F12">
            <v>1.8580001246152802</v>
          </cell>
        </row>
        <row r="13">
          <cell r="B13" t="str">
            <v>P/Modelware EPS</v>
          </cell>
          <cell r="C13">
            <v>15.017966219274472</v>
          </cell>
          <cell r="D13">
            <v>13.130921041611622</v>
          </cell>
          <cell r="E13">
            <v>13.012446925892457</v>
          </cell>
          <cell r="F13">
            <v>11.53304545922833</v>
          </cell>
        </row>
        <row r="14">
          <cell r="B14" t="str">
            <v>Yield (%)</v>
          </cell>
          <cell r="C14">
            <v>3.5201646297627605</v>
          </cell>
          <cell r="D14">
            <v>4.0690021567217833</v>
          </cell>
          <cell r="E14">
            <v>4.2860630122214234</v>
          </cell>
          <cell r="F14">
            <v>4.9511519212796555</v>
          </cell>
        </row>
        <row r="15">
          <cell r="B15" t="str">
            <v>Market Cap (US$ b)</v>
          </cell>
          <cell r="C15">
            <v>204741.64666666667</v>
          </cell>
          <cell r="D15" t="str">
            <v>Return on Assets, 2005 (%)</v>
          </cell>
          <cell r="F15">
            <v>1</v>
          </cell>
        </row>
        <row r="16">
          <cell r="B16" t="str">
            <v>Shares Outstanding (m)</v>
          </cell>
          <cell r="C16">
            <v>11480.84</v>
          </cell>
          <cell r="D16" t="str">
            <v>Local Market Index</v>
          </cell>
          <cell r="F16">
            <v>20651</v>
          </cell>
        </row>
        <row r="17">
          <cell r="B17" t="str">
            <v>Tier 1 Ratio (05) (%)</v>
          </cell>
          <cell r="C17">
            <v>8.99</v>
          </cell>
          <cell r="D17" t="str">
            <v>1, 3, 12 mth Rel. Perf (%)</v>
          </cell>
          <cell r="F17" t="str">
            <v>-3,-12,-18</v>
          </cell>
        </row>
        <row r="18">
          <cell r="B18" t="str">
            <v>Loan/Deposit (05)</v>
          </cell>
          <cell r="C18">
            <v>95.45</v>
          </cell>
        </row>
        <row r="24">
          <cell r="A24" t="str">
            <v>HSB</v>
          </cell>
          <cell r="B24" t="str">
            <v>FY ending Dec 31:</v>
          </cell>
          <cell r="C24">
            <v>2004</v>
          </cell>
          <cell r="D24">
            <v>2005</v>
          </cell>
          <cell r="E24" t="str">
            <v>2006E</v>
          </cell>
          <cell r="F24" t="str">
            <v>2007E</v>
          </cell>
        </row>
        <row r="25">
          <cell r="B25" t="str">
            <v>Revenue (HK$ mn)</v>
          </cell>
          <cell r="C25">
            <v>16053</v>
          </cell>
          <cell r="D25">
            <v>16232</v>
          </cell>
          <cell r="E25">
            <v>17837.455488078853</v>
          </cell>
          <cell r="F25">
            <v>20098.52295603578</v>
          </cell>
        </row>
        <row r="26">
          <cell r="B26" t="str">
            <v>Expenses (HK$ mn)</v>
          </cell>
          <cell r="C26">
            <v>4232</v>
          </cell>
          <cell r="D26">
            <v>4546</v>
          </cell>
          <cell r="E26">
            <v>4987.1200000000008</v>
          </cell>
          <cell r="F26">
            <v>5441.8320000000012</v>
          </cell>
        </row>
        <row r="27">
          <cell r="B27" t="str">
            <v>Cost/Income (%)</v>
          </cell>
          <cell r="C27">
            <v>26.362673643555723</v>
          </cell>
          <cell r="D27">
            <v>28.006407097092161</v>
          </cell>
          <cell r="E27">
            <v>27.958696257619241</v>
          </cell>
          <cell r="F27">
            <v>27.075780702411102</v>
          </cell>
        </row>
        <row r="28">
          <cell r="B28" t="str">
            <v>Pre-Prov. Profit  (HK$ mn)</v>
          </cell>
          <cell r="C28">
            <v>11821</v>
          </cell>
          <cell r="D28">
            <v>11686</v>
          </cell>
          <cell r="E28">
            <v>12850.335488078852</v>
          </cell>
          <cell r="F28">
            <v>14656.690956035778</v>
          </cell>
        </row>
        <row r="29">
          <cell r="B29" t="str">
            <v>Bad Debts (bp of Loans)</v>
          </cell>
          <cell r="C29">
            <v>-30.888122980047942</v>
          </cell>
          <cell r="D29">
            <v>23.707227251802976</v>
          </cell>
          <cell r="E29">
            <v>5.8617596959240146</v>
          </cell>
          <cell r="F29">
            <v>14.149325965137542</v>
          </cell>
        </row>
        <row r="30">
          <cell r="B30" t="str">
            <v>Net Earnings (HK$mn)</v>
          </cell>
          <cell r="C30">
            <v>11364</v>
          </cell>
          <cell r="D30">
            <v>11342</v>
          </cell>
          <cell r="E30">
            <v>12067.907280927164</v>
          </cell>
          <cell r="F30">
            <v>13450.463080219743</v>
          </cell>
        </row>
        <row r="31">
          <cell r="B31" t="str">
            <v>ROE (%)</v>
          </cell>
          <cell r="C31">
            <v>29.54105306939444</v>
          </cell>
          <cell r="D31">
            <v>29.755752026654772</v>
          </cell>
          <cell r="E31">
            <v>30.215418693076717</v>
          </cell>
          <cell r="F31">
            <v>31.75652731290586</v>
          </cell>
        </row>
        <row r="32">
          <cell r="B32" t="str">
            <v>Modelware EPS (HK$)</v>
          </cell>
          <cell r="C32">
            <v>5.9441364159430901</v>
          </cell>
          <cell r="D32">
            <v>5.9326289360811799</v>
          </cell>
          <cell r="E32">
            <v>6.3123272732122411</v>
          </cell>
          <cell r="F32">
            <v>7.0354969558634499</v>
          </cell>
        </row>
        <row r="33">
          <cell r="B33" t="str">
            <v>P/ EPS</v>
          </cell>
          <cell r="C33">
            <v>19.010330869412179</v>
          </cell>
          <cell r="D33">
            <v>19.047205078469407</v>
          </cell>
          <cell r="E33">
            <v>17.901479931108852</v>
          </cell>
          <cell r="F33">
            <v>16.061409834855336</v>
          </cell>
        </row>
        <row r="34">
          <cell r="B34" t="str">
            <v xml:space="preserve">Price/Book Value </v>
          </cell>
          <cell r="C34">
            <v>5.7924013299013293</v>
          </cell>
          <cell r="D34">
            <v>5.5481380656428172</v>
          </cell>
          <cell r="E34">
            <v>5.2766834431888556</v>
          </cell>
          <cell r="F34">
            <v>4.9357877694676233</v>
          </cell>
        </row>
        <row r="35">
          <cell r="B35" t="str">
            <v>Yield (%)</v>
          </cell>
          <cell r="C35">
            <v>4.6017699115044248</v>
          </cell>
          <cell r="D35">
            <v>4.6017699115044248</v>
          </cell>
          <cell r="E35">
            <v>4.7482107807348708</v>
          </cell>
          <cell r="F35">
            <v>5.1676659056342151</v>
          </cell>
        </row>
        <row r="36">
          <cell r="B36" t="str">
            <v>Market Cap (US$ b)</v>
          </cell>
          <cell r="C36">
            <v>27697.198205128207</v>
          </cell>
          <cell r="D36" t="str">
            <v>Return on Assets, 2005 (%)</v>
          </cell>
          <cell r="F36">
            <v>2.0113352627397569</v>
          </cell>
        </row>
        <row r="37">
          <cell r="B37" t="str">
            <v>L-T EPS Grth. ('02 - '06) (%)</v>
          </cell>
          <cell r="C37">
            <v>5.0219488750607333</v>
          </cell>
          <cell r="D37" t="str">
            <v>Free Float (%)</v>
          </cell>
          <cell r="F37">
            <v>37.854999999999997</v>
          </cell>
        </row>
        <row r="38">
          <cell r="B38" t="str">
            <v>Shares Outstanding (m)</v>
          </cell>
          <cell r="C38">
            <v>1911.8420000000001</v>
          </cell>
          <cell r="D38" t="str">
            <v>Local Market Index (HSI)</v>
          </cell>
          <cell r="F38">
            <v>20651</v>
          </cell>
        </row>
        <row r="39">
          <cell r="B39" t="str">
            <v>Tier 1 Ratio (05) (%)</v>
          </cell>
          <cell r="C39">
            <v>10.381383544260384</v>
          </cell>
          <cell r="D39" t="str">
            <v>1, 3, 12-mth Rel. Perf. (%)</v>
          </cell>
          <cell r="F39" t="str">
            <v>-1,1,-17</v>
          </cell>
        </row>
        <row r="40">
          <cell r="B40" t="str">
            <v>Loan/Deposit (05)</v>
          </cell>
          <cell r="C40">
            <v>57.537505987052519</v>
          </cell>
        </row>
        <row r="45">
          <cell r="A45" t="str">
            <v>BOCHK</v>
          </cell>
          <cell r="B45" t="str">
            <v>FY ending Dec 31:</v>
          </cell>
          <cell r="C45">
            <v>2004</v>
          </cell>
          <cell r="D45">
            <v>2005</v>
          </cell>
          <cell r="E45" t="str">
            <v>2006E</v>
          </cell>
          <cell r="F45" t="str">
            <v>2007E</v>
          </cell>
        </row>
        <row r="46">
          <cell r="B46" t="str">
            <v>Revenue (HK$ mn)</v>
          </cell>
          <cell r="C46">
            <v>15857</v>
          </cell>
          <cell r="D46">
            <v>17896</v>
          </cell>
          <cell r="E46">
            <v>21601.344464760201</v>
          </cell>
          <cell r="F46">
            <v>23862.372717896964</v>
          </cell>
        </row>
        <row r="47">
          <cell r="B47" t="str">
            <v>Expenses (HK$ mn)</v>
          </cell>
          <cell r="C47">
            <v>5505</v>
          </cell>
          <cell r="D47">
            <v>5730</v>
          </cell>
          <cell r="E47">
            <v>6323.55</v>
          </cell>
          <cell r="F47">
            <v>6987.2264999999998</v>
          </cell>
        </row>
        <row r="48">
          <cell r="B48" t="str">
            <v>Cost/Income (%)</v>
          </cell>
          <cell r="C48">
            <v>34.716528977738534</v>
          </cell>
          <cell r="D48">
            <v>32.018328118015198</v>
          </cell>
          <cell r="E48">
            <v>29.273872329178648</v>
          </cell>
          <cell r="F48">
            <v>29.281356814779468</v>
          </cell>
        </row>
        <row r="49">
          <cell r="B49" t="str">
            <v>Pre-Prov. Profit  (HK$ mn)</v>
          </cell>
          <cell r="C49">
            <v>10352</v>
          </cell>
          <cell r="D49">
            <v>12166</v>
          </cell>
          <cell r="E49">
            <v>15277.794464760202</v>
          </cell>
          <cell r="F49">
            <v>16875.146217896963</v>
          </cell>
        </row>
        <row r="50">
          <cell r="B50" t="str">
            <v>Bad Debts (bp of Loans)</v>
          </cell>
          <cell r="C50">
            <v>-52.650132110435912</v>
          </cell>
          <cell r="D50">
            <v>-78.871643482279964</v>
          </cell>
          <cell r="E50">
            <v>-7.5994764181983063</v>
          </cell>
          <cell r="F50">
            <v>12.679501891480825</v>
          </cell>
        </row>
        <row r="51">
          <cell r="B51" t="str">
            <v>Net Earnings (HK$mn)</v>
          </cell>
          <cell r="C51">
            <v>11961</v>
          </cell>
          <cell r="D51">
            <v>13494</v>
          </cell>
          <cell r="E51">
            <v>13381.474227333205</v>
          </cell>
          <cell r="F51">
            <v>14426.047854558774</v>
          </cell>
        </row>
        <row r="52">
          <cell r="B52" t="str">
            <v>ROE (%)</v>
          </cell>
          <cell r="C52">
            <v>18.03813933146834</v>
          </cell>
          <cell r="D52">
            <v>17.779475996916855</v>
          </cell>
          <cell r="E52">
            <v>16.357239284753607</v>
          </cell>
          <cell r="F52">
            <v>16.63715539104221</v>
          </cell>
        </row>
        <row r="53">
          <cell r="B53" t="str">
            <v>Modelware EPS (HK$)</v>
          </cell>
          <cell r="C53">
            <v>1.1312991828087167</v>
          </cell>
          <cell r="D53">
            <v>1.2762938861985471</v>
          </cell>
          <cell r="E53">
            <v>1.2656509370586038</v>
          </cell>
          <cell r="F53">
            <v>1.3644491387862037</v>
          </cell>
        </row>
        <row r="54">
          <cell r="B54" t="str">
            <v>P/ EPS</v>
          </cell>
          <cell r="C54">
            <v>17.855577292868489</v>
          </cell>
          <cell r="D54">
            <v>15.827075737364755</v>
          </cell>
          <cell r="E54">
            <v>15.960166747827939</v>
          </cell>
          <cell r="F54">
            <v>14.804509325990457</v>
          </cell>
        </row>
        <row r="55">
          <cell r="B55" t="str">
            <v xml:space="preserve">Price/Book Value </v>
          </cell>
          <cell r="C55">
            <v>2.9515818568782994</v>
          </cell>
          <cell r="D55">
            <v>2.6886203814439478</v>
          </cell>
          <cell r="E55">
            <v>2.5370606175600852</v>
          </cell>
          <cell r="F55">
            <v>2.393233563118522</v>
          </cell>
        </row>
        <row r="56">
          <cell r="B56" t="str">
            <v>Yield (%)</v>
          </cell>
          <cell r="C56">
            <v>3.5396039603960392</v>
          </cell>
          <cell r="D56">
            <v>4.0437034018171785</v>
          </cell>
          <cell r="E56">
            <v>4.3859190888169435</v>
          </cell>
          <cell r="F56">
            <v>4.7282890948036762</v>
          </cell>
        </row>
        <row r="57">
          <cell r="B57" t="str">
            <v>Market Cap (US$ b)</v>
          </cell>
          <cell r="C57">
            <v>27380.786641025639</v>
          </cell>
          <cell r="D57" t="str">
            <v>Return on Assets, 2005 (%)</v>
          </cell>
          <cell r="F57">
            <v>1.7</v>
          </cell>
        </row>
        <row r="58">
          <cell r="B58" t="str">
            <v>L-T EPS Grth. ('02 - '06) (%)</v>
          </cell>
          <cell r="C58">
            <v>0.18999656912498164</v>
          </cell>
          <cell r="D58" t="str">
            <v>Free Float (%)</v>
          </cell>
          <cell r="F58">
            <v>34.131</v>
          </cell>
        </row>
        <row r="59">
          <cell r="B59" t="str">
            <v>Shares Outstanding (m)</v>
          </cell>
          <cell r="C59">
            <v>10572.779</v>
          </cell>
          <cell r="D59" t="str">
            <v>Local Market Index (HSI)</v>
          </cell>
          <cell r="F59">
            <v>20651</v>
          </cell>
        </row>
        <row r="60">
          <cell r="B60" t="str">
            <v>Tier 1 Ratio (05) (%)</v>
          </cell>
          <cell r="C60">
            <v>14.7</v>
          </cell>
          <cell r="D60" t="str">
            <v>1, 3, 12-mth Rel. Perf. (%)</v>
          </cell>
          <cell r="F60" t="str">
            <v>-6,3,0</v>
          </cell>
        </row>
        <row r="61">
          <cell r="B61" t="str">
            <v>Loan/Deposit (05)</v>
          </cell>
          <cell r="C61">
            <v>49</v>
          </cell>
        </row>
        <row r="63">
          <cell r="B63" t="str">
            <v xml:space="preserve"> </v>
          </cell>
        </row>
        <row r="66">
          <cell r="A66" t="str">
            <v>BEA</v>
          </cell>
          <cell r="B66" t="str">
            <v>FY ending Dec 31:</v>
          </cell>
          <cell r="C66">
            <v>2004</v>
          </cell>
          <cell r="D66">
            <v>2005</v>
          </cell>
          <cell r="E66" t="str">
            <v>2006E</v>
          </cell>
          <cell r="F66" t="str">
            <v>2007E</v>
          </cell>
        </row>
        <row r="67">
          <cell r="B67" t="str">
            <v>Revenue (HK$ mn)</v>
          </cell>
          <cell r="C67">
            <v>5495</v>
          </cell>
          <cell r="D67">
            <v>5952</v>
          </cell>
          <cell r="E67">
            <v>7564</v>
          </cell>
          <cell r="F67">
            <v>8359.6009609440262</v>
          </cell>
        </row>
        <row r="68">
          <cell r="B68" t="str">
            <v>Expenses (HK$ mn)</v>
          </cell>
          <cell r="C68">
            <v>2720</v>
          </cell>
          <cell r="D68">
            <v>2988</v>
          </cell>
          <cell r="E68">
            <v>3465</v>
          </cell>
          <cell r="F68">
            <v>3910.9</v>
          </cell>
        </row>
        <row r="69">
          <cell r="B69" t="str">
            <v>Cost/Income (%)</v>
          </cell>
          <cell r="C69">
            <v>49.499545040946316</v>
          </cell>
          <cell r="D69">
            <v>50.201612903225815</v>
          </cell>
          <cell r="E69">
            <v>45.809095716552086</v>
          </cell>
          <cell r="F69">
            <v>46.7833335379486</v>
          </cell>
        </row>
        <row r="70">
          <cell r="B70" t="str">
            <v>Pre-Prov. Profit  (HK$ mn)</v>
          </cell>
          <cell r="C70">
            <v>2775</v>
          </cell>
          <cell r="D70">
            <v>2964</v>
          </cell>
          <cell r="E70">
            <v>4099</v>
          </cell>
          <cell r="F70">
            <v>4448.7009609440265</v>
          </cell>
        </row>
        <row r="71">
          <cell r="B71" t="str">
            <v>Bad Debts (bp of Loans)</v>
          </cell>
          <cell r="C71">
            <v>22.204328624063638</v>
          </cell>
          <cell r="D71">
            <v>9.8041923278742864</v>
          </cell>
          <cell r="E71">
            <v>11.536528532919085</v>
          </cell>
          <cell r="F71">
            <v>23.331095454723638</v>
          </cell>
        </row>
        <row r="72">
          <cell r="B72" t="str">
            <v>Net Earnings (HK$mn)</v>
          </cell>
          <cell r="C72">
            <v>2567</v>
          </cell>
          <cell r="D72">
            <v>2747</v>
          </cell>
          <cell r="E72">
            <v>3380.5011193286255</v>
          </cell>
          <cell r="F72">
            <v>3443.2016989397116</v>
          </cell>
        </row>
        <row r="73">
          <cell r="B73" t="str">
            <v>ROE (%)</v>
          </cell>
          <cell r="C73">
            <v>12.284353839159667</v>
          </cell>
          <cell r="D73">
            <v>11.970542095171693</v>
          </cell>
          <cell r="E73">
            <v>13.356650150587779</v>
          </cell>
          <cell r="F73">
            <v>12.280832588909522</v>
          </cell>
        </row>
        <row r="74">
          <cell r="B74" t="str">
            <v>Modelware EPS (HK$)</v>
          </cell>
          <cell r="C74">
            <v>1.7205093833780161</v>
          </cell>
          <cell r="D74">
            <v>1.8192052980132449</v>
          </cell>
          <cell r="E74">
            <v>2.2174193548387096</v>
          </cell>
          <cell r="F74">
            <v>2.1792415816074127</v>
          </cell>
        </row>
        <row r="75">
          <cell r="B75" t="str">
            <v>P/ EPS</v>
          </cell>
          <cell r="C75">
            <v>27.753408648227502</v>
          </cell>
          <cell r="D75">
            <v>26.247724790680746</v>
          </cell>
          <cell r="E75">
            <v>21.534041315100378</v>
          </cell>
          <cell r="F75">
            <v>21.91129262721736</v>
          </cell>
        </row>
        <row r="76">
          <cell r="B76" t="str">
            <v xml:space="preserve">Price/Book Value </v>
          </cell>
          <cell r="C76">
            <v>3.2841469598487993</v>
          </cell>
          <cell r="D76">
            <v>2.9790728422096433</v>
          </cell>
          <cell r="E76">
            <v>2.7148595114078202</v>
          </cell>
          <cell r="F76">
            <v>2.6184904954582926</v>
          </cell>
        </row>
        <row r="77">
          <cell r="B77" t="str">
            <v>Yield (%)</v>
          </cell>
          <cell r="C77">
            <v>2.261780104712042</v>
          </cell>
          <cell r="D77">
            <v>2.6387434554973823</v>
          </cell>
          <cell r="E77">
            <v>3.0575916230366493</v>
          </cell>
          <cell r="F77">
            <v>2.8752297307071619</v>
          </cell>
        </row>
        <row r="78">
          <cell r="B78" t="str">
            <v>Market Cap (US$ mn)</v>
          </cell>
          <cell r="C78">
            <v>9411.4270512820531</v>
          </cell>
          <cell r="D78" t="str">
            <v>Return on Assets, 2005 (%)</v>
          </cell>
          <cell r="F78">
            <v>1.23962526270794</v>
          </cell>
        </row>
        <row r="79">
          <cell r="B79" t="str">
            <v>L-T EPS Grth. ('02 - '06) (%)</v>
          </cell>
          <cell r="C79">
            <v>0.22865657020824615</v>
          </cell>
          <cell r="D79" t="str">
            <v>Free Float (%)</v>
          </cell>
          <cell r="F79">
            <v>83.402000000000001</v>
          </cell>
        </row>
        <row r="80">
          <cell r="B80" t="str">
            <v>Shares Outstanding (m)</v>
          </cell>
          <cell r="C80">
            <v>1537.364</v>
          </cell>
          <cell r="D80" t="str">
            <v>Local Market Index (HSI)</v>
          </cell>
          <cell r="F80">
            <v>20651</v>
          </cell>
        </row>
        <row r="81">
          <cell r="B81" t="str">
            <v>Tier 1 Ratio (05) (%)</v>
          </cell>
          <cell r="C81">
            <v>11.243615762487002</v>
          </cell>
          <cell r="D81" t="str">
            <v>1, 3, 12-mth Rel. Perf. (%)</v>
          </cell>
          <cell r="F81" t="str">
            <v>4,8,40</v>
          </cell>
        </row>
        <row r="82">
          <cell r="B82" t="str">
            <v>Loan/Deposit (05)</v>
          </cell>
          <cell r="C82">
            <v>73.854469430421702</v>
          </cell>
        </row>
        <row r="88">
          <cell r="A88" t="str">
            <v>CIFH</v>
          </cell>
          <cell r="B88" t="str">
            <v>FY ending Dec 31:</v>
          </cell>
          <cell r="C88">
            <v>2004</v>
          </cell>
          <cell r="D88">
            <v>2005</v>
          </cell>
          <cell r="E88" t="str">
            <v>2006E</v>
          </cell>
          <cell r="F88" t="str">
            <v>2007E</v>
          </cell>
        </row>
        <row r="89">
          <cell r="B89" t="str">
            <v>Revenue (HK$ mn)</v>
          </cell>
          <cell r="C89">
            <v>2154.3629999999998</v>
          </cell>
          <cell r="D89">
            <v>1970.0479999999998</v>
          </cell>
          <cell r="E89">
            <v>2147.7556109515117</v>
          </cell>
          <cell r="F89">
            <v>2462.3042948432035</v>
          </cell>
        </row>
        <row r="90">
          <cell r="B90" t="str">
            <v>Expenses (HK$ mn)</v>
          </cell>
          <cell r="C90">
            <v>1117.4849999999999</v>
          </cell>
          <cell r="D90">
            <v>1094.6880000000001</v>
          </cell>
          <cell r="E90">
            <v>1141.0176000000001</v>
          </cell>
          <cell r="F90">
            <v>1274.4859520000002</v>
          </cell>
        </row>
        <row r="91">
          <cell r="B91" t="str">
            <v>Cost/Income (%)</v>
          </cell>
          <cell r="C91">
            <v>51.870785006983496</v>
          </cell>
          <cell r="D91">
            <v>55.566564875576653</v>
          </cell>
          <cell r="E91">
            <v>53.126044424323467</v>
          </cell>
          <cell r="F91">
            <v>51.759888274944423</v>
          </cell>
        </row>
        <row r="92">
          <cell r="B92" t="str">
            <v>Pre-Prov. Profit  (HK$ mn)</v>
          </cell>
          <cell r="C92">
            <v>1036.8779999999999</v>
          </cell>
          <cell r="D92">
            <v>875.35999999999967</v>
          </cell>
          <cell r="E92">
            <v>1006.7380109515116</v>
          </cell>
          <cell r="F92">
            <v>1187.8183428432033</v>
          </cell>
        </row>
        <row r="93">
          <cell r="B93" t="str">
            <v>Bad Debts (bp of Loans)</v>
          </cell>
          <cell r="C93">
            <v>17.549687743544592</v>
          </cell>
          <cell r="D93">
            <v>-12.881421002262742</v>
          </cell>
          <cell r="E93">
            <v>6.4835874736020163</v>
          </cell>
          <cell r="F93">
            <v>26.467313086608286</v>
          </cell>
        </row>
        <row r="94">
          <cell r="B94" t="str">
            <v>Net Earnings (HK$mn)</v>
          </cell>
          <cell r="C94">
            <v>903.39099999999996</v>
          </cell>
          <cell r="D94">
            <v>1102.8369999999998</v>
          </cell>
          <cell r="E94">
            <v>1016.9353184269862</v>
          </cell>
          <cell r="F94">
            <v>1708.4492063324979</v>
          </cell>
        </row>
        <row r="95">
          <cell r="B95" t="str">
            <v>ROE (%)</v>
          </cell>
          <cell r="C95">
            <v>11.70600330127367</v>
          </cell>
          <cell r="D95">
            <v>12.407235736320208</v>
          </cell>
          <cell r="E95">
            <v>7.934988124591424</v>
          </cell>
          <cell r="F95">
            <v>9.172987648715127</v>
          </cell>
        </row>
        <row r="96">
          <cell r="B96" t="str">
            <v>Modelware EPS (HK$)</v>
          </cell>
          <cell r="C96">
            <v>0.29582202823398462</v>
          </cell>
          <cell r="D96">
            <v>0.34548345156938176</v>
          </cell>
          <cell r="E96">
            <v>0.31051460104640799</v>
          </cell>
          <cell r="F96">
            <v>0.30860715432306679</v>
          </cell>
        </row>
        <row r="97">
          <cell r="B97" t="str">
            <v>P/ EPS</v>
          </cell>
          <cell r="C97">
            <v>22.817773376433589</v>
          </cell>
          <cell r="D97">
            <v>19.53783884390894</v>
          </cell>
          <cell r="E97">
            <v>21.738108215372385</v>
          </cell>
          <cell r="F97">
            <v>21.872467651653118</v>
          </cell>
        </row>
        <row r="98">
          <cell r="B98" t="str">
            <v xml:space="preserve">Price/Book Value </v>
          </cell>
          <cell r="C98">
            <v>2.5891665236241805</v>
          </cell>
          <cell r="D98">
            <v>2.2788291050527447</v>
          </cell>
          <cell r="E98">
            <v>2.3100374110893123</v>
          </cell>
          <cell r="F98">
            <v>1.7732468522631843</v>
          </cell>
        </row>
        <row r="99">
          <cell r="B99" t="str">
            <v>Yield (%)</v>
          </cell>
          <cell r="C99">
            <v>2.0888888888888886</v>
          </cell>
          <cell r="D99">
            <v>2.5500629910587498</v>
          </cell>
          <cell r="E99">
            <v>2.3001081558993186</v>
          </cell>
          <cell r="F99">
            <v>2.5145768130027668</v>
          </cell>
        </row>
        <row r="100">
          <cell r="B100" t="str">
            <v>Market Cap (US$ mn)</v>
          </cell>
          <cell r="C100">
            <v>2770.5331730769235</v>
          </cell>
          <cell r="D100" t="str">
            <v>Return on Assets, 2005 (%)</v>
          </cell>
          <cell r="F100">
            <v>1.3</v>
          </cell>
        </row>
        <row r="101">
          <cell r="B101" t="str">
            <v>L-T EPS Grth. ('02 - '06) (%)</v>
          </cell>
          <cell r="C101">
            <v>0.11941669348381456</v>
          </cell>
          <cell r="D101" t="str">
            <v>Free Float (%)</v>
          </cell>
          <cell r="F101">
            <v>21.701000000000001</v>
          </cell>
        </row>
        <row r="102">
          <cell r="B102" t="str">
            <v>Shares Outstanding (m)</v>
          </cell>
          <cell r="C102">
            <v>3201.5050000000001</v>
          </cell>
          <cell r="D102" t="str">
            <v>Local Market Index (HSI)</v>
          </cell>
          <cell r="F102">
            <v>20651</v>
          </cell>
        </row>
        <row r="103">
          <cell r="B103" t="str">
            <v>Tier 1 Ratio (05) (%)</v>
          </cell>
          <cell r="C103">
            <v>11.9</v>
          </cell>
          <cell r="D103" t="str">
            <v>1, 3, 12-mth Rel. Perf. (%)</v>
          </cell>
          <cell r="F103" t="str">
            <v>1,9,63</v>
          </cell>
        </row>
        <row r="104">
          <cell r="B104" t="str">
            <v>Loan/Deposit (05)</v>
          </cell>
          <cell r="C104">
            <v>66</v>
          </cell>
        </row>
        <row r="109">
          <cell r="A109" t="str">
            <v>WHB</v>
          </cell>
          <cell r="B109" t="str">
            <v>FY ending Dec 31:</v>
          </cell>
          <cell r="C109">
            <v>2004</v>
          </cell>
          <cell r="D109">
            <v>2005</v>
          </cell>
          <cell r="E109" t="str">
            <v>2006E</v>
          </cell>
          <cell r="F109" t="str">
            <v>2007E</v>
          </cell>
        </row>
        <row r="110">
          <cell r="B110" t="str">
            <v>Revenue (HK$ mn)</v>
          </cell>
          <cell r="C110">
            <v>2434</v>
          </cell>
          <cell r="D110">
            <v>2620.7999999999993</v>
          </cell>
          <cell r="E110">
            <v>3054.607398104059</v>
          </cell>
          <cell r="F110">
            <v>3419.4188605924455</v>
          </cell>
        </row>
        <row r="111">
          <cell r="B111" t="str">
            <v>Expenses (HK$ mn)</v>
          </cell>
          <cell r="C111">
            <v>1033.039</v>
          </cell>
          <cell r="D111">
            <v>975.78899999999999</v>
          </cell>
          <cell r="E111">
            <v>1049.3592100000001</v>
          </cell>
          <cell r="F111">
            <v>1152.6040398851558</v>
          </cell>
        </row>
        <row r="112">
          <cell r="B112" t="str">
            <v>Cost/Income (%)</v>
          </cell>
          <cell r="C112">
            <v>42.442029580936733</v>
          </cell>
          <cell r="D112">
            <v>37.232486263736277</v>
          </cell>
          <cell r="E112">
            <v>34.353325100021657</v>
          </cell>
          <cell r="F112">
            <v>33.707600234896539</v>
          </cell>
        </row>
        <row r="113">
          <cell r="B113" t="str">
            <v>Pre-Prov. Profit  (HK$ mn)</v>
          </cell>
          <cell r="C113">
            <v>1400.961</v>
          </cell>
          <cell r="D113">
            <v>1645.0109999999993</v>
          </cell>
          <cell r="E113">
            <v>2005.248188104059</v>
          </cell>
          <cell r="F113">
            <v>2266.81482070729</v>
          </cell>
        </row>
        <row r="114">
          <cell r="B114" t="str">
            <v>Bad Debts (bp of Loans)</v>
          </cell>
          <cell r="C114">
            <v>10.953999059872638</v>
          </cell>
          <cell r="D114">
            <v>9.7445809694080623</v>
          </cell>
          <cell r="E114">
            <v>7.2268973726381107</v>
          </cell>
          <cell r="F114">
            <v>14.857451405981086</v>
          </cell>
        </row>
        <row r="115">
          <cell r="B115" t="str">
            <v>Net Earnings (HK$mn)</v>
          </cell>
          <cell r="C115">
            <v>1211.454</v>
          </cell>
          <cell r="D115">
            <v>1348.7479999999994</v>
          </cell>
          <cell r="E115">
            <v>1676.4353506754926</v>
          </cell>
          <cell r="F115">
            <v>1794.130736137744</v>
          </cell>
        </row>
        <row r="116">
          <cell r="B116" t="str">
            <v>ROE (%)</v>
          </cell>
          <cell r="C116">
            <v>17.206078414691181</v>
          </cell>
          <cell r="D116">
            <v>17.169739179340617</v>
          </cell>
          <cell r="E116">
            <v>19.170915231737499</v>
          </cell>
          <cell r="F116">
            <v>18.645735105285219</v>
          </cell>
        </row>
        <row r="117">
          <cell r="B117" t="str">
            <v>Modelware EPS (HK$)</v>
          </cell>
          <cell r="C117">
            <v>4.1262057220708446</v>
          </cell>
          <cell r="D117">
            <v>4.5880454316467079</v>
          </cell>
          <cell r="E117">
            <v>5.7027417665255067</v>
          </cell>
          <cell r="F117">
            <v>6.1031069760353489</v>
          </cell>
        </row>
        <row r="118">
          <cell r="B118" t="str">
            <v>P/ EPS</v>
          </cell>
          <cell r="C118">
            <v>23.387103431083641</v>
          </cell>
          <cell r="D118">
            <v>21.032921630282313</v>
          </cell>
          <cell r="E118">
            <v>16.921685033407059</v>
          </cell>
          <cell r="F118">
            <v>15.811618636035698</v>
          </cell>
        </row>
        <row r="119">
          <cell r="B119" t="str">
            <v xml:space="preserve">Price/Book Value </v>
          </cell>
          <cell r="C119">
            <v>3.8313862263258174</v>
          </cell>
          <cell r="D119">
            <v>3.4112933694807799</v>
          </cell>
          <cell r="E119">
            <v>3.092424177912386</v>
          </cell>
          <cell r="F119">
            <v>2.8168153588850395</v>
          </cell>
        </row>
        <row r="120">
          <cell r="B120" t="str">
            <v>Yield (%)</v>
          </cell>
          <cell r="C120">
            <v>2.0310880829015545</v>
          </cell>
          <cell r="D120">
            <v>2.3811507943013739</v>
          </cell>
          <cell r="E120">
            <v>2.9565510225208862</v>
          </cell>
          <cell r="F120">
            <v>3.163994136256556</v>
          </cell>
        </row>
        <row r="121">
          <cell r="B121" t="str">
            <v>Market Cap (US$ mn)</v>
          </cell>
          <cell r="C121">
            <v>3638.7984935897434</v>
          </cell>
          <cell r="D121" t="str">
            <v>Return on Assets, 2005 (%)</v>
          </cell>
          <cell r="F121">
            <v>1.4</v>
          </cell>
        </row>
        <row r="122">
          <cell r="B122" t="str">
            <v>L-T EPS Grth. ('02 - '06) (%)</v>
          </cell>
          <cell r="C122">
            <v>0.257332484013578</v>
          </cell>
          <cell r="D122" t="str">
            <v>Free Float (%)</v>
          </cell>
          <cell r="F122">
            <v>57.027999999999999</v>
          </cell>
        </row>
        <row r="123">
          <cell r="B123" t="str">
            <v>Shares Outstanding (m)</v>
          </cell>
          <cell r="C123">
            <v>294.12049999999999</v>
          </cell>
          <cell r="D123" t="str">
            <v>Local Market Index (HSI)</v>
          </cell>
          <cell r="F123">
            <v>20651</v>
          </cell>
        </row>
        <row r="124">
          <cell r="B124" t="str">
            <v>Tier 1 Ratio (05) (%)</v>
          </cell>
          <cell r="C124">
            <v>10.235906913142255</v>
          </cell>
          <cell r="D124" t="str">
            <v>1, 3, 12-mth Rel. Perf. (%)</v>
          </cell>
          <cell r="F124" t="str">
            <v>2,19,22</v>
          </cell>
        </row>
        <row r="125">
          <cell r="B125" t="str">
            <v>Loan/Deposit (05)</v>
          </cell>
          <cell r="C125">
            <v>60.824984714775084</v>
          </cell>
        </row>
        <row r="134">
          <cell r="A134" t="str">
            <v>DSF</v>
          </cell>
          <cell r="B134" t="str">
            <v>FY ending Dec 31:</v>
          </cell>
          <cell r="C134">
            <v>2004</v>
          </cell>
          <cell r="D134">
            <v>2005</v>
          </cell>
          <cell r="E134" t="str">
            <v>2006E</v>
          </cell>
          <cell r="F134" t="str">
            <v>2007E</v>
          </cell>
        </row>
        <row r="135">
          <cell r="B135" t="str">
            <v>Revenue (HK$ mn)</v>
          </cell>
          <cell r="C135">
            <v>2406.6469999999999</v>
          </cell>
          <cell r="D135">
            <v>2258.2709999999997</v>
          </cell>
          <cell r="E135">
            <v>3053.2041406582816</v>
          </cell>
          <cell r="F135">
            <v>3652.9628032370265</v>
          </cell>
        </row>
        <row r="136">
          <cell r="B136" t="str">
            <v>Expenses (HK$ mn)</v>
          </cell>
          <cell r="C136">
            <v>897.05399999999997</v>
          </cell>
          <cell r="D136">
            <v>1000.5650000000001</v>
          </cell>
          <cell r="E136">
            <v>1251.9222</v>
          </cell>
          <cell r="F136">
            <v>1342.5355415000001</v>
          </cell>
        </row>
        <row r="137">
          <cell r="B137" t="str">
            <v>Cost/Income (%)</v>
          </cell>
          <cell r="C137">
            <v>37.274016505121025</v>
          </cell>
          <cell r="D137">
            <v>44.306684184493363</v>
          </cell>
          <cell r="E137">
            <v>41.003553720128295</v>
          </cell>
          <cell r="F137">
            <v>36.751963099934372</v>
          </cell>
        </row>
        <row r="138">
          <cell r="B138" t="str">
            <v>Pre-Prov. Profit  (HK$ mn)</v>
          </cell>
          <cell r="C138">
            <v>1509.5929999999998</v>
          </cell>
          <cell r="D138">
            <v>1257.7059999999997</v>
          </cell>
          <cell r="E138">
            <v>1801.2819406582817</v>
          </cell>
          <cell r="F138">
            <v>2310.4272617370261</v>
          </cell>
        </row>
        <row r="139">
          <cell r="B139" t="str">
            <v>Bad Debts (bp of Loans)</v>
          </cell>
          <cell r="C139">
            <v>59.853407264032874</v>
          </cell>
          <cell r="D139">
            <v>27.714572824749705</v>
          </cell>
          <cell r="E139">
            <v>34.409613387431648</v>
          </cell>
          <cell r="F139">
            <v>54.424751086228383</v>
          </cell>
        </row>
        <row r="140">
          <cell r="B140" t="str">
            <v>Net Earnings (HK$mn)</v>
          </cell>
          <cell r="C140">
            <v>1149.5729999999999</v>
          </cell>
          <cell r="D140">
            <v>1018.7999999999997</v>
          </cell>
          <cell r="E140">
            <v>1192.3597242431192</v>
          </cell>
          <cell r="F140">
            <v>1429.5856372052958</v>
          </cell>
        </row>
        <row r="141">
          <cell r="B141" t="str">
            <v>ROE (%)</v>
          </cell>
          <cell r="C141">
            <v>15.297308496712718</v>
          </cell>
          <cell r="D141">
            <v>11.752169041132356</v>
          </cell>
          <cell r="E141">
            <v>12.418454391565737</v>
          </cell>
          <cell r="F141">
            <v>13.554659772215746</v>
          </cell>
        </row>
        <row r="142">
          <cell r="B142" t="str">
            <v>Modelware EPS (HK$)</v>
          </cell>
          <cell r="C142">
            <v>4.6439325692909916</v>
          </cell>
          <cell r="D142">
            <v>4.0921907761023766</v>
          </cell>
          <cell r="E142">
            <v>4.789324170930179</v>
          </cell>
          <cell r="F142">
            <v>5.7421840971927276</v>
          </cell>
        </row>
        <row r="143">
          <cell r="B143" t="str">
            <v>P/ EPS</v>
          </cell>
          <cell r="C143">
            <v>15.536401298569123</v>
          </cell>
          <cell r="D143">
            <v>17.631142815076565</v>
          </cell>
          <cell r="E143">
            <v>15.064755991655309</v>
          </cell>
          <cell r="F143">
            <v>12.564905405118084</v>
          </cell>
        </row>
        <row r="144">
          <cell r="B144" t="str">
            <v xml:space="preserve">Price/Book Value </v>
          </cell>
          <cell r="C144">
            <v>2.1670452011237438</v>
          </cell>
          <cell r="D144">
            <v>1.974708525434532</v>
          </cell>
          <cell r="E144">
            <v>1.7772978782681026</v>
          </cell>
          <cell r="F144">
            <v>1.6349046334475732</v>
          </cell>
        </row>
        <row r="145">
          <cell r="B145" t="str">
            <v>Yield (%)</v>
          </cell>
          <cell r="C145">
            <v>3.991683991683991</v>
          </cell>
          <cell r="D145">
            <v>2.8828828828828827</v>
          </cell>
          <cell r="E145">
            <v>3.385385068848775</v>
          </cell>
          <cell r="F145">
            <v>4.0589243098659615</v>
          </cell>
        </row>
        <row r="146">
          <cell r="B146" t="str">
            <v>Market Cap (US$ mn)</v>
          </cell>
          <cell r="C146">
            <v>2313.31585</v>
          </cell>
          <cell r="D146" t="str">
            <v>Return on Assets, 2005 (%)</v>
          </cell>
          <cell r="F146">
            <v>1.2</v>
          </cell>
        </row>
        <row r="147">
          <cell r="B147" t="str">
            <v>L-T EPS Grth. ('02 - '06) (%)</v>
          </cell>
          <cell r="C147">
            <v>9.2409495313521717E-2</v>
          </cell>
          <cell r="D147" t="str">
            <v>Free Float (%)</v>
          </cell>
          <cell r="F147">
            <v>33.93</v>
          </cell>
        </row>
        <row r="148">
          <cell r="B148" t="str">
            <v>Shares Outstanding (m)</v>
          </cell>
          <cell r="C148">
            <v>250.0882</v>
          </cell>
          <cell r="D148" t="str">
            <v>Local Market Index (HSI)</v>
          </cell>
          <cell r="F148">
            <v>20651</v>
          </cell>
        </row>
        <row r="149">
          <cell r="B149" t="str">
            <v>Tier 1 Ratio (05) (%)</v>
          </cell>
          <cell r="C149">
            <v>10.8</v>
          </cell>
          <cell r="D149" t="str">
            <v>1, 3, 12-mth Rel. Perf. (%)</v>
          </cell>
          <cell r="F149" t="str">
            <v>-7,-2,-2</v>
          </cell>
        </row>
        <row r="150">
          <cell r="B150" t="str">
            <v>Loan/Deposit (05)</v>
          </cell>
          <cell r="C150">
            <v>83</v>
          </cell>
        </row>
        <row r="154">
          <cell r="A154" t="str">
            <v>ICBCA</v>
          </cell>
          <cell r="B154" t="str">
            <v>FY ending Dec 31:</v>
          </cell>
          <cell r="C154">
            <v>2004</v>
          </cell>
          <cell r="D154">
            <v>2005</v>
          </cell>
          <cell r="E154" t="str">
            <v>2006E</v>
          </cell>
          <cell r="F154" t="str">
            <v>2007E</v>
          </cell>
        </row>
        <row r="155">
          <cell r="B155" t="str">
            <v>Revenue (HK$ mn)</v>
          </cell>
          <cell r="C155">
            <v>1644.9460000000001</v>
          </cell>
          <cell r="D155">
            <v>2032.9849999999999</v>
          </cell>
          <cell r="E155">
            <v>2458.6927813871612</v>
          </cell>
          <cell r="F155">
            <v>2731.6144945966644</v>
          </cell>
        </row>
        <row r="156">
          <cell r="B156" t="str">
            <v>Expenses (HK$ mn)</v>
          </cell>
          <cell r="C156">
            <v>744.3</v>
          </cell>
          <cell r="D156">
            <v>890.22500000000002</v>
          </cell>
          <cell r="E156">
            <v>943.63850000000002</v>
          </cell>
          <cell r="F156">
            <v>991.0761182</v>
          </cell>
        </row>
        <row r="157">
          <cell r="B157" t="str">
            <v>Cost/Income (%)</v>
          </cell>
          <cell r="C157">
            <v>45.247685942274089</v>
          </cell>
          <cell r="D157">
            <v>43.789058945343918</v>
          </cell>
          <cell r="E157">
            <v>38.379683185453203</v>
          </cell>
          <cell r="F157">
            <v>36.281697880884067</v>
          </cell>
        </row>
        <row r="158">
          <cell r="B158" t="str">
            <v>Pre-Prov. Profit  (HK$ mn)</v>
          </cell>
          <cell r="C158">
            <v>900.64600000000019</v>
          </cell>
          <cell r="D158">
            <v>1142.7599999999998</v>
          </cell>
          <cell r="E158">
            <v>1515.0542813871612</v>
          </cell>
          <cell r="F158">
            <v>1740.5383763966643</v>
          </cell>
        </row>
        <row r="159">
          <cell r="B159" t="str">
            <v>Bad Debts (bp of Loans)</v>
          </cell>
          <cell r="C159">
            <v>-3.6229656594888238</v>
          </cell>
          <cell r="D159">
            <v>0.92791678587819815</v>
          </cell>
          <cell r="E159">
            <v>13.879475945008698</v>
          </cell>
          <cell r="F159">
            <v>12.867372662445884</v>
          </cell>
        </row>
        <row r="160">
          <cell r="B160" t="str">
            <v>Net Earnings (HK$mn)</v>
          </cell>
          <cell r="C160">
            <v>760.28100000000018</v>
          </cell>
          <cell r="D160">
            <v>980.6239999999998</v>
          </cell>
          <cell r="E160">
            <v>1149.8560881792714</v>
          </cell>
          <cell r="F160">
            <v>1330.1472293432985</v>
          </cell>
        </row>
        <row r="161">
          <cell r="B161" t="str">
            <v>ROE (%)</v>
          </cell>
          <cell r="C161">
            <v>10.516571899191931</v>
          </cell>
          <cell r="D161">
            <v>10.652430750031826</v>
          </cell>
          <cell r="E161">
            <v>11.295841064345799</v>
          </cell>
          <cell r="F161">
            <v>12.367590943177033</v>
          </cell>
        </row>
        <row r="162">
          <cell r="B162" t="str">
            <v>Modelware EPS (HK$)</v>
          </cell>
          <cell r="C162">
            <v>0.80019306826835657</v>
          </cell>
          <cell r="D162">
            <v>0.91095506740029275</v>
          </cell>
          <cell r="E162">
            <v>1.0255044447172967</v>
          </cell>
          <cell r="F162">
            <v>1.1862979287954865</v>
          </cell>
        </row>
        <row r="163">
          <cell r="B163" t="str">
            <v>P/ EPS</v>
          </cell>
          <cell r="C163">
            <v>21.569794446421781</v>
          </cell>
          <cell r="D163">
            <v>18.947147469366453</v>
          </cell>
          <cell r="E163">
            <v>16.830741289237519</v>
          </cell>
          <cell r="F163">
            <v>14.549464835975082</v>
          </cell>
        </row>
        <row r="164">
          <cell r="B164" t="str">
            <v xml:space="preserve">Price/Book Value </v>
          </cell>
          <cell r="C164">
            <v>2.1177373593002944</v>
          </cell>
          <cell r="D164">
            <v>1.8825027746104455</v>
          </cell>
          <cell r="E164">
            <v>1.8450560933954434</v>
          </cell>
          <cell r="F164">
            <v>1.7559837186641472</v>
          </cell>
        </row>
        <row r="165">
          <cell r="B165" t="str">
            <v>Yield (%)</v>
          </cell>
          <cell r="C165">
            <v>2.6071842410196986</v>
          </cell>
          <cell r="D165">
            <v>3.0706836616454227</v>
          </cell>
          <cell r="E165">
            <v>2.9531352607354124</v>
          </cell>
          <cell r="F165">
            <v>3.5910147410300004</v>
          </cell>
        </row>
        <row r="166">
          <cell r="B166" t="str">
            <v>Market Cap (US$ mn)</v>
          </cell>
          <cell r="C166">
            <v>2481.1449153846156</v>
          </cell>
          <cell r="D166" t="str">
            <v>Return on Assets, 2005 (%)</v>
          </cell>
          <cell r="F166">
            <v>0.91330019911757465</v>
          </cell>
        </row>
        <row r="167">
          <cell r="B167" t="str">
            <v>L-T EPS Grth. ('02 - '06) (%)</v>
          </cell>
          <cell r="C167">
            <v>7.7572787056113812E-2</v>
          </cell>
          <cell r="D167" t="str">
            <v>Free Float (%)</v>
          </cell>
          <cell r="F167">
            <v>31.274000000000001</v>
          </cell>
        </row>
        <row r="168">
          <cell r="B168" t="str">
            <v>Shares Outstanding (m)</v>
          </cell>
          <cell r="C168">
            <v>1121.259</v>
          </cell>
          <cell r="D168" t="str">
            <v>Local Market Index (HSI)</v>
          </cell>
          <cell r="F168">
            <v>20651</v>
          </cell>
        </row>
        <row r="169">
          <cell r="B169" t="str">
            <v>Tier 1 Ratio (05) (%)</v>
          </cell>
          <cell r="C169">
            <v>9.5795899710997663</v>
          </cell>
          <cell r="D169" t="str">
            <v>1, 3, 12-mth Rel. Perf. (%)</v>
          </cell>
          <cell r="F169" t="str">
            <v>-1,18,23</v>
          </cell>
        </row>
        <row r="170">
          <cell r="B170" t="str">
            <v>Loan/Deposit (05)</v>
          </cell>
          <cell r="C170">
            <v>71.293394392126956</v>
          </cell>
        </row>
        <row r="174">
          <cell r="A174" t="str">
            <v>WLB</v>
          </cell>
          <cell r="B174" t="str">
            <v>FY ending Dec 31:</v>
          </cell>
          <cell r="C174">
            <v>2004</v>
          </cell>
          <cell r="D174">
            <v>2005</v>
          </cell>
          <cell r="E174" t="str">
            <v>2006E</v>
          </cell>
          <cell r="F174" t="str">
            <v>2007E</v>
          </cell>
        </row>
        <row r="175">
          <cell r="B175" t="str">
            <v>Revenue (HK$ mn)</v>
          </cell>
          <cell r="C175">
            <v>1619.4559999999999</v>
          </cell>
          <cell r="D175">
            <v>1639.7269999999999</v>
          </cell>
          <cell r="E175">
            <v>2043.0865543554442</v>
          </cell>
          <cell r="F175">
            <v>2244.6916890254038</v>
          </cell>
        </row>
        <row r="176">
          <cell r="B176" t="str">
            <v>Expenses (HK$ mn)</v>
          </cell>
          <cell r="C176">
            <v>533.899</v>
          </cell>
          <cell r="D176">
            <v>576.09299999999996</v>
          </cell>
          <cell r="E176">
            <v>633.89108802396299</v>
          </cell>
          <cell r="F176">
            <v>664.49184002516108</v>
          </cell>
        </row>
        <row r="177">
          <cell r="B177" t="str">
            <v>Cost/Income (%)</v>
          </cell>
          <cell r="C177">
            <v>32.967799063389194</v>
          </cell>
          <cell r="D177">
            <v>35.133470388668357</v>
          </cell>
          <cell r="E177">
            <v>31.026149463547515</v>
          </cell>
          <cell r="F177">
            <v>29.602811079755408</v>
          </cell>
        </row>
        <row r="178">
          <cell r="B178" t="str">
            <v>Pre-Prov. Profit  (HK$ mn)</v>
          </cell>
          <cell r="C178">
            <v>1085.5570000000002</v>
          </cell>
          <cell r="D178">
            <v>1063.634</v>
          </cell>
          <cell r="E178">
            <v>1409.1954663314812</v>
          </cell>
          <cell r="F178">
            <v>1580.1998490002427</v>
          </cell>
        </row>
        <row r="179">
          <cell r="B179" t="str">
            <v>Bad Debts (bp of Loans)</v>
          </cell>
          <cell r="C179">
            <v>-34.738111575983844</v>
          </cell>
          <cell r="D179">
            <v>5.1717343099348128</v>
          </cell>
          <cell r="E179">
            <v>30.229654249123435</v>
          </cell>
          <cell r="F179">
            <v>29.388935298223636</v>
          </cell>
        </row>
        <row r="180">
          <cell r="B180" t="str">
            <v>Net Earnings (HK$mn)</v>
          </cell>
          <cell r="C180">
            <v>1033.502</v>
          </cell>
          <cell r="D180">
            <v>1108.894</v>
          </cell>
          <cell r="E180">
            <v>1156.8547367998754</v>
          </cell>
          <cell r="F180">
            <v>1270.5550146065586</v>
          </cell>
        </row>
        <row r="181">
          <cell r="B181" t="str">
            <v>ROE (%)</v>
          </cell>
          <cell r="C181">
            <v>11.575370101722497</v>
          </cell>
          <cell r="D181">
            <v>11.254887120402417</v>
          </cell>
          <cell r="E181">
            <v>15.157511412207953</v>
          </cell>
          <cell r="F181">
            <v>11.301607329954212</v>
          </cell>
        </row>
        <row r="182">
          <cell r="B182" t="str">
            <v>Modelware EPS (HK$)</v>
          </cell>
          <cell r="C182">
            <v>4.4511008647221111</v>
          </cell>
          <cell r="D182">
            <v>4.7758001845039111</v>
          </cell>
          <cell r="E182">
            <v>4.982358156372988</v>
          </cell>
          <cell r="F182">
            <v>5.4720441026647926</v>
          </cell>
        </row>
        <row r="183">
          <cell r="B183" t="str">
            <v>P/ EPS</v>
          </cell>
          <cell r="C183">
            <v>20.904940783859153</v>
          </cell>
          <cell r="D183">
            <v>19.483645966160875</v>
          </cell>
          <cell r="E183">
            <v>18.675895445408464</v>
          </cell>
          <cell r="F183">
            <v>17.00461440993983</v>
          </cell>
        </row>
        <row r="184">
          <cell r="B184" t="str">
            <v xml:space="preserve">Price/Book Value </v>
          </cell>
          <cell r="C184">
            <v>2.2579268399994818</v>
          </cell>
          <cell r="D184">
            <v>2.1314426525533992</v>
          </cell>
          <cell r="E184">
            <v>1.990444666186205</v>
          </cell>
          <cell r="F184">
            <v>1.8577223877626234</v>
          </cell>
        </row>
        <row r="185">
          <cell r="B185" t="str">
            <v>Yield (%)</v>
          </cell>
          <cell r="C185">
            <v>2.6437399247716282</v>
          </cell>
          <cell r="D185">
            <v>2.901665771090812</v>
          </cell>
          <cell r="E185">
            <v>3.2126973603694706</v>
          </cell>
          <cell r="F185">
            <v>4.1165296849708266</v>
          </cell>
        </row>
        <row r="186">
          <cell r="B186" t="str">
            <v>Market Cap (US$ mn)</v>
          </cell>
          <cell r="C186">
            <v>2769.9076282051283</v>
          </cell>
          <cell r="D186" t="str">
            <v>Return on Assets, 2005 (%)</v>
          </cell>
          <cell r="F186">
            <v>1.5214479043176556</v>
          </cell>
        </row>
        <row r="187">
          <cell r="B187" t="str">
            <v>L-T EPS Grth. ('02 - '06) (%)</v>
          </cell>
          <cell r="C187">
            <v>0.11090421070317946</v>
          </cell>
          <cell r="D187" t="str">
            <v>Free Float (%)</v>
          </cell>
          <cell r="F187">
            <v>37.021999999999998</v>
          </cell>
        </row>
        <row r="188">
          <cell r="B188" t="str">
            <v>Shares Outstanding (m)</v>
          </cell>
          <cell r="C188">
            <v>232.19</v>
          </cell>
          <cell r="D188" t="str">
            <v>Local Market Index (HSI)</v>
          </cell>
          <cell r="F188">
            <v>20651</v>
          </cell>
        </row>
        <row r="189">
          <cell r="B189" t="str">
            <v>Tier 1 Ratio (05) (%)</v>
          </cell>
          <cell r="C189">
            <v>15.759391389850219</v>
          </cell>
          <cell r="D189" t="str">
            <v>1, 3, 12-mth Rel. Perf. (%)</v>
          </cell>
          <cell r="F189" t="str">
            <v>3,17,9</v>
          </cell>
        </row>
        <row r="190">
          <cell r="B190" t="str">
            <v>Loan/Deposit (05)</v>
          </cell>
          <cell r="C190">
            <v>65.155313773427366</v>
          </cell>
        </row>
        <row r="194">
          <cell r="A194" t="str">
            <v>STAN</v>
          </cell>
          <cell r="B194" t="str">
            <v>FY ending Dec 31:</v>
          </cell>
          <cell r="C194">
            <v>2004</v>
          </cell>
          <cell r="D194">
            <v>2005</v>
          </cell>
          <cell r="E194" t="str">
            <v>2006E</v>
          </cell>
          <cell r="F194" t="str">
            <v>2007E</v>
          </cell>
        </row>
        <row r="195">
          <cell r="B195" t="str">
            <v>Revenues (US$mn)</v>
          </cell>
          <cell r="C195">
            <v>5382</v>
          </cell>
          <cell r="D195">
            <v>6861</v>
          </cell>
          <cell r="E195">
            <v>8326.6628659012295</v>
          </cell>
          <cell r="F195">
            <v>8984.4461395543076</v>
          </cell>
        </row>
        <row r="196">
          <cell r="B196" t="str">
            <v>Expenses (US$mn)</v>
          </cell>
          <cell r="C196">
            <v>2849</v>
          </cell>
          <cell r="D196">
            <v>3811</v>
          </cell>
          <cell r="E196">
            <v>4486.1899999999996</v>
          </cell>
          <cell r="F196">
            <v>4720.1202000000012</v>
          </cell>
        </row>
        <row r="197">
          <cell r="B197" t="str">
            <v>Cost/income (%)</v>
          </cell>
          <cell r="C197">
            <v>52.935711631363802</v>
          </cell>
          <cell r="D197">
            <v>55.545838799008898</v>
          </cell>
          <cell r="E197">
            <v>53.877406498244731</v>
          </cell>
          <cell r="F197">
            <v>52.536574060136253</v>
          </cell>
        </row>
        <row r="198">
          <cell r="B198" t="str">
            <v>Pre provision profit (US$mn)</v>
          </cell>
          <cell r="C198">
            <v>2533</v>
          </cell>
          <cell r="D198">
            <v>3050</v>
          </cell>
          <cell r="E198">
            <v>3840.4728659012289</v>
          </cell>
          <cell r="F198">
            <v>4264.3259395543064</v>
          </cell>
        </row>
        <row r="199">
          <cell r="B199" t="str">
            <v>Pre tax (US$mn)</v>
          </cell>
          <cell r="C199">
            <v>2251</v>
          </cell>
          <cell r="D199">
            <v>2681</v>
          </cell>
          <cell r="E199">
            <v>3182.2219034012292</v>
          </cell>
          <cell r="F199">
            <v>3530.2835153493065</v>
          </cell>
        </row>
        <row r="200">
          <cell r="B200" t="str">
            <v>ROE (%)</v>
          </cell>
          <cell r="C200">
            <v>19.557487159225602</v>
          </cell>
          <cell r="D200">
            <v>21.664507608006435</v>
          </cell>
          <cell r="E200">
            <v>19.292117267192879</v>
          </cell>
          <cell r="F200">
            <v>18.625757432230234</v>
          </cell>
        </row>
        <row r="201">
          <cell r="B201" t="str">
            <v>Modelware EPS (HK$)</v>
          </cell>
          <cell r="C201">
            <v>9.5320121435054475</v>
          </cell>
          <cell r="D201">
            <v>11.70996269985846</v>
          </cell>
          <cell r="E201">
            <v>13.373294006214993</v>
          </cell>
          <cell r="F201">
            <v>14.9962902982515</v>
          </cell>
        </row>
        <row r="202">
          <cell r="B202" t="str">
            <v>P/ EPS</v>
          </cell>
          <cell r="C202">
            <v>24.695730183305287</v>
          </cell>
          <cell r="D202">
            <v>20.102540548899043</v>
          </cell>
          <cell r="E202">
            <v>17.602245182869844</v>
          </cell>
          <cell r="F202">
            <v>15.697215465844016</v>
          </cell>
        </row>
        <row r="203">
          <cell r="B203" t="str">
            <v xml:space="preserve">Price/Book Value </v>
          </cell>
          <cell r="C203">
            <v>4.5036390276984832</v>
          </cell>
          <cell r="D203">
            <v>3.3887832937495377</v>
          </cell>
          <cell r="E203">
            <v>2.9582806113126021</v>
          </cell>
          <cell r="F203">
            <v>2.6514155079394244</v>
          </cell>
        </row>
        <row r="204">
          <cell r="B204" t="str">
            <v>Yield (%)</v>
          </cell>
          <cell r="D204">
            <v>1.9544137861702584</v>
          </cell>
          <cell r="E204">
            <v>2.1639700205675996</v>
          </cell>
          <cell r="F204">
            <v>2.6086884368413541</v>
          </cell>
        </row>
        <row r="205">
          <cell r="B205" t="str">
            <v>Market Cap (US$ mn)</v>
          </cell>
          <cell r="C205">
            <v>41790.441282051288</v>
          </cell>
          <cell r="D205" t="str">
            <v>Return on Assets, 2005 (%)</v>
          </cell>
          <cell r="F205">
            <v>0.90471231450143186</v>
          </cell>
        </row>
        <row r="206">
          <cell r="B206" t="str">
            <v>L-T EPS Grth. ('04 - '07) (%)</v>
          </cell>
          <cell r="C206">
            <v>0.11995304012066543</v>
          </cell>
          <cell r="D206" t="str">
            <v>Free Float (%)</v>
          </cell>
          <cell r="F206">
            <v>98.706000000000003</v>
          </cell>
        </row>
        <row r="207">
          <cell r="B207" t="str">
            <v>Shares Outstanding (m)</v>
          </cell>
          <cell r="C207">
            <v>1384.73</v>
          </cell>
          <cell r="D207" t="str">
            <v>Local Market Index (HSI)</v>
          </cell>
          <cell r="F207">
            <v>20651</v>
          </cell>
        </row>
        <row r="208">
          <cell r="B208" t="str">
            <v>Tier 1 Ratio (05) (%)</v>
          </cell>
          <cell r="C208">
            <v>7.7229122327753252</v>
          </cell>
          <cell r="D208" t="str">
            <v>1, 3, 12-mth Rel. Perf. (%)</v>
          </cell>
          <cell r="F208" t="str">
            <v>2,-5,-12</v>
          </cell>
        </row>
        <row r="209">
          <cell r="B209" t="str">
            <v>Loan/Deposit (05)</v>
          </cell>
          <cell r="C209">
            <v>93.212764005970101</v>
          </cell>
        </row>
        <row r="214">
          <cell r="A214" t="str">
            <v>HKEX</v>
          </cell>
          <cell r="B214" t="str">
            <v>FY ending Dec 31:</v>
          </cell>
          <cell r="C214">
            <v>2004</v>
          </cell>
          <cell r="D214">
            <v>2005</v>
          </cell>
          <cell r="E214" t="str">
            <v>2006E</v>
          </cell>
          <cell r="F214" t="str">
            <v>2007E</v>
          </cell>
        </row>
        <row r="215">
          <cell r="B215" t="str">
            <v>EPS (HK$)</v>
          </cell>
          <cell r="C215">
            <v>1.000259224219489</v>
          </cell>
          <cell r="D215">
            <v>1.2604485511712484</v>
          </cell>
          <cell r="E215">
            <v>1.8885509281733004</v>
          </cell>
          <cell r="F215">
            <v>1.881387235860247</v>
          </cell>
        </row>
        <row r="216">
          <cell r="B216" t="str">
            <v>Revenue (HK$ m)</v>
          </cell>
          <cell r="C216">
            <v>2394.2739999999999</v>
          </cell>
          <cell r="D216">
            <v>2694.0570000000002</v>
          </cell>
          <cell r="E216">
            <v>3561.9876484999995</v>
          </cell>
          <cell r="F216">
            <v>3599.4621509999997</v>
          </cell>
        </row>
        <row r="217">
          <cell r="B217" t="str">
            <v>Net Income (HK$ m)</v>
          </cell>
          <cell r="C217">
            <v>1057.2739999999999</v>
          </cell>
          <cell r="D217">
            <v>1339.5480000000002</v>
          </cell>
          <cell r="E217">
            <v>2007.066941670816</v>
          </cell>
          <cell r="F217">
            <v>1999.453691846657</v>
          </cell>
        </row>
        <row r="218">
          <cell r="B218" t="str">
            <v>P/E</v>
          </cell>
          <cell r="C218">
            <v>64.733219581678924</v>
          </cell>
          <cell r="D218">
            <v>51.388888888888886</v>
          </cell>
          <cell r="E218">
            <v>34.285546147611385</v>
          </cell>
          <cell r="F218">
            <v>34.416094021385057</v>
          </cell>
        </row>
        <row r="219">
          <cell r="B219" t="str">
            <v>Price/Book</v>
          </cell>
          <cell r="C219">
            <v>16.974392361111111</v>
          </cell>
          <cell r="D219">
            <v>15.75582359795297</v>
          </cell>
          <cell r="E219">
            <v>15.302180629764727</v>
          </cell>
          <cell r="F219">
            <v>14.493726621115073</v>
          </cell>
        </row>
        <row r="220">
          <cell r="B220" t="str">
            <v>Dividend Yield (%)</v>
          </cell>
          <cell r="C220">
            <v>1.3903217016178226</v>
          </cell>
          <cell r="D220">
            <v>1.7449075905634566</v>
          </cell>
          <cell r="E220">
            <v>2.6250128731366336</v>
          </cell>
          <cell r="F220">
            <v>2.6150556174119264</v>
          </cell>
        </row>
        <row r="221">
          <cell r="B221" t="str">
            <v>Market Cap (US$ m)</v>
          </cell>
          <cell r="C221">
            <v>8639.1442307692305</v>
          </cell>
          <cell r="D221" t="str">
            <v>Book Value (12/05) (HK$ m)</v>
          </cell>
          <cell r="F221">
            <v>4032</v>
          </cell>
        </row>
        <row r="222">
          <cell r="B222" t="str">
            <v>Return on Equity (12/04) (%)</v>
          </cell>
          <cell r="C222">
            <v>21.921501140369063</v>
          </cell>
          <cell r="D222" t="str">
            <v>Return on Assets (12/05) (%)</v>
          </cell>
          <cell r="F222">
            <v>17.265844696660405</v>
          </cell>
        </row>
        <row r="223">
          <cell r="B223" t="str">
            <v>L-T EPS Grth ('04 - '06) (%)</v>
          </cell>
          <cell r="C223">
            <v>37.406750085482265</v>
          </cell>
          <cell r="D223" t="str">
            <v>Free Float (%)</v>
          </cell>
          <cell r="F223">
            <v>100</v>
          </cell>
        </row>
        <row r="224">
          <cell r="B224" t="str">
            <v>Shares Outstanding (m)</v>
          </cell>
          <cell r="C224">
            <v>1057</v>
          </cell>
          <cell r="D224" t="str">
            <v>Local Market Index (HSI)</v>
          </cell>
          <cell r="F224">
            <v>20651</v>
          </cell>
        </row>
        <row r="225">
          <cell r="D225" t="str">
            <v>1, 3, 12-mth Rel. Perf. (%)</v>
          </cell>
          <cell r="F225" t="str">
            <v>5,4,82</v>
          </cell>
        </row>
        <row r="229">
          <cell r="A229" t="str">
            <v>SGX</v>
          </cell>
          <cell r="B229" t="str">
            <v>FY ending June 30:</v>
          </cell>
          <cell r="C229" t="str">
            <v>FY2004</v>
          </cell>
          <cell r="D229" t="str">
            <v>FY2005</v>
          </cell>
          <cell r="E229" t="str">
            <v>FY2006E</v>
          </cell>
          <cell r="F229" t="str">
            <v>FY2007E</v>
          </cell>
        </row>
        <row r="230">
          <cell r="B230" t="str">
            <v>EPS (S$)</v>
          </cell>
          <cell r="C230">
            <v>0.12938444981151467</v>
          </cell>
          <cell r="D230">
            <v>0.10053505810509485</v>
          </cell>
          <cell r="E230">
            <v>0.17775415478806103</v>
          </cell>
          <cell r="F230">
            <v>0.18118771988414628</v>
          </cell>
        </row>
        <row r="231">
          <cell r="B231" t="str">
            <v>Revenue (S$ m)</v>
          </cell>
          <cell r="C231">
            <v>316.30800000000005</v>
          </cell>
          <cell r="D231">
            <v>274.714</v>
          </cell>
          <cell r="E231">
            <v>407.56</v>
          </cell>
          <cell r="F231">
            <v>428.37953399999998</v>
          </cell>
        </row>
        <row r="232">
          <cell r="B232" t="str">
            <v>Net Income (S$ m)</v>
          </cell>
          <cell r="C232">
            <v>132.96400000000006</v>
          </cell>
          <cell r="D232">
            <v>104.37599999999999</v>
          </cell>
          <cell r="E232">
            <v>187.614</v>
          </cell>
          <cell r="F232">
            <v>191.23802151839999</v>
          </cell>
        </row>
        <row r="233">
          <cell r="B233" t="str">
            <v>P/E</v>
          </cell>
          <cell r="C233">
            <v>35.089224451731283</v>
          </cell>
          <cell r="D233">
            <v>45.158376446692728</v>
          </cell>
          <cell r="E233">
            <v>25.540893856535227</v>
          </cell>
          <cell r="F233">
            <v>25.056885769647817</v>
          </cell>
        </row>
        <row r="234">
          <cell r="B234" t="str">
            <v>Price/Book</v>
          </cell>
          <cell r="C234">
            <v>7.2784284372669736</v>
          </cell>
          <cell r="D234">
            <v>9.9320661484420576</v>
          </cell>
          <cell r="E234">
            <v>8.1652138929453226</v>
          </cell>
          <cell r="F234">
            <v>7.6779067139870323</v>
          </cell>
        </row>
        <row r="235">
          <cell r="B235" t="str">
            <v>Dividend Yield (%)</v>
          </cell>
          <cell r="C235">
            <v>2.3788546255506606</v>
          </cell>
          <cell r="D235">
            <v>5.176211453744493</v>
          </cell>
          <cell r="E235">
            <v>3.5682819383259914</v>
          </cell>
          <cell r="F235">
            <v>5.0502634144355971</v>
          </cell>
        </row>
        <row r="236">
          <cell r="B236" t="str">
            <v>Market Cap (US$ m)</v>
          </cell>
          <cell r="C236">
            <v>2904.138945454546</v>
          </cell>
          <cell r="D236" t="str">
            <v>Book Value (06/05) (S$ m)</v>
          </cell>
          <cell r="F236">
            <v>474.56900000000007</v>
          </cell>
        </row>
        <row r="237">
          <cell r="B237" t="str">
            <v>Return on Equity (06/05) (%)</v>
          </cell>
          <cell r="C237">
            <v>18.712301236927285</v>
          </cell>
          <cell r="D237" t="str">
            <v>Return on Assets (06/05) (%)</v>
          </cell>
          <cell r="F237">
            <v>10.144997968589928</v>
          </cell>
        </row>
        <row r="238">
          <cell r="B238" t="str">
            <v>L-T EPS Grth ('04 - '06) (%)</v>
          </cell>
          <cell r="C238">
            <v>8.264087375233764</v>
          </cell>
          <cell r="D238" t="str">
            <v>Free Float (%)</v>
          </cell>
          <cell r="F238">
            <v>80</v>
          </cell>
        </row>
        <row r="239">
          <cell r="B239" t="str">
            <v>Shares Outstanding (m)</v>
          </cell>
          <cell r="C239">
            <v>1055</v>
          </cell>
          <cell r="D239" t="str">
            <v>Local Market Index (STI)</v>
          </cell>
          <cell r="F239">
            <v>2600</v>
          </cell>
        </row>
        <row r="240">
          <cell r="D240" t="str">
            <v>1, 3, 12-mth Rel. Perf. (%)</v>
          </cell>
          <cell r="F240" t="str">
            <v>3,12,52</v>
          </cell>
        </row>
        <row r="243">
          <cell r="A243" t="str">
            <v>Bursa</v>
          </cell>
          <cell r="B243" t="str">
            <v>FY ending Dec 31:</v>
          </cell>
          <cell r="C243">
            <v>2004</v>
          </cell>
          <cell r="D243">
            <v>2005</v>
          </cell>
          <cell r="E243" t="str">
            <v>2006E</v>
          </cell>
          <cell r="F243" t="str">
            <v>2007E</v>
          </cell>
        </row>
        <row r="244">
          <cell r="B244" t="str">
            <v>EPS (RM)</v>
          </cell>
          <cell r="C244">
            <v>7.0141999999999941E-2</v>
          </cell>
          <cell r="D244">
            <v>0.16434246043932951</v>
          </cell>
          <cell r="E244">
            <v>0.21637926678420966</v>
          </cell>
          <cell r="F244">
            <v>0.27247829821220715</v>
          </cell>
        </row>
        <row r="245">
          <cell r="B245" t="str">
            <v>Revenue (RM m)</v>
          </cell>
          <cell r="C245">
            <v>218.38599999999997</v>
          </cell>
          <cell r="D245">
            <v>193.07499999999999</v>
          </cell>
          <cell r="E245">
            <v>254.48139399999997</v>
          </cell>
          <cell r="F245">
            <v>297.41809987499994</v>
          </cell>
        </row>
        <row r="246">
          <cell r="B246" t="str">
            <v>Net Income (RM m)</v>
          </cell>
          <cell r="C246">
            <v>35.07099999999997</v>
          </cell>
          <cell r="D246">
            <v>81.338999999999984</v>
          </cell>
          <cell r="E246">
            <v>107.09388878510958</v>
          </cell>
          <cell r="F246">
            <v>134.85931900395695</v>
          </cell>
        </row>
        <row r="247">
          <cell r="B247" t="str">
            <v>P/E</v>
          </cell>
          <cell r="C247">
            <v>84.827920504120286</v>
          </cell>
          <cell r="D247">
            <v>36.20488572517489</v>
          </cell>
          <cell r="E247">
            <v>27.498013503917665</v>
          </cell>
          <cell r="F247">
            <v>21.8366014432684</v>
          </cell>
        </row>
        <row r="248">
          <cell r="B248" t="str">
            <v>Price/Book</v>
          </cell>
          <cell r="C248">
            <v>2.0586183798984741</v>
          </cell>
          <cell r="D248">
            <v>2.8212180347547355</v>
          </cell>
          <cell r="E248">
            <v>2.7925670900723056</v>
          </cell>
          <cell r="F248">
            <v>4.5443806745715243</v>
          </cell>
        </row>
        <row r="249">
          <cell r="B249" t="str">
            <v>Dividend Yield (%)</v>
          </cell>
          <cell r="C249">
            <v>0</v>
          </cell>
          <cell r="D249">
            <v>16.963638005139224</v>
          </cell>
          <cell r="E249">
            <v>3.3423655837515427</v>
          </cell>
          <cell r="F249">
            <v>18.773431192436636</v>
          </cell>
        </row>
        <row r="250">
          <cell r="B250" t="str">
            <v>Market Cap (US$ m)</v>
          </cell>
          <cell r="C250">
            <v>774.9655789473685</v>
          </cell>
          <cell r="D250" t="str">
            <v>Book Value (12/05) (RM m)</v>
          </cell>
          <cell r="F250">
            <v>1546.11</v>
          </cell>
        </row>
        <row r="251">
          <cell r="B251" t="str">
            <v>Return on Equity (12/04) (%)</v>
          </cell>
          <cell r="C251">
            <v>2.456625888680263</v>
          </cell>
          <cell r="D251" t="str">
            <v>Return on Assets (12/05) (%)</v>
          </cell>
          <cell r="F251">
            <v>1.9868904097171847</v>
          </cell>
        </row>
        <row r="252">
          <cell r="B252" t="str">
            <v>L-T EPS Grth ('04 - '06) (%)</v>
          </cell>
          <cell r="C252">
            <v>75.638107891526744</v>
          </cell>
          <cell r="D252" t="str">
            <v>Local Market Index (KLSE Composite)</v>
          </cell>
          <cell r="F252">
            <v>970</v>
          </cell>
        </row>
        <row r="253">
          <cell r="B253" t="str">
            <v>Shares Outstanding (m)</v>
          </cell>
          <cell r="C253">
            <v>500</v>
          </cell>
          <cell r="D253" t="str">
            <v>1, 3, 12-mth Rel. Perf. (%)</v>
          </cell>
          <cell r="F253" t="str">
            <v>-4,-7,20</v>
          </cell>
        </row>
        <row r="265">
          <cell r="A265" t="str">
            <v>(1) 2 Slides per page in VERTICAL format; Print on 2 sides; Letter sized</v>
          </cell>
        </row>
        <row r="266">
          <cell r="A266" t="str">
            <v>(2) 3 tabs to separate the HK/Korea/Regional sections</v>
          </cell>
        </row>
        <row r="267">
          <cell r="A267" t="str">
            <v>(3) Plastic clear cover with binder</v>
          </cell>
        </row>
        <row r="268">
          <cell r="A268" t="str">
            <v>(4) Please kindly print the cover page in VERTICAL format (that is, the cover page is only half page size only)</v>
          </cell>
        </row>
        <row r="272">
          <cell r="A272" t="str">
            <v xml:space="preserve"> 1405 Tower C, Queen's Building, 9 Old Peak Road, Central</v>
          </cell>
        </row>
      </sheetData>
      <sheetData sheetId="26" refreshError="1">
        <row r="1">
          <cell r="A1" t="str">
            <v>Profit and Loss</v>
          </cell>
        </row>
        <row r="3">
          <cell r="A3" t="str">
            <v>Large-sized banks (BOCHK and HSB)</v>
          </cell>
          <cell r="K3" t="str">
            <v>Large-Sized Banks</v>
          </cell>
          <cell r="M3" t="str">
            <v>Mid-Sized Banks</v>
          </cell>
        </row>
        <row r="4">
          <cell r="A4" t="str">
            <v>(HK$mn)</v>
          </cell>
          <cell r="B4">
            <v>2003</v>
          </cell>
          <cell r="C4">
            <v>2004</v>
          </cell>
          <cell r="D4">
            <v>2005</v>
          </cell>
          <cell r="E4" t="str">
            <v>2006E</v>
          </cell>
          <cell r="F4" t="str">
            <v>2007E</v>
          </cell>
          <cell r="G4" t="str">
            <v>06E Chg</v>
          </cell>
          <cell r="H4" t="str">
            <v>07E Chg</v>
          </cell>
          <cell r="J4" t="str">
            <v>(%)</v>
          </cell>
          <cell r="K4" t="str">
            <v>06E Chg</v>
          </cell>
          <cell r="L4" t="str">
            <v>07E Chg</v>
          </cell>
          <cell r="M4" t="str">
            <v>06E Chg%</v>
          </cell>
          <cell r="N4" t="str">
            <v>07E Chg</v>
          </cell>
        </row>
        <row r="5">
          <cell r="A5" t="str">
            <v>Net Interest Income</v>
          </cell>
          <cell r="B5">
            <v>26649</v>
          </cell>
          <cell r="C5">
            <v>24826</v>
          </cell>
          <cell r="D5">
            <v>23942</v>
          </cell>
          <cell r="E5">
            <v>28758.053865084072</v>
          </cell>
          <cell r="F5">
            <v>32041.218221899155</v>
          </cell>
          <cell r="G5">
            <v>0.20115503571481375</v>
          </cell>
          <cell r="H5">
            <v>0.11416503954745227</v>
          </cell>
          <cell r="J5" t="str">
            <v>Net Interest Income</v>
          </cell>
          <cell r="K5">
            <v>0.20115503571481375</v>
          </cell>
          <cell r="L5">
            <v>0.11416503954745227</v>
          </cell>
          <cell r="M5">
            <v>0.26119733248030008</v>
          </cell>
          <cell r="N5">
            <v>0.13709381423621236</v>
          </cell>
        </row>
        <row r="6">
          <cell r="A6" t="str">
            <v>Non-Interest Income</v>
          </cell>
          <cell r="B6">
            <v>11377</v>
          </cell>
          <cell r="C6">
            <v>12579</v>
          </cell>
          <cell r="D6">
            <v>10186</v>
          </cell>
          <cell r="E6">
            <v>10680.746087754986</v>
          </cell>
          <cell r="F6">
            <v>11919.677452033589</v>
          </cell>
          <cell r="G6">
            <v>4.8571184739346629E-2</v>
          </cell>
          <cell r="H6">
            <v>0.11599670604462586</v>
          </cell>
          <cell r="J6" t="str">
            <v>Non-Interest Income</v>
          </cell>
          <cell r="K6">
            <v>4.8571184739346629E-2</v>
          </cell>
          <cell r="L6">
            <v>0.11599670604462586</v>
          </cell>
          <cell r="M6">
            <v>0.18401900556743533</v>
          </cell>
          <cell r="N6">
            <v>0.10321656861718242</v>
          </cell>
        </row>
        <row r="7">
          <cell r="A7" t="str">
            <v>Operating Income</v>
          </cell>
          <cell r="B7">
            <v>38026</v>
          </cell>
          <cell r="C7">
            <v>37405</v>
          </cell>
          <cell r="D7">
            <v>34128</v>
          </cell>
          <cell r="E7">
            <v>39438.799952839057</v>
          </cell>
          <cell r="F7">
            <v>43960.89567393274</v>
          </cell>
          <cell r="G7">
            <v>0.15561415708037551</v>
          </cell>
          <cell r="H7">
            <v>0.11466108823040266</v>
          </cell>
          <cell r="J7" t="str">
            <v>Operating Income</v>
          </cell>
          <cell r="K7">
            <v>0.15561415708037551</v>
          </cell>
          <cell r="L7">
            <v>0.11466108823040266</v>
          </cell>
          <cell r="M7">
            <v>0.23355317202516268</v>
          </cell>
          <cell r="N7">
            <v>0.12544673747907176</v>
          </cell>
        </row>
        <row r="8">
          <cell r="A8" t="str">
            <v>Operating Expenses</v>
          </cell>
          <cell r="B8">
            <v>12085</v>
          </cell>
          <cell r="C8">
            <v>12457</v>
          </cell>
          <cell r="D8">
            <v>10276</v>
          </cell>
          <cell r="E8">
            <v>11310.670000000002</v>
          </cell>
          <cell r="F8">
            <v>12429.058500000001</v>
          </cell>
          <cell r="G8">
            <v>0.10068801089918278</v>
          </cell>
          <cell r="H8">
            <v>9.8879067287791056E-2</v>
          </cell>
          <cell r="J8" t="str">
            <v>Operating Expenses</v>
          </cell>
          <cell r="K8">
            <v>0.10068801089918278</v>
          </cell>
          <cell r="L8">
            <v>9.8879067287791056E-2</v>
          </cell>
          <cell r="M8">
            <v>0.12749803305409468</v>
          </cell>
          <cell r="N8">
            <v>0.10032788332160347</v>
          </cell>
        </row>
        <row r="9">
          <cell r="A9" t="str">
            <v>Pre-Provision Earnings</v>
          </cell>
          <cell r="B9">
            <v>25941</v>
          </cell>
          <cell r="C9">
            <v>24948</v>
          </cell>
          <cell r="D9">
            <v>23852</v>
          </cell>
          <cell r="E9">
            <v>28128.129952839055</v>
          </cell>
          <cell r="F9">
            <v>31531.837173932741</v>
          </cell>
          <cell r="G9">
            <v>0.1792776267331484</v>
          </cell>
          <cell r="H9">
            <v>0.12100723463666085</v>
          </cell>
          <cell r="J9" t="str">
            <v>Pre-Provision Earnings</v>
          </cell>
          <cell r="K9">
            <v>0.1792776267331484</v>
          </cell>
          <cell r="L9">
            <v>0.12100723463666085</v>
          </cell>
          <cell r="M9">
            <v>0.32274193964896303</v>
          </cell>
          <cell r="N9">
            <v>0.14345280768753854</v>
          </cell>
        </row>
        <row r="10">
          <cell r="A10" t="str">
            <v>Loan Loss Provisions</v>
          </cell>
          <cell r="B10">
            <v>2962</v>
          </cell>
          <cell r="C10">
            <v>-2132</v>
          </cell>
          <cell r="D10">
            <v>-2027</v>
          </cell>
          <cell r="E10">
            <v>-107.15028415259917</v>
          </cell>
          <cell r="F10">
            <v>900.4618456430494</v>
          </cell>
          <cell r="G10">
            <v>-0.94713848833122882</v>
          </cell>
          <cell r="H10">
            <v>-9.4037280233494052</v>
          </cell>
          <cell r="J10" t="str">
            <v>Loan Loss Provisions</v>
          </cell>
          <cell r="K10">
            <v>-0.94713848833122882</v>
          </cell>
          <cell r="L10">
            <v>-9.4037280233494052</v>
          </cell>
          <cell r="M10">
            <v>1.3038435007703559</v>
          </cell>
          <cell r="N10">
            <v>0.85569989511375133</v>
          </cell>
        </row>
        <row r="11">
          <cell r="A11" t="str">
            <v>Operating Profits</v>
          </cell>
          <cell r="B11">
            <v>22979</v>
          </cell>
          <cell r="C11">
            <v>27080</v>
          </cell>
          <cell r="D11">
            <v>25879</v>
          </cell>
          <cell r="E11">
            <v>28235.280236991654</v>
          </cell>
          <cell r="F11">
            <v>30631.375328289691</v>
          </cell>
          <cell r="G11">
            <v>9.1049895165642214E-2</v>
          </cell>
          <cell r="H11">
            <v>8.4861742868727053E-2</v>
          </cell>
          <cell r="J11" t="str">
            <v>Operating Profits</v>
          </cell>
          <cell r="K11">
            <v>9.1049895165642214E-2</v>
          </cell>
          <cell r="L11">
            <v>8.4861742868727053E-2</v>
          </cell>
          <cell r="M11">
            <v>0.28926065388688227</v>
          </cell>
          <cell r="N11">
            <v>0.10001868155734139</v>
          </cell>
        </row>
        <row r="12">
          <cell r="A12" t="str">
            <v>Profit After Tax</v>
          </cell>
          <cell r="D12">
            <v>25221</v>
          </cell>
          <cell r="E12">
            <v>25989.381508260369</v>
          </cell>
          <cell r="F12">
            <v>28456.510934778518</v>
          </cell>
          <cell r="G12">
            <v>3.0465941408364783E-2</v>
          </cell>
          <cell r="H12">
            <v>9.4928362405777289E-2</v>
          </cell>
          <cell r="J12" t="str">
            <v>ModelWare Profit</v>
          </cell>
          <cell r="K12">
            <v>2.4697274450812046E-2</v>
          </cell>
          <cell r="L12">
            <v>9.5370861006203622E-2</v>
          </cell>
          <cell r="M12">
            <v>0.15240810415787598</v>
          </cell>
          <cell r="N12">
            <v>0.14657219644923569</v>
          </cell>
        </row>
        <row r="13">
          <cell r="A13" t="str">
            <v>ModelWare Profit</v>
          </cell>
          <cell r="B13">
            <v>19564</v>
          </cell>
          <cell r="C13">
            <v>25892</v>
          </cell>
          <cell r="D13">
            <v>24836</v>
          </cell>
          <cell r="E13">
            <v>25449.381508260369</v>
          </cell>
          <cell r="F13">
            <v>27876.510934778518</v>
          </cell>
          <cell r="G13">
            <v>2.4697274450812046E-2</v>
          </cell>
          <cell r="H13">
            <v>9.5370861006203622E-2</v>
          </cell>
        </row>
        <row r="14">
          <cell r="A14" t="str">
            <v>LLP/Advances (bps)</v>
          </cell>
          <cell r="B14">
            <v>46.430771594149284</v>
          </cell>
          <cell r="C14">
            <v>-31.182674601770042</v>
          </cell>
          <cell r="D14">
            <v>-34.008069995889507</v>
          </cell>
          <cell r="E14">
            <v>-1.7121123704000949</v>
          </cell>
          <cell r="F14">
            <v>13.322339542828203</v>
          </cell>
        </row>
        <row r="16">
          <cell r="A16" t="str">
            <v>Mid-sized banks</v>
          </cell>
        </row>
        <row r="17">
          <cell r="A17" t="str">
            <v>(HK$mn)</v>
          </cell>
          <cell r="B17">
            <v>2003</v>
          </cell>
          <cell r="C17">
            <v>2004</v>
          </cell>
          <cell r="D17">
            <v>2005</v>
          </cell>
          <cell r="E17" t="str">
            <v>2006E</v>
          </cell>
          <cell r="F17" t="str">
            <v>2007E</v>
          </cell>
          <cell r="G17" t="str">
            <v>06E Chg%</v>
          </cell>
          <cell r="H17" t="str">
            <v>07E Chg</v>
          </cell>
        </row>
        <row r="18">
          <cell r="A18" t="str">
            <v>Net Interest Income</v>
          </cell>
          <cell r="B18">
            <v>6768.5209999999997</v>
          </cell>
          <cell r="C18">
            <v>7293.5019999999986</v>
          </cell>
          <cell r="D18">
            <v>10573.142999999998</v>
          </cell>
          <cell r="E18">
            <v>13334.819747532756</v>
          </cell>
          <cell r="F18">
            <v>15162.941048874389</v>
          </cell>
          <cell r="G18">
            <v>0.26119733248030008</v>
          </cell>
          <cell r="H18">
            <v>0.13709381423621236</v>
          </cell>
        </row>
        <row r="19">
          <cell r="A19" t="str">
            <v>Non-Interest Income</v>
          </cell>
          <cell r="B19">
            <v>2388.2569999999996</v>
          </cell>
          <cell r="C19">
            <v>2965.91</v>
          </cell>
          <cell r="D19">
            <v>5900.688000000001</v>
          </cell>
          <cell r="E19">
            <v>6986.5267379237002</v>
          </cell>
          <cell r="F19">
            <v>7707.652054364381</v>
          </cell>
          <cell r="G19">
            <v>0.18401900556743533</v>
          </cell>
          <cell r="H19">
            <v>0.10321656861718242</v>
          </cell>
        </row>
        <row r="20">
          <cell r="A20" t="str">
            <v>Operating Income</v>
          </cell>
          <cell r="B20">
            <v>9156.7779999999984</v>
          </cell>
          <cell r="C20">
            <v>10259.411999999998</v>
          </cell>
          <cell r="D20">
            <v>16473.830999999998</v>
          </cell>
          <cell r="E20">
            <v>20321.346485456455</v>
          </cell>
          <cell r="F20">
            <v>22870.593103238771</v>
          </cell>
          <cell r="G20">
            <v>0.23355317202516268</v>
          </cell>
          <cell r="H20">
            <v>0.12544673747907176</v>
          </cell>
        </row>
        <row r="21">
          <cell r="A21" t="str">
            <v>Operating Expenses</v>
          </cell>
          <cell r="B21">
            <v>3393.5940000000001</v>
          </cell>
          <cell r="C21">
            <v>4325.777</v>
          </cell>
          <cell r="D21">
            <v>7525.3600000000006</v>
          </cell>
          <cell r="E21">
            <v>8484.8285980239634</v>
          </cell>
          <cell r="F21">
            <v>9336.0934916103161</v>
          </cell>
          <cell r="G21">
            <v>0.12749803305409468</v>
          </cell>
          <cell r="H21">
            <v>0.10032788332160347</v>
          </cell>
        </row>
        <row r="22">
          <cell r="A22" t="str">
            <v>Pre-Provision Earnings</v>
          </cell>
          <cell r="B22">
            <v>5763.1839999999984</v>
          </cell>
          <cell r="C22">
            <v>5933.6349999999984</v>
          </cell>
          <cell r="D22">
            <v>8948.4709999999977</v>
          </cell>
          <cell r="E22">
            <v>11836.517887432492</v>
          </cell>
          <cell r="F22">
            <v>13534.499611628455</v>
          </cell>
          <cell r="G22">
            <v>0.32274193964896303</v>
          </cell>
          <cell r="H22">
            <v>0.14345280768753854</v>
          </cell>
        </row>
        <row r="23">
          <cell r="A23" t="str">
            <v>Loan Loss Provisions</v>
          </cell>
          <cell r="B23">
            <v>1570.4260000000002</v>
          </cell>
          <cell r="C23">
            <v>205.87199999999996</v>
          </cell>
          <cell r="D23">
            <v>295.29999999999995</v>
          </cell>
          <cell r="E23">
            <v>680.32498577748606</v>
          </cell>
          <cell r="F23">
            <v>1262.4790047505453</v>
          </cell>
          <cell r="G23">
            <v>1.3038435007703559</v>
          </cell>
          <cell r="H23">
            <v>0.85569989511375133</v>
          </cell>
        </row>
        <row r="24">
          <cell r="A24" t="str">
            <v>Operating Profits</v>
          </cell>
          <cell r="B24">
            <v>4192.757999999998</v>
          </cell>
          <cell r="C24">
            <v>5727.7629999999981</v>
          </cell>
          <cell r="D24">
            <v>8653.1709999999985</v>
          </cell>
          <cell r="E24">
            <v>11156.192901655006</v>
          </cell>
          <cell r="F24">
            <v>12272.02060687791</v>
          </cell>
          <cell r="G24">
            <v>0.28926065388688227</v>
          </cell>
          <cell r="H24">
            <v>0.10001868155734139</v>
          </cell>
        </row>
        <row r="25">
          <cell r="A25" t="str">
            <v>ModelWare Profit</v>
          </cell>
          <cell r="B25">
            <v>3916.2250000000004</v>
          </cell>
          <cell r="C25">
            <v>5099.1200000000008</v>
          </cell>
          <cell r="D25">
            <v>8306.9029999999984</v>
          </cell>
          <cell r="E25">
            <v>9572.9423376533705</v>
          </cell>
          <cell r="F25">
            <v>10976.069522565105</v>
          </cell>
          <cell r="G25">
            <v>0.15240810415787598</v>
          </cell>
          <cell r="H25">
            <v>0.14657219644923569</v>
          </cell>
        </row>
        <row r="26">
          <cell r="A26" t="str">
            <v>Profit After Tax</v>
          </cell>
        </row>
        <row r="27">
          <cell r="A27" t="str">
            <v>LLP/Advances (bps)</v>
          </cell>
          <cell r="B27">
            <v>83.186093278331711</v>
          </cell>
          <cell r="C27">
            <v>9.3881611881864586</v>
          </cell>
          <cell r="D27">
            <v>7.4295920793413197</v>
          </cell>
          <cell r="E27">
            <v>15.13041925064439</v>
          </cell>
          <cell r="F27">
            <v>24.964005993007714</v>
          </cell>
        </row>
        <row r="29">
          <cell r="A29" t="str">
            <v>All HK Banks</v>
          </cell>
        </row>
        <row r="30">
          <cell r="A30" t="str">
            <v>(HK$mn)</v>
          </cell>
          <cell r="B30">
            <v>2003</v>
          </cell>
          <cell r="C30">
            <v>2004</v>
          </cell>
          <cell r="D30">
            <v>2005</v>
          </cell>
          <cell r="E30" t="str">
            <v>2006E</v>
          </cell>
          <cell r="F30" t="str">
            <v>2007E</v>
          </cell>
          <cell r="G30" t="str">
            <v>06E Chg</v>
          </cell>
          <cell r="H30" t="str">
            <v>07E Chg</v>
          </cell>
        </row>
        <row r="31">
          <cell r="A31" t="str">
            <v>Net Interest Income</v>
          </cell>
          <cell r="B31">
            <v>33417.521000000001</v>
          </cell>
          <cell r="C31">
            <v>32119.502</v>
          </cell>
          <cell r="D31">
            <v>34515.143000000004</v>
          </cell>
          <cell r="E31">
            <v>42092.873612616837</v>
          </cell>
          <cell r="F31">
            <v>47204.15927077354</v>
          </cell>
          <cell r="G31">
            <v>0.21954799992040686</v>
          </cell>
          <cell r="H31">
            <v>0.12142876500179489</v>
          </cell>
        </row>
        <row r="32">
          <cell r="A32" t="str">
            <v>Non-Interest Income</v>
          </cell>
          <cell r="B32">
            <v>13765.257</v>
          </cell>
          <cell r="C32">
            <v>15544.910000000002</v>
          </cell>
          <cell r="D32">
            <v>16086.687999999998</v>
          </cell>
          <cell r="E32">
            <v>17667.27282567869</v>
          </cell>
          <cell r="F32">
            <v>19627.329506397971</v>
          </cell>
          <cell r="G32">
            <v>9.825421029354775E-2</v>
          </cell>
          <cell r="H32">
            <v>0.11094279802315699</v>
          </cell>
        </row>
        <row r="33">
          <cell r="A33" t="str">
            <v>Operating Income</v>
          </cell>
          <cell r="B33">
            <v>47182.777999999998</v>
          </cell>
          <cell r="C33">
            <v>47664.412000000004</v>
          </cell>
          <cell r="D33">
            <v>50601.831000000006</v>
          </cell>
          <cell r="E33">
            <v>59760.146438295531</v>
          </cell>
          <cell r="F33">
            <v>66831.488777171515</v>
          </cell>
          <cell r="G33">
            <v>0.18098782706688077</v>
          </cell>
          <cell r="H33">
            <v>0.11832873177741288</v>
          </cell>
        </row>
        <row r="34">
          <cell r="A34" t="str">
            <v>Operating Expenses</v>
          </cell>
          <cell r="B34">
            <v>15478.594000000001</v>
          </cell>
          <cell r="C34">
            <v>16782.777000000002</v>
          </cell>
          <cell r="D34">
            <v>17801.36</v>
          </cell>
          <cell r="E34">
            <v>19795.498598023965</v>
          </cell>
          <cell r="F34">
            <v>21765.151991610317</v>
          </cell>
          <cell r="G34">
            <v>0.11202169935465411</v>
          </cell>
          <cell r="H34">
            <v>9.9500064816905764E-2</v>
          </cell>
        </row>
        <row r="35">
          <cell r="A35" t="str">
            <v>Pre-Provision Earnings</v>
          </cell>
          <cell r="B35">
            <v>31704.183999999997</v>
          </cell>
          <cell r="C35">
            <v>30881.635000000002</v>
          </cell>
          <cell r="D35">
            <v>32800.471000000005</v>
          </cell>
          <cell r="E35">
            <v>39964.647840271566</v>
          </cell>
          <cell r="F35">
            <v>45066.336785561201</v>
          </cell>
          <cell r="G35">
            <v>0.21841688920477886</v>
          </cell>
          <cell r="H35">
            <v>0.12765504567135877</v>
          </cell>
        </row>
        <row r="36">
          <cell r="A36" t="str">
            <v>Loan Loss Provisions</v>
          </cell>
          <cell r="B36">
            <v>4532.4259999999995</v>
          </cell>
          <cell r="C36">
            <v>-1926.1280000000002</v>
          </cell>
          <cell r="D36">
            <v>-1731.7</v>
          </cell>
          <cell r="E36">
            <v>573.17470162488689</v>
          </cell>
          <cell r="F36">
            <v>2162.9408503935947</v>
          </cell>
          <cell r="G36">
            <v>-1.3309896065282016</v>
          </cell>
          <cell r="H36">
            <v>2.7736153467030151</v>
          </cell>
        </row>
        <row r="37">
          <cell r="A37" t="str">
            <v>Operating Profits</v>
          </cell>
          <cell r="B37">
            <v>27171.757999999998</v>
          </cell>
          <cell r="C37">
            <v>32807.762999999999</v>
          </cell>
          <cell r="D37">
            <v>34532.171000000002</v>
          </cell>
          <cell r="E37">
            <v>39391.473138646681</v>
          </cell>
          <cell r="F37">
            <v>42903.395935167609</v>
          </cell>
          <cell r="G37">
            <v>0.14071811872606199</v>
          </cell>
          <cell r="H37">
            <v>8.9154390955625606E-2</v>
          </cell>
        </row>
        <row r="38">
          <cell r="A38" t="str">
            <v>ModelWare Profit</v>
          </cell>
          <cell r="B38">
            <v>23480.224999999999</v>
          </cell>
          <cell r="C38">
            <v>30991.120000000003</v>
          </cell>
          <cell r="D38">
            <v>33142.902999999998</v>
          </cell>
          <cell r="E38">
            <v>35022.323845913743</v>
          </cell>
          <cell r="F38">
            <v>38852.580457343618</v>
          </cell>
          <cell r="G38">
            <v>5.6706584993889697E-2</v>
          </cell>
          <cell r="H38">
            <v>0.10936614681200751</v>
          </cell>
        </row>
        <row r="39">
          <cell r="A39" t="str">
            <v>LLP/Advances (bps)</v>
          </cell>
          <cell r="B39">
            <v>54.823952786740051</v>
          </cell>
          <cell r="C39">
            <v>-21.330275113282177</v>
          </cell>
          <cell r="D39">
            <v>-17.430303579350838</v>
          </cell>
          <cell r="E39">
            <v>5.3294914529368116</v>
          </cell>
          <cell r="F39">
            <v>18.304824002873019</v>
          </cell>
        </row>
        <row r="43">
          <cell r="A43" t="str">
            <v>Mid HK Banks (ex CIFH because of M&amp;A), including BEA</v>
          </cell>
          <cell r="K43" t="str">
            <v>07 Chg</v>
          </cell>
          <cell r="L43" t="str">
            <v>07 Chg</v>
          </cell>
        </row>
        <row r="44">
          <cell r="A44" t="str">
            <v>(HK$mn)</v>
          </cell>
          <cell r="D44">
            <v>2005</v>
          </cell>
          <cell r="E44" t="str">
            <v>2006E</v>
          </cell>
          <cell r="F44" t="str">
            <v>2007E</v>
          </cell>
          <cell r="G44" t="str">
            <v>06E Chg</v>
          </cell>
          <cell r="H44" t="str">
            <v>07E Chg</v>
          </cell>
          <cell r="J44" t="str">
            <v>(%)</v>
          </cell>
          <cell r="K44" t="str">
            <v>Large-Sized Banks</v>
          </cell>
          <cell r="L44" t="str">
            <v>Mid-Sized Banks (ex-CIFH)</v>
          </cell>
        </row>
        <row r="45">
          <cell r="A45" t="str">
            <v>Net Interest Income</v>
          </cell>
          <cell r="D45">
            <v>9473.8859999999986</v>
          </cell>
          <cell r="E45">
            <v>12263.913536581245</v>
          </cell>
          <cell r="F45">
            <v>13882.334056531185</v>
          </cell>
          <cell r="G45">
            <v>0.29449663386083036</v>
          </cell>
          <cell r="H45">
            <v>0.13196607389007231</v>
          </cell>
          <cell r="J45" t="str">
            <v>Net Interest Income</v>
          </cell>
          <cell r="K45">
            <v>0.11416503954745227</v>
          </cell>
          <cell r="L45">
            <v>0.13196607389007231</v>
          </cell>
        </row>
        <row r="46">
          <cell r="A46" t="str">
            <v>Non-Interest Income</v>
          </cell>
          <cell r="D46">
            <v>5029.8970000000008</v>
          </cell>
          <cell r="E46">
            <v>5909.6773379237002</v>
          </cell>
          <cell r="F46">
            <v>6525.9547518643813</v>
          </cell>
          <cell r="G46">
            <v>0.17491020947818603</v>
          </cell>
          <cell r="H46">
            <v>0.10428275161249378</v>
          </cell>
          <cell r="J46" t="str">
            <v>Non-Interest Income</v>
          </cell>
          <cell r="K46">
            <v>0.11599670604462586</v>
          </cell>
          <cell r="L46">
            <v>0.10428275161249378</v>
          </cell>
        </row>
        <row r="47">
          <cell r="A47" t="str">
            <v>Operating Income</v>
          </cell>
          <cell r="D47">
            <v>14503.782999999999</v>
          </cell>
          <cell r="E47">
            <v>18173.590874504946</v>
          </cell>
          <cell r="F47">
            <v>20408.288808395566</v>
          </cell>
          <cell r="G47">
            <v>0.25302418510432401</v>
          </cell>
          <cell r="H47">
            <v>0.12296402782047844</v>
          </cell>
          <cell r="J47" t="str">
            <v>Operating Income</v>
          </cell>
          <cell r="K47">
            <v>0.11466108823040266</v>
          </cell>
          <cell r="L47">
            <v>0.12296402782047844</v>
          </cell>
        </row>
        <row r="48">
          <cell r="A48" t="str">
            <v>Operating Expenses</v>
          </cell>
          <cell r="D48">
            <v>6430.6720000000005</v>
          </cell>
          <cell r="E48">
            <v>7343.8109980239633</v>
          </cell>
          <cell r="F48">
            <v>8061.607539610317</v>
          </cell>
          <cell r="G48">
            <v>0.14199744568280925</v>
          </cell>
          <cell r="H48">
            <v>9.7741695936822914E-2</v>
          </cell>
          <cell r="J48" t="str">
            <v>Operating Expenses</v>
          </cell>
          <cell r="K48">
            <v>9.8879067287791056E-2</v>
          </cell>
          <cell r="L48">
            <v>9.7741695936822914E-2</v>
          </cell>
        </row>
        <row r="49">
          <cell r="A49" t="str">
            <v>Pre-Provision Earnings</v>
          </cell>
          <cell r="D49">
            <v>8073.110999999999</v>
          </cell>
          <cell r="E49">
            <v>10829.779876480983</v>
          </cell>
          <cell r="F49">
            <v>12346.681268785249</v>
          </cell>
          <cell r="G49">
            <v>0.34146302168779608</v>
          </cell>
          <cell r="H49">
            <v>0.14006761075527652</v>
          </cell>
          <cell r="J49" t="str">
            <v>Pre-Provision Earnings</v>
          </cell>
          <cell r="K49">
            <v>0.12100723463666085</v>
          </cell>
          <cell r="L49">
            <v>0.14006761075527652</v>
          </cell>
        </row>
        <row r="50">
          <cell r="A50" t="str">
            <v>Loan Loss Provisions</v>
          </cell>
          <cell r="D50">
            <v>352.84999999999997</v>
          </cell>
          <cell r="E50">
            <v>648.22425866762478</v>
          </cell>
          <cell r="F50">
            <v>1119.5287646841252</v>
          </cell>
          <cell r="G50">
            <v>0.83710998630473243</v>
          </cell>
          <cell r="H50">
            <v>0.72707014542348469</v>
          </cell>
          <cell r="J50" t="str">
            <v>Loan Loss Provisions</v>
          </cell>
          <cell r="K50">
            <v>-9.4037280233494052</v>
          </cell>
          <cell r="L50">
            <v>0.72707014542348469</v>
          </cell>
        </row>
        <row r="51">
          <cell r="A51" t="str">
            <v>Operating Profits</v>
          </cell>
          <cell r="D51">
            <v>7720.2609999999986</v>
          </cell>
          <cell r="E51">
            <v>10181.555617813359</v>
          </cell>
          <cell r="F51">
            <v>11227.152504101126</v>
          </cell>
          <cell r="G51">
            <v>0.31880976793574223</v>
          </cell>
          <cell r="H51">
            <v>0.10269519958800988</v>
          </cell>
          <cell r="J51" t="str">
            <v>Operating Profits</v>
          </cell>
          <cell r="K51">
            <v>8.4861742868727053E-2</v>
          </cell>
          <cell r="L51">
            <v>0.10269519958800988</v>
          </cell>
        </row>
        <row r="52">
          <cell r="A52" t="str">
            <v>Profit After Tax</v>
          </cell>
          <cell r="D52">
            <v>7460.1759999999995</v>
          </cell>
          <cell r="E52">
            <v>9394.1109595318594</v>
          </cell>
          <cell r="F52">
            <v>9728.0799326213382</v>
          </cell>
          <cell r="G52">
            <v>0.2592344952092096</v>
          </cell>
          <cell r="H52">
            <v>3.5550886563737283E-2</v>
          </cell>
          <cell r="J52" t="str">
            <v>Profit After Tax</v>
          </cell>
          <cell r="K52">
            <v>9.4928362405777289E-2</v>
          </cell>
          <cell r="L52">
            <v>3.5550886563737283E-2</v>
          </cell>
        </row>
        <row r="53">
          <cell r="A53" t="str">
            <v>ModelWare Profit</v>
          </cell>
          <cell r="D53">
            <v>7204.0659999999989</v>
          </cell>
          <cell r="E53">
            <v>8556.0070192263847</v>
          </cell>
          <cell r="F53">
            <v>9267.6203162326074</v>
          </cell>
          <cell r="G53">
            <v>0.18766360819381522</v>
          </cell>
          <cell r="H53">
            <v>8.317119135212736E-2</v>
          </cell>
        </row>
        <row r="57">
          <cell r="A57" t="str">
            <v>All HK Banks (ex CIFH because of M&amp;A)</v>
          </cell>
        </row>
        <row r="58">
          <cell r="A58" t="str">
            <v>(HK$mn)</v>
          </cell>
          <cell r="D58">
            <v>2005</v>
          </cell>
          <cell r="E58" t="str">
            <v>2006E</v>
          </cell>
          <cell r="F58" t="str">
            <v>2007E</v>
          </cell>
          <cell r="G58" t="str">
            <v>06E Chg</v>
          </cell>
          <cell r="H58" t="str">
            <v>07E Chg</v>
          </cell>
        </row>
        <row r="59">
          <cell r="A59" t="str">
            <v>Net Interest Income</v>
          </cell>
          <cell r="D59">
            <v>33415.885999999999</v>
          </cell>
          <cell r="E59">
            <v>41021.967401665323</v>
          </cell>
          <cell r="F59">
            <v>45923.552278430339</v>
          </cell>
          <cell r="G59">
            <v>0.22761872606536082</v>
          </cell>
          <cell r="H59">
            <v>0.11948683076975075</v>
          </cell>
        </row>
        <row r="60">
          <cell r="A60" t="str">
            <v>Non-Interest Income</v>
          </cell>
          <cell r="D60">
            <v>15215.896999999999</v>
          </cell>
          <cell r="E60">
            <v>16590.423425678688</v>
          </cell>
          <cell r="F60">
            <v>18445.632203897971</v>
          </cell>
          <cell r="G60">
            <v>9.0334892887267149E-2</v>
          </cell>
          <cell r="H60">
            <v>0.11182407649390003</v>
          </cell>
        </row>
        <row r="61">
          <cell r="A61" t="str">
            <v>Operating Income</v>
          </cell>
          <cell r="D61">
            <v>48631.782999999996</v>
          </cell>
          <cell r="E61">
            <v>57612.390827343996</v>
          </cell>
          <cell r="F61">
            <v>64369.18448232831</v>
          </cell>
          <cell r="G61">
            <v>0.18466540343264826</v>
          </cell>
          <cell r="H61">
            <v>0.11728021625128271</v>
          </cell>
        </row>
        <row r="62">
          <cell r="A62" t="str">
            <v>Operating Expenses</v>
          </cell>
          <cell r="D62">
            <v>16706.672000000002</v>
          </cell>
          <cell r="E62">
            <v>18654.480998023966</v>
          </cell>
          <cell r="F62">
            <v>20490.666039610318</v>
          </cell>
          <cell r="G62">
            <v>0.11658868971773462</v>
          </cell>
          <cell r="H62">
            <v>9.8431312121782133E-2</v>
          </cell>
        </row>
        <row r="63">
          <cell r="A63" t="str">
            <v>Pre-Provision Earnings</v>
          </cell>
          <cell r="D63">
            <v>31925.110999999997</v>
          </cell>
          <cell r="E63">
            <v>38957.909829320037</v>
          </cell>
          <cell r="F63">
            <v>43878.518442717999</v>
          </cell>
          <cell r="G63">
            <v>0.22029050515501858</v>
          </cell>
          <cell r="H63">
            <v>0.1263057652465398</v>
          </cell>
        </row>
        <row r="64">
          <cell r="A64" t="str">
            <v>Loan Loss Provisions</v>
          </cell>
          <cell r="D64">
            <v>-1674.15</v>
          </cell>
          <cell r="E64">
            <v>541.07397451502561</v>
          </cell>
          <cell r="F64">
            <v>2019.9906103271746</v>
          </cell>
          <cell r="G64">
            <v>-1.3231932470298513</v>
          </cell>
          <cell r="H64">
            <v>2.7332984129161431</v>
          </cell>
        </row>
        <row r="65">
          <cell r="A65" t="str">
            <v>Operating Profits</v>
          </cell>
          <cell r="D65">
            <v>33599.260999999999</v>
          </cell>
          <cell r="E65">
            <v>38416.835854805016</v>
          </cell>
          <cell r="F65">
            <v>41858.527832390813</v>
          </cell>
          <cell r="G65">
            <v>0.1433833575924488</v>
          </cell>
          <cell r="H65">
            <v>8.9588116798414719E-2</v>
          </cell>
        </row>
        <row r="66">
          <cell r="A66" t="str">
            <v>Profit After Tax</v>
          </cell>
          <cell r="D66">
            <v>32681.175999999999</v>
          </cell>
          <cell r="E66">
            <v>35383.492467792224</v>
          </cell>
          <cell r="F66">
            <v>38184.590867399849</v>
          </cell>
          <cell r="G66">
            <v>8.2687246866276265E-2</v>
          </cell>
          <cell r="H66">
            <v>7.9163988748632397E-2</v>
          </cell>
        </row>
        <row r="71">
          <cell r="A71" t="str">
            <v>Earning Growth YoY</v>
          </cell>
        </row>
        <row r="72">
          <cell r="B72" t="str">
            <v>06E Chg</v>
          </cell>
        </row>
        <row r="73">
          <cell r="A73" t="str">
            <v>(%)</v>
          </cell>
          <cell r="B73" t="str">
            <v xml:space="preserve">HK </v>
          </cell>
          <cell r="C73" t="str">
            <v>A/P</v>
          </cell>
          <cell r="E73" t="str">
            <v xml:space="preserve">HK </v>
          </cell>
          <cell r="F73" t="str">
            <v>A/P</v>
          </cell>
        </row>
        <row r="74">
          <cell r="A74" t="str">
            <v>Net Interest Income</v>
          </cell>
          <cell r="B74">
            <v>0.21954799992040686</v>
          </cell>
          <cell r="C74">
            <v>0.11129350278525729</v>
          </cell>
          <cell r="E74">
            <v>0.21954799992040686</v>
          </cell>
          <cell r="F74">
            <v>0.1093299775787589</v>
          </cell>
        </row>
        <row r="75">
          <cell r="A75" t="str">
            <v>Non-Interest Income</v>
          </cell>
          <cell r="B75">
            <v>9.825421029354775E-2</v>
          </cell>
          <cell r="C75">
            <v>0.13137685896457518</v>
          </cell>
          <cell r="E75">
            <v>9.825421029354775E-2</v>
          </cell>
          <cell r="F75">
            <v>0.15371746244805673</v>
          </cell>
        </row>
        <row r="76">
          <cell r="A76" t="str">
            <v>Operating Income</v>
          </cell>
          <cell r="B76">
            <v>0.18098782706688077</v>
          </cell>
          <cell r="C76">
            <v>0.11534957523232059</v>
          </cell>
          <cell r="E76">
            <v>0.18098782706688077</v>
          </cell>
          <cell r="F76">
            <v>0.12138740001595011</v>
          </cell>
        </row>
        <row r="77">
          <cell r="A77" t="str">
            <v>Operating Expenses</v>
          </cell>
          <cell r="B77">
            <v>0.11202169935465411</v>
          </cell>
          <cell r="C77">
            <v>8.8129161357409558E-2</v>
          </cell>
          <cell r="E77">
            <v>0.11202169935465411</v>
          </cell>
          <cell r="F77">
            <v>9.5382585846272003E-2</v>
          </cell>
        </row>
        <row r="78">
          <cell r="A78" t="str">
            <v>Pre-Provision Earnings</v>
          </cell>
          <cell r="B78">
            <v>0.21841688920477886</v>
          </cell>
          <cell r="C78">
            <v>0.14122161633838015</v>
          </cell>
          <cell r="E78">
            <v>0.21841688920477886</v>
          </cell>
          <cell r="F78">
            <v>0.14271286147468271</v>
          </cell>
        </row>
        <row r="79">
          <cell r="A79" t="str">
            <v>Loan Loss Provisions</v>
          </cell>
          <cell r="B79">
            <v>0.14071811872606199</v>
          </cell>
          <cell r="C79">
            <v>0.13600000000000001</v>
          </cell>
          <cell r="E79">
            <v>-1.3309896065282016</v>
          </cell>
          <cell r="F79">
            <v>0.41219672648999084</v>
          </cell>
        </row>
        <row r="80">
          <cell r="A80" t="str">
            <v>Operating Profits</v>
          </cell>
          <cell r="B80">
            <v>-1.3309896065282016</v>
          </cell>
          <cell r="C80">
            <v>0.15667292518706954</v>
          </cell>
          <cell r="E80">
            <v>0.14071811872606199</v>
          </cell>
          <cell r="F80">
            <v>8.262268601517761E-2</v>
          </cell>
        </row>
        <row r="81">
          <cell r="A81" t="str">
            <v>ModelWare Profit</v>
          </cell>
          <cell r="B81">
            <v>5.6706584993889697E-2</v>
          </cell>
          <cell r="C81">
            <v>5.0568405076497562E-2</v>
          </cell>
          <cell r="E81">
            <v>5.6706584993889697E-2</v>
          </cell>
          <cell r="F81">
            <v>7.1220205499356093E-2</v>
          </cell>
        </row>
        <row r="85">
          <cell r="A85" t="str">
            <v>02-06E CAGR Earning Growth</v>
          </cell>
        </row>
        <row r="87">
          <cell r="E87">
            <v>2002</v>
          </cell>
          <cell r="F87" t="str">
            <v>2006E</v>
          </cell>
        </row>
        <row r="88">
          <cell r="A88" t="str">
            <v>(%)</v>
          </cell>
          <cell r="C88" t="str">
            <v>2002-06E Modelware Earnings CAGR</v>
          </cell>
          <cell r="E88" t="str">
            <v>Earnings</v>
          </cell>
          <cell r="F88" t="str">
            <v>Earnings</v>
          </cell>
        </row>
        <row r="89">
          <cell r="A89" t="str">
            <v>ICBCA</v>
          </cell>
          <cell r="C89">
            <v>0.26573933578454234</v>
          </cell>
          <cell r="E89">
            <v>447.98799999999983</v>
          </cell>
          <cell r="F89">
            <v>1149.8560881792714</v>
          </cell>
        </row>
        <row r="90">
          <cell r="A90" t="str">
            <v>WHB</v>
          </cell>
          <cell r="C90">
            <v>0.25837188595818872</v>
          </cell>
          <cell r="E90">
            <v>668.57600000000002</v>
          </cell>
          <cell r="F90">
            <v>1676.4353506754926</v>
          </cell>
        </row>
        <row r="91">
          <cell r="A91" t="str">
            <v>BEA</v>
          </cell>
          <cell r="C91">
            <v>0.24500686646252468</v>
          </cell>
          <cell r="E91">
            <v>1407</v>
          </cell>
          <cell r="F91">
            <v>3380.5011193286255</v>
          </cell>
        </row>
        <row r="92">
          <cell r="A92" t="str">
            <v>WLB</v>
          </cell>
          <cell r="C92">
            <v>0.11090421070317946</v>
          </cell>
          <cell r="E92">
            <v>759.57799999999986</v>
          </cell>
          <cell r="F92">
            <v>1156.8547367998754</v>
          </cell>
        </row>
        <row r="93">
          <cell r="A93" t="str">
            <v>DSF</v>
          </cell>
          <cell r="C93">
            <v>9.5127037982285279E-2</v>
          </cell>
          <cell r="E93">
            <v>828.99000000000012</v>
          </cell>
          <cell r="F93">
            <v>1192.3597242431192</v>
          </cell>
        </row>
        <row r="94">
          <cell r="A94" t="str">
            <v>BOCHK</v>
          </cell>
          <cell r="C94">
            <v>0.18999656912498142</v>
          </cell>
          <cell r="E94">
            <v>6673</v>
          </cell>
          <cell r="F94">
            <v>13381.474227333205</v>
          </cell>
        </row>
        <row r="95">
          <cell r="A95" t="str">
            <v>CIFH</v>
          </cell>
          <cell r="C95">
            <v>0.14186228059124861</v>
          </cell>
          <cell r="E95">
            <v>598.18899999999996</v>
          </cell>
          <cell r="F95">
            <v>1016.9353184269862</v>
          </cell>
        </row>
        <row r="96">
          <cell r="A96" t="str">
            <v>HSB</v>
          </cell>
          <cell r="C96">
            <v>5.0219488750607333E-2</v>
          </cell>
          <cell r="E96">
            <v>9920</v>
          </cell>
          <cell r="F96">
            <v>12067.907280927164</v>
          </cell>
        </row>
        <row r="112">
          <cell r="A112" t="str">
            <v>02-06 CAGR</v>
          </cell>
        </row>
        <row r="113">
          <cell r="A113" t="str">
            <v>(%)</v>
          </cell>
          <cell r="B113" t="str">
            <v>HSB</v>
          </cell>
          <cell r="C113" t="str">
            <v>BEA</v>
          </cell>
          <cell r="D113" t="str">
            <v>BOCHK</v>
          </cell>
          <cell r="E113" t="str">
            <v>DSF</v>
          </cell>
          <cell r="F113" t="str">
            <v>WHB</v>
          </cell>
          <cell r="G113" t="str">
            <v>CIFH</v>
          </cell>
          <cell r="H113" t="str">
            <v>ICBCA</v>
          </cell>
          <cell r="I113" t="str">
            <v>WLB</v>
          </cell>
        </row>
        <row r="114">
          <cell r="A114" t="str">
            <v>Net Interest Income</v>
          </cell>
          <cell r="B114">
            <v>4.5627804954778028E-2</v>
          </cell>
          <cell r="C114">
            <v>7.4404337376839935E-2</v>
          </cell>
          <cell r="D114">
            <v>3.2453583911902228E-2</v>
          </cell>
          <cell r="E114">
            <v>3.5551980951777917E-2</v>
          </cell>
          <cell r="F114">
            <v>9.8290119793037478E-2</v>
          </cell>
          <cell r="G114">
            <v>-0.10639317402974269</v>
          </cell>
          <cell r="H114">
            <v>0.26118697585660322</v>
          </cell>
          <cell r="I114">
            <v>4.646788707042715E-2</v>
          </cell>
        </row>
        <row r="115">
          <cell r="A115" t="str">
            <v>Non-Interest Income</v>
          </cell>
          <cell r="B115">
            <v>3.540031867918092E-2</v>
          </cell>
          <cell r="C115">
            <v>0.17749465439719403</v>
          </cell>
          <cell r="D115">
            <v>8.3949637325356097E-2</v>
          </cell>
          <cell r="E115">
            <v>0.10385888892296924</v>
          </cell>
          <cell r="F115">
            <v>0.257079359999693</v>
          </cell>
          <cell r="G115">
            <v>0.20932783556042267</v>
          </cell>
          <cell r="H115">
            <v>0.16309484812655284</v>
          </cell>
          <cell r="I115">
            <v>0.13637444770436224</v>
          </cell>
        </row>
        <row r="116">
          <cell r="A116" t="str">
            <v>Operating Income</v>
          </cell>
          <cell r="B116">
            <v>4.2755533145891533E-2</v>
          </cell>
          <cell r="C116">
            <v>0.10600627267555351</v>
          </cell>
          <cell r="D116">
            <v>4.5000756285610288E-2</v>
          </cell>
          <cell r="E116">
            <v>5.4564629460867042E-2</v>
          </cell>
          <cell r="F116">
            <v>0.1354663615298648</v>
          </cell>
          <cell r="G116">
            <v>-4.0517780741915477E-3</v>
          </cell>
          <cell r="H116">
            <v>0.22836679998315068</v>
          </cell>
          <cell r="I116">
            <v>7.0545240897554651E-2</v>
          </cell>
        </row>
        <row r="117">
          <cell r="A117" t="str">
            <v>Operating Expenses</v>
          </cell>
          <cell r="B117">
            <v>6.8085648110017161E-2</v>
          </cell>
          <cell r="C117">
            <v>8.0517793824671058E-2</v>
          </cell>
          <cell r="D117">
            <v>1.2164209431089867E-2</v>
          </cell>
          <cell r="E117">
            <v>9.1783884196385612E-2</v>
          </cell>
          <cell r="F117">
            <v>0.15215322165559786</v>
          </cell>
          <cell r="G117">
            <v>2.1231359187078525E-2</v>
          </cell>
          <cell r="H117">
            <v>0.28811463013326932</v>
          </cell>
          <cell r="I117">
            <v>5.1384626754221063E-2</v>
          </cell>
        </row>
        <row r="118">
          <cell r="A118" t="str">
            <v>Pre-Provision Earnings</v>
          </cell>
          <cell r="B118">
            <v>3.3694586086460587E-2</v>
          </cell>
          <cell r="C118">
            <v>0.13011166422485743</v>
          </cell>
          <cell r="D118">
            <v>6.0272680659596789E-2</v>
          </cell>
          <cell r="E118">
            <v>3.2079032550050401E-2</v>
          </cell>
          <cell r="F118">
            <v>0.12719838484390089</v>
          </cell>
          <cell r="G118">
            <v>-2.929290346584501E-2</v>
          </cell>
          <cell r="H118">
            <v>0.19733634609250417</v>
          </cell>
          <cell r="I118">
            <v>7.9758947990137719E-2</v>
          </cell>
        </row>
        <row r="119">
          <cell r="A119" t="str">
            <v>Loan Loss Provisions</v>
          </cell>
          <cell r="B119">
            <v>-0.27193152218371464</v>
          </cell>
          <cell r="C119">
            <v>-0.29354804907080156</v>
          </cell>
          <cell r="D119" t="e">
            <v>#NUM!</v>
          </cell>
          <cell r="E119">
            <v>-0.29201405506722022</v>
          </cell>
          <cell r="F119">
            <v>-0.4422174648705598</v>
          </cell>
          <cell r="G119">
            <v>-0.50617838541848847</v>
          </cell>
          <cell r="H119">
            <v>-0.14613800826150292</v>
          </cell>
          <cell r="I119">
            <v>-2.5962189186216622E-2</v>
          </cell>
        </row>
        <row r="120">
          <cell r="A120" t="str">
            <v>Operating Profits</v>
          </cell>
          <cell r="B120">
            <v>4.395313400119738E-2</v>
          </cell>
          <cell r="C120">
            <v>0.23010649760063306</v>
          </cell>
          <cell r="D120">
            <v>0.13907660768657171</v>
          </cell>
          <cell r="E120">
            <v>0.16447275708746001</v>
          </cell>
          <cell r="F120">
            <v>0.26141671233881736</v>
          </cell>
          <cell r="G120">
            <v>0.13175268271513763</v>
          </cell>
          <cell r="H120">
            <v>0.26404395523048518</v>
          </cell>
          <cell r="I120">
            <v>9.3911555805453295E-2</v>
          </cell>
        </row>
        <row r="121">
          <cell r="A121" t="str">
            <v>ModelWare Profit</v>
          </cell>
          <cell r="B121">
            <v>5.0219488750607333E-2</v>
          </cell>
          <cell r="C121">
            <v>0.24500686646252468</v>
          </cell>
          <cell r="D121">
            <v>0.18999656912498142</v>
          </cell>
          <cell r="E121">
            <v>9.5127037982285279E-2</v>
          </cell>
          <cell r="F121">
            <v>0.25837188595818872</v>
          </cell>
          <cell r="G121">
            <v>0.14186228059124861</v>
          </cell>
          <cell r="H121">
            <v>0.26573933578454234</v>
          </cell>
          <cell r="I121">
            <v>0.11090421070317946</v>
          </cell>
        </row>
        <row r="123">
          <cell r="A123" t="str">
            <v>NII</v>
          </cell>
        </row>
        <row r="124">
          <cell r="A124" t="str">
            <v>(HK$mn)</v>
          </cell>
          <cell r="B124">
            <v>2002</v>
          </cell>
          <cell r="C124">
            <v>2003</v>
          </cell>
          <cell r="D124">
            <v>2004</v>
          </cell>
          <cell r="E124" t="str">
            <v>2005E</v>
          </cell>
          <cell r="F124" t="str">
            <v>2006E</v>
          </cell>
          <cell r="G124" t="str">
            <v>02-06E CAGR</v>
          </cell>
        </row>
        <row r="125">
          <cell r="A125" t="str">
            <v>HSB</v>
          </cell>
          <cell r="B125">
            <v>10805</v>
          </cell>
          <cell r="C125">
            <v>10179</v>
          </cell>
          <cell r="D125">
            <v>10005</v>
          </cell>
          <cell r="E125">
            <v>11068</v>
          </cell>
          <cell r="F125">
            <v>12916.155488078854</v>
          </cell>
          <cell r="G125">
            <v>4.5627804954778028E-2</v>
          </cell>
        </row>
        <row r="126">
          <cell r="A126" t="str">
            <v>BEA</v>
          </cell>
          <cell r="B126">
            <v>3651</v>
          </cell>
          <cell r="C126">
            <v>3596</v>
          </cell>
          <cell r="D126">
            <v>3628</v>
          </cell>
          <cell r="E126">
            <v>3760</v>
          </cell>
          <cell r="F126">
            <v>4865</v>
          </cell>
          <cell r="G126">
            <v>7.4404337376839935E-2</v>
          </cell>
        </row>
        <row r="127">
          <cell r="A127" t="str">
            <v>BOCHK</v>
          </cell>
          <cell r="B127">
            <v>13942</v>
          </cell>
          <cell r="C127">
            <v>12874</v>
          </cell>
          <cell r="D127">
            <v>11193</v>
          </cell>
          <cell r="E127">
            <v>12874</v>
          </cell>
          <cell r="F127">
            <v>15841.898377005218</v>
          </cell>
          <cell r="G127">
            <v>3.2453583911902228E-2</v>
          </cell>
        </row>
        <row r="128">
          <cell r="A128" t="str">
            <v>DSF</v>
          </cell>
          <cell r="B128">
            <v>1828.547</v>
          </cell>
          <cell r="C128">
            <v>1686</v>
          </cell>
          <cell r="D128">
            <v>1679.6469999999999</v>
          </cell>
          <cell r="E128">
            <v>1398.271</v>
          </cell>
          <cell r="F128">
            <v>2102.7795406582818</v>
          </cell>
          <cell r="G128">
            <v>3.5551980951777917E-2</v>
          </cell>
        </row>
        <row r="129">
          <cell r="A129" t="str">
            <v>WHB</v>
          </cell>
          <cell r="B129">
            <v>1472.2179999999998</v>
          </cell>
          <cell r="C129">
            <v>1577.973</v>
          </cell>
          <cell r="D129">
            <v>1794</v>
          </cell>
          <cell r="E129">
            <v>1864.9999999999995</v>
          </cell>
          <cell r="F129">
            <v>2142.1033981040591</v>
          </cell>
          <cell r="G129">
            <v>9.8290119793037478E-2</v>
          </cell>
        </row>
        <row r="130">
          <cell r="A130" t="str">
            <v>CIFH</v>
          </cell>
          <cell r="B130">
            <v>1679.444</v>
          </cell>
          <cell r="C130">
            <v>1561.5710000000001</v>
          </cell>
          <cell r="D130">
            <v>1473.4569999999999</v>
          </cell>
          <cell r="E130">
            <v>1099.2569999999998</v>
          </cell>
          <cell r="F130">
            <v>1070.9062109515116</v>
          </cell>
          <cell r="G130">
            <v>-0.10639317402974269</v>
          </cell>
        </row>
        <row r="131">
          <cell r="A131" t="str">
            <v>ICBCA</v>
          </cell>
          <cell r="B131">
            <v>689.18899999999996</v>
          </cell>
          <cell r="C131">
            <v>823.14700000000005</v>
          </cell>
          <cell r="D131">
            <v>1274.8380000000002</v>
          </cell>
          <cell r="E131">
            <v>1315.9969999999998</v>
          </cell>
          <cell r="F131">
            <v>1743.6376813871611</v>
          </cell>
          <cell r="G131">
            <v>0.26118697585660322</v>
          </cell>
        </row>
        <row r="132">
          <cell r="A132" t="str">
            <v>WLB</v>
          </cell>
          <cell r="B132">
            <v>1176.079</v>
          </cell>
          <cell r="C132">
            <v>1119.83</v>
          </cell>
          <cell r="D132">
            <v>1071.56</v>
          </cell>
          <cell r="E132">
            <v>1134.6179999999999</v>
          </cell>
          <cell r="F132">
            <v>1410.392916431744</v>
          </cell>
          <cell r="G132">
            <v>4.646788707042715E-2</v>
          </cell>
        </row>
        <row r="133">
          <cell r="A133" t="str">
            <v>Industry</v>
          </cell>
          <cell r="B133">
            <v>35243.476999999999</v>
          </cell>
          <cell r="C133">
            <v>33417.521000000001</v>
          </cell>
          <cell r="D133">
            <v>32119.502</v>
          </cell>
          <cell r="E133">
            <v>34515.143000000004</v>
          </cell>
          <cell r="F133">
            <v>42092.873612616837</v>
          </cell>
          <cell r="G133">
            <v>4.5399906390911404E-2</v>
          </cell>
        </row>
        <row r="135">
          <cell r="A135" t="str">
            <v>Non-Interest Income</v>
          </cell>
        </row>
        <row r="136">
          <cell r="A136" t="str">
            <v>(HK$mn)</v>
          </cell>
          <cell r="B136">
            <v>2002</v>
          </cell>
          <cell r="C136">
            <v>2003</v>
          </cell>
          <cell r="D136">
            <v>2004</v>
          </cell>
          <cell r="E136" t="str">
            <v>2005E</v>
          </cell>
          <cell r="F136" t="str">
            <v>2006E</v>
          </cell>
          <cell r="G136" t="str">
            <v>02-06E CAGR</v>
          </cell>
        </row>
        <row r="137">
          <cell r="A137" t="str">
            <v>HSB</v>
          </cell>
          <cell r="B137">
            <v>4282</v>
          </cell>
          <cell r="C137">
            <v>5198</v>
          </cell>
          <cell r="D137">
            <v>6048</v>
          </cell>
          <cell r="E137">
            <v>5164</v>
          </cell>
          <cell r="F137">
            <v>4921.3</v>
          </cell>
          <cell r="G137">
            <v>3.540031867918092E-2</v>
          </cell>
        </row>
        <row r="138">
          <cell r="A138" t="str">
            <v>BEA</v>
          </cell>
          <cell r="B138">
            <v>1404</v>
          </cell>
          <cell r="C138">
            <v>1800</v>
          </cell>
          <cell r="D138">
            <v>1867</v>
          </cell>
          <cell r="E138">
            <v>2192</v>
          </cell>
          <cell r="F138">
            <v>2699</v>
          </cell>
          <cell r="G138">
            <v>0.17749465439719403</v>
          </cell>
        </row>
        <row r="139">
          <cell r="A139" t="str">
            <v>BOCHK</v>
          </cell>
          <cell r="B139">
            <v>4172</v>
          </cell>
          <cell r="C139">
            <v>4379</v>
          </cell>
          <cell r="D139">
            <v>4664</v>
          </cell>
          <cell r="E139">
            <v>5022</v>
          </cell>
          <cell r="F139">
            <v>5759.4460877549845</v>
          </cell>
          <cell r="G139">
            <v>8.3949637325356097E-2</v>
          </cell>
        </row>
        <row r="140">
          <cell r="A140" t="str">
            <v>DSF</v>
          </cell>
          <cell r="B140">
            <v>640.12300000000005</v>
          </cell>
          <cell r="C140">
            <v>664</v>
          </cell>
          <cell r="D140">
            <v>727</v>
          </cell>
          <cell r="E140">
            <v>860</v>
          </cell>
          <cell r="F140">
            <v>950.42459999999994</v>
          </cell>
          <cell r="G140">
            <v>0.10385888892296924</v>
          </cell>
        </row>
        <row r="141">
          <cell r="A141" t="str">
            <v>WHB</v>
          </cell>
          <cell r="B141">
            <v>365.41300000000001</v>
          </cell>
          <cell r="C141">
            <v>453.49299999999999</v>
          </cell>
          <cell r="D141">
            <v>640</v>
          </cell>
          <cell r="E141">
            <v>755.8</v>
          </cell>
          <cell r="F141">
            <v>912.50400000000002</v>
          </cell>
          <cell r="G141">
            <v>0.257079359999693</v>
          </cell>
        </row>
        <row r="142">
          <cell r="A142" t="str">
            <v>CIFH</v>
          </cell>
          <cell r="B142">
            <v>503.47599999999994</v>
          </cell>
          <cell r="C142">
            <v>459.69299999999998</v>
          </cell>
          <cell r="D142">
            <v>680.90600000000006</v>
          </cell>
          <cell r="E142">
            <v>870.79099999999994</v>
          </cell>
          <cell r="F142">
            <v>1076.8494000000001</v>
          </cell>
          <cell r="G142">
            <v>0.20932783556042267</v>
          </cell>
        </row>
        <row r="143">
          <cell r="A143" t="str">
            <v>ICBCA</v>
          </cell>
          <cell r="B143">
            <v>390.73199999999997</v>
          </cell>
          <cell r="C143">
            <v>321.33999999999997</v>
          </cell>
          <cell r="D143">
            <v>370.108</v>
          </cell>
          <cell r="E143">
            <v>716.98800000000006</v>
          </cell>
          <cell r="F143">
            <v>715.05509999999992</v>
          </cell>
          <cell r="G143">
            <v>0.16309484812655284</v>
          </cell>
        </row>
        <row r="144">
          <cell r="A144" t="str">
            <v>WLB</v>
          </cell>
          <cell r="B144">
            <v>379.40899999999999</v>
          </cell>
          <cell r="C144">
            <v>489.73099999999999</v>
          </cell>
          <cell r="D144">
            <v>547.89599999999996</v>
          </cell>
          <cell r="E144">
            <v>505.10899999999998</v>
          </cell>
          <cell r="F144">
            <v>632.69363792370018</v>
          </cell>
          <cell r="G144">
            <v>0.13637444770436224</v>
          </cell>
        </row>
        <row r="145">
          <cell r="A145" t="str">
            <v>Industry</v>
          </cell>
          <cell r="B145">
            <v>12137.153</v>
          </cell>
          <cell r="C145">
            <v>13765.257</v>
          </cell>
          <cell r="D145">
            <v>15544.910000000002</v>
          </cell>
          <cell r="E145">
            <v>16086.687999999998</v>
          </cell>
          <cell r="F145">
            <v>17667.27282567869</v>
          </cell>
          <cell r="G145">
            <v>9.8406697286783862E-2</v>
          </cell>
        </row>
        <row r="147">
          <cell r="A147" t="str">
            <v>Operating Income</v>
          </cell>
        </row>
        <row r="148">
          <cell r="A148" t="str">
            <v>(HK$mn)</v>
          </cell>
          <cell r="B148">
            <v>2002</v>
          </cell>
          <cell r="C148">
            <v>2003</v>
          </cell>
          <cell r="D148">
            <v>2004</v>
          </cell>
          <cell r="E148" t="str">
            <v>2005E</v>
          </cell>
          <cell r="F148" t="str">
            <v>2006E</v>
          </cell>
          <cell r="G148" t="str">
            <v>02-06E CAGR</v>
          </cell>
        </row>
        <row r="149">
          <cell r="A149" t="str">
            <v>HSB</v>
          </cell>
          <cell r="B149">
            <v>15087</v>
          </cell>
          <cell r="C149">
            <v>15377</v>
          </cell>
          <cell r="D149">
            <v>16053</v>
          </cell>
          <cell r="E149">
            <v>16232</v>
          </cell>
          <cell r="F149">
            <v>17837.455488078853</v>
          </cell>
          <cell r="G149">
            <v>4.2755533145891533E-2</v>
          </cell>
        </row>
        <row r="150">
          <cell r="A150" t="str">
            <v>BEA</v>
          </cell>
          <cell r="B150">
            <v>5055</v>
          </cell>
          <cell r="C150">
            <v>5396</v>
          </cell>
          <cell r="D150">
            <v>5495</v>
          </cell>
          <cell r="E150">
            <v>5952</v>
          </cell>
          <cell r="F150">
            <v>7564</v>
          </cell>
          <cell r="G150">
            <v>0.10600627267555351</v>
          </cell>
        </row>
        <row r="151">
          <cell r="A151" t="str">
            <v>BOCHK</v>
          </cell>
          <cell r="B151">
            <v>18114</v>
          </cell>
          <cell r="C151">
            <v>17253</v>
          </cell>
          <cell r="D151">
            <v>15857</v>
          </cell>
          <cell r="E151">
            <v>17896</v>
          </cell>
          <cell r="F151">
            <v>21601.344464760201</v>
          </cell>
          <cell r="G151">
            <v>4.5000756285610288E-2</v>
          </cell>
        </row>
        <row r="152">
          <cell r="A152" t="str">
            <v>DSF</v>
          </cell>
          <cell r="B152">
            <v>2468.67</v>
          </cell>
          <cell r="C152">
            <v>2350</v>
          </cell>
          <cell r="D152">
            <v>2406.6469999999999</v>
          </cell>
          <cell r="E152">
            <v>2258.2709999999997</v>
          </cell>
          <cell r="F152">
            <v>3053.2041406582816</v>
          </cell>
          <cell r="G152">
            <v>5.4564629460867042E-2</v>
          </cell>
        </row>
        <row r="153">
          <cell r="A153" t="str">
            <v>WHB</v>
          </cell>
          <cell r="B153">
            <v>1837.6309999999999</v>
          </cell>
          <cell r="C153">
            <v>2031.4659999999999</v>
          </cell>
          <cell r="D153">
            <v>2434</v>
          </cell>
          <cell r="E153">
            <v>2620.7999999999993</v>
          </cell>
          <cell r="F153">
            <v>3054.607398104059</v>
          </cell>
          <cell r="G153">
            <v>0.1354663615298648</v>
          </cell>
        </row>
        <row r="154">
          <cell r="A154" t="str">
            <v>CIFH</v>
          </cell>
          <cell r="B154">
            <v>2182.92</v>
          </cell>
          <cell r="C154">
            <v>2021.2640000000001</v>
          </cell>
          <cell r="D154">
            <v>2154.3629999999998</v>
          </cell>
          <cell r="E154">
            <v>1970.0479999999998</v>
          </cell>
          <cell r="F154">
            <v>2147.7556109515117</v>
          </cell>
          <cell r="G154">
            <v>-4.0517780741915477E-3</v>
          </cell>
        </row>
        <row r="155">
          <cell r="A155" t="str">
            <v>ICBCA</v>
          </cell>
          <cell r="B155">
            <v>1079.9209999999998</v>
          </cell>
          <cell r="C155">
            <v>1144.4870000000001</v>
          </cell>
          <cell r="D155">
            <v>1644.9460000000001</v>
          </cell>
          <cell r="E155">
            <v>2032.9849999999999</v>
          </cell>
          <cell r="F155">
            <v>2458.6927813871612</v>
          </cell>
          <cell r="G155">
            <v>0.22836679998315068</v>
          </cell>
        </row>
        <row r="156">
          <cell r="A156" t="str">
            <v>WLB</v>
          </cell>
          <cell r="B156">
            <v>1555.4879999999998</v>
          </cell>
          <cell r="C156">
            <v>1609.5609999999999</v>
          </cell>
          <cell r="D156">
            <v>1619.4559999999999</v>
          </cell>
          <cell r="E156">
            <v>1639.7269999999999</v>
          </cell>
          <cell r="F156">
            <v>2043.0865543554442</v>
          </cell>
          <cell r="G156">
            <v>7.0545240897554651E-2</v>
          </cell>
        </row>
        <row r="157">
          <cell r="A157" t="str">
            <v>Industry</v>
          </cell>
          <cell r="B157">
            <v>47380.63</v>
          </cell>
          <cell r="C157">
            <v>47182.778000000006</v>
          </cell>
          <cell r="D157">
            <v>47664.411999999997</v>
          </cell>
          <cell r="E157">
            <v>50601.830999999998</v>
          </cell>
          <cell r="F157">
            <v>59760.146438295509</v>
          </cell>
          <cell r="G157">
            <v>5.9748243695588954E-2</v>
          </cell>
        </row>
        <row r="159">
          <cell r="A159" t="str">
            <v>Operating Expenses</v>
          </cell>
        </row>
        <row r="160">
          <cell r="A160" t="str">
            <v>(HK$mn)</v>
          </cell>
          <cell r="B160">
            <v>2002</v>
          </cell>
          <cell r="C160">
            <v>2003</v>
          </cell>
          <cell r="D160">
            <v>2004</v>
          </cell>
          <cell r="E160" t="str">
            <v>2005E</v>
          </cell>
          <cell r="F160" t="str">
            <v>2006E</v>
          </cell>
          <cell r="G160" t="str">
            <v>02-06E CAGR</v>
          </cell>
        </row>
        <row r="161">
          <cell r="A161" t="str">
            <v>HSB</v>
          </cell>
          <cell r="B161">
            <v>3832</v>
          </cell>
          <cell r="C161">
            <v>3902</v>
          </cell>
          <cell r="D161">
            <v>4232</v>
          </cell>
          <cell r="E161">
            <v>4546</v>
          </cell>
          <cell r="F161">
            <v>4987.1200000000008</v>
          </cell>
          <cell r="G161">
            <v>6.8085648110017161E-2</v>
          </cell>
        </row>
        <row r="162">
          <cell r="A162" t="str">
            <v>BEA</v>
          </cell>
          <cell r="B162">
            <v>2542</v>
          </cell>
          <cell r="C162">
            <v>2525</v>
          </cell>
          <cell r="D162">
            <v>2720</v>
          </cell>
          <cell r="E162">
            <v>2988</v>
          </cell>
          <cell r="F162">
            <v>3465</v>
          </cell>
          <cell r="G162">
            <v>8.0517793824671058E-2</v>
          </cell>
        </row>
        <row r="163">
          <cell r="A163" t="str">
            <v>BOCHK</v>
          </cell>
          <cell r="B163">
            <v>6025</v>
          </cell>
          <cell r="C163">
            <v>5658</v>
          </cell>
          <cell r="D163">
            <v>5505</v>
          </cell>
          <cell r="E163">
            <v>5730</v>
          </cell>
          <cell r="F163">
            <v>6323.55</v>
          </cell>
          <cell r="G163">
            <v>1.2164209431089867E-2</v>
          </cell>
        </row>
        <row r="164">
          <cell r="A164" t="str">
            <v>DSF</v>
          </cell>
          <cell r="B164">
            <v>881.11099999999999</v>
          </cell>
          <cell r="C164">
            <v>793</v>
          </cell>
          <cell r="D164">
            <v>897.05399999999997</v>
          </cell>
          <cell r="E164">
            <v>1000.5650000000001</v>
          </cell>
          <cell r="F164">
            <v>1251.9222</v>
          </cell>
          <cell r="G164">
            <v>9.1783884196385612E-2</v>
          </cell>
        </row>
        <row r="165">
          <cell r="A165" t="str">
            <v>WHB</v>
          </cell>
          <cell r="B165">
            <v>595.50199999999995</v>
          </cell>
          <cell r="C165">
            <v>712.16099999999994</v>
          </cell>
          <cell r="D165">
            <v>1033.039</v>
          </cell>
          <cell r="E165">
            <v>975.78899999999999</v>
          </cell>
          <cell r="F165">
            <v>1049.3592100000001</v>
          </cell>
          <cell r="G165">
            <v>0.15215322165559786</v>
          </cell>
        </row>
        <row r="166">
          <cell r="A166" t="str">
            <v>CIFH</v>
          </cell>
          <cell r="B166">
            <v>1049.049</v>
          </cell>
          <cell r="C166">
            <v>1015.485</v>
          </cell>
          <cell r="D166">
            <v>1117.4849999999999</v>
          </cell>
          <cell r="E166">
            <v>1094.6880000000001</v>
          </cell>
          <cell r="F166">
            <v>1141.0176000000001</v>
          </cell>
          <cell r="G166">
            <v>2.1231359187078525E-2</v>
          </cell>
        </row>
        <row r="167">
          <cell r="A167" t="str">
            <v>ICBCA</v>
          </cell>
          <cell r="B167">
            <v>342.75799999999998</v>
          </cell>
          <cell r="C167">
            <v>349.553</v>
          </cell>
          <cell r="D167">
            <v>744.3</v>
          </cell>
          <cell r="E167">
            <v>890.22500000000002</v>
          </cell>
          <cell r="F167">
            <v>943.63850000000002</v>
          </cell>
          <cell r="G167">
            <v>0.28811463013326932</v>
          </cell>
        </row>
        <row r="168">
          <cell r="A168" t="str">
            <v>WLB</v>
          </cell>
          <cell r="B168">
            <v>518.76199999999994</v>
          </cell>
          <cell r="C168">
            <v>523.39499999999998</v>
          </cell>
          <cell r="D168">
            <v>533.899</v>
          </cell>
          <cell r="E168">
            <v>576.09299999999996</v>
          </cell>
          <cell r="F168">
            <v>633.89108802396299</v>
          </cell>
          <cell r="G168">
            <v>5.1384626754221063E-2</v>
          </cell>
        </row>
        <row r="169">
          <cell r="A169" t="str">
            <v>Industry</v>
          </cell>
          <cell r="B169">
            <v>15786.182000000001</v>
          </cell>
          <cell r="C169">
            <v>15478.594000000001</v>
          </cell>
          <cell r="D169">
            <v>16782.777000000002</v>
          </cell>
          <cell r="E169">
            <v>17801.36</v>
          </cell>
          <cell r="F169">
            <v>19795.498598023965</v>
          </cell>
          <cell r="G169">
            <v>5.8211154001458043E-2</v>
          </cell>
        </row>
        <row r="171">
          <cell r="A171" t="str">
            <v>Pre-Provision Earnings</v>
          </cell>
        </row>
        <row r="172">
          <cell r="A172" t="str">
            <v>(HK$mn)</v>
          </cell>
          <cell r="B172">
            <v>2002</v>
          </cell>
          <cell r="C172">
            <v>2003</v>
          </cell>
          <cell r="D172">
            <v>2004</v>
          </cell>
          <cell r="E172" t="str">
            <v>2005E</v>
          </cell>
          <cell r="F172" t="str">
            <v>2006E</v>
          </cell>
          <cell r="G172" t="str">
            <v>02-06E CAGR</v>
          </cell>
        </row>
        <row r="173">
          <cell r="A173" t="str">
            <v>HSB</v>
          </cell>
          <cell r="B173">
            <v>11255</v>
          </cell>
          <cell r="C173">
            <v>11475</v>
          </cell>
          <cell r="D173">
            <v>11821</v>
          </cell>
          <cell r="E173">
            <v>11686</v>
          </cell>
          <cell r="F173">
            <v>12850.335488078852</v>
          </cell>
          <cell r="G173">
            <v>3.3694586086460587E-2</v>
          </cell>
        </row>
        <row r="174">
          <cell r="A174" t="str">
            <v>BEA</v>
          </cell>
          <cell r="B174">
            <v>2513</v>
          </cell>
          <cell r="C174">
            <v>2871</v>
          </cell>
          <cell r="D174">
            <v>2775</v>
          </cell>
          <cell r="E174">
            <v>2964</v>
          </cell>
          <cell r="F174">
            <v>4099</v>
          </cell>
          <cell r="G174">
            <v>0.13011166422485743</v>
          </cell>
        </row>
        <row r="175">
          <cell r="A175" t="str">
            <v>BOCHK</v>
          </cell>
          <cell r="B175">
            <v>12089</v>
          </cell>
          <cell r="C175">
            <v>11595</v>
          </cell>
          <cell r="D175">
            <v>10352</v>
          </cell>
          <cell r="E175">
            <v>12166</v>
          </cell>
          <cell r="F175">
            <v>15277.794464760202</v>
          </cell>
          <cell r="G175">
            <v>6.0272680659596789E-2</v>
          </cell>
        </row>
        <row r="176">
          <cell r="A176" t="str">
            <v>DSF</v>
          </cell>
          <cell r="B176">
            <v>1587.5590000000002</v>
          </cell>
          <cell r="C176">
            <v>1557</v>
          </cell>
          <cell r="D176">
            <v>1509.5929999999998</v>
          </cell>
          <cell r="E176">
            <v>1257.7059999999997</v>
          </cell>
          <cell r="F176">
            <v>1801.2819406582817</v>
          </cell>
          <cell r="G176">
            <v>3.2079032550050401E-2</v>
          </cell>
        </row>
        <row r="177">
          <cell r="A177" t="str">
            <v>WHB</v>
          </cell>
          <cell r="B177">
            <v>1242.1289999999999</v>
          </cell>
          <cell r="C177">
            <v>1319.3049999999998</v>
          </cell>
          <cell r="D177">
            <v>1400.961</v>
          </cell>
          <cell r="E177">
            <v>1645.0109999999993</v>
          </cell>
          <cell r="F177">
            <v>2005.248188104059</v>
          </cell>
          <cell r="G177">
            <v>0.12719838484390089</v>
          </cell>
        </row>
        <row r="178">
          <cell r="A178" t="str">
            <v>CIFH</v>
          </cell>
          <cell r="B178">
            <v>1133.8710000000001</v>
          </cell>
          <cell r="C178">
            <v>1005.7790000000001</v>
          </cell>
          <cell r="D178">
            <v>1036.8779999999999</v>
          </cell>
          <cell r="E178">
            <v>875.35999999999967</v>
          </cell>
          <cell r="F178">
            <v>1006.7380109515116</v>
          </cell>
          <cell r="G178">
            <v>-2.929290346584501E-2</v>
          </cell>
        </row>
        <row r="179">
          <cell r="A179" t="str">
            <v>ICBCA</v>
          </cell>
          <cell r="B179">
            <v>737.16299999999978</v>
          </cell>
          <cell r="C179">
            <v>794.93400000000008</v>
          </cell>
          <cell r="D179">
            <v>900.64600000000019</v>
          </cell>
          <cell r="E179">
            <v>1142.7599999999998</v>
          </cell>
          <cell r="F179">
            <v>1515.0542813871612</v>
          </cell>
          <cell r="G179">
            <v>0.19733634609250417</v>
          </cell>
        </row>
        <row r="180">
          <cell r="A180" t="str">
            <v>WLB</v>
          </cell>
          <cell r="B180">
            <v>1036.7259999999999</v>
          </cell>
          <cell r="C180">
            <v>1086.1659999999999</v>
          </cell>
          <cell r="D180">
            <v>1085.5569999999998</v>
          </cell>
          <cell r="E180">
            <v>1063.634</v>
          </cell>
          <cell r="F180">
            <v>1409.1954663314812</v>
          </cell>
          <cell r="G180">
            <v>7.9758947990137719E-2</v>
          </cell>
        </row>
        <row r="181">
          <cell r="A181" t="str">
            <v>Industry</v>
          </cell>
          <cell r="B181">
            <v>31594.448</v>
          </cell>
          <cell r="C181">
            <v>31704.184000000001</v>
          </cell>
          <cell r="D181">
            <v>30881.635000000002</v>
          </cell>
          <cell r="E181">
            <v>32800.470999999998</v>
          </cell>
          <cell r="F181">
            <v>39964.647840271551</v>
          </cell>
          <cell r="G181">
            <v>6.0513752200162418E-2</v>
          </cell>
        </row>
        <row r="183">
          <cell r="A183" t="str">
            <v>Loan Loss Provisions</v>
          </cell>
        </row>
        <row r="184">
          <cell r="A184" t="str">
            <v>(HK$mn)</v>
          </cell>
          <cell r="B184">
            <v>2002</v>
          </cell>
          <cell r="C184">
            <v>2003</v>
          </cell>
          <cell r="D184">
            <v>2004</v>
          </cell>
          <cell r="E184" t="str">
            <v>2005E</v>
          </cell>
          <cell r="F184" t="str">
            <v>2006E</v>
          </cell>
          <cell r="G184" t="str">
            <v>02-06E CAGR</v>
          </cell>
        </row>
        <row r="185">
          <cell r="A185" t="str">
            <v>HSB</v>
          </cell>
          <cell r="B185">
            <v>571</v>
          </cell>
          <cell r="C185">
            <v>792</v>
          </cell>
          <cell r="D185">
            <v>-777</v>
          </cell>
          <cell r="E185">
            <v>618</v>
          </cell>
          <cell r="F185">
            <v>160.44456934101459</v>
          </cell>
          <cell r="G185">
            <v>-0.27193152218371464</v>
          </cell>
        </row>
        <row r="186">
          <cell r="A186" t="str">
            <v>BEA</v>
          </cell>
          <cell r="B186">
            <v>811</v>
          </cell>
          <cell r="C186">
            <v>499</v>
          </cell>
          <cell r="D186">
            <v>273</v>
          </cell>
          <cell r="E186">
            <v>142</v>
          </cell>
          <cell r="F186">
            <v>202</v>
          </cell>
          <cell r="G186">
            <v>-0.29354804907080156</v>
          </cell>
        </row>
        <row r="187">
          <cell r="A187" t="str">
            <v>BOCHK</v>
          </cell>
          <cell r="B187">
            <v>2855</v>
          </cell>
          <cell r="C187">
            <v>1671</v>
          </cell>
          <cell r="D187">
            <v>-1628</v>
          </cell>
          <cell r="E187">
            <v>-2645</v>
          </cell>
          <cell r="F187">
            <v>-267.59485349361375</v>
          </cell>
          <cell r="G187" t="e">
            <v>#NUM!</v>
          </cell>
        </row>
        <row r="188">
          <cell r="A188" t="str">
            <v>DSF</v>
          </cell>
          <cell r="B188">
            <v>704.13800000000003</v>
          </cell>
          <cell r="C188">
            <v>535</v>
          </cell>
          <cell r="D188">
            <v>209</v>
          </cell>
          <cell r="E188">
            <v>130.63999999999999</v>
          </cell>
          <cell r="F188">
            <v>176.91160668508292</v>
          </cell>
          <cell r="G188">
            <v>-0.29201405506722022</v>
          </cell>
        </row>
        <row r="189">
          <cell r="A189" t="str">
            <v>WHB</v>
          </cell>
          <cell r="B189">
            <v>468.00599999999997</v>
          </cell>
          <cell r="C189">
            <v>325.28699999999998</v>
          </cell>
          <cell r="D189">
            <v>54.433999999999997</v>
          </cell>
          <cell r="E189">
            <v>54.055999999999997</v>
          </cell>
          <cell r="F189">
            <v>45.301342061805826</v>
          </cell>
          <cell r="G189">
            <v>-0.4422174648705598</v>
          </cell>
        </row>
        <row r="190">
          <cell r="A190" t="str">
            <v>CIFH</v>
          </cell>
          <cell r="B190">
            <v>539.80200000000002</v>
          </cell>
          <cell r="C190">
            <v>513.78099999999995</v>
          </cell>
          <cell r="D190">
            <v>77.885000000000005</v>
          </cell>
          <cell r="E190">
            <v>-57.55</v>
          </cell>
          <cell r="F190">
            <v>32.100727109861282</v>
          </cell>
          <cell r="G190">
            <v>-0.50617838541848847</v>
          </cell>
        </row>
        <row r="191">
          <cell r="A191" t="str">
            <v>ICBCA</v>
          </cell>
          <cell r="B191">
            <v>181.512</v>
          </cell>
          <cell r="C191">
            <v>129.23599999999999</v>
          </cell>
          <cell r="D191">
            <v>-21.557000000000002</v>
          </cell>
          <cell r="E191">
            <v>6.3239999999999998</v>
          </cell>
          <cell r="F191">
            <v>96.484171163072006</v>
          </cell>
          <cell r="G191">
            <v>-0.14613800826150292</v>
          </cell>
        </row>
        <row r="192">
          <cell r="A192" t="str">
            <v>WLB</v>
          </cell>
          <cell r="B192">
            <v>141.67699999999999</v>
          </cell>
          <cell r="C192">
            <v>67.122</v>
          </cell>
          <cell r="D192">
            <v>-113.89</v>
          </cell>
          <cell r="E192">
            <v>19.829999999999998</v>
          </cell>
          <cell r="F192">
            <v>127.52713875766409</v>
          </cell>
          <cell r="G192">
            <v>-2.5962189186216622E-2</v>
          </cell>
        </row>
        <row r="193">
          <cell r="A193" t="str">
            <v>Industry</v>
          </cell>
          <cell r="B193">
            <v>6272.1349999999993</v>
          </cell>
          <cell r="C193">
            <v>4532.4259999999995</v>
          </cell>
          <cell r="D193">
            <v>-1926.1280000000002</v>
          </cell>
          <cell r="E193">
            <v>-1731.7</v>
          </cell>
          <cell r="F193">
            <v>573.17470162488689</v>
          </cell>
          <cell r="G193">
            <v>-0.45018332890218782</v>
          </cell>
        </row>
        <row r="195">
          <cell r="A195" t="str">
            <v>Operating Profits</v>
          </cell>
        </row>
        <row r="196">
          <cell r="A196" t="str">
            <v>(HK$mn)</v>
          </cell>
          <cell r="B196">
            <v>2002</v>
          </cell>
          <cell r="C196">
            <v>2003</v>
          </cell>
          <cell r="D196">
            <v>2004</v>
          </cell>
          <cell r="E196" t="str">
            <v>2005E</v>
          </cell>
          <cell r="F196" t="str">
            <v>2006E</v>
          </cell>
          <cell r="G196" t="str">
            <v>02-06E CAGR</v>
          </cell>
        </row>
        <row r="197">
          <cell r="A197" t="str">
            <v>HSB</v>
          </cell>
          <cell r="B197">
            <v>10684</v>
          </cell>
          <cell r="C197">
            <v>10683</v>
          </cell>
          <cell r="D197">
            <v>12598</v>
          </cell>
          <cell r="E197">
            <v>11068</v>
          </cell>
          <cell r="F197">
            <v>12689.890918737838</v>
          </cell>
          <cell r="G197">
            <v>4.395313400119738E-2</v>
          </cell>
        </row>
        <row r="198">
          <cell r="A198" t="str">
            <v>BEA</v>
          </cell>
          <cell r="B198">
            <v>1702</v>
          </cell>
          <cell r="C198">
            <v>2372</v>
          </cell>
          <cell r="D198">
            <v>2502</v>
          </cell>
          <cell r="E198">
            <v>2822</v>
          </cell>
          <cell r="F198">
            <v>3897</v>
          </cell>
          <cell r="G198">
            <v>0.23010649760063306</v>
          </cell>
        </row>
        <row r="199">
          <cell r="A199" t="str">
            <v>BOCHK</v>
          </cell>
          <cell r="B199">
            <v>9234</v>
          </cell>
          <cell r="C199">
            <v>9924</v>
          </cell>
          <cell r="D199">
            <v>11980</v>
          </cell>
          <cell r="E199">
            <v>14811</v>
          </cell>
          <cell r="F199">
            <v>15545.389318253816</v>
          </cell>
          <cell r="G199">
            <v>0.13907660768657171</v>
          </cell>
        </row>
        <row r="200">
          <cell r="A200" t="str">
            <v>DSF</v>
          </cell>
          <cell r="B200">
            <v>883.42100000000016</v>
          </cell>
          <cell r="C200">
            <v>1022</v>
          </cell>
          <cell r="D200">
            <v>1300.5929999999998</v>
          </cell>
          <cell r="E200">
            <v>1127.0659999999998</v>
          </cell>
          <cell r="F200">
            <v>1624.3703339731987</v>
          </cell>
          <cell r="G200">
            <v>0.16447275708746001</v>
          </cell>
        </row>
        <row r="201">
          <cell r="A201" t="str">
            <v>WHB</v>
          </cell>
          <cell r="B201">
            <v>774.12299999999993</v>
          </cell>
          <cell r="C201">
            <v>994.0179999999998</v>
          </cell>
          <cell r="D201">
            <v>1346.527</v>
          </cell>
          <cell r="E201">
            <v>1590.9549999999992</v>
          </cell>
          <cell r="F201">
            <v>1959.9468460422531</v>
          </cell>
          <cell r="G201">
            <v>0.26141671233881736</v>
          </cell>
        </row>
        <row r="202">
          <cell r="A202" t="str">
            <v>CIFH</v>
          </cell>
          <cell r="B202">
            <v>594.06900000000007</v>
          </cell>
          <cell r="C202">
            <v>491.99800000000016</v>
          </cell>
          <cell r="D202">
            <v>958.99299999999994</v>
          </cell>
          <cell r="E202">
            <v>932.90999999999963</v>
          </cell>
          <cell r="F202">
            <v>974.63728384165029</v>
          </cell>
          <cell r="G202">
            <v>0.13175268271513763</v>
          </cell>
        </row>
        <row r="203">
          <cell r="A203" t="str">
            <v>ICBCA</v>
          </cell>
          <cell r="B203">
            <v>555.65099999999984</v>
          </cell>
          <cell r="C203">
            <v>665.69800000000009</v>
          </cell>
          <cell r="D203">
            <v>922.2030000000002</v>
          </cell>
          <cell r="E203">
            <v>1136.4359999999997</v>
          </cell>
          <cell r="F203">
            <v>1418.5701102240891</v>
          </cell>
          <cell r="G203">
            <v>0.26404395523048518</v>
          </cell>
        </row>
        <row r="204">
          <cell r="A204" t="str">
            <v>WLB</v>
          </cell>
          <cell r="B204">
            <v>895.04899999999986</v>
          </cell>
          <cell r="C204">
            <v>1019.044</v>
          </cell>
          <cell r="D204">
            <v>1199.4469999999999</v>
          </cell>
          <cell r="E204">
            <v>1043.8040000000001</v>
          </cell>
          <cell r="F204">
            <v>1281.6683275738171</v>
          </cell>
          <cell r="G204">
            <v>9.3911555805453295E-2</v>
          </cell>
        </row>
        <row r="205">
          <cell r="A205" t="str">
            <v>Industry</v>
          </cell>
          <cell r="B205">
            <v>25322.312999999995</v>
          </cell>
          <cell r="C205">
            <v>27171.758000000002</v>
          </cell>
          <cell r="D205">
            <v>32807.762999999999</v>
          </cell>
          <cell r="E205">
            <v>34532.171000000002</v>
          </cell>
          <cell r="F205">
            <v>39391.473138646659</v>
          </cell>
          <cell r="G205">
            <v>0.11679821847167271</v>
          </cell>
        </row>
        <row r="207">
          <cell r="A207" t="str">
            <v>ModelWare Profit</v>
          </cell>
        </row>
        <row r="208">
          <cell r="A208" t="str">
            <v>(HK$mn)</v>
          </cell>
          <cell r="B208">
            <v>2002</v>
          </cell>
          <cell r="C208">
            <v>2003</v>
          </cell>
          <cell r="D208">
            <v>2004</v>
          </cell>
          <cell r="E208" t="str">
            <v>2005E</v>
          </cell>
          <cell r="F208" t="str">
            <v>2006E</v>
          </cell>
          <cell r="G208" t="str">
            <v>02-06E CAGR</v>
          </cell>
        </row>
        <row r="209">
          <cell r="A209" t="str">
            <v>HSB</v>
          </cell>
          <cell r="B209">
            <v>9920</v>
          </cell>
          <cell r="C209">
            <v>9539</v>
          </cell>
          <cell r="D209">
            <v>11364</v>
          </cell>
          <cell r="E209">
            <v>11342</v>
          </cell>
          <cell r="F209">
            <v>12067.907280927164</v>
          </cell>
          <cell r="G209">
            <v>5.0219488750607333E-2</v>
          </cell>
        </row>
        <row r="210">
          <cell r="A210" t="str">
            <v>BEA</v>
          </cell>
          <cell r="B210">
            <v>1407</v>
          </cell>
          <cell r="C210">
            <v>2062</v>
          </cell>
          <cell r="D210">
            <v>2567</v>
          </cell>
          <cell r="E210">
            <v>2747</v>
          </cell>
          <cell r="F210">
            <v>3380.5011193286255</v>
          </cell>
          <cell r="G210">
            <v>0.24500686646252468</v>
          </cell>
        </row>
        <row r="211">
          <cell r="A211" t="str">
            <v>BOCHK</v>
          </cell>
          <cell r="B211">
            <v>6673</v>
          </cell>
          <cell r="C211">
            <v>7963</v>
          </cell>
          <cell r="D211">
            <v>11961</v>
          </cell>
          <cell r="E211">
            <v>13494</v>
          </cell>
          <cell r="F211">
            <v>13381.474227333205</v>
          </cell>
          <cell r="G211">
            <v>0.18999656912498142</v>
          </cell>
        </row>
        <row r="212">
          <cell r="A212" t="str">
            <v>DSF</v>
          </cell>
          <cell r="B212">
            <v>828.99000000000012</v>
          </cell>
          <cell r="C212">
            <v>992</v>
          </cell>
          <cell r="D212">
            <v>1149.5729999999999</v>
          </cell>
          <cell r="E212">
            <v>1018.7999999999997</v>
          </cell>
          <cell r="F212">
            <v>1192.3597242431192</v>
          </cell>
          <cell r="G212">
            <v>9.5127037982285279E-2</v>
          </cell>
        </row>
        <row r="213">
          <cell r="A213" t="str">
            <v>WHB</v>
          </cell>
          <cell r="B213">
            <v>668.57600000000002</v>
          </cell>
          <cell r="C213">
            <v>876.31199999999978</v>
          </cell>
          <cell r="D213">
            <v>1211.454</v>
          </cell>
          <cell r="E213">
            <v>1348.7479999999994</v>
          </cell>
          <cell r="F213">
            <v>1676.4353506754926</v>
          </cell>
          <cell r="G213">
            <v>0.25837188595818872</v>
          </cell>
        </row>
        <row r="214">
          <cell r="A214" t="str">
            <v>CIFH</v>
          </cell>
          <cell r="B214">
            <v>598.18899999999996</v>
          </cell>
          <cell r="C214">
            <v>708.32400000000018</v>
          </cell>
          <cell r="D214">
            <v>944.31</v>
          </cell>
          <cell r="E214">
            <v>1102.8369999999998</v>
          </cell>
          <cell r="F214">
            <v>1016.9353184269862</v>
          </cell>
          <cell r="G214">
            <v>0.14186228059124861</v>
          </cell>
        </row>
        <row r="215">
          <cell r="A215" t="str">
            <v>ICBCA</v>
          </cell>
          <cell r="B215">
            <v>447.98799999999983</v>
          </cell>
          <cell r="C215">
            <v>480.78500000000008</v>
          </cell>
          <cell r="D215">
            <v>760.28100000000018</v>
          </cell>
          <cell r="E215">
            <v>980.6239999999998</v>
          </cell>
          <cell r="F215">
            <v>1149.8560881792714</v>
          </cell>
          <cell r="G215">
            <v>0.26573933578454234</v>
          </cell>
        </row>
        <row r="216">
          <cell r="A216" t="str">
            <v>WLB</v>
          </cell>
          <cell r="B216">
            <v>759.57799999999986</v>
          </cell>
          <cell r="C216">
            <v>858.80399999999997</v>
          </cell>
          <cell r="D216">
            <v>1033.502</v>
          </cell>
          <cell r="E216">
            <v>1108.894</v>
          </cell>
          <cell r="F216">
            <v>1156.8547367998754</v>
          </cell>
          <cell r="G216">
            <v>0.11090421070317946</v>
          </cell>
        </row>
        <row r="217">
          <cell r="A217" t="str">
            <v>Industry</v>
          </cell>
          <cell r="B217">
            <v>21303.321000000004</v>
          </cell>
          <cell r="C217">
            <v>23480.224999999999</v>
          </cell>
          <cell r="D217">
            <v>30991.120000000003</v>
          </cell>
          <cell r="E217">
            <v>33142.902999999998</v>
          </cell>
          <cell r="F217">
            <v>35022.323845913743</v>
          </cell>
          <cell r="G217">
            <v>0.1323336459249953</v>
          </cell>
        </row>
        <row r="227">
          <cell r="A227" t="str">
            <v>2006 vs 2005</v>
          </cell>
        </row>
        <row r="228">
          <cell r="A228" t="str">
            <v>(%)</v>
          </cell>
          <cell r="B228" t="str">
            <v>HSB</v>
          </cell>
          <cell r="C228" t="str">
            <v>BEA</v>
          </cell>
          <cell r="D228" t="str">
            <v>BOCHK</v>
          </cell>
          <cell r="E228" t="str">
            <v>DSF</v>
          </cell>
          <cell r="F228" t="str">
            <v>WHB</v>
          </cell>
          <cell r="G228" t="str">
            <v>CIFH</v>
          </cell>
          <cell r="H228" t="str">
            <v>ICBCA</v>
          </cell>
          <cell r="I228" t="str">
            <v>WLB</v>
          </cell>
          <cell r="J228" t="str">
            <v>Industry</v>
          </cell>
        </row>
        <row r="229">
          <cell r="A229" t="str">
            <v>Net Interest Income</v>
          </cell>
          <cell r="B229">
            <v>0.16698188363560296</v>
          </cell>
          <cell r="C229">
            <v>0.2938829787234043</v>
          </cell>
          <cell r="D229">
            <v>0.23053428437200707</v>
          </cell>
          <cell r="E229">
            <v>0.50384263183480305</v>
          </cell>
          <cell r="F229">
            <v>0.14858091051156008</v>
          </cell>
          <cell r="G229">
            <v>-2.5790865146629205E-2</v>
          </cell>
          <cell r="H229">
            <v>0.32495566584662527</v>
          </cell>
          <cell r="I229">
            <v>0.24305529828695116</v>
          </cell>
          <cell r="J229">
            <v>0.21954799992040686</v>
          </cell>
        </row>
        <row r="230">
          <cell r="A230" t="str">
            <v>Non Interest Income</v>
          </cell>
          <cell r="B230">
            <v>-4.6998450813322989E-2</v>
          </cell>
          <cell r="C230">
            <v>0.23129562043795615</v>
          </cell>
          <cell r="D230">
            <v>0.14684310787634103</v>
          </cell>
          <cell r="E230">
            <v>0.10514488372093012</v>
          </cell>
          <cell r="F230">
            <v>0.20733527388197937</v>
          </cell>
          <cell r="G230">
            <v>0.23663358946061708</v>
          </cell>
          <cell r="H230">
            <v>-2.6958610185946474E-3</v>
          </cell>
          <cell r="I230">
            <v>0.25258832830874178</v>
          </cell>
          <cell r="J230">
            <v>9.825421029354775E-2</v>
          </cell>
        </row>
        <row r="231">
          <cell r="A231" t="str">
            <v>Operating Income</v>
          </cell>
          <cell r="B231">
            <v>9.8906819127578371E-2</v>
          </cell>
          <cell r="C231">
            <v>0.27083333333333326</v>
          </cell>
          <cell r="D231">
            <v>0.20704875194234473</v>
          </cell>
          <cell r="E231">
            <v>0.35200963066801183</v>
          </cell>
          <cell r="F231">
            <v>0.16552480086388122</v>
          </cell>
          <cell r="G231">
            <v>9.02047112311537E-2</v>
          </cell>
          <cell r="H231">
            <v>0.20940035533324708</v>
          </cell>
          <cell r="I231">
            <v>0.24599189642876174</v>
          </cell>
          <cell r="J231">
            <v>0.18098782706688055</v>
          </cell>
        </row>
        <row r="232">
          <cell r="A232" t="str">
            <v>Operating Expenses</v>
          </cell>
          <cell r="B232">
            <v>9.7034755829300767E-2</v>
          </cell>
          <cell r="C232">
            <v>0.15963855421686746</v>
          </cell>
          <cell r="D232">
            <v>0.10358638743455506</v>
          </cell>
          <cell r="E232">
            <v>0.25121526337619238</v>
          </cell>
          <cell r="F232">
            <v>7.5395613190966548E-2</v>
          </cell>
          <cell r="G232">
            <v>4.2322195913356175E-2</v>
          </cell>
          <cell r="H232">
            <v>6.0000000000000053E-2</v>
          </cell>
          <cell r="I232">
            <v>0.10032770407549307</v>
          </cell>
          <cell r="J232">
            <v>0.11202169935465411</v>
          </cell>
        </row>
        <row r="233">
          <cell r="A233" t="str">
            <v>Pre-Provision Profits</v>
          </cell>
          <cell r="B233">
            <v>9.9635075139384854E-2</v>
          </cell>
          <cell r="C233">
            <v>0.38292847503373828</v>
          </cell>
          <cell r="D233">
            <v>0.25577794384022701</v>
          </cell>
          <cell r="E233">
            <v>0.4321963484775313</v>
          </cell>
          <cell r="F233">
            <v>0.21898770774423992</v>
          </cell>
          <cell r="G233">
            <v>0.15008454915864555</v>
          </cell>
          <cell r="H233">
            <v>0.32578518795474243</v>
          </cell>
          <cell r="I233">
            <v>0.32488757066009666</v>
          </cell>
          <cell r="J233">
            <v>0.21841688920477864</v>
          </cell>
        </row>
        <row r="234">
          <cell r="A234" t="str">
            <v>Operating Profits</v>
          </cell>
          <cell r="B234">
            <v>0.1465387530482325</v>
          </cell>
          <cell r="C234">
            <v>0.38093550673281351</v>
          </cell>
          <cell r="D234">
            <v>4.9584046874202592E-2</v>
          </cell>
          <cell r="E234">
            <v>0.44123798781366763</v>
          </cell>
          <cell r="F234">
            <v>0.23193103893086486</v>
          </cell>
          <cell r="G234">
            <v>4.4728091500413347E-2</v>
          </cell>
          <cell r="H234">
            <v>0.2482622076598151</v>
          </cell>
          <cell r="I234">
            <v>0.22788217670541311</v>
          </cell>
          <cell r="J234">
            <v>0.14071811872606199</v>
          </cell>
        </row>
        <row r="235">
          <cell r="A235" t="str">
            <v>Modelware Earnings</v>
          </cell>
          <cell r="B235">
            <v>6.4001699958311065E-2</v>
          </cell>
          <cell r="C235">
            <v>0.23061562407303438</v>
          </cell>
          <cell r="D235">
            <v>-8.338948619148856E-3</v>
          </cell>
          <cell r="E235">
            <v>0.17035701240981505</v>
          </cell>
          <cell r="F235">
            <v>0.24295669070537529</v>
          </cell>
          <cell r="G235">
            <v>-7.7891548409251388E-2</v>
          </cell>
          <cell r="H235">
            <v>0.17257591918948711</v>
          </cell>
          <cell r="I235">
            <v>4.325096609763901E-2</v>
          </cell>
          <cell r="J235">
            <v>5.6706584993889697E-2</v>
          </cell>
        </row>
        <row r="248">
          <cell r="A248" t="str">
            <v>Fee and Commissiont income</v>
          </cell>
        </row>
        <row r="249">
          <cell r="A249" t="str">
            <v>(HK$mn)</v>
          </cell>
          <cell r="B249">
            <v>2005</v>
          </cell>
          <cell r="C249" t="str">
            <v>2006E</v>
          </cell>
          <cell r="D249" t="str">
            <v>2007E</v>
          </cell>
          <cell r="E249" t="str">
            <v>06E Chg</v>
          </cell>
          <cell r="F249" t="str">
            <v>07E Chg</v>
          </cell>
        </row>
        <row r="250">
          <cell r="A250" t="str">
            <v>BEA</v>
          </cell>
          <cell r="B250">
            <v>1369</v>
          </cell>
          <cell r="C250">
            <v>1610</v>
          </cell>
          <cell r="D250">
            <v>1851.4999999999998</v>
          </cell>
          <cell r="E250">
            <v>0.17604090577063558</v>
          </cell>
          <cell r="F250">
            <v>0.14999999999999991</v>
          </cell>
        </row>
        <row r="251">
          <cell r="A251" t="str">
            <v>CIFH</v>
          </cell>
          <cell r="B251">
            <v>426.82499999999999</v>
          </cell>
          <cell r="C251">
            <v>533.53125</v>
          </cell>
          <cell r="D251">
            <v>613.56093749999991</v>
          </cell>
          <cell r="E251">
            <v>0.25</v>
          </cell>
          <cell r="F251">
            <v>0.14999999999999991</v>
          </cell>
        </row>
        <row r="252">
          <cell r="A252" t="str">
            <v>ICBCA</v>
          </cell>
          <cell r="B252">
            <v>402.56600000000003</v>
          </cell>
          <cell r="C252">
            <v>483.07920000000001</v>
          </cell>
          <cell r="D252">
            <v>541.04870400000004</v>
          </cell>
          <cell r="E252">
            <v>0.19999999999999996</v>
          </cell>
          <cell r="F252">
            <v>0.12000000000000011</v>
          </cell>
        </row>
        <row r="253">
          <cell r="A253" t="str">
            <v>HSB</v>
          </cell>
          <cell r="B253">
            <v>2874</v>
          </cell>
          <cell r="C253">
            <v>3305.1</v>
          </cell>
          <cell r="D253">
            <v>3635.61</v>
          </cell>
          <cell r="E253">
            <v>0.14999999999999991</v>
          </cell>
          <cell r="F253">
            <v>0.10000000000000009</v>
          </cell>
        </row>
        <row r="254">
          <cell r="A254" t="str">
            <v>DSF</v>
          </cell>
          <cell r="B254">
            <v>355.774</v>
          </cell>
          <cell r="C254">
            <v>498.08359999999999</v>
          </cell>
          <cell r="D254">
            <v>597.70031999999992</v>
          </cell>
          <cell r="E254">
            <v>0.39999999999999991</v>
          </cell>
          <cell r="F254">
            <v>0.19999999999999996</v>
          </cell>
        </row>
        <row r="255">
          <cell r="A255" t="str">
            <v>WHB</v>
          </cell>
          <cell r="B255">
            <v>481.9</v>
          </cell>
          <cell r="C255">
            <v>578.28</v>
          </cell>
          <cell r="D255">
            <v>655.14686271228766</v>
          </cell>
          <cell r="E255">
            <v>0.19999999999999996</v>
          </cell>
          <cell r="F255">
            <v>0.1329232598607728</v>
          </cell>
        </row>
        <row r="256">
          <cell r="A256" t="str">
            <v>WLB</v>
          </cell>
          <cell r="B256">
            <v>201.94200000000001</v>
          </cell>
          <cell r="C256">
            <v>226.17504000000002</v>
          </cell>
          <cell r="D256">
            <v>253.31604480000004</v>
          </cell>
          <cell r="E256">
            <v>0.12000000000000011</v>
          </cell>
          <cell r="F256">
            <v>0.12000000000000011</v>
          </cell>
        </row>
        <row r="257">
          <cell r="A257" t="str">
            <v>BOCHK</v>
          </cell>
          <cell r="B257">
            <v>3053</v>
          </cell>
          <cell r="C257">
            <v>3449.89</v>
          </cell>
          <cell r="D257">
            <v>3967.3734999999997</v>
          </cell>
          <cell r="E257">
            <v>0.12999999999999989</v>
          </cell>
          <cell r="F257">
            <v>0.14999999999999991</v>
          </cell>
        </row>
        <row r="262">
          <cell r="A262" t="str">
            <v>BOCHK and HSB:</v>
          </cell>
        </row>
        <row r="263">
          <cell r="E263" t="str">
            <v>EPS</v>
          </cell>
          <cell r="F263" t="str">
            <v>EPS</v>
          </cell>
          <cell r="G263" t="str">
            <v>EPS</v>
          </cell>
          <cell r="H263" t="str">
            <v>EPS</v>
          </cell>
        </row>
        <row r="264">
          <cell r="B264" t="str">
            <v>EPS 04-06E CAGR</v>
          </cell>
          <cell r="C264" t="str">
            <v>EPS 07E growth</v>
          </cell>
          <cell r="E264">
            <v>2004</v>
          </cell>
          <cell r="F264">
            <v>2005</v>
          </cell>
          <cell r="G264">
            <v>2006</v>
          </cell>
          <cell r="H264">
            <v>2007</v>
          </cell>
        </row>
        <row r="265">
          <cell r="A265" t="str">
            <v>HSB</v>
          </cell>
          <cell r="B265">
            <v>3.0505632484420619E-2</v>
          </cell>
          <cell r="C265">
            <v>0.11456466867935378</v>
          </cell>
          <cell r="E265">
            <v>5.9441364159430901</v>
          </cell>
          <cell r="F265">
            <v>5.9326289360811799</v>
          </cell>
          <cell r="G265">
            <v>6.3123272732122411</v>
          </cell>
          <cell r="H265">
            <v>7.0354969558634499</v>
          </cell>
        </row>
        <row r="266">
          <cell r="A266" t="str">
            <v>BOCHK</v>
          </cell>
          <cell r="B266">
            <v>5.7713958704190382E-2</v>
          </cell>
          <cell r="C266">
            <v>7.8061176928615694E-2</v>
          </cell>
          <cell r="E266">
            <v>1.1312991828087167</v>
          </cell>
          <cell r="F266">
            <v>1.2762938861985471</v>
          </cell>
          <cell r="G266">
            <v>1.2656509370586038</v>
          </cell>
          <cell r="H266">
            <v>1.3644491387862037</v>
          </cell>
        </row>
        <row r="267">
          <cell r="A267" t="str">
            <v>HK Mid-Sized Banks Ave</v>
          </cell>
          <cell r="B267">
            <v>8.1148944870978207E-2</v>
          </cell>
          <cell r="C267">
            <v>0.10361927371340354</v>
          </cell>
        </row>
        <row r="268">
          <cell r="A268" t="str">
            <v>DSF</v>
          </cell>
          <cell r="B268">
            <v>1.5533289631307401E-2</v>
          </cell>
          <cell r="C268">
            <v>0.19895498660252198</v>
          </cell>
          <cell r="E268">
            <v>4.6439325692909916</v>
          </cell>
          <cell r="F268">
            <v>4.0921907761023766</v>
          </cell>
          <cell r="G268">
            <v>4.789324170930179</v>
          </cell>
          <cell r="H268">
            <v>5.7421840971927276</v>
          </cell>
        </row>
        <row r="269">
          <cell r="A269" t="str">
            <v>WHB</v>
          </cell>
          <cell r="B269">
            <v>0.17561850785240085</v>
          </cell>
          <cell r="C269">
            <v>7.0205740659684768E-2</v>
          </cell>
          <cell r="E269">
            <v>4.1262057220708446</v>
          </cell>
          <cell r="F269">
            <v>4.5880454316467079</v>
          </cell>
          <cell r="G269">
            <v>5.7027417665255067</v>
          </cell>
          <cell r="H269">
            <v>6.1031069760353489</v>
          </cell>
        </row>
        <row r="270">
          <cell r="A270" t="str">
            <v>CIFH</v>
          </cell>
          <cell r="B270">
            <v>2.4532543578750676E-2</v>
          </cell>
          <cell r="C270">
            <v>-6.142856783266426E-3</v>
          </cell>
          <cell r="E270">
            <v>0.29582202823398462</v>
          </cell>
          <cell r="F270">
            <v>0.34548345156938176</v>
          </cell>
          <cell r="G270">
            <v>0.31051460104640799</v>
          </cell>
          <cell r="H270">
            <v>0.30860715432306679</v>
          </cell>
        </row>
        <row r="271">
          <cell r="A271" t="str">
            <v>ICBCA</v>
          </cell>
          <cell r="B271">
            <v>0.13206504559803878</v>
          </cell>
          <cell r="C271">
            <v>0.15679452673900007</v>
          </cell>
          <cell r="E271">
            <v>0.80019306826835657</v>
          </cell>
          <cell r="F271">
            <v>0.91095506740029275</v>
          </cell>
          <cell r="G271">
            <v>1.0255044447172967</v>
          </cell>
          <cell r="H271">
            <v>1.1862979287954865</v>
          </cell>
        </row>
        <row r="272">
          <cell r="A272" t="str">
            <v>WLB</v>
          </cell>
          <cell r="B272">
            <v>5.7995337694393356E-2</v>
          </cell>
          <cell r="C272">
            <v>9.8283971349077293E-2</v>
          </cell>
          <cell r="E272">
            <v>4.4511008647221111</v>
          </cell>
          <cell r="F272">
            <v>4.7758001845039111</v>
          </cell>
          <cell r="G272">
            <v>4.982358156372988</v>
          </cell>
          <cell r="H272">
            <v>5.4720441026647926</v>
          </cell>
        </row>
        <row r="274">
          <cell r="B274" t="str">
            <v>HSB</v>
          </cell>
          <cell r="C274" t="str">
            <v>HSB</v>
          </cell>
          <cell r="D274" t="str">
            <v>HSB</v>
          </cell>
          <cell r="E274" t="str">
            <v>BOCHK</v>
          </cell>
          <cell r="F274" t="str">
            <v>BOCHK</v>
          </cell>
          <cell r="G274" t="str">
            <v>BOCHK</v>
          </cell>
        </row>
        <row r="276">
          <cell r="B276" t="str">
            <v>HSB</v>
          </cell>
          <cell r="E276" t="str">
            <v>BOCHK</v>
          </cell>
        </row>
        <row r="277">
          <cell r="A277" t="str">
            <v>(HK$mn)</v>
          </cell>
          <cell r="B277" t="str">
            <v>2006E</v>
          </cell>
          <cell r="C277" t="str">
            <v>2007E</v>
          </cell>
          <cell r="D277" t="str">
            <v>07E Chg.</v>
          </cell>
          <cell r="E277" t="str">
            <v>2006E</v>
          </cell>
          <cell r="F277" t="str">
            <v>2007E</v>
          </cell>
          <cell r="G277" t="str">
            <v>07E Chg.</v>
          </cell>
        </row>
        <row r="278">
          <cell r="A278" t="str">
            <v>Net interest income</v>
          </cell>
          <cell r="B278">
            <v>12916.155488078854</v>
          </cell>
          <cell r="C278">
            <v>14717.09295603578</v>
          </cell>
          <cell r="D278">
            <v>0.13943293494872577</v>
          </cell>
          <cell r="E278">
            <v>15841.898377005218</v>
          </cell>
          <cell r="F278">
            <v>17324.125265863375</v>
          </cell>
          <cell r="G278">
            <v>9.3563716518320517E-2</v>
          </cell>
        </row>
        <row r="279">
          <cell r="A279" t="str">
            <v>Non-interest income</v>
          </cell>
          <cell r="B279">
            <v>4921.3</v>
          </cell>
          <cell r="C279">
            <v>5381.43</v>
          </cell>
          <cell r="D279">
            <v>9.3497653059151142E-2</v>
          </cell>
          <cell r="E279">
            <v>5759.4460877549845</v>
          </cell>
          <cell r="F279">
            <v>6538.2474520335882</v>
          </cell>
          <cell r="G279">
            <v>0.13522157381321676</v>
          </cell>
        </row>
        <row r="280">
          <cell r="A280" t="str">
            <v>Operating Revenue</v>
          </cell>
          <cell r="B280">
            <v>17837.455488078853</v>
          </cell>
          <cell r="C280">
            <v>20098.52295603578</v>
          </cell>
          <cell r="D280">
            <v>0.12675952965758186</v>
          </cell>
          <cell r="E280">
            <v>21601.344464760201</v>
          </cell>
          <cell r="F280">
            <v>23862.372717896964</v>
          </cell>
          <cell r="G280">
            <v>0.10467071884462276</v>
          </cell>
        </row>
        <row r="281">
          <cell r="A281" t="str">
            <v>Operating Costs</v>
          </cell>
          <cell r="B281">
            <v>4987.1200000000008</v>
          </cell>
          <cell r="C281">
            <v>5441.8320000000012</v>
          </cell>
          <cell r="D281">
            <v>9.11772726543576E-2</v>
          </cell>
          <cell r="E281">
            <v>6323.55</v>
          </cell>
          <cell r="F281">
            <v>6987.2264999999998</v>
          </cell>
          <cell r="G281">
            <v>0.10495315131532124</v>
          </cell>
        </row>
        <row r="282">
          <cell r="A282" t="str">
            <v>Pre-Provision Earnings</v>
          </cell>
          <cell r="B282">
            <v>12850.335488078854</v>
          </cell>
          <cell r="C282">
            <v>14656.690956035778</v>
          </cell>
          <cell r="D282">
            <v>0.14056873998602337</v>
          </cell>
          <cell r="E282">
            <v>15277.794464760202</v>
          </cell>
          <cell r="F282">
            <v>16875.146217896963</v>
          </cell>
          <cell r="G282">
            <v>0.10455381873484537</v>
          </cell>
        </row>
        <row r="283">
          <cell r="A283" t="str">
            <v>Loan Loss Charges</v>
          </cell>
          <cell r="B283">
            <v>160.44456934101459</v>
          </cell>
          <cell r="C283">
            <v>418.26980957993896</v>
          </cell>
          <cell r="D283">
            <v>1.6069427671991408</v>
          </cell>
          <cell r="E283">
            <v>-267.59485349361375</v>
          </cell>
          <cell r="F283">
            <v>482.19203606311044</v>
          </cell>
          <cell r="G283">
            <v>-2.8019480934248167</v>
          </cell>
        </row>
        <row r="284">
          <cell r="A284" t="str">
            <v>Operating Profit</v>
          </cell>
          <cell r="B284">
            <v>12689.890918737839</v>
          </cell>
          <cell r="C284">
            <v>14238.421146455839</v>
          </cell>
          <cell r="D284">
            <v>0.12202864765617849</v>
          </cell>
          <cell r="E284">
            <v>15545.389318253816</v>
          </cell>
          <cell r="F284">
            <v>16392.954181833851</v>
          </cell>
          <cell r="G284">
            <v>5.4521945139373473E-2</v>
          </cell>
        </row>
        <row r="285">
          <cell r="A285" t="str">
            <v>Exceptionals</v>
          </cell>
          <cell r="B285">
            <v>1790</v>
          </cell>
          <cell r="C285">
            <v>1820.6</v>
          </cell>
          <cell r="D285">
            <v>1.7094972067039027E-2</v>
          </cell>
          <cell r="E285">
            <v>742.08</v>
          </cell>
          <cell r="F285">
            <v>931.80799999999999</v>
          </cell>
          <cell r="G285">
            <v>0.25567054764984909</v>
          </cell>
        </row>
        <row r="286">
          <cell r="A286" t="str">
            <v>Pretax profit</v>
          </cell>
          <cell r="B286">
            <v>14479.890918737839</v>
          </cell>
          <cell r="C286">
            <v>16059.02114645584</v>
          </cell>
          <cell r="D286">
            <v>0.10905677650337209</v>
          </cell>
          <cell r="E286">
            <v>16287.469318253816</v>
          </cell>
          <cell r="F286">
            <v>17324.762181833852</v>
          </cell>
          <cell r="G286">
            <v>6.3686558256015546E-2</v>
          </cell>
        </row>
        <row r="287">
          <cell r="A287" t="str">
            <v>Taxation</v>
          </cell>
          <cell r="B287">
            <v>2171.9836378106756</v>
          </cell>
          <cell r="C287">
            <v>2328.5580662360967</v>
          </cell>
          <cell r="D287">
            <v>7.2088217286593093E-2</v>
          </cell>
          <cell r="E287">
            <v>2605.9950909206104</v>
          </cell>
          <cell r="F287">
            <v>2598.7143272750777</v>
          </cell>
          <cell r="G287">
            <v>-2.793851634985467E-3</v>
          </cell>
        </row>
        <row r="288">
          <cell r="A288" t="str">
            <v>Profit after tax</v>
          </cell>
          <cell r="B288">
            <v>12307.907280927164</v>
          </cell>
          <cell r="C288">
            <v>13730.463080219743</v>
          </cell>
          <cell r="D288">
            <v>0.11558063989456846</v>
          </cell>
          <cell r="E288">
            <v>13681.474227333205</v>
          </cell>
          <cell r="F288">
            <v>14726.047854558774</v>
          </cell>
          <cell r="G288">
            <v>7.6349493473349073E-2</v>
          </cell>
        </row>
        <row r="289">
          <cell r="A289" t="str">
            <v>Normalized Earnings</v>
          </cell>
          <cell r="B289">
            <v>12067.907280927164</v>
          </cell>
          <cell r="C289">
            <v>13450.463080219743</v>
          </cell>
          <cell r="D289">
            <v>0.11456466867935355</v>
          </cell>
          <cell r="E289">
            <v>12839.394227333205</v>
          </cell>
          <cell r="F289">
            <v>13694.239854558775</v>
          </cell>
          <cell r="G289">
            <v>6.6579903388722883E-2</v>
          </cell>
        </row>
        <row r="300">
          <cell r="A300" t="str">
            <v>Non interest income</v>
          </cell>
          <cell r="B300">
            <v>2005</v>
          </cell>
          <cell r="C300" t="str">
            <v>2006E</v>
          </cell>
          <cell r="D300" t="str">
            <v>2007E</v>
          </cell>
        </row>
        <row r="301">
          <cell r="A301" t="str">
            <v>HSB</v>
          </cell>
          <cell r="B301">
            <v>5164</v>
          </cell>
          <cell r="C301">
            <v>4921.3</v>
          </cell>
          <cell r="D301">
            <v>5381.43</v>
          </cell>
        </row>
        <row r="302">
          <cell r="A302" t="str">
            <v>BEA</v>
          </cell>
          <cell r="B302">
            <v>2192</v>
          </cell>
          <cell r="C302">
            <v>2699</v>
          </cell>
          <cell r="D302">
            <v>2771.5</v>
          </cell>
        </row>
        <row r="303">
          <cell r="A303" t="str">
            <v>BOCHK</v>
          </cell>
          <cell r="B303">
            <v>5022</v>
          </cell>
          <cell r="C303">
            <v>5759.4460877549845</v>
          </cell>
          <cell r="D303">
            <v>6538.2474520335882</v>
          </cell>
        </row>
        <row r="304">
          <cell r="A304" t="str">
            <v>DSF</v>
          </cell>
          <cell r="B304">
            <v>860</v>
          </cell>
          <cell r="C304">
            <v>950.42459999999994</v>
          </cell>
          <cell r="D304">
            <v>1230.0095199999998</v>
          </cell>
        </row>
        <row r="305">
          <cell r="A305" t="str">
            <v>WHB</v>
          </cell>
          <cell r="B305">
            <v>755.8</v>
          </cell>
          <cell r="C305">
            <v>912.50400000000002</v>
          </cell>
          <cell r="D305">
            <v>1005.7820627122876</v>
          </cell>
        </row>
        <row r="306">
          <cell r="A306" t="str">
            <v>CIFH</v>
          </cell>
          <cell r="B306">
            <v>870.79099999999994</v>
          </cell>
          <cell r="C306">
            <v>1076.8494000000001</v>
          </cell>
          <cell r="D306">
            <v>1181.6973024999998</v>
          </cell>
        </row>
        <row r="307">
          <cell r="A307" t="str">
            <v>ICBCA</v>
          </cell>
          <cell r="B307">
            <v>716.98800000000006</v>
          </cell>
          <cell r="C307">
            <v>715.05509999999992</v>
          </cell>
          <cell r="D307">
            <v>824.35347550000006</v>
          </cell>
        </row>
        <row r="308">
          <cell r="A308" t="str">
            <v>WLB</v>
          </cell>
          <cell r="B308">
            <v>505.10899999999998</v>
          </cell>
          <cell r="C308">
            <v>632.69363792370018</v>
          </cell>
          <cell r="D308">
            <v>694.30969365209387</v>
          </cell>
        </row>
        <row r="309">
          <cell r="A309" t="str">
            <v>Industry</v>
          </cell>
          <cell r="B309">
            <v>16086.687999999998</v>
          </cell>
          <cell r="C309">
            <v>17667.27282567869</v>
          </cell>
          <cell r="D309">
            <v>19627.329506397971</v>
          </cell>
        </row>
        <row r="311">
          <cell r="A311" t="str">
            <v>Total Income</v>
          </cell>
          <cell r="B311">
            <v>2005</v>
          </cell>
          <cell r="C311" t="str">
            <v>2006E</v>
          </cell>
          <cell r="D311" t="str">
            <v>2007E</v>
          </cell>
        </row>
        <row r="312">
          <cell r="A312" t="str">
            <v>HSB</v>
          </cell>
          <cell r="B312">
            <v>16232</v>
          </cell>
          <cell r="C312">
            <v>17837.455488078853</v>
          </cell>
          <cell r="D312">
            <v>20098.52295603578</v>
          </cell>
        </row>
        <row r="313">
          <cell r="A313" t="str">
            <v>BEA</v>
          </cell>
          <cell r="B313">
            <v>5952</v>
          </cell>
          <cell r="C313">
            <v>7564</v>
          </cell>
          <cell r="D313">
            <v>8359.6009609440262</v>
          </cell>
        </row>
        <row r="314">
          <cell r="A314" t="str">
            <v>BOCHK</v>
          </cell>
          <cell r="B314">
            <v>17896</v>
          </cell>
          <cell r="C314">
            <v>21601.344464760201</v>
          </cell>
          <cell r="D314">
            <v>23862.372717896964</v>
          </cell>
        </row>
        <row r="315">
          <cell r="A315" t="str">
            <v>DSF</v>
          </cell>
          <cell r="B315">
            <v>2258.2709999999997</v>
          </cell>
          <cell r="C315">
            <v>3053.2041406582816</v>
          </cell>
          <cell r="D315">
            <v>3652.9628032370265</v>
          </cell>
        </row>
        <row r="316">
          <cell r="A316" t="str">
            <v>WHB</v>
          </cell>
          <cell r="B316">
            <v>2620.7999999999993</v>
          </cell>
          <cell r="C316">
            <v>3054.607398104059</v>
          </cell>
          <cell r="D316">
            <v>3419.4188605924455</v>
          </cell>
        </row>
        <row r="317">
          <cell r="A317" t="str">
            <v>CIFH</v>
          </cell>
          <cell r="B317">
            <v>1970.0479999999998</v>
          </cell>
          <cell r="C317">
            <v>2147.7556109515117</v>
          </cell>
          <cell r="D317">
            <v>2462.3042948432035</v>
          </cell>
        </row>
        <row r="318">
          <cell r="A318" t="str">
            <v>ICBCA</v>
          </cell>
          <cell r="B318">
            <v>2032.9849999999999</v>
          </cell>
          <cell r="C318">
            <v>2458.6927813871612</v>
          </cell>
          <cell r="D318">
            <v>2731.6144945966644</v>
          </cell>
        </row>
        <row r="319">
          <cell r="A319" t="str">
            <v>WLB</v>
          </cell>
          <cell r="B319">
            <v>1639.7269999999999</v>
          </cell>
          <cell r="C319">
            <v>2043.0865543554442</v>
          </cell>
          <cell r="D319">
            <v>2244.6916890254038</v>
          </cell>
        </row>
        <row r="322">
          <cell r="A322" t="str">
            <v>Non II as % of Total Income</v>
          </cell>
          <cell r="B322">
            <v>2005</v>
          </cell>
          <cell r="C322" t="str">
            <v>2006E</v>
          </cell>
          <cell r="D322" t="str">
            <v>2007E</v>
          </cell>
          <cell r="G322">
            <v>2005</v>
          </cell>
        </row>
        <row r="323">
          <cell r="A323" t="str">
            <v>HSB</v>
          </cell>
          <cell r="B323">
            <v>0.3181370133070478</v>
          </cell>
          <cell r="C323">
            <v>0.27589697439127508</v>
          </cell>
          <cell r="D323">
            <v>0.26775251155378582</v>
          </cell>
          <cell r="F323" t="str">
            <v>CIFH</v>
          </cell>
          <cell r="G323">
            <v>0.4420151184133585</v>
          </cell>
        </row>
        <row r="324">
          <cell r="A324" t="str">
            <v>BEA</v>
          </cell>
          <cell r="B324">
            <v>0.36827956989247312</v>
          </cell>
          <cell r="C324">
            <v>0.35682178741406662</v>
          </cell>
          <cell r="D324">
            <v>0.33153496356445972</v>
          </cell>
          <cell r="F324" t="str">
            <v>DSF</v>
          </cell>
          <cell r="G324">
            <v>0.38082231937619537</v>
          </cell>
        </row>
        <row r="325">
          <cell r="A325" t="str">
            <v>BOCHK</v>
          </cell>
          <cell r="B325">
            <v>0.28062136790344211</v>
          </cell>
          <cell r="C325">
            <v>0.26662442688003868</v>
          </cell>
          <cell r="D325">
            <v>0.27399821171722172</v>
          </cell>
          <cell r="F325" t="str">
            <v>BEA</v>
          </cell>
          <cell r="G325">
            <v>0.36827956989247312</v>
          </cell>
        </row>
        <row r="326">
          <cell r="A326" t="str">
            <v>DSF</v>
          </cell>
          <cell r="B326">
            <v>0.38082231937619537</v>
          </cell>
          <cell r="C326">
            <v>0.31128760351906409</v>
          </cell>
          <cell r="D326">
            <v>0.33671558848342026</v>
          </cell>
          <cell r="F326" t="str">
            <v>ICBCA</v>
          </cell>
          <cell r="G326">
            <v>0.35267746687752249</v>
          </cell>
        </row>
        <row r="327">
          <cell r="A327" t="str">
            <v>WHB</v>
          </cell>
          <cell r="B327">
            <v>0.28838522588522597</v>
          </cell>
          <cell r="C327">
            <v>0.29873037057606</v>
          </cell>
          <cell r="D327">
            <v>0.29413830352974851</v>
          </cell>
          <cell r="F327" t="str">
            <v>HSB</v>
          </cell>
          <cell r="G327">
            <v>0.3181370133070478</v>
          </cell>
        </row>
        <row r="328">
          <cell r="A328" t="str">
            <v>CIFH</v>
          </cell>
          <cell r="B328">
            <v>0.4420151184133585</v>
          </cell>
          <cell r="C328">
            <v>0.50138358131115657</v>
          </cell>
          <cell r="D328">
            <v>0.47991521802355008</v>
          </cell>
          <cell r="F328" t="str">
            <v>WLB</v>
          </cell>
          <cell r="G328">
            <v>0.3080445708340474</v>
          </cell>
        </row>
        <row r="329">
          <cell r="A329" t="str">
            <v>ICBCA</v>
          </cell>
          <cell r="B329">
            <v>0.35267746687752249</v>
          </cell>
          <cell r="C329">
            <v>0.29082734752919215</v>
          </cell>
          <cell r="D329">
            <v>0.30178250889012054</v>
          </cell>
          <cell r="F329" t="str">
            <v>WHB</v>
          </cell>
          <cell r="G329">
            <v>0.28838522588522597</v>
          </cell>
        </row>
        <row r="330">
          <cell r="A330" t="str">
            <v>WLB</v>
          </cell>
          <cell r="B330">
            <v>0.3080445708340474</v>
          </cell>
          <cell r="C330">
            <v>0.30967539606921024</v>
          </cell>
          <cell r="D330">
            <v>0.30931182979233462</v>
          </cell>
          <cell r="F330" t="str">
            <v>BOCHK</v>
          </cell>
          <cell r="G330">
            <v>0.28062136790344211</v>
          </cell>
        </row>
        <row r="336">
          <cell r="A336" t="str">
            <v>Non II as Growth YoY</v>
          </cell>
        </row>
        <row r="337">
          <cell r="A337" t="str">
            <v>(%)</v>
          </cell>
          <cell r="B337" t="str">
            <v>2006E</v>
          </cell>
          <cell r="C337" t="str">
            <v>2007E</v>
          </cell>
        </row>
        <row r="338">
          <cell r="A338" t="str">
            <v>DSF</v>
          </cell>
          <cell r="B338">
            <v>0.10514488372093012</v>
          </cell>
          <cell r="C338">
            <v>0.29416843798024583</v>
          </cell>
        </row>
        <row r="339">
          <cell r="A339" t="str">
            <v>BOCHK</v>
          </cell>
          <cell r="B339">
            <v>0.14684310787634103</v>
          </cell>
          <cell r="C339">
            <v>0.13522157381321676</v>
          </cell>
        </row>
        <row r="340">
          <cell r="A340" t="str">
            <v>BEA</v>
          </cell>
          <cell r="B340">
            <v>0.23129562043795615</v>
          </cell>
          <cell r="C340">
            <v>2.6861800666913682E-2</v>
          </cell>
        </row>
        <row r="341">
          <cell r="A341" t="str">
            <v>WLB</v>
          </cell>
          <cell r="B341">
            <v>0.25258832830874178</v>
          </cell>
          <cell r="C341">
            <v>9.7386874207551655E-2</v>
          </cell>
        </row>
        <row r="342">
          <cell r="A342" t="str">
            <v>HSB</v>
          </cell>
          <cell r="B342">
            <v>-4.6998450813322989E-2</v>
          </cell>
          <cell r="C342">
            <v>9.3497653059151142E-2</v>
          </cell>
        </row>
        <row r="343">
          <cell r="A343" t="str">
            <v>ICBCA</v>
          </cell>
          <cell r="B343">
            <v>-2.6958610185946474E-3</v>
          </cell>
          <cell r="C343">
            <v>0.15285308153175903</v>
          </cell>
        </row>
        <row r="344">
          <cell r="A344" t="str">
            <v>WHB</v>
          </cell>
          <cell r="B344">
            <v>0.20733527388197937</v>
          </cell>
          <cell r="C344">
            <v>0.10222208638240216</v>
          </cell>
        </row>
        <row r="345">
          <cell r="A345" t="str">
            <v>CIFH</v>
          </cell>
          <cell r="B345">
            <v>0.23663358946061708</v>
          </cell>
          <cell r="C345">
            <v>9.7365427793338233E-2</v>
          </cell>
        </row>
        <row r="346">
          <cell r="A346" t="str">
            <v>Industry</v>
          </cell>
          <cell r="B346">
            <v>9.825421029354775E-2</v>
          </cell>
          <cell r="C346">
            <v>0.11094279802315699</v>
          </cell>
        </row>
        <row r="367">
          <cell r="A367" t="str">
            <v>Non interest income</v>
          </cell>
        </row>
        <row r="368">
          <cell r="B368">
            <v>1997</v>
          </cell>
          <cell r="C368">
            <v>1998</v>
          </cell>
          <cell r="D368">
            <v>1999</v>
          </cell>
          <cell r="E368">
            <v>2000</v>
          </cell>
          <cell r="F368">
            <v>2001</v>
          </cell>
          <cell r="G368">
            <v>2002</v>
          </cell>
          <cell r="H368">
            <v>2003</v>
          </cell>
          <cell r="I368">
            <v>2004</v>
          </cell>
          <cell r="J368">
            <v>2005</v>
          </cell>
          <cell r="K368" t="str">
            <v>1H06</v>
          </cell>
        </row>
        <row r="369">
          <cell r="A369" t="str">
            <v>Non interest income</v>
          </cell>
          <cell r="B369">
            <v>6183.1689999999999</v>
          </cell>
          <cell r="C369">
            <v>5772.0279999999993</v>
          </cell>
          <cell r="D369">
            <v>10330.913</v>
          </cell>
          <cell r="E369">
            <v>11132.864</v>
          </cell>
          <cell r="F369">
            <v>11236.441999999999</v>
          </cell>
          <cell r="G369">
            <v>12137.153</v>
          </cell>
          <cell r="H369">
            <v>13765.257</v>
          </cell>
          <cell r="I369">
            <v>15544.910000000002</v>
          </cell>
          <cell r="J369">
            <v>16086.687999999998</v>
          </cell>
          <cell r="K369" t="e">
            <v>#REF!</v>
          </cell>
        </row>
        <row r="370">
          <cell r="A370" t="str">
            <v>Total income</v>
          </cell>
          <cell r="B370">
            <v>25596.423000000003</v>
          </cell>
          <cell r="C370">
            <v>25155.278000000002</v>
          </cell>
          <cell r="D370">
            <v>45645.704999999994</v>
          </cell>
          <cell r="E370">
            <v>48729.322999999997</v>
          </cell>
          <cell r="F370">
            <v>48028.780999999995</v>
          </cell>
          <cell r="G370">
            <v>47380.63</v>
          </cell>
          <cell r="H370">
            <v>47182.778000000006</v>
          </cell>
          <cell r="I370">
            <v>47664.411999999997</v>
          </cell>
          <cell r="J370">
            <v>50601.830999999998</v>
          </cell>
          <cell r="K370" t="e">
            <v>#REF!</v>
          </cell>
        </row>
        <row r="371">
          <cell r="A371" t="str">
            <v>%</v>
          </cell>
          <cell r="B371">
            <v>0.24156379194077232</v>
          </cell>
          <cell r="C371">
            <v>0.22945594161193522</v>
          </cell>
          <cell r="D371">
            <v>0.22632826023828534</v>
          </cell>
          <cell r="E371">
            <v>0.22846334228776377</v>
          </cell>
          <cell r="F371">
            <v>0.23395226291502172</v>
          </cell>
          <cell r="G371">
            <v>0.25616276102702729</v>
          </cell>
          <cell r="H371">
            <v>0.29174325004771862</v>
          </cell>
          <cell r="I371">
            <v>0.32613241929849052</v>
          </cell>
          <cell r="J371">
            <v>0.31790723145966793</v>
          </cell>
          <cell r="K371" t="e">
            <v>#REF!</v>
          </cell>
        </row>
        <row r="400">
          <cell r="A400" t="str">
            <v>(HK$mn)</v>
          </cell>
          <cell r="B400" t="str">
            <v>06E PPP</v>
          </cell>
          <cell r="C400" t="str">
            <v>07E PPP</v>
          </cell>
          <cell r="D400" t="str">
            <v>07E Chg</v>
          </cell>
        </row>
        <row r="401">
          <cell r="A401" t="str">
            <v>CIFH</v>
          </cell>
          <cell r="B401">
            <v>1006.7380109515116</v>
          </cell>
          <cell r="C401">
            <v>1187.8183428432033</v>
          </cell>
          <cell r="D401">
            <v>0.17986837679898948</v>
          </cell>
        </row>
        <row r="402">
          <cell r="A402" t="str">
            <v>DSF</v>
          </cell>
          <cell r="B402">
            <v>1801.2819406582817</v>
          </cell>
          <cell r="C402">
            <v>2310.4272617370261</v>
          </cell>
          <cell r="D402">
            <v>0.28265720628536162</v>
          </cell>
        </row>
        <row r="403">
          <cell r="A403" t="str">
            <v>WLB</v>
          </cell>
          <cell r="B403">
            <v>1409.1954663314812</v>
          </cell>
          <cell r="C403">
            <v>1580.1998490002427</v>
          </cell>
          <cell r="D403">
            <v>0.12134894466694002</v>
          </cell>
        </row>
        <row r="404">
          <cell r="A404" t="str">
            <v>HSB</v>
          </cell>
          <cell r="B404">
            <v>12850.335488078852</v>
          </cell>
          <cell r="C404">
            <v>14656.690956035778</v>
          </cell>
          <cell r="D404">
            <v>0.14056873998602337</v>
          </cell>
        </row>
        <row r="405">
          <cell r="A405" t="str">
            <v>ICBCA</v>
          </cell>
          <cell r="B405">
            <v>1515.0542813871612</v>
          </cell>
          <cell r="C405">
            <v>1740.5383763966643</v>
          </cell>
          <cell r="D405">
            <v>0.14882905370430244</v>
          </cell>
        </row>
        <row r="406">
          <cell r="A406" t="str">
            <v>WHB</v>
          </cell>
          <cell r="B406">
            <v>2005.248188104059</v>
          </cell>
          <cell r="C406">
            <v>2266.81482070729</v>
          </cell>
          <cell r="D406">
            <v>0.13044102677910385</v>
          </cell>
        </row>
        <row r="407">
          <cell r="A407" t="str">
            <v>BOCHK</v>
          </cell>
          <cell r="B407">
            <v>15277.794464760202</v>
          </cell>
          <cell r="C407">
            <v>16875.146217896963</v>
          </cell>
          <cell r="D407">
            <v>0.10455381873484537</v>
          </cell>
        </row>
        <row r="408">
          <cell r="A408" t="str">
            <v>BEA</v>
          </cell>
          <cell r="B408">
            <v>4099</v>
          </cell>
          <cell r="C408">
            <v>4448.7009609440265</v>
          </cell>
          <cell r="D408">
            <v>8.5313725529159834E-2</v>
          </cell>
        </row>
        <row r="409">
          <cell r="A409" t="str">
            <v>Industry</v>
          </cell>
          <cell r="B409">
            <v>39964.647840271544</v>
          </cell>
          <cell r="C409">
            <v>45066.336785561201</v>
          </cell>
          <cell r="D409">
            <v>0.12765504567135944</v>
          </cell>
        </row>
        <row r="411">
          <cell r="C411" t="str">
            <v>CIFH</v>
          </cell>
          <cell r="D411">
            <v>0.17986837679898948</v>
          </cell>
        </row>
        <row r="412">
          <cell r="C412" t="str">
            <v>DSF</v>
          </cell>
          <cell r="D412">
            <v>0.28265720628536162</v>
          </cell>
        </row>
        <row r="413">
          <cell r="C413" t="str">
            <v>WHB</v>
          </cell>
          <cell r="D413">
            <v>0.13044102677910385</v>
          </cell>
        </row>
        <row r="414">
          <cell r="C414" t="str">
            <v>WLB</v>
          </cell>
          <cell r="D414">
            <v>0.12134894466694002</v>
          </cell>
        </row>
        <row r="415">
          <cell r="C415" t="str">
            <v>HSB</v>
          </cell>
          <cell r="D415">
            <v>0.14056873998602337</v>
          </cell>
        </row>
        <row r="416">
          <cell r="C416" t="str">
            <v>ICBCA</v>
          </cell>
          <cell r="D416">
            <v>0.14882905370430244</v>
          </cell>
        </row>
        <row r="417">
          <cell r="C417" t="str">
            <v>Industry</v>
          </cell>
          <cell r="D417">
            <v>0.12765504567135944</v>
          </cell>
        </row>
        <row r="418">
          <cell r="C418" t="str">
            <v>BOCHK</v>
          </cell>
          <cell r="D418">
            <v>0.10455381873484537</v>
          </cell>
        </row>
        <row r="419">
          <cell r="C419" t="str">
            <v>BEA</v>
          </cell>
          <cell r="D419">
            <v>8.5313725529159834E-2</v>
          </cell>
        </row>
        <row r="425">
          <cell r="A425" t="str">
            <v>(HK$mn)</v>
          </cell>
          <cell r="B425" t="str">
            <v>06E earning</v>
          </cell>
          <cell r="C425" t="str">
            <v>07E earning</v>
          </cell>
          <cell r="D425" t="str">
            <v>07E Chg</v>
          </cell>
        </row>
        <row r="426">
          <cell r="A426" t="str">
            <v>CIFH</v>
          </cell>
          <cell r="B426">
            <v>1016.9353184269862</v>
          </cell>
          <cell r="C426">
            <v>1708.4492063324979</v>
          </cell>
          <cell r="D426">
            <v>0.67999790682376715</v>
          </cell>
        </row>
        <row r="427">
          <cell r="A427" t="str">
            <v>DSF</v>
          </cell>
          <cell r="B427">
            <v>1192.3597242431192</v>
          </cell>
          <cell r="C427">
            <v>1429.5856372052958</v>
          </cell>
          <cell r="D427">
            <v>0.19895498660252198</v>
          </cell>
        </row>
        <row r="428">
          <cell r="A428" t="str">
            <v>ICBCA</v>
          </cell>
          <cell r="B428">
            <v>1149.8560881792714</v>
          </cell>
          <cell r="C428">
            <v>1330.1472293432985</v>
          </cell>
          <cell r="D428">
            <v>0.1567945267390003</v>
          </cell>
        </row>
        <row r="429">
          <cell r="A429" t="str">
            <v>HSB</v>
          </cell>
          <cell r="B429">
            <v>12067.907280927164</v>
          </cell>
          <cell r="C429">
            <v>13450.463080219743</v>
          </cell>
          <cell r="D429">
            <v>0.11456466867935355</v>
          </cell>
        </row>
        <row r="430">
          <cell r="A430" t="str">
            <v>WLB</v>
          </cell>
          <cell r="B430">
            <v>1156.8547367998754</v>
          </cell>
          <cell r="C430">
            <v>1270.5550146065586</v>
          </cell>
          <cell r="D430">
            <v>9.8283971349077293E-2</v>
          </cell>
        </row>
        <row r="431">
          <cell r="A431" t="str">
            <v>WHB</v>
          </cell>
          <cell r="B431">
            <v>1676.4353506754926</v>
          </cell>
          <cell r="C431">
            <v>1794.130736137744</v>
          </cell>
          <cell r="D431">
            <v>7.0205740659684768E-2</v>
          </cell>
        </row>
        <row r="432">
          <cell r="A432" t="str">
            <v>BOCHK</v>
          </cell>
          <cell r="B432">
            <v>13381.474227333205</v>
          </cell>
          <cell r="C432">
            <v>14426.047854558774</v>
          </cell>
          <cell r="D432">
            <v>7.8061176928615694E-2</v>
          </cell>
        </row>
        <row r="433">
          <cell r="A433" t="str">
            <v>BEA</v>
          </cell>
          <cell r="B433">
            <v>3380.5011193286255</v>
          </cell>
          <cell r="C433">
            <v>3443.2016989397116</v>
          </cell>
          <cell r="D433">
            <v>1.8547717453067714E-2</v>
          </cell>
        </row>
        <row r="434">
          <cell r="A434" t="str">
            <v>Industry</v>
          </cell>
          <cell r="B434">
            <v>35022.323845913736</v>
          </cell>
          <cell r="C434">
            <v>38852.580457343618</v>
          </cell>
          <cell r="D434">
            <v>0.10936614681200774</v>
          </cell>
        </row>
        <row r="437">
          <cell r="C437" t="str">
            <v>CIFH</v>
          </cell>
          <cell r="D437">
            <v>0.67999790682376715</v>
          </cell>
        </row>
        <row r="438">
          <cell r="C438" t="str">
            <v>DSF</v>
          </cell>
          <cell r="D438">
            <v>0.19895498660252198</v>
          </cell>
        </row>
        <row r="439">
          <cell r="C439" t="str">
            <v>ICBCA</v>
          </cell>
          <cell r="D439">
            <v>0.1567945267390003</v>
          </cell>
        </row>
        <row r="440">
          <cell r="C440" t="str">
            <v>HSB</v>
          </cell>
          <cell r="D440">
            <v>0.11456466867935355</v>
          </cell>
        </row>
        <row r="441">
          <cell r="C441" t="str">
            <v>Industry</v>
          </cell>
          <cell r="D441">
            <v>0.10936614681200774</v>
          </cell>
        </row>
        <row r="442">
          <cell r="C442" t="str">
            <v>BOCHK</v>
          </cell>
          <cell r="D442">
            <v>7.8061176928615694E-2</v>
          </cell>
        </row>
        <row r="443">
          <cell r="C443" t="str">
            <v>WHB</v>
          </cell>
          <cell r="D443">
            <v>7.0205740659684768E-2</v>
          </cell>
        </row>
        <row r="444">
          <cell r="C444" t="str">
            <v>BEA</v>
          </cell>
          <cell r="D444">
            <v>1.8547717453067714E-2</v>
          </cell>
        </row>
        <row r="445">
          <cell r="C445" t="str">
            <v>WLB</v>
          </cell>
          <cell r="D445">
            <v>9.8283971349077293E-2</v>
          </cell>
        </row>
        <row r="454">
          <cell r="B454">
            <v>2006</v>
          </cell>
          <cell r="C454">
            <v>2007</v>
          </cell>
          <cell r="D454" t="str">
            <v>07E Chg</v>
          </cell>
        </row>
        <row r="455">
          <cell r="A455" t="str">
            <v>DSF</v>
          </cell>
          <cell r="B455">
            <v>4.789324170930179</v>
          </cell>
          <cell r="C455">
            <v>5.7421840971927276</v>
          </cell>
          <cell r="D455">
            <v>0.19895498660252198</v>
          </cell>
        </row>
        <row r="456">
          <cell r="A456" t="str">
            <v>CIFH</v>
          </cell>
          <cell r="B456">
            <v>0.31051460104640799</v>
          </cell>
          <cell r="C456">
            <v>0.30860715432306679</v>
          </cell>
          <cell r="D456">
            <v>-6.142856783266426E-3</v>
          </cell>
        </row>
        <row r="457">
          <cell r="A457" t="str">
            <v>ICBCA</v>
          </cell>
          <cell r="B457">
            <v>1.0255044447172967</v>
          </cell>
          <cell r="C457">
            <v>1.1862979287954865</v>
          </cell>
          <cell r="D457">
            <v>0.15679452673900007</v>
          </cell>
        </row>
        <row r="458">
          <cell r="A458" t="str">
            <v>HSB</v>
          </cell>
          <cell r="B458">
            <v>6.3123272732122411</v>
          </cell>
          <cell r="C458">
            <v>7.0354969558634499</v>
          </cell>
          <cell r="D458">
            <v>0.11456466867935378</v>
          </cell>
        </row>
        <row r="459">
          <cell r="A459" t="str">
            <v>BOCHK</v>
          </cell>
          <cell r="B459">
            <v>1.2656509370586038</v>
          </cell>
          <cell r="C459">
            <v>1.3644491387862037</v>
          </cell>
          <cell r="D459">
            <v>7.8061176928615694E-2</v>
          </cell>
        </row>
        <row r="460">
          <cell r="A460" t="str">
            <v>WHB</v>
          </cell>
          <cell r="B460">
            <v>5.7027417665255067</v>
          </cell>
          <cell r="C460">
            <v>6.1031069760353489</v>
          </cell>
          <cell r="D460">
            <v>7.0205740659684768E-2</v>
          </cell>
        </row>
        <row r="461">
          <cell r="A461" t="str">
            <v>BEA</v>
          </cell>
          <cell r="B461">
            <v>2.2174193548387096</v>
          </cell>
          <cell r="C461">
            <v>2.1792415816074127</v>
          </cell>
          <cell r="D461">
            <v>-1.7217209342016315E-2</v>
          </cell>
        </row>
        <row r="462">
          <cell r="A462" t="str">
            <v>WLB</v>
          </cell>
          <cell r="B462">
            <v>4.982358156372988</v>
          </cell>
          <cell r="C462">
            <v>5.4720441026647926</v>
          </cell>
          <cell r="D462">
            <v>9.8283971349077293E-2</v>
          </cell>
        </row>
      </sheetData>
      <sheetData sheetId="27" refreshError="1">
        <row r="2">
          <cell r="C2">
            <v>0.80645263753748397</v>
          </cell>
          <cell r="F2">
            <v>0.5562064843806841</v>
          </cell>
          <cell r="I2">
            <v>0.7388837342128276</v>
          </cell>
          <cell r="L2">
            <v>0.60211915555723949</v>
          </cell>
          <cell r="O2">
            <v>0.5780753154059004</v>
          </cell>
          <cell r="R2">
            <v>4.9511986526587032E-2</v>
          </cell>
          <cell r="U2">
            <v>0.2683869490787904</v>
          </cell>
          <cell r="X2">
            <v>0.53724490019766569</v>
          </cell>
        </row>
        <row r="3">
          <cell r="A3" t="str">
            <v xml:space="preserve"> </v>
          </cell>
          <cell r="B3" t="str">
            <v>BEA</v>
          </cell>
          <cell r="E3" t="str">
            <v>DSF</v>
          </cell>
          <cell r="H3" t="str">
            <v>HSB</v>
          </cell>
          <cell r="K3" t="str">
            <v>WHB</v>
          </cell>
          <cell r="N3" t="str">
            <v>BOCHK</v>
          </cell>
          <cell r="Q3" t="str">
            <v>CIFH</v>
          </cell>
          <cell r="T3" t="str">
            <v>ICBCA</v>
          </cell>
          <cell r="W3" t="str">
            <v>WLB</v>
          </cell>
        </row>
        <row r="4">
          <cell r="B4" t="str">
            <v>PB (LS)</v>
          </cell>
          <cell r="C4" t="str">
            <v>Modelware ROE (RS)</v>
          </cell>
          <cell r="E4" t="str">
            <v>PB (LS)</v>
          </cell>
          <cell r="F4" t="str">
            <v>Modelware ROE (RS)</v>
          </cell>
          <cell r="H4" t="str">
            <v>PB (LS)</v>
          </cell>
          <cell r="I4" t="str">
            <v>Modelware ROE (RS)</v>
          </cell>
          <cell r="K4" t="str">
            <v>PB (LS)</v>
          </cell>
          <cell r="L4" t="str">
            <v>Modelware ROE (RS)</v>
          </cell>
          <cell r="N4" t="str">
            <v>PB (LS)</v>
          </cell>
          <cell r="O4" t="str">
            <v>Modelware ROE (RS)</v>
          </cell>
          <cell r="Q4" t="str">
            <v>PB (LS)</v>
          </cell>
          <cell r="R4" t="str">
            <v>Modelware ROE (RS)</v>
          </cell>
          <cell r="T4" t="str">
            <v>PB (LS)</v>
          </cell>
          <cell r="U4" t="str">
            <v>Modelware ROE (RS)</v>
          </cell>
          <cell r="W4" t="str">
            <v>PB (LS)</v>
          </cell>
          <cell r="X4" t="str">
            <v>Modelware ROE (RS)</v>
          </cell>
        </row>
        <row r="5">
          <cell r="A5" t="str">
            <v>29/12/1994</v>
          </cell>
          <cell r="C5">
            <v>18.883358129909571</v>
          </cell>
          <cell r="I5">
            <v>18.101701535532065</v>
          </cell>
          <cell r="L5">
            <v>24.709253216705939</v>
          </cell>
        </row>
        <row r="6">
          <cell r="A6" t="str">
            <v>30/01/1995</v>
          </cell>
          <cell r="B6">
            <v>2.0193590000000001</v>
          </cell>
          <cell r="C6">
            <v>18.731714657262877</v>
          </cell>
          <cell r="E6">
            <v>0.96180979999999994</v>
          </cell>
          <cell r="H6">
            <v>2.315334</v>
          </cell>
          <cell r="I6">
            <v>18.139147066833416</v>
          </cell>
          <cell r="K6">
            <v>1.420337</v>
          </cell>
          <cell r="L6">
            <v>24.615188656180152</v>
          </cell>
          <cell r="N6" t="e">
            <v>#N/A</v>
          </cell>
          <cell r="Q6">
            <v>1.228737</v>
          </cell>
          <cell r="T6">
            <v>0.87754029999999994</v>
          </cell>
          <cell r="W6">
            <v>2.7118880000000001</v>
          </cell>
        </row>
        <row r="7">
          <cell r="A7" t="str">
            <v>28/02/1995</v>
          </cell>
          <cell r="B7">
            <v>2.1522800000000002</v>
          </cell>
          <cell r="C7">
            <v>18.58007118461618</v>
          </cell>
          <cell r="E7">
            <v>1.1785019999999999</v>
          </cell>
          <cell r="H7">
            <v>2.6088269999999998</v>
          </cell>
          <cell r="I7">
            <v>18.176592598134768</v>
          </cell>
          <cell r="K7">
            <v>1.4921819999999999</v>
          </cell>
          <cell r="L7">
            <v>24.521124095654365</v>
          </cell>
          <cell r="N7" t="e">
            <v>#N/A</v>
          </cell>
          <cell r="Q7">
            <v>1.2966569999999999</v>
          </cell>
          <cell r="T7">
            <v>1.1839</v>
          </cell>
          <cell r="W7">
            <v>3.1404339999999999</v>
          </cell>
        </row>
        <row r="8">
          <cell r="A8" t="str">
            <v>31/03/1995</v>
          </cell>
          <cell r="B8">
            <v>2.2340770000000001</v>
          </cell>
          <cell r="C8">
            <v>18.428427711969483</v>
          </cell>
          <cell r="E8">
            <v>1.018834</v>
          </cell>
          <cell r="H8">
            <v>2.9621059999999999</v>
          </cell>
          <cell r="I8">
            <v>18.214038129436119</v>
          </cell>
          <cell r="K8">
            <v>1.7353529999999999</v>
          </cell>
          <cell r="L8">
            <v>24.427059535128578</v>
          </cell>
          <cell r="N8" t="e">
            <v>#N/A</v>
          </cell>
          <cell r="Q8">
            <v>1.3614900000000001</v>
          </cell>
          <cell r="T8">
            <v>1.246211</v>
          </cell>
          <cell r="W8">
            <v>3.4149700000000003</v>
          </cell>
        </row>
        <row r="9">
          <cell r="A9" t="str">
            <v>28/04/1995</v>
          </cell>
          <cell r="B9">
            <v>2.1522800000000002</v>
          </cell>
          <cell r="C9">
            <v>18.276784239322787</v>
          </cell>
          <cell r="E9">
            <v>1.0644529999999999</v>
          </cell>
          <cell r="H9">
            <v>2.7718789999999998</v>
          </cell>
          <cell r="I9">
            <v>18.25148366073747</v>
          </cell>
          <cell r="K9">
            <v>1.867991</v>
          </cell>
          <cell r="L9">
            <v>24.332994974602791</v>
          </cell>
          <cell r="N9" t="e">
            <v>#N/A</v>
          </cell>
          <cell r="Q9">
            <v>1.278133</v>
          </cell>
          <cell r="T9">
            <v>1.194286</v>
          </cell>
          <cell r="W9">
            <v>3.2944429999999998</v>
          </cell>
        </row>
        <row r="10">
          <cell r="A10" t="str">
            <v>31/05/1995</v>
          </cell>
          <cell r="B10">
            <v>2.372109</v>
          </cell>
          <cell r="C10">
            <v>18.12514076667609</v>
          </cell>
          <cell r="E10">
            <v>1.357178</v>
          </cell>
          <cell r="H10">
            <v>3.261034</v>
          </cell>
          <cell r="I10">
            <v>18.288929192038822</v>
          </cell>
          <cell r="K10">
            <v>2.2548529999999998</v>
          </cell>
          <cell r="L10">
            <v>24.238930414077004</v>
          </cell>
          <cell r="N10" t="e">
            <v>#N/A</v>
          </cell>
          <cell r="Q10">
            <v>1.424007</v>
          </cell>
          <cell r="T10">
            <v>1.422758</v>
          </cell>
          <cell r="W10">
            <v>3.4631829999999999</v>
          </cell>
        </row>
        <row r="11">
          <cell r="A11" t="str">
            <v>30/06/1995</v>
          </cell>
          <cell r="B11">
            <v>2.382333</v>
          </cell>
          <cell r="C11">
            <v>17.973497294029393</v>
          </cell>
          <cell r="E11">
            <v>1.4142029999999999</v>
          </cell>
          <cell r="H11">
            <v>3.2066839999999996</v>
          </cell>
          <cell r="I11">
            <v>18.326374723340173</v>
          </cell>
          <cell r="K11">
            <v>2.271433</v>
          </cell>
          <cell r="L11">
            <v>24.144865853551217</v>
          </cell>
          <cell r="N11" t="e">
            <v>#N/A</v>
          </cell>
          <cell r="Q11">
            <v>1.458739</v>
          </cell>
          <cell r="T11">
            <v>1.3708319999999998</v>
          </cell>
          <cell r="W11">
            <v>3.5113949999999998</v>
          </cell>
        </row>
        <row r="12">
          <cell r="A12" t="str">
            <v>31/07/1995</v>
          </cell>
          <cell r="B12">
            <v>2.6839589999999998</v>
          </cell>
          <cell r="C12">
            <v>17.821853821382696</v>
          </cell>
          <cell r="E12">
            <v>1.6042839999999998</v>
          </cell>
          <cell r="H12">
            <v>3.4784359999999999</v>
          </cell>
          <cell r="I12">
            <v>18.363820254641524</v>
          </cell>
          <cell r="K12">
            <v>2.5809229999999999</v>
          </cell>
          <cell r="L12">
            <v>24.05080129302543</v>
          </cell>
          <cell r="N12" t="e">
            <v>#N/A</v>
          </cell>
          <cell r="Q12">
            <v>1.8928879999999999</v>
          </cell>
          <cell r="T12">
            <v>1.796621</v>
          </cell>
          <cell r="W12">
            <v>3.8729800000000005</v>
          </cell>
        </row>
        <row r="13">
          <cell r="A13" t="str">
            <v>31/08/1995</v>
          </cell>
          <cell r="B13">
            <v>2.5357019999999997</v>
          </cell>
          <cell r="C13">
            <v>17.670210348735999</v>
          </cell>
          <cell r="E13">
            <v>1.292551</v>
          </cell>
          <cell r="H13">
            <v>3.424086</v>
          </cell>
          <cell r="I13">
            <v>18.401265785942876</v>
          </cell>
          <cell r="K13">
            <v>2.7411939999999997</v>
          </cell>
          <cell r="L13">
            <v>23.956736732499643</v>
          </cell>
          <cell r="N13" t="e">
            <v>#N/A</v>
          </cell>
          <cell r="Q13">
            <v>1.545569</v>
          </cell>
          <cell r="T13">
            <v>1.3708319999999998</v>
          </cell>
          <cell r="W13">
            <v>3.615853</v>
          </cell>
        </row>
        <row r="14">
          <cell r="A14" t="str">
            <v>29/09/1995</v>
          </cell>
          <cell r="B14">
            <v>2.561264</v>
          </cell>
          <cell r="C14">
            <v>17.518566876089302</v>
          </cell>
          <cell r="E14">
            <v>1.322964</v>
          </cell>
          <cell r="H14">
            <v>3.4648489999999996</v>
          </cell>
          <cell r="I14">
            <v>18.438711317244227</v>
          </cell>
          <cell r="K14">
            <v>2.890412</v>
          </cell>
          <cell r="L14">
            <v>23.862672171973855</v>
          </cell>
          <cell r="N14" t="e">
            <v>#N/A</v>
          </cell>
          <cell r="Q14">
            <v>1.562935</v>
          </cell>
          <cell r="T14">
            <v>1.4642979999999999</v>
          </cell>
          <cell r="W14">
            <v>3.4631829999999999</v>
          </cell>
        </row>
        <row r="15">
          <cell r="A15" t="str">
            <v>31/10/1995</v>
          </cell>
          <cell r="B15">
            <v>2.7862049999999998</v>
          </cell>
          <cell r="C15">
            <v>17.366923403442605</v>
          </cell>
          <cell r="E15">
            <v>1.3305669999999998</v>
          </cell>
          <cell r="H15">
            <v>3.519199</v>
          </cell>
          <cell r="I15">
            <v>18.476156848545578</v>
          </cell>
          <cell r="K15">
            <v>2.7522469999999997</v>
          </cell>
          <cell r="L15">
            <v>23.768607611448068</v>
          </cell>
          <cell r="N15" t="e">
            <v>#N/A</v>
          </cell>
          <cell r="Q15">
            <v>1.632398</v>
          </cell>
          <cell r="T15">
            <v>1.526608</v>
          </cell>
          <cell r="W15">
            <v>3.4390769999999997</v>
          </cell>
        </row>
        <row r="16">
          <cell r="A16" t="str">
            <v>30/11/1995</v>
          </cell>
          <cell r="B16">
            <v>2.8628900000000002</v>
          </cell>
          <cell r="C16">
            <v>17.215279930795909</v>
          </cell>
          <cell r="E16">
            <v>1.284948</v>
          </cell>
          <cell r="H16">
            <v>3.6686639999999997</v>
          </cell>
          <cell r="I16">
            <v>18.51360237984693</v>
          </cell>
          <cell r="K16">
            <v>2.8406729999999998</v>
          </cell>
          <cell r="L16">
            <v>23.674543050922281</v>
          </cell>
          <cell r="N16" t="e">
            <v>#N/A</v>
          </cell>
          <cell r="Q16">
            <v>1.632398</v>
          </cell>
          <cell r="T16">
            <v>1.536994</v>
          </cell>
          <cell r="W16">
            <v>3.5355000000000003</v>
          </cell>
        </row>
        <row r="17">
          <cell r="A17" t="str">
            <v>29/12/1995</v>
          </cell>
          <cell r="B17">
            <v>2.3597419999999998</v>
          </cell>
          <cell r="C17">
            <v>17.063636458149229</v>
          </cell>
          <cell r="E17">
            <v>1.3685829999999999</v>
          </cell>
          <cell r="F17">
            <v>16.555485621724628</v>
          </cell>
          <cell r="H17">
            <v>3.109178</v>
          </cell>
          <cell r="I17">
            <v>18.551047911148288</v>
          </cell>
          <cell r="K17">
            <v>1.9128079999999998</v>
          </cell>
          <cell r="L17">
            <v>23.580478490396494</v>
          </cell>
          <cell r="N17" t="e">
            <v>#N/A</v>
          </cell>
          <cell r="Q17">
            <v>1.303658</v>
          </cell>
          <cell r="R17">
            <v>21.692017429951484</v>
          </cell>
          <cell r="T17">
            <v>1.237614</v>
          </cell>
          <cell r="W17">
            <v>1.4834209999999999</v>
          </cell>
          <cell r="X17">
            <v>20.312681204364345</v>
          </cell>
        </row>
        <row r="18">
          <cell r="A18" t="str">
            <v>31/01/1996</v>
          </cell>
          <cell r="B18">
            <v>2.814683</v>
          </cell>
          <cell r="C18">
            <v>17.077441420550489</v>
          </cell>
          <cell r="E18">
            <v>1.6803159999999999</v>
          </cell>
          <cell r="F18">
            <v>16.804687541465142</v>
          </cell>
          <cell r="H18">
            <v>3.3561159999999997</v>
          </cell>
          <cell r="I18">
            <v>18.407427241972179</v>
          </cell>
          <cell r="K18">
            <v>2.2146239999999997</v>
          </cell>
          <cell r="L18">
            <v>23.528891033750657</v>
          </cell>
          <cell r="N18" t="e">
            <v>#N/A</v>
          </cell>
          <cell r="Q18">
            <v>1.604501</v>
          </cell>
          <cell r="R18">
            <v>21.796975125269991</v>
          </cell>
          <cell r="T18">
            <v>1.466488</v>
          </cell>
          <cell r="W18">
            <v>1.7061059999999999</v>
          </cell>
          <cell r="X18">
            <v>20.065526844996015</v>
          </cell>
        </row>
        <row r="19">
          <cell r="A19" t="str">
            <v>29/02/1996</v>
          </cell>
          <cell r="B19">
            <v>2.806181</v>
          </cell>
          <cell r="C19">
            <v>17.091246382951748</v>
          </cell>
          <cell r="E19">
            <v>1.748745</v>
          </cell>
          <cell r="F19">
            <v>17.053889461205657</v>
          </cell>
          <cell r="H19">
            <v>3.4122379999999999</v>
          </cell>
          <cell r="I19">
            <v>18.263806572796071</v>
          </cell>
          <cell r="K19">
            <v>2.5242800000000001</v>
          </cell>
          <cell r="L19">
            <v>23.47730357710482</v>
          </cell>
          <cell r="N19" t="e">
            <v>#N/A</v>
          </cell>
          <cell r="Q19">
            <v>1.618827</v>
          </cell>
          <cell r="R19">
            <v>21.901932820588499</v>
          </cell>
          <cell r="T19">
            <v>1.5427789999999999</v>
          </cell>
          <cell r="W19">
            <v>1.8499939999999999</v>
          </cell>
          <cell r="X19">
            <v>19.818372485627684</v>
          </cell>
        </row>
        <row r="20">
          <cell r="A20" t="str">
            <v>29/03/1996</v>
          </cell>
          <cell r="B20">
            <v>2.7041379999999999</v>
          </cell>
          <cell r="C20">
            <v>17.105051345353008</v>
          </cell>
          <cell r="E20">
            <v>1.8551900000000001</v>
          </cell>
          <cell r="F20">
            <v>17.303091380946171</v>
          </cell>
          <cell r="H20">
            <v>3.546932</v>
          </cell>
          <cell r="I20">
            <v>18.120185903619962</v>
          </cell>
          <cell r="K20">
            <v>2.3988500000000004</v>
          </cell>
          <cell r="L20">
            <v>23.425716120458983</v>
          </cell>
          <cell r="N20" t="e">
            <v>#N/A</v>
          </cell>
          <cell r="Q20">
            <v>1.7405979999999999</v>
          </cell>
          <cell r="R20">
            <v>22.006890515907006</v>
          </cell>
          <cell r="T20">
            <v>1.441057</v>
          </cell>
          <cell r="W20">
            <v>1.8414300000000001</v>
          </cell>
          <cell r="X20">
            <v>19.571218126259353</v>
          </cell>
        </row>
        <row r="21">
          <cell r="A21" t="str">
            <v>30/04/1996</v>
          </cell>
          <cell r="B21">
            <v>2.6531159999999998</v>
          </cell>
          <cell r="C21">
            <v>17.118856307754267</v>
          </cell>
          <cell r="E21">
            <v>1.6346959999999999</v>
          </cell>
          <cell r="F21">
            <v>17.552293300686685</v>
          </cell>
          <cell r="H21">
            <v>3.524483</v>
          </cell>
          <cell r="I21">
            <v>17.976565234443854</v>
          </cell>
          <cell r="K21">
            <v>2.2185440000000001</v>
          </cell>
          <cell r="L21">
            <v>23.374128663813146</v>
          </cell>
          <cell r="N21" t="e">
            <v>#N/A</v>
          </cell>
          <cell r="Q21">
            <v>1.6438979999999999</v>
          </cell>
          <cell r="R21">
            <v>22.111848211225514</v>
          </cell>
          <cell r="T21">
            <v>1.3478129999999999</v>
          </cell>
          <cell r="W21">
            <v>1.8088839999999999</v>
          </cell>
          <cell r="X21">
            <v>19.324063766891022</v>
          </cell>
        </row>
        <row r="22">
          <cell r="A22" t="str">
            <v>31/05/1996</v>
          </cell>
          <cell r="B22">
            <v>2.7857719999999997</v>
          </cell>
          <cell r="C22">
            <v>17.132661270155527</v>
          </cell>
          <cell r="E22">
            <v>1.6879189999999999</v>
          </cell>
          <cell r="F22">
            <v>17.801495220427199</v>
          </cell>
          <cell r="H22">
            <v>3.6255029999999997</v>
          </cell>
          <cell r="I22">
            <v>17.832944565267745</v>
          </cell>
          <cell r="K22">
            <v>2.3674919999999999</v>
          </cell>
          <cell r="L22">
            <v>23.322541207167308</v>
          </cell>
          <cell r="N22" t="e">
            <v>#N/A</v>
          </cell>
          <cell r="Q22">
            <v>1.6277809999999999</v>
          </cell>
          <cell r="R22">
            <v>22.216805906544021</v>
          </cell>
          <cell r="T22">
            <v>1.330859</v>
          </cell>
          <cell r="W22">
            <v>1.8129949999999999</v>
          </cell>
          <cell r="X22">
            <v>19.076909407522692</v>
          </cell>
        </row>
        <row r="23">
          <cell r="A23" t="str">
            <v>28/06/1996</v>
          </cell>
          <cell r="B23">
            <v>2.8878149999999998</v>
          </cell>
          <cell r="C23">
            <v>17.146466232556786</v>
          </cell>
          <cell r="E23">
            <v>1.7829600000000001</v>
          </cell>
          <cell r="F23">
            <v>18.050697140167713</v>
          </cell>
          <cell r="H23">
            <v>3.5020339999999996</v>
          </cell>
          <cell r="I23">
            <v>17.689323896091636</v>
          </cell>
          <cell r="K23">
            <v>2.4066890000000001</v>
          </cell>
          <cell r="L23">
            <v>23.270953750521471</v>
          </cell>
          <cell r="N23" t="e">
            <v>#N/A</v>
          </cell>
          <cell r="Q23">
            <v>1.660015</v>
          </cell>
          <cell r="R23">
            <v>22.321763601862529</v>
          </cell>
          <cell r="T23">
            <v>1.3817200000000001</v>
          </cell>
          <cell r="W23">
            <v>1.8417729999999999</v>
          </cell>
          <cell r="X23">
            <v>18.829755048154361</v>
          </cell>
        </row>
        <row r="24">
          <cell r="A24" t="str">
            <v>31/07/1996</v>
          </cell>
          <cell r="B24">
            <v>2.8214869999999999</v>
          </cell>
          <cell r="C24">
            <v>17.160271194958046</v>
          </cell>
          <cell r="E24">
            <v>1.718332</v>
          </cell>
          <cell r="F24">
            <v>18.299899059908228</v>
          </cell>
          <cell r="H24">
            <v>3.4459119999999999</v>
          </cell>
          <cell r="I24">
            <v>17.545703226915528</v>
          </cell>
          <cell r="K24">
            <v>2.4145289999999999</v>
          </cell>
          <cell r="L24">
            <v>23.219366293875634</v>
          </cell>
          <cell r="N24" t="e">
            <v>#N/A</v>
          </cell>
          <cell r="Q24">
            <v>1.7244809999999999</v>
          </cell>
          <cell r="R24">
            <v>22.426721297181036</v>
          </cell>
          <cell r="T24">
            <v>1.3986729999999998</v>
          </cell>
          <cell r="W24">
            <v>1.8294400000000002</v>
          </cell>
          <cell r="X24">
            <v>18.58260068878603</v>
          </cell>
        </row>
        <row r="25">
          <cell r="A25" t="str">
            <v>30/08/1996</v>
          </cell>
          <cell r="B25">
            <v>2.862304</v>
          </cell>
          <cell r="C25">
            <v>17.174076157359305</v>
          </cell>
          <cell r="E25">
            <v>1.9236200000000001</v>
          </cell>
          <cell r="F25">
            <v>18.549100979648742</v>
          </cell>
          <cell r="H25">
            <v>3.5581559999999999</v>
          </cell>
          <cell r="I25">
            <v>17.402082557739419</v>
          </cell>
          <cell r="K25">
            <v>2.3439739999999998</v>
          </cell>
          <cell r="L25">
            <v>23.167778837229797</v>
          </cell>
          <cell r="N25" t="e">
            <v>#N/A</v>
          </cell>
          <cell r="Q25">
            <v>1.6438979999999999</v>
          </cell>
          <cell r="R25">
            <v>22.531678992499543</v>
          </cell>
          <cell r="T25">
            <v>1.3986729999999998</v>
          </cell>
          <cell r="W25">
            <v>1.8417729999999999</v>
          </cell>
          <cell r="X25">
            <v>18.335446329417699</v>
          </cell>
        </row>
        <row r="26">
          <cell r="A26" t="str">
            <v>30/09/1996</v>
          </cell>
          <cell r="B26">
            <v>2.9031210000000001</v>
          </cell>
          <cell r="C26">
            <v>17.187881119760565</v>
          </cell>
          <cell r="E26">
            <v>2.0680809999999998</v>
          </cell>
          <cell r="F26">
            <v>18.798302899389256</v>
          </cell>
          <cell r="H26">
            <v>3.6816259999999996</v>
          </cell>
          <cell r="I26">
            <v>17.258461888563311</v>
          </cell>
          <cell r="K26">
            <v>2.2734200000000002</v>
          </cell>
          <cell r="L26">
            <v>23.11619138058396</v>
          </cell>
          <cell r="N26" t="e">
            <v>#N/A</v>
          </cell>
          <cell r="Q26">
            <v>1.708364</v>
          </cell>
          <cell r="R26">
            <v>22.636636687818051</v>
          </cell>
          <cell r="T26">
            <v>1.373243</v>
          </cell>
          <cell r="W26">
            <v>1.8705509999999999</v>
          </cell>
          <cell r="X26">
            <v>18.088291970049369</v>
          </cell>
        </row>
        <row r="27">
          <cell r="A27" t="str">
            <v>31/10/1996</v>
          </cell>
          <cell r="B27">
            <v>3.0816969999999997</v>
          </cell>
          <cell r="C27">
            <v>17.201686082161824</v>
          </cell>
          <cell r="E27">
            <v>2.0794859999999997</v>
          </cell>
          <cell r="F27">
            <v>19.04750481912977</v>
          </cell>
          <cell r="H27">
            <v>4.1193800000000005</v>
          </cell>
          <cell r="I27">
            <v>17.114841219387202</v>
          </cell>
          <cell r="K27">
            <v>2.4380470000000001</v>
          </cell>
          <cell r="L27">
            <v>23.064603923938122</v>
          </cell>
          <cell r="N27" t="e">
            <v>#N/A</v>
          </cell>
          <cell r="Q27">
            <v>1.9178809999999999</v>
          </cell>
          <cell r="R27">
            <v>22.741594383136558</v>
          </cell>
          <cell r="T27">
            <v>1.4919179999999999</v>
          </cell>
          <cell r="W27">
            <v>1.973328</v>
          </cell>
          <cell r="X27">
            <v>17.841137610681038</v>
          </cell>
        </row>
        <row r="28">
          <cell r="A28" t="str">
            <v>29/11/1996</v>
          </cell>
          <cell r="B28">
            <v>3.377621</v>
          </cell>
          <cell r="C28">
            <v>17.215491044563084</v>
          </cell>
          <cell r="E28">
            <v>2.364608</v>
          </cell>
          <cell r="F28">
            <v>19.296706738870284</v>
          </cell>
          <cell r="H28">
            <v>4.1867269999999994</v>
          </cell>
          <cell r="I28">
            <v>16.971220550211093</v>
          </cell>
          <cell r="K28">
            <v>2.7124250000000001</v>
          </cell>
          <cell r="L28">
            <v>23.013016467292285</v>
          </cell>
          <cell r="N28" t="e">
            <v>#N/A</v>
          </cell>
          <cell r="Q28">
            <v>2.1435139999999997</v>
          </cell>
          <cell r="R28">
            <v>22.846552078455066</v>
          </cell>
          <cell r="T28">
            <v>1.602117</v>
          </cell>
          <cell r="W28">
            <v>2.1069390000000001</v>
          </cell>
          <cell r="X28">
            <v>17.593983251312707</v>
          </cell>
        </row>
        <row r="29">
          <cell r="A29" t="str">
            <v>31/12/1996</v>
          </cell>
          <cell r="B29">
            <v>3.117156</v>
          </cell>
          <cell r="C29">
            <v>17.229296006964333</v>
          </cell>
          <cell r="E29">
            <v>2.1436120000000001</v>
          </cell>
          <cell r="F29">
            <v>19.545908658610813</v>
          </cell>
          <cell r="H29">
            <v>3.7601969999999998</v>
          </cell>
          <cell r="I29">
            <v>16.827599881034995</v>
          </cell>
          <cell r="K29">
            <v>2.3971900000000002</v>
          </cell>
          <cell r="L29">
            <v>22.961429010646437</v>
          </cell>
          <cell r="N29" t="e">
            <v>#N/A</v>
          </cell>
          <cell r="Q29">
            <v>1.9175469999999999</v>
          </cell>
          <cell r="R29">
            <v>22.951509773773555</v>
          </cell>
          <cell r="T29">
            <v>1.483608</v>
          </cell>
          <cell r="W29">
            <v>1.9424000000000001</v>
          </cell>
          <cell r="X29">
            <v>17.346828891944355</v>
          </cell>
        </row>
        <row r="30">
          <cell r="A30" t="str">
            <v>31/01/1997</v>
          </cell>
          <cell r="B30">
            <v>3.1624639999999999</v>
          </cell>
          <cell r="C30">
            <v>17.184325306409445</v>
          </cell>
          <cell r="E30">
            <v>2.3893770000000001</v>
          </cell>
          <cell r="F30">
            <v>19.466949029213463</v>
          </cell>
          <cell r="H30">
            <v>3.650191</v>
          </cell>
          <cell r="I30">
            <v>16.8974697022695</v>
          </cell>
          <cell r="K30">
            <v>2.5201229999999999</v>
          </cell>
          <cell r="L30">
            <v>22.939851724513499</v>
          </cell>
          <cell r="N30" t="e">
            <v>#N/A</v>
          </cell>
          <cell r="Q30">
            <v>1.9836689999999999</v>
          </cell>
          <cell r="R30">
            <v>22.300323753463523</v>
          </cell>
          <cell r="T30">
            <v>1.620557</v>
          </cell>
          <cell r="W30">
            <v>2.0903929999999997</v>
          </cell>
          <cell r="X30">
            <v>17.326698913387546</v>
          </cell>
        </row>
        <row r="31">
          <cell r="A31" t="str">
            <v>28/02/1997</v>
          </cell>
          <cell r="B31">
            <v>3.0718500000000004</v>
          </cell>
          <cell r="C31">
            <v>17.139354605854557</v>
          </cell>
          <cell r="E31">
            <v>2.2118800000000003</v>
          </cell>
          <cell r="F31">
            <v>19.387989399816114</v>
          </cell>
          <cell r="H31">
            <v>3.5801879999999997</v>
          </cell>
          <cell r="I31">
            <v>16.967339523504005</v>
          </cell>
          <cell r="K31">
            <v>2.40402</v>
          </cell>
          <cell r="L31">
            <v>22.918274438380561</v>
          </cell>
          <cell r="N31" t="e">
            <v>#N/A</v>
          </cell>
          <cell r="Q31">
            <v>1.9968939999999999</v>
          </cell>
          <cell r="R31">
            <v>21.649137733153491</v>
          </cell>
          <cell r="T31">
            <v>1.8259800000000002</v>
          </cell>
          <cell r="W31">
            <v>2.0441449999999999</v>
          </cell>
          <cell r="X31">
            <v>17.306568934830736</v>
          </cell>
        </row>
        <row r="32">
          <cell r="A32" t="str">
            <v>27/03/1997</v>
          </cell>
          <cell r="B32">
            <v>2.8598109999999997</v>
          </cell>
          <cell r="C32">
            <v>17.094383905299669</v>
          </cell>
          <cell r="E32">
            <v>2.0616909999999997</v>
          </cell>
          <cell r="F32">
            <v>19.309029770418764</v>
          </cell>
          <cell r="H32">
            <v>3.2001679999999997</v>
          </cell>
          <cell r="I32">
            <v>17.03720934473851</v>
          </cell>
          <cell r="K32">
            <v>2.3220639999999997</v>
          </cell>
          <cell r="L32">
            <v>22.896697152247622</v>
          </cell>
          <cell r="N32" t="e">
            <v>#N/A</v>
          </cell>
          <cell r="Q32">
            <v>1.7720779999999998</v>
          </cell>
          <cell r="R32">
            <v>20.997951712843459</v>
          </cell>
          <cell r="T32">
            <v>1.6966400000000001</v>
          </cell>
          <cell r="W32">
            <v>1.9701489999999999</v>
          </cell>
          <cell r="X32">
            <v>17.286438956273926</v>
          </cell>
        </row>
        <row r="33">
          <cell r="A33" t="str">
            <v>30/04/1997</v>
          </cell>
          <cell r="B33">
            <v>2.897869</v>
          </cell>
          <cell r="C33">
            <v>17.049413204744781</v>
          </cell>
          <cell r="E33">
            <v>2.1982269999999997</v>
          </cell>
          <cell r="F33">
            <v>19.230070141021415</v>
          </cell>
          <cell r="H33">
            <v>3.490183</v>
          </cell>
          <cell r="I33">
            <v>17.107079165973015</v>
          </cell>
          <cell r="K33">
            <v>2.319334</v>
          </cell>
          <cell r="L33">
            <v>22.875119866114684</v>
          </cell>
          <cell r="N33" t="e">
            <v>#N/A</v>
          </cell>
          <cell r="Q33">
            <v>2.0084649999999997</v>
          </cell>
          <cell r="R33">
            <v>20.346765692533427</v>
          </cell>
          <cell r="T33">
            <v>1.7118559999999998</v>
          </cell>
          <cell r="W33">
            <v>1.882471</v>
          </cell>
          <cell r="X33">
            <v>17.266308977717117</v>
          </cell>
        </row>
        <row r="34">
          <cell r="A34" t="str">
            <v>30/05/1997</v>
          </cell>
          <cell r="B34">
            <v>3.0664129999999998</v>
          </cell>
          <cell r="C34">
            <v>17.004442504189893</v>
          </cell>
          <cell r="E34">
            <v>2.5941809999999998</v>
          </cell>
          <cell r="F34">
            <v>19.151110511624065</v>
          </cell>
          <cell r="H34">
            <v>3.7201949999999999</v>
          </cell>
          <cell r="I34">
            <v>17.176948987207521</v>
          </cell>
          <cell r="K34">
            <v>3.024149</v>
          </cell>
          <cell r="L34">
            <v>22.853542579981745</v>
          </cell>
          <cell r="N34" t="e">
            <v>#N/A</v>
          </cell>
          <cell r="Q34">
            <v>3.619211</v>
          </cell>
          <cell r="R34">
            <v>19.695579672223396</v>
          </cell>
          <cell r="T34">
            <v>2.6324540000000001</v>
          </cell>
          <cell r="W34">
            <v>1.975706</v>
          </cell>
          <cell r="X34">
            <v>17.246178999160307</v>
          </cell>
        </row>
        <row r="35">
          <cell r="A35" t="str">
            <v>27/06/1997</v>
          </cell>
          <cell r="B35">
            <v>3.5122389999999997</v>
          </cell>
          <cell r="C35">
            <v>16.959471803635005</v>
          </cell>
          <cell r="E35">
            <v>2.928693</v>
          </cell>
          <cell r="F35">
            <v>19.072150882226715</v>
          </cell>
          <cell r="H35">
            <v>4.4202319999999995</v>
          </cell>
          <cell r="I35">
            <v>17.246818808442026</v>
          </cell>
          <cell r="K35">
            <v>3.8355059999999996</v>
          </cell>
          <cell r="L35">
            <v>22.831965293848807</v>
          </cell>
          <cell r="N35" t="e">
            <v>#N/A</v>
          </cell>
          <cell r="Q35">
            <v>6.1649269999999996</v>
          </cell>
          <cell r="R35">
            <v>19.044393651913364</v>
          </cell>
          <cell r="T35">
            <v>3.4084949999999998</v>
          </cell>
          <cell r="W35">
            <v>2.1932559999999999</v>
          </cell>
          <cell r="X35">
            <v>17.226049020603497</v>
          </cell>
        </row>
        <row r="36">
          <cell r="A36" t="str">
            <v>31/07/1997</v>
          </cell>
          <cell r="B36">
            <v>3.5013649999999998</v>
          </cell>
          <cell r="C36">
            <v>16.914501103080116</v>
          </cell>
          <cell r="E36">
            <v>3.3724349999999998</v>
          </cell>
          <cell r="F36">
            <v>18.993191252829366</v>
          </cell>
          <cell r="H36">
            <v>4.5202369999999998</v>
          </cell>
          <cell r="I36">
            <v>17.316688629676531</v>
          </cell>
          <cell r="K36">
            <v>3.7945279999999997</v>
          </cell>
          <cell r="L36">
            <v>22.810388007715868</v>
          </cell>
          <cell r="N36" t="e">
            <v>#N/A</v>
          </cell>
          <cell r="Q36">
            <v>5.3981449999999995</v>
          </cell>
          <cell r="R36">
            <v>18.393207631603332</v>
          </cell>
          <cell r="T36">
            <v>2.8530929999999999</v>
          </cell>
          <cell r="W36">
            <v>2.308691</v>
          </cell>
          <cell r="X36">
            <v>17.205919042046688</v>
          </cell>
        </row>
        <row r="37">
          <cell r="A37" t="str">
            <v>29/08/1997</v>
          </cell>
          <cell r="B37">
            <v>3.0344659999999997</v>
          </cell>
          <cell r="C37">
            <v>16.869530402525228</v>
          </cell>
          <cell r="E37">
            <v>2.2118800000000003</v>
          </cell>
          <cell r="F37">
            <v>18.914231623432016</v>
          </cell>
          <cell r="H37">
            <v>3.7401959999999996</v>
          </cell>
          <cell r="I37">
            <v>17.386558450911036</v>
          </cell>
          <cell r="K37">
            <v>2.704523</v>
          </cell>
          <cell r="L37">
            <v>22.78881072158293</v>
          </cell>
          <cell r="N37" t="e">
            <v>#N/A</v>
          </cell>
          <cell r="Q37">
            <v>14.200801</v>
          </cell>
          <cell r="R37">
            <v>17.7420216112933</v>
          </cell>
          <cell r="T37">
            <v>3.5758769999999998</v>
          </cell>
          <cell r="W37">
            <v>2.1089000000000002</v>
          </cell>
          <cell r="X37">
            <v>17.185789063489878</v>
          </cell>
        </row>
        <row r="38">
          <cell r="A38" t="str">
            <v>30/09/1997</v>
          </cell>
          <cell r="B38">
            <v>3.1716489999999999</v>
          </cell>
          <cell r="C38">
            <v>16.82455970197034</v>
          </cell>
          <cell r="E38">
            <v>2.2187069999999998</v>
          </cell>
          <cell r="F38">
            <v>18.835271994034667</v>
          </cell>
          <cell r="H38">
            <v>3.8102</v>
          </cell>
          <cell r="I38">
            <v>17.456428272145541</v>
          </cell>
          <cell r="K38">
            <v>2.7700869999999997</v>
          </cell>
          <cell r="L38">
            <v>22.767233435449992</v>
          </cell>
          <cell r="N38" t="e">
            <v>#N/A</v>
          </cell>
          <cell r="Q38">
            <v>11.348371999999999</v>
          </cell>
          <cell r="R38">
            <v>17.090835590983268</v>
          </cell>
          <cell r="T38">
            <v>3.0280830000000001</v>
          </cell>
          <cell r="W38">
            <v>2.0378629999999998</v>
          </cell>
          <cell r="X38">
            <v>17.165659084933068</v>
          </cell>
        </row>
        <row r="39">
          <cell r="A39" t="str">
            <v>31/10/1997</v>
          </cell>
          <cell r="B39">
            <v>1.8985989999999999</v>
          </cell>
          <cell r="C39">
            <v>16.779589001415452</v>
          </cell>
          <cell r="E39">
            <v>1.324397</v>
          </cell>
          <cell r="F39">
            <v>18.756312364637317</v>
          </cell>
          <cell r="H39">
            <v>2.6901409999999997</v>
          </cell>
          <cell r="I39">
            <v>17.526298093380046</v>
          </cell>
          <cell r="K39">
            <v>1.6309100000000001</v>
          </cell>
          <cell r="L39">
            <v>22.745656149317053</v>
          </cell>
          <cell r="N39" t="e">
            <v>#N/A</v>
          </cell>
          <cell r="Q39">
            <v>6.9010379999999998</v>
          </cell>
          <cell r="R39">
            <v>16.439649570673236</v>
          </cell>
          <cell r="T39">
            <v>1.476</v>
          </cell>
          <cell r="W39">
            <v>1.465131</v>
          </cell>
          <cell r="X39">
            <v>17.145529106376259</v>
          </cell>
        </row>
        <row r="40">
          <cell r="A40" t="str">
            <v>28/11/1997</v>
          </cell>
          <cell r="B40">
            <v>1.772392</v>
          </cell>
          <cell r="C40">
            <v>16.734618300860564</v>
          </cell>
          <cell r="E40">
            <v>1.0581529999999999</v>
          </cell>
          <cell r="F40">
            <v>18.677352735239968</v>
          </cell>
          <cell r="H40">
            <v>2.7201429999999998</v>
          </cell>
          <cell r="I40">
            <v>17.596167914614551</v>
          </cell>
          <cell r="K40">
            <v>1.6513979999999999</v>
          </cell>
          <cell r="L40">
            <v>22.724078863184115</v>
          </cell>
          <cell r="N40" t="e">
            <v>#N/A</v>
          </cell>
          <cell r="Q40">
            <v>4.9687469999999996</v>
          </cell>
          <cell r="R40">
            <v>15.788463550363204</v>
          </cell>
          <cell r="T40">
            <v>1.3694849999999998</v>
          </cell>
          <cell r="W40">
            <v>1.47401</v>
          </cell>
          <cell r="X40">
            <v>17.125399127819449</v>
          </cell>
        </row>
        <row r="41">
          <cell r="A41" t="str">
            <v>31/12/1997</v>
          </cell>
          <cell r="B41">
            <v>1.7823719999999998</v>
          </cell>
          <cell r="C41">
            <v>16.689647600305662</v>
          </cell>
          <cell r="E41">
            <v>1.12216</v>
          </cell>
          <cell r="F41">
            <v>18.598393105842618</v>
          </cell>
          <cell r="H41">
            <v>2.8733</v>
          </cell>
          <cell r="I41">
            <v>17.666037735849056</v>
          </cell>
          <cell r="K41">
            <v>1.575939</v>
          </cell>
          <cell r="L41">
            <v>22.702501577051173</v>
          </cell>
          <cell r="N41" t="e">
            <v>#N/A</v>
          </cell>
          <cell r="Q41">
            <v>2.3474629999999999</v>
          </cell>
          <cell r="R41">
            <v>15.137277530053176</v>
          </cell>
          <cell r="T41">
            <v>1.184801</v>
          </cell>
          <cell r="U41">
            <v>14.164123055524055</v>
          </cell>
          <cell r="W41">
            <v>1.4978819999999999</v>
          </cell>
          <cell r="X41">
            <v>17.105269149262661</v>
          </cell>
        </row>
        <row r="42">
          <cell r="A42" t="str">
            <v>27/01/1998</v>
          </cell>
          <cell r="B42">
            <v>1.3110009999999999</v>
          </cell>
          <cell r="C42">
            <v>15.798445595071515</v>
          </cell>
          <cell r="E42">
            <v>0.53851649999999995</v>
          </cell>
          <cell r="F42">
            <v>17.642651630478689</v>
          </cell>
          <cell r="H42">
            <v>2.344767</v>
          </cell>
          <cell r="I42">
            <v>17.403146619537065</v>
          </cell>
          <cell r="K42">
            <v>0.81315559999999998</v>
          </cell>
          <cell r="L42">
            <v>21.797936620401433</v>
          </cell>
          <cell r="N42" t="e">
            <v>#N/A</v>
          </cell>
          <cell r="Q42">
            <v>1.3204479999999998</v>
          </cell>
          <cell r="R42">
            <v>14.047232677981881</v>
          </cell>
          <cell r="T42">
            <v>0.55186809999999997</v>
          </cell>
          <cell r="U42">
            <v>13.097666552615532</v>
          </cell>
          <cell r="W42">
            <v>1.061841</v>
          </cell>
          <cell r="X42">
            <v>16.577530532937701</v>
          </cell>
        </row>
        <row r="43">
          <cell r="A43" t="str">
            <v>27/02/1998</v>
          </cell>
          <cell r="B43">
            <v>1.645923</v>
          </cell>
          <cell r="C43">
            <v>14.907243589837368</v>
          </cell>
          <cell r="E43">
            <v>1.2755919999999998</v>
          </cell>
          <cell r="F43">
            <v>16.686910155114759</v>
          </cell>
          <cell r="H43">
            <v>2.815642</v>
          </cell>
          <cell r="I43">
            <v>17.140255503225074</v>
          </cell>
          <cell r="K43">
            <v>1.511174</v>
          </cell>
          <cell r="L43">
            <v>20.893371663751694</v>
          </cell>
          <cell r="N43" t="e">
            <v>#N/A</v>
          </cell>
          <cell r="Q43">
            <v>2.6236359999999999</v>
          </cell>
          <cell r="R43">
            <v>12.957187825910587</v>
          </cell>
          <cell r="T43">
            <v>1.3531679999999999</v>
          </cell>
          <cell r="U43">
            <v>12.03121004970701</v>
          </cell>
          <cell r="W43">
            <v>1.372722</v>
          </cell>
          <cell r="X43">
            <v>16.04979191661274</v>
          </cell>
        </row>
        <row r="44">
          <cell r="A44" t="str">
            <v>31/03/1998</v>
          </cell>
          <cell r="B44">
            <v>1.6307300000000002</v>
          </cell>
          <cell r="C44">
            <v>14.01604158460322</v>
          </cell>
          <cell r="E44">
            <v>1.227457</v>
          </cell>
          <cell r="F44">
            <v>15.73116867975083</v>
          </cell>
          <cell r="H44">
            <v>2.9117389999999999</v>
          </cell>
          <cell r="I44">
            <v>16.877364386913083</v>
          </cell>
          <cell r="K44">
            <v>1.655095</v>
          </cell>
          <cell r="L44">
            <v>19.988806707101954</v>
          </cell>
          <cell r="N44" t="e">
            <v>#N/A</v>
          </cell>
          <cell r="Q44">
            <v>2.433767</v>
          </cell>
          <cell r="R44">
            <v>11.867142973839293</v>
          </cell>
          <cell r="T44">
            <v>1.2845739999999999</v>
          </cell>
          <cell r="U44">
            <v>10.964753546798487</v>
          </cell>
          <cell r="W44">
            <v>1.3404229999999999</v>
          </cell>
          <cell r="X44">
            <v>15.52205330028778</v>
          </cell>
        </row>
        <row r="45">
          <cell r="A45" t="str">
            <v>30/04/1998</v>
          </cell>
          <cell r="B45">
            <v>1.4129619999999998</v>
          </cell>
          <cell r="C45">
            <v>13.124839579369073</v>
          </cell>
          <cell r="E45">
            <v>1.137203</v>
          </cell>
          <cell r="F45">
            <v>14.775427204386901</v>
          </cell>
          <cell r="H45">
            <v>2.5081319999999998</v>
          </cell>
          <cell r="I45">
            <v>16.614473270601092</v>
          </cell>
          <cell r="K45">
            <v>1.568743</v>
          </cell>
          <cell r="L45">
            <v>19.084241750452215</v>
          </cell>
          <cell r="N45" t="e">
            <v>#N/A</v>
          </cell>
          <cell r="Q45">
            <v>2.498497</v>
          </cell>
          <cell r="R45">
            <v>10.777098121767999</v>
          </cell>
          <cell r="T45">
            <v>1.1037360000000001</v>
          </cell>
          <cell r="U45">
            <v>9.8982970438899649</v>
          </cell>
          <cell r="W45">
            <v>1.1789259999999999</v>
          </cell>
          <cell r="X45">
            <v>14.99431468396282</v>
          </cell>
        </row>
        <row r="46">
          <cell r="A46" t="str">
            <v>29/05/1998</v>
          </cell>
          <cell r="B46">
            <v>1.0483259999999999</v>
          </cell>
          <cell r="C46">
            <v>12.233637574134926</v>
          </cell>
          <cell r="E46">
            <v>0.78220279999999998</v>
          </cell>
          <cell r="F46">
            <v>13.819685729022972</v>
          </cell>
          <cell r="H46">
            <v>2.2198409999999997</v>
          </cell>
          <cell r="I46">
            <v>16.351582154289101</v>
          </cell>
          <cell r="K46">
            <v>1.0506260000000001</v>
          </cell>
          <cell r="L46">
            <v>18.179676793802475</v>
          </cell>
          <cell r="N46" t="e">
            <v>#N/A</v>
          </cell>
          <cell r="Q46">
            <v>2.0195110000000001</v>
          </cell>
          <cell r="R46">
            <v>9.6870532696967047</v>
          </cell>
          <cell r="T46">
            <v>0.78571049999999998</v>
          </cell>
          <cell r="U46">
            <v>8.8318405409814424</v>
          </cell>
          <cell r="W46">
            <v>0.88823219999999992</v>
          </cell>
          <cell r="X46">
            <v>14.46657606763786</v>
          </cell>
        </row>
        <row r="47">
          <cell r="A47" t="str">
            <v>30/06/1998</v>
          </cell>
          <cell r="B47">
            <v>0.85081549999999995</v>
          </cell>
          <cell r="C47">
            <v>11.342435568900779</v>
          </cell>
          <cell r="E47">
            <v>0.54152499999999992</v>
          </cell>
          <cell r="F47">
            <v>12.863944253659042</v>
          </cell>
          <cell r="H47">
            <v>1.683619</v>
          </cell>
          <cell r="I47">
            <v>16.08869103797711</v>
          </cell>
          <cell r="K47">
            <v>0.74479299999999993</v>
          </cell>
          <cell r="L47">
            <v>17.275111837152735</v>
          </cell>
          <cell r="N47" t="e">
            <v>#N/A</v>
          </cell>
          <cell r="Q47">
            <v>1.6440889999999999</v>
          </cell>
          <cell r="R47">
            <v>8.5970084176254105</v>
          </cell>
          <cell r="T47">
            <v>0.6142261</v>
          </cell>
          <cell r="U47">
            <v>7.7653840380729209</v>
          </cell>
          <cell r="W47">
            <v>0.72673539999999992</v>
          </cell>
          <cell r="X47">
            <v>13.938837451312899</v>
          </cell>
        </row>
        <row r="48">
          <cell r="A48" t="str">
            <v>31/07/1998</v>
          </cell>
          <cell r="B48">
            <v>0.81030049999999998</v>
          </cell>
          <cell r="C48">
            <v>10.451233563666632</v>
          </cell>
          <cell r="E48">
            <v>0.53249959999999996</v>
          </cell>
          <cell r="F48">
            <v>11.908202778295113</v>
          </cell>
          <cell r="H48">
            <v>1.452987</v>
          </cell>
          <cell r="I48">
            <v>15.825799921665119</v>
          </cell>
          <cell r="K48">
            <v>0.69801849999999999</v>
          </cell>
          <cell r="L48">
            <v>16.370546880502996</v>
          </cell>
          <cell r="N48" t="e">
            <v>#N/A</v>
          </cell>
          <cell r="Q48">
            <v>1.320449</v>
          </cell>
          <cell r="R48">
            <v>7.5069635655541163</v>
          </cell>
          <cell r="T48">
            <v>0.52692490000000003</v>
          </cell>
          <cell r="U48">
            <v>6.6989275351643993</v>
          </cell>
          <cell r="W48">
            <v>0.75095990000000001</v>
          </cell>
          <cell r="X48">
            <v>13.411098834987939</v>
          </cell>
        </row>
        <row r="49">
          <cell r="A49" t="str">
            <v>31/08/1998</v>
          </cell>
          <cell r="B49">
            <v>0.81536500000000001</v>
          </cell>
          <cell r="C49">
            <v>9.5600315584324846</v>
          </cell>
          <cell r="E49">
            <v>0.35499979999999998</v>
          </cell>
          <cell r="F49">
            <v>10.952461302931184</v>
          </cell>
          <cell r="H49">
            <v>1.6028979999999999</v>
          </cell>
          <cell r="I49">
            <v>15.562908805353128</v>
          </cell>
          <cell r="K49">
            <v>0.47853849999999998</v>
          </cell>
          <cell r="L49">
            <v>15.465981923853255</v>
          </cell>
          <cell r="N49" t="e">
            <v>#N/A</v>
          </cell>
          <cell r="Q49">
            <v>0.9527949</v>
          </cell>
          <cell r="R49">
            <v>6.4169187134828221</v>
          </cell>
          <cell r="T49">
            <v>0.36791209999999996</v>
          </cell>
          <cell r="U49">
            <v>5.6324710322558778</v>
          </cell>
          <cell r="W49">
            <v>0.58138829999999997</v>
          </cell>
          <cell r="X49">
            <v>12.883360218662979</v>
          </cell>
        </row>
        <row r="50">
          <cell r="A50" t="str">
            <v>30/09/1998</v>
          </cell>
          <cell r="B50">
            <v>1.1090990000000001</v>
          </cell>
          <cell r="C50">
            <v>8.6688295531983375</v>
          </cell>
          <cell r="E50">
            <v>0.46631319999999998</v>
          </cell>
          <cell r="F50">
            <v>9.9967198275672544</v>
          </cell>
          <cell r="H50">
            <v>1.8835009999999999</v>
          </cell>
          <cell r="I50">
            <v>15.300017689041137</v>
          </cell>
          <cell r="K50">
            <v>0.59727359999999996</v>
          </cell>
          <cell r="L50">
            <v>14.561416967203513</v>
          </cell>
          <cell r="N50" t="e">
            <v>#N/A</v>
          </cell>
          <cell r="Q50">
            <v>1.1909939999999999</v>
          </cell>
          <cell r="R50">
            <v>5.3268738614115279</v>
          </cell>
          <cell r="T50">
            <v>0.5144533</v>
          </cell>
          <cell r="U50">
            <v>4.5660145293473562</v>
          </cell>
          <cell r="W50">
            <v>0.63791219999999993</v>
          </cell>
          <cell r="X50">
            <v>12.355621602338019</v>
          </cell>
        </row>
        <row r="51">
          <cell r="A51" t="str">
            <v>30/10/1998</v>
          </cell>
          <cell r="B51">
            <v>1.296481</v>
          </cell>
          <cell r="C51">
            <v>7.7776275479641894</v>
          </cell>
          <cell r="E51">
            <v>0.81830449999999999</v>
          </cell>
          <cell r="F51">
            <v>9.0409783522033251</v>
          </cell>
          <cell r="H51">
            <v>2.5754000000000001</v>
          </cell>
          <cell r="I51">
            <v>15.037126572729147</v>
          </cell>
          <cell r="K51">
            <v>1.06142</v>
          </cell>
          <cell r="L51">
            <v>13.656852010553772</v>
          </cell>
          <cell r="N51" t="e">
            <v>#N/A</v>
          </cell>
          <cell r="Q51">
            <v>1.398123</v>
          </cell>
          <cell r="R51">
            <v>4.2368290093402337</v>
          </cell>
          <cell r="T51">
            <v>0.6422871</v>
          </cell>
          <cell r="U51">
            <v>3.4995580264388346</v>
          </cell>
          <cell r="W51">
            <v>0.9286063</v>
          </cell>
          <cell r="X51">
            <v>11.827882986013059</v>
          </cell>
        </row>
        <row r="52">
          <cell r="A52" t="str">
            <v>30/11/1998</v>
          </cell>
          <cell r="B52">
            <v>1.4636049999999998</v>
          </cell>
          <cell r="C52">
            <v>6.8864255427300414</v>
          </cell>
          <cell r="E52">
            <v>1.1582619999999999</v>
          </cell>
          <cell r="F52">
            <v>8.0852368768393958</v>
          </cell>
          <cell r="H52">
            <v>2.6234479999999998</v>
          </cell>
          <cell r="I52">
            <v>14.774235456417156</v>
          </cell>
          <cell r="K52">
            <v>1.5471539999999999</v>
          </cell>
          <cell r="L52">
            <v>12.752287053904031</v>
          </cell>
          <cell r="N52" t="e">
            <v>#N/A</v>
          </cell>
          <cell r="Q52">
            <v>1.449905</v>
          </cell>
          <cell r="R52">
            <v>3.146784157268939</v>
          </cell>
          <cell r="T52">
            <v>0.81065369999999992</v>
          </cell>
          <cell r="U52">
            <v>2.4331015235303131</v>
          </cell>
          <cell r="W52">
            <v>1.1001969999999999</v>
          </cell>
          <cell r="X52">
            <v>11.300144369688098</v>
          </cell>
        </row>
        <row r="53">
          <cell r="A53" t="str">
            <v>31/12/1998</v>
          </cell>
          <cell r="B53">
            <v>1.3143589999999998</v>
          </cell>
          <cell r="C53">
            <v>5.995223537495888</v>
          </cell>
          <cell r="E53">
            <v>1.2280259999999998</v>
          </cell>
          <cell r="F53">
            <v>7.1294954014754657</v>
          </cell>
          <cell r="H53">
            <v>3.073096</v>
          </cell>
          <cell r="I53">
            <v>14.511344340105158</v>
          </cell>
          <cell r="K53">
            <v>1.2873669999999999</v>
          </cell>
          <cell r="L53">
            <v>11.847722097254282</v>
          </cell>
          <cell r="N53" t="e">
            <v>#N/A</v>
          </cell>
          <cell r="Q53">
            <v>1.2406349999999999</v>
          </cell>
          <cell r="R53">
            <v>2.0567393051976404</v>
          </cell>
          <cell r="T53">
            <v>0.77038469999999992</v>
          </cell>
          <cell r="U53">
            <v>1.3666450206217946</v>
          </cell>
          <cell r="W53">
            <v>1.1337679999999999</v>
          </cell>
          <cell r="X53">
            <v>10.772405753363143</v>
          </cell>
        </row>
        <row r="54">
          <cell r="A54" t="str">
            <v>29/01/1999</v>
          </cell>
          <cell r="B54">
            <v>1.0758269999999999</v>
          </cell>
          <cell r="C54">
            <v>6.3463934456776911</v>
          </cell>
          <cell r="E54">
            <v>0.94040939999999995</v>
          </cell>
          <cell r="F54">
            <v>7.8124854041185223</v>
          </cell>
          <cell r="H54">
            <v>2.8734000000000002</v>
          </cell>
          <cell r="I54">
            <v>14.928975163310261</v>
          </cell>
          <cell r="K54">
            <v>1.0505709999999999</v>
          </cell>
          <cell r="L54">
            <v>12.089976058325618</v>
          </cell>
          <cell r="N54" t="e">
            <v>#N/A</v>
          </cell>
          <cell r="Q54">
            <v>0.94828749999999995</v>
          </cell>
          <cell r="R54">
            <v>2.0554230692081119</v>
          </cell>
          <cell r="T54">
            <v>0.57157579999999997</v>
          </cell>
          <cell r="U54">
            <v>-0.62177593316167856</v>
          </cell>
          <cell r="W54">
            <v>0.93988919999999998</v>
          </cell>
          <cell r="X54">
            <v>11.10159878964652</v>
          </cell>
        </row>
        <row r="55">
          <cell r="A55" t="str">
            <v>26/02/1999</v>
          </cell>
          <cell r="B55">
            <v>1.061223</v>
          </cell>
          <cell r="C55">
            <v>6.6975633538594943</v>
          </cell>
          <cell r="E55">
            <v>0.97272589999999992</v>
          </cell>
          <cell r="F55">
            <v>8.4954754067615781</v>
          </cell>
          <cell r="H55">
            <v>2.7957400000000003</v>
          </cell>
          <cell r="I55">
            <v>15.346605986515364</v>
          </cell>
          <cell r="K55">
            <v>1.1406200000000002</v>
          </cell>
          <cell r="L55">
            <v>12.332230019396954</v>
          </cell>
          <cell r="N55" t="e">
            <v>#N/A</v>
          </cell>
          <cell r="Q55">
            <v>0.91389359999999997</v>
          </cell>
          <cell r="R55">
            <v>2.0541068332185834</v>
          </cell>
          <cell r="T55">
            <v>0.44110739999999998</v>
          </cell>
          <cell r="U55">
            <v>-2.6101968869451517</v>
          </cell>
          <cell r="W55">
            <v>0.96096300000000001</v>
          </cell>
          <cell r="X55">
            <v>11.430791825929896</v>
          </cell>
        </row>
        <row r="56">
          <cell r="A56" t="str">
            <v>31/03/1999</v>
          </cell>
          <cell r="B56">
            <v>1.2802829999999998</v>
          </cell>
          <cell r="C56">
            <v>7.0487332620412975</v>
          </cell>
          <cell r="E56">
            <v>1.2344889999999999</v>
          </cell>
          <cell r="F56">
            <v>9.1784654094046338</v>
          </cell>
          <cell r="H56">
            <v>3.1618489999999997</v>
          </cell>
          <cell r="I56">
            <v>15.764236809720467</v>
          </cell>
          <cell r="K56">
            <v>1.3740809999999999</v>
          </cell>
          <cell r="L56">
            <v>12.57448398046829</v>
          </cell>
          <cell r="N56" t="e">
            <v>#N/A</v>
          </cell>
          <cell r="Q56">
            <v>0.94337409999999999</v>
          </cell>
          <cell r="R56">
            <v>2.052790597229055</v>
          </cell>
          <cell r="T56">
            <v>0.48770329999999995</v>
          </cell>
          <cell r="U56">
            <v>-4.5986178407286253</v>
          </cell>
          <cell r="W56">
            <v>1.1421969999999999</v>
          </cell>
          <cell r="X56">
            <v>11.759984862213273</v>
          </cell>
        </row>
        <row r="57">
          <cell r="A57" t="str">
            <v>30/04/1999</v>
          </cell>
          <cell r="B57">
            <v>1.8352339999999998</v>
          </cell>
          <cell r="C57">
            <v>7.3999031702231006</v>
          </cell>
          <cell r="E57">
            <v>1.580276</v>
          </cell>
          <cell r="F57">
            <v>9.8614554120476896</v>
          </cell>
          <cell r="H57">
            <v>4.071574</v>
          </cell>
          <cell r="I57">
            <v>16.18186763292557</v>
          </cell>
          <cell r="K57">
            <v>1.5808600000000002</v>
          </cell>
          <cell r="L57">
            <v>12.816737941539627</v>
          </cell>
          <cell r="N57" t="e">
            <v>#N/A</v>
          </cell>
          <cell r="Q57">
            <v>1.3143359999999999</v>
          </cell>
          <cell r="R57">
            <v>2.0514743612395265</v>
          </cell>
          <cell r="T57">
            <v>0.70825689999999997</v>
          </cell>
          <cell r="U57">
            <v>-6.5870387945120985</v>
          </cell>
          <cell r="W57">
            <v>1.289714</v>
          </cell>
          <cell r="X57">
            <v>12.089177898496649</v>
          </cell>
        </row>
        <row r="58">
          <cell r="A58" t="str">
            <v>31/05/1999</v>
          </cell>
          <cell r="B58">
            <v>1.6502500000000002</v>
          </cell>
          <cell r="C58">
            <v>7.7510730784049038</v>
          </cell>
          <cell r="E58">
            <v>1.4122300000000001</v>
          </cell>
          <cell r="F58">
            <v>10.544445414690745</v>
          </cell>
          <cell r="H58">
            <v>3.6389</v>
          </cell>
          <cell r="I58">
            <v>16.599498456130672</v>
          </cell>
          <cell r="K58">
            <v>1.4341139999999999</v>
          </cell>
          <cell r="L58">
            <v>13.058991902610963</v>
          </cell>
          <cell r="N58" t="e">
            <v>#N/A</v>
          </cell>
          <cell r="Q58">
            <v>1.1178000000000001</v>
          </cell>
          <cell r="R58">
            <v>2.0501581252499981</v>
          </cell>
          <cell r="T58">
            <v>0.59953329999999994</v>
          </cell>
          <cell r="U58">
            <v>-8.5754597482955717</v>
          </cell>
          <cell r="W58">
            <v>1.1801300000000001</v>
          </cell>
          <cell r="X58">
            <v>12.418370934780025</v>
          </cell>
        </row>
        <row r="59">
          <cell r="A59" t="str">
            <v>30/06/1999</v>
          </cell>
          <cell r="B59">
            <v>1.913122</v>
          </cell>
          <cell r="C59">
            <v>8.1022429865867078</v>
          </cell>
          <cell r="E59">
            <v>1.9099039999999998</v>
          </cell>
          <cell r="F59">
            <v>11.227435417333801</v>
          </cell>
          <cell r="H59">
            <v>3.8496900000000003</v>
          </cell>
          <cell r="I59">
            <v>17.017129279335773</v>
          </cell>
          <cell r="K59">
            <v>1.664239</v>
          </cell>
          <cell r="L59">
            <v>13.301245863682299</v>
          </cell>
          <cell r="N59" t="e">
            <v>#N/A</v>
          </cell>
          <cell r="Q59">
            <v>1.5600069999999999</v>
          </cell>
          <cell r="R59">
            <v>2.0488418892604696</v>
          </cell>
          <cell r="T59">
            <v>0.74553360000000002</v>
          </cell>
          <cell r="U59">
            <v>-10.563880702079045</v>
          </cell>
          <cell r="W59">
            <v>1.2728549999999998</v>
          </cell>
          <cell r="X59">
            <v>12.747563971063402</v>
          </cell>
        </row>
        <row r="60">
          <cell r="A60" t="str">
            <v>30/07/1999</v>
          </cell>
          <cell r="B60">
            <v>1.8303659999999999</v>
          </cell>
          <cell r="C60">
            <v>8.4534128947685119</v>
          </cell>
          <cell r="E60">
            <v>2.0553279999999998</v>
          </cell>
          <cell r="F60">
            <v>11.910425419976857</v>
          </cell>
          <cell r="H60">
            <v>3.7720309999999997</v>
          </cell>
          <cell r="I60">
            <v>17.434760102540874</v>
          </cell>
          <cell r="K60">
            <v>1.9710719999999999</v>
          </cell>
          <cell r="L60">
            <v>13.543499824753635</v>
          </cell>
          <cell r="N60" t="e">
            <v>#N/A</v>
          </cell>
          <cell r="Q60">
            <v>1.731976</v>
          </cell>
          <cell r="R60">
            <v>2.0475256532709412</v>
          </cell>
          <cell r="T60">
            <v>0.74553360000000002</v>
          </cell>
          <cell r="U60">
            <v>-12.552301655862518</v>
          </cell>
          <cell r="W60">
            <v>1.336076</v>
          </cell>
          <cell r="X60">
            <v>13.076757007346778</v>
          </cell>
        </row>
        <row r="61">
          <cell r="A61" t="str">
            <v>31/08/1999</v>
          </cell>
          <cell r="B61">
            <v>1.742742</v>
          </cell>
          <cell r="C61">
            <v>8.8045828029503159</v>
          </cell>
          <cell r="E61">
            <v>1.997158</v>
          </cell>
          <cell r="F61">
            <v>12.593415422619913</v>
          </cell>
          <cell r="H61">
            <v>3.8940669999999997</v>
          </cell>
          <cell r="I61">
            <v>17.852390925745976</v>
          </cell>
          <cell r="K61">
            <v>1.8009800000000002</v>
          </cell>
          <cell r="L61">
            <v>13.785753785824971</v>
          </cell>
          <cell r="N61" t="e">
            <v>#N/A</v>
          </cell>
          <cell r="Q61">
            <v>1.5108729999999999</v>
          </cell>
          <cell r="R61">
            <v>2.0462094172814127</v>
          </cell>
          <cell r="T61">
            <v>0.50634159999999995</v>
          </cell>
          <cell r="U61">
            <v>-14.540722609645991</v>
          </cell>
          <cell r="W61">
            <v>1.352935</v>
          </cell>
          <cell r="X61">
            <v>13.405950043630154</v>
          </cell>
        </row>
        <row r="62">
          <cell r="A62" t="str">
            <v>30/09/1999</v>
          </cell>
          <cell r="B62">
            <v>1.640514</v>
          </cell>
          <cell r="C62">
            <v>9.15575271113212</v>
          </cell>
          <cell r="E62">
            <v>2.0100850000000001</v>
          </cell>
          <cell r="F62">
            <v>13.276405425262968</v>
          </cell>
          <cell r="H62">
            <v>3.649994</v>
          </cell>
          <cell r="I62">
            <v>18.270021748951077</v>
          </cell>
          <cell r="K62">
            <v>1.7342769999999998</v>
          </cell>
          <cell r="L62">
            <v>14.028007746896307</v>
          </cell>
          <cell r="N62" t="e">
            <v>#N/A</v>
          </cell>
          <cell r="Q62">
            <v>1.3511869999999999</v>
          </cell>
          <cell r="R62">
            <v>2.0448931812918842</v>
          </cell>
          <cell r="T62">
            <v>0.48937509999999995</v>
          </cell>
          <cell r="U62">
            <v>-16.529143563429464</v>
          </cell>
          <cell r="W62">
            <v>1.3192169999999999</v>
          </cell>
          <cell r="X62">
            <v>13.735143079913531</v>
          </cell>
        </row>
        <row r="63">
          <cell r="A63" t="str">
            <v>29/10/1999</v>
          </cell>
          <cell r="B63">
            <v>1.6551179999999999</v>
          </cell>
          <cell r="C63">
            <v>9.506922619313924</v>
          </cell>
          <cell r="E63">
            <v>2.0036209999999999</v>
          </cell>
          <cell r="F63">
            <v>13.959395427906024</v>
          </cell>
          <cell r="H63">
            <v>3.7498419999999997</v>
          </cell>
          <cell r="I63">
            <v>18.687652572156178</v>
          </cell>
          <cell r="K63">
            <v>1.6909200000000002</v>
          </cell>
          <cell r="L63">
            <v>14.270261707967643</v>
          </cell>
          <cell r="N63" t="e">
            <v>#N/A</v>
          </cell>
          <cell r="Q63">
            <v>1.2774859999999999</v>
          </cell>
          <cell r="R63">
            <v>2.0435769453023558</v>
          </cell>
          <cell r="T63">
            <v>0.58213249999999994</v>
          </cell>
          <cell r="U63">
            <v>-18.517564517212939</v>
          </cell>
          <cell r="W63">
            <v>1.2644249999999999</v>
          </cell>
          <cell r="X63">
            <v>14.064336116196907</v>
          </cell>
        </row>
        <row r="64">
          <cell r="A64" t="str">
            <v>30/11/1999</v>
          </cell>
          <cell r="B64">
            <v>1.8206300000000002</v>
          </cell>
          <cell r="C64">
            <v>9.8580925274957281</v>
          </cell>
          <cell r="E64">
            <v>2.1264240000000001</v>
          </cell>
          <cell r="F64">
            <v>14.64238543054908</v>
          </cell>
          <cell r="H64">
            <v>3.827502</v>
          </cell>
          <cell r="I64">
            <v>19.10528339536128</v>
          </cell>
          <cell r="K64">
            <v>1.9810779999999999</v>
          </cell>
          <cell r="L64">
            <v>14.512515669038979</v>
          </cell>
          <cell r="N64" t="e">
            <v>#N/A</v>
          </cell>
          <cell r="Q64">
            <v>1.3266200000000001</v>
          </cell>
          <cell r="R64">
            <v>2.0422607093128273</v>
          </cell>
          <cell r="T64">
            <v>0.6077207</v>
          </cell>
          <cell r="U64">
            <v>-20.505985470996414</v>
          </cell>
          <cell r="W64">
            <v>1.3445049999999998</v>
          </cell>
          <cell r="X64">
            <v>14.393529152480284</v>
          </cell>
        </row>
        <row r="65">
          <cell r="A65" t="str">
            <v>30/12/1999</v>
          </cell>
          <cell r="B65">
            <v>2.0019869999999997</v>
          </cell>
          <cell r="C65">
            <v>10.20926243567753</v>
          </cell>
          <cell r="E65">
            <v>1.8288009999999999</v>
          </cell>
          <cell r="F65">
            <v>15.325375433192145</v>
          </cell>
          <cell r="H65">
            <v>4.2875639999999997</v>
          </cell>
          <cell r="I65">
            <v>19.522914218566392</v>
          </cell>
          <cell r="K65">
            <v>1.615453</v>
          </cell>
          <cell r="L65">
            <v>14.754769630110312</v>
          </cell>
          <cell r="N65" t="e">
            <v>#N/A</v>
          </cell>
          <cell r="O65">
            <v>10.099779365758883</v>
          </cell>
          <cell r="Q65">
            <v>1.4395100000000001</v>
          </cell>
          <cell r="R65">
            <v>2.0409444733233002</v>
          </cell>
          <cell r="T65">
            <v>1.205778</v>
          </cell>
          <cell r="U65">
            <v>-22.494406424779882</v>
          </cell>
          <cell r="W65">
            <v>1.196169</v>
          </cell>
          <cell r="X65">
            <v>14.722722188763656</v>
          </cell>
        </row>
        <row r="66">
          <cell r="A66" t="str">
            <v>31/01/2000</v>
          </cell>
          <cell r="B66">
            <v>1.8583259999999999</v>
          </cell>
          <cell r="C66">
            <v>10.333168695322044</v>
          </cell>
          <cell r="E66">
            <v>1.6282219999999998</v>
          </cell>
          <cell r="F66">
            <v>15.586607408701376</v>
          </cell>
          <cell r="H66">
            <v>3.6595259999999996</v>
          </cell>
          <cell r="I66">
            <v>19.847800375762706</v>
          </cell>
          <cell r="K66">
            <v>1.3968200000000002</v>
          </cell>
          <cell r="L66">
            <v>14.991179675431759</v>
          </cell>
          <cell r="N66" t="e">
            <v>#N/A</v>
          </cell>
          <cell r="O66">
            <v>10.565285079259903</v>
          </cell>
          <cell r="Q66">
            <v>1.3669300000000002</v>
          </cell>
          <cell r="R66">
            <v>2.6571436007804818</v>
          </cell>
          <cell r="T66">
            <v>1.3170809999999999</v>
          </cell>
          <cell r="U66">
            <v>-20.115058347578454</v>
          </cell>
          <cell r="W66">
            <v>1.03668</v>
          </cell>
          <cell r="X66">
            <v>14.798960624710748</v>
          </cell>
        </row>
        <row r="67">
          <cell r="A67" t="str">
            <v>29/02/2000</v>
          </cell>
          <cell r="B67">
            <v>1.6961279999999999</v>
          </cell>
          <cell r="C67">
            <v>10.457074954966558</v>
          </cell>
          <cell r="E67">
            <v>1.492537</v>
          </cell>
          <cell r="F67">
            <v>15.847839384210607</v>
          </cell>
          <cell r="H67">
            <v>3.393818</v>
          </cell>
          <cell r="I67">
            <v>20.17268653295902</v>
          </cell>
          <cell r="K67">
            <v>1.099237</v>
          </cell>
          <cell r="L67">
            <v>15.227589720753206</v>
          </cell>
          <cell r="N67" t="e">
            <v>#N/A</v>
          </cell>
          <cell r="O67">
            <v>11.030790792760923</v>
          </cell>
          <cell r="Q67">
            <v>1.161286</v>
          </cell>
          <cell r="R67">
            <v>3.2733427282376635</v>
          </cell>
          <cell r="T67">
            <v>1.3634569999999999</v>
          </cell>
          <cell r="U67">
            <v>-17.735710270377027</v>
          </cell>
          <cell r="W67">
            <v>1.059464</v>
          </cell>
          <cell r="X67">
            <v>14.87519906065784</v>
          </cell>
        </row>
        <row r="68">
          <cell r="A68" t="str">
            <v>31/03/2000</v>
          </cell>
          <cell r="B68">
            <v>1.603443</v>
          </cell>
          <cell r="C68">
            <v>10.580981214611072</v>
          </cell>
          <cell r="E68">
            <v>1.622323</v>
          </cell>
          <cell r="F68">
            <v>16.109071359719838</v>
          </cell>
          <cell r="H68">
            <v>3.2851189999999999</v>
          </cell>
          <cell r="I68">
            <v>20.497572690155334</v>
          </cell>
          <cell r="K68">
            <v>1.184261</v>
          </cell>
          <cell r="L68">
            <v>15.463999766074654</v>
          </cell>
          <cell r="N68" t="e">
            <v>#N/A</v>
          </cell>
          <cell r="O68">
            <v>11.496296506261944</v>
          </cell>
          <cell r="Q68">
            <v>1.149189</v>
          </cell>
          <cell r="R68">
            <v>3.8895418556948451</v>
          </cell>
          <cell r="T68">
            <v>1.289255</v>
          </cell>
          <cell r="U68">
            <v>-15.356362193175601</v>
          </cell>
          <cell r="W68">
            <v>1.097437</v>
          </cell>
          <cell r="X68">
            <v>14.951437496604932</v>
          </cell>
        </row>
        <row r="69">
          <cell r="A69" t="str">
            <v>28/04/2000</v>
          </cell>
          <cell r="B69">
            <v>1.5617349999999999</v>
          </cell>
          <cell r="C69">
            <v>10.704887474255585</v>
          </cell>
          <cell r="E69">
            <v>1.799304</v>
          </cell>
          <cell r="F69">
            <v>16.370303335229071</v>
          </cell>
          <cell r="H69">
            <v>3.4662839999999999</v>
          </cell>
          <cell r="I69">
            <v>20.822458847351648</v>
          </cell>
          <cell r="K69">
            <v>1.1599679999999999</v>
          </cell>
          <cell r="L69">
            <v>15.700409811396101</v>
          </cell>
          <cell r="N69" t="e">
            <v>#N/A</v>
          </cell>
          <cell r="O69">
            <v>11.961802219762964</v>
          </cell>
          <cell r="Q69">
            <v>0.97983469999999995</v>
          </cell>
          <cell r="R69">
            <v>4.5057409831520268</v>
          </cell>
          <cell r="T69">
            <v>1.335631</v>
          </cell>
          <cell r="U69">
            <v>-12.977014115974175</v>
          </cell>
          <cell r="W69">
            <v>1.0195909999999999</v>
          </cell>
          <cell r="X69">
            <v>15.027675932552023</v>
          </cell>
        </row>
        <row r="70">
          <cell r="A70" t="str">
            <v>31/05/2000</v>
          </cell>
          <cell r="B70">
            <v>1.269779</v>
          </cell>
          <cell r="C70">
            <v>10.828793733900099</v>
          </cell>
          <cell r="E70">
            <v>1.6754169999999999</v>
          </cell>
          <cell r="F70">
            <v>16.631535310738304</v>
          </cell>
          <cell r="H70">
            <v>3.1884980000000001</v>
          </cell>
          <cell r="I70">
            <v>21.147345004547962</v>
          </cell>
          <cell r="K70">
            <v>0.93829879999999999</v>
          </cell>
          <cell r="L70">
            <v>15.936819856717548</v>
          </cell>
          <cell r="N70" t="e">
            <v>#N/A</v>
          </cell>
          <cell r="O70">
            <v>12.427307933263984</v>
          </cell>
          <cell r="Q70">
            <v>0.86612549999999999</v>
          </cell>
          <cell r="R70">
            <v>5.1219401106092084</v>
          </cell>
          <cell r="T70">
            <v>1.354182</v>
          </cell>
          <cell r="U70">
            <v>-10.597666038772749</v>
          </cell>
          <cell r="W70">
            <v>0.84111539999999996</v>
          </cell>
          <cell r="X70">
            <v>15.103914368499115</v>
          </cell>
        </row>
        <row r="71">
          <cell r="A71" t="str">
            <v>30/06/2000</v>
          </cell>
          <cell r="B71">
            <v>1.6868600000000002</v>
          </cell>
          <cell r="C71">
            <v>10.952699993544613</v>
          </cell>
          <cell r="E71">
            <v>1.852398</v>
          </cell>
          <cell r="F71">
            <v>16.892767286247537</v>
          </cell>
          <cell r="H71">
            <v>3.574983</v>
          </cell>
          <cell r="I71">
            <v>21.472231161744276</v>
          </cell>
          <cell r="K71">
            <v>1.1781869999999999</v>
          </cell>
          <cell r="L71">
            <v>16.173229902038997</v>
          </cell>
          <cell r="N71" t="e">
            <v>#N/A</v>
          </cell>
          <cell r="O71">
            <v>12.892813646765005</v>
          </cell>
          <cell r="Q71">
            <v>1.0524149999999999</v>
          </cell>
          <cell r="R71">
            <v>5.73813923806639</v>
          </cell>
          <cell r="T71">
            <v>1.3912819999999999</v>
          </cell>
          <cell r="U71">
            <v>-8.2183179615713229</v>
          </cell>
          <cell r="W71">
            <v>0.97971900000000001</v>
          </cell>
          <cell r="X71">
            <v>15.180152804446207</v>
          </cell>
        </row>
        <row r="72">
          <cell r="A72" t="str">
            <v>31/07/2000</v>
          </cell>
          <cell r="B72">
            <v>1.640517</v>
          </cell>
          <cell r="C72">
            <v>11.076606253189127</v>
          </cell>
          <cell r="E72">
            <v>2.0824729999999998</v>
          </cell>
          <cell r="F72">
            <v>17.15399926175677</v>
          </cell>
          <cell r="H72">
            <v>3.9010789999999997</v>
          </cell>
          <cell r="I72">
            <v>21.79711731894059</v>
          </cell>
          <cell r="K72">
            <v>1.366455</v>
          </cell>
          <cell r="L72">
            <v>16.409639947360446</v>
          </cell>
          <cell r="N72" t="e">
            <v>#N/A</v>
          </cell>
          <cell r="O72">
            <v>13.358319360266025</v>
          </cell>
          <cell r="Q72">
            <v>1.294349</v>
          </cell>
          <cell r="R72">
            <v>6.3543383655235717</v>
          </cell>
          <cell r="T72">
            <v>1.419108</v>
          </cell>
          <cell r="U72">
            <v>-5.8389698843698969</v>
          </cell>
          <cell r="W72">
            <v>1.0822479999999999</v>
          </cell>
          <cell r="X72">
            <v>15.256391240393299</v>
          </cell>
        </row>
        <row r="73">
          <cell r="A73" t="str">
            <v>31/08/2000</v>
          </cell>
          <cell r="B73">
            <v>1.6868600000000002</v>
          </cell>
          <cell r="C73">
            <v>11.20051251283364</v>
          </cell>
          <cell r="E73">
            <v>2.1414659999999999</v>
          </cell>
          <cell r="F73">
            <v>17.415231237266003</v>
          </cell>
          <cell r="H73">
            <v>4.046011</v>
          </cell>
          <cell r="I73">
            <v>22.122003476136904</v>
          </cell>
          <cell r="K73">
            <v>1.5607949999999999</v>
          </cell>
          <cell r="L73">
            <v>16.646049992681895</v>
          </cell>
          <cell r="N73" t="e">
            <v>#N/A</v>
          </cell>
          <cell r="O73">
            <v>13.823825073767045</v>
          </cell>
          <cell r="Q73">
            <v>1.3911229999999999</v>
          </cell>
          <cell r="R73">
            <v>6.9705374929807533</v>
          </cell>
          <cell r="T73">
            <v>1.428383</v>
          </cell>
          <cell r="U73">
            <v>-3.4596218071684706</v>
          </cell>
          <cell r="W73">
            <v>1.13731</v>
          </cell>
          <cell r="X73">
            <v>15.332629676340391</v>
          </cell>
        </row>
        <row r="74">
          <cell r="A74" t="str">
            <v>29/09/2000</v>
          </cell>
          <cell r="B74">
            <v>1.6219800000000002</v>
          </cell>
          <cell r="C74">
            <v>11.324418772478154</v>
          </cell>
          <cell r="E74">
            <v>2.247655</v>
          </cell>
          <cell r="F74">
            <v>17.676463212775236</v>
          </cell>
          <cell r="H74">
            <v>4.0580889999999998</v>
          </cell>
          <cell r="I74">
            <v>22.446889633333218</v>
          </cell>
          <cell r="K74">
            <v>1.5243559999999998</v>
          </cell>
          <cell r="L74">
            <v>16.882460038003344</v>
          </cell>
          <cell r="N74" t="e">
            <v>#N/A</v>
          </cell>
          <cell r="O74">
            <v>14.289330787268065</v>
          </cell>
          <cell r="Q74">
            <v>1.258059</v>
          </cell>
          <cell r="R74">
            <v>7.586736620437935</v>
          </cell>
          <cell r="T74">
            <v>1.382007</v>
          </cell>
          <cell r="U74">
            <v>-1.0802737299670442</v>
          </cell>
          <cell r="W74">
            <v>1.1088289999999998</v>
          </cell>
          <cell r="X74">
            <v>15.408868112287482</v>
          </cell>
        </row>
        <row r="75">
          <cell r="A75" t="str">
            <v>31/10/2000</v>
          </cell>
          <cell r="B75">
            <v>1.635883</v>
          </cell>
          <cell r="C75">
            <v>11.448325032122668</v>
          </cell>
          <cell r="E75">
            <v>1.9762849999999998</v>
          </cell>
          <cell r="F75">
            <v>17.937695188284469</v>
          </cell>
          <cell r="H75">
            <v>4.4324959999999995</v>
          </cell>
          <cell r="I75">
            <v>22.771775790529531</v>
          </cell>
          <cell r="K75">
            <v>1.4454049999999998</v>
          </cell>
          <cell r="L75">
            <v>17.118870083324794</v>
          </cell>
          <cell r="N75" t="e">
            <v>#N/A</v>
          </cell>
          <cell r="O75">
            <v>14.754836500769086</v>
          </cell>
          <cell r="Q75">
            <v>1.149189</v>
          </cell>
          <cell r="R75">
            <v>8.2029357478951166</v>
          </cell>
          <cell r="T75">
            <v>1.1315759999999999</v>
          </cell>
          <cell r="U75">
            <v>1.2990743472343822</v>
          </cell>
          <cell r="W75">
            <v>1.101235</v>
          </cell>
          <cell r="X75">
            <v>15.485106548234574</v>
          </cell>
        </row>
        <row r="76">
          <cell r="A76" t="str">
            <v>30/11/2000</v>
          </cell>
          <cell r="B76">
            <v>1.5710039999999998</v>
          </cell>
          <cell r="C76">
            <v>11.572231291767181</v>
          </cell>
          <cell r="E76">
            <v>2.023479</v>
          </cell>
          <cell r="F76">
            <v>18.198927163793702</v>
          </cell>
          <cell r="H76">
            <v>4.3962629999999994</v>
          </cell>
          <cell r="I76">
            <v>23.096661947725845</v>
          </cell>
          <cell r="K76">
            <v>1.551685</v>
          </cell>
          <cell r="L76">
            <v>17.355280128646243</v>
          </cell>
          <cell r="N76" t="e">
            <v>#N/A</v>
          </cell>
          <cell r="O76">
            <v>15.220342214270106</v>
          </cell>
          <cell r="Q76">
            <v>1.076608</v>
          </cell>
          <cell r="R76">
            <v>8.8191348753522991</v>
          </cell>
          <cell r="T76">
            <v>1.168677</v>
          </cell>
          <cell r="U76">
            <v>3.6784224244358086</v>
          </cell>
          <cell r="W76">
            <v>1.0936400000000002</v>
          </cell>
          <cell r="X76">
            <v>15.561344984181666</v>
          </cell>
        </row>
        <row r="77">
          <cell r="A77" t="str">
            <v>29/12/2000</v>
          </cell>
          <cell r="B77">
            <v>1.9197309999999999</v>
          </cell>
          <cell r="C77">
            <v>11.696137551411702</v>
          </cell>
          <cell r="E77">
            <v>2.1848719999999999</v>
          </cell>
          <cell r="F77">
            <v>18.460159139302924</v>
          </cell>
          <cell r="H77">
            <v>4.9463700000000008</v>
          </cell>
          <cell r="I77">
            <v>23.421548104922174</v>
          </cell>
          <cell r="K77">
            <v>1.5275879999999999</v>
          </cell>
          <cell r="L77">
            <v>17.591690173967688</v>
          </cell>
          <cell r="N77" t="e">
            <v>#N/A</v>
          </cell>
          <cell r="O77">
            <v>15.68584792777113</v>
          </cell>
          <cell r="Q77">
            <v>1.2149000000000001</v>
          </cell>
          <cell r="R77">
            <v>9.4353340028094816</v>
          </cell>
          <cell r="T77">
            <v>1.1965139999999999</v>
          </cell>
          <cell r="U77">
            <v>6.0577705016372327</v>
          </cell>
          <cell r="W77">
            <v>1.077102</v>
          </cell>
          <cell r="X77">
            <v>15.637583420128767</v>
          </cell>
        </row>
        <row r="78">
          <cell r="A78" t="str">
            <v>31/01/2001</v>
          </cell>
          <cell r="B78">
            <v>2.0340579999999999</v>
          </cell>
          <cell r="C78">
            <v>11.516985350553499</v>
          </cell>
          <cell r="E78">
            <v>2.1952759999999998</v>
          </cell>
          <cell r="F78">
            <v>18.332482075331296</v>
          </cell>
          <cell r="H78">
            <v>4.8285989999999996</v>
          </cell>
          <cell r="I78">
            <v>23.322153683614196</v>
          </cell>
          <cell r="K78">
            <v>1.6413439999999999</v>
          </cell>
          <cell r="L78">
            <v>17.258782184876097</v>
          </cell>
          <cell r="N78" t="e">
            <v>#N/A</v>
          </cell>
          <cell r="O78">
            <v>14.987489802424019</v>
          </cell>
          <cell r="Q78">
            <v>1.328443</v>
          </cell>
          <cell r="R78">
            <v>9.5077761580379878</v>
          </cell>
          <cell r="T78">
            <v>1.1965139999999999</v>
          </cell>
          <cell r="U78">
            <v>6.197121287438331</v>
          </cell>
          <cell r="W78">
            <v>1.152091</v>
          </cell>
          <cell r="X78">
            <v>15.344498973553652</v>
          </cell>
        </row>
        <row r="79">
          <cell r="A79" t="str">
            <v>28/02/2001</v>
          </cell>
          <cell r="B79">
            <v>1.8387500000000001</v>
          </cell>
          <cell r="C79">
            <v>11.337833149695296</v>
          </cell>
          <cell r="E79">
            <v>2.101639</v>
          </cell>
          <cell r="F79">
            <v>18.204805011359667</v>
          </cell>
          <cell r="H79">
            <v>4.3692929999999999</v>
          </cell>
          <cell r="I79">
            <v>23.222759262306219</v>
          </cell>
          <cell r="K79">
            <v>1.5465469999999999</v>
          </cell>
          <cell r="L79">
            <v>16.925874195784505</v>
          </cell>
          <cell r="N79" t="e">
            <v>#N/A</v>
          </cell>
          <cell r="O79">
            <v>14.289131677076908</v>
          </cell>
          <cell r="Q79">
            <v>1.1921919999999999</v>
          </cell>
          <cell r="R79">
            <v>9.580218313266494</v>
          </cell>
          <cell r="T79">
            <v>1.1518679999999999</v>
          </cell>
          <cell r="U79">
            <v>6.3364720732394293</v>
          </cell>
          <cell r="W79">
            <v>1.128231</v>
          </cell>
          <cell r="X79">
            <v>15.051414526978537</v>
          </cell>
        </row>
        <row r="80">
          <cell r="A80" t="str">
            <v>30/03/2001</v>
          </cell>
          <cell r="B80">
            <v>1.672024</v>
          </cell>
          <cell r="C80">
            <v>11.158680948837093</v>
          </cell>
          <cell r="E80">
            <v>2.0028000000000001</v>
          </cell>
          <cell r="F80">
            <v>18.077127947388039</v>
          </cell>
          <cell r="H80">
            <v>4.2632989999999999</v>
          </cell>
          <cell r="I80">
            <v>23.123364840998242</v>
          </cell>
          <cell r="K80">
            <v>1.3352849999999998</v>
          </cell>
          <cell r="L80">
            <v>16.592966206692914</v>
          </cell>
          <cell r="N80" t="e">
            <v>#N/A</v>
          </cell>
          <cell r="O80">
            <v>13.590773551729797</v>
          </cell>
          <cell r="Q80">
            <v>1.0105249999999999</v>
          </cell>
          <cell r="R80">
            <v>9.6526604684950001</v>
          </cell>
          <cell r="T80">
            <v>1.3036649999999999</v>
          </cell>
          <cell r="U80">
            <v>6.4758228590405276</v>
          </cell>
          <cell r="W80">
            <v>1.1316389999999998</v>
          </cell>
          <cell r="X80">
            <v>14.758330080403422</v>
          </cell>
        </row>
        <row r="81">
          <cell r="A81" t="str">
            <v>27/04/2001</v>
          </cell>
          <cell r="B81">
            <v>1.686315</v>
          </cell>
          <cell r="C81">
            <v>10.97952874797889</v>
          </cell>
          <cell r="E81">
            <v>2.2108829999999999</v>
          </cell>
          <cell r="F81">
            <v>17.949450883416411</v>
          </cell>
          <cell r="H81">
            <v>4.3339619999999996</v>
          </cell>
          <cell r="I81">
            <v>23.023970419690265</v>
          </cell>
          <cell r="K81">
            <v>1.6738459999999999</v>
          </cell>
          <cell r="L81">
            <v>16.260058217601323</v>
          </cell>
          <cell r="N81" t="e">
            <v>#N/A</v>
          </cell>
          <cell r="O81">
            <v>12.892415426382685</v>
          </cell>
          <cell r="Q81">
            <v>1.090004</v>
          </cell>
          <cell r="R81">
            <v>9.7251026237235063</v>
          </cell>
          <cell r="T81">
            <v>1.1965139999999999</v>
          </cell>
          <cell r="U81">
            <v>6.6151736448416258</v>
          </cell>
          <cell r="W81">
            <v>1.336152</v>
          </cell>
          <cell r="X81">
            <v>14.465245633828307</v>
          </cell>
        </row>
        <row r="82">
          <cell r="A82" t="str">
            <v>31/05/2001</v>
          </cell>
          <cell r="B82">
            <v>1.7196600000000002</v>
          </cell>
          <cell r="C82">
            <v>10.800376547120687</v>
          </cell>
          <cell r="E82">
            <v>2.1640639999999998</v>
          </cell>
          <cell r="F82">
            <v>17.821773819444783</v>
          </cell>
          <cell r="H82">
            <v>4.0748660000000001</v>
          </cell>
          <cell r="I82">
            <v>22.924575998382288</v>
          </cell>
          <cell r="K82">
            <v>1.6738459999999999</v>
          </cell>
          <cell r="L82">
            <v>15.927150228509731</v>
          </cell>
          <cell r="N82" t="e">
            <v>#N/A</v>
          </cell>
          <cell r="O82">
            <v>12.194057301035574</v>
          </cell>
          <cell r="Q82">
            <v>1.1467749999999999</v>
          </cell>
          <cell r="R82">
            <v>9.7975447789520125</v>
          </cell>
          <cell r="T82">
            <v>1.2679479999999999</v>
          </cell>
          <cell r="U82">
            <v>6.7545244306427241</v>
          </cell>
          <cell r="W82">
            <v>1.24753</v>
          </cell>
          <cell r="X82">
            <v>14.172161187253192</v>
          </cell>
        </row>
        <row r="83">
          <cell r="A83" t="str">
            <v>29/06/2001</v>
          </cell>
          <cell r="B83">
            <v>1.724424</v>
          </cell>
          <cell r="C83">
            <v>10.621224346262483</v>
          </cell>
          <cell r="E83">
            <v>2.0964369999999999</v>
          </cell>
          <cell r="F83">
            <v>17.694096755473154</v>
          </cell>
          <cell r="H83">
            <v>3.7686629999999997</v>
          </cell>
          <cell r="I83">
            <v>22.825181577074311</v>
          </cell>
          <cell r="K83">
            <v>1.611551</v>
          </cell>
          <cell r="L83">
            <v>15.59424223941814</v>
          </cell>
          <cell r="N83" t="e">
            <v>#N/A</v>
          </cell>
          <cell r="O83">
            <v>11.495699175688463</v>
          </cell>
          <cell r="Q83">
            <v>1.2149000000000001</v>
          </cell>
          <cell r="R83">
            <v>9.8699869341805186</v>
          </cell>
          <cell r="T83">
            <v>1.2590189999999999</v>
          </cell>
          <cell r="U83">
            <v>6.8938752164438224</v>
          </cell>
          <cell r="W83">
            <v>1.240713</v>
          </cell>
          <cell r="X83">
            <v>13.879076740678077</v>
          </cell>
        </row>
        <row r="84">
          <cell r="A84" t="str">
            <v>31/07/2001</v>
          </cell>
          <cell r="B84">
            <v>1.733951</v>
          </cell>
          <cell r="C84">
            <v>10.44207214540428</v>
          </cell>
          <cell r="E84">
            <v>2.1380539999999999</v>
          </cell>
          <cell r="F84">
            <v>17.566419691501526</v>
          </cell>
          <cell r="H84">
            <v>4.1219739999999998</v>
          </cell>
          <cell r="I84">
            <v>22.725787155766334</v>
          </cell>
          <cell r="K84">
            <v>1.4680009999999999</v>
          </cell>
          <cell r="L84">
            <v>15.261334250326549</v>
          </cell>
          <cell r="N84" t="e">
            <v>#N/A</v>
          </cell>
          <cell r="O84">
            <v>10.797341050341352</v>
          </cell>
          <cell r="Q84">
            <v>1.1467749999999999</v>
          </cell>
          <cell r="R84">
            <v>9.9424290894090248</v>
          </cell>
          <cell r="T84">
            <v>1.2143729999999999</v>
          </cell>
          <cell r="U84">
            <v>7.0332260022449207</v>
          </cell>
          <cell r="W84">
            <v>1.1623159999999999</v>
          </cell>
          <cell r="X84">
            <v>13.585992294102962</v>
          </cell>
        </row>
        <row r="85">
          <cell r="A85" t="str">
            <v>31/08/2001</v>
          </cell>
          <cell r="B85">
            <v>1.7006059999999998</v>
          </cell>
          <cell r="C85">
            <v>10.262919944546077</v>
          </cell>
          <cell r="E85">
            <v>2.0028000000000001</v>
          </cell>
          <cell r="F85">
            <v>17.438742627529898</v>
          </cell>
          <cell r="H85">
            <v>4.1337519999999994</v>
          </cell>
          <cell r="I85">
            <v>22.626392734458356</v>
          </cell>
          <cell r="K85">
            <v>1.454458</v>
          </cell>
          <cell r="L85">
            <v>14.928426261234957</v>
          </cell>
          <cell r="N85" t="e">
            <v>#N/A</v>
          </cell>
          <cell r="O85">
            <v>10.098982924994241</v>
          </cell>
          <cell r="Q85">
            <v>1.1240669999999999</v>
          </cell>
          <cell r="R85">
            <v>10.014871244637531</v>
          </cell>
          <cell r="T85">
            <v>1.1250800000000001</v>
          </cell>
          <cell r="U85">
            <v>7.1725767880460189</v>
          </cell>
          <cell r="W85">
            <v>1.080511</v>
          </cell>
          <cell r="X85">
            <v>13.292907847527847</v>
          </cell>
        </row>
        <row r="86">
          <cell r="A86" t="str">
            <v>28/09/2001</v>
          </cell>
          <cell r="B86">
            <v>1.4814800000000001</v>
          </cell>
          <cell r="C86">
            <v>10.083767743687874</v>
          </cell>
          <cell r="E86">
            <v>1.805121</v>
          </cell>
          <cell r="F86">
            <v>17.31106556355827</v>
          </cell>
          <cell r="H86">
            <v>3.8039939999999999</v>
          </cell>
          <cell r="I86">
            <v>22.526998313150379</v>
          </cell>
          <cell r="K86">
            <v>1.321742</v>
          </cell>
          <cell r="L86">
            <v>14.595518272143366</v>
          </cell>
          <cell r="N86" t="e">
            <v>#N/A</v>
          </cell>
          <cell r="O86">
            <v>9.4006247996471295</v>
          </cell>
          <cell r="Q86">
            <v>0.88108679999999995</v>
          </cell>
          <cell r="R86">
            <v>10.087313399866037</v>
          </cell>
          <cell r="T86">
            <v>1.348311</v>
          </cell>
          <cell r="U86">
            <v>7.3119275738471172</v>
          </cell>
          <cell r="W86">
            <v>0.89985769999999998</v>
          </cell>
          <cell r="X86">
            <v>12.999823400952732</v>
          </cell>
        </row>
        <row r="87">
          <cell r="A87" t="str">
            <v>31/10/2001</v>
          </cell>
          <cell r="B87">
            <v>1.4814800000000001</v>
          </cell>
          <cell r="C87">
            <v>9.9046155428296707</v>
          </cell>
          <cell r="E87">
            <v>1.7583019999999998</v>
          </cell>
          <cell r="F87">
            <v>17.183388499586641</v>
          </cell>
          <cell r="H87">
            <v>3.686223</v>
          </cell>
          <cell r="I87">
            <v>22.427603891842402</v>
          </cell>
          <cell r="K87">
            <v>1.270281</v>
          </cell>
          <cell r="L87">
            <v>14.262610283051774</v>
          </cell>
          <cell r="N87" t="e">
            <v>#N/A</v>
          </cell>
          <cell r="O87">
            <v>8.7022666743000183</v>
          </cell>
          <cell r="Q87">
            <v>0.96510789999999991</v>
          </cell>
          <cell r="R87">
            <v>10.159755555094543</v>
          </cell>
          <cell r="T87">
            <v>1.1965139999999999</v>
          </cell>
          <cell r="U87">
            <v>7.4512783596482155</v>
          </cell>
          <cell r="W87">
            <v>0.92883039999999994</v>
          </cell>
          <cell r="X87">
            <v>12.706738954377617</v>
          </cell>
        </row>
        <row r="88">
          <cell r="A88" t="str">
            <v>30/11/2001</v>
          </cell>
          <cell r="B88">
            <v>1.5672249999999999</v>
          </cell>
          <cell r="C88">
            <v>9.7254633419714676</v>
          </cell>
          <cell r="E88">
            <v>1.820727</v>
          </cell>
          <cell r="F88">
            <v>17.055711435615013</v>
          </cell>
          <cell r="H88">
            <v>3.9806500000000002</v>
          </cell>
          <cell r="I88">
            <v>22.328209470534425</v>
          </cell>
          <cell r="K88">
            <v>1.3000749999999999</v>
          </cell>
          <cell r="L88">
            <v>13.929702293960183</v>
          </cell>
          <cell r="N88" t="e">
            <v>#N/A</v>
          </cell>
          <cell r="O88">
            <v>8.0039085489529072</v>
          </cell>
          <cell r="Q88">
            <v>1.021879</v>
          </cell>
          <cell r="R88">
            <v>10.232197710323049</v>
          </cell>
          <cell r="T88">
            <v>1.294735</v>
          </cell>
          <cell r="U88">
            <v>7.5906291454493138</v>
          </cell>
          <cell r="W88">
            <v>0.9935929</v>
          </cell>
          <cell r="X88">
            <v>12.413654507802502</v>
          </cell>
        </row>
        <row r="89">
          <cell r="A89" t="str">
            <v>31/12/2001</v>
          </cell>
          <cell r="B89">
            <v>1.3197719999999999</v>
          </cell>
          <cell r="C89">
            <v>9.546311141113268</v>
          </cell>
          <cell r="E89">
            <v>1.652142</v>
          </cell>
          <cell r="F89">
            <v>16.928034371643395</v>
          </cell>
          <cell r="H89">
            <v>3.6373829999999998</v>
          </cell>
          <cell r="I89">
            <v>22.228815049226441</v>
          </cell>
          <cell r="K89">
            <v>1.213457</v>
          </cell>
          <cell r="L89">
            <v>13.596794304868595</v>
          </cell>
          <cell r="N89" t="e">
            <v>#N/A</v>
          </cell>
          <cell r="O89">
            <v>7.305550423605796</v>
          </cell>
          <cell r="Q89">
            <v>0.82188369999999999</v>
          </cell>
          <cell r="R89">
            <v>10.304639865551549</v>
          </cell>
          <cell r="T89">
            <v>0.96196759999999992</v>
          </cell>
          <cell r="U89">
            <v>7.7299799312504165</v>
          </cell>
          <cell r="W89">
            <v>0.91170010000000001</v>
          </cell>
          <cell r="X89">
            <v>12.120570061227387</v>
          </cell>
        </row>
        <row r="90">
          <cell r="A90" t="str">
            <v>31/01/2002</v>
          </cell>
          <cell r="B90">
            <v>1.2333589999999999</v>
          </cell>
          <cell r="C90">
            <v>9.3825201264802658</v>
          </cell>
          <cell r="E90">
            <v>1.477525</v>
          </cell>
          <cell r="F90">
            <v>16.722299065269457</v>
          </cell>
          <cell r="H90">
            <v>3.616174</v>
          </cell>
          <cell r="I90">
            <v>22.241741637774808</v>
          </cell>
          <cell r="K90">
            <v>1.1891879999999999</v>
          </cell>
          <cell r="L90">
            <v>13.364551084407172</v>
          </cell>
          <cell r="N90" t="e">
            <v>#N/A</v>
          </cell>
          <cell r="O90">
            <v>7.7160529452962061</v>
          </cell>
          <cell r="Q90">
            <v>0.89244950000000001</v>
          </cell>
          <cell r="R90">
            <v>10.177547300465818</v>
          </cell>
          <cell r="T90">
            <v>0.92924759999999995</v>
          </cell>
          <cell r="U90">
            <v>7.7632274687333549</v>
          </cell>
          <cell r="W90">
            <v>0.89603519999999992</v>
          </cell>
          <cell r="X90">
            <v>11.960429555972125</v>
          </cell>
        </row>
        <row r="91">
          <cell r="A91" t="str">
            <v>28/02/2002</v>
          </cell>
          <cell r="B91">
            <v>1.1665839999999998</v>
          </cell>
          <cell r="C91">
            <v>9.2187291118472636</v>
          </cell>
          <cell r="E91">
            <v>1.455139</v>
          </cell>
          <cell r="F91">
            <v>16.516563758895519</v>
          </cell>
          <cell r="H91">
            <v>3.626779</v>
          </cell>
          <cell r="I91">
            <v>22.254668226323176</v>
          </cell>
          <cell r="K91">
            <v>1.152784</v>
          </cell>
          <cell r="L91">
            <v>13.132307863945748</v>
          </cell>
          <cell r="N91" t="e">
            <v>#N/A</v>
          </cell>
          <cell r="O91">
            <v>8.1265554669866162</v>
          </cell>
          <cell r="Q91">
            <v>0.975468</v>
          </cell>
          <cell r="R91">
            <v>10.050454735380089</v>
          </cell>
          <cell r="T91">
            <v>0.95542359999999993</v>
          </cell>
          <cell r="U91">
            <v>7.7964750062162933</v>
          </cell>
          <cell r="W91">
            <v>0.91639959999999998</v>
          </cell>
          <cell r="X91">
            <v>11.800289050716863</v>
          </cell>
        </row>
        <row r="92">
          <cell r="A92" t="str">
            <v>28/03/2002</v>
          </cell>
          <cell r="B92">
            <v>1.2215749999999999</v>
          </cell>
          <cell r="C92">
            <v>9.0549380972142615</v>
          </cell>
          <cell r="E92">
            <v>1.6118459999999999</v>
          </cell>
          <cell r="F92">
            <v>16.31082845252158</v>
          </cell>
          <cell r="H92">
            <v>3.7010109999999998</v>
          </cell>
          <cell r="I92">
            <v>22.267594814871543</v>
          </cell>
          <cell r="K92">
            <v>1.366352</v>
          </cell>
          <cell r="L92">
            <v>12.900064643484324</v>
          </cell>
          <cell r="N92" t="e">
            <v>#N/A</v>
          </cell>
          <cell r="O92">
            <v>8.5370579886770273</v>
          </cell>
          <cell r="Q92">
            <v>1.027355</v>
          </cell>
          <cell r="R92">
            <v>9.9233621702943609</v>
          </cell>
          <cell r="T92">
            <v>1.0470400000000002</v>
          </cell>
          <cell r="U92">
            <v>7.8297225436992317</v>
          </cell>
          <cell r="W92">
            <v>1.0808819999999999</v>
          </cell>
          <cell r="X92">
            <v>11.640148545461601</v>
          </cell>
        </row>
        <row r="93">
          <cell r="A93" t="str">
            <v>30/04/2002</v>
          </cell>
          <cell r="B93">
            <v>1.284421</v>
          </cell>
          <cell r="C93">
            <v>8.8911470825812593</v>
          </cell>
          <cell r="E93">
            <v>1.7819849999999999</v>
          </cell>
          <cell r="F93">
            <v>16.105093146147642</v>
          </cell>
          <cell r="H93">
            <v>3.7858479999999997</v>
          </cell>
          <cell r="I93">
            <v>22.280521403419911</v>
          </cell>
          <cell r="K93">
            <v>1.3736329999999999</v>
          </cell>
          <cell r="L93">
            <v>12.6678214230229</v>
          </cell>
          <cell r="N93" t="e">
            <v>#N/A</v>
          </cell>
          <cell r="O93">
            <v>8.9475605103674383</v>
          </cell>
          <cell r="Q93">
            <v>1.0792409999999999</v>
          </cell>
          <cell r="R93">
            <v>9.7962696052086322</v>
          </cell>
          <cell r="T93">
            <v>1.0470400000000002</v>
          </cell>
          <cell r="U93">
            <v>7.8629700811821701</v>
          </cell>
          <cell r="W93">
            <v>1.1090789999999999</v>
          </cell>
          <cell r="X93">
            <v>11.480008040206339</v>
          </cell>
        </row>
        <row r="94">
          <cell r="A94" t="str">
            <v>31/05/2002</v>
          </cell>
          <cell r="B94">
            <v>1.331556</v>
          </cell>
          <cell r="C94">
            <v>8.7273560679482571</v>
          </cell>
          <cell r="E94">
            <v>1.7506439999999999</v>
          </cell>
          <cell r="F94">
            <v>15.899357839773703</v>
          </cell>
          <cell r="H94">
            <v>3.6585919999999996</v>
          </cell>
          <cell r="I94">
            <v>22.293447991968279</v>
          </cell>
          <cell r="K94">
            <v>1.3469369999999998</v>
          </cell>
          <cell r="L94">
            <v>12.435578202561477</v>
          </cell>
          <cell r="N94" t="e">
            <v>#N/A</v>
          </cell>
          <cell r="O94">
            <v>9.3580630320578493</v>
          </cell>
          <cell r="Q94">
            <v>1.0377319999999999</v>
          </cell>
          <cell r="R94">
            <v>9.6691770401229036</v>
          </cell>
          <cell r="T94">
            <v>1.0143200000000001</v>
          </cell>
          <cell r="U94">
            <v>7.8962176186651085</v>
          </cell>
          <cell r="W94">
            <v>1.1278759999999999</v>
          </cell>
          <cell r="X94">
            <v>11.319867534951078</v>
          </cell>
        </row>
        <row r="95">
          <cell r="A95" t="str">
            <v>28/06/2002</v>
          </cell>
          <cell r="B95">
            <v>1.2333589999999999</v>
          </cell>
          <cell r="C95">
            <v>8.563565053315255</v>
          </cell>
          <cell r="E95">
            <v>1.7013929999999999</v>
          </cell>
          <cell r="F95">
            <v>15.693622533399765</v>
          </cell>
          <cell r="H95">
            <v>3.5419419999999997</v>
          </cell>
          <cell r="I95">
            <v>22.306374580516646</v>
          </cell>
          <cell r="K95">
            <v>1.2547139999999999</v>
          </cell>
          <cell r="L95">
            <v>12.203334982100053</v>
          </cell>
          <cell r="N95" t="e">
            <v>#N/A</v>
          </cell>
          <cell r="O95">
            <v>9.7685655537482603</v>
          </cell>
          <cell r="Q95">
            <v>0.94433610000000001</v>
          </cell>
          <cell r="R95">
            <v>9.5420844750371749</v>
          </cell>
          <cell r="T95">
            <v>0.96196759999999992</v>
          </cell>
          <cell r="U95">
            <v>7.9294651561480469</v>
          </cell>
          <cell r="W95">
            <v>1.074616</v>
          </cell>
          <cell r="X95">
            <v>11.159727029695816</v>
          </cell>
        </row>
        <row r="96">
          <cell r="A96" t="str">
            <v>31/07/2002</v>
          </cell>
          <cell r="B96">
            <v>1.182296</v>
          </cell>
          <cell r="C96">
            <v>8.3997740386822528</v>
          </cell>
          <cell r="E96">
            <v>1.5805049999999998</v>
          </cell>
          <cell r="F96">
            <v>15.487887227025826</v>
          </cell>
          <cell r="H96">
            <v>3.6585919999999996</v>
          </cell>
          <cell r="I96">
            <v>22.319301169065014</v>
          </cell>
          <cell r="K96">
            <v>1.201322</v>
          </cell>
          <cell r="L96">
            <v>11.971091761638629</v>
          </cell>
          <cell r="N96">
            <v>1.7124779999999999</v>
          </cell>
          <cell r="O96">
            <v>10.179068075438671</v>
          </cell>
          <cell r="Q96">
            <v>0.9235814</v>
          </cell>
          <cell r="R96">
            <v>9.4149919099514463</v>
          </cell>
          <cell r="T96">
            <v>0.88343959999999999</v>
          </cell>
          <cell r="U96">
            <v>7.9627126936309853</v>
          </cell>
          <cell r="W96">
            <v>0.9712269</v>
          </cell>
          <cell r="X96">
            <v>10.999586524440554</v>
          </cell>
        </row>
        <row r="97">
          <cell r="A97" t="str">
            <v>30/08/2002</v>
          </cell>
          <cell r="B97">
            <v>1.1665839999999998</v>
          </cell>
          <cell r="C97">
            <v>8.2359830240492506</v>
          </cell>
          <cell r="E97">
            <v>1.5312539999999999</v>
          </cell>
          <cell r="F97">
            <v>15.282151920651888</v>
          </cell>
          <cell r="H97">
            <v>3.552546</v>
          </cell>
          <cell r="I97">
            <v>22.332227757613381</v>
          </cell>
          <cell r="K97">
            <v>1.2474339999999999</v>
          </cell>
          <cell r="L97">
            <v>11.738848541177205</v>
          </cell>
          <cell r="N97">
            <v>1.702345</v>
          </cell>
          <cell r="O97">
            <v>10.589570597129082</v>
          </cell>
          <cell r="Q97">
            <v>0.93395869999999992</v>
          </cell>
          <cell r="R97">
            <v>9.2878993448657177</v>
          </cell>
          <cell r="T97">
            <v>0.85071959999999991</v>
          </cell>
          <cell r="U97">
            <v>7.9959602311139237</v>
          </cell>
          <cell r="W97">
            <v>0.96496090000000001</v>
          </cell>
          <cell r="X97">
            <v>10.839446019185292</v>
          </cell>
        </row>
        <row r="98">
          <cell r="A98" t="str">
            <v>30/09/2002</v>
          </cell>
          <cell r="B98">
            <v>1.0762430000000001</v>
          </cell>
          <cell r="C98">
            <v>8.0721920094162485</v>
          </cell>
          <cell r="E98">
            <v>1.508867</v>
          </cell>
          <cell r="F98">
            <v>15.076416614277949</v>
          </cell>
          <cell r="H98">
            <v>3.4677089999999997</v>
          </cell>
          <cell r="I98">
            <v>22.345154346161749</v>
          </cell>
          <cell r="K98">
            <v>1.2377259999999999</v>
          </cell>
          <cell r="L98">
            <v>11.506605320715781</v>
          </cell>
          <cell r="N98">
            <v>1.580749</v>
          </cell>
          <cell r="O98">
            <v>11.000073118819493</v>
          </cell>
          <cell r="Q98">
            <v>0.82603459999999995</v>
          </cell>
          <cell r="R98">
            <v>9.160806779779989</v>
          </cell>
          <cell r="T98">
            <v>0.83763159999999992</v>
          </cell>
          <cell r="U98">
            <v>8.0292077685968621</v>
          </cell>
          <cell r="W98">
            <v>0.90230109999999997</v>
          </cell>
          <cell r="X98">
            <v>10.67930551393003</v>
          </cell>
        </row>
        <row r="99">
          <cell r="A99" t="str">
            <v>31/10/2002</v>
          </cell>
          <cell r="B99">
            <v>1.068387</v>
          </cell>
          <cell r="C99">
            <v>7.9084009947832463</v>
          </cell>
          <cell r="E99">
            <v>1.6208009999999999</v>
          </cell>
          <cell r="F99">
            <v>14.870681307904011</v>
          </cell>
          <cell r="H99">
            <v>3.5737559999999999</v>
          </cell>
          <cell r="I99">
            <v>22.358080934710117</v>
          </cell>
          <cell r="K99">
            <v>1.2086029999999999</v>
          </cell>
          <cell r="L99">
            <v>11.274362100254358</v>
          </cell>
          <cell r="N99">
            <v>1.611148</v>
          </cell>
          <cell r="O99">
            <v>11.410575640509904</v>
          </cell>
          <cell r="Q99">
            <v>0.8405629</v>
          </cell>
          <cell r="R99">
            <v>9.0337142146942604</v>
          </cell>
          <cell r="T99">
            <v>0.75255969999999994</v>
          </cell>
          <cell r="U99">
            <v>8.0624553060798014</v>
          </cell>
          <cell r="W99">
            <v>0.87723719999999994</v>
          </cell>
          <cell r="X99">
            <v>10.519165008674769</v>
          </cell>
        </row>
        <row r="100">
          <cell r="A100" t="str">
            <v>29/11/2002</v>
          </cell>
          <cell r="B100">
            <v>1.068387</v>
          </cell>
          <cell r="C100">
            <v>7.7446099801502442</v>
          </cell>
          <cell r="E100">
            <v>1.6342329999999998</v>
          </cell>
          <cell r="F100">
            <v>14.664946001530073</v>
          </cell>
          <cell r="H100">
            <v>3.5949649999999997</v>
          </cell>
          <cell r="I100">
            <v>22.371007523258484</v>
          </cell>
          <cell r="K100">
            <v>1.169772</v>
          </cell>
          <cell r="L100">
            <v>11.042118879792934</v>
          </cell>
          <cell r="N100">
            <v>1.7530100000000002</v>
          </cell>
          <cell r="O100">
            <v>11.821078162200315</v>
          </cell>
          <cell r="Q100">
            <v>0.93395869999999992</v>
          </cell>
          <cell r="R100">
            <v>8.9066216496085318</v>
          </cell>
          <cell r="T100">
            <v>0.79836759999999996</v>
          </cell>
          <cell r="U100">
            <v>8.0957028435627407</v>
          </cell>
          <cell r="W100">
            <v>0.87880369999999997</v>
          </cell>
          <cell r="X100">
            <v>10.359024503419507</v>
          </cell>
        </row>
        <row r="101">
          <cell r="A101" t="str">
            <v>31/12/2002</v>
          </cell>
          <cell r="B101">
            <v>1.0229759999999999</v>
          </cell>
          <cell r="C101">
            <v>7.5808189655172411</v>
          </cell>
          <cell r="E101">
            <v>1.5729069999999998</v>
          </cell>
          <cell r="F101">
            <v>14.459210695156134</v>
          </cell>
          <cell r="H101">
            <v>3.642525</v>
          </cell>
          <cell r="I101">
            <v>22.383934111806848</v>
          </cell>
          <cell r="K101">
            <v>1.1518949999999999</v>
          </cell>
          <cell r="L101">
            <v>10.809875659331501</v>
          </cell>
          <cell r="N101">
            <v>1.4854369999999999</v>
          </cell>
          <cell r="O101">
            <v>12.231580683890718</v>
          </cell>
          <cell r="Q101">
            <v>0.91963229999999996</v>
          </cell>
          <cell r="R101">
            <v>8.7795290845227942</v>
          </cell>
          <cell r="T101">
            <v>0.77094960000000001</v>
          </cell>
          <cell r="U101">
            <v>8.12895038104568</v>
          </cell>
          <cell r="W101">
            <v>0.83854030000000002</v>
          </cell>
          <cell r="X101">
            <v>10.198883998164254</v>
          </cell>
        </row>
        <row r="102">
          <cell r="A102" t="str">
            <v>30/01/2003</v>
          </cell>
          <cell r="B102">
            <v>1.1072659999999999</v>
          </cell>
          <cell r="C102">
            <v>7.8308684892123779</v>
          </cell>
          <cell r="E102">
            <v>1.5370679999999999</v>
          </cell>
          <cell r="F102">
            <v>14.548130990230403</v>
          </cell>
          <cell r="H102">
            <v>3.642525</v>
          </cell>
          <cell r="I102">
            <v>22.429348812673293</v>
          </cell>
          <cell r="K102">
            <v>1.1888289999999999</v>
          </cell>
          <cell r="L102">
            <v>11.030405940253054</v>
          </cell>
          <cell r="N102">
            <v>1.494721</v>
          </cell>
          <cell r="O102">
            <v>12.344657736533904</v>
          </cell>
          <cell r="Q102">
            <v>0.87875979999999998</v>
          </cell>
          <cell r="R102">
            <v>8.8253400758481391</v>
          </cell>
          <cell r="T102">
            <v>0.78358810000000001</v>
          </cell>
          <cell r="U102">
            <v>8.1266847264042301</v>
          </cell>
          <cell r="W102">
            <v>0.85020689999999999</v>
          </cell>
          <cell r="X102">
            <v>10.241621434540683</v>
          </cell>
        </row>
        <row r="103">
          <cell r="A103" t="str">
            <v>28/02/2003</v>
          </cell>
          <cell r="B103">
            <v>1.1149290000000001</v>
          </cell>
          <cell r="C103">
            <v>8.0809180129075138</v>
          </cell>
          <cell r="E103">
            <v>1.505212</v>
          </cell>
          <cell r="F103">
            <v>14.637051285304672</v>
          </cell>
          <cell r="H103">
            <v>3.7412679999999998</v>
          </cell>
          <cell r="I103">
            <v>22.474763513539738</v>
          </cell>
          <cell r="K103">
            <v>1.2003709999999999</v>
          </cell>
          <cell r="L103">
            <v>11.250936221174607</v>
          </cell>
          <cell r="N103">
            <v>1.4854369999999999</v>
          </cell>
          <cell r="O103">
            <v>12.45773478917709</v>
          </cell>
          <cell r="Q103">
            <v>0.84810540000000001</v>
          </cell>
          <cell r="R103">
            <v>8.8711510671734839</v>
          </cell>
          <cell r="T103">
            <v>0.80886519999999995</v>
          </cell>
          <cell r="U103">
            <v>8.1244190717627802</v>
          </cell>
          <cell r="W103">
            <v>0.89541519999999997</v>
          </cell>
          <cell r="X103">
            <v>10.284358870917112</v>
          </cell>
        </row>
        <row r="104">
          <cell r="A104" t="str">
            <v>31/03/2003</v>
          </cell>
          <cell r="B104">
            <v>1.095772</v>
          </cell>
          <cell r="C104">
            <v>8.3309675366026497</v>
          </cell>
          <cell r="E104">
            <v>1.4534449999999999</v>
          </cell>
          <cell r="F104">
            <v>14.725971580378941</v>
          </cell>
          <cell r="H104">
            <v>3.4889250000000001</v>
          </cell>
          <cell r="I104">
            <v>22.520178214406183</v>
          </cell>
          <cell r="K104">
            <v>1.2349969999999999</v>
          </cell>
          <cell r="L104">
            <v>11.47146650209616</v>
          </cell>
          <cell r="N104">
            <v>1.5132889999999999</v>
          </cell>
          <cell r="O104">
            <v>12.570811841820277</v>
          </cell>
          <cell r="Q104">
            <v>0.80927649999999995</v>
          </cell>
          <cell r="R104">
            <v>8.9169620584988287</v>
          </cell>
          <cell r="T104">
            <v>0.8341421</v>
          </cell>
          <cell r="U104">
            <v>8.1221534171213303</v>
          </cell>
          <cell r="W104">
            <v>0.88666519999999993</v>
          </cell>
          <cell r="X104">
            <v>10.327096307293541</v>
          </cell>
        </row>
        <row r="105">
          <cell r="A105" t="str">
            <v>30/04/2003</v>
          </cell>
          <cell r="B105">
            <v>1.1072659999999999</v>
          </cell>
          <cell r="C105">
            <v>8.5810170602977855</v>
          </cell>
          <cell r="E105">
            <v>1.4176069999999998</v>
          </cell>
          <cell r="F105">
            <v>14.81489187545321</v>
          </cell>
          <cell r="H105">
            <v>3.3901819999999998</v>
          </cell>
          <cell r="I105">
            <v>22.565592915272628</v>
          </cell>
          <cell r="K105">
            <v>1.133427</v>
          </cell>
          <cell r="L105">
            <v>11.691996783017713</v>
          </cell>
          <cell r="N105">
            <v>1.411165</v>
          </cell>
          <cell r="O105">
            <v>12.683888894463463</v>
          </cell>
          <cell r="Q105">
            <v>0.73161860000000001</v>
          </cell>
          <cell r="R105">
            <v>8.9627730498241736</v>
          </cell>
          <cell r="T105">
            <v>0.77094960000000001</v>
          </cell>
          <cell r="U105">
            <v>8.1198877624798804</v>
          </cell>
          <cell r="W105">
            <v>0.82979039999999993</v>
          </cell>
          <cell r="X105">
            <v>10.36983374366997</v>
          </cell>
        </row>
        <row r="106">
          <cell r="A106" t="str">
            <v>30/05/2003</v>
          </cell>
          <cell r="B106">
            <v>1.126423</v>
          </cell>
          <cell r="C106">
            <v>8.8310665839929214</v>
          </cell>
          <cell r="E106">
            <v>1.4892839999999998</v>
          </cell>
          <cell r="F106">
            <v>14.903812170527479</v>
          </cell>
          <cell r="H106">
            <v>3.642525</v>
          </cell>
          <cell r="I106">
            <v>22.611007616139073</v>
          </cell>
          <cell r="K106">
            <v>1.2049879999999999</v>
          </cell>
          <cell r="L106">
            <v>11.912527063939265</v>
          </cell>
          <cell r="N106">
            <v>1.4854369999999999</v>
          </cell>
          <cell r="O106">
            <v>12.796965947106649</v>
          </cell>
          <cell r="Q106">
            <v>0.82766909999999994</v>
          </cell>
          <cell r="R106">
            <v>9.0085840411495184</v>
          </cell>
          <cell r="T106">
            <v>0.80886519999999995</v>
          </cell>
          <cell r="U106">
            <v>8.1176221078384305</v>
          </cell>
          <cell r="W106">
            <v>0.91583179999999997</v>
          </cell>
          <cell r="X106">
            <v>10.412571180046399</v>
          </cell>
        </row>
        <row r="107">
          <cell r="A107" t="str">
            <v>30/06/2003</v>
          </cell>
          <cell r="B107">
            <v>1.1800619999999999</v>
          </cell>
          <cell r="C107">
            <v>9.0811161076880573</v>
          </cell>
          <cell r="E107">
            <v>1.545032</v>
          </cell>
          <cell r="F107">
            <v>14.992732465601748</v>
          </cell>
          <cell r="H107">
            <v>3.6205819999999997</v>
          </cell>
          <cell r="I107">
            <v>22.656422317005518</v>
          </cell>
          <cell r="K107">
            <v>1.3227169999999999</v>
          </cell>
          <cell r="L107">
            <v>12.133057344860818</v>
          </cell>
          <cell r="N107">
            <v>1.4575849999999999</v>
          </cell>
          <cell r="O107">
            <v>12.910042999749836</v>
          </cell>
          <cell r="Q107">
            <v>0.88897789999999999</v>
          </cell>
          <cell r="R107">
            <v>9.0543950324748632</v>
          </cell>
          <cell r="T107">
            <v>0.8215036</v>
          </cell>
          <cell r="U107">
            <v>8.1153564531969806</v>
          </cell>
          <cell r="W107">
            <v>0.96249839999999998</v>
          </cell>
          <cell r="X107">
            <v>10.455308616422828</v>
          </cell>
        </row>
        <row r="108">
          <cell r="A108" t="str">
            <v>31/07/2003</v>
          </cell>
          <cell r="B108">
            <v>1.252858</v>
          </cell>
          <cell r="C108">
            <v>9.3311656313831932</v>
          </cell>
          <cell r="E108">
            <v>1.5330859999999999</v>
          </cell>
          <cell r="F108">
            <v>15.081652760676016</v>
          </cell>
          <cell r="H108">
            <v>3.6864109999999997</v>
          </cell>
          <cell r="I108">
            <v>22.701837017871963</v>
          </cell>
          <cell r="K108">
            <v>1.4358279999999999</v>
          </cell>
          <cell r="L108">
            <v>12.353587625782371</v>
          </cell>
          <cell r="N108">
            <v>1.5782769999999999</v>
          </cell>
          <cell r="O108">
            <v>13.023120052393022</v>
          </cell>
          <cell r="Q108">
            <v>0.970723</v>
          </cell>
          <cell r="R108">
            <v>9.100206023800208</v>
          </cell>
          <cell r="T108">
            <v>0.9668466</v>
          </cell>
          <cell r="U108">
            <v>8.1130907985555307</v>
          </cell>
          <cell r="W108">
            <v>0.96249839999999998</v>
          </cell>
          <cell r="X108">
            <v>10.498046052799257</v>
          </cell>
        </row>
        <row r="109">
          <cell r="A109" t="str">
            <v>29/08/2003</v>
          </cell>
          <cell r="B109">
            <v>1.4099439999999999</v>
          </cell>
          <cell r="C109">
            <v>9.5812151550783291</v>
          </cell>
          <cell r="E109">
            <v>1.839704</v>
          </cell>
          <cell r="F109">
            <v>15.170573055750285</v>
          </cell>
          <cell r="H109">
            <v>3.7961259999999997</v>
          </cell>
          <cell r="I109">
            <v>22.747251718738408</v>
          </cell>
          <cell r="K109">
            <v>1.638968</v>
          </cell>
          <cell r="L109">
            <v>12.574117906703924</v>
          </cell>
          <cell r="N109">
            <v>1.8567959999999999</v>
          </cell>
          <cell r="O109">
            <v>13.136197105036208</v>
          </cell>
          <cell r="Q109">
            <v>1.001377</v>
          </cell>
          <cell r="R109">
            <v>9.1460170151255529</v>
          </cell>
          <cell r="T109">
            <v>1.137467</v>
          </cell>
          <cell r="U109">
            <v>8.1108251439140808</v>
          </cell>
          <cell r="W109">
            <v>1.1608309999999999</v>
          </cell>
          <cell r="X109">
            <v>10.540783489175686</v>
          </cell>
        </row>
        <row r="110">
          <cell r="A110" t="str">
            <v>30/09/2003</v>
          </cell>
          <cell r="B110">
            <v>1.5248849999999998</v>
          </cell>
          <cell r="C110">
            <v>9.831264678773465</v>
          </cell>
          <cell r="E110">
            <v>1.8874879999999998</v>
          </cell>
          <cell r="F110">
            <v>15.259493350824554</v>
          </cell>
          <cell r="H110">
            <v>4.1691549999999999</v>
          </cell>
          <cell r="I110">
            <v>22.792666419604853</v>
          </cell>
          <cell r="K110">
            <v>1.8928929999999999</v>
          </cell>
          <cell r="L110">
            <v>12.794648187625477</v>
          </cell>
          <cell r="N110">
            <v>2.079612</v>
          </cell>
          <cell r="O110">
            <v>13.249274157679395</v>
          </cell>
          <cell r="Q110">
            <v>1.1750859999999999</v>
          </cell>
          <cell r="R110">
            <v>9.1918280064508977</v>
          </cell>
          <cell r="T110">
            <v>1.1753819999999999</v>
          </cell>
          <cell r="U110">
            <v>8.1085594892726309</v>
          </cell>
          <cell r="W110">
            <v>1.329998</v>
          </cell>
          <cell r="X110">
            <v>10.583520925552115</v>
          </cell>
        </row>
        <row r="111">
          <cell r="A111" t="str">
            <v>31/10/2003</v>
          </cell>
          <cell r="B111">
            <v>1.7777559999999999</v>
          </cell>
          <cell r="C111">
            <v>10.081314202468601</v>
          </cell>
          <cell r="E111">
            <v>2.1602579999999998</v>
          </cell>
          <cell r="F111">
            <v>15.348413645898823</v>
          </cell>
          <cell r="H111">
            <v>4.2569270000000001</v>
          </cell>
          <cell r="I111">
            <v>22.838081120471298</v>
          </cell>
          <cell r="K111">
            <v>2.2114530000000001</v>
          </cell>
          <cell r="L111">
            <v>13.015178468547029</v>
          </cell>
          <cell r="N111">
            <v>2.4973909999999999</v>
          </cell>
          <cell r="O111">
            <v>13.362351210322581</v>
          </cell>
          <cell r="Q111">
            <v>1.4203209999999999</v>
          </cell>
          <cell r="R111">
            <v>9.2376389977762425</v>
          </cell>
          <cell r="T111">
            <v>1.3207249999999999</v>
          </cell>
          <cell r="U111">
            <v>8.106293834631181</v>
          </cell>
          <cell r="W111">
            <v>1.426248</v>
          </cell>
          <cell r="X111">
            <v>10.626258361928544</v>
          </cell>
        </row>
        <row r="112">
          <cell r="A112" t="str">
            <v>28/11/2003</v>
          </cell>
          <cell r="B112">
            <v>1.8697089999999998</v>
          </cell>
          <cell r="C112">
            <v>10.331363726163737</v>
          </cell>
          <cell r="E112">
            <v>2.2896739999999998</v>
          </cell>
          <cell r="F112">
            <v>15.437333940973092</v>
          </cell>
          <cell r="H112">
            <v>4.3776130000000002</v>
          </cell>
          <cell r="I112">
            <v>22.883495821337743</v>
          </cell>
          <cell r="K112">
            <v>2.142201</v>
          </cell>
          <cell r="L112">
            <v>13.235708749468582</v>
          </cell>
          <cell r="N112">
            <v>2.683071</v>
          </cell>
          <cell r="O112">
            <v>13.475428262965767</v>
          </cell>
          <cell r="Q112">
            <v>1.4509749999999999</v>
          </cell>
          <cell r="R112">
            <v>9.2834499891015874</v>
          </cell>
          <cell r="T112">
            <v>1.3207249999999999</v>
          </cell>
          <cell r="U112">
            <v>8.1040281799897311</v>
          </cell>
          <cell r="W112">
            <v>1.4656229999999999</v>
          </cell>
          <cell r="X112">
            <v>10.668995798304973</v>
          </cell>
        </row>
        <row r="113">
          <cell r="A113" t="str">
            <v>31/12/2003</v>
          </cell>
          <cell r="B113">
            <v>1.7411019999999999</v>
          </cell>
          <cell r="C113">
            <v>10.58141324985888</v>
          </cell>
          <cell r="E113">
            <v>2.0641800000000003</v>
          </cell>
          <cell r="F113">
            <v>15.526254236047352</v>
          </cell>
          <cell r="H113">
            <v>4.9193489999999995</v>
          </cell>
          <cell r="I113">
            <v>22.928910522204195</v>
          </cell>
          <cell r="K113">
            <v>2.029744</v>
          </cell>
          <cell r="L113">
            <v>13.456239030390137</v>
          </cell>
          <cell r="N113">
            <v>2.5615649999999999</v>
          </cell>
          <cell r="O113">
            <v>13.588505315608948</v>
          </cell>
          <cell r="Q113">
            <v>1.7150139999999998</v>
          </cell>
          <cell r="R113">
            <v>9.329260980426934</v>
          </cell>
          <cell r="T113">
            <v>1.3680669999999999</v>
          </cell>
          <cell r="U113">
            <v>8.1017625253482883</v>
          </cell>
          <cell r="W113">
            <v>1.368808</v>
          </cell>
          <cell r="X113">
            <v>10.711733234681406</v>
          </cell>
        </row>
        <row r="114">
          <cell r="A114" t="str">
            <v>30/01/2004</v>
          </cell>
          <cell r="B114">
            <v>1.7447519999999999</v>
          </cell>
          <cell r="C114">
            <v>10.723324965633946</v>
          </cell>
          <cell r="E114">
            <v>2.144603</v>
          </cell>
          <cell r="F114">
            <v>15.507175424436133</v>
          </cell>
          <cell r="H114">
            <v>5.0881509999999999</v>
          </cell>
          <cell r="I114">
            <v>23.479922401136715</v>
          </cell>
          <cell r="K114">
            <v>2.1922989999999998</v>
          </cell>
          <cell r="L114">
            <v>13.768725645748557</v>
          </cell>
          <cell r="N114">
            <v>2.570338</v>
          </cell>
          <cell r="O114">
            <v>13.959308150263897</v>
          </cell>
          <cell r="Q114">
            <v>1.7150139999999998</v>
          </cell>
          <cell r="R114">
            <v>9.5273228404974954</v>
          </cell>
          <cell r="T114">
            <v>1.539871</v>
          </cell>
          <cell r="U114">
            <v>8.3029966398352588</v>
          </cell>
          <cell r="W114">
            <v>1.3162129999999999</v>
          </cell>
          <cell r="X114">
            <v>10.783702973601496</v>
          </cell>
        </row>
        <row r="115">
          <cell r="A115" t="str">
            <v>27/02/2004</v>
          </cell>
          <cell r="B115">
            <v>1.8469549999999999</v>
          </cell>
          <cell r="C115">
            <v>10.865236681409012</v>
          </cell>
          <cell r="E115">
            <v>2.144603</v>
          </cell>
          <cell r="F115">
            <v>15.488096612824913</v>
          </cell>
          <cell r="H115">
            <v>5.3292950000000001</v>
          </cell>
          <cell r="I115">
            <v>24.030934280069236</v>
          </cell>
          <cell r="K115">
            <v>2.2076759999999997</v>
          </cell>
          <cell r="L115">
            <v>14.081212261106977</v>
          </cell>
          <cell r="N115">
            <v>2.7896500000000004</v>
          </cell>
          <cell r="O115">
            <v>14.330110984918846</v>
          </cell>
          <cell r="Q115">
            <v>1.6945969999999999</v>
          </cell>
          <cell r="R115">
            <v>9.7253847005680569</v>
          </cell>
          <cell r="T115">
            <v>1.5716869999999998</v>
          </cell>
          <cell r="U115">
            <v>8.5042307543222293</v>
          </cell>
          <cell r="W115">
            <v>1.402522</v>
          </cell>
          <cell r="X115">
            <v>10.855672712521587</v>
          </cell>
        </row>
        <row r="116">
          <cell r="A116" t="str">
            <v>31/03/2004</v>
          </cell>
          <cell r="B116">
            <v>1.719201</v>
          </cell>
          <cell r="C116">
            <v>11.007148397184078</v>
          </cell>
          <cell r="E116">
            <v>1.9658859999999998</v>
          </cell>
          <cell r="F116">
            <v>15.469017801213694</v>
          </cell>
          <cell r="H116">
            <v>4.7987769999999994</v>
          </cell>
          <cell r="I116">
            <v>24.581946159001756</v>
          </cell>
          <cell r="K116">
            <v>2.1703319999999997</v>
          </cell>
          <cell r="L116">
            <v>14.393698876465397</v>
          </cell>
          <cell r="N116">
            <v>2.6054279999999999</v>
          </cell>
          <cell r="O116">
            <v>14.700913819573795</v>
          </cell>
          <cell r="Q116">
            <v>1.3985529999999999</v>
          </cell>
          <cell r="R116">
            <v>9.9234465606386184</v>
          </cell>
          <cell r="T116">
            <v>1.4189719999999999</v>
          </cell>
          <cell r="U116">
            <v>8.7054648688091998</v>
          </cell>
          <cell r="W116">
            <v>1.4632079999999998</v>
          </cell>
          <cell r="X116">
            <v>10.927642451441677</v>
          </cell>
        </row>
        <row r="117">
          <cell r="A117" t="str">
            <v>30/04/2004</v>
          </cell>
          <cell r="B117">
            <v>1.6644500000000002</v>
          </cell>
          <cell r="C117">
            <v>11.149060112959145</v>
          </cell>
          <cell r="E117">
            <v>2.0016289999999999</v>
          </cell>
          <cell r="F117">
            <v>15.449938989602474</v>
          </cell>
          <cell r="H117">
            <v>4.7746620000000002</v>
          </cell>
          <cell r="I117">
            <v>25.132958037934277</v>
          </cell>
          <cell r="K117">
            <v>2.1747259999999997</v>
          </cell>
          <cell r="L117">
            <v>14.706185491823817</v>
          </cell>
          <cell r="N117">
            <v>2.3334809999999999</v>
          </cell>
          <cell r="O117">
            <v>15.071716654228744</v>
          </cell>
          <cell r="Q117">
            <v>1.276052</v>
          </cell>
          <cell r="R117">
            <v>10.12150842070918</v>
          </cell>
          <cell r="T117">
            <v>1.1899009999999999</v>
          </cell>
          <cell r="U117">
            <v>8.9066989832961703</v>
          </cell>
          <cell r="W117">
            <v>1.5238939999999999</v>
          </cell>
          <cell r="X117">
            <v>10.999612190361768</v>
          </cell>
        </row>
        <row r="118">
          <cell r="A118" t="str">
            <v>31/05/2004</v>
          </cell>
          <cell r="B118">
            <v>1.6608000000000001</v>
          </cell>
          <cell r="C118">
            <v>11.290971828734211</v>
          </cell>
          <cell r="E118">
            <v>1.8586559999999999</v>
          </cell>
          <cell r="F118">
            <v>15.430860177991255</v>
          </cell>
          <cell r="H118">
            <v>4.7987769999999994</v>
          </cell>
          <cell r="I118">
            <v>25.683969916866797</v>
          </cell>
          <cell r="K118">
            <v>1.9726300000000001</v>
          </cell>
          <cell r="L118">
            <v>15.018672107182237</v>
          </cell>
          <cell r="N118">
            <v>2.3773429999999998</v>
          </cell>
          <cell r="O118">
            <v>15.442519488883693</v>
          </cell>
          <cell r="Q118">
            <v>1.2352179999999999</v>
          </cell>
          <cell r="R118">
            <v>10.319570280779741</v>
          </cell>
          <cell r="T118">
            <v>1.259895</v>
          </cell>
          <cell r="U118">
            <v>9.1079330977831408</v>
          </cell>
          <cell r="W118">
            <v>1.429494</v>
          </cell>
          <cell r="X118">
            <v>11.071581929281859</v>
          </cell>
        </row>
        <row r="119">
          <cell r="A119" t="str">
            <v>30/06/2004</v>
          </cell>
          <cell r="B119">
            <v>1.6279489999999999</v>
          </cell>
          <cell r="C119">
            <v>11.432883544509277</v>
          </cell>
          <cell r="E119">
            <v>1.6441949999999999</v>
          </cell>
          <cell r="F119">
            <v>15.411781366380035</v>
          </cell>
          <cell r="H119">
            <v>4.8228919999999995</v>
          </cell>
          <cell r="I119">
            <v>26.234981795799317</v>
          </cell>
          <cell r="K119">
            <v>2.0341369999999999</v>
          </cell>
          <cell r="L119">
            <v>15.331158722540657</v>
          </cell>
          <cell r="N119">
            <v>2.3334809999999999</v>
          </cell>
          <cell r="O119">
            <v>15.813322323538642</v>
          </cell>
          <cell r="Q119">
            <v>1.163759</v>
          </cell>
          <cell r="R119">
            <v>10.517632140850303</v>
          </cell>
          <cell r="T119">
            <v>1.285347</v>
          </cell>
          <cell r="U119">
            <v>9.3091672122701112</v>
          </cell>
          <cell r="W119">
            <v>1.4429800000000002</v>
          </cell>
          <cell r="X119">
            <v>11.143551668201949</v>
          </cell>
        </row>
        <row r="120">
          <cell r="A120" t="str">
            <v>30/07/2004</v>
          </cell>
          <cell r="B120">
            <v>1.613348</v>
          </cell>
          <cell r="C120">
            <v>11.574795260284343</v>
          </cell>
          <cell r="E120">
            <v>1.7441229999999999</v>
          </cell>
          <cell r="F120">
            <v>15.392702554768816</v>
          </cell>
          <cell r="H120">
            <v>4.8108339999999998</v>
          </cell>
          <cell r="I120">
            <v>26.785993674731838</v>
          </cell>
          <cell r="K120">
            <v>2.0604979999999999</v>
          </cell>
          <cell r="L120">
            <v>15.643645337899077</v>
          </cell>
          <cell r="N120">
            <v>2.3422529999999999</v>
          </cell>
          <cell r="O120">
            <v>16.184125158193591</v>
          </cell>
          <cell r="Q120">
            <v>1.1331339999999999</v>
          </cell>
          <cell r="R120">
            <v>10.715694000920864</v>
          </cell>
          <cell r="T120">
            <v>1.336252</v>
          </cell>
          <cell r="U120">
            <v>9.5104013267570817</v>
          </cell>
          <cell r="W120">
            <v>1.5104089999999999</v>
          </cell>
          <cell r="X120">
            <v>11.21552140712204</v>
          </cell>
        </row>
        <row r="121">
          <cell r="A121" t="str">
            <v>31/08/2004</v>
          </cell>
          <cell r="B121">
            <v>1.5622469999999999</v>
          </cell>
          <cell r="C121">
            <v>11.71670697605941</v>
          </cell>
          <cell r="E121">
            <v>2.0348100000000002</v>
          </cell>
          <cell r="F121">
            <v>15.373623743157596</v>
          </cell>
          <cell r="H121">
            <v>5.0158069999999997</v>
          </cell>
          <cell r="I121">
            <v>27.337005553664358</v>
          </cell>
          <cell r="K121">
            <v>2.2406269999999999</v>
          </cell>
          <cell r="L121">
            <v>15.956131953257497</v>
          </cell>
          <cell r="N121">
            <v>2.4562949999999999</v>
          </cell>
          <cell r="O121">
            <v>16.55492799284854</v>
          </cell>
          <cell r="Q121">
            <v>1.3066769999999999</v>
          </cell>
          <cell r="R121">
            <v>10.913755860991426</v>
          </cell>
          <cell r="T121">
            <v>1.3553409999999999</v>
          </cell>
          <cell r="U121">
            <v>9.7116354412440522</v>
          </cell>
          <cell r="W121">
            <v>1.530637</v>
          </cell>
          <cell r="X121">
            <v>11.287491146042131</v>
          </cell>
        </row>
        <row r="122">
          <cell r="A122" t="str">
            <v>30/09/2004</v>
          </cell>
          <cell r="B122">
            <v>1.5987479999999998</v>
          </cell>
          <cell r="C122">
            <v>11.858618691834476</v>
          </cell>
          <cell r="E122">
            <v>2.0257259999999997</v>
          </cell>
          <cell r="F122">
            <v>15.354544931546377</v>
          </cell>
          <cell r="H122">
            <v>5.0158069999999997</v>
          </cell>
          <cell r="I122">
            <v>27.888017432596879</v>
          </cell>
          <cell r="K122">
            <v>2.2406269999999999</v>
          </cell>
          <cell r="L122">
            <v>16.268618568615917</v>
          </cell>
          <cell r="N122">
            <v>2.5001579999999999</v>
          </cell>
          <cell r="O122">
            <v>16.925730827503489</v>
          </cell>
          <cell r="Q122">
            <v>1.2964689999999999</v>
          </cell>
          <cell r="R122">
            <v>11.111817721061987</v>
          </cell>
          <cell r="T122">
            <v>1.3553409999999999</v>
          </cell>
          <cell r="U122">
            <v>9.9128695557310227</v>
          </cell>
          <cell r="W122">
            <v>1.5373800000000002</v>
          </cell>
          <cell r="X122">
            <v>11.359460884962221</v>
          </cell>
        </row>
        <row r="123">
          <cell r="A123" t="str">
            <v>29/10/2004</v>
          </cell>
          <cell r="B123">
            <v>1.6279489999999999</v>
          </cell>
          <cell r="C123">
            <v>12.000530407609542</v>
          </cell>
          <cell r="E123">
            <v>2.0348100000000002</v>
          </cell>
          <cell r="F123">
            <v>15.335466119935157</v>
          </cell>
          <cell r="H123">
            <v>4.9916929999999997</v>
          </cell>
          <cell r="I123">
            <v>28.439029311529399</v>
          </cell>
          <cell r="K123">
            <v>2.3394779999999997</v>
          </cell>
          <cell r="L123">
            <v>16.581105183974337</v>
          </cell>
          <cell r="N123">
            <v>2.4826129999999997</v>
          </cell>
          <cell r="O123">
            <v>17.296533662158438</v>
          </cell>
          <cell r="Q123">
            <v>1.2658430000000001</v>
          </cell>
          <cell r="R123">
            <v>11.309879581132549</v>
          </cell>
          <cell r="T123">
            <v>1.3298889999999999</v>
          </cell>
          <cell r="U123">
            <v>10.114103670217993</v>
          </cell>
          <cell r="W123">
            <v>1.6182949999999998</v>
          </cell>
          <cell r="X123">
            <v>11.431430623882312</v>
          </cell>
        </row>
        <row r="124">
          <cell r="A124" t="str">
            <v>30/11/2004</v>
          </cell>
          <cell r="B124">
            <v>1.7849029999999999</v>
          </cell>
          <cell r="C124">
            <v>12.142442123384608</v>
          </cell>
          <cell r="E124">
            <v>2.2074050000000001</v>
          </cell>
          <cell r="F124">
            <v>15.316387308323938</v>
          </cell>
          <cell r="H124">
            <v>5.208723</v>
          </cell>
          <cell r="I124">
            <v>28.99004119046192</v>
          </cell>
          <cell r="K124">
            <v>2.427346</v>
          </cell>
          <cell r="L124">
            <v>16.893591799332757</v>
          </cell>
          <cell r="N124">
            <v>2.5615649999999999</v>
          </cell>
          <cell r="O124">
            <v>17.667336496813387</v>
          </cell>
          <cell r="Q124">
            <v>1.3985529999999999</v>
          </cell>
          <cell r="R124">
            <v>11.50794144120311</v>
          </cell>
          <cell r="T124">
            <v>1.412609</v>
          </cell>
          <cell r="U124">
            <v>10.315337784704964</v>
          </cell>
          <cell r="W124">
            <v>1.6520089999999998</v>
          </cell>
          <cell r="X124">
            <v>11.503400362802402</v>
          </cell>
        </row>
        <row r="125">
          <cell r="A125" t="str">
            <v>31/12/2004</v>
          </cell>
          <cell r="B125">
            <v>1.6583500000000002</v>
          </cell>
          <cell r="C125">
            <v>12.284353839159667</v>
          </cell>
          <cell r="E125">
            <v>1.8139149999999999</v>
          </cell>
          <cell r="F125">
            <v>15.297308496712718</v>
          </cell>
          <cell r="H125">
            <v>4.7812679999999999</v>
          </cell>
          <cell r="I125">
            <v>29.54105306939444</v>
          </cell>
          <cell r="K125">
            <v>2.163475</v>
          </cell>
          <cell r="L125">
            <v>17.206078414691181</v>
          </cell>
          <cell r="N125">
            <v>2.2913519999999998</v>
          </cell>
          <cell r="O125">
            <v>18.03813933146834</v>
          </cell>
          <cell r="Q125">
            <v>1.326036</v>
          </cell>
          <cell r="R125">
            <v>11.70600330127367</v>
          </cell>
          <cell r="T125">
            <v>1.361883</v>
          </cell>
          <cell r="U125">
            <v>10.516571899191931</v>
          </cell>
          <cell r="W125">
            <v>1.5300019999999999</v>
          </cell>
          <cell r="X125">
            <v>11.575370101722497</v>
          </cell>
        </row>
        <row r="126">
          <cell r="A126" t="str">
            <v>31/01/2005</v>
          </cell>
          <cell r="B126">
            <v>1.5965479999999999</v>
          </cell>
          <cell r="C126">
            <v>12.258202860494002</v>
          </cell>
          <cell r="E126">
            <v>1.7085429999999999</v>
          </cell>
          <cell r="F126">
            <v>15.001880208747687</v>
          </cell>
          <cell r="H126">
            <v>4.6705900000000007</v>
          </cell>
          <cell r="I126">
            <v>29.558944649166136</v>
          </cell>
          <cell r="K126">
            <v>1.9769000000000001</v>
          </cell>
          <cell r="L126">
            <v>17.203050145078635</v>
          </cell>
          <cell r="N126">
            <v>2.2142019999999998</v>
          </cell>
          <cell r="O126">
            <v>18.01658405358905</v>
          </cell>
          <cell r="Q126">
            <v>1.210728</v>
          </cell>
          <cell r="R126">
            <v>11.764439337527548</v>
          </cell>
          <cell r="T126">
            <v>1.3373439999999999</v>
          </cell>
          <cell r="U126">
            <v>10.527893470095256</v>
          </cell>
          <cell r="W126">
            <v>1.329644</v>
          </cell>
          <cell r="X126">
            <v>11.54866318661249</v>
          </cell>
        </row>
        <row r="127">
          <cell r="A127" t="str">
            <v>28/02/2005</v>
          </cell>
          <cell r="B127">
            <v>1.6308819999999999</v>
          </cell>
          <cell r="C127">
            <v>12.232051881828337</v>
          </cell>
          <cell r="E127">
            <v>1.7762819999999999</v>
          </cell>
          <cell r="F127">
            <v>14.706451920782657</v>
          </cell>
          <cell r="H127">
            <v>4.714861</v>
          </cell>
          <cell r="I127">
            <v>29.576836228937829</v>
          </cell>
          <cell r="K127">
            <v>2.074157</v>
          </cell>
          <cell r="L127">
            <v>17.200021875466089</v>
          </cell>
          <cell r="N127">
            <v>2.2913519999999998</v>
          </cell>
          <cell r="O127">
            <v>17.995028775709759</v>
          </cell>
          <cell r="Q127">
            <v>1.2491639999999999</v>
          </cell>
          <cell r="R127">
            <v>11.822875373781427</v>
          </cell>
          <cell r="T127">
            <v>1.33121</v>
          </cell>
          <cell r="U127">
            <v>10.539215040998581</v>
          </cell>
          <cell r="W127">
            <v>1.48143</v>
          </cell>
          <cell r="X127">
            <v>11.521956271502484</v>
          </cell>
        </row>
        <row r="128">
          <cell r="A128" t="str">
            <v>31/03/2005</v>
          </cell>
          <cell r="B128">
            <v>1.5416129999999999</v>
          </cell>
          <cell r="C128">
            <v>12.205900903162672</v>
          </cell>
          <cell r="E128">
            <v>1.496292</v>
          </cell>
          <cell r="F128">
            <v>14.411023632817626</v>
          </cell>
          <cell r="H128">
            <v>4.5820479999999995</v>
          </cell>
          <cell r="I128">
            <v>29.594727808709521</v>
          </cell>
          <cell r="K128">
            <v>1.885597</v>
          </cell>
          <cell r="L128">
            <v>17.196993605853542</v>
          </cell>
          <cell r="N128">
            <v>2.2142019999999998</v>
          </cell>
          <cell r="O128">
            <v>17.973473497830469</v>
          </cell>
          <cell r="Q128">
            <v>1.1530749999999999</v>
          </cell>
          <cell r="R128">
            <v>11.881311410035305</v>
          </cell>
          <cell r="T128">
            <v>1.288268</v>
          </cell>
          <cell r="U128">
            <v>10.550536611901906</v>
          </cell>
          <cell r="W128">
            <v>1.402501</v>
          </cell>
          <cell r="X128">
            <v>11.495249356392478</v>
          </cell>
        </row>
        <row r="129">
          <cell r="A129" t="str">
            <v>29/04/2005</v>
          </cell>
          <cell r="B129">
            <v>1.56908</v>
          </cell>
          <cell r="C129">
            <v>12.179749924497006</v>
          </cell>
          <cell r="E129">
            <v>1.5128509999999999</v>
          </cell>
          <cell r="F129">
            <v>14.115595344852595</v>
          </cell>
          <cell r="H129">
            <v>4.714861</v>
          </cell>
          <cell r="I129">
            <v>29.612619388481214</v>
          </cell>
          <cell r="K129">
            <v>1.953082</v>
          </cell>
          <cell r="L129">
            <v>17.193965336240996</v>
          </cell>
          <cell r="N129">
            <v>2.275922</v>
          </cell>
          <cell r="O129">
            <v>17.951918219951178</v>
          </cell>
          <cell r="Q129">
            <v>1.1722919999999999</v>
          </cell>
          <cell r="R129">
            <v>11.939747446289184</v>
          </cell>
          <cell r="T129">
            <v>1.202383</v>
          </cell>
          <cell r="U129">
            <v>10.561858182805231</v>
          </cell>
          <cell r="W129">
            <v>1.384287</v>
          </cell>
          <cell r="X129">
            <v>11.468542441282471</v>
          </cell>
        </row>
        <row r="130">
          <cell r="A130" t="str">
            <v>31/05/2005</v>
          </cell>
          <cell r="B130">
            <v>1.572514</v>
          </cell>
          <cell r="C130">
            <v>12.153598945831341</v>
          </cell>
          <cell r="E130">
            <v>1.5203769999999999</v>
          </cell>
          <cell r="F130">
            <v>13.820167056887565</v>
          </cell>
          <cell r="H130">
            <v>4.6263189999999996</v>
          </cell>
          <cell r="I130">
            <v>29.630510968252906</v>
          </cell>
          <cell r="K130">
            <v>2.2031709999999998</v>
          </cell>
          <cell r="L130">
            <v>17.19093706662845</v>
          </cell>
          <cell r="N130">
            <v>2.2219169999999999</v>
          </cell>
          <cell r="O130">
            <v>17.930362942071888</v>
          </cell>
          <cell r="Q130">
            <v>1.1050300000000002</v>
          </cell>
          <cell r="R130">
            <v>11.998183482543062</v>
          </cell>
          <cell r="T130">
            <v>1.1839789999999999</v>
          </cell>
          <cell r="U130">
            <v>10.573179753708557</v>
          </cell>
          <cell r="W130">
            <v>1.4328589999999999</v>
          </cell>
          <cell r="X130">
            <v>11.441835526172465</v>
          </cell>
        </row>
        <row r="131">
          <cell r="A131" t="str">
            <v>30/06/2005</v>
          </cell>
          <cell r="B131">
            <v>1.575947</v>
          </cell>
          <cell r="C131">
            <v>12.127447967165676</v>
          </cell>
          <cell r="E131">
            <v>1.565537</v>
          </cell>
          <cell r="F131">
            <v>13.524738768922534</v>
          </cell>
          <cell r="H131">
            <v>4.6927259999999995</v>
          </cell>
          <cell r="I131">
            <v>29.648402548024599</v>
          </cell>
          <cell r="K131">
            <v>2.0146109999999999</v>
          </cell>
          <cell r="L131">
            <v>17.187908797015904</v>
          </cell>
          <cell r="N131">
            <v>2.2682069999999999</v>
          </cell>
          <cell r="O131">
            <v>17.908807664192597</v>
          </cell>
          <cell r="Q131">
            <v>1.1530749999999999</v>
          </cell>
          <cell r="R131">
            <v>12.056619518796941</v>
          </cell>
          <cell r="T131">
            <v>1.17171</v>
          </cell>
          <cell r="U131">
            <v>10.584501324611882</v>
          </cell>
          <cell r="W131">
            <v>1.4207159999999999</v>
          </cell>
          <cell r="X131">
            <v>11.415128611062459</v>
          </cell>
        </row>
        <row r="132">
          <cell r="A132" t="str">
            <v>29/07/2005</v>
          </cell>
          <cell r="B132">
            <v>1.624015</v>
          </cell>
          <cell r="C132">
            <v>12.10129698850001</v>
          </cell>
          <cell r="E132">
            <v>1.710048</v>
          </cell>
          <cell r="F132">
            <v>13.229310480957503</v>
          </cell>
          <cell r="H132">
            <v>4.7591320000000001</v>
          </cell>
          <cell r="I132">
            <v>29.666294127796291</v>
          </cell>
          <cell r="K132">
            <v>2.2051560000000001</v>
          </cell>
          <cell r="L132">
            <v>17.184880527403358</v>
          </cell>
          <cell r="N132">
            <v>2.422507</v>
          </cell>
          <cell r="O132">
            <v>17.887252386313307</v>
          </cell>
          <cell r="Q132">
            <v>1.229946</v>
          </cell>
          <cell r="R132">
            <v>12.115055555050819</v>
          </cell>
          <cell r="T132">
            <v>1.2391909999999999</v>
          </cell>
          <cell r="U132">
            <v>10.595822895515207</v>
          </cell>
          <cell r="W132">
            <v>1.5324300000000002</v>
          </cell>
          <cell r="X132">
            <v>11.388421695952452</v>
          </cell>
        </row>
        <row r="133">
          <cell r="A133" t="str">
            <v>31/08/2005</v>
          </cell>
          <cell r="B133">
            <v>1.5587800000000001</v>
          </cell>
          <cell r="C133">
            <v>12.075146009834345</v>
          </cell>
          <cell r="E133">
            <v>1.535431</v>
          </cell>
          <cell r="F133">
            <v>12.933882192992472</v>
          </cell>
          <cell r="H133">
            <v>4.6484550000000002</v>
          </cell>
          <cell r="I133">
            <v>29.684185707567984</v>
          </cell>
          <cell r="K133">
            <v>2.2686709999999999</v>
          </cell>
          <cell r="L133">
            <v>17.181852257790812</v>
          </cell>
          <cell r="N133">
            <v>2.4147919999999998</v>
          </cell>
          <cell r="O133">
            <v>17.865697108434016</v>
          </cell>
          <cell r="Q133">
            <v>1.2779909999999999</v>
          </cell>
          <cell r="R133">
            <v>12.173491591304698</v>
          </cell>
          <cell r="T133">
            <v>1.2637289999999999</v>
          </cell>
          <cell r="U133">
            <v>10.607144466418532</v>
          </cell>
          <cell r="W133">
            <v>1.578573</v>
          </cell>
          <cell r="X133">
            <v>11.361714780842446</v>
          </cell>
        </row>
        <row r="134">
          <cell r="A134" t="str">
            <v>30/09/2005</v>
          </cell>
          <cell r="B134">
            <v>1.5587800000000001</v>
          </cell>
          <cell r="C134">
            <v>12.04899503116868</v>
          </cell>
          <cell r="E134">
            <v>1.565537</v>
          </cell>
          <cell r="F134">
            <v>12.638453905027442</v>
          </cell>
          <cell r="H134">
            <v>4.6174650000000002</v>
          </cell>
          <cell r="I134">
            <v>29.702077287339677</v>
          </cell>
          <cell r="K134">
            <v>2.266686</v>
          </cell>
          <cell r="L134">
            <v>17.178823988178266</v>
          </cell>
          <cell r="N134">
            <v>2.399362</v>
          </cell>
          <cell r="O134">
            <v>17.844141830554726</v>
          </cell>
          <cell r="Q134">
            <v>1.1915100000000001</v>
          </cell>
          <cell r="R134">
            <v>12.231927627558576</v>
          </cell>
          <cell r="T134">
            <v>1.202383</v>
          </cell>
          <cell r="U134">
            <v>10.618466037321857</v>
          </cell>
          <cell r="W134">
            <v>1.4437869999999999</v>
          </cell>
          <cell r="X134">
            <v>11.33500786573244</v>
          </cell>
        </row>
        <row r="135">
          <cell r="A135" t="str">
            <v>31/10/2005</v>
          </cell>
          <cell r="B135">
            <v>1.555347</v>
          </cell>
          <cell r="C135">
            <v>12.022844052503014</v>
          </cell>
          <cell r="E135">
            <v>1.418015</v>
          </cell>
          <cell r="F135">
            <v>12.343025617062411</v>
          </cell>
          <cell r="H135">
            <v>4.4492349999999998</v>
          </cell>
          <cell r="I135">
            <v>29.719968867111369</v>
          </cell>
          <cell r="K135">
            <v>2.101944</v>
          </cell>
          <cell r="L135">
            <v>17.17579571856572</v>
          </cell>
          <cell r="N135">
            <v>2.2296320000000001</v>
          </cell>
          <cell r="O135">
            <v>17.822586552675435</v>
          </cell>
          <cell r="Q135">
            <v>1.085812</v>
          </cell>
          <cell r="R135">
            <v>12.290363663812455</v>
          </cell>
          <cell r="T135">
            <v>1.17171</v>
          </cell>
          <cell r="U135">
            <v>10.629787608225183</v>
          </cell>
          <cell r="W135">
            <v>1.347858</v>
          </cell>
          <cell r="X135">
            <v>11.308300950622433</v>
          </cell>
        </row>
        <row r="136">
          <cell r="A136" t="str">
            <v>30/11/2005</v>
          </cell>
          <cell r="B136">
            <v>1.5931139999999999</v>
          </cell>
          <cell r="C136">
            <v>11.996693073837349</v>
          </cell>
          <cell r="E136">
            <v>1.615213</v>
          </cell>
          <cell r="F136">
            <v>12.04759732909738</v>
          </cell>
          <cell r="H136">
            <v>4.5422039999999999</v>
          </cell>
          <cell r="I136">
            <v>29.737860446883062</v>
          </cell>
          <cell r="K136">
            <v>2.1356869999999999</v>
          </cell>
          <cell r="L136">
            <v>17.172767448953174</v>
          </cell>
          <cell r="N136">
            <v>2.2836369999999997</v>
          </cell>
          <cell r="O136">
            <v>17.801031274796145</v>
          </cell>
          <cell r="Q136">
            <v>1.1242479999999999</v>
          </cell>
          <cell r="R136">
            <v>12.348799700066333</v>
          </cell>
          <cell r="T136">
            <v>1.177845</v>
          </cell>
          <cell r="U136">
            <v>10.641109179128508</v>
          </cell>
          <cell r="W136">
            <v>1.4085729999999999</v>
          </cell>
          <cell r="X136">
            <v>11.281594035512427</v>
          </cell>
        </row>
        <row r="137">
          <cell r="A137" t="str">
            <v>30/12/2005</v>
          </cell>
          <cell r="B137">
            <v>1.4635829999999999</v>
          </cell>
          <cell r="C137">
            <v>11.970542095171684</v>
          </cell>
          <cell r="E137">
            <v>1.481889</v>
          </cell>
          <cell r="F137">
            <v>11.752169041132349</v>
          </cell>
          <cell r="H137">
            <v>4.544842</v>
          </cell>
          <cell r="I137">
            <v>29.755752026654754</v>
          </cell>
          <cell r="K137">
            <v>1.9728789999999998</v>
          </cell>
          <cell r="L137">
            <v>17.169739179340628</v>
          </cell>
          <cell r="N137">
            <v>1.9831869999999998</v>
          </cell>
          <cell r="O137">
            <v>17.779475996916855</v>
          </cell>
          <cell r="Q137">
            <v>0.97229219999999994</v>
          </cell>
          <cell r="R137">
            <v>12.407235736320212</v>
          </cell>
          <cell r="T137">
            <v>1.079242</v>
          </cell>
          <cell r="U137">
            <v>10.652430750031833</v>
          </cell>
          <cell r="W137">
            <v>1.374385</v>
          </cell>
          <cell r="X137">
            <v>11.254887120402421</v>
          </cell>
        </row>
        <row r="138">
          <cell r="A138" t="str">
            <v>30/01/2006</v>
          </cell>
          <cell r="B138">
            <v>1.5072719999999999</v>
          </cell>
          <cell r="C138">
            <v>11.970542095171693</v>
          </cell>
          <cell r="E138">
            <v>1.491511</v>
          </cell>
          <cell r="F138">
            <v>11.752169041132356</v>
          </cell>
          <cell r="H138">
            <v>4.6481339999999998</v>
          </cell>
          <cell r="I138">
            <v>29.755752026654772</v>
          </cell>
          <cell r="K138">
            <v>1.9834859999999999</v>
          </cell>
          <cell r="L138">
            <v>17.169739179340617</v>
          </cell>
          <cell r="N138">
            <v>2.0697019999999999</v>
          </cell>
          <cell r="O138">
            <v>17.779475996916855</v>
          </cell>
          <cell r="Q138">
            <v>1.0568389999999999</v>
          </cell>
          <cell r="R138">
            <v>12.407235736320208</v>
          </cell>
          <cell r="T138">
            <v>1.1417249999999999</v>
          </cell>
          <cell r="U138">
            <v>10.652430750031826</v>
          </cell>
          <cell r="W138">
            <v>1.3972909999999998</v>
          </cell>
          <cell r="X138">
            <v>11.254887120402417</v>
          </cell>
        </row>
        <row r="139">
          <cell r="A139" t="str">
            <v>27/02/2006</v>
          </cell>
          <cell r="B139">
            <v>1.663305</v>
          </cell>
          <cell r="C139">
            <v>12.086051099789699</v>
          </cell>
          <cell r="E139">
            <v>1.4928859999999999</v>
          </cell>
          <cell r="F139">
            <v>11.807692820335138</v>
          </cell>
          <cell r="H139">
            <v>4.6660979999999999</v>
          </cell>
          <cell r="I139">
            <v>29.794057582189936</v>
          </cell>
          <cell r="K139">
            <v>2.116072</v>
          </cell>
          <cell r="L139">
            <v>17.336503850373692</v>
          </cell>
          <cell r="N139">
            <v>2.0830120000000001</v>
          </cell>
          <cell r="O139">
            <v>17.660956270903249</v>
          </cell>
          <cell r="Q139">
            <v>1.192115</v>
          </cell>
          <cell r="R139">
            <v>12.03454843534281</v>
          </cell>
          <cell r="T139">
            <v>1.2098879999999999</v>
          </cell>
          <cell r="U139">
            <v>10.706048276224656</v>
          </cell>
          <cell r="W139">
            <v>1.5736709999999998</v>
          </cell>
          <cell r="X139">
            <v>11.580105811386211</v>
          </cell>
        </row>
        <row r="140">
          <cell r="A140" t="str">
            <v>31/03/2006</v>
          </cell>
          <cell r="B140">
            <v>1.750683</v>
          </cell>
          <cell r="C140">
            <v>12.201560104407706</v>
          </cell>
          <cell r="E140">
            <v>1.6798400000000002</v>
          </cell>
          <cell r="F140">
            <v>11.863216599537919</v>
          </cell>
          <cell r="H140">
            <v>4.4887049999999995</v>
          </cell>
          <cell r="I140">
            <v>29.832363137725096</v>
          </cell>
          <cell r="K140">
            <v>2.3034600000000003</v>
          </cell>
          <cell r="L140">
            <v>17.503268521406767</v>
          </cell>
          <cell r="N140">
            <v>2.0763569999999998</v>
          </cell>
          <cell r="O140">
            <v>17.542436544889647</v>
          </cell>
          <cell r="Q140">
            <v>1.1752050000000001</v>
          </cell>
          <cell r="R140">
            <v>11.661861134365411</v>
          </cell>
          <cell r="T140">
            <v>1.27237</v>
          </cell>
          <cell r="U140">
            <v>10.759665802417487</v>
          </cell>
          <cell r="W140">
            <v>1.717981</v>
          </cell>
          <cell r="X140">
            <v>11.905324502370005</v>
          </cell>
        </row>
        <row r="141">
          <cell r="A141" t="str">
            <v>30/04/2006</v>
          </cell>
          <cell r="B141">
            <v>2.0221789999999999</v>
          </cell>
          <cell r="C141">
            <v>12.317069109025713</v>
          </cell>
          <cell r="E141">
            <v>1.7458239999999998</v>
          </cell>
          <cell r="F141">
            <v>11.918740378740701</v>
          </cell>
          <cell r="H141">
            <v>4.5089139999999999</v>
          </cell>
          <cell r="I141">
            <v>29.870668693260257</v>
          </cell>
          <cell r="K141">
            <v>2.5421139999999998</v>
          </cell>
          <cell r="L141">
            <v>17.670033192439842</v>
          </cell>
          <cell r="N141">
            <v>2.1295959999999998</v>
          </cell>
          <cell r="O141">
            <v>17.423916818876044</v>
          </cell>
          <cell r="Q141">
            <v>1.5472129999999999</v>
          </cell>
          <cell r="R141">
            <v>11.289173833388013</v>
          </cell>
          <cell r="T141">
            <v>1.3234919999999999</v>
          </cell>
          <cell r="U141">
            <v>10.813283328610318</v>
          </cell>
          <cell r="W141">
            <v>1.6882029999999999</v>
          </cell>
          <cell r="X141">
            <v>12.2305431933538</v>
          </cell>
        </row>
        <row r="142">
          <cell r="A142" t="str">
            <v>31/05/2006</v>
          </cell>
          <cell r="B142">
            <v>1.8443019999999999</v>
          </cell>
          <cell r="C142">
            <v>12.43257811364372</v>
          </cell>
          <cell r="E142">
            <v>1.732078</v>
          </cell>
          <cell r="F142">
            <v>11.974264157943482</v>
          </cell>
          <cell r="H142">
            <v>4.3764310000000002</v>
          </cell>
          <cell r="I142">
            <v>29.908974248795417</v>
          </cell>
          <cell r="K142">
            <v>2.455492</v>
          </cell>
          <cell r="L142">
            <v>17.836797863472917</v>
          </cell>
          <cell r="N142">
            <v>1.996497</v>
          </cell>
          <cell r="O142">
            <v>17.305397092862442</v>
          </cell>
          <cell r="Q142">
            <v>1.4880300000000002</v>
          </cell>
          <cell r="R142">
            <v>10.916486532410614</v>
          </cell>
          <cell r="T142">
            <v>1.2553289999999999</v>
          </cell>
          <cell r="U142">
            <v>10.866900854803148</v>
          </cell>
          <cell r="W142">
            <v>1.6286459999999998</v>
          </cell>
          <cell r="X142">
            <v>12.555761884337594</v>
          </cell>
        </row>
        <row r="143">
          <cell r="A143" t="str">
            <v>30/06/2006</v>
          </cell>
          <cell r="B143">
            <v>1.9221139999999999</v>
          </cell>
          <cell r="C143">
            <v>12.548087118261726</v>
          </cell>
          <cell r="E143">
            <v>1.4766759999999999</v>
          </cell>
          <cell r="F143">
            <v>12.029787937146263</v>
          </cell>
          <cell r="H143">
            <v>4.2261980000000001</v>
          </cell>
          <cell r="I143">
            <v>29.947279804330577</v>
          </cell>
          <cell r="K143">
            <v>2.2484139999999999</v>
          </cell>
          <cell r="L143">
            <v>18.003562534505992</v>
          </cell>
          <cell r="N143">
            <v>1.9529589999999999</v>
          </cell>
          <cell r="O143">
            <v>17.18687736684884</v>
          </cell>
          <cell r="Q143">
            <v>1.442167</v>
          </cell>
          <cell r="R143">
            <v>10.543799231433216</v>
          </cell>
          <cell r="T143">
            <v>1.2579</v>
          </cell>
          <cell r="U143">
            <v>10.920518380995979</v>
          </cell>
          <cell r="W143">
            <v>1.4363539999999999</v>
          </cell>
          <cell r="X143">
            <v>12.880980575321388</v>
          </cell>
        </row>
        <row r="144">
          <cell r="A144" t="str">
            <v>30/07/2006</v>
          </cell>
          <cell r="B144">
            <v>1.931138</v>
          </cell>
          <cell r="C144">
            <v>12.663596122879733</v>
          </cell>
          <cell r="E144">
            <v>1.6842919999999999</v>
          </cell>
          <cell r="F144">
            <v>12.085311716349045</v>
          </cell>
          <cell r="H144">
            <v>4.2605230000000001</v>
          </cell>
          <cell r="I144">
            <v>29.985585359865738</v>
          </cell>
          <cell r="K144">
            <v>2.3558749999999997</v>
          </cell>
          <cell r="L144">
            <v>18.170327205539067</v>
          </cell>
          <cell r="N144">
            <v>2.0300500000000001</v>
          </cell>
          <cell r="O144">
            <v>17.068357640835238</v>
          </cell>
          <cell r="Q144">
            <v>1.447111</v>
          </cell>
          <cell r="R144">
            <v>10.171111930455817</v>
          </cell>
          <cell r="T144">
            <v>1.4457609999999999</v>
          </cell>
          <cell r="U144">
            <v>10.97413590718881</v>
          </cell>
          <cell r="W144">
            <v>1.474942</v>
          </cell>
          <cell r="X144">
            <v>13.206199266305182</v>
          </cell>
        </row>
        <row r="145">
          <cell r="A145" t="str">
            <v>31/08/2006</v>
          </cell>
          <cell r="B145">
            <v>2.0815380000000001</v>
          </cell>
          <cell r="C145">
            <v>12.77910512749774</v>
          </cell>
          <cell r="E145">
            <v>1.7310059999999998</v>
          </cell>
          <cell r="F145">
            <v>12.140835495551826</v>
          </cell>
          <cell r="H145">
            <v>4.2261980000000001</v>
          </cell>
          <cell r="I145">
            <v>30.023890915400898</v>
          </cell>
          <cell r="K145">
            <v>2.4699489999999997</v>
          </cell>
          <cell r="L145">
            <v>18.337091876572142</v>
          </cell>
          <cell r="N145">
            <v>2.1919400000000002</v>
          </cell>
          <cell r="O145">
            <v>16.949837914821636</v>
          </cell>
          <cell r="Q145">
            <v>1.3317379999999999</v>
          </cell>
          <cell r="R145">
            <v>9.7984246294784185</v>
          </cell>
          <cell r="T145">
            <v>1.423789</v>
          </cell>
          <cell r="U145">
            <v>11.02775343338164</v>
          </cell>
          <cell r="W145">
            <v>1.5949959999999999</v>
          </cell>
          <cell r="X145">
            <v>13.531417957288976</v>
          </cell>
        </row>
        <row r="146">
          <cell r="A146" t="str">
            <v>30/09/2006</v>
          </cell>
          <cell r="B146">
            <v>2.13869</v>
          </cell>
          <cell r="C146">
            <v>12.894614132115747</v>
          </cell>
          <cell r="E146">
            <v>1.820541</v>
          </cell>
          <cell r="F146">
            <v>12.196359274754608</v>
          </cell>
          <cell r="H146">
            <v>4.2240529999999996</v>
          </cell>
          <cell r="I146">
            <v>30.062196470936058</v>
          </cell>
          <cell r="K146">
            <v>2.5162400000000003</v>
          </cell>
          <cell r="L146">
            <v>18.503856547605217</v>
          </cell>
          <cell r="N146">
            <v>2.2484729999999997</v>
          </cell>
          <cell r="O146">
            <v>16.831318188808034</v>
          </cell>
          <cell r="Q146">
            <v>1.4767789999999998</v>
          </cell>
          <cell r="R146">
            <v>9.42573732850102</v>
          </cell>
          <cell r="T146">
            <v>1.491903</v>
          </cell>
          <cell r="U146">
            <v>11.081370959574471</v>
          </cell>
          <cell r="W146">
            <v>1.645375</v>
          </cell>
          <cell r="X146">
            <v>13.856636648272771</v>
          </cell>
        </row>
        <row r="147">
          <cell r="A147" t="str">
            <v>29/10/2006</v>
          </cell>
          <cell r="B147">
            <v>2.23</v>
          </cell>
          <cell r="C147">
            <v>13.010123136733753</v>
          </cell>
          <cell r="E147">
            <v>1.76</v>
          </cell>
          <cell r="F147">
            <v>12.251883053957389</v>
          </cell>
          <cell r="H147">
            <v>4.25</v>
          </cell>
          <cell r="I147">
            <v>30.100502026471219</v>
          </cell>
          <cell r="K147">
            <v>2.46</v>
          </cell>
          <cell r="L147">
            <v>18.670621218638292</v>
          </cell>
          <cell r="N147">
            <v>2.27</v>
          </cell>
          <cell r="O147">
            <v>16.712798462794431</v>
          </cell>
          <cell r="Q147">
            <v>1.7</v>
          </cell>
          <cell r="R147">
            <v>9.0530500275236214</v>
          </cell>
          <cell r="T147">
            <v>1.46</v>
          </cell>
          <cell r="U147">
            <v>11.134988485767302</v>
          </cell>
          <cell r="W147">
            <v>1.59</v>
          </cell>
          <cell r="X147">
            <v>14.181855339256565</v>
          </cell>
        </row>
        <row r="148">
          <cell r="A148" t="str">
            <v>30/11/2006</v>
          </cell>
          <cell r="B148">
            <v>2.52</v>
          </cell>
          <cell r="C148">
            <v>13.12563214135176</v>
          </cell>
          <cell r="F148">
            <v>12.30740683316017</v>
          </cell>
          <cell r="I148">
            <v>30.138807582006379</v>
          </cell>
          <cell r="L148">
            <v>18.837385889671367</v>
          </cell>
          <cell r="O148">
            <v>16.594278736780829</v>
          </cell>
          <cell r="R148">
            <v>8.6803627265462229</v>
          </cell>
          <cell r="U148">
            <v>11.188606011960132</v>
          </cell>
          <cell r="X148">
            <v>14.507074030240359</v>
          </cell>
        </row>
        <row r="149">
          <cell r="A149" t="str">
            <v>31/12/2006</v>
          </cell>
          <cell r="B149">
            <v>2.65</v>
          </cell>
          <cell r="C149">
            <v>13.356650150587779</v>
          </cell>
          <cell r="F149">
            <v>12.418454391565737</v>
          </cell>
          <cell r="I149">
            <v>30.215418693076717</v>
          </cell>
          <cell r="L149">
            <v>19.170915231737499</v>
          </cell>
          <cell r="O149">
            <v>16.357239284753607</v>
          </cell>
          <cell r="R149">
            <v>7.934988124591424</v>
          </cell>
          <cell r="U149">
            <v>11.295841064345799</v>
          </cell>
          <cell r="X149">
            <v>15.157511412207953</v>
          </cell>
        </row>
        <row r="150">
          <cell r="A150" t="str">
            <v>30/01/2007</v>
          </cell>
          <cell r="B150">
            <v>2.71</v>
          </cell>
          <cell r="C150">
            <v>13.26699868711459</v>
          </cell>
          <cell r="F150">
            <v>12.513138173286571</v>
          </cell>
          <cell r="I150">
            <v>30.343844411395814</v>
          </cell>
          <cell r="L150">
            <v>19.127150221199809</v>
          </cell>
          <cell r="O150">
            <v>16.380565626944325</v>
          </cell>
          <cell r="R150">
            <v>8.0381547516017324</v>
          </cell>
          <cell r="U150">
            <v>11.385153554248403</v>
          </cell>
          <cell r="X150">
            <v>14.836186072020141</v>
          </cell>
        </row>
        <row r="151">
          <cell r="A151" t="str">
            <v>27/02/2007</v>
          </cell>
          <cell r="B151">
            <v>2.72</v>
          </cell>
          <cell r="C151">
            <v>13.177347223641402</v>
          </cell>
          <cell r="F151">
            <v>12.607821955007404</v>
          </cell>
          <cell r="I151">
            <v>30.472270129714911</v>
          </cell>
          <cell r="L151">
            <v>19.083385210662119</v>
          </cell>
          <cell r="O151">
            <v>16.403891969135042</v>
          </cell>
          <cell r="R151">
            <v>8.1413213786120409</v>
          </cell>
          <cell r="U151">
            <v>11.474466044151006</v>
          </cell>
          <cell r="X151">
            <v>14.514860731832329</v>
          </cell>
        </row>
        <row r="152">
          <cell r="A152" t="str">
            <v>31/03/2007</v>
          </cell>
          <cell r="C152">
            <v>13.087695760168213</v>
          </cell>
          <cell r="F152">
            <v>12.702505736728238</v>
          </cell>
          <cell r="I152">
            <v>30.600695848034007</v>
          </cell>
          <cell r="L152">
            <v>19.039620200124428</v>
          </cell>
          <cell r="O152">
            <v>16.42721831132576</v>
          </cell>
          <cell r="R152">
            <v>8.2444880056223493</v>
          </cell>
          <cell r="U152">
            <v>11.563778534053609</v>
          </cell>
          <cell r="X152">
            <v>14.193535391644517</v>
          </cell>
        </row>
        <row r="153">
          <cell r="A153" t="str">
            <v>30/04/2007</v>
          </cell>
          <cell r="C153">
            <v>12.998044296695024</v>
          </cell>
          <cell r="F153">
            <v>12.797189518449072</v>
          </cell>
          <cell r="I153">
            <v>30.729121566353104</v>
          </cell>
          <cell r="L153">
            <v>18.995855189586738</v>
          </cell>
          <cell r="O153">
            <v>16.450544653516477</v>
          </cell>
          <cell r="R153">
            <v>8.3476546326326577</v>
          </cell>
          <cell r="U153">
            <v>11.653091023956213</v>
          </cell>
          <cell r="X153">
            <v>13.872210051456705</v>
          </cell>
        </row>
        <row r="154">
          <cell r="A154" t="str">
            <v>31/05/2007</v>
          </cell>
          <cell r="C154">
            <v>12.908392833221836</v>
          </cell>
          <cell r="F154">
            <v>12.891873300169905</v>
          </cell>
          <cell r="I154">
            <v>30.857547284672201</v>
          </cell>
          <cell r="L154">
            <v>18.952090179049048</v>
          </cell>
          <cell r="O154">
            <v>16.473870995707195</v>
          </cell>
          <cell r="R154">
            <v>8.4508212596429662</v>
          </cell>
          <cell r="U154">
            <v>11.742403513858816</v>
          </cell>
          <cell r="X154">
            <v>13.550884711268893</v>
          </cell>
        </row>
        <row r="155">
          <cell r="A155" t="str">
            <v>30/06/2007</v>
          </cell>
          <cell r="C155">
            <v>12.818741369748647</v>
          </cell>
          <cell r="F155">
            <v>12.986557081890739</v>
          </cell>
          <cell r="I155">
            <v>30.985973002991297</v>
          </cell>
          <cell r="L155">
            <v>18.908325168511357</v>
          </cell>
          <cell r="O155">
            <v>16.497197337897912</v>
          </cell>
          <cell r="R155">
            <v>8.5539878866532746</v>
          </cell>
          <cell r="U155">
            <v>11.83171600376142</v>
          </cell>
          <cell r="X155">
            <v>13.229559371081081</v>
          </cell>
        </row>
        <row r="156">
          <cell r="A156" t="str">
            <v>30/07/2007</v>
          </cell>
          <cell r="C156">
            <v>12.729089906275458</v>
          </cell>
          <cell r="F156">
            <v>13.081240863611573</v>
          </cell>
          <cell r="I156">
            <v>31.114398721310394</v>
          </cell>
          <cell r="L156">
            <v>18.864560157973667</v>
          </cell>
          <cell r="O156">
            <v>16.52052368008863</v>
          </cell>
          <cell r="R156">
            <v>8.657154513663583</v>
          </cell>
          <cell r="U156">
            <v>11.921028493664023</v>
          </cell>
          <cell r="X156">
            <v>12.908234030893269</v>
          </cell>
        </row>
        <row r="157">
          <cell r="A157" t="str">
            <v>31/08/2007</v>
          </cell>
          <cell r="C157">
            <v>12.63943844280227</v>
          </cell>
          <cell r="F157">
            <v>13.175924645332406</v>
          </cell>
          <cell r="I157">
            <v>31.242824439629491</v>
          </cell>
          <cell r="L157">
            <v>18.820795147435977</v>
          </cell>
          <cell r="O157">
            <v>16.543850022279347</v>
          </cell>
          <cell r="R157">
            <v>8.7603211406738914</v>
          </cell>
          <cell r="U157">
            <v>12.010340983566627</v>
          </cell>
          <cell r="X157">
            <v>12.586908690705457</v>
          </cell>
        </row>
        <row r="158">
          <cell r="A158" t="str">
            <v>30/09/2007</v>
          </cell>
          <cell r="C158">
            <v>12.549786979329081</v>
          </cell>
          <cell r="F158">
            <v>13.27060842705324</v>
          </cell>
          <cell r="I158">
            <v>31.371250157948587</v>
          </cell>
          <cell r="L158">
            <v>18.777030136898286</v>
          </cell>
          <cell r="O158">
            <v>16.567176364470065</v>
          </cell>
          <cell r="R158">
            <v>8.8634877676841999</v>
          </cell>
          <cell r="U158">
            <v>12.09965347346923</v>
          </cell>
          <cell r="X158">
            <v>12.265583350517645</v>
          </cell>
        </row>
        <row r="159">
          <cell r="A159" t="str">
            <v>29/10/2007</v>
          </cell>
          <cell r="C159">
            <v>12.460135515855892</v>
          </cell>
          <cell r="F159">
            <v>13.365292208774074</v>
          </cell>
          <cell r="I159">
            <v>31.499675876267684</v>
          </cell>
          <cell r="L159">
            <v>18.733265126360596</v>
          </cell>
          <cell r="O159">
            <v>16.590502706660782</v>
          </cell>
          <cell r="R159">
            <v>8.9666543946945083</v>
          </cell>
          <cell r="U159">
            <v>12.188965963371833</v>
          </cell>
          <cell r="X159">
            <v>11.944258010329833</v>
          </cell>
        </row>
        <row r="160">
          <cell r="A160" t="str">
            <v>30/11/2007</v>
          </cell>
          <cell r="C160">
            <v>12.370484052382704</v>
          </cell>
          <cell r="F160">
            <v>13.459975990494907</v>
          </cell>
          <cell r="I160">
            <v>31.628101594586781</v>
          </cell>
          <cell r="L160">
            <v>18.689500115822906</v>
          </cell>
          <cell r="O160">
            <v>16.6138290488515</v>
          </cell>
          <cell r="R160">
            <v>9.0698210217048167</v>
          </cell>
          <cell r="U160">
            <v>12.278278453274437</v>
          </cell>
          <cell r="X160">
            <v>11.622932670142021</v>
          </cell>
        </row>
        <row r="161">
          <cell r="A161" t="str">
            <v>31/12/2007</v>
          </cell>
          <cell r="C161">
            <v>12.280832588909522</v>
          </cell>
          <cell r="F161">
            <v>13.554659772215746</v>
          </cell>
          <cell r="I161">
            <v>31.75652731290586</v>
          </cell>
          <cell r="L161">
            <v>18.645735105285219</v>
          </cell>
          <cell r="O161">
            <v>16.63715539104221</v>
          </cell>
          <cell r="R161">
            <v>9.172987648715127</v>
          </cell>
          <cell r="U161">
            <v>12.367590943177033</v>
          </cell>
          <cell r="X161">
            <v>11.301607329954212</v>
          </cell>
        </row>
        <row r="162">
          <cell r="A162" t="str">
            <v>30/01/2008</v>
          </cell>
          <cell r="C162">
            <v>12.28998895761513</v>
          </cell>
        </row>
        <row r="163">
          <cell r="A163" t="str">
            <v>27/02/2008</v>
          </cell>
          <cell r="C163">
            <v>12.299145326320737</v>
          </cell>
        </row>
        <row r="164">
          <cell r="A164" t="str">
            <v>31/03/2008</v>
          </cell>
          <cell r="C164">
            <v>12.308301695026344</v>
          </cell>
        </row>
        <row r="165">
          <cell r="A165" t="str">
            <v>30/04/2008</v>
          </cell>
          <cell r="C165">
            <v>12.317458063731952</v>
          </cell>
        </row>
        <row r="166">
          <cell r="A166" t="str">
            <v>31/05/2008</v>
          </cell>
          <cell r="C166">
            <v>12.326614432437559</v>
          </cell>
        </row>
        <row r="167">
          <cell r="A167" t="str">
            <v>30/06/2008</v>
          </cell>
          <cell r="C167">
            <v>12.335770801143166</v>
          </cell>
        </row>
        <row r="168">
          <cell r="A168" t="str">
            <v>30/07/2008</v>
          </cell>
          <cell r="C168">
            <v>12.344927169848773</v>
          </cell>
        </row>
        <row r="169">
          <cell r="A169" t="str">
            <v>31/08/2008</v>
          </cell>
          <cell r="C169">
            <v>12.354083538554381</v>
          </cell>
        </row>
        <row r="170">
          <cell r="A170" t="str">
            <v>30/09/2008</v>
          </cell>
          <cell r="C170">
            <v>12.363239907259988</v>
          </cell>
        </row>
        <row r="171">
          <cell r="A171" t="str">
            <v>29/10/2008</v>
          </cell>
          <cell r="C171">
            <v>12.372396275965595</v>
          </cell>
        </row>
        <row r="172">
          <cell r="A172" t="str">
            <v>30/11/2008</v>
          </cell>
          <cell r="C172">
            <v>12.381552644671203</v>
          </cell>
        </row>
        <row r="173">
          <cell r="A173" t="str">
            <v>31/12/2008</v>
          </cell>
          <cell r="C173">
            <v>12.39070901337681</v>
          </cell>
        </row>
      </sheetData>
      <sheetData sheetId="28" refreshError="1">
        <row r="1">
          <cell r="B1" t="str">
            <v>11 HK Equity</v>
          </cell>
          <cell r="M1" t="str">
            <v>11 HK Equity</v>
          </cell>
          <cell r="W1" t="str">
            <v>11 HK Equity</v>
          </cell>
          <cell r="AF1" t="str">
            <v>23 HK Equity</v>
          </cell>
          <cell r="AQ1" t="str">
            <v>23 HK Equity</v>
          </cell>
          <cell r="BA1" t="str">
            <v>23 HK Equity</v>
          </cell>
          <cell r="BJ1" t="str">
            <v>2388 HK Equity</v>
          </cell>
          <cell r="BU1" t="str">
            <v>2388 HK Equity</v>
          </cell>
          <cell r="CC1" t="str">
            <v>2388 HK Equity</v>
          </cell>
        </row>
        <row r="2">
          <cell r="B2" t="str">
            <v>Px Last</v>
          </cell>
          <cell r="C2" t="str">
            <v>PE at 10</v>
          </cell>
          <cell r="D2" t="str">
            <v>PE at 12</v>
          </cell>
          <cell r="E2" t="str">
            <v>PE at 14</v>
          </cell>
          <cell r="F2" t="str">
            <v>PE at 16</v>
          </cell>
          <cell r="G2" t="str">
            <v>PE at 18</v>
          </cell>
          <cell r="H2" t="str">
            <v>PE at 20</v>
          </cell>
          <cell r="I2" t="str">
            <v>PE at 15</v>
          </cell>
          <cell r="J2" t="str">
            <v>EPS</v>
          </cell>
          <cell r="M2" t="str">
            <v>Px Last</v>
          </cell>
          <cell r="N2" t="str">
            <v>PPE at 10</v>
          </cell>
          <cell r="O2" t="str">
            <v>PPE at 12</v>
          </cell>
          <cell r="P2" t="str">
            <v>PPE at 14</v>
          </cell>
          <cell r="Q2" t="str">
            <v>PPE at 16</v>
          </cell>
          <cell r="R2" t="str">
            <v>PPE at 18</v>
          </cell>
          <cell r="S2" t="str">
            <v>PPE at 20</v>
          </cell>
          <cell r="T2" t="str">
            <v>PPE at 15</v>
          </cell>
          <cell r="U2" t="str">
            <v>PreProvision</v>
          </cell>
          <cell r="W2" t="str">
            <v>Px Last</v>
          </cell>
          <cell r="X2" t="str">
            <v>PB at 2</v>
          </cell>
          <cell r="Y2" t="str">
            <v>PB at 3</v>
          </cell>
          <cell r="Z2" t="str">
            <v>PB at 4</v>
          </cell>
          <cell r="AA2" t="str">
            <v>PB at 5</v>
          </cell>
          <cell r="AB2" t="str">
            <v>PB at 6</v>
          </cell>
          <cell r="AC2" t="str">
            <v>BPS</v>
          </cell>
          <cell r="AF2" t="str">
            <v>Px Last</v>
          </cell>
          <cell r="AG2" t="str">
            <v>PE at 10</v>
          </cell>
          <cell r="AH2" t="str">
            <v>PE at 12</v>
          </cell>
          <cell r="AI2" t="str">
            <v>PE at 14</v>
          </cell>
          <cell r="AJ2" t="str">
            <v>PE at 16</v>
          </cell>
          <cell r="AK2" t="str">
            <v>PE at 18</v>
          </cell>
          <cell r="AL2" t="str">
            <v>PE at 20</v>
          </cell>
          <cell r="AM2" t="str">
            <v>PE at 15</v>
          </cell>
          <cell r="AN2" t="str">
            <v>EPS</v>
          </cell>
          <cell r="AQ2" t="str">
            <v>Px Last</v>
          </cell>
          <cell r="AR2" t="str">
            <v>PPE at 5</v>
          </cell>
          <cell r="AS2" t="str">
            <v>PPE at 7</v>
          </cell>
          <cell r="AT2" t="str">
            <v>PPE at 9</v>
          </cell>
          <cell r="AU2" t="str">
            <v>PPE at 11</v>
          </cell>
          <cell r="AV2" t="str">
            <v>PPE at 13</v>
          </cell>
          <cell r="AW2" t="str">
            <v>PPE at 15</v>
          </cell>
          <cell r="AX2" t="str">
            <v>PPE at 10</v>
          </cell>
          <cell r="AY2" t="str">
            <v>PPE</v>
          </cell>
          <cell r="BA2" t="str">
            <v>Px Last</v>
          </cell>
          <cell r="BB2" t="str">
            <v>PB at 1.0</v>
          </cell>
          <cell r="BC2" t="str">
            <v>PB at 1.5</v>
          </cell>
          <cell r="BD2" t="str">
            <v>PB at 2.0</v>
          </cell>
          <cell r="BE2" t="str">
            <v>PB at 2.5</v>
          </cell>
          <cell r="BF2" t="str">
            <v>PB at 3</v>
          </cell>
          <cell r="BG2" t="str">
            <v>PBS</v>
          </cell>
          <cell r="BJ2" t="str">
            <v>Px Last</v>
          </cell>
          <cell r="BK2" t="str">
            <v>PE at 10</v>
          </cell>
          <cell r="BL2" t="str">
            <v>PE at 12</v>
          </cell>
          <cell r="BM2" t="str">
            <v>PE at 14</v>
          </cell>
          <cell r="BN2" t="str">
            <v>PE at 16</v>
          </cell>
          <cell r="BO2" t="str">
            <v>PE at 18</v>
          </cell>
          <cell r="BP2" t="str">
            <v>PE at 20</v>
          </cell>
          <cell r="BQ2" t="str">
            <v>PE at 15</v>
          </cell>
          <cell r="BR2" t="str">
            <v>EPS</v>
          </cell>
          <cell r="BU2" t="str">
            <v>Px Last</v>
          </cell>
          <cell r="BV2" t="str">
            <v>PPE at 8</v>
          </cell>
          <cell r="BW2" t="str">
            <v>PPE at 10</v>
          </cell>
          <cell r="BX2" t="str">
            <v>PPE at 12</v>
          </cell>
          <cell r="BY2" t="str">
            <v>PPE at 14</v>
          </cell>
          <cell r="BZ2" t="str">
            <v>PPE at 13</v>
          </cell>
          <cell r="CA2" t="str">
            <v>PPE</v>
          </cell>
          <cell r="CC2" t="str">
            <v>Px Last</v>
          </cell>
          <cell r="CD2" t="str">
            <v>PB at 1.0</v>
          </cell>
          <cell r="CE2" t="str">
            <v>PB at 1.5</v>
          </cell>
          <cell r="CF2" t="str">
            <v>PB at 2.0</v>
          </cell>
          <cell r="CG2" t="str">
            <v>PB at 2.5</v>
          </cell>
          <cell r="CH2" t="str">
            <v>PB at 3.0</v>
          </cell>
          <cell r="CI2" t="str">
            <v>BPS</v>
          </cell>
        </row>
        <row r="3">
          <cell r="A3">
            <v>35430</v>
          </cell>
          <cell r="B3">
            <v>94</v>
          </cell>
          <cell r="C3">
            <v>43.937668254296952</v>
          </cell>
          <cell r="D3">
            <v>52.725201905156347</v>
          </cell>
          <cell r="E3">
            <v>61.512735556015741</v>
          </cell>
          <cell r="F3">
            <v>70.300269206875129</v>
          </cell>
          <cell r="G3">
            <v>79.087802857734516</v>
          </cell>
          <cell r="H3">
            <v>87.875336508593904</v>
          </cell>
          <cell r="I3">
            <v>65.906502381445435</v>
          </cell>
          <cell r="J3">
            <v>4.3937668254296955</v>
          </cell>
          <cell r="M3">
            <v>94</v>
          </cell>
          <cell r="N3">
            <v>50.750673017187822</v>
          </cell>
          <cell r="O3">
            <v>60.900807620625386</v>
          </cell>
          <cell r="P3">
            <v>71.05094222406295</v>
          </cell>
          <cell r="Q3">
            <v>81.201076827500515</v>
          </cell>
          <cell r="R3">
            <v>91.351211430938079</v>
          </cell>
          <cell r="S3">
            <v>101.50134603437564</v>
          </cell>
          <cell r="T3">
            <v>76.12600952578174</v>
          </cell>
          <cell r="U3">
            <v>5.0750673017187822</v>
          </cell>
          <cell r="W3">
            <v>94</v>
          </cell>
          <cell r="X3">
            <v>55.671981776765378</v>
          </cell>
          <cell r="Y3">
            <v>83.50797266514806</v>
          </cell>
          <cell r="Z3">
            <v>111.34396355353076</v>
          </cell>
          <cell r="AA3">
            <v>139.17995444191345</v>
          </cell>
          <cell r="AB3">
            <v>167.01594533029612</v>
          </cell>
          <cell r="AC3">
            <v>27.835990888382689</v>
          </cell>
          <cell r="AF3">
            <v>28.667000000000002</v>
          </cell>
          <cell r="AG3">
            <v>13.975083590348332</v>
          </cell>
          <cell r="AH3">
            <v>16.770100308417998</v>
          </cell>
          <cell r="AI3">
            <v>19.565117026487663</v>
          </cell>
          <cell r="AJ3">
            <v>22.360133744557331</v>
          </cell>
          <cell r="AK3">
            <v>25.155150462626999</v>
          </cell>
          <cell r="AL3">
            <v>27.950167180696663</v>
          </cell>
          <cell r="AM3">
            <v>20.962625385522497</v>
          </cell>
          <cell r="AN3">
            <v>1.3975083590348332</v>
          </cell>
          <cell r="AQ3">
            <v>28.667000000000002</v>
          </cell>
          <cell r="AR3">
            <v>9.0510884263752036</v>
          </cell>
          <cell r="AS3">
            <v>12.671523796925285</v>
          </cell>
          <cell r="AT3">
            <v>16.291959167475365</v>
          </cell>
          <cell r="AU3">
            <v>19.912394538025449</v>
          </cell>
          <cell r="AV3">
            <v>23.532829908575529</v>
          </cell>
          <cell r="AW3">
            <v>27.153265279125609</v>
          </cell>
          <cell r="AX3">
            <v>18.102176852750407</v>
          </cell>
          <cell r="AY3">
            <v>1.8102176852750407</v>
          </cell>
          <cell r="BA3">
            <v>28.667000000000002</v>
          </cell>
          <cell r="BB3">
            <v>8.7991745283018865</v>
          </cell>
          <cell r="BC3">
            <v>13.19876179245283</v>
          </cell>
          <cell r="BD3">
            <v>17.598349056603773</v>
          </cell>
          <cell r="BE3">
            <v>21.997936320754718</v>
          </cell>
          <cell r="BF3">
            <v>26.39752358490566</v>
          </cell>
          <cell r="BG3">
            <v>8.7991745283018865</v>
          </cell>
          <cell r="CN3" t="str">
            <v>HSB</v>
          </cell>
          <cell r="CW3" t="str">
            <v>HSB</v>
          </cell>
          <cell r="DF3" t="str">
            <v>HSB</v>
          </cell>
        </row>
        <row r="4">
          <cell r="A4">
            <v>35461</v>
          </cell>
          <cell r="B4">
            <v>91.25</v>
          </cell>
          <cell r="C4">
            <v>44.354441770564598</v>
          </cell>
          <cell r="D4">
            <v>53.225330124677512</v>
          </cell>
          <cell r="E4">
            <v>62.096218478790433</v>
          </cell>
          <cell r="F4">
            <v>70.967106832903355</v>
          </cell>
          <cell r="G4">
            <v>79.837995187016276</v>
          </cell>
          <cell r="H4">
            <v>88.708883541129197</v>
          </cell>
          <cell r="I4">
            <v>66.531662655846901</v>
          </cell>
          <cell r="J4">
            <v>4.4354441770564597</v>
          </cell>
          <cell r="M4">
            <v>91.25</v>
          </cell>
          <cell r="N4">
            <v>51.213850433014549</v>
          </cell>
          <cell r="O4">
            <v>61.456620519617459</v>
          </cell>
          <cell r="P4">
            <v>71.699390606220362</v>
          </cell>
          <cell r="Q4">
            <v>81.942160692823279</v>
          </cell>
          <cell r="R4">
            <v>92.184930779426196</v>
          </cell>
          <cell r="S4">
            <v>102.4277008660291</v>
          </cell>
          <cell r="T4">
            <v>76.820775649521821</v>
          </cell>
          <cell r="U4">
            <v>5.1213850433014549</v>
          </cell>
          <cell r="W4">
            <v>91.25</v>
          </cell>
          <cell r="X4">
            <v>55.58279282913368</v>
          </cell>
          <cell r="Y4">
            <v>83.374189243700528</v>
          </cell>
          <cell r="Z4">
            <v>111.16558565826736</v>
          </cell>
          <cell r="AA4">
            <v>138.95698207283419</v>
          </cell>
          <cell r="AB4">
            <v>166.74837848740106</v>
          </cell>
          <cell r="AC4">
            <v>27.79139641456684</v>
          </cell>
          <cell r="AF4">
            <v>29.082999999999998</v>
          </cell>
          <cell r="AG4">
            <v>14.193430851733579</v>
          </cell>
          <cell r="AH4">
            <v>17.032117022080296</v>
          </cell>
          <cell r="AI4">
            <v>19.870803192427012</v>
          </cell>
          <cell r="AJ4">
            <v>22.709489362773727</v>
          </cell>
          <cell r="AK4">
            <v>25.548175533120443</v>
          </cell>
          <cell r="AL4">
            <v>28.386861703467158</v>
          </cell>
          <cell r="AM4">
            <v>21.290146277600368</v>
          </cell>
          <cell r="AN4">
            <v>1.4193430851733579</v>
          </cell>
          <cell r="AQ4">
            <v>29.082999999999998</v>
          </cell>
          <cell r="AR4">
            <v>9.0833343310392927</v>
          </cell>
          <cell r="AS4">
            <v>12.716668063455009</v>
          </cell>
          <cell r="AT4">
            <v>16.350001795870725</v>
          </cell>
          <cell r="AU4">
            <v>19.983335528286442</v>
          </cell>
          <cell r="AV4">
            <v>23.61666926070216</v>
          </cell>
          <cell r="AW4">
            <v>27.250002993117878</v>
          </cell>
          <cell r="AX4">
            <v>18.166668662078585</v>
          </cell>
          <cell r="AY4">
            <v>1.8166668662078584</v>
          </cell>
          <cell r="BA4">
            <v>29.082999999999998</v>
          </cell>
          <cell r="BB4">
            <v>8.8886494036322716</v>
          </cell>
          <cell r="BC4">
            <v>13.332974105448407</v>
          </cell>
          <cell r="BD4">
            <v>17.777298807264543</v>
          </cell>
          <cell r="BE4">
            <v>22.221623509080679</v>
          </cell>
          <cell r="BF4">
            <v>26.665948210896815</v>
          </cell>
          <cell r="BG4">
            <v>8.8886494036322716</v>
          </cell>
          <cell r="CN4" t="str">
            <v>PE</v>
          </cell>
          <cell r="CW4" t="str">
            <v>PPE</v>
          </cell>
          <cell r="DF4" t="str">
            <v>PB</v>
          </cell>
        </row>
        <row r="5">
          <cell r="A5">
            <v>35489</v>
          </cell>
          <cell r="B5">
            <v>89.5</v>
          </cell>
          <cell r="C5">
            <v>44.771215286832238</v>
          </cell>
          <cell r="D5">
            <v>53.725458344198685</v>
          </cell>
          <cell r="E5">
            <v>62.679701401565133</v>
          </cell>
          <cell r="F5">
            <v>71.63394445893158</v>
          </cell>
          <cell r="G5">
            <v>80.588187516298035</v>
          </cell>
          <cell r="H5">
            <v>89.542430573664475</v>
          </cell>
          <cell r="I5">
            <v>67.156822930248353</v>
          </cell>
          <cell r="J5">
            <v>4.4771215286832238</v>
          </cell>
          <cell r="M5">
            <v>89.5</v>
          </cell>
          <cell r="N5">
            <v>51.677027848841277</v>
          </cell>
          <cell r="O5">
            <v>62.012433418609533</v>
          </cell>
          <cell r="P5">
            <v>72.347838988377788</v>
          </cell>
          <cell r="Q5">
            <v>82.683244558146043</v>
          </cell>
          <cell r="R5">
            <v>93.018650127914299</v>
          </cell>
          <cell r="S5">
            <v>103.35405569768255</v>
          </cell>
          <cell r="T5">
            <v>77.515541773261916</v>
          </cell>
          <cell r="U5">
            <v>5.1677027848841277</v>
          </cell>
          <cell r="W5">
            <v>89.5</v>
          </cell>
          <cell r="X5">
            <v>55.493603881501983</v>
          </cell>
          <cell r="Y5">
            <v>83.240405822252967</v>
          </cell>
          <cell r="Z5">
            <v>110.98720776300397</v>
          </cell>
          <cell r="AA5">
            <v>138.73400970375496</v>
          </cell>
          <cell r="AB5">
            <v>166.48081164450593</v>
          </cell>
          <cell r="AC5">
            <v>27.746801940750991</v>
          </cell>
          <cell r="AF5">
            <v>28.25</v>
          </cell>
          <cell r="AG5">
            <v>14.411778113118828</v>
          </cell>
          <cell r="AH5">
            <v>17.294133735742591</v>
          </cell>
          <cell r="AI5">
            <v>20.176489358366357</v>
          </cell>
          <cell r="AJ5">
            <v>23.058844980990123</v>
          </cell>
          <cell r="AK5">
            <v>25.94120060361389</v>
          </cell>
          <cell r="AL5">
            <v>28.823556226237656</v>
          </cell>
          <cell r="AM5">
            <v>21.617667169678242</v>
          </cell>
          <cell r="AN5">
            <v>1.4411778113118827</v>
          </cell>
          <cell r="AQ5">
            <v>28.25</v>
          </cell>
          <cell r="AR5">
            <v>9.1155802357033817</v>
          </cell>
          <cell r="AS5">
            <v>12.761812329984735</v>
          </cell>
          <cell r="AT5">
            <v>16.408044424266087</v>
          </cell>
          <cell r="AU5">
            <v>20.054276518547439</v>
          </cell>
          <cell r="AV5">
            <v>23.700508612828795</v>
          </cell>
          <cell r="AW5">
            <v>27.346740707110147</v>
          </cell>
          <cell r="AX5">
            <v>18.231160471406763</v>
          </cell>
          <cell r="AY5">
            <v>1.8231160471406764</v>
          </cell>
          <cell r="BA5">
            <v>28.25</v>
          </cell>
          <cell r="BB5">
            <v>8.9781242789626567</v>
          </cell>
          <cell r="BC5">
            <v>13.467186418443985</v>
          </cell>
          <cell r="BD5">
            <v>17.956248557925313</v>
          </cell>
          <cell r="BE5">
            <v>22.44531069740664</v>
          </cell>
          <cell r="BF5">
            <v>26.93437283688797</v>
          </cell>
          <cell r="BG5">
            <v>8.9781242789626567</v>
          </cell>
        </row>
        <row r="6">
          <cell r="A6">
            <v>35520</v>
          </cell>
          <cell r="B6">
            <v>80</v>
          </cell>
          <cell r="C6">
            <v>45.187988803099877</v>
          </cell>
          <cell r="D6">
            <v>54.225586563719858</v>
          </cell>
          <cell r="E6">
            <v>63.263184324339832</v>
          </cell>
          <cell r="F6">
            <v>72.300782084959806</v>
          </cell>
          <cell r="G6">
            <v>81.33837984557978</v>
          </cell>
          <cell r="H6">
            <v>90.375977606199754</v>
          </cell>
          <cell r="I6">
            <v>67.781983204649819</v>
          </cell>
          <cell r="J6">
            <v>4.5187988803099879</v>
          </cell>
          <cell r="M6">
            <v>80</v>
          </cell>
          <cell r="N6">
            <v>52.140205264668005</v>
          </cell>
          <cell r="O6">
            <v>62.568246317601606</v>
          </cell>
          <cell r="P6">
            <v>72.996287370535214</v>
          </cell>
          <cell r="Q6">
            <v>83.424328423468808</v>
          </cell>
          <cell r="R6">
            <v>93.852369476402401</v>
          </cell>
          <cell r="S6">
            <v>104.28041052933601</v>
          </cell>
          <cell r="T6">
            <v>78.210307897002011</v>
          </cell>
          <cell r="U6">
            <v>5.2140205264668005</v>
          </cell>
          <cell r="W6">
            <v>80</v>
          </cell>
          <cell r="X6">
            <v>55.404414933870285</v>
          </cell>
          <cell r="Y6">
            <v>83.106622400805435</v>
          </cell>
          <cell r="Z6">
            <v>110.80882986774057</v>
          </cell>
          <cell r="AA6">
            <v>138.51103733467571</v>
          </cell>
          <cell r="AB6">
            <v>166.21324480161087</v>
          </cell>
          <cell r="AC6">
            <v>27.702207466935143</v>
          </cell>
          <cell r="AF6">
            <v>26.3</v>
          </cell>
          <cell r="AG6">
            <v>14.630125374504075</v>
          </cell>
          <cell r="AH6">
            <v>17.556150449404889</v>
          </cell>
          <cell r="AI6">
            <v>20.482175524305706</v>
          </cell>
          <cell r="AJ6">
            <v>23.40820059920652</v>
          </cell>
          <cell r="AK6">
            <v>26.334225674107334</v>
          </cell>
          <cell r="AL6">
            <v>29.260250749008151</v>
          </cell>
          <cell r="AM6">
            <v>21.945188061756113</v>
          </cell>
          <cell r="AN6">
            <v>1.4630125374504075</v>
          </cell>
          <cell r="AQ6">
            <v>26.3</v>
          </cell>
          <cell r="AR6">
            <v>9.1478261403674725</v>
          </cell>
          <cell r="AS6">
            <v>12.806956596514461</v>
          </cell>
          <cell r="AT6">
            <v>16.46608705266145</v>
          </cell>
          <cell r="AU6">
            <v>20.12521750880844</v>
          </cell>
          <cell r="AV6">
            <v>23.784347964955426</v>
          </cell>
          <cell r="AW6">
            <v>27.443478421102416</v>
          </cell>
          <cell r="AX6">
            <v>18.295652280734945</v>
          </cell>
          <cell r="AY6">
            <v>1.8295652280734944</v>
          </cell>
          <cell r="BA6">
            <v>26.3</v>
          </cell>
          <cell r="BB6">
            <v>9.0675991542930419</v>
          </cell>
          <cell r="BC6">
            <v>13.601398731439563</v>
          </cell>
          <cell r="BD6">
            <v>18.135198308586084</v>
          </cell>
          <cell r="BE6">
            <v>22.668997885732605</v>
          </cell>
          <cell r="BF6">
            <v>27.202797462879126</v>
          </cell>
          <cell r="BG6">
            <v>9.0675991542930419</v>
          </cell>
        </row>
        <row r="7">
          <cell r="A7">
            <v>35550</v>
          </cell>
          <cell r="B7">
            <v>87.25</v>
          </cell>
          <cell r="C7">
            <v>45.604762319367524</v>
          </cell>
          <cell r="D7">
            <v>54.725714783241024</v>
          </cell>
          <cell r="E7">
            <v>63.846667247114524</v>
          </cell>
          <cell r="F7">
            <v>72.967619710988032</v>
          </cell>
          <cell r="G7">
            <v>82.08857217486154</v>
          </cell>
          <cell r="H7">
            <v>91.209524638735047</v>
          </cell>
          <cell r="I7">
            <v>68.407143479051285</v>
          </cell>
          <cell r="J7">
            <v>4.560476231936752</v>
          </cell>
          <cell r="M7">
            <v>87.25</v>
          </cell>
          <cell r="N7">
            <v>52.603382680494732</v>
          </cell>
          <cell r="O7">
            <v>63.124059216593679</v>
          </cell>
          <cell r="P7">
            <v>73.644735752692625</v>
          </cell>
          <cell r="Q7">
            <v>84.165412288791572</v>
          </cell>
          <cell r="R7">
            <v>94.686088824890518</v>
          </cell>
          <cell r="S7">
            <v>105.20676536098946</v>
          </cell>
          <cell r="T7">
            <v>78.905074020742092</v>
          </cell>
          <cell r="U7">
            <v>5.2603382680494732</v>
          </cell>
          <cell r="W7">
            <v>87.25</v>
          </cell>
          <cell r="X7">
            <v>55.315225986238588</v>
          </cell>
          <cell r="Y7">
            <v>82.972838979357874</v>
          </cell>
          <cell r="Z7">
            <v>110.63045197247718</v>
          </cell>
          <cell r="AA7">
            <v>138.28806496559648</v>
          </cell>
          <cell r="AB7">
            <v>165.94567795871575</v>
          </cell>
          <cell r="AC7">
            <v>27.657612993119294</v>
          </cell>
          <cell r="AF7">
            <v>26.65</v>
          </cell>
          <cell r="AG7">
            <v>14.848472635889323</v>
          </cell>
          <cell r="AH7">
            <v>17.818167163067187</v>
          </cell>
          <cell r="AI7">
            <v>20.787861690245052</v>
          </cell>
          <cell r="AJ7">
            <v>23.757556217422916</v>
          </cell>
          <cell r="AK7">
            <v>26.727250744600781</v>
          </cell>
          <cell r="AL7">
            <v>29.696945271778645</v>
          </cell>
          <cell r="AM7">
            <v>22.272708953833984</v>
          </cell>
          <cell r="AN7">
            <v>1.4848472635889323</v>
          </cell>
          <cell r="AQ7">
            <v>26.65</v>
          </cell>
          <cell r="AR7">
            <v>9.1800720450315616</v>
          </cell>
          <cell r="AS7">
            <v>12.852100863044187</v>
          </cell>
          <cell r="AT7">
            <v>16.524129681056813</v>
          </cell>
          <cell r="AU7">
            <v>20.196158499069437</v>
          </cell>
          <cell r="AV7">
            <v>23.868187317082061</v>
          </cell>
          <cell r="AW7">
            <v>27.540216135094685</v>
          </cell>
          <cell r="AX7">
            <v>18.360144090063123</v>
          </cell>
          <cell r="AY7">
            <v>1.8360144090063124</v>
          </cell>
          <cell r="BA7">
            <v>26.65</v>
          </cell>
          <cell r="BB7">
            <v>9.157074029623427</v>
          </cell>
          <cell r="BC7">
            <v>13.73561104443514</v>
          </cell>
          <cell r="BD7">
            <v>18.314148059246854</v>
          </cell>
          <cell r="BE7">
            <v>22.892685074058569</v>
          </cell>
          <cell r="BF7">
            <v>27.471222088870281</v>
          </cell>
          <cell r="BG7">
            <v>9.157074029623427</v>
          </cell>
        </row>
        <row r="8">
          <cell r="A8">
            <v>35580</v>
          </cell>
          <cell r="B8">
            <v>93</v>
          </cell>
          <cell r="C8">
            <v>46.021535835635163</v>
          </cell>
          <cell r="D8">
            <v>55.22584300276219</v>
          </cell>
          <cell r="E8">
            <v>64.430150169889231</v>
          </cell>
          <cell r="F8">
            <v>73.634457337016258</v>
          </cell>
          <cell r="G8">
            <v>82.838764504143285</v>
          </cell>
          <cell r="H8">
            <v>92.043071671270326</v>
          </cell>
          <cell r="I8">
            <v>69.032303753452737</v>
          </cell>
          <cell r="J8">
            <v>4.6021535835635161</v>
          </cell>
          <cell r="M8">
            <v>93</v>
          </cell>
          <cell r="N8">
            <v>53.06656009632146</v>
          </cell>
          <cell r="O8">
            <v>63.679872115585752</v>
          </cell>
          <cell r="P8">
            <v>74.293184134850037</v>
          </cell>
          <cell r="Q8">
            <v>84.906496154114336</v>
          </cell>
          <cell r="R8">
            <v>95.519808173378635</v>
          </cell>
          <cell r="S8">
            <v>106.13312019264292</v>
          </cell>
          <cell r="T8">
            <v>79.599840144482187</v>
          </cell>
          <cell r="U8">
            <v>5.306656009632146</v>
          </cell>
          <cell r="W8">
            <v>93</v>
          </cell>
          <cell r="X8">
            <v>55.22603703860689</v>
          </cell>
          <cell r="Y8">
            <v>82.839055557910342</v>
          </cell>
          <cell r="Z8">
            <v>110.45207407721378</v>
          </cell>
          <cell r="AA8">
            <v>138.06509259651722</v>
          </cell>
          <cell r="AB8">
            <v>165.67811111582068</v>
          </cell>
          <cell r="AC8">
            <v>27.613018519303445</v>
          </cell>
          <cell r="AF8">
            <v>28.2</v>
          </cell>
          <cell r="AG8">
            <v>15.06681989727457</v>
          </cell>
          <cell r="AH8">
            <v>18.080183876729485</v>
          </cell>
          <cell r="AI8">
            <v>21.093547856184397</v>
          </cell>
          <cell r="AJ8">
            <v>24.106911835639313</v>
          </cell>
          <cell r="AK8">
            <v>27.120275815094228</v>
          </cell>
          <cell r="AL8">
            <v>30.13363979454914</v>
          </cell>
          <cell r="AM8">
            <v>22.600229845911855</v>
          </cell>
          <cell r="AN8">
            <v>1.506681989727457</v>
          </cell>
          <cell r="AQ8">
            <v>28.2</v>
          </cell>
          <cell r="AR8">
            <v>9.2123179496956524</v>
          </cell>
          <cell r="AS8">
            <v>12.897245129573912</v>
          </cell>
          <cell r="AT8">
            <v>16.582172309452172</v>
          </cell>
          <cell r="AU8">
            <v>20.267099489330434</v>
          </cell>
          <cell r="AV8">
            <v>23.952026669208696</v>
          </cell>
          <cell r="AW8">
            <v>27.636953849086957</v>
          </cell>
          <cell r="AX8">
            <v>18.424635899391305</v>
          </cell>
          <cell r="AY8">
            <v>1.8424635899391304</v>
          </cell>
          <cell r="BA8">
            <v>28.2</v>
          </cell>
          <cell r="BB8">
            <v>9.2465489049538121</v>
          </cell>
          <cell r="BC8">
            <v>13.869823357430718</v>
          </cell>
          <cell r="BD8">
            <v>18.493097809907624</v>
          </cell>
          <cell r="BE8">
            <v>23.11637226238453</v>
          </cell>
          <cell r="BF8">
            <v>27.739646714861436</v>
          </cell>
          <cell r="BG8">
            <v>9.2465489049538121</v>
          </cell>
        </row>
        <row r="9">
          <cell r="A9">
            <v>35611</v>
          </cell>
          <cell r="B9">
            <v>110.5</v>
          </cell>
          <cell r="C9">
            <v>46.438309351902802</v>
          </cell>
          <cell r="D9">
            <v>55.725971222283363</v>
          </cell>
          <cell r="E9">
            <v>65.013633092663923</v>
          </cell>
          <cell r="F9">
            <v>74.301294963044484</v>
          </cell>
          <cell r="G9">
            <v>83.588956833425044</v>
          </cell>
          <cell r="H9">
            <v>92.876618703805605</v>
          </cell>
          <cell r="I9">
            <v>69.657464027854203</v>
          </cell>
          <cell r="J9">
            <v>4.6438309351902802</v>
          </cell>
          <cell r="M9">
            <v>110.5</v>
          </cell>
          <cell r="N9">
            <v>53.529737512148188</v>
          </cell>
          <cell r="O9">
            <v>64.235685014577825</v>
          </cell>
          <cell r="P9">
            <v>74.941632517007463</v>
          </cell>
          <cell r="Q9">
            <v>85.6475800194371</v>
          </cell>
          <cell r="R9">
            <v>96.353527521866738</v>
          </cell>
          <cell r="S9">
            <v>107.05947502429638</v>
          </cell>
          <cell r="T9">
            <v>80.294606268222282</v>
          </cell>
          <cell r="U9">
            <v>5.3529737512148188</v>
          </cell>
          <cell r="W9">
            <v>110.5</v>
          </cell>
          <cell r="X9">
            <v>55.136848090975192</v>
          </cell>
          <cell r="Y9">
            <v>82.705272136462781</v>
          </cell>
          <cell r="Z9">
            <v>110.27369618195038</v>
          </cell>
          <cell r="AA9">
            <v>137.84212022743799</v>
          </cell>
          <cell r="AB9">
            <v>165.41054427292556</v>
          </cell>
          <cell r="AC9">
            <v>27.568424045487596</v>
          </cell>
          <cell r="AF9">
            <v>32.299999999999997</v>
          </cell>
          <cell r="AG9">
            <v>15.285167158659817</v>
          </cell>
          <cell r="AH9">
            <v>18.342200590391784</v>
          </cell>
          <cell r="AI9">
            <v>21.399234022123746</v>
          </cell>
          <cell r="AJ9">
            <v>24.456267453855709</v>
          </cell>
          <cell r="AK9">
            <v>27.513300885587672</v>
          </cell>
          <cell r="AL9">
            <v>30.570334317319634</v>
          </cell>
          <cell r="AM9">
            <v>22.927750737989726</v>
          </cell>
          <cell r="AN9">
            <v>1.5285167158659818</v>
          </cell>
          <cell r="AQ9">
            <v>32.299999999999997</v>
          </cell>
          <cell r="AR9">
            <v>9.2445638543597415</v>
          </cell>
          <cell r="AS9">
            <v>12.942389396103639</v>
          </cell>
          <cell r="AT9">
            <v>16.640214937847535</v>
          </cell>
          <cell r="AU9">
            <v>20.338040479591431</v>
          </cell>
          <cell r="AV9">
            <v>24.03586602133533</v>
          </cell>
          <cell r="AW9">
            <v>27.733691563079226</v>
          </cell>
          <cell r="AX9">
            <v>18.489127708719483</v>
          </cell>
          <cell r="AY9">
            <v>1.8489127708719484</v>
          </cell>
          <cell r="BA9">
            <v>32.299999999999997</v>
          </cell>
          <cell r="BB9">
            <v>9.3360237802841972</v>
          </cell>
          <cell r="BC9">
            <v>14.004035670426296</v>
          </cell>
          <cell r="BD9">
            <v>18.672047560568394</v>
          </cell>
          <cell r="BE9">
            <v>23.340059450710491</v>
          </cell>
          <cell r="BF9">
            <v>28.008071340852592</v>
          </cell>
          <cell r="BG9">
            <v>9.3360237802841972</v>
          </cell>
        </row>
        <row r="10">
          <cell r="A10">
            <v>35642</v>
          </cell>
          <cell r="B10">
            <v>113</v>
          </cell>
          <cell r="C10">
            <v>46.855082868170442</v>
          </cell>
          <cell r="D10">
            <v>56.226099441804536</v>
          </cell>
          <cell r="E10">
            <v>65.597116015438615</v>
          </cell>
          <cell r="F10">
            <v>74.968132589072709</v>
          </cell>
          <cell r="G10">
            <v>84.339149162706804</v>
          </cell>
          <cell r="H10">
            <v>93.710165736340883</v>
          </cell>
          <cell r="I10">
            <v>70.28262430225567</v>
          </cell>
          <cell r="J10">
            <v>4.6855082868170443</v>
          </cell>
          <cell r="M10">
            <v>113</v>
          </cell>
          <cell r="N10">
            <v>53.992914927974915</v>
          </cell>
          <cell r="O10">
            <v>64.791497913569899</v>
          </cell>
          <cell r="P10">
            <v>75.590080899164889</v>
          </cell>
          <cell r="Q10">
            <v>86.388663884759865</v>
          </cell>
          <cell r="R10">
            <v>97.187246870354841</v>
          </cell>
          <cell r="S10">
            <v>107.98582985594983</v>
          </cell>
          <cell r="T10">
            <v>80.989372391962377</v>
          </cell>
          <cell r="U10">
            <v>5.3992914927974915</v>
          </cell>
          <cell r="W10">
            <v>113</v>
          </cell>
          <cell r="X10">
            <v>55.047659143343495</v>
          </cell>
          <cell r="Y10">
            <v>82.571488715015249</v>
          </cell>
          <cell r="Z10">
            <v>110.09531828668699</v>
          </cell>
          <cell r="AA10">
            <v>137.61914785835873</v>
          </cell>
          <cell r="AB10">
            <v>165.1429774300305</v>
          </cell>
          <cell r="AC10">
            <v>27.523829571671747</v>
          </cell>
          <cell r="AF10">
            <v>32.200000000000003</v>
          </cell>
          <cell r="AG10">
            <v>15.503514420045066</v>
          </cell>
          <cell r="AH10">
            <v>18.604217304054078</v>
          </cell>
          <cell r="AI10">
            <v>21.704920188063092</v>
          </cell>
          <cell r="AJ10">
            <v>24.805623072072105</v>
          </cell>
          <cell r="AK10">
            <v>27.906325956081119</v>
          </cell>
          <cell r="AL10">
            <v>31.007028840090133</v>
          </cell>
          <cell r="AM10">
            <v>23.2552716300676</v>
          </cell>
          <cell r="AN10">
            <v>1.5503514420045066</v>
          </cell>
          <cell r="AQ10">
            <v>32.200000000000003</v>
          </cell>
          <cell r="AR10">
            <v>9.2768097590238323</v>
          </cell>
          <cell r="AS10">
            <v>12.987533662633364</v>
          </cell>
          <cell r="AT10">
            <v>16.698257566242898</v>
          </cell>
          <cell r="AU10">
            <v>20.408981469852431</v>
          </cell>
          <cell r="AV10">
            <v>24.119705373461962</v>
          </cell>
          <cell r="AW10">
            <v>27.830429277071495</v>
          </cell>
          <cell r="AX10">
            <v>18.553619518047665</v>
          </cell>
          <cell r="AY10">
            <v>1.8553619518047664</v>
          </cell>
          <cell r="BA10">
            <v>32.200000000000003</v>
          </cell>
          <cell r="BB10">
            <v>9.4254986556145823</v>
          </cell>
          <cell r="BC10">
            <v>14.138247983421873</v>
          </cell>
          <cell r="BD10">
            <v>18.850997311229165</v>
          </cell>
          <cell r="BE10">
            <v>23.563746639036456</v>
          </cell>
          <cell r="BF10">
            <v>28.276495966843747</v>
          </cell>
          <cell r="BG10">
            <v>9.4254986556145823</v>
          </cell>
        </row>
        <row r="11">
          <cell r="A11">
            <v>35671</v>
          </cell>
          <cell r="B11">
            <v>93.5</v>
          </cell>
          <cell r="C11">
            <v>47.271856384438081</v>
          </cell>
          <cell r="D11">
            <v>56.726227661325701</v>
          </cell>
          <cell r="E11">
            <v>66.180598938213322</v>
          </cell>
          <cell r="F11">
            <v>75.634970215100935</v>
          </cell>
          <cell r="G11">
            <v>85.089341491988549</v>
          </cell>
          <cell r="H11">
            <v>94.543712768876162</v>
          </cell>
          <cell r="I11">
            <v>70.907784576657122</v>
          </cell>
          <cell r="J11">
            <v>4.7271856384438085</v>
          </cell>
          <cell r="M11">
            <v>93.5</v>
          </cell>
          <cell r="N11">
            <v>54.456092343801643</v>
          </cell>
          <cell r="O11">
            <v>65.347310812561972</v>
          </cell>
          <cell r="P11">
            <v>76.2385292813223</v>
          </cell>
          <cell r="Q11">
            <v>87.129747750082629</v>
          </cell>
          <cell r="R11">
            <v>98.020966218842958</v>
          </cell>
          <cell r="S11">
            <v>108.91218468760329</v>
          </cell>
          <cell r="T11">
            <v>81.684138515702472</v>
          </cell>
          <cell r="U11">
            <v>5.4456092343801643</v>
          </cell>
          <cell r="W11">
            <v>93.5</v>
          </cell>
          <cell r="X11">
            <v>54.958470195711797</v>
          </cell>
          <cell r="Y11">
            <v>82.437705293567689</v>
          </cell>
          <cell r="Z11">
            <v>109.91694039142359</v>
          </cell>
          <cell r="AA11">
            <v>137.3961754892795</v>
          </cell>
          <cell r="AB11">
            <v>164.87541058713538</v>
          </cell>
          <cell r="AC11">
            <v>27.479235097855899</v>
          </cell>
          <cell r="AF11">
            <v>27.65</v>
          </cell>
          <cell r="AG11">
            <v>15.721861681430314</v>
          </cell>
          <cell r="AH11">
            <v>18.866234017716376</v>
          </cell>
          <cell r="AI11">
            <v>22.010606354002441</v>
          </cell>
          <cell r="AJ11">
            <v>25.154978690288502</v>
          </cell>
          <cell r="AK11">
            <v>28.299351026574563</v>
          </cell>
          <cell r="AL11">
            <v>31.443723362860627</v>
          </cell>
          <cell r="AM11">
            <v>23.582792522145471</v>
          </cell>
          <cell r="AN11">
            <v>1.5721861681430314</v>
          </cell>
          <cell r="AQ11">
            <v>27.65</v>
          </cell>
          <cell r="AR11">
            <v>9.3090556636879214</v>
          </cell>
          <cell r="AS11">
            <v>13.032677929163091</v>
          </cell>
          <cell r="AT11">
            <v>16.756300194638261</v>
          </cell>
          <cell r="AU11">
            <v>20.479922460113428</v>
          </cell>
          <cell r="AV11">
            <v>24.203544725588596</v>
          </cell>
          <cell r="AW11">
            <v>27.927166991063764</v>
          </cell>
          <cell r="AX11">
            <v>18.618111327375843</v>
          </cell>
          <cell r="AY11">
            <v>1.8618111327375844</v>
          </cell>
          <cell r="BA11">
            <v>27.65</v>
          </cell>
          <cell r="BB11">
            <v>9.5149735309449675</v>
          </cell>
          <cell r="BC11">
            <v>14.272460296417451</v>
          </cell>
          <cell r="BD11">
            <v>19.029947061889935</v>
          </cell>
          <cell r="BE11">
            <v>23.78743382736242</v>
          </cell>
          <cell r="BF11">
            <v>28.544920592834902</v>
          </cell>
          <cell r="BG11">
            <v>9.5149735309449675</v>
          </cell>
        </row>
        <row r="12">
          <cell r="A12">
            <v>35703</v>
          </cell>
          <cell r="B12">
            <v>95.25</v>
          </cell>
          <cell r="C12">
            <v>47.688629900705727</v>
          </cell>
          <cell r="D12">
            <v>57.226355880846867</v>
          </cell>
          <cell r="E12">
            <v>66.764081860988014</v>
          </cell>
          <cell r="F12">
            <v>76.301807841129161</v>
          </cell>
          <cell r="G12">
            <v>85.839533821270308</v>
          </cell>
          <cell r="H12">
            <v>95.377259801411455</v>
          </cell>
          <cell r="I12">
            <v>71.532944851058588</v>
          </cell>
          <cell r="J12">
            <v>4.7688629900705726</v>
          </cell>
          <cell r="M12">
            <v>95.25</v>
          </cell>
          <cell r="N12">
            <v>54.919269759628371</v>
          </cell>
          <cell r="O12">
            <v>65.903123711554045</v>
          </cell>
          <cell r="P12">
            <v>76.886977663479712</v>
          </cell>
          <cell r="Q12">
            <v>87.870831615405393</v>
          </cell>
          <cell r="R12">
            <v>98.854685567331074</v>
          </cell>
          <cell r="S12">
            <v>109.83853951925674</v>
          </cell>
          <cell r="T12">
            <v>82.378904639442553</v>
          </cell>
          <cell r="U12">
            <v>5.4919269759628371</v>
          </cell>
          <cell r="W12">
            <v>95.25</v>
          </cell>
          <cell r="X12">
            <v>54.8692812480801</v>
          </cell>
          <cell r="Y12">
            <v>82.303921872120156</v>
          </cell>
          <cell r="Z12">
            <v>109.7385624961602</v>
          </cell>
          <cell r="AA12">
            <v>137.17320312020024</v>
          </cell>
          <cell r="AB12">
            <v>164.60784374424031</v>
          </cell>
          <cell r="AC12">
            <v>27.43464062404005</v>
          </cell>
          <cell r="AF12">
            <v>28.9</v>
          </cell>
          <cell r="AG12">
            <v>15.940208942815561</v>
          </cell>
          <cell r="AH12">
            <v>19.128250731378674</v>
          </cell>
          <cell r="AI12">
            <v>22.316292519941786</v>
          </cell>
          <cell r="AJ12">
            <v>25.504334308504898</v>
          </cell>
          <cell r="AK12">
            <v>28.69237609706801</v>
          </cell>
          <cell r="AL12">
            <v>31.880417885631122</v>
          </cell>
          <cell r="AM12">
            <v>23.910313414223342</v>
          </cell>
          <cell r="AN12">
            <v>1.5940208942815561</v>
          </cell>
          <cell r="AQ12">
            <v>28.9</v>
          </cell>
          <cell r="AR12">
            <v>9.3413015683520122</v>
          </cell>
          <cell r="AS12">
            <v>13.077822195692816</v>
          </cell>
          <cell r="AT12">
            <v>16.81434282303362</v>
          </cell>
          <cell r="AU12">
            <v>20.550863450374425</v>
          </cell>
          <cell r="AV12">
            <v>24.287384077715231</v>
          </cell>
          <cell r="AW12">
            <v>28.023904705056037</v>
          </cell>
          <cell r="AX12">
            <v>18.682603136704024</v>
          </cell>
          <cell r="AY12">
            <v>1.8682603136704024</v>
          </cell>
          <cell r="BA12">
            <v>28.9</v>
          </cell>
          <cell r="BB12">
            <v>9.6044484062753526</v>
          </cell>
          <cell r="BC12">
            <v>14.406672609413029</v>
          </cell>
          <cell r="BD12">
            <v>19.208896812550705</v>
          </cell>
          <cell r="BE12">
            <v>24.011121015688381</v>
          </cell>
          <cell r="BF12">
            <v>28.813345218826058</v>
          </cell>
          <cell r="BG12">
            <v>9.6044484062753526</v>
          </cell>
        </row>
        <row r="13">
          <cell r="A13">
            <v>35734</v>
          </cell>
          <cell r="B13">
            <v>67.25</v>
          </cell>
          <cell r="C13">
            <v>48.105403416973367</v>
          </cell>
          <cell r="D13">
            <v>57.72648410036804</v>
          </cell>
          <cell r="E13">
            <v>67.347564783762721</v>
          </cell>
          <cell r="F13">
            <v>76.968645467157387</v>
          </cell>
          <cell r="G13">
            <v>86.589726150552053</v>
          </cell>
          <cell r="H13">
            <v>96.210806833946734</v>
          </cell>
          <cell r="I13">
            <v>72.158105125460054</v>
          </cell>
          <cell r="J13">
            <v>4.8105403416973367</v>
          </cell>
          <cell r="M13">
            <v>67.25</v>
          </cell>
          <cell r="N13">
            <v>55.382447175455098</v>
          </cell>
          <cell r="O13">
            <v>66.458936610546118</v>
          </cell>
          <cell r="P13">
            <v>77.535426045637138</v>
          </cell>
          <cell r="Q13">
            <v>88.611915480728157</v>
          </cell>
          <cell r="R13">
            <v>99.688404915819177</v>
          </cell>
          <cell r="S13">
            <v>110.7648943509102</v>
          </cell>
          <cell r="T13">
            <v>83.073670763182648</v>
          </cell>
          <cell r="U13">
            <v>5.5382447175455098</v>
          </cell>
          <cell r="W13">
            <v>67.25</v>
          </cell>
          <cell r="X13">
            <v>54.780092300448402</v>
          </cell>
          <cell r="Y13">
            <v>82.170138450672596</v>
          </cell>
          <cell r="Z13">
            <v>109.5601846008968</v>
          </cell>
          <cell r="AA13">
            <v>136.95023075112101</v>
          </cell>
          <cell r="AB13">
            <v>164.34027690134519</v>
          </cell>
          <cell r="AC13">
            <v>27.390046150224201</v>
          </cell>
          <cell r="AF13">
            <v>17.3</v>
          </cell>
          <cell r="AG13">
            <v>16.15855620420081</v>
          </cell>
          <cell r="AH13">
            <v>19.390267445040969</v>
          </cell>
          <cell r="AI13">
            <v>22.621978685881132</v>
          </cell>
          <cell r="AJ13">
            <v>25.853689926721295</v>
          </cell>
          <cell r="AK13">
            <v>29.085401167561457</v>
          </cell>
          <cell r="AL13">
            <v>32.31711240840162</v>
          </cell>
          <cell r="AM13">
            <v>24.237834306301213</v>
          </cell>
          <cell r="AN13">
            <v>1.6158556204200809</v>
          </cell>
          <cell r="AQ13">
            <v>17.3</v>
          </cell>
          <cell r="AR13">
            <v>9.3735474730161013</v>
          </cell>
          <cell r="AS13">
            <v>13.122966462222543</v>
          </cell>
          <cell r="AT13">
            <v>16.872385451428983</v>
          </cell>
          <cell r="AU13">
            <v>20.621804440635422</v>
          </cell>
          <cell r="AV13">
            <v>24.371223429841866</v>
          </cell>
          <cell r="AW13">
            <v>28.120642419048306</v>
          </cell>
          <cell r="AX13">
            <v>18.747094946032203</v>
          </cell>
          <cell r="AY13">
            <v>1.8747094946032203</v>
          </cell>
          <cell r="BA13">
            <v>17.3</v>
          </cell>
          <cell r="BB13">
            <v>9.6939232816057377</v>
          </cell>
          <cell r="BC13">
            <v>14.540884922408607</v>
          </cell>
          <cell r="BD13">
            <v>19.387846563211475</v>
          </cell>
          <cell r="BE13">
            <v>24.234808204014342</v>
          </cell>
          <cell r="BF13">
            <v>29.081769844817213</v>
          </cell>
          <cell r="BG13">
            <v>9.6939232816057377</v>
          </cell>
        </row>
        <row r="14">
          <cell r="A14">
            <v>35762</v>
          </cell>
          <cell r="B14">
            <v>68</v>
          </cell>
          <cell r="C14">
            <v>48.522176933241006</v>
          </cell>
          <cell r="D14">
            <v>58.226612319889213</v>
          </cell>
          <cell r="E14">
            <v>67.931047706537413</v>
          </cell>
          <cell r="F14">
            <v>77.635483093185613</v>
          </cell>
          <cell r="G14">
            <v>87.339918479833813</v>
          </cell>
          <cell r="H14">
            <v>97.044353866482012</v>
          </cell>
          <cell r="I14">
            <v>72.783265399861506</v>
          </cell>
          <cell r="J14">
            <v>4.8522176933241008</v>
          </cell>
          <cell r="M14">
            <v>68</v>
          </cell>
          <cell r="N14">
            <v>55.845624591281826</v>
          </cell>
          <cell r="O14">
            <v>67.014749509538191</v>
          </cell>
          <cell r="P14">
            <v>78.183874427794564</v>
          </cell>
          <cell r="Q14">
            <v>89.352999346050922</v>
          </cell>
          <cell r="R14">
            <v>100.52212426430728</v>
          </cell>
          <cell r="S14">
            <v>111.69124918256365</v>
          </cell>
          <cell r="T14">
            <v>83.768436886922743</v>
          </cell>
          <cell r="U14">
            <v>5.5845624591281826</v>
          </cell>
          <cell r="W14">
            <v>68</v>
          </cell>
          <cell r="X14">
            <v>54.690903352816704</v>
          </cell>
          <cell r="Y14">
            <v>82.036355029225064</v>
          </cell>
          <cell r="Z14">
            <v>109.38180670563341</v>
          </cell>
          <cell r="AA14">
            <v>136.72725838204175</v>
          </cell>
          <cell r="AB14">
            <v>164.07271005845013</v>
          </cell>
          <cell r="AC14">
            <v>27.345451676408352</v>
          </cell>
          <cell r="AF14">
            <v>16.149999999999999</v>
          </cell>
          <cell r="AG14">
            <v>16.376903465586057</v>
          </cell>
          <cell r="AH14">
            <v>19.652284158703267</v>
          </cell>
          <cell r="AI14">
            <v>22.927664851820481</v>
          </cell>
          <cell r="AJ14">
            <v>26.203045544937691</v>
          </cell>
          <cell r="AK14">
            <v>29.478426238054901</v>
          </cell>
          <cell r="AL14">
            <v>32.753806931172115</v>
          </cell>
          <cell r="AM14">
            <v>24.565355198379084</v>
          </cell>
          <cell r="AN14">
            <v>1.6376903465586057</v>
          </cell>
          <cell r="AQ14">
            <v>16.149999999999999</v>
          </cell>
          <cell r="AR14">
            <v>9.4057933776801921</v>
          </cell>
          <cell r="AS14">
            <v>13.168110728752268</v>
          </cell>
          <cell r="AT14">
            <v>16.930428079824345</v>
          </cell>
          <cell r="AU14">
            <v>20.692745430896423</v>
          </cell>
          <cell r="AV14">
            <v>24.455062781968497</v>
          </cell>
          <cell r="AW14">
            <v>28.217380133040574</v>
          </cell>
          <cell r="AX14">
            <v>18.811586755360384</v>
          </cell>
          <cell r="AY14">
            <v>1.8811586755360383</v>
          </cell>
          <cell r="BA14">
            <v>16.149999999999999</v>
          </cell>
          <cell r="BB14">
            <v>9.7833981569361228</v>
          </cell>
          <cell r="BC14">
            <v>14.675097235404184</v>
          </cell>
          <cell r="BD14">
            <v>19.566796313872246</v>
          </cell>
          <cell r="BE14">
            <v>24.458495392340307</v>
          </cell>
          <cell r="BF14">
            <v>29.350194470808368</v>
          </cell>
          <cell r="BG14">
            <v>9.7833981569361228</v>
          </cell>
        </row>
        <row r="15">
          <cell r="A15">
            <v>35795</v>
          </cell>
          <cell r="B15">
            <v>74.75</v>
          </cell>
          <cell r="C15">
            <v>48.938950449508674</v>
          </cell>
          <cell r="D15">
            <v>58.726740539410414</v>
          </cell>
          <cell r="E15">
            <v>68.514530629312148</v>
          </cell>
          <cell r="F15">
            <v>78.302320719213881</v>
          </cell>
          <cell r="G15">
            <v>88.090110809115615</v>
          </cell>
          <cell r="H15">
            <v>97.877900899017348</v>
          </cell>
          <cell r="I15">
            <v>73.408425674263015</v>
          </cell>
          <cell r="J15">
            <v>4.8938950449508676</v>
          </cell>
          <cell r="M15">
            <v>74.75</v>
          </cell>
          <cell r="N15">
            <v>56.308802007108511</v>
          </cell>
          <cell r="O15">
            <v>67.570562408530208</v>
          </cell>
          <cell r="P15">
            <v>78.832322809951918</v>
          </cell>
          <cell r="Q15">
            <v>90.094083211373615</v>
          </cell>
          <cell r="R15">
            <v>101.35584361279531</v>
          </cell>
          <cell r="S15">
            <v>112.61760401421702</v>
          </cell>
          <cell r="T15">
            <v>84.463203010662767</v>
          </cell>
          <cell r="U15">
            <v>5.6308802007108509</v>
          </cell>
          <cell r="W15">
            <v>74.75</v>
          </cell>
          <cell r="X15">
            <v>54.601714405185028</v>
          </cell>
          <cell r="Y15">
            <v>81.902571607777546</v>
          </cell>
          <cell r="Z15">
            <v>109.20342881037006</v>
          </cell>
          <cell r="AA15">
            <v>136.50428601296258</v>
          </cell>
          <cell r="AB15">
            <v>163.80514321555509</v>
          </cell>
          <cell r="AC15">
            <v>27.300857202592514</v>
          </cell>
          <cell r="AF15">
            <v>18.149999999999999</v>
          </cell>
          <cell r="AG15">
            <v>16.595250726971308</v>
          </cell>
          <cell r="AH15">
            <v>19.914300872365569</v>
          </cell>
          <cell r="AI15">
            <v>23.23335101775983</v>
          </cell>
          <cell r="AJ15">
            <v>26.552401163154091</v>
          </cell>
          <cell r="AK15">
            <v>29.871451308548352</v>
          </cell>
          <cell r="AL15">
            <v>33.190501453942616</v>
          </cell>
          <cell r="AM15">
            <v>24.892876090456959</v>
          </cell>
          <cell r="AN15">
            <v>1.6595250726971307</v>
          </cell>
          <cell r="AQ15">
            <v>18.149999999999999</v>
          </cell>
          <cell r="AR15">
            <v>9.4380392823442758</v>
          </cell>
          <cell r="AS15">
            <v>13.213254995281986</v>
          </cell>
          <cell r="AT15">
            <v>16.988470708219698</v>
          </cell>
          <cell r="AU15">
            <v>20.763686421157406</v>
          </cell>
          <cell r="AV15">
            <v>24.538902134095117</v>
          </cell>
          <cell r="AW15">
            <v>28.314117847032829</v>
          </cell>
          <cell r="AX15">
            <v>18.876078564688552</v>
          </cell>
          <cell r="AY15">
            <v>1.8876078564688552</v>
          </cell>
          <cell r="BA15">
            <v>18.149999999999999</v>
          </cell>
          <cell r="BB15">
            <v>9.8728730322665132</v>
          </cell>
          <cell r="BC15">
            <v>14.809309548399771</v>
          </cell>
          <cell r="BD15">
            <v>19.745746064533026</v>
          </cell>
          <cell r="BE15">
            <v>24.682182580666282</v>
          </cell>
          <cell r="BF15">
            <v>29.618619096799542</v>
          </cell>
          <cell r="BG15">
            <v>9.8728730322665132</v>
          </cell>
        </row>
        <row r="16">
          <cell r="A16">
            <v>35825</v>
          </cell>
          <cell r="B16">
            <v>61</v>
          </cell>
          <cell r="C16">
            <v>47.81952174927109</v>
          </cell>
          <cell r="D16">
            <v>57.383426099125302</v>
          </cell>
          <cell r="E16">
            <v>66.947330448979528</v>
          </cell>
          <cell r="F16">
            <v>76.51123479883374</v>
          </cell>
          <cell r="G16">
            <v>86.075139148687953</v>
          </cell>
          <cell r="H16">
            <v>95.639043498542179</v>
          </cell>
          <cell r="I16">
            <v>71.729282623906627</v>
          </cell>
          <cell r="J16">
            <v>4.7819521749271088</v>
          </cell>
          <cell r="M16">
            <v>61</v>
          </cell>
          <cell r="N16">
            <v>56.250777820600597</v>
          </cell>
          <cell r="O16">
            <v>67.50093338472071</v>
          </cell>
          <cell r="P16">
            <v>78.751088948840831</v>
          </cell>
          <cell r="Q16">
            <v>90.001244512960952</v>
          </cell>
          <cell r="R16">
            <v>101.25140007708107</v>
          </cell>
          <cell r="S16">
            <v>112.50155564120119</v>
          </cell>
          <cell r="T16">
            <v>84.376166730900891</v>
          </cell>
          <cell r="U16">
            <v>5.6250777820600595</v>
          </cell>
          <cell r="W16">
            <v>61</v>
          </cell>
          <cell r="X16">
            <v>54.020431600156925</v>
          </cell>
          <cell r="Y16">
            <v>81.030647400235381</v>
          </cell>
          <cell r="Z16">
            <v>108.04086320031385</v>
          </cell>
          <cell r="AA16">
            <v>135.05107900039232</v>
          </cell>
          <cell r="AB16">
            <v>162.06129480047076</v>
          </cell>
          <cell r="AC16">
            <v>27.010215800078463</v>
          </cell>
          <cell r="AF16">
            <v>13.35</v>
          </cell>
          <cell r="AG16">
            <v>15.802358519514152</v>
          </cell>
          <cell r="AH16">
            <v>18.962830223416983</v>
          </cell>
          <cell r="AI16">
            <v>22.123301927319815</v>
          </cell>
          <cell r="AJ16">
            <v>25.283773631222644</v>
          </cell>
          <cell r="AK16">
            <v>28.444245335125473</v>
          </cell>
          <cell r="AL16">
            <v>31.604717039028305</v>
          </cell>
          <cell r="AM16">
            <v>23.70353777927123</v>
          </cell>
          <cell r="AN16">
            <v>1.5802358519514152</v>
          </cell>
          <cell r="AQ16">
            <v>13.35</v>
          </cell>
          <cell r="AR16">
            <v>9.328031113573525</v>
          </cell>
          <cell r="AS16">
            <v>13.059243559002935</v>
          </cell>
          <cell r="AT16">
            <v>16.790456004432343</v>
          </cell>
          <cell r="AU16">
            <v>20.521668449861757</v>
          </cell>
          <cell r="AV16">
            <v>24.252880895291163</v>
          </cell>
          <cell r="AW16">
            <v>27.984093340720577</v>
          </cell>
          <cell r="AX16">
            <v>18.65606222714705</v>
          </cell>
          <cell r="AY16">
            <v>1.865606222714705</v>
          </cell>
          <cell r="BA16">
            <v>13.35</v>
          </cell>
          <cell r="BB16">
            <v>9.9062647731748434</v>
          </cell>
          <cell r="BC16">
            <v>14.859397159762265</v>
          </cell>
          <cell r="BD16">
            <v>19.812529546349687</v>
          </cell>
          <cell r="BE16">
            <v>24.765661932937107</v>
          </cell>
          <cell r="BF16">
            <v>29.71879431952453</v>
          </cell>
          <cell r="BG16">
            <v>9.9062647731748434</v>
          </cell>
        </row>
        <row r="17">
          <cell r="A17">
            <v>35853</v>
          </cell>
          <cell r="B17">
            <v>73.25</v>
          </cell>
          <cell r="C17">
            <v>46.700093049033498</v>
          </cell>
          <cell r="D17">
            <v>56.040111658840203</v>
          </cell>
          <cell r="E17">
            <v>65.380130268646894</v>
          </cell>
          <cell r="F17">
            <v>74.7201488784536</v>
          </cell>
          <cell r="G17">
            <v>84.060167488260305</v>
          </cell>
          <cell r="H17">
            <v>93.400186098066996</v>
          </cell>
          <cell r="I17">
            <v>70.050139573550254</v>
          </cell>
          <cell r="J17">
            <v>4.67000930490335</v>
          </cell>
          <cell r="M17">
            <v>73.25</v>
          </cell>
          <cell r="N17">
            <v>56.192753634092682</v>
          </cell>
          <cell r="O17">
            <v>67.431304360911213</v>
          </cell>
          <cell r="P17">
            <v>78.669855087729758</v>
          </cell>
          <cell r="Q17">
            <v>89.908405814548289</v>
          </cell>
          <cell r="R17">
            <v>101.14695654136682</v>
          </cell>
          <cell r="S17">
            <v>112.38550726818536</v>
          </cell>
          <cell r="T17">
            <v>84.289130451139016</v>
          </cell>
          <cell r="U17">
            <v>5.619275363409268</v>
          </cell>
          <cell r="W17">
            <v>73.25</v>
          </cell>
          <cell r="X17">
            <v>53.439148795128823</v>
          </cell>
          <cell r="Y17">
            <v>80.15872319269323</v>
          </cell>
          <cell r="Z17">
            <v>106.87829759025765</v>
          </cell>
          <cell r="AA17">
            <v>133.59787198782206</v>
          </cell>
          <cell r="AB17">
            <v>160.31744638538646</v>
          </cell>
          <cell r="AC17">
            <v>26.719574397564411</v>
          </cell>
          <cell r="AF17">
            <v>16.25</v>
          </cell>
          <cell r="AG17">
            <v>15.009466312056999</v>
          </cell>
          <cell r="AH17">
            <v>18.011359574468397</v>
          </cell>
          <cell r="AI17">
            <v>21.013252836879797</v>
          </cell>
          <cell r="AJ17">
            <v>24.015146099291197</v>
          </cell>
          <cell r="AK17">
            <v>27.017039361702597</v>
          </cell>
          <cell r="AL17">
            <v>30.018932624113997</v>
          </cell>
          <cell r="AM17">
            <v>22.514199468085497</v>
          </cell>
          <cell r="AN17">
            <v>1.5009466312056998</v>
          </cell>
          <cell r="AQ17">
            <v>16.25</v>
          </cell>
          <cell r="AR17">
            <v>9.2180229448027742</v>
          </cell>
          <cell r="AS17">
            <v>12.905232122723884</v>
          </cell>
          <cell r="AT17">
            <v>16.592441300644992</v>
          </cell>
          <cell r="AU17">
            <v>20.279650478566104</v>
          </cell>
          <cell r="AV17">
            <v>23.966859656487213</v>
          </cell>
          <cell r="AW17">
            <v>27.654068834408321</v>
          </cell>
          <cell r="AX17">
            <v>18.436045889605548</v>
          </cell>
          <cell r="AY17">
            <v>1.8436045889605548</v>
          </cell>
          <cell r="BA17">
            <v>16.25</v>
          </cell>
          <cell r="BB17">
            <v>9.9396565140831736</v>
          </cell>
          <cell r="BC17">
            <v>14.90948477112476</v>
          </cell>
          <cell r="BD17">
            <v>19.879313028166347</v>
          </cell>
          <cell r="BE17">
            <v>24.849141285207935</v>
          </cell>
          <cell r="BF17">
            <v>29.818969542249519</v>
          </cell>
          <cell r="BG17">
            <v>9.9396565140831736</v>
          </cell>
        </row>
        <row r="18">
          <cell r="A18">
            <v>35885</v>
          </cell>
          <cell r="B18">
            <v>75.75</v>
          </cell>
          <cell r="C18">
            <v>45.580664348795914</v>
          </cell>
          <cell r="D18">
            <v>54.696797218555091</v>
          </cell>
          <cell r="E18">
            <v>63.812930088314275</v>
          </cell>
          <cell r="F18">
            <v>72.929062958073459</v>
          </cell>
          <cell r="G18">
            <v>82.045195827832643</v>
          </cell>
          <cell r="H18">
            <v>91.161328697591827</v>
          </cell>
          <cell r="I18">
            <v>68.370996523193867</v>
          </cell>
          <cell r="J18">
            <v>4.5580664348795912</v>
          </cell>
          <cell r="M18">
            <v>75.75</v>
          </cell>
          <cell r="N18">
            <v>56.134729447584768</v>
          </cell>
          <cell r="O18">
            <v>67.361675337101715</v>
          </cell>
          <cell r="P18">
            <v>78.58862122661867</v>
          </cell>
          <cell r="Q18">
            <v>89.815567116135625</v>
          </cell>
          <cell r="R18">
            <v>101.04251300565258</v>
          </cell>
          <cell r="S18">
            <v>112.26945889516954</v>
          </cell>
          <cell r="T18">
            <v>84.202094171377155</v>
          </cell>
          <cell r="U18">
            <v>5.6134729447584766</v>
          </cell>
          <cell r="W18">
            <v>75.75</v>
          </cell>
          <cell r="X18">
            <v>52.85786599010072</v>
          </cell>
          <cell r="Y18">
            <v>79.28679898515108</v>
          </cell>
          <cell r="Z18">
            <v>105.71573198020144</v>
          </cell>
          <cell r="AA18">
            <v>132.1446649752518</v>
          </cell>
          <cell r="AB18">
            <v>158.57359797030216</v>
          </cell>
          <cell r="AC18">
            <v>26.42893299505036</v>
          </cell>
          <cell r="AF18">
            <v>16.100000000000001</v>
          </cell>
          <cell r="AG18">
            <v>14.216574104599843</v>
          </cell>
          <cell r="AH18">
            <v>17.059888925519815</v>
          </cell>
          <cell r="AI18">
            <v>19.903203746439782</v>
          </cell>
          <cell r="AJ18">
            <v>22.74651856735975</v>
          </cell>
          <cell r="AK18">
            <v>25.589833388279718</v>
          </cell>
          <cell r="AL18">
            <v>28.433148209199686</v>
          </cell>
          <cell r="AM18">
            <v>21.324861156899765</v>
          </cell>
          <cell r="AN18">
            <v>1.4216574104599844</v>
          </cell>
          <cell r="AQ18">
            <v>16.100000000000001</v>
          </cell>
          <cell r="AR18">
            <v>9.1080147760320234</v>
          </cell>
          <cell r="AS18">
            <v>12.751220686444832</v>
          </cell>
          <cell r="AT18">
            <v>16.394426596857642</v>
          </cell>
          <cell r="AU18">
            <v>20.037632507270452</v>
          </cell>
          <cell r="AV18">
            <v>23.680838417683258</v>
          </cell>
          <cell r="AW18">
            <v>27.324044328096068</v>
          </cell>
          <cell r="AX18">
            <v>18.216029552064047</v>
          </cell>
          <cell r="AY18">
            <v>1.8216029552064046</v>
          </cell>
          <cell r="BA18">
            <v>16.100000000000001</v>
          </cell>
          <cell r="BB18">
            <v>9.9730482549915038</v>
          </cell>
          <cell r="BC18">
            <v>14.959572382487256</v>
          </cell>
          <cell r="BD18">
            <v>19.946096509983008</v>
          </cell>
          <cell r="BE18">
            <v>24.93262063747876</v>
          </cell>
          <cell r="BF18">
            <v>29.919144764974511</v>
          </cell>
          <cell r="BG18">
            <v>9.9730482549915038</v>
          </cell>
        </row>
        <row r="19">
          <cell r="A19">
            <v>35915</v>
          </cell>
          <cell r="B19">
            <v>65.25</v>
          </cell>
          <cell r="C19">
            <v>44.461235648558322</v>
          </cell>
          <cell r="D19">
            <v>53.353482778269992</v>
          </cell>
          <cell r="E19">
            <v>62.245729907981655</v>
          </cell>
          <cell r="F19">
            <v>71.137977037693318</v>
          </cell>
          <cell r="G19">
            <v>80.030224167404981</v>
          </cell>
          <cell r="H19">
            <v>88.922471297116644</v>
          </cell>
          <cell r="I19">
            <v>66.691853472837479</v>
          </cell>
          <cell r="J19">
            <v>4.4461235648558324</v>
          </cell>
          <cell r="M19">
            <v>65.25</v>
          </cell>
          <cell r="N19">
            <v>56.076705261076853</v>
          </cell>
          <cell r="O19">
            <v>67.292046313292218</v>
          </cell>
          <cell r="P19">
            <v>78.507387365507597</v>
          </cell>
          <cell r="Q19">
            <v>89.722728417722962</v>
          </cell>
          <cell r="R19">
            <v>100.93806946993833</v>
          </cell>
          <cell r="S19">
            <v>112.15341052215371</v>
          </cell>
          <cell r="T19">
            <v>84.11505789161528</v>
          </cell>
          <cell r="U19">
            <v>5.6076705261076851</v>
          </cell>
          <cell r="W19">
            <v>65.25</v>
          </cell>
          <cell r="X19">
            <v>52.276583185072617</v>
          </cell>
          <cell r="Y19">
            <v>78.414874777608929</v>
          </cell>
          <cell r="Z19">
            <v>104.55316637014523</v>
          </cell>
          <cell r="AA19">
            <v>130.69145796268154</v>
          </cell>
          <cell r="AB19">
            <v>156.82974955521786</v>
          </cell>
          <cell r="AC19">
            <v>26.138291592536309</v>
          </cell>
          <cell r="AF19">
            <v>13.95</v>
          </cell>
          <cell r="AG19">
            <v>13.423681897142689</v>
          </cell>
          <cell r="AH19">
            <v>16.108418276571228</v>
          </cell>
          <cell r="AI19">
            <v>18.793154655999764</v>
          </cell>
          <cell r="AJ19">
            <v>21.477891035428303</v>
          </cell>
          <cell r="AK19">
            <v>24.162627414856843</v>
          </cell>
          <cell r="AL19">
            <v>26.847363794285378</v>
          </cell>
          <cell r="AM19">
            <v>20.135522845714036</v>
          </cell>
          <cell r="AN19">
            <v>1.342368189714269</v>
          </cell>
          <cell r="AQ19">
            <v>13.95</v>
          </cell>
          <cell r="AR19">
            <v>8.9980066072612725</v>
          </cell>
          <cell r="AS19">
            <v>12.597209250165781</v>
          </cell>
          <cell r="AT19">
            <v>16.196411893070291</v>
          </cell>
          <cell r="AU19">
            <v>19.795614535974799</v>
          </cell>
          <cell r="AV19">
            <v>23.394817178879308</v>
          </cell>
          <cell r="AW19">
            <v>26.994019821783816</v>
          </cell>
          <cell r="AX19">
            <v>17.996013214522545</v>
          </cell>
          <cell r="AY19">
            <v>1.7996013214522544</v>
          </cell>
          <cell r="BA19">
            <v>13.95</v>
          </cell>
          <cell r="BB19">
            <v>10.006439995899834</v>
          </cell>
          <cell r="BC19">
            <v>15.009659993849752</v>
          </cell>
          <cell r="BD19">
            <v>20.012879991799668</v>
          </cell>
          <cell r="BE19">
            <v>25.016099989749584</v>
          </cell>
          <cell r="BF19">
            <v>30.019319987699504</v>
          </cell>
          <cell r="BG19">
            <v>10.006439995899834</v>
          </cell>
        </row>
        <row r="20">
          <cell r="A20">
            <v>35944</v>
          </cell>
          <cell r="B20">
            <v>57.75</v>
          </cell>
          <cell r="C20">
            <v>43.341806948320738</v>
          </cell>
          <cell r="D20">
            <v>52.010168337984879</v>
          </cell>
          <cell r="E20">
            <v>60.678529727649028</v>
          </cell>
          <cell r="F20">
            <v>69.346891117313177</v>
          </cell>
          <cell r="G20">
            <v>78.015252506977319</v>
          </cell>
          <cell r="H20">
            <v>86.683613896641475</v>
          </cell>
          <cell r="I20">
            <v>65.012710422481106</v>
          </cell>
          <cell r="J20">
            <v>4.3341806948320736</v>
          </cell>
          <cell r="M20">
            <v>57.75</v>
          </cell>
          <cell r="N20">
            <v>56.018681074568939</v>
          </cell>
          <cell r="O20">
            <v>67.222417289482721</v>
          </cell>
          <cell r="P20">
            <v>78.42615350439651</v>
          </cell>
          <cell r="Q20">
            <v>89.629889719310299</v>
          </cell>
          <cell r="R20">
            <v>100.83362593422409</v>
          </cell>
          <cell r="S20">
            <v>112.03736214913788</v>
          </cell>
          <cell r="T20">
            <v>84.028021611853404</v>
          </cell>
          <cell r="U20">
            <v>5.6018681074568937</v>
          </cell>
          <cell r="W20">
            <v>57.75</v>
          </cell>
          <cell r="X20">
            <v>51.695300380044515</v>
          </cell>
          <cell r="Y20">
            <v>77.542950570066779</v>
          </cell>
          <cell r="Z20">
            <v>103.39060076008903</v>
          </cell>
          <cell r="AA20">
            <v>129.23825095011128</v>
          </cell>
          <cell r="AB20">
            <v>155.08590114013356</v>
          </cell>
          <cell r="AC20">
            <v>25.847650190022257</v>
          </cell>
          <cell r="AF20">
            <v>10.35</v>
          </cell>
          <cell r="AG20">
            <v>12.630789689685535</v>
          </cell>
          <cell r="AH20">
            <v>15.156947627622642</v>
          </cell>
          <cell r="AI20">
            <v>17.68310556555975</v>
          </cell>
          <cell r="AJ20">
            <v>20.209263503496857</v>
          </cell>
          <cell r="AK20">
            <v>22.735421441433964</v>
          </cell>
          <cell r="AL20">
            <v>25.261579379371071</v>
          </cell>
          <cell r="AM20">
            <v>18.946184534528303</v>
          </cell>
          <cell r="AN20">
            <v>1.2630789689685535</v>
          </cell>
          <cell r="AQ20">
            <v>10.35</v>
          </cell>
          <cell r="AR20">
            <v>8.88799843849052</v>
          </cell>
          <cell r="AS20">
            <v>12.44319781388673</v>
          </cell>
          <cell r="AT20">
            <v>15.998397189282937</v>
          </cell>
          <cell r="AU20">
            <v>19.553596564679147</v>
          </cell>
          <cell r="AV20">
            <v>23.108795940075353</v>
          </cell>
          <cell r="AW20">
            <v>26.663995315471563</v>
          </cell>
          <cell r="AX20">
            <v>17.77599687698104</v>
          </cell>
          <cell r="AY20">
            <v>1.7775996876981042</v>
          </cell>
          <cell r="BA20">
            <v>10.35</v>
          </cell>
          <cell r="BB20">
            <v>10.039831736808164</v>
          </cell>
          <cell r="BC20">
            <v>15.059747605212246</v>
          </cell>
          <cell r="BD20">
            <v>20.079663473616328</v>
          </cell>
          <cell r="BE20">
            <v>25.099579342020412</v>
          </cell>
          <cell r="BF20">
            <v>30.119495210424493</v>
          </cell>
          <cell r="BG20">
            <v>10.039831736808164</v>
          </cell>
        </row>
        <row r="21">
          <cell r="A21">
            <v>35976</v>
          </cell>
          <cell r="B21">
            <v>43.8</v>
          </cell>
          <cell r="C21">
            <v>42.222378248083146</v>
          </cell>
          <cell r="D21">
            <v>50.666853897699781</v>
          </cell>
          <cell r="E21">
            <v>59.111329547316409</v>
          </cell>
          <cell r="F21">
            <v>67.555805196933036</v>
          </cell>
          <cell r="G21">
            <v>76.000280846549671</v>
          </cell>
          <cell r="H21">
            <v>84.444756496166292</v>
          </cell>
          <cell r="I21">
            <v>63.333567372124719</v>
          </cell>
          <cell r="J21">
            <v>4.2222378248083148</v>
          </cell>
          <cell r="M21">
            <v>43.8</v>
          </cell>
          <cell r="N21">
            <v>55.960656888061024</v>
          </cell>
          <cell r="O21">
            <v>67.152788265673223</v>
          </cell>
          <cell r="P21">
            <v>78.344919643285436</v>
          </cell>
          <cell r="Q21">
            <v>89.537051020897636</v>
          </cell>
          <cell r="R21">
            <v>100.72918239850983</v>
          </cell>
          <cell r="S21">
            <v>111.92131377612205</v>
          </cell>
          <cell r="T21">
            <v>83.940985332091529</v>
          </cell>
          <cell r="U21">
            <v>5.5960656888061022</v>
          </cell>
          <cell r="W21">
            <v>43.8</v>
          </cell>
          <cell r="X21">
            <v>51.114017575016412</v>
          </cell>
          <cell r="Y21">
            <v>76.671026362524614</v>
          </cell>
          <cell r="Z21">
            <v>102.22803515003282</v>
          </cell>
          <cell r="AA21">
            <v>127.78504393754103</v>
          </cell>
          <cell r="AB21">
            <v>153.34205272504923</v>
          </cell>
          <cell r="AC21">
            <v>25.557008787508206</v>
          </cell>
          <cell r="AF21">
            <v>8.4</v>
          </cell>
          <cell r="AG21">
            <v>11.837897482228382</v>
          </cell>
          <cell r="AH21">
            <v>14.205476978674056</v>
          </cell>
          <cell r="AI21">
            <v>16.573056475119735</v>
          </cell>
          <cell r="AJ21">
            <v>18.94063597156541</v>
          </cell>
          <cell r="AK21">
            <v>21.308215468011085</v>
          </cell>
          <cell r="AL21">
            <v>23.675794964456763</v>
          </cell>
          <cell r="AM21">
            <v>17.756846223342571</v>
          </cell>
          <cell r="AN21">
            <v>1.1837897482228381</v>
          </cell>
          <cell r="AQ21">
            <v>8.4</v>
          </cell>
          <cell r="AR21">
            <v>8.7779902697197691</v>
          </cell>
          <cell r="AS21">
            <v>12.289186377607678</v>
          </cell>
          <cell r="AT21">
            <v>15.800382485495586</v>
          </cell>
          <cell r="AU21">
            <v>19.311578593383494</v>
          </cell>
          <cell r="AV21">
            <v>22.822774701271403</v>
          </cell>
          <cell r="AW21">
            <v>26.333970809159311</v>
          </cell>
          <cell r="AX21">
            <v>17.555980539439538</v>
          </cell>
          <cell r="AY21">
            <v>1.755598053943954</v>
          </cell>
          <cell r="BA21">
            <v>8.4</v>
          </cell>
          <cell r="BB21">
            <v>10.073223477716494</v>
          </cell>
          <cell r="BC21">
            <v>15.109835216574741</v>
          </cell>
          <cell r="BD21">
            <v>20.146446955432989</v>
          </cell>
          <cell r="BE21">
            <v>25.183058694291237</v>
          </cell>
          <cell r="BF21">
            <v>30.219670433149481</v>
          </cell>
          <cell r="BG21">
            <v>10.073223477716494</v>
          </cell>
        </row>
        <row r="22">
          <cell r="A22">
            <v>36007</v>
          </cell>
          <cell r="B22">
            <v>37.799999999999997</v>
          </cell>
          <cell r="C22">
            <v>41.102949547845562</v>
          </cell>
          <cell r="D22">
            <v>49.323539457414668</v>
          </cell>
          <cell r="E22">
            <v>57.544129366983782</v>
          </cell>
          <cell r="F22">
            <v>65.764719276552896</v>
          </cell>
          <cell r="G22">
            <v>73.985309186122009</v>
          </cell>
          <cell r="H22">
            <v>82.205899095691123</v>
          </cell>
          <cell r="I22">
            <v>61.654424321768339</v>
          </cell>
          <cell r="J22">
            <v>4.110294954784556</v>
          </cell>
          <cell r="M22">
            <v>37.799999999999997</v>
          </cell>
          <cell r="N22">
            <v>55.902632701553109</v>
          </cell>
          <cell r="O22">
            <v>67.083159241863726</v>
          </cell>
          <cell r="P22">
            <v>78.263685782174349</v>
          </cell>
          <cell r="Q22">
            <v>89.444212322484972</v>
          </cell>
          <cell r="R22">
            <v>100.6247388627956</v>
          </cell>
          <cell r="S22">
            <v>111.80526540310622</v>
          </cell>
          <cell r="T22">
            <v>83.853949052329668</v>
          </cell>
          <cell r="U22">
            <v>5.5902632701553108</v>
          </cell>
          <cell r="W22">
            <v>37.799999999999997</v>
          </cell>
          <cell r="X22">
            <v>50.532734769988309</v>
          </cell>
          <cell r="Y22">
            <v>75.799102154982464</v>
          </cell>
          <cell r="Z22">
            <v>101.06546953997662</v>
          </cell>
          <cell r="AA22">
            <v>126.33183692497077</v>
          </cell>
          <cell r="AB22">
            <v>151.59820430996493</v>
          </cell>
          <cell r="AC22">
            <v>25.266367384994155</v>
          </cell>
          <cell r="AF22">
            <v>8</v>
          </cell>
          <cell r="AG22">
            <v>11.045005274771228</v>
          </cell>
          <cell r="AH22">
            <v>13.254006329725472</v>
          </cell>
          <cell r="AI22">
            <v>15.463007384679717</v>
          </cell>
          <cell r="AJ22">
            <v>17.672008439633963</v>
          </cell>
          <cell r="AK22">
            <v>19.881009494588209</v>
          </cell>
          <cell r="AL22">
            <v>22.090010549542455</v>
          </cell>
          <cell r="AM22">
            <v>16.567507912156842</v>
          </cell>
          <cell r="AN22">
            <v>1.1045005274771227</v>
          </cell>
          <cell r="AQ22">
            <v>8</v>
          </cell>
          <cell r="AR22">
            <v>8.6679821009490183</v>
          </cell>
          <cell r="AS22">
            <v>12.135174941328627</v>
          </cell>
          <cell r="AT22">
            <v>15.602367781708233</v>
          </cell>
          <cell r="AU22">
            <v>19.069560622087842</v>
          </cell>
          <cell r="AV22">
            <v>22.536753462467448</v>
          </cell>
          <cell r="AW22">
            <v>26.003946302847055</v>
          </cell>
          <cell r="AX22">
            <v>17.335964201898037</v>
          </cell>
          <cell r="AY22">
            <v>1.7335964201898038</v>
          </cell>
          <cell r="BA22">
            <v>8</v>
          </cell>
          <cell r="BB22">
            <v>10.106615218624825</v>
          </cell>
          <cell r="BC22">
            <v>15.159922827937237</v>
          </cell>
          <cell r="BD22">
            <v>20.213230437249649</v>
          </cell>
          <cell r="BE22">
            <v>25.266538046562061</v>
          </cell>
          <cell r="BF22">
            <v>30.319845655874474</v>
          </cell>
          <cell r="BG22">
            <v>10.106615218624825</v>
          </cell>
        </row>
        <row r="23">
          <cell r="A23">
            <v>36038</v>
          </cell>
          <cell r="B23">
            <v>41.7</v>
          </cell>
          <cell r="C23">
            <v>39.98352084760797</v>
          </cell>
          <cell r="D23">
            <v>47.98022501712957</v>
          </cell>
          <cell r="E23">
            <v>55.976929186651162</v>
          </cell>
          <cell r="F23">
            <v>63.973633356172755</v>
          </cell>
          <cell r="G23">
            <v>71.970337525694347</v>
          </cell>
          <cell r="H23">
            <v>79.96704169521594</v>
          </cell>
          <cell r="I23">
            <v>59.975281271411959</v>
          </cell>
          <cell r="J23">
            <v>3.9983520847607972</v>
          </cell>
          <cell r="M23">
            <v>41.7</v>
          </cell>
          <cell r="N23">
            <v>55.844608515045195</v>
          </cell>
          <cell r="O23">
            <v>67.013530218054228</v>
          </cell>
          <cell r="P23">
            <v>78.182451921063276</v>
          </cell>
          <cell r="Q23">
            <v>89.351373624072309</v>
          </cell>
          <cell r="R23">
            <v>100.52029532708134</v>
          </cell>
          <cell r="S23">
            <v>111.68921703009039</v>
          </cell>
          <cell r="T23">
            <v>83.766912772567792</v>
          </cell>
          <cell r="U23">
            <v>5.5844608515045193</v>
          </cell>
          <cell r="W23">
            <v>41.7</v>
          </cell>
          <cell r="X23">
            <v>49.951451964960206</v>
          </cell>
          <cell r="Y23">
            <v>74.927177947440313</v>
          </cell>
          <cell r="Z23">
            <v>99.902903929920413</v>
          </cell>
          <cell r="AA23">
            <v>124.87862991240051</v>
          </cell>
          <cell r="AB23">
            <v>149.85435589488063</v>
          </cell>
          <cell r="AC23">
            <v>24.975725982480103</v>
          </cell>
          <cell r="AF23">
            <v>8.0500000000000007</v>
          </cell>
          <cell r="AG23">
            <v>10.252113067314072</v>
          </cell>
          <cell r="AH23">
            <v>12.302535680776888</v>
          </cell>
          <cell r="AI23">
            <v>14.352958294239702</v>
          </cell>
          <cell r="AJ23">
            <v>16.403380907702516</v>
          </cell>
          <cell r="AK23">
            <v>18.45380352116533</v>
          </cell>
          <cell r="AL23">
            <v>20.504226134628144</v>
          </cell>
          <cell r="AM23">
            <v>15.378169600971109</v>
          </cell>
          <cell r="AN23">
            <v>1.0252113067314073</v>
          </cell>
          <cell r="AQ23">
            <v>8.0500000000000007</v>
          </cell>
          <cell r="AR23">
            <v>8.5579739321782675</v>
          </cell>
          <cell r="AS23">
            <v>11.981163505049574</v>
          </cell>
          <cell r="AT23">
            <v>15.404353077920883</v>
          </cell>
          <cell r="AU23">
            <v>18.827542650792189</v>
          </cell>
          <cell r="AV23">
            <v>22.250732223663498</v>
          </cell>
          <cell r="AW23">
            <v>25.673921796534803</v>
          </cell>
          <cell r="AX23">
            <v>17.115947864356535</v>
          </cell>
          <cell r="AY23">
            <v>1.7115947864356535</v>
          </cell>
          <cell r="BA23">
            <v>8.0500000000000007</v>
          </cell>
          <cell r="BB23">
            <v>10.140006959533155</v>
          </cell>
          <cell r="BC23">
            <v>15.210010439299733</v>
          </cell>
          <cell r="BD23">
            <v>20.28001391906631</v>
          </cell>
          <cell r="BE23">
            <v>25.350017398832886</v>
          </cell>
          <cell r="BF23">
            <v>30.420020878599466</v>
          </cell>
          <cell r="BG23">
            <v>10.140006959533155</v>
          </cell>
        </row>
        <row r="24">
          <cell r="A24">
            <v>36068</v>
          </cell>
          <cell r="B24">
            <v>49</v>
          </cell>
          <cell r="C24">
            <v>38.864092147370386</v>
          </cell>
          <cell r="D24">
            <v>46.636910576844457</v>
          </cell>
          <cell r="E24">
            <v>54.409729006318535</v>
          </cell>
          <cell r="F24">
            <v>62.182547435792614</v>
          </cell>
          <cell r="G24">
            <v>69.955365865266685</v>
          </cell>
          <cell r="H24">
            <v>77.728184294740771</v>
          </cell>
          <cell r="I24">
            <v>58.296138221055578</v>
          </cell>
          <cell r="J24">
            <v>3.8864092147370384</v>
          </cell>
          <cell r="M24">
            <v>49</v>
          </cell>
          <cell r="N24">
            <v>55.78658432853728</v>
          </cell>
          <cell r="O24">
            <v>66.943901194244731</v>
          </cell>
          <cell r="P24">
            <v>78.101218059952188</v>
          </cell>
          <cell r="Q24">
            <v>89.258534925659646</v>
          </cell>
          <cell r="R24">
            <v>100.4158517913671</v>
          </cell>
          <cell r="S24">
            <v>111.57316865707456</v>
          </cell>
          <cell r="T24">
            <v>83.679876492805917</v>
          </cell>
          <cell r="U24">
            <v>5.5786584328537279</v>
          </cell>
          <cell r="W24">
            <v>49</v>
          </cell>
          <cell r="X24">
            <v>49.370169159932104</v>
          </cell>
          <cell r="Y24">
            <v>74.055253739898149</v>
          </cell>
          <cell r="Z24">
            <v>98.740338319864208</v>
          </cell>
          <cell r="AA24">
            <v>123.42542289983027</v>
          </cell>
          <cell r="AB24">
            <v>148.1105074797963</v>
          </cell>
          <cell r="AC24">
            <v>24.685084579966052</v>
          </cell>
          <cell r="AF24">
            <v>10.95</v>
          </cell>
          <cell r="AG24">
            <v>9.4592208598569165</v>
          </cell>
          <cell r="AH24">
            <v>11.3510650318283</v>
          </cell>
          <cell r="AI24">
            <v>13.242909203799684</v>
          </cell>
          <cell r="AJ24">
            <v>15.134753375771067</v>
          </cell>
          <cell r="AK24">
            <v>17.026597547742451</v>
          </cell>
          <cell r="AL24">
            <v>18.918441719713833</v>
          </cell>
          <cell r="AM24">
            <v>14.188831289785377</v>
          </cell>
          <cell r="AN24">
            <v>0.94592208598569172</v>
          </cell>
          <cell r="AQ24">
            <v>10.95</v>
          </cell>
          <cell r="AR24">
            <v>8.4479657634075167</v>
          </cell>
          <cell r="AS24">
            <v>11.827152068770523</v>
          </cell>
          <cell r="AT24">
            <v>15.20633837413353</v>
          </cell>
          <cell r="AU24">
            <v>18.585524679496537</v>
          </cell>
          <cell r="AV24">
            <v>21.964710984859543</v>
          </cell>
          <cell r="AW24">
            <v>25.34389729022255</v>
          </cell>
          <cell r="AX24">
            <v>16.895931526815033</v>
          </cell>
          <cell r="AY24">
            <v>1.6895931526815033</v>
          </cell>
          <cell r="BA24">
            <v>10.95</v>
          </cell>
          <cell r="BB24">
            <v>10.173398700441485</v>
          </cell>
          <cell r="BC24">
            <v>15.260098050662227</v>
          </cell>
          <cell r="BD24">
            <v>20.34679740088297</v>
          </cell>
          <cell r="BE24">
            <v>25.433496751103711</v>
          </cell>
          <cell r="BF24">
            <v>30.520196101324455</v>
          </cell>
          <cell r="BG24">
            <v>10.173398700441485</v>
          </cell>
        </row>
        <row r="25">
          <cell r="A25">
            <v>36098</v>
          </cell>
          <cell r="B25">
            <v>67</v>
          </cell>
          <cell r="C25">
            <v>37.744663447132794</v>
          </cell>
          <cell r="D25">
            <v>45.293596136559358</v>
          </cell>
          <cell r="E25">
            <v>52.842528825985916</v>
          </cell>
          <cell r="F25">
            <v>60.391461515412473</v>
          </cell>
          <cell r="G25">
            <v>67.940394204839038</v>
          </cell>
          <cell r="H25">
            <v>75.489326894265588</v>
          </cell>
          <cell r="I25">
            <v>56.616995170699191</v>
          </cell>
          <cell r="J25">
            <v>3.7744663447132796</v>
          </cell>
          <cell r="M25">
            <v>67</v>
          </cell>
          <cell r="N25">
            <v>55.728560142029366</v>
          </cell>
          <cell r="O25">
            <v>66.874272170435233</v>
          </cell>
          <cell r="P25">
            <v>78.019984198841115</v>
          </cell>
          <cell r="Q25">
            <v>89.165696227246983</v>
          </cell>
          <cell r="R25">
            <v>100.31140825565285</v>
          </cell>
          <cell r="S25">
            <v>111.45712028405873</v>
          </cell>
          <cell r="T25">
            <v>83.592840213044042</v>
          </cell>
          <cell r="U25">
            <v>5.5728560142029364</v>
          </cell>
          <cell r="W25">
            <v>67</v>
          </cell>
          <cell r="X25">
            <v>48.788886354904001</v>
          </cell>
          <cell r="Y25">
            <v>73.183329532355998</v>
          </cell>
          <cell r="Z25">
            <v>97.577772709808002</v>
          </cell>
          <cell r="AA25">
            <v>121.97221588726001</v>
          </cell>
          <cell r="AB25">
            <v>146.366659064712</v>
          </cell>
          <cell r="AC25">
            <v>24.394443177452001</v>
          </cell>
          <cell r="AF25">
            <v>12.8</v>
          </cell>
          <cell r="AG25">
            <v>8.6663286523997627</v>
          </cell>
          <cell r="AH25">
            <v>10.399594382879714</v>
          </cell>
          <cell r="AI25">
            <v>12.132860113359666</v>
          </cell>
          <cell r="AJ25">
            <v>13.866125843839619</v>
          </cell>
          <cell r="AK25">
            <v>15.599391574319572</v>
          </cell>
          <cell r="AL25">
            <v>17.332657304799525</v>
          </cell>
          <cell r="AM25">
            <v>12.999492978599642</v>
          </cell>
          <cell r="AN25">
            <v>0.86663286523997618</v>
          </cell>
          <cell r="AQ25">
            <v>12.8</v>
          </cell>
          <cell r="AR25">
            <v>8.3379575946367659</v>
          </cell>
          <cell r="AS25">
            <v>11.673140632491473</v>
          </cell>
          <cell r="AT25">
            <v>15.008323670346178</v>
          </cell>
          <cell r="AU25">
            <v>18.343506708200884</v>
          </cell>
          <cell r="AV25">
            <v>21.678689746055589</v>
          </cell>
          <cell r="AW25">
            <v>25.013872783910298</v>
          </cell>
          <cell r="AX25">
            <v>16.675915189273532</v>
          </cell>
          <cell r="AY25">
            <v>1.6675915189273531</v>
          </cell>
          <cell r="BA25">
            <v>12.8</v>
          </cell>
          <cell r="BB25">
            <v>10.206790441349815</v>
          </cell>
          <cell r="BC25">
            <v>15.310185662024722</v>
          </cell>
          <cell r="BD25">
            <v>20.41358088269963</v>
          </cell>
          <cell r="BE25">
            <v>25.516976103374539</v>
          </cell>
          <cell r="BF25">
            <v>30.620371324049444</v>
          </cell>
          <cell r="BG25">
            <v>10.206790441349815</v>
          </cell>
        </row>
        <row r="26">
          <cell r="A26">
            <v>36129</v>
          </cell>
          <cell r="B26">
            <v>68.25</v>
          </cell>
          <cell r="C26">
            <v>36.62523474689521</v>
          </cell>
          <cell r="D26">
            <v>43.950281696274246</v>
          </cell>
          <cell r="E26">
            <v>51.275328645653289</v>
          </cell>
          <cell r="F26">
            <v>58.600375595032332</v>
          </cell>
          <cell r="G26">
            <v>65.925422544411376</v>
          </cell>
          <cell r="H26">
            <v>73.250469493790419</v>
          </cell>
          <cell r="I26">
            <v>54.937852120342811</v>
          </cell>
          <cell r="J26">
            <v>3.6625234746895208</v>
          </cell>
          <cell r="M26">
            <v>68.25</v>
          </cell>
          <cell r="N26">
            <v>55.670535955521451</v>
          </cell>
          <cell r="O26">
            <v>66.804643146625736</v>
          </cell>
          <cell r="P26">
            <v>77.938750337730028</v>
          </cell>
          <cell r="Q26">
            <v>89.072857528834319</v>
          </cell>
          <cell r="R26">
            <v>100.20696471993861</v>
          </cell>
          <cell r="S26">
            <v>111.3410719110429</v>
          </cell>
          <cell r="T26">
            <v>83.505803933282181</v>
          </cell>
          <cell r="U26">
            <v>5.567053595552145</v>
          </cell>
          <cell r="W26">
            <v>68.25</v>
          </cell>
          <cell r="X26">
            <v>48.207603549875898</v>
          </cell>
          <cell r="Y26">
            <v>72.311405324813848</v>
          </cell>
          <cell r="Z26">
            <v>96.415207099751797</v>
          </cell>
          <cell r="AA26">
            <v>120.51900887468975</v>
          </cell>
          <cell r="AB26">
            <v>144.6228106496277</v>
          </cell>
          <cell r="AC26">
            <v>24.103801774937949</v>
          </cell>
          <cell r="AF26">
            <v>14.45</v>
          </cell>
          <cell r="AG26">
            <v>7.8734364449426062</v>
          </cell>
          <cell r="AH26">
            <v>9.4481237339311281</v>
          </cell>
          <cell r="AI26">
            <v>11.022811022919649</v>
          </cell>
          <cell r="AJ26">
            <v>12.59749831190817</v>
          </cell>
          <cell r="AK26">
            <v>14.172185600896691</v>
          </cell>
          <cell r="AL26">
            <v>15.746872889885212</v>
          </cell>
          <cell r="AM26">
            <v>11.81015466741391</v>
          </cell>
          <cell r="AN26">
            <v>0.78734364449426064</v>
          </cell>
          <cell r="AQ26">
            <v>14.45</v>
          </cell>
          <cell r="AR26">
            <v>8.2279494258660151</v>
          </cell>
          <cell r="AS26">
            <v>11.51912919621242</v>
          </cell>
          <cell r="AT26">
            <v>14.810308966558827</v>
          </cell>
          <cell r="AU26">
            <v>18.101488736905232</v>
          </cell>
          <cell r="AV26">
            <v>21.392668507251638</v>
          </cell>
          <cell r="AW26">
            <v>24.683848277598045</v>
          </cell>
          <cell r="AX26">
            <v>16.45589885173203</v>
          </cell>
          <cell r="AY26">
            <v>1.6455898851732029</v>
          </cell>
          <cell r="BA26">
            <v>14.45</v>
          </cell>
          <cell r="BB26">
            <v>10.240182182258145</v>
          </cell>
          <cell r="BC26">
            <v>15.360273273387218</v>
          </cell>
          <cell r="BD26">
            <v>20.480364364516291</v>
          </cell>
          <cell r="BE26">
            <v>25.600455455645363</v>
          </cell>
          <cell r="BF26">
            <v>30.720546546774436</v>
          </cell>
          <cell r="BG26">
            <v>10.240182182258145</v>
          </cell>
        </row>
        <row r="27">
          <cell r="A27">
            <v>36160</v>
          </cell>
          <cell r="B27">
            <v>69.25</v>
          </cell>
          <cell r="C27">
            <v>35.505806046657604</v>
          </cell>
          <cell r="D27">
            <v>42.606967255989119</v>
          </cell>
          <cell r="E27">
            <v>49.708128465320641</v>
          </cell>
          <cell r="F27">
            <v>56.809289674652163</v>
          </cell>
          <cell r="G27">
            <v>63.910450883983685</v>
          </cell>
          <cell r="H27">
            <v>71.011612093315208</v>
          </cell>
          <cell r="I27">
            <v>53.258709069986402</v>
          </cell>
          <cell r="J27">
            <v>3.5505806046657602</v>
          </cell>
          <cell r="M27">
            <v>69.25</v>
          </cell>
          <cell r="N27">
            <v>55.612511769013501</v>
          </cell>
          <cell r="O27">
            <v>66.735014122816196</v>
          </cell>
          <cell r="P27">
            <v>77.857516476618898</v>
          </cell>
          <cell r="Q27">
            <v>88.980018830421599</v>
          </cell>
          <cell r="R27">
            <v>100.1025211842243</v>
          </cell>
          <cell r="S27">
            <v>111.225023538027</v>
          </cell>
          <cell r="T27">
            <v>83.418767653520248</v>
          </cell>
          <cell r="U27">
            <v>5.56125117690135</v>
          </cell>
          <cell r="W27">
            <v>69.25</v>
          </cell>
          <cell r="X27">
            <v>47.626320744847789</v>
          </cell>
          <cell r="Y27">
            <v>71.439481117271683</v>
          </cell>
          <cell r="Z27">
            <v>95.252641489695577</v>
          </cell>
          <cell r="AA27">
            <v>119.06580186211947</v>
          </cell>
          <cell r="AB27">
            <v>142.87896223454337</v>
          </cell>
          <cell r="AC27">
            <v>23.813160372423894</v>
          </cell>
          <cell r="AF27">
            <v>13.5</v>
          </cell>
          <cell r="AG27">
            <v>7.0805442374854479</v>
          </cell>
          <cell r="AH27">
            <v>8.4966530849825368</v>
          </cell>
          <cell r="AI27">
            <v>9.9127619324796274</v>
          </cell>
          <cell r="AJ27">
            <v>11.328870779976716</v>
          </cell>
          <cell r="AK27">
            <v>12.744979627473805</v>
          </cell>
          <cell r="AL27">
            <v>14.161088474970896</v>
          </cell>
          <cell r="AM27">
            <v>10.620816356228172</v>
          </cell>
          <cell r="AN27">
            <v>0.70805442374854477</v>
          </cell>
          <cell r="AQ27">
            <v>13.5</v>
          </cell>
          <cell r="AR27">
            <v>8.117941257095266</v>
          </cell>
          <cell r="AS27">
            <v>11.365117759933373</v>
          </cell>
          <cell r="AT27">
            <v>14.612294262771478</v>
          </cell>
          <cell r="AU27">
            <v>17.859470765609586</v>
          </cell>
          <cell r="AV27">
            <v>21.106647268447691</v>
          </cell>
          <cell r="AW27">
            <v>24.353823771285796</v>
          </cell>
          <cell r="AX27">
            <v>16.235882514190532</v>
          </cell>
          <cell r="AY27">
            <v>1.6235882514190532</v>
          </cell>
          <cell r="BA27">
            <v>13.5</v>
          </cell>
          <cell r="BB27">
            <v>10.273573923166472</v>
          </cell>
          <cell r="BC27">
            <v>15.410360884749707</v>
          </cell>
          <cell r="BD27">
            <v>20.547147846332944</v>
          </cell>
          <cell r="BE27">
            <v>25.683934807916181</v>
          </cell>
          <cell r="BF27">
            <v>30.820721769499414</v>
          </cell>
          <cell r="BG27">
            <v>10.273573923166472</v>
          </cell>
        </row>
        <row r="28">
          <cell r="A28">
            <v>36189</v>
          </cell>
          <cell r="B28">
            <v>64.75</v>
          </cell>
          <cell r="C28">
            <v>36.167922028106148</v>
          </cell>
          <cell r="D28">
            <v>43.401506433727377</v>
          </cell>
          <cell r="E28">
            <v>50.635090839348607</v>
          </cell>
          <cell r="F28">
            <v>57.868675244969836</v>
          </cell>
          <cell r="G28">
            <v>65.102259650591066</v>
          </cell>
          <cell r="H28">
            <v>72.335844056212295</v>
          </cell>
          <cell r="I28">
            <v>54.251883042159221</v>
          </cell>
          <cell r="J28">
            <v>3.6167922028106148</v>
          </cell>
          <cell r="M28">
            <v>64.75</v>
          </cell>
          <cell r="N28">
            <v>55.801251874324372</v>
          </cell>
          <cell r="O28">
            <v>66.961502249189252</v>
          </cell>
          <cell r="P28">
            <v>78.121752624054125</v>
          </cell>
          <cell r="Q28">
            <v>89.282002998918998</v>
          </cell>
          <cell r="R28">
            <v>100.44225337378387</v>
          </cell>
          <cell r="S28">
            <v>111.60250374864874</v>
          </cell>
          <cell r="T28">
            <v>83.701877811486554</v>
          </cell>
          <cell r="U28">
            <v>5.5801251874324374</v>
          </cell>
          <cell r="W28">
            <v>64.75</v>
          </cell>
          <cell r="X28">
            <v>47.107438016528924</v>
          </cell>
          <cell r="Y28">
            <v>70.661157024793383</v>
          </cell>
          <cell r="Z28">
            <v>94.214876033057848</v>
          </cell>
          <cell r="AA28">
            <v>117.76859504132231</v>
          </cell>
          <cell r="AB28">
            <v>141.32231404958677</v>
          </cell>
          <cell r="AC28">
            <v>23.553719008264462</v>
          </cell>
          <cell r="AF28">
            <v>11.05</v>
          </cell>
          <cell r="AG28">
            <v>6.7847502724527953</v>
          </cell>
          <cell r="AH28">
            <v>8.1417003269433543</v>
          </cell>
          <cell r="AI28">
            <v>9.4986503814339134</v>
          </cell>
          <cell r="AJ28">
            <v>10.855600435924472</v>
          </cell>
          <cell r="AK28">
            <v>12.212550490415031</v>
          </cell>
          <cell r="AL28">
            <v>13.569500544905591</v>
          </cell>
          <cell r="AM28">
            <v>10.177125408679192</v>
          </cell>
          <cell r="AN28">
            <v>0.67847502724527953</v>
          </cell>
          <cell r="AQ28">
            <v>11.05</v>
          </cell>
          <cell r="AR28">
            <v>9.8463956526899228</v>
          </cell>
          <cell r="AS28">
            <v>13.784953913765891</v>
          </cell>
          <cell r="AT28">
            <v>17.723512174841861</v>
          </cell>
          <cell r="AU28">
            <v>21.66207043591783</v>
          </cell>
          <cell r="AV28">
            <v>25.600628696993798</v>
          </cell>
          <cell r="AW28">
            <v>29.539186958069767</v>
          </cell>
          <cell r="AX28">
            <v>19.692791305379846</v>
          </cell>
          <cell r="AY28">
            <v>1.9692791305379844</v>
          </cell>
          <cell r="BA28">
            <v>11.05</v>
          </cell>
          <cell r="BB28">
            <v>10.316710425165667</v>
          </cell>
          <cell r="BC28">
            <v>15.4750656377485</v>
          </cell>
          <cell r="BD28">
            <v>20.633420850331333</v>
          </cell>
          <cell r="BE28">
            <v>25.791776062914167</v>
          </cell>
          <cell r="BF28">
            <v>30.950131275497</v>
          </cell>
          <cell r="BG28">
            <v>10.316710425165667</v>
          </cell>
          <cell r="CN28" t="str">
            <v>BEA</v>
          </cell>
          <cell r="CW28" t="str">
            <v>BEA</v>
          </cell>
          <cell r="DF28" t="str">
            <v>BEA</v>
          </cell>
        </row>
        <row r="29">
          <cell r="A29">
            <v>36217</v>
          </cell>
          <cell r="B29">
            <v>63</v>
          </cell>
          <cell r="C29">
            <v>36.830038009554691</v>
          </cell>
          <cell r="D29">
            <v>44.196045611465635</v>
          </cell>
          <cell r="E29">
            <v>51.562053213376572</v>
          </cell>
          <cell r="F29">
            <v>58.928060815287509</v>
          </cell>
          <cell r="G29">
            <v>66.294068417198446</v>
          </cell>
          <cell r="H29">
            <v>73.660076019109383</v>
          </cell>
          <cell r="I29">
            <v>55.245057014332041</v>
          </cell>
          <cell r="J29">
            <v>3.6830038009554693</v>
          </cell>
          <cell r="M29">
            <v>63</v>
          </cell>
          <cell r="N29">
            <v>55.989991979635249</v>
          </cell>
          <cell r="O29">
            <v>67.187990375562293</v>
          </cell>
          <cell r="P29">
            <v>78.385988771489352</v>
          </cell>
          <cell r="Q29">
            <v>89.583987167416396</v>
          </cell>
          <cell r="R29">
            <v>100.78198556334344</v>
          </cell>
          <cell r="S29">
            <v>111.9799839592705</v>
          </cell>
          <cell r="T29">
            <v>83.984987969452874</v>
          </cell>
          <cell r="U29">
            <v>5.5989991979635247</v>
          </cell>
          <cell r="W29">
            <v>63</v>
          </cell>
          <cell r="X29">
            <v>46.58855528821006</v>
          </cell>
          <cell r="Y29">
            <v>69.882832932315097</v>
          </cell>
          <cell r="Z29">
            <v>93.17711057642012</v>
          </cell>
          <cell r="AA29">
            <v>116.47138822052514</v>
          </cell>
          <cell r="AB29">
            <v>139.76566586463019</v>
          </cell>
          <cell r="AC29">
            <v>23.29427764410503</v>
          </cell>
          <cell r="AF29">
            <v>10.9</v>
          </cell>
          <cell r="AG29">
            <v>6.4889563074201426</v>
          </cell>
          <cell r="AH29">
            <v>7.7867475689041719</v>
          </cell>
          <cell r="AI29">
            <v>9.0845388303881993</v>
          </cell>
          <cell r="AJ29">
            <v>10.382330091872229</v>
          </cell>
          <cell r="AK29">
            <v>11.680121353356258</v>
          </cell>
          <cell r="AL29">
            <v>12.977912614840285</v>
          </cell>
          <cell r="AM29">
            <v>9.7334344611302139</v>
          </cell>
          <cell r="AN29">
            <v>0.64889563074201428</v>
          </cell>
          <cell r="AQ29">
            <v>10.9</v>
          </cell>
          <cell r="AR29">
            <v>11.574850048284578</v>
          </cell>
          <cell r="AS29">
            <v>16.20479006759841</v>
          </cell>
          <cell r="AT29">
            <v>20.834730086912238</v>
          </cell>
          <cell r="AU29">
            <v>25.46467010622607</v>
          </cell>
          <cell r="AV29">
            <v>30.094610125539901</v>
          </cell>
          <cell r="AW29">
            <v>34.72455014485373</v>
          </cell>
          <cell r="AX29">
            <v>23.149700096569156</v>
          </cell>
          <cell r="AY29">
            <v>2.3149700096569155</v>
          </cell>
          <cell r="BA29">
            <v>10.9</v>
          </cell>
          <cell r="BB29">
            <v>10.359846927164861</v>
          </cell>
          <cell r="BC29">
            <v>15.539770390747293</v>
          </cell>
          <cell r="BD29">
            <v>20.719693854329723</v>
          </cell>
          <cell r="BE29">
            <v>25.899617317912153</v>
          </cell>
          <cell r="BF29">
            <v>31.079540781494586</v>
          </cell>
          <cell r="BG29">
            <v>10.359846927164861</v>
          </cell>
          <cell r="CN29" t="str">
            <v>PE</v>
          </cell>
          <cell r="CW29" t="str">
            <v>PPE</v>
          </cell>
          <cell r="DF29" t="str">
            <v>PB</v>
          </cell>
        </row>
        <row r="30">
          <cell r="A30">
            <v>36250</v>
          </cell>
          <cell r="B30">
            <v>71.25</v>
          </cell>
          <cell r="C30">
            <v>37.492153991003235</v>
          </cell>
          <cell r="D30">
            <v>44.990584789203886</v>
          </cell>
          <cell r="E30">
            <v>52.489015587404538</v>
          </cell>
          <cell r="F30">
            <v>59.987446385605182</v>
          </cell>
          <cell r="G30">
            <v>67.485877183805826</v>
          </cell>
          <cell r="H30">
            <v>74.98430798200647</v>
          </cell>
          <cell r="I30">
            <v>56.23823098650486</v>
          </cell>
          <cell r="J30">
            <v>3.7492153991003239</v>
          </cell>
          <cell r="M30">
            <v>71.25</v>
          </cell>
          <cell r="N30">
            <v>56.17873208494612</v>
          </cell>
          <cell r="O30">
            <v>67.414478501935349</v>
          </cell>
          <cell r="P30">
            <v>78.650224918924565</v>
          </cell>
          <cell r="Q30">
            <v>89.885971335913794</v>
          </cell>
          <cell r="R30">
            <v>101.12171775290302</v>
          </cell>
          <cell r="S30">
            <v>112.35746416989224</v>
          </cell>
          <cell r="T30">
            <v>84.268098127419179</v>
          </cell>
          <cell r="U30">
            <v>5.6178732084946121</v>
          </cell>
          <cell r="W30">
            <v>71.25</v>
          </cell>
          <cell r="X30">
            <v>46.069672559891195</v>
          </cell>
          <cell r="Y30">
            <v>69.104508839836797</v>
          </cell>
          <cell r="Z30">
            <v>92.139345119782391</v>
          </cell>
          <cell r="AA30">
            <v>115.17418139972798</v>
          </cell>
          <cell r="AB30">
            <v>138.20901767967359</v>
          </cell>
          <cell r="AC30">
            <v>23.034836279945598</v>
          </cell>
          <cell r="AF30">
            <v>13.15</v>
          </cell>
          <cell r="AG30">
            <v>6.19316234238749</v>
          </cell>
          <cell r="AH30">
            <v>7.4317948108649885</v>
          </cell>
          <cell r="AI30">
            <v>8.670427279342487</v>
          </cell>
          <cell r="AJ30">
            <v>9.9090597478199847</v>
          </cell>
          <cell r="AK30">
            <v>11.147692216297482</v>
          </cell>
          <cell r="AL30">
            <v>12.38632468477498</v>
          </cell>
          <cell r="AM30">
            <v>9.2897435135812358</v>
          </cell>
          <cell r="AN30">
            <v>0.61931623423874904</v>
          </cell>
          <cell r="AQ30">
            <v>13.15</v>
          </cell>
          <cell r="AR30">
            <v>13.303304443879234</v>
          </cell>
          <cell r="AS30">
            <v>18.624626221430926</v>
          </cell>
          <cell r="AT30">
            <v>23.945947998982621</v>
          </cell>
          <cell r="AU30">
            <v>29.267269776534313</v>
          </cell>
          <cell r="AV30">
            <v>34.588591554086008</v>
          </cell>
          <cell r="AW30">
            <v>39.909913331637703</v>
          </cell>
          <cell r="AX30">
            <v>26.606608887758469</v>
          </cell>
          <cell r="AY30">
            <v>2.6606608887758467</v>
          </cell>
          <cell r="BA30">
            <v>13.15</v>
          </cell>
          <cell r="BB30">
            <v>10.402983429164056</v>
          </cell>
          <cell r="BC30">
            <v>15.604475143746084</v>
          </cell>
          <cell r="BD30">
            <v>20.805966858328112</v>
          </cell>
          <cell r="BE30">
            <v>26.007458572910139</v>
          </cell>
          <cell r="BF30">
            <v>31.208950287492168</v>
          </cell>
          <cell r="BG30">
            <v>10.402983429164056</v>
          </cell>
        </row>
        <row r="31">
          <cell r="A31">
            <v>36280</v>
          </cell>
          <cell r="B31">
            <v>91.75</v>
          </cell>
          <cell r="C31">
            <v>38.154269972451786</v>
          </cell>
          <cell r="D31">
            <v>45.785123966942137</v>
          </cell>
          <cell r="E31">
            <v>53.415977961432496</v>
          </cell>
          <cell r="F31">
            <v>61.046831955922855</v>
          </cell>
          <cell r="G31">
            <v>68.677685950413206</v>
          </cell>
          <cell r="H31">
            <v>76.308539944903572</v>
          </cell>
          <cell r="I31">
            <v>57.231404958677679</v>
          </cell>
          <cell r="J31">
            <v>3.8154269972451784</v>
          </cell>
          <cell r="M31">
            <v>91.75</v>
          </cell>
          <cell r="N31">
            <v>56.367472190256997</v>
          </cell>
          <cell r="O31">
            <v>67.640966628308391</v>
          </cell>
          <cell r="P31">
            <v>78.914461066359792</v>
          </cell>
          <cell r="Q31">
            <v>90.187955504411192</v>
          </cell>
          <cell r="R31">
            <v>101.46144994246259</v>
          </cell>
          <cell r="S31">
            <v>112.73494438051399</v>
          </cell>
          <cell r="T31">
            <v>84.551208285385499</v>
          </cell>
          <cell r="U31">
            <v>5.6367472190256995</v>
          </cell>
          <cell r="W31">
            <v>91.75</v>
          </cell>
          <cell r="X31">
            <v>45.550789831572331</v>
          </cell>
          <cell r="Y31">
            <v>68.326184747358496</v>
          </cell>
          <cell r="Z31">
            <v>91.101579663144662</v>
          </cell>
          <cell r="AA31">
            <v>113.87697457893083</v>
          </cell>
          <cell r="AB31">
            <v>136.65236949471699</v>
          </cell>
          <cell r="AC31">
            <v>22.775394915786165</v>
          </cell>
          <cell r="AF31">
            <v>18.850000000000001</v>
          </cell>
          <cell r="AG31">
            <v>5.8973683773548382</v>
          </cell>
          <cell r="AH31">
            <v>7.0768420528258051</v>
          </cell>
          <cell r="AI31">
            <v>8.256315728296773</v>
          </cell>
          <cell r="AJ31">
            <v>9.4357894037677408</v>
          </cell>
          <cell r="AK31">
            <v>10.615263079238709</v>
          </cell>
          <cell r="AL31">
            <v>11.794736754709676</v>
          </cell>
          <cell r="AM31">
            <v>8.8460525660322578</v>
          </cell>
          <cell r="AN31">
            <v>0.5897368377354838</v>
          </cell>
          <cell r="AQ31">
            <v>18.850000000000001</v>
          </cell>
          <cell r="AR31">
            <v>15.031758839473889</v>
          </cell>
          <cell r="AS31">
            <v>21.044462375263446</v>
          </cell>
          <cell r="AT31">
            <v>27.057165911053001</v>
          </cell>
          <cell r="AU31">
            <v>33.06986944684256</v>
          </cell>
          <cell r="AV31">
            <v>39.082572982632115</v>
          </cell>
          <cell r="AW31">
            <v>45.09527651842167</v>
          </cell>
          <cell r="AX31">
            <v>30.063517678947779</v>
          </cell>
          <cell r="AY31">
            <v>3.006351767894778</v>
          </cell>
          <cell r="BA31">
            <v>18.850000000000001</v>
          </cell>
          <cell r="BB31">
            <v>10.446119931163251</v>
          </cell>
          <cell r="BC31">
            <v>15.669179896744875</v>
          </cell>
          <cell r="BD31">
            <v>20.892239862326502</v>
          </cell>
          <cell r="BE31">
            <v>26.115299827908128</v>
          </cell>
          <cell r="BF31">
            <v>31.338359793489751</v>
          </cell>
          <cell r="BG31">
            <v>10.446119931163251</v>
          </cell>
        </row>
        <row r="32">
          <cell r="A32">
            <v>36311</v>
          </cell>
          <cell r="B32">
            <v>82</v>
          </cell>
          <cell r="C32">
            <v>38.81638595390033</v>
          </cell>
          <cell r="D32">
            <v>46.579663144680396</v>
          </cell>
          <cell r="E32">
            <v>54.342940335460462</v>
          </cell>
          <cell r="F32">
            <v>62.106217526240528</v>
          </cell>
          <cell r="G32">
            <v>69.869494717020586</v>
          </cell>
          <cell r="H32">
            <v>77.63277190780066</v>
          </cell>
          <cell r="I32">
            <v>58.224578930850498</v>
          </cell>
          <cell r="J32">
            <v>3.881638595390033</v>
          </cell>
          <cell r="M32">
            <v>82</v>
          </cell>
          <cell r="N32">
            <v>56.556212295567867</v>
          </cell>
          <cell r="O32">
            <v>67.867454754681447</v>
          </cell>
          <cell r="P32">
            <v>79.178697213795019</v>
          </cell>
          <cell r="Q32">
            <v>90.489939672908591</v>
          </cell>
          <cell r="R32">
            <v>101.80118213202216</v>
          </cell>
          <cell r="S32">
            <v>113.11242459113573</v>
          </cell>
          <cell r="T32">
            <v>84.834318443351805</v>
          </cell>
          <cell r="U32">
            <v>5.6556212295567869</v>
          </cell>
          <cell r="W32">
            <v>82</v>
          </cell>
          <cell r="X32">
            <v>45.031907103253467</v>
          </cell>
          <cell r="Y32">
            <v>67.547860654880196</v>
          </cell>
          <cell r="Z32">
            <v>90.063814206506933</v>
          </cell>
          <cell r="AA32">
            <v>112.57976775813367</v>
          </cell>
          <cell r="AB32">
            <v>135.09572130976039</v>
          </cell>
          <cell r="AC32">
            <v>22.515953551626733</v>
          </cell>
          <cell r="AF32">
            <v>16.95</v>
          </cell>
          <cell r="AG32">
            <v>5.6015744123221856</v>
          </cell>
          <cell r="AH32">
            <v>6.7218892947866227</v>
          </cell>
          <cell r="AI32">
            <v>7.8422041772510598</v>
          </cell>
          <cell r="AJ32">
            <v>8.9625190597154969</v>
          </cell>
          <cell r="AK32">
            <v>10.082833942179935</v>
          </cell>
          <cell r="AL32">
            <v>11.203148824644371</v>
          </cell>
          <cell r="AM32">
            <v>8.4023616184832779</v>
          </cell>
          <cell r="AN32">
            <v>0.56015744123221856</v>
          </cell>
          <cell r="AQ32">
            <v>16.95</v>
          </cell>
          <cell r="AR32">
            <v>16.760213235068548</v>
          </cell>
          <cell r="AS32">
            <v>23.464298529095963</v>
          </cell>
          <cell r="AT32">
            <v>30.168383823123385</v>
          </cell>
          <cell r="AU32">
            <v>36.8724691171508</v>
          </cell>
          <cell r="AV32">
            <v>43.576554411178222</v>
          </cell>
          <cell r="AW32">
            <v>50.280639705205637</v>
          </cell>
          <cell r="AX32">
            <v>33.520426470137096</v>
          </cell>
          <cell r="AY32">
            <v>3.3520426470137092</v>
          </cell>
          <cell r="BA32">
            <v>16.95</v>
          </cell>
          <cell r="BB32">
            <v>10.489256433162446</v>
          </cell>
          <cell r="BC32">
            <v>15.733884649743668</v>
          </cell>
          <cell r="BD32">
            <v>20.978512866324891</v>
          </cell>
          <cell r="BE32">
            <v>26.223141082906114</v>
          </cell>
          <cell r="BF32">
            <v>31.467769299487337</v>
          </cell>
          <cell r="BG32">
            <v>10.489256433162446</v>
          </cell>
        </row>
        <row r="33">
          <cell r="A33">
            <v>36341</v>
          </cell>
          <cell r="B33">
            <v>86.75</v>
          </cell>
          <cell r="C33">
            <v>39.478501935348874</v>
          </cell>
          <cell r="D33">
            <v>47.374202322418654</v>
          </cell>
          <cell r="E33">
            <v>55.269902709488427</v>
          </cell>
          <cell r="F33">
            <v>63.1656030965582</v>
          </cell>
          <cell r="G33">
            <v>71.061303483627981</v>
          </cell>
          <cell r="H33">
            <v>78.957003870697747</v>
          </cell>
          <cell r="I33">
            <v>59.21775290302331</v>
          </cell>
          <cell r="J33">
            <v>3.9478501935348875</v>
          </cell>
          <cell r="M33">
            <v>86.75</v>
          </cell>
          <cell r="N33">
            <v>56.744952400878745</v>
          </cell>
          <cell r="O33">
            <v>68.093942881054488</v>
          </cell>
          <cell r="P33">
            <v>79.442933361230246</v>
          </cell>
          <cell r="Q33">
            <v>90.791923841405989</v>
          </cell>
          <cell r="R33">
            <v>102.14091432158173</v>
          </cell>
          <cell r="S33">
            <v>113.48990480175749</v>
          </cell>
          <cell r="T33">
            <v>85.11742860131811</v>
          </cell>
          <cell r="U33">
            <v>5.6744952400878743</v>
          </cell>
          <cell r="W33">
            <v>86.75</v>
          </cell>
          <cell r="X33">
            <v>44.513024374934602</v>
          </cell>
          <cell r="Y33">
            <v>66.769536562401896</v>
          </cell>
          <cell r="Z33">
            <v>89.026048749869204</v>
          </cell>
          <cell r="AA33">
            <v>111.28256093733651</v>
          </cell>
          <cell r="AB33">
            <v>133.53907312480379</v>
          </cell>
          <cell r="AC33">
            <v>22.256512187467301</v>
          </cell>
          <cell r="AF33">
            <v>19.649999999999999</v>
          </cell>
          <cell r="AG33">
            <v>5.3057804472895329</v>
          </cell>
          <cell r="AH33">
            <v>6.3669365367474402</v>
          </cell>
          <cell r="AI33">
            <v>7.4280926262053466</v>
          </cell>
          <cell r="AJ33">
            <v>8.489248715663253</v>
          </cell>
          <cell r="AK33">
            <v>9.5504048051211594</v>
          </cell>
          <cell r="AL33">
            <v>10.611560894579066</v>
          </cell>
          <cell r="AM33">
            <v>7.9586706709342998</v>
          </cell>
          <cell r="AN33">
            <v>0.53057804472895331</v>
          </cell>
          <cell r="AQ33">
            <v>19.649999999999999</v>
          </cell>
          <cell r="AR33">
            <v>18.488667630663201</v>
          </cell>
          <cell r="AS33">
            <v>25.884134682928483</v>
          </cell>
          <cell r="AT33">
            <v>33.279601735193765</v>
          </cell>
          <cell r="AU33">
            <v>40.675068787459047</v>
          </cell>
          <cell r="AV33">
            <v>48.070535839724329</v>
          </cell>
          <cell r="AW33">
            <v>55.466002891989611</v>
          </cell>
          <cell r="AX33">
            <v>36.977335261326402</v>
          </cell>
          <cell r="AY33">
            <v>3.6977335261326405</v>
          </cell>
          <cell r="BA33">
            <v>19.649999999999999</v>
          </cell>
          <cell r="BB33">
            <v>10.53239293516164</v>
          </cell>
          <cell r="BC33">
            <v>15.798589402742461</v>
          </cell>
          <cell r="BD33">
            <v>21.064785870323281</v>
          </cell>
          <cell r="BE33">
            <v>26.3309823379041</v>
          </cell>
          <cell r="BF33">
            <v>31.597178805484923</v>
          </cell>
          <cell r="BG33">
            <v>10.53239293516164</v>
          </cell>
        </row>
        <row r="34">
          <cell r="A34">
            <v>36371</v>
          </cell>
          <cell r="B34">
            <v>85</v>
          </cell>
          <cell r="C34">
            <v>40.140617916797424</v>
          </cell>
          <cell r="D34">
            <v>48.168741500156905</v>
          </cell>
          <cell r="E34">
            <v>56.196865083516386</v>
          </cell>
          <cell r="F34">
            <v>64.224988666875873</v>
          </cell>
          <cell r="G34">
            <v>72.253112250235361</v>
          </cell>
          <cell r="H34">
            <v>80.281235833594849</v>
          </cell>
          <cell r="I34">
            <v>60.21092687519613</v>
          </cell>
          <cell r="J34">
            <v>4.0140617916797421</v>
          </cell>
          <cell r="M34">
            <v>85</v>
          </cell>
          <cell r="N34">
            <v>56.933692506189615</v>
          </cell>
          <cell r="O34">
            <v>68.320431007427544</v>
          </cell>
          <cell r="P34">
            <v>79.707169508665459</v>
          </cell>
          <cell r="Q34">
            <v>91.093908009903387</v>
          </cell>
          <cell r="R34">
            <v>102.48064651114132</v>
          </cell>
          <cell r="S34">
            <v>113.86738501237923</v>
          </cell>
          <cell r="T34">
            <v>85.40053875928443</v>
          </cell>
          <cell r="U34">
            <v>5.6933692506189617</v>
          </cell>
          <cell r="W34">
            <v>85</v>
          </cell>
          <cell r="X34">
            <v>43.994141646615738</v>
          </cell>
          <cell r="Y34">
            <v>65.99121246992361</v>
          </cell>
          <cell r="Z34">
            <v>87.988283293231476</v>
          </cell>
          <cell r="AA34">
            <v>109.98535411653934</v>
          </cell>
          <cell r="AB34">
            <v>131.98242493984722</v>
          </cell>
          <cell r="AC34">
            <v>21.997070823307869</v>
          </cell>
          <cell r="AF34">
            <v>18.8</v>
          </cell>
          <cell r="AG34">
            <v>5.0099864822568811</v>
          </cell>
          <cell r="AH34">
            <v>6.0119837787082568</v>
          </cell>
          <cell r="AI34">
            <v>7.0139810751596325</v>
          </cell>
          <cell r="AJ34">
            <v>8.0159783716110091</v>
          </cell>
          <cell r="AK34">
            <v>9.0179756680623857</v>
          </cell>
          <cell r="AL34">
            <v>10.019972964513762</v>
          </cell>
          <cell r="AM34">
            <v>7.5149797233853208</v>
          </cell>
          <cell r="AN34">
            <v>0.50099864822568807</v>
          </cell>
          <cell r="AQ34">
            <v>18.8</v>
          </cell>
          <cell r="AR34">
            <v>20.217122026257858</v>
          </cell>
          <cell r="AS34">
            <v>28.303970836761003</v>
          </cell>
          <cell r="AT34">
            <v>36.390819647264145</v>
          </cell>
          <cell r="AU34">
            <v>44.477668457767287</v>
          </cell>
          <cell r="AV34">
            <v>52.564517268270436</v>
          </cell>
          <cell r="AW34">
            <v>60.651366078773577</v>
          </cell>
          <cell r="AX34">
            <v>40.434244052515716</v>
          </cell>
          <cell r="AY34">
            <v>4.0434244052515718</v>
          </cell>
          <cell r="BA34">
            <v>18.8</v>
          </cell>
          <cell r="BB34">
            <v>10.575529437160835</v>
          </cell>
          <cell r="BC34">
            <v>15.863294155741253</v>
          </cell>
          <cell r="BD34">
            <v>21.15105887432167</v>
          </cell>
          <cell r="BE34">
            <v>26.438823592902089</v>
          </cell>
          <cell r="BF34">
            <v>31.726588311482505</v>
          </cell>
          <cell r="BG34">
            <v>10.575529437160835</v>
          </cell>
        </row>
        <row r="35">
          <cell r="A35">
            <v>36403</v>
          </cell>
          <cell r="B35">
            <v>87.75</v>
          </cell>
          <cell r="C35">
            <v>40.802733898245968</v>
          </cell>
          <cell r="D35">
            <v>48.963280677895156</v>
          </cell>
          <cell r="E35">
            <v>57.123827457544351</v>
          </cell>
          <cell r="F35">
            <v>65.284374237193546</v>
          </cell>
          <cell r="G35">
            <v>73.444921016842741</v>
          </cell>
          <cell r="H35">
            <v>81.605467796491936</v>
          </cell>
          <cell r="I35">
            <v>61.204100847368949</v>
          </cell>
          <cell r="J35">
            <v>4.0802733898245966</v>
          </cell>
          <cell r="M35">
            <v>87.75</v>
          </cell>
          <cell r="N35">
            <v>57.122432611500493</v>
          </cell>
          <cell r="O35">
            <v>68.546919133800586</v>
          </cell>
          <cell r="P35">
            <v>79.971405656100686</v>
          </cell>
          <cell r="Q35">
            <v>91.395892178400786</v>
          </cell>
          <cell r="R35">
            <v>102.82037870070089</v>
          </cell>
          <cell r="S35">
            <v>114.24486522300099</v>
          </cell>
          <cell r="T35">
            <v>85.683648917250736</v>
          </cell>
          <cell r="U35">
            <v>5.7122432611500491</v>
          </cell>
          <cell r="W35">
            <v>87.75</v>
          </cell>
          <cell r="X35">
            <v>43.475258918296873</v>
          </cell>
          <cell r="Y35">
            <v>65.21288837744531</v>
          </cell>
          <cell r="Z35">
            <v>86.950517836593747</v>
          </cell>
          <cell r="AA35">
            <v>108.68814729574218</v>
          </cell>
          <cell r="AB35">
            <v>130.42577675489062</v>
          </cell>
          <cell r="AC35">
            <v>21.737629459148437</v>
          </cell>
          <cell r="AF35">
            <v>17.899999999999999</v>
          </cell>
          <cell r="AG35">
            <v>4.7141925172242285</v>
          </cell>
          <cell r="AH35">
            <v>5.6570310206690744</v>
          </cell>
          <cell r="AI35">
            <v>6.5998695241139202</v>
          </cell>
          <cell r="AJ35">
            <v>7.5427080275587661</v>
          </cell>
          <cell r="AK35">
            <v>8.485546531003612</v>
          </cell>
          <cell r="AL35">
            <v>9.428385034448457</v>
          </cell>
          <cell r="AM35">
            <v>7.0712887758363436</v>
          </cell>
          <cell r="AN35">
            <v>0.47141925172242288</v>
          </cell>
          <cell r="AQ35">
            <v>17.899999999999999</v>
          </cell>
          <cell r="AR35">
            <v>21.945576421852515</v>
          </cell>
          <cell r="AS35">
            <v>30.723806990593516</v>
          </cell>
          <cell r="AT35">
            <v>39.502037559334525</v>
          </cell>
          <cell r="AU35">
            <v>48.280268128075527</v>
          </cell>
          <cell r="AV35">
            <v>57.058498696816535</v>
          </cell>
          <cell r="AW35">
            <v>65.836729265557537</v>
          </cell>
          <cell r="AX35">
            <v>43.891152843705029</v>
          </cell>
          <cell r="AY35">
            <v>4.3891152843705026</v>
          </cell>
          <cell r="BA35">
            <v>17.899999999999999</v>
          </cell>
          <cell r="BB35">
            <v>10.61866593916003</v>
          </cell>
          <cell r="BC35">
            <v>15.927998908740044</v>
          </cell>
          <cell r="BD35">
            <v>21.23733187832006</v>
          </cell>
          <cell r="BE35">
            <v>26.546664847900075</v>
          </cell>
          <cell r="BF35">
            <v>31.855997817480088</v>
          </cell>
          <cell r="BG35">
            <v>10.61866593916003</v>
          </cell>
        </row>
        <row r="36">
          <cell r="A36">
            <v>36433</v>
          </cell>
          <cell r="B36">
            <v>82.25</v>
          </cell>
          <cell r="C36">
            <v>41.464849879694512</v>
          </cell>
          <cell r="D36">
            <v>49.757819855633414</v>
          </cell>
          <cell r="E36">
            <v>58.050789831572317</v>
          </cell>
          <cell r="F36">
            <v>66.343759807511219</v>
          </cell>
          <cell r="G36">
            <v>74.636729783450122</v>
          </cell>
          <cell r="H36">
            <v>82.929699759389024</v>
          </cell>
          <cell r="I36">
            <v>62.197274819541768</v>
          </cell>
          <cell r="J36">
            <v>4.1464849879694512</v>
          </cell>
          <cell r="M36">
            <v>82.25</v>
          </cell>
          <cell r="N36">
            <v>57.311172716811363</v>
          </cell>
          <cell r="O36">
            <v>68.773407260173641</v>
          </cell>
          <cell r="P36">
            <v>80.235641803535913</v>
          </cell>
          <cell r="Q36">
            <v>91.697876346898184</v>
          </cell>
          <cell r="R36">
            <v>103.16011089026046</v>
          </cell>
          <cell r="S36">
            <v>114.62234543362273</v>
          </cell>
          <cell r="T36">
            <v>85.966759075217041</v>
          </cell>
          <cell r="U36">
            <v>5.7311172716811365</v>
          </cell>
          <cell r="W36">
            <v>82.25</v>
          </cell>
          <cell r="X36">
            <v>42.956376189978009</v>
          </cell>
          <cell r="Y36">
            <v>64.43456428496701</v>
          </cell>
          <cell r="Z36">
            <v>85.912752379956018</v>
          </cell>
          <cell r="AA36">
            <v>107.39094047494503</v>
          </cell>
          <cell r="AB36">
            <v>128.86912856993402</v>
          </cell>
          <cell r="AC36">
            <v>21.478188094989004</v>
          </cell>
          <cell r="AF36">
            <v>16.850000000000001</v>
          </cell>
          <cell r="AG36">
            <v>4.4183985521915767</v>
          </cell>
          <cell r="AH36">
            <v>5.3020782626298928</v>
          </cell>
          <cell r="AI36">
            <v>6.185757973068208</v>
          </cell>
          <cell r="AJ36">
            <v>7.0694376835065231</v>
          </cell>
          <cell r="AK36">
            <v>7.9531173939448383</v>
          </cell>
          <cell r="AL36">
            <v>8.8367971043831535</v>
          </cell>
          <cell r="AM36">
            <v>6.6275978282873655</v>
          </cell>
          <cell r="AN36">
            <v>0.4418398552191577</v>
          </cell>
          <cell r="AQ36">
            <v>16.850000000000001</v>
          </cell>
          <cell r="AR36">
            <v>23.674030817447168</v>
          </cell>
          <cell r="AS36">
            <v>33.143643144426036</v>
          </cell>
          <cell r="AT36">
            <v>42.613255471404898</v>
          </cell>
          <cell r="AU36">
            <v>52.082867798383766</v>
          </cell>
          <cell r="AV36">
            <v>61.552480125362635</v>
          </cell>
          <cell r="AW36">
            <v>71.022092452341496</v>
          </cell>
          <cell r="AX36">
            <v>47.348061634894336</v>
          </cell>
          <cell r="AY36">
            <v>4.7348061634894334</v>
          </cell>
          <cell r="BA36">
            <v>16.850000000000001</v>
          </cell>
          <cell r="BB36">
            <v>10.661802441159224</v>
          </cell>
          <cell r="BC36">
            <v>15.992703661738837</v>
          </cell>
          <cell r="BD36">
            <v>21.323604882318449</v>
          </cell>
          <cell r="BE36">
            <v>26.654506102898061</v>
          </cell>
          <cell r="BF36">
            <v>31.985407323477673</v>
          </cell>
          <cell r="BG36">
            <v>10.661802441159224</v>
          </cell>
        </row>
        <row r="37">
          <cell r="A37">
            <v>36462</v>
          </cell>
          <cell r="B37">
            <v>84.5</v>
          </cell>
          <cell r="C37">
            <v>42.126965861143056</v>
          </cell>
          <cell r="D37">
            <v>50.552359033371673</v>
          </cell>
          <cell r="E37">
            <v>58.977752205600282</v>
          </cell>
          <cell r="F37">
            <v>67.403145377828892</v>
          </cell>
          <cell r="G37">
            <v>75.828538550057502</v>
          </cell>
          <cell r="H37">
            <v>84.253931722286111</v>
          </cell>
          <cell r="I37">
            <v>63.190448791714587</v>
          </cell>
          <cell r="J37">
            <v>4.2126965861143058</v>
          </cell>
          <cell r="M37">
            <v>84.5</v>
          </cell>
          <cell r="N37">
            <v>57.499912822122241</v>
          </cell>
          <cell r="O37">
            <v>68.999895386546683</v>
          </cell>
          <cell r="P37">
            <v>80.49987795097114</v>
          </cell>
          <cell r="Q37">
            <v>91.999860515395582</v>
          </cell>
          <cell r="R37">
            <v>103.49984307982002</v>
          </cell>
          <cell r="S37">
            <v>114.99982564424448</v>
          </cell>
          <cell r="T37">
            <v>86.249869233183361</v>
          </cell>
          <cell r="U37">
            <v>5.7499912822122239</v>
          </cell>
          <cell r="W37">
            <v>84.5</v>
          </cell>
          <cell r="X37">
            <v>42.437493461659145</v>
          </cell>
          <cell r="Y37">
            <v>63.656240192488717</v>
          </cell>
          <cell r="Z37">
            <v>84.874986923318289</v>
          </cell>
          <cell r="AA37">
            <v>106.09373365414785</v>
          </cell>
          <cell r="AB37">
            <v>127.31248038497743</v>
          </cell>
          <cell r="AC37">
            <v>21.218746730829572</v>
          </cell>
          <cell r="AF37">
            <v>17</v>
          </cell>
          <cell r="AG37">
            <v>4.122604587158925</v>
          </cell>
          <cell r="AH37">
            <v>4.9471255045907103</v>
          </cell>
          <cell r="AI37">
            <v>5.7716464220224948</v>
          </cell>
          <cell r="AJ37">
            <v>6.5961673394542801</v>
          </cell>
          <cell r="AK37">
            <v>7.4206882568860655</v>
          </cell>
          <cell r="AL37">
            <v>8.2452091743178499</v>
          </cell>
          <cell r="AM37">
            <v>6.1839068807383875</v>
          </cell>
          <cell r="AN37">
            <v>0.41226045871589251</v>
          </cell>
          <cell r="AQ37">
            <v>17</v>
          </cell>
          <cell r="AR37">
            <v>25.402485213041821</v>
          </cell>
          <cell r="AS37">
            <v>35.563479298258549</v>
          </cell>
          <cell r="AT37">
            <v>45.724473383475278</v>
          </cell>
          <cell r="AU37">
            <v>55.885467468692006</v>
          </cell>
          <cell r="AV37">
            <v>66.046461553908728</v>
          </cell>
          <cell r="AW37">
            <v>76.20745563912547</v>
          </cell>
          <cell r="AX37">
            <v>50.804970426083642</v>
          </cell>
          <cell r="AY37">
            <v>5.0804970426083642</v>
          </cell>
          <cell r="BA37">
            <v>17</v>
          </cell>
          <cell r="BB37">
            <v>10.704938943158419</v>
          </cell>
          <cell r="BC37">
            <v>16.05740841473763</v>
          </cell>
          <cell r="BD37">
            <v>21.409877886316838</v>
          </cell>
          <cell r="BE37">
            <v>26.762347357896047</v>
          </cell>
          <cell r="BF37">
            <v>32.114816829475259</v>
          </cell>
          <cell r="BG37">
            <v>10.704938943158419</v>
          </cell>
        </row>
        <row r="38">
          <cell r="A38">
            <v>36494</v>
          </cell>
          <cell r="B38">
            <v>86.25</v>
          </cell>
          <cell r="C38">
            <v>42.7890818425916</v>
          </cell>
          <cell r="D38">
            <v>51.346898211109924</v>
          </cell>
          <cell r="E38">
            <v>59.904714579628248</v>
          </cell>
          <cell r="F38">
            <v>68.462530948146565</v>
          </cell>
          <cell r="G38">
            <v>77.020347316664882</v>
          </cell>
          <cell r="H38">
            <v>85.578163685183199</v>
          </cell>
          <cell r="I38">
            <v>64.183622763887399</v>
          </cell>
          <cell r="J38">
            <v>4.2789081842591603</v>
          </cell>
          <cell r="M38">
            <v>86.25</v>
          </cell>
          <cell r="N38">
            <v>57.688652927433111</v>
          </cell>
          <cell r="O38">
            <v>69.226383512919739</v>
          </cell>
          <cell r="P38">
            <v>80.764114098406353</v>
          </cell>
          <cell r="Q38">
            <v>92.30184468389298</v>
          </cell>
          <cell r="R38">
            <v>103.83957526937961</v>
          </cell>
          <cell r="S38">
            <v>115.37730585486622</v>
          </cell>
          <cell r="T38">
            <v>86.532979391149667</v>
          </cell>
          <cell r="U38">
            <v>5.7688652927433113</v>
          </cell>
          <cell r="W38">
            <v>86.25</v>
          </cell>
          <cell r="X38">
            <v>41.91861073334028</v>
          </cell>
          <cell r="Y38">
            <v>62.877916100010424</v>
          </cell>
          <cell r="Z38">
            <v>83.83722146668056</v>
          </cell>
          <cell r="AA38">
            <v>104.7965268333507</v>
          </cell>
          <cell r="AB38">
            <v>125.75583220002085</v>
          </cell>
          <cell r="AC38">
            <v>20.95930536667014</v>
          </cell>
          <cell r="AF38">
            <v>18.7</v>
          </cell>
          <cell r="AG38">
            <v>3.8268106221262732</v>
          </cell>
          <cell r="AH38">
            <v>4.5921727465515279</v>
          </cell>
          <cell r="AI38">
            <v>5.3575348709767825</v>
          </cell>
          <cell r="AJ38">
            <v>6.1228969954020371</v>
          </cell>
          <cell r="AK38">
            <v>6.8882591198272918</v>
          </cell>
          <cell r="AL38">
            <v>7.6536212442525464</v>
          </cell>
          <cell r="AM38">
            <v>5.7402159331894094</v>
          </cell>
          <cell r="AN38">
            <v>0.38268106221262732</v>
          </cell>
          <cell r="AQ38">
            <v>18.7</v>
          </cell>
          <cell r="AR38">
            <v>27.130939608636474</v>
          </cell>
          <cell r="AS38">
            <v>37.983315452091063</v>
          </cell>
          <cell r="AT38">
            <v>48.835691295545658</v>
          </cell>
          <cell r="AU38">
            <v>59.688067139000246</v>
          </cell>
          <cell r="AV38">
            <v>70.540442982454834</v>
          </cell>
          <cell r="AW38">
            <v>81.39281882590943</v>
          </cell>
          <cell r="AX38">
            <v>54.261879217272948</v>
          </cell>
          <cell r="AY38">
            <v>5.426187921727295</v>
          </cell>
          <cell r="BA38">
            <v>18.7</v>
          </cell>
          <cell r="BB38">
            <v>10.748075445157614</v>
          </cell>
          <cell r="BC38">
            <v>16.122113167736423</v>
          </cell>
          <cell r="BD38">
            <v>21.496150890315228</v>
          </cell>
          <cell r="BE38">
            <v>26.870188612894033</v>
          </cell>
          <cell r="BF38">
            <v>32.244226335472845</v>
          </cell>
          <cell r="BG38">
            <v>10.748075445157614</v>
          </cell>
        </row>
        <row r="39">
          <cell r="A39">
            <v>36525</v>
          </cell>
          <cell r="B39">
            <v>88.75</v>
          </cell>
          <cell r="C39">
            <v>43.451197824040179</v>
          </cell>
          <cell r="D39">
            <v>52.14143738884821</v>
          </cell>
          <cell r="E39">
            <v>60.831676953656242</v>
          </cell>
          <cell r="F39">
            <v>69.52191651846428</v>
          </cell>
          <cell r="G39">
            <v>78.212156083272319</v>
          </cell>
          <cell r="H39">
            <v>86.902395648080358</v>
          </cell>
          <cell r="I39">
            <v>65.176796736060268</v>
          </cell>
          <cell r="J39">
            <v>4.3451197824040175</v>
          </cell>
          <cell r="M39">
            <v>88.75</v>
          </cell>
          <cell r="N39">
            <v>57.87739303274401</v>
          </cell>
          <cell r="O39">
            <v>69.452871639292823</v>
          </cell>
          <cell r="P39">
            <v>81.028350245841622</v>
          </cell>
          <cell r="Q39">
            <v>92.603828852390421</v>
          </cell>
          <cell r="R39">
            <v>104.17930745893922</v>
          </cell>
          <cell r="S39">
            <v>115.75478606548802</v>
          </cell>
          <cell r="T39">
            <v>86.816089549116015</v>
          </cell>
          <cell r="U39">
            <v>5.7877393032744013</v>
          </cell>
          <cell r="W39">
            <v>88.75</v>
          </cell>
          <cell r="X39">
            <v>41.399728005021444</v>
          </cell>
          <cell r="Y39">
            <v>62.099592007532166</v>
          </cell>
          <cell r="Z39">
            <v>82.799456010042888</v>
          </cell>
          <cell r="AA39">
            <v>103.49932001255361</v>
          </cell>
          <cell r="AB39">
            <v>124.19918401506433</v>
          </cell>
          <cell r="AC39">
            <v>20.699864002510722</v>
          </cell>
          <cell r="AF39">
            <v>21.6</v>
          </cell>
          <cell r="AG39">
            <v>3.5310166570936241</v>
          </cell>
          <cell r="AH39">
            <v>4.2372199885123489</v>
          </cell>
          <cell r="AI39">
            <v>4.9434233199310738</v>
          </cell>
          <cell r="AJ39">
            <v>5.6496266513497986</v>
          </cell>
          <cell r="AK39">
            <v>6.3558299827685234</v>
          </cell>
          <cell r="AL39">
            <v>7.0620333141872482</v>
          </cell>
          <cell r="AM39">
            <v>5.2965249856404366</v>
          </cell>
          <cell r="AN39">
            <v>0.35310166570936241</v>
          </cell>
          <cell r="AQ39">
            <v>21.6</v>
          </cell>
          <cell r="AR39">
            <v>28.859394004231138</v>
          </cell>
          <cell r="AS39">
            <v>40.403151605923597</v>
          </cell>
          <cell r="AT39">
            <v>51.946909207616045</v>
          </cell>
          <cell r="AU39">
            <v>63.490666809308507</v>
          </cell>
          <cell r="AV39">
            <v>75.034424411000956</v>
          </cell>
          <cell r="AW39">
            <v>86.578182012693418</v>
          </cell>
          <cell r="AX39">
            <v>57.718788008462276</v>
          </cell>
          <cell r="AY39">
            <v>5.7718788008462276</v>
          </cell>
          <cell r="BA39">
            <v>21.6</v>
          </cell>
          <cell r="BB39">
            <v>10.791211947156807</v>
          </cell>
          <cell r="BC39">
            <v>16.186817920735209</v>
          </cell>
          <cell r="BD39">
            <v>21.582423894313614</v>
          </cell>
          <cell r="BE39">
            <v>26.978029867892019</v>
          </cell>
          <cell r="BF39">
            <v>32.373635841470417</v>
          </cell>
          <cell r="BG39">
            <v>10.791211947156807</v>
          </cell>
        </row>
        <row r="40">
          <cell r="A40">
            <v>36556</v>
          </cell>
          <cell r="B40">
            <v>75.75</v>
          </cell>
          <cell r="C40">
            <v>44.195261010565964</v>
          </cell>
          <cell r="D40">
            <v>53.034313212679152</v>
          </cell>
          <cell r="E40">
            <v>61.873365414792346</v>
          </cell>
          <cell r="F40">
            <v>70.71241761690554</v>
          </cell>
          <cell r="G40">
            <v>79.551469819018735</v>
          </cell>
          <cell r="H40">
            <v>88.390522021131929</v>
          </cell>
          <cell r="I40">
            <v>66.29289151584895</v>
          </cell>
          <cell r="J40">
            <v>4.4195261010565963</v>
          </cell>
          <cell r="M40">
            <v>75.75</v>
          </cell>
          <cell r="N40">
            <v>58.084440492380658</v>
          </cell>
          <cell r="O40">
            <v>69.701328590856789</v>
          </cell>
          <cell r="P40">
            <v>81.318216689332928</v>
          </cell>
          <cell r="Q40">
            <v>92.935104787809053</v>
          </cell>
          <cell r="R40">
            <v>104.55199288628518</v>
          </cell>
          <cell r="S40">
            <v>116.16888098476132</v>
          </cell>
          <cell r="T40">
            <v>87.12666073857099</v>
          </cell>
          <cell r="U40">
            <v>5.8084440492380658</v>
          </cell>
          <cell r="W40">
            <v>75.75</v>
          </cell>
          <cell r="X40">
            <v>41.954440841092165</v>
          </cell>
          <cell r="Y40">
            <v>62.931661261638247</v>
          </cell>
          <cell r="Z40">
            <v>83.90888168218433</v>
          </cell>
          <cell r="AA40">
            <v>104.8861021027304</v>
          </cell>
          <cell r="AB40">
            <v>125.86332252327649</v>
          </cell>
          <cell r="AC40">
            <v>20.977220420546082</v>
          </cell>
          <cell r="AF40">
            <v>20.05</v>
          </cell>
          <cell r="AG40">
            <v>4.3450986023358222</v>
          </cell>
          <cell r="AH40">
            <v>5.214118322802987</v>
          </cell>
          <cell r="AI40">
            <v>6.083138043270151</v>
          </cell>
          <cell r="AJ40">
            <v>6.9521577637373158</v>
          </cell>
          <cell r="AK40">
            <v>7.8211774842044806</v>
          </cell>
          <cell r="AL40">
            <v>8.6901972046716445</v>
          </cell>
          <cell r="AM40">
            <v>6.5176479035037334</v>
          </cell>
          <cell r="AN40">
            <v>0.43450986023358223</v>
          </cell>
          <cell r="AQ40">
            <v>20.05</v>
          </cell>
          <cell r="AR40">
            <v>27.312464488443325</v>
          </cell>
          <cell r="AS40">
            <v>38.237450283820657</v>
          </cell>
          <cell r="AT40">
            <v>49.162436079197981</v>
          </cell>
          <cell r="AU40">
            <v>60.087421874575313</v>
          </cell>
          <cell r="AV40">
            <v>71.012407669952637</v>
          </cell>
          <cell r="AW40">
            <v>81.937393465329976</v>
          </cell>
          <cell r="AX40">
            <v>54.62492897688665</v>
          </cell>
          <cell r="AY40">
            <v>5.4624928976886649</v>
          </cell>
          <cell r="BA40">
            <v>20.05</v>
          </cell>
          <cell r="BB40">
            <v>10.911346320517149</v>
          </cell>
          <cell r="BC40">
            <v>16.367019480775724</v>
          </cell>
          <cell r="BD40">
            <v>21.822692641034298</v>
          </cell>
          <cell r="BE40">
            <v>27.278365801292871</v>
          </cell>
          <cell r="BF40">
            <v>32.734038961551448</v>
          </cell>
          <cell r="BG40">
            <v>10.911346320517149</v>
          </cell>
        </row>
        <row r="41">
          <cell r="A41">
            <v>36585</v>
          </cell>
          <cell r="B41">
            <v>70.25</v>
          </cell>
          <cell r="C41">
            <v>44.93932419709175</v>
          </cell>
          <cell r="D41">
            <v>53.9271890365101</v>
          </cell>
          <cell r="E41">
            <v>62.91505387592845</v>
          </cell>
          <cell r="F41">
            <v>71.9029187153468</v>
          </cell>
          <cell r="G41">
            <v>80.89078355476515</v>
          </cell>
          <cell r="H41">
            <v>89.8786483941835</v>
          </cell>
          <cell r="I41">
            <v>67.408986295637618</v>
          </cell>
          <cell r="J41">
            <v>4.493932419709175</v>
          </cell>
          <cell r="M41">
            <v>70.25</v>
          </cell>
          <cell r="N41">
            <v>58.291487952017306</v>
          </cell>
          <cell r="O41">
            <v>69.949785542420756</v>
          </cell>
          <cell r="P41">
            <v>81.60808313282422</v>
          </cell>
          <cell r="Q41">
            <v>93.266380723227684</v>
          </cell>
          <cell r="R41">
            <v>104.92467831363115</v>
          </cell>
          <cell r="S41">
            <v>116.58297590403461</v>
          </cell>
          <cell r="T41">
            <v>87.437231928025952</v>
          </cell>
          <cell r="U41">
            <v>5.8291487952017302</v>
          </cell>
          <cell r="W41">
            <v>70.25</v>
          </cell>
          <cell r="X41">
            <v>42.509153677162885</v>
          </cell>
          <cell r="Y41">
            <v>63.763730515744328</v>
          </cell>
          <cell r="Z41">
            <v>85.018307354325771</v>
          </cell>
          <cell r="AA41">
            <v>106.27288419290721</v>
          </cell>
          <cell r="AB41">
            <v>127.52746103148866</v>
          </cell>
          <cell r="AC41">
            <v>21.254576838581443</v>
          </cell>
          <cell r="AF41">
            <v>18.3</v>
          </cell>
          <cell r="AG41">
            <v>5.1591805475780204</v>
          </cell>
          <cell r="AH41">
            <v>6.1910166570936251</v>
          </cell>
          <cell r="AI41">
            <v>7.222852766609229</v>
          </cell>
          <cell r="AJ41">
            <v>8.2546888761248329</v>
          </cell>
          <cell r="AK41">
            <v>9.2865249856404368</v>
          </cell>
          <cell r="AL41">
            <v>10.318361095156041</v>
          </cell>
          <cell r="AM41">
            <v>7.738770821367031</v>
          </cell>
          <cell r="AN41">
            <v>0.51591805475780206</v>
          </cell>
          <cell r="AQ41">
            <v>18.3</v>
          </cell>
          <cell r="AR41">
            <v>25.765534972655509</v>
          </cell>
          <cell r="AS41">
            <v>36.071748961717716</v>
          </cell>
          <cell r="AT41">
            <v>46.377962950779917</v>
          </cell>
          <cell r="AU41">
            <v>56.684176939842125</v>
          </cell>
          <cell r="AV41">
            <v>66.990390928904333</v>
          </cell>
          <cell r="AW41">
            <v>77.296604917966533</v>
          </cell>
          <cell r="AX41">
            <v>51.531069945311017</v>
          </cell>
          <cell r="AY41">
            <v>5.1531069945311021</v>
          </cell>
          <cell r="BA41">
            <v>18.3</v>
          </cell>
          <cell r="BB41">
            <v>11.031480693877491</v>
          </cell>
          <cell r="BC41">
            <v>16.547221040816236</v>
          </cell>
          <cell r="BD41">
            <v>22.062961387754982</v>
          </cell>
          <cell r="BE41">
            <v>27.578701734693727</v>
          </cell>
          <cell r="BF41">
            <v>33.094442081632472</v>
          </cell>
          <cell r="BG41">
            <v>11.031480693877491</v>
          </cell>
        </row>
        <row r="42">
          <cell r="A42">
            <v>36616</v>
          </cell>
          <cell r="B42">
            <v>68</v>
          </cell>
          <cell r="C42">
            <v>45.683387383617536</v>
          </cell>
          <cell r="D42">
            <v>54.820064860341049</v>
          </cell>
          <cell r="E42">
            <v>63.956742337064554</v>
          </cell>
          <cell r="F42">
            <v>73.09341981378806</v>
          </cell>
          <cell r="G42">
            <v>82.230097290511566</v>
          </cell>
          <cell r="H42">
            <v>91.366774767235071</v>
          </cell>
          <cell r="I42">
            <v>68.5250810754263</v>
          </cell>
          <cell r="J42">
            <v>4.5683387383617537</v>
          </cell>
          <cell r="M42">
            <v>68</v>
          </cell>
          <cell r="N42">
            <v>58.498535411653947</v>
          </cell>
          <cell r="O42">
            <v>70.198242493984736</v>
          </cell>
          <cell r="P42">
            <v>81.897949576315526</v>
          </cell>
          <cell r="Q42">
            <v>93.597656658646315</v>
          </cell>
          <cell r="R42">
            <v>105.2973637409771</v>
          </cell>
          <cell r="S42">
            <v>116.99707082330789</v>
          </cell>
          <cell r="T42">
            <v>87.747803117480913</v>
          </cell>
          <cell r="U42">
            <v>5.8498535411653947</v>
          </cell>
          <cell r="W42">
            <v>68</v>
          </cell>
          <cell r="X42">
            <v>43.063866513233606</v>
          </cell>
          <cell r="Y42">
            <v>64.595799769850402</v>
          </cell>
          <cell r="Z42">
            <v>86.127733026467212</v>
          </cell>
          <cell r="AA42">
            <v>107.65966628308402</v>
          </cell>
          <cell r="AB42">
            <v>129.1915995397008</v>
          </cell>
          <cell r="AC42">
            <v>21.531933256616803</v>
          </cell>
          <cell r="AF42">
            <v>17.3</v>
          </cell>
          <cell r="AG42">
            <v>5.9732624928202185</v>
          </cell>
          <cell r="AH42">
            <v>7.1679149913842615</v>
          </cell>
          <cell r="AI42">
            <v>8.3625674899483062</v>
          </cell>
          <cell r="AJ42">
            <v>9.5572199885123492</v>
          </cell>
          <cell r="AK42">
            <v>10.751872487076392</v>
          </cell>
          <cell r="AL42">
            <v>11.946524985640437</v>
          </cell>
          <cell r="AM42">
            <v>8.9598937392303277</v>
          </cell>
          <cell r="AN42">
            <v>0.59732624928202183</v>
          </cell>
          <cell r="AQ42">
            <v>17.3</v>
          </cell>
          <cell r="AR42">
            <v>24.218605456867696</v>
          </cell>
          <cell r="AS42">
            <v>33.906047639614776</v>
          </cell>
          <cell r="AT42">
            <v>43.593489822361853</v>
          </cell>
          <cell r="AU42">
            <v>53.28093200510893</v>
          </cell>
          <cell r="AV42">
            <v>62.968374187856014</v>
          </cell>
          <cell r="AW42">
            <v>72.655816370603091</v>
          </cell>
          <cell r="AX42">
            <v>48.437210913735392</v>
          </cell>
          <cell r="AY42">
            <v>4.8437210913735393</v>
          </cell>
          <cell r="BA42">
            <v>17.3</v>
          </cell>
          <cell r="BB42">
            <v>11.151615067237833</v>
          </cell>
          <cell r="BC42">
            <v>16.727422600856748</v>
          </cell>
          <cell r="BD42">
            <v>22.303230134475665</v>
          </cell>
          <cell r="BE42">
            <v>27.879037668094583</v>
          </cell>
          <cell r="BF42">
            <v>33.454845201713496</v>
          </cell>
          <cell r="BG42">
            <v>11.151615067237833</v>
          </cell>
        </row>
        <row r="43">
          <cell r="A43">
            <v>36644</v>
          </cell>
          <cell r="B43">
            <v>71.75</v>
          </cell>
          <cell r="C43">
            <v>46.427450570143321</v>
          </cell>
          <cell r="D43">
            <v>55.71294068417199</v>
          </cell>
          <cell r="E43">
            <v>64.998430798200658</v>
          </cell>
          <cell r="F43">
            <v>74.28392091222932</v>
          </cell>
          <cell r="G43">
            <v>83.569411026257981</v>
          </cell>
          <cell r="H43">
            <v>92.854901140286643</v>
          </cell>
          <cell r="I43">
            <v>69.641175855214982</v>
          </cell>
          <cell r="J43">
            <v>4.6427450570143325</v>
          </cell>
          <cell r="M43">
            <v>71.75</v>
          </cell>
          <cell r="N43">
            <v>58.705582871290588</v>
          </cell>
          <cell r="O43">
            <v>70.446699445548717</v>
          </cell>
          <cell r="P43">
            <v>82.187816019806831</v>
          </cell>
          <cell r="Q43">
            <v>93.928932594064946</v>
          </cell>
          <cell r="R43">
            <v>105.67004916832306</v>
          </cell>
          <cell r="S43">
            <v>117.41116574258118</v>
          </cell>
          <cell r="T43">
            <v>88.058374306935889</v>
          </cell>
          <cell r="U43">
            <v>5.8705582871290591</v>
          </cell>
          <cell r="W43">
            <v>71.75</v>
          </cell>
          <cell r="X43">
            <v>43.618579349304326</v>
          </cell>
          <cell r="Y43">
            <v>65.42786902395649</v>
          </cell>
          <cell r="Z43">
            <v>87.237158698608653</v>
          </cell>
          <cell r="AA43">
            <v>109.04644837326082</v>
          </cell>
          <cell r="AB43">
            <v>130.85573804791298</v>
          </cell>
          <cell r="AC43">
            <v>21.809289674652163</v>
          </cell>
          <cell r="AF43">
            <v>16.850000000000001</v>
          </cell>
          <cell r="AG43">
            <v>6.7873444380624157</v>
          </cell>
          <cell r="AH43">
            <v>8.1448133256748996</v>
          </cell>
          <cell r="AI43">
            <v>9.5022822132873817</v>
          </cell>
          <cell r="AJ43">
            <v>10.859751100899866</v>
          </cell>
          <cell r="AK43">
            <v>12.217219988512349</v>
          </cell>
          <cell r="AL43">
            <v>13.574688876124831</v>
          </cell>
          <cell r="AM43">
            <v>10.181016657093624</v>
          </cell>
          <cell r="AN43">
            <v>0.67873444380624159</v>
          </cell>
          <cell r="AQ43">
            <v>16.850000000000001</v>
          </cell>
          <cell r="AR43">
            <v>22.671675941079883</v>
          </cell>
          <cell r="AS43">
            <v>31.740346317511836</v>
          </cell>
          <cell r="AT43">
            <v>40.809016693943789</v>
          </cell>
          <cell r="AU43">
            <v>49.877687070375742</v>
          </cell>
          <cell r="AV43">
            <v>58.946357446807696</v>
          </cell>
          <cell r="AW43">
            <v>68.015027823239649</v>
          </cell>
          <cell r="AX43">
            <v>45.343351882159766</v>
          </cell>
          <cell r="AY43">
            <v>4.5343351882159766</v>
          </cell>
          <cell r="BA43">
            <v>16.850000000000001</v>
          </cell>
          <cell r="BB43">
            <v>11.271749440598175</v>
          </cell>
          <cell r="BC43">
            <v>16.907624160897264</v>
          </cell>
          <cell r="BD43">
            <v>22.543498881196349</v>
          </cell>
          <cell r="BE43">
            <v>28.179373601495435</v>
          </cell>
          <cell r="BF43">
            <v>33.815248321794527</v>
          </cell>
          <cell r="BG43">
            <v>11.271749440598175</v>
          </cell>
        </row>
        <row r="44">
          <cell r="A44">
            <v>36677</v>
          </cell>
          <cell r="B44">
            <v>66</v>
          </cell>
          <cell r="C44">
            <v>47.171513756669114</v>
          </cell>
          <cell r="D44">
            <v>56.605816508002931</v>
          </cell>
          <cell r="E44">
            <v>66.040119259336763</v>
          </cell>
          <cell r="F44">
            <v>75.47442201067058</v>
          </cell>
          <cell r="G44">
            <v>84.908724762004397</v>
          </cell>
          <cell r="H44">
            <v>94.343027513338228</v>
          </cell>
          <cell r="I44">
            <v>70.757270635003664</v>
          </cell>
          <cell r="J44">
            <v>4.7171513756669112</v>
          </cell>
          <cell r="M44">
            <v>66</v>
          </cell>
          <cell r="N44">
            <v>58.912630330927236</v>
          </cell>
          <cell r="O44">
            <v>70.695156397112683</v>
          </cell>
          <cell r="P44">
            <v>82.477682463298123</v>
          </cell>
          <cell r="Q44">
            <v>94.260208529483577</v>
          </cell>
          <cell r="R44">
            <v>106.04273459566903</v>
          </cell>
          <cell r="S44">
            <v>117.82526066185447</v>
          </cell>
          <cell r="T44">
            <v>88.36894549639085</v>
          </cell>
          <cell r="U44">
            <v>5.8912630330927236</v>
          </cell>
          <cell r="W44">
            <v>66</v>
          </cell>
          <cell r="X44">
            <v>44.173292185375047</v>
          </cell>
          <cell r="Y44">
            <v>66.259938278062577</v>
          </cell>
          <cell r="Z44">
            <v>88.346584370750094</v>
          </cell>
          <cell r="AA44">
            <v>110.43323046343761</v>
          </cell>
          <cell r="AB44">
            <v>132.51987655612515</v>
          </cell>
          <cell r="AC44">
            <v>22.086646092687523</v>
          </cell>
          <cell r="AF44">
            <v>13.7</v>
          </cell>
          <cell r="AG44">
            <v>7.6014263833046138</v>
          </cell>
          <cell r="AH44">
            <v>9.1217116599655359</v>
          </cell>
          <cell r="AI44">
            <v>10.641996936626459</v>
          </cell>
          <cell r="AJ44">
            <v>12.162282213287382</v>
          </cell>
          <cell r="AK44">
            <v>13.682567489948305</v>
          </cell>
          <cell r="AL44">
            <v>15.202852766609228</v>
          </cell>
          <cell r="AM44">
            <v>11.402139574956921</v>
          </cell>
          <cell r="AN44">
            <v>0.76014263833046136</v>
          </cell>
          <cell r="AQ44">
            <v>13.7</v>
          </cell>
          <cell r="AR44">
            <v>21.12474642529207</v>
          </cell>
          <cell r="AS44">
            <v>29.574644995408896</v>
          </cell>
          <cell r="AT44">
            <v>38.024543565525725</v>
          </cell>
          <cell r="AU44">
            <v>46.474442135642555</v>
          </cell>
          <cell r="AV44">
            <v>54.924340705759377</v>
          </cell>
          <cell r="AW44">
            <v>63.374239275876207</v>
          </cell>
          <cell r="AX44">
            <v>42.24949285058414</v>
          </cell>
          <cell r="AY44">
            <v>4.2249492850584138</v>
          </cell>
          <cell r="BA44">
            <v>13.7</v>
          </cell>
          <cell r="BB44">
            <v>11.391883813958517</v>
          </cell>
          <cell r="BC44">
            <v>17.087825720937776</v>
          </cell>
          <cell r="BD44">
            <v>22.783767627917033</v>
          </cell>
          <cell r="BE44">
            <v>28.479709534896291</v>
          </cell>
          <cell r="BF44">
            <v>34.175651441875551</v>
          </cell>
          <cell r="BG44">
            <v>11.391883813958517</v>
          </cell>
        </row>
        <row r="45">
          <cell r="A45">
            <v>36707</v>
          </cell>
          <cell r="B45">
            <v>74</v>
          </cell>
          <cell r="C45">
            <v>47.9155769431949</v>
          </cell>
          <cell r="D45">
            <v>57.49869233183388</v>
          </cell>
          <cell r="E45">
            <v>67.081807720472852</v>
          </cell>
          <cell r="F45">
            <v>76.664923109111839</v>
          </cell>
          <cell r="G45">
            <v>86.248038497750827</v>
          </cell>
          <cell r="H45">
            <v>95.831153886389799</v>
          </cell>
          <cell r="I45">
            <v>71.873365414792346</v>
          </cell>
          <cell r="J45">
            <v>4.79155769431949</v>
          </cell>
          <cell r="M45">
            <v>74</v>
          </cell>
          <cell r="N45">
            <v>59.119677790563884</v>
          </cell>
          <cell r="O45">
            <v>70.943613348676649</v>
          </cell>
          <cell r="P45">
            <v>82.767548906789429</v>
          </cell>
          <cell r="Q45">
            <v>94.591484464902209</v>
          </cell>
          <cell r="R45">
            <v>106.41542002301499</v>
          </cell>
          <cell r="S45">
            <v>118.23935558112777</v>
          </cell>
          <cell r="T45">
            <v>88.679516685845826</v>
          </cell>
          <cell r="U45">
            <v>5.911967779056388</v>
          </cell>
          <cell r="W45">
            <v>74</v>
          </cell>
          <cell r="X45">
            <v>44.728005021445767</v>
          </cell>
          <cell r="Y45">
            <v>67.092007532168651</v>
          </cell>
          <cell r="Z45">
            <v>89.456010042891535</v>
          </cell>
          <cell r="AA45">
            <v>111.82001255361442</v>
          </cell>
          <cell r="AB45">
            <v>134.1840150643373</v>
          </cell>
          <cell r="AC45">
            <v>22.364002510722884</v>
          </cell>
          <cell r="AF45">
            <v>18.2</v>
          </cell>
          <cell r="AG45">
            <v>8.415508328546812</v>
          </cell>
          <cell r="AH45">
            <v>10.098609994256174</v>
          </cell>
          <cell r="AI45">
            <v>11.781711659965536</v>
          </cell>
          <cell r="AJ45">
            <v>13.464813325674898</v>
          </cell>
          <cell r="AK45">
            <v>15.14791499138426</v>
          </cell>
          <cell r="AL45">
            <v>16.831016657093624</v>
          </cell>
          <cell r="AM45">
            <v>12.623262492820217</v>
          </cell>
          <cell r="AN45">
            <v>0.84155083285468113</v>
          </cell>
          <cell r="AQ45">
            <v>18.2</v>
          </cell>
          <cell r="AR45">
            <v>19.577816909504254</v>
          </cell>
          <cell r="AS45">
            <v>27.408943673305956</v>
          </cell>
          <cell r="AT45">
            <v>35.240070437107654</v>
          </cell>
          <cell r="AU45">
            <v>43.07119720090936</v>
          </cell>
          <cell r="AV45">
            <v>50.902323964711059</v>
          </cell>
          <cell r="AW45">
            <v>58.733450728512757</v>
          </cell>
          <cell r="AX45">
            <v>39.155633819008507</v>
          </cell>
          <cell r="AY45">
            <v>3.9155633819008506</v>
          </cell>
          <cell r="BA45">
            <v>18.2</v>
          </cell>
          <cell r="BB45">
            <v>11.512018187318859</v>
          </cell>
          <cell r="BC45">
            <v>17.268027280978288</v>
          </cell>
          <cell r="BD45">
            <v>23.024036374637717</v>
          </cell>
          <cell r="BE45">
            <v>28.780045468297146</v>
          </cell>
          <cell r="BF45">
            <v>34.536054561956576</v>
          </cell>
          <cell r="BG45">
            <v>11.512018187318859</v>
          </cell>
        </row>
        <row r="46">
          <cell r="A46">
            <v>36738</v>
          </cell>
          <cell r="B46">
            <v>80.75</v>
          </cell>
          <cell r="C46">
            <v>48.659640129720685</v>
          </cell>
          <cell r="D46">
            <v>58.391568155664828</v>
          </cell>
          <cell r="E46">
            <v>68.123496181608957</v>
          </cell>
          <cell r="F46">
            <v>77.855424207553099</v>
          </cell>
          <cell r="G46">
            <v>87.587352233497242</v>
          </cell>
          <cell r="H46">
            <v>97.319280259441371</v>
          </cell>
          <cell r="I46">
            <v>72.989460194581028</v>
          </cell>
          <cell r="J46">
            <v>4.8659640129720687</v>
          </cell>
          <cell r="M46">
            <v>80.75</v>
          </cell>
          <cell r="N46">
            <v>59.326725250200525</v>
          </cell>
          <cell r="O46">
            <v>71.19207030024063</v>
          </cell>
          <cell r="P46">
            <v>83.057415350280735</v>
          </cell>
          <cell r="Q46">
            <v>94.92276040032084</v>
          </cell>
          <cell r="R46">
            <v>106.78810545036094</v>
          </cell>
          <cell r="S46">
            <v>118.65345050040105</v>
          </cell>
          <cell r="T46">
            <v>88.990087875300787</v>
          </cell>
          <cell r="U46">
            <v>5.9326725250200525</v>
          </cell>
          <cell r="W46">
            <v>80.75</v>
          </cell>
          <cell r="X46">
            <v>45.282717857516488</v>
          </cell>
          <cell r="Y46">
            <v>67.924076786274725</v>
          </cell>
          <cell r="Z46">
            <v>90.565435715032976</v>
          </cell>
          <cell r="AA46">
            <v>113.20679464379123</v>
          </cell>
          <cell r="AB46">
            <v>135.84815357254945</v>
          </cell>
          <cell r="AC46">
            <v>22.641358928758244</v>
          </cell>
          <cell r="AF46">
            <v>17.7</v>
          </cell>
          <cell r="AG46">
            <v>9.2295902737890092</v>
          </cell>
          <cell r="AH46">
            <v>11.07550832854681</v>
          </cell>
          <cell r="AI46">
            <v>12.921426383304613</v>
          </cell>
          <cell r="AJ46">
            <v>14.767344438062414</v>
          </cell>
          <cell r="AK46">
            <v>16.613262492820215</v>
          </cell>
          <cell r="AL46">
            <v>18.459180547578018</v>
          </cell>
          <cell r="AM46">
            <v>13.844385410683513</v>
          </cell>
          <cell r="AN46">
            <v>0.9229590273789009</v>
          </cell>
          <cell r="AQ46">
            <v>17.7</v>
          </cell>
          <cell r="AR46">
            <v>18.030887393716437</v>
          </cell>
          <cell r="AS46">
            <v>25.243242351203012</v>
          </cell>
          <cell r="AT46">
            <v>32.45559730868959</v>
          </cell>
          <cell r="AU46">
            <v>39.667952266176158</v>
          </cell>
          <cell r="AV46">
            <v>46.88030722366274</v>
          </cell>
          <cell r="AW46">
            <v>54.092662181149308</v>
          </cell>
          <cell r="AX46">
            <v>36.061774787432874</v>
          </cell>
          <cell r="AY46">
            <v>3.6061774787432874</v>
          </cell>
          <cell r="BA46">
            <v>17.7</v>
          </cell>
          <cell r="BB46">
            <v>11.6321525606792</v>
          </cell>
          <cell r="BC46">
            <v>17.4482288410188</v>
          </cell>
          <cell r="BD46">
            <v>23.264305121358401</v>
          </cell>
          <cell r="BE46">
            <v>29.080381401698002</v>
          </cell>
          <cell r="BF46">
            <v>34.8964576820376</v>
          </cell>
          <cell r="BG46">
            <v>11.6321525606792</v>
          </cell>
        </row>
        <row r="47">
          <cell r="A47">
            <v>36769</v>
          </cell>
          <cell r="B47">
            <v>83.75</v>
          </cell>
          <cell r="C47">
            <v>49.403703316246478</v>
          </cell>
          <cell r="D47">
            <v>59.284443979495769</v>
          </cell>
          <cell r="E47">
            <v>69.165184642745061</v>
          </cell>
          <cell r="F47">
            <v>79.045925305994359</v>
          </cell>
          <cell r="G47">
            <v>88.926665969243658</v>
          </cell>
          <cell r="H47">
            <v>98.807406632492956</v>
          </cell>
          <cell r="I47">
            <v>74.10555497436971</v>
          </cell>
          <cell r="J47">
            <v>4.9403703316246474</v>
          </cell>
          <cell r="M47">
            <v>83.75</v>
          </cell>
          <cell r="N47">
            <v>59.533772709837166</v>
          </cell>
          <cell r="O47">
            <v>71.44052725180461</v>
          </cell>
          <cell r="P47">
            <v>83.347281793772041</v>
          </cell>
          <cell r="Q47">
            <v>95.254036335739471</v>
          </cell>
          <cell r="R47">
            <v>107.1607908777069</v>
          </cell>
          <cell r="S47">
            <v>119.06754541967433</v>
          </cell>
          <cell r="T47">
            <v>89.300659064755749</v>
          </cell>
          <cell r="U47">
            <v>5.9533772709837169</v>
          </cell>
          <cell r="W47">
            <v>83.75</v>
          </cell>
          <cell r="X47">
            <v>45.837430693587208</v>
          </cell>
          <cell r="Y47">
            <v>68.756146040380813</v>
          </cell>
          <cell r="Z47">
            <v>91.674861387174417</v>
          </cell>
          <cell r="AA47">
            <v>114.59357673396802</v>
          </cell>
          <cell r="AB47">
            <v>137.51229208076163</v>
          </cell>
          <cell r="AC47">
            <v>22.918715346793604</v>
          </cell>
          <cell r="AF47">
            <v>18.2</v>
          </cell>
          <cell r="AG47">
            <v>10.043672219031208</v>
          </cell>
          <cell r="AH47">
            <v>12.052406662837448</v>
          </cell>
          <cell r="AI47">
            <v>14.06114110664369</v>
          </cell>
          <cell r="AJ47">
            <v>16.069875550449932</v>
          </cell>
          <cell r="AK47">
            <v>18.078609994256173</v>
          </cell>
          <cell r="AL47">
            <v>20.087344438062416</v>
          </cell>
          <cell r="AM47">
            <v>15.065508328546812</v>
          </cell>
          <cell r="AN47">
            <v>1.0043672219031208</v>
          </cell>
          <cell r="AQ47">
            <v>18.2</v>
          </cell>
          <cell r="AR47">
            <v>16.483957877928621</v>
          </cell>
          <cell r="AS47">
            <v>23.077541029100068</v>
          </cell>
          <cell r="AT47">
            <v>29.671124180271519</v>
          </cell>
          <cell r="AU47">
            <v>36.264707331442963</v>
          </cell>
          <cell r="AV47">
            <v>42.858290482614414</v>
          </cell>
          <cell r="AW47">
            <v>49.451873633785866</v>
          </cell>
          <cell r="AX47">
            <v>32.967915755857241</v>
          </cell>
          <cell r="AY47">
            <v>3.2967915755857242</v>
          </cell>
          <cell r="BA47">
            <v>18.2</v>
          </cell>
          <cell r="BB47">
            <v>11.752286934039542</v>
          </cell>
          <cell r="BC47">
            <v>17.628430401059312</v>
          </cell>
          <cell r="BD47">
            <v>23.504573868079085</v>
          </cell>
          <cell r="BE47">
            <v>29.380717335098858</v>
          </cell>
          <cell r="BF47">
            <v>35.256860802118624</v>
          </cell>
          <cell r="BG47">
            <v>11.752286934039542</v>
          </cell>
        </row>
        <row r="48">
          <cell r="A48">
            <v>36798</v>
          </cell>
          <cell r="B48">
            <v>84</v>
          </cell>
          <cell r="C48">
            <v>50.147766502772264</v>
          </cell>
          <cell r="D48">
            <v>60.177319803326711</v>
          </cell>
          <cell r="E48">
            <v>70.206873103881165</v>
          </cell>
          <cell r="F48">
            <v>80.236426404435619</v>
          </cell>
          <cell r="G48">
            <v>90.265979704990073</v>
          </cell>
          <cell r="H48">
            <v>100.29553300554453</v>
          </cell>
          <cell r="I48">
            <v>75.221649754158392</v>
          </cell>
          <cell r="J48">
            <v>5.0147766502772262</v>
          </cell>
          <cell r="M48">
            <v>84</v>
          </cell>
          <cell r="N48">
            <v>59.740820169473814</v>
          </cell>
          <cell r="O48">
            <v>71.688984203368577</v>
          </cell>
          <cell r="P48">
            <v>83.637148237263347</v>
          </cell>
          <cell r="Q48">
            <v>95.585312271158102</v>
          </cell>
          <cell r="R48">
            <v>107.53347630505286</v>
          </cell>
          <cell r="S48">
            <v>119.48164033894763</v>
          </cell>
          <cell r="T48">
            <v>89.611230254210724</v>
          </cell>
          <cell r="U48">
            <v>5.9740820169473814</v>
          </cell>
          <cell r="W48">
            <v>84</v>
          </cell>
          <cell r="X48">
            <v>46.392143529657929</v>
          </cell>
          <cell r="Y48">
            <v>69.588215294486901</v>
          </cell>
          <cell r="Z48">
            <v>92.784287059315858</v>
          </cell>
          <cell r="AA48">
            <v>115.98035882414482</v>
          </cell>
          <cell r="AB48">
            <v>139.1764305889738</v>
          </cell>
          <cell r="AC48">
            <v>23.196071764828964</v>
          </cell>
          <cell r="AF48">
            <v>17.5</v>
          </cell>
          <cell r="AG48">
            <v>10.857754164273405</v>
          </cell>
          <cell r="AH48">
            <v>13.029304997128087</v>
          </cell>
          <cell r="AI48">
            <v>15.200855829982768</v>
          </cell>
          <cell r="AJ48">
            <v>17.372406662837449</v>
          </cell>
          <cell r="AK48">
            <v>19.54395749569213</v>
          </cell>
          <cell r="AL48">
            <v>21.715508328546811</v>
          </cell>
          <cell r="AM48">
            <v>16.28663124641011</v>
          </cell>
          <cell r="AN48">
            <v>1.0857754164273405</v>
          </cell>
          <cell r="AQ48">
            <v>17.5</v>
          </cell>
          <cell r="AR48">
            <v>14.937028362140804</v>
          </cell>
          <cell r="AS48">
            <v>20.911839706997128</v>
          </cell>
          <cell r="AT48">
            <v>26.886651051853448</v>
          </cell>
          <cell r="AU48">
            <v>32.861462396709769</v>
          </cell>
          <cell r="AV48">
            <v>38.836273741566096</v>
          </cell>
          <cell r="AW48">
            <v>44.811085086422416</v>
          </cell>
          <cell r="AX48">
            <v>29.874056724281608</v>
          </cell>
          <cell r="AY48">
            <v>2.987405672428161</v>
          </cell>
          <cell r="BA48">
            <v>17.5</v>
          </cell>
          <cell r="BB48">
            <v>11.872421307399884</v>
          </cell>
          <cell r="BC48">
            <v>17.808631961099827</v>
          </cell>
          <cell r="BD48">
            <v>23.744842614799769</v>
          </cell>
          <cell r="BE48">
            <v>29.68105326849971</v>
          </cell>
          <cell r="BF48">
            <v>35.617263922199655</v>
          </cell>
          <cell r="BG48">
            <v>11.872421307399884</v>
          </cell>
        </row>
        <row r="49">
          <cell r="A49">
            <v>36830</v>
          </cell>
          <cell r="B49">
            <v>91.75</v>
          </cell>
          <cell r="C49">
            <v>50.891829689298049</v>
          </cell>
          <cell r="D49">
            <v>61.070195627157659</v>
          </cell>
          <cell r="E49">
            <v>71.248561565017269</v>
          </cell>
          <cell r="F49">
            <v>81.426927502876879</v>
          </cell>
          <cell r="G49">
            <v>91.605293440736489</v>
          </cell>
          <cell r="H49">
            <v>101.7836593785961</v>
          </cell>
          <cell r="I49">
            <v>76.337744533947074</v>
          </cell>
          <cell r="J49">
            <v>5.0891829689298049</v>
          </cell>
          <cell r="M49">
            <v>91.75</v>
          </cell>
          <cell r="N49">
            <v>59.947867629110462</v>
          </cell>
          <cell r="O49">
            <v>71.937441154932543</v>
          </cell>
          <cell r="P49">
            <v>83.927014680754638</v>
          </cell>
          <cell r="Q49">
            <v>95.916588206576733</v>
          </cell>
          <cell r="R49">
            <v>107.90616173239883</v>
          </cell>
          <cell r="S49">
            <v>119.89573525822092</v>
          </cell>
          <cell r="T49">
            <v>89.921801443665686</v>
          </cell>
          <cell r="U49">
            <v>5.9947867629110458</v>
          </cell>
          <cell r="W49">
            <v>91.75</v>
          </cell>
          <cell r="X49">
            <v>46.94685636572865</v>
          </cell>
          <cell r="Y49">
            <v>70.420284548592974</v>
          </cell>
          <cell r="Z49">
            <v>93.893712731457299</v>
          </cell>
          <cell r="AA49">
            <v>117.36714091432162</v>
          </cell>
          <cell r="AB49">
            <v>140.84056909718595</v>
          </cell>
          <cell r="AC49">
            <v>23.473428182864325</v>
          </cell>
          <cell r="AF49">
            <v>17.649999999999999</v>
          </cell>
          <cell r="AG49">
            <v>11.671836109515603</v>
          </cell>
          <cell r="AH49">
            <v>14.006203331418725</v>
          </cell>
          <cell r="AI49">
            <v>16.340570553321843</v>
          </cell>
          <cell r="AJ49">
            <v>18.674937775224965</v>
          </cell>
          <cell r="AK49">
            <v>21.009304997128087</v>
          </cell>
          <cell r="AL49">
            <v>23.343672219031205</v>
          </cell>
          <cell r="AM49">
            <v>17.507754164273404</v>
          </cell>
          <cell r="AN49">
            <v>1.1671836109515603</v>
          </cell>
          <cell r="AQ49">
            <v>17.649999999999999</v>
          </cell>
          <cell r="AR49">
            <v>13.39009884635299</v>
          </cell>
          <cell r="AS49">
            <v>18.746138384894184</v>
          </cell>
          <cell r="AT49">
            <v>24.102177923435381</v>
          </cell>
          <cell r="AU49">
            <v>29.458217461976577</v>
          </cell>
          <cell r="AV49">
            <v>34.81425700051777</v>
          </cell>
          <cell r="AW49">
            <v>40.170296539058967</v>
          </cell>
          <cell r="AX49">
            <v>26.780197692705979</v>
          </cell>
          <cell r="AY49">
            <v>2.6780197692705978</v>
          </cell>
          <cell r="BA49">
            <v>17.649999999999999</v>
          </cell>
          <cell r="BB49">
            <v>11.992555680760226</v>
          </cell>
          <cell r="BC49">
            <v>17.988833521140339</v>
          </cell>
          <cell r="BD49">
            <v>23.985111361520453</v>
          </cell>
          <cell r="BE49">
            <v>29.981389201900566</v>
          </cell>
          <cell r="BF49">
            <v>35.977667042280679</v>
          </cell>
          <cell r="BG49">
            <v>11.992555680760226</v>
          </cell>
        </row>
        <row r="50">
          <cell r="A50">
            <v>36860</v>
          </cell>
          <cell r="B50">
            <v>91</v>
          </cell>
          <cell r="C50">
            <v>51.635892875823835</v>
          </cell>
          <cell r="D50">
            <v>61.963071450988608</v>
          </cell>
          <cell r="E50">
            <v>72.290250026153373</v>
          </cell>
          <cell r="F50">
            <v>82.617428601318139</v>
          </cell>
          <cell r="G50">
            <v>92.944607176482904</v>
          </cell>
          <cell r="H50">
            <v>103.27178575164767</v>
          </cell>
          <cell r="I50">
            <v>77.453839313735756</v>
          </cell>
          <cell r="J50">
            <v>5.1635892875823837</v>
          </cell>
          <cell r="M50">
            <v>91</v>
          </cell>
          <cell r="N50">
            <v>60.154915088747103</v>
          </cell>
          <cell r="O50">
            <v>72.185898106496523</v>
          </cell>
          <cell r="P50">
            <v>84.216881124245944</v>
          </cell>
          <cell r="Q50">
            <v>96.247864141995365</v>
          </cell>
          <cell r="R50">
            <v>108.27884715974479</v>
          </cell>
          <cell r="S50">
            <v>120.30983017749421</v>
          </cell>
          <cell r="T50">
            <v>90.232372633120661</v>
          </cell>
          <cell r="U50">
            <v>6.0154915088747103</v>
          </cell>
          <cell r="W50">
            <v>91</v>
          </cell>
          <cell r="X50">
            <v>47.50156920179937</v>
          </cell>
          <cell r="Y50">
            <v>71.252353802699048</v>
          </cell>
          <cell r="Z50">
            <v>95.00313840359874</v>
          </cell>
          <cell r="AA50">
            <v>118.75392300449843</v>
          </cell>
          <cell r="AB50">
            <v>142.5047076053981</v>
          </cell>
          <cell r="AC50">
            <v>23.750784600899685</v>
          </cell>
          <cell r="AF50">
            <v>16.95</v>
          </cell>
          <cell r="AG50">
            <v>12.4859180547578</v>
          </cell>
          <cell r="AH50">
            <v>14.983101665709361</v>
          </cell>
          <cell r="AI50">
            <v>17.480285276660922</v>
          </cell>
          <cell r="AJ50">
            <v>19.977468887612481</v>
          </cell>
          <cell r="AK50">
            <v>22.474652498564041</v>
          </cell>
          <cell r="AL50">
            <v>24.9718361095156</v>
          </cell>
          <cell r="AM50">
            <v>18.728877082136702</v>
          </cell>
          <cell r="AN50">
            <v>1.2485918054757801</v>
          </cell>
          <cell r="AQ50">
            <v>16.95</v>
          </cell>
          <cell r="AR50">
            <v>11.843169330565173</v>
          </cell>
          <cell r="AS50">
            <v>16.580437062791241</v>
          </cell>
          <cell r="AT50">
            <v>21.317704795017313</v>
          </cell>
          <cell r="AU50">
            <v>26.054972527243379</v>
          </cell>
          <cell r="AV50">
            <v>30.792240259469452</v>
          </cell>
          <cell r="AW50">
            <v>35.529507991695517</v>
          </cell>
          <cell r="AX50">
            <v>23.686338661130346</v>
          </cell>
          <cell r="AY50">
            <v>2.3686338661130346</v>
          </cell>
          <cell r="BA50">
            <v>16.95</v>
          </cell>
          <cell r="BB50">
            <v>12.112690054120568</v>
          </cell>
          <cell r="BC50">
            <v>18.169035081180851</v>
          </cell>
          <cell r="BD50">
            <v>24.225380108241136</v>
          </cell>
          <cell r="BE50">
            <v>30.281725135301421</v>
          </cell>
          <cell r="BF50">
            <v>36.338070162361703</v>
          </cell>
          <cell r="BG50">
            <v>12.112690054120568</v>
          </cell>
        </row>
        <row r="51">
          <cell r="A51">
            <v>36889</v>
          </cell>
          <cell r="B51">
            <v>105</v>
          </cell>
          <cell r="C51">
            <v>52.379956062349613</v>
          </cell>
          <cell r="D51">
            <v>62.855947274819542</v>
          </cell>
          <cell r="E51">
            <v>73.331938487289463</v>
          </cell>
          <cell r="F51">
            <v>83.807929699759384</v>
          </cell>
          <cell r="G51">
            <v>94.283920912229306</v>
          </cell>
          <cell r="H51">
            <v>104.75991212469923</v>
          </cell>
          <cell r="I51">
            <v>78.569934093524424</v>
          </cell>
          <cell r="J51">
            <v>5.2379956062349615</v>
          </cell>
          <cell r="M51">
            <v>105</v>
          </cell>
          <cell r="N51">
            <v>60.361962548383723</v>
          </cell>
          <cell r="O51">
            <v>72.434355058060461</v>
          </cell>
          <cell r="P51">
            <v>84.506747567737207</v>
          </cell>
          <cell r="Q51">
            <v>96.579140077413953</v>
          </cell>
          <cell r="R51">
            <v>108.6515325870907</v>
          </cell>
          <cell r="S51">
            <v>120.72392509676745</v>
          </cell>
          <cell r="T51">
            <v>90.54294382257558</v>
          </cell>
          <cell r="U51">
            <v>6.0361962548383721</v>
          </cell>
          <cell r="W51">
            <v>105</v>
          </cell>
          <cell r="X51">
            <v>48.056282037870069</v>
          </cell>
          <cell r="Y51">
            <v>72.084423056805107</v>
          </cell>
          <cell r="Z51">
            <v>96.112564075740138</v>
          </cell>
          <cell r="AA51">
            <v>120.14070509467517</v>
          </cell>
          <cell r="AB51">
            <v>144.16884611361021</v>
          </cell>
          <cell r="AC51">
            <v>24.028141018935035</v>
          </cell>
          <cell r="AF51">
            <v>20.149999999999999</v>
          </cell>
          <cell r="AG51">
            <v>13.3</v>
          </cell>
          <cell r="AH51">
            <v>15.96</v>
          </cell>
          <cell r="AI51">
            <v>18.62</v>
          </cell>
          <cell r="AJ51">
            <v>21.28</v>
          </cell>
          <cell r="AK51">
            <v>23.94</v>
          </cell>
          <cell r="AL51">
            <v>26.6</v>
          </cell>
          <cell r="AM51">
            <v>19.950000000000003</v>
          </cell>
          <cell r="AN51">
            <v>1.33</v>
          </cell>
          <cell r="AQ51">
            <v>20.149999999999999</v>
          </cell>
          <cell r="AR51">
            <v>10.296239814777355</v>
          </cell>
          <cell r="AS51">
            <v>14.414735740688297</v>
          </cell>
          <cell r="AT51">
            <v>18.533231666599239</v>
          </cell>
          <cell r="AU51">
            <v>22.651727592510181</v>
          </cell>
          <cell r="AV51">
            <v>26.770223518421123</v>
          </cell>
          <cell r="AW51">
            <v>30.888719444332065</v>
          </cell>
          <cell r="AX51">
            <v>20.59247962955471</v>
          </cell>
          <cell r="AY51">
            <v>2.059247962955471</v>
          </cell>
          <cell r="BA51">
            <v>20.149999999999999</v>
          </cell>
          <cell r="BB51">
            <v>12.232824427480915</v>
          </cell>
          <cell r="BC51">
            <v>18.349236641221374</v>
          </cell>
          <cell r="BD51">
            <v>24.465648854961831</v>
          </cell>
          <cell r="BE51">
            <v>30.582061068702288</v>
          </cell>
          <cell r="BF51">
            <v>36.698473282442748</v>
          </cell>
          <cell r="BG51">
            <v>12.232824427480915</v>
          </cell>
        </row>
        <row r="52">
          <cell r="A52">
            <v>36922</v>
          </cell>
          <cell r="B52">
            <v>102.5</v>
          </cell>
          <cell r="C52">
            <v>52.423980890609201</v>
          </cell>
          <cell r="D52">
            <v>62.908777068731041</v>
          </cell>
          <cell r="E52">
            <v>73.393573246852881</v>
          </cell>
          <cell r="F52">
            <v>83.878369424974721</v>
          </cell>
          <cell r="G52">
            <v>94.363165603096562</v>
          </cell>
          <cell r="H52">
            <v>104.8479617812184</v>
          </cell>
          <cell r="I52">
            <v>78.635971335913808</v>
          </cell>
          <cell r="J52">
            <v>5.2423980890609201</v>
          </cell>
          <cell r="M52">
            <v>102.5</v>
          </cell>
          <cell r="N52">
            <v>60.438679080796462</v>
          </cell>
          <cell r="O52">
            <v>72.526414896955743</v>
          </cell>
          <cell r="P52">
            <v>84.614150713115038</v>
          </cell>
          <cell r="Q52">
            <v>96.701886529274333</v>
          </cell>
          <cell r="R52">
            <v>108.78962234543363</v>
          </cell>
          <cell r="S52">
            <v>120.87735816159292</v>
          </cell>
          <cell r="T52">
            <v>90.658018621194685</v>
          </cell>
          <cell r="U52">
            <v>6.0438679080796458</v>
          </cell>
          <cell r="W52">
            <v>102.5</v>
          </cell>
          <cell r="X52">
            <v>47.98078599574572</v>
          </cell>
          <cell r="Y52">
            <v>71.97117899361858</v>
          </cell>
          <cell r="Z52">
            <v>95.961571991491439</v>
          </cell>
          <cell r="AA52">
            <v>119.9519649893643</v>
          </cell>
          <cell r="AB52">
            <v>143.94235798723716</v>
          </cell>
          <cell r="AC52">
            <v>23.99039299787286</v>
          </cell>
          <cell r="AF52">
            <v>21.35</v>
          </cell>
          <cell r="AG52">
            <v>13.178386361522003</v>
          </cell>
          <cell r="AH52">
            <v>15.814063633826404</v>
          </cell>
          <cell r="AI52">
            <v>18.449740906130806</v>
          </cell>
          <cell r="AJ52">
            <v>21.085418178435205</v>
          </cell>
          <cell r="AK52">
            <v>23.721095450739604</v>
          </cell>
          <cell r="AL52">
            <v>26.356772723044006</v>
          </cell>
          <cell r="AM52">
            <v>19.767579542283006</v>
          </cell>
          <cell r="AN52">
            <v>1.3178386361522003</v>
          </cell>
          <cell r="AQ52">
            <v>21.35</v>
          </cell>
          <cell r="AR52">
            <v>10.122004368309144</v>
          </cell>
          <cell r="AS52">
            <v>14.1708061156328</v>
          </cell>
          <cell r="AT52">
            <v>18.219607862956458</v>
          </cell>
          <cell r="AU52">
            <v>22.268409610280116</v>
          </cell>
          <cell r="AV52">
            <v>26.317211357603771</v>
          </cell>
          <cell r="AW52">
            <v>30.366013104927429</v>
          </cell>
          <cell r="AX52">
            <v>20.244008736618287</v>
          </cell>
          <cell r="AY52">
            <v>2.0244008736618286</v>
          </cell>
          <cell r="BA52">
            <v>21.35</v>
          </cell>
          <cell r="BB52">
            <v>12.274335034894067</v>
          </cell>
          <cell r="BC52">
            <v>18.411502552341101</v>
          </cell>
          <cell r="BD52">
            <v>24.548670069788134</v>
          </cell>
          <cell r="BE52">
            <v>30.685837587235167</v>
          </cell>
          <cell r="BF52">
            <v>36.823005104682203</v>
          </cell>
          <cell r="BG52">
            <v>12.274335034894067</v>
          </cell>
        </row>
        <row r="53">
          <cell r="A53">
            <v>36950</v>
          </cell>
          <cell r="B53">
            <v>92.75</v>
          </cell>
          <cell r="C53">
            <v>52.468005718868781</v>
          </cell>
          <cell r="D53">
            <v>62.961606862642533</v>
          </cell>
          <cell r="E53">
            <v>73.455208006416285</v>
          </cell>
          <cell r="F53">
            <v>83.948809150190044</v>
          </cell>
          <cell r="G53">
            <v>94.442410293963803</v>
          </cell>
          <cell r="H53">
            <v>104.93601143773756</v>
          </cell>
          <cell r="I53">
            <v>78.702008578303165</v>
          </cell>
          <cell r="J53">
            <v>5.2468005718868778</v>
          </cell>
          <cell r="M53">
            <v>92.75</v>
          </cell>
          <cell r="N53">
            <v>60.515395613209193</v>
          </cell>
          <cell r="O53">
            <v>72.618474735851038</v>
          </cell>
          <cell r="P53">
            <v>84.721553858492868</v>
          </cell>
          <cell r="Q53">
            <v>96.824632981134712</v>
          </cell>
          <cell r="R53">
            <v>108.92771210377656</v>
          </cell>
          <cell r="S53">
            <v>121.03079122641839</v>
          </cell>
          <cell r="T53">
            <v>90.77309341981379</v>
          </cell>
          <cell r="U53">
            <v>6.0515395613209195</v>
          </cell>
          <cell r="W53">
            <v>92.75</v>
          </cell>
          <cell r="X53">
            <v>47.90528995362137</v>
          </cell>
          <cell r="Y53">
            <v>71.857934930432052</v>
          </cell>
          <cell r="Z53">
            <v>95.81057990724274</v>
          </cell>
          <cell r="AA53">
            <v>119.76322488405343</v>
          </cell>
          <cell r="AB53">
            <v>143.7158698608641</v>
          </cell>
          <cell r="AC53">
            <v>23.952644976810685</v>
          </cell>
          <cell r="AF53">
            <v>19.3</v>
          </cell>
          <cell r="AG53">
            <v>13.056772723044006</v>
          </cell>
          <cell r="AH53">
            <v>15.668127267652807</v>
          </cell>
          <cell r="AI53">
            <v>18.279481812261608</v>
          </cell>
          <cell r="AJ53">
            <v>20.890836356870409</v>
          </cell>
          <cell r="AK53">
            <v>23.50219090147921</v>
          </cell>
          <cell r="AL53">
            <v>26.113545446088011</v>
          </cell>
          <cell r="AM53">
            <v>19.585159084566008</v>
          </cell>
          <cell r="AN53">
            <v>1.3056772723044006</v>
          </cell>
          <cell r="AQ53">
            <v>19.3</v>
          </cell>
          <cell r="AR53">
            <v>9.9477689218409306</v>
          </cell>
          <cell r="AS53">
            <v>13.926876490577303</v>
          </cell>
          <cell r="AT53">
            <v>17.905984059313674</v>
          </cell>
          <cell r="AU53">
            <v>21.885091628050048</v>
          </cell>
          <cell r="AV53">
            <v>25.864199196786419</v>
          </cell>
          <cell r="AW53">
            <v>29.84330676552279</v>
          </cell>
          <cell r="AX53">
            <v>19.895537843681861</v>
          </cell>
          <cell r="AY53">
            <v>1.9895537843681861</v>
          </cell>
          <cell r="BA53">
            <v>19.3</v>
          </cell>
          <cell r="BB53">
            <v>12.315845642307218</v>
          </cell>
          <cell r="BC53">
            <v>18.473768463460829</v>
          </cell>
          <cell r="BD53">
            <v>24.631691284614437</v>
          </cell>
          <cell r="BE53">
            <v>30.789614105768045</v>
          </cell>
          <cell r="BF53">
            <v>36.947536926921657</v>
          </cell>
          <cell r="BG53">
            <v>12.315845642307218</v>
          </cell>
        </row>
        <row r="54">
          <cell r="A54">
            <v>36980</v>
          </cell>
          <cell r="B54">
            <v>90.5</v>
          </cell>
          <cell r="C54">
            <v>52.512030547128354</v>
          </cell>
          <cell r="D54">
            <v>63.014436656554025</v>
          </cell>
          <cell r="E54">
            <v>73.516842765979703</v>
          </cell>
          <cell r="F54">
            <v>84.019248875405367</v>
          </cell>
          <cell r="G54">
            <v>94.521654984831031</v>
          </cell>
          <cell r="H54">
            <v>105.02406109425671</v>
          </cell>
          <cell r="I54">
            <v>78.768045820692535</v>
          </cell>
          <cell r="J54">
            <v>5.2512030547128354</v>
          </cell>
          <cell r="M54">
            <v>90.5</v>
          </cell>
          <cell r="N54">
            <v>60.592112145621932</v>
          </cell>
          <cell r="O54">
            <v>72.710534574746319</v>
          </cell>
          <cell r="P54">
            <v>84.828957003870698</v>
          </cell>
          <cell r="Q54">
            <v>96.947379432995092</v>
          </cell>
          <cell r="R54">
            <v>109.06580186211949</v>
          </cell>
          <cell r="S54">
            <v>121.18422429124386</v>
          </cell>
          <cell r="T54">
            <v>90.888168218432895</v>
          </cell>
          <cell r="U54">
            <v>6.0592112145621932</v>
          </cell>
          <cell r="W54">
            <v>90.5</v>
          </cell>
          <cell r="X54">
            <v>47.829793911497021</v>
          </cell>
          <cell r="Y54">
            <v>71.744690867245538</v>
          </cell>
          <cell r="Z54">
            <v>95.659587822994041</v>
          </cell>
          <cell r="AA54">
            <v>119.57448477874254</v>
          </cell>
          <cell r="AB54">
            <v>143.48938173449108</v>
          </cell>
          <cell r="AC54">
            <v>23.91489695574851</v>
          </cell>
          <cell r="AF54">
            <v>17.55</v>
          </cell>
          <cell r="AG54">
            <v>12.935159084566008</v>
          </cell>
          <cell r="AH54">
            <v>15.52219090147921</v>
          </cell>
          <cell r="AI54">
            <v>18.109222718392409</v>
          </cell>
          <cell r="AJ54">
            <v>20.696254535305613</v>
          </cell>
          <cell r="AK54">
            <v>23.283286352218816</v>
          </cell>
          <cell r="AL54">
            <v>25.870318169132016</v>
          </cell>
          <cell r="AM54">
            <v>19.402738626849011</v>
          </cell>
          <cell r="AN54">
            <v>1.2935159084566008</v>
          </cell>
          <cell r="AQ54">
            <v>17.55</v>
          </cell>
          <cell r="AR54">
            <v>9.7735334753727177</v>
          </cell>
          <cell r="AS54">
            <v>13.682946865521805</v>
          </cell>
          <cell r="AT54">
            <v>17.59236025567089</v>
          </cell>
          <cell r="AU54">
            <v>21.501773645819981</v>
          </cell>
          <cell r="AV54">
            <v>25.411187035969064</v>
          </cell>
          <cell r="AW54">
            <v>29.320600426118155</v>
          </cell>
          <cell r="AX54">
            <v>19.547066950745435</v>
          </cell>
          <cell r="AY54">
            <v>1.9547066950745435</v>
          </cell>
          <cell r="BA54">
            <v>17.55</v>
          </cell>
          <cell r="BB54">
            <v>12.35735624972037</v>
          </cell>
          <cell r="BC54">
            <v>18.536034374580556</v>
          </cell>
          <cell r="BD54">
            <v>24.71471249944074</v>
          </cell>
          <cell r="BE54">
            <v>30.893390624300924</v>
          </cell>
          <cell r="BF54">
            <v>37.072068749161112</v>
          </cell>
          <cell r="BG54">
            <v>12.35735624972037</v>
          </cell>
        </row>
        <row r="55">
          <cell r="A55">
            <v>37011</v>
          </cell>
          <cell r="B55">
            <v>92</v>
          </cell>
          <cell r="C55">
            <v>52.556055375387928</v>
          </cell>
          <cell r="D55">
            <v>63.067266450465517</v>
          </cell>
          <cell r="E55">
            <v>73.578477525543107</v>
          </cell>
          <cell r="F55">
            <v>84.08968860062069</v>
          </cell>
          <cell r="G55">
            <v>94.600899675698273</v>
          </cell>
          <cell r="H55">
            <v>105.11211075077586</v>
          </cell>
          <cell r="I55">
            <v>78.834083063081891</v>
          </cell>
          <cell r="J55">
            <v>5.2556055375387931</v>
          </cell>
          <cell r="M55">
            <v>92</v>
          </cell>
          <cell r="N55">
            <v>60.668828678034671</v>
          </cell>
          <cell r="O55">
            <v>72.8025944136416</v>
          </cell>
          <cell r="P55">
            <v>84.936360149248543</v>
          </cell>
          <cell r="Q55">
            <v>97.070125884855472</v>
          </cell>
          <cell r="R55">
            <v>109.2038916204624</v>
          </cell>
          <cell r="S55">
            <v>121.33765735606934</v>
          </cell>
          <cell r="T55">
            <v>91.003243017052</v>
          </cell>
          <cell r="U55">
            <v>6.066882867803467</v>
          </cell>
          <cell r="W55">
            <v>92</v>
          </cell>
          <cell r="X55">
            <v>47.754297869372671</v>
          </cell>
          <cell r="Y55">
            <v>71.63144680405901</v>
          </cell>
          <cell r="Z55">
            <v>95.508595738745342</v>
          </cell>
          <cell r="AA55">
            <v>119.38574467343167</v>
          </cell>
          <cell r="AB55">
            <v>143.26289360811802</v>
          </cell>
          <cell r="AC55">
            <v>23.877148934686335</v>
          </cell>
          <cell r="AF55">
            <v>17.7</v>
          </cell>
          <cell r="AG55">
            <v>12.81354544608801</v>
          </cell>
          <cell r="AH55">
            <v>15.376254535305613</v>
          </cell>
          <cell r="AI55">
            <v>17.938963624523215</v>
          </cell>
          <cell r="AJ55">
            <v>20.501672713740817</v>
          </cell>
          <cell r="AK55">
            <v>23.064381802958419</v>
          </cell>
          <cell r="AL55">
            <v>25.627090892176021</v>
          </cell>
          <cell r="AM55">
            <v>19.220318169132014</v>
          </cell>
          <cell r="AN55">
            <v>1.281354544608801</v>
          </cell>
          <cell r="AQ55">
            <v>17.7</v>
          </cell>
          <cell r="AR55">
            <v>9.5992980289045047</v>
          </cell>
          <cell r="AS55">
            <v>13.439017240466306</v>
          </cell>
          <cell r="AT55">
            <v>17.278736452028109</v>
          </cell>
          <cell r="AU55">
            <v>21.118455663589909</v>
          </cell>
          <cell r="AV55">
            <v>24.958174875151713</v>
          </cell>
          <cell r="AW55">
            <v>28.797894086713516</v>
          </cell>
          <cell r="AX55">
            <v>19.198596057809009</v>
          </cell>
          <cell r="AY55">
            <v>1.919859605780901</v>
          </cell>
          <cell r="BA55">
            <v>17.7</v>
          </cell>
          <cell r="BB55">
            <v>12.398866857133521</v>
          </cell>
          <cell r="BC55">
            <v>18.598300285700283</v>
          </cell>
          <cell r="BD55">
            <v>24.797733714267043</v>
          </cell>
          <cell r="BE55">
            <v>30.997167142833803</v>
          </cell>
          <cell r="BF55">
            <v>37.196600571400566</v>
          </cell>
          <cell r="BG55">
            <v>12.398866857133521</v>
          </cell>
          <cell r="CN55" t="str">
            <v>BOCHK</v>
          </cell>
          <cell r="CW55" t="str">
            <v>BOCHK</v>
          </cell>
          <cell r="DF55" t="str">
            <v>BOCHK</v>
          </cell>
        </row>
        <row r="56">
          <cell r="A56">
            <v>37042</v>
          </cell>
          <cell r="B56">
            <v>86.5</v>
          </cell>
          <cell r="C56">
            <v>52.600080203647508</v>
          </cell>
          <cell r="D56">
            <v>63.120096244377009</v>
          </cell>
          <cell r="E56">
            <v>73.640112285106511</v>
          </cell>
          <cell r="F56">
            <v>84.160128325836013</v>
          </cell>
          <cell r="G56">
            <v>94.680144366565514</v>
          </cell>
          <cell r="H56">
            <v>105.20016040729502</v>
          </cell>
          <cell r="I56">
            <v>78.900120305471262</v>
          </cell>
          <cell r="J56">
            <v>5.2600080203647508</v>
          </cell>
          <cell r="M56">
            <v>86.5</v>
          </cell>
          <cell r="N56">
            <v>60.745545210447403</v>
          </cell>
          <cell r="O56">
            <v>72.894654252536895</v>
          </cell>
          <cell r="P56">
            <v>85.043763294626373</v>
          </cell>
          <cell r="Q56">
            <v>97.192872336715851</v>
          </cell>
          <cell r="R56">
            <v>109.34198137880533</v>
          </cell>
          <cell r="S56">
            <v>121.49109042089481</v>
          </cell>
          <cell r="T56">
            <v>91.118317815671105</v>
          </cell>
          <cell r="U56">
            <v>6.0745545210447407</v>
          </cell>
          <cell r="W56">
            <v>86.5</v>
          </cell>
          <cell r="X56">
            <v>47.678801827248321</v>
          </cell>
          <cell r="Y56">
            <v>71.518202740872482</v>
          </cell>
          <cell r="Z56">
            <v>95.357603654496643</v>
          </cell>
          <cell r="AA56">
            <v>119.1970045681208</v>
          </cell>
          <cell r="AB56">
            <v>143.03640548174496</v>
          </cell>
          <cell r="AC56">
            <v>23.839400913624161</v>
          </cell>
          <cell r="AF56">
            <v>18.05</v>
          </cell>
          <cell r="AG56">
            <v>12.691931807610013</v>
          </cell>
          <cell r="AH56">
            <v>15.230318169132016</v>
          </cell>
          <cell r="AI56">
            <v>17.76870453065402</v>
          </cell>
          <cell r="AJ56">
            <v>20.307090892176021</v>
          </cell>
          <cell r="AK56">
            <v>22.845477253698022</v>
          </cell>
          <cell r="AL56">
            <v>25.383863615220026</v>
          </cell>
          <cell r="AM56">
            <v>19.03789771141502</v>
          </cell>
          <cell r="AN56">
            <v>1.2691931807610013</v>
          </cell>
          <cell r="AQ56">
            <v>18.05</v>
          </cell>
          <cell r="AR56">
            <v>9.4250625824362917</v>
          </cell>
          <cell r="AS56">
            <v>13.195087615410809</v>
          </cell>
          <cell r="AT56">
            <v>16.965112648385325</v>
          </cell>
          <cell r="AU56">
            <v>20.735137681359841</v>
          </cell>
          <cell r="AV56">
            <v>24.505162714334361</v>
          </cell>
          <cell r="AW56">
            <v>28.275187747308877</v>
          </cell>
          <cell r="AX56">
            <v>18.850125164872583</v>
          </cell>
          <cell r="AY56">
            <v>1.8850125164872584</v>
          </cell>
          <cell r="BA56">
            <v>18.05</v>
          </cell>
          <cell r="BB56">
            <v>12.440377464546673</v>
          </cell>
          <cell r="BC56">
            <v>18.66056619682001</v>
          </cell>
          <cell r="BD56">
            <v>24.880754929093346</v>
          </cell>
          <cell r="BE56">
            <v>31.100943661366681</v>
          </cell>
          <cell r="BF56">
            <v>37.321132393640021</v>
          </cell>
          <cell r="BG56">
            <v>12.440377464546673</v>
          </cell>
          <cell r="CN56" t="str">
            <v>PE</v>
          </cell>
          <cell r="CW56" t="str">
            <v>PPE</v>
          </cell>
          <cell r="DF56" t="str">
            <v>PB</v>
          </cell>
        </row>
        <row r="57">
          <cell r="A57">
            <v>37071</v>
          </cell>
          <cell r="B57">
            <v>80</v>
          </cell>
          <cell r="C57">
            <v>52.644105031907088</v>
          </cell>
          <cell r="D57">
            <v>63.172926038288502</v>
          </cell>
          <cell r="E57">
            <v>73.701747044669915</v>
          </cell>
          <cell r="F57">
            <v>84.230568051051335</v>
          </cell>
          <cell r="G57">
            <v>94.759389057432756</v>
          </cell>
          <cell r="H57">
            <v>105.28821006381418</v>
          </cell>
          <cell r="I57">
            <v>78.966157547860632</v>
          </cell>
          <cell r="J57">
            <v>5.2644105031907085</v>
          </cell>
          <cell r="M57">
            <v>80</v>
          </cell>
          <cell r="N57">
            <v>60.822261742860142</v>
          </cell>
          <cell r="O57">
            <v>72.986714091432177</v>
          </cell>
          <cell r="P57">
            <v>85.151166440004204</v>
          </cell>
          <cell r="Q57">
            <v>97.315618788576231</v>
          </cell>
          <cell r="R57">
            <v>109.48007113714826</v>
          </cell>
          <cell r="S57">
            <v>121.64452348572028</v>
          </cell>
          <cell r="T57">
            <v>91.23339261429021</v>
          </cell>
          <cell r="U57">
            <v>6.0822261742860144</v>
          </cell>
          <cell r="W57">
            <v>80</v>
          </cell>
          <cell r="X57">
            <v>47.603305785123972</v>
          </cell>
          <cell r="Y57">
            <v>71.404958677685954</v>
          </cell>
          <cell r="Z57">
            <v>95.206611570247944</v>
          </cell>
          <cell r="AA57">
            <v>119.00826446280993</v>
          </cell>
          <cell r="AB57">
            <v>142.80991735537191</v>
          </cell>
          <cell r="AC57">
            <v>23.801652892561986</v>
          </cell>
          <cell r="AF57">
            <v>18.100000000000001</v>
          </cell>
          <cell r="AG57">
            <v>12.570318169132015</v>
          </cell>
          <cell r="AH57">
            <v>15.084381802958418</v>
          </cell>
          <cell r="AI57">
            <v>17.598445436784822</v>
          </cell>
          <cell r="AJ57">
            <v>20.112509070611225</v>
          </cell>
          <cell r="AK57">
            <v>22.626572704437628</v>
          </cell>
          <cell r="AL57">
            <v>25.140636338264031</v>
          </cell>
          <cell r="AM57">
            <v>18.855477253698023</v>
          </cell>
          <cell r="AN57">
            <v>1.2570318169132015</v>
          </cell>
          <cell r="AQ57">
            <v>18.100000000000001</v>
          </cell>
          <cell r="AR57">
            <v>9.2508271359680787</v>
          </cell>
          <cell r="AS57">
            <v>12.951157990355311</v>
          </cell>
          <cell r="AT57">
            <v>16.651488844742541</v>
          </cell>
          <cell r="AU57">
            <v>20.351819699129774</v>
          </cell>
          <cell r="AV57">
            <v>24.052150553517006</v>
          </cell>
          <cell r="AW57">
            <v>27.752481407904238</v>
          </cell>
          <cell r="AX57">
            <v>18.501654271936157</v>
          </cell>
          <cell r="AY57">
            <v>1.8501654271936159</v>
          </cell>
          <cell r="BA57">
            <v>18.100000000000001</v>
          </cell>
          <cell r="BB57">
            <v>12.481888071959824</v>
          </cell>
          <cell r="BC57">
            <v>18.722832107939738</v>
          </cell>
          <cell r="BD57">
            <v>24.963776143919649</v>
          </cell>
          <cell r="BE57">
            <v>31.20472017989956</v>
          </cell>
          <cell r="BF57">
            <v>37.445664215879475</v>
          </cell>
          <cell r="BG57">
            <v>12.481888071959824</v>
          </cell>
        </row>
        <row r="58">
          <cell r="A58">
            <v>37103</v>
          </cell>
          <cell r="B58">
            <v>87.5</v>
          </cell>
          <cell r="C58">
            <v>52.688129860166661</v>
          </cell>
          <cell r="D58">
            <v>63.225755832199994</v>
          </cell>
          <cell r="E58">
            <v>73.763381804233319</v>
          </cell>
          <cell r="F58">
            <v>84.301007776266658</v>
          </cell>
          <cell r="G58">
            <v>94.838633748299998</v>
          </cell>
          <cell r="H58">
            <v>105.37625972033332</v>
          </cell>
          <cell r="I58">
            <v>79.032194790249989</v>
          </cell>
          <cell r="J58">
            <v>5.2688129860166661</v>
          </cell>
          <cell r="M58">
            <v>87.5</v>
          </cell>
          <cell r="N58">
            <v>60.898978275272881</v>
          </cell>
          <cell r="O58">
            <v>73.078773930327458</v>
          </cell>
          <cell r="P58">
            <v>85.258569585382034</v>
          </cell>
          <cell r="Q58">
            <v>97.43836524043661</v>
          </cell>
          <cell r="R58">
            <v>109.61816089549119</v>
          </cell>
          <cell r="S58">
            <v>121.79795655054576</v>
          </cell>
          <cell r="T58">
            <v>91.348467412909315</v>
          </cell>
          <cell r="U58">
            <v>6.0898978275272881</v>
          </cell>
          <cell r="W58">
            <v>87.5</v>
          </cell>
          <cell r="X58">
            <v>47.527809742999622</v>
          </cell>
          <cell r="Y58">
            <v>71.291714614499426</v>
          </cell>
          <cell r="Z58">
            <v>95.055619485999244</v>
          </cell>
          <cell r="AA58">
            <v>118.81952435749906</v>
          </cell>
          <cell r="AB58">
            <v>142.58342922899885</v>
          </cell>
          <cell r="AC58">
            <v>23.763904871499811</v>
          </cell>
          <cell r="AF58">
            <v>18.2</v>
          </cell>
          <cell r="AG58">
            <v>12.448704530654018</v>
          </cell>
          <cell r="AH58">
            <v>14.938445436784821</v>
          </cell>
          <cell r="AI58">
            <v>17.428186342915623</v>
          </cell>
          <cell r="AJ58">
            <v>19.917927249046429</v>
          </cell>
          <cell r="AK58">
            <v>22.407668155177234</v>
          </cell>
          <cell r="AL58">
            <v>24.897409061308036</v>
          </cell>
          <cell r="AM58">
            <v>18.673056795981026</v>
          </cell>
          <cell r="AN58">
            <v>1.2448704530654018</v>
          </cell>
          <cell r="AQ58">
            <v>18.2</v>
          </cell>
          <cell r="AR58">
            <v>9.0765916894998675</v>
          </cell>
          <cell r="AS58">
            <v>12.707228365299812</v>
          </cell>
          <cell r="AT58">
            <v>16.337865041099761</v>
          </cell>
          <cell r="AU58">
            <v>19.968501716899706</v>
          </cell>
          <cell r="AV58">
            <v>23.599138392699654</v>
          </cell>
          <cell r="AW58">
            <v>27.229775068499599</v>
          </cell>
          <cell r="AX58">
            <v>18.153183378999735</v>
          </cell>
          <cell r="AY58">
            <v>1.8153183378999733</v>
          </cell>
          <cell r="BA58">
            <v>18.2</v>
          </cell>
          <cell r="BB58">
            <v>12.523398679372976</v>
          </cell>
          <cell r="BC58">
            <v>18.785098019059465</v>
          </cell>
          <cell r="BD58">
            <v>25.046797358745952</v>
          </cell>
          <cell r="BE58">
            <v>31.308496698432439</v>
          </cell>
          <cell r="BF58">
            <v>37.570196038118929</v>
          </cell>
          <cell r="BG58">
            <v>12.523398679372976</v>
          </cell>
        </row>
        <row r="59">
          <cell r="A59">
            <v>37134</v>
          </cell>
          <cell r="B59">
            <v>87.75</v>
          </cell>
          <cell r="C59">
            <v>52.732154688426235</v>
          </cell>
          <cell r="D59">
            <v>63.278585626111486</v>
          </cell>
          <cell r="E59">
            <v>73.825016563796737</v>
          </cell>
          <cell r="F59">
            <v>84.371447501481981</v>
          </cell>
          <cell r="G59">
            <v>94.917878439167225</v>
          </cell>
          <cell r="H59">
            <v>105.46430937685247</v>
          </cell>
          <cell r="I59">
            <v>79.098232032639359</v>
          </cell>
          <cell r="J59">
            <v>5.2732154688426238</v>
          </cell>
          <cell r="M59">
            <v>87.75</v>
          </cell>
          <cell r="N59">
            <v>60.97569480768562</v>
          </cell>
          <cell r="O59">
            <v>73.170833769222739</v>
          </cell>
          <cell r="P59">
            <v>85.365972730759864</v>
          </cell>
          <cell r="Q59">
            <v>97.56111169229699</v>
          </cell>
          <cell r="R59">
            <v>109.75625065383412</v>
          </cell>
          <cell r="S59">
            <v>121.95138961537124</v>
          </cell>
          <cell r="T59">
            <v>91.463542211528434</v>
          </cell>
          <cell r="U59">
            <v>6.0975694807685619</v>
          </cell>
          <cell r="W59">
            <v>87.75</v>
          </cell>
          <cell r="X59">
            <v>47.452313700875273</v>
          </cell>
          <cell r="Y59">
            <v>71.178470551312913</v>
          </cell>
          <cell r="Z59">
            <v>94.904627401750545</v>
          </cell>
          <cell r="AA59">
            <v>118.63078425218818</v>
          </cell>
          <cell r="AB59">
            <v>142.35694110262583</v>
          </cell>
          <cell r="AC59">
            <v>23.726156850437636</v>
          </cell>
          <cell r="AF59">
            <v>17.850000000000001</v>
          </cell>
          <cell r="AG59">
            <v>12.32709089217602</v>
          </cell>
          <cell r="AH59">
            <v>14.792509070611224</v>
          </cell>
          <cell r="AI59">
            <v>17.257927249046428</v>
          </cell>
          <cell r="AJ59">
            <v>19.723345427481632</v>
          </cell>
          <cell r="AK59">
            <v>22.188763605916836</v>
          </cell>
          <cell r="AL59">
            <v>24.654181784352041</v>
          </cell>
          <cell r="AM59">
            <v>18.490636338264032</v>
          </cell>
          <cell r="AN59">
            <v>1.232709089217602</v>
          </cell>
          <cell r="AQ59">
            <v>17.850000000000001</v>
          </cell>
          <cell r="AR59">
            <v>8.9023562430316545</v>
          </cell>
          <cell r="AS59">
            <v>12.463298740244316</v>
          </cell>
          <cell r="AT59">
            <v>16.024241237456977</v>
          </cell>
          <cell r="AU59">
            <v>19.585183734669638</v>
          </cell>
          <cell r="AV59">
            <v>23.146126231882299</v>
          </cell>
          <cell r="AW59">
            <v>26.70706872909496</v>
          </cell>
          <cell r="AX59">
            <v>17.804712486063309</v>
          </cell>
          <cell r="AY59">
            <v>1.7804712486063308</v>
          </cell>
          <cell r="BA59">
            <v>17.850000000000001</v>
          </cell>
          <cell r="BB59">
            <v>12.564909286786127</v>
          </cell>
          <cell r="BC59">
            <v>18.847363930179192</v>
          </cell>
          <cell r="BD59">
            <v>25.129818573572255</v>
          </cell>
          <cell r="BE59">
            <v>31.412273216965318</v>
          </cell>
          <cell r="BF59">
            <v>37.694727860358384</v>
          </cell>
          <cell r="BG59">
            <v>12.564909286786127</v>
          </cell>
        </row>
        <row r="60">
          <cell r="A60">
            <v>37162</v>
          </cell>
          <cell r="B60">
            <v>80.75</v>
          </cell>
          <cell r="C60">
            <v>52.776179516685815</v>
          </cell>
          <cell r="D60">
            <v>63.331415420022978</v>
          </cell>
          <cell r="E60">
            <v>73.886651323360141</v>
          </cell>
          <cell r="F60">
            <v>84.441887226697304</v>
          </cell>
          <cell r="G60">
            <v>94.997123130034467</v>
          </cell>
          <cell r="H60">
            <v>105.55235903337163</v>
          </cell>
          <cell r="I60">
            <v>79.164269275028715</v>
          </cell>
          <cell r="J60">
            <v>5.2776179516685815</v>
          </cell>
          <cell r="M60">
            <v>80.75</v>
          </cell>
          <cell r="N60">
            <v>61.052411340098359</v>
          </cell>
          <cell r="O60">
            <v>73.26289360811802</v>
          </cell>
          <cell r="P60">
            <v>85.473375876137695</v>
          </cell>
          <cell r="Q60">
            <v>97.683858144157369</v>
          </cell>
          <cell r="R60">
            <v>109.89434041217704</v>
          </cell>
          <cell r="S60">
            <v>122.10482268019672</v>
          </cell>
          <cell r="T60">
            <v>91.578617010147539</v>
          </cell>
          <cell r="U60">
            <v>6.1052411340098356</v>
          </cell>
          <cell r="W60">
            <v>80.75</v>
          </cell>
          <cell r="X60">
            <v>47.376817658750923</v>
          </cell>
          <cell r="Y60">
            <v>71.065226488126385</v>
          </cell>
          <cell r="Z60">
            <v>94.753635317501846</v>
          </cell>
          <cell r="AA60">
            <v>118.44204414687731</v>
          </cell>
          <cell r="AB60">
            <v>142.13045297625277</v>
          </cell>
          <cell r="AC60">
            <v>23.688408829375462</v>
          </cell>
          <cell r="AF60">
            <v>15.55</v>
          </cell>
          <cell r="AG60">
            <v>12.205477253698023</v>
          </cell>
          <cell r="AH60">
            <v>14.646572704437627</v>
          </cell>
          <cell r="AI60">
            <v>17.087668155177234</v>
          </cell>
          <cell r="AJ60">
            <v>19.528763605916836</v>
          </cell>
          <cell r="AK60">
            <v>21.969859056656439</v>
          </cell>
          <cell r="AL60">
            <v>24.410954507396045</v>
          </cell>
          <cell r="AM60">
            <v>18.308215880547035</v>
          </cell>
          <cell r="AN60">
            <v>1.2205477253698023</v>
          </cell>
          <cell r="AQ60">
            <v>15.55</v>
          </cell>
          <cell r="AR60">
            <v>8.7281207965634415</v>
          </cell>
          <cell r="AS60">
            <v>12.219369115188817</v>
          </cell>
          <cell r="AT60">
            <v>15.710617433814194</v>
          </cell>
          <cell r="AU60">
            <v>19.20186575243957</v>
          </cell>
          <cell r="AV60">
            <v>22.693114071064947</v>
          </cell>
          <cell r="AW60">
            <v>26.184362389690325</v>
          </cell>
          <cell r="AX60">
            <v>17.456241593126883</v>
          </cell>
          <cell r="AY60">
            <v>1.7456241593126882</v>
          </cell>
          <cell r="BA60">
            <v>15.55</v>
          </cell>
          <cell r="BB60">
            <v>12.606419894199279</v>
          </cell>
          <cell r="BC60">
            <v>18.909629841298919</v>
          </cell>
          <cell r="BD60">
            <v>25.212839788398558</v>
          </cell>
          <cell r="BE60">
            <v>31.516049735498196</v>
          </cell>
          <cell r="BF60">
            <v>37.819259682597838</v>
          </cell>
          <cell r="BG60">
            <v>12.606419894199279</v>
          </cell>
        </row>
        <row r="61">
          <cell r="A61">
            <v>37195</v>
          </cell>
          <cell r="B61">
            <v>78.25</v>
          </cell>
          <cell r="C61">
            <v>52.820204344945395</v>
          </cell>
          <cell r="D61">
            <v>63.38424521393447</v>
          </cell>
          <cell r="E61">
            <v>73.948286082923545</v>
          </cell>
          <cell r="F61">
            <v>84.512326951912627</v>
          </cell>
          <cell r="G61">
            <v>95.076367820901709</v>
          </cell>
          <cell r="H61">
            <v>105.64040868989079</v>
          </cell>
          <cell r="I61">
            <v>79.230306517418086</v>
          </cell>
          <cell r="J61">
            <v>5.2820204344945392</v>
          </cell>
          <cell r="M61">
            <v>78.25</v>
          </cell>
          <cell r="N61">
            <v>61.129127872511091</v>
          </cell>
          <cell r="O61">
            <v>73.354953447013315</v>
          </cell>
          <cell r="P61">
            <v>85.580779021515525</v>
          </cell>
          <cell r="Q61">
            <v>97.806604596017749</v>
          </cell>
          <cell r="R61">
            <v>110.03243017051997</v>
          </cell>
          <cell r="S61">
            <v>122.25825574502218</v>
          </cell>
          <cell r="T61">
            <v>91.693691808766644</v>
          </cell>
          <cell r="U61">
            <v>6.1129127872511093</v>
          </cell>
          <cell r="W61">
            <v>78.25</v>
          </cell>
          <cell r="X61">
            <v>47.301321616626574</v>
          </cell>
          <cell r="Y61">
            <v>70.951982424939857</v>
          </cell>
          <cell r="Z61">
            <v>94.602643233253147</v>
          </cell>
          <cell r="AA61">
            <v>118.25330404156644</v>
          </cell>
          <cell r="AB61">
            <v>141.90396484987971</v>
          </cell>
          <cell r="AC61">
            <v>23.650660808313287</v>
          </cell>
          <cell r="AF61">
            <v>15.55</v>
          </cell>
          <cell r="AG61">
            <v>12.083863615220025</v>
          </cell>
          <cell r="AH61">
            <v>14.50063633826403</v>
          </cell>
          <cell r="AI61">
            <v>16.917409061308035</v>
          </cell>
          <cell r="AJ61">
            <v>19.33418178435204</v>
          </cell>
          <cell r="AK61">
            <v>21.750954507396045</v>
          </cell>
          <cell r="AL61">
            <v>24.16772723044005</v>
          </cell>
          <cell r="AM61">
            <v>18.125795422830038</v>
          </cell>
          <cell r="AN61">
            <v>1.2083863615220025</v>
          </cell>
          <cell r="AQ61">
            <v>15.55</v>
          </cell>
          <cell r="AR61">
            <v>8.5538853500952285</v>
          </cell>
          <cell r="AS61">
            <v>11.97543949013332</v>
          </cell>
          <cell r="AT61">
            <v>15.39699363017141</v>
          </cell>
          <cell r="AU61">
            <v>18.818547770209502</v>
          </cell>
          <cell r="AV61">
            <v>22.240101910247592</v>
          </cell>
          <cell r="AW61">
            <v>25.661656050285686</v>
          </cell>
          <cell r="AX61">
            <v>17.107770700190457</v>
          </cell>
          <cell r="AY61">
            <v>1.7107770700190457</v>
          </cell>
          <cell r="BA61">
            <v>15.55</v>
          </cell>
          <cell r="BB61">
            <v>12.64793050161243</v>
          </cell>
          <cell r="BC61">
            <v>18.971895752418646</v>
          </cell>
          <cell r="BD61">
            <v>25.295861003224861</v>
          </cell>
          <cell r="BE61">
            <v>31.619826254031075</v>
          </cell>
          <cell r="BF61">
            <v>37.943791504837293</v>
          </cell>
          <cell r="BG61">
            <v>12.64793050161243</v>
          </cell>
        </row>
        <row r="62">
          <cell r="A62">
            <v>37225</v>
          </cell>
          <cell r="B62">
            <v>84.5</v>
          </cell>
          <cell r="C62">
            <v>52.864229173204969</v>
          </cell>
          <cell r="D62">
            <v>63.437075007845962</v>
          </cell>
          <cell r="E62">
            <v>74.009920842486963</v>
          </cell>
          <cell r="F62">
            <v>84.58276667712795</v>
          </cell>
          <cell r="G62">
            <v>95.155612511768936</v>
          </cell>
          <cell r="H62">
            <v>105.72845834640994</v>
          </cell>
          <cell r="I62">
            <v>79.296343759807456</v>
          </cell>
          <cell r="J62">
            <v>5.2864229173204969</v>
          </cell>
          <cell r="M62">
            <v>84.5</v>
          </cell>
          <cell r="N62">
            <v>61.20584440492383</v>
          </cell>
          <cell r="O62">
            <v>73.447013285908596</v>
          </cell>
          <cell r="P62">
            <v>85.68818216689337</v>
          </cell>
          <cell r="Q62">
            <v>97.929351047878129</v>
          </cell>
          <cell r="R62">
            <v>110.17051992886289</v>
          </cell>
          <cell r="S62">
            <v>122.41168880984766</v>
          </cell>
          <cell r="T62">
            <v>91.808766607385749</v>
          </cell>
          <cell r="U62">
            <v>6.120584440492383</v>
          </cell>
          <cell r="W62">
            <v>84.5</v>
          </cell>
          <cell r="X62">
            <v>47.225825574502224</v>
          </cell>
          <cell r="Y62">
            <v>70.838738361753343</v>
          </cell>
          <cell r="Z62">
            <v>94.451651149004448</v>
          </cell>
          <cell r="AA62">
            <v>118.06456393625555</v>
          </cell>
          <cell r="AB62">
            <v>141.67747672350669</v>
          </cell>
          <cell r="AC62">
            <v>23.612912787251112</v>
          </cell>
          <cell r="AF62">
            <v>16.45</v>
          </cell>
          <cell r="AG62">
            <v>11.962249976742028</v>
          </cell>
          <cell r="AH62">
            <v>14.354699972090433</v>
          </cell>
          <cell r="AI62">
            <v>16.747149967438837</v>
          </cell>
          <cell r="AJ62">
            <v>19.139599962787244</v>
          </cell>
          <cell r="AK62">
            <v>21.532049958135651</v>
          </cell>
          <cell r="AL62">
            <v>23.924499953484055</v>
          </cell>
          <cell r="AM62">
            <v>17.943374965113041</v>
          </cell>
          <cell r="AN62">
            <v>1.1962249976742028</v>
          </cell>
          <cell r="AQ62">
            <v>16.45</v>
          </cell>
          <cell r="AR62">
            <v>8.3796499036270156</v>
          </cell>
          <cell r="AS62">
            <v>11.731509865077822</v>
          </cell>
          <cell r="AT62">
            <v>15.083369826528628</v>
          </cell>
          <cell r="AU62">
            <v>18.435229787979434</v>
          </cell>
          <cell r="AV62">
            <v>21.78708974943024</v>
          </cell>
          <cell r="AW62">
            <v>25.138949710881047</v>
          </cell>
          <cell r="AX62">
            <v>16.759299807254031</v>
          </cell>
          <cell r="AY62">
            <v>1.6759299807254031</v>
          </cell>
          <cell r="BA62">
            <v>16.45</v>
          </cell>
          <cell r="BB62">
            <v>12.689441109025582</v>
          </cell>
          <cell r="BC62">
            <v>19.034161663538374</v>
          </cell>
          <cell r="BD62">
            <v>25.378882218051164</v>
          </cell>
          <cell r="BE62">
            <v>31.723602772563954</v>
          </cell>
          <cell r="BF62">
            <v>38.068323327076747</v>
          </cell>
          <cell r="BG62">
            <v>12.689441109025582</v>
          </cell>
        </row>
        <row r="63">
          <cell r="A63">
            <v>37256</v>
          </cell>
          <cell r="B63">
            <v>85.75</v>
          </cell>
          <cell r="C63">
            <v>52.908254001464591</v>
          </cell>
          <cell r="D63">
            <v>63.489904801757504</v>
          </cell>
          <cell r="E63">
            <v>74.071555602050424</v>
          </cell>
          <cell r="F63">
            <v>84.653206402343343</v>
          </cell>
          <cell r="G63">
            <v>95.234857202636263</v>
          </cell>
          <cell r="H63">
            <v>105.81650800292918</v>
          </cell>
          <cell r="I63">
            <v>79.362381002196884</v>
          </cell>
          <cell r="J63">
            <v>5.290825400146459</v>
          </cell>
          <cell r="M63">
            <v>85.75</v>
          </cell>
          <cell r="N63">
            <v>61.282560937336541</v>
          </cell>
          <cell r="O63">
            <v>73.539073124803849</v>
          </cell>
          <cell r="P63">
            <v>85.795585312271157</v>
          </cell>
          <cell r="Q63">
            <v>98.052097499738466</v>
          </cell>
          <cell r="R63">
            <v>110.30860968720577</v>
          </cell>
          <cell r="S63">
            <v>122.56512187467308</v>
          </cell>
          <cell r="T63">
            <v>91.923841406004811</v>
          </cell>
          <cell r="U63">
            <v>6.1282560937336541</v>
          </cell>
          <cell r="W63">
            <v>85.75</v>
          </cell>
          <cell r="X63">
            <v>47.150329532377867</v>
          </cell>
          <cell r="Y63">
            <v>70.725494298566801</v>
          </cell>
          <cell r="Z63">
            <v>94.300659064755735</v>
          </cell>
          <cell r="AA63">
            <v>117.87582383094467</v>
          </cell>
          <cell r="AB63">
            <v>141.4509885971336</v>
          </cell>
          <cell r="AC63">
            <v>23.575164766188934</v>
          </cell>
          <cell r="AF63">
            <v>16.8</v>
          </cell>
          <cell r="AG63">
            <v>11.840636338264027</v>
          </cell>
          <cell r="AH63">
            <v>14.208763605916831</v>
          </cell>
          <cell r="AI63">
            <v>16.576890873569635</v>
          </cell>
          <cell r="AJ63">
            <v>18.945018141222441</v>
          </cell>
          <cell r="AK63">
            <v>21.313145408875247</v>
          </cell>
          <cell r="AL63">
            <v>23.681272676528053</v>
          </cell>
          <cell r="AM63">
            <v>17.76095450739604</v>
          </cell>
          <cell r="AN63">
            <v>1.1840636338264026</v>
          </cell>
          <cell r="AQ63">
            <v>16.8</v>
          </cell>
          <cell r="AR63">
            <v>8.2054144571588044</v>
          </cell>
          <cell r="AS63">
            <v>11.487580240022327</v>
          </cell>
          <cell r="AT63">
            <v>14.769746022885849</v>
          </cell>
          <cell r="AU63">
            <v>18.05191180574937</v>
          </cell>
          <cell r="AV63">
            <v>21.334077588612892</v>
          </cell>
          <cell r="AW63">
            <v>24.616243371476415</v>
          </cell>
          <cell r="AX63">
            <v>16.410828914317609</v>
          </cell>
          <cell r="AY63">
            <v>1.641082891431761</v>
          </cell>
          <cell r="BA63">
            <v>16.8</v>
          </cell>
          <cell r="BB63">
            <v>12.730951716438739</v>
          </cell>
          <cell r="BC63">
            <v>19.096427574658108</v>
          </cell>
          <cell r="BD63">
            <v>25.461903432877477</v>
          </cell>
          <cell r="BE63">
            <v>31.827379291096847</v>
          </cell>
          <cell r="BF63">
            <v>38.192855149316216</v>
          </cell>
          <cell r="BG63">
            <v>12.730951716438739</v>
          </cell>
          <cell r="BR63">
            <v>0.26180387409200967</v>
          </cell>
        </row>
        <row r="64">
          <cell r="A64">
            <v>37287</v>
          </cell>
          <cell r="B64">
            <v>85.25</v>
          </cell>
          <cell r="C64">
            <v>52.82325557066639</v>
          </cell>
          <cell r="D64">
            <v>63.387906684799674</v>
          </cell>
          <cell r="E64">
            <v>73.952557798932943</v>
          </cell>
          <cell r="F64">
            <v>84.517208913066227</v>
          </cell>
          <cell r="G64">
            <v>95.081860027199511</v>
          </cell>
          <cell r="H64">
            <v>105.64651114133278</v>
          </cell>
          <cell r="I64">
            <v>79.234883355999585</v>
          </cell>
          <cell r="J64">
            <v>5.2823255570666392</v>
          </cell>
          <cell r="M64">
            <v>85.25</v>
          </cell>
          <cell r="N64">
            <v>61.081615929141819</v>
          </cell>
          <cell r="O64">
            <v>73.297939114970177</v>
          </cell>
          <cell r="P64">
            <v>85.514262300798549</v>
          </cell>
          <cell r="Q64">
            <v>97.730585486626907</v>
          </cell>
          <cell r="R64">
            <v>109.94690867245527</v>
          </cell>
          <cell r="S64">
            <v>122.16323185828364</v>
          </cell>
          <cell r="T64">
            <v>91.622423893712721</v>
          </cell>
          <cell r="U64">
            <v>6.1081615929141817</v>
          </cell>
          <cell r="W64">
            <v>85.25</v>
          </cell>
          <cell r="X64">
            <v>47.018952470621059</v>
          </cell>
          <cell r="Y64">
            <v>70.528428705931589</v>
          </cell>
          <cell r="Z64">
            <v>94.037904941242118</v>
          </cell>
          <cell r="AA64">
            <v>117.54738117655265</v>
          </cell>
          <cell r="AB64">
            <v>141.05685741186318</v>
          </cell>
          <cell r="AC64">
            <v>23.50947623531053</v>
          </cell>
          <cell r="AF64">
            <v>15.7</v>
          </cell>
          <cell r="AG64">
            <v>11.664774181444651</v>
          </cell>
          <cell r="AH64">
            <v>13.99772901773358</v>
          </cell>
          <cell r="AI64">
            <v>16.33068385402251</v>
          </cell>
          <cell r="AJ64">
            <v>18.663638690311441</v>
          </cell>
          <cell r="AK64">
            <v>20.996593526600371</v>
          </cell>
          <cell r="AL64">
            <v>23.329548362889302</v>
          </cell>
          <cell r="AM64">
            <v>17.497161272166977</v>
          </cell>
          <cell r="AN64">
            <v>1.166477418144465</v>
          </cell>
          <cell r="AQ64">
            <v>15.7</v>
          </cell>
          <cell r="AR64">
            <v>8.2457539393480843</v>
          </cell>
          <cell r="AS64">
            <v>11.544055515087317</v>
          </cell>
          <cell r="AT64">
            <v>14.842357090826551</v>
          </cell>
          <cell r="AU64">
            <v>18.140658666565784</v>
          </cell>
          <cell r="AV64">
            <v>21.438960242305019</v>
          </cell>
          <cell r="AW64">
            <v>24.737261818044253</v>
          </cell>
          <cell r="AX64">
            <v>16.491507878696169</v>
          </cell>
          <cell r="AY64">
            <v>1.6491507878696168</v>
          </cell>
          <cell r="BA64">
            <v>15.7</v>
          </cell>
          <cell r="BB64">
            <v>12.75775230530628</v>
          </cell>
          <cell r="BC64">
            <v>19.136628457959418</v>
          </cell>
          <cell r="BD64">
            <v>25.51550461061256</v>
          </cell>
          <cell r="BE64">
            <v>31.894380763265701</v>
          </cell>
          <cell r="BF64">
            <v>38.273256915918836</v>
          </cell>
          <cell r="BG64">
            <v>12.75775230530628</v>
          </cell>
          <cell r="BR64">
            <v>0.2925825388418079</v>
          </cell>
        </row>
        <row r="65">
          <cell r="A65">
            <v>37315</v>
          </cell>
          <cell r="B65">
            <v>85.5</v>
          </cell>
          <cell r="C65">
            <v>52.738257139868196</v>
          </cell>
          <cell r="D65">
            <v>63.28590856784183</v>
          </cell>
          <cell r="E65">
            <v>73.833559995815477</v>
          </cell>
          <cell r="F65">
            <v>84.381211423789111</v>
          </cell>
          <cell r="G65">
            <v>94.928862851762744</v>
          </cell>
          <cell r="H65">
            <v>105.47651427973639</v>
          </cell>
          <cell r="I65">
            <v>79.107385709802287</v>
          </cell>
          <cell r="J65">
            <v>5.2738257139868194</v>
          </cell>
          <cell r="M65">
            <v>85.5</v>
          </cell>
          <cell r="N65">
            <v>60.880670920947097</v>
          </cell>
          <cell r="O65">
            <v>73.056805105136505</v>
          </cell>
          <cell r="P65">
            <v>85.232939289325927</v>
          </cell>
          <cell r="Q65">
            <v>97.409073473515349</v>
          </cell>
          <cell r="R65">
            <v>109.58520765770477</v>
          </cell>
          <cell r="S65">
            <v>121.76134184189419</v>
          </cell>
          <cell r="T65">
            <v>91.321006381420645</v>
          </cell>
          <cell r="U65">
            <v>6.0880670920947093</v>
          </cell>
          <cell r="W65">
            <v>85.5</v>
          </cell>
          <cell r="X65">
            <v>46.887575408864251</v>
          </cell>
          <cell r="Y65">
            <v>70.331363113296376</v>
          </cell>
          <cell r="Z65">
            <v>93.775150817728502</v>
          </cell>
          <cell r="AA65">
            <v>117.21893852216063</v>
          </cell>
          <cell r="AB65">
            <v>140.66272622659275</v>
          </cell>
          <cell r="AC65">
            <v>23.443787704432125</v>
          </cell>
          <cell r="AF65">
            <v>14.85</v>
          </cell>
          <cell r="AG65">
            <v>11.488912024625275</v>
          </cell>
          <cell r="AH65">
            <v>13.78669442955033</v>
          </cell>
          <cell r="AI65">
            <v>16.084476834475385</v>
          </cell>
          <cell r="AJ65">
            <v>18.38225923940044</v>
          </cell>
          <cell r="AK65">
            <v>20.680041644325495</v>
          </cell>
          <cell r="AL65">
            <v>22.97782404925055</v>
          </cell>
          <cell r="AM65">
            <v>17.233368036937911</v>
          </cell>
          <cell r="AN65">
            <v>1.1488912024625275</v>
          </cell>
          <cell r="AQ65">
            <v>14.85</v>
          </cell>
          <cell r="AR65">
            <v>8.2860934215373625</v>
          </cell>
          <cell r="AS65">
            <v>11.600530790152307</v>
          </cell>
          <cell r="AT65">
            <v>14.914968158767254</v>
          </cell>
          <cell r="AU65">
            <v>18.229405527382198</v>
          </cell>
          <cell r="AV65">
            <v>21.543842895997145</v>
          </cell>
          <cell r="AW65">
            <v>24.858280264612088</v>
          </cell>
          <cell r="AX65">
            <v>16.572186843074725</v>
          </cell>
          <cell r="AY65">
            <v>1.6572186843074725</v>
          </cell>
          <cell r="BA65">
            <v>14.85</v>
          </cell>
          <cell r="BB65">
            <v>12.784552894173821</v>
          </cell>
          <cell r="BC65">
            <v>19.176829341260731</v>
          </cell>
          <cell r="BD65">
            <v>25.569105788347642</v>
          </cell>
          <cell r="BE65">
            <v>31.961382235434552</v>
          </cell>
          <cell r="BF65">
            <v>38.353658682521463</v>
          </cell>
          <cell r="BG65">
            <v>12.784552894173821</v>
          </cell>
          <cell r="BR65">
            <v>0.32336120359160614</v>
          </cell>
        </row>
        <row r="66">
          <cell r="A66">
            <v>37344</v>
          </cell>
          <cell r="B66">
            <v>87.25</v>
          </cell>
          <cell r="C66">
            <v>52.653258709069995</v>
          </cell>
          <cell r="D66">
            <v>63.183910450883999</v>
          </cell>
          <cell r="E66">
            <v>73.714562192697997</v>
          </cell>
          <cell r="F66">
            <v>84.245213934511995</v>
          </cell>
          <cell r="G66">
            <v>94.775865676325992</v>
          </cell>
          <cell r="H66">
            <v>105.30651741813999</v>
          </cell>
          <cell r="I66">
            <v>78.979888063604989</v>
          </cell>
          <cell r="J66">
            <v>5.2653258709069997</v>
          </cell>
          <cell r="M66">
            <v>87.25</v>
          </cell>
          <cell r="N66">
            <v>60.679725912752367</v>
          </cell>
          <cell r="O66">
            <v>72.815671095302847</v>
          </cell>
          <cell r="P66">
            <v>84.951616277853319</v>
          </cell>
          <cell r="Q66">
            <v>97.087561460403791</v>
          </cell>
          <cell r="R66">
            <v>109.22350664295426</v>
          </cell>
          <cell r="S66">
            <v>121.35945182550473</v>
          </cell>
          <cell r="T66">
            <v>91.019588869128555</v>
          </cell>
          <cell r="U66">
            <v>6.0679725912752369</v>
          </cell>
          <cell r="W66">
            <v>87.25</v>
          </cell>
          <cell r="X66">
            <v>46.756198347107443</v>
          </cell>
          <cell r="Y66">
            <v>70.134297520661164</v>
          </cell>
          <cell r="Z66">
            <v>93.512396694214885</v>
          </cell>
          <cell r="AA66">
            <v>116.89049586776861</v>
          </cell>
          <cell r="AB66">
            <v>140.26859504132233</v>
          </cell>
          <cell r="AC66">
            <v>23.378099173553721</v>
          </cell>
          <cell r="AF66">
            <v>15.55</v>
          </cell>
          <cell r="AG66">
            <v>11.313049867805899</v>
          </cell>
          <cell r="AH66">
            <v>13.575659841367081</v>
          </cell>
          <cell r="AI66">
            <v>15.83826981492826</v>
          </cell>
          <cell r="AJ66">
            <v>18.10087978848944</v>
          </cell>
          <cell r="AK66">
            <v>20.363489762050619</v>
          </cell>
          <cell r="AL66">
            <v>22.626099735611799</v>
          </cell>
          <cell r="AM66">
            <v>16.969574801708848</v>
          </cell>
          <cell r="AN66">
            <v>1.13130498678059</v>
          </cell>
          <cell r="AQ66">
            <v>15.55</v>
          </cell>
          <cell r="AR66">
            <v>8.3264329037266407</v>
          </cell>
          <cell r="AS66">
            <v>11.657006065217299</v>
          </cell>
          <cell r="AT66">
            <v>14.987579226707954</v>
          </cell>
          <cell r="AU66">
            <v>18.318152388198612</v>
          </cell>
          <cell r="AV66">
            <v>21.648725549689267</v>
          </cell>
          <cell r="AW66">
            <v>24.979298711179926</v>
          </cell>
          <cell r="AX66">
            <v>16.652865807453281</v>
          </cell>
          <cell r="AY66">
            <v>1.6652865807453283</v>
          </cell>
          <cell r="BA66">
            <v>15.55</v>
          </cell>
          <cell r="BB66">
            <v>12.811353483041362</v>
          </cell>
          <cell r="BC66">
            <v>19.217030224562045</v>
          </cell>
          <cell r="BD66">
            <v>25.622706966082724</v>
          </cell>
          <cell r="BE66">
            <v>32.028383707603403</v>
          </cell>
          <cell r="BF66">
            <v>38.43406044912409</v>
          </cell>
          <cell r="BG66">
            <v>12.811353483041362</v>
          </cell>
          <cell r="BR66">
            <v>0.35413986834140437</v>
          </cell>
        </row>
        <row r="67">
          <cell r="A67">
            <v>37376</v>
          </cell>
          <cell r="B67">
            <v>89.25</v>
          </cell>
          <cell r="C67">
            <v>52.568260278271801</v>
          </cell>
          <cell r="D67">
            <v>63.081912333926155</v>
          </cell>
          <cell r="E67">
            <v>73.595564389580517</v>
          </cell>
          <cell r="F67">
            <v>84.109216445234878</v>
          </cell>
          <cell r="G67">
            <v>94.62286850088924</v>
          </cell>
          <cell r="H67">
            <v>105.1365205565436</v>
          </cell>
          <cell r="I67">
            <v>78.852390417407705</v>
          </cell>
          <cell r="J67">
            <v>5.2568260278271799</v>
          </cell>
          <cell r="M67">
            <v>89.25</v>
          </cell>
          <cell r="N67">
            <v>60.478780904557645</v>
          </cell>
          <cell r="O67">
            <v>72.574537085469174</v>
          </cell>
          <cell r="P67">
            <v>84.670293266380696</v>
          </cell>
          <cell r="Q67">
            <v>96.766049447292232</v>
          </cell>
          <cell r="R67">
            <v>108.86180562820377</v>
          </cell>
          <cell r="S67">
            <v>120.95756180911529</v>
          </cell>
          <cell r="T67">
            <v>90.718171356836464</v>
          </cell>
          <cell r="U67">
            <v>6.0478780904557645</v>
          </cell>
          <cell r="W67">
            <v>89.25</v>
          </cell>
          <cell r="X67">
            <v>46.624821285350635</v>
          </cell>
          <cell r="Y67">
            <v>69.937231928025952</v>
          </cell>
          <cell r="Z67">
            <v>93.249642570701269</v>
          </cell>
          <cell r="AA67">
            <v>116.56205321337659</v>
          </cell>
          <cell r="AB67">
            <v>139.8744638560519</v>
          </cell>
          <cell r="AC67">
            <v>23.312410642675317</v>
          </cell>
          <cell r="AF67">
            <v>16.350000000000001</v>
          </cell>
          <cell r="AG67">
            <v>11.137187710986524</v>
          </cell>
          <cell r="AH67">
            <v>13.36462525318383</v>
          </cell>
          <cell r="AI67">
            <v>15.592062795381135</v>
          </cell>
          <cell r="AJ67">
            <v>17.81950033757844</v>
          </cell>
          <cell r="AK67">
            <v>20.046937879775744</v>
          </cell>
          <cell r="AL67">
            <v>22.274375421973048</v>
          </cell>
          <cell r="AM67">
            <v>16.705781566479786</v>
          </cell>
          <cell r="AN67">
            <v>1.1137187710986525</v>
          </cell>
          <cell r="AQ67">
            <v>16.350000000000001</v>
          </cell>
          <cell r="AR67">
            <v>8.3667723859159207</v>
          </cell>
          <cell r="AS67">
            <v>11.713481340282289</v>
          </cell>
          <cell r="AT67">
            <v>15.060190294648656</v>
          </cell>
          <cell r="AU67">
            <v>18.406899249015026</v>
          </cell>
          <cell r="AV67">
            <v>21.753608203381393</v>
          </cell>
          <cell r="AW67">
            <v>25.10031715774776</v>
          </cell>
          <cell r="AX67">
            <v>16.733544771831841</v>
          </cell>
          <cell r="AY67">
            <v>1.6733544771831841</v>
          </cell>
          <cell r="BA67">
            <v>16.350000000000001</v>
          </cell>
          <cell r="BB67">
            <v>12.838154071908903</v>
          </cell>
          <cell r="BC67">
            <v>19.257231107863355</v>
          </cell>
          <cell r="BD67">
            <v>25.676308143817806</v>
          </cell>
          <cell r="BE67">
            <v>32.095385179772258</v>
          </cell>
          <cell r="BF67">
            <v>38.514462215726709</v>
          </cell>
          <cell r="BG67">
            <v>12.838154071908903</v>
          </cell>
          <cell r="BR67">
            <v>0.38491853309120261</v>
          </cell>
        </row>
        <row r="68">
          <cell r="A68">
            <v>37407</v>
          </cell>
          <cell r="B68">
            <v>86.25</v>
          </cell>
          <cell r="C68">
            <v>52.483261847473599</v>
          </cell>
          <cell r="D68">
            <v>62.979914216968325</v>
          </cell>
          <cell r="E68">
            <v>73.476566586463036</v>
          </cell>
          <cell r="F68">
            <v>83.973218955957762</v>
          </cell>
          <cell r="G68">
            <v>94.469871325452488</v>
          </cell>
          <cell r="H68">
            <v>104.9665236949472</v>
          </cell>
          <cell r="I68">
            <v>78.724892771210406</v>
          </cell>
          <cell r="J68">
            <v>5.2483261847473601</v>
          </cell>
          <cell r="M68">
            <v>86.25</v>
          </cell>
          <cell r="N68">
            <v>60.277835896362923</v>
          </cell>
          <cell r="O68">
            <v>72.333403075635502</v>
          </cell>
          <cell r="P68">
            <v>84.388970254908088</v>
          </cell>
          <cell r="Q68">
            <v>96.444537434180674</v>
          </cell>
          <cell r="R68">
            <v>108.50010461345326</v>
          </cell>
          <cell r="S68">
            <v>120.55567179272585</v>
          </cell>
          <cell r="T68">
            <v>90.416753844544388</v>
          </cell>
          <cell r="U68">
            <v>6.0277835896362921</v>
          </cell>
          <cell r="W68">
            <v>86.25</v>
          </cell>
          <cell r="X68">
            <v>46.493444223593826</v>
          </cell>
          <cell r="Y68">
            <v>69.74016633539074</v>
          </cell>
          <cell r="Z68">
            <v>92.986888447187653</v>
          </cell>
          <cell r="AA68">
            <v>116.23361055898457</v>
          </cell>
          <cell r="AB68">
            <v>139.48033267078148</v>
          </cell>
          <cell r="AC68">
            <v>23.246722111796913</v>
          </cell>
          <cell r="AF68">
            <v>16.95</v>
          </cell>
          <cell r="AG68">
            <v>10.96132555416715</v>
          </cell>
          <cell r="AH68">
            <v>13.153590665000578</v>
          </cell>
          <cell r="AI68">
            <v>15.345855775834009</v>
          </cell>
          <cell r="AJ68">
            <v>17.538120886667439</v>
          </cell>
          <cell r="AK68">
            <v>19.730385997500868</v>
          </cell>
          <cell r="AL68">
            <v>21.9226511083343</v>
          </cell>
          <cell r="AM68">
            <v>16.441988331250723</v>
          </cell>
          <cell r="AN68">
            <v>1.0961325554167149</v>
          </cell>
          <cell r="AQ68">
            <v>16.95</v>
          </cell>
          <cell r="AR68">
            <v>8.4071118681051988</v>
          </cell>
          <cell r="AS68">
            <v>11.769956615347279</v>
          </cell>
          <cell r="AT68">
            <v>15.132801362589358</v>
          </cell>
          <cell r="AU68">
            <v>18.495646109831437</v>
          </cell>
          <cell r="AV68">
            <v>21.858490857073519</v>
          </cell>
          <cell r="AW68">
            <v>25.221335604315598</v>
          </cell>
          <cell r="AX68">
            <v>16.814223736210398</v>
          </cell>
          <cell r="AY68">
            <v>1.6814223736210399</v>
          </cell>
          <cell r="BA68">
            <v>16.95</v>
          </cell>
          <cell r="BB68">
            <v>12.864954660776444</v>
          </cell>
          <cell r="BC68">
            <v>19.297431991164665</v>
          </cell>
          <cell r="BD68">
            <v>25.729909321552888</v>
          </cell>
          <cell r="BE68">
            <v>32.162386651941112</v>
          </cell>
          <cell r="BF68">
            <v>38.594863982329329</v>
          </cell>
          <cell r="BG68">
            <v>12.864954660776444</v>
          </cell>
          <cell r="BR68">
            <v>0.41569719784100084</v>
          </cell>
        </row>
        <row r="69">
          <cell r="A69">
            <v>37435</v>
          </cell>
          <cell r="B69">
            <v>83.5</v>
          </cell>
          <cell r="C69">
            <v>52.398263416675405</v>
          </cell>
          <cell r="D69">
            <v>62.877916100010481</v>
          </cell>
          <cell r="E69">
            <v>73.35756878334557</v>
          </cell>
          <cell r="F69">
            <v>83.837221466680646</v>
          </cell>
          <cell r="G69">
            <v>94.316874150015721</v>
          </cell>
          <cell r="H69">
            <v>104.79652683335081</v>
          </cell>
          <cell r="I69">
            <v>78.597395125013108</v>
          </cell>
          <cell r="J69">
            <v>5.2398263416675404</v>
          </cell>
          <cell r="M69">
            <v>83.5</v>
          </cell>
          <cell r="N69">
            <v>60.076890888168194</v>
          </cell>
          <cell r="O69">
            <v>72.092269065801844</v>
          </cell>
          <cell r="P69">
            <v>84.10764724343548</v>
          </cell>
          <cell r="Q69">
            <v>96.123025421069116</v>
          </cell>
          <cell r="R69">
            <v>108.13840359870275</v>
          </cell>
          <cell r="S69">
            <v>120.15378177633639</v>
          </cell>
          <cell r="T69">
            <v>90.115336332252298</v>
          </cell>
          <cell r="U69">
            <v>6.0076890888168197</v>
          </cell>
          <cell r="W69">
            <v>83.5</v>
          </cell>
          <cell r="X69">
            <v>46.362067161837018</v>
          </cell>
          <cell r="Y69">
            <v>69.543100742755527</v>
          </cell>
          <cell r="Z69">
            <v>92.724134323674036</v>
          </cell>
          <cell r="AA69">
            <v>115.90516790459255</v>
          </cell>
          <cell r="AB69">
            <v>139.08620148551105</v>
          </cell>
          <cell r="AC69">
            <v>23.181033580918509</v>
          </cell>
          <cell r="AF69">
            <v>15.7</v>
          </cell>
          <cell r="AG69">
            <v>10.785463397347774</v>
          </cell>
          <cell r="AH69">
            <v>12.942556076817329</v>
          </cell>
          <cell r="AI69">
            <v>15.099648756286884</v>
          </cell>
          <cell r="AJ69">
            <v>17.256741435756439</v>
          </cell>
          <cell r="AK69">
            <v>19.413834115225995</v>
          </cell>
          <cell r="AL69">
            <v>21.570926794695549</v>
          </cell>
          <cell r="AM69">
            <v>16.178195096021661</v>
          </cell>
          <cell r="AN69">
            <v>1.0785463397347774</v>
          </cell>
          <cell r="AQ69">
            <v>15.7</v>
          </cell>
          <cell r="AR69">
            <v>8.4474513502944788</v>
          </cell>
          <cell r="AS69">
            <v>11.82643189041227</v>
          </cell>
          <cell r="AT69">
            <v>15.20541243053006</v>
          </cell>
          <cell r="AU69">
            <v>18.584392970647851</v>
          </cell>
          <cell r="AV69">
            <v>21.963373510765642</v>
          </cell>
          <cell r="AW69">
            <v>25.342354050883433</v>
          </cell>
          <cell r="AX69">
            <v>16.894902700588958</v>
          </cell>
          <cell r="AY69">
            <v>1.6894902700588956</v>
          </cell>
          <cell r="BA69">
            <v>15.7</v>
          </cell>
          <cell r="BB69">
            <v>12.891755249643985</v>
          </cell>
          <cell r="BC69">
            <v>19.337632874465978</v>
          </cell>
          <cell r="BD69">
            <v>25.783510499287971</v>
          </cell>
          <cell r="BE69">
            <v>32.22938812410996</v>
          </cell>
          <cell r="BF69">
            <v>38.675265748931956</v>
          </cell>
          <cell r="BG69">
            <v>12.891755249643985</v>
          </cell>
          <cell r="BR69">
            <v>0.44647586259079908</v>
          </cell>
        </row>
        <row r="70">
          <cell r="A70">
            <v>37468</v>
          </cell>
          <cell r="B70">
            <v>86.25</v>
          </cell>
          <cell r="C70">
            <v>52.313264985877204</v>
          </cell>
          <cell r="D70">
            <v>62.775917983052651</v>
          </cell>
          <cell r="E70">
            <v>73.23857098022809</v>
          </cell>
          <cell r="F70">
            <v>83.701223977403529</v>
          </cell>
          <cell r="G70">
            <v>94.163876974578969</v>
          </cell>
          <cell r="H70">
            <v>104.62652997175441</v>
          </cell>
          <cell r="I70">
            <v>78.46989747881581</v>
          </cell>
          <cell r="J70">
            <v>5.2313264985877206</v>
          </cell>
          <cell r="M70">
            <v>86.25</v>
          </cell>
          <cell r="N70">
            <v>59.875945879973472</v>
          </cell>
          <cell r="O70">
            <v>71.851135055968172</v>
          </cell>
          <cell r="P70">
            <v>83.826324231962857</v>
          </cell>
          <cell r="Q70">
            <v>95.801513407957557</v>
          </cell>
          <cell r="R70">
            <v>107.77670258395226</v>
          </cell>
          <cell r="S70">
            <v>119.75189175994694</v>
          </cell>
          <cell r="T70">
            <v>89.813918819960207</v>
          </cell>
          <cell r="U70">
            <v>5.9875945879973473</v>
          </cell>
          <cell r="W70">
            <v>86.25</v>
          </cell>
          <cell r="X70">
            <v>46.23069010008021</v>
          </cell>
          <cell r="Y70">
            <v>69.346035150120315</v>
          </cell>
          <cell r="Z70">
            <v>92.46138020016042</v>
          </cell>
          <cell r="AA70">
            <v>115.57672525020052</v>
          </cell>
          <cell r="AB70">
            <v>138.69207030024063</v>
          </cell>
          <cell r="AC70">
            <v>23.115345050040105</v>
          </cell>
          <cell r="AF70">
            <v>15.05</v>
          </cell>
          <cell r="AG70">
            <v>10.609601240528399</v>
          </cell>
          <cell r="AH70">
            <v>12.73152148863408</v>
          </cell>
          <cell r="AI70">
            <v>14.853441736739759</v>
          </cell>
          <cell r="AJ70">
            <v>16.975361984845438</v>
          </cell>
          <cell r="AK70">
            <v>19.09728223295112</v>
          </cell>
          <cell r="AL70">
            <v>21.219202481056797</v>
          </cell>
          <cell r="AM70">
            <v>15.914401860792598</v>
          </cell>
          <cell r="AN70">
            <v>1.0609601240528399</v>
          </cell>
          <cell r="AQ70">
            <v>15.05</v>
          </cell>
          <cell r="AR70">
            <v>8.487790832483757</v>
          </cell>
          <cell r="AS70">
            <v>11.88290716547726</v>
          </cell>
          <cell r="AT70">
            <v>15.278023498470763</v>
          </cell>
          <cell r="AU70">
            <v>18.673139831464265</v>
          </cell>
          <cell r="AV70">
            <v>22.068256164457768</v>
          </cell>
          <cell r="AW70">
            <v>25.463372497451271</v>
          </cell>
          <cell r="AX70">
            <v>16.975581664967514</v>
          </cell>
          <cell r="AY70">
            <v>1.6975581664967514</v>
          </cell>
          <cell r="BA70">
            <v>15.05</v>
          </cell>
          <cell r="BB70">
            <v>12.918555838511526</v>
          </cell>
          <cell r="BC70">
            <v>19.377833757767291</v>
          </cell>
          <cell r="BD70">
            <v>25.837111677023053</v>
          </cell>
          <cell r="BE70">
            <v>32.296389596278814</v>
          </cell>
          <cell r="BF70">
            <v>38.755667515534583</v>
          </cell>
          <cell r="BG70">
            <v>12.918555838511526</v>
          </cell>
          <cell r="BJ70">
            <v>8.4499999999999993</v>
          </cell>
          <cell r="BK70">
            <v>4.7725452734059735</v>
          </cell>
          <cell r="BL70">
            <v>5.727054328087168</v>
          </cell>
          <cell r="BM70">
            <v>6.6815633827683625</v>
          </cell>
          <cell r="BN70">
            <v>7.636072437449557</v>
          </cell>
          <cell r="BO70">
            <v>8.5905814921307524</v>
          </cell>
          <cell r="BP70">
            <v>9.5450905468119469</v>
          </cell>
          <cell r="BQ70">
            <v>7.1588179101089597</v>
          </cell>
          <cell r="BR70">
            <v>0.47725452734059731</v>
          </cell>
          <cell r="BU70">
            <v>8.4499999999999993</v>
          </cell>
          <cell r="BV70">
            <v>9.6</v>
          </cell>
          <cell r="BW70">
            <v>12</v>
          </cell>
          <cell r="BX70">
            <v>14.399999999999999</v>
          </cell>
          <cell r="BY70">
            <v>16.8</v>
          </cell>
          <cell r="BZ70">
            <v>15.6</v>
          </cell>
          <cell r="CA70">
            <v>1.2</v>
          </cell>
          <cell r="CC70">
            <v>8.4499999999999993</v>
          </cell>
          <cell r="CD70">
            <v>5.12</v>
          </cell>
          <cell r="CE70">
            <v>7.68</v>
          </cell>
          <cell r="CF70">
            <v>10.24</v>
          </cell>
          <cell r="CG70">
            <v>12.8</v>
          </cell>
          <cell r="CH70">
            <v>15.36</v>
          </cell>
          <cell r="CI70">
            <v>5.12</v>
          </cell>
        </row>
        <row r="71">
          <cell r="A71">
            <v>37498</v>
          </cell>
          <cell r="B71">
            <v>83.75</v>
          </cell>
          <cell r="C71">
            <v>52.22826655507901</v>
          </cell>
          <cell r="D71">
            <v>62.673919866094806</v>
          </cell>
          <cell r="E71">
            <v>73.11957317711061</v>
          </cell>
          <cell r="F71">
            <v>83.565226488126413</v>
          </cell>
          <cell r="G71">
            <v>94.010879799142216</v>
          </cell>
          <cell r="H71">
            <v>104.45653311015802</v>
          </cell>
          <cell r="I71">
            <v>78.342399832618511</v>
          </cell>
          <cell r="J71">
            <v>5.2228266555079008</v>
          </cell>
          <cell r="M71">
            <v>83.75</v>
          </cell>
          <cell r="N71">
            <v>59.675000871778749</v>
          </cell>
          <cell r="O71">
            <v>71.610001046134499</v>
          </cell>
          <cell r="P71">
            <v>83.545001220490249</v>
          </cell>
          <cell r="Q71">
            <v>95.480001394845999</v>
          </cell>
          <cell r="R71">
            <v>107.41500156920175</v>
          </cell>
          <cell r="S71">
            <v>119.3500017435575</v>
          </cell>
          <cell r="T71">
            <v>89.512501307668117</v>
          </cell>
          <cell r="U71">
            <v>5.9675000871778749</v>
          </cell>
          <cell r="W71">
            <v>83.75</v>
          </cell>
          <cell r="X71">
            <v>46.099313038323402</v>
          </cell>
          <cell r="Y71">
            <v>69.148969557485103</v>
          </cell>
          <cell r="Z71">
            <v>92.198626076646804</v>
          </cell>
          <cell r="AA71">
            <v>115.2482825958085</v>
          </cell>
          <cell r="AB71">
            <v>138.29793911497021</v>
          </cell>
          <cell r="AC71">
            <v>23.049656519161701</v>
          </cell>
          <cell r="AF71">
            <v>14.85</v>
          </cell>
          <cell r="AG71">
            <v>10.433739083709025</v>
          </cell>
          <cell r="AH71">
            <v>12.520486900450829</v>
          </cell>
          <cell r="AI71">
            <v>14.607234717192632</v>
          </cell>
          <cell r="AJ71">
            <v>16.693982533934438</v>
          </cell>
          <cell r="AK71">
            <v>18.780730350676244</v>
          </cell>
          <cell r="AL71">
            <v>20.867478167418049</v>
          </cell>
          <cell r="AM71">
            <v>15.650608625563535</v>
          </cell>
          <cell r="AN71">
            <v>1.0433739083709024</v>
          </cell>
          <cell r="AQ71">
            <v>14.85</v>
          </cell>
          <cell r="AR71">
            <v>8.5281303146730352</v>
          </cell>
          <cell r="AS71">
            <v>11.93938244054225</v>
          </cell>
          <cell r="AT71">
            <v>15.350634566411465</v>
          </cell>
          <cell r="AU71">
            <v>18.76188669228068</v>
          </cell>
          <cell r="AV71">
            <v>22.173138818149894</v>
          </cell>
          <cell r="AW71">
            <v>25.584390944019109</v>
          </cell>
          <cell r="AX71">
            <v>17.05626062934607</v>
          </cell>
          <cell r="AY71">
            <v>1.7056260629346072</v>
          </cell>
          <cell r="BA71">
            <v>14.85</v>
          </cell>
          <cell r="BB71">
            <v>12.945356427379068</v>
          </cell>
          <cell r="BC71">
            <v>19.418034641068601</v>
          </cell>
          <cell r="BD71">
            <v>25.890712854758135</v>
          </cell>
          <cell r="BE71">
            <v>32.363391068447669</v>
          </cell>
          <cell r="BF71">
            <v>38.836069282137203</v>
          </cell>
          <cell r="BG71">
            <v>12.945356427379068</v>
          </cell>
          <cell r="BJ71">
            <v>8.4</v>
          </cell>
          <cell r="BK71">
            <v>5.080331920903955</v>
          </cell>
          <cell r="BL71">
            <v>6.0963983050847466</v>
          </cell>
          <cell r="BM71">
            <v>7.1124646892655381</v>
          </cell>
          <cell r="BN71">
            <v>8.1285310734463287</v>
          </cell>
          <cell r="BO71">
            <v>9.1445974576271194</v>
          </cell>
          <cell r="BP71">
            <v>10.16066384180791</v>
          </cell>
          <cell r="BQ71">
            <v>7.6204978813559334</v>
          </cell>
          <cell r="BR71">
            <v>0.50803319209039555</v>
          </cell>
          <cell r="BU71">
            <v>8.4</v>
          </cell>
          <cell r="BV71">
            <v>9.5245409604519775</v>
          </cell>
          <cell r="BW71">
            <v>11.905676200564972</v>
          </cell>
          <cell r="BX71">
            <v>14.286811440677965</v>
          </cell>
          <cell r="BY71">
            <v>16.667946680790962</v>
          </cell>
          <cell r="BZ71">
            <v>15.477379060734464</v>
          </cell>
          <cell r="CA71">
            <v>1.1905676200564972</v>
          </cell>
          <cell r="CC71">
            <v>8.4</v>
          </cell>
          <cell r="CD71">
            <v>5.1731224273607745</v>
          </cell>
          <cell r="CE71">
            <v>7.7596836410411623</v>
          </cell>
          <cell r="CF71">
            <v>10.346244854721549</v>
          </cell>
          <cell r="CG71">
            <v>12.932806068401936</v>
          </cell>
          <cell r="CH71">
            <v>15.519367282082325</v>
          </cell>
          <cell r="CI71">
            <v>5.1731224273607745</v>
          </cell>
        </row>
        <row r="72">
          <cell r="A72">
            <v>37529</v>
          </cell>
          <cell r="B72">
            <v>81.75</v>
          </cell>
          <cell r="C72">
            <v>52.143268124280809</v>
          </cell>
          <cell r="D72">
            <v>62.571921749136976</v>
          </cell>
          <cell r="E72">
            <v>73.000575373993129</v>
          </cell>
          <cell r="F72">
            <v>83.429228998849297</v>
          </cell>
          <cell r="G72">
            <v>93.857882623705464</v>
          </cell>
          <cell r="H72">
            <v>104.28653624856162</v>
          </cell>
          <cell r="I72">
            <v>78.214902186421213</v>
          </cell>
          <cell r="J72">
            <v>5.214326812428081</v>
          </cell>
          <cell r="M72">
            <v>81.75</v>
          </cell>
          <cell r="N72">
            <v>59.474055863584027</v>
          </cell>
          <cell r="O72">
            <v>71.368867036300827</v>
          </cell>
          <cell r="P72">
            <v>83.263678209017641</v>
          </cell>
          <cell r="Q72">
            <v>95.158489381734441</v>
          </cell>
          <cell r="R72">
            <v>107.05330055445124</v>
          </cell>
          <cell r="S72">
            <v>118.94811172716805</v>
          </cell>
          <cell r="T72">
            <v>89.211083795376041</v>
          </cell>
          <cell r="U72">
            <v>5.9474055863584026</v>
          </cell>
          <cell r="W72">
            <v>81.75</v>
          </cell>
          <cell r="X72">
            <v>45.967935976566594</v>
          </cell>
          <cell r="Y72">
            <v>68.95190396484989</v>
          </cell>
          <cell r="Z72">
            <v>91.935871953133187</v>
          </cell>
          <cell r="AA72">
            <v>114.91983994141648</v>
          </cell>
          <cell r="AB72">
            <v>137.90380792969978</v>
          </cell>
          <cell r="AC72">
            <v>22.983967988283297</v>
          </cell>
          <cell r="AF72">
            <v>13.7</v>
          </cell>
          <cell r="AG72">
            <v>10.257876926889649</v>
          </cell>
          <cell r="AH72">
            <v>12.309452312267577</v>
          </cell>
          <cell r="AI72">
            <v>14.361027697645508</v>
          </cell>
          <cell r="AJ72">
            <v>16.412603083023438</v>
          </cell>
          <cell r="AK72">
            <v>18.464178468401368</v>
          </cell>
          <cell r="AL72">
            <v>20.515753853779298</v>
          </cell>
          <cell r="AM72">
            <v>15.386815390334473</v>
          </cell>
          <cell r="AN72">
            <v>1.0257876926889649</v>
          </cell>
          <cell r="AQ72">
            <v>13.7</v>
          </cell>
          <cell r="AR72">
            <v>8.5684697968623151</v>
          </cell>
          <cell r="AS72">
            <v>11.99585771560724</v>
          </cell>
          <cell r="AT72">
            <v>15.423245634352167</v>
          </cell>
          <cell r="AU72">
            <v>18.850633553097094</v>
          </cell>
          <cell r="AV72">
            <v>22.278021471842017</v>
          </cell>
          <cell r="AW72">
            <v>25.705409390586944</v>
          </cell>
          <cell r="AX72">
            <v>17.13693959372463</v>
          </cell>
          <cell r="AY72">
            <v>1.7136939593724629</v>
          </cell>
          <cell r="BA72">
            <v>13.7</v>
          </cell>
          <cell r="BB72">
            <v>12.972157016246609</v>
          </cell>
          <cell r="BC72">
            <v>19.458235524369911</v>
          </cell>
          <cell r="BD72">
            <v>25.944314032493217</v>
          </cell>
          <cell r="BE72">
            <v>32.430392540616523</v>
          </cell>
          <cell r="BF72">
            <v>38.916471048739822</v>
          </cell>
          <cell r="BG72">
            <v>12.972157016246609</v>
          </cell>
          <cell r="BJ72">
            <v>7.8</v>
          </cell>
          <cell r="BK72">
            <v>5.3881185684019375</v>
          </cell>
          <cell r="BL72">
            <v>6.4657422820823243</v>
          </cell>
          <cell r="BM72">
            <v>7.5433659957627119</v>
          </cell>
          <cell r="BN72">
            <v>8.6209897094430996</v>
          </cell>
          <cell r="BO72">
            <v>9.6986134231234864</v>
          </cell>
          <cell r="BP72">
            <v>10.776237136803875</v>
          </cell>
          <cell r="BQ72">
            <v>8.0821778526029053</v>
          </cell>
          <cell r="BR72">
            <v>0.53881185684019373</v>
          </cell>
          <cell r="BU72">
            <v>7.8</v>
          </cell>
          <cell r="BV72">
            <v>9.4490819209039554</v>
          </cell>
          <cell r="BW72">
            <v>11.811352401129945</v>
          </cell>
          <cell r="BX72">
            <v>14.173622881355932</v>
          </cell>
          <cell r="BY72">
            <v>16.535893361581923</v>
          </cell>
          <cell r="BZ72">
            <v>15.354758121468928</v>
          </cell>
          <cell r="CA72">
            <v>1.1811352401129944</v>
          </cell>
          <cell r="CC72">
            <v>7.8</v>
          </cell>
          <cell r="CD72">
            <v>5.226244854721549</v>
          </cell>
          <cell r="CE72">
            <v>7.839367282082323</v>
          </cell>
          <cell r="CF72">
            <v>10.452489709443098</v>
          </cell>
          <cell r="CG72">
            <v>13.065612136803873</v>
          </cell>
          <cell r="CH72">
            <v>15.678734564164646</v>
          </cell>
          <cell r="CI72">
            <v>5.226244854721549</v>
          </cell>
        </row>
        <row r="73">
          <cell r="A73">
            <v>37560</v>
          </cell>
          <cell r="B73">
            <v>84.25</v>
          </cell>
          <cell r="C73">
            <v>52.058269693482615</v>
          </cell>
          <cell r="D73">
            <v>62.469923632179132</v>
          </cell>
          <cell r="E73">
            <v>72.881577570875663</v>
          </cell>
          <cell r="F73">
            <v>83.29323150957218</v>
          </cell>
          <cell r="G73">
            <v>93.704885448268698</v>
          </cell>
          <cell r="H73">
            <v>104.11653938696523</v>
          </cell>
          <cell r="I73">
            <v>78.087404540223915</v>
          </cell>
          <cell r="J73">
            <v>5.2058269693482613</v>
          </cell>
          <cell r="M73">
            <v>84.25</v>
          </cell>
          <cell r="N73">
            <v>59.273110855389305</v>
          </cell>
          <cell r="O73">
            <v>71.127733026467155</v>
          </cell>
          <cell r="P73">
            <v>82.982355197545019</v>
          </cell>
          <cell r="Q73">
            <v>94.836977368622883</v>
          </cell>
          <cell r="R73">
            <v>106.69159953970075</v>
          </cell>
          <cell r="S73">
            <v>118.54622171077861</v>
          </cell>
          <cell r="T73">
            <v>88.909666283083951</v>
          </cell>
          <cell r="U73">
            <v>5.9273110855389302</v>
          </cell>
          <cell r="W73">
            <v>84.25</v>
          </cell>
          <cell r="X73">
            <v>45.836558914809785</v>
          </cell>
          <cell r="Y73">
            <v>68.754838372214678</v>
          </cell>
          <cell r="Z73">
            <v>91.673117829619571</v>
          </cell>
          <cell r="AA73">
            <v>114.59139728702446</v>
          </cell>
          <cell r="AB73">
            <v>137.50967674442936</v>
          </cell>
          <cell r="AC73">
            <v>22.918279457404893</v>
          </cell>
          <cell r="AF73">
            <v>13.6</v>
          </cell>
          <cell r="AG73">
            <v>10.082014770070273</v>
          </cell>
          <cell r="AH73">
            <v>12.098417724084328</v>
          </cell>
          <cell r="AI73">
            <v>14.114820678098383</v>
          </cell>
          <cell r="AJ73">
            <v>16.131223632112437</v>
          </cell>
          <cell r="AK73">
            <v>18.147626586126492</v>
          </cell>
          <cell r="AL73">
            <v>20.164029540140547</v>
          </cell>
          <cell r="AM73">
            <v>15.12302215510541</v>
          </cell>
          <cell r="AN73">
            <v>1.0082014770070273</v>
          </cell>
          <cell r="AQ73">
            <v>13.6</v>
          </cell>
          <cell r="AR73">
            <v>8.6088092790515933</v>
          </cell>
          <cell r="AS73">
            <v>12.05233299067223</v>
          </cell>
          <cell r="AT73">
            <v>15.495856702292869</v>
          </cell>
          <cell r="AU73">
            <v>18.939380413913504</v>
          </cell>
          <cell r="AV73">
            <v>22.382904125534143</v>
          </cell>
          <cell r="AW73">
            <v>25.826427837154782</v>
          </cell>
          <cell r="AX73">
            <v>17.217618558103187</v>
          </cell>
          <cell r="AY73">
            <v>1.7217618558103187</v>
          </cell>
          <cell r="BA73">
            <v>13.6</v>
          </cell>
          <cell r="BB73">
            <v>12.99895760511415</v>
          </cell>
          <cell r="BC73">
            <v>19.498436407671225</v>
          </cell>
          <cell r="BD73">
            <v>25.9979152102283</v>
          </cell>
          <cell r="BE73">
            <v>32.497394012785378</v>
          </cell>
          <cell r="BF73">
            <v>38.996872815342449</v>
          </cell>
          <cell r="BG73">
            <v>12.99895760511415</v>
          </cell>
          <cell r="BJ73">
            <v>7.95</v>
          </cell>
          <cell r="BK73">
            <v>5.695905215899919</v>
          </cell>
          <cell r="BL73">
            <v>6.8350862590799029</v>
          </cell>
          <cell r="BM73">
            <v>7.9742673022598867</v>
          </cell>
          <cell r="BN73">
            <v>9.1134483454398705</v>
          </cell>
          <cell r="BO73">
            <v>10.252629388619855</v>
          </cell>
          <cell r="BP73">
            <v>11.391810431799838</v>
          </cell>
          <cell r="BQ73">
            <v>8.5438578238498781</v>
          </cell>
          <cell r="BR73">
            <v>0.5695905215899919</v>
          </cell>
          <cell r="BU73">
            <v>7.95</v>
          </cell>
          <cell r="BV73">
            <v>9.3736228813559332</v>
          </cell>
          <cell r="BW73">
            <v>11.717028601694917</v>
          </cell>
          <cell r="BX73">
            <v>14.060434322033899</v>
          </cell>
          <cell r="BY73">
            <v>16.403840042372885</v>
          </cell>
          <cell r="BZ73">
            <v>15.232137182203392</v>
          </cell>
          <cell r="CA73">
            <v>1.1717028601694917</v>
          </cell>
          <cell r="CC73">
            <v>7.95</v>
          </cell>
          <cell r="CD73">
            <v>5.2793672820823234</v>
          </cell>
          <cell r="CE73">
            <v>7.9190509231234856</v>
          </cell>
          <cell r="CF73">
            <v>10.558734564164647</v>
          </cell>
          <cell r="CG73">
            <v>13.198418205205808</v>
          </cell>
          <cell r="CH73">
            <v>15.838101846246971</v>
          </cell>
          <cell r="CI73">
            <v>5.2793672820823234</v>
          </cell>
        </row>
        <row r="74">
          <cell r="A74">
            <v>37589</v>
          </cell>
          <cell r="B74">
            <v>84.75</v>
          </cell>
          <cell r="C74">
            <v>51.973271262684413</v>
          </cell>
          <cell r="D74">
            <v>62.367925515221302</v>
          </cell>
          <cell r="E74">
            <v>72.762579767758183</v>
          </cell>
          <cell r="F74">
            <v>83.157234020295064</v>
          </cell>
          <cell r="G74">
            <v>93.551888272831945</v>
          </cell>
          <cell r="H74">
            <v>103.94654252536883</v>
          </cell>
          <cell r="I74">
            <v>77.959906894026616</v>
          </cell>
          <cell r="J74">
            <v>5.1973271262684415</v>
          </cell>
          <cell r="M74">
            <v>84.75</v>
          </cell>
          <cell r="N74">
            <v>59.072165847194576</v>
          </cell>
          <cell r="O74">
            <v>70.886599016633497</v>
          </cell>
          <cell r="P74">
            <v>82.70103218607241</v>
          </cell>
          <cell r="Q74">
            <v>94.515465355511324</v>
          </cell>
          <cell r="R74">
            <v>106.32989852495024</v>
          </cell>
          <cell r="S74">
            <v>118.14433169438915</v>
          </cell>
          <cell r="T74">
            <v>88.60824877079186</v>
          </cell>
          <cell r="U74">
            <v>5.9072165847194578</v>
          </cell>
          <cell r="W74">
            <v>84.75</v>
          </cell>
          <cell r="X74">
            <v>45.705181853052977</v>
          </cell>
          <cell r="Y74">
            <v>68.557772779579466</v>
          </cell>
          <cell r="Z74">
            <v>91.410363706105954</v>
          </cell>
          <cell r="AA74">
            <v>114.26295463263244</v>
          </cell>
          <cell r="AB74">
            <v>137.11554555915893</v>
          </cell>
          <cell r="AC74">
            <v>22.852590926526489</v>
          </cell>
          <cell r="AF74">
            <v>13.6</v>
          </cell>
          <cell r="AG74">
            <v>9.9061526132508995</v>
          </cell>
          <cell r="AH74">
            <v>11.887383135901079</v>
          </cell>
          <cell r="AI74">
            <v>13.86861365855126</v>
          </cell>
          <cell r="AJ74">
            <v>15.849844181201439</v>
          </cell>
          <cell r="AK74">
            <v>17.83107470385162</v>
          </cell>
          <cell r="AL74">
            <v>19.812305226501799</v>
          </cell>
          <cell r="AM74">
            <v>14.859228919876349</v>
          </cell>
          <cell r="AN74">
            <v>0.99061526132508992</v>
          </cell>
          <cell r="AQ74">
            <v>13.6</v>
          </cell>
          <cell r="AR74">
            <v>8.6491487612408733</v>
          </cell>
          <cell r="AS74">
            <v>12.10880826573722</v>
          </cell>
          <cell r="AT74">
            <v>15.568467770233571</v>
          </cell>
          <cell r="AU74">
            <v>19.028127274729918</v>
          </cell>
          <cell r="AV74">
            <v>22.487786779226269</v>
          </cell>
          <cell r="AW74">
            <v>25.947446283722616</v>
          </cell>
          <cell r="AX74">
            <v>17.298297522481747</v>
          </cell>
          <cell r="AY74">
            <v>1.7298297522481745</v>
          </cell>
          <cell r="BA74">
            <v>13.6</v>
          </cell>
          <cell r="BB74">
            <v>13.025758193981691</v>
          </cell>
          <cell r="BC74">
            <v>19.538637290972538</v>
          </cell>
          <cell r="BD74">
            <v>26.051516387963382</v>
          </cell>
          <cell r="BE74">
            <v>32.564395484954225</v>
          </cell>
          <cell r="BF74">
            <v>39.077274581945076</v>
          </cell>
          <cell r="BG74">
            <v>13.025758193981691</v>
          </cell>
          <cell r="BJ74">
            <v>8.65</v>
          </cell>
          <cell r="BK74">
            <v>6.0036918633979006</v>
          </cell>
          <cell r="BL74">
            <v>7.2044302360774815</v>
          </cell>
          <cell r="BM74">
            <v>8.4051686087570605</v>
          </cell>
          <cell r="BN74">
            <v>9.6059069814366413</v>
          </cell>
          <cell r="BO74">
            <v>10.806645354116222</v>
          </cell>
          <cell r="BP74">
            <v>12.007383726795801</v>
          </cell>
          <cell r="BQ74">
            <v>9.0055377950968509</v>
          </cell>
          <cell r="BR74">
            <v>0.60036918633979008</v>
          </cell>
          <cell r="BU74">
            <v>8.65</v>
          </cell>
          <cell r="BV74">
            <v>9.2981638418079111</v>
          </cell>
          <cell r="BW74">
            <v>11.622704802259889</v>
          </cell>
          <cell r="BX74">
            <v>13.947245762711866</v>
          </cell>
          <cell r="BY74">
            <v>16.271786723163846</v>
          </cell>
          <cell r="BZ74">
            <v>15.109516242937856</v>
          </cell>
          <cell r="CA74">
            <v>1.1622704802259889</v>
          </cell>
          <cell r="CC74">
            <v>8.65</v>
          </cell>
          <cell r="CD74">
            <v>5.3324897094430979</v>
          </cell>
          <cell r="CE74">
            <v>7.9987345641646463</v>
          </cell>
          <cell r="CF74">
            <v>10.664979418886196</v>
          </cell>
          <cell r="CG74">
            <v>13.331224273607745</v>
          </cell>
          <cell r="CH74">
            <v>15.997469128329293</v>
          </cell>
          <cell r="CI74">
            <v>5.3324897094430979</v>
          </cell>
        </row>
        <row r="75">
          <cell r="A75">
            <v>37621</v>
          </cell>
          <cell r="B75">
            <v>83</v>
          </cell>
          <cell r="C75">
            <v>51.888272831886184</v>
          </cell>
          <cell r="D75">
            <v>62.265927398263415</v>
          </cell>
          <cell r="E75">
            <v>72.64358196464066</v>
          </cell>
          <cell r="F75">
            <v>83.021236531017891</v>
          </cell>
          <cell r="G75">
            <v>93.398891097395122</v>
          </cell>
          <cell r="H75">
            <v>103.77654566377237</v>
          </cell>
          <cell r="I75">
            <v>77.832409247829276</v>
          </cell>
          <cell r="J75">
            <v>5.1888272831886182</v>
          </cell>
          <cell r="M75">
            <v>83</v>
          </cell>
          <cell r="N75">
            <v>58.871220838999896</v>
          </cell>
          <cell r="O75">
            <v>70.645465006799881</v>
          </cell>
          <cell r="P75">
            <v>82.419709174599859</v>
          </cell>
          <cell r="Q75">
            <v>94.193953342399837</v>
          </cell>
          <cell r="R75">
            <v>105.96819751019981</v>
          </cell>
          <cell r="S75">
            <v>117.74244167799979</v>
          </cell>
          <cell r="T75">
            <v>88.306831258499841</v>
          </cell>
          <cell r="U75">
            <v>5.8871220838999898</v>
          </cell>
          <cell r="W75">
            <v>83</v>
          </cell>
          <cell r="X75">
            <v>45.573804791296162</v>
          </cell>
          <cell r="Y75">
            <v>68.360707186944239</v>
          </cell>
          <cell r="Z75">
            <v>91.147609582592324</v>
          </cell>
          <cell r="AA75">
            <v>113.93451197824041</v>
          </cell>
          <cell r="AB75">
            <v>136.72141437388848</v>
          </cell>
          <cell r="AC75">
            <v>22.786902395648081</v>
          </cell>
          <cell r="AF75">
            <v>13.35</v>
          </cell>
          <cell r="AG75">
            <v>9.7302904564315345</v>
          </cell>
          <cell r="AH75">
            <v>11.676348547717842</v>
          </cell>
          <cell r="AI75">
            <v>13.622406639004149</v>
          </cell>
          <cell r="AJ75">
            <v>15.568464730290456</v>
          </cell>
          <cell r="AK75">
            <v>17.514522821576762</v>
          </cell>
          <cell r="AL75">
            <v>19.460580912863069</v>
          </cell>
          <cell r="AM75">
            <v>14.595435684647303</v>
          </cell>
          <cell r="AN75">
            <v>0.97302904564315351</v>
          </cell>
          <cell r="AQ75">
            <v>13.35</v>
          </cell>
          <cell r="AR75">
            <v>8.6894882434301515</v>
          </cell>
          <cell r="AS75">
            <v>12.165283540802214</v>
          </cell>
          <cell r="AT75">
            <v>15.641078838174273</v>
          </cell>
          <cell r="AU75">
            <v>19.116874135546336</v>
          </cell>
          <cell r="AV75">
            <v>22.592669432918395</v>
          </cell>
          <cell r="AW75">
            <v>26.068464730290458</v>
          </cell>
          <cell r="AX75">
            <v>17.378976486860303</v>
          </cell>
          <cell r="AY75">
            <v>1.7378976486860305</v>
          </cell>
          <cell r="BA75">
            <v>13.35</v>
          </cell>
          <cell r="BB75">
            <v>13.052558782849239</v>
          </cell>
          <cell r="BC75">
            <v>19.578838174273859</v>
          </cell>
          <cell r="BD75">
            <v>26.105117565698478</v>
          </cell>
          <cell r="BE75">
            <v>32.631396957123101</v>
          </cell>
          <cell r="BF75">
            <v>39.157676348547717</v>
          </cell>
          <cell r="BG75">
            <v>13.052558782849239</v>
          </cell>
          <cell r="BJ75">
            <v>8</v>
          </cell>
          <cell r="BK75">
            <v>6.311478510895884</v>
          </cell>
          <cell r="BL75">
            <v>7.57377421307506</v>
          </cell>
          <cell r="BM75">
            <v>8.836069915254237</v>
          </cell>
          <cell r="BN75">
            <v>10.098365617433414</v>
          </cell>
          <cell r="BO75">
            <v>11.360661319612591</v>
          </cell>
          <cell r="BP75">
            <v>12.622957021791768</v>
          </cell>
          <cell r="BQ75">
            <v>9.4672177663438255</v>
          </cell>
          <cell r="BR75">
            <v>0.63114785108958837</v>
          </cell>
          <cell r="BU75">
            <v>8</v>
          </cell>
          <cell r="BV75">
            <v>9.1472457627118651</v>
          </cell>
          <cell r="BW75">
            <v>11.43405720338983</v>
          </cell>
          <cell r="BX75">
            <v>13.720868644067798</v>
          </cell>
          <cell r="BY75">
            <v>16.007680084745765</v>
          </cell>
          <cell r="BZ75">
            <v>14.86427436440678</v>
          </cell>
          <cell r="CA75">
            <v>1.1434057203389831</v>
          </cell>
          <cell r="CC75">
            <v>8</v>
          </cell>
          <cell r="CD75">
            <v>5.3856121368038741</v>
          </cell>
          <cell r="CE75">
            <v>8.0784182052058107</v>
          </cell>
          <cell r="CF75">
            <v>10.771224273607748</v>
          </cell>
          <cell r="CG75">
            <v>13.464030342009686</v>
          </cell>
          <cell r="CH75">
            <v>16.156836410411621</v>
          </cell>
          <cell r="CI75">
            <v>5.3856121368038741</v>
          </cell>
        </row>
        <row r="76">
          <cell r="A76">
            <v>37652</v>
          </cell>
          <cell r="B76">
            <v>83</v>
          </cell>
          <cell r="C76">
            <v>51.722198974788157</v>
          </cell>
          <cell r="D76">
            <v>62.066638769745794</v>
          </cell>
          <cell r="E76">
            <v>72.411078564703416</v>
          </cell>
          <cell r="F76">
            <v>82.755518359661053</v>
          </cell>
          <cell r="G76">
            <v>93.09995815461869</v>
          </cell>
          <cell r="H76">
            <v>103.44439794957631</v>
          </cell>
          <cell r="I76">
            <v>77.583298462182242</v>
          </cell>
          <cell r="J76">
            <v>5.1722198974788158</v>
          </cell>
          <cell r="M76">
            <v>83</v>
          </cell>
          <cell r="N76">
            <v>58.967116504515815</v>
          </cell>
          <cell r="O76">
            <v>70.760539805418972</v>
          </cell>
          <cell r="P76">
            <v>82.553963106322144</v>
          </cell>
          <cell r="Q76">
            <v>94.347386407225301</v>
          </cell>
          <cell r="R76">
            <v>106.14080970812846</v>
          </cell>
          <cell r="S76">
            <v>117.93423300903163</v>
          </cell>
          <cell r="T76">
            <v>88.450674756773722</v>
          </cell>
          <cell r="U76">
            <v>5.8967116504515813</v>
          </cell>
          <cell r="W76">
            <v>83</v>
          </cell>
          <cell r="X76">
            <v>45.231805976915297</v>
          </cell>
          <cell r="Y76">
            <v>67.847708965372945</v>
          </cell>
          <cell r="Z76">
            <v>90.463611953830593</v>
          </cell>
          <cell r="AA76">
            <v>113.07951494228824</v>
          </cell>
          <cell r="AB76">
            <v>135.69541793074589</v>
          </cell>
          <cell r="AC76">
            <v>22.615902988457648</v>
          </cell>
          <cell r="AF76">
            <v>14.45</v>
          </cell>
          <cell r="AG76">
            <v>10.090597949293429</v>
          </cell>
          <cell r="AH76">
            <v>12.108717539152115</v>
          </cell>
          <cell r="AI76">
            <v>14.126837129010802</v>
          </cell>
          <cell r="AJ76">
            <v>16.144956718869487</v>
          </cell>
          <cell r="AK76">
            <v>18.163076308728172</v>
          </cell>
          <cell r="AL76">
            <v>20.181195898586857</v>
          </cell>
          <cell r="AM76">
            <v>15.135896923940145</v>
          </cell>
          <cell r="AN76">
            <v>1.0090597949293429</v>
          </cell>
          <cell r="AQ76">
            <v>14.45</v>
          </cell>
          <cell r="AR76">
            <v>8.7806927400472503</v>
          </cell>
          <cell r="AS76">
            <v>12.292969836066153</v>
          </cell>
          <cell r="AT76">
            <v>15.805246932085051</v>
          </cell>
          <cell r="AU76">
            <v>19.317524028103954</v>
          </cell>
          <cell r="AV76">
            <v>22.829801124122852</v>
          </cell>
          <cell r="AW76">
            <v>26.342078220141754</v>
          </cell>
          <cell r="AX76">
            <v>17.561385480094501</v>
          </cell>
          <cell r="AY76">
            <v>1.7561385480094502</v>
          </cell>
          <cell r="BA76">
            <v>14.45</v>
          </cell>
          <cell r="BB76">
            <v>13.106475867193772</v>
          </cell>
          <cell r="BC76">
            <v>19.659713800790659</v>
          </cell>
          <cell r="BD76">
            <v>26.212951734387545</v>
          </cell>
          <cell r="BE76">
            <v>32.766189667984435</v>
          </cell>
          <cell r="BF76">
            <v>39.319427601581317</v>
          </cell>
          <cell r="BG76">
            <v>13.106475867193772</v>
          </cell>
          <cell r="BJ76">
            <v>8.0500000000000007</v>
          </cell>
          <cell r="BK76">
            <v>6.4131545096852305</v>
          </cell>
          <cell r="BL76">
            <v>7.6957854116222766</v>
          </cell>
          <cell r="BM76">
            <v>8.9784163135593218</v>
          </cell>
          <cell r="BN76">
            <v>10.261047215496369</v>
          </cell>
          <cell r="BO76">
            <v>11.543678117433416</v>
          </cell>
          <cell r="BP76">
            <v>12.826309019370461</v>
          </cell>
          <cell r="BQ76">
            <v>9.6197317645278453</v>
          </cell>
          <cell r="BR76">
            <v>0.64131545096852305</v>
          </cell>
          <cell r="BU76">
            <v>8.0500000000000007</v>
          </cell>
          <cell r="BV76">
            <v>9.1160966505246179</v>
          </cell>
          <cell r="BW76">
            <v>11.395120813155772</v>
          </cell>
          <cell r="BX76">
            <v>13.674144975786927</v>
          </cell>
          <cell r="BY76">
            <v>15.953169138418081</v>
          </cell>
          <cell r="BZ76">
            <v>14.813657057102503</v>
          </cell>
          <cell r="CA76">
            <v>1.1395120813155772</v>
          </cell>
          <cell r="CC76">
            <v>8.0500000000000007</v>
          </cell>
          <cell r="CD76">
            <v>5.4117799132364812</v>
          </cell>
          <cell r="CE76">
            <v>8.1176698698547227</v>
          </cell>
          <cell r="CF76">
            <v>10.823559826472962</v>
          </cell>
          <cell r="CG76">
            <v>13.529449783091202</v>
          </cell>
          <cell r="CH76">
            <v>16.235339739709445</v>
          </cell>
          <cell r="CI76">
            <v>5.4117799132364812</v>
          </cell>
        </row>
        <row r="77">
          <cell r="A77">
            <v>37680</v>
          </cell>
          <cell r="B77">
            <v>85.25</v>
          </cell>
          <cell r="C77">
            <v>51.556125117690137</v>
          </cell>
          <cell r="D77">
            <v>61.867350141228158</v>
          </cell>
          <cell r="E77">
            <v>72.178575164766187</v>
          </cell>
          <cell r="F77">
            <v>82.489800188304216</v>
          </cell>
          <cell r="G77">
            <v>92.801025211842244</v>
          </cell>
          <cell r="H77">
            <v>103.11225023538027</v>
          </cell>
          <cell r="I77">
            <v>77.334187676535208</v>
          </cell>
          <cell r="J77">
            <v>5.1556125117690135</v>
          </cell>
          <cell r="M77">
            <v>85.25</v>
          </cell>
          <cell r="N77">
            <v>59.063012170031726</v>
          </cell>
          <cell r="O77">
            <v>70.875614604038077</v>
          </cell>
          <cell r="P77">
            <v>82.688217038044414</v>
          </cell>
          <cell r="Q77">
            <v>94.500819472050765</v>
          </cell>
          <cell r="R77">
            <v>106.31342190605712</v>
          </cell>
          <cell r="S77">
            <v>118.12602434006345</v>
          </cell>
          <cell r="T77">
            <v>88.594518255047589</v>
          </cell>
          <cell r="U77">
            <v>5.9063012170031728</v>
          </cell>
          <cell r="W77">
            <v>85.25</v>
          </cell>
          <cell r="X77">
            <v>44.889807162534431</v>
          </cell>
          <cell r="Y77">
            <v>67.334710743801651</v>
          </cell>
          <cell r="Z77">
            <v>89.779614325068863</v>
          </cell>
          <cell r="AA77">
            <v>112.22451790633608</v>
          </cell>
          <cell r="AB77">
            <v>134.6694214876033</v>
          </cell>
          <cell r="AC77">
            <v>22.444903581267216</v>
          </cell>
          <cell r="AF77">
            <v>14.55</v>
          </cell>
          <cell r="AG77">
            <v>10.450905442155323</v>
          </cell>
          <cell r="AH77">
            <v>12.541086530586387</v>
          </cell>
          <cell r="AI77">
            <v>14.631267619017452</v>
          </cell>
          <cell r="AJ77">
            <v>16.721448707448516</v>
          </cell>
          <cell r="AK77">
            <v>18.811629795879583</v>
          </cell>
          <cell r="AL77">
            <v>20.901810884310645</v>
          </cell>
          <cell r="AM77">
            <v>15.676358163232983</v>
          </cell>
          <cell r="AN77">
            <v>1.0450905442155323</v>
          </cell>
          <cell r="AQ77">
            <v>14.55</v>
          </cell>
          <cell r="AR77">
            <v>8.8718972366643492</v>
          </cell>
          <cell r="AS77">
            <v>12.420656131330091</v>
          </cell>
          <cell r="AT77">
            <v>15.969415025995829</v>
          </cell>
          <cell r="AU77">
            <v>19.518173920661571</v>
          </cell>
          <cell r="AV77">
            <v>23.066932815327309</v>
          </cell>
          <cell r="AW77">
            <v>26.615691709993051</v>
          </cell>
          <cell r="AX77">
            <v>17.743794473328698</v>
          </cell>
          <cell r="AY77">
            <v>1.77437944733287</v>
          </cell>
          <cell r="BA77">
            <v>14.55</v>
          </cell>
          <cell r="BB77">
            <v>13.160392951538306</v>
          </cell>
          <cell r="BC77">
            <v>19.740589427307459</v>
          </cell>
          <cell r="BD77">
            <v>26.320785903076612</v>
          </cell>
          <cell r="BE77">
            <v>32.900982378845768</v>
          </cell>
          <cell r="BF77">
            <v>39.481178854614917</v>
          </cell>
          <cell r="BG77">
            <v>13.160392951538306</v>
          </cell>
          <cell r="BJ77">
            <v>8</v>
          </cell>
          <cell r="BK77">
            <v>6.514830508474577</v>
          </cell>
          <cell r="BL77">
            <v>7.8177966101694931</v>
          </cell>
          <cell r="BM77">
            <v>9.1207627118644083</v>
          </cell>
          <cell r="BN77">
            <v>10.423728813559324</v>
          </cell>
          <cell r="BO77">
            <v>11.726694915254239</v>
          </cell>
          <cell r="BP77">
            <v>13.029661016949154</v>
          </cell>
          <cell r="BQ77">
            <v>9.7722457627118651</v>
          </cell>
          <cell r="BR77">
            <v>0.65148305084745772</v>
          </cell>
          <cell r="BU77">
            <v>8</v>
          </cell>
          <cell r="BV77">
            <v>9.0849475383373708</v>
          </cell>
          <cell r="BW77">
            <v>11.356184422921714</v>
          </cell>
          <cell r="BX77">
            <v>13.627421307506056</v>
          </cell>
          <cell r="BY77">
            <v>15.898658192090398</v>
          </cell>
          <cell r="BZ77">
            <v>14.763039749798228</v>
          </cell>
          <cell r="CA77">
            <v>1.1356184422921713</v>
          </cell>
          <cell r="CC77">
            <v>8</v>
          </cell>
          <cell r="CD77">
            <v>5.4379476896690884</v>
          </cell>
          <cell r="CE77">
            <v>8.156921534503633</v>
          </cell>
          <cell r="CF77">
            <v>10.875895379338177</v>
          </cell>
          <cell r="CG77">
            <v>13.59486922417272</v>
          </cell>
          <cell r="CH77">
            <v>16.313843069007266</v>
          </cell>
          <cell r="CI77">
            <v>5.4379476896690884</v>
          </cell>
        </row>
        <row r="78">
          <cell r="A78">
            <v>37711</v>
          </cell>
          <cell r="B78">
            <v>79.5</v>
          </cell>
          <cell r="C78">
            <v>51.390051260592109</v>
          </cell>
          <cell r="D78">
            <v>61.668061512710537</v>
          </cell>
          <cell r="E78">
            <v>71.946071764828957</v>
          </cell>
          <cell r="F78">
            <v>82.224082016947378</v>
          </cell>
          <cell r="G78">
            <v>92.502092269065798</v>
          </cell>
          <cell r="H78">
            <v>102.78010252118422</v>
          </cell>
          <cell r="I78">
            <v>77.085076890888161</v>
          </cell>
          <cell r="J78">
            <v>5.1390051260592111</v>
          </cell>
          <cell r="M78">
            <v>79.5</v>
          </cell>
          <cell r="N78">
            <v>59.158907835547645</v>
          </cell>
          <cell r="O78">
            <v>70.990689402657168</v>
          </cell>
          <cell r="P78">
            <v>82.822470969766698</v>
          </cell>
          <cell r="Q78">
            <v>94.654252536876228</v>
          </cell>
          <cell r="R78">
            <v>106.48603410398576</v>
          </cell>
          <cell r="S78">
            <v>118.31781567109529</v>
          </cell>
          <cell r="T78">
            <v>88.73836175332147</v>
          </cell>
          <cell r="U78">
            <v>5.9158907835547643</v>
          </cell>
          <cell r="W78">
            <v>79.5</v>
          </cell>
          <cell r="X78">
            <v>44.547808348153566</v>
          </cell>
          <cell r="Y78">
            <v>66.821712522230342</v>
          </cell>
          <cell r="Z78">
            <v>89.095616696307133</v>
          </cell>
          <cell r="AA78">
            <v>111.36952087038392</v>
          </cell>
          <cell r="AB78">
            <v>133.64342504446068</v>
          </cell>
          <cell r="AC78">
            <v>22.273904174076783</v>
          </cell>
          <cell r="AF78">
            <v>14.3</v>
          </cell>
          <cell r="AG78">
            <v>10.811212935017217</v>
          </cell>
          <cell r="AH78">
            <v>12.973455522020659</v>
          </cell>
          <cell r="AI78">
            <v>15.135698109024101</v>
          </cell>
          <cell r="AJ78">
            <v>17.297940696027545</v>
          </cell>
          <cell r="AK78">
            <v>19.46018328303099</v>
          </cell>
          <cell r="AL78">
            <v>21.622425870034434</v>
          </cell>
          <cell r="AM78">
            <v>16.216819402525825</v>
          </cell>
          <cell r="AN78">
            <v>1.0811212935017216</v>
          </cell>
          <cell r="AQ78">
            <v>14.3</v>
          </cell>
          <cell r="AR78">
            <v>8.963101733281448</v>
          </cell>
          <cell r="AS78">
            <v>12.548342426594029</v>
          </cell>
          <cell r="AT78">
            <v>16.133583119906607</v>
          </cell>
          <cell r="AU78">
            <v>19.718823813219188</v>
          </cell>
          <cell r="AV78">
            <v>23.304064506531766</v>
          </cell>
          <cell r="AW78">
            <v>26.889305199844348</v>
          </cell>
          <cell r="AX78">
            <v>17.926203466562896</v>
          </cell>
          <cell r="AY78">
            <v>1.7926203466562898</v>
          </cell>
          <cell r="BA78">
            <v>14.3</v>
          </cell>
          <cell r="BB78">
            <v>13.214310035882839</v>
          </cell>
          <cell r="BC78">
            <v>19.821465053824259</v>
          </cell>
          <cell r="BD78">
            <v>26.428620071765678</v>
          </cell>
          <cell r="BE78">
            <v>33.035775089707101</v>
          </cell>
          <cell r="BF78">
            <v>39.642930107648517</v>
          </cell>
          <cell r="BG78">
            <v>13.214310035882839</v>
          </cell>
          <cell r="BJ78">
            <v>8.15</v>
          </cell>
          <cell r="BK78">
            <v>6.6165065072639244</v>
          </cell>
          <cell r="BL78">
            <v>7.9398078087167088</v>
          </cell>
          <cell r="BM78">
            <v>9.2631091101694931</v>
          </cell>
          <cell r="BN78">
            <v>10.586410411622278</v>
          </cell>
          <cell r="BO78">
            <v>11.909711713075064</v>
          </cell>
          <cell r="BP78">
            <v>13.233013014527849</v>
          </cell>
          <cell r="BQ78">
            <v>9.9247597608958866</v>
          </cell>
          <cell r="BR78">
            <v>0.6616506507263924</v>
          </cell>
          <cell r="BU78">
            <v>8.15</v>
          </cell>
          <cell r="BV78">
            <v>9.0537984261501236</v>
          </cell>
          <cell r="BW78">
            <v>11.317248032687655</v>
          </cell>
          <cell r="BX78">
            <v>13.580697639225185</v>
          </cell>
          <cell r="BY78">
            <v>15.844147245762716</v>
          </cell>
          <cell r="BZ78">
            <v>14.712422442493951</v>
          </cell>
          <cell r="CA78">
            <v>1.1317248032687655</v>
          </cell>
          <cell r="CC78">
            <v>8.15</v>
          </cell>
          <cell r="CD78">
            <v>5.4641154661016955</v>
          </cell>
          <cell r="CE78">
            <v>8.1961731991525433</v>
          </cell>
          <cell r="CF78">
            <v>10.928230932203391</v>
          </cell>
          <cell r="CG78">
            <v>13.660288665254239</v>
          </cell>
          <cell r="CH78">
            <v>16.392346398305087</v>
          </cell>
          <cell r="CI78">
            <v>5.4641154661016955</v>
          </cell>
        </row>
        <row r="79">
          <cell r="A79">
            <v>37741</v>
          </cell>
          <cell r="B79">
            <v>77.25</v>
          </cell>
          <cell r="C79">
            <v>51.223977403494089</v>
          </cell>
          <cell r="D79">
            <v>61.468772884192902</v>
          </cell>
          <cell r="E79">
            <v>71.713568364891728</v>
          </cell>
          <cell r="F79">
            <v>81.95836384559054</v>
          </cell>
          <cell r="G79">
            <v>92.203159326289352</v>
          </cell>
          <cell r="H79">
            <v>102.44795480698818</v>
          </cell>
          <cell r="I79">
            <v>76.835966105241127</v>
          </cell>
          <cell r="J79">
            <v>5.1223977403494088</v>
          </cell>
          <cell r="M79">
            <v>77.25</v>
          </cell>
          <cell r="N79">
            <v>59.254803501063556</v>
          </cell>
          <cell r="O79">
            <v>71.105764201276273</v>
          </cell>
          <cell r="P79">
            <v>82.956724901488982</v>
          </cell>
          <cell r="Q79">
            <v>94.807685601701692</v>
          </cell>
          <cell r="R79">
            <v>106.6586463019144</v>
          </cell>
          <cell r="S79">
            <v>118.50960700212711</v>
          </cell>
          <cell r="T79">
            <v>88.882205251595337</v>
          </cell>
          <cell r="U79">
            <v>5.9254803501063558</v>
          </cell>
          <cell r="W79">
            <v>77.25</v>
          </cell>
          <cell r="X79">
            <v>44.205809533772701</v>
          </cell>
          <cell r="Y79">
            <v>66.308714300659048</v>
          </cell>
          <cell r="Z79">
            <v>88.411619067545402</v>
          </cell>
          <cell r="AA79">
            <v>110.51452383443176</v>
          </cell>
          <cell r="AB79">
            <v>132.6174286013181</v>
          </cell>
          <cell r="AC79">
            <v>22.102904766886351</v>
          </cell>
          <cell r="AF79">
            <v>14.45</v>
          </cell>
          <cell r="AG79">
            <v>11.171520427879109</v>
          </cell>
          <cell r="AH79">
            <v>13.405824513454931</v>
          </cell>
          <cell r="AI79">
            <v>15.640128599030753</v>
          </cell>
          <cell r="AJ79">
            <v>17.874432684606575</v>
          </cell>
          <cell r="AK79">
            <v>20.108736770182396</v>
          </cell>
          <cell r="AL79">
            <v>22.343040855758218</v>
          </cell>
          <cell r="AM79">
            <v>16.757280641818664</v>
          </cell>
          <cell r="AN79">
            <v>1.1171520427879109</v>
          </cell>
          <cell r="AQ79">
            <v>14.45</v>
          </cell>
          <cell r="AR79">
            <v>9.0543062298985468</v>
          </cell>
          <cell r="AS79">
            <v>12.676028721857968</v>
          </cell>
          <cell r="AT79">
            <v>16.297751213817385</v>
          </cell>
          <cell r="AU79">
            <v>19.919473705776806</v>
          </cell>
          <cell r="AV79">
            <v>23.541196197736223</v>
          </cell>
          <cell r="AW79">
            <v>27.162918689695644</v>
          </cell>
          <cell r="AX79">
            <v>18.108612459797094</v>
          </cell>
          <cell r="AY79">
            <v>1.8108612459797095</v>
          </cell>
          <cell r="BA79">
            <v>14.45</v>
          </cell>
          <cell r="BB79">
            <v>13.268227120227372</v>
          </cell>
          <cell r="BC79">
            <v>19.902340680341059</v>
          </cell>
          <cell r="BD79">
            <v>26.536454240454745</v>
          </cell>
          <cell r="BE79">
            <v>33.170567800568435</v>
          </cell>
          <cell r="BF79">
            <v>39.804681360682117</v>
          </cell>
          <cell r="BG79">
            <v>13.268227120227372</v>
          </cell>
          <cell r="BJ79">
            <v>7.6</v>
          </cell>
          <cell r="BK79">
            <v>6.7181825060532709</v>
          </cell>
          <cell r="BL79">
            <v>8.0618190072639244</v>
          </cell>
          <cell r="BM79">
            <v>9.4054555084745797</v>
          </cell>
          <cell r="BN79">
            <v>10.749092009685233</v>
          </cell>
          <cell r="BO79">
            <v>12.092728510895887</v>
          </cell>
          <cell r="BP79">
            <v>13.436365012106542</v>
          </cell>
          <cell r="BQ79">
            <v>10.077273759079906</v>
          </cell>
          <cell r="BR79">
            <v>0.67181825060532707</v>
          </cell>
          <cell r="BU79">
            <v>7.6</v>
          </cell>
          <cell r="BV79">
            <v>9.0226493139628765</v>
          </cell>
          <cell r="BW79">
            <v>11.278311642453595</v>
          </cell>
          <cell r="BX79">
            <v>13.533973970944315</v>
          </cell>
          <cell r="BY79">
            <v>15.789636299435035</v>
          </cell>
          <cell r="BZ79">
            <v>14.661805135189674</v>
          </cell>
          <cell r="CA79">
            <v>1.1278311642453596</v>
          </cell>
          <cell r="CC79">
            <v>7.6</v>
          </cell>
          <cell r="CD79">
            <v>5.4902832425343027</v>
          </cell>
          <cell r="CE79">
            <v>8.2354248638014536</v>
          </cell>
          <cell r="CF79">
            <v>10.980566485068605</v>
          </cell>
          <cell r="CG79">
            <v>13.725708106335757</v>
          </cell>
          <cell r="CH79">
            <v>16.470849727602907</v>
          </cell>
          <cell r="CI79">
            <v>5.4902832425343027</v>
          </cell>
        </row>
        <row r="80">
          <cell r="A80">
            <v>37772</v>
          </cell>
          <cell r="B80">
            <v>83</v>
          </cell>
          <cell r="C80">
            <v>51.057903546396062</v>
          </cell>
          <cell r="D80">
            <v>61.26948425567528</v>
          </cell>
          <cell r="E80">
            <v>71.481064964954484</v>
          </cell>
          <cell r="F80">
            <v>81.692645674233702</v>
          </cell>
          <cell r="G80">
            <v>91.904226383512921</v>
          </cell>
          <cell r="H80">
            <v>102.11580709279212</v>
          </cell>
          <cell r="I80">
            <v>76.586855319594093</v>
          </cell>
          <cell r="J80">
            <v>5.1057903546396064</v>
          </cell>
          <cell r="M80">
            <v>83</v>
          </cell>
          <cell r="N80">
            <v>59.350699166579474</v>
          </cell>
          <cell r="O80">
            <v>71.220838999895363</v>
          </cell>
          <cell r="P80">
            <v>83.090978833211267</v>
          </cell>
          <cell r="Q80">
            <v>94.961118666527156</v>
          </cell>
          <cell r="R80">
            <v>106.83125849984305</v>
          </cell>
          <cell r="S80">
            <v>118.70139833315895</v>
          </cell>
          <cell r="T80">
            <v>89.026048749869204</v>
          </cell>
          <cell r="U80">
            <v>5.9350699166579473</v>
          </cell>
          <cell r="W80">
            <v>83</v>
          </cell>
          <cell r="X80">
            <v>43.863810719391836</v>
          </cell>
          <cell r="Y80">
            <v>65.795716079087754</v>
          </cell>
          <cell r="Z80">
            <v>87.727621438783672</v>
          </cell>
          <cell r="AA80">
            <v>109.65952679847959</v>
          </cell>
          <cell r="AB80">
            <v>131.59143215817551</v>
          </cell>
          <cell r="AC80">
            <v>21.931905359695918</v>
          </cell>
          <cell r="AF80">
            <v>14.7</v>
          </cell>
          <cell r="AG80">
            <v>11.531827920741001</v>
          </cell>
          <cell r="AH80">
            <v>13.838193504889203</v>
          </cell>
          <cell r="AI80">
            <v>16.144559089037404</v>
          </cell>
          <cell r="AJ80">
            <v>18.450924673185604</v>
          </cell>
          <cell r="AK80">
            <v>20.757290257333803</v>
          </cell>
          <cell r="AL80">
            <v>23.063655841482003</v>
          </cell>
          <cell r="AM80">
            <v>17.297741881111502</v>
          </cell>
          <cell r="AN80">
            <v>1.1531827920741002</v>
          </cell>
          <cell r="AQ80">
            <v>14.7</v>
          </cell>
          <cell r="AR80">
            <v>9.1455107265156457</v>
          </cell>
          <cell r="AS80">
            <v>12.803715017121906</v>
          </cell>
          <cell r="AT80">
            <v>16.461919307728163</v>
          </cell>
          <cell r="AU80">
            <v>20.120123598334423</v>
          </cell>
          <cell r="AV80">
            <v>23.77832788894068</v>
          </cell>
          <cell r="AW80">
            <v>27.436532179546941</v>
          </cell>
          <cell r="AX80">
            <v>18.291021453031291</v>
          </cell>
          <cell r="AY80">
            <v>1.8291021453031293</v>
          </cell>
          <cell r="BA80">
            <v>14.7</v>
          </cell>
          <cell r="BB80">
            <v>13.322144204571906</v>
          </cell>
          <cell r="BC80">
            <v>19.983216306857859</v>
          </cell>
          <cell r="BD80">
            <v>26.644288409143812</v>
          </cell>
          <cell r="BE80">
            <v>33.305360511429768</v>
          </cell>
          <cell r="BF80">
            <v>39.966432613715718</v>
          </cell>
          <cell r="BG80">
            <v>13.322144204571906</v>
          </cell>
          <cell r="BJ80">
            <v>8</v>
          </cell>
          <cell r="BK80">
            <v>6.8198585048426175</v>
          </cell>
          <cell r="BL80">
            <v>8.183830205811141</v>
          </cell>
          <cell r="BM80">
            <v>9.5478019067796644</v>
          </cell>
          <cell r="BN80">
            <v>10.911773607748188</v>
          </cell>
          <cell r="BO80">
            <v>12.275745308716711</v>
          </cell>
          <cell r="BP80">
            <v>13.639717009685235</v>
          </cell>
          <cell r="BQ80">
            <v>10.229787757263926</v>
          </cell>
          <cell r="BR80">
            <v>0.68198585048426175</v>
          </cell>
          <cell r="BU80">
            <v>8</v>
          </cell>
          <cell r="BV80">
            <v>8.9915002017756294</v>
          </cell>
          <cell r="BW80">
            <v>11.239375252219537</v>
          </cell>
          <cell r="BX80">
            <v>13.487250302663444</v>
          </cell>
          <cell r="BY80">
            <v>15.735125353107351</v>
          </cell>
          <cell r="BZ80">
            <v>14.611187827885399</v>
          </cell>
          <cell r="CA80">
            <v>1.1239375252219537</v>
          </cell>
          <cell r="CC80">
            <v>8</v>
          </cell>
          <cell r="CD80">
            <v>5.5164510189669098</v>
          </cell>
          <cell r="CE80">
            <v>8.2746765284503638</v>
          </cell>
          <cell r="CF80">
            <v>11.03290203793382</v>
          </cell>
          <cell r="CG80">
            <v>13.791127547417275</v>
          </cell>
          <cell r="CH80">
            <v>16.549353056900728</v>
          </cell>
          <cell r="CI80">
            <v>5.5164510189669098</v>
          </cell>
        </row>
        <row r="81">
          <cell r="A81">
            <v>37802</v>
          </cell>
          <cell r="B81">
            <v>82.5</v>
          </cell>
          <cell r="C81">
            <v>50.891829689298042</v>
          </cell>
          <cell r="D81">
            <v>61.070195627157645</v>
          </cell>
          <cell r="E81">
            <v>71.248561565017255</v>
          </cell>
          <cell r="F81">
            <v>81.426927502876865</v>
          </cell>
          <cell r="G81">
            <v>91.605293440736475</v>
          </cell>
          <cell r="H81">
            <v>101.78365937859608</v>
          </cell>
          <cell r="I81">
            <v>76.33774453394706</v>
          </cell>
          <cell r="J81">
            <v>5.089182968929804</v>
          </cell>
          <cell r="M81">
            <v>82.5</v>
          </cell>
          <cell r="N81">
            <v>59.446594832095386</v>
          </cell>
          <cell r="O81">
            <v>71.335913798514468</v>
          </cell>
          <cell r="P81">
            <v>83.225232764933537</v>
          </cell>
          <cell r="Q81">
            <v>95.11455173135262</v>
          </cell>
          <cell r="R81">
            <v>107.0038706977717</v>
          </cell>
          <cell r="S81">
            <v>118.89318966419077</v>
          </cell>
          <cell r="T81">
            <v>89.169892248143086</v>
          </cell>
          <cell r="U81">
            <v>5.9446594832095387</v>
          </cell>
          <cell r="W81">
            <v>82.5</v>
          </cell>
          <cell r="X81">
            <v>43.521811905010971</v>
          </cell>
          <cell r="Y81">
            <v>65.28271785751646</v>
          </cell>
          <cell r="Z81">
            <v>87.043623810021941</v>
          </cell>
          <cell r="AA81">
            <v>108.80452976252742</v>
          </cell>
          <cell r="AB81">
            <v>130.56543571503292</v>
          </cell>
          <cell r="AC81">
            <v>21.760905952505485</v>
          </cell>
          <cell r="AF81">
            <v>15.4</v>
          </cell>
          <cell r="AG81">
            <v>11.892135413602896</v>
          </cell>
          <cell r="AH81">
            <v>14.270562496323475</v>
          </cell>
          <cell r="AI81">
            <v>16.648989579044056</v>
          </cell>
          <cell r="AJ81">
            <v>19.027416661764633</v>
          </cell>
          <cell r="AK81">
            <v>21.40584374448521</v>
          </cell>
          <cell r="AL81">
            <v>23.784270827205791</v>
          </cell>
          <cell r="AM81">
            <v>17.838203120404344</v>
          </cell>
          <cell r="AN81">
            <v>1.1892135413602896</v>
          </cell>
          <cell r="AQ81">
            <v>15.4</v>
          </cell>
          <cell r="AR81">
            <v>9.2367152231327445</v>
          </cell>
          <cell r="AS81">
            <v>12.931401312385844</v>
          </cell>
          <cell r="AT81">
            <v>16.626087401638941</v>
          </cell>
          <cell r="AU81">
            <v>20.320773490892041</v>
          </cell>
          <cell r="AV81">
            <v>24.015459580145137</v>
          </cell>
          <cell r="AW81">
            <v>27.710145669398237</v>
          </cell>
          <cell r="AX81">
            <v>18.473430446265489</v>
          </cell>
          <cell r="AY81">
            <v>1.8473430446265491</v>
          </cell>
          <cell r="BA81">
            <v>15.4</v>
          </cell>
          <cell r="BB81">
            <v>13.376061288916439</v>
          </cell>
          <cell r="BC81">
            <v>20.064091933374659</v>
          </cell>
          <cell r="BD81">
            <v>26.752122577832878</v>
          </cell>
          <cell r="BE81">
            <v>33.440153222291102</v>
          </cell>
          <cell r="BF81">
            <v>40.128183866749318</v>
          </cell>
          <cell r="BG81">
            <v>13.376061288916439</v>
          </cell>
          <cell r="BJ81">
            <v>7.85</v>
          </cell>
          <cell r="BK81">
            <v>6.921534503631964</v>
          </cell>
          <cell r="BL81">
            <v>8.3058414043583575</v>
          </cell>
          <cell r="BM81">
            <v>9.6901483050847492</v>
          </cell>
          <cell r="BN81">
            <v>11.074455205811143</v>
          </cell>
          <cell r="BO81">
            <v>12.458762106537536</v>
          </cell>
          <cell r="BP81">
            <v>13.843069007263928</v>
          </cell>
          <cell r="BQ81">
            <v>10.382301755447946</v>
          </cell>
          <cell r="BR81">
            <v>0.69215345036319642</v>
          </cell>
          <cell r="BU81">
            <v>7.85</v>
          </cell>
          <cell r="BV81">
            <v>8.9603510895883822</v>
          </cell>
          <cell r="BW81">
            <v>11.200438861985479</v>
          </cell>
          <cell r="BX81">
            <v>13.440526634382573</v>
          </cell>
          <cell r="BY81">
            <v>15.680614406779668</v>
          </cell>
          <cell r="BZ81">
            <v>14.560570520581122</v>
          </cell>
          <cell r="CA81">
            <v>1.1200438861985478</v>
          </cell>
          <cell r="CC81">
            <v>7.85</v>
          </cell>
          <cell r="CD81">
            <v>5.542618795399517</v>
          </cell>
          <cell r="CE81">
            <v>8.3139281930992759</v>
          </cell>
          <cell r="CF81">
            <v>11.085237590799034</v>
          </cell>
          <cell r="CG81">
            <v>13.856546988498792</v>
          </cell>
          <cell r="CH81">
            <v>16.627856386198552</v>
          </cell>
          <cell r="CI81">
            <v>5.542618795399517</v>
          </cell>
        </row>
        <row r="82">
          <cell r="A82">
            <v>37833</v>
          </cell>
          <cell r="B82">
            <v>84</v>
          </cell>
          <cell r="C82">
            <v>50.725755832200015</v>
          </cell>
          <cell r="D82">
            <v>60.870906998640024</v>
          </cell>
          <cell r="E82">
            <v>71.016058165080025</v>
          </cell>
          <cell r="F82">
            <v>81.161209331520027</v>
          </cell>
          <cell r="G82">
            <v>91.306360497960029</v>
          </cell>
          <cell r="H82">
            <v>101.45151166440003</v>
          </cell>
          <cell r="I82">
            <v>76.088633748300026</v>
          </cell>
          <cell r="J82">
            <v>5.0725755832200017</v>
          </cell>
          <cell r="M82">
            <v>84</v>
          </cell>
          <cell r="N82">
            <v>59.542490497611304</v>
          </cell>
          <cell r="O82">
            <v>71.450988597133559</v>
          </cell>
          <cell r="P82">
            <v>83.359486696655821</v>
          </cell>
          <cell r="Q82">
            <v>95.267984796178084</v>
          </cell>
          <cell r="R82">
            <v>107.17648289570035</v>
          </cell>
          <cell r="S82">
            <v>119.08498099522261</v>
          </cell>
          <cell r="T82">
            <v>89.313735746416953</v>
          </cell>
          <cell r="U82">
            <v>5.9542490497611302</v>
          </cell>
          <cell r="W82">
            <v>84</v>
          </cell>
          <cell r="X82">
            <v>43.179813090630105</v>
          </cell>
          <cell r="Y82">
            <v>64.769719635945165</v>
          </cell>
          <cell r="Z82">
            <v>86.359626181260211</v>
          </cell>
          <cell r="AA82">
            <v>107.94953272657526</v>
          </cell>
          <cell r="AB82">
            <v>129.53943927189033</v>
          </cell>
          <cell r="AC82">
            <v>21.589906545315053</v>
          </cell>
          <cell r="AF82">
            <v>16.350000000000001</v>
          </cell>
          <cell r="AG82">
            <v>12.25244290646479</v>
          </cell>
          <cell r="AH82">
            <v>14.702931487757747</v>
          </cell>
          <cell r="AI82">
            <v>17.153420069050703</v>
          </cell>
          <cell r="AJ82">
            <v>19.603908650343662</v>
          </cell>
          <cell r="AK82">
            <v>22.054397231636621</v>
          </cell>
          <cell r="AL82">
            <v>24.504885812929579</v>
          </cell>
          <cell r="AM82">
            <v>18.378664359697183</v>
          </cell>
          <cell r="AN82">
            <v>1.2252442906464789</v>
          </cell>
          <cell r="AQ82">
            <v>16.350000000000001</v>
          </cell>
          <cell r="AR82">
            <v>9.3279197197498434</v>
          </cell>
          <cell r="AS82">
            <v>13.059087607649783</v>
          </cell>
          <cell r="AT82">
            <v>16.790255495549719</v>
          </cell>
          <cell r="AU82">
            <v>20.521423383449658</v>
          </cell>
          <cell r="AV82">
            <v>24.252591271349594</v>
          </cell>
          <cell r="AW82">
            <v>27.983759159249534</v>
          </cell>
          <cell r="AX82">
            <v>18.655839439499687</v>
          </cell>
          <cell r="AY82">
            <v>1.8655839439499688</v>
          </cell>
          <cell r="BA82">
            <v>16.350000000000001</v>
          </cell>
          <cell r="BB82">
            <v>13.429978373260973</v>
          </cell>
          <cell r="BC82">
            <v>20.144967559891459</v>
          </cell>
          <cell r="BD82">
            <v>26.859956746521945</v>
          </cell>
          <cell r="BE82">
            <v>33.574945933152435</v>
          </cell>
          <cell r="BF82">
            <v>40.289935119782918</v>
          </cell>
          <cell r="BG82">
            <v>13.429978373260973</v>
          </cell>
          <cell r="BJ82">
            <v>8.5</v>
          </cell>
          <cell r="BK82">
            <v>7.0232105024213105</v>
          </cell>
          <cell r="BL82">
            <v>8.427852602905574</v>
          </cell>
          <cell r="BM82">
            <v>9.8324947033898358</v>
          </cell>
          <cell r="BN82">
            <v>11.237136803874098</v>
          </cell>
          <cell r="BO82">
            <v>12.641778904358359</v>
          </cell>
          <cell r="BP82">
            <v>14.046421004842621</v>
          </cell>
          <cell r="BQ82">
            <v>10.534815753631966</v>
          </cell>
          <cell r="BR82">
            <v>0.7023210502421311</v>
          </cell>
          <cell r="BU82">
            <v>8.5</v>
          </cell>
          <cell r="BV82">
            <v>8.9292019774011351</v>
          </cell>
          <cell r="BW82">
            <v>11.161502471751419</v>
          </cell>
          <cell r="BX82">
            <v>13.393802966101703</v>
          </cell>
          <cell r="BY82">
            <v>15.626103460451986</v>
          </cell>
          <cell r="BZ82">
            <v>14.509953213276845</v>
          </cell>
          <cell r="CA82">
            <v>1.1161502471751419</v>
          </cell>
          <cell r="CC82">
            <v>8.5</v>
          </cell>
          <cell r="CD82">
            <v>5.5687865718321241</v>
          </cell>
          <cell r="CE82">
            <v>8.3531798577481862</v>
          </cell>
          <cell r="CF82">
            <v>11.137573143664248</v>
          </cell>
          <cell r="CG82">
            <v>13.92196642958031</v>
          </cell>
          <cell r="CH82">
            <v>16.706359715496372</v>
          </cell>
          <cell r="CI82">
            <v>5.5687865718321241</v>
          </cell>
        </row>
        <row r="83">
          <cell r="A83">
            <v>37864</v>
          </cell>
          <cell r="B83">
            <v>86.5</v>
          </cell>
          <cell r="C83">
            <v>50.559681975101995</v>
          </cell>
          <cell r="D83">
            <v>60.671618370122388</v>
          </cell>
          <cell r="E83">
            <v>70.783554765142796</v>
          </cell>
          <cell r="F83">
            <v>80.895491160163189</v>
          </cell>
          <cell r="G83">
            <v>91.007427555183583</v>
          </cell>
          <cell r="H83">
            <v>101.11936395020399</v>
          </cell>
          <cell r="I83">
            <v>75.839522962652993</v>
          </cell>
          <cell r="J83">
            <v>5.0559681975101993</v>
          </cell>
          <cell r="M83">
            <v>86.5</v>
          </cell>
          <cell r="N83">
            <v>59.638386163127215</v>
          </cell>
          <cell r="O83">
            <v>71.566063395752664</v>
          </cell>
          <cell r="P83">
            <v>83.493740628378106</v>
          </cell>
          <cell r="Q83">
            <v>95.421417861003548</v>
          </cell>
          <cell r="R83">
            <v>107.34909509362899</v>
          </cell>
          <cell r="S83">
            <v>119.27677232625443</v>
          </cell>
          <cell r="T83">
            <v>89.45757924469082</v>
          </cell>
          <cell r="U83">
            <v>5.9638386163127217</v>
          </cell>
          <cell r="W83">
            <v>86.5</v>
          </cell>
          <cell r="X83">
            <v>42.83781427624924</v>
          </cell>
          <cell r="Y83">
            <v>64.256721414373857</v>
          </cell>
          <cell r="Z83">
            <v>85.67562855249848</v>
          </cell>
          <cell r="AA83">
            <v>107.0945356906231</v>
          </cell>
          <cell r="AB83">
            <v>128.51344282874771</v>
          </cell>
          <cell r="AC83">
            <v>21.41890713812462</v>
          </cell>
          <cell r="AF83">
            <v>18.399999999999999</v>
          </cell>
          <cell r="AG83">
            <v>12.612750399326682</v>
          </cell>
          <cell r="AH83">
            <v>15.135300479192018</v>
          </cell>
          <cell r="AI83">
            <v>17.657850559057355</v>
          </cell>
          <cell r="AJ83">
            <v>20.180400638922691</v>
          </cell>
          <cell r="AK83">
            <v>22.702950718788028</v>
          </cell>
          <cell r="AL83">
            <v>25.225500798653364</v>
          </cell>
          <cell r="AM83">
            <v>18.919125598990021</v>
          </cell>
          <cell r="AN83">
            <v>1.2612750399326682</v>
          </cell>
          <cell r="AQ83">
            <v>18.399999999999999</v>
          </cell>
          <cell r="AR83">
            <v>9.4191242163669422</v>
          </cell>
          <cell r="AS83">
            <v>13.186773902913721</v>
          </cell>
          <cell r="AT83">
            <v>16.954423589460497</v>
          </cell>
          <cell r="AU83">
            <v>20.722073276007276</v>
          </cell>
          <cell r="AV83">
            <v>24.489722962554051</v>
          </cell>
          <cell r="AW83">
            <v>28.25737264910083</v>
          </cell>
          <cell r="AX83">
            <v>18.838248432733884</v>
          </cell>
          <cell r="AY83">
            <v>1.8838248432733886</v>
          </cell>
          <cell r="BA83">
            <v>18.399999999999999</v>
          </cell>
          <cell r="BB83">
            <v>13.483895457605506</v>
          </cell>
          <cell r="BC83">
            <v>20.225843186408259</v>
          </cell>
          <cell r="BD83">
            <v>26.967790915211012</v>
          </cell>
          <cell r="BE83">
            <v>33.709738644013768</v>
          </cell>
          <cell r="BF83">
            <v>40.451686372816518</v>
          </cell>
          <cell r="BG83">
            <v>13.483895457605506</v>
          </cell>
          <cell r="BJ83">
            <v>10</v>
          </cell>
          <cell r="BK83">
            <v>7.1248865012106579</v>
          </cell>
          <cell r="BL83">
            <v>8.5498638014527888</v>
          </cell>
          <cell r="BM83">
            <v>9.9748411016949206</v>
          </cell>
          <cell r="BN83">
            <v>11.399818401937052</v>
          </cell>
          <cell r="BO83">
            <v>12.824795702179184</v>
          </cell>
          <cell r="BP83">
            <v>14.249773002421316</v>
          </cell>
          <cell r="BQ83">
            <v>10.687329751815987</v>
          </cell>
          <cell r="BR83">
            <v>0.71248865012106577</v>
          </cell>
          <cell r="BU83">
            <v>10</v>
          </cell>
          <cell r="BV83">
            <v>8.8980528652138879</v>
          </cell>
          <cell r="BW83">
            <v>11.122566081517359</v>
          </cell>
          <cell r="BX83">
            <v>13.347079297820832</v>
          </cell>
          <cell r="BY83">
            <v>15.571592514124305</v>
          </cell>
          <cell r="BZ83">
            <v>14.459335905972567</v>
          </cell>
          <cell r="CA83">
            <v>1.112256608151736</v>
          </cell>
          <cell r="CC83">
            <v>10</v>
          </cell>
          <cell r="CD83">
            <v>5.5949543482647313</v>
          </cell>
          <cell r="CE83">
            <v>8.3924315223970964</v>
          </cell>
          <cell r="CF83">
            <v>11.189908696529463</v>
          </cell>
          <cell r="CG83">
            <v>13.987385870661829</v>
          </cell>
          <cell r="CH83">
            <v>16.784863044794193</v>
          </cell>
          <cell r="CI83">
            <v>5.5949543482647313</v>
          </cell>
        </row>
        <row r="84">
          <cell r="A84">
            <v>37894</v>
          </cell>
          <cell r="B84">
            <v>95</v>
          </cell>
          <cell r="C84">
            <v>50.393608118003968</v>
          </cell>
          <cell r="D84">
            <v>60.472329741604767</v>
          </cell>
          <cell r="E84">
            <v>70.551051365205552</v>
          </cell>
          <cell r="F84">
            <v>80.629772988806351</v>
          </cell>
          <cell r="G84">
            <v>90.708494612407151</v>
          </cell>
          <cell r="H84">
            <v>100.78721623600794</v>
          </cell>
          <cell r="I84">
            <v>75.590412177005959</v>
          </cell>
          <cell r="J84">
            <v>5.039360811800397</v>
          </cell>
          <cell r="M84">
            <v>95</v>
          </cell>
          <cell r="N84">
            <v>59.734281828643134</v>
          </cell>
          <cell r="O84">
            <v>71.681138194371755</v>
          </cell>
          <cell r="P84">
            <v>83.62799456010039</v>
          </cell>
          <cell r="Q84">
            <v>95.574850925829011</v>
          </cell>
          <cell r="R84">
            <v>107.52170729155763</v>
          </cell>
          <cell r="S84">
            <v>119.46856365728627</v>
          </cell>
          <cell r="T84">
            <v>89.601422742964701</v>
          </cell>
          <cell r="U84">
            <v>5.9734281828643132</v>
          </cell>
          <cell r="W84">
            <v>95</v>
          </cell>
          <cell r="X84">
            <v>42.495815461868375</v>
          </cell>
          <cell r="Y84">
            <v>63.743723192802562</v>
          </cell>
          <cell r="Z84">
            <v>84.99163092373675</v>
          </cell>
          <cell r="AA84">
            <v>106.23953865467094</v>
          </cell>
          <cell r="AB84">
            <v>127.48744638560512</v>
          </cell>
          <cell r="AC84">
            <v>21.247907730934187</v>
          </cell>
          <cell r="AF84">
            <v>19.899999999999999</v>
          </cell>
          <cell r="AG84">
            <v>12.973057892188574</v>
          </cell>
          <cell r="AH84">
            <v>15.56766947062629</v>
          </cell>
          <cell r="AI84">
            <v>18.162281049064006</v>
          </cell>
          <cell r="AJ84">
            <v>20.75689262750172</v>
          </cell>
          <cell r="AK84">
            <v>23.351504205939435</v>
          </cell>
          <cell r="AL84">
            <v>25.946115784377149</v>
          </cell>
          <cell r="AM84">
            <v>19.459586838282863</v>
          </cell>
          <cell r="AN84">
            <v>1.2973057892188575</v>
          </cell>
          <cell r="AQ84">
            <v>19.899999999999999</v>
          </cell>
          <cell r="AR84">
            <v>9.510328712984041</v>
          </cell>
          <cell r="AS84">
            <v>13.31446019817766</v>
          </cell>
          <cell r="AT84">
            <v>17.118591683371275</v>
          </cell>
          <cell r="AU84">
            <v>20.922723168564893</v>
          </cell>
          <cell r="AV84">
            <v>24.726854653758508</v>
          </cell>
          <cell r="AW84">
            <v>28.530986138952127</v>
          </cell>
          <cell r="AX84">
            <v>19.020657425968082</v>
          </cell>
          <cell r="AY84">
            <v>1.9020657425968084</v>
          </cell>
          <cell r="BA84">
            <v>19.899999999999999</v>
          </cell>
          <cell r="BB84">
            <v>13.537812541950039</v>
          </cell>
          <cell r="BC84">
            <v>20.306718812925059</v>
          </cell>
          <cell r="BD84">
            <v>27.075625083900078</v>
          </cell>
          <cell r="BE84">
            <v>33.844531354875102</v>
          </cell>
          <cell r="BF84">
            <v>40.613437625850118</v>
          </cell>
          <cell r="BG84">
            <v>13.537812541950039</v>
          </cell>
          <cell r="BJ84">
            <v>11.2</v>
          </cell>
          <cell r="BK84">
            <v>7.2265625000000044</v>
          </cell>
          <cell r="BL84">
            <v>8.6718750000000053</v>
          </cell>
          <cell r="BM84">
            <v>10.117187500000007</v>
          </cell>
          <cell r="BN84">
            <v>11.562500000000007</v>
          </cell>
          <cell r="BO84">
            <v>13.007812500000007</v>
          </cell>
          <cell r="BP84">
            <v>14.453125000000009</v>
          </cell>
          <cell r="BQ84">
            <v>10.839843750000007</v>
          </cell>
          <cell r="BR84">
            <v>0.72265625000000044</v>
          </cell>
          <cell r="BU84">
            <v>11.2</v>
          </cell>
          <cell r="BV84">
            <v>8.8669037530266408</v>
          </cell>
          <cell r="BW84">
            <v>11.083629691283301</v>
          </cell>
          <cell r="BX84">
            <v>13.300355629539961</v>
          </cell>
          <cell r="BY84">
            <v>15.517081567796621</v>
          </cell>
          <cell r="BZ84">
            <v>14.40871859866829</v>
          </cell>
          <cell r="CA84">
            <v>1.1083629691283301</v>
          </cell>
          <cell r="CC84">
            <v>11.2</v>
          </cell>
          <cell r="CD84">
            <v>5.6211221246973384</v>
          </cell>
          <cell r="CE84">
            <v>8.4316831870460085</v>
          </cell>
          <cell r="CF84">
            <v>11.242244249394677</v>
          </cell>
          <cell r="CG84">
            <v>14.052805311743345</v>
          </cell>
          <cell r="CH84">
            <v>16.863366374092017</v>
          </cell>
          <cell r="CI84">
            <v>5.6211221246973384</v>
          </cell>
        </row>
        <row r="85">
          <cell r="A85">
            <v>37925</v>
          </cell>
          <cell r="B85">
            <v>97</v>
          </cell>
          <cell r="C85">
            <v>50.227534260905948</v>
          </cell>
          <cell r="D85">
            <v>60.273041113087132</v>
          </cell>
          <cell r="E85">
            <v>70.318547965268323</v>
          </cell>
          <cell r="F85">
            <v>80.364054817449514</v>
          </cell>
          <cell r="G85">
            <v>90.409561669630705</v>
          </cell>
          <cell r="H85">
            <v>100.4550685218119</v>
          </cell>
          <cell r="I85">
            <v>75.341301391358925</v>
          </cell>
          <cell r="J85">
            <v>5.0227534260905946</v>
          </cell>
          <cell r="M85">
            <v>97</v>
          </cell>
          <cell r="N85">
            <v>59.830177494159045</v>
          </cell>
          <cell r="O85">
            <v>71.79621299299086</v>
          </cell>
          <cell r="P85">
            <v>83.76224849182266</v>
          </cell>
          <cell r="Q85">
            <v>95.728283990654475</v>
          </cell>
          <cell r="R85">
            <v>107.69431948948629</v>
          </cell>
          <cell r="S85">
            <v>119.66035498831809</v>
          </cell>
          <cell r="T85">
            <v>89.745266241238568</v>
          </cell>
          <cell r="U85">
            <v>5.9830177494159047</v>
          </cell>
          <cell r="W85">
            <v>97</v>
          </cell>
          <cell r="X85">
            <v>42.15381664748751</v>
          </cell>
          <cell r="Y85">
            <v>63.230724971231268</v>
          </cell>
          <cell r="Z85">
            <v>84.30763329497502</v>
          </cell>
          <cell r="AA85">
            <v>105.38454161871877</v>
          </cell>
          <cell r="AB85">
            <v>126.46144994246254</v>
          </cell>
          <cell r="AC85">
            <v>21.076908323743755</v>
          </cell>
          <cell r="AF85">
            <v>23.2</v>
          </cell>
          <cell r="AG85">
            <v>13.333365385050469</v>
          </cell>
          <cell r="AH85">
            <v>16.000038462060562</v>
          </cell>
          <cell r="AI85">
            <v>18.666711539070654</v>
          </cell>
          <cell r="AJ85">
            <v>21.33338461608075</v>
          </cell>
          <cell r="AK85">
            <v>24.000057693090845</v>
          </cell>
          <cell r="AL85">
            <v>26.666730770100937</v>
          </cell>
          <cell r="AM85">
            <v>20.000048077575702</v>
          </cell>
          <cell r="AN85">
            <v>1.3333365385050469</v>
          </cell>
          <cell r="AQ85">
            <v>23.2</v>
          </cell>
          <cell r="AR85">
            <v>9.6015332096011399</v>
          </cell>
          <cell r="AS85">
            <v>13.442146493441598</v>
          </cell>
          <cell r="AT85">
            <v>17.282759777282052</v>
          </cell>
          <cell r="AU85">
            <v>21.123373061122511</v>
          </cell>
          <cell r="AV85">
            <v>24.963986344962965</v>
          </cell>
          <cell r="AW85">
            <v>28.804599628803423</v>
          </cell>
          <cell r="AX85">
            <v>19.20306641920228</v>
          </cell>
          <cell r="AY85">
            <v>1.9203066419202282</v>
          </cell>
          <cell r="BA85">
            <v>23.2</v>
          </cell>
          <cell r="BB85">
            <v>13.591729626294573</v>
          </cell>
          <cell r="BC85">
            <v>20.387594439441859</v>
          </cell>
          <cell r="BD85">
            <v>27.183459252589145</v>
          </cell>
          <cell r="BE85">
            <v>33.979324065736435</v>
          </cell>
          <cell r="BF85">
            <v>40.775188878883718</v>
          </cell>
          <cell r="BG85">
            <v>13.591729626294573</v>
          </cell>
          <cell r="BJ85">
            <v>13.45</v>
          </cell>
          <cell r="BK85">
            <v>7.328238498789351</v>
          </cell>
          <cell r="BL85">
            <v>8.7938861985472219</v>
          </cell>
          <cell r="BM85">
            <v>10.259533898305092</v>
          </cell>
          <cell r="BN85">
            <v>11.725181598062962</v>
          </cell>
          <cell r="BO85">
            <v>13.190829297820832</v>
          </cell>
          <cell r="BP85">
            <v>14.656476997578702</v>
          </cell>
          <cell r="BQ85">
            <v>10.992357748184027</v>
          </cell>
          <cell r="BR85">
            <v>0.73282384987893512</v>
          </cell>
          <cell r="BU85">
            <v>13.45</v>
          </cell>
          <cell r="BV85">
            <v>8.8357546408393937</v>
          </cell>
          <cell r="BW85">
            <v>11.044693301049243</v>
          </cell>
          <cell r="BX85">
            <v>13.25363196125909</v>
          </cell>
          <cell r="BY85">
            <v>15.462570621468938</v>
          </cell>
          <cell r="BZ85">
            <v>14.358101291364015</v>
          </cell>
          <cell r="CA85">
            <v>1.1044693301049242</v>
          </cell>
          <cell r="CC85">
            <v>13.45</v>
          </cell>
          <cell r="CD85">
            <v>5.6472899011299456</v>
          </cell>
          <cell r="CE85">
            <v>8.4709348516949188</v>
          </cell>
          <cell r="CF85">
            <v>11.294579802259891</v>
          </cell>
          <cell r="CG85">
            <v>14.118224752824863</v>
          </cell>
          <cell r="CH85">
            <v>16.941869703389838</v>
          </cell>
          <cell r="CI85">
            <v>5.6472899011299456</v>
          </cell>
        </row>
        <row r="86">
          <cell r="A86">
            <v>37955</v>
          </cell>
          <cell r="B86">
            <v>99.75</v>
          </cell>
          <cell r="C86">
            <v>50.061460403807921</v>
          </cell>
          <cell r="D86">
            <v>60.073752484569511</v>
          </cell>
          <cell r="E86">
            <v>70.086044565331093</v>
          </cell>
          <cell r="F86">
            <v>80.098336646092676</v>
          </cell>
          <cell r="G86">
            <v>90.110628726854259</v>
          </cell>
          <cell r="H86">
            <v>100.12292080761584</v>
          </cell>
          <cell r="I86">
            <v>75.092190605711878</v>
          </cell>
          <cell r="J86">
            <v>5.0061460403807923</v>
          </cell>
          <cell r="M86">
            <v>99.75</v>
          </cell>
          <cell r="N86">
            <v>59.926073159674964</v>
          </cell>
          <cell r="O86">
            <v>71.911287791609951</v>
          </cell>
          <cell r="P86">
            <v>83.896502423544945</v>
          </cell>
          <cell r="Q86">
            <v>95.881717055479939</v>
          </cell>
          <cell r="R86">
            <v>107.86693168741493</v>
          </cell>
          <cell r="S86">
            <v>119.85214631934993</v>
          </cell>
          <cell r="T86">
            <v>89.889109739512449</v>
          </cell>
          <cell r="U86">
            <v>5.9926073159674962</v>
          </cell>
          <cell r="W86">
            <v>99.75</v>
          </cell>
          <cell r="X86">
            <v>41.811817833106645</v>
          </cell>
          <cell r="Y86">
            <v>62.717726749659967</v>
          </cell>
          <cell r="Z86">
            <v>83.623635666213289</v>
          </cell>
          <cell r="AA86">
            <v>104.52954458276662</v>
          </cell>
          <cell r="AB86">
            <v>125.43545349931993</v>
          </cell>
          <cell r="AC86">
            <v>20.905908916553322</v>
          </cell>
          <cell r="AF86">
            <v>24.4</v>
          </cell>
          <cell r="AG86">
            <v>13.693672877912363</v>
          </cell>
          <cell r="AH86">
            <v>16.432407453494832</v>
          </cell>
          <cell r="AI86">
            <v>19.171142029077306</v>
          </cell>
          <cell r="AJ86">
            <v>21.909876604659779</v>
          </cell>
          <cell r="AK86">
            <v>24.648611180242252</v>
          </cell>
          <cell r="AL86">
            <v>27.387345755824725</v>
          </cell>
          <cell r="AM86">
            <v>20.540509316868544</v>
          </cell>
          <cell r="AN86">
            <v>1.3693672877912362</v>
          </cell>
          <cell r="AQ86">
            <v>24.4</v>
          </cell>
          <cell r="AR86">
            <v>9.6927377062182387</v>
          </cell>
          <cell r="AS86">
            <v>13.569832788705536</v>
          </cell>
          <cell r="AT86">
            <v>17.44692787119283</v>
          </cell>
          <cell r="AU86">
            <v>21.324022953680128</v>
          </cell>
          <cell r="AV86">
            <v>25.201118036167422</v>
          </cell>
          <cell r="AW86">
            <v>29.07821311865472</v>
          </cell>
          <cell r="AX86">
            <v>19.385475412436477</v>
          </cell>
          <cell r="AY86">
            <v>1.9385475412436479</v>
          </cell>
          <cell r="BA86">
            <v>24.4</v>
          </cell>
          <cell r="BB86">
            <v>13.645646710639106</v>
          </cell>
          <cell r="BC86">
            <v>20.468470065958659</v>
          </cell>
          <cell r="BD86">
            <v>27.291293421278212</v>
          </cell>
          <cell r="BE86">
            <v>34.114116776597768</v>
          </cell>
          <cell r="BF86">
            <v>40.936940131917318</v>
          </cell>
          <cell r="BG86">
            <v>13.645646710639106</v>
          </cell>
          <cell r="BJ86">
            <v>14.45</v>
          </cell>
          <cell r="BK86">
            <v>7.4299144975786984</v>
          </cell>
          <cell r="BL86">
            <v>8.9158973970944366</v>
          </cell>
          <cell r="BM86">
            <v>10.401880296610177</v>
          </cell>
          <cell r="BN86">
            <v>11.887863196125917</v>
          </cell>
          <cell r="BO86">
            <v>13.373846095641657</v>
          </cell>
          <cell r="BP86">
            <v>14.859828995157397</v>
          </cell>
          <cell r="BQ86">
            <v>11.144871746368047</v>
          </cell>
          <cell r="BR86">
            <v>0.74299144975786979</v>
          </cell>
          <cell r="BU86">
            <v>14.45</v>
          </cell>
          <cell r="BV86">
            <v>8.8046055286521465</v>
          </cell>
          <cell r="BW86">
            <v>11.005756910815183</v>
          </cell>
          <cell r="BX86">
            <v>13.20690829297822</v>
          </cell>
          <cell r="BY86">
            <v>15.408059675141256</v>
          </cell>
          <cell r="BZ86">
            <v>14.307483984059738</v>
          </cell>
          <cell r="CA86">
            <v>1.1005756910815183</v>
          </cell>
          <cell r="CC86">
            <v>14.45</v>
          </cell>
          <cell r="CD86">
            <v>5.6734576775625527</v>
          </cell>
          <cell r="CE86">
            <v>8.5101865163438291</v>
          </cell>
          <cell r="CF86">
            <v>11.346915355125105</v>
          </cell>
          <cell r="CG86">
            <v>14.183644193906382</v>
          </cell>
          <cell r="CH86">
            <v>17.020373032687658</v>
          </cell>
          <cell r="CI86">
            <v>5.6734576775625527</v>
          </cell>
        </row>
        <row r="87">
          <cell r="A87">
            <v>37986</v>
          </cell>
          <cell r="B87">
            <v>102</v>
          </cell>
          <cell r="C87">
            <v>49.895386546709908</v>
          </cell>
          <cell r="D87">
            <v>59.874463856051889</v>
          </cell>
          <cell r="E87">
            <v>69.853541165393864</v>
          </cell>
          <cell r="F87">
            <v>79.832618474735852</v>
          </cell>
          <cell r="G87">
            <v>89.811695784077841</v>
          </cell>
          <cell r="H87">
            <v>99.790773093419816</v>
          </cell>
          <cell r="I87">
            <v>74.843079820064858</v>
          </cell>
          <cell r="J87">
            <v>4.9895386546709908</v>
          </cell>
          <cell r="M87">
            <v>102</v>
          </cell>
          <cell r="N87">
            <v>60.021968825190925</v>
          </cell>
          <cell r="O87">
            <v>72.026362590229098</v>
          </cell>
          <cell r="P87">
            <v>84.030756355267286</v>
          </cell>
          <cell r="Q87">
            <v>96.035150120305474</v>
          </cell>
          <cell r="R87">
            <v>108.03954388534366</v>
          </cell>
          <cell r="S87">
            <v>120.04393765038185</v>
          </cell>
          <cell r="T87">
            <v>90.032953237786387</v>
          </cell>
          <cell r="U87">
            <v>6.0021968825190921</v>
          </cell>
          <cell r="W87">
            <v>102</v>
          </cell>
          <cell r="X87">
            <v>41.469819018725808</v>
          </cell>
          <cell r="Y87">
            <v>62.204728528088708</v>
          </cell>
          <cell r="Z87">
            <v>82.939638037451616</v>
          </cell>
          <cell r="AA87">
            <v>103.67454754681452</v>
          </cell>
          <cell r="AB87">
            <v>124.40945705617742</v>
          </cell>
          <cell r="AC87">
            <v>20.734909509362904</v>
          </cell>
          <cell r="AF87">
            <v>23.85</v>
          </cell>
          <cell r="AG87">
            <v>14.053980370774264</v>
          </cell>
          <cell r="AH87">
            <v>16.864776444929117</v>
          </cell>
          <cell r="AI87">
            <v>19.675572519083971</v>
          </cell>
          <cell r="AJ87">
            <v>22.486368593238822</v>
          </cell>
          <cell r="AK87">
            <v>25.297164667393673</v>
          </cell>
          <cell r="AL87">
            <v>28.107960741548528</v>
          </cell>
          <cell r="AM87">
            <v>21.080970556161397</v>
          </cell>
          <cell r="AN87">
            <v>1.4053980370774264</v>
          </cell>
          <cell r="AQ87">
            <v>23.85</v>
          </cell>
          <cell r="AR87">
            <v>9.7839422028353322</v>
          </cell>
          <cell r="AS87">
            <v>13.697519083969464</v>
          </cell>
          <cell r="AT87">
            <v>17.611095965103598</v>
          </cell>
          <cell r="AU87">
            <v>21.524672846237731</v>
          </cell>
          <cell r="AV87">
            <v>25.438249727371861</v>
          </cell>
          <cell r="AW87">
            <v>29.351826608505995</v>
          </cell>
          <cell r="AX87">
            <v>19.567884405670664</v>
          </cell>
          <cell r="AY87">
            <v>1.9567884405670664</v>
          </cell>
          <cell r="BA87">
            <v>23.85</v>
          </cell>
          <cell r="BB87">
            <v>13.699563794983643</v>
          </cell>
          <cell r="BC87">
            <v>20.549345692475462</v>
          </cell>
          <cell r="BD87">
            <v>27.399127589967286</v>
          </cell>
          <cell r="BE87">
            <v>34.248909487459109</v>
          </cell>
          <cell r="BF87">
            <v>41.098691384950925</v>
          </cell>
          <cell r="BG87">
            <v>13.699563794983643</v>
          </cell>
          <cell r="BJ87">
            <v>14.6</v>
          </cell>
          <cell r="BK87">
            <v>7.5315904963680396</v>
          </cell>
          <cell r="BL87">
            <v>9.0379085956416461</v>
          </cell>
          <cell r="BM87">
            <v>10.544226694915254</v>
          </cell>
          <cell r="BN87">
            <v>12.050544794188863</v>
          </cell>
          <cell r="BO87">
            <v>13.556862893462471</v>
          </cell>
          <cell r="BP87">
            <v>15.063180992736079</v>
          </cell>
          <cell r="BQ87">
            <v>11.297385744552059</v>
          </cell>
          <cell r="BR87">
            <v>0.75315904963680391</v>
          </cell>
          <cell r="BU87">
            <v>14.6</v>
          </cell>
          <cell r="BV87">
            <v>8.7734564164648923</v>
          </cell>
          <cell r="BW87">
            <v>10.966820520581116</v>
          </cell>
          <cell r="BX87">
            <v>13.160184624697338</v>
          </cell>
          <cell r="BY87">
            <v>15.353548728813561</v>
          </cell>
          <cell r="BZ87">
            <v>14.25686667675545</v>
          </cell>
          <cell r="CA87">
            <v>1.0966820520581115</v>
          </cell>
          <cell r="CC87">
            <v>14.6</v>
          </cell>
          <cell r="CD87">
            <v>5.6996254539951572</v>
          </cell>
          <cell r="CE87">
            <v>8.5494381809927358</v>
          </cell>
          <cell r="CF87">
            <v>11.399250907990314</v>
          </cell>
          <cell r="CG87">
            <v>14.249063634987893</v>
          </cell>
          <cell r="CH87">
            <v>17.098876361985472</v>
          </cell>
          <cell r="CI87">
            <v>5.6996254539951572</v>
          </cell>
        </row>
        <row r="88">
          <cell r="A88">
            <v>38017</v>
          </cell>
          <cell r="B88">
            <v>105.5</v>
          </cell>
          <cell r="C88">
            <v>50.690884681103327</v>
          </cell>
          <cell r="D88">
            <v>60.829061617323987</v>
          </cell>
          <cell r="E88">
            <v>70.967238553544661</v>
          </cell>
          <cell r="F88">
            <v>81.105415489765321</v>
          </cell>
          <cell r="G88">
            <v>91.24359242598598</v>
          </cell>
          <cell r="H88">
            <v>101.38176936220665</v>
          </cell>
          <cell r="I88">
            <v>76.036327021654984</v>
          </cell>
          <cell r="J88">
            <v>5.0690884681103325</v>
          </cell>
          <cell r="M88">
            <v>105.5</v>
          </cell>
          <cell r="N88">
            <v>60.172786553684141</v>
          </cell>
          <cell r="O88">
            <v>72.207343864420963</v>
          </cell>
          <cell r="P88">
            <v>84.241901175157793</v>
          </cell>
          <cell r="Q88">
            <v>96.276458485894622</v>
          </cell>
          <cell r="R88">
            <v>108.31101579663145</v>
          </cell>
          <cell r="S88">
            <v>120.34557310736828</v>
          </cell>
          <cell r="T88">
            <v>90.259179830526207</v>
          </cell>
          <cell r="U88">
            <v>6.0172786553684139</v>
          </cell>
          <cell r="W88">
            <v>105.5</v>
          </cell>
          <cell r="X88">
            <v>41.265386895421415</v>
          </cell>
          <cell r="Y88">
            <v>61.898080343132122</v>
          </cell>
          <cell r="Z88">
            <v>82.530773790842829</v>
          </cell>
          <cell r="AA88">
            <v>103.16346723855354</v>
          </cell>
          <cell r="AB88">
            <v>123.79616068626424</v>
          </cell>
          <cell r="AC88">
            <v>20.632693447710707</v>
          </cell>
          <cell r="AF88">
            <v>23.9</v>
          </cell>
          <cell r="AG88">
            <v>14.316573159358088</v>
          </cell>
          <cell r="AH88">
            <v>17.179887791229707</v>
          </cell>
          <cell r="AI88">
            <v>20.043202423101324</v>
          </cell>
          <cell r="AJ88">
            <v>22.906517054972941</v>
          </cell>
          <cell r="AK88">
            <v>25.769831686844558</v>
          </cell>
          <cell r="AL88">
            <v>28.633146318716175</v>
          </cell>
          <cell r="AM88">
            <v>21.474859739037132</v>
          </cell>
          <cell r="AN88">
            <v>1.4316573159358088</v>
          </cell>
          <cell r="AQ88">
            <v>23.9</v>
          </cell>
          <cell r="AR88">
            <v>9.7435801738680432</v>
          </cell>
          <cell r="AS88">
            <v>13.641012243415261</v>
          </cell>
          <cell r="AT88">
            <v>17.538444312962479</v>
          </cell>
          <cell r="AU88">
            <v>21.435876382509697</v>
          </cell>
          <cell r="AV88">
            <v>25.333308452056915</v>
          </cell>
          <cell r="AW88">
            <v>29.230740521604133</v>
          </cell>
          <cell r="AX88">
            <v>19.487160347736086</v>
          </cell>
          <cell r="AY88">
            <v>1.9487160347736088</v>
          </cell>
          <cell r="BA88">
            <v>23.9</v>
          </cell>
          <cell r="BB88">
            <v>13.769562165062084</v>
          </cell>
          <cell r="BC88">
            <v>20.654343247593125</v>
          </cell>
          <cell r="BD88">
            <v>27.539124330124167</v>
          </cell>
          <cell r="BE88">
            <v>34.423905412655209</v>
          </cell>
          <cell r="BF88">
            <v>41.308686495186251</v>
          </cell>
          <cell r="BG88">
            <v>13.769562165062084</v>
          </cell>
          <cell r="BJ88">
            <v>14.65</v>
          </cell>
          <cell r="BK88">
            <v>7.8467072740112993</v>
          </cell>
          <cell r="BL88">
            <v>9.4160487288135606</v>
          </cell>
          <cell r="BM88">
            <v>10.98539018361582</v>
          </cell>
          <cell r="BN88">
            <v>12.55473163841808</v>
          </cell>
          <cell r="BO88">
            <v>14.124073093220339</v>
          </cell>
          <cell r="BP88">
            <v>15.693414548022599</v>
          </cell>
          <cell r="BQ88">
            <v>11.77006091101695</v>
          </cell>
          <cell r="BR88">
            <v>0.78467072740112997</v>
          </cell>
          <cell r="BU88">
            <v>14.65</v>
          </cell>
          <cell r="BV88">
            <v>8.6950791969330119</v>
          </cell>
          <cell r="BW88">
            <v>10.868848996166264</v>
          </cell>
          <cell r="BX88">
            <v>13.042618795399518</v>
          </cell>
          <cell r="BY88">
            <v>15.216388594632772</v>
          </cell>
          <cell r="BZ88">
            <v>14.129503695016144</v>
          </cell>
          <cell r="CA88">
            <v>1.0868848996166265</v>
          </cell>
          <cell r="CC88">
            <v>14.65</v>
          </cell>
          <cell r="CD88">
            <v>5.7949723189063755</v>
          </cell>
          <cell r="CE88">
            <v>8.6924584783595638</v>
          </cell>
          <cell r="CF88">
            <v>11.589944637812751</v>
          </cell>
          <cell r="CG88">
            <v>14.487430797265938</v>
          </cell>
          <cell r="CH88">
            <v>17.384916956719128</v>
          </cell>
          <cell r="CI88">
            <v>5.7949723189063755</v>
          </cell>
        </row>
        <row r="89">
          <cell r="A89">
            <v>38046</v>
          </cell>
          <cell r="B89">
            <v>110.5</v>
          </cell>
          <cell r="C89">
            <v>51.486382815496739</v>
          </cell>
          <cell r="D89">
            <v>61.783659378596091</v>
          </cell>
          <cell r="E89">
            <v>72.080935941695444</v>
          </cell>
          <cell r="F89">
            <v>82.378212504794789</v>
          </cell>
          <cell r="G89">
            <v>92.675489067894134</v>
          </cell>
          <cell r="H89">
            <v>102.97276563099348</v>
          </cell>
          <cell r="I89">
            <v>77.229574223245109</v>
          </cell>
          <cell r="J89">
            <v>5.1486382815496743</v>
          </cell>
          <cell r="M89">
            <v>110.5</v>
          </cell>
          <cell r="N89">
            <v>60.323604282177357</v>
          </cell>
          <cell r="O89">
            <v>72.388325138612828</v>
          </cell>
          <cell r="P89">
            <v>84.453045995048299</v>
          </cell>
          <cell r="Q89">
            <v>96.517766851483771</v>
          </cell>
          <cell r="R89">
            <v>108.58248770791924</v>
          </cell>
          <cell r="S89">
            <v>120.64720856435471</v>
          </cell>
          <cell r="T89">
            <v>90.485406423266028</v>
          </cell>
          <cell r="U89">
            <v>6.0323604282177357</v>
          </cell>
          <cell r="W89">
            <v>110.5</v>
          </cell>
          <cell r="X89">
            <v>41.060954772117022</v>
          </cell>
          <cell r="Y89">
            <v>61.591432158175536</v>
          </cell>
          <cell r="Z89">
            <v>82.121909544234043</v>
          </cell>
          <cell r="AA89">
            <v>102.65238693029255</v>
          </cell>
          <cell r="AB89">
            <v>123.18286431635107</v>
          </cell>
          <cell r="AC89">
            <v>20.530477386058511</v>
          </cell>
          <cell r="AF89">
            <v>25.3</v>
          </cell>
          <cell r="AG89">
            <v>14.579165947941913</v>
          </cell>
          <cell r="AH89">
            <v>17.494999137530293</v>
          </cell>
          <cell r="AI89">
            <v>20.410832327118676</v>
          </cell>
          <cell r="AJ89">
            <v>23.32666551670706</v>
          </cell>
          <cell r="AK89">
            <v>26.242498706295443</v>
          </cell>
          <cell r="AL89">
            <v>29.158331895883826</v>
          </cell>
          <cell r="AM89">
            <v>21.868748921912868</v>
          </cell>
          <cell r="AN89">
            <v>1.4579165947941912</v>
          </cell>
          <cell r="AQ89">
            <v>25.3</v>
          </cell>
          <cell r="AR89">
            <v>9.703218144900756</v>
          </cell>
          <cell r="AS89">
            <v>13.584505402861058</v>
          </cell>
          <cell r="AT89">
            <v>17.465792660821361</v>
          </cell>
          <cell r="AU89">
            <v>21.347079918781663</v>
          </cell>
          <cell r="AV89">
            <v>25.228367176741965</v>
          </cell>
          <cell r="AW89">
            <v>29.109654434702268</v>
          </cell>
          <cell r="AX89">
            <v>19.406436289801512</v>
          </cell>
          <cell r="AY89">
            <v>1.9406436289801512</v>
          </cell>
          <cell r="BA89">
            <v>25.3</v>
          </cell>
          <cell r="BB89">
            <v>13.839560535140524</v>
          </cell>
          <cell r="BC89">
            <v>20.759340802710788</v>
          </cell>
          <cell r="BD89">
            <v>27.679121070281049</v>
          </cell>
          <cell r="BE89">
            <v>34.598901337851309</v>
          </cell>
          <cell r="BF89">
            <v>41.518681605421577</v>
          </cell>
          <cell r="BG89">
            <v>13.839560535140524</v>
          </cell>
          <cell r="BJ89">
            <v>15.9</v>
          </cell>
          <cell r="BK89">
            <v>8.1618240516545608</v>
          </cell>
          <cell r="BL89">
            <v>9.7941888619854716</v>
          </cell>
          <cell r="BM89">
            <v>11.426553672316384</v>
          </cell>
          <cell r="BN89">
            <v>13.058918482647297</v>
          </cell>
          <cell r="BO89">
            <v>14.691283292978209</v>
          </cell>
          <cell r="BP89">
            <v>16.323648103309122</v>
          </cell>
          <cell r="BQ89">
            <v>12.24273607748184</v>
          </cell>
          <cell r="BR89">
            <v>0.81618240516545604</v>
          </cell>
          <cell r="BU89">
            <v>15.9</v>
          </cell>
          <cell r="BV89">
            <v>8.6167019774011315</v>
          </cell>
          <cell r="BW89">
            <v>10.770877471751415</v>
          </cell>
          <cell r="BX89">
            <v>12.925052966101697</v>
          </cell>
          <cell r="BY89">
            <v>15.079228460451979</v>
          </cell>
          <cell r="BZ89">
            <v>14.002140713276839</v>
          </cell>
          <cell r="CA89">
            <v>1.0770877471751414</v>
          </cell>
          <cell r="CC89">
            <v>15.9</v>
          </cell>
          <cell r="CD89">
            <v>5.8903191838175939</v>
          </cell>
          <cell r="CE89">
            <v>8.83547877572639</v>
          </cell>
          <cell r="CF89">
            <v>11.780638367635188</v>
          </cell>
          <cell r="CG89">
            <v>14.725797959543986</v>
          </cell>
          <cell r="CH89">
            <v>17.67095755145278</v>
          </cell>
          <cell r="CI89">
            <v>5.8903191838175939</v>
          </cell>
        </row>
        <row r="90">
          <cell r="A90">
            <v>38077</v>
          </cell>
          <cell r="B90">
            <v>99.5</v>
          </cell>
          <cell r="C90">
            <v>52.281880949890159</v>
          </cell>
          <cell r="D90">
            <v>62.738257139868196</v>
          </cell>
          <cell r="E90">
            <v>73.194633329846226</v>
          </cell>
          <cell r="F90">
            <v>83.651009519824257</v>
          </cell>
          <cell r="G90">
            <v>94.107385709802287</v>
          </cell>
          <cell r="H90">
            <v>104.56376189978032</v>
          </cell>
          <cell r="I90">
            <v>78.422821424835234</v>
          </cell>
          <cell r="J90">
            <v>5.228188094989016</v>
          </cell>
          <cell r="M90">
            <v>99.5</v>
          </cell>
          <cell r="N90">
            <v>60.474422010670573</v>
          </cell>
          <cell r="O90">
            <v>72.569306412804693</v>
          </cell>
          <cell r="P90">
            <v>84.664190814938806</v>
          </cell>
          <cell r="Q90">
            <v>96.759075217072919</v>
          </cell>
          <cell r="R90">
            <v>108.85395961920703</v>
          </cell>
          <cell r="S90">
            <v>120.94884402134115</v>
          </cell>
          <cell r="T90">
            <v>90.711633016005862</v>
          </cell>
          <cell r="U90">
            <v>6.0474422010670574</v>
          </cell>
          <cell r="W90">
            <v>99.5</v>
          </cell>
          <cell r="X90">
            <v>40.856522648812629</v>
          </cell>
          <cell r="Y90">
            <v>61.284783973218943</v>
          </cell>
          <cell r="Z90">
            <v>81.713045297625257</v>
          </cell>
          <cell r="AA90">
            <v>102.14130662203158</v>
          </cell>
          <cell r="AB90">
            <v>122.56956794643789</v>
          </cell>
          <cell r="AC90">
            <v>20.428261324406314</v>
          </cell>
          <cell r="AF90">
            <v>23.55</v>
          </cell>
          <cell r="AG90">
            <v>14.841758736525737</v>
          </cell>
          <cell r="AH90">
            <v>17.810110483830883</v>
          </cell>
          <cell r="AI90">
            <v>20.778462231136032</v>
          </cell>
          <cell r="AJ90">
            <v>23.746813978441178</v>
          </cell>
          <cell r="AK90">
            <v>26.715165725746324</v>
          </cell>
          <cell r="AL90">
            <v>29.683517473051474</v>
          </cell>
          <cell r="AM90">
            <v>22.262638104788603</v>
          </cell>
          <cell r="AN90">
            <v>1.4841758736525736</v>
          </cell>
          <cell r="AQ90">
            <v>23.55</v>
          </cell>
          <cell r="AR90">
            <v>9.6628561159334687</v>
          </cell>
          <cell r="AS90">
            <v>13.527998562306855</v>
          </cell>
          <cell r="AT90">
            <v>17.393141008680242</v>
          </cell>
          <cell r="AU90">
            <v>21.258283455053629</v>
          </cell>
          <cell r="AV90">
            <v>25.123425901427016</v>
          </cell>
          <cell r="AW90">
            <v>28.988568347800403</v>
          </cell>
          <cell r="AX90">
            <v>19.325712231866937</v>
          </cell>
          <cell r="AY90">
            <v>1.9325712231866936</v>
          </cell>
          <cell r="BA90">
            <v>23.55</v>
          </cell>
          <cell r="BB90">
            <v>13.909558905218965</v>
          </cell>
          <cell r="BC90">
            <v>20.864338357828448</v>
          </cell>
          <cell r="BD90">
            <v>27.81911781043793</v>
          </cell>
          <cell r="BE90">
            <v>34.773897263047417</v>
          </cell>
          <cell r="BF90">
            <v>41.728676715656896</v>
          </cell>
          <cell r="BG90">
            <v>13.909558905218965</v>
          </cell>
          <cell r="BJ90">
            <v>14.85</v>
          </cell>
          <cell r="BK90">
            <v>8.4769408292978206</v>
          </cell>
          <cell r="BL90">
            <v>10.172328995157386</v>
          </cell>
          <cell r="BM90">
            <v>11.86771716101695</v>
          </cell>
          <cell r="BN90">
            <v>13.563105326876514</v>
          </cell>
          <cell r="BO90">
            <v>15.258493492736077</v>
          </cell>
          <cell r="BP90">
            <v>16.953881658595641</v>
          </cell>
          <cell r="BQ90">
            <v>12.715411243946731</v>
          </cell>
          <cell r="BR90">
            <v>0.8476940829297821</v>
          </cell>
          <cell r="BU90">
            <v>14.85</v>
          </cell>
          <cell r="BV90">
            <v>8.5383247578692512</v>
          </cell>
          <cell r="BW90">
            <v>10.672905947336563</v>
          </cell>
          <cell r="BX90">
            <v>12.807487136803877</v>
          </cell>
          <cell r="BY90">
            <v>14.94206832627119</v>
          </cell>
          <cell r="BZ90">
            <v>13.874777731537533</v>
          </cell>
          <cell r="CA90">
            <v>1.0672905947336564</v>
          </cell>
          <cell r="CC90">
            <v>14.85</v>
          </cell>
          <cell r="CD90">
            <v>5.9856660487288122</v>
          </cell>
          <cell r="CE90">
            <v>8.9784990730932179</v>
          </cell>
          <cell r="CF90">
            <v>11.971332097457624</v>
          </cell>
          <cell r="CG90">
            <v>14.964165121822031</v>
          </cell>
          <cell r="CH90">
            <v>17.956998146186436</v>
          </cell>
          <cell r="CI90">
            <v>5.9856660487288122</v>
          </cell>
        </row>
        <row r="91">
          <cell r="A91">
            <v>38107</v>
          </cell>
          <cell r="B91">
            <v>99</v>
          </cell>
          <cell r="C91">
            <v>53.077379084283578</v>
          </cell>
          <cell r="D91">
            <v>63.692854901140294</v>
          </cell>
          <cell r="E91">
            <v>74.308330717997009</v>
          </cell>
          <cell r="F91">
            <v>84.923806534853725</v>
          </cell>
          <cell r="G91">
            <v>95.53928235171044</v>
          </cell>
          <cell r="H91">
            <v>106.15475816856716</v>
          </cell>
          <cell r="I91">
            <v>79.616068626425374</v>
          </cell>
          <cell r="J91">
            <v>5.3077379084283578</v>
          </cell>
          <cell r="M91">
            <v>99</v>
          </cell>
          <cell r="N91">
            <v>60.625239739163788</v>
          </cell>
          <cell r="O91">
            <v>72.750287686996558</v>
          </cell>
          <cell r="P91">
            <v>84.875335634829312</v>
          </cell>
          <cell r="Q91">
            <v>97.000383582662067</v>
          </cell>
          <cell r="R91">
            <v>109.12543153049482</v>
          </cell>
          <cell r="S91">
            <v>121.25047947832758</v>
          </cell>
          <cell r="T91">
            <v>90.937859608745683</v>
          </cell>
          <cell r="U91">
            <v>6.0625239739163792</v>
          </cell>
          <cell r="W91">
            <v>99</v>
          </cell>
          <cell r="X91">
            <v>40.652090525508235</v>
          </cell>
          <cell r="Y91">
            <v>60.97813578826235</v>
          </cell>
          <cell r="Z91">
            <v>81.304181051016471</v>
          </cell>
          <cell r="AA91">
            <v>101.63022631377059</v>
          </cell>
          <cell r="AB91">
            <v>121.9562715765247</v>
          </cell>
          <cell r="AC91">
            <v>20.326045262754118</v>
          </cell>
          <cell r="AF91">
            <v>22.8</v>
          </cell>
          <cell r="AG91">
            <v>15.104351525109561</v>
          </cell>
          <cell r="AH91">
            <v>18.125221830131473</v>
          </cell>
          <cell r="AI91">
            <v>21.146092135153385</v>
          </cell>
          <cell r="AJ91">
            <v>24.166962440175297</v>
          </cell>
          <cell r="AK91">
            <v>27.187832745197209</v>
          </cell>
          <cell r="AL91">
            <v>30.208703050219121</v>
          </cell>
          <cell r="AM91">
            <v>22.656527287664339</v>
          </cell>
          <cell r="AN91">
            <v>1.5104351525109561</v>
          </cell>
          <cell r="AQ91">
            <v>22.8</v>
          </cell>
          <cell r="AR91">
            <v>9.6224940869661797</v>
          </cell>
          <cell r="AS91">
            <v>13.471491721752653</v>
          </cell>
          <cell r="AT91">
            <v>17.320489356539124</v>
          </cell>
          <cell r="AU91">
            <v>21.169486991325595</v>
          </cell>
          <cell r="AV91">
            <v>25.01848462611207</v>
          </cell>
          <cell r="AW91">
            <v>28.867482260898541</v>
          </cell>
          <cell r="AX91">
            <v>19.244988173932359</v>
          </cell>
          <cell r="AY91">
            <v>1.924498817393236</v>
          </cell>
          <cell r="BA91">
            <v>22.8</v>
          </cell>
          <cell r="BB91">
            <v>13.979557275297406</v>
          </cell>
          <cell r="BC91">
            <v>20.969335912946107</v>
          </cell>
          <cell r="BD91">
            <v>27.959114550594812</v>
          </cell>
          <cell r="BE91">
            <v>34.948893188243517</v>
          </cell>
          <cell r="BF91">
            <v>41.938671825892214</v>
          </cell>
          <cell r="BG91">
            <v>13.979557275297406</v>
          </cell>
          <cell r="BJ91">
            <v>13.3</v>
          </cell>
          <cell r="BK91">
            <v>8.7920576069410821</v>
          </cell>
          <cell r="BL91">
            <v>10.550469128329297</v>
          </cell>
          <cell r="BM91">
            <v>12.308880649717514</v>
          </cell>
          <cell r="BN91">
            <v>14.067292171105731</v>
          </cell>
          <cell r="BO91">
            <v>15.825703692493947</v>
          </cell>
          <cell r="BP91">
            <v>17.584115213882164</v>
          </cell>
          <cell r="BQ91">
            <v>13.188086410411623</v>
          </cell>
          <cell r="BR91">
            <v>0.87920576069410816</v>
          </cell>
          <cell r="BU91">
            <v>13.3</v>
          </cell>
          <cell r="BV91">
            <v>8.4599475383373708</v>
          </cell>
          <cell r="BW91">
            <v>10.574934422921714</v>
          </cell>
          <cell r="BX91">
            <v>12.689921307506056</v>
          </cell>
          <cell r="BY91">
            <v>14.804908192090398</v>
          </cell>
          <cell r="BZ91">
            <v>13.747414749798228</v>
          </cell>
          <cell r="CA91">
            <v>1.0574934422921713</v>
          </cell>
          <cell r="CC91">
            <v>13.3</v>
          </cell>
          <cell r="CD91">
            <v>6.0810129136400306</v>
          </cell>
          <cell r="CE91">
            <v>9.1215193704600459</v>
          </cell>
          <cell r="CF91">
            <v>12.162025827280061</v>
          </cell>
          <cell r="CG91">
            <v>15.202532284100077</v>
          </cell>
          <cell r="CH91">
            <v>18.243038740920092</v>
          </cell>
          <cell r="CI91">
            <v>6.0810129136400306</v>
          </cell>
        </row>
        <row r="92">
          <cell r="A92">
            <v>38138</v>
          </cell>
          <cell r="B92">
            <v>99.5</v>
          </cell>
          <cell r="C92">
            <v>53.872877218676997</v>
          </cell>
          <cell r="D92">
            <v>64.647452662412391</v>
          </cell>
          <cell r="E92">
            <v>75.422028106147792</v>
          </cell>
          <cell r="F92">
            <v>86.196603549883193</v>
          </cell>
          <cell r="G92">
            <v>96.971178993618594</v>
          </cell>
          <cell r="H92">
            <v>107.74575443735399</v>
          </cell>
          <cell r="I92">
            <v>80.8093158280155</v>
          </cell>
          <cell r="J92">
            <v>5.3872877218676996</v>
          </cell>
          <cell r="M92">
            <v>99.5</v>
          </cell>
          <cell r="N92">
            <v>60.776057467657012</v>
          </cell>
          <cell r="O92">
            <v>72.931268961188408</v>
          </cell>
          <cell r="P92">
            <v>85.086480454719819</v>
          </cell>
          <cell r="Q92">
            <v>97.241691948251216</v>
          </cell>
          <cell r="R92">
            <v>109.39690344178261</v>
          </cell>
          <cell r="S92">
            <v>121.55211493531402</v>
          </cell>
          <cell r="T92">
            <v>91.164086201485517</v>
          </cell>
          <cell r="U92">
            <v>6.077605746765701</v>
          </cell>
          <cell r="W92">
            <v>99.5</v>
          </cell>
          <cell r="X92">
            <v>40.447658402203842</v>
          </cell>
          <cell r="Y92">
            <v>60.671487603305764</v>
          </cell>
          <cell r="Z92">
            <v>80.895316804407685</v>
          </cell>
          <cell r="AA92">
            <v>101.11914600550961</v>
          </cell>
          <cell r="AB92">
            <v>121.34297520661153</v>
          </cell>
          <cell r="AC92">
            <v>20.223829201101921</v>
          </cell>
          <cell r="AF92">
            <v>22.75</v>
          </cell>
          <cell r="AG92">
            <v>15.366944313693384</v>
          </cell>
          <cell r="AH92">
            <v>18.440333176432063</v>
          </cell>
          <cell r="AI92">
            <v>21.513722039170737</v>
          </cell>
          <cell r="AJ92">
            <v>24.587110901909416</v>
          </cell>
          <cell r="AK92">
            <v>27.660499764648094</v>
          </cell>
          <cell r="AL92">
            <v>30.733888627386769</v>
          </cell>
          <cell r="AM92">
            <v>23.050416470540078</v>
          </cell>
          <cell r="AN92">
            <v>1.5366944313693385</v>
          </cell>
          <cell r="AQ92">
            <v>22.75</v>
          </cell>
          <cell r="AR92">
            <v>9.5821320579988924</v>
          </cell>
          <cell r="AS92">
            <v>13.41498488119845</v>
          </cell>
          <cell r="AT92">
            <v>17.247837704398005</v>
          </cell>
          <cell r="AU92">
            <v>21.080690527597564</v>
          </cell>
          <cell r="AV92">
            <v>24.91354335079712</v>
          </cell>
          <cell r="AW92">
            <v>28.746396173996676</v>
          </cell>
          <cell r="AX92">
            <v>19.164264115997785</v>
          </cell>
          <cell r="AY92">
            <v>1.9164264115997784</v>
          </cell>
          <cell r="BA92">
            <v>22.75</v>
          </cell>
          <cell r="BB92">
            <v>14.049555645375847</v>
          </cell>
          <cell r="BC92">
            <v>21.07433346806377</v>
          </cell>
          <cell r="BD92">
            <v>28.099111290751694</v>
          </cell>
          <cell r="BE92">
            <v>35.123889113439617</v>
          </cell>
          <cell r="BF92">
            <v>42.14866693612754</v>
          </cell>
          <cell r="BG92">
            <v>14.049555645375847</v>
          </cell>
          <cell r="BJ92">
            <v>13.55</v>
          </cell>
          <cell r="BK92">
            <v>9.1071743845843418</v>
          </cell>
          <cell r="BL92">
            <v>10.928609261501212</v>
          </cell>
          <cell r="BM92">
            <v>12.75004413841808</v>
          </cell>
          <cell r="BN92">
            <v>14.571479015334948</v>
          </cell>
          <cell r="BO92">
            <v>16.392913892251816</v>
          </cell>
          <cell r="BP92">
            <v>18.214348769168684</v>
          </cell>
          <cell r="BQ92">
            <v>13.660761576876514</v>
          </cell>
          <cell r="BR92">
            <v>0.91071743845843423</v>
          </cell>
          <cell r="BU92">
            <v>13.55</v>
          </cell>
          <cell r="BV92">
            <v>8.3815703188054904</v>
          </cell>
          <cell r="BW92">
            <v>10.476962898506862</v>
          </cell>
          <cell r="BX92">
            <v>12.572355478208236</v>
          </cell>
          <cell r="BY92">
            <v>14.667748057909609</v>
          </cell>
          <cell r="BZ92">
            <v>13.620051768058921</v>
          </cell>
          <cell r="CA92">
            <v>1.0476962898506863</v>
          </cell>
          <cell r="CC92">
            <v>13.55</v>
          </cell>
          <cell r="CD92">
            <v>6.176359778551249</v>
          </cell>
          <cell r="CE92">
            <v>9.2645396678268739</v>
          </cell>
          <cell r="CF92">
            <v>12.352719557102498</v>
          </cell>
          <cell r="CG92">
            <v>15.440899446378122</v>
          </cell>
          <cell r="CH92">
            <v>18.529079335653748</v>
          </cell>
          <cell r="CI92">
            <v>6.176359778551249</v>
          </cell>
        </row>
        <row r="93">
          <cell r="A93">
            <v>38168</v>
          </cell>
          <cell r="B93">
            <v>100</v>
          </cell>
          <cell r="C93">
            <v>54.668375353070417</v>
          </cell>
          <cell r="D93">
            <v>65.602050423684489</v>
          </cell>
          <cell r="E93">
            <v>76.535725494298575</v>
          </cell>
          <cell r="F93">
            <v>87.469400564912661</v>
          </cell>
          <cell r="G93">
            <v>98.403075635526747</v>
          </cell>
          <cell r="H93">
            <v>109.33675070614083</v>
          </cell>
          <cell r="I93">
            <v>82.002563029605625</v>
          </cell>
          <cell r="J93">
            <v>5.4668375353070413</v>
          </cell>
          <cell r="M93">
            <v>100</v>
          </cell>
          <cell r="N93">
            <v>60.926875196150228</v>
          </cell>
          <cell r="O93">
            <v>73.112250235380273</v>
          </cell>
          <cell r="P93">
            <v>85.297625274610311</v>
          </cell>
          <cell r="Q93">
            <v>97.483000313840364</v>
          </cell>
          <cell r="R93">
            <v>109.66837535307042</v>
          </cell>
          <cell r="S93">
            <v>121.85375039230046</v>
          </cell>
          <cell r="T93">
            <v>91.390312794225338</v>
          </cell>
          <cell r="U93">
            <v>6.0926875196150228</v>
          </cell>
          <cell r="W93">
            <v>100</v>
          </cell>
          <cell r="X93">
            <v>40.243226278899449</v>
          </cell>
          <cell r="Y93">
            <v>60.364839418349177</v>
          </cell>
          <cell r="Z93">
            <v>80.486452557798899</v>
          </cell>
          <cell r="AA93">
            <v>100.60806569724862</v>
          </cell>
          <cell r="AB93">
            <v>120.72967883669835</v>
          </cell>
          <cell r="AC93">
            <v>20.121613139449725</v>
          </cell>
          <cell r="AF93">
            <v>22.3</v>
          </cell>
          <cell r="AG93">
            <v>15.629537102277208</v>
          </cell>
          <cell r="AH93">
            <v>18.755444522732653</v>
          </cell>
          <cell r="AI93">
            <v>21.881351943188093</v>
          </cell>
          <cell r="AJ93">
            <v>25.007259363643534</v>
          </cell>
          <cell r="AK93">
            <v>28.133166784098975</v>
          </cell>
          <cell r="AL93">
            <v>31.259074204554416</v>
          </cell>
          <cell r="AM93">
            <v>23.444305653415814</v>
          </cell>
          <cell r="AN93">
            <v>1.5629537102277209</v>
          </cell>
          <cell r="AQ93">
            <v>22.3</v>
          </cell>
          <cell r="AR93">
            <v>9.5417700290316034</v>
          </cell>
          <cell r="AS93">
            <v>13.358478040644247</v>
          </cell>
          <cell r="AT93">
            <v>17.175186052256887</v>
          </cell>
          <cell r="AU93">
            <v>20.99189406386953</v>
          </cell>
          <cell r="AV93">
            <v>24.80860207548217</v>
          </cell>
          <cell r="AW93">
            <v>28.625310087094814</v>
          </cell>
          <cell r="AX93">
            <v>19.083540058063207</v>
          </cell>
          <cell r="AY93">
            <v>1.9083540058063209</v>
          </cell>
          <cell r="BA93">
            <v>22.3</v>
          </cell>
          <cell r="BB93">
            <v>14.119554015454288</v>
          </cell>
          <cell r="BC93">
            <v>21.179331023181433</v>
          </cell>
          <cell r="BD93">
            <v>28.239108030908575</v>
          </cell>
          <cell r="BE93">
            <v>35.298885038635717</v>
          </cell>
          <cell r="BF93">
            <v>42.358662046362866</v>
          </cell>
          <cell r="BG93">
            <v>14.119554015454288</v>
          </cell>
          <cell r="BJ93">
            <v>13.3</v>
          </cell>
          <cell r="BK93">
            <v>9.4222911622276033</v>
          </cell>
          <cell r="BL93">
            <v>11.306749394673123</v>
          </cell>
          <cell r="BM93">
            <v>13.191207627118644</v>
          </cell>
          <cell r="BN93">
            <v>15.075665859564165</v>
          </cell>
          <cell r="BO93">
            <v>16.960124092009686</v>
          </cell>
          <cell r="BP93">
            <v>18.844582324455207</v>
          </cell>
          <cell r="BQ93">
            <v>14.133436743341404</v>
          </cell>
          <cell r="BR93">
            <v>0.94222911622276029</v>
          </cell>
          <cell r="BU93">
            <v>13.3</v>
          </cell>
          <cell r="BV93">
            <v>8.30319309927361</v>
          </cell>
          <cell r="BW93">
            <v>10.378991374092013</v>
          </cell>
          <cell r="BX93">
            <v>12.454789648910415</v>
          </cell>
          <cell r="BY93">
            <v>14.530587923728817</v>
          </cell>
          <cell r="BZ93">
            <v>13.492688786319617</v>
          </cell>
          <cell r="CA93">
            <v>1.0378991374092013</v>
          </cell>
          <cell r="CC93">
            <v>13.3</v>
          </cell>
          <cell r="CD93">
            <v>6.2717066434624673</v>
          </cell>
          <cell r="CE93">
            <v>9.4075599651937019</v>
          </cell>
          <cell r="CF93">
            <v>12.543413286924935</v>
          </cell>
          <cell r="CG93">
            <v>15.679266608656167</v>
          </cell>
          <cell r="CH93">
            <v>18.815119930387404</v>
          </cell>
          <cell r="CI93">
            <v>6.2717066434624673</v>
          </cell>
        </row>
        <row r="94">
          <cell r="A94">
            <v>38199</v>
          </cell>
          <cell r="B94">
            <v>99.75</v>
          </cell>
          <cell r="C94">
            <v>55.463873487463829</v>
          </cell>
          <cell r="D94">
            <v>66.5566481849566</v>
          </cell>
          <cell r="E94">
            <v>77.649422882449358</v>
          </cell>
          <cell r="F94">
            <v>88.742197579942129</v>
          </cell>
          <cell r="G94">
            <v>99.8349722774349</v>
          </cell>
          <cell r="H94">
            <v>110.92774697492766</v>
          </cell>
          <cell r="I94">
            <v>83.19581023119575</v>
          </cell>
          <cell r="J94">
            <v>5.5463873487463831</v>
          </cell>
          <cell r="M94">
            <v>99.75</v>
          </cell>
          <cell r="N94">
            <v>61.077692924643443</v>
          </cell>
          <cell r="O94">
            <v>73.293231509572138</v>
          </cell>
          <cell r="P94">
            <v>85.508770094500818</v>
          </cell>
          <cell r="Q94">
            <v>97.724308679429512</v>
          </cell>
          <cell r="R94">
            <v>109.93984726435821</v>
          </cell>
          <cell r="S94">
            <v>122.15538584928689</v>
          </cell>
          <cell r="T94">
            <v>91.616539386965172</v>
          </cell>
          <cell r="U94">
            <v>6.1077692924643445</v>
          </cell>
          <cell r="W94">
            <v>99.75</v>
          </cell>
          <cell r="X94">
            <v>40.038794155595056</v>
          </cell>
          <cell r="Y94">
            <v>60.058191233392584</v>
          </cell>
          <cell r="Z94">
            <v>80.077588311190112</v>
          </cell>
          <cell r="AA94">
            <v>100.09698538898763</v>
          </cell>
          <cell r="AB94">
            <v>120.11638246678517</v>
          </cell>
          <cell r="AC94">
            <v>20.019397077797528</v>
          </cell>
          <cell r="AF94">
            <v>22.1</v>
          </cell>
          <cell r="AG94">
            <v>15.892129890861034</v>
          </cell>
          <cell r="AH94">
            <v>19.070555869033239</v>
          </cell>
          <cell r="AI94">
            <v>22.248981847205446</v>
          </cell>
          <cell r="AJ94">
            <v>25.427407825377653</v>
          </cell>
          <cell r="AK94">
            <v>28.60583380354986</v>
          </cell>
          <cell r="AL94">
            <v>31.784259781722067</v>
          </cell>
          <cell r="AM94">
            <v>23.838194836291549</v>
          </cell>
          <cell r="AN94">
            <v>1.5892129890861033</v>
          </cell>
          <cell r="AQ94">
            <v>22.1</v>
          </cell>
          <cell r="AR94">
            <v>9.5014080000643162</v>
          </cell>
          <cell r="AS94">
            <v>13.301971200090042</v>
          </cell>
          <cell r="AT94">
            <v>17.102534400115768</v>
          </cell>
          <cell r="AU94">
            <v>20.903097600141496</v>
          </cell>
          <cell r="AV94">
            <v>24.703660800167224</v>
          </cell>
          <cell r="AW94">
            <v>28.504224000192949</v>
          </cell>
          <cell r="AX94">
            <v>19.002816000128632</v>
          </cell>
          <cell r="AY94">
            <v>1.9002816000128633</v>
          </cell>
          <cell r="BA94">
            <v>22.1</v>
          </cell>
          <cell r="BB94">
            <v>14.189552385532728</v>
          </cell>
          <cell r="BC94">
            <v>21.284328578299093</v>
          </cell>
          <cell r="BD94">
            <v>28.379104771065457</v>
          </cell>
          <cell r="BE94">
            <v>35.473880963831817</v>
          </cell>
          <cell r="BF94">
            <v>42.568657156598185</v>
          </cell>
          <cell r="BG94">
            <v>14.189552385532728</v>
          </cell>
          <cell r="BJ94">
            <v>13.35</v>
          </cell>
          <cell r="BK94">
            <v>9.7374079398708631</v>
          </cell>
          <cell r="BL94">
            <v>11.684889527845037</v>
          </cell>
          <cell r="BM94">
            <v>13.632371115819209</v>
          </cell>
          <cell r="BN94">
            <v>15.579852703793382</v>
          </cell>
          <cell r="BO94">
            <v>17.527334291767556</v>
          </cell>
          <cell r="BP94">
            <v>19.474815879741726</v>
          </cell>
          <cell r="BQ94">
            <v>14.606111909806295</v>
          </cell>
          <cell r="BR94">
            <v>0.97374079398708635</v>
          </cell>
          <cell r="BU94">
            <v>13.35</v>
          </cell>
          <cell r="BV94">
            <v>8.2248158797417297</v>
          </cell>
          <cell r="BW94">
            <v>10.281019849677161</v>
          </cell>
          <cell r="BX94">
            <v>12.337223819612595</v>
          </cell>
          <cell r="BY94">
            <v>14.393427789548028</v>
          </cell>
          <cell r="BZ94">
            <v>13.36532580458031</v>
          </cell>
          <cell r="CA94">
            <v>1.0281019849677162</v>
          </cell>
          <cell r="CC94">
            <v>13.35</v>
          </cell>
          <cell r="CD94">
            <v>6.3670535083736857</v>
          </cell>
          <cell r="CE94">
            <v>9.5505802625605281</v>
          </cell>
          <cell r="CF94">
            <v>12.734107016747371</v>
          </cell>
          <cell r="CG94">
            <v>15.917633770934215</v>
          </cell>
          <cell r="CH94">
            <v>19.101160525121056</v>
          </cell>
          <cell r="CI94">
            <v>6.3670535083736857</v>
          </cell>
        </row>
        <row r="95">
          <cell r="A95">
            <v>38230</v>
          </cell>
          <cell r="B95">
            <v>104</v>
          </cell>
          <cell r="C95">
            <v>56.259371621857248</v>
          </cell>
          <cell r="D95">
            <v>67.511245946228698</v>
          </cell>
          <cell r="E95">
            <v>78.763120270600155</v>
          </cell>
          <cell r="F95">
            <v>90.014994594971597</v>
          </cell>
          <cell r="G95">
            <v>101.26686891934304</v>
          </cell>
          <cell r="H95">
            <v>112.5187432437145</v>
          </cell>
          <cell r="I95">
            <v>84.389057432785876</v>
          </cell>
          <cell r="J95">
            <v>5.6259371621857248</v>
          </cell>
          <cell r="M95">
            <v>104</v>
          </cell>
          <cell r="N95">
            <v>61.228510653136667</v>
          </cell>
          <cell r="O95">
            <v>73.474212783763988</v>
          </cell>
          <cell r="P95">
            <v>85.719914914391325</v>
          </cell>
          <cell r="Q95">
            <v>97.965617045018661</v>
          </cell>
          <cell r="R95">
            <v>110.211319175646</v>
          </cell>
          <cell r="S95">
            <v>122.45702130627333</v>
          </cell>
          <cell r="T95">
            <v>91.842765979704993</v>
          </cell>
          <cell r="U95">
            <v>6.1228510653136663</v>
          </cell>
          <cell r="W95">
            <v>104</v>
          </cell>
          <cell r="X95">
            <v>39.834362032290663</v>
          </cell>
          <cell r="Y95">
            <v>59.751543048435991</v>
          </cell>
          <cell r="Z95">
            <v>79.668724064581326</v>
          </cell>
          <cell r="AA95">
            <v>99.585905080726661</v>
          </cell>
          <cell r="AB95">
            <v>119.50308609687198</v>
          </cell>
          <cell r="AC95">
            <v>19.917181016145332</v>
          </cell>
          <cell r="AF95">
            <v>21.4</v>
          </cell>
          <cell r="AG95">
            <v>16.154722679444859</v>
          </cell>
          <cell r="AH95">
            <v>19.385667215333829</v>
          </cell>
          <cell r="AI95">
            <v>22.616611751222798</v>
          </cell>
          <cell r="AJ95">
            <v>25.847556287111772</v>
          </cell>
          <cell r="AK95">
            <v>29.078500823000745</v>
          </cell>
          <cell r="AL95">
            <v>32.309445358889718</v>
          </cell>
          <cell r="AM95">
            <v>24.232084019167285</v>
          </cell>
          <cell r="AN95">
            <v>1.6154722679444857</v>
          </cell>
          <cell r="AQ95">
            <v>21.4</v>
          </cell>
          <cell r="AR95">
            <v>9.4610459710970289</v>
          </cell>
          <cell r="AS95">
            <v>13.245464359535839</v>
          </cell>
          <cell r="AT95">
            <v>17.02988274797465</v>
          </cell>
          <cell r="AU95">
            <v>20.814301136413462</v>
          </cell>
          <cell r="AV95">
            <v>24.598719524852275</v>
          </cell>
          <cell r="AW95">
            <v>28.383137913291087</v>
          </cell>
          <cell r="AX95">
            <v>18.922091942194058</v>
          </cell>
          <cell r="AY95">
            <v>1.8922091942194057</v>
          </cell>
          <cell r="BA95">
            <v>21.4</v>
          </cell>
          <cell r="BB95">
            <v>14.259550755611169</v>
          </cell>
          <cell r="BC95">
            <v>21.389326133416752</v>
          </cell>
          <cell r="BD95">
            <v>28.519101511222338</v>
          </cell>
          <cell r="BE95">
            <v>35.648876889027925</v>
          </cell>
          <cell r="BF95">
            <v>42.778652266833504</v>
          </cell>
          <cell r="BG95">
            <v>14.259550755611169</v>
          </cell>
          <cell r="BJ95">
            <v>14</v>
          </cell>
          <cell r="BK95">
            <v>10.052524717514125</v>
          </cell>
          <cell r="BL95">
            <v>12.063029661016948</v>
          </cell>
          <cell r="BM95">
            <v>14.073534604519773</v>
          </cell>
          <cell r="BN95">
            <v>16.084039548022599</v>
          </cell>
          <cell r="BO95">
            <v>18.094544491525422</v>
          </cell>
          <cell r="BP95">
            <v>20.105049435028249</v>
          </cell>
          <cell r="BQ95">
            <v>15.078787076271187</v>
          </cell>
          <cell r="BR95">
            <v>1.0052524717514124</v>
          </cell>
          <cell r="BU95">
            <v>14</v>
          </cell>
          <cell r="BV95">
            <v>8.1464386602098493</v>
          </cell>
          <cell r="BW95">
            <v>10.183048325262313</v>
          </cell>
          <cell r="BX95">
            <v>12.219657990314774</v>
          </cell>
          <cell r="BY95">
            <v>14.256267655367235</v>
          </cell>
          <cell r="BZ95">
            <v>13.237962822841006</v>
          </cell>
          <cell r="CA95">
            <v>1.0183048325262312</v>
          </cell>
          <cell r="CC95">
            <v>14</v>
          </cell>
          <cell r="CD95">
            <v>6.462400373284904</v>
          </cell>
          <cell r="CE95">
            <v>9.693600559927356</v>
          </cell>
          <cell r="CF95">
            <v>12.924800746569808</v>
          </cell>
          <cell r="CG95">
            <v>16.156000933212262</v>
          </cell>
          <cell r="CH95">
            <v>19.387201119854712</v>
          </cell>
          <cell r="CI95">
            <v>6.462400373284904</v>
          </cell>
        </row>
        <row r="96">
          <cell r="A96">
            <v>38260</v>
          </cell>
          <cell r="B96">
            <v>104</v>
          </cell>
          <cell r="C96">
            <v>57.054869756250667</v>
          </cell>
          <cell r="D96">
            <v>68.465843707500795</v>
          </cell>
          <cell r="E96">
            <v>79.876817658750937</v>
          </cell>
          <cell r="F96">
            <v>91.287791610001065</v>
          </cell>
          <cell r="G96">
            <v>102.69876556125119</v>
          </cell>
          <cell r="H96">
            <v>114.10973951250133</v>
          </cell>
          <cell r="I96">
            <v>85.582304634376001</v>
          </cell>
          <cell r="J96">
            <v>5.7054869756250666</v>
          </cell>
          <cell r="M96">
            <v>104</v>
          </cell>
          <cell r="N96">
            <v>61.379328381629882</v>
          </cell>
          <cell r="O96">
            <v>73.655194057955853</v>
          </cell>
          <cell r="P96">
            <v>85.931059734281831</v>
          </cell>
          <cell r="Q96">
            <v>98.206925410607809</v>
          </cell>
          <cell r="R96">
            <v>110.48279108693379</v>
          </cell>
          <cell r="S96">
            <v>122.75865676325976</v>
          </cell>
          <cell r="T96">
            <v>92.068992572444827</v>
          </cell>
          <cell r="U96">
            <v>6.1379328381629881</v>
          </cell>
          <cell r="W96">
            <v>104</v>
          </cell>
          <cell r="X96">
            <v>39.62992990898627</v>
          </cell>
          <cell r="Y96">
            <v>59.444894863479405</v>
          </cell>
          <cell r="Z96">
            <v>79.25985981797254</v>
          </cell>
          <cell r="AA96">
            <v>99.074824772465675</v>
          </cell>
          <cell r="AB96">
            <v>118.88978972695881</v>
          </cell>
          <cell r="AC96">
            <v>19.814964954493135</v>
          </cell>
          <cell r="AF96">
            <v>21.9</v>
          </cell>
          <cell r="AG96">
            <v>16.417315468028683</v>
          </cell>
          <cell r="AH96">
            <v>19.700778561634419</v>
          </cell>
          <cell r="AI96">
            <v>22.984241655240155</v>
          </cell>
          <cell r="AJ96">
            <v>26.26770474884589</v>
          </cell>
          <cell r="AK96">
            <v>29.551167842451626</v>
          </cell>
          <cell r="AL96">
            <v>32.834630936057366</v>
          </cell>
          <cell r="AM96">
            <v>24.625973202043021</v>
          </cell>
          <cell r="AN96">
            <v>1.6417315468028681</v>
          </cell>
          <cell r="AQ96">
            <v>21.9</v>
          </cell>
          <cell r="AR96">
            <v>9.4206839421297399</v>
          </cell>
          <cell r="AS96">
            <v>13.188957518981637</v>
          </cell>
          <cell r="AT96">
            <v>16.957231095833531</v>
          </cell>
          <cell r="AU96">
            <v>20.725504672685428</v>
          </cell>
          <cell r="AV96">
            <v>24.493778249537325</v>
          </cell>
          <cell r="AW96">
            <v>28.262051826389222</v>
          </cell>
          <cell r="AX96">
            <v>18.84136788425948</v>
          </cell>
          <cell r="AY96">
            <v>1.8841367884259481</v>
          </cell>
          <cell r="BA96">
            <v>21.9</v>
          </cell>
          <cell r="BB96">
            <v>14.32954912568961</v>
          </cell>
          <cell r="BC96">
            <v>21.494323688534415</v>
          </cell>
          <cell r="BD96">
            <v>28.65909825137922</v>
          </cell>
          <cell r="BE96">
            <v>35.823872814224025</v>
          </cell>
          <cell r="BF96">
            <v>42.98864737706883</v>
          </cell>
          <cell r="BG96">
            <v>14.32954912568961</v>
          </cell>
          <cell r="BJ96">
            <v>14.25</v>
          </cell>
          <cell r="BK96">
            <v>10.367641495157384</v>
          </cell>
          <cell r="BL96">
            <v>12.441169794188863</v>
          </cell>
          <cell r="BM96">
            <v>14.514698093220339</v>
          </cell>
          <cell r="BN96">
            <v>16.588226392251816</v>
          </cell>
          <cell r="BO96">
            <v>18.661754691283292</v>
          </cell>
          <cell r="BP96">
            <v>20.735282990314769</v>
          </cell>
          <cell r="BQ96">
            <v>15.551462242736077</v>
          </cell>
          <cell r="BR96">
            <v>1.0367641495157385</v>
          </cell>
          <cell r="BU96">
            <v>14.25</v>
          </cell>
          <cell r="BV96">
            <v>8.0680614406779689</v>
          </cell>
          <cell r="BW96">
            <v>10.08507680084746</v>
          </cell>
          <cell r="BX96">
            <v>12.102092161016953</v>
          </cell>
          <cell r="BY96">
            <v>14.119107521186447</v>
          </cell>
          <cell r="BZ96">
            <v>13.110599841101699</v>
          </cell>
          <cell r="CA96">
            <v>1.0085076800847461</v>
          </cell>
          <cell r="CC96">
            <v>14.25</v>
          </cell>
          <cell r="CD96">
            <v>6.5577472381961224</v>
          </cell>
          <cell r="CE96">
            <v>9.836620857294184</v>
          </cell>
          <cell r="CF96">
            <v>13.115494476392245</v>
          </cell>
          <cell r="CG96">
            <v>16.394368095490307</v>
          </cell>
          <cell r="CH96">
            <v>19.673241714588368</v>
          </cell>
          <cell r="CI96">
            <v>6.5577472381961224</v>
          </cell>
        </row>
        <row r="97">
          <cell r="A97">
            <v>38291</v>
          </cell>
          <cell r="B97">
            <v>103.5</v>
          </cell>
          <cell r="C97">
            <v>57.85036789064408</v>
          </cell>
          <cell r="D97">
            <v>69.420441468772907</v>
          </cell>
          <cell r="E97">
            <v>80.99051504690172</v>
          </cell>
          <cell r="F97">
            <v>92.560588625030533</v>
          </cell>
          <cell r="G97">
            <v>104.13066220315935</v>
          </cell>
          <cell r="H97">
            <v>115.70073578128816</v>
          </cell>
          <cell r="I97">
            <v>86.775551835966127</v>
          </cell>
          <cell r="J97">
            <v>5.7850367890644083</v>
          </cell>
          <cell r="M97">
            <v>103.5</v>
          </cell>
          <cell r="N97">
            <v>61.530146110123098</v>
          </cell>
          <cell r="O97">
            <v>73.836175332147718</v>
          </cell>
          <cell r="P97">
            <v>86.142204554172338</v>
          </cell>
          <cell r="Q97">
            <v>98.448233776196957</v>
          </cell>
          <cell r="R97">
            <v>110.75426299822158</v>
          </cell>
          <cell r="S97">
            <v>123.0602922202462</v>
          </cell>
          <cell r="T97">
            <v>92.295219165184648</v>
          </cell>
          <cell r="U97">
            <v>6.1530146110123098</v>
          </cell>
          <cell r="W97">
            <v>103.5</v>
          </cell>
          <cell r="X97">
            <v>39.425497785681877</v>
          </cell>
          <cell r="Y97">
            <v>59.138246678522819</v>
          </cell>
          <cell r="Z97">
            <v>78.850995571363754</v>
          </cell>
          <cell r="AA97">
            <v>98.563744464204689</v>
          </cell>
          <cell r="AB97">
            <v>118.27649335704564</v>
          </cell>
          <cell r="AC97">
            <v>19.712748892840938</v>
          </cell>
          <cell r="AF97">
            <v>22.3</v>
          </cell>
          <cell r="AG97">
            <v>16.679908256612507</v>
          </cell>
          <cell r="AH97">
            <v>20.015889907935005</v>
          </cell>
          <cell r="AI97">
            <v>23.351871559257507</v>
          </cell>
          <cell r="AJ97">
            <v>26.687853210580009</v>
          </cell>
          <cell r="AK97">
            <v>30.023834861902511</v>
          </cell>
          <cell r="AL97">
            <v>33.359816513225013</v>
          </cell>
          <cell r="AM97">
            <v>25.01986238491876</v>
          </cell>
          <cell r="AN97">
            <v>1.6679908256612506</v>
          </cell>
          <cell r="AQ97">
            <v>22.3</v>
          </cell>
          <cell r="AR97">
            <v>9.3803219131624527</v>
          </cell>
          <cell r="AS97">
            <v>13.132450678427434</v>
          </cell>
          <cell r="AT97">
            <v>16.884579443692417</v>
          </cell>
          <cell r="AU97">
            <v>20.636708208957394</v>
          </cell>
          <cell r="AV97">
            <v>24.388836974222379</v>
          </cell>
          <cell r="AW97">
            <v>28.140965739487356</v>
          </cell>
          <cell r="AX97">
            <v>18.760643826324905</v>
          </cell>
          <cell r="AY97">
            <v>1.8760643826324905</v>
          </cell>
          <cell r="BA97">
            <v>22.3</v>
          </cell>
          <cell r="BB97">
            <v>14.399547495768051</v>
          </cell>
          <cell r="BC97">
            <v>21.599321243652078</v>
          </cell>
          <cell r="BD97">
            <v>28.799094991536101</v>
          </cell>
          <cell r="BE97">
            <v>35.998868739420125</v>
          </cell>
          <cell r="BF97">
            <v>43.198642487304156</v>
          </cell>
          <cell r="BG97">
            <v>14.399547495768051</v>
          </cell>
          <cell r="BJ97">
            <v>14.15</v>
          </cell>
          <cell r="BK97">
            <v>10.682758272800646</v>
          </cell>
          <cell r="BL97">
            <v>12.819309927360774</v>
          </cell>
          <cell r="BM97">
            <v>14.955861581920903</v>
          </cell>
          <cell r="BN97">
            <v>17.092413236481033</v>
          </cell>
          <cell r="BO97">
            <v>19.228964891041162</v>
          </cell>
          <cell r="BP97">
            <v>21.365516545601292</v>
          </cell>
          <cell r="BQ97">
            <v>16.024137409200968</v>
          </cell>
          <cell r="BR97">
            <v>1.0682758272800645</v>
          </cell>
          <cell r="BU97">
            <v>14.15</v>
          </cell>
          <cell r="BV97">
            <v>7.9896842211460886</v>
          </cell>
          <cell r="BW97">
            <v>9.9871052764326116</v>
          </cell>
          <cell r="BX97">
            <v>11.984526331719133</v>
          </cell>
          <cell r="BY97">
            <v>13.981947387005654</v>
          </cell>
          <cell r="BZ97">
            <v>12.983236859362394</v>
          </cell>
          <cell r="CA97">
            <v>0.99871052764326107</v>
          </cell>
          <cell r="CC97">
            <v>14.15</v>
          </cell>
          <cell r="CD97">
            <v>6.6530941031073407</v>
          </cell>
          <cell r="CE97">
            <v>9.9796411546610102</v>
          </cell>
          <cell r="CF97">
            <v>13.306188206214681</v>
          </cell>
          <cell r="CG97">
            <v>16.632735257768353</v>
          </cell>
          <cell r="CH97">
            <v>19.95928230932202</v>
          </cell>
          <cell r="CI97">
            <v>6.6530941031073407</v>
          </cell>
        </row>
        <row r="98">
          <cell r="A98">
            <v>38321</v>
          </cell>
          <cell r="B98">
            <v>108</v>
          </cell>
          <cell r="C98">
            <v>58.645866025037499</v>
          </cell>
          <cell r="D98">
            <v>70.375039230045005</v>
          </cell>
          <cell r="E98">
            <v>82.104212435052503</v>
          </cell>
          <cell r="F98">
            <v>93.833385640060001</v>
          </cell>
          <cell r="G98">
            <v>105.5625588450675</v>
          </cell>
          <cell r="H98">
            <v>117.291732050075</v>
          </cell>
          <cell r="I98">
            <v>87.968799037556252</v>
          </cell>
          <cell r="J98">
            <v>5.8645866025037501</v>
          </cell>
          <cell r="M98">
            <v>108</v>
          </cell>
          <cell r="N98">
            <v>61.680963838616314</v>
          </cell>
          <cell r="O98">
            <v>74.017156606339583</v>
          </cell>
          <cell r="P98">
            <v>86.353349374062844</v>
          </cell>
          <cell r="Q98">
            <v>98.689542141786106</v>
          </cell>
          <cell r="R98">
            <v>111.02573490950937</v>
          </cell>
          <cell r="S98">
            <v>123.36192767723263</v>
          </cell>
          <cell r="T98">
            <v>92.521445757924468</v>
          </cell>
          <cell r="U98">
            <v>6.1680963838616316</v>
          </cell>
          <cell r="W98">
            <v>108</v>
          </cell>
          <cell r="X98">
            <v>39.221065662377484</v>
          </cell>
          <cell r="Y98">
            <v>58.831598493566226</v>
          </cell>
          <cell r="Z98">
            <v>78.442131324754968</v>
          </cell>
          <cell r="AA98">
            <v>98.052664155943717</v>
          </cell>
          <cell r="AB98">
            <v>117.66319698713245</v>
          </cell>
          <cell r="AC98">
            <v>19.610532831188742</v>
          </cell>
          <cell r="AF98">
            <v>24.45</v>
          </cell>
          <cell r="AG98">
            <v>16.94250104519633</v>
          </cell>
          <cell r="AH98">
            <v>20.331001254235595</v>
          </cell>
          <cell r="AI98">
            <v>23.719501463274863</v>
          </cell>
          <cell r="AJ98">
            <v>27.108001672314128</v>
          </cell>
          <cell r="AK98">
            <v>30.496501881353392</v>
          </cell>
          <cell r="AL98">
            <v>33.885002090392661</v>
          </cell>
          <cell r="AM98">
            <v>25.413751567794495</v>
          </cell>
          <cell r="AN98">
            <v>1.694250104519633</v>
          </cell>
          <cell r="AQ98">
            <v>24.45</v>
          </cell>
          <cell r="AR98">
            <v>9.3399598841951654</v>
          </cell>
          <cell r="AS98">
            <v>13.075943837873231</v>
          </cell>
          <cell r="AT98">
            <v>16.811927791551298</v>
          </cell>
          <cell r="AU98">
            <v>20.547911745229364</v>
          </cell>
          <cell r="AV98">
            <v>24.283895698907429</v>
          </cell>
          <cell r="AW98">
            <v>28.019879652585495</v>
          </cell>
          <cell r="AX98">
            <v>18.679919768390331</v>
          </cell>
          <cell r="AY98">
            <v>1.867991976839033</v>
          </cell>
          <cell r="BA98">
            <v>24.45</v>
          </cell>
          <cell r="BB98">
            <v>14.469545865846491</v>
          </cell>
          <cell r="BC98">
            <v>21.704318798769737</v>
          </cell>
          <cell r="BD98">
            <v>28.939091731692983</v>
          </cell>
          <cell r="BE98">
            <v>36.173864664616232</v>
          </cell>
          <cell r="BF98">
            <v>43.408637597539474</v>
          </cell>
          <cell r="BG98">
            <v>14.469545865846491</v>
          </cell>
          <cell r="BJ98">
            <v>14.6</v>
          </cell>
          <cell r="BK98">
            <v>10.997875050443906</v>
          </cell>
          <cell r="BL98">
            <v>13.197450060532688</v>
          </cell>
          <cell r="BM98">
            <v>15.397025070621469</v>
          </cell>
          <cell r="BN98">
            <v>17.59660008071025</v>
          </cell>
          <cell r="BO98">
            <v>19.796175090799032</v>
          </cell>
          <cell r="BP98">
            <v>21.995750100887811</v>
          </cell>
          <cell r="BQ98">
            <v>16.49681257566586</v>
          </cell>
          <cell r="BR98">
            <v>1.0997875050443906</v>
          </cell>
          <cell r="BU98">
            <v>14.6</v>
          </cell>
          <cell r="BV98">
            <v>7.9113070016142082</v>
          </cell>
          <cell r="BW98">
            <v>9.8891337520177593</v>
          </cell>
          <cell r="BX98">
            <v>11.866960502421312</v>
          </cell>
          <cell r="BY98">
            <v>13.844787252824865</v>
          </cell>
          <cell r="BZ98">
            <v>12.855873877623088</v>
          </cell>
          <cell r="CA98">
            <v>0.98891337520177602</v>
          </cell>
          <cell r="CC98">
            <v>14.6</v>
          </cell>
          <cell r="CD98">
            <v>6.7484409680185591</v>
          </cell>
          <cell r="CE98">
            <v>10.122661452027838</v>
          </cell>
          <cell r="CF98">
            <v>13.496881936037118</v>
          </cell>
          <cell r="CG98">
            <v>16.871102420046398</v>
          </cell>
          <cell r="CH98">
            <v>20.245322904055676</v>
          </cell>
          <cell r="CI98">
            <v>6.7484409680185591</v>
          </cell>
        </row>
        <row r="99">
          <cell r="A99">
            <v>38352</v>
          </cell>
          <cell r="B99">
            <v>108</v>
          </cell>
          <cell r="C99">
            <v>59.441364159430904</v>
          </cell>
          <cell r="D99">
            <v>71.329636991317074</v>
          </cell>
          <cell r="E99">
            <v>83.217909823203257</v>
          </cell>
          <cell r="F99">
            <v>95.106182655089441</v>
          </cell>
          <cell r="G99">
            <v>106.99445548697562</v>
          </cell>
          <cell r="H99">
            <v>118.88272831886181</v>
          </cell>
          <cell r="I99">
            <v>89.162046239146349</v>
          </cell>
          <cell r="J99">
            <v>5.9441364159430901</v>
          </cell>
          <cell r="M99">
            <v>108</v>
          </cell>
          <cell r="N99">
            <v>61.83178156710953</v>
          </cell>
          <cell r="O99">
            <v>74.198137880531448</v>
          </cell>
          <cell r="P99">
            <v>86.564494193953351</v>
          </cell>
          <cell r="Q99">
            <v>98.930850507375254</v>
          </cell>
          <cell r="R99">
            <v>111.29720682079716</v>
          </cell>
          <cell r="S99">
            <v>123.66356313421906</v>
          </cell>
          <cell r="T99">
            <v>92.747672350664303</v>
          </cell>
          <cell r="U99">
            <v>6.1831781567109534</v>
          </cell>
          <cell r="W99">
            <v>108</v>
          </cell>
          <cell r="X99">
            <v>39.016633539073126</v>
          </cell>
          <cell r="Y99">
            <v>58.524950308609689</v>
          </cell>
          <cell r="Z99">
            <v>78.033267078146253</v>
          </cell>
          <cell r="AA99">
            <v>97.541583847682816</v>
          </cell>
          <cell r="AB99">
            <v>117.04990061721938</v>
          </cell>
          <cell r="AC99">
            <v>19.508316769536563</v>
          </cell>
          <cell r="AF99">
            <v>24.15</v>
          </cell>
          <cell r="AG99">
            <v>17.205093833780161</v>
          </cell>
          <cell r="AH99">
            <v>20.646112600536192</v>
          </cell>
          <cell r="AI99">
            <v>24.087131367292226</v>
          </cell>
          <cell r="AJ99">
            <v>27.528150134048257</v>
          </cell>
          <cell r="AK99">
            <v>30.969168900804288</v>
          </cell>
          <cell r="AL99">
            <v>34.410187667560322</v>
          </cell>
          <cell r="AM99">
            <v>25.807640750670242</v>
          </cell>
          <cell r="AN99">
            <v>1.7205093833780161</v>
          </cell>
          <cell r="AQ99">
            <v>24.15</v>
          </cell>
          <cell r="AR99">
            <v>9.2995978552278817</v>
          </cell>
          <cell r="AS99">
            <v>13.019436997319035</v>
          </cell>
          <cell r="AT99">
            <v>16.739276139410187</v>
          </cell>
          <cell r="AU99">
            <v>20.45911528150134</v>
          </cell>
          <cell r="AV99">
            <v>24.178954423592494</v>
          </cell>
          <cell r="AW99">
            <v>27.898793565683647</v>
          </cell>
          <cell r="AX99">
            <v>18.599195710455763</v>
          </cell>
          <cell r="AY99">
            <v>1.8599195710455765</v>
          </cell>
          <cell r="BA99">
            <v>24.15</v>
          </cell>
          <cell r="BB99">
            <v>14.539544235924932</v>
          </cell>
          <cell r="BC99">
            <v>21.809316353887397</v>
          </cell>
          <cell r="BD99">
            <v>29.079088471849865</v>
          </cell>
          <cell r="BE99">
            <v>36.348860589812332</v>
          </cell>
          <cell r="BF99">
            <v>43.618632707774793</v>
          </cell>
          <cell r="BG99">
            <v>14.539544235924932</v>
          </cell>
          <cell r="BJ99">
            <v>14.85</v>
          </cell>
          <cell r="BK99">
            <v>11.312991828087167</v>
          </cell>
          <cell r="BL99">
            <v>13.575590193704599</v>
          </cell>
          <cell r="BM99">
            <v>15.838188559322033</v>
          </cell>
          <cell r="BN99">
            <v>18.100786924939467</v>
          </cell>
          <cell r="BO99">
            <v>20.363385290556899</v>
          </cell>
          <cell r="BP99">
            <v>22.625983656174334</v>
          </cell>
          <cell r="BQ99">
            <v>16.969487742130749</v>
          </cell>
          <cell r="BR99">
            <v>1.1312991828087167</v>
          </cell>
          <cell r="BU99">
            <v>14.85</v>
          </cell>
          <cell r="BV99">
            <v>7.8329297820823252</v>
          </cell>
          <cell r="BW99">
            <v>9.7911622276029071</v>
          </cell>
          <cell r="BX99">
            <v>11.749394673123488</v>
          </cell>
          <cell r="BY99">
            <v>13.707627118644069</v>
          </cell>
          <cell r="BZ99">
            <v>12.728510895883778</v>
          </cell>
          <cell r="CA99">
            <v>0.97911622276029064</v>
          </cell>
          <cell r="CC99">
            <v>14.85</v>
          </cell>
          <cell r="CD99">
            <v>6.8437878329297819</v>
          </cell>
          <cell r="CE99">
            <v>10.265681749394673</v>
          </cell>
          <cell r="CF99">
            <v>13.687575665859564</v>
          </cell>
          <cell r="CG99">
            <v>17.109469582324454</v>
          </cell>
          <cell r="CH99">
            <v>20.531363498789347</v>
          </cell>
          <cell r="CI99">
            <v>6.8437878329297819</v>
          </cell>
        </row>
        <row r="100">
          <cell r="A100">
            <v>38383</v>
          </cell>
          <cell r="B100">
            <v>105.5</v>
          </cell>
          <cell r="C100">
            <v>59.431774592879307</v>
          </cell>
          <cell r="D100">
            <v>71.318129511455169</v>
          </cell>
          <cell r="E100">
            <v>83.20448443003103</v>
          </cell>
          <cell r="F100">
            <v>95.090839348606892</v>
          </cell>
          <cell r="G100">
            <v>106.97719426718275</v>
          </cell>
          <cell r="H100">
            <v>118.86354918575861</v>
          </cell>
          <cell r="I100">
            <v>89.147661889318954</v>
          </cell>
          <cell r="J100">
            <v>5.9431774592879307</v>
          </cell>
          <cell r="M100">
            <v>105.5</v>
          </cell>
          <cell r="N100">
            <v>61.772936499633857</v>
          </cell>
          <cell r="O100">
            <v>74.127523799560635</v>
          </cell>
          <cell r="P100">
            <v>86.482111099487398</v>
          </cell>
          <cell r="Q100">
            <v>98.836698399414175</v>
          </cell>
          <cell r="R100">
            <v>111.19128569934095</v>
          </cell>
          <cell r="S100">
            <v>123.54587299926771</v>
          </cell>
          <cell r="T100">
            <v>92.659404749450786</v>
          </cell>
          <cell r="U100">
            <v>6.1772936499633859</v>
          </cell>
          <cell r="W100">
            <v>105.5</v>
          </cell>
          <cell r="X100">
            <v>39.159779614325068</v>
          </cell>
          <cell r="Y100">
            <v>58.739669421487605</v>
          </cell>
          <cell r="Z100">
            <v>78.319559228650135</v>
          </cell>
          <cell r="AA100">
            <v>97.899449035812665</v>
          </cell>
          <cell r="AB100">
            <v>117.47933884297521</v>
          </cell>
          <cell r="AC100">
            <v>19.579889807162534</v>
          </cell>
          <cell r="AF100">
            <v>23.25</v>
          </cell>
          <cell r="AG100">
            <v>17.28734042930952</v>
          </cell>
          <cell r="AH100">
            <v>20.744808515171421</v>
          </cell>
          <cell r="AI100">
            <v>24.202276601033326</v>
          </cell>
          <cell r="AJ100">
            <v>27.65974468689523</v>
          </cell>
          <cell r="AK100">
            <v>31.117212772757135</v>
          </cell>
          <cell r="AL100">
            <v>34.57468085861904</v>
          </cell>
          <cell r="AM100">
            <v>25.931010643964278</v>
          </cell>
          <cell r="AN100">
            <v>1.7287340429309519</v>
          </cell>
          <cell r="AQ100">
            <v>23.25</v>
          </cell>
          <cell r="AR100">
            <v>9.3425121619942111</v>
          </cell>
          <cell r="AS100">
            <v>13.079517026791898</v>
          </cell>
          <cell r="AT100">
            <v>16.816521891589581</v>
          </cell>
          <cell r="AU100">
            <v>20.553526756387267</v>
          </cell>
          <cell r="AV100">
            <v>24.29053162118495</v>
          </cell>
          <cell r="AW100">
            <v>28.027536485982637</v>
          </cell>
          <cell r="AX100">
            <v>18.685024323988422</v>
          </cell>
          <cell r="AY100">
            <v>1.8685024323988424</v>
          </cell>
          <cell r="BA100">
            <v>23.25</v>
          </cell>
          <cell r="BB100">
            <v>14.66362195136386</v>
          </cell>
          <cell r="BC100">
            <v>21.99543292704579</v>
          </cell>
          <cell r="BD100">
            <v>29.327243902727719</v>
          </cell>
          <cell r="BE100">
            <v>36.659054878409648</v>
          </cell>
          <cell r="BF100">
            <v>43.990865854091581</v>
          </cell>
          <cell r="BG100">
            <v>14.66362195136386</v>
          </cell>
          <cell r="BJ100">
            <v>14.35</v>
          </cell>
          <cell r="BK100">
            <v>11.433820747578691</v>
          </cell>
          <cell r="BL100">
            <v>13.72058489709443</v>
          </cell>
          <cell r="BM100">
            <v>16.007349046610166</v>
          </cell>
          <cell r="BN100">
            <v>18.294113196125906</v>
          </cell>
          <cell r="BO100">
            <v>20.580877345641646</v>
          </cell>
          <cell r="BP100">
            <v>22.867641495157383</v>
          </cell>
          <cell r="BQ100">
            <v>17.150731121368036</v>
          </cell>
          <cell r="BR100">
            <v>1.1433820747578691</v>
          </cell>
          <cell r="BU100">
            <v>14.35</v>
          </cell>
          <cell r="BV100">
            <v>7.9473113397901542</v>
          </cell>
          <cell r="BW100">
            <v>9.9341391747376928</v>
          </cell>
          <cell r="BX100">
            <v>11.920967009685231</v>
          </cell>
          <cell r="BY100">
            <v>13.90779484463277</v>
          </cell>
          <cell r="BZ100">
            <v>12.914380927159002</v>
          </cell>
          <cell r="CA100">
            <v>0.99341391747376928</v>
          </cell>
          <cell r="CC100">
            <v>14.35</v>
          </cell>
          <cell r="CD100">
            <v>6.8995677587772395</v>
          </cell>
          <cell r="CE100">
            <v>10.34935163816586</v>
          </cell>
          <cell r="CF100">
            <v>13.799135517554479</v>
          </cell>
          <cell r="CG100">
            <v>17.248919396943098</v>
          </cell>
          <cell r="CH100">
            <v>20.69870327633172</v>
          </cell>
          <cell r="CI100">
            <v>6.8995677587772395</v>
          </cell>
        </row>
        <row r="101">
          <cell r="A101">
            <v>38411</v>
          </cell>
          <cell r="B101">
            <v>106.5</v>
          </cell>
          <cell r="C101">
            <v>59.42218502632771</v>
          </cell>
          <cell r="D101">
            <v>71.306622031593264</v>
          </cell>
          <cell r="E101">
            <v>83.191059036858803</v>
          </cell>
          <cell r="F101">
            <v>95.075496042124342</v>
          </cell>
          <cell r="G101">
            <v>106.95993304738988</v>
          </cell>
          <cell r="H101">
            <v>118.84437005265542</v>
          </cell>
          <cell r="I101">
            <v>89.133277539491573</v>
          </cell>
          <cell r="J101">
            <v>5.9422185026327714</v>
          </cell>
          <cell r="M101">
            <v>106.5</v>
          </cell>
          <cell r="N101">
            <v>61.714091432158185</v>
          </cell>
          <cell r="O101">
            <v>74.056909718589822</v>
          </cell>
          <cell r="P101">
            <v>86.399728005021458</v>
          </cell>
          <cell r="Q101">
            <v>98.742546291453095</v>
          </cell>
          <cell r="R101">
            <v>111.08536457788473</v>
          </cell>
          <cell r="S101">
            <v>123.42818286431637</v>
          </cell>
          <cell r="T101">
            <v>92.571137148237284</v>
          </cell>
          <cell r="U101">
            <v>6.1714091432158185</v>
          </cell>
          <cell r="W101">
            <v>106.5</v>
          </cell>
          <cell r="X101">
            <v>39.302925689577009</v>
          </cell>
          <cell r="Y101">
            <v>58.954388534365513</v>
          </cell>
          <cell r="Z101">
            <v>78.605851379154018</v>
          </cell>
          <cell r="AA101">
            <v>98.257314223942529</v>
          </cell>
          <cell r="AB101">
            <v>117.90877706873103</v>
          </cell>
          <cell r="AC101">
            <v>19.651462844788504</v>
          </cell>
          <cell r="AF101">
            <v>23.75</v>
          </cell>
          <cell r="AG101">
            <v>17.369587024838879</v>
          </cell>
          <cell r="AH101">
            <v>20.843504429806654</v>
          </cell>
          <cell r="AI101">
            <v>24.317421834774429</v>
          </cell>
          <cell r="AJ101">
            <v>27.791339239742204</v>
          </cell>
          <cell r="AK101">
            <v>31.265256644709979</v>
          </cell>
          <cell r="AL101">
            <v>34.739174049677757</v>
          </cell>
          <cell r="AM101">
            <v>26.054380537258314</v>
          </cell>
          <cell r="AN101">
            <v>1.7369587024838877</v>
          </cell>
          <cell r="AQ101">
            <v>23.75</v>
          </cell>
          <cell r="AR101">
            <v>9.3854264687605422</v>
          </cell>
          <cell r="AS101">
            <v>13.139597056264758</v>
          </cell>
          <cell r="AT101">
            <v>16.893767643768975</v>
          </cell>
          <cell r="AU101">
            <v>20.647938231273191</v>
          </cell>
          <cell r="AV101">
            <v>24.402108818777407</v>
          </cell>
          <cell r="AW101">
            <v>28.156279406281623</v>
          </cell>
          <cell r="AX101">
            <v>18.770852937521084</v>
          </cell>
          <cell r="AY101">
            <v>1.8770852937521083</v>
          </cell>
          <cell r="BA101">
            <v>23.75</v>
          </cell>
          <cell r="BB101">
            <v>14.787699666802787</v>
          </cell>
          <cell r="BC101">
            <v>22.181549500204181</v>
          </cell>
          <cell r="BD101">
            <v>29.575399333605574</v>
          </cell>
          <cell r="BE101">
            <v>36.969249167006964</v>
          </cell>
          <cell r="BF101">
            <v>44.363099000408361</v>
          </cell>
          <cell r="BG101">
            <v>14.787699666802787</v>
          </cell>
          <cell r="BJ101">
            <v>14.85</v>
          </cell>
          <cell r="BK101">
            <v>11.554649667070215</v>
          </cell>
          <cell r="BL101">
            <v>13.86557960048426</v>
          </cell>
          <cell r="BM101">
            <v>16.176509533898301</v>
          </cell>
          <cell r="BN101">
            <v>18.487439467312345</v>
          </cell>
          <cell r="BO101">
            <v>20.79836940072639</v>
          </cell>
          <cell r="BP101">
            <v>23.109299334140431</v>
          </cell>
          <cell r="BQ101">
            <v>17.331974500605323</v>
          </cell>
          <cell r="BR101">
            <v>1.1554649667070216</v>
          </cell>
          <cell r="BU101">
            <v>14.85</v>
          </cell>
          <cell r="BV101">
            <v>8.0616928974979825</v>
          </cell>
          <cell r="BW101">
            <v>10.077116121872479</v>
          </cell>
          <cell r="BX101">
            <v>12.092539346246973</v>
          </cell>
          <cell r="BY101">
            <v>14.107962570621469</v>
          </cell>
          <cell r="BZ101">
            <v>13.100250958434222</v>
          </cell>
          <cell r="CA101">
            <v>1.0077116121872478</v>
          </cell>
          <cell r="CC101">
            <v>14.85</v>
          </cell>
          <cell r="CD101">
            <v>6.9553476846246971</v>
          </cell>
          <cell r="CE101">
            <v>10.433021526937045</v>
          </cell>
          <cell r="CF101">
            <v>13.910695369249394</v>
          </cell>
          <cell r="CG101">
            <v>17.388369211561741</v>
          </cell>
          <cell r="CH101">
            <v>20.86604305387409</v>
          </cell>
          <cell r="CI101">
            <v>6.9553476846246971</v>
          </cell>
        </row>
        <row r="102">
          <cell r="A102">
            <v>38442</v>
          </cell>
          <cell r="B102">
            <v>103.5</v>
          </cell>
          <cell r="C102">
            <v>59.412595459776121</v>
          </cell>
          <cell r="D102">
            <v>71.295114551731345</v>
          </cell>
          <cell r="E102">
            <v>83.177633643686562</v>
          </cell>
          <cell r="F102">
            <v>95.060152735641793</v>
          </cell>
          <cell r="G102">
            <v>106.94267182759702</v>
          </cell>
          <cell r="H102">
            <v>118.82519091955224</v>
          </cell>
          <cell r="I102">
            <v>89.118893189664178</v>
          </cell>
          <cell r="J102">
            <v>5.9412595459776121</v>
          </cell>
          <cell r="M102">
            <v>103.5</v>
          </cell>
          <cell r="N102">
            <v>61.655246364682512</v>
          </cell>
          <cell r="O102">
            <v>73.986295637619008</v>
          </cell>
          <cell r="P102">
            <v>86.317344910555519</v>
          </cell>
          <cell r="Q102">
            <v>98.648394183492016</v>
          </cell>
          <cell r="R102">
            <v>110.97944345642851</v>
          </cell>
          <cell r="S102">
            <v>123.31049272936502</v>
          </cell>
          <cell r="T102">
            <v>92.482869547023768</v>
          </cell>
          <cell r="U102">
            <v>6.165524636468251</v>
          </cell>
          <cell r="W102">
            <v>103.5</v>
          </cell>
          <cell r="X102">
            <v>39.44607176482895</v>
          </cell>
          <cell r="Y102">
            <v>59.169107647243422</v>
          </cell>
          <cell r="Z102">
            <v>78.892143529657901</v>
          </cell>
          <cell r="AA102">
            <v>98.615179412072379</v>
          </cell>
          <cell r="AB102">
            <v>118.33821529448684</v>
          </cell>
          <cell r="AC102">
            <v>19.723035882414475</v>
          </cell>
          <cell r="AF102">
            <v>22.45</v>
          </cell>
          <cell r="AG102">
            <v>17.451833620368234</v>
          </cell>
          <cell r="AH102">
            <v>20.942200344441883</v>
          </cell>
          <cell r="AI102">
            <v>24.432567068515532</v>
          </cell>
          <cell r="AJ102">
            <v>27.922933792589177</v>
          </cell>
          <cell r="AK102">
            <v>31.413300516662822</v>
          </cell>
          <cell r="AL102">
            <v>34.903667240736468</v>
          </cell>
          <cell r="AM102">
            <v>26.177750430552354</v>
          </cell>
          <cell r="AN102">
            <v>1.7451833620368236</v>
          </cell>
          <cell r="AQ102">
            <v>22.45</v>
          </cell>
          <cell r="AR102">
            <v>9.4283407755268716</v>
          </cell>
          <cell r="AS102">
            <v>13.199677085737619</v>
          </cell>
          <cell r="AT102">
            <v>16.971013395948368</v>
          </cell>
          <cell r="AU102">
            <v>20.742349706159118</v>
          </cell>
          <cell r="AV102">
            <v>24.513686016369864</v>
          </cell>
          <cell r="AW102">
            <v>28.285022326580613</v>
          </cell>
          <cell r="AX102">
            <v>18.856681551053743</v>
          </cell>
          <cell r="AY102">
            <v>1.8856681551053742</v>
          </cell>
          <cell r="BA102">
            <v>22.45</v>
          </cell>
          <cell r="BB102">
            <v>14.911777382241715</v>
          </cell>
          <cell r="BC102">
            <v>22.367666073362571</v>
          </cell>
          <cell r="BD102">
            <v>29.823554764483429</v>
          </cell>
          <cell r="BE102">
            <v>37.279443455604287</v>
          </cell>
          <cell r="BF102">
            <v>44.735332146725142</v>
          </cell>
          <cell r="BG102">
            <v>14.911777382241715</v>
          </cell>
          <cell r="BJ102">
            <v>14.35</v>
          </cell>
          <cell r="BK102">
            <v>11.675478586561741</v>
          </cell>
          <cell r="BL102">
            <v>14.010574303874089</v>
          </cell>
          <cell r="BM102">
            <v>16.345670021186436</v>
          </cell>
          <cell r="BN102">
            <v>18.680765738498785</v>
          </cell>
          <cell r="BO102">
            <v>21.015861455811134</v>
          </cell>
          <cell r="BP102">
            <v>23.350957173123483</v>
          </cell>
          <cell r="BQ102">
            <v>17.51321787984261</v>
          </cell>
          <cell r="BR102">
            <v>1.1675478586561741</v>
          </cell>
          <cell r="BU102">
            <v>14.35</v>
          </cell>
          <cell r="BV102">
            <v>8.1760744552058107</v>
          </cell>
          <cell r="BW102">
            <v>10.220093069007262</v>
          </cell>
          <cell r="BX102">
            <v>12.264111682808716</v>
          </cell>
          <cell r="BY102">
            <v>14.30813029661017</v>
          </cell>
          <cell r="BZ102">
            <v>13.286120989709442</v>
          </cell>
          <cell r="CA102">
            <v>1.0220093069007263</v>
          </cell>
          <cell r="CC102">
            <v>14.35</v>
          </cell>
          <cell r="CD102">
            <v>7.0111276104721547</v>
          </cell>
          <cell r="CE102">
            <v>10.516691415708232</v>
          </cell>
          <cell r="CF102">
            <v>14.022255220944309</v>
          </cell>
          <cell r="CG102">
            <v>17.527819026180389</v>
          </cell>
          <cell r="CH102">
            <v>21.033382831416464</v>
          </cell>
          <cell r="CI102">
            <v>7.0111276104721547</v>
          </cell>
        </row>
        <row r="103">
          <cell r="A103">
            <v>38472</v>
          </cell>
          <cell r="B103">
            <v>106.5</v>
          </cell>
          <cell r="C103">
            <v>59.403005893224531</v>
          </cell>
          <cell r="D103">
            <v>71.283607071869426</v>
          </cell>
          <cell r="E103">
            <v>83.164208250514335</v>
          </cell>
          <cell r="F103">
            <v>95.044809429159244</v>
          </cell>
          <cell r="G103">
            <v>106.92541060780415</v>
          </cell>
          <cell r="H103">
            <v>118.80601178644906</v>
          </cell>
          <cell r="I103">
            <v>89.104508839836797</v>
          </cell>
          <cell r="J103">
            <v>5.9403005893224528</v>
          </cell>
          <cell r="M103">
            <v>106.5</v>
          </cell>
          <cell r="N103">
            <v>61.596401297206839</v>
          </cell>
          <cell r="O103">
            <v>73.915681556648195</v>
          </cell>
          <cell r="P103">
            <v>86.234961816089566</v>
          </cell>
          <cell r="Q103">
            <v>98.554242075530937</v>
          </cell>
          <cell r="R103">
            <v>110.87352233497231</v>
          </cell>
          <cell r="S103">
            <v>123.19280259441368</v>
          </cell>
          <cell r="T103">
            <v>92.394601945810251</v>
          </cell>
          <cell r="U103">
            <v>6.1596401297206835</v>
          </cell>
          <cell r="W103">
            <v>106.5</v>
          </cell>
          <cell r="X103">
            <v>39.589217840080892</v>
          </cell>
          <cell r="Y103">
            <v>59.383826760121337</v>
          </cell>
          <cell r="Z103">
            <v>79.178435680161783</v>
          </cell>
          <cell r="AA103">
            <v>98.973044600202229</v>
          </cell>
          <cell r="AB103">
            <v>118.76765352024267</v>
          </cell>
          <cell r="AC103">
            <v>19.794608920040446</v>
          </cell>
          <cell r="AF103">
            <v>22.85</v>
          </cell>
          <cell r="AG103">
            <v>17.534080215897593</v>
          </cell>
          <cell r="AH103">
            <v>21.040896259077112</v>
          </cell>
          <cell r="AI103">
            <v>24.547712302256631</v>
          </cell>
          <cell r="AJ103">
            <v>28.05452834543615</v>
          </cell>
          <cell r="AK103">
            <v>31.561344388615669</v>
          </cell>
          <cell r="AL103">
            <v>35.068160431795185</v>
          </cell>
          <cell r="AM103">
            <v>26.301120323846391</v>
          </cell>
          <cell r="AN103">
            <v>1.7534080215897594</v>
          </cell>
          <cell r="AQ103">
            <v>22.85</v>
          </cell>
          <cell r="AR103">
            <v>9.4712550822932009</v>
          </cell>
          <cell r="AS103">
            <v>13.259757115210482</v>
          </cell>
          <cell r="AT103">
            <v>17.048259148127762</v>
          </cell>
          <cell r="AU103">
            <v>20.836761181045041</v>
          </cell>
          <cell r="AV103">
            <v>24.62526321396232</v>
          </cell>
          <cell r="AW103">
            <v>28.413765246879603</v>
          </cell>
          <cell r="AX103">
            <v>18.942510164586402</v>
          </cell>
          <cell r="AY103">
            <v>1.8942510164586401</v>
          </cell>
          <cell r="BA103">
            <v>22.85</v>
          </cell>
          <cell r="BB103">
            <v>15.035855097680642</v>
          </cell>
          <cell r="BC103">
            <v>22.553782646520965</v>
          </cell>
          <cell r="BD103">
            <v>30.071710195361284</v>
          </cell>
          <cell r="BE103">
            <v>37.589637744201603</v>
          </cell>
          <cell r="BF103">
            <v>45.10756529304193</v>
          </cell>
          <cell r="BG103">
            <v>15.035855097680642</v>
          </cell>
          <cell r="BJ103">
            <v>14.75</v>
          </cell>
          <cell r="BK103">
            <v>11.796307506053266</v>
          </cell>
          <cell r="BL103">
            <v>14.155569007263917</v>
          </cell>
          <cell r="BM103">
            <v>16.514830508474571</v>
          </cell>
          <cell r="BN103">
            <v>18.874092009685224</v>
          </cell>
          <cell r="BO103">
            <v>21.233353510895878</v>
          </cell>
          <cell r="BP103">
            <v>23.592615012106531</v>
          </cell>
          <cell r="BQ103">
            <v>17.694461259079898</v>
          </cell>
          <cell r="BR103">
            <v>1.1796307506053265</v>
          </cell>
          <cell r="BU103">
            <v>14.75</v>
          </cell>
          <cell r="BV103">
            <v>8.2904560129136389</v>
          </cell>
          <cell r="BW103">
            <v>10.363070016142048</v>
          </cell>
          <cell r="BX103">
            <v>12.435684019370459</v>
          </cell>
          <cell r="BY103">
            <v>14.508298022598868</v>
          </cell>
          <cell r="BZ103">
            <v>13.471991020984664</v>
          </cell>
          <cell r="CA103">
            <v>1.0363070016142049</v>
          </cell>
          <cell r="CC103">
            <v>14.75</v>
          </cell>
          <cell r="CD103">
            <v>7.0669075363196123</v>
          </cell>
          <cell r="CE103">
            <v>10.600361304479419</v>
          </cell>
          <cell r="CF103">
            <v>14.133815072639225</v>
          </cell>
          <cell r="CG103">
            <v>17.667268840799032</v>
          </cell>
          <cell r="CH103">
            <v>21.200722608958838</v>
          </cell>
          <cell r="CI103">
            <v>7.0669075363196123</v>
          </cell>
        </row>
        <row r="104">
          <cell r="A104">
            <v>38503</v>
          </cell>
          <cell r="B104">
            <v>104.5</v>
          </cell>
          <cell r="C104">
            <v>59.393416326672934</v>
          </cell>
          <cell r="D104">
            <v>71.272099592007521</v>
          </cell>
          <cell r="E104">
            <v>83.150782857342108</v>
          </cell>
          <cell r="F104">
            <v>95.029466122676695</v>
          </cell>
          <cell r="G104">
            <v>106.90814938801128</v>
          </cell>
          <cell r="H104">
            <v>118.78683265334587</v>
          </cell>
          <cell r="I104">
            <v>89.090124490009401</v>
          </cell>
          <cell r="J104">
            <v>5.9393416326672934</v>
          </cell>
          <cell r="M104">
            <v>104.5</v>
          </cell>
          <cell r="N104">
            <v>61.537556229731159</v>
          </cell>
          <cell r="O104">
            <v>73.845067475677396</v>
          </cell>
          <cell r="P104">
            <v>86.152578721623627</v>
          </cell>
          <cell r="Q104">
            <v>98.460089967569857</v>
          </cell>
          <cell r="R104">
            <v>110.76760121351609</v>
          </cell>
          <cell r="S104">
            <v>123.07511245946232</v>
          </cell>
          <cell r="T104">
            <v>92.306334344596735</v>
          </cell>
          <cell r="U104">
            <v>6.1537556229731161</v>
          </cell>
          <cell r="W104">
            <v>104.5</v>
          </cell>
          <cell r="X104">
            <v>39.732363915332833</v>
          </cell>
          <cell r="Y104">
            <v>59.598545872999253</v>
          </cell>
          <cell r="Z104">
            <v>79.464727830665666</v>
          </cell>
          <cell r="AA104">
            <v>99.330909788332079</v>
          </cell>
          <cell r="AB104">
            <v>119.19709174599851</v>
          </cell>
          <cell r="AC104">
            <v>19.866181957666416</v>
          </cell>
          <cell r="AF104">
            <v>22.9</v>
          </cell>
          <cell r="AG104">
            <v>17.616326811426951</v>
          </cell>
          <cell r="AH104">
            <v>21.139592173712344</v>
          </cell>
          <cell r="AI104">
            <v>24.662857535997734</v>
          </cell>
          <cell r="AJ104">
            <v>28.186122898283124</v>
          </cell>
          <cell r="AK104">
            <v>31.709388260568513</v>
          </cell>
          <cell r="AL104">
            <v>35.232653622853903</v>
          </cell>
          <cell r="AM104">
            <v>26.424490217140427</v>
          </cell>
          <cell r="AN104">
            <v>1.7616326811426952</v>
          </cell>
          <cell r="AQ104">
            <v>22.9</v>
          </cell>
          <cell r="AR104">
            <v>9.5141693890595302</v>
          </cell>
          <cell r="AS104">
            <v>13.319837144683342</v>
          </cell>
          <cell r="AT104">
            <v>17.125504900307156</v>
          </cell>
          <cell r="AU104">
            <v>20.931172655930965</v>
          </cell>
          <cell r="AV104">
            <v>24.73684041155478</v>
          </cell>
          <cell r="AW104">
            <v>28.542508167178589</v>
          </cell>
          <cell r="AX104">
            <v>19.02833877811906</v>
          </cell>
          <cell r="AY104">
            <v>1.902833877811906</v>
          </cell>
          <cell r="BA104">
            <v>22.9</v>
          </cell>
          <cell r="BB104">
            <v>15.159932813119569</v>
          </cell>
          <cell r="BC104">
            <v>22.739899219679355</v>
          </cell>
          <cell r="BD104">
            <v>30.319865626239139</v>
          </cell>
          <cell r="BE104">
            <v>37.899832032798926</v>
          </cell>
          <cell r="BF104">
            <v>45.47979843935871</v>
          </cell>
          <cell r="BG104">
            <v>15.159932813119569</v>
          </cell>
          <cell r="BJ104">
            <v>14.4</v>
          </cell>
          <cell r="BK104">
            <v>11.91713642554479</v>
          </cell>
          <cell r="BL104">
            <v>14.300563710653748</v>
          </cell>
          <cell r="BM104">
            <v>16.683990995762706</v>
          </cell>
          <cell r="BN104">
            <v>19.067418280871664</v>
          </cell>
          <cell r="BO104">
            <v>21.450845565980622</v>
          </cell>
          <cell r="BP104">
            <v>23.83427285108958</v>
          </cell>
          <cell r="BQ104">
            <v>17.875704638317185</v>
          </cell>
          <cell r="BR104">
            <v>1.191713642554479</v>
          </cell>
          <cell r="BU104">
            <v>14.4</v>
          </cell>
          <cell r="BV104">
            <v>8.4048375706214671</v>
          </cell>
          <cell r="BW104">
            <v>10.506046963276834</v>
          </cell>
          <cell r="BX104">
            <v>12.607256355932201</v>
          </cell>
          <cell r="BY104">
            <v>14.708465748587567</v>
          </cell>
          <cell r="BZ104">
            <v>13.657861052259884</v>
          </cell>
          <cell r="CA104">
            <v>1.0506046963276834</v>
          </cell>
          <cell r="CC104">
            <v>14.4</v>
          </cell>
          <cell r="CD104">
            <v>7.1226874621670699</v>
          </cell>
          <cell r="CE104">
            <v>10.684031193250604</v>
          </cell>
          <cell r="CF104">
            <v>14.24537492433414</v>
          </cell>
          <cell r="CG104">
            <v>17.806718655417676</v>
          </cell>
          <cell r="CH104">
            <v>21.368062386501208</v>
          </cell>
          <cell r="CI104">
            <v>7.1226874621670699</v>
          </cell>
        </row>
        <row r="105">
          <cell r="A105">
            <v>38533</v>
          </cell>
          <cell r="B105">
            <v>106</v>
          </cell>
          <cell r="C105">
            <v>59.383826760121337</v>
          </cell>
          <cell r="D105">
            <v>71.260592112145616</v>
          </cell>
          <cell r="E105">
            <v>83.137357464169881</v>
          </cell>
          <cell r="F105">
            <v>95.014122816194146</v>
          </cell>
          <cell r="G105">
            <v>106.89088816821841</v>
          </cell>
          <cell r="H105">
            <v>118.76765352024267</v>
          </cell>
          <cell r="I105">
            <v>89.075740140182006</v>
          </cell>
          <cell r="J105">
            <v>5.9383826760121341</v>
          </cell>
          <cell r="M105">
            <v>106</v>
          </cell>
          <cell r="N105">
            <v>61.478711162255486</v>
          </cell>
          <cell r="O105">
            <v>73.774453394706583</v>
          </cell>
          <cell r="P105">
            <v>86.070195627157688</v>
          </cell>
          <cell r="Q105">
            <v>98.365937859608778</v>
          </cell>
          <cell r="R105">
            <v>110.66168009205987</v>
          </cell>
          <cell r="S105">
            <v>122.95742232451097</v>
          </cell>
          <cell r="T105">
            <v>92.218066743383233</v>
          </cell>
          <cell r="U105">
            <v>6.1478711162255486</v>
          </cell>
          <cell r="W105">
            <v>106</v>
          </cell>
          <cell r="X105">
            <v>39.875509990584774</v>
          </cell>
          <cell r="Y105">
            <v>59.813264985877161</v>
          </cell>
          <cell r="Z105">
            <v>79.751019981169549</v>
          </cell>
          <cell r="AA105">
            <v>99.688774976461929</v>
          </cell>
          <cell r="AB105">
            <v>119.62652997175432</v>
          </cell>
          <cell r="AC105">
            <v>19.937754995292387</v>
          </cell>
          <cell r="AF105">
            <v>22.95</v>
          </cell>
          <cell r="AG105">
            <v>17.69857340695631</v>
          </cell>
          <cell r="AH105">
            <v>21.238288088347574</v>
          </cell>
          <cell r="AI105">
            <v>24.778002769738833</v>
          </cell>
          <cell r="AJ105">
            <v>28.317717451130097</v>
          </cell>
          <cell r="AK105">
            <v>31.85743213252136</v>
          </cell>
          <cell r="AL105">
            <v>35.39714681391262</v>
          </cell>
          <cell r="AM105">
            <v>26.547860110434467</v>
          </cell>
          <cell r="AN105">
            <v>1.7698573406956311</v>
          </cell>
          <cell r="AQ105">
            <v>22.95</v>
          </cell>
          <cell r="AR105">
            <v>9.5570836958258596</v>
          </cell>
          <cell r="AS105">
            <v>13.379917174156203</v>
          </cell>
          <cell r="AT105">
            <v>17.202750652486547</v>
          </cell>
          <cell r="AU105">
            <v>21.025584130816892</v>
          </cell>
          <cell r="AV105">
            <v>24.848417609147237</v>
          </cell>
          <cell r="AW105">
            <v>28.671251087477579</v>
          </cell>
          <cell r="AX105">
            <v>19.114167391651719</v>
          </cell>
          <cell r="AY105">
            <v>1.911416739165172</v>
          </cell>
          <cell r="BA105">
            <v>22.95</v>
          </cell>
          <cell r="BB105">
            <v>15.284010528558497</v>
          </cell>
          <cell r="BC105">
            <v>22.926015792837745</v>
          </cell>
          <cell r="BD105">
            <v>30.568021057116994</v>
          </cell>
          <cell r="BE105">
            <v>38.210026321396242</v>
          </cell>
          <cell r="BF105">
            <v>45.852031585675491</v>
          </cell>
          <cell r="BG105">
            <v>15.284010528558497</v>
          </cell>
          <cell r="BJ105">
            <v>14.7</v>
          </cell>
          <cell r="BK105">
            <v>12.037965345036314</v>
          </cell>
          <cell r="BL105">
            <v>14.445558414043578</v>
          </cell>
          <cell r="BM105">
            <v>16.853151483050841</v>
          </cell>
          <cell r="BN105">
            <v>19.260744552058103</v>
          </cell>
          <cell r="BO105">
            <v>21.668337621065366</v>
          </cell>
          <cell r="BP105">
            <v>24.075930690072628</v>
          </cell>
          <cell r="BQ105">
            <v>18.056948017554472</v>
          </cell>
          <cell r="BR105">
            <v>1.2037965345036314</v>
          </cell>
          <cell r="BU105">
            <v>14.7</v>
          </cell>
          <cell r="BV105">
            <v>8.5192191283292953</v>
          </cell>
          <cell r="BW105">
            <v>10.64902391041162</v>
          </cell>
          <cell r="BX105">
            <v>12.778828692493942</v>
          </cell>
          <cell r="BY105">
            <v>14.908633474576266</v>
          </cell>
          <cell r="BZ105">
            <v>13.843731083535104</v>
          </cell>
          <cell r="CA105">
            <v>1.0649023910411619</v>
          </cell>
          <cell r="CC105">
            <v>14.7</v>
          </cell>
          <cell r="CD105">
            <v>7.1784673880145276</v>
          </cell>
          <cell r="CE105">
            <v>10.767701082021791</v>
          </cell>
          <cell r="CF105">
            <v>14.356934776029055</v>
          </cell>
          <cell r="CG105">
            <v>17.946168470036319</v>
          </cell>
          <cell r="CH105">
            <v>21.535402164043582</v>
          </cell>
          <cell r="CI105">
            <v>7.1784673880145276</v>
          </cell>
        </row>
        <row r="106">
          <cell r="A106">
            <v>38564</v>
          </cell>
          <cell r="B106">
            <v>107.5</v>
          </cell>
          <cell r="C106">
            <v>59.374237193569748</v>
          </cell>
          <cell r="D106">
            <v>71.249084632283697</v>
          </cell>
          <cell r="E106">
            <v>83.123932070997654</v>
          </cell>
          <cell r="F106">
            <v>94.998779509711596</v>
          </cell>
          <cell r="G106">
            <v>106.87362694842554</v>
          </cell>
          <cell r="H106">
            <v>118.7484743871395</v>
          </cell>
          <cell r="I106">
            <v>89.061355790354625</v>
          </cell>
          <cell r="J106">
            <v>5.9374237193569748</v>
          </cell>
          <cell r="M106">
            <v>107.5</v>
          </cell>
          <cell r="N106">
            <v>61.419866094779813</v>
          </cell>
          <cell r="O106">
            <v>73.70383931373577</v>
          </cell>
          <cell r="P106">
            <v>85.987812532691734</v>
          </cell>
          <cell r="Q106">
            <v>98.271785751647698</v>
          </cell>
          <cell r="R106">
            <v>110.55575897060366</v>
          </cell>
          <cell r="S106">
            <v>122.83973218955963</v>
          </cell>
          <cell r="T106">
            <v>92.129799142169716</v>
          </cell>
          <cell r="U106">
            <v>6.1419866094779811</v>
          </cell>
          <cell r="W106">
            <v>107.5</v>
          </cell>
          <cell r="X106">
            <v>40.018656065836716</v>
          </cell>
          <cell r="Y106">
            <v>60.02798409875507</v>
          </cell>
          <cell r="Z106">
            <v>80.037312131673431</v>
          </cell>
          <cell r="AA106">
            <v>100.04664016459179</v>
          </cell>
          <cell r="AB106">
            <v>120.05596819751014</v>
          </cell>
          <cell r="AC106">
            <v>20.009328032918358</v>
          </cell>
          <cell r="AF106">
            <v>23.65</v>
          </cell>
          <cell r="AG106">
            <v>17.780820002485669</v>
          </cell>
          <cell r="AH106">
            <v>21.336984002982803</v>
          </cell>
          <cell r="AI106">
            <v>24.893148003479936</v>
          </cell>
          <cell r="AJ106">
            <v>28.44931200397707</v>
          </cell>
          <cell r="AK106">
            <v>32.005476004474204</v>
          </cell>
          <cell r="AL106">
            <v>35.561640004971338</v>
          </cell>
          <cell r="AM106">
            <v>26.671230003728503</v>
          </cell>
          <cell r="AN106">
            <v>1.7780820002485669</v>
          </cell>
          <cell r="AQ106">
            <v>23.65</v>
          </cell>
          <cell r="AR106">
            <v>9.5999980025921889</v>
          </cell>
          <cell r="AS106">
            <v>13.439997203629066</v>
          </cell>
          <cell r="AT106">
            <v>17.27999640466594</v>
          </cell>
          <cell r="AU106">
            <v>21.119995605702815</v>
          </cell>
          <cell r="AV106">
            <v>24.959994806739694</v>
          </cell>
          <cell r="AW106">
            <v>28.799994007776569</v>
          </cell>
          <cell r="AX106">
            <v>19.199996005184378</v>
          </cell>
          <cell r="AY106">
            <v>1.9199996005184379</v>
          </cell>
          <cell r="BA106">
            <v>23.65</v>
          </cell>
          <cell r="BB106">
            <v>15.408088243997424</v>
          </cell>
          <cell r="BC106">
            <v>23.112132365996136</v>
          </cell>
          <cell r="BD106">
            <v>30.816176487994849</v>
          </cell>
          <cell r="BE106">
            <v>38.520220609993558</v>
          </cell>
          <cell r="BF106">
            <v>46.224264731992271</v>
          </cell>
          <cell r="BG106">
            <v>15.408088243997424</v>
          </cell>
          <cell r="BJ106">
            <v>15.7</v>
          </cell>
          <cell r="BK106">
            <v>12.158794264527838</v>
          </cell>
          <cell r="BL106">
            <v>14.590553117433407</v>
          </cell>
          <cell r="BM106">
            <v>17.022311970338976</v>
          </cell>
          <cell r="BN106">
            <v>19.454070823244543</v>
          </cell>
          <cell r="BO106">
            <v>21.885829676150109</v>
          </cell>
          <cell r="BP106">
            <v>24.317588529055676</v>
          </cell>
          <cell r="BQ106">
            <v>18.238191396791759</v>
          </cell>
          <cell r="BR106">
            <v>1.2158794264527839</v>
          </cell>
          <cell r="BU106">
            <v>15.7</v>
          </cell>
          <cell r="BV106">
            <v>8.6336006860371235</v>
          </cell>
          <cell r="BW106">
            <v>10.792000857546405</v>
          </cell>
          <cell r="BX106">
            <v>12.950401029055685</v>
          </cell>
          <cell r="BY106">
            <v>15.108801200564965</v>
          </cell>
          <cell r="BZ106">
            <v>14.029601114810326</v>
          </cell>
          <cell r="CA106">
            <v>1.0792000857546404</v>
          </cell>
          <cell r="CC106">
            <v>15.7</v>
          </cell>
          <cell r="CD106">
            <v>7.2342473138619852</v>
          </cell>
          <cell r="CE106">
            <v>10.851370970792978</v>
          </cell>
          <cell r="CF106">
            <v>14.46849462772397</v>
          </cell>
          <cell r="CG106">
            <v>18.085618284654963</v>
          </cell>
          <cell r="CH106">
            <v>21.702741941585955</v>
          </cell>
          <cell r="CI106">
            <v>7.2342473138619852</v>
          </cell>
        </row>
        <row r="107">
          <cell r="A107">
            <v>38595</v>
          </cell>
          <cell r="B107">
            <v>105</v>
          </cell>
          <cell r="C107">
            <v>59.364647627018158</v>
          </cell>
          <cell r="D107">
            <v>71.237577152421778</v>
          </cell>
          <cell r="E107">
            <v>83.110506677825413</v>
          </cell>
          <cell r="F107">
            <v>94.983436203229047</v>
          </cell>
          <cell r="G107">
            <v>106.85636572863268</v>
          </cell>
          <cell r="H107">
            <v>118.72929525403632</v>
          </cell>
          <cell r="I107">
            <v>89.04697144052723</v>
          </cell>
          <cell r="J107">
            <v>5.9364647627018154</v>
          </cell>
          <cell r="M107">
            <v>105</v>
          </cell>
          <cell r="N107">
            <v>61.361021027304133</v>
          </cell>
          <cell r="O107">
            <v>73.633225232764971</v>
          </cell>
          <cell r="P107">
            <v>85.905429438225795</v>
          </cell>
          <cell r="Q107">
            <v>98.177633643686619</v>
          </cell>
          <cell r="R107">
            <v>110.44983784914744</v>
          </cell>
          <cell r="S107">
            <v>122.72204205460827</v>
          </cell>
          <cell r="T107">
            <v>92.0415315409562</v>
          </cell>
          <cell r="U107">
            <v>6.1361021027304137</v>
          </cell>
          <cell r="W107">
            <v>105</v>
          </cell>
          <cell r="X107">
            <v>40.161802141088657</v>
          </cell>
          <cell r="Y107">
            <v>60.242703211632985</v>
          </cell>
          <cell r="Z107">
            <v>80.323604282177314</v>
          </cell>
          <cell r="AA107">
            <v>100.40450535272164</v>
          </cell>
          <cell r="AB107">
            <v>120.48540642326597</v>
          </cell>
          <cell r="AC107">
            <v>20.080901070544328</v>
          </cell>
          <cell r="AF107">
            <v>22.7</v>
          </cell>
          <cell r="AG107">
            <v>17.863066598015028</v>
          </cell>
          <cell r="AH107">
            <v>21.435679917618032</v>
          </cell>
          <cell r="AI107">
            <v>25.008293237221039</v>
          </cell>
          <cell r="AJ107">
            <v>28.580906556824043</v>
          </cell>
          <cell r="AK107">
            <v>32.153519876427048</v>
          </cell>
          <cell r="AL107">
            <v>35.726133196030055</v>
          </cell>
          <cell r="AM107">
            <v>26.79459989702254</v>
          </cell>
          <cell r="AN107">
            <v>1.7863066598015027</v>
          </cell>
          <cell r="AQ107">
            <v>22.7</v>
          </cell>
          <cell r="AR107">
            <v>9.6429123093585183</v>
          </cell>
          <cell r="AS107">
            <v>13.500077233101926</v>
          </cell>
          <cell r="AT107">
            <v>17.357242156845334</v>
          </cell>
          <cell r="AU107">
            <v>21.214407080588742</v>
          </cell>
          <cell r="AV107">
            <v>25.07157200433215</v>
          </cell>
          <cell r="AW107">
            <v>28.928736928075558</v>
          </cell>
          <cell r="AX107">
            <v>19.285824618717037</v>
          </cell>
          <cell r="AY107">
            <v>1.9285824618717038</v>
          </cell>
          <cell r="BA107">
            <v>22.7</v>
          </cell>
          <cell r="BB107">
            <v>15.532165959436352</v>
          </cell>
          <cell r="BC107">
            <v>23.298248939154526</v>
          </cell>
          <cell r="BD107">
            <v>31.064331918872703</v>
          </cell>
          <cell r="BE107">
            <v>38.830414898590881</v>
          </cell>
          <cell r="BF107">
            <v>46.596497878309052</v>
          </cell>
          <cell r="BG107">
            <v>15.532165959436352</v>
          </cell>
          <cell r="BJ107">
            <v>15.65</v>
          </cell>
          <cell r="BK107">
            <v>12.279623184019364</v>
          </cell>
          <cell r="BL107">
            <v>14.735547820823236</v>
          </cell>
          <cell r="BM107">
            <v>17.191472457627111</v>
          </cell>
          <cell r="BN107">
            <v>19.647397094430982</v>
          </cell>
          <cell r="BO107">
            <v>22.103321731234853</v>
          </cell>
          <cell r="BP107">
            <v>24.559246368038728</v>
          </cell>
          <cell r="BQ107">
            <v>18.419434776029046</v>
          </cell>
          <cell r="BR107">
            <v>1.2279623184019364</v>
          </cell>
          <cell r="BU107">
            <v>15.65</v>
          </cell>
          <cell r="BV107">
            <v>8.7479822437449517</v>
          </cell>
          <cell r="BW107">
            <v>10.934977804681189</v>
          </cell>
          <cell r="BX107">
            <v>13.121973365617428</v>
          </cell>
          <cell r="BY107">
            <v>15.308968926553666</v>
          </cell>
          <cell r="BZ107">
            <v>14.215471146085546</v>
          </cell>
          <cell r="CA107">
            <v>1.093497780468119</v>
          </cell>
          <cell r="CC107">
            <v>15.65</v>
          </cell>
          <cell r="CD107">
            <v>7.2900272397094428</v>
          </cell>
          <cell r="CE107">
            <v>10.935040859564165</v>
          </cell>
          <cell r="CF107">
            <v>14.580054479418886</v>
          </cell>
          <cell r="CG107">
            <v>18.225068099273606</v>
          </cell>
          <cell r="CH107">
            <v>21.870081719128329</v>
          </cell>
          <cell r="CI107">
            <v>7.2900272397094428</v>
          </cell>
        </row>
        <row r="108">
          <cell r="A108">
            <v>38625</v>
          </cell>
          <cell r="B108">
            <v>104.3</v>
          </cell>
          <cell r="C108">
            <v>59.355058060466561</v>
          </cell>
          <cell r="D108">
            <v>71.226069672559873</v>
          </cell>
          <cell r="E108">
            <v>83.097081284653186</v>
          </cell>
          <cell r="F108">
            <v>94.968092896746498</v>
          </cell>
          <cell r="G108">
            <v>106.83910450883981</v>
          </cell>
          <cell r="H108">
            <v>118.71011612093312</v>
          </cell>
          <cell r="I108">
            <v>89.032587090699849</v>
          </cell>
          <cell r="J108">
            <v>5.9355058060466561</v>
          </cell>
          <cell r="M108">
            <v>104.3</v>
          </cell>
          <cell r="N108">
            <v>61.30217595982846</v>
          </cell>
          <cell r="O108">
            <v>73.562611151794158</v>
          </cell>
          <cell r="P108">
            <v>85.823046343759842</v>
          </cell>
          <cell r="Q108">
            <v>98.083481535725539</v>
          </cell>
          <cell r="R108">
            <v>110.34391672769124</v>
          </cell>
          <cell r="S108">
            <v>122.60435191965692</v>
          </cell>
          <cell r="T108">
            <v>91.953263939742698</v>
          </cell>
          <cell r="U108">
            <v>6.1302175959828462</v>
          </cell>
          <cell r="W108">
            <v>104.3</v>
          </cell>
          <cell r="X108">
            <v>40.304948216340598</v>
          </cell>
          <cell r="Y108">
            <v>60.457422324510901</v>
          </cell>
          <cell r="Z108">
            <v>80.609896432681197</v>
          </cell>
          <cell r="AA108">
            <v>100.76237054085149</v>
          </cell>
          <cell r="AB108">
            <v>120.9148446490218</v>
          </cell>
          <cell r="AC108">
            <v>20.152474108170299</v>
          </cell>
          <cell r="AF108">
            <v>22.7</v>
          </cell>
          <cell r="AG108">
            <v>17.945313193544386</v>
          </cell>
          <cell r="AH108">
            <v>21.534375832253261</v>
          </cell>
          <cell r="AI108">
            <v>25.123438470962139</v>
          </cell>
          <cell r="AJ108">
            <v>28.712501109671017</v>
          </cell>
          <cell r="AK108">
            <v>32.301563748379891</v>
          </cell>
          <cell r="AL108">
            <v>35.890626387088773</v>
          </cell>
          <cell r="AM108">
            <v>26.91796979031658</v>
          </cell>
          <cell r="AN108">
            <v>1.7945313193544385</v>
          </cell>
          <cell r="AQ108">
            <v>22.7</v>
          </cell>
          <cell r="AR108">
            <v>9.6858266161248494</v>
          </cell>
          <cell r="AS108">
            <v>13.560157262574787</v>
          </cell>
          <cell r="AT108">
            <v>17.434487909024728</v>
          </cell>
          <cell r="AU108">
            <v>21.308818555474666</v>
          </cell>
          <cell r="AV108">
            <v>25.183149201924607</v>
          </cell>
          <cell r="AW108">
            <v>29.057479848374545</v>
          </cell>
          <cell r="AX108">
            <v>19.371653232249699</v>
          </cell>
          <cell r="AY108">
            <v>1.9371653232249697</v>
          </cell>
          <cell r="BA108">
            <v>22.7</v>
          </cell>
          <cell r="BB108">
            <v>15.656243674875279</v>
          </cell>
          <cell r="BC108">
            <v>23.48436551231292</v>
          </cell>
          <cell r="BD108">
            <v>31.312487349750558</v>
          </cell>
          <cell r="BE108">
            <v>39.140609187188197</v>
          </cell>
          <cell r="BF108">
            <v>46.968731024625839</v>
          </cell>
          <cell r="BG108">
            <v>15.656243674875279</v>
          </cell>
          <cell r="BJ108">
            <v>15.55</v>
          </cell>
          <cell r="BK108">
            <v>12.400452103510888</v>
          </cell>
          <cell r="BL108">
            <v>14.880542524213066</v>
          </cell>
          <cell r="BM108">
            <v>17.360632944915245</v>
          </cell>
          <cell r="BN108">
            <v>19.840723365617421</v>
          </cell>
          <cell r="BO108">
            <v>22.320813786319597</v>
          </cell>
          <cell r="BP108">
            <v>24.800904207021777</v>
          </cell>
          <cell r="BQ108">
            <v>18.600678155266333</v>
          </cell>
          <cell r="BR108">
            <v>1.2400452103510888</v>
          </cell>
          <cell r="BU108">
            <v>15.55</v>
          </cell>
          <cell r="BV108">
            <v>8.8623638014527799</v>
          </cell>
          <cell r="BW108">
            <v>11.077954751815975</v>
          </cell>
          <cell r="BX108">
            <v>13.29354570217917</v>
          </cell>
          <cell r="BY108">
            <v>15.509136652542365</v>
          </cell>
          <cell r="BZ108">
            <v>14.401341177360766</v>
          </cell>
          <cell r="CA108">
            <v>1.1077954751815975</v>
          </cell>
          <cell r="CC108">
            <v>15.55</v>
          </cell>
          <cell r="CD108">
            <v>7.3458071655569004</v>
          </cell>
          <cell r="CE108">
            <v>11.018710748335351</v>
          </cell>
          <cell r="CF108">
            <v>14.691614331113801</v>
          </cell>
          <cell r="CG108">
            <v>18.36451791389225</v>
          </cell>
          <cell r="CH108">
            <v>22.037421496670703</v>
          </cell>
          <cell r="CI108">
            <v>7.3458071655569004</v>
          </cell>
        </row>
        <row r="109">
          <cell r="A109">
            <v>38656</v>
          </cell>
          <cell r="B109">
            <v>100.5</v>
          </cell>
          <cell r="C109">
            <v>59.345468493914964</v>
          </cell>
          <cell r="D109">
            <v>71.214562192697969</v>
          </cell>
          <cell r="E109">
            <v>83.083655891480959</v>
          </cell>
          <cell r="F109">
            <v>94.952749590263949</v>
          </cell>
          <cell r="G109">
            <v>106.82184328904694</v>
          </cell>
          <cell r="H109">
            <v>118.69093698782993</v>
          </cell>
          <cell r="I109">
            <v>89.018202740872454</v>
          </cell>
          <cell r="J109">
            <v>5.9345468493914968</v>
          </cell>
          <cell r="M109">
            <v>100.5</v>
          </cell>
          <cell r="N109">
            <v>61.243330892352787</v>
          </cell>
          <cell r="O109">
            <v>73.491997070823345</v>
          </cell>
          <cell r="P109">
            <v>85.740663249293902</v>
          </cell>
          <cell r="Q109">
            <v>97.98932942776446</v>
          </cell>
          <cell r="R109">
            <v>110.23799560623502</v>
          </cell>
          <cell r="S109">
            <v>122.48666178470557</v>
          </cell>
          <cell r="T109">
            <v>91.864996338529181</v>
          </cell>
          <cell r="U109">
            <v>6.1243330892352787</v>
          </cell>
          <cell r="W109">
            <v>100.5</v>
          </cell>
          <cell r="X109">
            <v>40.734386442096451</v>
          </cell>
          <cell r="Y109">
            <v>61.101579663144676</v>
          </cell>
          <cell r="Z109">
            <v>81.468772884192902</v>
          </cell>
          <cell r="AA109">
            <v>101.83596610524113</v>
          </cell>
          <cell r="AB109">
            <v>122.20315932628935</v>
          </cell>
          <cell r="AC109">
            <v>20.367193221048225</v>
          </cell>
          <cell r="AF109">
            <v>22.65</v>
          </cell>
          <cell r="AG109">
            <v>18.027559789073745</v>
          </cell>
          <cell r="AH109">
            <v>21.633071746888493</v>
          </cell>
          <cell r="AI109">
            <v>25.238583704703242</v>
          </cell>
          <cell r="AJ109">
            <v>28.84409566251799</v>
          </cell>
          <cell r="AK109">
            <v>32.449607620332742</v>
          </cell>
          <cell r="AL109">
            <v>36.05511957814749</v>
          </cell>
          <cell r="AM109">
            <v>27.041339683610616</v>
          </cell>
          <cell r="AN109">
            <v>1.8027559789073744</v>
          </cell>
          <cell r="AQ109">
            <v>22.65</v>
          </cell>
          <cell r="AR109">
            <v>9.7287409228911788</v>
          </cell>
          <cell r="AS109">
            <v>13.62023729204765</v>
          </cell>
          <cell r="AT109">
            <v>17.511733661204122</v>
          </cell>
          <cell r="AU109">
            <v>21.403230030360593</v>
          </cell>
          <cell r="AV109">
            <v>25.294726399517064</v>
          </cell>
          <cell r="AW109">
            <v>29.186222768673534</v>
          </cell>
          <cell r="AX109">
            <v>19.457481845782358</v>
          </cell>
          <cell r="AY109">
            <v>1.9457481845782356</v>
          </cell>
          <cell r="BA109">
            <v>22.65</v>
          </cell>
          <cell r="BB109">
            <v>15.780321390314207</v>
          </cell>
          <cell r="BC109">
            <v>23.67048208547131</v>
          </cell>
          <cell r="BD109">
            <v>31.560642780628413</v>
          </cell>
          <cell r="BE109">
            <v>39.45080347578552</v>
          </cell>
          <cell r="BF109">
            <v>47.34096417094262</v>
          </cell>
          <cell r="BG109">
            <v>15.780321390314207</v>
          </cell>
          <cell r="BJ109">
            <v>14.45</v>
          </cell>
          <cell r="BK109">
            <v>12.521281023002413</v>
          </cell>
          <cell r="BL109">
            <v>15.025537227602896</v>
          </cell>
          <cell r="BM109">
            <v>17.529793432203377</v>
          </cell>
          <cell r="BN109">
            <v>20.034049636803861</v>
          </cell>
          <cell r="BO109">
            <v>22.538305841404345</v>
          </cell>
          <cell r="BP109">
            <v>25.042562046004825</v>
          </cell>
          <cell r="BQ109">
            <v>18.781921534503621</v>
          </cell>
          <cell r="BR109">
            <v>1.2521281023002413</v>
          </cell>
          <cell r="BU109">
            <v>14.45</v>
          </cell>
          <cell r="BV109">
            <v>8.9767453591606081</v>
          </cell>
          <cell r="BW109">
            <v>11.220931698950761</v>
          </cell>
          <cell r="BX109">
            <v>13.465118038740911</v>
          </cell>
          <cell r="BY109">
            <v>15.709304378531064</v>
          </cell>
          <cell r="BZ109">
            <v>14.587211208635988</v>
          </cell>
          <cell r="CA109">
            <v>1.122093169895076</v>
          </cell>
          <cell r="CC109">
            <v>14.45</v>
          </cell>
          <cell r="CD109">
            <v>7.401587091404358</v>
          </cell>
          <cell r="CE109">
            <v>11.102380637106537</v>
          </cell>
          <cell r="CF109">
            <v>14.803174182808716</v>
          </cell>
          <cell r="CG109">
            <v>18.503967728510894</v>
          </cell>
          <cell r="CH109">
            <v>22.204761274213073</v>
          </cell>
          <cell r="CI109">
            <v>7.401587091404358</v>
          </cell>
        </row>
        <row r="110">
          <cell r="A110">
            <v>38686</v>
          </cell>
          <cell r="B110">
            <v>102.6</v>
          </cell>
          <cell r="C110">
            <v>59.335878927363375</v>
          </cell>
          <cell r="D110">
            <v>71.20305471283605</v>
          </cell>
          <cell r="E110">
            <v>83.070230498308717</v>
          </cell>
          <cell r="F110">
            <v>94.937406283781399</v>
          </cell>
          <cell r="G110">
            <v>106.80458206925408</v>
          </cell>
          <cell r="H110">
            <v>118.67175785472675</v>
          </cell>
          <cell r="I110">
            <v>89.003818391045058</v>
          </cell>
          <cell r="J110">
            <v>5.9335878927363375</v>
          </cell>
          <cell r="M110">
            <v>102.6</v>
          </cell>
          <cell r="N110">
            <v>61.184485824877115</v>
          </cell>
          <cell r="O110">
            <v>73.421382989852532</v>
          </cell>
          <cell r="P110">
            <v>85.658280154827963</v>
          </cell>
          <cell r="Q110">
            <v>97.895177319803381</v>
          </cell>
          <cell r="R110">
            <v>110.1320744847788</v>
          </cell>
          <cell r="S110">
            <v>122.36897164975423</v>
          </cell>
          <cell r="T110">
            <v>91.776728737315665</v>
          </cell>
          <cell r="U110">
            <v>6.1184485824877113</v>
          </cell>
          <cell r="W110">
            <v>102.6</v>
          </cell>
          <cell r="X110">
            <v>40.909015348232657</v>
          </cell>
          <cell r="Y110">
            <v>61.363523022348986</v>
          </cell>
          <cell r="Z110">
            <v>81.818030696465314</v>
          </cell>
          <cell r="AA110">
            <v>102.27253837058164</v>
          </cell>
          <cell r="AB110">
            <v>122.72704604469797</v>
          </cell>
          <cell r="AC110">
            <v>20.454507674116329</v>
          </cell>
          <cell r="AF110">
            <v>23.2</v>
          </cell>
          <cell r="AG110">
            <v>18.109806384603104</v>
          </cell>
          <cell r="AH110">
            <v>21.731767661523723</v>
          </cell>
          <cell r="AI110">
            <v>25.353728938444341</v>
          </cell>
          <cell r="AJ110">
            <v>28.975690215364963</v>
          </cell>
          <cell r="AK110">
            <v>32.597651492285586</v>
          </cell>
          <cell r="AL110">
            <v>36.219612769206208</v>
          </cell>
          <cell r="AM110">
            <v>27.164709576904652</v>
          </cell>
          <cell r="AN110">
            <v>1.8109806384603102</v>
          </cell>
          <cell r="AQ110">
            <v>23.2</v>
          </cell>
          <cell r="AR110">
            <v>9.7716552296575081</v>
          </cell>
          <cell r="AS110">
            <v>13.68031732152051</v>
          </cell>
          <cell r="AT110">
            <v>17.588979413383512</v>
          </cell>
          <cell r="AU110">
            <v>21.497641505246516</v>
          </cell>
          <cell r="AV110">
            <v>25.40630359710952</v>
          </cell>
          <cell r="AW110">
            <v>29.314965688972524</v>
          </cell>
          <cell r="AX110">
            <v>19.543310459315016</v>
          </cell>
          <cell r="AY110">
            <v>1.9543310459315015</v>
          </cell>
          <cell r="BA110">
            <v>23.2</v>
          </cell>
          <cell r="BB110">
            <v>15.904399105753134</v>
          </cell>
          <cell r="BC110">
            <v>23.8565986586297</v>
          </cell>
          <cell r="BD110">
            <v>31.808798211506268</v>
          </cell>
          <cell r="BE110">
            <v>39.760997764382836</v>
          </cell>
          <cell r="BF110">
            <v>47.7131973172594</v>
          </cell>
          <cell r="BG110">
            <v>15.904399105753134</v>
          </cell>
          <cell r="BJ110">
            <v>14.8</v>
          </cell>
          <cell r="BK110">
            <v>12.642109942493938</v>
          </cell>
          <cell r="BL110">
            <v>15.170531930992725</v>
          </cell>
          <cell r="BM110">
            <v>17.698953919491512</v>
          </cell>
          <cell r="BN110">
            <v>20.2273759079903</v>
          </cell>
          <cell r="BO110">
            <v>22.755797896489089</v>
          </cell>
          <cell r="BP110">
            <v>25.284219884987877</v>
          </cell>
          <cell r="BQ110">
            <v>18.963164913740908</v>
          </cell>
          <cell r="BR110">
            <v>1.2642109942493938</v>
          </cell>
          <cell r="BU110">
            <v>14.8</v>
          </cell>
          <cell r="BV110">
            <v>9.0911269168684363</v>
          </cell>
          <cell r="BW110">
            <v>11.363908646085545</v>
          </cell>
          <cell r="BX110">
            <v>13.636690375302654</v>
          </cell>
          <cell r="BY110">
            <v>15.909472104519764</v>
          </cell>
          <cell r="BZ110">
            <v>14.773081239911209</v>
          </cell>
          <cell r="CA110">
            <v>1.1363908646085545</v>
          </cell>
          <cell r="CC110">
            <v>14.8</v>
          </cell>
          <cell r="CD110">
            <v>7.4573670172518156</v>
          </cell>
          <cell r="CE110">
            <v>11.186050525877723</v>
          </cell>
          <cell r="CF110">
            <v>14.914734034503631</v>
          </cell>
          <cell r="CG110">
            <v>18.643417543129537</v>
          </cell>
          <cell r="CH110">
            <v>22.372101051755447</v>
          </cell>
          <cell r="CI110">
            <v>7.4573670172518156</v>
          </cell>
        </row>
        <row r="111">
          <cell r="A111">
            <v>38717</v>
          </cell>
          <cell r="B111">
            <v>102.4</v>
          </cell>
          <cell r="C111">
            <v>59.326289360811799</v>
          </cell>
          <cell r="D111">
            <v>71.191547232974159</v>
          </cell>
          <cell r="E111">
            <v>83.056805105136519</v>
          </cell>
          <cell r="F111">
            <v>94.922062977298879</v>
          </cell>
          <cell r="G111">
            <v>106.78732084946124</v>
          </cell>
          <cell r="H111">
            <v>118.6525787216236</v>
          </cell>
          <cell r="I111">
            <v>88.989434041217692</v>
          </cell>
          <cell r="J111">
            <v>5.9326289360811799</v>
          </cell>
          <cell r="M111">
            <v>102.4</v>
          </cell>
          <cell r="N111">
            <v>61.125640757401399</v>
          </cell>
          <cell r="O111">
            <v>73.35076890888169</v>
          </cell>
          <cell r="P111">
            <v>85.575897060361967</v>
          </cell>
          <cell r="Q111">
            <v>97.801025211842244</v>
          </cell>
          <cell r="R111">
            <v>110.02615336332252</v>
          </cell>
          <cell r="S111">
            <v>122.2512815148028</v>
          </cell>
          <cell r="T111">
            <v>91.688461136102106</v>
          </cell>
          <cell r="U111">
            <v>6.1125640757401403</v>
          </cell>
          <cell r="W111">
            <v>102.4</v>
          </cell>
          <cell r="X111">
            <v>41.083644254368863</v>
          </cell>
          <cell r="Y111">
            <v>61.625466381553295</v>
          </cell>
          <cell r="Z111">
            <v>82.167288508737727</v>
          </cell>
          <cell r="AA111">
            <v>102.70911063592216</v>
          </cell>
          <cell r="AB111">
            <v>123.25093276310659</v>
          </cell>
          <cell r="AC111">
            <v>20.541822127184432</v>
          </cell>
          <cell r="AF111">
            <v>23.2</v>
          </cell>
          <cell r="AG111">
            <v>18.192052980132448</v>
          </cell>
          <cell r="AH111">
            <v>21.830463576158941</v>
          </cell>
          <cell r="AI111">
            <v>25.46887417218543</v>
          </cell>
          <cell r="AJ111">
            <v>29.107284768211919</v>
          </cell>
          <cell r="AK111">
            <v>32.745695364238408</v>
          </cell>
          <cell r="AL111">
            <v>36.384105960264897</v>
          </cell>
          <cell r="AM111">
            <v>27.288079470198674</v>
          </cell>
          <cell r="AN111">
            <v>1.8192052980132449</v>
          </cell>
          <cell r="AQ111">
            <v>23.2</v>
          </cell>
          <cell r="AR111">
            <v>9.814569536423841</v>
          </cell>
          <cell r="AS111">
            <v>13.740397350993376</v>
          </cell>
          <cell r="AT111">
            <v>17.666225165562913</v>
          </cell>
          <cell r="AU111">
            <v>21.592052980132451</v>
          </cell>
          <cell r="AV111">
            <v>25.517880794701984</v>
          </cell>
          <cell r="AW111">
            <v>29.443708609271521</v>
          </cell>
          <cell r="AX111">
            <v>19.629139072847682</v>
          </cell>
          <cell r="AY111">
            <v>1.9629139072847681</v>
          </cell>
          <cell r="BA111">
            <v>23.2</v>
          </cell>
          <cell r="BB111">
            <v>16.028476821192054</v>
          </cell>
          <cell r="BC111">
            <v>24.04271523178808</v>
          </cell>
          <cell r="BD111">
            <v>32.056953642384109</v>
          </cell>
          <cell r="BE111">
            <v>40.071192052980138</v>
          </cell>
          <cell r="BF111">
            <v>48.085430463576159</v>
          </cell>
          <cell r="BG111">
            <v>16.028476821192054</v>
          </cell>
          <cell r="BJ111">
            <v>14.45</v>
          </cell>
          <cell r="BK111">
            <v>12.762938861985472</v>
          </cell>
          <cell r="BL111">
            <v>15.315526634382564</v>
          </cell>
          <cell r="BM111">
            <v>17.868114406779661</v>
          </cell>
          <cell r="BN111">
            <v>20.420702179176754</v>
          </cell>
          <cell r="BO111">
            <v>22.973289951573847</v>
          </cell>
          <cell r="BP111">
            <v>25.525877723970943</v>
          </cell>
          <cell r="BQ111">
            <v>19.144408292978206</v>
          </cell>
          <cell r="BR111">
            <v>1.2762938861985471</v>
          </cell>
          <cell r="BU111">
            <v>14.45</v>
          </cell>
          <cell r="BV111">
            <v>9.2055084745762716</v>
          </cell>
          <cell r="BW111">
            <v>11.506885593220339</v>
          </cell>
          <cell r="BX111">
            <v>13.808262711864408</v>
          </cell>
          <cell r="BY111">
            <v>16.109639830508474</v>
          </cell>
          <cell r="BZ111">
            <v>14.958951271186441</v>
          </cell>
          <cell r="CA111">
            <v>1.150688559322034</v>
          </cell>
          <cell r="CC111">
            <v>14.45</v>
          </cell>
          <cell r="CD111">
            <v>7.5131469430992732</v>
          </cell>
          <cell r="CE111">
            <v>11.26972041464891</v>
          </cell>
          <cell r="CF111">
            <v>15.026293886198546</v>
          </cell>
          <cell r="CG111">
            <v>18.782867357748184</v>
          </cell>
          <cell r="CH111">
            <v>22.539440829297821</v>
          </cell>
          <cell r="CI111">
            <v>7.5131469430992732</v>
          </cell>
        </row>
        <row r="112">
          <cell r="A112">
            <v>38748</v>
          </cell>
          <cell r="B112">
            <v>102.4</v>
          </cell>
          <cell r="C112">
            <v>59.642704641754349</v>
          </cell>
          <cell r="D112">
            <v>71.571245570105219</v>
          </cell>
          <cell r="E112">
            <v>83.499786498456089</v>
          </cell>
          <cell r="F112">
            <v>95.428327426806959</v>
          </cell>
          <cell r="G112">
            <v>107.35686835515783</v>
          </cell>
          <cell r="H112">
            <v>119.2854092835087</v>
          </cell>
          <cell r="I112">
            <v>89.464056962631531</v>
          </cell>
          <cell r="J112">
            <v>5.9642704641754349</v>
          </cell>
          <cell r="M112">
            <v>102.4</v>
          </cell>
          <cell r="N112">
            <v>61.633162241551965</v>
          </cell>
          <cell r="O112">
            <v>73.959794689862363</v>
          </cell>
          <cell r="P112">
            <v>86.286427138172755</v>
          </cell>
          <cell r="Q112">
            <v>98.613059586483146</v>
          </cell>
          <cell r="R112">
            <v>110.93969203479354</v>
          </cell>
          <cell r="S112">
            <v>123.26632448310393</v>
          </cell>
          <cell r="T112">
            <v>92.449743362327951</v>
          </cell>
          <cell r="U112">
            <v>6.1633162241551966</v>
          </cell>
          <cell r="W112">
            <v>102.4</v>
          </cell>
          <cell r="X112">
            <v>41.229168342815697</v>
          </cell>
          <cell r="Y112">
            <v>61.843752514223546</v>
          </cell>
          <cell r="Z112">
            <v>82.458336685631394</v>
          </cell>
          <cell r="AA112">
            <v>103.07292085703924</v>
          </cell>
          <cell r="AB112">
            <v>123.68750502844709</v>
          </cell>
          <cell r="AC112">
            <v>20.614584171407849</v>
          </cell>
          <cell r="AF112">
            <v>23.2</v>
          </cell>
          <cell r="AG112">
            <v>18.523898027487004</v>
          </cell>
          <cell r="AH112">
            <v>22.228677632984404</v>
          </cell>
          <cell r="AI112">
            <v>25.933457238481804</v>
          </cell>
          <cell r="AJ112">
            <v>29.638236843979204</v>
          </cell>
          <cell r="AK112">
            <v>33.343016449476607</v>
          </cell>
          <cell r="AL112">
            <v>37.047796054974008</v>
          </cell>
          <cell r="AM112">
            <v>27.785847041230504</v>
          </cell>
          <cell r="AN112">
            <v>1.8523898027487002</v>
          </cell>
          <cell r="AQ112">
            <v>23.2</v>
          </cell>
          <cell r="AR112">
            <v>10.098570462151962</v>
          </cell>
          <cell r="AS112">
            <v>14.137998647012745</v>
          </cell>
          <cell r="AT112">
            <v>18.177426831873529</v>
          </cell>
          <cell r="AU112">
            <v>22.216855016734314</v>
          </cell>
          <cell r="AV112">
            <v>26.2562832015951</v>
          </cell>
          <cell r="AW112">
            <v>30.295711386455885</v>
          </cell>
          <cell r="AX112">
            <v>20.197140924303923</v>
          </cell>
          <cell r="AY112">
            <v>2.0197140924303922</v>
          </cell>
          <cell r="BA112">
            <v>23.2</v>
          </cell>
          <cell r="BB112">
            <v>16.158469344157233</v>
          </cell>
          <cell r="BC112">
            <v>24.237704016235849</v>
          </cell>
          <cell r="BD112">
            <v>32.316938688314465</v>
          </cell>
          <cell r="BE112">
            <v>40.396173360393078</v>
          </cell>
          <cell r="BF112">
            <v>48.475408032471698</v>
          </cell>
          <cell r="BG112">
            <v>16.158469344157233</v>
          </cell>
          <cell r="BJ112">
            <v>14.45</v>
          </cell>
          <cell r="BK112">
            <v>12.754069737702185</v>
          </cell>
          <cell r="BL112">
            <v>15.304883685242622</v>
          </cell>
          <cell r="BM112">
            <v>17.855697632783059</v>
          </cell>
          <cell r="BN112">
            <v>20.406511580323496</v>
          </cell>
          <cell r="BO112">
            <v>22.957325527863933</v>
          </cell>
          <cell r="BP112">
            <v>25.50813947540437</v>
          </cell>
          <cell r="BQ112">
            <v>19.131104606553279</v>
          </cell>
          <cell r="BR112">
            <v>1.2754069737702185</v>
          </cell>
          <cell r="BU112">
            <v>14.45</v>
          </cell>
          <cell r="BV112">
            <v>9.4017223103788474</v>
          </cell>
          <cell r="BW112">
            <v>11.752152887973558</v>
          </cell>
          <cell r="BX112">
            <v>14.102583465568271</v>
          </cell>
          <cell r="BY112">
            <v>16.453014043162984</v>
          </cell>
          <cell r="BZ112">
            <v>15.277798754365627</v>
          </cell>
          <cell r="CA112">
            <v>1.1752152887973559</v>
          </cell>
          <cell r="CC112">
            <v>14.45</v>
          </cell>
          <cell r="CD112">
            <v>7.5505488472569011</v>
          </cell>
          <cell r="CE112">
            <v>11.325823270885351</v>
          </cell>
          <cell r="CF112">
            <v>15.101097694513802</v>
          </cell>
          <cell r="CG112">
            <v>18.876372118142253</v>
          </cell>
          <cell r="CH112">
            <v>22.651646541770702</v>
          </cell>
          <cell r="CI112">
            <v>7.5505488472569011</v>
          </cell>
        </row>
        <row r="113">
          <cell r="A113">
            <v>38776</v>
          </cell>
          <cell r="B113">
            <v>102.4</v>
          </cell>
          <cell r="C113">
            <v>59.9591199226969</v>
          </cell>
          <cell r="D113">
            <v>71.95094390723628</v>
          </cell>
          <cell r="E113">
            <v>83.942767891775659</v>
          </cell>
          <cell r="F113">
            <v>95.934591876315039</v>
          </cell>
          <cell r="G113">
            <v>107.92641586085442</v>
          </cell>
          <cell r="H113">
            <v>119.9182398453938</v>
          </cell>
          <cell r="I113">
            <v>89.938679884045342</v>
          </cell>
          <cell r="J113">
            <v>5.99591199226969</v>
          </cell>
          <cell r="M113">
            <v>102.4</v>
          </cell>
          <cell r="N113">
            <v>62.14068372570253</v>
          </cell>
          <cell r="O113">
            <v>74.568820470843036</v>
          </cell>
          <cell r="P113">
            <v>86.996957215983542</v>
          </cell>
          <cell r="Q113">
            <v>99.425093961124048</v>
          </cell>
          <cell r="R113">
            <v>111.85323070626455</v>
          </cell>
          <cell r="S113">
            <v>124.28136745140506</v>
          </cell>
          <cell r="T113">
            <v>93.211025588553795</v>
          </cell>
          <cell r="U113">
            <v>6.214068372570253</v>
          </cell>
          <cell r="W113">
            <v>102.4</v>
          </cell>
          <cell r="X113">
            <v>41.374692431262531</v>
          </cell>
          <cell r="Y113">
            <v>62.062038646893797</v>
          </cell>
          <cell r="Z113">
            <v>82.749384862525062</v>
          </cell>
          <cell r="AA113">
            <v>103.43673107815633</v>
          </cell>
          <cell r="AB113">
            <v>124.12407729378759</v>
          </cell>
          <cell r="AC113">
            <v>20.687346215631266</v>
          </cell>
          <cell r="AF113">
            <v>23.2</v>
          </cell>
          <cell r="AG113">
            <v>18.855743074841556</v>
          </cell>
          <cell r="AH113">
            <v>22.626891689809867</v>
          </cell>
          <cell r="AI113">
            <v>26.398040304778178</v>
          </cell>
          <cell r="AJ113">
            <v>30.169188919746489</v>
          </cell>
          <cell r="AK113">
            <v>33.9403375347148</v>
          </cell>
          <cell r="AL113">
            <v>37.711486149683111</v>
          </cell>
          <cell r="AM113">
            <v>28.283614612262333</v>
          </cell>
          <cell r="AN113">
            <v>1.8855743074841556</v>
          </cell>
          <cell r="AQ113">
            <v>23.2</v>
          </cell>
          <cell r="AR113">
            <v>10.382571387880082</v>
          </cell>
          <cell r="AS113">
            <v>14.535599943032114</v>
          </cell>
          <cell r="AT113">
            <v>18.688628498184148</v>
          </cell>
          <cell r="AU113">
            <v>22.841657053336181</v>
          </cell>
          <cell r="AV113">
            <v>26.994685608488211</v>
          </cell>
          <cell r="AW113">
            <v>31.147714163640245</v>
          </cell>
          <cell r="AX113">
            <v>20.765142775760165</v>
          </cell>
          <cell r="AY113">
            <v>2.0765142775760164</v>
          </cell>
          <cell r="BA113">
            <v>23.2</v>
          </cell>
          <cell r="BB113">
            <v>16.288461867122411</v>
          </cell>
          <cell r="BC113">
            <v>24.432692800683618</v>
          </cell>
          <cell r="BD113">
            <v>32.576923734244822</v>
          </cell>
          <cell r="BE113">
            <v>40.721154667806026</v>
          </cell>
          <cell r="BF113">
            <v>48.865385601367237</v>
          </cell>
          <cell r="BG113">
            <v>16.288461867122411</v>
          </cell>
          <cell r="BJ113">
            <v>14.45</v>
          </cell>
          <cell r="BK113">
            <v>12.745200613418898</v>
          </cell>
          <cell r="BL113">
            <v>15.29424073610268</v>
          </cell>
          <cell r="BM113">
            <v>17.843280858786457</v>
          </cell>
          <cell r="BN113">
            <v>20.392320981470238</v>
          </cell>
          <cell r="BO113">
            <v>22.941361104154019</v>
          </cell>
          <cell r="BP113">
            <v>25.490401226837797</v>
          </cell>
          <cell r="BQ113">
            <v>19.117800920128349</v>
          </cell>
          <cell r="BR113">
            <v>1.2745200613418899</v>
          </cell>
          <cell r="BU113">
            <v>14.45</v>
          </cell>
          <cell r="BV113">
            <v>9.5979361461814232</v>
          </cell>
          <cell r="BW113">
            <v>11.997420182726779</v>
          </cell>
          <cell r="BX113">
            <v>14.396904219272134</v>
          </cell>
          <cell r="BY113">
            <v>16.79638825581749</v>
          </cell>
          <cell r="BZ113">
            <v>15.596646237544812</v>
          </cell>
          <cell r="CA113">
            <v>1.1997420182726779</v>
          </cell>
          <cell r="CC113">
            <v>14.45</v>
          </cell>
          <cell r="CD113">
            <v>7.587950751414529</v>
          </cell>
          <cell r="CE113">
            <v>11.381926127121794</v>
          </cell>
          <cell r="CF113">
            <v>15.175901502829058</v>
          </cell>
          <cell r="CG113">
            <v>18.969876878536322</v>
          </cell>
          <cell r="CH113">
            <v>22.763852254243588</v>
          </cell>
          <cell r="CI113">
            <v>7.587950751414529</v>
          </cell>
        </row>
        <row r="114">
          <cell r="A114">
            <v>38807</v>
          </cell>
          <cell r="B114">
            <v>102.4</v>
          </cell>
          <cell r="C114">
            <v>60.27553520363945</v>
          </cell>
          <cell r="D114">
            <v>72.33064224436734</v>
          </cell>
          <cell r="E114">
            <v>84.38574928509523</v>
          </cell>
          <cell r="F114">
            <v>96.44085632582312</v>
          </cell>
          <cell r="G114">
            <v>108.49596336655101</v>
          </cell>
          <cell r="H114">
            <v>120.5510704072789</v>
          </cell>
          <cell r="I114">
            <v>90.413302805459182</v>
          </cell>
          <cell r="J114">
            <v>6.027553520363945</v>
          </cell>
          <cell r="M114">
            <v>102.4</v>
          </cell>
          <cell r="N114">
            <v>62.648205209853096</v>
          </cell>
          <cell r="O114">
            <v>75.177846251823709</v>
          </cell>
          <cell r="P114">
            <v>87.70748729379433</v>
          </cell>
          <cell r="Q114">
            <v>100.23712833576495</v>
          </cell>
          <cell r="R114">
            <v>112.76676937773557</v>
          </cell>
          <cell r="S114">
            <v>125.29641041970619</v>
          </cell>
          <cell r="T114">
            <v>93.97230781477964</v>
          </cell>
          <cell r="U114">
            <v>6.2648205209853094</v>
          </cell>
          <cell r="W114">
            <v>102.4</v>
          </cell>
          <cell r="X114">
            <v>41.520216519709365</v>
          </cell>
          <cell r="Y114">
            <v>62.280324779564047</v>
          </cell>
          <cell r="Z114">
            <v>83.04043303941873</v>
          </cell>
          <cell r="AA114">
            <v>103.80054129927342</v>
          </cell>
          <cell r="AB114">
            <v>124.56064955912809</v>
          </cell>
          <cell r="AC114">
            <v>20.760108259854682</v>
          </cell>
          <cell r="AF114">
            <v>23.2</v>
          </cell>
          <cell r="AG114">
            <v>19.187588122196107</v>
          </cell>
          <cell r="AH114">
            <v>23.025105746635329</v>
          </cell>
          <cell r="AI114">
            <v>26.862623371074552</v>
          </cell>
          <cell r="AJ114">
            <v>30.700140995513774</v>
          </cell>
          <cell r="AK114">
            <v>34.537658619952992</v>
          </cell>
          <cell r="AL114">
            <v>38.375176244392215</v>
          </cell>
          <cell r="AM114">
            <v>28.781382183294163</v>
          </cell>
          <cell r="AN114">
            <v>1.9187588122196109</v>
          </cell>
          <cell r="AQ114">
            <v>23.2</v>
          </cell>
          <cell r="AR114">
            <v>10.666572313608203</v>
          </cell>
          <cell r="AS114">
            <v>14.933201239051483</v>
          </cell>
          <cell r="AT114">
            <v>19.199830164494763</v>
          </cell>
          <cell r="AU114">
            <v>23.466459089938045</v>
          </cell>
          <cell r="AV114">
            <v>27.733088015381327</v>
          </cell>
          <cell r="AW114">
            <v>31.999716940824609</v>
          </cell>
          <cell r="AX114">
            <v>21.333144627216406</v>
          </cell>
          <cell r="AY114">
            <v>2.1333144627216405</v>
          </cell>
          <cell r="BA114">
            <v>23.2</v>
          </cell>
          <cell r="BB114">
            <v>16.418454390087589</v>
          </cell>
          <cell r="BC114">
            <v>24.627681585131384</v>
          </cell>
          <cell r="BD114">
            <v>32.836908780175179</v>
          </cell>
          <cell r="BE114">
            <v>41.046135975218974</v>
          </cell>
          <cell r="BF114">
            <v>49.255363170262768</v>
          </cell>
          <cell r="BG114">
            <v>16.418454390087589</v>
          </cell>
          <cell r="BJ114">
            <v>14.45</v>
          </cell>
          <cell r="BK114">
            <v>12.736331489135612</v>
          </cell>
          <cell r="BL114">
            <v>15.283597786962735</v>
          </cell>
          <cell r="BM114">
            <v>17.830864084789859</v>
          </cell>
          <cell r="BN114">
            <v>20.37813038261698</v>
          </cell>
          <cell r="BO114">
            <v>22.925396680444102</v>
          </cell>
          <cell r="BP114">
            <v>25.472662978271224</v>
          </cell>
          <cell r="BQ114">
            <v>19.10449723370342</v>
          </cell>
          <cell r="BR114">
            <v>1.2736331489135613</v>
          </cell>
          <cell r="BU114">
            <v>14.45</v>
          </cell>
          <cell r="BV114">
            <v>9.794149981983999</v>
          </cell>
          <cell r="BW114">
            <v>12.242687477479999</v>
          </cell>
          <cell r="BX114">
            <v>14.691224972975998</v>
          </cell>
          <cell r="BY114">
            <v>17.139762468472</v>
          </cell>
          <cell r="BZ114">
            <v>15.915493720723997</v>
          </cell>
          <cell r="CA114">
            <v>1.2242687477479999</v>
          </cell>
          <cell r="CC114">
            <v>14.45</v>
          </cell>
          <cell r="CD114">
            <v>7.6253526555721569</v>
          </cell>
          <cell r="CE114">
            <v>11.438028983358235</v>
          </cell>
          <cell r="CF114">
            <v>15.250705311144314</v>
          </cell>
          <cell r="CG114">
            <v>19.063381638930391</v>
          </cell>
          <cell r="CH114">
            <v>22.87605796671647</v>
          </cell>
          <cell r="CI114">
            <v>7.6253526555721569</v>
          </cell>
        </row>
        <row r="115">
          <cell r="A115">
            <v>38837</v>
          </cell>
          <cell r="B115">
            <v>102.4</v>
          </cell>
          <cell r="C115">
            <v>60.591950484582</v>
          </cell>
          <cell r="D115">
            <v>72.7103405814984</v>
          </cell>
          <cell r="E115">
            <v>84.8287306784148</v>
          </cell>
          <cell r="F115">
            <v>96.9471207753312</v>
          </cell>
          <cell r="G115">
            <v>109.0655108722476</v>
          </cell>
          <cell r="H115">
            <v>121.183900969164</v>
          </cell>
          <cell r="I115">
            <v>90.887925726872993</v>
          </cell>
          <cell r="J115">
            <v>6.0591950484582</v>
          </cell>
          <cell r="M115">
            <v>102.4</v>
          </cell>
          <cell r="N115">
            <v>63.155726694003661</v>
          </cell>
          <cell r="O115">
            <v>75.786872032804382</v>
          </cell>
          <cell r="P115">
            <v>88.418017371605117</v>
          </cell>
          <cell r="Q115">
            <v>101.04916271040585</v>
          </cell>
          <cell r="R115">
            <v>113.68030804920659</v>
          </cell>
          <cell r="S115">
            <v>126.31145338800732</v>
          </cell>
          <cell r="T115">
            <v>94.733590041005485</v>
          </cell>
          <cell r="U115">
            <v>6.3155726694003658</v>
          </cell>
          <cell r="W115">
            <v>102.4</v>
          </cell>
          <cell r="X115">
            <v>41.665740608156199</v>
          </cell>
          <cell r="Y115">
            <v>62.498610912234298</v>
          </cell>
          <cell r="Z115">
            <v>83.331481216312397</v>
          </cell>
          <cell r="AA115">
            <v>104.1643515203905</v>
          </cell>
          <cell r="AB115">
            <v>124.9972218244686</v>
          </cell>
          <cell r="AC115">
            <v>20.832870304078099</v>
          </cell>
          <cell r="AF115">
            <v>23.2</v>
          </cell>
          <cell r="AG115">
            <v>19.519433169550663</v>
          </cell>
          <cell r="AH115">
            <v>23.423319803460792</v>
          </cell>
          <cell r="AI115">
            <v>27.327206437370926</v>
          </cell>
          <cell r="AJ115">
            <v>31.231093071281059</v>
          </cell>
          <cell r="AK115">
            <v>35.134979705191192</v>
          </cell>
          <cell r="AL115">
            <v>39.038866339101325</v>
          </cell>
          <cell r="AM115">
            <v>29.279149754325992</v>
          </cell>
          <cell r="AN115">
            <v>1.9519433169550662</v>
          </cell>
          <cell r="AQ115">
            <v>23.2</v>
          </cell>
          <cell r="AR115">
            <v>10.950573239336324</v>
          </cell>
          <cell r="AS115">
            <v>15.330802535070852</v>
          </cell>
          <cell r="AT115">
            <v>19.711031830805382</v>
          </cell>
          <cell r="AU115">
            <v>24.091261126539912</v>
          </cell>
          <cell r="AV115">
            <v>28.471490422274439</v>
          </cell>
          <cell r="AW115">
            <v>32.851719718008972</v>
          </cell>
          <cell r="AX115">
            <v>21.901146478672647</v>
          </cell>
          <cell r="AY115">
            <v>2.1901146478672646</v>
          </cell>
          <cell r="BA115">
            <v>23.2</v>
          </cell>
          <cell r="BB115">
            <v>16.548446913052768</v>
          </cell>
          <cell r="BC115">
            <v>24.82267036957915</v>
          </cell>
          <cell r="BD115">
            <v>33.096893826105536</v>
          </cell>
          <cell r="BE115">
            <v>41.371117282631921</v>
          </cell>
          <cell r="BF115">
            <v>49.6453407391583</v>
          </cell>
          <cell r="BG115">
            <v>16.548446913052768</v>
          </cell>
          <cell r="BJ115">
            <v>14.45</v>
          </cell>
          <cell r="BK115">
            <v>12.727462364852327</v>
          </cell>
          <cell r="BL115">
            <v>15.272954837822791</v>
          </cell>
          <cell r="BM115">
            <v>17.818447310793257</v>
          </cell>
          <cell r="BN115">
            <v>20.363939783763723</v>
          </cell>
          <cell r="BO115">
            <v>22.909432256734188</v>
          </cell>
          <cell r="BP115">
            <v>25.454924729704654</v>
          </cell>
          <cell r="BQ115">
            <v>19.09119354727849</v>
          </cell>
          <cell r="BR115">
            <v>1.2727462364852327</v>
          </cell>
          <cell r="BU115">
            <v>14.45</v>
          </cell>
          <cell r="BV115">
            <v>9.9903638177865748</v>
          </cell>
          <cell r="BW115">
            <v>12.487954772233218</v>
          </cell>
          <cell r="BX115">
            <v>14.985545726679863</v>
          </cell>
          <cell r="BY115">
            <v>17.483136681126506</v>
          </cell>
          <cell r="BZ115">
            <v>16.234341203903185</v>
          </cell>
          <cell r="CA115">
            <v>1.2487954772233218</v>
          </cell>
          <cell r="CC115">
            <v>14.45</v>
          </cell>
          <cell r="CD115">
            <v>7.6627545597297848</v>
          </cell>
          <cell r="CE115">
            <v>11.494131839594678</v>
          </cell>
          <cell r="CF115">
            <v>15.32550911945957</v>
          </cell>
          <cell r="CG115">
            <v>19.156886399324463</v>
          </cell>
          <cell r="CH115">
            <v>22.988263679189355</v>
          </cell>
          <cell r="CI115">
            <v>7.6627545597297848</v>
          </cell>
        </row>
        <row r="116">
          <cell r="A116">
            <v>38868</v>
          </cell>
          <cell r="B116">
            <v>102.4</v>
          </cell>
          <cell r="C116">
            <v>60.90836576552455</v>
          </cell>
          <cell r="D116">
            <v>73.09003891862946</v>
          </cell>
          <cell r="E116">
            <v>85.27171207173437</v>
          </cell>
          <cell r="F116">
            <v>97.45338522483928</v>
          </cell>
          <cell r="G116">
            <v>109.63505837794419</v>
          </cell>
          <cell r="H116">
            <v>121.8167315310491</v>
          </cell>
          <cell r="I116">
            <v>91.362548648286833</v>
          </cell>
          <cell r="J116">
            <v>6.090836576552455</v>
          </cell>
          <cell r="M116">
            <v>102.4</v>
          </cell>
          <cell r="N116">
            <v>63.66324817815422</v>
          </cell>
          <cell r="O116">
            <v>76.395897813785069</v>
          </cell>
          <cell r="P116">
            <v>89.128547449415905</v>
          </cell>
          <cell r="Q116">
            <v>101.86119708504675</v>
          </cell>
          <cell r="R116">
            <v>114.5938467206776</v>
          </cell>
          <cell r="S116">
            <v>127.32649635630844</v>
          </cell>
          <cell r="T116">
            <v>95.494872267231329</v>
          </cell>
          <cell r="U116">
            <v>6.3663248178154221</v>
          </cell>
          <cell r="W116">
            <v>102.4</v>
          </cell>
          <cell r="X116">
            <v>41.811264696603033</v>
          </cell>
          <cell r="Y116">
            <v>62.716897044904549</v>
          </cell>
          <cell r="Z116">
            <v>83.622529393206065</v>
          </cell>
          <cell r="AA116">
            <v>104.52816174150757</v>
          </cell>
          <cell r="AB116">
            <v>125.4337940898091</v>
          </cell>
          <cell r="AC116">
            <v>20.905632348301516</v>
          </cell>
          <cell r="AF116">
            <v>23.2</v>
          </cell>
          <cell r="AG116">
            <v>19.851278216905214</v>
          </cell>
          <cell r="AH116">
            <v>23.821533860286259</v>
          </cell>
          <cell r="AI116">
            <v>27.791789503667299</v>
          </cell>
          <cell r="AJ116">
            <v>31.762045147048344</v>
          </cell>
          <cell r="AK116">
            <v>35.732300790429385</v>
          </cell>
          <cell r="AL116">
            <v>39.702556433810429</v>
          </cell>
          <cell r="AM116">
            <v>29.776917325357822</v>
          </cell>
          <cell r="AN116">
            <v>1.9851278216905215</v>
          </cell>
          <cell r="AQ116">
            <v>23.2</v>
          </cell>
          <cell r="AR116">
            <v>11.234574165064444</v>
          </cell>
          <cell r="AS116">
            <v>15.728403831090221</v>
          </cell>
          <cell r="AT116">
            <v>20.222233497115997</v>
          </cell>
          <cell r="AU116">
            <v>24.716063163141776</v>
          </cell>
          <cell r="AV116">
            <v>29.209892829167554</v>
          </cell>
          <cell r="AW116">
            <v>33.703722495193333</v>
          </cell>
          <cell r="AX116">
            <v>22.469148330128888</v>
          </cell>
          <cell r="AY116">
            <v>2.2469148330128887</v>
          </cell>
          <cell r="BA116">
            <v>23.2</v>
          </cell>
          <cell r="BB116">
            <v>16.678439436017946</v>
          </cell>
          <cell r="BC116">
            <v>25.017659154026919</v>
          </cell>
          <cell r="BD116">
            <v>33.356878872035892</v>
          </cell>
          <cell r="BE116">
            <v>41.696098590044869</v>
          </cell>
          <cell r="BF116">
            <v>50.035318308053839</v>
          </cell>
          <cell r="BG116">
            <v>16.678439436017946</v>
          </cell>
          <cell r="BJ116">
            <v>14.45</v>
          </cell>
          <cell r="BK116">
            <v>12.718593240569041</v>
          </cell>
          <cell r="BL116">
            <v>15.262311888682849</v>
          </cell>
          <cell r="BM116">
            <v>17.806030536796655</v>
          </cell>
          <cell r="BN116">
            <v>20.349749184910465</v>
          </cell>
          <cell r="BO116">
            <v>22.893467833024275</v>
          </cell>
          <cell r="BP116">
            <v>25.437186481138081</v>
          </cell>
          <cell r="BQ116">
            <v>19.07788986085356</v>
          </cell>
          <cell r="BR116">
            <v>1.2718593240569041</v>
          </cell>
          <cell r="BU116">
            <v>14.45</v>
          </cell>
          <cell r="BV116">
            <v>10.186577653589151</v>
          </cell>
          <cell r="BW116">
            <v>12.733222066986439</v>
          </cell>
          <cell r="BX116">
            <v>15.279866480383726</v>
          </cell>
          <cell r="BY116">
            <v>17.826510893781013</v>
          </cell>
          <cell r="BZ116">
            <v>16.553188687082368</v>
          </cell>
          <cell r="CA116">
            <v>1.2733222066986438</v>
          </cell>
          <cell r="CC116">
            <v>14.45</v>
          </cell>
          <cell r="CD116">
            <v>7.7001564638874127</v>
          </cell>
          <cell r="CE116">
            <v>11.550234695831119</v>
          </cell>
          <cell r="CF116">
            <v>15.400312927774825</v>
          </cell>
          <cell r="CG116">
            <v>19.250391159718532</v>
          </cell>
          <cell r="CH116">
            <v>23.100469391662237</v>
          </cell>
          <cell r="CI116">
            <v>7.7001564638874127</v>
          </cell>
        </row>
        <row r="117">
          <cell r="A117">
            <v>38898</v>
          </cell>
          <cell r="B117">
            <v>102.4</v>
          </cell>
          <cell r="C117">
            <v>61.224781046467101</v>
          </cell>
          <cell r="D117">
            <v>73.469737255760521</v>
          </cell>
          <cell r="E117">
            <v>85.714693465053941</v>
          </cell>
          <cell r="F117">
            <v>97.959649674347361</v>
          </cell>
          <cell r="G117">
            <v>110.20460588364078</v>
          </cell>
          <cell r="H117">
            <v>122.4495620929342</v>
          </cell>
          <cell r="I117">
            <v>91.837171569700644</v>
          </cell>
          <cell r="J117">
            <v>6.1224781046467101</v>
          </cell>
          <cell r="M117">
            <v>102.4</v>
          </cell>
          <cell r="N117">
            <v>64.170769662304792</v>
          </cell>
          <cell r="O117">
            <v>77.004923594765742</v>
          </cell>
          <cell r="P117">
            <v>89.839077527226692</v>
          </cell>
          <cell r="Q117">
            <v>102.67323145968766</v>
          </cell>
          <cell r="R117">
            <v>115.50738539214862</v>
          </cell>
          <cell r="S117">
            <v>128.34153932460958</v>
          </cell>
          <cell r="T117">
            <v>96.256154493457174</v>
          </cell>
          <cell r="U117">
            <v>6.4170769662304785</v>
          </cell>
          <cell r="W117">
            <v>102.4</v>
          </cell>
          <cell r="X117">
            <v>41.956788785049866</v>
          </cell>
          <cell r="Y117">
            <v>62.9351831775748</v>
          </cell>
          <cell r="Z117">
            <v>83.913577570099733</v>
          </cell>
          <cell r="AA117">
            <v>104.89197196262467</v>
          </cell>
          <cell r="AB117">
            <v>125.8703663551496</v>
          </cell>
          <cell r="AC117">
            <v>20.978394392524933</v>
          </cell>
          <cell r="AF117">
            <v>23.2</v>
          </cell>
          <cell r="AG117">
            <v>20.18312326425977</v>
          </cell>
          <cell r="AH117">
            <v>24.219747917111722</v>
          </cell>
          <cell r="AI117">
            <v>28.256372569963673</v>
          </cell>
          <cell r="AJ117">
            <v>32.292997222815629</v>
          </cell>
          <cell r="AK117">
            <v>36.329621875667584</v>
          </cell>
          <cell r="AL117">
            <v>40.36624652851954</v>
          </cell>
          <cell r="AM117">
            <v>30.274684896389651</v>
          </cell>
          <cell r="AN117">
            <v>2.0183123264259768</v>
          </cell>
          <cell r="AQ117">
            <v>23.2</v>
          </cell>
          <cell r="AR117">
            <v>11.518575090792565</v>
          </cell>
          <cell r="AS117">
            <v>16.12600512710959</v>
          </cell>
          <cell r="AT117">
            <v>20.733435163426616</v>
          </cell>
          <cell r="AU117">
            <v>25.340865199743643</v>
          </cell>
          <cell r="AV117">
            <v>29.948295236060666</v>
          </cell>
          <cell r="AW117">
            <v>34.555725272377693</v>
          </cell>
          <cell r="AX117">
            <v>23.03715018158513</v>
          </cell>
          <cell r="AY117">
            <v>2.3037150181585129</v>
          </cell>
          <cell r="BA117">
            <v>23.2</v>
          </cell>
          <cell r="BB117">
            <v>16.808431958983125</v>
          </cell>
          <cell r="BC117">
            <v>25.212647938474689</v>
          </cell>
          <cell r="BD117">
            <v>33.616863917966249</v>
          </cell>
          <cell r="BE117">
            <v>42.02107989745781</v>
          </cell>
          <cell r="BF117">
            <v>50.425295876949377</v>
          </cell>
          <cell r="BG117">
            <v>16.808431958983125</v>
          </cell>
          <cell r="BJ117">
            <v>14.45</v>
          </cell>
          <cell r="BK117">
            <v>12.709724116285754</v>
          </cell>
          <cell r="BL117">
            <v>15.251668939542906</v>
          </cell>
          <cell r="BM117">
            <v>17.793613762800057</v>
          </cell>
          <cell r="BN117">
            <v>20.335558586057207</v>
          </cell>
          <cell r="BO117">
            <v>22.877503409314357</v>
          </cell>
          <cell r="BP117">
            <v>25.419448232571508</v>
          </cell>
          <cell r="BQ117">
            <v>19.06458617442863</v>
          </cell>
          <cell r="BR117">
            <v>1.2709724116285754</v>
          </cell>
          <cell r="BU117">
            <v>14.45</v>
          </cell>
          <cell r="BV117">
            <v>10.382791489391726</v>
          </cell>
          <cell r="BW117">
            <v>12.978489361739658</v>
          </cell>
          <cell r="BX117">
            <v>15.574187234087589</v>
          </cell>
          <cell r="BY117">
            <v>18.169885106435522</v>
          </cell>
          <cell r="BZ117">
            <v>16.872036170261556</v>
          </cell>
          <cell r="CA117">
            <v>1.2978489361739658</v>
          </cell>
          <cell r="CC117">
            <v>14.45</v>
          </cell>
          <cell r="CD117">
            <v>7.7375583680450406</v>
          </cell>
          <cell r="CE117">
            <v>11.606337552067561</v>
          </cell>
          <cell r="CF117">
            <v>15.475116736090081</v>
          </cell>
          <cell r="CG117">
            <v>19.343895920112601</v>
          </cell>
          <cell r="CH117">
            <v>23.212675104135123</v>
          </cell>
          <cell r="CI117">
            <v>7.7375583680450406</v>
          </cell>
        </row>
        <row r="118">
          <cell r="A118">
            <v>38929</v>
          </cell>
          <cell r="B118">
            <v>102.4</v>
          </cell>
          <cell r="C118">
            <v>61.541196327409651</v>
          </cell>
          <cell r="D118">
            <v>73.849435592891581</v>
          </cell>
          <cell r="E118">
            <v>86.157674858373511</v>
          </cell>
          <cell r="F118">
            <v>98.465914123855441</v>
          </cell>
          <cell r="G118">
            <v>110.77415338933737</v>
          </cell>
          <cell r="H118">
            <v>123.0823926548193</v>
          </cell>
          <cell r="I118">
            <v>92.311794491114483</v>
          </cell>
          <cell r="J118">
            <v>6.1541196327409651</v>
          </cell>
          <cell r="M118">
            <v>102.4</v>
          </cell>
          <cell r="N118">
            <v>64.678291146455351</v>
          </cell>
          <cell r="O118">
            <v>77.613949375746415</v>
          </cell>
          <cell r="P118">
            <v>90.549607605037494</v>
          </cell>
          <cell r="Q118">
            <v>103.48526583432856</v>
          </cell>
          <cell r="R118">
            <v>116.42092406361962</v>
          </cell>
          <cell r="S118">
            <v>129.3565822929107</v>
          </cell>
          <cell r="T118">
            <v>97.017436719683019</v>
          </cell>
          <cell r="U118">
            <v>6.4678291146455349</v>
          </cell>
          <cell r="W118">
            <v>102.4</v>
          </cell>
          <cell r="X118">
            <v>42.1023128734967</v>
          </cell>
          <cell r="Y118">
            <v>63.15346931024505</v>
          </cell>
          <cell r="Z118">
            <v>84.204625746993401</v>
          </cell>
          <cell r="AA118">
            <v>105.25578218374176</v>
          </cell>
          <cell r="AB118">
            <v>126.3069386204901</v>
          </cell>
          <cell r="AC118">
            <v>21.05115643674835</v>
          </cell>
          <cell r="AF118">
            <v>23.2</v>
          </cell>
          <cell r="AG118">
            <v>20.514968311614325</v>
          </cell>
          <cell r="AH118">
            <v>24.617961973937188</v>
          </cell>
          <cell r="AI118">
            <v>28.720955636260051</v>
          </cell>
          <cell r="AJ118">
            <v>32.823949298582917</v>
          </cell>
          <cell r="AK118">
            <v>36.926942960905784</v>
          </cell>
          <cell r="AL118">
            <v>41.02993662322865</v>
          </cell>
          <cell r="AM118">
            <v>30.772452467421484</v>
          </cell>
          <cell r="AN118">
            <v>2.0514968311614323</v>
          </cell>
          <cell r="AQ118">
            <v>23.2</v>
          </cell>
          <cell r="AR118">
            <v>11.802576016520685</v>
          </cell>
          <cell r="AS118">
            <v>16.52360642312896</v>
          </cell>
          <cell r="AT118">
            <v>21.244636829737232</v>
          </cell>
          <cell r="AU118">
            <v>25.965667236345507</v>
          </cell>
          <cell r="AV118">
            <v>30.686697642953781</v>
          </cell>
          <cell r="AW118">
            <v>35.407728049562053</v>
          </cell>
          <cell r="AX118">
            <v>23.605152033041371</v>
          </cell>
          <cell r="AY118">
            <v>2.360515203304137</v>
          </cell>
          <cell r="BA118">
            <v>23.2</v>
          </cell>
          <cell r="BB118">
            <v>16.938424481948303</v>
          </cell>
          <cell r="BC118">
            <v>25.407636722922454</v>
          </cell>
          <cell r="BD118">
            <v>33.876848963896606</v>
          </cell>
          <cell r="BE118">
            <v>42.346061204870757</v>
          </cell>
          <cell r="BF118">
            <v>50.815273445844909</v>
          </cell>
          <cell r="BG118">
            <v>16.938424481948303</v>
          </cell>
          <cell r="BJ118">
            <v>14.45</v>
          </cell>
          <cell r="BK118">
            <v>12.700854992002469</v>
          </cell>
          <cell r="BL118">
            <v>15.241025990402962</v>
          </cell>
          <cell r="BM118">
            <v>17.781196988803455</v>
          </cell>
          <cell r="BN118">
            <v>20.321367987203949</v>
          </cell>
          <cell r="BO118">
            <v>22.861538985604444</v>
          </cell>
          <cell r="BP118">
            <v>25.401709984004938</v>
          </cell>
          <cell r="BQ118">
            <v>19.051282488003704</v>
          </cell>
          <cell r="BR118">
            <v>1.2700854992002468</v>
          </cell>
          <cell r="BU118">
            <v>14.45</v>
          </cell>
          <cell r="BV118">
            <v>10.579005325194302</v>
          </cell>
          <cell r="BW118">
            <v>13.223756656492878</v>
          </cell>
          <cell r="BX118">
            <v>15.868507987791453</v>
          </cell>
          <cell r="BY118">
            <v>18.513259319090029</v>
          </cell>
          <cell r="BZ118">
            <v>17.190883653440743</v>
          </cell>
          <cell r="CA118">
            <v>1.3223756656492878</v>
          </cell>
          <cell r="CC118">
            <v>14.45</v>
          </cell>
          <cell r="CD118">
            <v>7.7749602722026685</v>
          </cell>
          <cell r="CE118">
            <v>11.662440408304002</v>
          </cell>
          <cell r="CF118">
            <v>15.549920544405337</v>
          </cell>
          <cell r="CG118">
            <v>19.43740068050667</v>
          </cell>
          <cell r="CH118">
            <v>23.324880816608005</v>
          </cell>
          <cell r="CI118">
            <v>7.7749602722026685</v>
          </cell>
        </row>
        <row r="119">
          <cell r="A119">
            <v>38960</v>
          </cell>
          <cell r="B119">
            <v>102.4</v>
          </cell>
          <cell r="C119">
            <v>61.857611608352201</v>
          </cell>
          <cell r="D119">
            <v>74.229133930022641</v>
          </cell>
          <cell r="E119">
            <v>86.600656251693081</v>
          </cell>
          <cell r="F119">
            <v>98.972178573363522</v>
          </cell>
          <cell r="G119">
            <v>111.34370089503396</v>
          </cell>
          <cell r="H119">
            <v>123.7152232167044</v>
          </cell>
          <cell r="I119">
            <v>92.786417412528294</v>
          </cell>
          <cell r="J119">
            <v>6.1857611608352201</v>
          </cell>
          <cell r="M119">
            <v>102.4</v>
          </cell>
          <cell r="N119">
            <v>65.185812630605909</v>
          </cell>
          <cell r="O119">
            <v>78.222975156727102</v>
          </cell>
          <cell r="P119">
            <v>91.260137682848281</v>
          </cell>
          <cell r="Q119">
            <v>104.29730020896946</v>
          </cell>
          <cell r="R119">
            <v>117.33446273509064</v>
          </cell>
          <cell r="S119">
            <v>130.37162526121182</v>
          </cell>
          <cell r="T119">
            <v>97.778718945908864</v>
          </cell>
          <cell r="U119">
            <v>6.5185812630605913</v>
          </cell>
          <cell r="W119">
            <v>102.4</v>
          </cell>
          <cell r="X119">
            <v>42.247836961943534</v>
          </cell>
          <cell r="Y119">
            <v>63.371755442915301</v>
          </cell>
          <cell r="Z119">
            <v>84.495673923887068</v>
          </cell>
          <cell r="AA119">
            <v>105.61959240485884</v>
          </cell>
          <cell r="AB119">
            <v>126.7435108858306</v>
          </cell>
          <cell r="AC119">
            <v>21.123918480971767</v>
          </cell>
          <cell r="AF119">
            <v>23.2</v>
          </cell>
          <cell r="AG119">
            <v>20.84681335896888</v>
          </cell>
          <cell r="AH119">
            <v>25.016176030762654</v>
          </cell>
          <cell r="AI119">
            <v>29.185538702556428</v>
          </cell>
          <cell r="AJ119">
            <v>33.354901374350206</v>
          </cell>
          <cell r="AK119">
            <v>37.524264046143983</v>
          </cell>
          <cell r="AL119">
            <v>41.693626717937761</v>
          </cell>
          <cell r="AM119">
            <v>31.270220038453317</v>
          </cell>
          <cell r="AN119">
            <v>2.0846813358968879</v>
          </cell>
          <cell r="AQ119">
            <v>23.2</v>
          </cell>
          <cell r="AR119">
            <v>12.086576942248806</v>
          </cell>
          <cell r="AS119">
            <v>16.921207719148327</v>
          </cell>
          <cell r="AT119">
            <v>21.755838496047851</v>
          </cell>
          <cell r="AU119">
            <v>26.590469272947374</v>
          </cell>
          <cell r="AV119">
            <v>31.425100049846893</v>
          </cell>
          <cell r="AW119">
            <v>36.25973082674642</v>
          </cell>
          <cell r="AX119">
            <v>24.173153884497612</v>
          </cell>
          <cell r="AY119">
            <v>2.4173153884497611</v>
          </cell>
          <cell r="BA119">
            <v>23.2</v>
          </cell>
          <cell r="BB119">
            <v>17.068417004913481</v>
          </cell>
          <cell r="BC119">
            <v>25.60262550737022</v>
          </cell>
          <cell r="BD119">
            <v>34.136834009826963</v>
          </cell>
          <cell r="BE119">
            <v>42.671042512283705</v>
          </cell>
          <cell r="BF119">
            <v>51.20525101474044</v>
          </cell>
          <cell r="BG119">
            <v>17.068417004913481</v>
          </cell>
          <cell r="BJ119">
            <v>14.45</v>
          </cell>
          <cell r="BK119">
            <v>12.691985867719183</v>
          </cell>
          <cell r="BL119">
            <v>15.230383041263018</v>
          </cell>
          <cell r="BM119">
            <v>17.768780214806856</v>
          </cell>
          <cell r="BN119">
            <v>20.307177388350691</v>
          </cell>
          <cell r="BO119">
            <v>22.845574561894527</v>
          </cell>
          <cell r="BP119">
            <v>25.383971735438365</v>
          </cell>
          <cell r="BQ119">
            <v>19.037978801578774</v>
          </cell>
          <cell r="BR119">
            <v>1.2691985867719182</v>
          </cell>
          <cell r="BU119">
            <v>14.45</v>
          </cell>
          <cell r="BV119">
            <v>10.775219160996878</v>
          </cell>
          <cell r="BW119">
            <v>13.469023951246097</v>
          </cell>
          <cell r="BX119">
            <v>16.162828741495318</v>
          </cell>
          <cell r="BY119">
            <v>18.856633531744535</v>
          </cell>
          <cell r="BZ119">
            <v>17.509731136619926</v>
          </cell>
          <cell r="CA119">
            <v>1.3469023951246097</v>
          </cell>
          <cell r="CC119">
            <v>14.45</v>
          </cell>
          <cell r="CD119">
            <v>7.8123621763602964</v>
          </cell>
          <cell r="CE119">
            <v>11.718543264540445</v>
          </cell>
          <cell r="CF119">
            <v>15.624724352720593</v>
          </cell>
          <cell r="CG119">
            <v>19.530905440900742</v>
          </cell>
          <cell r="CH119">
            <v>23.43708652908089</v>
          </cell>
          <cell r="CI119">
            <v>7.8123621763602964</v>
          </cell>
        </row>
        <row r="120">
          <cell r="A120">
            <v>38990</v>
          </cell>
          <cell r="B120">
            <v>102.4</v>
          </cell>
          <cell r="C120">
            <v>62.174026889294751</v>
          </cell>
          <cell r="D120">
            <v>74.608832267153701</v>
          </cell>
          <cell r="E120">
            <v>87.043637645012652</v>
          </cell>
          <cell r="F120">
            <v>99.478443022871602</v>
          </cell>
          <cell r="G120">
            <v>111.91324840073055</v>
          </cell>
          <cell r="H120">
            <v>124.3480537785895</v>
          </cell>
          <cell r="I120">
            <v>93.261040333942134</v>
          </cell>
          <cell r="J120">
            <v>6.2174026889294751</v>
          </cell>
          <cell r="M120">
            <v>102.4</v>
          </cell>
          <cell r="N120">
            <v>65.693334114756482</v>
          </cell>
          <cell r="O120">
            <v>78.832000937707775</v>
          </cell>
          <cell r="P120">
            <v>91.970667760659069</v>
          </cell>
          <cell r="Q120">
            <v>105.10933458361036</v>
          </cell>
          <cell r="R120">
            <v>118.24800140656166</v>
          </cell>
          <cell r="S120">
            <v>131.38666822951296</v>
          </cell>
          <cell r="T120">
            <v>98.540001172134708</v>
          </cell>
          <cell r="U120">
            <v>6.5693334114756476</v>
          </cell>
          <cell r="W120">
            <v>102.4</v>
          </cell>
          <cell r="X120">
            <v>42.393361050390368</v>
          </cell>
          <cell r="Y120">
            <v>63.590041575585552</v>
          </cell>
          <cell r="Z120">
            <v>84.786722100780736</v>
          </cell>
          <cell r="AA120">
            <v>105.98340262597591</v>
          </cell>
          <cell r="AB120">
            <v>127.1800831511711</v>
          </cell>
          <cell r="AC120">
            <v>21.196680525195184</v>
          </cell>
          <cell r="AF120">
            <v>23.2</v>
          </cell>
          <cell r="AG120">
            <v>21.178658406323436</v>
          </cell>
          <cell r="AH120">
            <v>25.414390087588121</v>
          </cell>
          <cell r="AI120">
            <v>29.650121768852806</v>
          </cell>
          <cell r="AJ120">
            <v>33.885853450117494</v>
          </cell>
          <cell r="AK120">
            <v>38.121585131382183</v>
          </cell>
          <cell r="AL120">
            <v>42.357316812646872</v>
          </cell>
          <cell r="AM120">
            <v>31.76798760948515</v>
          </cell>
          <cell r="AN120">
            <v>2.1178658406323434</v>
          </cell>
          <cell r="AQ120">
            <v>23.2</v>
          </cell>
          <cell r="AR120">
            <v>12.370577867976927</v>
          </cell>
          <cell r="AS120">
            <v>17.318809015167698</v>
          </cell>
          <cell r="AT120">
            <v>22.267040162358466</v>
          </cell>
          <cell r="AU120">
            <v>27.215271309549237</v>
          </cell>
          <cell r="AV120">
            <v>32.163502456740005</v>
          </cell>
          <cell r="AW120">
            <v>37.11173360393078</v>
          </cell>
          <cell r="AX120">
            <v>24.741155735953853</v>
          </cell>
          <cell r="AY120">
            <v>2.4741155735953853</v>
          </cell>
          <cell r="BA120">
            <v>23.2</v>
          </cell>
          <cell r="BB120">
            <v>17.19840952787866</v>
          </cell>
          <cell r="BC120">
            <v>25.79761429181799</v>
          </cell>
          <cell r="BD120">
            <v>34.396819055757319</v>
          </cell>
          <cell r="BE120">
            <v>42.996023819696646</v>
          </cell>
          <cell r="BF120">
            <v>51.595228583635979</v>
          </cell>
          <cell r="BG120">
            <v>17.19840952787866</v>
          </cell>
          <cell r="BJ120">
            <v>14.45</v>
          </cell>
          <cell r="BK120">
            <v>12.683116743435896</v>
          </cell>
          <cell r="BL120">
            <v>15.219740092123075</v>
          </cell>
          <cell r="BM120">
            <v>17.756363440810254</v>
          </cell>
          <cell r="BN120">
            <v>20.292986789497434</v>
          </cell>
          <cell r="BO120">
            <v>22.829610138184613</v>
          </cell>
          <cell r="BP120">
            <v>25.366233486871792</v>
          </cell>
          <cell r="BQ120">
            <v>19.024675115153844</v>
          </cell>
          <cell r="BR120">
            <v>1.2683116743435896</v>
          </cell>
          <cell r="BU120">
            <v>14.45</v>
          </cell>
          <cell r="BV120">
            <v>10.971432996799454</v>
          </cell>
          <cell r="BW120">
            <v>13.714291245999316</v>
          </cell>
          <cell r="BX120">
            <v>16.457149495199182</v>
          </cell>
          <cell r="BY120">
            <v>19.200007744399045</v>
          </cell>
          <cell r="BZ120">
            <v>17.828578619799114</v>
          </cell>
          <cell r="CA120">
            <v>1.3714291245999317</v>
          </cell>
          <cell r="CC120">
            <v>14.45</v>
          </cell>
          <cell r="CD120">
            <v>7.8497640805179243</v>
          </cell>
          <cell r="CE120">
            <v>11.774646120776886</v>
          </cell>
          <cell r="CF120">
            <v>15.699528161035849</v>
          </cell>
          <cell r="CG120">
            <v>19.624410201294811</v>
          </cell>
          <cell r="CH120">
            <v>23.549292241553772</v>
          </cell>
          <cell r="CI120">
            <v>7.8497640805179243</v>
          </cell>
        </row>
        <row r="121">
          <cell r="A121">
            <v>39021</v>
          </cell>
          <cell r="B121">
            <v>102.4</v>
          </cell>
          <cell r="C121">
            <v>62.490442170237301</v>
          </cell>
          <cell r="D121">
            <v>74.988530604284762</v>
          </cell>
          <cell r="E121">
            <v>87.486619038332222</v>
          </cell>
          <cell r="F121">
            <v>99.984707472379682</v>
          </cell>
          <cell r="G121">
            <v>112.48279590642714</v>
          </cell>
          <cell r="H121">
            <v>124.9808843404746</v>
          </cell>
          <cell r="I121">
            <v>93.735663255355945</v>
          </cell>
          <cell r="J121">
            <v>6.2490442170237301</v>
          </cell>
          <cell r="M121">
            <v>102.4</v>
          </cell>
          <cell r="N121">
            <v>66.20085559890704</v>
          </cell>
          <cell r="O121">
            <v>79.441026718688448</v>
          </cell>
          <cell r="P121">
            <v>92.681197838469856</v>
          </cell>
          <cell r="Q121">
            <v>105.92136895825126</v>
          </cell>
          <cell r="R121">
            <v>119.16154007803267</v>
          </cell>
          <cell r="S121">
            <v>132.40171119781408</v>
          </cell>
          <cell r="T121">
            <v>99.301283398360567</v>
          </cell>
          <cell r="U121">
            <v>6.620085559890704</v>
          </cell>
          <cell r="W121">
            <v>102.4</v>
          </cell>
          <cell r="X121">
            <v>42.538885138837202</v>
          </cell>
          <cell r="Y121">
            <v>63.808327708255803</v>
          </cell>
          <cell r="Z121">
            <v>85.077770277674404</v>
          </cell>
          <cell r="AA121">
            <v>106.347212847093</v>
          </cell>
          <cell r="AB121">
            <v>127.61665541651161</v>
          </cell>
          <cell r="AC121">
            <v>21.269442569418601</v>
          </cell>
          <cell r="AF121">
            <v>23.2</v>
          </cell>
          <cell r="AG121">
            <v>21.510503453677991</v>
          </cell>
          <cell r="AH121">
            <v>25.812604144413587</v>
          </cell>
          <cell r="AI121">
            <v>30.114704835149183</v>
          </cell>
          <cell r="AJ121">
            <v>34.416805525884783</v>
          </cell>
          <cell r="AK121">
            <v>38.718906216620383</v>
          </cell>
          <cell r="AL121">
            <v>43.021006907355982</v>
          </cell>
          <cell r="AM121">
            <v>32.265755180516983</v>
          </cell>
          <cell r="AN121">
            <v>2.1510503453677989</v>
          </cell>
          <cell r="AQ121">
            <v>23.2</v>
          </cell>
          <cell r="AR121">
            <v>12.654578793705047</v>
          </cell>
          <cell r="AS121">
            <v>17.716410311187065</v>
          </cell>
          <cell r="AT121">
            <v>22.778241828669085</v>
          </cell>
          <cell r="AU121">
            <v>27.840073346151105</v>
          </cell>
          <cell r="AV121">
            <v>32.901904863633121</v>
          </cell>
          <cell r="AW121">
            <v>37.96373638111514</v>
          </cell>
          <cell r="AX121">
            <v>25.309157587410095</v>
          </cell>
          <cell r="AY121">
            <v>2.5309157587410094</v>
          </cell>
          <cell r="BA121">
            <v>23.2</v>
          </cell>
          <cell r="BB121">
            <v>17.328402050843838</v>
          </cell>
          <cell r="BC121">
            <v>25.992603076265759</v>
          </cell>
          <cell r="BD121">
            <v>34.656804101687676</v>
          </cell>
          <cell r="BE121">
            <v>43.321005127109594</v>
          </cell>
          <cell r="BF121">
            <v>51.985206152531518</v>
          </cell>
          <cell r="BG121">
            <v>17.328402050843838</v>
          </cell>
          <cell r="BJ121">
            <v>14.45</v>
          </cell>
          <cell r="BK121">
            <v>12.674247619152609</v>
          </cell>
          <cell r="BL121">
            <v>15.209097142983133</v>
          </cell>
          <cell r="BM121">
            <v>17.743946666813653</v>
          </cell>
          <cell r="BN121">
            <v>20.278796190644176</v>
          </cell>
          <cell r="BO121">
            <v>22.813645714474699</v>
          </cell>
          <cell r="BP121">
            <v>25.348495238305219</v>
          </cell>
          <cell r="BQ121">
            <v>19.011371428728914</v>
          </cell>
          <cell r="BR121">
            <v>1.267424761915261</v>
          </cell>
          <cell r="BU121">
            <v>14.45</v>
          </cell>
          <cell r="BV121">
            <v>11.16764683260203</v>
          </cell>
          <cell r="BW121">
            <v>13.959558540752537</v>
          </cell>
          <cell r="BX121">
            <v>16.751470248903043</v>
          </cell>
          <cell r="BY121">
            <v>19.543381957053551</v>
          </cell>
          <cell r="BZ121">
            <v>18.147426102978297</v>
          </cell>
          <cell r="CA121">
            <v>1.3959558540752537</v>
          </cell>
          <cell r="CC121">
            <v>14.45</v>
          </cell>
          <cell r="CD121">
            <v>7.8871659846755522</v>
          </cell>
          <cell r="CE121">
            <v>11.830748977013329</v>
          </cell>
          <cell r="CF121">
            <v>15.774331969351104</v>
          </cell>
          <cell r="CG121">
            <v>19.71791496168888</v>
          </cell>
          <cell r="CH121">
            <v>23.661497954026657</v>
          </cell>
          <cell r="CI121">
            <v>7.8871659846755522</v>
          </cell>
        </row>
        <row r="122">
          <cell r="A122">
            <v>39051</v>
          </cell>
          <cell r="B122">
            <v>102.4</v>
          </cell>
          <cell r="C122">
            <v>62.806857451179852</v>
          </cell>
          <cell r="D122">
            <v>75.368228941415822</v>
          </cell>
          <cell r="E122">
            <v>87.929600431651792</v>
          </cell>
          <cell r="F122">
            <v>100.49097192188776</v>
          </cell>
          <cell r="G122">
            <v>113.05234341212373</v>
          </cell>
          <cell r="H122">
            <v>125.6137149023597</v>
          </cell>
          <cell r="I122">
            <v>94.210286176769785</v>
          </cell>
          <cell r="J122">
            <v>6.2806857451179852</v>
          </cell>
          <cell r="M122">
            <v>102.4</v>
          </cell>
          <cell r="N122">
            <v>66.708377083057599</v>
          </cell>
          <cell r="O122">
            <v>80.050052499669121</v>
          </cell>
          <cell r="P122">
            <v>93.391727916280644</v>
          </cell>
          <cell r="Q122">
            <v>106.73340333289217</v>
          </cell>
          <cell r="R122">
            <v>120.07507874950369</v>
          </cell>
          <cell r="S122">
            <v>133.4167541661152</v>
          </cell>
          <cell r="T122">
            <v>100.06256562458641</v>
          </cell>
          <cell r="U122">
            <v>6.6708377083057604</v>
          </cell>
          <cell r="W122">
            <v>102.4</v>
          </cell>
          <cell r="X122">
            <v>42.684409227284036</v>
          </cell>
          <cell r="Y122">
            <v>64.026613840926046</v>
          </cell>
          <cell r="Z122">
            <v>85.368818454568071</v>
          </cell>
          <cell r="AA122">
            <v>106.7110230682101</v>
          </cell>
          <cell r="AB122">
            <v>128.05322768185209</v>
          </cell>
          <cell r="AC122">
            <v>21.342204613642018</v>
          </cell>
          <cell r="AF122">
            <v>23.2</v>
          </cell>
          <cell r="AG122">
            <v>21.842348501032546</v>
          </cell>
          <cell r="AH122">
            <v>26.210818201239054</v>
          </cell>
          <cell r="AI122">
            <v>30.579287901445561</v>
          </cell>
          <cell r="AJ122">
            <v>34.947757601652071</v>
          </cell>
          <cell r="AK122">
            <v>39.316227301858582</v>
          </cell>
          <cell r="AL122">
            <v>43.684697002065093</v>
          </cell>
          <cell r="AM122">
            <v>32.76352275154882</v>
          </cell>
          <cell r="AN122">
            <v>2.1842348501032545</v>
          </cell>
          <cell r="AQ122">
            <v>23.2</v>
          </cell>
          <cell r="AR122">
            <v>12.938579719433168</v>
          </cell>
          <cell r="AS122">
            <v>18.114011607206436</v>
          </cell>
          <cell r="AT122">
            <v>23.2894434949797</v>
          </cell>
          <cell r="AU122">
            <v>28.464875382752968</v>
          </cell>
          <cell r="AV122">
            <v>33.640307270526236</v>
          </cell>
          <cell r="AW122">
            <v>38.8157391582995</v>
          </cell>
          <cell r="AX122">
            <v>25.877159438866336</v>
          </cell>
          <cell r="AY122">
            <v>2.5877159438866335</v>
          </cell>
          <cell r="BA122">
            <v>23.2</v>
          </cell>
          <cell r="BB122">
            <v>17.458394573809016</v>
          </cell>
          <cell r="BC122">
            <v>26.187591860713525</v>
          </cell>
          <cell r="BD122">
            <v>34.916789147618033</v>
          </cell>
          <cell r="BE122">
            <v>43.645986434522541</v>
          </cell>
          <cell r="BF122">
            <v>52.375183721427049</v>
          </cell>
          <cell r="BG122">
            <v>17.458394573809016</v>
          </cell>
          <cell r="BJ122">
            <v>14.45</v>
          </cell>
          <cell r="BK122">
            <v>12.665378494869323</v>
          </cell>
          <cell r="BL122">
            <v>15.198454193843189</v>
          </cell>
          <cell r="BM122">
            <v>17.731529892817054</v>
          </cell>
          <cell r="BN122">
            <v>20.264605591790918</v>
          </cell>
          <cell r="BO122">
            <v>22.797681290764782</v>
          </cell>
          <cell r="BP122">
            <v>25.330756989738646</v>
          </cell>
          <cell r="BQ122">
            <v>18.998067742303984</v>
          </cell>
          <cell r="BR122">
            <v>1.2665378494869324</v>
          </cell>
          <cell r="BU122">
            <v>14.45</v>
          </cell>
          <cell r="BV122">
            <v>11.363860668404605</v>
          </cell>
          <cell r="BW122">
            <v>14.204825835505757</v>
          </cell>
          <cell r="BX122">
            <v>17.045791002606908</v>
          </cell>
          <cell r="BY122">
            <v>19.886756169708057</v>
          </cell>
          <cell r="BZ122">
            <v>18.466273586157484</v>
          </cell>
          <cell r="CA122">
            <v>1.4204825835505757</v>
          </cell>
          <cell r="CC122">
            <v>14.45</v>
          </cell>
          <cell r="CD122">
            <v>7.9245678888331801</v>
          </cell>
          <cell r="CE122">
            <v>11.88685183324977</v>
          </cell>
          <cell r="CF122">
            <v>15.84913577766636</v>
          </cell>
          <cell r="CG122">
            <v>19.811419722082949</v>
          </cell>
          <cell r="CH122">
            <v>23.773703666499539</v>
          </cell>
          <cell r="CI122">
            <v>7.9245678888331801</v>
          </cell>
        </row>
        <row r="123">
          <cell r="A123">
            <v>39082</v>
          </cell>
          <cell r="B123">
            <v>102.4</v>
          </cell>
          <cell r="C123">
            <v>63.123272732122409</v>
          </cell>
          <cell r="D123">
            <v>75.747927278546896</v>
          </cell>
          <cell r="E123">
            <v>88.372581824971377</v>
          </cell>
          <cell r="F123">
            <v>100.99723637139586</v>
          </cell>
          <cell r="G123">
            <v>113.62189091782034</v>
          </cell>
          <cell r="H123">
            <v>126.24654546424482</v>
          </cell>
          <cell r="I123">
            <v>94.68490909818361</v>
          </cell>
          <cell r="J123">
            <v>6.3123272732122411</v>
          </cell>
          <cell r="M123">
            <v>102.4</v>
          </cell>
          <cell r="N123">
            <v>67.215898567208143</v>
          </cell>
          <cell r="O123">
            <v>80.65907828064978</v>
          </cell>
          <cell r="P123">
            <v>94.102257994091417</v>
          </cell>
          <cell r="Q123">
            <v>107.54543770753304</v>
          </cell>
          <cell r="R123">
            <v>120.98861742097466</v>
          </cell>
          <cell r="S123">
            <v>134.43179713441629</v>
          </cell>
          <cell r="T123">
            <v>100.82384785081223</v>
          </cell>
          <cell r="U123">
            <v>6.721589856720815</v>
          </cell>
          <cell r="W123">
            <v>102.4</v>
          </cell>
          <cell r="X123">
            <v>42.829933315730898</v>
          </cell>
          <cell r="Y123">
            <v>64.244899973596347</v>
          </cell>
          <cell r="Z123">
            <v>85.659866631461796</v>
          </cell>
          <cell r="AA123">
            <v>107.07483328932724</v>
          </cell>
          <cell r="AB123">
            <v>128.48979994719269</v>
          </cell>
          <cell r="AC123">
            <v>21.414966657865449</v>
          </cell>
          <cell r="AF123">
            <v>23.2</v>
          </cell>
          <cell r="AG123">
            <v>22.174193548387095</v>
          </cell>
          <cell r="AH123">
            <v>26.609032258064516</v>
          </cell>
          <cell r="AI123">
            <v>31.043870967741935</v>
          </cell>
          <cell r="AJ123">
            <v>35.478709677419353</v>
          </cell>
          <cell r="AK123">
            <v>39.913548387096775</v>
          </cell>
          <cell r="AL123">
            <v>44.348387096774189</v>
          </cell>
          <cell r="AM123">
            <v>33.261290322580642</v>
          </cell>
          <cell r="AN123">
            <v>2.2174193548387096</v>
          </cell>
          <cell r="AQ123">
            <v>23.2</v>
          </cell>
          <cell r="AR123">
            <v>13.22258064516129</v>
          </cell>
          <cell r="AS123">
            <v>18.511612903225807</v>
          </cell>
          <cell r="AT123">
            <v>23.800645161290323</v>
          </cell>
          <cell r="AU123">
            <v>29.089677419354839</v>
          </cell>
          <cell r="AV123">
            <v>34.378709677419351</v>
          </cell>
          <cell r="AW123">
            <v>39.667741935483875</v>
          </cell>
          <cell r="AX123">
            <v>26.445161290322581</v>
          </cell>
          <cell r="AY123">
            <v>2.6445161290322581</v>
          </cell>
          <cell r="BA123">
            <v>23.2</v>
          </cell>
          <cell r="BB123">
            <v>17.588387096774195</v>
          </cell>
          <cell r="BC123">
            <v>26.382580645161291</v>
          </cell>
          <cell r="BD123">
            <v>35.17677419354839</v>
          </cell>
          <cell r="BE123">
            <v>43.970967741935489</v>
          </cell>
          <cell r="BF123">
            <v>52.765161290322581</v>
          </cell>
          <cell r="BG123">
            <v>17.588387096774195</v>
          </cell>
          <cell r="BJ123">
            <v>14.45</v>
          </cell>
          <cell r="BK123">
            <v>12.656509370586038</v>
          </cell>
          <cell r="BL123">
            <v>15.187811244703244</v>
          </cell>
          <cell r="BM123">
            <v>17.719113118820452</v>
          </cell>
          <cell r="BN123">
            <v>20.25041499293766</v>
          </cell>
          <cell r="BO123">
            <v>22.781716867054868</v>
          </cell>
          <cell r="BP123">
            <v>25.313018741172076</v>
          </cell>
          <cell r="BQ123">
            <v>18.984764055879058</v>
          </cell>
          <cell r="BR123">
            <v>1.2656509370586038</v>
          </cell>
          <cell r="BU123">
            <v>14.45</v>
          </cell>
          <cell r="BV123">
            <v>11.560074504207176</v>
          </cell>
          <cell r="BW123">
            <v>14.450093130258971</v>
          </cell>
          <cell r="BX123">
            <v>17.340111756310762</v>
          </cell>
          <cell r="BY123">
            <v>20.230130382362557</v>
          </cell>
          <cell r="BZ123">
            <v>18.785121069336661</v>
          </cell>
          <cell r="CA123">
            <v>1.445009313025897</v>
          </cell>
          <cell r="CC123">
            <v>14.45</v>
          </cell>
          <cell r="CD123">
            <v>7.9619697929908062</v>
          </cell>
          <cell r="CE123">
            <v>11.942954689486209</v>
          </cell>
          <cell r="CF123">
            <v>15.923939585981612</v>
          </cell>
          <cell r="CG123">
            <v>19.904924482477014</v>
          </cell>
          <cell r="CH123">
            <v>23.885909378972418</v>
          </cell>
          <cell r="CI123">
            <v>7.9619697929908062</v>
          </cell>
        </row>
        <row r="124">
          <cell r="A124">
            <v>39113</v>
          </cell>
          <cell r="C124">
            <v>63.725914134331759</v>
          </cell>
          <cell r="D124">
            <v>76.4710969611981</v>
          </cell>
          <cell r="E124">
            <v>89.216279788064455</v>
          </cell>
          <cell r="F124">
            <v>101.96146261493081</v>
          </cell>
          <cell r="G124">
            <v>114.70664544179716</v>
          </cell>
          <cell r="H124">
            <v>127.45182826866352</v>
          </cell>
          <cell r="I124">
            <v>95.588871201497639</v>
          </cell>
          <cell r="J124">
            <v>6.3725914134331756</v>
          </cell>
          <cell r="U124">
            <v>6.8003269747926547</v>
          </cell>
          <cell r="AC124">
            <v>21.538220699359925</v>
          </cell>
          <cell r="AG124">
            <v>22.142378737361014</v>
          </cell>
          <cell r="AH124">
            <v>26.57085448483322</v>
          </cell>
          <cell r="AI124">
            <v>30.999330232305422</v>
          </cell>
          <cell r="AJ124">
            <v>35.427805979777624</v>
          </cell>
          <cell r="AK124">
            <v>39.856281727249829</v>
          </cell>
          <cell r="AL124">
            <v>44.284757474722028</v>
          </cell>
          <cell r="AM124">
            <v>33.213568106041521</v>
          </cell>
          <cell r="AN124">
            <v>2.2142378737361015</v>
          </cell>
          <cell r="AR124">
            <v>13.293879557891529</v>
          </cell>
          <cell r="AS124">
            <v>18.611431381048138</v>
          </cell>
          <cell r="AT124">
            <v>23.928983204204751</v>
          </cell>
          <cell r="AU124">
            <v>29.246535027361361</v>
          </cell>
          <cell r="AV124">
            <v>34.564086850517974</v>
          </cell>
          <cell r="AW124">
            <v>39.881638673674587</v>
          </cell>
          <cell r="AX124">
            <v>26.587759115783058</v>
          </cell>
          <cell r="AY124">
            <v>2.6587759115783056</v>
          </cell>
          <cell r="BB124">
            <v>17.642329611860507</v>
          </cell>
          <cell r="BC124">
            <v>26.463494417790763</v>
          </cell>
          <cell r="BD124">
            <v>35.284659223721015</v>
          </cell>
          <cell r="BE124">
            <v>44.105824029651266</v>
          </cell>
          <cell r="BF124">
            <v>52.926988835581525</v>
          </cell>
          <cell r="BG124">
            <v>17.642329611860507</v>
          </cell>
          <cell r="BK124">
            <v>12.738841205359037</v>
          </cell>
          <cell r="BL124">
            <v>15.286609446430845</v>
          </cell>
          <cell r="BM124">
            <v>17.834377687502652</v>
          </cell>
          <cell r="BN124">
            <v>20.38214592857446</v>
          </cell>
          <cell r="BO124">
            <v>22.929914169646267</v>
          </cell>
          <cell r="BP124">
            <v>25.477682410718074</v>
          </cell>
          <cell r="BQ124">
            <v>19.108261808038556</v>
          </cell>
          <cell r="BR124">
            <v>1.2738841205359037</v>
          </cell>
          <cell r="BV124">
            <v>11.660795332063358</v>
          </cell>
          <cell r="BW124">
            <v>14.575994165079198</v>
          </cell>
          <cell r="BX124">
            <v>17.491192998095038</v>
          </cell>
          <cell r="BY124">
            <v>20.406391831110877</v>
          </cell>
          <cell r="BZ124">
            <v>18.948792414602956</v>
          </cell>
          <cell r="CA124">
            <v>1.4575994165079198</v>
          </cell>
          <cell r="CI124">
            <v>8.001844249894571</v>
          </cell>
        </row>
        <row r="125">
          <cell r="A125">
            <v>39141</v>
          </cell>
          <cell r="J125">
            <v>6.4328555536541092</v>
          </cell>
          <cell r="U125">
            <v>6.8790640928644944</v>
          </cell>
          <cell r="AC125">
            <v>21.661474740854402</v>
          </cell>
          <cell r="AN125">
            <v>2.2110563926334934</v>
          </cell>
          <cell r="AY125">
            <v>2.6730356941243532</v>
          </cell>
          <cell r="BG125">
            <v>17.69627212694682</v>
          </cell>
          <cell r="BR125">
            <v>1.2821173040132037</v>
          </cell>
          <cell r="CA125">
            <v>1.4701895199899426</v>
          </cell>
          <cell r="CI125">
            <v>8.0417187067983367</v>
          </cell>
        </row>
        <row r="126">
          <cell r="A126">
            <v>39172</v>
          </cell>
          <cell r="J126">
            <v>6.4931196938750428</v>
          </cell>
          <cell r="U126">
            <v>6.9578012109363341</v>
          </cell>
          <cell r="AC126">
            <v>21.784728782348878</v>
          </cell>
          <cell r="AN126">
            <v>2.2078749115308853</v>
          </cell>
          <cell r="AY126">
            <v>2.6872954766704007</v>
          </cell>
          <cell r="BG126">
            <v>17.750214642033132</v>
          </cell>
          <cell r="BR126">
            <v>1.2903504874905036</v>
          </cell>
          <cell r="CA126">
            <v>1.4827796234719655</v>
          </cell>
          <cell r="CI126">
            <v>8.0815931637021023</v>
          </cell>
        </row>
        <row r="127">
          <cell r="A127">
            <v>39202</v>
          </cell>
          <cell r="J127">
            <v>6.5533838340959765</v>
          </cell>
          <cell r="U127">
            <v>7.0365383290081738</v>
          </cell>
          <cell r="AC127">
            <v>21.907982823843355</v>
          </cell>
          <cell r="AN127">
            <v>2.2046934304282773</v>
          </cell>
          <cell r="AY127">
            <v>2.7015552592164482</v>
          </cell>
          <cell r="BG127">
            <v>17.804157157119445</v>
          </cell>
          <cell r="BR127">
            <v>1.2985836709678036</v>
          </cell>
          <cell r="CA127">
            <v>1.4953697269539883</v>
          </cell>
          <cell r="CI127">
            <v>8.121467620605868</v>
          </cell>
        </row>
        <row r="128">
          <cell r="A128">
            <v>39233</v>
          </cell>
          <cell r="J128">
            <v>6.6136479743169101</v>
          </cell>
          <cell r="U128">
            <v>7.1152754470800135</v>
          </cell>
          <cell r="AC128">
            <v>22.031236865337831</v>
          </cell>
          <cell r="AN128">
            <v>2.2015119493256692</v>
          </cell>
          <cell r="AY128">
            <v>2.7158150417624958</v>
          </cell>
          <cell r="BG128">
            <v>17.858099672205757</v>
          </cell>
          <cell r="BR128">
            <v>1.3068168544451035</v>
          </cell>
          <cell r="CA128">
            <v>1.5079598304360111</v>
          </cell>
          <cell r="CI128">
            <v>8.1613420775096337</v>
          </cell>
        </row>
        <row r="129">
          <cell r="A129">
            <v>39263</v>
          </cell>
          <cell r="J129">
            <v>6.6739121145378437</v>
          </cell>
          <cell r="U129">
            <v>7.1940125651518532</v>
          </cell>
          <cell r="AC129">
            <v>22.154490906832308</v>
          </cell>
          <cell r="AN129">
            <v>2.1983304682230611</v>
          </cell>
          <cell r="AY129">
            <v>2.7300748243085433</v>
          </cell>
          <cell r="BG129">
            <v>17.912042187292069</v>
          </cell>
          <cell r="BR129">
            <v>1.3150500379224035</v>
          </cell>
          <cell r="CA129">
            <v>1.5205499339180339</v>
          </cell>
          <cell r="CI129">
            <v>8.2012165344133994</v>
          </cell>
        </row>
        <row r="130">
          <cell r="A130">
            <v>39294</v>
          </cell>
          <cell r="J130">
            <v>6.7341762547587773</v>
          </cell>
          <cell r="U130">
            <v>7.2727496832236929</v>
          </cell>
          <cell r="AC130">
            <v>22.277744948326784</v>
          </cell>
          <cell r="AN130">
            <v>2.195148987120453</v>
          </cell>
          <cell r="AY130">
            <v>2.7443346068545909</v>
          </cell>
          <cell r="BG130">
            <v>17.965984702378382</v>
          </cell>
          <cell r="BR130">
            <v>1.3232832213997034</v>
          </cell>
          <cell r="CA130">
            <v>1.5331400374000568</v>
          </cell>
          <cell r="CI130">
            <v>8.241090991317165</v>
          </cell>
        </row>
        <row r="131">
          <cell r="A131">
            <v>39325</v>
          </cell>
          <cell r="J131">
            <v>6.794440394979711</v>
          </cell>
          <cell r="U131">
            <v>7.3514868012955326</v>
          </cell>
          <cell r="AC131">
            <v>22.400998989821261</v>
          </cell>
          <cell r="AN131">
            <v>2.191967506017845</v>
          </cell>
          <cell r="AY131">
            <v>2.7585943894006384</v>
          </cell>
          <cell r="BG131">
            <v>18.019927217464694</v>
          </cell>
          <cell r="BR131">
            <v>1.3315164048770034</v>
          </cell>
          <cell r="CA131">
            <v>1.5457301408820796</v>
          </cell>
          <cell r="CI131">
            <v>8.2809654482209307</v>
          </cell>
        </row>
        <row r="132">
          <cell r="A132">
            <v>39355</v>
          </cell>
          <cell r="J132">
            <v>6.8547045352006446</v>
          </cell>
          <cell r="U132">
            <v>7.4302239193673723</v>
          </cell>
          <cell r="AC132">
            <v>22.524253031315737</v>
          </cell>
          <cell r="AN132">
            <v>2.1887860249152369</v>
          </cell>
          <cell r="AY132">
            <v>2.7728541719466859</v>
          </cell>
          <cell r="BG132">
            <v>18.073869732551007</v>
          </cell>
          <cell r="BR132">
            <v>1.3397495883543034</v>
          </cell>
          <cell r="CA132">
            <v>1.5583202443641024</v>
          </cell>
          <cell r="CI132">
            <v>8.3208399051246964</v>
          </cell>
        </row>
        <row r="133">
          <cell r="A133">
            <v>39386</v>
          </cell>
          <cell r="J133">
            <v>6.9149686754215782</v>
          </cell>
          <cell r="U133">
            <v>7.5089610374392119</v>
          </cell>
          <cell r="AC133">
            <v>22.647507072810214</v>
          </cell>
          <cell r="AN133">
            <v>2.1856045438126288</v>
          </cell>
          <cell r="AY133">
            <v>2.7871139544927335</v>
          </cell>
          <cell r="BG133">
            <v>18.127812247637319</v>
          </cell>
          <cell r="BR133">
            <v>1.3479827718316033</v>
          </cell>
          <cell r="CA133">
            <v>1.5709103478461253</v>
          </cell>
          <cell r="CI133">
            <v>8.3607143620284621</v>
          </cell>
        </row>
        <row r="134">
          <cell r="A134">
            <v>39416</v>
          </cell>
          <cell r="J134">
            <v>6.9752328156425119</v>
          </cell>
          <cell r="U134">
            <v>7.5876981555110516</v>
          </cell>
          <cell r="AC134">
            <v>22.77076111430469</v>
          </cell>
          <cell r="AN134">
            <v>2.1824230627100207</v>
          </cell>
          <cell r="AY134">
            <v>2.801373737038781</v>
          </cell>
          <cell r="BG134">
            <v>18.181754762723632</v>
          </cell>
          <cell r="BR134">
            <v>1.3562159553089033</v>
          </cell>
          <cell r="CA134">
            <v>1.5835004513281481</v>
          </cell>
          <cell r="CI134">
            <v>8.4005888189322278</v>
          </cell>
        </row>
        <row r="135">
          <cell r="A135">
            <v>39447</v>
          </cell>
          <cell r="J135">
            <v>7.0354969558634499</v>
          </cell>
          <cell r="U135">
            <v>7.666435273582894</v>
          </cell>
          <cell r="AC135">
            <v>22.894015155799181</v>
          </cell>
          <cell r="AN135">
            <v>2.1792415816074127</v>
          </cell>
          <cell r="AY135">
            <v>2.8156335195848272</v>
          </cell>
          <cell r="BG135">
            <v>18.235697277809944</v>
          </cell>
          <cell r="BR135">
            <v>1.3644491387862037</v>
          </cell>
          <cell r="CA135">
            <v>1.5960905548101698</v>
          </cell>
          <cell r="CI135">
            <v>8.4404632758359899</v>
          </cell>
        </row>
      </sheetData>
      <sheetData sheetId="29" refreshError="1">
        <row r="1">
          <cell r="B1" t="str">
            <v>DSF</v>
          </cell>
          <cell r="P1" t="str">
            <v>DSF</v>
          </cell>
          <cell r="AA1" t="str">
            <v>DSF</v>
          </cell>
          <cell r="AK1" t="str">
            <v>WHB</v>
          </cell>
          <cell r="AW1" t="str">
            <v>WHB</v>
          </cell>
          <cell r="BG1" t="str">
            <v>WHB</v>
          </cell>
          <cell r="BQ1" t="str">
            <v>WLB</v>
          </cell>
          <cell r="CC1" t="str">
            <v>WLB</v>
          </cell>
          <cell r="CM1" t="str">
            <v>WLB</v>
          </cell>
          <cell r="CX1" t="str">
            <v>ICBCA</v>
          </cell>
          <cell r="DJ1" t="str">
            <v>ICBCA</v>
          </cell>
          <cell r="DT1" t="str">
            <v>ICBCA</v>
          </cell>
          <cell r="EE1" t="str">
            <v>CIFH</v>
          </cell>
          <cell r="EP1" t="str">
            <v>CIFH</v>
          </cell>
          <cell r="EZ1" t="str">
            <v>CIFH</v>
          </cell>
        </row>
        <row r="2">
          <cell r="B2" t="str">
            <v>Px Last</v>
          </cell>
          <cell r="C2" t="str">
            <v>PE at 4</v>
          </cell>
          <cell r="D2" t="str">
            <v>PE at 6</v>
          </cell>
          <cell r="E2" t="str">
            <v>PE at 8</v>
          </cell>
          <cell r="F2" t="str">
            <v>PE at 10</v>
          </cell>
          <cell r="G2" t="str">
            <v>PE at 12</v>
          </cell>
          <cell r="H2" t="str">
            <v>PE at 14</v>
          </cell>
          <cell r="I2" t="str">
            <v>PE at 16</v>
          </cell>
          <cell r="J2" t="str">
            <v>PE at 18</v>
          </cell>
          <cell r="K2" t="str">
            <v>PE at 20</v>
          </cell>
          <cell r="L2" t="str">
            <v>PE at 15</v>
          </cell>
          <cell r="M2" t="str">
            <v>EPS</v>
          </cell>
          <cell r="P2" t="str">
            <v>Px Last</v>
          </cell>
          <cell r="Q2" t="str">
            <v>PPE at 3</v>
          </cell>
          <cell r="R2" t="str">
            <v>PPE at 5</v>
          </cell>
          <cell r="S2" t="str">
            <v>PPE at 7</v>
          </cell>
          <cell r="T2" t="str">
            <v>PPE at 9</v>
          </cell>
          <cell r="U2" t="str">
            <v>PPE at 11</v>
          </cell>
          <cell r="V2" t="str">
            <v>PPE at 13</v>
          </cell>
          <cell r="W2" t="str">
            <v>PPE at 15</v>
          </cell>
          <cell r="X2" t="str">
            <v>PPE at 10</v>
          </cell>
          <cell r="Y2" t="str">
            <v>PPE</v>
          </cell>
          <cell r="AA2" t="str">
            <v>Px Last</v>
          </cell>
          <cell r="AB2" t="str">
            <v>PB at 1.0</v>
          </cell>
          <cell r="AC2" t="str">
            <v>PB at 1.5</v>
          </cell>
          <cell r="AD2" t="str">
            <v>PB at 2.0</v>
          </cell>
          <cell r="AE2" t="str">
            <v>PB at 2.5</v>
          </cell>
          <cell r="AF2" t="str">
            <v>PB at 3.0</v>
          </cell>
          <cell r="AG2" t="str">
            <v>BPS</v>
          </cell>
          <cell r="AK2" t="str">
            <v>Px Last</v>
          </cell>
          <cell r="AL2" t="str">
            <v>PE at 8</v>
          </cell>
          <cell r="AM2" t="str">
            <v>PE at 10</v>
          </cell>
          <cell r="AN2" t="str">
            <v>PE at 12</v>
          </cell>
          <cell r="AO2" t="str">
            <v>PE at 14</v>
          </cell>
          <cell r="AP2" t="str">
            <v>PE at 16</v>
          </cell>
          <cell r="AQ2" t="str">
            <v>PE at 18</v>
          </cell>
          <cell r="AR2" t="str">
            <v>PE at 20</v>
          </cell>
          <cell r="AS2" t="str">
            <v>PE at 15</v>
          </cell>
          <cell r="AT2" t="str">
            <v>EPS</v>
          </cell>
          <cell r="AW2" t="str">
            <v>Px Last</v>
          </cell>
          <cell r="AX2" t="str">
            <v>PPE at 5</v>
          </cell>
          <cell r="AY2" t="str">
            <v>PPE at 7</v>
          </cell>
          <cell r="AZ2" t="str">
            <v>PPE at 9</v>
          </cell>
          <cell r="BA2" t="str">
            <v>PPE at 11</v>
          </cell>
          <cell r="BB2" t="str">
            <v>PPE at 13</v>
          </cell>
          <cell r="BC2" t="str">
            <v>PPE at 15</v>
          </cell>
          <cell r="BD2" t="str">
            <v>PPE at 10</v>
          </cell>
          <cell r="BE2" t="str">
            <v>PPE</v>
          </cell>
          <cell r="BG2" t="str">
            <v>Px Last</v>
          </cell>
          <cell r="BH2" t="str">
            <v>PB at 1.0</v>
          </cell>
          <cell r="BI2" t="str">
            <v>PB at 1.5</v>
          </cell>
          <cell r="BJ2" t="str">
            <v>PB at 2.0</v>
          </cell>
          <cell r="BK2" t="str">
            <v>PB at 2.5</v>
          </cell>
          <cell r="BL2" t="str">
            <v>PB at 3.0</v>
          </cell>
          <cell r="BM2" t="str">
            <v>BPS</v>
          </cell>
          <cell r="BQ2" t="str">
            <v>Px Last</v>
          </cell>
          <cell r="BR2" t="str">
            <v>PE at 6</v>
          </cell>
          <cell r="BS2" t="str">
            <v>PE at 8</v>
          </cell>
          <cell r="BT2" t="str">
            <v>PE at 10</v>
          </cell>
          <cell r="BU2" t="str">
            <v>PE at 12</v>
          </cell>
          <cell r="BV2" t="str">
            <v>PE at 14</v>
          </cell>
          <cell r="BW2" t="str">
            <v>PE at 16</v>
          </cell>
          <cell r="BX2" t="str">
            <v>PE at 18</v>
          </cell>
          <cell r="BY2" t="str">
            <v>PE at 20</v>
          </cell>
          <cell r="BZ2" t="str">
            <v>EPS</v>
          </cell>
          <cell r="CC2" t="str">
            <v>Px Last</v>
          </cell>
          <cell r="CD2" t="str">
            <v>PPE at 5</v>
          </cell>
          <cell r="CE2" t="str">
            <v>PPE at 7</v>
          </cell>
          <cell r="CF2" t="str">
            <v>PPE at 9</v>
          </cell>
          <cell r="CG2" t="str">
            <v>PPE at 11</v>
          </cell>
          <cell r="CH2" t="str">
            <v>PPE at 13</v>
          </cell>
          <cell r="CI2" t="str">
            <v>PPE at 15</v>
          </cell>
          <cell r="CJ2" t="str">
            <v>PPE at 10</v>
          </cell>
          <cell r="CK2" t="str">
            <v>PPE</v>
          </cell>
          <cell r="CM2" t="str">
            <v>Px Last</v>
          </cell>
          <cell r="CN2" t="str">
            <v>PB at 0.5</v>
          </cell>
          <cell r="CO2" t="str">
            <v>PB at 1.0</v>
          </cell>
          <cell r="CP2" t="str">
            <v>PB at 1.5</v>
          </cell>
          <cell r="CQ2" t="str">
            <v>PB at 2.0</v>
          </cell>
          <cell r="CR2" t="str">
            <v>PB at 2.5</v>
          </cell>
          <cell r="CS2" t="str">
            <v>PB at 3.0</v>
          </cell>
          <cell r="CT2" t="str">
            <v>BPS</v>
          </cell>
          <cell r="CX2" t="str">
            <v>Px Last</v>
          </cell>
          <cell r="CY2" t="str">
            <v>PE at 8</v>
          </cell>
          <cell r="CZ2" t="str">
            <v>PE at 10</v>
          </cell>
          <cell r="DA2" t="str">
            <v>PE at 12</v>
          </cell>
          <cell r="DB2" t="str">
            <v>PE at 14</v>
          </cell>
          <cell r="DC2" t="str">
            <v>PE at 16</v>
          </cell>
          <cell r="DD2" t="str">
            <v>PE at 18</v>
          </cell>
          <cell r="DE2" t="str">
            <v>PE at 20</v>
          </cell>
          <cell r="DF2" t="str">
            <v>PE at 15</v>
          </cell>
          <cell r="DG2" t="str">
            <v>EPS</v>
          </cell>
          <cell r="DJ2" t="str">
            <v>Px Last</v>
          </cell>
          <cell r="DK2" t="str">
            <v>PPE at 5</v>
          </cell>
          <cell r="DL2" t="str">
            <v>PPE at 7</v>
          </cell>
          <cell r="DM2" t="str">
            <v>PPE at 9</v>
          </cell>
          <cell r="DN2" t="str">
            <v>PPE at 11</v>
          </cell>
          <cell r="DO2" t="str">
            <v>PPE at 13</v>
          </cell>
          <cell r="DP2" t="str">
            <v>PPE at 15</v>
          </cell>
          <cell r="DQ2" t="str">
            <v>PPE at 10</v>
          </cell>
          <cell r="DR2" t="str">
            <v>PPE</v>
          </cell>
          <cell r="DT2" t="str">
            <v>Px Last</v>
          </cell>
          <cell r="DU2" t="str">
            <v>PB at 0.5</v>
          </cell>
          <cell r="DV2" t="str">
            <v>PB at 1.0</v>
          </cell>
          <cell r="DW2" t="str">
            <v>PB at 1.5</v>
          </cell>
          <cell r="DX2" t="str">
            <v>PB at 2.0</v>
          </cell>
          <cell r="DY2" t="str">
            <v>PB at 2.5</v>
          </cell>
          <cell r="DZ2" t="str">
            <v>PB at 3</v>
          </cell>
          <cell r="EA2" t="str">
            <v>BPS</v>
          </cell>
          <cell r="EE2" t="str">
            <v>Px Last</v>
          </cell>
          <cell r="EF2" t="str">
            <v>PE at 10</v>
          </cell>
          <cell r="EG2" t="str">
            <v>PE at 12</v>
          </cell>
          <cell r="EH2" t="str">
            <v>PE at 14</v>
          </cell>
          <cell r="EI2" t="str">
            <v>PE at 16</v>
          </cell>
          <cell r="EJ2" t="str">
            <v>PE at 18</v>
          </cell>
          <cell r="EK2" t="str">
            <v>PE at 20</v>
          </cell>
          <cell r="EL2" t="str">
            <v>PE at 15</v>
          </cell>
          <cell r="EM2" t="str">
            <v>EPS</v>
          </cell>
          <cell r="EP2" t="str">
            <v>Px Last</v>
          </cell>
          <cell r="EQ2" t="str">
            <v>PPE at 5</v>
          </cell>
          <cell r="ER2" t="str">
            <v>PPE at 7</v>
          </cell>
          <cell r="ES2" t="str">
            <v>PPE at 9</v>
          </cell>
          <cell r="ET2" t="str">
            <v>PPE at 11</v>
          </cell>
          <cell r="EU2" t="str">
            <v>PPE at 13</v>
          </cell>
          <cell r="EV2" t="str">
            <v>PPE at 15</v>
          </cell>
          <cell r="EW2" t="str">
            <v>PPE at 10</v>
          </cell>
          <cell r="EX2" t="str">
            <v>PPE</v>
          </cell>
          <cell r="EZ2" t="str">
            <v>Px Last</v>
          </cell>
          <cell r="FA2" t="str">
            <v>PB at 0.5</v>
          </cell>
          <cell r="FB2" t="str">
            <v>PB at 1.0</v>
          </cell>
          <cell r="FC2" t="str">
            <v>PB at 1.5</v>
          </cell>
          <cell r="FD2" t="str">
            <v>PB at 2.0</v>
          </cell>
          <cell r="FE2" t="str">
            <v>PB at 2.5</v>
          </cell>
          <cell r="FF2" t="str">
            <v>PB at 3</v>
          </cell>
          <cell r="FG2" t="str">
            <v>BPS</v>
          </cell>
        </row>
        <row r="3">
          <cell r="A3">
            <v>35430</v>
          </cell>
          <cell r="B3">
            <v>30.887979999999999</v>
          </cell>
          <cell r="C3">
            <v>10.551116655177319</v>
          </cell>
          <cell r="D3">
            <v>15.826674982765979</v>
          </cell>
          <cell r="E3">
            <v>21.102233310354638</v>
          </cell>
          <cell r="F3">
            <v>26.377791637943297</v>
          </cell>
          <cell r="G3">
            <v>31.653349965531959</v>
          </cell>
          <cell r="H3">
            <v>36.928908293120614</v>
          </cell>
          <cell r="I3">
            <v>42.204466620709276</v>
          </cell>
          <cell r="J3">
            <v>47.480024948297938</v>
          </cell>
          <cell r="K3">
            <v>52.755583275886593</v>
          </cell>
          <cell r="L3">
            <v>39.566687456914948</v>
          </cell>
          <cell r="M3">
            <v>2.6377791637943298</v>
          </cell>
          <cell r="P3">
            <v>30.887979999999999</v>
          </cell>
          <cell r="Q3">
            <v>10.859455733184518</v>
          </cell>
          <cell r="R3">
            <v>18.099092888640861</v>
          </cell>
          <cell r="S3">
            <v>25.338730044097208</v>
          </cell>
          <cell r="T3">
            <v>32.578367199553554</v>
          </cell>
          <cell r="U3">
            <v>39.818004355009897</v>
          </cell>
          <cell r="V3">
            <v>47.05764151046624</v>
          </cell>
          <cell r="W3">
            <v>54.297278665922583</v>
          </cell>
          <cell r="X3">
            <v>36.198185777281722</v>
          </cell>
          <cell r="Y3">
            <v>3.6198185777281724</v>
          </cell>
          <cell r="AA3">
            <v>30.887979999999999</v>
          </cell>
          <cell r="AB3">
            <v>14.421915110133607</v>
          </cell>
          <cell r="AC3">
            <v>21.632872665200409</v>
          </cell>
          <cell r="AD3">
            <v>28.843830220267215</v>
          </cell>
          <cell r="AE3">
            <v>36.05478777533402</v>
          </cell>
          <cell r="AF3">
            <v>43.265745330400819</v>
          </cell>
          <cell r="AG3">
            <v>14.421915110133607</v>
          </cell>
          <cell r="AK3">
            <v>29.249980000000001</v>
          </cell>
          <cell r="AL3">
            <v>17.536450511945393</v>
          </cell>
          <cell r="AM3">
            <v>21.92056313993174</v>
          </cell>
          <cell r="AN3">
            <v>26.304675767918091</v>
          </cell>
          <cell r="AO3">
            <v>30.688788395904439</v>
          </cell>
          <cell r="AP3">
            <v>35.072901023890786</v>
          </cell>
          <cell r="AQ3">
            <v>39.457013651877133</v>
          </cell>
          <cell r="AR3">
            <v>43.841126279863481</v>
          </cell>
          <cell r="AS3">
            <v>32.880844709897609</v>
          </cell>
          <cell r="AT3">
            <v>2.1920563139931741</v>
          </cell>
          <cell r="AW3">
            <v>29.249980000000001</v>
          </cell>
          <cell r="AX3">
            <v>14.667022184300343</v>
          </cell>
          <cell r="AY3">
            <v>20.533831058020478</v>
          </cell>
          <cell r="AZ3">
            <v>26.400639931740617</v>
          </cell>
          <cell r="BA3">
            <v>32.267448805460752</v>
          </cell>
          <cell r="BB3">
            <v>38.134257679180891</v>
          </cell>
          <cell r="BC3">
            <v>44.00106655290103</v>
          </cell>
          <cell r="BD3">
            <v>29.334044368600686</v>
          </cell>
          <cell r="BE3">
            <v>2.9334044368600685</v>
          </cell>
          <cell r="BG3">
            <v>29.249980000000001</v>
          </cell>
          <cell r="BH3">
            <v>10.204732650739478</v>
          </cell>
          <cell r="BI3">
            <v>15.307098976109216</v>
          </cell>
          <cell r="BJ3">
            <v>20.409465301478956</v>
          </cell>
          <cell r="BK3">
            <v>25.511831626848696</v>
          </cell>
          <cell r="BL3">
            <v>30.614197952218433</v>
          </cell>
          <cell r="BM3">
            <v>10.204732650739478</v>
          </cell>
          <cell r="BQ3">
            <v>43.74982</v>
          </cell>
          <cell r="BR3">
            <v>22.27011687316983</v>
          </cell>
          <cell r="BS3">
            <v>29.693489164226438</v>
          </cell>
          <cell r="BT3">
            <v>37.11686145528305</v>
          </cell>
          <cell r="BU3">
            <v>44.540233746339659</v>
          </cell>
          <cell r="BV3">
            <v>51.963606037396268</v>
          </cell>
          <cell r="BW3">
            <v>59.386978328452876</v>
          </cell>
          <cell r="BX3">
            <v>66.810350619509492</v>
          </cell>
          <cell r="BY3">
            <v>74.233722910566101</v>
          </cell>
          <cell r="BZ3">
            <v>3.7116861455283048</v>
          </cell>
          <cell r="CC3">
            <v>43.74982</v>
          </cell>
          <cell r="CD3">
            <v>22.804902263578665</v>
          </cell>
          <cell r="CE3">
            <v>31.926863169010133</v>
          </cell>
          <cell r="CF3">
            <v>41.048824074441598</v>
          </cell>
          <cell r="CG3">
            <v>50.170784979873062</v>
          </cell>
          <cell r="CH3">
            <v>59.292745885304534</v>
          </cell>
          <cell r="CI3">
            <v>68.414706790735991</v>
          </cell>
          <cell r="CJ3">
            <v>45.60980452715733</v>
          </cell>
          <cell r="CK3">
            <v>4.5609804527157332</v>
          </cell>
          <cell r="CM3">
            <v>43.74982</v>
          </cell>
          <cell r="CN3">
            <v>11.261795073486319</v>
          </cell>
          <cell r="CO3">
            <v>22.523590146972637</v>
          </cell>
          <cell r="CP3">
            <v>33.785385220458956</v>
          </cell>
          <cell r="CQ3">
            <v>45.047180293945274</v>
          </cell>
          <cell r="CR3">
            <v>56.308975367431593</v>
          </cell>
          <cell r="CS3">
            <v>67.570770440917912</v>
          </cell>
          <cell r="CT3">
            <v>22.523590146972637</v>
          </cell>
          <cell r="CX3">
            <v>9.4691310000000009</v>
          </cell>
          <cell r="DJ3">
            <v>9.4691310000000009</v>
          </cell>
          <cell r="DT3">
            <v>9.4691310000000009</v>
          </cell>
          <cell r="DV3">
            <v>0</v>
          </cell>
          <cell r="DW3">
            <v>0</v>
          </cell>
          <cell r="DX3">
            <v>0</v>
          </cell>
          <cell r="DY3">
            <v>0</v>
          </cell>
          <cell r="DZ3">
            <v>0</v>
          </cell>
          <cell r="EE3">
            <v>2.0085540000000002</v>
          </cell>
          <cell r="EF3">
            <v>2.1256028365112565</v>
          </cell>
          <cell r="EG3">
            <v>2.550723403813508</v>
          </cell>
          <cell r="EH3">
            <v>2.9758439711157596</v>
          </cell>
          <cell r="EI3">
            <v>3.4009645384180107</v>
          </cell>
          <cell r="EJ3">
            <v>3.8260851057202618</v>
          </cell>
          <cell r="EK3">
            <v>4.251205673022513</v>
          </cell>
          <cell r="EL3">
            <v>3.1884042547668852</v>
          </cell>
          <cell r="EM3">
            <v>0.21256028365112567</v>
          </cell>
          <cell r="EP3">
            <v>2.0085540000000002</v>
          </cell>
          <cell r="EQ3">
            <v>1.3390861284009321</v>
          </cell>
          <cell r="ER3">
            <v>1.8747205797613047</v>
          </cell>
          <cell r="ES3">
            <v>2.4103550311216777</v>
          </cell>
          <cell r="ET3">
            <v>2.9459894824820503</v>
          </cell>
          <cell r="EU3">
            <v>3.4816239338424233</v>
          </cell>
          <cell r="EV3">
            <v>4.0172583852027959</v>
          </cell>
          <cell r="EW3">
            <v>2.6781722568018642</v>
          </cell>
          <cell r="EX3">
            <v>0.2678172256801864</v>
          </cell>
          <cell r="EZ3">
            <v>2.0085540000000002</v>
          </cell>
          <cell r="FA3">
            <v>0.54394412114353352</v>
          </cell>
          <cell r="FB3">
            <v>1.087888242287067</v>
          </cell>
          <cell r="FC3">
            <v>1.6318323634306005</v>
          </cell>
          <cell r="FD3">
            <v>2.1757764845741341</v>
          </cell>
          <cell r="FE3">
            <v>2.7197206057176677</v>
          </cell>
          <cell r="FF3">
            <v>3.2636647268612009</v>
          </cell>
          <cell r="FG3">
            <v>1.087888242287067</v>
          </cell>
          <cell r="FK3" t="str">
            <v>DSF</v>
          </cell>
          <cell r="FT3" t="str">
            <v>DSF</v>
          </cell>
          <cell r="GC3" t="str">
            <v>DSF</v>
          </cell>
        </row>
        <row r="4">
          <cell r="A4">
            <v>35461</v>
          </cell>
          <cell r="B4">
            <v>34.429270000000002</v>
          </cell>
          <cell r="C4">
            <v>10.638663174278131</v>
          </cell>
          <cell r="D4">
            <v>15.957994761417197</v>
          </cell>
          <cell r="E4">
            <v>21.277326348556262</v>
          </cell>
          <cell r="F4">
            <v>26.596657935695326</v>
          </cell>
          <cell r="G4">
            <v>31.915989522834394</v>
          </cell>
          <cell r="H4">
            <v>37.235321109973455</v>
          </cell>
          <cell r="I4">
            <v>42.554652697112523</v>
          </cell>
          <cell r="J4">
            <v>47.873984284251591</v>
          </cell>
          <cell r="K4">
            <v>53.193315871390652</v>
          </cell>
          <cell r="L4">
            <v>39.894986903542993</v>
          </cell>
          <cell r="M4">
            <v>2.6596657935695327</v>
          </cell>
          <cell r="P4">
            <v>34.429270000000002</v>
          </cell>
          <cell r="Q4">
            <v>10.854772218862127</v>
          </cell>
          <cell r="R4">
            <v>18.091287031436881</v>
          </cell>
          <cell r="S4">
            <v>25.327801844011631</v>
          </cell>
          <cell r="T4">
            <v>32.564316656586385</v>
          </cell>
          <cell r="U4">
            <v>39.800831469161139</v>
          </cell>
          <cell r="V4">
            <v>47.037346281735886</v>
          </cell>
          <cell r="W4">
            <v>54.273861094310639</v>
          </cell>
          <cell r="X4">
            <v>36.182574062873762</v>
          </cell>
          <cell r="Y4">
            <v>3.618257406287376</v>
          </cell>
          <cell r="AA4">
            <v>34.429270000000002</v>
          </cell>
          <cell r="AB4">
            <v>14.665506059700482</v>
          </cell>
          <cell r="AC4">
            <v>21.998259089550722</v>
          </cell>
          <cell r="AD4">
            <v>29.331012119400963</v>
          </cell>
          <cell r="AE4">
            <v>36.663765149251205</v>
          </cell>
          <cell r="AF4">
            <v>43.996518179101443</v>
          </cell>
          <cell r="AG4">
            <v>14.665506059700482</v>
          </cell>
          <cell r="AK4">
            <v>30.74999</v>
          </cell>
          <cell r="AL4">
            <v>17.72712741751991</v>
          </cell>
          <cell r="AM4">
            <v>22.158909271899887</v>
          </cell>
          <cell r="AN4">
            <v>26.590691126279864</v>
          </cell>
          <cell r="AO4">
            <v>31.022472980659842</v>
          </cell>
          <cell r="AP4">
            <v>35.454254835039819</v>
          </cell>
          <cell r="AQ4">
            <v>39.886036689419797</v>
          </cell>
          <cell r="AR4">
            <v>44.317818543799774</v>
          </cell>
          <cell r="AS4">
            <v>33.238363907849831</v>
          </cell>
          <cell r="AT4">
            <v>2.2158909271899887</v>
          </cell>
          <cell r="AW4">
            <v>30.74999</v>
          </cell>
          <cell r="AX4">
            <v>14.904517444065226</v>
          </cell>
          <cell r="AY4">
            <v>20.866324421691317</v>
          </cell>
          <cell r="AZ4">
            <v>26.828131399317407</v>
          </cell>
          <cell r="BA4">
            <v>32.789938376943496</v>
          </cell>
          <cell r="BB4">
            <v>38.751745354569586</v>
          </cell>
          <cell r="BC4">
            <v>44.713552332195675</v>
          </cell>
          <cell r="BD4">
            <v>29.809034888130451</v>
          </cell>
          <cell r="BE4">
            <v>2.9809034888130452</v>
          </cell>
          <cell r="BG4">
            <v>30.74999</v>
          </cell>
          <cell r="BH4">
            <v>10.323179275692075</v>
          </cell>
          <cell r="BI4">
            <v>15.484768913538112</v>
          </cell>
          <cell r="BJ4">
            <v>20.64635855138415</v>
          </cell>
          <cell r="BK4">
            <v>25.807948189230189</v>
          </cell>
          <cell r="BL4">
            <v>30.969537827076223</v>
          </cell>
          <cell r="BM4">
            <v>10.323179275692075</v>
          </cell>
          <cell r="BQ4">
            <v>47.083150000000003</v>
          </cell>
          <cell r="BR4">
            <v>22.436624442250164</v>
          </cell>
          <cell r="BS4">
            <v>29.91549925633355</v>
          </cell>
          <cell r="BT4">
            <v>37.394374070416937</v>
          </cell>
          <cell r="BU4">
            <v>44.873248884500327</v>
          </cell>
          <cell r="BV4">
            <v>52.352123698583711</v>
          </cell>
          <cell r="BW4">
            <v>59.830998512667101</v>
          </cell>
          <cell r="BX4">
            <v>67.309873326750491</v>
          </cell>
          <cell r="BY4">
            <v>74.788748140833874</v>
          </cell>
          <cell r="BZ4">
            <v>3.7394374070416938</v>
          </cell>
          <cell r="CC4">
            <v>47.083150000000003</v>
          </cell>
          <cell r="CD4">
            <v>22.958768996000096</v>
          </cell>
          <cell r="CE4">
            <v>32.14227659440013</v>
          </cell>
          <cell r="CF4">
            <v>41.325784192800171</v>
          </cell>
          <cell r="CG4">
            <v>50.509291791200205</v>
          </cell>
          <cell r="CH4">
            <v>59.692799389600246</v>
          </cell>
          <cell r="CI4">
            <v>68.87630698800028</v>
          </cell>
          <cell r="CJ4">
            <v>45.917537992000192</v>
          </cell>
          <cell r="CK4">
            <v>4.5917537992000188</v>
          </cell>
          <cell r="CM4">
            <v>47.083150000000003</v>
          </cell>
          <cell r="CN4">
            <v>11.355324196567381</v>
          </cell>
          <cell r="CO4">
            <v>22.710648393134761</v>
          </cell>
          <cell r="CP4">
            <v>34.065972589702142</v>
          </cell>
          <cell r="CQ4">
            <v>45.421296786269522</v>
          </cell>
          <cell r="CR4">
            <v>56.776620982836903</v>
          </cell>
          <cell r="CS4">
            <v>68.131945179404283</v>
          </cell>
          <cell r="CT4">
            <v>22.710648393134761</v>
          </cell>
          <cell r="CX4">
            <v>10.343209999999999</v>
          </cell>
          <cell r="DJ4">
            <v>10.343209999999999</v>
          </cell>
          <cell r="DT4">
            <v>10.343209999999999</v>
          </cell>
          <cell r="DV4">
            <v>0</v>
          </cell>
          <cell r="DW4">
            <v>0</v>
          </cell>
          <cell r="DX4">
            <v>0</v>
          </cell>
          <cell r="DY4">
            <v>0</v>
          </cell>
          <cell r="DZ4">
            <v>0</v>
          </cell>
          <cell r="EE4">
            <v>2.077814</v>
          </cell>
          <cell r="EF4">
            <v>2.1530051362965446</v>
          </cell>
          <cell r="EG4">
            <v>2.5836061635558538</v>
          </cell>
          <cell r="EH4">
            <v>3.0142071908151626</v>
          </cell>
          <cell r="EI4">
            <v>3.4448082180744715</v>
          </cell>
          <cell r="EJ4">
            <v>3.8754092453337803</v>
          </cell>
          <cell r="EK4">
            <v>4.3060102725930891</v>
          </cell>
          <cell r="EL4">
            <v>3.2295077044448171</v>
          </cell>
          <cell r="EM4">
            <v>0.21530051362965447</v>
          </cell>
          <cell r="EP4">
            <v>2.077814</v>
          </cell>
          <cell r="EQ4">
            <v>1.3752235210235808</v>
          </cell>
          <cell r="ER4">
            <v>1.9253129294330131</v>
          </cell>
          <cell r="ES4">
            <v>2.4754023378424455</v>
          </cell>
          <cell r="ET4">
            <v>3.0254917462518778</v>
          </cell>
          <cell r="EU4">
            <v>3.5755811546613101</v>
          </cell>
          <cell r="EV4">
            <v>4.1256705630707424</v>
          </cell>
          <cell r="EW4">
            <v>2.7504470420471616</v>
          </cell>
          <cell r="EX4">
            <v>0.27504470420471616</v>
          </cell>
          <cell r="EZ4">
            <v>2.077814</v>
          </cell>
          <cell r="FA4">
            <v>0.5922037930387356</v>
          </cell>
          <cell r="FB4">
            <v>1.1844075860774712</v>
          </cell>
          <cell r="FC4">
            <v>1.7766113791162068</v>
          </cell>
          <cell r="FD4">
            <v>2.3688151721549424</v>
          </cell>
          <cell r="FE4">
            <v>2.961018965193678</v>
          </cell>
          <cell r="FF4">
            <v>3.5532227582324136</v>
          </cell>
          <cell r="FG4">
            <v>1.1844075860774712</v>
          </cell>
          <cell r="FK4" t="str">
            <v>PE</v>
          </cell>
          <cell r="FT4" t="str">
            <v>PPE</v>
          </cell>
          <cell r="GC4" t="str">
            <v>PB</v>
          </cell>
        </row>
        <row r="5">
          <cell r="A5">
            <v>35489</v>
          </cell>
          <cell r="B5">
            <v>31.871670000000002</v>
          </cell>
          <cell r="C5">
            <v>10.726209693378943</v>
          </cell>
          <cell r="D5">
            <v>16.089314540068415</v>
          </cell>
          <cell r="E5">
            <v>21.452419386757885</v>
          </cell>
          <cell r="F5">
            <v>26.815524233447356</v>
          </cell>
          <cell r="G5">
            <v>32.17862908013683</v>
          </cell>
          <cell r="H5">
            <v>37.541733926826296</v>
          </cell>
          <cell r="I5">
            <v>42.90483877351577</v>
          </cell>
          <cell r="J5">
            <v>48.267943620205244</v>
          </cell>
          <cell r="K5">
            <v>53.631048466894711</v>
          </cell>
          <cell r="L5">
            <v>40.223286350171037</v>
          </cell>
          <cell r="M5">
            <v>2.6815524233447356</v>
          </cell>
          <cell r="P5">
            <v>31.871670000000002</v>
          </cell>
          <cell r="Q5">
            <v>10.85008870453974</v>
          </cell>
          <cell r="R5">
            <v>18.083481174232897</v>
          </cell>
          <cell r="S5">
            <v>25.316873643926058</v>
          </cell>
          <cell r="T5">
            <v>32.550266113619216</v>
          </cell>
          <cell r="U5">
            <v>39.783658583312373</v>
          </cell>
          <cell r="V5">
            <v>47.017051053005538</v>
          </cell>
          <cell r="W5">
            <v>54.250443522698696</v>
          </cell>
          <cell r="X5">
            <v>36.166962348465795</v>
          </cell>
          <cell r="Y5">
            <v>3.6166962348465796</v>
          </cell>
          <cell r="AA5">
            <v>31.871670000000002</v>
          </cell>
          <cell r="AB5">
            <v>14.909097009267356</v>
          </cell>
          <cell r="AC5">
            <v>22.363645513901034</v>
          </cell>
          <cell r="AD5">
            <v>29.818194018534712</v>
          </cell>
          <cell r="AE5">
            <v>37.27274252316839</v>
          </cell>
          <cell r="AF5">
            <v>44.727291027802067</v>
          </cell>
          <cell r="AG5">
            <v>14.909097009267356</v>
          </cell>
          <cell r="AK5">
            <v>29.333320000000001</v>
          </cell>
          <cell r="AL5">
            <v>17.917804323094426</v>
          </cell>
          <cell r="AM5">
            <v>22.397255403868034</v>
          </cell>
          <cell r="AN5">
            <v>26.876706484641637</v>
          </cell>
          <cell r="AO5">
            <v>31.356157565415245</v>
          </cell>
          <cell r="AP5">
            <v>35.835608646188852</v>
          </cell>
          <cell r="AQ5">
            <v>40.31505972696246</v>
          </cell>
          <cell r="AR5">
            <v>44.794510807736067</v>
          </cell>
          <cell r="AS5">
            <v>33.595883105802052</v>
          </cell>
          <cell r="AT5">
            <v>2.2397255403868033</v>
          </cell>
          <cell r="AW5">
            <v>29.333320000000001</v>
          </cell>
          <cell r="AX5">
            <v>15.14201270383011</v>
          </cell>
          <cell r="AY5">
            <v>21.198817785362152</v>
          </cell>
          <cell r="AZ5">
            <v>27.2556228668942</v>
          </cell>
          <cell r="BA5">
            <v>33.31242794842624</v>
          </cell>
          <cell r="BB5">
            <v>39.369233029958288</v>
          </cell>
          <cell r="BC5">
            <v>45.426038111490328</v>
          </cell>
          <cell r="BD5">
            <v>30.28402540766022</v>
          </cell>
          <cell r="BE5">
            <v>3.028402540766022</v>
          </cell>
          <cell r="BG5">
            <v>29.333320000000001</v>
          </cell>
          <cell r="BH5">
            <v>10.441625900644672</v>
          </cell>
          <cell r="BI5">
            <v>15.662438850967007</v>
          </cell>
          <cell r="BJ5">
            <v>20.883251801289344</v>
          </cell>
          <cell r="BK5">
            <v>26.104064751611681</v>
          </cell>
          <cell r="BL5">
            <v>31.324877701934014</v>
          </cell>
          <cell r="BM5">
            <v>10.441625900644672</v>
          </cell>
          <cell r="BQ5">
            <v>46.04148</v>
          </cell>
          <cell r="BR5">
            <v>22.603132011330498</v>
          </cell>
          <cell r="BS5">
            <v>30.137509348440663</v>
          </cell>
          <cell r="BT5">
            <v>37.671886685550831</v>
          </cell>
          <cell r="BU5">
            <v>45.206264022660996</v>
          </cell>
          <cell r="BV5">
            <v>52.740641359771161</v>
          </cell>
          <cell r="BW5">
            <v>60.275018696881325</v>
          </cell>
          <cell r="BX5">
            <v>67.80939603399149</v>
          </cell>
          <cell r="BY5">
            <v>75.343773371101662</v>
          </cell>
          <cell r="BZ5">
            <v>3.7671886685550828</v>
          </cell>
          <cell r="CC5">
            <v>46.04148</v>
          </cell>
          <cell r="CD5">
            <v>23.112635728421523</v>
          </cell>
          <cell r="CE5">
            <v>32.357690019790134</v>
          </cell>
          <cell r="CF5">
            <v>41.602744311158737</v>
          </cell>
          <cell r="CG5">
            <v>50.847798602527348</v>
          </cell>
          <cell r="CH5">
            <v>60.092852893895959</v>
          </cell>
          <cell r="CI5">
            <v>69.337907185264569</v>
          </cell>
          <cell r="CJ5">
            <v>46.225271456843046</v>
          </cell>
          <cell r="CK5">
            <v>4.6225271456843045</v>
          </cell>
          <cell r="CM5">
            <v>46.04148</v>
          </cell>
          <cell r="CN5">
            <v>11.448853319648443</v>
          </cell>
          <cell r="CO5">
            <v>22.897706639296885</v>
          </cell>
          <cell r="CP5">
            <v>34.346559958945328</v>
          </cell>
          <cell r="CQ5">
            <v>45.79541327859377</v>
          </cell>
          <cell r="CR5">
            <v>57.244266598242213</v>
          </cell>
          <cell r="CS5">
            <v>68.693119917890655</v>
          </cell>
          <cell r="CT5">
            <v>22.897706639296885</v>
          </cell>
          <cell r="CX5">
            <v>11.65432</v>
          </cell>
          <cell r="DJ5">
            <v>11.65432</v>
          </cell>
          <cell r="DT5">
            <v>11.65432</v>
          </cell>
          <cell r="DV5">
            <v>0</v>
          </cell>
          <cell r="DW5">
            <v>0</v>
          </cell>
          <cell r="DX5">
            <v>0</v>
          </cell>
          <cell r="DY5">
            <v>0</v>
          </cell>
          <cell r="DZ5">
            <v>0</v>
          </cell>
          <cell r="EE5">
            <v>2.091666</v>
          </cell>
          <cell r="EF5">
            <v>2.1804074360818326</v>
          </cell>
          <cell r="EG5">
            <v>2.6164889232981992</v>
          </cell>
          <cell r="EH5">
            <v>3.0525704105145657</v>
          </cell>
          <cell r="EI5">
            <v>3.4886518977309322</v>
          </cell>
          <cell r="EJ5">
            <v>3.9247333849472987</v>
          </cell>
          <cell r="EK5">
            <v>4.3608148721636653</v>
          </cell>
          <cell r="EL5">
            <v>3.2706111541227489</v>
          </cell>
          <cell r="EM5">
            <v>0.21804074360818326</v>
          </cell>
          <cell r="EP5">
            <v>2.091666</v>
          </cell>
          <cell r="EQ5">
            <v>1.4113609136462295</v>
          </cell>
          <cell r="ER5">
            <v>1.9759052791047216</v>
          </cell>
          <cell r="ES5">
            <v>2.5404496445632132</v>
          </cell>
          <cell r="ET5">
            <v>3.1049940100217053</v>
          </cell>
          <cell r="EU5">
            <v>3.6695383754801969</v>
          </cell>
          <cell r="EV5">
            <v>4.234082740938689</v>
          </cell>
          <cell r="EW5">
            <v>2.822721827292459</v>
          </cell>
          <cell r="EX5">
            <v>0.28227218272924592</v>
          </cell>
          <cell r="EZ5">
            <v>2.091666</v>
          </cell>
          <cell r="FA5">
            <v>0.64046346493393769</v>
          </cell>
          <cell r="FB5">
            <v>1.2809269298678754</v>
          </cell>
          <cell r="FC5">
            <v>1.9213903948018132</v>
          </cell>
          <cell r="FD5">
            <v>2.5618538597357507</v>
          </cell>
          <cell r="FE5">
            <v>3.2023173246696883</v>
          </cell>
          <cell r="FF5">
            <v>3.8427807896036263</v>
          </cell>
          <cell r="FG5">
            <v>1.2809269298678754</v>
          </cell>
        </row>
        <row r="6">
          <cell r="A6">
            <v>35520</v>
          </cell>
          <cell r="B6">
            <v>29.707540000000002</v>
          </cell>
          <cell r="C6">
            <v>10.813756212479754</v>
          </cell>
          <cell r="D6">
            <v>16.220634318719632</v>
          </cell>
          <cell r="E6">
            <v>21.627512424959509</v>
          </cell>
          <cell r="F6">
            <v>27.034390531199385</v>
          </cell>
          <cell r="G6">
            <v>32.441268637439265</v>
          </cell>
          <cell r="H6">
            <v>37.848146743679138</v>
          </cell>
          <cell r="I6">
            <v>43.255024849919018</v>
          </cell>
          <cell r="J6">
            <v>48.661902956158897</v>
          </cell>
          <cell r="K6">
            <v>54.06878106239877</v>
          </cell>
          <cell r="L6">
            <v>40.551585796799081</v>
          </cell>
          <cell r="M6">
            <v>2.7034390531199386</v>
          </cell>
          <cell r="P6">
            <v>29.707540000000002</v>
          </cell>
          <cell r="Q6">
            <v>10.845405190217349</v>
          </cell>
          <cell r="R6">
            <v>18.075675317028917</v>
          </cell>
          <cell r="S6">
            <v>25.305945443840482</v>
          </cell>
          <cell r="T6">
            <v>32.536215570652047</v>
          </cell>
          <cell r="U6">
            <v>39.766485697463615</v>
          </cell>
          <cell r="V6">
            <v>46.996755824275183</v>
          </cell>
          <cell r="W6">
            <v>54.227025951086752</v>
          </cell>
          <cell r="X6">
            <v>36.151350634057835</v>
          </cell>
          <cell r="Y6">
            <v>3.6151350634057833</v>
          </cell>
          <cell r="AA6">
            <v>29.707540000000002</v>
          </cell>
          <cell r="AB6">
            <v>15.15268795883423</v>
          </cell>
          <cell r="AC6">
            <v>22.729031938251346</v>
          </cell>
          <cell r="AD6">
            <v>30.30537591766846</v>
          </cell>
          <cell r="AE6">
            <v>37.881719897085574</v>
          </cell>
          <cell r="AF6">
            <v>45.458063876502692</v>
          </cell>
          <cell r="AG6">
            <v>15.15268795883423</v>
          </cell>
          <cell r="AK6">
            <v>28.333320000000001</v>
          </cell>
          <cell r="AL6">
            <v>18.108481228668943</v>
          </cell>
          <cell r="AM6">
            <v>22.63560153583618</v>
          </cell>
          <cell r="AN6">
            <v>27.162721843003414</v>
          </cell>
          <cell r="AO6">
            <v>31.689842150170648</v>
          </cell>
          <cell r="AP6">
            <v>36.216962457337885</v>
          </cell>
          <cell r="AQ6">
            <v>40.744082764505123</v>
          </cell>
          <cell r="AR6">
            <v>45.27120307167236</v>
          </cell>
          <cell r="AS6">
            <v>33.953402303754267</v>
          </cell>
          <cell r="AT6">
            <v>2.2635601535836178</v>
          </cell>
          <cell r="AW6">
            <v>28.333320000000001</v>
          </cell>
          <cell r="AX6">
            <v>15.379507963594994</v>
          </cell>
          <cell r="AY6">
            <v>21.531311149032991</v>
          </cell>
          <cell r="AZ6">
            <v>27.683114334470989</v>
          </cell>
          <cell r="BA6">
            <v>33.834917519908984</v>
          </cell>
          <cell r="BB6">
            <v>39.986720705346983</v>
          </cell>
          <cell r="BC6">
            <v>46.138523890784981</v>
          </cell>
          <cell r="BD6">
            <v>30.759015927189989</v>
          </cell>
          <cell r="BE6">
            <v>3.0759015927189988</v>
          </cell>
          <cell r="BG6">
            <v>28.333320000000001</v>
          </cell>
          <cell r="BH6">
            <v>10.560072525597269</v>
          </cell>
          <cell r="BI6">
            <v>15.840108788395902</v>
          </cell>
          <cell r="BJ6">
            <v>21.120145051194537</v>
          </cell>
          <cell r="BK6">
            <v>26.400181313993173</v>
          </cell>
          <cell r="BL6">
            <v>31.680217576791804</v>
          </cell>
          <cell r="BM6">
            <v>10.560072525597269</v>
          </cell>
          <cell r="BQ6">
            <v>44.37482</v>
          </cell>
          <cell r="BR6">
            <v>22.769639580410832</v>
          </cell>
          <cell r="BS6">
            <v>30.359519440547775</v>
          </cell>
          <cell r="BT6">
            <v>37.949399300684718</v>
          </cell>
          <cell r="BU6">
            <v>45.539279160821664</v>
          </cell>
          <cell r="BV6">
            <v>53.129159020958603</v>
          </cell>
          <cell r="BW6">
            <v>60.71903888109555</v>
          </cell>
          <cell r="BX6">
            <v>68.308918741232489</v>
          </cell>
          <cell r="BY6">
            <v>75.898798601369435</v>
          </cell>
          <cell r="BZ6">
            <v>3.7949399300684719</v>
          </cell>
          <cell r="CC6">
            <v>44.37482</v>
          </cell>
          <cell r="CD6">
            <v>23.26650246084295</v>
          </cell>
          <cell r="CE6">
            <v>32.573103445180131</v>
          </cell>
          <cell r="CF6">
            <v>41.879704429517311</v>
          </cell>
          <cell r="CG6">
            <v>51.186305413854491</v>
          </cell>
          <cell r="CH6">
            <v>60.492906398191671</v>
          </cell>
          <cell r="CI6">
            <v>69.799507382528844</v>
          </cell>
          <cell r="CJ6">
            <v>46.533004921685901</v>
          </cell>
          <cell r="CK6">
            <v>4.6533004921685901</v>
          </cell>
          <cell r="CM6">
            <v>44.37482</v>
          </cell>
          <cell r="CN6">
            <v>11.542382442729505</v>
          </cell>
          <cell r="CO6">
            <v>23.084764885459009</v>
          </cell>
          <cell r="CP6">
            <v>34.627147328188514</v>
          </cell>
          <cell r="CQ6">
            <v>46.169529770918018</v>
          </cell>
          <cell r="CR6">
            <v>57.711912213647523</v>
          </cell>
          <cell r="CS6">
            <v>69.254294656377027</v>
          </cell>
          <cell r="CT6">
            <v>23.084764885459009</v>
          </cell>
          <cell r="CX6">
            <v>10.828799999999999</v>
          </cell>
          <cell r="DJ6">
            <v>10.828799999999999</v>
          </cell>
          <cell r="DT6">
            <v>10.828799999999999</v>
          </cell>
          <cell r="DV6">
            <v>0</v>
          </cell>
          <cell r="DW6">
            <v>0</v>
          </cell>
          <cell r="DX6">
            <v>0</v>
          </cell>
          <cell r="DY6">
            <v>0</v>
          </cell>
          <cell r="DZ6">
            <v>0</v>
          </cell>
          <cell r="EE6">
            <v>1.8561810000000001</v>
          </cell>
          <cell r="EF6">
            <v>2.2078097358671207</v>
          </cell>
          <cell r="EG6">
            <v>2.6493716830405445</v>
          </cell>
          <cell r="EH6">
            <v>3.0909336302139687</v>
          </cell>
          <cell r="EI6">
            <v>3.5324955773873929</v>
          </cell>
          <cell r="EJ6">
            <v>3.9740575245608172</v>
          </cell>
          <cell r="EK6">
            <v>4.4156194717342414</v>
          </cell>
          <cell r="EL6">
            <v>3.3117146038006808</v>
          </cell>
          <cell r="EM6">
            <v>0.22078097358671206</v>
          </cell>
          <cell r="EP6">
            <v>1.8561810000000001</v>
          </cell>
          <cell r="EQ6">
            <v>1.4474983062688784</v>
          </cell>
          <cell r="ER6">
            <v>2.02649762877643</v>
          </cell>
          <cell r="ES6">
            <v>2.605496951283981</v>
          </cell>
          <cell r="ET6">
            <v>3.1844962737915328</v>
          </cell>
          <cell r="EU6">
            <v>3.7634955962990837</v>
          </cell>
          <cell r="EV6">
            <v>4.3424949188066355</v>
          </cell>
          <cell r="EW6">
            <v>2.8949966125377569</v>
          </cell>
          <cell r="EX6">
            <v>0.28949966125377569</v>
          </cell>
          <cell r="EZ6">
            <v>1.8561810000000001</v>
          </cell>
          <cell r="FA6">
            <v>0.68872313682913977</v>
          </cell>
          <cell r="FB6">
            <v>1.3774462736582795</v>
          </cell>
          <cell r="FC6">
            <v>2.0661694104874195</v>
          </cell>
          <cell r="FD6">
            <v>2.7548925473165591</v>
          </cell>
          <cell r="FE6">
            <v>3.4436156841456986</v>
          </cell>
          <cell r="FF6">
            <v>4.1323388209748391</v>
          </cell>
          <cell r="FG6">
            <v>1.3774462736582795</v>
          </cell>
        </row>
        <row r="7">
          <cell r="A7">
            <v>35550</v>
          </cell>
          <cell r="B7">
            <v>31.67493</v>
          </cell>
          <cell r="C7">
            <v>10.901302731580566</v>
          </cell>
          <cell r="D7">
            <v>16.35195409737085</v>
          </cell>
          <cell r="E7">
            <v>21.802605463161132</v>
          </cell>
          <cell r="F7">
            <v>27.253256828951415</v>
          </cell>
          <cell r="G7">
            <v>32.7039081947417</v>
          </cell>
          <cell r="H7">
            <v>38.154559560531979</v>
          </cell>
          <cell r="I7">
            <v>43.605210926322265</v>
          </cell>
          <cell r="J7">
            <v>49.05586229211255</v>
          </cell>
          <cell r="K7">
            <v>54.506513657902829</v>
          </cell>
          <cell r="L7">
            <v>40.879885243427125</v>
          </cell>
          <cell r="M7">
            <v>2.7253256828951415</v>
          </cell>
          <cell r="P7">
            <v>31.67493</v>
          </cell>
          <cell r="Q7">
            <v>10.840721675894962</v>
          </cell>
          <cell r="R7">
            <v>18.067869459824934</v>
          </cell>
          <cell r="S7">
            <v>25.295017243754909</v>
          </cell>
          <cell r="T7">
            <v>32.522165027684885</v>
          </cell>
          <cell r="U7">
            <v>39.749312811614857</v>
          </cell>
          <cell r="V7">
            <v>46.976460595544829</v>
          </cell>
          <cell r="W7">
            <v>54.203608379474801</v>
          </cell>
          <cell r="X7">
            <v>36.135738919649867</v>
          </cell>
          <cell r="Y7">
            <v>3.6135738919649869</v>
          </cell>
          <cell r="AA7">
            <v>31.67493</v>
          </cell>
          <cell r="AB7">
            <v>15.396278908401104</v>
          </cell>
          <cell r="AC7">
            <v>23.094418362601658</v>
          </cell>
          <cell r="AD7">
            <v>30.792557816802208</v>
          </cell>
          <cell r="AE7">
            <v>38.490697271002759</v>
          </cell>
          <cell r="AF7">
            <v>46.188836725203316</v>
          </cell>
          <cell r="AG7">
            <v>15.396278908401104</v>
          </cell>
          <cell r="AK7">
            <v>28.3</v>
          </cell>
          <cell r="AL7">
            <v>18.299158134243459</v>
          </cell>
          <cell r="AM7">
            <v>22.873947667804323</v>
          </cell>
          <cell r="AN7">
            <v>27.448737201365191</v>
          </cell>
          <cell r="AO7">
            <v>32.023526734926051</v>
          </cell>
          <cell r="AP7">
            <v>36.598316268486919</v>
          </cell>
          <cell r="AQ7">
            <v>41.173105802047786</v>
          </cell>
          <cell r="AR7">
            <v>45.747895335608646</v>
          </cell>
          <cell r="AS7">
            <v>34.310921501706488</v>
          </cell>
          <cell r="AT7">
            <v>2.2873947667804324</v>
          </cell>
          <cell r="AW7">
            <v>28.3</v>
          </cell>
          <cell r="AX7">
            <v>15.617003223359877</v>
          </cell>
          <cell r="AY7">
            <v>21.86380451270383</v>
          </cell>
          <cell r="AZ7">
            <v>28.110605802047779</v>
          </cell>
          <cell r="BA7">
            <v>34.357407091391728</v>
          </cell>
          <cell r="BB7">
            <v>40.604208380735685</v>
          </cell>
          <cell r="BC7">
            <v>46.851009670079634</v>
          </cell>
          <cell r="BD7">
            <v>31.234006446719754</v>
          </cell>
          <cell r="BE7">
            <v>3.1234006446719755</v>
          </cell>
          <cell r="BG7">
            <v>28.3</v>
          </cell>
          <cell r="BH7">
            <v>10.678519150549866</v>
          </cell>
          <cell r="BI7">
            <v>16.017778725824797</v>
          </cell>
          <cell r="BJ7">
            <v>21.357038301099731</v>
          </cell>
          <cell r="BK7">
            <v>26.696297876374665</v>
          </cell>
          <cell r="BL7">
            <v>32.035557451649595</v>
          </cell>
          <cell r="BM7">
            <v>10.678519150549866</v>
          </cell>
          <cell r="BQ7">
            <v>42.4</v>
          </cell>
          <cell r="BR7">
            <v>22.936147149491166</v>
          </cell>
          <cell r="BS7">
            <v>30.581529532654887</v>
          </cell>
          <cell r="BT7">
            <v>38.226911915818611</v>
          </cell>
          <cell r="BU7">
            <v>45.872294298982332</v>
          </cell>
          <cell r="BV7">
            <v>53.517676682146053</v>
          </cell>
          <cell r="BW7">
            <v>61.163059065309774</v>
          </cell>
          <cell r="BX7">
            <v>68.808441448473502</v>
          </cell>
          <cell r="BY7">
            <v>76.453823831637223</v>
          </cell>
          <cell r="BZ7">
            <v>3.8226911915818609</v>
          </cell>
          <cell r="CC7">
            <v>42.4</v>
          </cell>
          <cell r="CD7">
            <v>23.420369193264378</v>
          </cell>
          <cell r="CE7">
            <v>32.788516870570128</v>
          </cell>
          <cell r="CF7">
            <v>42.156664547875884</v>
          </cell>
          <cell r="CG7">
            <v>51.524812225181634</v>
          </cell>
          <cell r="CH7">
            <v>60.892959902487384</v>
          </cell>
          <cell r="CI7">
            <v>70.261107579793133</v>
          </cell>
          <cell r="CJ7">
            <v>46.840738386528756</v>
          </cell>
          <cell r="CK7">
            <v>4.6840738386528757</v>
          </cell>
          <cell r="CM7">
            <v>42.4</v>
          </cell>
          <cell r="CN7">
            <v>11.635911565810567</v>
          </cell>
          <cell r="CO7">
            <v>23.271823131621133</v>
          </cell>
          <cell r="CP7">
            <v>34.9077346974317</v>
          </cell>
          <cell r="CQ7">
            <v>46.543646263242266</v>
          </cell>
          <cell r="CR7">
            <v>58.179557829052833</v>
          </cell>
          <cell r="CS7">
            <v>69.815469394863399</v>
          </cell>
          <cell r="CT7">
            <v>23.271823131621133</v>
          </cell>
          <cell r="CX7">
            <v>10.92592</v>
          </cell>
          <cell r="DJ7">
            <v>10.92592</v>
          </cell>
          <cell r="DT7">
            <v>10.92592</v>
          </cell>
          <cell r="DV7">
            <v>0</v>
          </cell>
          <cell r="DW7">
            <v>0</v>
          </cell>
          <cell r="DX7">
            <v>0</v>
          </cell>
          <cell r="DY7">
            <v>0</v>
          </cell>
          <cell r="DZ7">
            <v>0</v>
          </cell>
          <cell r="EE7">
            <v>2.1037870000000001</v>
          </cell>
          <cell r="EF7">
            <v>2.2352120356524088</v>
          </cell>
          <cell r="EG7">
            <v>2.6822544427828903</v>
          </cell>
          <cell r="EH7">
            <v>3.1292968499133718</v>
          </cell>
          <cell r="EI7">
            <v>3.5763392570438537</v>
          </cell>
          <cell r="EJ7">
            <v>4.0233816641743356</v>
          </cell>
          <cell r="EK7">
            <v>4.4704240713048176</v>
          </cell>
          <cell r="EL7">
            <v>3.3528180534786127</v>
          </cell>
          <cell r="EM7">
            <v>0.22352120356524086</v>
          </cell>
          <cell r="EP7">
            <v>2.1037870000000001</v>
          </cell>
          <cell r="EQ7">
            <v>1.4836356988915274</v>
          </cell>
          <cell r="ER7">
            <v>2.077089978448138</v>
          </cell>
          <cell r="ES7">
            <v>2.6705442580047491</v>
          </cell>
          <cell r="ET7">
            <v>3.2639985375613598</v>
          </cell>
          <cell r="EU7">
            <v>3.8574528171179709</v>
          </cell>
          <cell r="EV7">
            <v>4.4509070966745821</v>
          </cell>
          <cell r="EW7">
            <v>2.9672713977830547</v>
          </cell>
          <cell r="EX7">
            <v>0.29672713977830545</v>
          </cell>
          <cell r="EZ7">
            <v>2.1037870000000001</v>
          </cell>
          <cell r="FA7">
            <v>0.73698280872434185</v>
          </cell>
          <cell r="FB7">
            <v>1.4739656174486837</v>
          </cell>
          <cell r="FC7">
            <v>2.2109484261730254</v>
          </cell>
          <cell r="FD7">
            <v>2.9479312348973674</v>
          </cell>
          <cell r="FE7">
            <v>3.6849140436217094</v>
          </cell>
          <cell r="FF7">
            <v>4.4218968523460509</v>
          </cell>
          <cell r="FG7">
            <v>1.4739656174486837</v>
          </cell>
        </row>
        <row r="8">
          <cell r="A8">
            <v>35580</v>
          </cell>
          <cell r="B8">
            <v>37.38035</v>
          </cell>
          <cell r="C8">
            <v>10.988849250681378</v>
          </cell>
          <cell r="D8">
            <v>16.483273876022068</v>
          </cell>
          <cell r="E8">
            <v>21.977698501362756</v>
          </cell>
          <cell r="F8">
            <v>27.472123126703444</v>
          </cell>
          <cell r="G8">
            <v>32.966547752044136</v>
          </cell>
          <cell r="H8">
            <v>38.46097237738482</v>
          </cell>
          <cell r="I8">
            <v>43.955397002725512</v>
          </cell>
          <cell r="J8">
            <v>49.449821628066204</v>
          </cell>
          <cell r="K8">
            <v>54.944246253406888</v>
          </cell>
          <cell r="L8">
            <v>41.20818469005517</v>
          </cell>
          <cell r="M8">
            <v>2.7472123126703445</v>
          </cell>
          <cell r="P8">
            <v>37.38035</v>
          </cell>
          <cell r="Q8">
            <v>10.836038161572571</v>
          </cell>
          <cell r="R8">
            <v>18.060063602620954</v>
          </cell>
          <cell r="S8">
            <v>25.284089043669333</v>
          </cell>
          <cell r="T8">
            <v>32.508114484717716</v>
          </cell>
          <cell r="U8">
            <v>39.732139925766099</v>
          </cell>
          <cell r="V8">
            <v>46.956165366814474</v>
          </cell>
          <cell r="W8">
            <v>54.180190807862857</v>
          </cell>
          <cell r="X8">
            <v>36.120127205241907</v>
          </cell>
          <cell r="Y8">
            <v>3.6120127205241905</v>
          </cell>
          <cell r="AA8">
            <v>37.38035</v>
          </cell>
          <cell r="AB8">
            <v>15.639869857967978</v>
          </cell>
          <cell r="AC8">
            <v>23.459804786951967</v>
          </cell>
          <cell r="AD8">
            <v>31.279739715935957</v>
          </cell>
          <cell r="AE8">
            <v>39.099674644919943</v>
          </cell>
          <cell r="AF8">
            <v>46.919609573903934</v>
          </cell>
          <cell r="AG8">
            <v>15.639869857967978</v>
          </cell>
          <cell r="AK8">
            <v>36.9</v>
          </cell>
          <cell r="AL8">
            <v>18.489835039817976</v>
          </cell>
          <cell r="AM8">
            <v>23.11229379977247</v>
          </cell>
          <cell r="AN8">
            <v>27.734752559726964</v>
          </cell>
          <cell r="AO8">
            <v>32.357211319681454</v>
          </cell>
          <cell r="AP8">
            <v>36.979670079635952</v>
          </cell>
          <cell r="AQ8">
            <v>41.602128839590449</v>
          </cell>
          <cell r="AR8">
            <v>46.22458759954494</v>
          </cell>
          <cell r="AS8">
            <v>34.668440699658703</v>
          </cell>
          <cell r="AT8">
            <v>2.311229379977247</v>
          </cell>
          <cell r="AW8">
            <v>36.9</v>
          </cell>
          <cell r="AX8">
            <v>15.854498483124761</v>
          </cell>
          <cell r="AY8">
            <v>22.196297876374665</v>
          </cell>
          <cell r="AZ8">
            <v>28.538097269624572</v>
          </cell>
          <cell r="BA8">
            <v>34.879896662874472</v>
          </cell>
          <cell r="BB8">
            <v>41.221696056124379</v>
          </cell>
          <cell r="BC8">
            <v>47.563495449374287</v>
          </cell>
          <cell r="BD8">
            <v>31.708996966249522</v>
          </cell>
          <cell r="BE8">
            <v>3.1708996966249523</v>
          </cell>
          <cell r="BG8">
            <v>36.9</v>
          </cell>
          <cell r="BH8">
            <v>10.796965775502462</v>
          </cell>
          <cell r="BI8">
            <v>16.195448663253693</v>
          </cell>
          <cell r="BJ8">
            <v>21.593931551004925</v>
          </cell>
          <cell r="BK8">
            <v>26.992414438756157</v>
          </cell>
          <cell r="BL8">
            <v>32.390897326507385</v>
          </cell>
          <cell r="BM8">
            <v>10.796965775502462</v>
          </cell>
          <cell r="BQ8">
            <v>44.5</v>
          </cell>
          <cell r="BR8">
            <v>23.1026547185715</v>
          </cell>
          <cell r="BS8">
            <v>30.803539624761999</v>
          </cell>
          <cell r="BT8">
            <v>38.504424530952498</v>
          </cell>
          <cell r="BU8">
            <v>46.205309437143001</v>
          </cell>
          <cell r="BV8">
            <v>53.906194343333496</v>
          </cell>
          <cell r="BW8">
            <v>61.607079249523998</v>
          </cell>
          <cell r="BX8">
            <v>69.307964155714501</v>
          </cell>
          <cell r="BY8">
            <v>77.008849061904996</v>
          </cell>
          <cell r="BZ8">
            <v>3.8504424530952499</v>
          </cell>
          <cell r="CC8">
            <v>44.5</v>
          </cell>
          <cell r="CD8">
            <v>23.574235925685805</v>
          </cell>
          <cell r="CE8">
            <v>33.003930295960132</v>
          </cell>
          <cell r="CF8">
            <v>42.433624666234451</v>
          </cell>
          <cell r="CG8">
            <v>51.863319036508777</v>
          </cell>
          <cell r="CH8">
            <v>61.293013406783096</v>
          </cell>
          <cell r="CI8">
            <v>70.722707777057423</v>
          </cell>
          <cell r="CJ8">
            <v>47.14847185137161</v>
          </cell>
          <cell r="CK8">
            <v>4.7148471851371614</v>
          </cell>
          <cell r="CM8">
            <v>44.5</v>
          </cell>
          <cell r="CN8">
            <v>11.729440688891628</v>
          </cell>
          <cell r="CO8">
            <v>23.458881377783257</v>
          </cell>
          <cell r="CP8">
            <v>35.188322066674885</v>
          </cell>
          <cell r="CQ8">
            <v>46.917762755566514</v>
          </cell>
          <cell r="CR8">
            <v>58.647203444458142</v>
          </cell>
          <cell r="CS8">
            <v>70.376644133349771</v>
          </cell>
          <cell r="CT8">
            <v>23.458881377783257</v>
          </cell>
          <cell r="CX8">
            <v>16.801639999999999</v>
          </cell>
          <cell r="DJ8">
            <v>16.801639999999999</v>
          </cell>
          <cell r="DT8">
            <v>16.801639999999999</v>
          </cell>
          <cell r="DV8">
            <v>0</v>
          </cell>
          <cell r="DW8">
            <v>0</v>
          </cell>
          <cell r="DX8">
            <v>0</v>
          </cell>
          <cell r="DY8">
            <v>0</v>
          </cell>
          <cell r="DZ8">
            <v>0</v>
          </cell>
          <cell r="EE8">
            <v>3.790978</v>
          </cell>
          <cell r="EF8">
            <v>2.2626143354376964</v>
          </cell>
          <cell r="EG8">
            <v>2.715137202525236</v>
          </cell>
          <cell r="EH8">
            <v>3.1676600696127752</v>
          </cell>
          <cell r="EI8">
            <v>3.6201829367003144</v>
          </cell>
          <cell r="EJ8">
            <v>4.0727058037878541</v>
          </cell>
          <cell r="EK8">
            <v>4.5252286708753928</v>
          </cell>
          <cell r="EL8">
            <v>3.3939215031565446</v>
          </cell>
          <cell r="EM8">
            <v>0.22626143354376965</v>
          </cell>
          <cell r="EP8">
            <v>3.790978</v>
          </cell>
          <cell r="EQ8">
            <v>1.5197730915141761</v>
          </cell>
          <cell r="ER8">
            <v>2.1276823281198465</v>
          </cell>
          <cell r="ES8">
            <v>2.7355915647255169</v>
          </cell>
          <cell r="ET8">
            <v>3.3435008013311873</v>
          </cell>
          <cell r="EU8">
            <v>3.9514100379368577</v>
          </cell>
          <cell r="EV8">
            <v>4.5593192745425277</v>
          </cell>
          <cell r="EW8">
            <v>3.0395461830283521</v>
          </cell>
          <cell r="EX8">
            <v>0.30395461830283521</v>
          </cell>
          <cell r="EZ8">
            <v>3.790978</v>
          </cell>
          <cell r="FA8">
            <v>0.78524248061954394</v>
          </cell>
          <cell r="FB8">
            <v>1.5704849612390879</v>
          </cell>
          <cell r="FC8">
            <v>2.3557274418586318</v>
          </cell>
          <cell r="FD8">
            <v>3.1409699224781757</v>
          </cell>
          <cell r="FE8">
            <v>3.9262124030977197</v>
          </cell>
          <cell r="FF8">
            <v>4.7114548837172636</v>
          </cell>
          <cell r="FG8">
            <v>1.5704849612390879</v>
          </cell>
        </row>
        <row r="9">
          <cell r="A9">
            <v>35611</v>
          </cell>
          <cell r="B9">
            <v>42.200449999999996</v>
          </cell>
          <cell r="C9">
            <v>11.07639576978219</v>
          </cell>
          <cell r="D9">
            <v>16.614593654673286</v>
          </cell>
          <cell r="E9">
            <v>22.15279153956438</v>
          </cell>
          <cell r="F9">
            <v>27.690989424455474</v>
          </cell>
          <cell r="G9">
            <v>33.229187309346571</v>
          </cell>
          <cell r="H9">
            <v>38.767385194237661</v>
          </cell>
          <cell r="I9">
            <v>44.305583079128759</v>
          </cell>
          <cell r="J9">
            <v>49.843780964019857</v>
          </cell>
          <cell r="K9">
            <v>55.381978848910947</v>
          </cell>
          <cell r="L9">
            <v>41.536484136683214</v>
          </cell>
          <cell r="M9">
            <v>2.7690989424455474</v>
          </cell>
          <cell r="P9">
            <v>42.200449999999996</v>
          </cell>
          <cell r="Q9">
            <v>10.831354647250183</v>
          </cell>
          <cell r="R9">
            <v>18.05225774541697</v>
          </cell>
          <cell r="S9">
            <v>25.27316084358376</v>
          </cell>
          <cell r="T9">
            <v>32.494063941750547</v>
          </cell>
          <cell r="U9">
            <v>39.714967039917333</v>
          </cell>
          <cell r="V9">
            <v>46.935870138084127</v>
          </cell>
          <cell r="W9">
            <v>54.156773236250913</v>
          </cell>
          <cell r="X9">
            <v>36.10451549083394</v>
          </cell>
          <cell r="Y9">
            <v>3.6104515490833942</v>
          </cell>
          <cell r="AA9">
            <v>42.200449999999996</v>
          </cell>
          <cell r="AB9">
            <v>15.883460807534853</v>
          </cell>
          <cell r="AC9">
            <v>23.825191211302279</v>
          </cell>
          <cell r="AD9">
            <v>31.766921615069705</v>
          </cell>
          <cell r="AE9">
            <v>39.708652018837128</v>
          </cell>
          <cell r="AF9">
            <v>47.650382422604558</v>
          </cell>
          <cell r="AG9">
            <v>15.883460807534853</v>
          </cell>
          <cell r="AK9">
            <v>46.8</v>
          </cell>
          <cell r="AL9">
            <v>18.680511945392492</v>
          </cell>
          <cell r="AM9">
            <v>23.350639931740616</v>
          </cell>
          <cell r="AN9">
            <v>28.020767918088737</v>
          </cell>
          <cell r="AO9">
            <v>32.690895904436864</v>
          </cell>
          <cell r="AP9">
            <v>37.361023890784985</v>
          </cell>
          <cell r="AQ9">
            <v>42.031151877133105</v>
          </cell>
          <cell r="AR9">
            <v>46.701279863481233</v>
          </cell>
          <cell r="AS9">
            <v>35.025959897610925</v>
          </cell>
          <cell r="AT9">
            <v>2.3350639931740615</v>
          </cell>
          <cell r="AW9">
            <v>46.8</v>
          </cell>
          <cell r="AX9">
            <v>16.091993742889645</v>
          </cell>
          <cell r="AY9">
            <v>22.528791240045503</v>
          </cell>
          <cell r="AZ9">
            <v>28.965588737201362</v>
          </cell>
          <cell r="BA9">
            <v>35.402386234357223</v>
          </cell>
          <cell r="BB9">
            <v>41.839183731513074</v>
          </cell>
          <cell r="BC9">
            <v>48.27598122866894</v>
          </cell>
          <cell r="BD9">
            <v>32.183987485779291</v>
          </cell>
          <cell r="BE9">
            <v>3.2183987485779291</v>
          </cell>
          <cell r="BG9">
            <v>46.8</v>
          </cell>
          <cell r="BH9">
            <v>10.915412400455059</v>
          </cell>
          <cell r="BI9">
            <v>16.373118600682588</v>
          </cell>
          <cell r="BJ9">
            <v>21.830824800910118</v>
          </cell>
          <cell r="BK9">
            <v>27.288531001137649</v>
          </cell>
          <cell r="BL9">
            <v>32.746237201365176</v>
          </cell>
          <cell r="BM9">
            <v>10.915412400455059</v>
          </cell>
          <cell r="BQ9">
            <v>49.4</v>
          </cell>
          <cell r="BR9">
            <v>23.269162287651834</v>
          </cell>
          <cell r="BS9">
            <v>31.025549716869111</v>
          </cell>
          <cell r="BT9">
            <v>38.781937146086392</v>
          </cell>
          <cell r="BU9">
            <v>46.538324575303669</v>
          </cell>
          <cell r="BV9">
            <v>54.294712004520946</v>
          </cell>
          <cell r="BW9">
            <v>62.051099433738223</v>
          </cell>
          <cell r="BX9">
            <v>69.8074868629555</v>
          </cell>
          <cell r="BY9">
            <v>77.563874292172784</v>
          </cell>
          <cell r="BZ9">
            <v>3.8781937146086389</v>
          </cell>
          <cell r="CC9">
            <v>49.4</v>
          </cell>
          <cell r="CD9">
            <v>23.728102658107236</v>
          </cell>
          <cell r="CE9">
            <v>33.219343721350128</v>
          </cell>
          <cell r="CF9">
            <v>42.710584784593024</v>
          </cell>
          <cell r="CG9">
            <v>52.20182584783592</v>
          </cell>
          <cell r="CH9">
            <v>61.693066911078809</v>
          </cell>
          <cell r="CI9">
            <v>71.184307974321712</v>
          </cell>
          <cell r="CJ9">
            <v>47.456205316214472</v>
          </cell>
          <cell r="CK9">
            <v>4.745620531621447</v>
          </cell>
          <cell r="CM9">
            <v>49.4</v>
          </cell>
          <cell r="CN9">
            <v>11.82296981197269</v>
          </cell>
          <cell r="CO9">
            <v>23.645939623945381</v>
          </cell>
          <cell r="CP9">
            <v>35.468909435918071</v>
          </cell>
          <cell r="CQ9">
            <v>47.291879247890762</v>
          </cell>
          <cell r="CR9">
            <v>59.114849059863452</v>
          </cell>
          <cell r="CS9">
            <v>70.937818871836143</v>
          </cell>
          <cell r="CT9">
            <v>23.645939623945381</v>
          </cell>
          <cell r="CX9">
            <v>21.754719999999999</v>
          </cell>
          <cell r="DJ9">
            <v>21.754719999999999</v>
          </cell>
          <cell r="DT9">
            <v>21.754719999999999</v>
          </cell>
          <cell r="DV9">
            <v>0</v>
          </cell>
          <cell r="DW9">
            <v>0</v>
          </cell>
          <cell r="DX9">
            <v>0</v>
          </cell>
          <cell r="DY9">
            <v>0</v>
          </cell>
          <cell r="DZ9">
            <v>0</v>
          </cell>
          <cell r="EE9">
            <v>6.4575139999999998</v>
          </cell>
          <cell r="EF9">
            <v>2.2900166352229845</v>
          </cell>
          <cell r="EG9">
            <v>2.7480199622675814</v>
          </cell>
          <cell r="EH9">
            <v>3.2060232893121783</v>
          </cell>
          <cell r="EI9">
            <v>3.6640266163567752</v>
          </cell>
          <cell r="EJ9">
            <v>4.1220299434013725</v>
          </cell>
          <cell r="EK9">
            <v>4.580033270445969</v>
          </cell>
          <cell r="EL9">
            <v>3.4350249528344765</v>
          </cell>
          <cell r="EM9">
            <v>0.22900166352229845</v>
          </cell>
          <cell r="EP9">
            <v>6.4575139999999998</v>
          </cell>
          <cell r="EQ9">
            <v>1.5559104841368248</v>
          </cell>
          <cell r="ER9">
            <v>2.1782746777915549</v>
          </cell>
          <cell r="ES9">
            <v>2.8006388714462847</v>
          </cell>
          <cell r="ET9">
            <v>3.4230030651010148</v>
          </cell>
          <cell r="EU9">
            <v>4.0453672587557445</v>
          </cell>
          <cell r="EV9">
            <v>4.6677314524104743</v>
          </cell>
          <cell r="EW9">
            <v>3.1118209682736495</v>
          </cell>
          <cell r="EX9">
            <v>0.31118209682736497</v>
          </cell>
          <cell r="EZ9">
            <v>6.4575139999999998</v>
          </cell>
          <cell r="FA9">
            <v>0.83350215251474602</v>
          </cell>
          <cell r="FB9">
            <v>1.667004305029492</v>
          </cell>
          <cell r="FC9">
            <v>2.5005064575442382</v>
          </cell>
          <cell r="FD9">
            <v>3.3340086100589841</v>
          </cell>
          <cell r="FE9">
            <v>4.1675107625737304</v>
          </cell>
          <cell r="FF9">
            <v>5.0010129150884763</v>
          </cell>
          <cell r="FG9">
            <v>1.667004305029492</v>
          </cell>
        </row>
        <row r="10">
          <cell r="A10">
            <v>35642</v>
          </cell>
          <cell r="B10">
            <v>48.594459999999998</v>
          </cell>
          <cell r="C10">
            <v>11.163942288883002</v>
          </cell>
          <cell r="D10">
            <v>16.745913433324503</v>
          </cell>
          <cell r="E10">
            <v>22.327884577766003</v>
          </cell>
          <cell r="F10">
            <v>27.909855722207503</v>
          </cell>
          <cell r="G10">
            <v>33.491826866649006</v>
          </cell>
          <cell r="H10">
            <v>39.073798011090503</v>
          </cell>
          <cell r="I10">
            <v>44.655769155532006</v>
          </cell>
          <cell r="J10">
            <v>50.23774029997351</v>
          </cell>
          <cell r="K10">
            <v>55.819711444415006</v>
          </cell>
          <cell r="L10">
            <v>41.864783583311258</v>
          </cell>
          <cell r="M10">
            <v>2.7909855722207504</v>
          </cell>
          <cell r="P10">
            <v>48.594459999999998</v>
          </cell>
          <cell r="Q10">
            <v>10.826671132927792</v>
          </cell>
          <cell r="R10">
            <v>18.04445188821299</v>
          </cell>
          <cell r="S10">
            <v>25.262232643498184</v>
          </cell>
          <cell r="T10">
            <v>32.480013398783377</v>
          </cell>
          <cell r="U10">
            <v>39.697794154068575</v>
          </cell>
          <cell r="V10">
            <v>46.915574909353772</v>
          </cell>
          <cell r="W10">
            <v>54.13335566463897</v>
          </cell>
          <cell r="X10">
            <v>36.08890377642598</v>
          </cell>
          <cell r="Y10">
            <v>3.6088903776425978</v>
          </cell>
          <cell r="AA10">
            <v>48.594459999999998</v>
          </cell>
          <cell r="AB10">
            <v>16.127051757101725</v>
          </cell>
          <cell r="AC10">
            <v>24.190577635652588</v>
          </cell>
          <cell r="AD10">
            <v>32.25410351420345</v>
          </cell>
          <cell r="AE10">
            <v>40.317629392754313</v>
          </cell>
          <cell r="AF10">
            <v>48.381155271305175</v>
          </cell>
          <cell r="AG10">
            <v>16.127051757101725</v>
          </cell>
          <cell r="AK10">
            <v>46.3</v>
          </cell>
          <cell r="AL10">
            <v>18.871188850967009</v>
          </cell>
          <cell r="AM10">
            <v>23.588986063708759</v>
          </cell>
          <cell r="AN10">
            <v>28.306783276450513</v>
          </cell>
          <cell r="AO10">
            <v>33.024580489192267</v>
          </cell>
          <cell r="AP10">
            <v>37.742377701934018</v>
          </cell>
          <cell r="AQ10">
            <v>42.460174914675768</v>
          </cell>
          <cell r="AR10">
            <v>47.177972127417519</v>
          </cell>
          <cell r="AS10">
            <v>35.383479095563139</v>
          </cell>
          <cell r="AT10">
            <v>2.3588986063708761</v>
          </cell>
          <cell r="AW10">
            <v>46.3</v>
          </cell>
          <cell r="AX10">
            <v>16.32948900265453</v>
          </cell>
          <cell r="AY10">
            <v>22.861284603716342</v>
          </cell>
          <cell r="AZ10">
            <v>29.393080204778151</v>
          </cell>
          <cell r="BA10">
            <v>35.924875805839967</v>
          </cell>
          <cell r="BB10">
            <v>42.456671406901776</v>
          </cell>
          <cell r="BC10">
            <v>48.988467007963585</v>
          </cell>
          <cell r="BD10">
            <v>32.658978005309059</v>
          </cell>
          <cell r="BE10">
            <v>3.2658978005309058</v>
          </cell>
          <cell r="BG10">
            <v>46.3</v>
          </cell>
          <cell r="BH10">
            <v>11.033859025407656</v>
          </cell>
          <cell r="BI10">
            <v>16.550788538111483</v>
          </cell>
          <cell r="BJ10">
            <v>22.067718050815312</v>
          </cell>
          <cell r="BK10">
            <v>27.584647563519141</v>
          </cell>
          <cell r="BL10">
            <v>33.101577076222966</v>
          </cell>
          <cell r="BM10">
            <v>11.033859025407656</v>
          </cell>
          <cell r="BQ10">
            <v>52</v>
          </cell>
          <cell r="BR10">
            <v>23.435669856732169</v>
          </cell>
          <cell r="BS10">
            <v>31.247559808976224</v>
          </cell>
          <cell r="BT10">
            <v>39.059449761220279</v>
          </cell>
          <cell r="BU10">
            <v>46.871339713464337</v>
          </cell>
          <cell r="BV10">
            <v>54.683229665708389</v>
          </cell>
          <cell r="BW10">
            <v>62.495119617952447</v>
          </cell>
          <cell r="BX10">
            <v>70.307009570196499</v>
          </cell>
          <cell r="BY10">
            <v>78.118899522440557</v>
          </cell>
          <cell r="BZ10">
            <v>3.905944976122028</v>
          </cell>
          <cell r="CC10">
            <v>52</v>
          </cell>
          <cell r="CD10">
            <v>23.881969390528663</v>
          </cell>
          <cell r="CE10">
            <v>33.434757146740125</v>
          </cell>
          <cell r="CF10">
            <v>42.987544902951598</v>
          </cell>
          <cell r="CG10">
            <v>52.540332659163056</v>
          </cell>
          <cell r="CH10">
            <v>62.093120415374528</v>
          </cell>
          <cell r="CI10">
            <v>71.645908171585987</v>
          </cell>
          <cell r="CJ10">
            <v>47.763938781057327</v>
          </cell>
          <cell r="CK10">
            <v>4.7763938781057327</v>
          </cell>
          <cell r="CM10">
            <v>52</v>
          </cell>
          <cell r="CN10">
            <v>11.916498935053752</v>
          </cell>
          <cell r="CO10">
            <v>23.832997870107505</v>
          </cell>
          <cell r="CP10">
            <v>35.749496805161257</v>
          </cell>
          <cell r="CQ10">
            <v>47.66599574021501</v>
          </cell>
          <cell r="CR10">
            <v>59.582494675268762</v>
          </cell>
          <cell r="CS10">
            <v>71.498993610322515</v>
          </cell>
          <cell r="CT10">
            <v>23.832997870107505</v>
          </cell>
          <cell r="CX10">
            <v>18.209869999999999</v>
          </cell>
          <cell r="DJ10">
            <v>18.209869999999999</v>
          </cell>
          <cell r="DT10">
            <v>18.209869999999999</v>
          </cell>
          <cell r="DV10">
            <v>0</v>
          </cell>
          <cell r="DW10">
            <v>0</v>
          </cell>
          <cell r="DX10">
            <v>0</v>
          </cell>
          <cell r="DY10">
            <v>0</v>
          </cell>
          <cell r="DZ10">
            <v>0</v>
          </cell>
          <cell r="EE10">
            <v>5.6543400000000004</v>
          </cell>
          <cell r="EF10">
            <v>2.3174189350082726</v>
          </cell>
          <cell r="EG10">
            <v>2.7809027220099267</v>
          </cell>
          <cell r="EH10">
            <v>3.2443865090115813</v>
          </cell>
          <cell r="EI10">
            <v>3.7078702960132359</v>
          </cell>
          <cell r="EJ10">
            <v>4.1713540830148901</v>
          </cell>
          <cell r="EK10">
            <v>4.6348378700165451</v>
          </cell>
          <cell r="EL10">
            <v>3.4761284025124088</v>
          </cell>
          <cell r="EM10">
            <v>0.23174189350082725</v>
          </cell>
          <cell r="EP10">
            <v>5.6543400000000004</v>
          </cell>
          <cell r="EQ10">
            <v>1.5920478767594737</v>
          </cell>
          <cell r="ER10">
            <v>2.2288670274632629</v>
          </cell>
          <cell r="ES10">
            <v>2.8656861781670528</v>
          </cell>
          <cell r="ET10">
            <v>3.5025053288708419</v>
          </cell>
          <cell r="EU10">
            <v>4.1393244795746318</v>
          </cell>
          <cell r="EV10">
            <v>4.7761436302784208</v>
          </cell>
          <cell r="EW10">
            <v>3.1840957535189474</v>
          </cell>
          <cell r="EX10">
            <v>0.31840957535189474</v>
          </cell>
          <cell r="EZ10">
            <v>5.6543400000000004</v>
          </cell>
          <cell r="FA10">
            <v>0.8817618244099481</v>
          </cell>
          <cell r="FB10">
            <v>1.7635236488198962</v>
          </cell>
          <cell r="FC10">
            <v>2.6452854732298441</v>
          </cell>
          <cell r="FD10">
            <v>3.5270472976397924</v>
          </cell>
          <cell r="FE10">
            <v>4.4088091220497407</v>
          </cell>
          <cell r="FF10">
            <v>5.2905709464596882</v>
          </cell>
          <cell r="FG10">
            <v>1.7635236488198962</v>
          </cell>
        </row>
        <row r="11">
          <cell r="A11">
            <v>35671</v>
          </cell>
          <cell r="B11">
            <v>31.871670000000002</v>
          </cell>
          <cell r="C11">
            <v>11.251488807983813</v>
          </cell>
          <cell r="D11">
            <v>16.877233211975721</v>
          </cell>
          <cell r="E11">
            <v>22.502977615967627</v>
          </cell>
          <cell r="F11">
            <v>28.128722019959532</v>
          </cell>
          <cell r="G11">
            <v>33.754466423951442</v>
          </cell>
          <cell r="H11">
            <v>39.380210827943344</v>
          </cell>
          <cell r="I11">
            <v>45.005955231935253</v>
          </cell>
          <cell r="J11">
            <v>50.631699635927163</v>
          </cell>
          <cell r="K11">
            <v>56.257444039919065</v>
          </cell>
          <cell r="L11">
            <v>42.193083029939302</v>
          </cell>
          <cell r="M11">
            <v>2.8128722019959533</v>
          </cell>
          <cell r="P11">
            <v>31.871670000000002</v>
          </cell>
          <cell r="Q11">
            <v>10.821987618605405</v>
          </cell>
          <cell r="R11">
            <v>18.036646031009006</v>
          </cell>
          <cell r="S11">
            <v>25.251304443412611</v>
          </cell>
          <cell r="T11">
            <v>32.465962855816215</v>
          </cell>
          <cell r="U11">
            <v>39.680621268219816</v>
          </cell>
          <cell r="V11">
            <v>46.895279680623418</v>
          </cell>
          <cell r="W11">
            <v>54.109938093027019</v>
          </cell>
          <cell r="X11">
            <v>36.073292062018012</v>
          </cell>
          <cell r="Y11">
            <v>3.6073292062018014</v>
          </cell>
          <cell r="AA11">
            <v>31.871670000000002</v>
          </cell>
          <cell r="AB11">
            <v>16.370642706668598</v>
          </cell>
          <cell r="AC11">
            <v>24.555964060002896</v>
          </cell>
          <cell r="AD11">
            <v>32.741285413337195</v>
          </cell>
          <cell r="AE11">
            <v>40.926606766671497</v>
          </cell>
          <cell r="AF11">
            <v>49.111928120005793</v>
          </cell>
          <cell r="AG11">
            <v>16.370642706668598</v>
          </cell>
          <cell r="AK11">
            <v>33</v>
          </cell>
          <cell r="AL11">
            <v>19.061865756541525</v>
          </cell>
          <cell r="AM11">
            <v>23.827332195676906</v>
          </cell>
          <cell r="AN11">
            <v>28.59279863481229</v>
          </cell>
          <cell r="AO11">
            <v>33.35826507394767</v>
          </cell>
          <cell r="AP11">
            <v>38.123731513083051</v>
          </cell>
          <cell r="AQ11">
            <v>42.889197952218431</v>
          </cell>
          <cell r="AR11">
            <v>47.654664391353812</v>
          </cell>
          <cell r="AS11">
            <v>35.740998293515361</v>
          </cell>
          <cell r="AT11">
            <v>2.3827332195676907</v>
          </cell>
          <cell r="AW11">
            <v>33</v>
          </cell>
          <cell r="AX11">
            <v>16.566984262419414</v>
          </cell>
          <cell r="AY11">
            <v>23.193777967387177</v>
          </cell>
          <cell r="AZ11">
            <v>29.820571672354944</v>
          </cell>
          <cell r="BA11">
            <v>36.447365377322711</v>
          </cell>
          <cell r="BB11">
            <v>43.074159082290471</v>
          </cell>
          <cell r="BC11">
            <v>49.700952787258238</v>
          </cell>
          <cell r="BD11">
            <v>33.133968524838828</v>
          </cell>
          <cell r="BE11">
            <v>3.3133968524838826</v>
          </cell>
          <cell r="BG11">
            <v>33</v>
          </cell>
          <cell r="BH11">
            <v>11.152305650360253</v>
          </cell>
          <cell r="BI11">
            <v>16.728458475540378</v>
          </cell>
          <cell r="BJ11">
            <v>22.304611300720506</v>
          </cell>
          <cell r="BK11">
            <v>27.880764125900633</v>
          </cell>
          <cell r="BL11">
            <v>33.456916951080757</v>
          </cell>
          <cell r="BM11">
            <v>11.152305650360253</v>
          </cell>
          <cell r="BQ11">
            <v>47.5</v>
          </cell>
          <cell r="BR11">
            <v>23.602177425812503</v>
          </cell>
          <cell r="BS11">
            <v>31.469569901083336</v>
          </cell>
          <cell r="BT11">
            <v>39.336962376354172</v>
          </cell>
          <cell r="BU11">
            <v>47.204354851625006</v>
          </cell>
          <cell r="BV11">
            <v>55.071747326895839</v>
          </cell>
          <cell r="BW11">
            <v>62.939139802166672</v>
          </cell>
          <cell r="BX11">
            <v>70.806532277437512</v>
          </cell>
          <cell r="BY11">
            <v>78.673924752708345</v>
          </cell>
          <cell r="BZ11">
            <v>3.933696237635417</v>
          </cell>
          <cell r="CC11">
            <v>47.5</v>
          </cell>
          <cell r="CD11">
            <v>24.035836122950091</v>
          </cell>
          <cell r="CE11">
            <v>33.650170572130129</v>
          </cell>
          <cell r="CF11">
            <v>43.264505021310164</v>
          </cell>
          <cell r="CG11">
            <v>52.878839470490199</v>
          </cell>
          <cell r="CH11">
            <v>62.493173919670241</v>
          </cell>
          <cell r="CI11">
            <v>72.107508368850276</v>
          </cell>
          <cell r="CJ11">
            <v>48.071672245900182</v>
          </cell>
          <cell r="CK11">
            <v>4.8071672245900183</v>
          </cell>
          <cell r="CM11">
            <v>47.5</v>
          </cell>
          <cell r="CN11">
            <v>12.010028058134814</v>
          </cell>
          <cell r="CO11">
            <v>24.020056116269629</v>
          </cell>
          <cell r="CP11">
            <v>36.030084174404443</v>
          </cell>
          <cell r="CQ11">
            <v>48.040112232539258</v>
          </cell>
          <cell r="CR11">
            <v>60.050140290674072</v>
          </cell>
          <cell r="CS11">
            <v>72.060168348808887</v>
          </cell>
          <cell r="CT11">
            <v>24.020056116269629</v>
          </cell>
          <cell r="CX11">
            <v>22.823039999999999</v>
          </cell>
          <cell r="DJ11">
            <v>22.823039999999999</v>
          </cell>
          <cell r="DT11">
            <v>22.823039999999999</v>
          </cell>
          <cell r="DV11">
            <v>0</v>
          </cell>
          <cell r="DW11">
            <v>0</v>
          </cell>
          <cell r="DX11">
            <v>0</v>
          </cell>
          <cell r="DY11">
            <v>0</v>
          </cell>
          <cell r="DZ11">
            <v>0</v>
          </cell>
          <cell r="EE11">
            <v>14.87477</v>
          </cell>
          <cell r="EF11">
            <v>2.3448212347935602</v>
          </cell>
          <cell r="EG11">
            <v>2.8137854817522725</v>
          </cell>
          <cell r="EH11">
            <v>3.2827497287109848</v>
          </cell>
          <cell r="EI11">
            <v>3.7517139756696967</v>
          </cell>
          <cell r="EJ11">
            <v>4.2206782226284085</v>
          </cell>
          <cell r="EK11">
            <v>4.6896424695871204</v>
          </cell>
          <cell r="EL11">
            <v>3.5172318521903407</v>
          </cell>
          <cell r="EM11">
            <v>0.23448212347935604</v>
          </cell>
          <cell r="EP11">
            <v>14.87477</v>
          </cell>
          <cell r="EQ11">
            <v>1.6281852693821226</v>
          </cell>
          <cell r="ER11">
            <v>2.2794593771349714</v>
          </cell>
          <cell r="ES11">
            <v>2.9307334848878206</v>
          </cell>
          <cell r="ET11">
            <v>3.5820075926406694</v>
          </cell>
          <cell r="EU11">
            <v>4.2332817003935181</v>
          </cell>
          <cell r="EV11">
            <v>4.8845558081463674</v>
          </cell>
          <cell r="EW11">
            <v>3.2563705387642452</v>
          </cell>
          <cell r="EX11">
            <v>0.3256370538764245</v>
          </cell>
          <cell r="EZ11">
            <v>14.87477</v>
          </cell>
          <cell r="FA11">
            <v>0.93002149630515019</v>
          </cell>
          <cell r="FB11">
            <v>1.8600429926103004</v>
          </cell>
          <cell r="FC11">
            <v>2.7900644889154504</v>
          </cell>
          <cell r="FD11">
            <v>3.7200859852206007</v>
          </cell>
          <cell r="FE11">
            <v>4.650107481525751</v>
          </cell>
          <cell r="FF11">
            <v>5.5801289778309009</v>
          </cell>
          <cell r="FG11">
            <v>1.8600429926103004</v>
          </cell>
        </row>
        <row r="12">
          <cell r="A12">
            <v>35703</v>
          </cell>
          <cell r="B12">
            <v>31.970040000000001</v>
          </cell>
          <cell r="C12">
            <v>11.339035327084625</v>
          </cell>
          <cell r="D12">
            <v>17.008552990626939</v>
          </cell>
          <cell r="E12">
            <v>22.67807065416925</v>
          </cell>
          <cell r="F12">
            <v>28.347588317711562</v>
          </cell>
          <cell r="G12">
            <v>34.017105981253877</v>
          </cell>
          <cell r="H12">
            <v>39.686623644796185</v>
          </cell>
          <cell r="I12">
            <v>45.356141308338501</v>
          </cell>
          <cell r="J12">
            <v>51.025658971880816</v>
          </cell>
          <cell r="K12">
            <v>56.695176635423124</v>
          </cell>
          <cell r="L12">
            <v>42.521382476567346</v>
          </cell>
          <cell r="M12">
            <v>2.8347588317711563</v>
          </cell>
          <cell r="P12">
            <v>31.970040000000001</v>
          </cell>
          <cell r="Q12">
            <v>10.817304104283014</v>
          </cell>
          <cell r="R12">
            <v>18.028840173805026</v>
          </cell>
          <cell r="S12">
            <v>25.240376243327034</v>
          </cell>
          <cell r="T12">
            <v>32.451912312849046</v>
          </cell>
          <cell r="U12">
            <v>39.663448382371058</v>
          </cell>
          <cell r="V12">
            <v>46.874984451893063</v>
          </cell>
          <cell r="W12">
            <v>54.086520521415075</v>
          </cell>
          <cell r="X12">
            <v>36.057680347610052</v>
          </cell>
          <cell r="Y12">
            <v>3.605768034761005</v>
          </cell>
          <cell r="AA12">
            <v>31.970040000000001</v>
          </cell>
          <cell r="AB12">
            <v>16.61423365623547</v>
          </cell>
          <cell r="AC12">
            <v>24.921350484353205</v>
          </cell>
          <cell r="AD12">
            <v>33.22846731247094</v>
          </cell>
          <cell r="AE12">
            <v>41.535584140588675</v>
          </cell>
          <cell r="AF12">
            <v>49.84270096870641</v>
          </cell>
          <cell r="AG12">
            <v>16.61423365623547</v>
          </cell>
          <cell r="AK12">
            <v>33.799999999999997</v>
          </cell>
          <cell r="AL12">
            <v>19.252542662116042</v>
          </cell>
          <cell r="AM12">
            <v>24.065678327645053</v>
          </cell>
          <cell r="AN12">
            <v>28.878813993174063</v>
          </cell>
          <cell r="AO12">
            <v>33.691949658703074</v>
          </cell>
          <cell r="AP12">
            <v>38.505085324232084</v>
          </cell>
          <cell r="AQ12">
            <v>43.318220989761095</v>
          </cell>
          <cell r="AR12">
            <v>48.131356655290105</v>
          </cell>
          <cell r="AS12">
            <v>36.098517491467575</v>
          </cell>
          <cell r="AT12">
            <v>2.4065678327645053</v>
          </cell>
          <cell r="AW12">
            <v>33.799999999999997</v>
          </cell>
          <cell r="AX12">
            <v>16.804479522184298</v>
          </cell>
          <cell r="AY12">
            <v>23.526271331058016</v>
          </cell>
          <cell r="AZ12">
            <v>30.248063139931734</v>
          </cell>
          <cell r="BA12">
            <v>36.969854948805455</v>
          </cell>
          <cell r="BB12">
            <v>43.691646757679173</v>
          </cell>
          <cell r="BC12">
            <v>50.413438566552891</v>
          </cell>
          <cell r="BD12">
            <v>33.608959044368596</v>
          </cell>
          <cell r="BE12">
            <v>3.3608959044368594</v>
          </cell>
          <cell r="BG12">
            <v>33.799999999999997</v>
          </cell>
          <cell r="BH12">
            <v>11.27075227531285</v>
          </cell>
          <cell r="BI12">
            <v>16.906128412969274</v>
          </cell>
          <cell r="BJ12">
            <v>22.541504550625699</v>
          </cell>
          <cell r="BK12">
            <v>28.176880688282125</v>
          </cell>
          <cell r="BL12">
            <v>33.812256825938547</v>
          </cell>
          <cell r="BM12">
            <v>11.27075227531285</v>
          </cell>
          <cell r="BQ12">
            <v>45.9</v>
          </cell>
          <cell r="BR12">
            <v>23.768684994892837</v>
          </cell>
          <cell r="BS12">
            <v>31.691579993190448</v>
          </cell>
          <cell r="BT12">
            <v>39.614474991488059</v>
          </cell>
          <cell r="BU12">
            <v>47.537369989785674</v>
          </cell>
          <cell r="BV12">
            <v>55.460264988083281</v>
          </cell>
          <cell r="BW12">
            <v>63.383159986380896</v>
          </cell>
          <cell r="BX12">
            <v>71.306054984678511</v>
          </cell>
          <cell r="BY12">
            <v>79.228949982976118</v>
          </cell>
          <cell r="BZ12">
            <v>3.961447499148806</v>
          </cell>
          <cell r="CC12">
            <v>45.9</v>
          </cell>
          <cell r="CD12">
            <v>24.189702855371522</v>
          </cell>
          <cell r="CE12">
            <v>33.865583997520126</v>
          </cell>
          <cell r="CF12">
            <v>43.541465139668738</v>
          </cell>
          <cell r="CG12">
            <v>53.217346281817342</v>
          </cell>
          <cell r="CH12">
            <v>62.893227423965953</v>
          </cell>
          <cell r="CI12">
            <v>72.569108566114565</v>
          </cell>
          <cell r="CJ12">
            <v>48.379405710743043</v>
          </cell>
          <cell r="CK12">
            <v>4.837940571074304</v>
          </cell>
          <cell r="CM12">
            <v>45.9</v>
          </cell>
          <cell r="CN12">
            <v>12.103557181215876</v>
          </cell>
          <cell r="CO12">
            <v>24.207114362431753</v>
          </cell>
          <cell r="CP12">
            <v>36.310671543647629</v>
          </cell>
          <cell r="CQ12">
            <v>48.414228724863506</v>
          </cell>
          <cell r="CR12">
            <v>60.517785906079382</v>
          </cell>
          <cell r="CS12">
            <v>72.621343087295259</v>
          </cell>
          <cell r="CT12">
            <v>24.207114362431753</v>
          </cell>
          <cell r="CX12">
            <v>19.326740000000001</v>
          </cell>
          <cell r="DJ12">
            <v>19.326740000000001</v>
          </cell>
          <cell r="DT12">
            <v>19.326740000000001</v>
          </cell>
          <cell r="DV12">
            <v>0</v>
          </cell>
          <cell r="DW12">
            <v>0</v>
          </cell>
          <cell r="DX12">
            <v>0</v>
          </cell>
          <cell r="DY12">
            <v>0</v>
          </cell>
          <cell r="DZ12">
            <v>0</v>
          </cell>
          <cell r="EE12">
            <v>11.88697</v>
          </cell>
          <cell r="EF12">
            <v>2.3722235345788483</v>
          </cell>
          <cell r="EG12">
            <v>2.8466682414946183</v>
          </cell>
          <cell r="EH12">
            <v>3.3211129484103878</v>
          </cell>
          <cell r="EI12">
            <v>3.7955576553261574</v>
          </cell>
          <cell r="EJ12">
            <v>4.270002362241927</v>
          </cell>
          <cell r="EK12">
            <v>4.7444470691576965</v>
          </cell>
          <cell r="EL12">
            <v>3.5583353018682726</v>
          </cell>
          <cell r="EM12">
            <v>0.23722235345788484</v>
          </cell>
          <cell r="EP12">
            <v>11.88697</v>
          </cell>
          <cell r="EQ12">
            <v>1.6643226620047713</v>
          </cell>
          <cell r="ER12">
            <v>2.3300517268066798</v>
          </cell>
          <cell r="ES12">
            <v>2.9957807916085883</v>
          </cell>
          <cell r="ET12">
            <v>3.6615098564104969</v>
          </cell>
          <cell r="EU12">
            <v>4.3272389212124054</v>
          </cell>
          <cell r="EV12">
            <v>4.9929679860143139</v>
          </cell>
          <cell r="EW12">
            <v>3.3286453240095426</v>
          </cell>
          <cell r="EX12">
            <v>0.33286453240095426</v>
          </cell>
          <cell r="EZ12">
            <v>11.88697</v>
          </cell>
          <cell r="FA12">
            <v>0.97828116820035227</v>
          </cell>
          <cell r="FB12">
            <v>1.9565623364007045</v>
          </cell>
          <cell r="FC12">
            <v>2.9348435046010568</v>
          </cell>
          <cell r="FD12">
            <v>3.9131246728014091</v>
          </cell>
          <cell r="FE12">
            <v>4.8914058410017613</v>
          </cell>
          <cell r="FF12">
            <v>5.8696870092021136</v>
          </cell>
          <cell r="FG12">
            <v>1.9565623364007045</v>
          </cell>
        </row>
        <row r="13">
          <cell r="A13">
            <v>35734</v>
          </cell>
          <cell r="B13">
            <v>19.083649999999999</v>
          </cell>
          <cell r="C13">
            <v>11.426581846185437</v>
          </cell>
          <cell r="D13">
            <v>17.139872769278156</v>
          </cell>
          <cell r="E13">
            <v>22.853163692370874</v>
          </cell>
          <cell r="F13">
            <v>28.566454615463591</v>
          </cell>
          <cell r="G13">
            <v>34.279745538556313</v>
          </cell>
          <cell r="H13">
            <v>39.993036461649027</v>
          </cell>
          <cell r="I13">
            <v>45.706327384741748</v>
          </cell>
          <cell r="J13">
            <v>51.419618307834469</v>
          </cell>
          <cell r="K13">
            <v>57.132909230927183</v>
          </cell>
          <cell r="L13">
            <v>42.849681923195391</v>
          </cell>
          <cell r="M13">
            <v>2.8566454615463592</v>
          </cell>
          <cell r="P13">
            <v>19.083649999999999</v>
          </cell>
          <cell r="Q13">
            <v>10.812620589960627</v>
          </cell>
          <cell r="R13">
            <v>18.021034316601042</v>
          </cell>
          <cell r="S13">
            <v>25.229448043241462</v>
          </cell>
          <cell r="T13">
            <v>32.437861769881877</v>
          </cell>
          <cell r="U13">
            <v>39.646275496522293</v>
          </cell>
          <cell r="V13">
            <v>46.854689223162715</v>
          </cell>
          <cell r="W13">
            <v>54.063102949803131</v>
          </cell>
          <cell r="X13">
            <v>36.042068633202085</v>
          </cell>
          <cell r="Y13">
            <v>3.6042068633202087</v>
          </cell>
          <cell r="AA13">
            <v>19.083649999999999</v>
          </cell>
          <cell r="AB13">
            <v>16.857824605802342</v>
          </cell>
          <cell r="AC13">
            <v>25.286736908703514</v>
          </cell>
          <cell r="AD13">
            <v>33.715649211604685</v>
          </cell>
          <cell r="AE13">
            <v>42.144561514505853</v>
          </cell>
          <cell r="AF13">
            <v>50.573473817407027</v>
          </cell>
          <cell r="AG13">
            <v>16.857824605802342</v>
          </cell>
          <cell r="AK13">
            <v>19.899999999999999</v>
          </cell>
          <cell r="AL13">
            <v>19.443219567690559</v>
          </cell>
          <cell r="AM13">
            <v>24.304024459613199</v>
          </cell>
          <cell r="AN13">
            <v>29.164829351535836</v>
          </cell>
          <cell r="AO13">
            <v>34.025634243458477</v>
          </cell>
          <cell r="AP13">
            <v>38.886439135381117</v>
          </cell>
          <cell r="AQ13">
            <v>43.747244027303758</v>
          </cell>
          <cell r="AR13">
            <v>48.608048919226398</v>
          </cell>
          <cell r="AS13">
            <v>36.456036689419797</v>
          </cell>
          <cell r="AT13">
            <v>2.4304024459613198</v>
          </cell>
          <cell r="AW13">
            <v>19.899999999999999</v>
          </cell>
          <cell r="AX13">
            <v>17.041974781949179</v>
          </cell>
          <cell r="AY13">
            <v>23.858764694728855</v>
          </cell>
          <cell r="AZ13">
            <v>30.675554607508523</v>
          </cell>
          <cell r="BA13">
            <v>37.492344520288199</v>
          </cell>
          <cell r="BB13">
            <v>44.309134433067868</v>
          </cell>
          <cell r="BC13">
            <v>51.125924345847544</v>
          </cell>
          <cell r="BD13">
            <v>34.083949563898358</v>
          </cell>
          <cell r="BE13">
            <v>3.4083949563898361</v>
          </cell>
          <cell r="BG13">
            <v>19.899999999999999</v>
          </cell>
          <cell r="BH13">
            <v>11.389198900265447</v>
          </cell>
          <cell r="BI13">
            <v>17.083798350398169</v>
          </cell>
          <cell r="BJ13">
            <v>22.778397800530893</v>
          </cell>
          <cell r="BK13">
            <v>28.472997250663617</v>
          </cell>
          <cell r="BL13">
            <v>34.167596700796338</v>
          </cell>
          <cell r="BM13">
            <v>11.389198900265447</v>
          </cell>
          <cell r="BQ13">
            <v>33</v>
          </cell>
          <cell r="BR13">
            <v>23.935192563973171</v>
          </cell>
          <cell r="BS13">
            <v>31.91359008529756</v>
          </cell>
          <cell r="BT13">
            <v>39.891987606621953</v>
          </cell>
          <cell r="BU13">
            <v>47.870385127946342</v>
          </cell>
          <cell r="BV13">
            <v>55.848782649270731</v>
          </cell>
          <cell r="BW13">
            <v>63.827180170595121</v>
          </cell>
          <cell r="BX13">
            <v>71.80557769191951</v>
          </cell>
          <cell r="BY13">
            <v>79.783975213243906</v>
          </cell>
          <cell r="BZ13">
            <v>3.989198760662195</v>
          </cell>
          <cell r="CC13">
            <v>33</v>
          </cell>
          <cell r="CD13">
            <v>24.343569587792949</v>
          </cell>
          <cell r="CE13">
            <v>34.08099742291013</v>
          </cell>
          <cell r="CF13">
            <v>43.818425258027304</v>
          </cell>
          <cell r="CG13">
            <v>53.555853093144485</v>
          </cell>
          <cell r="CH13">
            <v>63.293280928261666</v>
          </cell>
          <cell r="CI13">
            <v>73.03070876337884</v>
          </cell>
          <cell r="CJ13">
            <v>48.687139175585898</v>
          </cell>
          <cell r="CK13">
            <v>4.8687139175585896</v>
          </cell>
          <cell r="CM13">
            <v>33</v>
          </cell>
          <cell r="CN13">
            <v>12.197086304296938</v>
          </cell>
          <cell r="CO13">
            <v>24.394172608593877</v>
          </cell>
          <cell r="CP13">
            <v>36.591258912890815</v>
          </cell>
          <cell r="CQ13">
            <v>48.788345217187754</v>
          </cell>
          <cell r="CR13">
            <v>60.985431521484692</v>
          </cell>
          <cell r="CS13">
            <v>73.18251782578163</v>
          </cell>
          <cell r="CT13">
            <v>24.394172608593877</v>
          </cell>
          <cell r="CX13">
            <v>9.4205719999999999</v>
          </cell>
          <cell r="DJ13">
            <v>9.4205719999999999</v>
          </cell>
          <cell r="DT13">
            <v>9.4205719999999999</v>
          </cell>
          <cell r="DV13">
            <v>0</v>
          </cell>
          <cell r="DW13">
            <v>0</v>
          </cell>
          <cell r="DX13">
            <v>0</v>
          </cell>
          <cell r="DY13">
            <v>0</v>
          </cell>
          <cell r="DZ13">
            <v>0</v>
          </cell>
          <cell r="EE13">
            <v>7.2285599999999999</v>
          </cell>
          <cell r="EF13">
            <v>2.3996258343641363</v>
          </cell>
          <cell r="EG13">
            <v>2.8795510012369636</v>
          </cell>
          <cell r="EH13">
            <v>3.3594761681097909</v>
          </cell>
          <cell r="EI13">
            <v>3.8394013349826182</v>
          </cell>
          <cell r="EJ13">
            <v>4.3193265018554454</v>
          </cell>
          <cell r="EK13">
            <v>4.7992516687282727</v>
          </cell>
          <cell r="EL13">
            <v>3.5994387515462045</v>
          </cell>
          <cell r="EM13">
            <v>0.23996258343641363</v>
          </cell>
          <cell r="EP13">
            <v>7.2285599999999999</v>
          </cell>
          <cell r="EQ13">
            <v>1.70046005462742</v>
          </cell>
          <cell r="ER13">
            <v>2.3806440764783883</v>
          </cell>
          <cell r="ES13">
            <v>3.0608280983293561</v>
          </cell>
          <cell r="ET13">
            <v>3.7410121201803244</v>
          </cell>
          <cell r="EU13">
            <v>4.4211961420312926</v>
          </cell>
          <cell r="EV13">
            <v>5.1013801638822605</v>
          </cell>
          <cell r="EW13">
            <v>3.40092010925484</v>
          </cell>
          <cell r="EX13">
            <v>0.34009201092548402</v>
          </cell>
          <cell r="EZ13">
            <v>7.2285599999999999</v>
          </cell>
          <cell r="FA13">
            <v>1.0265408400955545</v>
          </cell>
          <cell r="FB13">
            <v>2.0530816801911089</v>
          </cell>
          <cell r="FC13">
            <v>3.0796225202866632</v>
          </cell>
          <cell r="FD13">
            <v>4.1061633603822179</v>
          </cell>
          <cell r="FE13">
            <v>5.1327042004777725</v>
          </cell>
          <cell r="FF13">
            <v>6.1592450405733263</v>
          </cell>
          <cell r="FG13">
            <v>2.0530816801911089</v>
          </cell>
        </row>
        <row r="14">
          <cell r="A14">
            <v>35762</v>
          </cell>
          <cell r="B14">
            <v>15.247249999999999</v>
          </cell>
          <cell r="C14">
            <v>11.514128365286249</v>
          </cell>
          <cell r="D14">
            <v>17.271192547929374</v>
          </cell>
          <cell r="E14">
            <v>23.028256730572497</v>
          </cell>
          <cell r="F14">
            <v>28.785320913215621</v>
          </cell>
          <cell r="G14">
            <v>34.542385095858748</v>
          </cell>
          <cell r="H14">
            <v>40.299449278501868</v>
          </cell>
          <cell r="I14">
            <v>46.056513461144995</v>
          </cell>
          <cell r="J14">
            <v>51.813577643788122</v>
          </cell>
          <cell r="K14">
            <v>57.570641826431242</v>
          </cell>
          <cell r="L14">
            <v>43.177981369823435</v>
          </cell>
          <cell r="M14">
            <v>2.8785320913215622</v>
          </cell>
          <cell r="P14">
            <v>15.247249999999999</v>
          </cell>
          <cell r="Q14">
            <v>10.807937075638236</v>
          </cell>
          <cell r="R14">
            <v>18.013228459397062</v>
          </cell>
          <cell r="S14">
            <v>25.218519843155885</v>
          </cell>
          <cell r="T14">
            <v>32.423811226914708</v>
          </cell>
          <cell r="U14">
            <v>39.629102610673534</v>
          </cell>
          <cell r="V14">
            <v>46.834393994432361</v>
          </cell>
          <cell r="W14">
            <v>54.039685378191187</v>
          </cell>
          <cell r="X14">
            <v>36.026456918794125</v>
          </cell>
          <cell r="Y14">
            <v>3.6026456918794123</v>
          </cell>
          <cell r="AA14">
            <v>15.247249999999999</v>
          </cell>
          <cell r="AB14">
            <v>17.101415555369215</v>
          </cell>
          <cell r="AC14">
            <v>25.652123333053822</v>
          </cell>
          <cell r="AD14">
            <v>34.20283111073843</v>
          </cell>
          <cell r="AE14">
            <v>42.753538888423037</v>
          </cell>
          <cell r="AF14">
            <v>51.304246666107645</v>
          </cell>
          <cell r="AG14">
            <v>17.101415555369215</v>
          </cell>
          <cell r="AK14">
            <v>20.149999999999999</v>
          </cell>
          <cell r="AL14">
            <v>19.633896473265075</v>
          </cell>
          <cell r="AM14">
            <v>24.542370591581346</v>
          </cell>
          <cell r="AN14">
            <v>29.450844709897613</v>
          </cell>
          <cell r="AO14">
            <v>34.35931882821388</v>
          </cell>
          <cell r="AP14">
            <v>39.26779294653015</v>
          </cell>
          <cell r="AQ14">
            <v>44.176267064846421</v>
          </cell>
          <cell r="AR14">
            <v>49.084741183162691</v>
          </cell>
          <cell r="AS14">
            <v>36.813555887372019</v>
          </cell>
          <cell r="AT14">
            <v>2.4542370591581344</v>
          </cell>
          <cell r="AW14">
            <v>20.149999999999999</v>
          </cell>
          <cell r="AX14">
            <v>17.279470041714063</v>
          </cell>
          <cell r="AY14">
            <v>24.19125805839969</v>
          </cell>
          <cell r="AZ14">
            <v>31.103046075085317</v>
          </cell>
          <cell r="BA14">
            <v>38.014834091770943</v>
          </cell>
          <cell r="BB14">
            <v>44.92662210845657</v>
          </cell>
          <cell r="BC14">
            <v>51.838410125142197</v>
          </cell>
          <cell r="BD14">
            <v>34.558940083428126</v>
          </cell>
          <cell r="BE14">
            <v>3.4558940083428129</v>
          </cell>
          <cell r="BG14">
            <v>20.149999999999999</v>
          </cell>
          <cell r="BH14">
            <v>11.507645525218043</v>
          </cell>
          <cell r="BI14">
            <v>17.261468287827064</v>
          </cell>
          <cell r="BJ14">
            <v>23.015291050436087</v>
          </cell>
          <cell r="BK14">
            <v>28.769113813045109</v>
          </cell>
          <cell r="BL14">
            <v>34.522936575654128</v>
          </cell>
          <cell r="BM14">
            <v>11.507645525218043</v>
          </cell>
          <cell r="BQ14">
            <v>33.200000000000003</v>
          </cell>
          <cell r="BR14">
            <v>24.101700133053505</v>
          </cell>
          <cell r="BS14">
            <v>32.135600177404676</v>
          </cell>
          <cell r="BT14">
            <v>40.169500221755847</v>
          </cell>
          <cell r="BU14">
            <v>48.20340026610701</v>
          </cell>
          <cell r="BV14">
            <v>56.237300310458181</v>
          </cell>
          <cell r="BW14">
            <v>64.271200354809352</v>
          </cell>
          <cell r="BX14">
            <v>72.305100399160523</v>
          </cell>
          <cell r="BY14">
            <v>80.339000443511694</v>
          </cell>
          <cell r="BZ14">
            <v>4.0169500221755845</v>
          </cell>
          <cell r="CC14">
            <v>33.200000000000003</v>
          </cell>
          <cell r="CD14">
            <v>24.497436320214376</v>
          </cell>
          <cell r="CE14">
            <v>34.296410848300127</v>
          </cell>
          <cell r="CF14">
            <v>44.095385376385877</v>
          </cell>
          <cell r="CG14">
            <v>53.894359904471628</v>
          </cell>
          <cell r="CH14">
            <v>63.693334432557378</v>
          </cell>
          <cell r="CI14">
            <v>73.492308960643129</v>
          </cell>
          <cell r="CJ14">
            <v>48.994872640428753</v>
          </cell>
          <cell r="CK14">
            <v>4.8994872640428753</v>
          </cell>
          <cell r="CM14">
            <v>33.200000000000003</v>
          </cell>
          <cell r="CN14">
            <v>12.290615427378</v>
          </cell>
          <cell r="CO14">
            <v>24.581230854756001</v>
          </cell>
          <cell r="CP14">
            <v>36.871846282134001</v>
          </cell>
          <cell r="CQ14">
            <v>49.162461709512002</v>
          </cell>
          <cell r="CR14">
            <v>61.453077136890002</v>
          </cell>
          <cell r="CS14">
            <v>73.743692564268002</v>
          </cell>
          <cell r="CT14">
            <v>24.581230854756001</v>
          </cell>
          <cell r="CX14">
            <v>8.7407369999999993</v>
          </cell>
          <cell r="DJ14">
            <v>8.7407369999999993</v>
          </cell>
          <cell r="DT14">
            <v>8.7407369999999993</v>
          </cell>
          <cell r="DV14">
            <v>0</v>
          </cell>
          <cell r="DW14">
            <v>0</v>
          </cell>
          <cell r="DX14">
            <v>0</v>
          </cell>
          <cell r="DY14">
            <v>0</v>
          </cell>
          <cell r="DZ14">
            <v>0</v>
          </cell>
          <cell r="EE14">
            <v>5.2045640000000004</v>
          </cell>
          <cell r="EF14">
            <v>2.4270281341494244</v>
          </cell>
          <cell r="EG14">
            <v>2.9124337609793089</v>
          </cell>
          <cell r="EH14">
            <v>3.3978393878091939</v>
          </cell>
          <cell r="EI14">
            <v>3.8832450146390789</v>
          </cell>
          <cell r="EJ14">
            <v>4.3686506414689639</v>
          </cell>
          <cell r="EK14">
            <v>4.8540562682988488</v>
          </cell>
          <cell r="EL14">
            <v>3.6405422012241364</v>
          </cell>
          <cell r="EM14">
            <v>0.24270281341494243</v>
          </cell>
          <cell r="EP14">
            <v>5.2045640000000004</v>
          </cell>
          <cell r="EQ14">
            <v>1.7365974472500689</v>
          </cell>
          <cell r="ER14">
            <v>2.4312364261500967</v>
          </cell>
          <cell r="ES14">
            <v>3.1258754050501238</v>
          </cell>
          <cell r="ET14">
            <v>3.8205143839501519</v>
          </cell>
          <cell r="EU14">
            <v>4.515153362850179</v>
          </cell>
          <cell r="EV14">
            <v>5.209792341750207</v>
          </cell>
          <cell r="EW14">
            <v>3.4731948945001379</v>
          </cell>
          <cell r="EX14">
            <v>0.34731948945001379</v>
          </cell>
          <cell r="EZ14">
            <v>5.2045640000000004</v>
          </cell>
          <cell r="FA14">
            <v>1.0748005119907567</v>
          </cell>
          <cell r="FB14">
            <v>2.1496010239815133</v>
          </cell>
          <cell r="FC14">
            <v>3.22440153597227</v>
          </cell>
          <cell r="FD14">
            <v>4.2992020479630266</v>
          </cell>
          <cell r="FE14">
            <v>5.3740025599537837</v>
          </cell>
          <cell r="FF14">
            <v>6.4488030719445399</v>
          </cell>
          <cell r="FG14">
            <v>2.1496010239815133</v>
          </cell>
        </row>
        <row r="15">
          <cell r="A15">
            <v>35795</v>
          </cell>
          <cell r="B15">
            <v>18.345880000000001</v>
          </cell>
          <cell r="C15">
            <v>11.601674884387053</v>
          </cell>
          <cell r="D15">
            <v>17.402512326580581</v>
          </cell>
          <cell r="E15">
            <v>23.203349768774107</v>
          </cell>
          <cell r="F15">
            <v>29.004187210967633</v>
          </cell>
          <cell r="G15">
            <v>34.805024653161162</v>
          </cell>
          <cell r="H15">
            <v>40.605862095354688</v>
          </cell>
          <cell r="I15">
            <v>46.406699537548214</v>
          </cell>
          <cell r="J15">
            <v>52.207536979741739</v>
          </cell>
          <cell r="K15">
            <v>58.008374421935265</v>
          </cell>
          <cell r="L15">
            <v>43.506280816451451</v>
          </cell>
          <cell r="M15">
            <v>2.9004187210967634</v>
          </cell>
          <cell r="P15">
            <v>18.345880000000001</v>
          </cell>
          <cell r="Q15">
            <v>10.803253561315849</v>
          </cell>
          <cell r="R15">
            <v>18.005422602193082</v>
          </cell>
          <cell r="S15">
            <v>25.207591643070316</v>
          </cell>
          <cell r="T15">
            <v>32.409760683947546</v>
          </cell>
          <cell r="U15">
            <v>39.611929724824783</v>
          </cell>
          <cell r="V15">
            <v>46.814098765702013</v>
          </cell>
          <cell r="W15">
            <v>54.016267806579243</v>
          </cell>
          <cell r="X15">
            <v>36.010845204386165</v>
          </cell>
          <cell r="Y15">
            <v>3.6010845204386164</v>
          </cell>
          <cell r="AA15">
            <v>18.345880000000001</v>
          </cell>
          <cell r="AB15">
            <v>17.345006504936098</v>
          </cell>
          <cell r="AC15">
            <v>26.017509757404149</v>
          </cell>
          <cell r="AD15">
            <v>34.690013009872196</v>
          </cell>
          <cell r="AE15">
            <v>43.362516262340243</v>
          </cell>
          <cell r="AF15">
            <v>52.035019514808297</v>
          </cell>
          <cell r="AG15">
            <v>17.345006504936098</v>
          </cell>
          <cell r="AK15">
            <v>21.9</v>
          </cell>
          <cell r="AL15">
            <v>19.824573378839599</v>
          </cell>
          <cell r="AM15">
            <v>24.780716723549499</v>
          </cell>
          <cell r="AN15">
            <v>29.736860068259396</v>
          </cell>
          <cell r="AO15">
            <v>34.693003412969297</v>
          </cell>
          <cell r="AP15">
            <v>39.649146757679198</v>
          </cell>
          <cell r="AQ15">
            <v>44.605290102389098</v>
          </cell>
          <cell r="AR15">
            <v>49.561433447098999</v>
          </cell>
          <cell r="AS15">
            <v>37.171075085324247</v>
          </cell>
          <cell r="AT15">
            <v>2.4780716723549499</v>
          </cell>
          <cell r="AW15">
            <v>21.9</v>
          </cell>
          <cell r="AX15">
            <v>17.516965301478958</v>
          </cell>
          <cell r="AY15">
            <v>24.523751422070539</v>
          </cell>
          <cell r="AZ15">
            <v>31.530537542662124</v>
          </cell>
          <cell r="BA15">
            <v>38.537323663253709</v>
          </cell>
          <cell r="BB15">
            <v>45.544109783845286</v>
          </cell>
          <cell r="BC15">
            <v>52.550895904436871</v>
          </cell>
          <cell r="BD15">
            <v>35.033930602957916</v>
          </cell>
          <cell r="BE15">
            <v>3.5033930602957915</v>
          </cell>
          <cell r="BG15">
            <v>21.9</v>
          </cell>
          <cell r="BH15">
            <v>11.626092150170649</v>
          </cell>
          <cell r="BI15">
            <v>17.439138225255974</v>
          </cell>
          <cell r="BJ15">
            <v>23.252184300341298</v>
          </cell>
          <cell r="BK15">
            <v>29.065230375426623</v>
          </cell>
          <cell r="BL15">
            <v>34.878276450511947</v>
          </cell>
          <cell r="BM15">
            <v>11.626092150170649</v>
          </cell>
          <cell r="BQ15">
            <v>37.1</v>
          </cell>
          <cell r="BR15">
            <v>24.26820770213385</v>
          </cell>
          <cell r="BS15">
            <v>32.357610269511802</v>
          </cell>
          <cell r="BT15">
            <v>40.447012836889755</v>
          </cell>
          <cell r="BU15">
            <v>48.5364154042677</v>
          </cell>
          <cell r="BV15">
            <v>56.625817971645652</v>
          </cell>
          <cell r="BW15">
            <v>64.715220539023605</v>
          </cell>
          <cell r="BX15">
            <v>72.80462310640155</v>
          </cell>
          <cell r="BY15">
            <v>80.89402567377951</v>
          </cell>
          <cell r="BZ15">
            <v>4.0447012836889753</v>
          </cell>
          <cell r="CC15">
            <v>37.1</v>
          </cell>
          <cell r="CD15">
            <v>24.651303052635821</v>
          </cell>
          <cell r="CE15">
            <v>34.511824273690152</v>
          </cell>
          <cell r="CF15">
            <v>44.372345494744479</v>
          </cell>
          <cell r="CG15">
            <v>54.232866715798806</v>
          </cell>
          <cell r="CH15">
            <v>64.093387936853134</v>
          </cell>
          <cell r="CI15">
            <v>73.953909157907461</v>
          </cell>
          <cell r="CJ15">
            <v>49.302606105271643</v>
          </cell>
          <cell r="CK15">
            <v>4.9302606105271645</v>
          </cell>
          <cell r="CM15">
            <v>37.1</v>
          </cell>
          <cell r="CN15">
            <v>12.384144550459062</v>
          </cell>
          <cell r="CO15">
            <v>24.768289100918125</v>
          </cell>
          <cell r="CP15">
            <v>37.152433651377187</v>
          </cell>
          <cell r="CQ15">
            <v>49.536578201836249</v>
          </cell>
          <cell r="CR15">
            <v>61.920722752295312</v>
          </cell>
          <cell r="CS15">
            <v>74.304867302754374</v>
          </cell>
          <cell r="CT15">
            <v>24.768289100918125</v>
          </cell>
          <cell r="CX15">
            <v>9.2263339999999996</v>
          </cell>
          <cell r="CY15">
            <v>9.5698205564963441</v>
          </cell>
          <cell r="CZ15">
            <v>11.962275695620431</v>
          </cell>
          <cell r="DA15">
            <v>14.354730834744515</v>
          </cell>
          <cell r="DB15">
            <v>16.747185973868604</v>
          </cell>
          <cell r="DC15">
            <v>19.139641112992688</v>
          </cell>
          <cell r="DD15">
            <v>21.532096252116773</v>
          </cell>
          <cell r="DE15">
            <v>23.924551391240861</v>
          </cell>
          <cell r="DF15">
            <v>17.943413543430644</v>
          </cell>
          <cell r="DG15">
            <v>1.196227569562043</v>
          </cell>
          <cell r="DJ15">
            <v>9.2263339999999996</v>
          </cell>
          <cell r="DK15">
            <v>8.1601272837894339</v>
          </cell>
          <cell r="DL15">
            <v>11.424178197305208</v>
          </cell>
          <cell r="DM15">
            <v>14.688229110820982</v>
          </cell>
          <cell r="DN15">
            <v>17.952280024336755</v>
          </cell>
          <cell r="DO15">
            <v>21.216330937852529</v>
          </cell>
          <cell r="DP15">
            <v>24.480381851368303</v>
          </cell>
          <cell r="DQ15">
            <v>16.320254567578868</v>
          </cell>
          <cell r="DR15">
            <v>1.6320254567578869</v>
          </cell>
          <cell r="DT15">
            <v>9.2263339999999996</v>
          </cell>
          <cell r="DU15">
            <v>4.2227378457274494</v>
          </cell>
          <cell r="DV15">
            <v>8.4454756914548987</v>
          </cell>
          <cell r="DW15">
            <v>12.668213537182348</v>
          </cell>
          <cell r="DX15">
            <v>16.890951382909797</v>
          </cell>
          <cell r="DY15">
            <v>21.113689228637249</v>
          </cell>
          <cell r="DZ15">
            <v>25.336427074364696</v>
          </cell>
          <cell r="EA15">
            <v>8.4454756914548987</v>
          </cell>
          <cell r="EE15">
            <v>4.3692630000000001</v>
          </cell>
          <cell r="EF15">
            <v>2.4544304339347125</v>
          </cell>
          <cell r="EG15">
            <v>2.9453165207216547</v>
          </cell>
          <cell r="EH15">
            <v>3.436202607508597</v>
          </cell>
          <cell r="EI15">
            <v>3.9270886942955396</v>
          </cell>
          <cell r="EJ15">
            <v>4.4179747810824823</v>
          </cell>
          <cell r="EK15">
            <v>4.908860867869425</v>
          </cell>
          <cell r="EL15">
            <v>3.6816456509020683</v>
          </cell>
          <cell r="EM15">
            <v>0.24544304339347123</v>
          </cell>
          <cell r="EP15">
            <v>4.3692630000000001</v>
          </cell>
          <cell r="EQ15">
            <v>1.7727348398727163</v>
          </cell>
          <cell r="ER15">
            <v>2.4818287758218029</v>
          </cell>
          <cell r="ES15">
            <v>3.1909227117708894</v>
          </cell>
          <cell r="ET15">
            <v>3.9000166477199758</v>
          </cell>
          <cell r="EU15">
            <v>4.6091105836690627</v>
          </cell>
          <cell r="EV15">
            <v>5.3182045196181491</v>
          </cell>
          <cell r="EW15">
            <v>3.5454696797454326</v>
          </cell>
          <cell r="EX15">
            <v>0.35454696797454327</v>
          </cell>
          <cell r="EZ15">
            <v>4.3692630000000001</v>
          </cell>
          <cell r="FA15">
            <v>1.1230601838859586</v>
          </cell>
          <cell r="FB15">
            <v>2.2461203677719173</v>
          </cell>
          <cell r="FC15">
            <v>3.3691805516578759</v>
          </cell>
          <cell r="FD15">
            <v>4.4922407355438345</v>
          </cell>
          <cell r="FE15">
            <v>5.6153009194297931</v>
          </cell>
          <cell r="FF15">
            <v>6.7383611033157518</v>
          </cell>
          <cell r="FG15">
            <v>2.2461203677719173</v>
          </cell>
        </row>
        <row r="16">
          <cell r="A16">
            <v>35825</v>
          </cell>
          <cell r="B16">
            <v>8.8040559999999992</v>
          </cell>
          <cell r="C16">
            <v>10.987976716388012</v>
          </cell>
          <cell r="D16">
            <v>16.481965074582018</v>
          </cell>
          <cell r="E16">
            <v>21.975953432776024</v>
          </cell>
          <cell r="F16">
            <v>27.469941790970029</v>
          </cell>
          <cell r="G16">
            <v>32.963930149164035</v>
          </cell>
          <cell r="H16">
            <v>38.457918507358045</v>
          </cell>
          <cell r="I16">
            <v>43.951906865552047</v>
          </cell>
          <cell r="J16">
            <v>49.445895223746049</v>
          </cell>
          <cell r="K16">
            <v>54.939883581940059</v>
          </cell>
          <cell r="L16">
            <v>41.204912686455046</v>
          </cell>
          <cell r="M16">
            <v>2.7469941790970029</v>
          </cell>
          <cell r="P16">
            <v>8.8040559999999992</v>
          </cell>
          <cell r="Q16">
            <v>10.628434035134351</v>
          </cell>
          <cell r="R16">
            <v>17.714056725223916</v>
          </cell>
          <cell r="S16">
            <v>24.799679415313484</v>
          </cell>
          <cell r="T16">
            <v>31.885302105403049</v>
          </cell>
          <cell r="U16">
            <v>38.970924795492614</v>
          </cell>
          <cell r="V16">
            <v>46.056547485582186</v>
          </cell>
          <cell r="W16">
            <v>53.142170175671751</v>
          </cell>
          <cell r="X16">
            <v>35.428113450447832</v>
          </cell>
          <cell r="Y16">
            <v>3.5428113450447833</v>
          </cell>
          <cell r="AA16">
            <v>8.8040559999999992</v>
          </cell>
          <cell r="AB16">
            <v>17.167755641694619</v>
          </cell>
          <cell r="AC16">
            <v>25.751633462541928</v>
          </cell>
          <cell r="AD16">
            <v>34.335511283389238</v>
          </cell>
          <cell r="AE16">
            <v>42.919389104236544</v>
          </cell>
          <cell r="AF16">
            <v>51.503266925083857</v>
          </cell>
          <cell r="AG16">
            <v>17.167755641694619</v>
          </cell>
          <cell r="AK16">
            <v>11.3</v>
          </cell>
          <cell r="AL16">
            <v>19.317365187713317</v>
          </cell>
          <cell r="AM16">
            <v>24.146706484641648</v>
          </cell>
          <cell r="AN16">
            <v>28.976047781569974</v>
          </cell>
          <cell r="AO16">
            <v>33.805389078498308</v>
          </cell>
          <cell r="AP16">
            <v>38.634730375426635</v>
          </cell>
          <cell r="AQ16">
            <v>43.464071672354962</v>
          </cell>
          <cell r="AR16">
            <v>48.293412969283295</v>
          </cell>
          <cell r="AS16">
            <v>36.220059726962468</v>
          </cell>
          <cell r="AT16">
            <v>2.4146706484641647</v>
          </cell>
          <cell r="AW16">
            <v>11.3</v>
          </cell>
          <cell r="AX16">
            <v>17.648921833522945</v>
          </cell>
          <cell r="AY16">
            <v>24.708490566932124</v>
          </cell>
          <cell r="AZ16">
            <v>31.768059300341303</v>
          </cell>
          <cell r="BA16">
            <v>38.827628033750479</v>
          </cell>
          <cell r="BB16">
            <v>45.887196767159658</v>
          </cell>
          <cell r="BC16">
            <v>52.946765500568837</v>
          </cell>
          <cell r="BD16">
            <v>35.297843667045889</v>
          </cell>
          <cell r="BE16">
            <v>3.5297843667045892</v>
          </cell>
          <cell r="BG16">
            <v>11.3</v>
          </cell>
          <cell r="BH16">
            <v>11.910379692832764</v>
          </cell>
          <cell r="BI16">
            <v>17.865569539249147</v>
          </cell>
          <cell r="BJ16">
            <v>23.820759385665529</v>
          </cell>
          <cell r="BK16">
            <v>29.77594923208191</v>
          </cell>
          <cell r="BL16">
            <v>35.731139078498295</v>
          </cell>
          <cell r="BM16">
            <v>11.910379692832764</v>
          </cell>
          <cell r="BQ16">
            <v>26.3</v>
          </cell>
          <cell r="BR16">
            <v>23.551863873369808</v>
          </cell>
          <cell r="BS16">
            <v>31.402485164493076</v>
          </cell>
          <cell r="BT16">
            <v>39.253106455616347</v>
          </cell>
          <cell r="BU16">
            <v>47.103727746739615</v>
          </cell>
          <cell r="BV16">
            <v>54.954349037862883</v>
          </cell>
          <cell r="BW16">
            <v>62.804970328986151</v>
          </cell>
          <cell r="BX16">
            <v>70.655591620109419</v>
          </cell>
          <cell r="BY16">
            <v>78.506212911232694</v>
          </cell>
          <cell r="BZ16">
            <v>3.9253106455616344</v>
          </cell>
          <cell r="CC16">
            <v>26.3</v>
          </cell>
          <cell r="CD16">
            <v>24.533299584626938</v>
          </cell>
          <cell r="CE16">
            <v>34.346619418477715</v>
          </cell>
          <cell r="CF16">
            <v>44.159939252328485</v>
          </cell>
          <cell r="CG16">
            <v>53.973259086179262</v>
          </cell>
          <cell r="CH16">
            <v>63.786578920030038</v>
          </cell>
          <cell r="CI16">
            <v>73.599898753880808</v>
          </cell>
          <cell r="CJ16">
            <v>49.066599169253877</v>
          </cell>
          <cell r="CK16">
            <v>4.9066599169253875</v>
          </cell>
          <cell r="CM16">
            <v>26.3</v>
          </cell>
          <cell r="CN16">
            <v>12.340725764193895</v>
          </cell>
          <cell r="CO16">
            <v>24.68145152838779</v>
          </cell>
          <cell r="CP16">
            <v>37.022177292581688</v>
          </cell>
          <cell r="CQ16">
            <v>49.362903056775579</v>
          </cell>
          <cell r="CR16">
            <v>61.70362882096947</v>
          </cell>
          <cell r="CS16">
            <v>74.044354585163376</v>
          </cell>
          <cell r="CT16">
            <v>24.68145152838779</v>
          </cell>
          <cell r="CX16">
            <v>4.2975289999999999</v>
          </cell>
          <cell r="CY16">
            <v>8.8455233962054027</v>
          </cell>
          <cell r="CZ16">
            <v>11.056904245256753</v>
          </cell>
          <cell r="DA16">
            <v>13.268285094308105</v>
          </cell>
          <cell r="DB16">
            <v>15.479665943359455</v>
          </cell>
          <cell r="DC16">
            <v>17.691046792410805</v>
          </cell>
          <cell r="DD16">
            <v>19.902427641462157</v>
          </cell>
          <cell r="DE16">
            <v>22.113808490513506</v>
          </cell>
          <cell r="DF16">
            <v>16.585356367885129</v>
          </cell>
          <cell r="DG16">
            <v>1.1056904245256753</v>
          </cell>
          <cell r="DJ16">
            <v>4.2975289999999999</v>
          </cell>
          <cell r="DK16">
            <v>7.9158529716130541</v>
          </cell>
          <cell r="DL16">
            <v>11.082194160258275</v>
          </cell>
          <cell r="DM16">
            <v>14.248535348903498</v>
          </cell>
          <cell r="DN16">
            <v>17.414876537548718</v>
          </cell>
          <cell r="DO16">
            <v>20.581217726193941</v>
          </cell>
          <cell r="DP16">
            <v>23.747558914839164</v>
          </cell>
          <cell r="DQ16">
            <v>15.831705943226108</v>
          </cell>
          <cell r="DR16">
            <v>1.5831705943226109</v>
          </cell>
          <cell r="DT16">
            <v>4.2975289999999999</v>
          </cell>
          <cell r="DU16">
            <v>4.206175681214142</v>
          </cell>
          <cell r="DV16">
            <v>8.412351362428284</v>
          </cell>
          <cell r="DW16">
            <v>12.618527043642427</v>
          </cell>
          <cell r="DX16">
            <v>16.824702724856568</v>
          </cell>
          <cell r="DY16">
            <v>21.030878406070709</v>
          </cell>
          <cell r="DZ16">
            <v>25.237054087284854</v>
          </cell>
          <cell r="EA16">
            <v>8.412351362428284</v>
          </cell>
          <cell r="EE16">
            <v>2.4577110000000002</v>
          </cell>
          <cell r="EF16">
            <v>2.2847250713071383</v>
          </cell>
          <cell r="EG16">
            <v>2.7416700855685656</v>
          </cell>
          <cell r="EH16">
            <v>3.1986150998299934</v>
          </cell>
          <cell r="EI16">
            <v>3.6555601140914211</v>
          </cell>
          <cell r="EJ16">
            <v>4.1125051283528489</v>
          </cell>
          <cell r="EK16">
            <v>4.5694501426142766</v>
          </cell>
          <cell r="EL16">
            <v>3.4270876069607072</v>
          </cell>
          <cell r="EM16">
            <v>0.22847250713071382</v>
          </cell>
          <cell r="EP16">
            <v>2.4577110000000002</v>
          </cell>
          <cell r="EQ16">
            <v>1.7404818398051685</v>
          </cell>
          <cell r="ER16">
            <v>2.4366745757272361</v>
          </cell>
          <cell r="ES16">
            <v>3.1328673116493033</v>
          </cell>
          <cell r="ET16">
            <v>3.829060047571371</v>
          </cell>
          <cell r="EU16">
            <v>4.5252527834934382</v>
          </cell>
          <cell r="EV16">
            <v>5.2214455194155054</v>
          </cell>
          <cell r="EW16">
            <v>3.4809636796103369</v>
          </cell>
          <cell r="EX16">
            <v>0.34809636796103371</v>
          </cell>
          <cell r="EZ16">
            <v>2.4577110000000002</v>
          </cell>
          <cell r="FA16">
            <v>1.1183694345785939</v>
          </cell>
          <cell r="FB16">
            <v>2.2367388691571879</v>
          </cell>
          <cell r="FC16">
            <v>3.3551083037357818</v>
          </cell>
          <cell r="FD16">
            <v>4.4734777383143758</v>
          </cell>
          <cell r="FE16">
            <v>5.5918471728929697</v>
          </cell>
          <cell r="FF16">
            <v>6.7102166074715637</v>
          </cell>
          <cell r="FG16">
            <v>2.2367388691571879</v>
          </cell>
        </row>
        <row r="17">
          <cell r="A17">
            <v>35853</v>
          </cell>
          <cell r="B17">
            <v>20.854299999999999</v>
          </cell>
          <cell r="C17">
            <v>10.37427854838897</v>
          </cell>
          <cell r="D17">
            <v>15.561417822583454</v>
          </cell>
          <cell r="E17">
            <v>20.74855709677794</v>
          </cell>
          <cell r="F17">
            <v>25.935696370972426</v>
          </cell>
          <cell r="G17">
            <v>31.122835645166909</v>
          </cell>
          <cell r="H17">
            <v>36.309974919361395</v>
          </cell>
          <cell r="I17">
            <v>41.49711419355588</v>
          </cell>
          <cell r="J17">
            <v>46.684253467750366</v>
          </cell>
          <cell r="K17">
            <v>51.871392741944852</v>
          </cell>
          <cell r="L17">
            <v>38.903544556458641</v>
          </cell>
          <cell r="M17">
            <v>2.5935696370972425</v>
          </cell>
          <cell r="P17">
            <v>20.854299999999999</v>
          </cell>
          <cell r="Q17">
            <v>10.453614508952851</v>
          </cell>
          <cell r="R17">
            <v>17.422690848254753</v>
          </cell>
          <cell r="S17">
            <v>24.391767187556653</v>
          </cell>
          <cell r="T17">
            <v>31.360843526858552</v>
          </cell>
          <cell r="U17">
            <v>38.329919866160452</v>
          </cell>
          <cell r="V17">
            <v>45.298996205462352</v>
          </cell>
          <cell r="W17">
            <v>52.268072544764252</v>
          </cell>
          <cell r="X17">
            <v>34.845381696509506</v>
          </cell>
          <cell r="Y17">
            <v>3.4845381696509503</v>
          </cell>
          <cell r="AA17">
            <v>20.854299999999999</v>
          </cell>
          <cell r="AB17">
            <v>16.99050477845314</v>
          </cell>
          <cell r="AC17">
            <v>25.485757167679708</v>
          </cell>
          <cell r="AD17">
            <v>33.98100955690628</v>
          </cell>
          <cell r="AE17">
            <v>42.476261946132851</v>
          </cell>
          <cell r="AF17">
            <v>50.971514335359416</v>
          </cell>
          <cell r="AG17">
            <v>16.99050477845314</v>
          </cell>
          <cell r="AK17">
            <v>21</v>
          </cell>
          <cell r="AL17">
            <v>18.810156996587036</v>
          </cell>
          <cell r="AM17">
            <v>23.512696245733796</v>
          </cell>
          <cell r="AN17">
            <v>28.215235494880552</v>
          </cell>
          <cell r="AO17">
            <v>32.917774744027312</v>
          </cell>
          <cell r="AP17">
            <v>37.620313993174072</v>
          </cell>
          <cell r="AQ17">
            <v>42.322853242320832</v>
          </cell>
          <cell r="AR17">
            <v>47.025392491467592</v>
          </cell>
          <cell r="AS17">
            <v>35.269044368600696</v>
          </cell>
          <cell r="AT17">
            <v>2.3512696245733795</v>
          </cell>
          <cell r="AW17">
            <v>21</v>
          </cell>
          <cell r="AX17">
            <v>17.780878365566934</v>
          </cell>
          <cell r="AY17">
            <v>24.893229711793708</v>
          </cell>
          <cell r="AZ17">
            <v>32.005581058020482</v>
          </cell>
          <cell r="BA17">
            <v>39.117932404247256</v>
          </cell>
          <cell r="BB17">
            <v>46.23028375047403</v>
          </cell>
          <cell r="BC17">
            <v>53.342635096700803</v>
          </cell>
          <cell r="BD17">
            <v>35.561756731133869</v>
          </cell>
          <cell r="BE17">
            <v>3.5561756731133869</v>
          </cell>
          <cell r="BG17">
            <v>21</v>
          </cell>
          <cell r="BH17">
            <v>12.19466723549488</v>
          </cell>
          <cell r="BI17">
            <v>18.292000853242321</v>
          </cell>
          <cell r="BJ17">
            <v>24.389334470989759</v>
          </cell>
          <cell r="BK17">
            <v>30.486668088737197</v>
          </cell>
          <cell r="BL17">
            <v>36.584001706484642</v>
          </cell>
          <cell r="BM17">
            <v>12.19466723549488</v>
          </cell>
          <cell r="BQ17">
            <v>34</v>
          </cell>
          <cell r="BR17">
            <v>22.835520044605762</v>
          </cell>
          <cell r="BS17">
            <v>30.447360059474349</v>
          </cell>
          <cell r="BT17">
            <v>38.05920007434294</v>
          </cell>
          <cell r="BU17">
            <v>45.671040089211523</v>
          </cell>
          <cell r="BV17">
            <v>53.282880104080107</v>
          </cell>
          <cell r="BW17">
            <v>60.894720118948698</v>
          </cell>
          <cell r="BX17">
            <v>68.506560133817288</v>
          </cell>
          <cell r="BY17">
            <v>76.118400148685879</v>
          </cell>
          <cell r="BZ17">
            <v>3.8059200074342936</v>
          </cell>
          <cell r="CC17">
            <v>34</v>
          </cell>
          <cell r="CD17">
            <v>24.415296116618052</v>
          </cell>
          <cell r="CE17">
            <v>34.181414563265271</v>
          </cell>
          <cell r="CF17">
            <v>43.947533009912497</v>
          </cell>
          <cell r="CG17">
            <v>53.713651456559717</v>
          </cell>
          <cell r="CH17">
            <v>63.479769903206936</v>
          </cell>
          <cell r="CI17">
            <v>73.245888349854155</v>
          </cell>
          <cell r="CJ17">
            <v>48.830592233236104</v>
          </cell>
          <cell r="CK17">
            <v>4.8830592233236105</v>
          </cell>
          <cell r="CM17">
            <v>34</v>
          </cell>
          <cell r="CN17">
            <v>12.297306977928727</v>
          </cell>
          <cell r="CO17">
            <v>24.594613955857454</v>
          </cell>
          <cell r="CP17">
            <v>36.891920933786182</v>
          </cell>
          <cell r="CQ17">
            <v>49.189227911714909</v>
          </cell>
          <cell r="CR17">
            <v>61.486534889643636</v>
          </cell>
          <cell r="CS17">
            <v>73.783841867572363</v>
          </cell>
          <cell r="CT17">
            <v>24.594613955857454</v>
          </cell>
          <cell r="CX17">
            <v>10.53744</v>
          </cell>
          <cell r="CY17">
            <v>8.1212262359144614</v>
          </cell>
          <cell r="CZ17">
            <v>10.151532794893077</v>
          </cell>
          <cell r="DA17">
            <v>12.181839353871691</v>
          </cell>
          <cell r="DB17">
            <v>14.212145912850307</v>
          </cell>
          <cell r="DC17">
            <v>16.242452471828923</v>
          </cell>
          <cell r="DD17">
            <v>18.272759030807538</v>
          </cell>
          <cell r="DE17">
            <v>20.303065589786154</v>
          </cell>
          <cell r="DF17">
            <v>15.227299192339615</v>
          </cell>
          <cell r="DG17">
            <v>1.0151532794893077</v>
          </cell>
          <cell r="DJ17">
            <v>10.53744</v>
          </cell>
          <cell r="DK17">
            <v>7.6715786594366744</v>
          </cell>
          <cell r="DL17">
            <v>10.740210123211344</v>
          </cell>
          <cell r="DM17">
            <v>13.808841586986013</v>
          </cell>
          <cell r="DN17">
            <v>16.877473050760685</v>
          </cell>
          <cell r="DO17">
            <v>19.946104514535353</v>
          </cell>
          <cell r="DP17">
            <v>23.014735978310021</v>
          </cell>
          <cell r="DQ17">
            <v>15.343157318873349</v>
          </cell>
          <cell r="DR17">
            <v>1.5343157318873348</v>
          </cell>
          <cell r="DT17">
            <v>10.53744</v>
          </cell>
          <cell r="DU17">
            <v>4.1896135167008346</v>
          </cell>
          <cell r="DV17">
            <v>8.3792270334016692</v>
          </cell>
          <cell r="DW17">
            <v>12.568840550102504</v>
          </cell>
          <cell r="DX17">
            <v>16.758454066803338</v>
          </cell>
          <cell r="DY17">
            <v>20.948067583504173</v>
          </cell>
          <cell r="DZ17">
            <v>25.137681100205008</v>
          </cell>
          <cell r="EA17">
            <v>8.3792270334016692</v>
          </cell>
          <cell r="EE17">
            <v>4.8832940000000002</v>
          </cell>
          <cell r="EF17">
            <v>2.1150197086795641</v>
          </cell>
          <cell r="EG17">
            <v>2.538023650415477</v>
          </cell>
          <cell r="EH17">
            <v>2.9610275921513898</v>
          </cell>
          <cell r="EI17">
            <v>3.3840315338873026</v>
          </cell>
          <cell r="EJ17">
            <v>3.8070354756232154</v>
          </cell>
          <cell r="EK17">
            <v>4.2300394173591283</v>
          </cell>
          <cell r="EL17">
            <v>3.1725295630193462</v>
          </cell>
          <cell r="EM17">
            <v>0.21150197086795641</v>
          </cell>
          <cell r="EP17">
            <v>4.8832940000000002</v>
          </cell>
          <cell r="EQ17">
            <v>1.7082288397376209</v>
          </cell>
          <cell r="ER17">
            <v>2.3915203756326693</v>
          </cell>
          <cell r="ES17">
            <v>3.0748119115277173</v>
          </cell>
          <cell r="ET17">
            <v>3.7581034474227657</v>
          </cell>
          <cell r="EU17">
            <v>4.4413949833178137</v>
          </cell>
          <cell r="EV17">
            <v>5.1246865192128626</v>
          </cell>
          <cell r="EW17">
            <v>3.4164576794752417</v>
          </cell>
          <cell r="EX17">
            <v>0.34164576794752416</v>
          </cell>
          <cell r="EZ17">
            <v>4.8832940000000002</v>
          </cell>
          <cell r="FA17">
            <v>1.1136786852712293</v>
          </cell>
          <cell r="FB17">
            <v>2.2273573705424585</v>
          </cell>
          <cell r="FC17">
            <v>3.3410360558136878</v>
          </cell>
          <cell r="FD17">
            <v>4.4547147410849171</v>
          </cell>
          <cell r="FE17">
            <v>5.5683934263561463</v>
          </cell>
          <cell r="FF17">
            <v>6.6820721116273756</v>
          </cell>
          <cell r="FG17">
            <v>2.2273573705424585</v>
          </cell>
        </row>
        <row r="18">
          <cell r="A18">
            <v>35885</v>
          </cell>
          <cell r="B18">
            <v>20.067350000000001</v>
          </cell>
          <cell r="C18">
            <v>9.7605803803899285</v>
          </cell>
          <cell r="D18">
            <v>14.640870570584893</v>
          </cell>
          <cell r="E18">
            <v>19.521160760779857</v>
          </cell>
          <cell r="F18">
            <v>24.401450950974819</v>
          </cell>
          <cell r="G18">
            <v>29.281741141169785</v>
          </cell>
          <cell r="H18">
            <v>34.162031331364751</v>
          </cell>
          <cell r="I18">
            <v>39.042321521559714</v>
          </cell>
          <cell r="J18">
            <v>43.922611711754676</v>
          </cell>
          <cell r="K18">
            <v>48.802901901949639</v>
          </cell>
          <cell r="L18">
            <v>36.602176426462229</v>
          </cell>
          <cell r="M18">
            <v>2.4401450950974821</v>
          </cell>
          <cell r="P18">
            <v>20.067350000000001</v>
          </cell>
          <cell r="Q18">
            <v>10.278794982771352</v>
          </cell>
          <cell r="R18">
            <v>17.131324971285586</v>
          </cell>
          <cell r="S18">
            <v>23.983854959799821</v>
          </cell>
          <cell r="T18">
            <v>30.836384948314056</v>
          </cell>
          <cell r="U18">
            <v>37.68891493682829</v>
          </cell>
          <cell r="V18">
            <v>44.541444925342525</v>
          </cell>
          <cell r="W18">
            <v>51.393974913856759</v>
          </cell>
          <cell r="X18">
            <v>34.262649942571173</v>
          </cell>
          <cell r="Y18">
            <v>3.4262649942571173</v>
          </cell>
          <cell r="AA18">
            <v>20.067350000000001</v>
          </cell>
          <cell r="AB18">
            <v>16.813253915211661</v>
          </cell>
          <cell r="AC18">
            <v>25.219880872817491</v>
          </cell>
          <cell r="AD18">
            <v>33.626507830423321</v>
          </cell>
          <cell r="AE18">
            <v>42.033134788029152</v>
          </cell>
          <cell r="AF18">
            <v>50.439761745634982</v>
          </cell>
          <cell r="AG18">
            <v>16.813253915211661</v>
          </cell>
          <cell r="AK18">
            <v>23</v>
          </cell>
          <cell r="AL18">
            <v>18.302948805460755</v>
          </cell>
          <cell r="AM18">
            <v>22.878686006825944</v>
          </cell>
          <cell r="AN18">
            <v>27.45442320819113</v>
          </cell>
          <cell r="AO18">
            <v>32.030160409556323</v>
          </cell>
          <cell r="AP18">
            <v>36.60589761092151</v>
          </cell>
          <cell r="AQ18">
            <v>41.181634812286696</v>
          </cell>
          <cell r="AR18">
            <v>45.757372013651889</v>
          </cell>
          <cell r="AS18">
            <v>34.318029010238916</v>
          </cell>
          <cell r="AT18">
            <v>2.2878686006825943</v>
          </cell>
          <cell r="AW18">
            <v>23</v>
          </cell>
          <cell r="AX18">
            <v>17.912834897610924</v>
          </cell>
          <cell r="AY18">
            <v>25.077968856655293</v>
          </cell>
          <cell r="AZ18">
            <v>32.243102815699665</v>
          </cell>
          <cell r="BA18">
            <v>39.408236774744033</v>
          </cell>
          <cell r="BB18">
            <v>46.573370733788401</v>
          </cell>
          <cell r="BC18">
            <v>53.73850469283277</v>
          </cell>
          <cell r="BD18">
            <v>35.825669795221849</v>
          </cell>
          <cell r="BE18">
            <v>3.5825669795221846</v>
          </cell>
          <cell r="BG18">
            <v>23</v>
          </cell>
          <cell r="BH18">
            <v>12.478954778156995</v>
          </cell>
          <cell r="BI18">
            <v>18.718432167235491</v>
          </cell>
          <cell r="BJ18">
            <v>24.957909556313989</v>
          </cell>
          <cell r="BK18">
            <v>31.197386945392488</v>
          </cell>
          <cell r="BL18">
            <v>37.436864334470982</v>
          </cell>
          <cell r="BM18">
            <v>12.478954778156995</v>
          </cell>
          <cell r="BQ18">
            <v>33.200000000000003</v>
          </cell>
          <cell r="BR18">
            <v>22.119176215841716</v>
          </cell>
          <cell r="BS18">
            <v>29.492234954455622</v>
          </cell>
          <cell r="BT18">
            <v>36.865293693069525</v>
          </cell>
          <cell r="BU18">
            <v>44.238352431683431</v>
          </cell>
          <cell r="BV18">
            <v>51.611411170297337</v>
          </cell>
          <cell r="BW18">
            <v>58.984469908911244</v>
          </cell>
          <cell r="BX18">
            <v>66.357528647525143</v>
          </cell>
          <cell r="BY18">
            <v>73.730587386139049</v>
          </cell>
          <cell r="BZ18">
            <v>3.6865293693069527</v>
          </cell>
          <cell r="CC18">
            <v>33.200000000000003</v>
          </cell>
          <cell r="CD18">
            <v>24.297292648609169</v>
          </cell>
          <cell r="CE18">
            <v>34.016209708052834</v>
          </cell>
          <cell r="CF18">
            <v>43.735126767496503</v>
          </cell>
          <cell r="CG18">
            <v>53.454043826940172</v>
          </cell>
          <cell r="CH18">
            <v>63.172960886383834</v>
          </cell>
          <cell r="CI18">
            <v>72.891877945827503</v>
          </cell>
          <cell r="CJ18">
            <v>48.594585297218337</v>
          </cell>
          <cell r="CK18">
            <v>4.8594585297218336</v>
          </cell>
          <cell r="CM18">
            <v>33.200000000000003</v>
          </cell>
          <cell r="CN18">
            <v>12.25388819166356</v>
          </cell>
          <cell r="CO18">
            <v>24.507776383327119</v>
          </cell>
          <cell r="CP18">
            <v>36.761664574990675</v>
          </cell>
          <cell r="CQ18">
            <v>49.015552766654238</v>
          </cell>
          <cell r="CR18">
            <v>61.269440958317801</v>
          </cell>
          <cell r="CS18">
            <v>73.52332914998135</v>
          </cell>
          <cell r="CT18">
            <v>24.507776383327119</v>
          </cell>
          <cell r="CX18">
            <v>10.00329</v>
          </cell>
          <cell r="CY18">
            <v>7.39692907562352</v>
          </cell>
          <cell r="CZ18">
            <v>9.2461613445293995</v>
          </cell>
          <cell r="DA18">
            <v>11.095393613435281</v>
          </cell>
          <cell r="DB18">
            <v>12.94462588234116</v>
          </cell>
          <cell r="DC18">
            <v>14.79385815124704</v>
          </cell>
          <cell r="DD18">
            <v>16.64309042015292</v>
          </cell>
          <cell r="DE18">
            <v>18.492322689058799</v>
          </cell>
          <cell r="DF18">
            <v>13.8692420167941</v>
          </cell>
          <cell r="DG18">
            <v>0.92461613445294</v>
          </cell>
          <cell r="DJ18">
            <v>10.00329</v>
          </cell>
          <cell r="DK18">
            <v>7.4273043472602938</v>
          </cell>
          <cell r="DL18">
            <v>10.398226086164412</v>
          </cell>
          <cell r="DM18">
            <v>13.369147825068529</v>
          </cell>
          <cell r="DN18">
            <v>16.340069563972648</v>
          </cell>
          <cell r="DO18">
            <v>19.310991302876765</v>
          </cell>
          <cell r="DP18">
            <v>22.281913041780882</v>
          </cell>
          <cell r="DQ18">
            <v>14.854608694520588</v>
          </cell>
          <cell r="DR18">
            <v>1.4854608694520588</v>
          </cell>
          <cell r="DT18">
            <v>10.00329</v>
          </cell>
          <cell r="DU18">
            <v>4.1730513521875272</v>
          </cell>
          <cell r="DV18">
            <v>8.3461027043750544</v>
          </cell>
          <cell r="DW18">
            <v>12.519154056562581</v>
          </cell>
          <cell r="DX18">
            <v>16.692205408750109</v>
          </cell>
          <cell r="DY18">
            <v>20.865256760937637</v>
          </cell>
          <cell r="DZ18">
            <v>25.038308113125161</v>
          </cell>
          <cell r="EA18">
            <v>8.3461027043750544</v>
          </cell>
          <cell r="EE18">
            <v>4.5298980000000002</v>
          </cell>
          <cell r="EF18">
            <v>1.9453143460519899</v>
          </cell>
          <cell r="EG18">
            <v>2.3343772152623883</v>
          </cell>
          <cell r="EH18">
            <v>2.7234400844727862</v>
          </cell>
          <cell r="EI18">
            <v>3.1125029536831841</v>
          </cell>
          <cell r="EJ18">
            <v>3.501565822893582</v>
          </cell>
          <cell r="EK18">
            <v>3.8906286921039799</v>
          </cell>
          <cell r="EL18">
            <v>2.9179715190779851</v>
          </cell>
          <cell r="EM18">
            <v>0.19453143460519901</v>
          </cell>
          <cell r="EP18">
            <v>4.5298980000000002</v>
          </cell>
          <cell r="EQ18">
            <v>1.675975839670073</v>
          </cell>
          <cell r="ER18">
            <v>2.346366175538102</v>
          </cell>
          <cell r="ES18">
            <v>3.0167565114061317</v>
          </cell>
          <cell r="ET18">
            <v>3.6871468472741604</v>
          </cell>
          <cell r="EU18">
            <v>4.3575371831421901</v>
          </cell>
          <cell r="EV18">
            <v>5.0279275190102188</v>
          </cell>
          <cell r="EW18">
            <v>3.351951679340146</v>
          </cell>
          <cell r="EX18">
            <v>0.3351951679340146</v>
          </cell>
          <cell r="EZ18">
            <v>4.5298980000000002</v>
          </cell>
          <cell r="FA18">
            <v>1.1089879359638646</v>
          </cell>
          <cell r="FB18">
            <v>2.2179758719277292</v>
          </cell>
          <cell r="FC18">
            <v>3.3269638078915937</v>
          </cell>
          <cell r="FD18">
            <v>4.4359517438554583</v>
          </cell>
          <cell r="FE18">
            <v>5.5449396798193229</v>
          </cell>
          <cell r="FF18">
            <v>6.6539276157831875</v>
          </cell>
          <cell r="FG18">
            <v>2.2179758719277292</v>
          </cell>
        </row>
        <row r="19">
          <cell r="A19">
            <v>35915</v>
          </cell>
          <cell r="B19">
            <v>18.591809999999999</v>
          </cell>
          <cell r="C19">
            <v>9.1468822123908868</v>
          </cell>
          <cell r="D19">
            <v>13.720323318586331</v>
          </cell>
          <cell r="E19">
            <v>18.293764424781774</v>
          </cell>
          <cell r="F19">
            <v>22.867205530977216</v>
          </cell>
          <cell r="G19">
            <v>27.440646637172662</v>
          </cell>
          <cell r="H19">
            <v>32.014087743368101</v>
          </cell>
          <cell r="I19">
            <v>36.587528849563547</v>
          </cell>
          <cell r="J19">
            <v>41.160969955758993</v>
          </cell>
          <cell r="K19">
            <v>45.734411061954432</v>
          </cell>
          <cell r="L19">
            <v>34.300808296465824</v>
          </cell>
          <cell r="M19">
            <v>2.2867205530977217</v>
          </cell>
          <cell r="P19">
            <v>18.591809999999999</v>
          </cell>
          <cell r="Q19">
            <v>10.103975456589852</v>
          </cell>
          <cell r="R19">
            <v>16.83995909431642</v>
          </cell>
          <cell r="S19">
            <v>23.575942732042989</v>
          </cell>
          <cell r="T19">
            <v>30.311926369769559</v>
          </cell>
          <cell r="U19">
            <v>37.047910007496128</v>
          </cell>
          <cell r="V19">
            <v>43.783893645222697</v>
          </cell>
          <cell r="W19">
            <v>50.519877282949267</v>
          </cell>
          <cell r="X19">
            <v>33.67991818863284</v>
          </cell>
          <cell r="Y19">
            <v>3.3679918188632842</v>
          </cell>
          <cell r="AA19">
            <v>18.591809999999999</v>
          </cell>
          <cell r="AB19">
            <v>16.636003051970182</v>
          </cell>
          <cell r="AC19">
            <v>24.954004577955274</v>
          </cell>
          <cell r="AD19">
            <v>33.272006103940363</v>
          </cell>
          <cell r="AE19">
            <v>41.590007629925452</v>
          </cell>
          <cell r="AF19">
            <v>49.908009155910548</v>
          </cell>
          <cell r="AG19">
            <v>16.636003051970182</v>
          </cell>
          <cell r="AK19">
            <v>21.8</v>
          </cell>
          <cell r="AL19">
            <v>17.795740614334473</v>
          </cell>
          <cell r="AM19">
            <v>22.244675767918093</v>
          </cell>
          <cell r="AN19">
            <v>26.693610921501708</v>
          </cell>
          <cell r="AO19">
            <v>31.142546075085328</v>
          </cell>
          <cell r="AP19">
            <v>35.591481228668947</v>
          </cell>
          <cell r="AQ19">
            <v>40.040416382252566</v>
          </cell>
          <cell r="AR19">
            <v>44.489351535836185</v>
          </cell>
          <cell r="AS19">
            <v>33.367013651877137</v>
          </cell>
          <cell r="AT19">
            <v>2.2244675767918092</v>
          </cell>
          <cell r="AW19">
            <v>21.8</v>
          </cell>
          <cell r="AX19">
            <v>18.044791429654911</v>
          </cell>
          <cell r="AY19">
            <v>25.262708001516877</v>
          </cell>
          <cell r="AZ19">
            <v>32.48062457337884</v>
          </cell>
          <cell r="BA19">
            <v>39.698541145240803</v>
          </cell>
          <cell r="BB19">
            <v>46.916457717102773</v>
          </cell>
          <cell r="BC19">
            <v>54.134374288964736</v>
          </cell>
          <cell r="BD19">
            <v>36.089582859309822</v>
          </cell>
          <cell r="BE19">
            <v>3.6089582859309823</v>
          </cell>
          <cell r="BG19">
            <v>21.8</v>
          </cell>
          <cell r="BH19">
            <v>12.76324232081911</v>
          </cell>
          <cell r="BI19">
            <v>19.144863481228665</v>
          </cell>
          <cell r="BJ19">
            <v>25.52648464163822</v>
          </cell>
          <cell r="BK19">
            <v>31.908105802047775</v>
          </cell>
          <cell r="BL19">
            <v>38.28972696245733</v>
          </cell>
          <cell r="BM19">
            <v>12.76324232081911</v>
          </cell>
          <cell r="BQ19">
            <v>29.2</v>
          </cell>
          <cell r="BR19">
            <v>21.402832387077673</v>
          </cell>
          <cell r="BS19">
            <v>28.537109849436895</v>
          </cell>
          <cell r="BT19">
            <v>35.671387311796117</v>
          </cell>
          <cell r="BU19">
            <v>42.805664774155346</v>
          </cell>
          <cell r="BV19">
            <v>49.939942236514568</v>
          </cell>
          <cell r="BW19">
            <v>57.07421969887379</v>
          </cell>
          <cell r="BX19">
            <v>64.208497161233012</v>
          </cell>
          <cell r="BY19">
            <v>71.342774623592234</v>
          </cell>
          <cell r="BZ19">
            <v>3.5671387311796119</v>
          </cell>
          <cell r="CC19">
            <v>29.2</v>
          </cell>
          <cell r="CD19">
            <v>24.179289180600282</v>
          </cell>
          <cell r="CE19">
            <v>33.851004852840397</v>
          </cell>
          <cell r="CF19">
            <v>43.522720525080508</v>
          </cell>
          <cell r="CG19">
            <v>53.19443619732062</v>
          </cell>
          <cell r="CH19">
            <v>62.866151869560738</v>
          </cell>
          <cell r="CI19">
            <v>72.53786754180085</v>
          </cell>
          <cell r="CJ19">
            <v>48.358578361200564</v>
          </cell>
          <cell r="CK19">
            <v>4.8358578361200566</v>
          </cell>
          <cell r="CM19">
            <v>29.2</v>
          </cell>
          <cell r="CN19">
            <v>12.210469405398392</v>
          </cell>
          <cell r="CO19">
            <v>24.420938810796784</v>
          </cell>
          <cell r="CP19">
            <v>36.631408216195176</v>
          </cell>
          <cell r="CQ19">
            <v>48.841877621593568</v>
          </cell>
          <cell r="CR19">
            <v>61.05234702699196</v>
          </cell>
          <cell r="CS19">
            <v>73.262816432390352</v>
          </cell>
          <cell r="CT19">
            <v>24.420938810796784</v>
          </cell>
          <cell r="CX19">
            <v>8.5950579999999999</v>
          </cell>
          <cell r="CY19">
            <v>6.6726319153325786</v>
          </cell>
          <cell r="CZ19">
            <v>8.3407898941657237</v>
          </cell>
          <cell r="DA19">
            <v>10.008947872998867</v>
          </cell>
          <cell r="DB19">
            <v>11.677105851832012</v>
          </cell>
          <cell r="DC19">
            <v>13.345263830665157</v>
          </cell>
          <cell r="DD19">
            <v>15.013421809498302</v>
          </cell>
          <cell r="DE19">
            <v>16.681579788331447</v>
          </cell>
          <cell r="DF19">
            <v>12.511184841248586</v>
          </cell>
          <cell r="DG19">
            <v>0.83407898941657233</v>
          </cell>
          <cell r="DJ19">
            <v>8.5950579999999999</v>
          </cell>
          <cell r="DK19">
            <v>7.183030035083914</v>
          </cell>
          <cell r="DL19">
            <v>10.056242049117479</v>
          </cell>
          <cell r="DM19">
            <v>12.929454063151045</v>
          </cell>
          <cell r="DN19">
            <v>15.802666077184611</v>
          </cell>
          <cell r="DO19">
            <v>18.675878091218177</v>
          </cell>
          <cell r="DP19">
            <v>21.549090105251743</v>
          </cell>
          <cell r="DQ19">
            <v>14.366060070167828</v>
          </cell>
          <cell r="DR19">
            <v>1.4366060070167828</v>
          </cell>
          <cell r="DT19">
            <v>8.5950579999999999</v>
          </cell>
          <cell r="DU19">
            <v>4.1564891876742198</v>
          </cell>
          <cell r="DV19">
            <v>8.3129783753484396</v>
          </cell>
          <cell r="DW19">
            <v>12.469467563022659</v>
          </cell>
          <cell r="DX19">
            <v>16.625956750696879</v>
          </cell>
          <cell r="DY19">
            <v>20.782445938371097</v>
          </cell>
          <cell r="DZ19">
            <v>24.938935126045319</v>
          </cell>
          <cell r="EA19">
            <v>8.3129783753484396</v>
          </cell>
          <cell r="EE19">
            <v>4.6503779999999999</v>
          </cell>
          <cell r="EF19">
            <v>1.775608983424416</v>
          </cell>
          <cell r="EG19">
            <v>2.1307307801092992</v>
          </cell>
          <cell r="EH19">
            <v>2.4858525767941826</v>
          </cell>
          <cell r="EI19">
            <v>2.8409743734790656</v>
          </cell>
          <cell r="EJ19">
            <v>3.1960961701639485</v>
          </cell>
          <cell r="EK19">
            <v>3.551217966848832</v>
          </cell>
          <cell r="EL19">
            <v>2.6634134751366241</v>
          </cell>
          <cell r="EM19">
            <v>0.1775608983424416</v>
          </cell>
          <cell r="EP19">
            <v>4.6503779999999999</v>
          </cell>
          <cell r="EQ19">
            <v>1.6437228396025252</v>
          </cell>
          <cell r="ER19">
            <v>2.3012119754435352</v>
          </cell>
          <cell r="ES19">
            <v>2.9587011112845456</v>
          </cell>
          <cell r="ET19">
            <v>3.6161902471255556</v>
          </cell>
          <cell r="EU19">
            <v>4.2736793829665656</v>
          </cell>
          <cell r="EV19">
            <v>4.931168518807576</v>
          </cell>
          <cell r="EW19">
            <v>3.2874456792050504</v>
          </cell>
          <cell r="EX19">
            <v>0.32874456792050505</v>
          </cell>
          <cell r="EZ19">
            <v>4.6503779999999999</v>
          </cell>
          <cell r="FA19">
            <v>1.1042971866564999</v>
          </cell>
          <cell r="FB19">
            <v>2.2085943733129998</v>
          </cell>
          <cell r="FC19">
            <v>3.3128915599694997</v>
          </cell>
          <cell r="FD19">
            <v>4.4171887466259996</v>
          </cell>
          <cell r="FE19">
            <v>5.5214859332824995</v>
          </cell>
          <cell r="FF19">
            <v>6.6257831199389994</v>
          </cell>
          <cell r="FG19">
            <v>2.2085943733129998</v>
          </cell>
        </row>
        <row r="20">
          <cell r="A20">
            <v>35944</v>
          </cell>
          <cell r="B20">
            <v>12.788019999999999</v>
          </cell>
          <cell r="C20">
            <v>8.5331840443918452</v>
          </cell>
          <cell r="D20">
            <v>12.799776066587768</v>
          </cell>
          <cell r="E20">
            <v>17.06636808878369</v>
          </cell>
          <cell r="F20">
            <v>21.332960110979613</v>
          </cell>
          <cell r="G20">
            <v>25.599552133175536</v>
          </cell>
          <cell r="H20">
            <v>29.866144155371458</v>
          </cell>
          <cell r="I20">
            <v>34.132736177567381</v>
          </cell>
          <cell r="J20">
            <v>38.399328199763303</v>
          </cell>
          <cell r="K20">
            <v>42.665920221959226</v>
          </cell>
          <cell r="L20">
            <v>31.999440166469419</v>
          </cell>
          <cell r="M20">
            <v>2.1332960110979613</v>
          </cell>
          <cell r="P20">
            <v>12.788019999999999</v>
          </cell>
          <cell r="Q20">
            <v>9.9291559304083528</v>
          </cell>
          <cell r="R20">
            <v>16.548593217347257</v>
          </cell>
          <cell r="S20">
            <v>23.168030504286158</v>
          </cell>
          <cell r="T20">
            <v>29.787467791225062</v>
          </cell>
          <cell r="U20">
            <v>36.406905078163966</v>
          </cell>
          <cell r="V20">
            <v>43.026342365102863</v>
          </cell>
          <cell r="W20">
            <v>49.645779652041767</v>
          </cell>
          <cell r="X20">
            <v>33.097186434694514</v>
          </cell>
          <cell r="Y20">
            <v>3.3097186434694512</v>
          </cell>
          <cell r="AA20">
            <v>12.788019999999999</v>
          </cell>
          <cell r="AB20">
            <v>16.458752188728702</v>
          </cell>
          <cell r="AC20">
            <v>24.688128283093054</v>
          </cell>
          <cell r="AD20">
            <v>32.917504377457405</v>
          </cell>
          <cell r="AE20">
            <v>41.14688047182176</v>
          </cell>
          <cell r="AF20">
            <v>49.376256566186107</v>
          </cell>
          <cell r="AG20">
            <v>16.458752188728702</v>
          </cell>
          <cell r="AK20">
            <v>14.6</v>
          </cell>
          <cell r="AL20">
            <v>17.288532423208192</v>
          </cell>
          <cell r="AM20">
            <v>21.610665529010241</v>
          </cell>
          <cell r="AN20">
            <v>25.932798634812286</v>
          </cell>
          <cell r="AO20">
            <v>30.254931740614335</v>
          </cell>
          <cell r="AP20">
            <v>34.577064846416384</v>
          </cell>
          <cell r="AQ20">
            <v>38.899197952218429</v>
          </cell>
          <cell r="AR20">
            <v>43.221331058020482</v>
          </cell>
          <cell r="AS20">
            <v>32.415998293515358</v>
          </cell>
          <cell r="AT20">
            <v>2.161066552901024</v>
          </cell>
          <cell r="AW20">
            <v>14.6</v>
          </cell>
          <cell r="AX20">
            <v>18.176747961698901</v>
          </cell>
          <cell r="AY20">
            <v>25.447447146378462</v>
          </cell>
          <cell r="AZ20">
            <v>32.718146331058023</v>
          </cell>
          <cell r="BA20">
            <v>39.98884551573758</v>
          </cell>
          <cell r="BB20">
            <v>47.259544700417138</v>
          </cell>
          <cell r="BC20">
            <v>54.530243885096702</v>
          </cell>
          <cell r="BD20">
            <v>36.353495923397801</v>
          </cell>
          <cell r="BE20">
            <v>3.6353495923397801</v>
          </cell>
          <cell r="BG20">
            <v>14.6</v>
          </cell>
          <cell r="BH20">
            <v>13.047529863481225</v>
          </cell>
          <cell r="BI20">
            <v>19.571294795221839</v>
          </cell>
          <cell r="BJ20">
            <v>26.09505972696245</v>
          </cell>
          <cell r="BK20">
            <v>32.618824658703062</v>
          </cell>
          <cell r="BL20">
            <v>39.142589590443677</v>
          </cell>
          <cell r="BM20">
            <v>13.047529863481225</v>
          </cell>
          <cell r="BQ20">
            <v>22</v>
          </cell>
          <cell r="BR20">
            <v>20.686488558313627</v>
          </cell>
          <cell r="BS20">
            <v>27.581984744418168</v>
          </cell>
          <cell r="BT20">
            <v>34.477480930522709</v>
          </cell>
          <cell r="BU20">
            <v>41.372977116627254</v>
          </cell>
          <cell r="BV20">
            <v>48.268473302731792</v>
          </cell>
          <cell r="BW20">
            <v>55.163969488836337</v>
          </cell>
          <cell r="BX20">
            <v>62.059465674940881</v>
          </cell>
          <cell r="BY20">
            <v>68.954961861045419</v>
          </cell>
          <cell r="BZ20">
            <v>3.447748093052271</v>
          </cell>
          <cell r="CC20">
            <v>22</v>
          </cell>
          <cell r="CD20">
            <v>24.061285712591399</v>
          </cell>
          <cell r="CE20">
            <v>33.68579999762796</v>
          </cell>
          <cell r="CF20">
            <v>43.310314282664514</v>
          </cell>
          <cell r="CG20">
            <v>52.934828567701075</v>
          </cell>
          <cell r="CH20">
            <v>62.559342852737636</v>
          </cell>
          <cell r="CI20">
            <v>72.183857137774197</v>
          </cell>
          <cell r="CJ20">
            <v>48.122571425182798</v>
          </cell>
          <cell r="CK20">
            <v>4.8122571425182796</v>
          </cell>
          <cell r="CM20">
            <v>22</v>
          </cell>
          <cell r="CN20">
            <v>12.167050619133224</v>
          </cell>
          <cell r="CO20">
            <v>24.334101238266449</v>
          </cell>
          <cell r="CP20">
            <v>36.501151857399677</v>
          </cell>
          <cell r="CQ20">
            <v>48.668202476532898</v>
          </cell>
          <cell r="CR20">
            <v>60.835253095666118</v>
          </cell>
          <cell r="CS20">
            <v>73.002303714799353</v>
          </cell>
          <cell r="CT20">
            <v>24.334101238266449</v>
          </cell>
          <cell r="CX20">
            <v>6.1185159999999996</v>
          </cell>
          <cell r="CY20">
            <v>5.9483347550416372</v>
          </cell>
          <cell r="CZ20">
            <v>7.4354184438020461</v>
          </cell>
          <cell r="DA20">
            <v>8.9225021325624567</v>
          </cell>
          <cell r="DB20">
            <v>10.409585821322866</v>
          </cell>
          <cell r="DC20">
            <v>11.896669510083274</v>
          </cell>
          <cell r="DD20">
            <v>13.383753198843683</v>
          </cell>
          <cell r="DE20">
            <v>14.870836887604092</v>
          </cell>
          <cell r="DF20">
            <v>11.153127665703069</v>
          </cell>
          <cell r="DG20">
            <v>0.74354184438020465</v>
          </cell>
          <cell r="DJ20">
            <v>6.1185159999999996</v>
          </cell>
          <cell r="DK20">
            <v>6.9387557229075334</v>
          </cell>
          <cell r="DL20">
            <v>9.7142580120705464</v>
          </cell>
          <cell r="DM20">
            <v>12.489760301233561</v>
          </cell>
          <cell r="DN20">
            <v>15.265262590396574</v>
          </cell>
          <cell r="DO20">
            <v>18.040764879559589</v>
          </cell>
          <cell r="DP20">
            <v>20.8162671687226</v>
          </cell>
          <cell r="DQ20">
            <v>13.877511445815067</v>
          </cell>
          <cell r="DR20">
            <v>1.3877511445815067</v>
          </cell>
          <cell r="DT20">
            <v>6.1185159999999996</v>
          </cell>
          <cell r="DU20">
            <v>4.1399270231609124</v>
          </cell>
          <cell r="DV20">
            <v>8.2798540463218249</v>
          </cell>
          <cell r="DW20">
            <v>12.419781069482738</v>
          </cell>
          <cell r="DX20">
            <v>16.55970809264365</v>
          </cell>
          <cell r="DY20">
            <v>20.699635115804561</v>
          </cell>
          <cell r="DZ20">
            <v>24.839562138965476</v>
          </cell>
          <cell r="EA20">
            <v>8.2798540463218249</v>
          </cell>
          <cell r="EE20">
            <v>3.7588550000000001</v>
          </cell>
          <cell r="EF20">
            <v>1.605903620796842</v>
          </cell>
          <cell r="EG20">
            <v>1.9270843449562103</v>
          </cell>
          <cell r="EH20">
            <v>2.2482650691155786</v>
          </cell>
          <cell r="EI20">
            <v>2.569445793274947</v>
          </cell>
          <cell r="EJ20">
            <v>2.8906265174343155</v>
          </cell>
          <cell r="EK20">
            <v>3.211807241593684</v>
          </cell>
          <cell r="EL20">
            <v>2.408855431195263</v>
          </cell>
          <cell r="EM20">
            <v>0.16059036207968419</v>
          </cell>
          <cell r="EP20">
            <v>3.7588550000000001</v>
          </cell>
          <cell r="EQ20">
            <v>1.6114698395349776</v>
          </cell>
          <cell r="ER20">
            <v>2.2560577753489683</v>
          </cell>
          <cell r="ES20">
            <v>2.9006457111629596</v>
          </cell>
          <cell r="ET20">
            <v>3.5452336469769503</v>
          </cell>
          <cell r="EU20">
            <v>4.1898215827909411</v>
          </cell>
          <cell r="EV20">
            <v>4.8344095186049323</v>
          </cell>
          <cell r="EW20">
            <v>3.2229396790699552</v>
          </cell>
          <cell r="EX20">
            <v>0.32229396790699549</v>
          </cell>
          <cell r="EZ20">
            <v>3.7588550000000001</v>
          </cell>
          <cell r="FA20">
            <v>1.0996064373491352</v>
          </cell>
          <cell r="FB20">
            <v>2.1992128746982704</v>
          </cell>
          <cell r="FC20">
            <v>3.2988193120474056</v>
          </cell>
          <cell r="FD20">
            <v>4.3984257493965409</v>
          </cell>
          <cell r="FE20">
            <v>5.4980321867456761</v>
          </cell>
          <cell r="FF20">
            <v>6.5976386240948113</v>
          </cell>
          <cell r="FG20">
            <v>2.1992128746982704</v>
          </cell>
        </row>
        <row r="21">
          <cell r="A21">
            <v>35976</v>
          </cell>
          <cell r="B21">
            <v>8.8532410000000006</v>
          </cell>
          <cell r="C21">
            <v>7.9194858763928027</v>
          </cell>
          <cell r="D21">
            <v>11.879228814589204</v>
          </cell>
          <cell r="E21">
            <v>15.838971752785605</v>
          </cell>
          <cell r="F21">
            <v>19.798714690982006</v>
          </cell>
          <cell r="G21">
            <v>23.758457629178409</v>
          </cell>
          <cell r="H21">
            <v>27.718200567374808</v>
          </cell>
          <cell r="I21">
            <v>31.677943505571211</v>
          </cell>
          <cell r="J21">
            <v>35.637686443767613</v>
          </cell>
          <cell r="K21">
            <v>39.597429381964012</v>
          </cell>
          <cell r="L21">
            <v>29.698072036473011</v>
          </cell>
          <cell r="M21">
            <v>1.9798714690982007</v>
          </cell>
          <cell r="P21">
            <v>8.8532410000000006</v>
          </cell>
          <cell r="Q21">
            <v>9.754336404226855</v>
          </cell>
          <cell r="R21">
            <v>16.25722734037809</v>
          </cell>
          <cell r="S21">
            <v>22.760118276529326</v>
          </cell>
          <cell r="T21">
            <v>29.263009212680565</v>
          </cell>
          <cell r="U21">
            <v>35.765900148831797</v>
          </cell>
          <cell r="V21">
            <v>42.268791084983036</v>
          </cell>
          <cell r="W21">
            <v>48.771682021134275</v>
          </cell>
          <cell r="X21">
            <v>32.514454680756181</v>
          </cell>
          <cell r="Y21">
            <v>3.2514454680756182</v>
          </cell>
          <cell r="AA21">
            <v>8.8532410000000006</v>
          </cell>
          <cell r="AB21">
            <v>16.281501325487223</v>
          </cell>
          <cell r="AC21">
            <v>24.422251988230833</v>
          </cell>
          <cell r="AD21">
            <v>32.563002650974447</v>
          </cell>
          <cell r="AE21">
            <v>40.70375331371806</v>
          </cell>
          <cell r="AF21">
            <v>48.844503976461667</v>
          </cell>
          <cell r="AG21">
            <v>16.281501325487223</v>
          </cell>
          <cell r="AK21">
            <v>10.35</v>
          </cell>
          <cell r="AL21">
            <v>16.781324232081911</v>
          </cell>
          <cell r="AM21">
            <v>20.976655290102389</v>
          </cell>
          <cell r="AN21">
            <v>25.171986348122864</v>
          </cell>
          <cell r="AO21">
            <v>29.367317406143343</v>
          </cell>
          <cell r="AP21">
            <v>33.562648464163821</v>
          </cell>
          <cell r="AQ21">
            <v>37.7579795221843</v>
          </cell>
          <cell r="AR21">
            <v>41.953310580204779</v>
          </cell>
          <cell r="AS21">
            <v>31.464982935153582</v>
          </cell>
          <cell r="AT21">
            <v>2.0976655290102388</v>
          </cell>
          <cell r="AW21">
            <v>10.35</v>
          </cell>
          <cell r="AX21">
            <v>18.308704493742887</v>
          </cell>
          <cell r="AY21">
            <v>25.632186291240046</v>
          </cell>
          <cell r="AZ21">
            <v>32.955668088737198</v>
          </cell>
          <cell r="BA21">
            <v>40.279149886234357</v>
          </cell>
          <cell r="BB21">
            <v>47.602631683731509</v>
          </cell>
          <cell r="BC21">
            <v>54.926113481228668</v>
          </cell>
          <cell r="BD21">
            <v>36.617408987485774</v>
          </cell>
          <cell r="BE21">
            <v>3.6617408987485778</v>
          </cell>
          <cell r="BG21">
            <v>10.35</v>
          </cell>
          <cell r="BH21">
            <v>13.33181740614334</v>
          </cell>
          <cell r="BI21">
            <v>19.997726109215009</v>
          </cell>
          <cell r="BJ21">
            <v>26.663634812286681</v>
          </cell>
          <cell r="BK21">
            <v>33.329543515358353</v>
          </cell>
          <cell r="BL21">
            <v>39.995452218430017</v>
          </cell>
          <cell r="BM21">
            <v>13.33181740614334</v>
          </cell>
          <cell r="BQ21">
            <v>18</v>
          </cell>
          <cell r="BR21">
            <v>19.970144729549581</v>
          </cell>
          <cell r="BS21">
            <v>26.626859639399441</v>
          </cell>
          <cell r="BT21">
            <v>33.283574549249302</v>
          </cell>
          <cell r="BU21">
            <v>39.940289459099162</v>
          </cell>
          <cell r="BV21">
            <v>46.597004368949023</v>
          </cell>
          <cell r="BW21">
            <v>53.253719278798883</v>
          </cell>
          <cell r="BX21">
            <v>59.910434188648743</v>
          </cell>
          <cell r="BY21">
            <v>66.567149098498604</v>
          </cell>
          <cell r="BZ21">
            <v>3.3283574549249302</v>
          </cell>
          <cell r="CC21">
            <v>18</v>
          </cell>
          <cell r="CD21">
            <v>23.943282244582512</v>
          </cell>
          <cell r="CE21">
            <v>33.520595142415516</v>
          </cell>
          <cell r="CF21">
            <v>43.097908040248527</v>
          </cell>
          <cell r="CG21">
            <v>52.67522093808153</v>
          </cell>
          <cell r="CH21">
            <v>62.252533835914534</v>
          </cell>
          <cell r="CI21">
            <v>71.829846733747544</v>
          </cell>
          <cell r="CJ21">
            <v>47.886564489165025</v>
          </cell>
          <cell r="CK21">
            <v>4.7886564489165027</v>
          </cell>
          <cell r="CM21">
            <v>18</v>
          </cell>
          <cell r="CN21">
            <v>12.123631832868057</v>
          </cell>
          <cell r="CO21">
            <v>24.247263665736114</v>
          </cell>
          <cell r="CP21">
            <v>36.37089549860417</v>
          </cell>
          <cell r="CQ21">
            <v>48.494527331472227</v>
          </cell>
          <cell r="CR21">
            <v>60.618159164340284</v>
          </cell>
          <cell r="CS21">
            <v>72.741790997208341</v>
          </cell>
          <cell r="CT21">
            <v>24.247263665736114</v>
          </cell>
          <cell r="CX21">
            <v>4.7831260000000002</v>
          </cell>
          <cell r="CY21">
            <v>5.2240375947506958</v>
          </cell>
          <cell r="CZ21">
            <v>6.5300469934383703</v>
          </cell>
          <cell r="DA21">
            <v>7.8360563921260438</v>
          </cell>
          <cell r="DB21">
            <v>9.1420657908137173</v>
          </cell>
          <cell r="DC21">
            <v>10.448075189501392</v>
          </cell>
          <cell r="DD21">
            <v>11.754084588189066</v>
          </cell>
          <cell r="DE21">
            <v>13.060093986876741</v>
          </cell>
          <cell r="DF21">
            <v>9.7950704901575545</v>
          </cell>
          <cell r="DG21">
            <v>0.65300469934383698</v>
          </cell>
          <cell r="DJ21">
            <v>4.7831260000000002</v>
          </cell>
          <cell r="DK21">
            <v>6.6944814107311537</v>
          </cell>
          <cell r="DL21">
            <v>9.3722739750236155</v>
          </cell>
          <cell r="DM21">
            <v>12.050066539316076</v>
          </cell>
          <cell r="DN21">
            <v>14.727859103608537</v>
          </cell>
          <cell r="DO21">
            <v>17.405651667900997</v>
          </cell>
          <cell r="DP21">
            <v>20.083444232193461</v>
          </cell>
          <cell r="DQ21">
            <v>13.388962821462307</v>
          </cell>
          <cell r="DR21">
            <v>1.3388962821462307</v>
          </cell>
          <cell r="DT21">
            <v>4.7831260000000002</v>
          </cell>
          <cell r="DU21">
            <v>4.123364858647605</v>
          </cell>
          <cell r="DV21">
            <v>8.2467297172952101</v>
          </cell>
          <cell r="DW21">
            <v>12.370094575942815</v>
          </cell>
          <cell r="DX21">
            <v>16.49345943459042</v>
          </cell>
          <cell r="DY21">
            <v>20.616824293238025</v>
          </cell>
          <cell r="DZ21">
            <v>24.74018915188563</v>
          </cell>
          <cell r="EA21">
            <v>8.2467297172952101</v>
          </cell>
          <cell r="EE21">
            <v>3.0600930000000002</v>
          </cell>
          <cell r="EF21">
            <v>1.4361982581692678</v>
          </cell>
          <cell r="EG21">
            <v>1.7234379098031214</v>
          </cell>
          <cell r="EH21">
            <v>2.010677561436975</v>
          </cell>
          <cell r="EI21">
            <v>2.2979172130708285</v>
          </cell>
          <cell r="EJ21">
            <v>2.5851568647046821</v>
          </cell>
          <cell r="EK21">
            <v>2.8723965163385357</v>
          </cell>
          <cell r="EL21">
            <v>2.1542973872539015</v>
          </cell>
          <cell r="EM21">
            <v>0.14361982581692678</v>
          </cell>
          <cell r="EP21">
            <v>3.0600930000000002</v>
          </cell>
          <cell r="EQ21">
            <v>1.5792168394674297</v>
          </cell>
          <cell r="ER21">
            <v>2.2109035752544015</v>
          </cell>
          <cell r="ES21">
            <v>2.8425903110413735</v>
          </cell>
          <cell r="ET21">
            <v>3.4742770468283455</v>
          </cell>
          <cell r="EU21">
            <v>4.1059637826153175</v>
          </cell>
          <cell r="EV21">
            <v>4.7376505184022895</v>
          </cell>
          <cell r="EW21">
            <v>3.1584336789348595</v>
          </cell>
          <cell r="EX21">
            <v>0.31584336789348594</v>
          </cell>
          <cell r="EZ21">
            <v>3.0600930000000002</v>
          </cell>
          <cell r="FA21">
            <v>1.0949156880417705</v>
          </cell>
          <cell r="FB21">
            <v>2.1898313760835411</v>
          </cell>
          <cell r="FC21">
            <v>3.2847470641253116</v>
          </cell>
          <cell r="FD21">
            <v>4.3796627521670821</v>
          </cell>
          <cell r="FE21">
            <v>5.4745784402088526</v>
          </cell>
          <cell r="FF21">
            <v>6.5694941282506232</v>
          </cell>
          <cell r="FG21">
            <v>2.1898313760835411</v>
          </cell>
        </row>
        <row r="22">
          <cell r="A22">
            <v>36007</v>
          </cell>
          <cell r="B22">
            <v>8.7056880000000003</v>
          </cell>
          <cell r="C22">
            <v>7.3057877083937601</v>
          </cell>
          <cell r="D22">
            <v>10.958681562590641</v>
          </cell>
          <cell r="E22">
            <v>14.61157541678752</v>
          </cell>
          <cell r="F22">
            <v>18.264469270984399</v>
          </cell>
          <cell r="G22">
            <v>21.917363125181282</v>
          </cell>
          <cell r="H22">
            <v>25.570256979378161</v>
          </cell>
          <cell r="I22">
            <v>29.223150833575041</v>
          </cell>
          <cell r="J22">
            <v>32.876044687771923</v>
          </cell>
          <cell r="K22">
            <v>36.528938541968799</v>
          </cell>
          <cell r="L22">
            <v>27.396703906476599</v>
          </cell>
          <cell r="M22">
            <v>1.82644692709844</v>
          </cell>
          <cell r="P22">
            <v>8.7056880000000003</v>
          </cell>
          <cell r="Q22">
            <v>9.5795168780453555</v>
          </cell>
          <cell r="R22">
            <v>15.965861463408926</v>
          </cell>
          <cell r="S22">
            <v>22.352206048772494</v>
          </cell>
          <cell r="T22">
            <v>28.738550634136068</v>
          </cell>
          <cell r="U22">
            <v>35.124895219499635</v>
          </cell>
          <cell r="V22">
            <v>41.511239804863209</v>
          </cell>
          <cell r="W22">
            <v>47.897584390226775</v>
          </cell>
          <cell r="X22">
            <v>31.931722926817852</v>
          </cell>
          <cell r="Y22">
            <v>3.1931722926817852</v>
          </cell>
          <cell r="AA22">
            <v>8.7056880000000003</v>
          </cell>
          <cell r="AB22">
            <v>16.104250462245744</v>
          </cell>
          <cell r="AC22">
            <v>24.156375693368616</v>
          </cell>
          <cell r="AD22">
            <v>32.208500924491489</v>
          </cell>
          <cell r="AE22">
            <v>40.260626155614361</v>
          </cell>
          <cell r="AF22">
            <v>48.312751386737233</v>
          </cell>
          <cell r="AG22">
            <v>16.104250462245744</v>
          </cell>
          <cell r="AK22">
            <v>9.6999999999999993</v>
          </cell>
          <cell r="AL22">
            <v>16.274116040955629</v>
          </cell>
          <cell r="AM22">
            <v>20.342645051194538</v>
          </cell>
          <cell r="AN22">
            <v>24.411174061433442</v>
          </cell>
          <cell r="AO22">
            <v>28.47970307167235</v>
          </cell>
          <cell r="AP22">
            <v>32.548232081911259</v>
          </cell>
          <cell r="AQ22">
            <v>36.616761092150163</v>
          </cell>
          <cell r="AR22">
            <v>40.685290102389075</v>
          </cell>
          <cell r="AS22">
            <v>30.513967576791806</v>
          </cell>
          <cell r="AT22">
            <v>2.0342645051194537</v>
          </cell>
          <cell r="AW22">
            <v>9.6999999999999993</v>
          </cell>
          <cell r="AX22">
            <v>18.440661025786877</v>
          </cell>
          <cell r="AY22">
            <v>25.816925436101627</v>
          </cell>
          <cell r="AZ22">
            <v>33.193189846416381</v>
          </cell>
          <cell r="BA22">
            <v>40.569454256731127</v>
          </cell>
          <cell r="BB22">
            <v>47.945718667045881</v>
          </cell>
          <cell r="BC22">
            <v>55.321983077360635</v>
          </cell>
          <cell r="BD22">
            <v>36.881322051573754</v>
          </cell>
          <cell r="BE22">
            <v>3.6881322051573755</v>
          </cell>
          <cell r="BG22">
            <v>9.6999999999999993</v>
          </cell>
          <cell r="BH22">
            <v>13.616104948805456</v>
          </cell>
          <cell r="BI22">
            <v>20.424157423208182</v>
          </cell>
          <cell r="BJ22">
            <v>27.232209897610911</v>
          </cell>
          <cell r="BK22">
            <v>34.040262372013636</v>
          </cell>
          <cell r="BL22">
            <v>40.848314846416365</v>
          </cell>
          <cell r="BM22">
            <v>13.616104948805456</v>
          </cell>
          <cell r="BQ22">
            <v>18.600000000000001</v>
          </cell>
          <cell r="BR22">
            <v>19.253800900785535</v>
          </cell>
          <cell r="BS22">
            <v>25.671734534380715</v>
          </cell>
          <cell r="BT22">
            <v>32.089668167975894</v>
          </cell>
          <cell r="BU22">
            <v>38.50760180157107</v>
          </cell>
          <cell r="BV22">
            <v>44.925535435166253</v>
          </cell>
          <cell r="BW22">
            <v>51.343469068761429</v>
          </cell>
          <cell r="BX22">
            <v>57.761402702356605</v>
          </cell>
          <cell r="BY22">
            <v>64.179336335951788</v>
          </cell>
          <cell r="BZ22">
            <v>3.2089668167975893</v>
          </cell>
          <cell r="CC22">
            <v>18.600000000000001</v>
          </cell>
          <cell r="CD22">
            <v>23.825278776573629</v>
          </cell>
          <cell r="CE22">
            <v>33.355390287203079</v>
          </cell>
          <cell r="CF22">
            <v>42.885501797832532</v>
          </cell>
          <cell r="CG22">
            <v>52.415613308461985</v>
          </cell>
          <cell r="CH22">
            <v>61.945724819091431</v>
          </cell>
          <cell r="CI22">
            <v>71.475836329720892</v>
          </cell>
          <cell r="CJ22">
            <v>47.650557553147259</v>
          </cell>
          <cell r="CK22">
            <v>4.7650557553147257</v>
          </cell>
          <cell r="CM22">
            <v>18.600000000000001</v>
          </cell>
          <cell r="CN22">
            <v>12.080213046602889</v>
          </cell>
          <cell r="CO22">
            <v>24.160426093205778</v>
          </cell>
          <cell r="CP22">
            <v>36.240639139808664</v>
          </cell>
          <cell r="CQ22">
            <v>48.320852186411557</v>
          </cell>
          <cell r="CR22">
            <v>60.40106523301445</v>
          </cell>
          <cell r="CS22">
            <v>72.481278279617328</v>
          </cell>
          <cell r="CT22">
            <v>24.160426093205778</v>
          </cell>
          <cell r="CX22">
            <v>4.1032909999999996</v>
          </cell>
          <cell r="CY22">
            <v>4.4997404344597545</v>
          </cell>
          <cell r="CZ22">
            <v>5.6246755430746926</v>
          </cell>
          <cell r="DA22">
            <v>6.7496106516896317</v>
          </cell>
          <cell r="DB22">
            <v>7.8745457603045708</v>
          </cell>
          <cell r="DC22">
            <v>8.9994808689195089</v>
          </cell>
          <cell r="DD22">
            <v>10.124415977534447</v>
          </cell>
          <cell r="DE22">
            <v>11.249351086149385</v>
          </cell>
          <cell r="DF22">
            <v>8.4370133146120398</v>
          </cell>
          <cell r="DG22">
            <v>0.56246755430746931</v>
          </cell>
          <cell r="DJ22">
            <v>4.1032909999999996</v>
          </cell>
          <cell r="DK22">
            <v>6.450207098554773</v>
          </cell>
          <cell r="DL22">
            <v>9.0302899379766828</v>
          </cell>
          <cell r="DM22">
            <v>11.610372777398592</v>
          </cell>
          <cell r="DN22">
            <v>14.1904556168205</v>
          </cell>
          <cell r="DO22">
            <v>16.770538456242409</v>
          </cell>
          <cell r="DP22">
            <v>19.350621295664318</v>
          </cell>
          <cell r="DQ22">
            <v>12.900414197109546</v>
          </cell>
          <cell r="DR22">
            <v>1.2900414197109547</v>
          </cell>
          <cell r="DT22">
            <v>4.1032909999999996</v>
          </cell>
          <cell r="DU22">
            <v>4.1068026941342977</v>
          </cell>
          <cell r="DV22">
            <v>8.2136053882685953</v>
          </cell>
          <cell r="DW22">
            <v>12.320408082402892</v>
          </cell>
          <cell r="DX22">
            <v>16.427210776537191</v>
          </cell>
          <cell r="DY22">
            <v>20.534013470671489</v>
          </cell>
          <cell r="DZ22">
            <v>24.640816164805784</v>
          </cell>
          <cell r="EA22">
            <v>8.2136053882685953</v>
          </cell>
          <cell r="EE22">
            <v>2.457713</v>
          </cell>
          <cell r="EF22">
            <v>1.2664928955416936</v>
          </cell>
          <cell r="EG22">
            <v>1.5197914746500325</v>
          </cell>
          <cell r="EH22">
            <v>1.7730900537583714</v>
          </cell>
          <cell r="EI22">
            <v>2.02638863286671</v>
          </cell>
          <cell r="EJ22">
            <v>2.2796872119750486</v>
          </cell>
          <cell r="EK22">
            <v>2.5329857910833873</v>
          </cell>
          <cell r="EL22">
            <v>1.8997393433125407</v>
          </cell>
          <cell r="EM22">
            <v>0.12664928955416938</v>
          </cell>
          <cell r="EP22">
            <v>2.457713</v>
          </cell>
          <cell r="EQ22">
            <v>1.5469638393998819</v>
          </cell>
          <cell r="ER22">
            <v>2.1657493751598347</v>
          </cell>
          <cell r="ES22">
            <v>2.7845349109197874</v>
          </cell>
          <cell r="ET22">
            <v>3.4033204466797402</v>
          </cell>
          <cell r="EU22">
            <v>4.022105982439693</v>
          </cell>
          <cell r="EV22">
            <v>4.6408915181996457</v>
          </cell>
          <cell r="EW22">
            <v>3.0939276787997638</v>
          </cell>
          <cell r="EX22">
            <v>0.30939276787997638</v>
          </cell>
          <cell r="EZ22">
            <v>2.457713</v>
          </cell>
          <cell r="FA22">
            <v>1.0902249387344058</v>
          </cell>
          <cell r="FB22">
            <v>2.1804498774688117</v>
          </cell>
          <cell r="FC22">
            <v>3.2706748162032175</v>
          </cell>
          <cell r="FD22">
            <v>4.3608997549376234</v>
          </cell>
          <cell r="FE22">
            <v>5.4511246936720292</v>
          </cell>
          <cell r="FF22">
            <v>6.5413496324064351</v>
          </cell>
          <cell r="FG22">
            <v>2.1804498774688117</v>
          </cell>
        </row>
        <row r="23">
          <cell r="A23">
            <v>36038</v>
          </cell>
          <cell r="B23">
            <v>5.8037919999999996</v>
          </cell>
          <cell r="C23">
            <v>6.6920895403947176</v>
          </cell>
          <cell r="D23">
            <v>10.038134310592076</v>
          </cell>
          <cell r="E23">
            <v>13.384179080789435</v>
          </cell>
          <cell r="F23">
            <v>16.730223850986793</v>
          </cell>
          <cell r="G23">
            <v>20.076268621184152</v>
          </cell>
          <cell r="H23">
            <v>23.422313391381511</v>
          </cell>
          <cell r="I23">
            <v>26.76835816157887</v>
          </cell>
          <cell r="J23">
            <v>30.11440293177623</v>
          </cell>
          <cell r="K23">
            <v>33.460447701973585</v>
          </cell>
          <cell r="L23">
            <v>25.095335776480191</v>
          </cell>
          <cell r="M23">
            <v>1.6730223850986794</v>
          </cell>
          <cell r="P23">
            <v>5.8037919999999996</v>
          </cell>
          <cell r="Q23">
            <v>9.4046973518638559</v>
          </cell>
          <cell r="R23">
            <v>15.674495586439761</v>
          </cell>
          <cell r="S23">
            <v>21.944293821015666</v>
          </cell>
          <cell r="T23">
            <v>28.214092055591568</v>
          </cell>
          <cell r="U23">
            <v>34.483890290167473</v>
          </cell>
          <cell r="V23">
            <v>40.753688524743374</v>
          </cell>
          <cell r="W23">
            <v>47.023486759319283</v>
          </cell>
          <cell r="X23">
            <v>31.348991172879522</v>
          </cell>
          <cell r="Y23">
            <v>3.1348991172879521</v>
          </cell>
          <cell r="AA23">
            <v>5.8037919999999996</v>
          </cell>
          <cell r="AB23">
            <v>15.926999599004265</v>
          </cell>
          <cell r="AC23">
            <v>23.8904993985064</v>
          </cell>
          <cell r="AD23">
            <v>31.85399919800853</v>
          </cell>
          <cell r="AE23">
            <v>39.817498997510661</v>
          </cell>
          <cell r="AF23">
            <v>47.780998797012799</v>
          </cell>
          <cell r="AG23">
            <v>15.926999599004265</v>
          </cell>
          <cell r="AK23">
            <v>6.65</v>
          </cell>
          <cell r="AL23">
            <v>15.766907849829348</v>
          </cell>
          <cell r="AM23">
            <v>19.708634812286686</v>
          </cell>
          <cell r="AN23">
            <v>23.65036177474402</v>
          </cell>
          <cell r="AO23">
            <v>27.592088737201358</v>
          </cell>
          <cell r="AP23">
            <v>31.533815699658696</v>
          </cell>
          <cell r="AQ23">
            <v>35.475542662116034</v>
          </cell>
          <cell r="AR23">
            <v>39.417269624573372</v>
          </cell>
          <cell r="AS23">
            <v>29.562952218430027</v>
          </cell>
          <cell r="AT23">
            <v>1.9708634812286685</v>
          </cell>
          <cell r="AW23">
            <v>6.65</v>
          </cell>
          <cell r="AX23">
            <v>18.572617557830867</v>
          </cell>
          <cell r="AY23">
            <v>26.001664580963212</v>
          </cell>
          <cell r="AZ23">
            <v>33.430711604095556</v>
          </cell>
          <cell r="BA23">
            <v>40.859758627227905</v>
          </cell>
          <cell r="BB23">
            <v>48.288805650360253</v>
          </cell>
          <cell r="BC23">
            <v>55.717852673492601</v>
          </cell>
          <cell r="BD23">
            <v>37.145235115661734</v>
          </cell>
          <cell r="BE23">
            <v>3.7145235115661732</v>
          </cell>
          <cell r="BG23">
            <v>6.65</v>
          </cell>
          <cell r="BH23">
            <v>13.900392491467571</v>
          </cell>
          <cell r="BI23">
            <v>20.850588737201356</v>
          </cell>
          <cell r="BJ23">
            <v>27.800784982935141</v>
          </cell>
          <cell r="BK23">
            <v>34.750981228668927</v>
          </cell>
          <cell r="BL23">
            <v>41.701177474402712</v>
          </cell>
          <cell r="BM23">
            <v>13.900392491467571</v>
          </cell>
          <cell r="BQ23">
            <v>14.4</v>
          </cell>
          <cell r="BR23">
            <v>18.537457072021489</v>
          </cell>
          <cell r="BS23">
            <v>24.716609429361988</v>
          </cell>
          <cell r="BT23">
            <v>30.895761786702487</v>
          </cell>
          <cell r="BU23">
            <v>37.074914144042978</v>
          </cell>
          <cell r="BV23">
            <v>43.254066501383477</v>
          </cell>
          <cell r="BW23">
            <v>49.433218858723976</v>
          </cell>
          <cell r="BX23">
            <v>55.612371216064474</v>
          </cell>
          <cell r="BY23">
            <v>61.791523573404973</v>
          </cell>
          <cell r="BZ23">
            <v>3.0895761786702485</v>
          </cell>
          <cell r="CC23">
            <v>14.4</v>
          </cell>
          <cell r="CD23">
            <v>23.707275308564743</v>
          </cell>
          <cell r="CE23">
            <v>33.190185431990642</v>
          </cell>
          <cell r="CF23">
            <v>42.673095555416538</v>
          </cell>
          <cell r="CG23">
            <v>52.156005678842433</v>
          </cell>
          <cell r="CH23">
            <v>61.638915802268336</v>
          </cell>
          <cell r="CI23">
            <v>71.121825925694225</v>
          </cell>
          <cell r="CJ23">
            <v>47.414550617129485</v>
          </cell>
          <cell r="CK23">
            <v>4.7414550617129487</v>
          </cell>
          <cell r="CM23">
            <v>14.4</v>
          </cell>
          <cell r="CN23">
            <v>12.036794260337722</v>
          </cell>
          <cell r="CO23">
            <v>24.073588520675443</v>
          </cell>
          <cell r="CP23">
            <v>36.110382781013165</v>
          </cell>
          <cell r="CQ23">
            <v>48.147177041350886</v>
          </cell>
          <cell r="CR23">
            <v>60.183971301688608</v>
          </cell>
          <cell r="CS23">
            <v>72.22076556202633</v>
          </cell>
          <cell r="CT23">
            <v>24.073588520675443</v>
          </cell>
          <cell r="CX23">
            <v>2.8650199999999999</v>
          </cell>
          <cell r="CY23">
            <v>3.7754432741688126</v>
          </cell>
          <cell r="CZ23">
            <v>4.7193040927110159</v>
          </cell>
          <cell r="DA23">
            <v>5.6631649112532187</v>
          </cell>
          <cell r="DB23">
            <v>6.6070257297954225</v>
          </cell>
          <cell r="DC23">
            <v>7.5508865483376253</v>
          </cell>
          <cell r="DD23">
            <v>8.4947473668798281</v>
          </cell>
          <cell r="DE23">
            <v>9.4386081854220318</v>
          </cell>
          <cell r="DF23">
            <v>7.0789561390665234</v>
          </cell>
          <cell r="DG23">
            <v>0.47193040927110158</v>
          </cell>
          <cell r="DJ23">
            <v>2.8650199999999999</v>
          </cell>
          <cell r="DK23">
            <v>6.2059327863783933</v>
          </cell>
          <cell r="DL23">
            <v>8.6883059009297501</v>
          </cell>
          <cell r="DM23">
            <v>11.170679015481108</v>
          </cell>
          <cell r="DN23">
            <v>13.653052130032465</v>
          </cell>
          <cell r="DO23">
            <v>16.135425244583821</v>
          </cell>
          <cell r="DP23">
            <v>18.617798359135179</v>
          </cell>
          <cell r="DQ23">
            <v>12.411865572756787</v>
          </cell>
          <cell r="DR23">
            <v>1.2411865572756786</v>
          </cell>
          <cell r="DT23">
            <v>2.8650199999999999</v>
          </cell>
          <cell r="DU23">
            <v>4.0902405296209903</v>
          </cell>
          <cell r="DV23">
            <v>8.1804810592419805</v>
          </cell>
          <cell r="DW23">
            <v>12.270721588862971</v>
          </cell>
          <cell r="DX23">
            <v>16.360962118483961</v>
          </cell>
          <cell r="DY23">
            <v>20.451202648104953</v>
          </cell>
          <cell r="DZ23">
            <v>24.541443177725942</v>
          </cell>
          <cell r="EA23">
            <v>8.1804810592419805</v>
          </cell>
          <cell r="EE23">
            <v>1.773409</v>
          </cell>
          <cell r="EF23">
            <v>1.0967875329141197</v>
          </cell>
          <cell r="EG23">
            <v>1.3161450394969436</v>
          </cell>
          <cell r="EH23">
            <v>1.5355025460797675</v>
          </cell>
          <cell r="EI23">
            <v>1.7548600526625915</v>
          </cell>
          <cell r="EJ23">
            <v>1.9742175592454154</v>
          </cell>
          <cell r="EK23">
            <v>2.1935750658282394</v>
          </cell>
          <cell r="EL23">
            <v>1.6451812993711794</v>
          </cell>
          <cell r="EM23">
            <v>0.10967875329141197</v>
          </cell>
          <cell r="EP23">
            <v>1.773409</v>
          </cell>
          <cell r="EQ23">
            <v>1.5147108393323341</v>
          </cell>
          <cell r="ER23">
            <v>2.1205951750652678</v>
          </cell>
          <cell r="ES23">
            <v>2.7264795107982014</v>
          </cell>
          <cell r="ET23">
            <v>3.3323638465311349</v>
          </cell>
          <cell r="EU23">
            <v>3.9382481822640689</v>
          </cell>
          <cell r="EV23">
            <v>4.544132517997002</v>
          </cell>
          <cell r="EW23">
            <v>3.0294216786646682</v>
          </cell>
          <cell r="EX23">
            <v>0.30294216786646683</v>
          </cell>
          <cell r="EZ23">
            <v>1.773409</v>
          </cell>
          <cell r="FA23">
            <v>1.0855341894270412</v>
          </cell>
          <cell r="FB23">
            <v>2.1710683788540823</v>
          </cell>
          <cell r="FC23">
            <v>3.2566025682811235</v>
          </cell>
          <cell r="FD23">
            <v>4.3421367577081647</v>
          </cell>
          <cell r="FE23">
            <v>5.4276709471352058</v>
          </cell>
          <cell r="FF23">
            <v>6.513205136562247</v>
          </cell>
          <cell r="FG23">
            <v>2.1710683788540823</v>
          </cell>
        </row>
        <row r="24">
          <cell r="A24">
            <v>36068</v>
          </cell>
          <cell r="B24">
            <v>7.6236240000000004</v>
          </cell>
          <cell r="C24">
            <v>6.0783913723956751</v>
          </cell>
          <cell r="D24">
            <v>9.1175870585935126</v>
          </cell>
          <cell r="E24">
            <v>12.15678274479135</v>
          </cell>
          <cell r="F24">
            <v>15.195978430989188</v>
          </cell>
          <cell r="G24">
            <v>18.235174117187025</v>
          </cell>
          <cell r="H24">
            <v>21.274369803384864</v>
          </cell>
          <cell r="I24">
            <v>24.3135654895827</v>
          </cell>
          <cell r="J24">
            <v>27.352761175780536</v>
          </cell>
          <cell r="K24">
            <v>30.391956861978375</v>
          </cell>
          <cell r="L24">
            <v>22.793967646483782</v>
          </cell>
          <cell r="M24">
            <v>1.5195978430989188</v>
          </cell>
          <cell r="P24">
            <v>7.6236240000000004</v>
          </cell>
          <cell r="Q24">
            <v>9.2298778256823582</v>
          </cell>
          <cell r="R24">
            <v>15.383129709470595</v>
          </cell>
          <cell r="S24">
            <v>21.536381593258834</v>
          </cell>
          <cell r="T24">
            <v>27.689633477047071</v>
          </cell>
          <cell r="U24">
            <v>33.842885360835311</v>
          </cell>
          <cell r="V24">
            <v>39.996137244623547</v>
          </cell>
          <cell r="W24">
            <v>46.149389128411784</v>
          </cell>
          <cell r="X24">
            <v>30.766259418941189</v>
          </cell>
          <cell r="Y24">
            <v>3.0766259418941191</v>
          </cell>
          <cell r="AA24">
            <v>7.6236240000000004</v>
          </cell>
          <cell r="AB24">
            <v>15.749748735762786</v>
          </cell>
          <cell r="AC24">
            <v>23.624623103644179</v>
          </cell>
          <cell r="AD24">
            <v>31.499497471525572</v>
          </cell>
          <cell r="AE24">
            <v>39.374371839406962</v>
          </cell>
          <cell r="AF24">
            <v>47.249246207288358</v>
          </cell>
          <cell r="AG24">
            <v>15.749748735762786</v>
          </cell>
          <cell r="AK24">
            <v>8.3000000000000007</v>
          </cell>
          <cell r="AL24">
            <v>15.259699658703067</v>
          </cell>
          <cell r="AM24">
            <v>19.074624573378834</v>
          </cell>
          <cell r="AN24">
            <v>22.889549488054598</v>
          </cell>
          <cell r="AO24">
            <v>26.704474402730366</v>
          </cell>
          <cell r="AP24">
            <v>30.519399317406133</v>
          </cell>
          <cell r="AQ24">
            <v>34.334324232081897</v>
          </cell>
          <cell r="AR24">
            <v>38.149249146757668</v>
          </cell>
          <cell r="AS24">
            <v>28.611936860068251</v>
          </cell>
          <cell r="AT24">
            <v>1.9074624573378833</v>
          </cell>
          <cell r="AW24">
            <v>8.3000000000000007</v>
          </cell>
          <cell r="AX24">
            <v>18.704574089874853</v>
          </cell>
          <cell r="AY24">
            <v>26.186403725824796</v>
          </cell>
          <cell r="AZ24">
            <v>33.668233361774739</v>
          </cell>
          <cell r="BA24">
            <v>41.150062997724682</v>
          </cell>
          <cell r="BB24">
            <v>48.631892633674624</v>
          </cell>
          <cell r="BC24">
            <v>56.113722269624567</v>
          </cell>
          <cell r="BD24">
            <v>37.409148179749707</v>
          </cell>
          <cell r="BE24">
            <v>3.7409148179749709</v>
          </cell>
          <cell r="BG24">
            <v>8.3000000000000007</v>
          </cell>
          <cell r="BH24">
            <v>14.184680034129686</v>
          </cell>
          <cell r="BI24">
            <v>21.27702005119453</v>
          </cell>
          <cell r="BJ24">
            <v>28.369360068259372</v>
          </cell>
          <cell r="BK24">
            <v>35.461700085324217</v>
          </cell>
          <cell r="BL24">
            <v>42.55404010238906</v>
          </cell>
          <cell r="BM24">
            <v>14.184680034129686</v>
          </cell>
          <cell r="BQ24">
            <v>15.8</v>
          </cell>
          <cell r="BR24">
            <v>17.821113243257447</v>
          </cell>
          <cell r="BS24">
            <v>23.761484324343261</v>
          </cell>
          <cell r="BT24">
            <v>29.701855405429075</v>
          </cell>
          <cell r="BU24">
            <v>35.642226486514893</v>
          </cell>
          <cell r="BV24">
            <v>41.582597567600708</v>
          </cell>
          <cell r="BW24">
            <v>47.522968648686522</v>
          </cell>
          <cell r="BX24">
            <v>53.463339729772336</v>
          </cell>
          <cell r="BY24">
            <v>59.403710810858151</v>
          </cell>
          <cell r="BZ24">
            <v>2.9701855405429076</v>
          </cell>
          <cell r="CC24">
            <v>15.8</v>
          </cell>
          <cell r="CD24">
            <v>23.58927184055586</v>
          </cell>
          <cell r="CE24">
            <v>33.024980576778205</v>
          </cell>
          <cell r="CF24">
            <v>42.460689313000543</v>
          </cell>
          <cell r="CG24">
            <v>51.896398049222888</v>
          </cell>
          <cell r="CH24">
            <v>61.332106785445234</v>
          </cell>
          <cell r="CI24">
            <v>70.767815521667572</v>
          </cell>
          <cell r="CJ24">
            <v>47.178543681111719</v>
          </cell>
          <cell r="CK24">
            <v>4.7178543681111718</v>
          </cell>
          <cell r="CM24">
            <v>15.8</v>
          </cell>
          <cell r="CN24">
            <v>11.993375474072554</v>
          </cell>
          <cell r="CO24">
            <v>23.986750948145108</v>
          </cell>
          <cell r="CP24">
            <v>35.980126422217666</v>
          </cell>
          <cell r="CQ24">
            <v>47.973501896290216</v>
          </cell>
          <cell r="CR24">
            <v>59.966877370362766</v>
          </cell>
          <cell r="CS24">
            <v>71.960252844435331</v>
          </cell>
          <cell r="CT24">
            <v>23.986750948145108</v>
          </cell>
          <cell r="CX24">
            <v>4.0061710000000001</v>
          </cell>
          <cell r="CY24">
            <v>3.0511461138778708</v>
          </cell>
          <cell r="CZ24">
            <v>3.8139326423473383</v>
          </cell>
          <cell r="DA24">
            <v>4.5767191708168067</v>
          </cell>
          <cell r="DB24">
            <v>5.3395056992862742</v>
          </cell>
          <cell r="DC24">
            <v>6.1022922277557416</v>
          </cell>
          <cell r="DD24">
            <v>6.8650787562252091</v>
          </cell>
          <cell r="DE24">
            <v>7.6278652846946766</v>
          </cell>
          <cell r="DF24">
            <v>5.7208989635210079</v>
          </cell>
          <cell r="DG24">
            <v>0.38139326423473385</v>
          </cell>
          <cell r="DJ24">
            <v>4.0061710000000001</v>
          </cell>
          <cell r="DK24">
            <v>5.9616584742020127</v>
          </cell>
          <cell r="DL24">
            <v>8.3463218638828174</v>
          </cell>
          <cell r="DM24">
            <v>10.730985253563624</v>
          </cell>
          <cell r="DN24">
            <v>13.115648643244429</v>
          </cell>
          <cell r="DO24">
            <v>15.500312032925233</v>
          </cell>
          <cell r="DP24">
            <v>17.88497542260604</v>
          </cell>
          <cell r="DQ24">
            <v>11.923316948404025</v>
          </cell>
          <cell r="DR24">
            <v>1.1923316948404026</v>
          </cell>
          <cell r="DT24">
            <v>4.0061710000000001</v>
          </cell>
          <cell r="DU24">
            <v>4.0736783651076829</v>
          </cell>
          <cell r="DV24">
            <v>8.1473567302153658</v>
          </cell>
          <cell r="DW24">
            <v>12.22103509532305</v>
          </cell>
          <cell r="DX24">
            <v>16.294713460430732</v>
          </cell>
          <cell r="DY24">
            <v>20.368391825538414</v>
          </cell>
          <cell r="DZ24">
            <v>24.442070190646099</v>
          </cell>
          <cell r="EA24">
            <v>8.1473567302153658</v>
          </cell>
          <cell r="EE24">
            <v>2.216761</v>
          </cell>
          <cell r="EF24">
            <v>0.9270821702865456</v>
          </cell>
          <cell r="EG24">
            <v>1.1124986043438547</v>
          </cell>
          <cell r="EH24">
            <v>1.2979150384011637</v>
          </cell>
          <cell r="EI24">
            <v>1.483331472458473</v>
          </cell>
          <cell r="EJ24">
            <v>1.6687479065157822</v>
          </cell>
          <cell r="EK24">
            <v>1.8541643405730912</v>
          </cell>
          <cell r="EL24">
            <v>1.3906232554298184</v>
          </cell>
          <cell r="EM24">
            <v>9.270821702865456E-2</v>
          </cell>
          <cell r="EP24">
            <v>2.216761</v>
          </cell>
          <cell r="EQ24">
            <v>1.4824578392647862</v>
          </cell>
          <cell r="ER24">
            <v>2.075440974970701</v>
          </cell>
          <cell r="ES24">
            <v>2.6684241106766153</v>
          </cell>
          <cell r="ET24">
            <v>3.2614072463825301</v>
          </cell>
          <cell r="EU24">
            <v>3.8543903820884444</v>
          </cell>
          <cell r="EV24">
            <v>4.4473735177943592</v>
          </cell>
          <cell r="EW24">
            <v>2.9649156785295725</v>
          </cell>
          <cell r="EX24">
            <v>0.29649156785295727</v>
          </cell>
          <cell r="EZ24">
            <v>2.216761</v>
          </cell>
          <cell r="FA24">
            <v>1.0808434401196765</v>
          </cell>
          <cell r="FB24">
            <v>2.161686880239353</v>
          </cell>
          <cell r="FC24">
            <v>3.2425303203590294</v>
          </cell>
          <cell r="FD24">
            <v>4.3233737604787059</v>
          </cell>
          <cell r="FE24">
            <v>5.4042172005983824</v>
          </cell>
          <cell r="FF24">
            <v>6.4850606407180589</v>
          </cell>
          <cell r="FG24">
            <v>2.161686880239353</v>
          </cell>
        </row>
        <row r="25">
          <cell r="A25">
            <v>36098</v>
          </cell>
          <cell r="B25">
            <v>13.37823</v>
          </cell>
          <cell r="C25">
            <v>5.4646932043966325</v>
          </cell>
          <cell r="D25">
            <v>8.1970398065949492</v>
          </cell>
          <cell r="E25">
            <v>10.929386408793265</v>
          </cell>
          <cell r="F25">
            <v>13.661733010991581</v>
          </cell>
          <cell r="G25">
            <v>16.394079613189898</v>
          </cell>
          <cell r="H25">
            <v>19.126426215388214</v>
          </cell>
          <cell r="I25">
            <v>21.85877281758653</v>
          </cell>
          <cell r="J25">
            <v>24.591119419784846</v>
          </cell>
          <cell r="K25">
            <v>27.323466021983162</v>
          </cell>
          <cell r="L25">
            <v>20.49259951648737</v>
          </cell>
          <cell r="M25">
            <v>1.3661733010991581</v>
          </cell>
          <cell r="P25">
            <v>13.37823</v>
          </cell>
          <cell r="Q25">
            <v>9.0550582995008586</v>
          </cell>
          <cell r="R25">
            <v>15.09176383250143</v>
          </cell>
          <cell r="S25">
            <v>21.128469365502003</v>
          </cell>
          <cell r="T25">
            <v>27.165174898502574</v>
          </cell>
          <cell r="U25">
            <v>33.201880431503149</v>
          </cell>
          <cell r="V25">
            <v>39.23858596450372</v>
          </cell>
          <cell r="W25">
            <v>45.275291497504291</v>
          </cell>
          <cell r="X25">
            <v>30.18352766500286</v>
          </cell>
          <cell r="Y25">
            <v>3.0183527665002861</v>
          </cell>
          <cell r="AA25">
            <v>13.37823</v>
          </cell>
          <cell r="AB25">
            <v>15.572497872521307</v>
          </cell>
          <cell r="AC25">
            <v>23.358746808781959</v>
          </cell>
          <cell r="AD25">
            <v>31.144995745042614</v>
          </cell>
          <cell r="AE25">
            <v>38.931244681303269</v>
          </cell>
          <cell r="AF25">
            <v>46.717493617563917</v>
          </cell>
          <cell r="AG25">
            <v>15.572497872521307</v>
          </cell>
          <cell r="AK25">
            <v>14.75</v>
          </cell>
          <cell r="AL25">
            <v>14.752491467576785</v>
          </cell>
          <cell r="AM25">
            <v>18.440614334470983</v>
          </cell>
          <cell r="AN25">
            <v>22.128737201365176</v>
          </cell>
          <cell r="AO25">
            <v>25.816860068259373</v>
          </cell>
          <cell r="AP25">
            <v>29.504982935153571</v>
          </cell>
          <cell r="AQ25">
            <v>33.193105802047768</v>
          </cell>
          <cell r="AR25">
            <v>36.881228668941965</v>
          </cell>
          <cell r="AS25">
            <v>27.660921501706472</v>
          </cell>
          <cell r="AT25">
            <v>1.8440614334470982</v>
          </cell>
          <cell r="AW25">
            <v>14.75</v>
          </cell>
          <cell r="AX25">
            <v>18.836530621918843</v>
          </cell>
          <cell r="AY25">
            <v>26.371142870686381</v>
          </cell>
          <cell r="AZ25">
            <v>33.905755119453914</v>
          </cell>
          <cell r="BA25">
            <v>41.440367368221459</v>
          </cell>
          <cell r="BB25">
            <v>48.974979616988989</v>
          </cell>
          <cell r="BC25">
            <v>56.509591865756533</v>
          </cell>
          <cell r="BD25">
            <v>37.673061243837687</v>
          </cell>
          <cell r="BE25">
            <v>3.7673061243837687</v>
          </cell>
          <cell r="BG25">
            <v>14.75</v>
          </cell>
          <cell r="BH25">
            <v>14.468967576791801</v>
          </cell>
          <cell r="BI25">
            <v>21.703451365187703</v>
          </cell>
          <cell r="BJ25">
            <v>28.937935153583602</v>
          </cell>
          <cell r="BK25">
            <v>36.172418941979501</v>
          </cell>
          <cell r="BL25">
            <v>43.406902730375407</v>
          </cell>
          <cell r="BM25">
            <v>14.468967576791801</v>
          </cell>
          <cell r="BQ25">
            <v>23</v>
          </cell>
          <cell r="BR25">
            <v>17.104769414493401</v>
          </cell>
          <cell r="BS25">
            <v>22.806359219324534</v>
          </cell>
          <cell r="BT25">
            <v>28.507949024155668</v>
          </cell>
          <cell r="BU25">
            <v>34.209538828986801</v>
          </cell>
          <cell r="BV25">
            <v>39.911128633817938</v>
          </cell>
          <cell r="BW25">
            <v>45.612718438649068</v>
          </cell>
          <cell r="BX25">
            <v>51.314308243480198</v>
          </cell>
          <cell r="BY25">
            <v>57.015898048311335</v>
          </cell>
          <cell r="BZ25">
            <v>2.8507949024155668</v>
          </cell>
          <cell r="CC25">
            <v>23</v>
          </cell>
          <cell r="CD25">
            <v>23.471268372546973</v>
          </cell>
          <cell r="CE25">
            <v>32.859775721565761</v>
          </cell>
          <cell r="CF25">
            <v>42.248283070584556</v>
          </cell>
          <cell r="CG25">
            <v>51.636790419603344</v>
          </cell>
          <cell r="CH25">
            <v>61.025297768622131</v>
          </cell>
          <cell r="CI25">
            <v>70.413805117640919</v>
          </cell>
          <cell r="CJ25">
            <v>46.942536745093946</v>
          </cell>
          <cell r="CK25">
            <v>4.6942536745093948</v>
          </cell>
          <cell r="CM25">
            <v>23</v>
          </cell>
          <cell r="CN25">
            <v>11.949956687807386</v>
          </cell>
          <cell r="CO25">
            <v>23.899913375614773</v>
          </cell>
          <cell r="CP25">
            <v>35.849870063422159</v>
          </cell>
          <cell r="CQ25">
            <v>47.799826751229546</v>
          </cell>
          <cell r="CR25">
            <v>59.749783439036932</v>
          </cell>
          <cell r="CS25">
            <v>71.699740126844318</v>
          </cell>
          <cell r="CT25">
            <v>23.899913375614773</v>
          </cell>
          <cell r="CX25">
            <v>5.0016439999999998</v>
          </cell>
          <cell r="CY25">
            <v>2.326848953586929</v>
          </cell>
          <cell r="CZ25">
            <v>2.9085611919836611</v>
          </cell>
          <cell r="DA25">
            <v>3.4902734303803937</v>
          </cell>
          <cell r="DB25">
            <v>4.0719856687771259</v>
          </cell>
          <cell r="DC25">
            <v>4.653697907173858</v>
          </cell>
          <cell r="DD25">
            <v>5.2354101455705901</v>
          </cell>
          <cell r="DE25">
            <v>5.8171223839673223</v>
          </cell>
          <cell r="DF25">
            <v>4.3628417879754915</v>
          </cell>
          <cell r="DG25">
            <v>0.29085611919836613</v>
          </cell>
          <cell r="DJ25">
            <v>5.0016439999999998</v>
          </cell>
          <cell r="DK25">
            <v>5.7173841620256329</v>
          </cell>
          <cell r="DL25">
            <v>8.0043378268358865</v>
          </cell>
          <cell r="DM25">
            <v>10.291291491646138</v>
          </cell>
          <cell r="DN25">
            <v>12.578245156456392</v>
          </cell>
          <cell r="DO25">
            <v>14.865198821266645</v>
          </cell>
          <cell r="DP25">
            <v>17.152152486076897</v>
          </cell>
          <cell r="DQ25">
            <v>11.434768324051266</v>
          </cell>
          <cell r="DR25">
            <v>1.1434768324051265</v>
          </cell>
          <cell r="DT25">
            <v>5.0016439999999998</v>
          </cell>
          <cell r="DU25">
            <v>4.0571162005943755</v>
          </cell>
          <cell r="DV25">
            <v>8.114232401188751</v>
          </cell>
          <cell r="DW25">
            <v>12.171348601783126</v>
          </cell>
          <cell r="DX25">
            <v>16.228464802377502</v>
          </cell>
          <cell r="DY25">
            <v>20.285581002971877</v>
          </cell>
          <cell r="DZ25">
            <v>24.342697203566253</v>
          </cell>
          <cell r="EA25">
            <v>8.114232401188751</v>
          </cell>
          <cell r="EE25">
            <v>2.602284</v>
          </cell>
          <cell r="EF25">
            <v>0.75737680765897153</v>
          </cell>
          <cell r="EG25">
            <v>0.90885216919076584</v>
          </cell>
          <cell r="EH25">
            <v>1.0603275307225601</v>
          </cell>
          <cell r="EI25">
            <v>1.2118028922543544</v>
          </cell>
          <cell r="EJ25">
            <v>1.3632782537861488</v>
          </cell>
          <cell r="EK25">
            <v>1.5147536153179431</v>
          </cell>
          <cell r="EL25">
            <v>1.1360652114884573</v>
          </cell>
          <cell r="EM25">
            <v>7.5737680765897153E-2</v>
          </cell>
          <cell r="EP25">
            <v>2.602284</v>
          </cell>
          <cell r="EQ25">
            <v>1.4502048391972386</v>
          </cell>
          <cell r="ER25">
            <v>2.0302867748761342</v>
          </cell>
          <cell r="ES25">
            <v>2.6103687105550293</v>
          </cell>
          <cell r="ET25">
            <v>3.1904506462339248</v>
          </cell>
          <cell r="EU25">
            <v>3.7705325819128204</v>
          </cell>
          <cell r="EV25">
            <v>4.3506145175917155</v>
          </cell>
          <cell r="EW25">
            <v>2.9004096783944773</v>
          </cell>
          <cell r="EX25">
            <v>0.29004096783944772</v>
          </cell>
          <cell r="EZ25">
            <v>2.602284</v>
          </cell>
          <cell r="FA25">
            <v>1.0761526908123118</v>
          </cell>
          <cell r="FB25">
            <v>2.1523053816246236</v>
          </cell>
          <cell r="FC25">
            <v>3.2284580724369354</v>
          </cell>
          <cell r="FD25">
            <v>4.3046107632492472</v>
          </cell>
          <cell r="FE25">
            <v>5.380763454061559</v>
          </cell>
          <cell r="FF25">
            <v>6.4569161448738708</v>
          </cell>
          <cell r="FG25">
            <v>2.1523053816246236</v>
          </cell>
        </row>
        <row r="26">
          <cell r="A26">
            <v>36129</v>
          </cell>
          <cell r="B26">
            <v>18.9361</v>
          </cell>
          <cell r="C26">
            <v>4.85099503639759</v>
          </cell>
          <cell r="D26">
            <v>7.276492554596385</v>
          </cell>
          <cell r="E26">
            <v>9.70199007279518</v>
          </cell>
          <cell r="F26">
            <v>12.127487590993976</v>
          </cell>
          <cell r="G26">
            <v>14.55298510919277</v>
          </cell>
          <cell r="H26">
            <v>16.978482627391564</v>
          </cell>
          <cell r="I26">
            <v>19.40398014559036</v>
          </cell>
          <cell r="J26">
            <v>21.829477663789156</v>
          </cell>
          <cell r="K26">
            <v>24.254975181987952</v>
          </cell>
          <cell r="L26">
            <v>18.191231386490962</v>
          </cell>
          <cell r="M26">
            <v>1.2127487590993975</v>
          </cell>
          <cell r="P26">
            <v>18.9361</v>
          </cell>
          <cell r="Q26">
            <v>8.8802387733193591</v>
          </cell>
          <cell r="R26">
            <v>14.800397955532265</v>
          </cell>
          <cell r="S26">
            <v>20.720557137745171</v>
          </cell>
          <cell r="T26">
            <v>26.640716319958077</v>
          </cell>
          <cell r="U26">
            <v>32.560875502170987</v>
          </cell>
          <cell r="V26">
            <v>38.481034684383886</v>
          </cell>
          <cell r="W26">
            <v>44.401193866596799</v>
          </cell>
          <cell r="X26">
            <v>29.60079591106453</v>
          </cell>
          <cell r="Y26">
            <v>2.960079591106453</v>
          </cell>
          <cell r="AA26">
            <v>18.9361</v>
          </cell>
          <cell r="AB26">
            <v>15.395247009279828</v>
          </cell>
          <cell r="AC26">
            <v>23.092870513919742</v>
          </cell>
          <cell r="AD26">
            <v>30.790494018559656</v>
          </cell>
          <cell r="AE26">
            <v>38.48811752319957</v>
          </cell>
          <cell r="AF26">
            <v>46.185741027839484</v>
          </cell>
          <cell r="AG26">
            <v>15.395247009279828</v>
          </cell>
          <cell r="AK26">
            <v>21.5</v>
          </cell>
          <cell r="AL26">
            <v>14.245283276450504</v>
          </cell>
          <cell r="AM26">
            <v>17.806604095563131</v>
          </cell>
          <cell r="AN26">
            <v>21.367924914675754</v>
          </cell>
          <cell r="AO26">
            <v>24.929245733788381</v>
          </cell>
          <cell r="AP26">
            <v>28.490566552901008</v>
          </cell>
          <cell r="AQ26">
            <v>32.051887372013631</v>
          </cell>
          <cell r="AR26">
            <v>35.613208191126262</v>
          </cell>
          <cell r="AS26">
            <v>26.709906143344696</v>
          </cell>
          <cell r="AT26">
            <v>1.780660409556313</v>
          </cell>
          <cell r="AW26">
            <v>21.5</v>
          </cell>
          <cell r="AX26">
            <v>18.968487153962833</v>
          </cell>
          <cell r="AY26">
            <v>26.555882015547965</v>
          </cell>
          <cell r="AZ26">
            <v>34.143276877133097</v>
          </cell>
          <cell r="BA26">
            <v>41.730671738718229</v>
          </cell>
          <cell r="BB26">
            <v>49.318066600303361</v>
          </cell>
          <cell r="BC26">
            <v>56.905461461888493</v>
          </cell>
          <cell r="BD26">
            <v>37.936974307925666</v>
          </cell>
          <cell r="BE26">
            <v>3.7936974307925664</v>
          </cell>
          <cell r="BG26">
            <v>21.5</v>
          </cell>
          <cell r="BH26">
            <v>14.753255119453916</v>
          </cell>
          <cell r="BI26">
            <v>22.129882679180874</v>
          </cell>
          <cell r="BJ26">
            <v>29.506510238907833</v>
          </cell>
          <cell r="BK26">
            <v>36.883137798634792</v>
          </cell>
          <cell r="BL26">
            <v>44.259765358361747</v>
          </cell>
          <cell r="BM26">
            <v>14.753255119453916</v>
          </cell>
          <cell r="BQ26">
            <v>27.25</v>
          </cell>
          <cell r="BR26">
            <v>16.388425585729355</v>
          </cell>
          <cell r="BS26">
            <v>21.851234114305807</v>
          </cell>
          <cell r="BT26">
            <v>27.31404264288226</v>
          </cell>
          <cell r="BU26">
            <v>32.776851171458709</v>
          </cell>
          <cell r="BV26">
            <v>38.239659700035162</v>
          </cell>
          <cell r="BW26">
            <v>43.702468228611615</v>
          </cell>
          <cell r="BX26">
            <v>49.165276757188067</v>
          </cell>
          <cell r="BY26">
            <v>54.62808528576452</v>
          </cell>
          <cell r="BZ26">
            <v>2.7314042642882259</v>
          </cell>
          <cell r="CC26">
            <v>27.25</v>
          </cell>
          <cell r="CD26">
            <v>23.35326490453809</v>
          </cell>
          <cell r="CE26">
            <v>32.694570866353324</v>
          </cell>
          <cell r="CF26">
            <v>42.035876828168561</v>
          </cell>
          <cell r="CG26">
            <v>51.377182789983799</v>
          </cell>
          <cell r="CH26">
            <v>60.718488751799029</v>
          </cell>
          <cell r="CI26">
            <v>70.059794713614266</v>
          </cell>
          <cell r="CJ26">
            <v>46.70652980907618</v>
          </cell>
          <cell r="CK26">
            <v>4.6706529809076178</v>
          </cell>
          <cell r="CM26">
            <v>27.25</v>
          </cell>
          <cell r="CN26">
            <v>11.906537901542219</v>
          </cell>
          <cell r="CO26">
            <v>23.813075803084438</v>
          </cell>
          <cell r="CP26">
            <v>35.719613704626653</v>
          </cell>
          <cell r="CQ26">
            <v>47.626151606168875</v>
          </cell>
          <cell r="CR26">
            <v>59.532689507711098</v>
          </cell>
          <cell r="CS26">
            <v>71.439227409253306</v>
          </cell>
          <cell r="CT26">
            <v>23.813075803084438</v>
          </cell>
          <cell r="CX26">
            <v>6.3127550000000001</v>
          </cell>
          <cell r="CY26">
            <v>1.6025517932959872</v>
          </cell>
          <cell r="CZ26">
            <v>2.003189741619984</v>
          </cell>
          <cell r="DA26">
            <v>2.4038276899439808</v>
          </cell>
          <cell r="DB26">
            <v>2.8044656382679776</v>
          </cell>
          <cell r="DC26">
            <v>3.2051035865919744</v>
          </cell>
          <cell r="DD26">
            <v>3.6057415349159712</v>
          </cell>
          <cell r="DE26">
            <v>4.006379483239968</v>
          </cell>
          <cell r="DF26">
            <v>3.004784612429976</v>
          </cell>
          <cell r="DG26">
            <v>0.2003189741619984</v>
          </cell>
          <cell r="DJ26">
            <v>6.3127550000000001</v>
          </cell>
          <cell r="DK26">
            <v>5.4731098498492523</v>
          </cell>
          <cell r="DL26">
            <v>7.6623537897889538</v>
          </cell>
          <cell r="DM26">
            <v>9.8515977297286543</v>
          </cell>
          <cell r="DN26">
            <v>12.040841669668355</v>
          </cell>
          <cell r="DO26">
            <v>14.230085609608057</v>
          </cell>
          <cell r="DP26">
            <v>16.419329549547758</v>
          </cell>
          <cell r="DQ26">
            <v>10.946219699698505</v>
          </cell>
          <cell r="DR26">
            <v>1.0946219699698505</v>
          </cell>
          <cell r="DT26">
            <v>6.3127550000000001</v>
          </cell>
          <cell r="DU26">
            <v>4.0405540360810681</v>
          </cell>
          <cell r="DV26">
            <v>8.0811080721621362</v>
          </cell>
          <cell r="DW26">
            <v>12.121662108243203</v>
          </cell>
          <cell r="DX26">
            <v>16.162216144324272</v>
          </cell>
          <cell r="DY26">
            <v>20.202770180405341</v>
          </cell>
          <cell r="DZ26">
            <v>24.243324216486407</v>
          </cell>
          <cell r="EA26">
            <v>8.0811080721621362</v>
          </cell>
          <cell r="EE26">
            <v>2.6986650000000001</v>
          </cell>
          <cell r="EF26">
            <v>0.58767144503139745</v>
          </cell>
          <cell r="EG26">
            <v>0.70520573403767695</v>
          </cell>
          <cell r="EH26">
            <v>0.82274002304395644</v>
          </cell>
          <cell r="EI26">
            <v>0.94027431205023593</v>
          </cell>
          <cell r="EJ26">
            <v>1.0578086010565153</v>
          </cell>
          <cell r="EK26">
            <v>1.1753428900627949</v>
          </cell>
          <cell r="EL26">
            <v>0.88150716754709624</v>
          </cell>
          <cell r="EM26">
            <v>5.8767144503139745E-2</v>
          </cell>
          <cell r="EP26">
            <v>2.6986650000000001</v>
          </cell>
          <cell r="EQ26">
            <v>1.4179518391296908</v>
          </cell>
          <cell r="ER26">
            <v>1.9851325747815671</v>
          </cell>
          <cell r="ES26">
            <v>2.5523133104334432</v>
          </cell>
          <cell r="ET26">
            <v>3.11949404608532</v>
          </cell>
          <cell r="EU26">
            <v>3.6866747817371959</v>
          </cell>
          <cell r="EV26">
            <v>4.2538555173890726</v>
          </cell>
          <cell r="EW26">
            <v>2.8359036782593816</v>
          </cell>
          <cell r="EX26">
            <v>0.28359036782593816</v>
          </cell>
          <cell r="EZ26">
            <v>2.6986650000000001</v>
          </cell>
          <cell r="FA26">
            <v>1.0714619415049471</v>
          </cell>
          <cell r="FB26">
            <v>2.1429238830098942</v>
          </cell>
          <cell r="FC26">
            <v>3.2143858245148413</v>
          </cell>
          <cell r="FD26">
            <v>4.2858477660197885</v>
          </cell>
          <cell r="FE26">
            <v>5.3573097075247356</v>
          </cell>
          <cell r="FF26">
            <v>6.4287716490296827</v>
          </cell>
          <cell r="FG26">
            <v>2.1429238830098942</v>
          </cell>
          <cell r="FK26" t="str">
            <v>WHB</v>
          </cell>
          <cell r="FT26" t="str">
            <v>WHB</v>
          </cell>
          <cell r="GC26" t="str">
            <v>WHB</v>
          </cell>
        </row>
        <row r="27">
          <cell r="A27">
            <v>36160</v>
          </cell>
          <cell r="B27">
            <v>18.690180000000002</v>
          </cell>
          <cell r="C27">
            <v>4.2372968683985448</v>
          </cell>
          <cell r="D27">
            <v>6.3559453025978172</v>
          </cell>
          <cell r="E27">
            <v>8.4745937367970896</v>
          </cell>
          <cell r="F27">
            <v>10.593242170996362</v>
          </cell>
          <cell r="G27">
            <v>12.711890605195634</v>
          </cell>
          <cell r="H27">
            <v>14.830539039394907</v>
          </cell>
          <cell r="I27">
            <v>16.949187473594179</v>
          </cell>
          <cell r="J27">
            <v>19.067835907793452</v>
          </cell>
          <cell r="K27">
            <v>21.186484341992724</v>
          </cell>
          <cell r="L27">
            <v>15.889863256494543</v>
          </cell>
          <cell r="M27">
            <v>1.0593242170996362</v>
          </cell>
          <cell r="P27">
            <v>18.690180000000002</v>
          </cell>
          <cell r="Q27">
            <v>8.7054192471378666</v>
          </cell>
          <cell r="R27">
            <v>14.509032078563111</v>
          </cell>
          <cell r="S27">
            <v>20.312644909988357</v>
          </cell>
          <cell r="T27">
            <v>26.116257741413598</v>
          </cell>
          <cell r="U27">
            <v>31.919870572838846</v>
          </cell>
          <cell r="V27">
            <v>37.723483404264087</v>
          </cell>
          <cell r="W27">
            <v>43.527096235689335</v>
          </cell>
          <cell r="X27">
            <v>29.018064157126222</v>
          </cell>
          <cell r="Y27">
            <v>2.9018064157126222</v>
          </cell>
          <cell r="AA27">
            <v>18.690180000000002</v>
          </cell>
          <cell r="AB27">
            <v>15.217996146038354</v>
          </cell>
          <cell r="AC27">
            <v>22.826994219057532</v>
          </cell>
          <cell r="AD27">
            <v>30.435992292076708</v>
          </cell>
          <cell r="AE27">
            <v>38.044990365095884</v>
          </cell>
          <cell r="AF27">
            <v>45.653988438115064</v>
          </cell>
          <cell r="AG27">
            <v>15.217996146038354</v>
          </cell>
          <cell r="AK27">
            <v>19.3</v>
          </cell>
          <cell r="AL27">
            <v>13.738075085324233</v>
          </cell>
          <cell r="AM27">
            <v>17.17259385665529</v>
          </cell>
          <cell r="AN27">
            <v>20.60711262798635</v>
          </cell>
          <cell r="AO27">
            <v>24.04163139931741</v>
          </cell>
          <cell r="AP27">
            <v>27.476150170648467</v>
          </cell>
          <cell r="AQ27">
            <v>30.910668941979523</v>
          </cell>
          <cell r="AR27">
            <v>34.34518771331058</v>
          </cell>
          <cell r="AS27">
            <v>25.758890784982938</v>
          </cell>
          <cell r="AT27">
            <v>1.7172593856655292</v>
          </cell>
          <cell r="AW27">
            <v>19.3</v>
          </cell>
          <cell r="AX27">
            <v>19.100443686006827</v>
          </cell>
          <cell r="AY27">
            <v>26.740621160409557</v>
          </cell>
          <cell r="AZ27">
            <v>34.380798634812287</v>
          </cell>
          <cell r="BA27">
            <v>42.02097610921502</v>
          </cell>
          <cell r="BB27">
            <v>49.661153583617754</v>
          </cell>
          <cell r="BC27">
            <v>57.30133105802048</v>
          </cell>
          <cell r="BD27">
            <v>38.200887372013653</v>
          </cell>
          <cell r="BE27">
            <v>3.8200887372013654</v>
          </cell>
          <cell r="BG27">
            <v>19.3</v>
          </cell>
          <cell r="BH27">
            <v>15.03754266211604</v>
          </cell>
          <cell r="BI27">
            <v>22.556313993174061</v>
          </cell>
          <cell r="BJ27">
            <v>30.075085324232081</v>
          </cell>
          <cell r="BK27">
            <v>37.593856655290104</v>
          </cell>
          <cell r="BL27">
            <v>45.112627986348123</v>
          </cell>
          <cell r="BM27">
            <v>15.03754266211604</v>
          </cell>
          <cell r="BQ27">
            <v>26.9</v>
          </cell>
          <cell r="BR27">
            <v>15.672081756965323</v>
          </cell>
          <cell r="BS27">
            <v>20.896109009287098</v>
          </cell>
          <cell r="BT27">
            <v>26.120136261608874</v>
          </cell>
          <cell r="BU27">
            <v>31.344163513930646</v>
          </cell>
          <cell r="BV27">
            <v>36.568190766252421</v>
          </cell>
          <cell r="BW27">
            <v>41.792218018574196</v>
          </cell>
          <cell r="BX27">
            <v>47.016245270895972</v>
          </cell>
          <cell r="BY27">
            <v>52.240272523217747</v>
          </cell>
          <cell r="BZ27">
            <v>2.6120136261608873</v>
          </cell>
          <cell r="CC27">
            <v>26.9</v>
          </cell>
          <cell r="CD27">
            <v>23.235261436529193</v>
          </cell>
          <cell r="CE27">
            <v>32.529366011140866</v>
          </cell>
          <cell r="CF27">
            <v>41.823470585752546</v>
          </cell>
          <cell r="CG27">
            <v>51.117575160364218</v>
          </cell>
          <cell r="CH27">
            <v>60.411679734975898</v>
          </cell>
          <cell r="CI27">
            <v>69.705784309587571</v>
          </cell>
          <cell r="CJ27">
            <v>46.470522873058385</v>
          </cell>
          <cell r="CK27">
            <v>4.6470522873058382</v>
          </cell>
          <cell r="CM27">
            <v>26.9</v>
          </cell>
          <cell r="CN27">
            <v>11.863119115277044</v>
          </cell>
          <cell r="CO27">
            <v>23.726238230554088</v>
          </cell>
          <cell r="CP27">
            <v>35.589357345831132</v>
          </cell>
          <cell r="CQ27">
            <v>47.452476461108176</v>
          </cell>
          <cell r="CR27">
            <v>59.315595576385221</v>
          </cell>
          <cell r="CS27">
            <v>71.178714691662265</v>
          </cell>
          <cell r="CT27">
            <v>23.726238230554088</v>
          </cell>
          <cell r="CX27">
            <v>6.0213970000000003</v>
          </cell>
          <cell r="CY27">
            <v>0.87825463300504303</v>
          </cell>
          <cell r="CZ27">
            <v>1.0978182912563037</v>
          </cell>
          <cell r="DA27">
            <v>1.3173819495075645</v>
          </cell>
          <cell r="DB27">
            <v>1.5369456077588253</v>
          </cell>
          <cell r="DC27">
            <v>1.7565092660100861</v>
          </cell>
          <cell r="DD27">
            <v>1.9760729242613468</v>
          </cell>
          <cell r="DE27">
            <v>2.1956365825126074</v>
          </cell>
          <cell r="DF27">
            <v>1.6467274368844558</v>
          </cell>
          <cell r="DG27">
            <v>0.10978182912563038</v>
          </cell>
          <cell r="DJ27">
            <v>6.0213970000000003</v>
          </cell>
          <cell r="DK27">
            <v>5.2288355376728717</v>
          </cell>
          <cell r="DL27">
            <v>7.3203697527420193</v>
          </cell>
          <cell r="DM27">
            <v>9.4119039678111687</v>
          </cell>
          <cell r="DN27">
            <v>11.503438182880316</v>
          </cell>
          <cell r="DO27">
            <v>13.594972397949466</v>
          </cell>
          <cell r="DP27">
            <v>15.686506613018613</v>
          </cell>
          <cell r="DQ27">
            <v>10.457671075345743</v>
          </cell>
          <cell r="DR27">
            <v>1.0457671075345742</v>
          </cell>
          <cell r="DT27">
            <v>6.0213970000000003</v>
          </cell>
          <cell r="DU27">
            <v>4.0239918715677652</v>
          </cell>
          <cell r="DV27">
            <v>8.0479837431355303</v>
          </cell>
          <cell r="DW27">
            <v>12.071975614703295</v>
          </cell>
          <cell r="DX27">
            <v>16.095967486271061</v>
          </cell>
          <cell r="DY27">
            <v>20.119959357838827</v>
          </cell>
          <cell r="DZ27">
            <v>24.143951229406589</v>
          </cell>
          <cell r="EA27">
            <v>8.0479837431355303</v>
          </cell>
          <cell r="EE27">
            <v>2.4336180000000001</v>
          </cell>
          <cell r="EF27">
            <v>0.41796608240382316</v>
          </cell>
          <cell r="EG27">
            <v>0.50155929888458783</v>
          </cell>
          <cell r="EH27">
            <v>0.5851525153653524</v>
          </cell>
          <cell r="EI27">
            <v>0.66874573184611708</v>
          </cell>
          <cell r="EJ27">
            <v>0.75233894832688175</v>
          </cell>
          <cell r="EK27">
            <v>0.83593216480764632</v>
          </cell>
          <cell r="EL27">
            <v>0.62694912360573474</v>
          </cell>
          <cell r="EM27">
            <v>4.1796608240382317E-2</v>
          </cell>
          <cell r="EP27">
            <v>2.4336180000000001</v>
          </cell>
          <cell r="EQ27">
            <v>1.3856988390621439</v>
          </cell>
          <cell r="ER27">
            <v>1.9399783746870014</v>
          </cell>
          <cell r="ES27">
            <v>2.494257910311859</v>
          </cell>
          <cell r="ET27">
            <v>3.0485374459367165</v>
          </cell>
          <cell r="EU27">
            <v>3.602816981561574</v>
          </cell>
          <cell r="EV27">
            <v>4.1570965171864316</v>
          </cell>
          <cell r="EW27">
            <v>2.7713976781242877</v>
          </cell>
          <cell r="EX27">
            <v>0.27713976781242877</v>
          </cell>
          <cell r="EZ27">
            <v>2.4336180000000001</v>
          </cell>
          <cell r="FA27">
            <v>1.0667711921975838</v>
          </cell>
          <cell r="FB27">
            <v>2.1335423843951675</v>
          </cell>
          <cell r="FC27">
            <v>3.2003135765927513</v>
          </cell>
          <cell r="FD27">
            <v>4.267084768790335</v>
          </cell>
          <cell r="FE27">
            <v>5.3338559609879184</v>
          </cell>
          <cell r="FF27">
            <v>6.4006271531855026</v>
          </cell>
          <cell r="FG27">
            <v>2.1335423843951675</v>
          </cell>
          <cell r="FK27" t="str">
            <v>PE</v>
          </cell>
          <cell r="FT27" t="str">
            <v>PPE</v>
          </cell>
          <cell r="GC27" t="str">
            <v>PB</v>
          </cell>
        </row>
        <row r="28">
          <cell r="A28">
            <v>36189</v>
          </cell>
          <cell r="B28">
            <v>14.31274</v>
          </cell>
          <cell r="C28">
            <v>4.6920780822247181</v>
          </cell>
          <cell r="D28">
            <v>7.0381171233370772</v>
          </cell>
          <cell r="E28">
            <v>9.3841561644494362</v>
          </cell>
          <cell r="F28">
            <v>11.730195205561795</v>
          </cell>
          <cell r="G28">
            <v>14.076234246674154</v>
          </cell>
          <cell r="H28">
            <v>16.422273287786513</v>
          </cell>
          <cell r="I28">
            <v>18.768312328898872</v>
          </cell>
          <cell r="J28">
            <v>21.114351370011232</v>
          </cell>
          <cell r="K28">
            <v>23.460390411123591</v>
          </cell>
          <cell r="L28">
            <v>17.595292808342691</v>
          </cell>
          <cell r="M28">
            <v>1.1730195205561795</v>
          </cell>
          <cell r="P28">
            <v>14.31274</v>
          </cell>
          <cell r="Q28">
            <v>9.1155467164040687</v>
          </cell>
          <cell r="R28">
            <v>15.192577860673445</v>
          </cell>
          <cell r="S28">
            <v>21.269609004942826</v>
          </cell>
          <cell r="T28">
            <v>27.346640149212202</v>
          </cell>
          <cell r="U28">
            <v>33.423671293481583</v>
          </cell>
          <cell r="V28">
            <v>39.500702437750959</v>
          </cell>
          <cell r="W28">
            <v>45.577733582020336</v>
          </cell>
          <cell r="X28">
            <v>30.385155721346891</v>
          </cell>
          <cell r="Y28">
            <v>3.0385155721346893</v>
          </cell>
          <cell r="AA28">
            <v>14.31274</v>
          </cell>
          <cell r="AB28">
            <v>15.357796715545343</v>
          </cell>
          <cell r="AC28">
            <v>23.036695073318015</v>
          </cell>
          <cell r="AD28">
            <v>30.715593431090685</v>
          </cell>
          <cell r="AE28">
            <v>38.394491788863355</v>
          </cell>
          <cell r="AF28">
            <v>46.073390146636029</v>
          </cell>
          <cell r="AG28">
            <v>15.357796715545343</v>
          </cell>
          <cell r="AK28">
            <v>15.75</v>
          </cell>
          <cell r="AL28">
            <v>14.145255972696246</v>
          </cell>
          <cell r="AM28">
            <v>17.681569965870306</v>
          </cell>
          <cell r="AN28">
            <v>21.217883959044368</v>
          </cell>
          <cell r="AO28">
            <v>24.75419795221843</v>
          </cell>
          <cell r="AP28">
            <v>28.290511945392492</v>
          </cell>
          <cell r="AQ28">
            <v>31.826825938566554</v>
          </cell>
          <cell r="AR28">
            <v>35.363139931740612</v>
          </cell>
          <cell r="AS28">
            <v>26.522354948805461</v>
          </cell>
          <cell r="AT28">
            <v>1.7681569965870307</v>
          </cell>
          <cell r="AW28">
            <v>15.75</v>
          </cell>
          <cell r="AX28">
            <v>19.307376279863483</v>
          </cell>
          <cell r="AY28">
            <v>27.030326791808875</v>
          </cell>
          <cell r="AZ28">
            <v>34.753277303754267</v>
          </cell>
          <cell r="BA28">
            <v>42.476227815699659</v>
          </cell>
          <cell r="BB28">
            <v>50.199178327645051</v>
          </cell>
          <cell r="BC28">
            <v>57.922128839590442</v>
          </cell>
          <cell r="BD28">
            <v>38.614752559726966</v>
          </cell>
          <cell r="BE28">
            <v>3.8614752559726964</v>
          </cell>
          <cell r="BG28">
            <v>15.75</v>
          </cell>
          <cell r="BH28">
            <v>15.160978384527873</v>
          </cell>
          <cell r="BI28">
            <v>22.741467576791809</v>
          </cell>
          <cell r="BJ28">
            <v>30.321956769055745</v>
          </cell>
          <cell r="BK28">
            <v>37.902445961319685</v>
          </cell>
          <cell r="BL28">
            <v>45.482935153583618</v>
          </cell>
          <cell r="BM28">
            <v>15.160978384527873</v>
          </cell>
          <cell r="BQ28">
            <v>22.3</v>
          </cell>
          <cell r="BR28">
            <v>16.208553653149956</v>
          </cell>
          <cell r="BS28">
            <v>21.611404870866608</v>
          </cell>
          <cell r="BT28">
            <v>27.014256088583259</v>
          </cell>
          <cell r="BU28">
            <v>32.417107306299911</v>
          </cell>
          <cell r="BV28">
            <v>37.819958524016563</v>
          </cell>
          <cell r="BW28">
            <v>43.222809741733215</v>
          </cell>
          <cell r="BX28">
            <v>48.625660959449867</v>
          </cell>
          <cell r="BY28">
            <v>54.028512177166519</v>
          </cell>
          <cell r="BZ28">
            <v>2.7014256088583259</v>
          </cell>
          <cell r="CC28">
            <v>22.3</v>
          </cell>
          <cell r="CD28">
            <v>23.536937605463105</v>
          </cell>
          <cell r="CE28">
            <v>32.95171264764835</v>
          </cell>
          <cell r="CF28">
            <v>42.36648768983359</v>
          </cell>
          <cell r="CG28">
            <v>51.781262732018831</v>
          </cell>
          <cell r="CH28">
            <v>61.196037774204079</v>
          </cell>
          <cell r="CI28">
            <v>70.610812816389313</v>
          </cell>
          <cell r="CJ28">
            <v>47.073875210926211</v>
          </cell>
          <cell r="CK28">
            <v>4.7073875210926213</v>
          </cell>
          <cell r="CM28">
            <v>22.3</v>
          </cell>
          <cell r="CN28">
            <v>11.971686717756965</v>
          </cell>
          <cell r="CO28">
            <v>23.94337343551393</v>
          </cell>
          <cell r="CP28">
            <v>35.915060153270893</v>
          </cell>
          <cell r="CQ28">
            <v>47.88674687102786</v>
          </cell>
          <cell r="CR28">
            <v>59.858433588784827</v>
          </cell>
          <cell r="CS28">
            <v>71.830120306541787</v>
          </cell>
          <cell r="CT28">
            <v>23.94337343551393</v>
          </cell>
          <cell r="CX28">
            <v>4.4674880000000003</v>
          </cell>
          <cell r="CY28">
            <v>-0.2570203621111572</v>
          </cell>
          <cell r="CZ28">
            <v>-0.32127545263894652</v>
          </cell>
          <cell r="DA28">
            <v>-0.3855305431667358</v>
          </cell>
          <cell r="DB28">
            <v>-0.44978563369452507</v>
          </cell>
          <cell r="DC28">
            <v>-0.51404072422231439</v>
          </cell>
          <cell r="DD28">
            <v>-0.57829581475010372</v>
          </cell>
          <cell r="DE28">
            <v>-0.64255090527789305</v>
          </cell>
          <cell r="DF28">
            <v>-0.48191317895841973</v>
          </cell>
          <cell r="DG28">
            <v>-3.212754526389465E-2</v>
          </cell>
          <cell r="DJ28">
            <v>4.4674880000000003</v>
          </cell>
          <cell r="DK28">
            <v>5.0247651787529914</v>
          </cell>
          <cell r="DL28">
            <v>7.0346712502541875</v>
          </cell>
          <cell r="DM28">
            <v>9.0445773217553835</v>
          </cell>
          <cell r="DN28">
            <v>11.05448339325658</v>
          </cell>
          <cell r="DO28">
            <v>13.064389464757777</v>
          </cell>
          <cell r="DP28">
            <v>15.074295536258974</v>
          </cell>
          <cell r="DQ28">
            <v>10.049530357505983</v>
          </cell>
          <cell r="DR28">
            <v>1.0049530357505982</v>
          </cell>
          <cell r="DT28">
            <v>4.4674880000000003</v>
          </cell>
          <cell r="DU28">
            <v>3.984588402975898</v>
          </cell>
          <cell r="DV28">
            <v>7.969176805951796</v>
          </cell>
          <cell r="DW28">
            <v>11.953765208927694</v>
          </cell>
          <cell r="DX28">
            <v>15.938353611903592</v>
          </cell>
          <cell r="DY28">
            <v>19.922942014879489</v>
          </cell>
          <cell r="DZ28">
            <v>23.907530417855387</v>
          </cell>
          <cell r="EA28">
            <v>7.969176805951796</v>
          </cell>
          <cell r="EE28">
            <v>1.8601510000000001</v>
          </cell>
          <cell r="EF28">
            <v>0.41675886682286117</v>
          </cell>
          <cell r="EG28">
            <v>0.50011064018743345</v>
          </cell>
          <cell r="EH28">
            <v>0.58346241355200568</v>
          </cell>
          <cell r="EI28">
            <v>0.6668141869165779</v>
          </cell>
          <cell r="EJ28">
            <v>0.75016596028115012</v>
          </cell>
          <cell r="EK28">
            <v>0.83351773364572235</v>
          </cell>
          <cell r="EL28">
            <v>0.62513830023429173</v>
          </cell>
          <cell r="EM28">
            <v>4.1675886682286119E-2</v>
          </cell>
          <cell r="EP28">
            <v>1.8601510000000001</v>
          </cell>
          <cell r="EQ28">
            <v>1.3738667145469337</v>
          </cell>
          <cell r="ER28">
            <v>1.9234134003657068</v>
          </cell>
          <cell r="ES28">
            <v>2.4729600861844805</v>
          </cell>
          <cell r="ET28">
            <v>3.0225067720032537</v>
          </cell>
          <cell r="EU28">
            <v>3.5720534578220273</v>
          </cell>
          <cell r="EV28">
            <v>4.1216001436408005</v>
          </cell>
          <cell r="EW28">
            <v>2.7477334290938673</v>
          </cell>
          <cell r="EX28">
            <v>0.27477334290938671</v>
          </cell>
          <cell r="EZ28">
            <v>1.8601510000000001</v>
          </cell>
          <cell r="FA28">
            <v>1.0609072585704313</v>
          </cell>
          <cell r="FB28">
            <v>2.1218145171408627</v>
          </cell>
          <cell r="FC28">
            <v>3.1827217757112942</v>
          </cell>
          <cell r="FD28">
            <v>4.2436290342817253</v>
          </cell>
          <cell r="FE28">
            <v>5.3045362928521564</v>
          </cell>
          <cell r="FF28">
            <v>6.3654435514225884</v>
          </cell>
          <cell r="FG28">
            <v>2.1218145171408627</v>
          </cell>
        </row>
        <row r="29">
          <cell r="A29">
            <v>36217</v>
          </cell>
          <cell r="B29">
            <v>14.804589999999999</v>
          </cell>
          <cell r="C29">
            <v>5.1468592960508914</v>
          </cell>
          <cell r="D29">
            <v>7.7202889440763371</v>
          </cell>
          <cell r="E29">
            <v>10.293718592101783</v>
          </cell>
          <cell r="F29">
            <v>12.867148240127229</v>
          </cell>
          <cell r="G29">
            <v>15.440577888152674</v>
          </cell>
          <cell r="H29">
            <v>18.01400753617812</v>
          </cell>
          <cell r="I29">
            <v>20.587437184203566</v>
          </cell>
          <cell r="J29">
            <v>23.160866832229011</v>
          </cell>
          <cell r="K29">
            <v>25.734296480254457</v>
          </cell>
          <cell r="L29">
            <v>19.300722360190843</v>
          </cell>
          <cell r="M29">
            <v>1.2867148240127229</v>
          </cell>
          <cell r="P29">
            <v>14.804589999999999</v>
          </cell>
          <cell r="Q29">
            <v>9.5256741856702689</v>
          </cell>
          <cell r="R29">
            <v>15.876123642783782</v>
          </cell>
          <cell r="S29">
            <v>22.226573099897294</v>
          </cell>
          <cell r="T29">
            <v>28.577022557010807</v>
          </cell>
          <cell r="U29">
            <v>34.927472014124319</v>
          </cell>
          <cell r="V29">
            <v>41.277921471237832</v>
          </cell>
          <cell r="W29">
            <v>47.628370928351345</v>
          </cell>
          <cell r="X29">
            <v>31.752247285567563</v>
          </cell>
          <cell r="Y29">
            <v>3.1752247285567563</v>
          </cell>
          <cell r="AA29">
            <v>14.804589999999999</v>
          </cell>
          <cell r="AB29">
            <v>15.497597285052331</v>
          </cell>
          <cell r="AC29">
            <v>23.246395927578497</v>
          </cell>
          <cell r="AD29">
            <v>30.995194570104662</v>
          </cell>
          <cell r="AE29">
            <v>38.743993212630826</v>
          </cell>
          <cell r="AF29">
            <v>46.492791855156995</v>
          </cell>
          <cell r="AG29">
            <v>15.497597285052331</v>
          </cell>
          <cell r="AK29">
            <v>17.100000000000001</v>
          </cell>
          <cell r="AL29">
            <v>14.552436860068259</v>
          </cell>
          <cell r="AM29">
            <v>18.190546075085322</v>
          </cell>
          <cell r="AN29">
            <v>21.82865529010239</v>
          </cell>
          <cell r="AO29">
            <v>25.466764505119453</v>
          </cell>
          <cell r="AP29">
            <v>29.104873720136517</v>
          </cell>
          <cell r="AQ29">
            <v>32.742982935153584</v>
          </cell>
          <cell r="AR29">
            <v>36.381092150170645</v>
          </cell>
          <cell r="AS29">
            <v>27.285819112627983</v>
          </cell>
          <cell r="AT29">
            <v>1.8190546075085323</v>
          </cell>
          <cell r="AW29">
            <v>17.100000000000001</v>
          </cell>
          <cell r="AX29">
            <v>19.514308873720136</v>
          </cell>
          <cell r="AY29">
            <v>27.32003242320819</v>
          </cell>
          <cell r="AZ29">
            <v>35.125755972696247</v>
          </cell>
          <cell r="BA29">
            <v>42.931479522184297</v>
          </cell>
          <cell r="BB29">
            <v>50.737203071672354</v>
          </cell>
          <cell r="BC29">
            <v>58.542926621160412</v>
          </cell>
          <cell r="BD29">
            <v>39.028617747440272</v>
          </cell>
          <cell r="BE29">
            <v>3.9028617747440273</v>
          </cell>
          <cell r="BG29">
            <v>17.100000000000001</v>
          </cell>
          <cell r="BH29">
            <v>15.284414106939705</v>
          </cell>
          <cell r="BI29">
            <v>22.926621160409557</v>
          </cell>
          <cell r="BJ29">
            <v>30.56882821387941</v>
          </cell>
          <cell r="BK29">
            <v>38.21103526734926</v>
          </cell>
          <cell r="BL29">
            <v>45.853242320819113</v>
          </cell>
          <cell r="BM29">
            <v>15.284414106939705</v>
          </cell>
          <cell r="BQ29">
            <v>22.8</v>
          </cell>
          <cell r="BR29">
            <v>16.745025549334589</v>
          </cell>
          <cell r="BS29">
            <v>22.326700732446117</v>
          </cell>
          <cell r="BT29">
            <v>27.908375915557645</v>
          </cell>
          <cell r="BU29">
            <v>33.490051098669177</v>
          </cell>
          <cell r="BV29">
            <v>39.071726281780705</v>
          </cell>
          <cell r="BW29">
            <v>44.653401464892234</v>
          </cell>
          <cell r="BX29">
            <v>50.235076648003762</v>
          </cell>
          <cell r="BY29">
            <v>55.81675183111529</v>
          </cell>
          <cell r="BZ29">
            <v>2.7908375915557646</v>
          </cell>
          <cell r="CC29">
            <v>22.8</v>
          </cell>
          <cell r="CD29">
            <v>23.838613774397022</v>
          </cell>
          <cell r="CE29">
            <v>33.374059284155834</v>
          </cell>
          <cell r="CF29">
            <v>42.909504793914635</v>
          </cell>
          <cell r="CG29">
            <v>52.444950303673451</v>
          </cell>
          <cell r="CH29">
            <v>61.980395813432253</v>
          </cell>
          <cell r="CI29">
            <v>71.515841323191069</v>
          </cell>
          <cell r="CJ29">
            <v>47.677227548794043</v>
          </cell>
          <cell r="CK29">
            <v>4.7677227548794043</v>
          </cell>
          <cell r="CM29">
            <v>22.8</v>
          </cell>
          <cell r="CN29">
            <v>12.080254320236886</v>
          </cell>
          <cell r="CO29">
            <v>24.160508640473772</v>
          </cell>
          <cell r="CP29">
            <v>36.240762960710654</v>
          </cell>
          <cell r="CQ29">
            <v>48.321017280947544</v>
          </cell>
          <cell r="CR29">
            <v>60.401271601184433</v>
          </cell>
          <cell r="CS29">
            <v>72.481525921421309</v>
          </cell>
          <cell r="CT29">
            <v>24.160508640473772</v>
          </cell>
          <cell r="CX29">
            <v>3.4477350000000002</v>
          </cell>
          <cell r="CY29">
            <v>-1.3922953572273573</v>
          </cell>
          <cell r="CZ29">
            <v>-1.7403691965341967</v>
          </cell>
          <cell r="DA29">
            <v>-2.0884430358410357</v>
          </cell>
          <cell r="DB29">
            <v>-2.4365168751478752</v>
          </cell>
          <cell r="DC29">
            <v>-2.7845907144547146</v>
          </cell>
          <cell r="DD29">
            <v>-3.1326645537615541</v>
          </cell>
          <cell r="DE29">
            <v>-3.4807383930683935</v>
          </cell>
          <cell r="DF29">
            <v>-2.6105537948012949</v>
          </cell>
          <cell r="DG29">
            <v>-0.17403691965341966</v>
          </cell>
          <cell r="DJ29">
            <v>3.4477350000000002</v>
          </cell>
          <cell r="DK29">
            <v>4.8206948198331121</v>
          </cell>
          <cell r="DL29">
            <v>6.7489727477663566</v>
          </cell>
          <cell r="DM29">
            <v>8.677250675699602</v>
          </cell>
          <cell r="DN29">
            <v>10.605528603632846</v>
          </cell>
          <cell r="DO29">
            <v>12.533806531566091</v>
          </cell>
          <cell r="DP29">
            <v>14.462084459499335</v>
          </cell>
          <cell r="DQ29">
            <v>9.6413896396662242</v>
          </cell>
          <cell r="DR29">
            <v>0.96413896396662235</v>
          </cell>
          <cell r="DT29">
            <v>3.4477350000000002</v>
          </cell>
          <cell r="DU29">
            <v>3.9451849343840308</v>
          </cell>
          <cell r="DV29">
            <v>7.8903698687680617</v>
          </cell>
          <cell r="DW29">
            <v>11.835554803152093</v>
          </cell>
          <cell r="DX29">
            <v>15.780739737536123</v>
          </cell>
          <cell r="DY29">
            <v>19.725924671920154</v>
          </cell>
          <cell r="DZ29">
            <v>23.671109606304185</v>
          </cell>
          <cell r="EA29">
            <v>7.8903698687680617</v>
          </cell>
          <cell r="EE29">
            <v>1.7926850000000001</v>
          </cell>
          <cell r="EF29">
            <v>0.41555165124189919</v>
          </cell>
          <cell r="EG29">
            <v>0.49866198149027907</v>
          </cell>
          <cell r="EH29">
            <v>0.58177231173865884</v>
          </cell>
          <cell r="EI29">
            <v>0.66488264198703872</v>
          </cell>
          <cell r="EJ29">
            <v>0.74799297223541861</v>
          </cell>
          <cell r="EK29">
            <v>0.83110330248379838</v>
          </cell>
          <cell r="EL29">
            <v>0.62332747686284884</v>
          </cell>
          <cell r="EM29">
            <v>4.155516512418992E-2</v>
          </cell>
          <cell r="EP29">
            <v>1.7926850000000001</v>
          </cell>
          <cell r="EQ29">
            <v>1.3620345900317232</v>
          </cell>
          <cell r="ER29">
            <v>1.9068484260444125</v>
          </cell>
          <cell r="ES29">
            <v>2.451662262057102</v>
          </cell>
          <cell r="ET29">
            <v>2.9964760980697909</v>
          </cell>
          <cell r="EU29">
            <v>3.5412899340824806</v>
          </cell>
          <cell r="EV29">
            <v>4.0861037700951695</v>
          </cell>
          <cell r="EW29">
            <v>2.7240691800634464</v>
          </cell>
          <cell r="EX29">
            <v>0.27240691800634464</v>
          </cell>
          <cell r="EZ29">
            <v>1.7926850000000001</v>
          </cell>
          <cell r="FA29">
            <v>1.0550433249432789</v>
          </cell>
          <cell r="FB29">
            <v>2.1100866498865578</v>
          </cell>
          <cell r="FC29">
            <v>3.1651299748298367</v>
          </cell>
          <cell r="FD29">
            <v>4.2201732997731156</v>
          </cell>
          <cell r="FE29">
            <v>5.2752166247163945</v>
          </cell>
          <cell r="FF29">
            <v>6.3302599496596734</v>
          </cell>
          <cell r="FG29">
            <v>2.1100866498865578</v>
          </cell>
        </row>
        <row r="30">
          <cell r="A30">
            <v>36250</v>
          </cell>
          <cell r="B30">
            <v>18.788550000000001</v>
          </cell>
          <cell r="C30">
            <v>5.6016405098770647</v>
          </cell>
          <cell r="D30">
            <v>8.4024607648155971</v>
          </cell>
          <cell r="E30">
            <v>11.203281019754129</v>
          </cell>
          <cell r="F30">
            <v>14.004101274692662</v>
          </cell>
          <cell r="G30">
            <v>16.804921529631194</v>
          </cell>
          <cell r="H30">
            <v>19.605741784569727</v>
          </cell>
          <cell r="I30">
            <v>22.406562039508259</v>
          </cell>
          <cell r="J30">
            <v>25.207382294446791</v>
          </cell>
          <cell r="K30">
            <v>28.008202549385324</v>
          </cell>
          <cell r="L30">
            <v>21.006151912038995</v>
          </cell>
          <cell r="M30">
            <v>1.4004101274692662</v>
          </cell>
          <cell r="P30">
            <v>18.788550000000001</v>
          </cell>
          <cell r="Q30">
            <v>9.9358016549364692</v>
          </cell>
          <cell r="R30">
            <v>16.559669424894118</v>
          </cell>
          <cell r="S30">
            <v>23.183537194851763</v>
          </cell>
          <cell r="T30">
            <v>29.807404964809411</v>
          </cell>
          <cell r="U30">
            <v>36.431272734767056</v>
          </cell>
          <cell r="V30">
            <v>43.055140504724704</v>
          </cell>
          <cell r="W30">
            <v>49.679008274682353</v>
          </cell>
          <cell r="X30">
            <v>33.119338849788235</v>
          </cell>
          <cell r="Y30">
            <v>3.3119338849788234</v>
          </cell>
          <cell r="AA30">
            <v>18.788550000000001</v>
          </cell>
          <cell r="AB30">
            <v>15.637397854559319</v>
          </cell>
          <cell r="AC30">
            <v>23.45609678183898</v>
          </cell>
          <cell r="AD30">
            <v>31.274795709118639</v>
          </cell>
          <cell r="AE30">
            <v>39.093494636398297</v>
          </cell>
          <cell r="AF30">
            <v>46.91219356367796</v>
          </cell>
          <cell r="AG30">
            <v>15.637397854559319</v>
          </cell>
          <cell r="AK30">
            <v>20.6</v>
          </cell>
          <cell r="AL30">
            <v>14.959617747440271</v>
          </cell>
          <cell r="AM30">
            <v>18.699522184300339</v>
          </cell>
          <cell r="AN30">
            <v>22.439426621160408</v>
          </cell>
          <cell r="AO30">
            <v>26.179331058020473</v>
          </cell>
          <cell r="AP30">
            <v>29.919235494880542</v>
          </cell>
          <cell r="AQ30">
            <v>33.659139931740611</v>
          </cell>
          <cell r="AR30">
            <v>37.399044368600677</v>
          </cell>
          <cell r="AS30">
            <v>28.04928327645051</v>
          </cell>
          <cell r="AT30">
            <v>1.8699522184300339</v>
          </cell>
          <cell r="AW30">
            <v>20.6</v>
          </cell>
          <cell r="AX30">
            <v>19.721241467576792</v>
          </cell>
          <cell r="AY30">
            <v>27.609738054607508</v>
          </cell>
          <cell r="AZ30">
            <v>35.498234641638227</v>
          </cell>
          <cell r="BA30">
            <v>43.386731228668943</v>
          </cell>
          <cell r="BB30">
            <v>51.275227815699658</v>
          </cell>
          <cell r="BC30">
            <v>59.163724402730374</v>
          </cell>
          <cell r="BD30">
            <v>39.442482935153585</v>
          </cell>
          <cell r="BE30">
            <v>3.9442482935153582</v>
          </cell>
          <cell r="BG30">
            <v>20.6</v>
          </cell>
          <cell r="BH30">
            <v>15.407849829351537</v>
          </cell>
          <cell r="BI30">
            <v>23.111774744027308</v>
          </cell>
          <cell r="BJ30">
            <v>30.815699658703075</v>
          </cell>
          <cell r="BK30">
            <v>38.519624573378842</v>
          </cell>
          <cell r="BL30">
            <v>46.223549488054616</v>
          </cell>
          <cell r="BM30">
            <v>15.407849829351537</v>
          </cell>
          <cell r="BQ30">
            <v>27.1</v>
          </cell>
          <cell r="BR30">
            <v>17.281497445519221</v>
          </cell>
          <cell r="BS30">
            <v>23.041996594025626</v>
          </cell>
          <cell r="BT30">
            <v>28.802495742532031</v>
          </cell>
          <cell r="BU30">
            <v>34.562994891038443</v>
          </cell>
          <cell r="BV30">
            <v>40.323494039544848</v>
          </cell>
          <cell r="BW30">
            <v>46.083993188051252</v>
          </cell>
          <cell r="BX30">
            <v>51.844492336557657</v>
          </cell>
          <cell r="BY30">
            <v>57.604991485064062</v>
          </cell>
          <cell r="BZ30">
            <v>2.8802495742532033</v>
          </cell>
          <cell r="CC30">
            <v>27.1</v>
          </cell>
          <cell r="CD30">
            <v>24.140289943330938</v>
          </cell>
          <cell r="CE30">
            <v>33.796405920663311</v>
          </cell>
          <cell r="CF30">
            <v>43.452521897995688</v>
          </cell>
          <cell r="CG30">
            <v>53.108637875328064</v>
          </cell>
          <cell r="CH30">
            <v>62.764753852660434</v>
          </cell>
          <cell r="CI30">
            <v>72.42086982999281</v>
          </cell>
          <cell r="CJ30">
            <v>48.280579886661876</v>
          </cell>
          <cell r="CK30">
            <v>4.8280579886661874</v>
          </cell>
          <cell r="CM30">
            <v>27.1</v>
          </cell>
          <cell r="CN30">
            <v>12.188821922716807</v>
          </cell>
          <cell r="CO30">
            <v>24.377643845433614</v>
          </cell>
          <cell r="CP30">
            <v>36.566465768150422</v>
          </cell>
          <cell r="CQ30">
            <v>48.755287690867227</v>
          </cell>
          <cell r="CR30">
            <v>60.944109613584033</v>
          </cell>
          <cell r="CS30">
            <v>73.132931536300845</v>
          </cell>
          <cell r="CT30">
            <v>24.377643845433614</v>
          </cell>
          <cell r="CX30">
            <v>3.8119329999999998</v>
          </cell>
          <cell r="CY30">
            <v>-2.5275703523435578</v>
          </cell>
          <cell r="CZ30">
            <v>-3.1594629404294472</v>
          </cell>
          <cell r="DA30">
            <v>-3.7913555285153366</v>
          </cell>
          <cell r="DB30">
            <v>-4.4232481166012256</v>
          </cell>
          <cell r="DC30">
            <v>-5.0551407046871155</v>
          </cell>
          <cell r="DD30">
            <v>-5.6870332927730054</v>
          </cell>
          <cell r="DE30">
            <v>-6.3189258808588944</v>
          </cell>
          <cell r="DF30">
            <v>-4.7391944106441706</v>
          </cell>
          <cell r="DG30">
            <v>-0.31594629404294472</v>
          </cell>
          <cell r="DJ30">
            <v>3.8119329999999998</v>
          </cell>
          <cell r="DK30">
            <v>4.6166244609132328</v>
          </cell>
          <cell r="DL30">
            <v>6.4632742452785248</v>
          </cell>
          <cell r="DM30">
            <v>8.3099240296438186</v>
          </cell>
          <cell r="DN30">
            <v>10.156573814009111</v>
          </cell>
          <cell r="DO30">
            <v>12.003223598374404</v>
          </cell>
          <cell r="DP30">
            <v>13.849873382739696</v>
          </cell>
          <cell r="DQ30">
            <v>9.2332489218264655</v>
          </cell>
          <cell r="DR30">
            <v>0.92332489218264646</v>
          </cell>
          <cell r="DT30">
            <v>3.8119329999999998</v>
          </cell>
          <cell r="DU30">
            <v>3.9057814657921637</v>
          </cell>
          <cell r="DV30">
            <v>7.8115629315843274</v>
          </cell>
          <cell r="DW30">
            <v>11.717344397376491</v>
          </cell>
          <cell r="DX30">
            <v>15.623125863168655</v>
          </cell>
          <cell r="DY30">
            <v>19.52890732896082</v>
          </cell>
          <cell r="DZ30">
            <v>23.434688794752983</v>
          </cell>
          <cell r="EA30">
            <v>7.8115629315843274</v>
          </cell>
          <cell r="EE30">
            <v>1.8505130000000001</v>
          </cell>
          <cell r="EF30">
            <v>0.4143444356609372</v>
          </cell>
          <cell r="EG30">
            <v>0.49721332279312469</v>
          </cell>
          <cell r="EH30">
            <v>0.58008220992531212</v>
          </cell>
          <cell r="EI30">
            <v>0.66295109705749955</v>
          </cell>
          <cell r="EJ30">
            <v>0.74581998418968698</v>
          </cell>
          <cell r="EK30">
            <v>0.82868887132187441</v>
          </cell>
          <cell r="EL30">
            <v>0.62151665349140583</v>
          </cell>
          <cell r="EM30">
            <v>4.1434443566093722E-2</v>
          </cell>
          <cell r="EP30">
            <v>1.8505130000000001</v>
          </cell>
          <cell r="EQ30">
            <v>1.3502024655165128</v>
          </cell>
          <cell r="ER30">
            <v>1.8902834517231182</v>
          </cell>
          <cell r="ES30">
            <v>2.4303644379297231</v>
          </cell>
          <cell r="ET30">
            <v>2.9704454241363285</v>
          </cell>
          <cell r="EU30">
            <v>3.5105264103429334</v>
          </cell>
          <cell r="EV30">
            <v>4.0506073965495384</v>
          </cell>
          <cell r="EW30">
            <v>2.7004049310330256</v>
          </cell>
          <cell r="EX30">
            <v>0.27004049310330258</v>
          </cell>
          <cell r="EZ30">
            <v>1.8505130000000001</v>
          </cell>
          <cell r="FA30">
            <v>1.0491793913161265</v>
          </cell>
          <cell r="FB30">
            <v>2.098358782632253</v>
          </cell>
          <cell r="FC30">
            <v>3.1475381739483792</v>
          </cell>
          <cell r="FD30">
            <v>4.1967175652645059</v>
          </cell>
          <cell r="FE30">
            <v>5.2458969565806326</v>
          </cell>
          <cell r="FF30">
            <v>6.2950763478967584</v>
          </cell>
          <cell r="FG30">
            <v>2.098358782632253</v>
          </cell>
        </row>
        <row r="31">
          <cell r="A31">
            <v>36280</v>
          </cell>
          <cell r="B31">
            <v>24.051310000000001</v>
          </cell>
          <cell r="C31">
            <v>6.0564217237032381</v>
          </cell>
          <cell r="D31">
            <v>9.0846325855548571</v>
          </cell>
          <cell r="E31">
            <v>12.112843447406476</v>
          </cell>
          <cell r="F31">
            <v>15.141054309258095</v>
          </cell>
          <cell r="G31">
            <v>18.169265171109714</v>
          </cell>
          <cell r="H31">
            <v>21.197476032961333</v>
          </cell>
          <cell r="I31">
            <v>24.225686894812952</v>
          </cell>
          <cell r="J31">
            <v>27.253897756664571</v>
          </cell>
          <cell r="K31">
            <v>30.28210861851619</v>
          </cell>
          <cell r="L31">
            <v>22.711581463887143</v>
          </cell>
          <cell r="M31">
            <v>1.5141054309258095</v>
          </cell>
          <cell r="P31">
            <v>24.051310000000001</v>
          </cell>
          <cell r="Q31">
            <v>10.345929124202671</v>
          </cell>
          <cell r="R31">
            <v>17.243215207004454</v>
          </cell>
          <cell r="S31">
            <v>24.140501289806231</v>
          </cell>
          <cell r="T31">
            <v>31.037787372608015</v>
          </cell>
          <cell r="U31">
            <v>37.935073455409793</v>
          </cell>
          <cell r="V31">
            <v>44.832359538211577</v>
          </cell>
          <cell r="W31">
            <v>51.729645621013354</v>
          </cell>
          <cell r="X31">
            <v>34.486430414008908</v>
          </cell>
          <cell r="Y31">
            <v>3.4486430414008904</v>
          </cell>
          <cell r="AA31">
            <v>24.051310000000001</v>
          </cell>
          <cell r="AB31">
            <v>15.777198424066308</v>
          </cell>
          <cell r="AC31">
            <v>23.665797636099462</v>
          </cell>
          <cell r="AD31">
            <v>31.554396848132615</v>
          </cell>
          <cell r="AE31">
            <v>39.442996060165768</v>
          </cell>
          <cell r="AF31">
            <v>47.331595272198925</v>
          </cell>
          <cell r="AG31">
            <v>15.777198424066308</v>
          </cell>
          <cell r="AK31">
            <v>23.7</v>
          </cell>
          <cell r="AL31">
            <v>15.366798634812284</v>
          </cell>
          <cell r="AM31">
            <v>19.208498293515355</v>
          </cell>
          <cell r="AN31">
            <v>23.050197952218426</v>
          </cell>
          <cell r="AO31">
            <v>26.891897610921497</v>
          </cell>
          <cell r="AP31">
            <v>30.733597269624568</v>
          </cell>
          <cell r="AQ31">
            <v>34.575296928327639</v>
          </cell>
          <cell r="AR31">
            <v>38.41699658703071</v>
          </cell>
          <cell r="AS31">
            <v>28.812747440273032</v>
          </cell>
          <cell r="AT31">
            <v>1.9208498293515355</v>
          </cell>
          <cell r="AW31">
            <v>23.7</v>
          </cell>
          <cell r="AX31">
            <v>19.928174061433445</v>
          </cell>
          <cell r="AY31">
            <v>27.899443686006823</v>
          </cell>
          <cell r="AZ31">
            <v>35.8707133105802</v>
          </cell>
          <cell r="BA31">
            <v>43.841982935153581</v>
          </cell>
          <cell r="BB31">
            <v>51.813252559726962</v>
          </cell>
          <cell r="BC31">
            <v>59.784522184300336</v>
          </cell>
          <cell r="BD31">
            <v>39.856348122866891</v>
          </cell>
          <cell r="BE31">
            <v>3.9856348122866891</v>
          </cell>
          <cell r="BG31">
            <v>23.7</v>
          </cell>
          <cell r="BH31">
            <v>15.53128555176337</v>
          </cell>
          <cell r="BI31">
            <v>23.296928327645055</v>
          </cell>
          <cell r="BJ31">
            <v>31.062571103526739</v>
          </cell>
          <cell r="BK31">
            <v>38.828213879408423</v>
          </cell>
          <cell r="BL31">
            <v>46.593856655290111</v>
          </cell>
          <cell r="BM31">
            <v>15.53128555176337</v>
          </cell>
          <cell r="BQ31">
            <v>30.6</v>
          </cell>
          <cell r="BR31">
            <v>17.817969341703851</v>
          </cell>
          <cell r="BS31">
            <v>23.757292455605135</v>
          </cell>
          <cell r="BT31">
            <v>29.69661556950642</v>
          </cell>
          <cell r="BU31">
            <v>35.635938683407701</v>
          </cell>
          <cell r="BV31">
            <v>41.57526179730899</v>
          </cell>
          <cell r="BW31">
            <v>47.514584911210271</v>
          </cell>
          <cell r="BX31">
            <v>53.453908025111552</v>
          </cell>
          <cell r="BY31">
            <v>59.39323113901284</v>
          </cell>
          <cell r="BZ31">
            <v>2.9696615569506419</v>
          </cell>
          <cell r="CC31">
            <v>30.6</v>
          </cell>
          <cell r="CD31">
            <v>24.441966112264851</v>
          </cell>
          <cell r="CE31">
            <v>34.218752557170795</v>
          </cell>
          <cell r="CF31">
            <v>43.995539002076733</v>
          </cell>
          <cell r="CG31">
            <v>53.772325446982677</v>
          </cell>
          <cell r="CH31">
            <v>63.549111891888614</v>
          </cell>
          <cell r="CI31">
            <v>73.325898336794552</v>
          </cell>
          <cell r="CJ31">
            <v>48.883932224529701</v>
          </cell>
          <cell r="CK31">
            <v>4.8883932224529705</v>
          </cell>
          <cell r="CM31">
            <v>30.6</v>
          </cell>
          <cell r="CN31">
            <v>12.297389525196728</v>
          </cell>
          <cell r="CO31">
            <v>24.594779050393456</v>
          </cell>
          <cell r="CP31">
            <v>36.892168575590183</v>
          </cell>
          <cell r="CQ31">
            <v>49.189558100786911</v>
          </cell>
          <cell r="CR31">
            <v>61.486947625983639</v>
          </cell>
          <cell r="CS31">
            <v>73.784337151180367</v>
          </cell>
          <cell r="CT31">
            <v>24.594779050393456</v>
          </cell>
          <cell r="CX31">
            <v>5.5358000000000001</v>
          </cell>
          <cell r="CY31">
            <v>-3.6628453474597578</v>
          </cell>
          <cell r="CZ31">
            <v>-4.5785566843246972</v>
          </cell>
          <cell r="DA31">
            <v>-5.4942680211896366</v>
          </cell>
          <cell r="DB31">
            <v>-6.4099793580545761</v>
          </cell>
          <cell r="DC31">
            <v>-7.3256906949195155</v>
          </cell>
          <cell r="DD31">
            <v>-8.241402031784455</v>
          </cell>
          <cell r="DE31">
            <v>-9.1571133686493944</v>
          </cell>
          <cell r="DF31">
            <v>-6.8678350264870458</v>
          </cell>
          <cell r="DG31">
            <v>-0.45785566843246972</v>
          </cell>
          <cell r="DJ31">
            <v>5.5358000000000001</v>
          </cell>
          <cell r="DK31">
            <v>4.4125541019933525</v>
          </cell>
          <cell r="DL31">
            <v>6.1775757427906939</v>
          </cell>
          <cell r="DM31">
            <v>7.9425973835880352</v>
          </cell>
          <cell r="DN31">
            <v>9.7076190243853766</v>
          </cell>
          <cell r="DO31">
            <v>11.472640665182718</v>
          </cell>
          <cell r="DP31">
            <v>13.237662305980059</v>
          </cell>
          <cell r="DQ31">
            <v>8.825108203986705</v>
          </cell>
          <cell r="DR31">
            <v>0.88251082039867057</v>
          </cell>
          <cell r="DT31">
            <v>5.5358000000000001</v>
          </cell>
          <cell r="DU31">
            <v>3.8663779972002965</v>
          </cell>
          <cell r="DV31">
            <v>7.732755994400593</v>
          </cell>
          <cell r="DW31">
            <v>11.59913399160089</v>
          </cell>
          <cell r="DX31">
            <v>15.465511988801186</v>
          </cell>
          <cell r="DY31">
            <v>19.331889986001482</v>
          </cell>
          <cell r="DZ31">
            <v>23.198267983201781</v>
          </cell>
          <cell r="EA31">
            <v>7.732755994400593</v>
          </cell>
          <cell r="EE31">
            <v>2.5781890000000001</v>
          </cell>
          <cell r="EF31">
            <v>0.41313722007997522</v>
          </cell>
          <cell r="EG31">
            <v>0.49576466409597031</v>
          </cell>
          <cell r="EH31">
            <v>0.57839210811196529</v>
          </cell>
          <cell r="EI31">
            <v>0.66101955212796037</v>
          </cell>
          <cell r="EJ31">
            <v>0.74364699614395546</v>
          </cell>
          <cell r="EK31">
            <v>0.82627444015995044</v>
          </cell>
          <cell r="EL31">
            <v>0.61970583011996283</v>
          </cell>
          <cell r="EM31">
            <v>4.1313722007997523E-2</v>
          </cell>
          <cell r="EP31">
            <v>2.5781890000000001</v>
          </cell>
          <cell r="EQ31">
            <v>1.3383703410013026</v>
          </cell>
          <cell r="ER31">
            <v>1.8737184774018236</v>
          </cell>
          <cell r="ES31">
            <v>2.4090666138023447</v>
          </cell>
          <cell r="ET31">
            <v>2.9444147502028657</v>
          </cell>
          <cell r="EU31">
            <v>3.4797628866033867</v>
          </cell>
          <cell r="EV31">
            <v>4.0151110230039073</v>
          </cell>
          <cell r="EW31">
            <v>2.6767406820026052</v>
          </cell>
          <cell r="EX31">
            <v>0.26767406820026052</v>
          </cell>
          <cell r="EZ31">
            <v>2.5781890000000001</v>
          </cell>
          <cell r="FA31">
            <v>1.043315457688974</v>
          </cell>
          <cell r="FB31">
            <v>2.0866309153779481</v>
          </cell>
          <cell r="FC31">
            <v>3.1299463730669221</v>
          </cell>
          <cell r="FD31">
            <v>4.1732618307558962</v>
          </cell>
          <cell r="FE31">
            <v>5.2165772884448707</v>
          </cell>
          <cell r="FF31">
            <v>6.2598927461338443</v>
          </cell>
          <cell r="FG31">
            <v>2.0866309153779481</v>
          </cell>
        </row>
        <row r="32">
          <cell r="A32">
            <v>36311</v>
          </cell>
          <cell r="B32">
            <v>21.4937</v>
          </cell>
          <cell r="C32">
            <v>6.5112029375294114</v>
          </cell>
          <cell r="D32">
            <v>9.7668044062941171</v>
          </cell>
          <cell r="E32">
            <v>13.022405875058823</v>
          </cell>
          <cell r="F32">
            <v>16.278007343823528</v>
          </cell>
          <cell r="G32">
            <v>19.533608812588234</v>
          </cell>
          <cell r="H32">
            <v>22.78921028135294</v>
          </cell>
          <cell r="I32">
            <v>26.044811750117645</v>
          </cell>
          <cell r="J32">
            <v>29.300413218882351</v>
          </cell>
          <cell r="K32">
            <v>32.556014687647057</v>
          </cell>
          <cell r="L32">
            <v>24.417011015735291</v>
          </cell>
          <cell r="M32">
            <v>1.6278007343823528</v>
          </cell>
          <cell r="P32">
            <v>21.4937</v>
          </cell>
          <cell r="Q32">
            <v>10.756056593468873</v>
          </cell>
          <cell r="R32">
            <v>17.926760989114786</v>
          </cell>
          <cell r="S32">
            <v>25.097465384760703</v>
          </cell>
          <cell r="T32">
            <v>32.268169780406616</v>
          </cell>
          <cell r="U32">
            <v>39.438874176052529</v>
          </cell>
          <cell r="V32">
            <v>46.609578571698449</v>
          </cell>
          <cell r="W32">
            <v>53.780282967344363</v>
          </cell>
          <cell r="X32">
            <v>35.853521978229573</v>
          </cell>
          <cell r="Y32">
            <v>3.5853521978229574</v>
          </cell>
          <cell r="AA32">
            <v>21.4937</v>
          </cell>
          <cell r="AB32">
            <v>15.916998993573296</v>
          </cell>
          <cell r="AC32">
            <v>23.875498490359945</v>
          </cell>
          <cell r="AD32">
            <v>31.833997987146592</v>
          </cell>
          <cell r="AE32">
            <v>39.792497483933239</v>
          </cell>
          <cell r="AF32">
            <v>47.75099698071989</v>
          </cell>
          <cell r="AG32">
            <v>15.916998993573296</v>
          </cell>
          <cell r="AK32">
            <v>21.5</v>
          </cell>
          <cell r="AL32">
            <v>15.773979522184296</v>
          </cell>
          <cell r="AM32">
            <v>19.717474402730371</v>
          </cell>
          <cell r="AN32">
            <v>23.660969283276444</v>
          </cell>
          <cell r="AO32">
            <v>27.60446416382252</v>
          </cell>
          <cell r="AP32">
            <v>31.547959044368593</v>
          </cell>
          <cell r="AQ32">
            <v>35.491453924914666</v>
          </cell>
          <cell r="AR32">
            <v>39.434948805460742</v>
          </cell>
          <cell r="AS32">
            <v>29.576211604095555</v>
          </cell>
          <cell r="AT32">
            <v>1.9717474402730371</v>
          </cell>
          <cell r="AW32">
            <v>21.5</v>
          </cell>
          <cell r="AX32">
            <v>20.135106655290102</v>
          </cell>
          <cell r="AY32">
            <v>28.189149317406144</v>
          </cell>
          <cell r="AZ32">
            <v>36.243191979522187</v>
          </cell>
          <cell r="BA32">
            <v>44.297234641638227</v>
          </cell>
          <cell r="BB32">
            <v>52.351277303754266</v>
          </cell>
          <cell r="BC32">
            <v>60.405319965870305</v>
          </cell>
          <cell r="BD32">
            <v>40.270213310580203</v>
          </cell>
          <cell r="BE32">
            <v>4.0270213310580205</v>
          </cell>
          <cell r="BG32">
            <v>21.5</v>
          </cell>
          <cell r="BH32">
            <v>15.654721274175202</v>
          </cell>
          <cell r="BI32">
            <v>23.482081911262803</v>
          </cell>
          <cell r="BJ32">
            <v>31.309442548350404</v>
          </cell>
          <cell r="BK32">
            <v>39.136803185438005</v>
          </cell>
          <cell r="BL32">
            <v>46.964163822525606</v>
          </cell>
          <cell r="BM32">
            <v>15.654721274175202</v>
          </cell>
          <cell r="BQ32">
            <v>28</v>
          </cell>
          <cell r="BR32">
            <v>18.354441237888484</v>
          </cell>
          <cell r="BS32">
            <v>24.472588317184645</v>
          </cell>
          <cell r="BT32">
            <v>30.590735396480806</v>
          </cell>
          <cell r="BU32">
            <v>36.708882475776967</v>
          </cell>
          <cell r="BV32">
            <v>42.827029555073125</v>
          </cell>
          <cell r="BW32">
            <v>48.94517663436929</v>
          </cell>
          <cell r="BX32">
            <v>55.063323713665454</v>
          </cell>
          <cell r="BY32">
            <v>61.181470792961612</v>
          </cell>
          <cell r="BZ32">
            <v>3.0590735396480806</v>
          </cell>
          <cell r="CC32">
            <v>28</v>
          </cell>
          <cell r="CD32">
            <v>24.743642281198767</v>
          </cell>
          <cell r="CE32">
            <v>34.641099193678272</v>
          </cell>
          <cell r="CF32">
            <v>44.538556106157785</v>
          </cell>
          <cell r="CG32">
            <v>54.43601301863729</v>
          </cell>
          <cell r="CH32">
            <v>64.333469931116795</v>
          </cell>
          <cell r="CI32">
            <v>74.230926843596308</v>
          </cell>
          <cell r="CJ32">
            <v>49.487284562397534</v>
          </cell>
          <cell r="CK32">
            <v>4.9487284562397535</v>
          </cell>
          <cell r="CM32">
            <v>28</v>
          </cell>
          <cell r="CN32">
            <v>12.405957127676649</v>
          </cell>
          <cell r="CO32">
            <v>24.811914255353297</v>
          </cell>
          <cell r="CP32">
            <v>37.217871383029944</v>
          </cell>
          <cell r="CQ32">
            <v>49.623828510706595</v>
          </cell>
          <cell r="CR32">
            <v>62.029785638383245</v>
          </cell>
          <cell r="CS32">
            <v>74.435742766059889</v>
          </cell>
          <cell r="CT32">
            <v>24.811914255353297</v>
          </cell>
          <cell r="CX32">
            <v>4.6860059999999999</v>
          </cell>
          <cell r="CY32">
            <v>-4.7981203425759578</v>
          </cell>
          <cell r="CZ32">
            <v>-5.9976504282199468</v>
          </cell>
          <cell r="DA32">
            <v>-7.1971805138639366</v>
          </cell>
          <cell r="DB32">
            <v>-8.3967105995079265</v>
          </cell>
          <cell r="DC32">
            <v>-9.5962406851519155</v>
          </cell>
          <cell r="DD32">
            <v>-10.795770770795905</v>
          </cell>
          <cell r="DE32">
            <v>-11.995300856439894</v>
          </cell>
          <cell r="DF32">
            <v>-8.996475642329921</v>
          </cell>
          <cell r="DG32">
            <v>-0.59976504282199472</v>
          </cell>
          <cell r="DJ32">
            <v>4.6860059999999999</v>
          </cell>
          <cell r="DK32">
            <v>4.2084837430734732</v>
          </cell>
          <cell r="DL32">
            <v>5.891877240302863</v>
          </cell>
          <cell r="DM32">
            <v>7.5752707375322519</v>
          </cell>
          <cell r="DN32">
            <v>9.2586642347616408</v>
          </cell>
          <cell r="DO32">
            <v>10.942057731991031</v>
          </cell>
          <cell r="DP32">
            <v>12.62545122922042</v>
          </cell>
          <cell r="DQ32">
            <v>8.4169674861469463</v>
          </cell>
          <cell r="DR32">
            <v>0.84169674861469468</v>
          </cell>
          <cell r="DT32">
            <v>4.6860059999999999</v>
          </cell>
          <cell r="DU32">
            <v>3.8269745286084293</v>
          </cell>
          <cell r="DV32">
            <v>7.6539490572168587</v>
          </cell>
          <cell r="DW32">
            <v>11.480923585825288</v>
          </cell>
          <cell r="DX32">
            <v>15.307898114433717</v>
          </cell>
          <cell r="DY32">
            <v>19.134872643042147</v>
          </cell>
          <cell r="DZ32">
            <v>22.961847171650575</v>
          </cell>
          <cell r="EA32">
            <v>7.6539490572168587</v>
          </cell>
          <cell r="EE32">
            <v>2.192666</v>
          </cell>
          <cell r="EF32">
            <v>0.41193000449901324</v>
          </cell>
          <cell r="EG32">
            <v>0.49431600539881593</v>
          </cell>
          <cell r="EH32">
            <v>0.57670200629861856</v>
          </cell>
          <cell r="EI32">
            <v>0.6590880071984212</v>
          </cell>
          <cell r="EJ32">
            <v>0.74147400809822384</v>
          </cell>
          <cell r="EK32">
            <v>0.82386000899802647</v>
          </cell>
          <cell r="EL32">
            <v>0.61789500674851983</v>
          </cell>
          <cell r="EM32">
            <v>4.1193000449901325E-2</v>
          </cell>
          <cell r="EP32">
            <v>2.192666</v>
          </cell>
          <cell r="EQ32">
            <v>1.3265382164860924</v>
          </cell>
          <cell r="ER32">
            <v>1.8571535030805291</v>
          </cell>
          <cell r="ES32">
            <v>2.3877687896749662</v>
          </cell>
          <cell r="ET32">
            <v>2.9183840762694029</v>
          </cell>
          <cell r="EU32">
            <v>3.44899936286384</v>
          </cell>
          <cell r="EV32">
            <v>3.9796146494582767</v>
          </cell>
          <cell r="EW32">
            <v>2.6530764329721848</v>
          </cell>
          <cell r="EX32">
            <v>0.26530764329721845</v>
          </cell>
          <cell r="EZ32">
            <v>2.192666</v>
          </cell>
          <cell r="FA32">
            <v>1.0374515240618216</v>
          </cell>
          <cell r="FB32">
            <v>2.0749030481236432</v>
          </cell>
          <cell r="FC32">
            <v>3.1123545721854651</v>
          </cell>
          <cell r="FD32">
            <v>4.1498060962472865</v>
          </cell>
          <cell r="FE32">
            <v>5.1872576203091079</v>
          </cell>
          <cell r="FF32">
            <v>6.2247091443709301</v>
          </cell>
          <cell r="FG32">
            <v>2.0749030481236432</v>
          </cell>
        </row>
        <row r="33">
          <cell r="A33">
            <v>36341</v>
          </cell>
          <cell r="B33">
            <v>29.06814</v>
          </cell>
          <cell r="C33">
            <v>6.9659841513555847</v>
          </cell>
          <cell r="D33">
            <v>10.448976227033377</v>
          </cell>
          <cell r="E33">
            <v>13.931968302711169</v>
          </cell>
          <cell r="F33">
            <v>17.414960378388962</v>
          </cell>
          <cell r="G33">
            <v>20.897952454066754</v>
          </cell>
          <cell r="H33">
            <v>24.380944529744546</v>
          </cell>
          <cell r="I33">
            <v>27.863936605422339</v>
          </cell>
          <cell r="J33">
            <v>31.346928681100131</v>
          </cell>
          <cell r="K33">
            <v>34.829920756777923</v>
          </cell>
          <cell r="L33">
            <v>26.122440567583443</v>
          </cell>
          <cell r="M33">
            <v>1.7414960378388962</v>
          </cell>
          <cell r="P33">
            <v>29.06814</v>
          </cell>
          <cell r="Q33">
            <v>11.166184062735073</v>
          </cell>
          <cell r="R33">
            <v>18.610306771225122</v>
          </cell>
          <cell r="S33">
            <v>26.054429479715171</v>
          </cell>
          <cell r="T33">
            <v>33.498552188205224</v>
          </cell>
          <cell r="U33">
            <v>40.942674896695266</v>
          </cell>
          <cell r="V33">
            <v>48.386797605185322</v>
          </cell>
          <cell r="W33">
            <v>55.830920313675364</v>
          </cell>
          <cell r="X33">
            <v>37.220613542450245</v>
          </cell>
          <cell r="Y33">
            <v>3.7220613542450245</v>
          </cell>
          <cell r="AA33">
            <v>29.06814</v>
          </cell>
          <cell r="AB33">
            <v>16.056799563080286</v>
          </cell>
          <cell r="AC33">
            <v>24.085199344620428</v>
          </cell>
          <cell r="AD33">
            <v>32.113599126160572</v>
          </cell>
          <cell r="AE33">
            <v>40.141998907700717</v>
          </cell>
          <cell r="AF33">
            <v>48.170398689240855</v>
          </cell>
          <cell r="AG33">
            <v>16.056799563080286</v>
          </cell>
          <cell r="AK33">
            <v>24.95</v>
          </cell>
          <cell r="AL33">
            <v>16.181160409556309</v>
          </cell>
          <cell r="AM33">
            <v>20.226450511945387</v>
          </cell>
          <cell r="AN33">
            <v>24.271740614334462</v>
          </cell>
          <cell r="AO33">
            <v>28.31703071672354</v>
          </cell>
          <cell r="AP33">
            <v>32.362320819112618</v>
          </cell>
          <cell r="AQ33">
            <v>36.407610921501693</v>
          </cell>
          <cell r="AR33">
            <v>40.452901023890774</v>
          </cell>
          <cell r="AS33">
            <v>30.339675767918081</v>
          </cell>
          <cell r="AT33">
            <v>2.0226450511945386</v>
          </cell>
          <cell r="AW33">
            <v>24.95</v>
          </cell>
          <cell r="AX33">
            <v>20.342039249146758</v>
          </cell>
          <cell r="AY33">
            <v>28.478854948805459</v>
          </cell>
          <cell r="AZ33">
            <v>36.61567064846416</v>
          </cell>
          <cell r="BA33">
            <v>44.752486348122865</v>
          </cell>
          <cell r="BB33">
            <v>52.88930204778157</v>
          </cell>
          <cell r="BC33">
            <v>61.026117747440274</v>
          </cell>
          <cell r="BD33">
            <v>40.684078498293516</v>
          </cell>
          <cell r="BE33">
            <v>4.0684078498293514</v>
          </cell>
          <cell r="BG33">
            <v>24.95</v>
          </cell>
          <cell r="BH33">
            <v>15.778156996587034</v>
          </cell>
          <cell r="BI33">
            <v>23.667235494880551</v>
          </cell>
          <cell r="BJ33">
            <v>31.556313993174069</v>
          </cell>
          <cell r="BK33">
            <v>39.445392491467587</v>
          </cell>
          <cell r="BL33">
            <v>47.334470989761101</v>
          </cell>
          <cell r="BM33">
            <v>15.778156996587034</v>
          </cell>
          <cell r="BQ33">
            <v>30.2</v>
          </cell>
          <cell r="BR33">
            <v>18.890913134073116</v>
          </cell>
          <cell r="BS33">
            <v>25.187884178764154</v>
          </cell>
          <cell r="BT33">
            <v>31.484855223455192</v>
          </cell>
          <cell r="BU33">
            <v>37.781826268146233</v>
          </cell>
          <cell r="BV33">
            <v>44.078797312837267</v>
          </cell>
          <cell r="BW33">
            <v>50.375768357528308</v>
          </cell>
          <cell r="BX33">
            <v>56.672739402219349</v>
          </cell>
          <cell r="BY33">
            <v>62.969710446910383</v>
          </cell>
          <cell r="BZ33">
            <v>3.1484855223455193</v>
          </cell>
          <cell r="CC33">
            <v>30.2</v>
          </cell>
          <cell r="CD33">
            <v>25.045318450132683</v>
          </cell>
          <cell r="CE33">
            <v>35.063445830185756</v>
          </cell>
          <cell r="CF33">
            <v>45.08157321023883</v>
          </cell>
          <cell r="CG33">
            <v>55.099700590291903</v>
          </cell>
          <cell r="CH33">
            <v>65.117827970344976</v>
          </cell>
          <cell r="CI33">
            <v>75.135955350398049</v>
          </cell>
          <cell r="CJ33">
            <v>50.090636900265366</v>
          </cell>
          <cell r="CK33">
            <v>5.0090636900265366</v>
          </cell>
          <cell r="CM33">
            <v>30.2</v>
          </cell>
          <cell r="CN33">
            <v>12.51452473015657</v>
          </cell>
          <cell r="CO33">
            <v>25.029049460313139</v>
          </cell>
          <cell r="CP33">
            <v>37.543574190469712</v>
          </cell>
          <cell r="CQ33">
            <v>50.058098920626279</v>
          </cell>
          <cell r="CR33">
            <v>62.572623650782845</v>
          </cell>
          <cell r="CS33">
            <v>75.087148380939425</v>
          </cell>
          <cell r="CT33">
            <v>25.029049460313139</v>
          </cell>
          <cell r="CX33">
            <v>5.8271579999999998</v>
          </cell>
          <cell r="CY33">
            <v>-5.9333953376921578</v>
          </cell>
          <cell r="CZ33">
            <v>-7.4167441721151972</v>
          </cell>
          <cell r="DA33">
            <v>-8.9000930065382367</v>
          </cell>
          <cell r="DB33">
            <v>-10.383441840961275</v>
          </cell>
          <cell r="DC33">
            <v>-11.866790675384316</v>
          </cell>
          <cell r="DD33">
            <v>-13.350139509807356</v>
          </cell>
          <cell r="DE33">
            <v>-14.833488344230394</v>
          </cell>
          <cell r="DF33">
            <v>-11.125116258172795</v>
          </cell>
          <cell r="DG33">
            <v>-0.74167441721151972</v>
          </cell>
          <cell r="DJ33">
            <v>5.8271579999999998</v>
          </cell>
          <cell r="DK33">
            <v>4.0044133841535938</v>
          </cell>
          <cell r="DL33">
            <v>5.6061787378150312</v>
          </cell>
          <cell r="DM33">
            <v>7.2079440914764694</v>
          </cell>
          <cell r="DN33">
            <v>8.8097094451379068</v>
          </cell>
          <cell r="DO33">
            <v>10.411474798799345</v>
          </cell>
          <cell r="DP33">
            <v>12.013240152460781</v>
          </cell>
          <cell r="DQ33">
            <v>8.0088267683071876</v>
          </cell>
          <cell r="DR33">
            <v>0.80088267683071879</v>
          </cell>
          <cell r="DT33">
            <v>5.8271579999999998</v>
          </cell>
          <cell r="DU33">
            <v>3.7875710600165622</v>
          </cell>
          <cell r="DV33">
            <v>7.5751421200331244</v>
          </cell>
          <cell r="DW33">
            <v>11.362713180049687</v>
          </cell>
          <cell r="DX33">
            <v>15.150284240066249</v>
          </cell>
          <cell r="DY33">
            <v>18.937855300082809</v>
          </cell>
          <cell r="DZ33">
            <v>22.725426360099373</v>
          </cell>
          <cell r="EA33">
            <v>7.5751421200331244</v>
          </cell>
          <cell r="EE33">
            <v>3.0600930000000002</v>
          </cell>
          <cell r="EF33">
            <v>0.41072278891805125</v>
          </cell>
          <cell r="EG33">
            <v>0.49286734670166155</v>
          </cell>
          <cell r="EH33">
            <v>0.57501190448527173</v>
          </cell>
          <cell r="EI33">
            <v>0.65715646226888202</v>
          </cell>
          <cell r="EJ33">
            <v>0.73930102005249232</v>
          </cell>
          <cell r="EK33">
            <v>0.8214455778361025</v>
          </cell>
          <cell r="EL33">
            <v>0.61608418337707693</v>
          </cell>
          <cell r="EM33">
            <v>4.1072278891805127E-2</v>
          </cell>
          <cell r="EP33">
            <v>3.0600930000000002</v>
          </cell>
          <cell r="EQ33">
            <v>1.314706091970882</v>
          </cell>
          <cell r="ER33">
            <v>1.8405885287592347</v>
          </cell>
          <cell r="ES33">
            <v>2.3664709655475873</v>
          </cell>
          <cell r="ET33">
            <v>2.8923534023359405</v>
          </cell>
          <cell r="EU33">
            <v>3.4182358391242929</v>
          </cell>
          <cell r="EV33">
            <v>3.9441182759126461</v>
          </cell>
          <cell r="EW33">
            <v>2.6294121839417639</v>
          </cell>
          <cell r="EX33">
            <v>0.26294121839417639</v>
          </cell>
          <cell r="EZ33">
            <v>3.0600930000000002</v>
          </cell>
          <cell r="FA33">
            <v>1.0315875904346692</v>
          </cell>
          <cell r="FB33">
            <v>2.0631751808693384</v>
          </cell>
          <cell r="FC33">
            <v>3.0947627713040076</v>
          </cell>
          <cell r="FD33">
            <v>4.1263503617386768</v>
          </cell>
          <cell r="FE33">
            <v>5.1579379521733459</v>
          </cell>
          <cell r="FF33">
            <v>6.1895255426080151</v>
          </cell>
          <cell r="FG33">
            <v>2.0631751808693384</v>
          </cell>
        </row>
        <row r="34">
          <cell r="A34">
            <v>36371</v>
          </cell>
          <cell r="B34">
            <v>31.28145</v>
          </cell>
          <cell r="C34">
            <v>7.420765365181758</v>
          </cell>
          <cell r="D34">
            <v>11.131148047772637</v>
          </cell>
          <cell r="E34">
            <v>14.841530730363516</v>
          </cell>
          <cell r="F34">
            <v>18.551913412954395</v>
          </cell>
          <cell r="G34">
            <v>22.262296095545274</v>
          </cell>
          <cell r="H34">
            <v>25.972678778136153</v>
          </cell>
          <cell r="I34">
            <v>29.683061460727032</v>
          </cell>
          <cell r="J34">
            <v>33.393444143317907</v>
          </cell>
          <cell r="K34">
            <v>37.10382682590879</v>
          </cell>
          <cell r="L34">
            <v>27.827870119431594</v>
          </cell>
          <cell r="M34">
            <v>1.8551913412954395</v>
          </cell>
          <cell r="P34">
            <v>31.28145</v>
          </cell>
          <cell r="Q34">
            <v>11.576311532001274</v>
          </cell>
          <cell r="R34">
            <v>19.293852553335459</v>
          </cell>
          <cell r="S34">
            <v>27.01139357466964</v>
          </cell>
          <cell r="T34">
            <v>34.728934596003825</v>
          </cell>
          <cell r="U34">
            <v>42.44647561733801</v>
          </cell>
          <cell r="V34">
            <v>50.164016638672187</v>
          </cell>
          <cell r="W34">
            <v>57.881557660006372</v>
          </cell>
          <cell r="X34">
            <v>38.587705106670917</v>
          </cell>
          <cell r="Y34">
            <v>3.8587705106670915</v>
          </cell>
          <cell r="AA34">
            <v>31.28145</v>
          </cell>
          <cell r="AB34">
            <v>16.196600132587275</v>
          </cell>
          <cell r="AC34">
            <v>24.29490019888091</v>
          </cell>
          <cell r="AD34">
            <v>32.393200265174549</v>
          </cell>
          <cell r="AE34">
            <v>40.491500331468188</v>
          </cell>
          <cell r="AF34">
            <v>48.58980039776182</v>
          </cell>
          <cell r="AG34">
            <v>16.196600132587275</v>
          </cell>
          <cell r="AK34">
            <v>29.55</v>
          </cell>
          <cell r="AL34">
            <v>16.588341296928323</v>
          </cell>
          <cell r="AM34">
            <v>20.735426621160403</v>
          </cell>
          <cell r="AN34">
            <v>24.882511945392487</v>
          </cell>
          <cell r="AO34">
            <v>29.029597269624567</v>
          </cell>
          <cell r="AP34">
            <v>33.176682593856647</v>
          </cell>
          <cell r="AQ34">
            <v>37.323767918088727</v>
          </cell>
          <cell r="AR34">
            <v>41.470853242320807</v>
          </cell>
          <cell r="AS34">
            <v>31.103139931740607</v>
          </cell>
          <cell r="AT34">
            <v>2.0735426621160404</v>
          </cell>
          <cell r="AW34">
            <v>29.55</v>
          </cell>
          <cell r="AX34">
            <v>20.548971843003411</v>
          </cell>
          <cell r="AY34">
            <v>28.768560580204777</v>
          </cell>
          <cell r="AZ34">
            <v>36.98814931740614</v>
          </cell>
          <cell r="BA34">
            <v>45.207738054607503</v>
          </cell>
          <cell r="BB34">
            <v>53.427326791808873</v>
          </cell>
          <cell r="BC34">
            <v>61.646915529010236</v>
          </cell>
          <cell r="BD34">
            <v>41.097943686006822</v>
          </cell>
          <cell r="BE34">
            <v>4.1097943686006824</v>
          </cell>
          <cell r="BG34">
            <v>29.55</v>
          </cell>
          <cell r="BH34">
            <v>15.901592718998867</v>
          </cell>
          <cell r="BI34">
            <v>23.852389078498298</v>
          </cell>
          <cell r="BJ34">
            <v>31.803185437997733</v>
          </cell>
          <cell r="BK34">
            <v>39.753981797497168</v>
          </cell>
          <cell r="BL34">
            <v>47.704778156996596</v>
          </cell>
          <cell r="BM34">
            <v>15.901592718998867</v>
          </cell>
          <cell r="BQ34">
            <v>31.7</v>
          </cell>
          <cell r="BR34">
            <v>19.427385030257746</v>
          </cell>
          <cell r="BS34">
            <v>25.903180040343663</v>
          </cell>
          <cell r="BT34">
            <v>32.378975050429581</v>
          </cell>
          <cell r="BU34">
            <v>38.854770060515492</v>
          </cell>
          <cell r="BV34">
            <v>45.330565070601409</v>
          </cell>
          <cell r="BW34">
            <v>51.806360080687327</v>
          </cell>
          <cell r="BX34">
            <v>58.282155090773244</v>
          </cell>
          <cell r="BY34">
            <v>64.757950100859162</v>
          </cell>
          <cell r="BZ34">
            <v>3.2378975050429579</v>
          </cell>
          <cell r="CC34">
            <v>31.7</v>
          </cell>
          <cell r="CD34">
            <v>25.346994619066599</v>
          </cell>
          <cell r="CE34">
            <v>35.48579246669324</v>
          </cell>
          <cell r="CF34">
            <v>45.624590314319875</v>
          </cell>
          <cell r="CG34">
            <v>55.763388161946516</v>
          </cell>
          <cell r="CH34">
            <v>65.902186009573157</v>
          </cell>
          <cell r="CI34">
            <v>76.040983857199791</v>
          </cell>
          <cell r="CJ34">
            <v>50.693989238133199</v>
          </cell>
          <cell r="CK34">
            <v>5.0693989238133197</v>
          </cell>
          <cell r="CM34">
            <v>31.7</v>
          </cell>
          <cell r="CN34">
            <v>12.623092332636491</v>
          </cell>
          <cell r="CO34">
            <v>25.246184665272981</v>
          </cell>
          <cell r="CP34">
            <v>37.869276997909473</v>
          </cell>
          <cell r="CQ34">
            <v>50.492369330545962</v>
          </cell>
          <cell r="CR34">
            <v>63.115461663182451</v>
          </cell>
          <cell r="CS34">
            <v>75.738553995818947</v>
          </cell>
          <cell r="CT34">
            <v>25.246184665272981</v>
          </cell>
          <cell r="CX34">
            <v>5.8271579999999998</v>
          </cell>
          <cell r="CY34">
            <v>-7.0686703328083578</v>
          </cell>
          <cell r="CZ34">
            <v>-8.8358379160104477</v>
          </cell>
          <cell r="DA34">
            <v>-10.603005499212536</v>
          </cell>
          <cell r="DB34">
            <v>-12.370173082414626</v>
          </cell>
          <cell r="DC34">
            <v>-14.137340665616716</v>
          </cell>
          <cell r="DD34">
            <v>-15.904508248818805</v>
          </cell>
          <cell r="DE34">
            <v>-17.671675832020895</v>
          </cell>
          <cell r="DF34">
            <v>-13.253756874015671</v>
          </cell>
          <cell r="DG34">
            <v>-0.88358379160104472</v>
          </cell>
          <cell r="DJ34">
            <v>5.8271579999999998</v>
          </cell>
          <cell r="DK34">
            <v>3.8003430252337145</v>
          </cell>
          <cell r="DL34">
            <v>5.3204802353272003</v>
          </cell>
          <cell r="DM34">
            <v>6.8406174454206861</v>
          </cell>
          <cell r="DN34">
            <v>8.360754655514171</v>
          </cell>
          <cell r="DO34">
            <v>9.8808918656076585</v>
          </cell>
          <cell r="DP34">
            <v>11.401029075701143</v>
          </cell>
          <cell r="DQ34">
            <v>7.600686050467429</v>
          </cell>
          <cell r="DR34">
            <v>0.7600686050467429</v>
          </cell>
          <cell r="DT34">
            <v>5.8271579999999998</v>
          </cell>
          <cell r="DU34">
            <v>3.748167591424695</v>
          </cell>
          <cell r="DV34">
            <v>7.49633518284939</v>
          </cell>
          <cell r="DW34">
            <v>11.244502774274086</v>
          </cell>
          <cell r="DX34">
            <v>14.99267036569878</v>
          </cell>
          <cell r="DY34">
            <v>18.740837957123475</v>
          </cell>
          <cell r="DZ34">
            <v>22.489005548548171</v>
          </cell>
          <cell r="EA34">
            <v>7.49633518284939</v>
          </cell>
          <cell r="EE34">
            <v>3.397427</v>
          </cell>
          <cell r="EF34">
            <v>0.40951557333708927</v>
          </cell>
          <cell r="EG34">
            <v>0.49141868800450716</v>
          </cell>
          <cell r="EH34">
            <v>0.57332180267192501</v>
          </cell>
          <cell r="EI34">
            <v>0.65522491733934285</v>
          </cell>
          <cell r="EJ34">
            <v>0.73712803200676069</v>
          </cell>
          <cell r="EK34">
            <v>0.81903114667417853</v>
          </cell>
          <cell r="EL34">
            <v>0.61427336000563393</v>
          </cell>
          <cell r="EM34">
            <v>4.0951557333708928E-2</v>
          </cell>
          <cell r="EP34">
            <v>3.397427</v>
          </cell>
          <cell r="EQ34">
            <v>1.3028739674556715</v>
          </cell>
          <cell r="ER34">
            <v>1.8240235544379404</v>
          </cell>
          <cell r="ES34">
            <v>2.3451731414202088</v>
          </cell>
          <cell r="ET34">
            <v>2.8663227284024777</v>
          </cell>
          <cell r="EU34">
            <v>3.3874723153847461</v>
          </cell>
          <cell r="EV34">
            <v>3.908621902367015</v>
          </cell>
          <cell r="EW34">
            <v>2.605747934911343</v>
          </cell>
          <cell r="EX34">
            <v>0.26057479349113433</v>
          </cell>
          <cell r="EZ34">
            <v>3.397427</v>
          </cell>
          <cell r="FA34">
            <v>1.0257236568075168</v>
          </cell>
          <cell r="FB34">
            <v>2.0514473136150335</v>
          </cell>
          <cell r="FC34">
            <v>3.0771709704225501</v>
          </cell>
          <cell r="FD34">
            <v>4.102894627230067</v>
          </cell>
          <cell r="FE34">
            <v>5.128618284037584</v>
          </cell>
          <cell r="FF34">
            <v>6.1543419408451001</v>
          </cell>
          <cell r="FG34">
            <v>2.0514473136150335</v>
          </cell>
        </row>
        <row r="35">
          <cell r="A35">
            <v>36403</v>
          </cell>
          <cell r="B35">
            <v>30.396129999999999</v>
          </cell>
          <cell r="C35">
            <v>7.8755465790079313</v>
          </cell>
          <cell r="D35">
            <v>11.813319868511897</v>
          </cell>
          <cell r="E35">
            <v>15.751093158015863</v>
          </cell>
          <cell r="F35">
            <v>19.688866447519828</v>
          </cell>
          <cell r="G35">
            <v>23.626639737023794</v>
          </cell>
          <cell r="H35">
            <v>27.56441302652776</v>
          </cell>
          <cell r="I35">
            <v>31.502186316031725</v>
          </cell>
          <cell r="J35">
            <v>35.439959605535691</v>
          </cell>
          <cell r="K35">
            <v>39.377732895039657</v>
          </cell>
          <cell r="L35">
            <v>29.533299671279742</v>
          </cell>
          <cell r="M35">
            <v>1.9688866447519828</v>
          </cell>
          <cell r="P35">
            <v>30.396129999999999</v>
          </cell>
          <cell r="Q35">
            <v>11.986439001267476</v>
          </cell>
          <cell r="R35">
            <v>19.977398335445791</v>
          </cell>
          <cell r="S35">
            <v>27.968357669624112</v>
          </cell>
          <cell r="T35">
            <v>35.959317003802425</v>
          </cell>
          <cell r="U35">
            <v>43.950276337980746</v>
          </cell>
          <cell r="V35">
            <v>51.94123567215906</v>
          </cell>
          <cell r="W35">
            <v>59.932195006337381</v>
          </cell>
          <cell r="X35">
            <v>39.954796670891582</v>
          </cell>
          <cell r="Y35">
            <v>3.9954796670891586</v>
          </cell>
          <cell r="AA35">
            <v>30.396129999999999</v>
          </cell>
          <cell r="AB35">
            <v>16.336400702094263</v>
          </cell>
          <cell r="AC35">
            <v>24.504601053141393</v>
          </cell>
          <cell r="AD35">
            <v>32.672801404188526</v>
          </cell>
          <cell r="AE35">
            <v>40.841001755235659</v>
          </cell>
          <cell r="AF35">
            <v>49.009202106282785</v>
          </cell>
          <cell r="AG35">
            <v>16.336400702094263</v>
          </cell>
          <cell r="AK35">
            <v>27</v>
          </cell>
          <cell r="AL35">
            <v>16.995522184300338</v>
          </cell>
          <cell r="AM35">
            <v>21.244402730375423</v>
          </cell>
          <cell r="AN35">
            <v>25.493283276450505</v>
          </cell>
          <cell r="AO35">
            <v>29.74216382252559</v>
          </cell>
          <cell r="AP35">
            <v>33.991044368600676</v>
          </cell>
          <cell r="AQ35">
            <v>38.239924914675761</v>
          </cell>
          <cell r="AR35">
            <v>42.488805460750847</v>
          </cell>
          <cell r="AS35">
            <v>31.866604095563133</v>
          </cell>
          <cell r="AT35">
            <v>2.1244402730375422</v>
          </cell>
          <cell r="AW35">
            <v>27</v>
          </cell>
          <cell r="AX35">
            <v>20.755904436860067</v>
          </cell>
          <cell r="AY35">
            <v>29.058266211604092</v>
          </cell>
          <cell r="AZ35">
            <v>37.360627986348121</v>
          </cell>
          <cell r="BA35">
            <v>45.662989761092149</v>
          </cell>
          <cell r="BB35">
            <v>53.96535153583617</v>
          </cell>
          <cell r="BC35">
            <v>62.267713310580199</v>
          </cell>
          <cell r="BD35">
            <v>41.511808873720135</v>
          </cell>
          <cell r="BE35">
            <v>4.1511808873720133</v>
          </cell>
          <cell r="BG35">
            <v>27</v>
          </cell>
          <cell r="BH35">
            <v>16.025028441410697</v>
          </cell>
          <cell r="BI35">
            <v>24.037542662116046</v>
          </cell>
          <cell r="BJ35">
            <v>32.050056882821394</v>
          </cell>
          <cell r="BK35">
            <v>40.062571103526743</v>
          </cell>
          <cell r="BL35">
            <v>48.075085324232091</v>
          </cell>
          <cell r="BM35">
            <v>16.025028441410697</v>
          </cell>
          <cell r="BQ35">
            <v>32.1</v>
          </cell>
          <cell r="BR35">
            <v>19.963856926442379</v>
          </cell>
          <cell r="BS35">
            <v>26.618475901923173</v>
          </cell>
          <cell r="BT35">
            <v>33.273094877403963</v>
          </cell>
          <cell r="BU35">
            <v>39.927713852884757</v>
          </cell>
          <cell r="BV35">
            <v>46.582332828365551</v>
          </cell>
          <cell r="BW35">
            <v>53.236951803846345</v>
          </cell>
          <cell r="BX35">
            <v>59.891570779327139</v>
          </cell>
          <cell r="BY35">
            <v>66.546189754807926</v>
          </cell>
          <cell r="BZ35">
            <v>3.3273094877403966</v>
          </cell>
          <cell r="CC35">
            <v>32.1</v>
          </cell>
          <cell r="CD35">
            <v>25.648670788000516</v>
          </cell>
          <cell r="CE35">
            <v>35.908139103200718</v>
          </cell>
          <cell r="CF35">
            <v>46.167607418400927</v>
          </cell>
          <cell r="CG35">
            <v>56.427075733601129</v>
          </cell>
          <cell r="CH35">
            <v>66.686544048801338</v>
          </cell>
          <cell r="CI35">
            <v>76.946012364001547</v>
          </cell>
          <cell r="CJ35">
            <v>51.297341576001031</v>
          </cell>
          <cell r="CK35">
            <v>5.1297341576001028</v>
          </cell>
          <cell r="CM35">
            <v>32.1</v>
          </cell>
          <cell r="CN35">
            <v>12.731659935116411</v>
          </cell>
          <cell r="CO35">
            <v>25.463319870232823</v>
          </cell>
          <cell r="CP35">
            <v>38.194979805349234</v>
          </cell>
          <cell r="CQ35">
            <v>50.926639740465646</v>
          </cell>
          <cell r="CR35">
            <v>63.658299675582057</v>
          </cell>
          <cell r="CS35">
            <v>76.389959610698469</v>
          </cell>
          <cell r="CT35">
            <v>25.463319870232823</v>
          </cell>
          <cell r="CX35">
            <v>3.957611</v>
          </cell>
          <cell r="CY35">
            <v>-8.2039453279245578</v>
          </cell>
          <cell r="CZ35">
            <v>-10.254931659905697</v>
          </cell>
          <cell r="DA35">
            <v>-12.305917991886837</v>
          </cell>
          <cell r="DB35">
            <v>-14.356904323867976</v>
          </cell>
          <cell r="DC35">
            <v>-16.407890655849116</v>
          </cell>
          <cell r="DD35">
            <v>-18.458876987830255</v>
          </cell>
          <cell r="DE35">
            <v>-20.509863319811394</v>
          </cell>
          <cell r="DF35">
            <v>-15.382397489858546</v>
          </cell>
          <cell r="DG35">
            <v>-1.0254931659905697</v>
          </cell>
          <cell r="DJ35">
            <v>3.957611</v>
          </cell>
          <cell r="DK35">
            <v>3.5962726663138351</v>
          </cell>
          <cell r="DL35">
            <v>5.0347817328393694</v>
          </cell>
          <cell r="DM35">
            <v>6.4732907993649027</v>
          </cell>
          <cell r="DN35">
            <v>7.9117998658904369</v>
          </cell>
          <cell r="DO35">
            <v>9.3503089324159703</v>
          </cell>
          <cell r="DP35">
            <v>10.788817998941505</v>
          </cell>
          <cell r="DQ35">
            <v>7.1925453326276703</v>
          </cell>
          <cell r="DR35">
            <v>0.719254533262767</v>
          </cell>
          <cell r="DT35">
            <v>3.957611</v>
          </cell>
          <cell r="DU35">
            <v>3.7087641228328279</v>
          </cell>
          <cell r="DV35">
            <v>7.4175282456656557</v>
          </cell>
          <cell r="DW35">
            <v>11.126292368498483</v>
          </cell>
          <cell r="DX35">
            <v>14.835056491331311</v>
          </cell>
          <cell r="DY35">
            <v>18.54382061416414</v>
          </cell>
          <cell r="DZ35">
            <v>22.252584736996965</v>
          </cell>
          <cell r="EA35">
            <v>7.4175282456656557</v>
          </cell>
          <cell r="EE35">
            <v>2.9637129999999998</v>
          </cell>
          <cell r="EF35">
            <v>0.40830835775612728</v>
          </cell>
          <cell r="EG35">
            <v>0.48997002930735278</v>
          </cell>
          <cell r="EH35">
            <v>0.57163170085857817</v>
          </cell>
          <cell r="EI35">
            <v>0.65329337240980367</v>
          </cell>
          <cell r="EJ35">
            <v>0.73495504396102918</v>
          </cell>
          <cell r="EK35">
            <v>0.81661671551225457</v>
          </cell>
          <cell r="EL35">
            <v>0.61246253663419092</v>
          </cell>
          <cell r="EM35">
            <v>4.083083577561273E-2</v>
          </cell>
          <cell r="EP35">
            <v>2.9637129999999998</v>
          </cell>
          <cell r="EQ35">
            <v>1.2910418429404613</v>
          </cell>
          <cell r="ER35">
            <v>1.8074585801166458</v>
          </cell>
          <cell r="ES35">
            <v>2.3238753172928304</v>
          </cell>
          <cell r="ET35">
            <v>2.8402920544690149</v>
          </cell>
          <cell r="EU35">
            <v>3.3567087916451994</v>
          </cell>
          <cell r="EV35">
            <v>3.8731255288213839</v>
          </cell>
          <cell r="EW35">
            <v>2.5820836858809226</v>
          </cell>
          <cell r="EX35">
            <v>0.25820836858809226</v>
          </cell>
          <cell r="EZ35">
            <v>2.9637129999999998</v>
          </cell>
          <cell r="FA35">
            <v>1.0198597231803643</v>
          </cell>
          <cell r="FB35">
            <v>2.0397194463607287</v>
          </cell>
          <cell r="FC35">
            <v>3.059579169541093</v>
          </cell>
          <cell r="FD35">
            <v>4.0794388927214573</v>
          </cell>
          <cell r="FE35">
            <v>5.0992986159018212</v>
          </cell>
          <cell r="FF35">
            <v>6.119158339082186</v>
          </cell>
          <cell r="FG35">
            <v>2.0397194463607287</v>
          </cell>
        </row>
        <row r="36">
          <cell r="A36">
            <v>36433</v>
          </cell>
          <cell r="B36">
            <v>30.592870000000001</v>
          </cell>
          <cell r="C36">
            <v>8.3303277928341046</v>
          </cell>
          <cell r="D36">
            <v>12.495491689251157</v>
          </cell>
          <cell r="E36">
            <v>16.660655585668209</v>
          </cell>
          <cell r="F36">
            <v>20.825819482085262</v>
          </cell>
          <cell r="G36">
            <v>24.990983378502314</v>
          </cell>
          <cell r="H36">
            <v>29.156147274919366</v>
          </cell>
          <cell r="I36">
            <v>33.321311171336419</v>
          </cell>
          <cell r="J36">
            <v>37.486475067753474</v>
          </cell>
          <cell r="K36">
            <v>41.651638964170523</v>
          </cell>
          <cell r="L36">
            <v>31.238729223127891</v>
          </cell>
          <cell r="M36">
            <v>2.0825819482085262</v>
          </cell>
          <cell r="P36">
            <v>30.592870000000001</v>
          </cell>
          <cell r="Q36">
            <v>12.396566470533678</v>
          </cell>
          <cell r="R36">
            <v>20.660944117556127</v>
          </cell>
          <cell r="S36">
            <v>28.92532176457858</v>
          </cell>
          <cell r="T36">
            <v>37.189699411601033</v>
          </cell>
          <cell r="U36">
            <v>45.454077058623483</v>
          </cell>
          <cell r="V36">
            <v>53.718454705645932</v>
          </cell>
          <cell r="W36">
            <v>61.982832352668382</v>
          </cell>
          <cell r="X36">
            <v>41.321888235112255</v>
          </cell>
          <cell r="Y36">
            <v>4.1321888235112256</v>
          </cell>
          <cell r="AA36">
            <v>30.592870000000001</v>
          </cell>
          <cell r="AB36">
            <v>16.476201271601251</v>
          </cell>
          <cell r="AC36">
            <v>24.714301907401875</v>
          </cell>
          <cell r="AD36">
            <v>32.952402543202503</v>
          </cell>
          <cell r="AE36">
            <v>41.19050317900313</v>
          </cell>
          <cell r="AF36">
            <v>49.428603814803751</v>
          </cell>
          <cell r="AG36">
            <v>16.476201271601251</v>
          </cell>
          <cell r="AK36">
            <v>26</v>
          </cell>
          <cell r="AL36">
            <v>17.402703071672352</v>
          </cell>
          <cell r="AM36">
            <v>21.753378839590439</v>
          </cell>
          <cell r="AN36">
            <v>26.10405460750853</v>
          </cell>
          <cell r="AO36">
            <v>30.454730375426617</v>
          </cell>
          <cell r="AP36">
            <v>34.805406143344705</v>
          </cell>
          <cell r="AQ36">
            <v>39.156081911262795</v>
          </cell>
          <cell r="AR36">
            <v>43.506757679180879</v>
          </cell>
          <cell r="AS36">
            <v>32.630068259385659</v>
          </cell>
          <cell r="AT36">
            <v>2.175337883959044</v>
          </cell>
          <cell r="AW36">
            <v>26</v>
          </cell>
          <cell r="AX36">
            <v>20.96283703071672</v>
          </cell>
          <cell r="AY36">
            <v>29.34797184300341</v>
          </cell>
          <cell r="AZ36">
            <v>37.733106655290101</v>
          </cell>
          <cell r="BA36">
            <v>46.118241467576787</v>
          </cell>
          <cell r="BB36">
            <v>54.503376279863474</v>
          </cell>
          <cell r="BC36">
            <v>62.888511092150161</v>
          </cell>
          <cell r="BD36">
            <v>41.92567406143344</v>
          </cell>
          <cell r="BE36">
            <v>4.1925674061433442</v>
          </cell>
          <cell r="BG36">
            <v>26</v>
          </cell>
          <cell r="BH36">
            <v>16.148464163822528</v>
          </cell>
          <cell r="BI36">
            <v>24.222696245733793</v>
          </cell>
          <cell r="BJ36">
            <v>32.296928327645055</v>
          </cell>
          <cell r="BK36">
            <v>40.371160409556317</v>
          </cell>
          <cell r="BL36">
            <v>48.445392491467587</v>
          </cell>
          <cell r="BM36">
            <v>16.148464163822528</v>
          </cell>
          <cell r="BQ36">
            <v>31.3</v>
          </cell>
          <cell r="BR36">
            <v>20.500328822627012</v>
          </cell>
          <cell r="BS36">
            <v>27.333771763502682</v>
          </cell>
          <cell r="BT36">
            <v>34.167214704378353</v>
          </cell>
          <cell r="BU36">
            <v>41.000657645254023</v>
          </cell>
          <cell r="BV36">
            <v>47.834100586129694</v>
          </cell>
          <cell r="BW36">
            <v>54.667543527005364</v>
          </cell>
          <cell r="BX36">
            <v>61.500986467881035</v>
          </cell>
          <cell r="BY36">
            <v>68.334429408756705</v>
          </cell>
          <cell r="BZ36">
            <v>3.4167214704378353</v>
          </cell>
          <cell r="CC36">
            <v>31.3</v>
          </cell>
          <cell r="CD36">
            <v>25.950346956934428</v>
          </cell>
          <cell r="CE36">
            <v>36.330485739708202</v>
          </cell>
          <cell r="CF36">
            <v>46.710624522481972</v>
          </cell>
          <cell r="CG36">
            <v>57.090763305255741</v>
          </cell>
          <cell r="CH36">
            <v>67.470902088029518</v>
          </cell>
          <cell r="CI36">
            <v>77.851040870803288</v>
          </cell>
          <cell r="CJ36">
            <v>51.900693913868857</v>
          </cell>
          <cell r="CK36">
            <v>5.1900693913868858</v>
          </cell>
          <cell r="CM36">
            <v>31.3</v>
          </cell>
          <cell r="CN36">
            <v>12.840227537596332</v>
          </cell>
          <cell r="CO36">
            <v>25.680455075192665</v>
          </cell>
          <cell r="CP36">
            <v>38.520682612788995</v>
          </cell>
          <cell r="CQ36">
            <v>51.36091015038533</v>
          </cell>
          <cell r="CR36">
            <v>64.201137687981657</v>
          </cell>
          <cell r="CS36">
            <v>77.041365225577991</v>
          </cell>
          <cell r="CT36">
            <v>25.680455075192665</v>
          </cell>
          <cell r="CX36">
            <v>3.8250000000000002</v>
          </cell>
          <cell r="CY36">
            <v>-9.3392203230407578</v>
          </cell>
          <cell r="CZ36">
            <v>-11.674025403800947</v>
          </cell>
          <cell r="DA36">
            <v>-14.008830484561138</v>
          </cell>
          <cell r="DB36">
            <v>-16.343635565321325</v>
          </cell>
          <cell r="DC36">
            <v>-18.678440646081516</v>
          </cell>
          <cell r="DD36">
            <v>-21.013245726841706</v>
          </cell>
          <cell r="DE36">
            <v>-23.348050807601894</v>
          </cell>
          <cell r="DF36">
            <v>-17.51103810570142</v>
          </cell>
          <cell r="DG36">
            <v>-1.1674025403800947</v>
          </cell>
          <cell r="DJ36">
            <v>3.8250000000000002</v>
          </cell>
          <cell r="DK36">
            <v>3.3922023073939558</v>
          </cell>
          <cell r="DL36">
            <v>4.7490832303515376</v>
          </cell>
          <cell r="DM36">
            <v>6.1059641533091202</v>
          </cell>
          <cell r="DN36">
            <v>7.462845076266702</v>
          </cell>
          <cell r="DO36">
            <v>8.8197259992242838</v>
          </cell>
          <cell r="DP36">
            <v>10.176606922181866</v>
          </cell>
          <cell r="DQ36">
            <v>6.7844046147879116</v>
          </cell>
          <cell r="DR36">
            <v>0.67844046147879111</v>
          </cell>
          <cell r="DT36">
            <v>3.8250000000000002</v>
          </cell>
          <cell r="DU36">
            <v>3.6693606542409607</v>
          </cell>
          <cell r="DV36">
            <v>7.3387213084819214</v>
          </cell>
          <cell r="DW36">
            <v>11.008081962722882</v>
          </cell>
          <cell r="DX36">
            <v>14.677442616963843</v>
          </cell>
          <cell r="DY36">
            <v>18.346803271204802</v>
          </cell>
          <cell r="DZ36">
            <v>22.016163925445763</v>
          </cell>
          <cell r="EA36">
            <v>7.3387213084819214</v>
          </cell>
          <cell r="EE36">
            <v>2.6504750000000001</v>
          </cell>
          <cell r="EF36">
            <v>0.4071011421751653</v>
          </cell>
          <cell r="EG36">
            <v>0.4885213706101984</v>
          </cell>
          <cell r="EH36">
            <v>0.56994159904523145</v>
          </cell>
          <cell r="EI36">
            <v>0.6513618274802645</v>
          </cell>
          <cell r="EJ36">
            <v>0.73278205591529755</v>
          </cell>
          <cell r="EK36">
            <v>0.8142022843503306</v>
          </cell>
          <cell r="EL36">
            <v>0.61065171326274792</v>
          </cell>
          <cell r="EM36">
            <v>4.0710114217516531E-2</v>
          </cell>
          <cell r="EP36">
            <v>2.6504750000000001</v>
          </cell>
          <cell r="EQ36">
            <v>1.2792097184252511</v>
          </cell>
          <cell r="ER36">
            <v>1.7908936057953513</v>
          </cell>
          <cell r="ES36">
            <v>2.3025774931654519</v>
          </cell>
          <cell r="ET36">
            <v>2.8142613805355521</v>
          </cell>
          <cell r="EU36">
            <v>3.3259452679056527</v>
          </cell>
          <cell r="EV36">
            <v>3.8376291552757529</v>
          </cell>
          <cell r="EW36">
            <v>2.5584194368505022</v>
          </cell>
          <cell r="EX36">
            <v>0.2558419436850502</v>
          </cell>
          <cell r="EZ36">
            <v>2.6504750000000001</v>
          </cell>
          <cell r="FA36">
            <v>1.0139957895532119</v>
          </cell>
          <cell r="FB36">
            <v>2.0279915791064238</v>
          </cell>
          <cell r="FC36">
            <v>3.0419873686596359</v>
          </cell>
          <cell r="FD36">
            <v>4.0559831582128476</v>
          </cell>
          <cell r="FE36">
            <v>5.0699789477660593</v>
          </cell>
          <cell r="FF36">
            <v>6.0839747373192719</v>
          </cell>
          <cell r="FG36">
            <v>2.0279915791064238</v>
          </cell>
        </row>
        <row r="37">
          <cell r="A37">
            <v>36462</v>
          </cell>
          <cell r="B37">
            <v>30.494499999999999</v>
          </cell>
          <cell r="C37">
            <v>8.7851090066602779</v>
          </cell>
          <cell r="D37">
            <v>13.177663509990417</v>
          </cell>
          <cell r="E37">
            <v>17.570218013320556</v>
          </cell>
          <cell r="F37">
            <v>21.962772516650695</v>
          </cell>
          <cell r="G37">
            <v>26.355327019980834</v>
          </cell>
          <cell r="H37">
            <v>30.747881523310973</v>
          </cell>
          <cell r="I37">
            <v>35.140436026641112</v>
          </cell>
          <cell r="J37">
            <v>39.532990529971251</v>
          </cell>
          <cell r="K37">
            <v>43.92554503330139</v>
          </cell>
          <cell r="L37">
            <v>32.944158774976046</v>
          </cell>
          <cell r="M37">
            <v>2.1962772516650695</v>
          </cell>
          <cell r="P37">
            <v>30.494499999999999</v>
          </cell>
          <cell r="Q37">
            <v>12.806693939799878</v>
          </cell>
          <cell r="R37">
            <v>21.344489899666463</v>
          </cell>
          <cell r="S37">
            <v>29.882285859533049</v>
          </cell>
          <cell r="T37">
            <v>38.420081819399634</v>
          </cell>
          <cell r="U37">
            <v>46.957877779266219</v>
          </cell>
          <cell r="V37">
            <v>55.495673739132805</v>
          </cell>
          <cell r="W37">
            <v>64.033469698999397</v>
          </cell>
          <cell r="X37">
            <v>42.688979799332927</v>
          </cell>
          <cell r="Y37">
            <v>4.2688979799332927</v>
          </cell>
          <cell r="AA37">
            <v>30.494499999999999</v>
          </cell>
          <cell r="AB37">
            <v>16.61600184110824</v>
          </cell>
          <cell r="AC37">
            <v>24.924002761662358</v>
          </cell>
          <cell r="AD37">
            <v>33.232003682216479</v>
          </cell>
          <cell r="AE37">
            <v>41.540004602770601</v>
          </cell>
          <cell r="AF37">
            <v>49.848005523324716</v>
          </cell>
          <cell r="AG37">
            <v>16.61600184110824</v>
          </cell>
          <cell r="AK37">
            <v>25.35</v>
          </cell>
          <cell r="AL37">
            <v>17.809883959044367</v>
          </cell>
          <cell r="AM37">
            <v>22.262354948805459</v>
          </cell>
          <cell r="AN37">
            <v>26.714825938566548</v>
          </cell>
          <cell r="AO37">
            <v>31.167296928327641</v>
          </cell>
          <cell r="AP37">
            <v>35.619767918088733</v>
          </cell>
          <cell r="AQ37">
            <v>40.072238907849822</v>
          </cell>
          <cell r="AR37">
            <v>44.524709897610919</v>
          </cell>
          <cell r="AS37">
            <v>33.393532423208185</v>
          </cell>
          <cell r="AT37">
            <v>2.2262354948805458</v>
          </cell>
          <cell r="AW37">
            <v>25.35</v>
          </cell>
          <cell r="AX37">
            <v>21.169769624573377</v>
          </cell>
          <cell r="AY37">
            <v>29.637677474402725</v>
          </cell>
          <cell r="AZ37">
            <v>38.105585324232074</v>
          </cell>
          <cell r="BA37">
            <v>46.573493174061426</v>
          </cell>
          <cell r="BB37">
            <v>55.041401023890778</v>
          </cell>
          <cell r="BC37">
            <v>63.50930887372013</v>
          </cell>
          <cell r="BD37">
            <v>42.339539249146753</v>
          </cell>
          <cell r="BE37">
            <v>4.2339539249146751</v>
          </cell>
          <cell r="BG37">
            <v>25.35</v>
          </cell>
          <cell r="BH37">
            <v>16.271899886234358</v>
          </cell>
          <cell r="BI37">
            <v>24.407849829351537</v>
          </cell>
          <cell r="BJ37">
            <v>32.543799772468716</v>
          </cell>
          <cell r="BK37">
            <v>40.679749715585899</v>
          </cell>
          <cell r="BL37">
            <v>48.815699658703075</v>
          </cell>
          <cell r="BM37">
            <v>16.271899886234358</v>
          </cell>
          <cell r="BQ37">
            <v>30</v>
          </cell>
          <cell r="BR37">
            <v>21.036800718811644</v>
          </cell>
          <cell r="BS37">
            <v>28.049067625082191</v>
          </cell>
          <cell r="BT37">
            <v>35.061334531352742</v>
          </cell>
          <cell r="BU37">
            <v>42.073601437623289</v>
          </cell>
          <cell r="BV37">
            <v>49.085868343893836</v>
          </cell>
          <cell r="BW37">
            <v>56.098135250164383</v>
          </cell>
          <cell r="BX37">
            <v>63.11040215643493</v>
          </cell>
          <cell r="BY37">
            <v>70.122669062705484</v>
          </cell>
          <cell r="BZ37">
            <v>3.5061334531352739</v>
          </cell>
          <cell r="CC37">
            <v>30</v>
          </cell>
          <cell r="CD37">
            <v>26.252023125868345</v>
          </cell>
          <cell r="CE37">
            <v>36.752832376215679</v>
          </cell>
          <cell r="CF37">
            <v>47.253641626563024</v>
          </cell>
          <cell r="CG37">
            <v>57.754450876910354</v>
          </cell>
          <cell r="CH37">
            <v>68.255260127257699</v>
          </cell>
          <cell r="CI37">
            <v>78.75606937760503</v>
          </cell>
          <cell r="CJ37">
            <v>52.504046251736689</v>
          </cell>
          <cell r="CK37">
            <v>5.2504046251736689</v>
          </cell>
          <cell r="CM37">
            <v>30</v>
          </cell>
          <cell r="CN37">
            <v>12.948795140076253</v>
          </cell>
          <cell r="CO37">
            <v>25.897590280152507</v>
          </cell>
          <cell r="CP37">
            <v>38.846385420228756</v>
          </cell>
          <cell r="CQ37">
            <v>51.795180560305013</v>
          </cell>
          <cell r="CR37">
            <v>64.74397570038127</v>
          </cell>
          <cell r="CS37">
            <v>77.692770840457513</v>
          </cell>
          <cell r="CT37">
            <v>25.897590280152507</v>
          </cell>
          <cell r="CX37">
            <v>4.55</v>
          </cell>
          <cell r="CY37">
            <v>-10.474495318156958</v>
          </cell>
          <cell r="CZ37">
            <v>-13.093119147696196</v>
          </cell>
          <cell r="DA37">
            <v>-15.711742977235437</v>
          </cell>
          <cell r="DB37">
            <v>-18.330366806774677</v>
          </cell>
          <cell r="DC37">
            <v>-20.948990636313916</v>
          </cell>
          <cell r="DD37">
            <v>-23.567614465853154</v>
          </cell>
          <cell r="DE37">
            <v>-26.186238295392393</v>
          </cell>
          <cell r="DF37">
            <v>-19.639678721544296</v>
          </cell>
          <cell r="DG37">
            <v>-1.3093119147696197</v>
          </cell>
          <cell r="DJ37">
            <v>4.55</v>
          </cell>
          <cell r="DK37">
            <v>3.188131948474076</v>
          </cell>
          <cell r="DL37">
            <v>4.4633847278637067</v>
          </cell>
          <cell r="DM37">
            <v>5.7386375072533369</v>
          </cell>
          <cell r="DN37">
            <v>7.0138902866429671</v>
          </cell>
          <cell r="DO37">
            <v>8.2891430660325973</v>
          </cell>
          <cell r="DP37">
            <v>9.5643958454222275</v>
          </cell>
          <cell r="DQ37">
            <v>6.376263896948152</v>
          </cell>
          <cell r="DR37">
            <v>0.63762638969481522</v>
          </cell>
          <cell r="DT37">
            <v>4.55</v>
          </cell>
          <cell r="DU37">
            <v>3.6299571856490935</v>
          </cell>
          <cell r="DV37">
            <v>7.2599143712981871</v>
          </cell>
          <cell r="DW37">
            <v>10.889871556947281</v>
          </cell>
          <cell r="DX37">
            <v>14.519828742596374</v>
          </cell>
          <cell r="DY37">
            <v>18.149785928245468</v>
          </cell>
          <cell r="DZ37">
            <v>21.779743113894561</v>
          </cell>
          <cell r="EA37">
            <v>7.2599143712981871</v>
          </cell>
          <cell r="EE37">
            <v>2.505903</v>
          </cell>
          <cell r="EF37">
            <v>0.40589392659420331</v>
          </cell>
          <cell r="EG37">
            <v>0.48707271191304402</v>
          </cell>
          <cell r="EH37">
            <v>0.56825149723188462</v>
          </cell>
          <cell r="EI37">
            <v>0.64943028255072532</v>
          </cell>
          <cell r="EJ37">
            <v>0.73060906786956603</v>
          </cell>
          <cell r="EK37">
            <v>0.81178785318840663</v>
          </cell>
          <cell r="EL37">
            <v>0.60884088989130503</v>
          </cell>
          <cell r="EM37">
            <v>4.0589392659420333E-2</v>
          </cell>
          <cell r="EP37">
            <v>2.505903</v>
          </cell>
          <cell r="EQ37">
            <v>1.2673775939100407</v>
          </cell>
          <cell r="ER37">
            <v>1.7743286314740569</v>
          </cell>
          <cell r="ES37">
            <v>2.2812796690380734</v>
          </cell>
          <cell r="ET37">
            <v>2.7882307066020893</v>
          </cell>
          <cell r="EU37">
            <v>3.295181744166106</v>
          </cell>
          <cell r="EV37">
            <v>3.8021327817301218</v>
          </cell>
          <cell r="EW37">
            <v>2.5347551878200814</v>
          </cell>
          <cell r="EX37">
            <v>0.25347551878200814</v>
          </cell>
          <cell r="EZ37">
            <v>2.505903</v>
          </cell>
          <cell r="FA37">
            <v>1.0081318559260595</v>
          </cell>
          <cell r="FB37">
            <v>2.0162637118521189</v>
          </cell>
          <cell r="FC37">
            <v>3.0243955677781784</v>
          </cell>
          <cell r="FD37">
            <v>4.0325274237042379</v>
          </cell>
          <cell r="FE37">
            <v>5.0406592796302974</v>
          </cell>
          <cell r="FF37">
            <v>6.0487911355563568</v>
          </cell>
          <cell r="FG37">
            <v>2.0162637118521189</v>
          </cell>
        </row>
        <row r="38">
          <cell r="A38">
            <v>36494</v>
          </cell>
          <cell r="B38">
            <v>32.363520000000001</v>
          </cell>
          <cell r="C38">
            <v>9.2398902204864513</v>
          </cell>
          <cell r="D38">
            <v>13.859835330729677</v>
          </cell>
          <cell r="E38">
            <v>18.479780440972903</v>
          </cell>
          <cell r="F38">
            <v>23.099725551216128</v>
          </cell>
          <cell r="G38">
            <v>27.719670661459354</v>
          </cell>
          <cell r="H38">
            <v>32.339615771702583</v>
          </cell>
          <cell r="I38">
            <v>36.959560881945805</v>
          </cell>
          <cell r="J38">
            <v>41.579505992189027</v>
          </cell>
          <cell r="K38">
            <v>46.199451102432256</v>
          </cell>
          <cell r="L38">
            <v>34.649588326824194</v>
          </cell>
          <cell r="M38">
            <v>2.3099725551216128</v>
          </cell>
          <cell r="P38">
            <v>32.363520000000001</v>
          </cell>
          <cell r="Q38">
            <v>13.216821409066078</v>
          </cell>
          <cell r="R38">
            <v>22.028035681776799</v>
          </cell>
          <cell r="S38">
            <v>30.839249954487517</v>
          </cell>
          <cell r="T38">
            <v>39.650464227198235</v>
          </cell>
          <cell r="U38">
            <v>48.461678499908956</v>
          </cell>
          <cell r="V38">
            <v>57.272892772619677</v>
          </cell>
          <cell r="W38">
            <v>66.084107045330398</v>
          </cell>
          <cell r="X38">
            <v>44.056071363553599</v>
          </cell>
          <cell r="Y38">
            <v>4.4056071363553597</v>
          </cell>
          <cell r="AA38">
            <v>32.363520000000001</v>
          </cell>
          <cell r="AB38">
            <v>16.755802410615228</v>
          </cell>
          <cell r="AC38">
            <v>25.13370361592284</v>
          </cell>
          <cell r="AD38">
            <v>33.511604821230456</v>
          </cell>
          <cell r="AE38">
            <v>41.889506026538072</v>
          </cell>
          <cell r="AF38">
            <v>50.267407231845681</v>
          </cell>
          <cell r="AG38">
            <v>16.755802410615228</v>
          </cell>
          <cell r="AK38">
            <v>29.7</v>
          </cell>
          <cell r="AL38">
            <v>18.217064846416381</v>
          </cell>
          <cell r="AM38">
            <v>22.771331058020476</v>
          </cell>
          <cell r="AN38">
            <v>27.325597269624573</v>
          </cell>
          <cell r="AO38">
            <v>31.879863481228668</v>
          </cell>
          <cell r="AP38">
            <v>36.434129692832762</v>
          </cell>
          <cell r="AQ38">
            <v>40.988395904436857</v>
          </cell>
          <cell r="AR38">
            <v>45.542662116040951</v>
          </cell>
          <cell r="AS38">
            <v>34.156996587030712</v>
          </cell>
          <cell r="AT38">
            <v>2.2771331058020476</v>
          </cell>
          <cell r="AW38">
            <v>29.7</v>
          </cell>
          <cell r="AX38">
            <v>21.376702218430029</v>
          </cell>
          <cell r="AY38">
            <v>29.927383105802043</v>
          </cell>
          <cell r="AZ38">
            <v>38.478063993174054</v>
          </cell>
          <cell r="BA38">
            <v>47.028744880546064</v>
          </cell>
          <cell r="BB38">
            <v>55.579425767918082</v>
          </cell>
          <cell r="BC38">
            <v>64.130106655290092</v>
          </cell>
          <cell r="BD38">
            <v>42.753404436860059</v>
          </cell>
          <cell r="BE38">
            <v>4.2753404436860061</v>
          </cell>
          <cell r="BG38">
            <v>29.7</v>
          </cell>
          <cell r="BH38">
            <v>16.395335608646189</v>
          </cell>
          <cell r="BI38">
            <v>24.593003412969281</v>
          </cell>
          <cell r="BJ38">
            <v>32.790671217292378</v>
          </cell>
          <cell r="BK38">
            <v>40.988339021615474</v>
          </cell>
          <cell r="BL38">
            <v>49.186006825938563</v>
          </cell>
          <cell r="BM38">
            <v>16.395335608646189</v>
          </cell>
          <cell r="BQ38">
            <v>31.9</v>
          </cell>
          <cell r="BR38">
            <v>21.573272614996277</v>
          </cell>
          <cell r="BS38">
            <v>28.764363486661701</v>
          </cell>
          <cell r="BT38">
            <v>35.955454358327124</v>
          </cell>
          <cell r="BU38">
            <v>43.146545229992554</v>
          </cell>
          <cell r="BV38">
            <v>50.337636101657978</v>
          </cell>
          <cell r="BW38">
            <v>57.528726973323401</v>
          </cell>
          <cell r="BX38">
            <v>64.719817844988825</v>
          </cell>
          <cell r="BY38">
            <v>71.910908716654248</v>
          </cell>
          <cell r="BZ38">
            <v>3.5955454358327126</v>
          </cell>
          <cell r="CC38">
            <v>31.9</v>
          </cell>
          <cell r="CD38">
            <v>26.553699294802261</v>
          </cell>
          <cell r="CE38">
            <v>37.175179012723163</v>
          </cell>
          <cell r="CF38">
            <v>47.796658730644069</v>
          </cell>
          <cell r="CG38">
            <v>58.418138448564974</v>
          </cell>
          <cell r="CH38">
            <v>69.03961816648588</v>
          </cell>
          <cell r="CI38">
            <v>79.661097884406786</v>
          </cell>
          <cell r="CJ38">
            <v>53.107398589604522</v>
          </cell>
          <cell r="CK38">
            <v>5.310739858960452</v>
          </cell>
          <cell r="CM38">
            <v>31.9</v>
          </cell>
          <cell r="CN38">
            <v>13.057362742556174</v>
          </cell>
          <cell r="CO38">
            <v>26.114725485112348</v>
          </cell>
          <cell r="CP38">
            <v>39.172088227668524</v>
          </cell>
          <cell r="CQ38">
            <v>52.229450970224697</v>
          </cell>
          <cell r="CR38">
            <v>65.286813712780869</v>
          </cell>
          <cell r="CS38">
            <v>78.344176455337049</v>
          </cell>
          <cell r="CT38">
            <v>26.114725485112348</v>
          </cell>
          <cell r="CX38">
            <v>4.75</v>
          </cell>
          <cell r="CY38">
            <v>-11.609770313273158</v>
          </cell>
          <cell r="CZ38">
            <v>-14.512212891591448</v>
          </cell>
          <cell r="DA38">
            <v>-17.414655469909736</v>
          </cell>
          <cell r="DB38">
            <v>-20.317098048228026</v>
          </cell>
          <cell r="DC38">
            <v>-23.219540626546316</v>
          </cell>
          <cell r="DD38">
            <v>-26.121983204864605</v>
          </cell>
          <cell r="DE38">
            <v>-29.024425783182895</v>
          </cell>
          <cell r="DF38">
            <v>-21.768319337387172</v>
          </cell>
          <cell r="DG38">
            <v>-1.4512212891591447</v>
          </cell>
          <cell r="DJ38">
            <v>4.75</v>
          </cell>
          <cell r="DK38">
            <v>2.9840615895541966</v>
          </cell>
          <cell r="DL38">
            <v>4.1776862253758758</v>
          </cell>
          <cell r="DM38">
            <v>5.3713108611975535</v>
          </cell>
          <cell r="DN38">
            <v>6.5649354970192331</v>
          </cell>
          <cell r="DO38">
            <v>7.7585601328409108</v>
          </cell>
          <cell r="DP38">
            <v>8.9521847686625904</v>
          </cell>
          <cell r="DQ38">
            <v>5.9681231791083933</v>
          </cell>
          <cell r="DR38">
            <v>0.59681231791083933</v>
          </cell>
          <cell r="DT38">
            <v>4.75</v>
          </cell>
          <cell r="DU38">
            <v>3.5905537170572264</v>
          </cell>
          <cell r="DV38">
            <v>7.1811074341144527</v>
          </cell>
          <cell r="DW38">
            <v>10.77166115117168</v>
          </cell>
          <cell r="DX38">
            <v>14.362214868228905</v>
          </cell>
          <cell r="DY38">
            <v>17.952768585286133</v>
          </cell>
          <cell r="DZ38">
            <v>21.543322302343359</v>
          </cell>
          <cell r="EA38">
            <v>7.1811074341144527</v>
          </cell>
          <cell r="EE38">
            <v>2.602284</v>
          </cell>
          <cell r="EF38">
            <v>0.40468671101324133</v>
          </cell>
          <cell r="EG38">
            <v>0.48562405321588964</v>
          </cell>
          <cell r="EH38">
            <v>0.56656139541853789</v>
          </cell>
          <cell r="EI38">
            <v>0.64749873762118615</v>
          </cell>
          <cell r="EJ38">
            <v>0.7284360798238344</v>
          </cell>
          <cell r="EK38">
            <v>0.80937342202648266</v>
          </cell>
          <cell r="EL38">
            <v>0.60703006651986202</v>
          </cell>
          <cell r="EM38">
            <v>4.0468671101324134E-2</v>
          </cell>
          <cell r="EP38">
            <v>2.602284</v>
          </cell>
          <cell r="EQ38">
            <v>1.2555454693948302</v>
          </cell>
          <cell r="ER38">
            <v>1.7577636571527626</v>
          </cell>
          <cell r="ES38">
            <v>2.2599818449106945</v>
          </cell>
          <cell r="ET38">
            <v>2.7622000326686269</v>
          </cell>
          <cell r="EU38">
            <v>3.2644182204265588</v>
          </cell>
          <cell r="EV38">
            <v>3.7666364081844912</v>
          </cell>
          <cell r="EW38">
            <v>2.5110909387896605</v>
          </cell>
          <cell r="EX38">
            <v>0.25110909387896607</v>
          </cell>
          <cell r="EZ38">
            <v>2.602284</v>
          </cell>
          <cell r="FA38">
            <v>1.002267922298907</v>
          </cell>
          <cell r="FB38">
            <v>2.0045358445978141</v>
          </cell>
          <cell r="FC38">
            <v>3.0068037668967209</v>
          </cell>
          <cell r="FD38">
            <v>4.0090716891956282</v>
          </cell>
          <cell r="FE38">
            <v>5.0113396114945354</v>
          </cell>
          <cell r="FF38">
            <v>6.0136075337934418</v>
          </cell>
          <cell r="FG38">
            <v>2.0045358445978141</v>
          </cell>
        </row>
        <row r="39">
          <cell r="A39">
            <v>36525</v>
          </cell>
          <cell r="B39">
            <v>30.494499999999999</v>
          </cell>
          <cell r="C39">
            <v>9.6946714343126246</v>
          </cell>
          <cell r="D39">
            <v>14.542007151468937</v>
          </cell>
          <cell r="E39">
            <v>19.389342868625249</v>
          </cell>
          <cell r="F39">
            <v>24.236678585781561</v>
          </cell>
          <cell r="G39">
            <v>29.084014302937874</v>
          </cell>
          <cell r="H39">
            <v>33.931350020094186</v>
          </cell>
          <cell r="I39">
            <v>38.778685737250498</v>
          </cell>
          <cell r="J39">
            <v>43.626021454406811</v>
          </cell>
          <cell r="K39">
            <v>48.473357171563123</v>
          </cell>
          <cell r="L39">
            <v>36.355017878672342</v>
          </cell>
          <cell r="M39">
            <v>2.4236678585781561</v>
          </cell>
          <cell r="P39">
            <v>30.494499999999999</v>
          </cell>
          <cell r="Q39">
            <v>13.626948878332286</v>
          </cell>
          <cell r="R39">
            <v>22.711581463887143</v>
          </cell>
          <cell r="S39">
            <v>31.796214049442</v>
          </cell>
          <cell r="T39">
            <v>40.880846634996857</v>
          </cell>
          <cell r="U39">
            <v>49.965479220551714</v>
          </cell>
          <cell r="V39">
            <v>59.050111806106571</v>
          </cell>
          <cell r="W39">
            <v>68.134744391661428</v>
          </cell>
          <cell r="X39">
            <v>45.423162927774285</v>
          </cell>
          <cell r="Y39">
            <v>4.5423162927774285</v>
          </cell>
          <cell r="AA39">
            <v>30.494499999999999</v>
          </cell>
          <cell r="AB39">
            <v>16.895602980122217</v>
          </cell>
          <cell r="AC39">
            <v>25.343404470183323</v>
          </cell>
          <cell r="AD39">
            <v>33.791205960244433</v>
          </cell>
          <cell r="AE39">
            <v>42.239007450305543</v>
          </cell>
          <cell r="AF39">
            <v>50.686808940366646</v>
          </cell>
          <cell r="AG39">
            <v>16.895602980122217</v>
          </cell>
          <cell r="AK39">
            <v>26.6</v>
          </cell>
          <cell r="AL39">
            <v>18.624245733788388</v>
          </cell>
          <cell r="AM39">
            <v>23.280307167235485</v>
          </cell>
          <cell r="AN39">
            <v>27.936368600682584</v>
          </cell>
          <cell r="AO39">
            <v>32.592430034129677</v>
          </cell>
          <cell r="AP39">
            <v>37.248491467576777</v>
          </cell>
          <cell r="AQ39">
            <v>41.904552901023877</v>
          </cell>
          <cell r="AR39">
            <v>46.560614334470969</v>
          </cell>
          <cell r="AS39">
            <v>34.920460750853231</v>
          </cell>
          <cell r="AT39">
            <v>2.3280307167235486</v>
          </cell>
          <cell r="AW39">
            <v>26.6</v>
          </cell>
          <cell r="AX39">
            <v>21.583634812286686</v>
          </cell>
          <cell r="AY39">
            <v>30.217088737201358</v>
          </cell>
          <cell r="AZ39">
            <v>38.850542662116034</v>
          </cell>
          <cell r="BA39">
            <v>47.48399658703071</v>
          </cell>
          <cell r="BB39">
            <v>56.117450511945378</v>
          </cell>
          <cell r="BC39">
            <v>64.750904436860054</v>
          </cell>
          <cell r="BD39">
            <v>43.167269624573372</v>
          </cell>
          <cell r="BE39">
            <v>4.316726962457337</v>
          </cell>
          <cell r="BG39">
            <v>26.6</v>
          </cell>
          <cell r="BH39">
            <v>16.518771331058019</v>
          </cell>
          <cell r="BI39">
            <v>24.778156996587029</v>
          </cell>
          <cell r="BJ39">
            <v>33.037542662116039</v>
          </cell>
          <cell r="BK39">
            <v>41.296928327645048</v>
          </cell>
          <cell r="BL39">
            <v>49.556313993174058</v>
          </cell>
          <cell r="BM39">
            <v>16.518771331058019</v>
          </cell>
          <cell r="BQ39">
            <v>31.5</v>
          </cell>
          <cell r="BR39">
            <v>22.109744511180914</v>
          </cell>
          <cell r="BS39">
            <v>29.479659348241221</v>
          </cell>
          <cell r="BT39">
            <v>36.849574185301528</v>
          </cell>
          <cell r="BU39">
            <v>44.219489022361827</v>
          </cell>
          <cell r="BV39">
            <v>51.589403859422134</v>
          </cell>
          <cell r="BW39">
            <v>58.959318696482441</v>
          </cell>
          <cell r="BX39">
            <v>66.329233533542748</v>
          </cell>
          <cell r="BY39">
            <v>73.699148370603055</v>
          </cell>
          <cell r="BZ39">
            <v>3.6849574185301526</v>
          </cell>
          <cell r="CC39">
            <v>31.5</v>
          </cell>
          <cell r="CD39">
            <v>26.855375463736195</v>
          </cell>
          <cell r="CE39">
            <v>37.597525649230668</v>
          </cell>
          <cell r="CF39">
            <v>48.339675834725149</v>
          </cell>
          <cell r="CG39">
            <v>59.081826020219623</v>
          </cell>
          <cell r="CH39">
            <v>69.823976205714104</v>
          </cell>
          <cell r="CI39">
            <v>80.566126391208584</v>
          </cell>
          <cell r="CJ39">
            <v>53.71075092747239</v>
          </cell>
          <cell r="CK39">
            <v>5.3710750927472386</v>
          </cell>
          <cell r="CM39">
            <v>31.5</v>
          </cell>
          <cell r="CN39">
            <v>13.165930345036095</v>
          </cell>
          <cell r="CO39">
            <v>26.33186069007219</v>
          </cell>
          <cell r="CP39">
            <v>39.497791035108285</v>
          </cell>
          <cell r="CQ39">
            <v>52.663721380144381</v>
          </cell>
          <cell r="CR39">
            <v>65.829651725180469</v>
          </cell>
          <cell r="CS39">
            <v>78.995582070216571</v>
          </cell>
          <cell r="CT39">
            <v>26.33186069007219</v>
          </cell>
          <cell r="CX39">
            <v>6.5</v>
          </cell>
          <cell r="CY39">
            <v>-12.74504530838936</v>
          </cell>
          <cell r="CZ39">
            <v>-15.931306635486699</v>
          </cell>
          <cell r="DA39">
            <v>-19.11756796258404</v>
          </cell>
          <cell r="DB39">
            <v>-22.303829289681378</v>
          </cell>
          <cell r="DC39">
            <v>-25.490090616778719</v>
          </cell>
          <cell r="DD39">
            <v>-28.67635194387606</v>
          </cell>
          <cell r="DE39">
            <v>-31.862613270973398</v>
          </cell>
          <cell r="DF39">
            <v>-23.896959953230049</v>
          </cell>
          <cell r="DG39">
            <v>-1.5931306635486699</v>
          </cell>
          <cell r="DJ39">
            <v>6.5</v>
          </cell>
          <cell r="DK39">
            <v>2.7799912306343173</v>
          </cell>
          <cell r="DL39">
            <v>3.891987722888044</v>
          </cell>
          <cell r="DM39">
            <v>5.0039842151417711</v>
          </cell>
          <cell r="DN39">
            <v>6.1159807073954982</v>
          </cell>
          <cell r="DO39">
            <v>7.2279771996492244</v>
          </cell>
          <cell r="DP39">
            <v>8.3399736919029515</v>
          </cell>
          <cell r="DQ39">
            <v>5.5599824612686346</v>
          </cell>
          <cell r="DR39">
            <v>0.55599824612686344</v>
          </cell>
          <cell r="DT39">
            <v>6.5</v>
          </cell>
          <cell r="DU39">
            <v>3.551150248465361</v>
          </cell>
          <cell r="DV39">
            <v>7.102300496930722</v>
          </cell>
          <cell r="DW39">
            <v>10.653450745396082</v>
          </cell>
          <cell r="DX39">
            <v>14.204600993861444</v>
          </cell>
          <cell r="DY39">
            <v>17.755751242326806</v>
          </cell>
          <cell r="DZ39">
            <v>21.306901490792164</v>
          </cell>
          <cell r="EA39">
            <v>7.102300496930722</v>
          </cell>
          <cell r="EE39">
            <v>2.8673320000000002</v>
          </cell>
          <cell r="EF39">
            <v>0.40347949543227951</v>
          </cell>
          <cell r="EG39">
            <v>0.48417539451873537</v>
          </cell>
          <cell r="EH39">
            <v>0.56487129360519128</v>
          </cell>
          <cell r="EI39">
            <v>0.6455671926916472</v>
          </cell>
          <cell r="EJ39">
            <v>0.72626309177810311</v>
          </cell>
          <cell r="EK39">
            <v>0.80695899086455902</v>
          </cell>
          <cell r="EL39">
            <v>0.60521924314841924</v>
          </cell>
          <cell r="EM39">
            <v>4.034794954322795E-2</v>
          </cell>
          <cell r="EP39">
            <v>2.8673320000000002</v>
          </cell>
          <cell r="EQ39">
            <v>1.2437133448796187</v>
          </cell>
          <cell r="ER39">
            <v>1.7411986828314663</v>
          </cell>
          <cell r="ES39">
            <v>2.2386840207833139</v>
          </cell>
          <cell r="ET39">
            <v>2.7361693587351614</v>
          </cell>
          <cell r="EU39">
            <v>3.233654696687009</v>
          </cell>
          <cell r="EV39">
            <v>3.7311400346388566</v>
          </cell>
          <cell r="EW39">
            <v>2.4874266897592374</v>
          </cell>
          <cell r="EX39">
            <v>0.24874266897592376</v>
          </cell>
          <cell r="EZ39">
            <v>2.8673320000000002</v>
          </cell>
          <cell r="FA39">
            <v>0.99640398867175584</v>
          </cell>
          <cell r="FB39">
            <v>1.9928079773435117</v>
          </cell>
          <cell r="FC39">
            <v>2.9892119660152674</v>
          </cell>
          <cell r="FD39">
            <v>3.9856159546870233</v>
          </cell>
          <cell r="FE39">
            <v>4.9820199433587788</v>
          </cell>
          <cell r="FF39">
            <v>5.9784239320305348</v>
          </cell>
          <cell r="FG39">
            <v>1.9928079773435117</v>
          </cell>
        </row>
        <row r="40">
          <cell r="A40">
            <v>36556</v>
          </cell>
          <cell r="B40">
            <v>27.149940000000001</v>
          </cell>
          <cell r="C40">
            <v>9.9851561318597426</v>
          </cell>
          <cell r="D40">
            <v>14.977734197789614</v>
          </cell>
          <cell r="E40">
            <v>19.970312263719485</v>
          </cell>
          <cell r="F40">
            <v>24.962890329649355</v>
          </cell>
          <cell r="G40">
            <v>29.955468395579228</v>
          </cell>
          <cell r="H40">
            <v>34.948046461509101</v>
          </cell>
          <cell r="I40">
            <v>39.94062452743897</v>
          </cell>
          <cell r="J40">
            <v>44.93320259336884</v>
          </cell>
          <cell r="K40">
            <v>49.925780659298709</v>
          </cell>
          <cell r="L40">
            <v>37.444335494474032</v>
          </cell>
          <cell r="M40">
            <v>2.4962890329649357</v>
          </cell>
          <cell r="P40">
            <v>27.149940000000001</v>
          </cell>
          <cell r="Q40">
            <v>13.725109642536301</v>
          </cell>
          <cell r="R40">
            <v>22.8751827375605</v>
          </cell>
          <cell r="S40">
            <v>32.025255832584705</v>
          </cell>
          <cell r="T40">
            <v>41.175328927608902</v>
          </cell>
          <cell r="U40">
            <v>50.325402022633106</v>
          </cell>
          <cell r="V40">
            <v>59.475475117657304</v>
          </cell>
          <cell r="W40">
            <v>68.625548212681508</v>
          </cell>
          <cell r="X40">
            <v>45.750365475121001</v>
          </cell>
          <cell r="Y40">
            <v>4.5750365475121004</v>
          </cell>
          <cell r="AA40">
            <v>27.149940000000001</v>
          </cell>
          <cell r="AB40">
            <v>17.121782406575445</v>
          </cell>
          <cell r="AC40">
            <v>25.682673609863166</v>
          </cell>
          <cell r="AD40">
            <v>34.24356481315089</v>
          </cell>
          <cell r="AE40">
            <v>42.804456016438614</v>
          </cell>
          <cell r="AF40">
            <v>51.365347219726331</v>
          </cell>
          <cell r="AG40">
            <v>17.121782406575445</v>
          </cell>
          <cell r="AK40">
            <v>23</v>
          </cell>
          <cell r="AL40">
            <v>19.124866894197947</v>
          </cell>
          <cell r="AM40">
            <v>23.906083617747434</v>
          </cell>
          <cell r="AN40">
            <v>28.687300341296918</v>
          </cell>
          <cell r="AO40">
            <v>33.468517064846409</v>
          </cell>
          <cell r="AP40">
            <v>38.249733788395893</v>
          </cell>
          <cell r="AQ40">
            <v>43.030950511945377</v>
          </cell>
          <cell r="AR40">
            <v>47.812167235494869</v>
          </cell>
          <cell r="AS40">
            <v>35.859125426621148</v>
          </cell>
          <cell r="AT40">
            <v>2.3906083617747433</v>
          </cell>
          <cell r="AW40">
            <v>23</v>
          </cell>
          <cell r="AX40">
            <v>21.816606939704208</v>
          </cell>
          <cell r="AY40">
            <v>30.543249715585887</v>
          </cell>
          <cell r="AZ40">
            <v>39.269892491467573</v>
          </cell>
          <cell r="BA40">
            <v>47.996535267349252</v>
          </cell>
          <cell r="BB40">
            <v>56.723178043230938</v>
          </cell>
          <cell r="BC40">
            <v>65.449820819112617</v>
          </cell>
          <cell r="BD40">
            <v>43.633213879408416</v>
          </cell>
          <cell r="BE40">
            <v>4.3633213879408412</v>
          </cell>
          <cell r="BG40">
            <v>23</v>
          </cell>
          <cell r="BH40">
            <v>16.682704209328783</v>
          </cell>
          <cell r="BI40">
            <v>25.024056313993174</v>
          </cell>
          <cell r="BJ40">
            <v>33.365408418657566</v>
          </cell>
          <cell r="BK40">
            <v>41.706760523321961</v>
          </cell>
          <cell r="BL40">
            <v>50.048112627986349</v>
          </cell>
          <cell r="BM40">
            <v>16.682704209328783</v>
          </cell>
          <cell r="BQ40">
            <v>27.3</v>
          </cell>
          <cell r="BR40">
            <v>22.443619498152803</v>
          </cell>
          <cell r="BS40">
            <v>29.92482599753707</v>
          </cell>
          <cell r="BT40">
            <v>37.406032496921341</v>
          </cell>
          <cell r="BU40">
            <v>44.887238996305605</v>
          </cell>
          <cell r="BV40">
            <v>52.368445495689869</v>
          </cell>
          <cell r="BW40">
            <v>59.84965199507414</v>
          </cell>
          <cell r="BX40">
            <v>67.330858494458411</v>
          </cell>
          <cell r="BY40">
            <v>74.812064993842682</v>
          </cell>
          <cell r="BZ40">
            <v>3.7406032496921338</v>
          </cell>
          <cell r="CC40">
            <v>27.3</v>
          </cell>
          <cell r="CD40">
            <v>26.948942792015625</v>
          </cell>
          <cell r="CE40">
            <v>37.728519908821873</v>
          </cell>
          <cell r="CF40">
            <v>48.508097025628125</v>
          </cell>
          <cell r="CG40">
            <v>59.287674142434376</v>
          </cell>
          <cell r="CH40">
            <v>70.067251259240621</v>
          </cell>
          <cell r="CI40">
            <v>80.846828376046872</v>
          </cell>
          <cell r="CJ40">
            <v>53.897885584031251</v>
          </cell>
          <cell r="CK40">
            <v>5.3897885584031249</v>
          </cell>
          <cell r="CM40">
            <v>27.3</v>
          </cell>
          <cell r="CN40">
            <v>13.291184518841305</v>
          </cell>
          <cell r="CO40">
            <v>26.582369037682611</v>
          </cell>
          <cell r="CP40">
            <v>39.873553556523916</v>
          </cell>
          <cell r="CQ40">
            <v>53.164738075365221</v>
          </cell>
          <cell r="CR40">
            <v>66.455922594206527</v>
          </cell>
          <cell r="CS40">
            <v>79.747107113047832</v>
          </cell>
          <cell r="CT40">
            <v>26.582369037682611</v>
          </cell>
          <cell r="CX40">
            <v>7.1</v>
          </cell>
          <cell r="CY40">
            <v>-11.461051587606139</v>
          </cell>
          <cell r="CZ40">
            <v>-14.326314484507673</v>
          </cell>
          <cell r="DA40">
            <v>-17.191577381409211</v>
          </cell>
          <cell r="DB40">
            <v>-20.056840278310744</v>
          </cell>
          <cell r="DC40">
            <v>-22.922103175212278</v>
          </cell>
          <cell r="DD40">
            <v>-25.787366072113812</v>
          </cell>
          <cell r="DE40">
            <v>-28.652628969015346</v>
          </cell>
          <cell r="DF40">
            <v>-21.489471726761511</v>
          </cell>
          <cell r="DG40">
            <v>-1.4326314484507674</v>
          </cell>
          <cell r="DJ40">
            <v>7.1</v>
          </cell>
          <cell r="DK40">
            <v>2.8172861178916859</v>
          </cell>
          <cell r="DL40">
            <v>3.94420056504836</v>
          </cell>
          <cell r="DM40">
            <v>5.0711150122050341</v>
          </cell>
          <cell r="DN40">
            <v>6.1980294593617087</v>
          </cell>
          <cell r="DO40">
            <v>7.3249439065183832</v>
          </cell>
          <cell r="DP40">
            <v>8.4518583536750569</v>
          </cell>
          <cell r="DQ40">
            <v>5.6345722357833719</v>
          </cell>
          <cell r="DR40">
            <v>0.56345722357833716</v>
          </cell>
          <cell r="DT40">
            <v>7.1</v>
          </cell>
          <cell r="DU40">
            <v>3.48855956837318</v>
          </cell>
          <cell r="DV40">
            <v>6.9771191367463601</v>
          </cell>
          <cell r="DW40">
            <v>10.46567870511954</v>
          </cell>
          <cell r="DX40">
            <v>13.95423827349272</v>
          </cell>
          <cell r="DY40">
            <v>17.4427978418659</v>
          </cell>
          <cell r="DZ40">
            <v>20.93135741023908</v>
          </cell>
          <cell r="EA40">
            <v>6.9771191367463601</v>
          </cell>
          <cell r="EE40">
            <v>2.7227600000000001</v>
          </cell>
          <cell r="EF40">
            <v>0.53159694695068638</v>
          </cell>
          <cell r="EG40">
            <v>0.63791633634082368</v>
          </cell>
          <cell r="EH40">
            <v>0.74423572573096097</v>
          </cell>
          <cell r="EI40">
            <v>0.85055511512109827</v>
          </cell>
          <cell r="EJ40">
            <v>0.95687450451123557</v>
          </cell>
          <cell r="EK40">
            <v>1.0631938939013728</v>
          </cell>
          <cell r="EL40">
            <v>0.79739542042602962</v>
          </cell>
          <cell r="EM40">
            <v>5.3159694695068642E-2</v>
          </cell>
          <cell r="EP40">
            <v>2.7227600000000001</v>
          </cell>
          <cell r="EQ40">
            <v>1.2859061437354109</v>
          </cell>
          <cell r="ER40">
            <v>1.800268601229575</v>
          </cell>
          <cell r="ES40">
            <v>2.3146310587237395</v>
          </cell>
          <cell r="ET40">
            <v>2.8289935162179036</v>
          </cell>
          <cell r="EU40">
            <v>3.3433559737120682</v>
          </cell>
          <cell r="EV40">
            <v>3.8577184312062323</v>
          </cell>
          <cell r="EW40">
            <v>2.5718122874708218</v>
          </cell>
          <cell r="EX40">
            <v>0.25718122874708216</v>
          </cell>
          <cell r="EZ40">
            <v>2.7227600000000001</v>
          </cell>
          <cell r="FA40">
            <v>1.0018010263164319</v>
          </cell>
          <cell r="FB40">
            <v>2.0036020526328637</v>
          </cell>
          <cell r="FC40">
            <v>3.0054030789492954</v>
          </cell>
          <cell r="FD40">
            <v>4.0072041052657275</v>
          </cell>
          <cell r="FE40">
            <v>5.0090051315821595</v>
          </cell>
          <cell r="FF40">
            <v>6.0108061578985907</v>
          </cell>
          <cell r="FG40">
            <v>2.0036020526328637</v>
          </cell>
        </row>
        <row r="41">
          <cell r="A41">
            <v>36585</v>
          </cell>
          <cell r="B41">
            <v>24.887440000000002</v>
          </cell>
          <cell r="C41">
            <v>10.275640829406861</v>
          </cell>
          <cell r="D41">
            <v>15.413461244110291</v>
          </cell>
          <cell r="E41">
            <v>20.551281658813721</v>
          </cell>
          <cell r="F41">
            <v>25.689102073517152</v>
          </cell>
          <cell r="G41">
            <v>30.826922488220582</v>
          </cell>
          <cell r="H41">
            <v>35.964742902924016</v>
          </cell>
          <cell r="I41">
            <v>41.102563317627443</v>
          </cell>
          <cell r="J41">
            <v>46.240383732330869</v>
          </cell>
          <cell r="K41">
            <v>51.378204147034303</v>
          </cell>
          <cell r="L41">
            <v>38.533653110275729</v>
          </cell>
          <cell r="M41">
            <v>2.5689102073517152</v>
          </cell>
          <cell r="P41">
            <v>24.887440000000002</v>
          </cell>
          <cell r="Q41">
            <v>13.823270406740317</v>
          </cell>
          <cell r="R41">
            <v>23.038784011233862</v>
          </cell>
          <cell r="S41">
            <v>32.25429761572741</v>
          </cell>
          <cell r="T41">
            <v>41.469811220220947</v>
          </cell>
          <cell r="U41">
            <v>50.685324824714499</v>
          </cell>
          <cell r="V41">
            <v>59.900838429208036</v>
          </cell>
          <cell r="W41">
            <v>69.116352033701588</v>
          </cell>
          <cell r="X41">
            <v>46.077568022467723</v>
          </cell>
          <cell r="Y41">
            <v>4.6077568022467723</v>
          </cell>
          <cell r="AA41">
            <v>24.887440000000002</v>
          </cell>
          <cell r="AB41">
            <v>17.347961833028673</v>
          </cell>
          <cell r="AC41">
            <v>26.021942749543008</v>
          </cell>
          <cell r="AD41">
            <v>34.695923666057347</v>
          </cell>
          <cell r="AE41">
            <v>43.369904582571685</v>
          </cell>
          <cell r="AF41">
            <v>52.043885499086016</v>
          </cell>
          <cell r="AG41">
            <v>17.347961833028673</v>
          </cell>
          <cell r="AK41">
            <v>18.100000000000001</v>
          </cell>
          <cell r="AL41">
            <v>19.625488054607505</v>
          </cell>
          <cell r="AM41">
            <v>24.53186006825938</v>
          </cell>
          <cell r="AN41">
            <v>29.438232081911259</v>
          </cell>
          <cell r="AO41">
            <v>34.344604095563135</v>
          </cell>
          <cell r="AP41">
            <v>39.25097610921501</v>
          </cell>
          <cell r="AQ41">
            <v>44.157348122866885</v>
          </cell>
          <cell r="AR41">
            <v>49.063720136518761</v>
          </cell>
          <cell r="AS41">
            <v>36.797790102389072</v>
          </cell>
          <cell r="AT41">
            <v>2.4531860068259381</v>
          </cell>
          <cell r="AW41">
            <v>18.100000000000001</v>
          </cell>
          <cell r="AX41">
            <v>22.049579067121726</v>
          </cell>
          <cell r="AY41">
            <v>30.869410693970419</v>
          </cell>
          <cell r="AZ41">
            <v>39.689242320819112</v>
          </cell>
          <cell r="BA41">
            <v>48.509073947667801</v>
          </cell>
          <cell r="BB41">
            <v>57.32890557451649</v>
          </cell>
          <cell r="BC41">
            <v>66.148737201365179</v>
          </cell>
          <cell r="BD41">
            <v>44.099158134243453</v>
          </cell>
          <cell r="BE41">
            <v>4.4099158134243455</v>
          </cell>
          <cell r="BG41">
            <v>18.100000000000001</v>
          </cell>
          <cell r="BH41">
            <v>16.846637087599547</v>
          </cell>
          <cell r="BI41">
            <v>25.26995563139932</v>
          </cell>
          <cell r="BJ41">
            <v>33.693274175199093</v>
          </cell>
          <cell r="BK41">
            <v>42.116592718998866</v>
          </cell>
          <cell r="BL41">
            <v>50.53991126279864</v>
          </cell>
          <cell r="BM41">
            <v>16.846637087599547</v>
          </cell>
          <cell r="BQ41">
            <v>27.9</v>
          </cell>
          <cell r="BR41">
            <v>22.777494485124691</v>
          </cell>
          <cell r="BS41">
            <v>30.36999264683292</v>
          </cell>
          <cell r="BT41">
            <v>37.962490808541148</v>
          </cell>
          <cell r="BU41">
            <v>45.554988970249383</v>
          </cell>
          <cell r="BV41">
            <v>53.147487131957611</v>
          </cell>
          <cell r="BW41">
            <v>60.739985293665839</v>
          </cell>
          <cell r="BX41">
            <v>68.332483455374074</v>
          </cell>
          <cell r="BY41">
            <v>75.924981617082295</v>
          </cell>
          <cell r="BZ41">
            <v>3.7962490808541149</v>
          </cell>
          <cell r="CC41">
            <v>27.9</v>
          </cell>
          <cell r="CD41">
            <v>27.042510120295056</v>
          </cell>
          <cell r="CE41">
            <v>37.859514168413078</v>
          </cell>
          <cell r="CF41">
            <v>48.6765182165311</v>
          </cell>
          <cell r="CG41">
            <v>59.493522264649123</v>
          </cell>
          <cell r="CH41">
            <v>70.310526312767138</v>
          </cell>
          <cell r="CI41">
            <v>81.127530360885174</v>
          </cell>
          <cell r="CJ41">
            <v>54.085020240590111</v>
          </cell>
          <cell r="CK41">
            <v>5.4085020240590111</v>
          </cell>
          <cell r="CM41">
            <v>27.9</v>
          </cell>
          <cell r="CN41">
            <v>13.416438692646516</v>
          </cell>
          <cell r="CO41">
            <v>26.832877385293031</v>
          </cell>
          <cell r="CP41">
            <v>40.249316077939547</v>
          </cell>
          <cell r="CQ41">
            <v>53.665754770586062</v>
          </cell>
          <cell r="CR41">
            <v>67.082193463232585</v>
          </cell>
          <cell r="CS41">
            <v>80.498632155879093</v>
          </cell>
          <cell r="CT41">
            <v>26.832877385293031</v>
          </cell>
          <cell r="CX41">
            <v>7.35</v>
          </cell>
          <cell r="CY41">
            <v>-10.177057866822921</v>
          </cell>
          <cell r="CZ41">
            <v>-12.721322333528651</v>
          </cell>
          <cell r="DA41">
            <v>-15.265586800234381</v>
          </cell>
          <cell r="DB41">
            <v>-17.809851266940111</v>
          </cell>
          <cell r="DC41">
            <v>-20.354115733645841</v>
          </cell>
          <cell r="DD41">
            <v>-22.898380200351571</v>
          </cell>
          <cell r="DE41">
            <v>-25.442644667057301</v>
          </cell>
          <cell r="DF41">
            <v>-19.081983500292978</v>
          </cell>
          <cell r="DG41">
            <v>-1.2721322333528651</v>
          </cell>
          <cell r="DJ41">
            <v>7.35</v>
          </cell>
          <cell r="DK41">
            <v>2.8545810051490546</v>
          </cell>
          <cell r="DL41">
            <v>3.9964134072086761</v>
          </cell>
          <cell r="DM41">
            <v>5.1382458092682981</v>
          </cell>
          <cell r="DN41">
            <v>6.2800782113279201</v>
          </cell>
          <cell r="DO41">
            <v>7.4219106133875412</v>
          </cell>
          <cell r="DP41">
            <v>8.5637430154471641</v>
          </cell>
          <cell r="DQ41">
            <v>5.7091620102981091</v>
          </cell>
          <cell r="DR41">
            <v>0.57091620102981089</v>
          </cell>
          <cell r="DT41">
            <v>7.35</v>
          </cell>
          <cell r="DU41">
            <v>3.4259688882809991</v>
          </cell>
          <cell r="DV41">
            <v>6.8519377765619982</v>
          </cell>
          <cell r="DW41">
            <v>10.277906664842998</v>
          </cell>
          <cell r="DX41">
            <v>13.703875553123996</v>
          </cell>
          <cell r="DY41">
            <v>17.129844441404995</v>
          </cell>
          <cell r="DZ41">
            <v>20.555813329685996</v>
          </cell>
          <cell r="EA41">
            <v>6.8519377765619982</v>
          </cell>
          <cell r="EE41">
            <v>2.313142</v>
          </cell>
          <cell r="EF41">
            <v>0.6597143984690933</v>
          </cell>
          <cell r="EG41">
            <v>0.79165727816291187</v>
          </cell>
          <cell r="EH41">
            <v>0.92360015785673055</v>
          </cell>
          <cell r="EI41">
            <v>1.0555430375505492</v>
          </cell>
          <cell r="EJ41">
            <v>1.1874859172443679</v>
          </cell>
          <cell r="EK41">
            <v>1.3194287969381866</v>
          </cell>
          <cell r="EL41">
            <v>0.98957159770363989</v>
          </cell>
          <cell r="EM41">
            <v>6.5971439846909327E-2</v>
          </cell>
          <cell r="EP41">
            <v>2.313142</v>
          </cell>
          <cell r="EQ41">
            <v>1.3280989425912029</v>
          </cell>
          <cell r="ER41">
            <v>1.8593385196276841</v>
          </cell>
          <cell r="ES41">
            <v>2.3905780966641652</v>
          </cell>
          <cell r="ET41">
            <v>2.9218176737006463</v>
          </cell>
          <cell r="EU41">
            <v>3.4530572507371278</v>
          </cell>
          <cell r="EV41">
            <v>3.9842968277736088</v>
          </cell>
          <cell r="EW41">
            <v>2.6561978851824057</v>
          </cell>
          <cell r="EX41">
            <v>0.26561978851824058</v>
          </cell>
          <cell r="EZ41">
            <v>2.313142</v>
          </cell>
          <cell r="FA41">
            <v>1.0071980639611078</v>
          </cell>
          <cell r="FB41">
            <v>2.0143961279222156</v>
          </cell>
          <cell r="FC41">
            <v>3.0215941918833233</v>
          </cell>
          <cell r="FD41">
            <v>4.0287922558444311</v>
          </cell>
          <cell r="FE41">
            <v>5.0359903198055385</v>
          </cell>
          <cell r="FF41">
            <v>6.0431883837666467</v>
          </cell>
          <cell r="FG41">
            <v>2.0143961279222156</v>
          </cell>
        </row>
        <row r="42">
          <cell r="A42">
            <v>36616</v>
          </cell>
          <cell r="B42">
            <v>27.051570000000002</v>
          </cell>
          <cell r="C42">
            <v>10.566125526953979</v>
          </cell>
          <cell r="D42">
            <v>15.849188290430968</v>
          </cell>
          <cell r="E42">
            <v>21.132251053907957</v>
          </cell>
          <cell r="F42">
            <v>26.415313817384948</v>
          </cell>
          <cell r="G42">
            <v>31.698376580861936</v>
          </cell>
          <cell r="H42">
            <v>36.981439344338924</v>
          </cell>
          <cell r="I42">
            <v>42.264502107815915</v>
          </cell>
          <cell r="J42">
            <v>47.547564871292906</v>
          </cell>
          <cell r="K42">
            <v>52.830627634769897</v>
          </cell>
          <cell r="L42">
            <v>39.622970726077419</v>
          </cell>
          <cell r="M42">
            <v>2.6415313817384947</v>
          </cell>
          <cell r="P42">
            <v>27.051570000000002</v>
          </cell>
          <cell r="Q42">
            <v>13.921431170944333</v>
          </cell>
          <cell r="R42">
            <v>23.202385284907223</v>
          </cell>
          <cell r="S42">
            <v>32.483339398870108</v>
          </cell>
          <cell r="T42">
            <v>41.764293512833</v>
          </cell>
          <cell r="U42">
            <v>51.045247626795884</v>
          </cell>
          <cell r="V42">
            <v>60.326201740758776</v>
          </cell>
          <cell r="W42">
            <v>69.607155854721668</v>
          </cell>
          <cell r="X42">
            <v>46.404770569814445</v>
          </cell>
          <cell r="Y42">
            <v>4.6404770569814442</v>
          </cell>
          <cell r="AA42">
            <v>27.051570000000002</v>
          </cell>
          <cell r="AB42">
            <v>17.574141259481902</v>
          </cell>
          <cell r="AC42">
            <v>26.361211889222851</v>
          </cell>
          <cell r="AD42">
            <v>35.148282518963804</v>
          </cell>
          <cell r="AE42">
            <v>43.935353148704756</v>
          </cell>
          <cell r="AF42">
            <v>52.722423778445702</v>
          </cell>
          <cell r="AG42">
            <v>17.574141259481902</v>
          </cell>
          <cell r="AK42">
            <v>19.5</v>
          </cell>
          <cell r="AL42">
            <v>20.126109215017063</v>
          </cell>
          <cell r="AM42">
            <v>25.15763651877133</v>
          </cell>
          <cell r="AN42">
            <v>30.189163822525593</v>
          </cell>
          <cell r="AO42">
            <v>35.22069112627986</v>
          </cell>
          <cell r="AP42">
            <v>40.252218430034127</v>
          </cell>
          <cell r="AQ42">
            <v>45.283745733788393</v>
          </cell>
          <cell r="AR42">
            <v>50.31527303754266</v>
          </cell>
          <cell r="AS42">
            <v>37.736454778156997</v>
          </cell>
          <cell r="AT42">
            <v>2.5157636518771329</v>
          </cell>
          <cell r="AW42">
            <v>19.5</v>
          </cell>
          <cell r="AX42">
            <v>22.282551194539248</v>
          </cell>
          <cell r="AY42">
            <v>31.195571672354948</v>
          </cell>
          <cell r="AZ42">
            <v>40.108592150170651</v>
          </cell>
          <cell r="BA42">
            <v>49.021612627986343</v>
          </cell>
          <cell r="BB42">
            <v>57.93463310580205</v>
          </cell>
          <cell r="BC42">
            <v>66.847653583617742</v>
          </cell>
          <cell r="BD42">
            <v>44.565102389078497</v>
          </cell>
          <cell r="BE42">
            <v>4.4565102389078497</v>
          </cell>
          <cell r="BG42">
            <v>19.5</v>
          </cell>
          <cell r="BH42">
            <v>17.01056996587031</v>
          </cell>
          <cell r="BI42">
            <v>25.515854948805465</v>
          </cell>
          <cell r="BJ42">
            <v>34.02113993174062</v>
          </cell>
          <cell r="BK42">
            <v>42.526424914675772</v>
          </cell>
          <cell r="BL42">
            <v>51.031709897610931</v>
          </cell>
          <cell r="BM42">
            <v>17.01056996587031</v>
          </cell>
          <cell r="BQ42">
            <v>28.9</v>
          </cell>
          <cell r="BR42">
            <v>23.111369472096577</v>
          </cell>
          <cell r="BS42">
            <v>30.815159296128769</v>
          </cell>
          <cell r="BT42">
            <v>38.518949120160961</v>
          </cell>
          <cell r="BU42">
            <v>46.222738944193154</v>
          </cell>
          <cell r="BV42">
            <v>53.926528768225346</v>
          </cell>
          <cell r="BW42">
            <v>61.630318592257538</v>
          </cell>
          <cell r="BX42">
            <v>69.334108416289723</v>
          </cell>
          <cell r="BY42">
            <v>77.037898240321923</v>
          </cell>
          <cell r="BZ42">
            <v>3.8518949120160961</v>
          </cell>
          <cell r="CC42">
            <v>28.9</v>
          </cell>
          <cell r="CD42">
            <v>27.136077448574486</v>
          </cell>
          <cell r="CE42">
            <v>37.990508428004283</v>
          </cell>
          <cell r="CF42">
            <v>48.844939407434076</v>
          </cell>
          <cell r="CG42">
            <v>59.699370386863869</v>
          </cell>
          <cell r="CH42">
            <v>70.553801366293669</v>
          </cell>
          <cell r="CI42">
            <v>81.408232345723462</v>
          </cell>
          <cell r="CJ42">
            <v>54.272154897148972</v>
          </cell>
          <cell r="CK42">
            <v>5.4272154897148974</v>
          </cell>
          <cell r="CM42">
            <v>28.9</v>
          </cell>
          <cell r="CN42">
            <v>13.541692866451726</v>
          </cell>
          <cell r="CO42">
            <v>27.083385732903452</v>
          </cell>
          <cell r="CP42">
            <v>40.625078599355177</v>
          </cell>
          <cell r="CQ42">
            <v>54.166771465806903</v>
          </cell>
          <cell r="CR42">
            <v>67.708464332258629</v>
          </cell>
          <cell r="CS42">
            <v>81.250157198710355</v>
          </cell>
          <cell r="CT42">
            <v>27.083385732903452</v>
          </cell>
          <cell r="CX42">
            <v>6.95</v>
          </cell>
          <cell r="CY42">
            <v>-8.893064146039702</v>
          </cell>
          <cell r="CZ42">
            <v>-11.116330182549628</v>
          </cell>
          <cell r="DA42">
            <v>-13.339596219059553</v>
          </cell>
          <cell r="DB42">
            <v>-15.562862255569478</v>
          </cell>
          <cell r="DC42">
            <v>-17.786128292079404</v>
          </cell>
          <cell r="DD42">
            <v>-20.00939432858933</v>
          </cell>
          <cell r="DE42">
            <v>-22.232660365099257</v>
          </cell>
          <cell r="DF42">
            <v>-16.674495273824441</v>
          </cell>
          <cell r="DG42">
            <v>-1.1116330182549627</v>
          </cell>
          <cell r="DJ42">
            <v>6.95</v>
          </cell>
          <cell r="DK42">
            <v>2.8918758924064232</v>
          </cell>
          <cell r="DL42">
            <v>4.0486262493689926</v>
          </cell>
          <cell r="DM42">
            <v>5.2053766063315612</v>
          </cell>
          <cell r="DN42">
            <v>6.3621269632941306</v>
          </cell>
          <cell r="DO42">
            <v>7.5188773202567001</v>
          </cell>
          <cell r="DP42">
            <v>8.6756276772192695</v>
          </cell>
          <cell r="DQ42">
            <v>5.7837517848128464</v>
          </cell>
          <cell r="DR42">
            <v>0.57837517848128461</v>
          </cell>
          <cell r="DT42">
            <v>6.95</v>
          </cell>
          <cell r="DU42">
            <v>3.3633782081888182</v>
          </cell>
          <cell r="DV42">
            <v>6.7267564163776363</v>
          </cell>
          <cell r="DW42">
            <v>10.090134624566454</v>
          </cell>
          <cell r="DX42">
            <v>13.453512832755273</v>
          </cell>
          <cell r="DY42">
            <v>16.816891040944093</v>
          </cell>
          <cell r="DZ42">
            <v>20.180269249132909</v>
          </cell>
          <cell r="EA42">
            <v>6.7267564163776363</v>
          </cell>
          <cell r="EE42">
            <v>2.2890459999999999</v>
          </cell>
          <cell r="EF42">
            <v>0.78783184998750022</v>
          </cell>
          <cell r="EG42">
            <v>0.94539821998500018</v>
          </cell>
          <cell r="EH42">
            <v>1.1029645899825002</v>
          </cell>
          <cell r="EI42">
            <v>1.2605309599800003</v>
          </cell>
          <cell r="EJ42">
            <v>1.4180973299775004</v>
          </cell>
          <cell r="EK42">
            <v>1.5756636999750004</v>
          </cell>
          <cell r="EL42">
            <v>1.1817477749812504</v>
          </cell>
          <cell r="EM42">
            <v>7.8783184998750019E-2</v>
          </cell>
          <cell r="EP42">
            <v>2.2890459999999999</v>
          </cell>
          <cell r="EQ42">
            <v>1.3702917414469951</v>
          </cell>
          <cell r="ER42">
            <v>1.9184084380257931</v>
          </cell>
          <cell r="ES42">
            <v>2.4665251346045913</v>
          </cell>
          <cell r="ET42">
            <v>3.0146418311833889</v>
          </cell>
          <cell r="EU42">
            <v>3.5627585277621874</v>
          </cell>
          <cell r="EV42">
            <v>4.110875224340985</v>
          </cell>
          <cell r="EW42">
            <v>2.7405834828939901</v>
          </cell>
          <cell r="EX42">
            <v>0.27405834828939901</v>
          </cell>
          <cell r="EZ42">
            <v>2.2890459999999999</v>
          </cell>
          <cell r="FA42">
            <v>1.0125951016057837</v>
          </cell>
          <cell r="FB42">
            <v>2.0251902032115674</v>
          </cell>
          <cell r="FC42">
            <v>3.0377853048173513</v>
          </cell>
          <cell r="FD42">
            <v>4.0503804064231348</v>
          </cell>
          <cell r="FE42">
            <v>5.0629755080289183</v>
          </cell>
          <cell r="FF42">
            <v>6.0755706096347026</v>
          </cell>
          <cell r="FG42">
            <v>2.0251902032115674</v>
          </cell>
        </row>
        <row r="43">
          <cell r="A43">
            <v>36644</v>
          </cell>
          <cell r="B43">
            <v>30.002649999999999</v>
          </cell>
          <cell r="C43">
            <v>10.856610224501097</v>
          </cell>
          <cell r="D43">
            <v>16.284915336751645</v>
          </cell>
          <cell r="E43">
            <v>21.713220449002193</v>
          </cell>
          <cell r="F43">
            <v>27.141525561252742</v>
          </cell>
          <cell r="G43">
            <v>32.56983067350329</v>
          </cell>
          <cell r="H43">
            <v>37.998135785753838</v>
          </cell>
          <cell r="I43">
            <v>43.426440898004387</v>
          </cell>
          <cell r="J43">
            <v>48.854746010254935</v>
          </cell>
          <cell r="K43">
            <v>54.283051122505483</v>
          </cell>
          <cell r="L43">
            <v>40.712288341879116</v>
          </cell>
          <cell r="M43">
            <v>2.7141525561252742</v>
          </cell>
          <cell r="P43">
            <v>30.002649999999999</v>
          </cell>
          <cell r="Q43">
            <v>14.019591935148348</v>
          </cell>
          <cell r="R43">
            <v>23.36598655858058</v>
          </cell>
          <cell r="S43">
            <v>32.712381182012813</v>
          </cell>
          <cell r="T43">
            <v>42.058775805445045</v>
          </cell>
          <cell r="U43">
            <v>51.405170428877277</v>
          </cell>
          <cell r="V43">
            <v>60.751565052309509</v>
          </cell>
          <cell r="W43">
            <v>70.097959675741748</v>
          </cell>
          <cell r="X43">
            <v>46.731973117161161</v>
          </cell>
          <cell r="Y43">
            <v>4.6731973117161161</v>
          </cell>
          <cell r="AA43">
            <v>30.002649999999999</v>
          </cell>
          <cell r="AB43">
            <v>17.80032068593513</v>
          </cell>
          <cell r="AC43">
            <v>26.700481028902693</v>
          </cell>
          <cell r="AD43">
            <v>35.60064137187026</v>
          </cell>
          <cell r="AE43">
            <v>44.500801714837827</v>
          </cell>
          <cell r="AF43">
            <v>53.400962057805387</v>
          </cell>
          <cell r="AG43">
            <v>17.80032068593513</v>
          </cell>
          <cell r="AK43">
            <v>19.100000000000001</v>
          </cell>
          <cell r="AL43">
            <v>20.626730375426622</v>
          </cell>
          <cell r="AM43">
            <v>25.783412969283276</v>
          </cell>
          <cell r="AN43">
            <v>30.940095563139934</v>
          </cell>
          <cell r="AO43">
            <v>36.096778156996585</v>
          </cell>
          <cell r="AP43">
            <v>41.253460750853243</v>
          </cell>
          <cell r="AQ43">
            <v>46.410143344709901</v>
          </cell>
          <cell r="AR43">
            <v>51.566825938566552</v>
          </cell>
          <cell r="AS43">
            <v>38.675119453924914</v>
          </cell>
          <cell r="AT43">
            <v>2.5783412969283277</v>
          </cell>
          <cell r="AW43">
            <v>19.100000000000001</v>
          </cell>
          <cell r="AX43">
            <v>22.515523321956771</v>
          </cell>
          <cell r="AY43">
            <v>31.521732650739477</v>
          </cell>
          <cell r="AZ43">
            <v>40.527941979522183</v>
          </cell>
          <cell r="BA43">
            <v>49.534151308304892</v>
          </cell>
          <cell r="BB43">
            <v>58.540360637087602</v>
          </cell>
          <cell r="BC43">
            <v>67.546569965870304</v>
          </cell>
          <cell r="BD43">
            <v>45.031046643913541</v>
          </cell>
          <cell r="BE43">
            <v>4.5031046643913539</v>
          </cell>
          <cell r="BG43">
            <v>19.100000000000001</v>
          </cell>
          <cell r="BH43">
            <v>17.174502844141074</v>
          </cell>
          <cell r="BI43">
            <v>25.761754266211611</v>
          </cell>
          <cell r="BJ43">
            <v>34.349005688282148</v>
          </cell>
          <cell r="BK43">
            <v>42.936257110352685</v>
          </cell>
          <cell r="BL43">
            <v>51.523508532423222</v>
          </cell>
          <cell r="BM43">
            <v>17.174502844141074</v>
          </cell>
          <cell r="BQ43">
            <v>26.85</v>
          </cell>
          <cell r="BR43">
            <v>23.445244459068462</v>
          </cell>
          <cell r="BS43">
            <v>31.260325945424619</v>
          </cell>
          <cell r="BT43">
            <v>39.075407431780775</v>
          </cell>
          <cell r="BU43">
            <v>46.890488918136924</v>
          </cell>
          <cell r="BV43">
            <v>54.705570404493081</v>
          </cell>
          <cell r="BW43">
            <v>62.520651890849237</v>
          </cell>
          <cell r="BX43">
            <v>70.335733377205386</v>
          </cell>
          <cell r="BY43">
            <v>78.15081486356155</v>
          </cell>
          <cell r="BZ43">
            <v>3.9075407431780773</v>
          </cell>
          <cell r="CC43">
            <v>26.85</v>
          </cell>
          <cell r="CD43">
            <v>27.229644776853917</v>
          </cell>
          <cell r="CE43">
            <v>38.121502687595488</v>
          </cell>
          <cell r="CF43">
            <v>49.013360598337051</v>
          </cell>
          <cell r="CG43">
            <v>59.905218509078622</v>
          </cell>
          <cell r="CH43">
            <v>70.797076419820186</v>
          </cell>
          <cell r="CI43">
            <v>81.68893433056175</v>
          </cell>
          <cell r="CJ43">
            <v>54.459289553707833</v>
          </cell>
          <cell r="CK43">
            <v>5.4459289553707837</v>
          </cell>
          <cell r="CM43">
            <v>26.85</v>
          </cell>
          <cell r="CN43">
            <v>13.666947040256936</v>
          </cell>
          <cell r="CO43">
            <v>27.333894080513872</v>
          </cell>
          <cell r="CP43">
            <v>41.000841120770808</v>
          </cell>
          <cell r="CQ43">
            <v>54.667788161027744</v>
          </cell>
          <cell r="CR43">
            <v>68.334735201284673</v>
          </cell>
          <cell r="CS43">
            <v>82.001682241541616</v>
          </cell>
          <cell r="CT43">
            <v>27.333894080513872</v>
          </cell>
          <cell r="CX43">
            <v>7.2</v>
          </cell>
          <cell r="CY43">
            <v>-7.6090704252564825</v>
          </cell>
          <cell r="CZ43">
            <v>-9.5113380315706024</v>
          </cell>
          <cell r="DA43">
            <v>-11.413605637884723</v>
          </cell>
          <cell r="DB43">
            <v>-13.315873244198844</v>
          </cell>
          <cell r="DC43">
            <v>-15.218140850512965</v>
          </cell>
          <cell r="DD43">
            <v>-17.120408456827086</v>
          </cell>
          <cell r="DE43">
            <v>-19.022676063141205</v>
          </cell>
          <cell r="DF43">
            <v>-14.267007047355905</v>
          </cell>
          <cell r="DG43">
            <v>-0.95113380315706031</v>
          </cell>
          <cell r="DJ43">
            <v>7.2</v>
          </cell>
          <cell r="DK43">
            <v>2.9291707796637918</v>
          </cell>
          <cell r="DL43">
            <v>4.1008390915293083</v>
          </cell>
          <cell r="DM43">
            <v>5.2725074033948252</v>
          </cell>
          <cell r="DN43">
            <v>6.4441757152603421</v>
          </cell>
          <cell r="DO43">
            <v>7.6158440271258581</v>
          </cell>
          <cell r="DP43">
            <v>8.787512338991375</v>
          </cell>
          <cell r="DQ43">
            <v>5.8583415593275836</v>
          </cell>
          <cell r="DR43">
            <v>0.58583415593275834</v>
          </cell>
          <cell r="DT43">
            <v>7.2</v>
          </cell>
          <cell r="DU43">
            <v>3.3007875280966372</v>
          </cell>
          <cell r="DV43">
            <v>6.6015750561932744</v>
          </cell>
          <cell r="DW43">
            <v>9.9023625842899108</v>
          </cell>
          <cell r="DX43">
            <v>13.203150112386549</v>
          </cell>
          <cell r="DY43">
            <v>16.503937640483187</v>
          </cell>
          <cell r="DZ43">
            <v>19.804725168579822</v>
          </cell>
          <cell r="EA43">
            <v>6.6015750561932744</v>
          </cell>
          <cell r="EE43">
            <v>1.951713</v>
          </cell>
          <cell r="EF43">
            <v>0.91594930150590714</v>
          </cell>
          <cell r="EG43">
            <v>1.0991391618070885</v>
          </cell>
          <cell r="EH43">
            <v>1.2823290221082699</v>
          </cell>
          <cell r="EI43">
            <v>1.4655188824094514</v>
          </cell>
          <cell r="EJ43">
            <v>1.6487087427106328</v>
          </cell>
          <cell r="EK43">
            <v>1.8318986030118143</v>
          </cell>
          <cell r="EL43">
            <v>1.3739239522588607</v>
          </cell>
          <cell r="EM43">
            <v>9.1594930150590712E-2</v>
          </cell>
          <cell r="EP43">
            <v>1.951713</v>
          </cell>
          <cell r="EQ43">
            <v>1.4124845403027873</v>
          </cell>
          <cell r="ER43">
            <v>1.977478356423902</v>
          </cell>
          <cell r="ES43">
            <v>2.542472172545017</v>
          </cell>
          <cell r="ET43">
            <v>3.107465988666132</v>
          </cell>
          <cell r="EU43">
            <v>3.6724598047872465</v>
          </cell>
          <cell r="EV43">
            <v>4.2374536209083615</v>
          </cell>
          <cell r="EW43">
            <v>2.8249690806055745</v>
          </cell>
          <cell r="EX43">
            <v>0.28249690806055744</v>
          </cell>
          <cell r="EZ43">
            <v>1.951713</v>
          </cell>
          <cell r="FA43">
            <v>1.0179921392504596</v>
          </cell>
          <cell r="FB43">
            <v>2.0359842785009192</v>
          </cell>
          <cell r="FC43">
            <v>3.0539764177513788</v>
          </cell>
          <cell r="FD43">
            <v>4.0719685570018385</v>
          </cell>
          <cell r="FE43">
            <v>5.0899606962522981</v>
          </cell>
          <cell r="FF43">
            <v>6.1079528355027577</v>
          </cell>
          <cell r="FG43">
            <v>2.0359842785009192</v>
          </cell>
        </row>
        <row r="44">
          <cell r="A44">
            <v>36677</v>
          </cell>
          <cell r="B44">
            <v>27.936900000000001</v>
          </cell>
          <cell r="C44">
            <v>11.147094922048215</v>
          </cell>
          <cell r="D44">
            <v>16.720642383072324</v>
          </cell>
          <cell r="E44">
            <v>22.294189844096429</v>
          </cell>
          <cell r="F44">
            <v>27.867737305120535</v>
          </cell>
          <cell r="G44">
            <v>33.441284766144648</v>
          </cell>
          <cell r="H44">
            <v>39.014832227168753</v>
          </cell>
          <cell r="I44">
            <v>44.588379688192859</v>
          </cell>
          <cell r="J44">
            <v>50.161927149216964</v>
          </cell>
          <cell r="K44">
            <v>55.73547461024107</v>
          </cell>
          <cell r="L44">
            <v>41.801605957680806</v>
          </cell>
          <cell r="M44">
            <v>2.7867737305120537</v>
          </cell>
          <cell r="P44">
            <v>27.936900000000001</v>
          </cell>
          <cell r="Q44">
            <v>14.117752699352364</v>
          </cell>
          <cell r="R44">
            <v>23.529587832253938</v>
          </cell>
          <cell r="S44">
            <v>32.941422965155517</v>
          </cell>
          <cell r="T44">
            <v>42.35325809805709</v>
          </cell>
          <cell r="U44">
            <v>51.765093230958669</v>
          </cell>
          <cell r="V44">
            <v>61.176928363860242</v>
          </cell>
          <cell r="W44">
            <v>70.588763496761814</v>
          </cell>
          <cell r="X44">
            <v>47.059175664507876</v>
          </cell>
          <cell r="Y44">
            <v>4.705917566450788</v>
          </cell>
          <cell r="AA44">
            <v>27.936900000000001</v>
          </cell>
          <cell r="AB44">
            <v>18.026500112388359</v>
          </cell>
          <cell r="AC44">
            <v>27.039750168582536</v>
          </cell>
          <cell r="AD44">
            <v>36.053000224776717</v>
          </cell>
          <cell r="AE44">
            <v>45.066250280970898</v>
          </cell>
          <cell r="AF44">
            <v>54.079500337165072</v>
          </cell>
          <cell r="AG44">
            <v>18.026500112388359</v>
          </cell>
          <cell r="AK44">
            <v>15.45</v>
          </cell>
          <cell r="AL44">
            <v>21.12735153583618</v>
          </cell>
          <cell r="AM44">
            <v>26.409189419795226</v>
          </cell>
          <cell r="AN44">
            <v>31.691027303754268</v>
          </cell>
          <cell r="AO44">
            <v>36.972865187713317</v>
          </cell>
          <cell r="AP44">
            <v>42.25470307167236</v>
          </cell>
          <cell r="AQ44">
            <v>47.536540955631402</v>
          </cell>
          <cell r="AR44">
            <v>52.818378839590451</v>
          </cell>
          <cell r="AS44">
            <v>39.613784129692839</v>
          </cell>
          <cell r="AT44">
            <v>2.6409189419795225</v>
          </cell>
          <cell r="AW44">
            <v>15.45</v>
          </cell>
          <cell r="AX44">
            <v>22.748495449374289</v>
          </cell>
          <cell r="AY44">
            <v>31.847893629124009</v>
          </cell>
          <cell r="AZ44">
            <v>40.947291808873722</v>
          </cell>
          <cell r="BA44">
            <v>50.046689988623442</v>
          </cell>
          <cell r="BB44">
            <v>59.146088168373154</v>
          </cell>
          <cell r="BC44">
            <v>68.245486348122867</v>
          </cell>
          <cell r="BD44">
            <v>45.496990898748578</v>
          </cell>
          <cell r="BE44">
            <v>4.5496990898748582</v>
          </cell>
          <cell r="BG44">
            <v>15.45</v>
          </cell>
          <cell r="BH44">
            <v>17.338435722411838</v>
          </cell>
          <cell r="BI44">
            <v>26.007653583617756</v>
          </cell>
          <cell r="BJ44">
            <v>34.676871444823675</v>
          </cell>
          <cell r="BK44">
            <v>43.346089306029597</v>
          </cell>
          <cell r="BL44">
            <v>52.015307167235513</v>
          </cell>
          <cell r="BM44">
            <v>17.338435722411838</v>
          </cell>
          <cell r="BQ44">
            <v>22.15</v>
          </cell>
          <cell r="BR44">
            <v>23.779119446040351</v>
          </cell>
          <cell r="BS44">
            <v>31.705492594720468</v>
          </cell>
          <cell r="BT44">
            <v>39.631865743400581</v>
          </cell>
          <cell r="BU44">
            <v>47.558238892080702</v>
          </cell>
          <cell r="BV44">
            <v>55.484612040760823</v>
          </cell>
          <cell r="BW44">
            <v>63.410985189440936</v>
          </cell>
          <cell r="BX44">
            <v>71.337358338121049</v>
          </cell>
          <cell r="BY44">
            <v>79.263731486801163</v>
          </cell>
          <cell r="BZ44">
            <v>3.9631865743400585</v>
          </cell>
          <cell r="CC44">
            <v>22.15</v>
          </cell>
          <cell r="CD44">
            <v>27.323212105133351</v>
          </cell>
          <cell r="CE44">
            <v>38.252496947186692</v>
          </cell>
          <cell r="CF44">
            <v>49.181781789240027</v>
          </cell>
          <cell r="CG44">
            <v>60.111066631293369</v>
          </cell>
          <cell r="CH44">
            <v>71.040351473346703</v>
          </cell>
          <cell r="CI44">
            <v>81.969636315400052</v>
          </cell>
          <cell r="CJ44">
            <v>54.646424210266701</v>
          </cell>
          <cell r="CK44">
            <v>5.46464242102667</v>
          </cell>
          <cell r="CM44">
            <v>22.15</v>
          </cell>
          <cell r="CN44">
            <v>13.792201214062146</v>
          </cell>
          <cell r="CO44">
            <v>27.584402428124292</v>
          </cell>
          <cell r="CP44">
            <v>41.376603642186438</v>
          </cell>
          <cell r="CQ44">
            <v>55.168804856248585</v>
          </cell>
          <cell r="CR44">
            <v>68.961006070310731</v>
          </cell>
          <cell r="CS44">
            <v>82.753207284372877</v>
          </cell>
          <cell r="CT44">
            <v>27.584402428124292</v>
          </cell>
          <cell r="CX44">
            <v>7.3</v>
          </cell>
          <cell r="CY44">
            <v>-6.325076704473263</v>
          </cell>
          <cell r="CZ44">
            <v>-7.9063458805915783</v>
          </cell>
          <cell r="DA44">
            <v>-9.4876150567098954</v>
          </cell>
          <cell r="DB44">
            <v>-11.068884232828211</v>
          </cell>
          <cell r="DC44">
            <v>-12.650153408946526</v>
          </cell>
          <cell r="DD44">
            <v>-14.231422585064841</v>
          </cell>
          <cell r="DE44">
            <v>-15.812691761183157</v>
          </cell>
          <cell r="DF44">
            <v>-11.859518820887368</v>
          </cell>
          <cell r="DG44">
            <v>-0.79063458805915787</v>
          </cell>
          <cell r="DJ44">
            <v>7.3</v>
          </cell>
          <cell r="DK44">
            <v>2.9664656669211604</v>
          </cell>
          <cell r="DL44">
            <v>4.1530519336896248</v>
          </cell>
          <cell r="DM44">
            <v>5.3396382004580882</v>
          </cell>
          <cell r="DN44">
            <v>6.5262244672265526</v>
          </cell>
          <cell r="DO44">
            <v>7.7128107339950169</v>
          </cell>
          <cell r="DP44">
            <v>8.8993970007634804</v>
          </cell>
          <cell r="DQ44">
            <v>5.9329313338423209</v>
          </cell>
          <cell r="DR44">
            <v>0.59329313338423206</v>
          </cell>
          <cell r="DT44">
            <v>7.3</v>
          </cell>
          <cell r="DU44">
            <v>3.2381968480044563</v>
          </cell>
          <cell r="DV44">
            <v>6.4763936960089126</v>
          </cell>
          <cell r="DW44">
            <v>9.7145905440133689</v>
          </cell>
          <cell r="DX44">
            <v>12.952787392017825</v>
          </cell>
          <cell r="DY44">
            <v>16.190984240022281</v>
          </cell>
          <cell r="DZ44">
            <v>19.429181088026738</v>
          </cell>
          <cell r="EA44">
            <v>6.4763936960089126</v>
          </cell>
          <cell r="EE44">
            <v>1.7252179999999999</v>
          </cell>
          <cell r="EF44">
            <v>1.044066753024314</v>
          </cell>
          <cell r="EG44">
            <v>1.2528801036291768</v>
          </cell>
          <cell r="EH44">
            <v>1.4616934542340396</v>
          </cell>
          <cell r="EI44">
            <v>1.6705068048389025</v>
          </cell>
          <cell r="EJ44">
            <v>1.8793201554437653</v>
          </cell>
          <cell r="EK44">
            <v>2.0881335060486279</v>
          </cell>
          <cell r="EL44">
            <v>1.5661001295364712</v>
          </cell>
          <cell r="EM44">
            <v>0.1044066753024314</v>
          </cell>
          <cell r="EP44">
            <v>1.7252179999999999</v>
          </cell>
          <cell r="EQ44">
            <v>1.4546773391585792</v>
          </cell>
          <cell r="ER44">
            <v>2.0365482748220112</v>
          </cell>
          <cell r="ES44">
            <v>2.6184192104854427</v>
          </cell>
          <cell r="ET44">
            <v>3.2002901461488746</v>
          </cell>
          <cell r="EU44">
            <v>3.7821610818123061</v>
          </cell>
          <cell r="EV44">
            <v>4.3640320174757381</v>
          </cell>
          <cell r="EW44">
            <v>2.9093546783171584</v>
          </cell>
          <cell r="EX44">
            <v>0.29093546783171587</v>
          </cell>
          <cell r="EZ44">
            <v>1.7252179999999999</v>
          </cell>
          <cell r="FA44">
            <v>1.0233891768951355</v>
          </cell>
          <cell r="FB44">
            <v>2.0467783537902711</v>
          </cell>
          <cell r="FC44">
            <v>3.0701675306854064</v>
          </cell>
          <cell r="FD44">
            <v>4.0935567075805421</v>
          </cell>
          <cell r="FE44">
            <v>5.1169458844756779</v>
          </cell>
          <cell r="FF44">
            <v>6.1403350613708128</v>
          </cell>
          <cell r="FG44">
            <v>2.0467783537902711</v>
          </cell>
        </row>
        <row r="45">
          <cell r="A45">
            <v>36707</v>
          </cell>
          <cell r="B45">
            <v>30.887979999999999</v>
          </cell>
          <cell r="C45">
            <v>11.437579619595333</v>
          </cell>
          <cell r="D45">
            <v>17.156369429392999</v>
          </cell>
          <cell r="E45">
            <v>22.875159239190666</v>
          </cell>
          <cell r="F45">
            <v>28.593949048988332</v>
          </cell>
          <cell r="G45">
            <v>34.312738858785998</v>
          </cell>
          <cell r="H45">
            <v>40.031528668583661</v>
          </cell>
          <cell r="I45">
            <v>45.750318478381331</v>
          </cell>
          <cell r="J45">
            <v>51.469108288179001</v>
          </cell>
          <cell r="K45">
            <v>57.187898097976664</v>
          </cell>
          <cell r="L45">
            <v>42.890923573482496</v>
          </cell>
          <cell r="M45">
            <v>2.8593949048988332</v>
          </cell>
          <cell r="P45">
            <v>30.887979999999999</v>
          </cell>
          <cell r="Q45">
            <v>14.21591346355638</v>
          </cell>
          <cell r="R45">
            <v>23.693189105927299</v>
          </cell>
          <cell r="S45">
            <v>33.170464748298215</v>
          </cell>
          <cell r="T45">
            <v>42.647740390669142</v>
          </cell>
          <cell r="U45">
            <v>52.125016033040055</v>
          </cell>
          <cell r="V45">
            <v>61.602291675410981</v>
          </cell>
          <cell r="W45">
            <v>71.079567317781894</v>
          </cell>
          <cell r="X45">
            <v>47.386378211854598</v>
          </cell>
          <cell r="Y45">
            <v>4.7386378211854598</v>
          </cell>
          <cell r="AA45">
            <v>30.887979999999999</v>
          </cell>
          <cell r="AB45">
            <v>18.252679538841587</v>
          </cell>
          <cell r="AC45">
            <v>27.379019308262379</v>
          </cell>
          <cell r="AD45">
            <v>36.505359077683174</v>
          </cell>
          <cell r="AE45">
            <v>45.631698847103969</v>
          </cell>
          <cell r="AF45">
            <v>54.758038616524757</v>
          </cell>
          <cell r="AG45">
            <v>18.252679538841587</v>
          </cell>
          <cell r="AK45">
            <v>19.399999999999999</v>
          </cell>
          <cell r="AL45">
            <v>21.627972696245738</v>
          </cell>
          <cell r="AM45">
            <v>27.034965870307172</v>
          </cell>
          <cell r="AN45">
            <v>32.441959044368609</v>
          </cell>
          <cell r="AO45">
            <v>37.848952218430043</v>
          </cell>
          <cell r="AP45">
            <v>43.255945392491476</v>
          </cell>
          <cell r="AQ45">
            <v>48.66293856655291</v>
          </cell>
          <cell r="AR45">
            <v>54.069931740614344</v>
          </cell>
          <cell r="AS45">
            <v>40.552448805460756</v>
          </cell>
          <cell r="AT45">
            <v>2.7034965870307173</v>
          </cell>
          <cell r="AW45">
            <v>19.399999999999999</v>
          </cell>
          <cell r="AX45">
            <v>22.981467576791811</v>
          </cell>
          <cell r="AY45">
            <v>32.174054607508538</v>
          </cell>
          <cell r="AZ45">
            <v>41.366641638225261</v>
          </cell>
          <cell r="BA45">
            <v>50.559228668941984</v>
          </cell>
          <cell r="BB45">
            <v>59.751815699658714</v>
          </cell>
          <cell r="BC45">
            <v>68.94440273037543</v>
          </cell>
          <cell r="BD45">
            <v>45.962935153583622</v>
          </cell>
          <cell r="BE45">
            <v>4.5962935153583624</v>
          </cell>
          <cell r="BG45">
            <v>19.399999999999999</v>
          </cell>
          <cell r="BH45">
            <v>17.502368600682601</v>
          </cell>
          <cell r="BI45">
            <v>26.253552901023902</v>
          </cell>
          <cell r="BJ45">
            <v>35.004737201365202</v>
          </cell>
          <cell r="BK45">
            <v>43.755921501706503</v>
          </cell>
          <cell r="BL45">
            <v>52.507105802047803</v>
          </cell>
          <cell r="BM45">
            <v>17.502368600682601</v>
          </cell>
          <cell r="BQ45">
            <v>25.8</v>
          </cell>
          <cell r="BR45">
            <v>24.11299443301224</v>
          </cell>
          <cell r="BS45">
            <v>32.150659244016317</v>
          </cell>
          <cell r="BT45">
            <v>40.188324055020395</v>
          </cell>
          <cell r="BU45">
            <v>48.22598886602448</v>
          </cell>
          <cell r="BV45">
            <v>56.263653677028557</v>
          </cell>
          <cell r="BW45">
            <v>64.301318488032635</v>
          </cell>
          <cell r="BX45">
            <v>72.338983299036713</v>
          </cell>
          <cell r="BY45">
            <v>80.37664811004079</v>
          </cell>
          <cell r="BZ45">
            <v>4.0188324055020397</v>
          </cell>
          <cell r="CC45">
            <v>25.8</v>
          </cell>
          <cell r="CD45">
            <v>27.416779433412781</v>
          </cell>
          <cell r="CE45">
            <v>38.38349120677789</v>
          </cell>
          <cell r="CF45">
            <v>49.35020298014301</v>
          </cell>
          <cell r="CG45">
            <v>60.316914753508115</v>
          </cell>
          <cell r="CH45">
            <v>71.283626526873235</v>
          </cell>
          <cell r="CI45">
            <v>82.25033830023834</v>
          </cell>
          <cell r="CJ45">
            <v>54.833558866825562</v>
          </cell>
          <cell r="CK45">
            <v>5.4833558866825562</v>
          </cell>
          <cell r="CM45">
            <v>25.8</v>
          </cell>
          <cell r="CN45">
            <v>13.917455387867356</v>
          </cell>
          <cell r="CO45">
            <v>27.834910775734713</v>
          </cell>
          <cell r="CP45">
            <v>41.752366163602069</v>
          </cell>
          <cell r="CQ45">
            <v>55.669821551469425</v>
          </cell>
          <cell r="CR45">
            <v>69.587276939336789</v>
          </cell>
          <cell r="CS45">
            <v>83.504732327204138</v>
          </cell>
          <cell r="CT45">
            <v>27.834910775734713</v>
          </cell>
          <cell r="CX45">
            <v>7.5</v>
          </cell>
          <cell r="CY45">
            <v>-5.0410829836900435</v>
          </cell>
          <cell r="CZ45">
            <v>-6.3013537296125541</v>
          </cell>
          <cell r="DA45">
            <v>-7.5616244755350657</v>
          </cell>
          <cell r="DB45">
            <v>-8.8218952214575754</v>
          </cell>
          <cell r="DC45">
            <v>-10.082165967380087</v>
          </cell>
          <cell r="DD45">
            <v>-11.342436713302599</v>
          </cell>
          <cell r="DE45">
            <v>-12.602707459225108</v>
          </cell>
          <cell r="DF45">
            <v>-9.4520305944188312</v>
          </cell>
          <cell r="DG45">
            <v>-0.63013537296125544</v>
          </cell>
          <cell r="DJ45">
            <v>7.5</v>
          </cell>
          <cell r="DK45">
            <v>3.0037605541785291</v>
          </cell>
          <cell r="DL45">
            <v>4.2052647758499404</v>
          </cell>
          <cell r="DM45">
            <v>5.4067689975213522</v>
          </cell>
          <cell r="DN45">
            <v>6.608273219192764</v>
          </cell>
          <cell r="DO45">
            <v>7.8097774408641749</v>
          </cell>
          <cell r="DP45">
            <v>9.0112816625355876</v>
          </cell>
          <cell r="DQ45">
            <v>6.0075211083570581</v>
          </cell>
          <cell r="DR45">
            <v>0.60075211083570579</v>
          </cell>
          <cell r="DT45">
            <v>7.5</v>
          </cell>
          <cell r="DU45">
            <v>3.1756061679122753</v>
          </cell>
          <cell r="DV45">
            <v>6.3512123358245507</v>
          </cell>
          <cell r="DW45">
            <v>9.5268185037368269</v>
          </cell>
          <cell r="DX45">
            <v>12.702424671649101</v>
          </cell>
          <cell r="DY45">
            <v>15.878030839561376</v>
          </cell>
          <cell r="DZ45">
            <v>19.053637007473654</v>
          </cell>
          <cell r="EA45">
            <v>6.3512123358245507</v>
          </cell>
          <cell r="EE45">
            <v>2.0962839999999998</v>
          </cell>
          <cell r="EF45">
            <v>1.1721842045427209</v>
          </cell>
          <cell r="EG45">
            <v>1.4066210454512651</v>
          </cell>
          <cell r="EH45">
            <v>1.6410578863598093</v>
          </cell>
          <cell r="EI45">
            <v>1.8754947272683535</v>
          </cell>
          <cell r="EJ45">
            <v>2.1099315681768975</v>
          </cell>
          <cell r="EK45">
            <v>2.3443684090854418</v>
          </cell>
          <cell r="EL45">
            <v>1.7582763068140814</v>
          </cell>
          <cell r="EM45">
            <v>0.1172184204542721</v>
          </cell>
          <cell r="EP45">
            <v>2.0962839999999998</v>
          </cell>
          <cell r="EQ45">
            <v>1.4968701380143714</v>
          </cell>
          <cell r="ER45">
            <v>2.0956181932201199</v>
          </cell>
          <cell r="ES45">
            <v>2.6943662484258688</v>
          </cell>
          <cell r="ET45">
            <v>3.2931143036316173</v>
          </cell>
          <cell r="EU45">
            <v>3.8918623588373658</v>
          </cell>
          <cell r="EV45">
            <v>4.4906104140431147</v>
          </cell>
          <cell r="EW45">
            <v>2.9937402760287428</v>
          </cell>
          <cell r="EX45">
            <v>0.29937402760287429</v>
          </cell>
          <cell r="EZ45">
            <v>2.0962839999999998</v>
          </cell>
          <cell r="FA45">
            <v>1.0287862145398114</v>
          </cell>
          <cell r="FB45">
            <v>2.0575724290796229</v>
          </cell>
          <cell r="FC45">
            <v>3.0863586436194343</v>
          </cell>
          <cell r="FD45">
            <v>4.1151448581592458</v>
          </cell>
          <cell r="FE45">
            <v>5.1439310726990577</v>
          </cell>
          <cell r="FF45">
            <v>6.1727172872388687</v>
          </cell>
          <cell r="FG45">
            <v>2.0575724290796229</v>
          </cell>
        </row>
        <row r="46">
          <cell r="A46">
            <v>36738</v>
          </cell>
          <cell r="B46">
            <v>34.724379999999996</v>
          </cell>
          <cell r="C46">
            <v>11.728064317142451</v>
          </cell>
          <cell r="D46">
            <v>17.592096475713674</v>
          </cell>
          <cell r="E46">
            <v>23.456128634284902</v>
          </cell>
          <cell r="F46">
            <v>29.320160792856129</v>
          </cell>
          <cell r="G46">
            <v>35.184192951427349</v>
          </cell>
          <cell r="H46">
            <v>41.048225109998576</v>
          </cell>
          <cell r="I46">
            <v>46.912257268569803</v>
          </cell>
          <cell r="J46">
            <v>52.77628942714103</v>
          </cell>
          <cell r="K46">
            <v>58.640321585712258</v>
          </cell>
          <cell r="L46">
            <v>43.980241189284193</v>
          </cell>
          <cell r="M46">
            <v>2.9320160792856127</v>
          </cell>
          <cell r="P46">
            <v>34.724379999999996</v>
          </cell>
          <cell r="Q46">
            <v>14.314074227760395</v>
          </cell>
          <cell r="R46">
            <v>23.85679037960066</v>
          </cell>
          <cell r="S46">
            <v>33.39950653144092</v>
          </cell>
          <cell r="T46">
            <v>42.942222683281187</v>
          </cell>
          <cell r="U46">
            <v>52.484938835121447</v>
          </cell>
          <cell r="V46">
            <v>62.027654986961714</v>
          </cell>
          <cell r="W46">
            <v>71.570371138801974</v>
          </cell>
          <cell r="X46">
            <v>47.713580759201321</v>
          </cell>
          <cell r="Y46">
            <v>4.7713580759201317</v>
          </cell>
          <cell r="AA46">
            <v>34.724379999999996</v>
          </cell>
          <cell r="AB46">
            <v>18.478858965294815</v>
          </cell>
          <cell r="AC46">
            <v>27.718288447942221</v>
          </cell>
          <cell r="AD46">
            <v>36.957717930589631</v>
          </cell>
          <cell r="AE46">
            <v>46.19714741323704</v>
          </cell>
          <cell r="AF46">
            <v>55.436576895884443</v>
          </cell>
          <cell r="AG46">
            <v>18.478858965294815</v>
          </cell>
          <cell r="AK46">
            <v>22.5</v>
          </cell>
          <cell r="AL46">
            <v>22.128593856655296</v>
          </cell>
          <cell r="AM46">
            <v>27.660742320819121</v>
          </cell>
          <cell r="AN46">
            <v>33.192890784982943</v>
          </cell>
          <cell r="AO46">
            <v>38.725039249146768</v>
          </cell>
          <cell r="AP46">
            <v>44.257187713310593</v>
          </cell>
          <cell r="AQ46">
            <v>49.789336177474418</v>
          </cell>
          <cell r="AR46">
            <v>55.321484641638243</v>
          </cell>
          <cell r="AS46">
            <v>41.49111348122868</v>
          </cell>
          <cell r="AT46">
            <v>2.7660742320819121</v>
          </cell>
          <cell r="AW46">
            <v>22.5</v>
          </cell>
          <cell r="AX46">
            <v>23.214439704209333</v>
          </cell>
          <cell r="AY46">
            <v>32.500215585893066</v>
          </cell>
          <cell r="AZ46">
            <v>41.7859914675768</v>
          </cell>
          <cell r="BA46">
            <v>51.071767349260533</v>
          </cell>
          <cell r="BB46">
            <v>60.357543230944266</v>
          </cell>
          <cell r="BC46">
            <v>69.643319112628006</v>
          </cell>
          <cell r="BD46">
            <v>46.428879408418666</v>
          </cell>
          <cell r="BE46">
            <v>4.6428879408418666</v>
          </cell>
          <cell r="BG46">
            <v>22.5</v>
          </cell>
          <cell r="BH46">
            <v>17.666301478953365</v>
          </cell>
          <cell r="BI46">
            <v>26.499452218430047</v>
          </cell>
          <cell r="BJ46">
            <v>35.33260295790673</v>
          </cell>
          <cell r="BK46">
            <v>44.165753697383408</v>
          </cell>
          <cell r="BL46">
            <v>52.998904436860094</v>
          </cell>
          <cell r="BM46">
            <v>17.666301478953365</v>
          </cell>
          <cell r="BQ46">
            <v>28.5</v>
          </cell>
          <cell r="BR46">
            <v>24.446869419984125</v>
          </cell>
          <cell r="BS46">
            <v>32.595825893312167</v>
          </cell>
          <cell r="BT46">
            <v>40.744782366640209</v>
          </cell>
          <cell r="BU46">
            <v>48.89373883996825</v>
          </cell>
          <cell r="BV46">
            <v>57.042695313296292</v>
          </cell>
          <cell r="BW46">
            <v>65.191651786624334</v>
          </cell>
          <cell r="BX46">
            <v>73.340608259952376</v>
          </cell>
          <cell r="BY46">
            <v>81.489564733280417</v>
          </cell>
          <cell r="BZ46">
            <v>4.0744782366640209</v>
          </cell>
          <cell r="CC46">
            <v>28.5</v>
          </cell>
          <cell r="CD46">
            <v>27.510346761692212</v>
          </cell>
          <cell r="CE46">
            <v>38.514485466369095</v>
          </cell>
          <cell r="CF46">
            <v>49.518624171045985</v>
          </cell>
          <cell r="CG46">
            <v>60.522762875722869</v>
          </cell>
          <cell r="CH46">
            <v>71.526901580399752</v>
          </cell>
          <cell r="CI46">
            <v>82.531040285076642</v>
          </cell>
          <cell r="CJ46">
            <v>55.020693523384423</v>
          </cell>
          <cell r="CK46">
            <v>5.5020693523384425</v>
          </cell>
          <cell r="CM46">
            <v>28.5</v>
          </cell>
          <cell r="CN46">
            <v>14.042709561672567</v>
          </cell>
          <cell r="CO46">
            <v>28.085419123345133</v>
          </cell>
          <cell r="CP46">
            <v>42.1281286850177</v>
          </cell>
          <cell r="CQ46">
            <v>56.170838246690266</v>
          </cell>
          <cell r="CR46">
            <v>70.213547808362833</v>
          </cell>
          <cell r="CS46">
            <v>84.256257370035399</v>
          </cell>
          <cell r="CT46">
            <v>28.085419123345133</v>
          </cell>
          <cell r="CX46">
            <v>7.65</v>
          </cell>
          <cell r="CY46">
            <v>-3.757089262906824</v>
          </cell>
          <cell r="CZ46">
            <v>-4.69636157863353</v>
          </cell>
          <cell r="DA46">
            <v>-5.635633894360236</v>
          </cell>
          <cell r="DB46">
            <v>-6.574906210086942</v>
          </cell>
          <cell r="DC46">
            <v>-7.514178525813648</v>
          </cell>
          <cell r="DD46">
            <v>-8.453450841540354</v>
          </cell>
          <cell r="DE46">
            <v>-9.39272315726706</v>
          </cell>
          <cell r="DF46">
            <v>-7.044542367950295</v>
          </cell>
          <cell r="DG46">
            <v>-0.469636157863353</v>
          </cell>
          <cell r="DJ46">
            <v>7.65</v>
          </cell>
          <cell r="DK46">
            <v>3.0410554414358977</v>
          </cell>
          <cell r="DL46">
            <v>4.2574776180102569</v>
          </cell>
          <cell r="DM46">
            <v>5.4738997945846153</v>
          </cell>
          <cell r="DN46">
            <v>6.6903219711589745</v>
          </cell>
          <cell r="DO46">
            <v>7.9067441477333338</v>
          </cell>
          <cell r="DP46">
            <v>9.123166324307693</v>
          </cell>
          <cell r="DQ46">
            <v>6.0821108828717954</v>
          </cell>
          <cell r="DR46">
            <v>0.60821108828717951</v>
          </cell>
          <cell r="DT46">
            <v>7.65</v>
          </cell>
          <cell r="DU46">
            <v>3.1130154878200944</v>
          </cell>
          <cell r="DV46">
            <v>6.2260309756401888</v>
          </cell>
          <cell r="DW46">
            <v>9.3390464634602832</v>
          </cell>
          <cell r="DX46">
            <v>12.452061951280378</v>
          </cell>
          <cell r="DY46">
            <v>15.565077439100472</v>
          </cell>
          <cell r="DZ46">
            <v>18.678092926920566</v>
          </cell>
          <cell r="EA46">
            <v>6.2260309756401888</v>
          </cell>
          <cell r="EE46">
            <v>2.5781890000000001</v>
          </cell>
          <cell r="EF46">
            <v>1.3003016560611278</v>
          </cell>
          <cell r="EG46">
            <v>1.5603619872733532</v>
          </cell>
          <cell r="EH46">
            <v>1.8204223184855788</v>
          </cell>
          <cell r="EI46">
            <v>2.0804826496978044</v>
          </cell>
          <cell r="EJ46">
            <v>2.3405429809100298</v>
          </cell>
          <cell r="EK46">
            <v>2.6006033121222556</v>
          </cell>
          <cell r="EL46">
            <v>1.9504524840916917</v>
          </cell>
          <cell r="EM46">
            <v>0.13003016560611277</v>
          </cell>
          <cell r="EP46">
            <v>2.5781890000000001</v>
          </cell>
          <cell r="EQ46">
            <v>1.5390629368701636</v>
          </cell>
          <cell r="ER46">
            <v>2.154688111618229</v>
          </cell>
          <cell r="ES46">
            <v>2.7703132863662945</v>
          </cell>
          <cell r="ET46">
            <v>3.3859384611143599</v>
          </cell>
          <cell r="EU46">
            <v>4.0015636358624249</v>
          </cell>
          <cell r="EV46">
            <v>4.6171888106104912</v>
          </cell>
          <cell r="EW46">
            <v>3.0781258737403272</v>
          </cell>
          <cell r="EX46">
            <v>0.30781258737403272</v>
          </cell>
          <cell r="EZ46">
            <v>2.5781890000000001</v>
          </cell>
          <cell r="FA46">
            <v>1.0341832521844874</v>
          </cell>
          <cell r="FB46">
            <v>2.0683665043689747</v>
          </cell>
          <cell r="FC46">
            <v>3.1025497565534623</v>
          </cell>
          <cell r="FD46">
            <v>4.1367330087379495</v>
          </cell>
          <cell r="FE46">
            <v>5.1709162609224366</v>
          </cell>
          <cell r="FF46">
            <v>6.2050995131069246</v>
          </cell>
          <cell r="FG46">
            <v>2.0683665043689747</v>
          </cell>
        </row>
        <row r="47">
          <cell r="A47">
            <v>36769</v>
          </cell>
          <cell r="B47">
            <v>35.708069999999999</v>
          </cell>
          <cell r="C47">
            <v>12.018549014689569</v>
          </cell>
          <cell r="D47">
            <v>18.027823522034353</v>
          </cell>
          <cell r="E47">
            <v>24.037098029379138</v>
          </cell>
          <cell r="F47">
            <v>30.046372536723922</v>
          </cell>
          <cell r="G47">
            <v>36.055647044068706</v>
          </cell>
          <cell r="H47">
            <v>42.064921551413491</v>
          </cell>
          <cell r="I47">
            <v>48.074196058758275</v>
          </cell>
          <cell r="J47">
            <v>54.08347056610306</v>
          </cell>
          <cell r="K47">
            <v>60.092745073447844</v>
          </cell>
          <cell r="L47">
            <v>45.069558805085883</v>
          </cell>
          <cell r="M47">
            <v>3.0046372536723922</v>
          </cell>
          <cell r="P47">
            <v>35.708069999999999</v>
          </cell>
          <cell r="Q47">
            <v>14.412234991964411</v>
          </cell>
          <cell r="R47">
            <v>24.020391653274018</v>
          </cell>
          <cell r="S47">
            <v>33.628548314583625</v>
          </cell>
          <cell r="T47">
            <v>43.236704975893232</v>
          </cell>
          <cell r="U47">
            <v>52.84486163720284</v>
          </cell>
          <cell r="V47">
            <v>62.453018298512447</v>
          </cell>
          <cell r="W47">
            <v>72.061174959822054</v>
          </cell>
          <cell r="X47">
            <v>48.040783306548036</v>
          </cell>
          <cell r="Y47">
            <v>4.8040783306548036</v>
          </cell>
          <cell r="AA47">
            <v>35.708069999999999</v>
          </cell>
          <cell r="AB47">
            <v>18.705038391748044</v>
          </cell>
          <cell r="AC47">
            <v>28.057557587622064</v>
          </cell>
          <cell r="AD47">
            <v>37.410076783496088</v>
          </cell>
          <cell r="AE47">
            <v>46.762595979370111</v>
          </cell>
          <cell r="AF47">
            <v>56.115115175244128</v>
          </cell>
          <cell r="AG47">
            <v>18.705038391748044</v>
          </cell>
          <cell r="AK47">
            <v>25.7</v>
          </cell>
          <cell r="AL47">
            <v>22.629215017064855</v>
          </cell>
          <cell r="AM47">
            <v>28.286518771331068</v>
          </cell>
          <cell r="AN47">
            <v>33.943822525597284</v>
          </cell>
          <cell r="AO47">
            <v>39.601126279863493</v>
          </cell>
          <cell r="AP47">
            <v>45.258430034129709</v>
          </cell>
          <cell r="AQ47">
            <v>50.915733788395926</v>
          </cell>
          <cell r="AR47">
            <v>56.573037542662135</v>
          </cell>
          <cell r="AS47">
            <v>42.429778156996605</v>
          </cell>
          <cell r="AT47">
            <v>2.8286518771331068</v>
          </cell>
          <cell r="AW47">
            <v>25.7</v>
          </cell>
          <cell r="AX47">
            <v>23.447411831626855</v>
          </cell>
          <cell r="AY47">
            <v>32.826376564277595</v>
          </cell>
          <cell r="AZ47">
            <v>42.205341296928339</v>
          </cell>
          <cell r="BA47">
            <v>51.584306029579082</v>
          </cell>
          <cell r="BB47">
            <v>60.963270762229818</v>
          </cell>
          <cell r="BC47">
            <v>70.342235494880569</v>
          </cell>
          <cell r="BD47">
            <v>46.89482366325371</v>
          </cell>
          <cell r="BE47">
            <v>4.6894823663253709</v>
          </cell>
          <cell r="BG47">
            <v>25.7</v>
          </cell>
          <cell r="BH47">
            <v>17.830234357224128</v>
          </cell>
          <cell r="BI47">
            <v>26.745351535836193</v>
          </cell>
          <cell r="BJ47">
            <v>35.660468714448257</v>
          </cell>
          <cell r="BK47">
            <v>44.575585893060321</v>
          </cell>
          <cell r="BL47">
            <v>53.490703071672385</v>
          </cell>
          <cell r="BM47">
            <v>17.830234357224128</v>
          </cell>
          <cell r="BQ47">
            <v>29.95</v>
          </cell>
          <cell r="BR47">
            <v>24.780744406956011</v>
          </cell>
          <cell r="BS47">
            <v>33.040992542608016</v>
          </cell>
          <cell r="BT47">
            <v>41.301240678260022</v>
          </cell>
          <cell r="BU47">
            <v>49.561488813912021</v>
          </cell>
          <cell r="BV47">
            <v>57.821736949564027</v>
          </cell>
          <cell r="BW47">
            <v>66.081985085216033</v>
          </cell>
          <cell r="BX47">
            <v>74.342233220868039</v>
          </cell>
          <cell r="BY47">
            <v>82.602481356520045</v>
          </cell>
          <cell r="BZ47">
            <v>4.1301240678260021</v>
          </cell>
          <cell r="CC47">
            <v>29.95</v>
          </cell>
          <cell r="CD47">
            <v>27.603914089971646</v>
          </cell>
          <cell r="CE47">
            <v>38.6454797259603</v>
          </cell>
          <cell r="CF47">
            <v>49.687045361948961</v>
          </cell>
          <cell r="CG47">
            <v>60.728610997937615</v>
          </cell>
          <cell r="CH47">
            <v>71.770176633926269</v>
          </cell>
          <cell r="CI47">
            <v>82.81174226991493</v>
          </cell>
          <cell r="CJ47">
            <v>55.207828179943292</v>
          </cell>
          <cell r="CK47">
            <v>5.5207828179943288</v>
          </cell>
          <cell r="CM47">
            <v>29.95</v>
          </cell>
          <cell r="CN47">
            <v>14.167963735477777</v>
          </cell>
          <cell r="CO47">
            <v>28.335927470955554</v>
          </cell>
          <cell r="CP47">
            <v>42.50389120643333</v>
          </cell>
          <cell r="CQ47">
            <v>56.671854941911107</v>
          </cell>
          <cell r="CR47">
            <v>70.839818677388877</v>
          </cell>
          <cell r="CS47">
            <v>85.007782412866661</v>
          </cell>
          <cell r="CT47">
            <v>28.335927470955554</v>
          </cell>
          <cell r="CX47">
            <v>7.7</v>
          </cell>
          <cell r="CY47">
            <v>-2.4730955421236045</v>
          </cell>
          <cell r="CZ47">
            <v>-3.0913694276545058</v>
          </cell>
          <cell r="DA47">
            <v>-3.7096433131854067</v>
          </cell>
          <cell r="DB47">
            <v>-4.3279171987163076</v>
          </cell>
          <cell r="DC47">
            <v>-4.946191084247209</v>
          </cell>
          <cell r="DD47">
            <v>-5.5644649697781103</v>
          </cell>
          <cell r="DE47">
            <v>-6.1827388553090117</v>
          </cell>
          <cell r="DF47">
            <v>-4.6370541414817588</v>
          </cell>
          <cell r="DG47">
            <v>-0.30913694276545056</v>
          </cell>
          <cell r="DJ47">
            <v>7.7</v>
          </cell>
          <cell r="DK47">
            <v>3.0783503286932663</v>
          </cell>
          <cell r="DL47">
            <v>4.3096904601705726</v>
          </cell>
          <cell r="DM47">
            <v>5.5410305916478793</v>
          </cell>
          <cell r="DN47">
            <v>6.772370723125186</v>
          </cell>
          <cell r="DO47">
            <v>8.0037108546024918</v>
          </cell>
          <cell r="DP47">
            <v>9.2350509860797985</v>
          </cell>
          <cell r="DQ47">
            <v>6.1567006573865326</v>
          </cell>
          <cell r="DR47">
            <v>0.61567006573865324</v>
          </cell>
          <cell r="DT47">
            <v>7.7</v>
          </cell>
          <cell r="DU47">
            <v>3.0504248077279135</v>
          </cell>
          <cell r="DV47">
            <v>6.1008496154558269</v>
          </cell>
          <cell r="DW47">
            <v>9.1512744231837395</v>
          </cell>
          <cell r="DX47">
            <v>12.201699230911654</v>
          </cell>
          <cell r="DY47">
            <v>15.252124038639568</v>
          </cell>
          <cell r="DZ47">
            <v>18.302548846367479</v>
          </cell>
          <cell r="EA47">
            <v>6.1008496154558269</v>
          </cell>
          <cell r="EE47">
            <v>2.7709510000000002</v>
          </cell>
          <cell r="EF47">
            <v>1.4284191075795347</v>
          </cell>
          <cell r="EG47">
            <v>1.7141029290954415</v>
          </cell>
          <cell r="EH47">
            <v>1.9997867506113485</v>
          </cell>
          <cell r="EI47">
            <v>2.2854705721272555</v>
          </cell>
          <cell r="EJ47">
            <v>2.5711543936431625</v>
          </cell>
          <cell r="EK47">
            <v>2.8568382151590694</v>
          </cell>
          <cell r="EL47">
            <v>2.1426286613693022</v>
          </cell>
          <cell r="EM47">
            <v>0.14284191075795347</v>
          </cell>
          <cell r="EP47">
            <v>2.7709510000000002</v>
          </cell>
          <cell r="EQ47">
            <v>1.5812557357259558</v>
          </cell>
          <cell r="ER47">
            <v>2.2137580300163382</v>
          </cell>
          <cell r="ES47">
            <v>2.8462603243067202</v>
          </cell>
          <cell r="ET47">
            <v>3.4787626185971026</v>
          </cell>
          <cell r="EU47">
            <v>4.111264912887485</v>
          </cell>
          <cell r="EV47">
            <v>4.7437672071778669</v>
          </cell>
          <cell r="EW47">
            <v>3.1625114714519116</v>
          </cell>
          <cell r="EX47">
            <v>0.31625114714519115</v>
          </cell>
          <cell r="EZ47">
            <v>2.7709510000000002</v>
          </cell>
          <cell r="FA47">
            <v>1.0395802898291633</v>
          </cell>
          <cell r="FB47">
            <v>2.0791605796583266</v>
          </cell>
          <cell r="FC47">
            <v>3.1187408694874899</v>
          </cell>
          <cell r="FD47">
            <v>4.1583211593166531</v>
          </cell>
          <cell r="FE47">
            <v>5.1979014491458164</v>
          </cell>
          <cell r="FF47">
            <v>6.2374817389749797</v>
          </cell>
          <cell r="FG47">
            <v>2.0791605796583266</v>
          </cell>
        </row>
        <row r="48">
          <cell r="A48">
            <v>36798</v>
          </cell>
          <cell r="B48">
            <v>37.478720000000003</v>
          </cell>
          <cell r="C48">
            <v>12.309033712236687</v>
          </cell>
          <cell r="D48">
            <v>18.463550568355032</v>
          </cell>
          <cell r="E48">
            <v>24.618067424473374</v>
          </cell>
          <cell r="F48">
            <v>30.772584280591715</v>
          </cell>
          <cell r="G48">
            <v>36.927101136710064</v>
          </cell>
          <cell r="H48">
            <v>43.081617992828406</v>
          </cell>
          <cell r="I48">
            <v>49.236134848946747</v>
          </cell>
          <cell r="J48">
            <v>55.390651705065089</v>
          </cell>
          <cell r="K48">
            <v>61.545168561183431</v>
          </cell>
          <cell r="L48">
            <v>46.158876420887573</v>
          </cell>
          <cell r="M48">
            <v>3.0772584280591717</v>
          </cell>
          <cell r="P48">
            <v>37.478720000000003</v>
          </cell>
          <cell r="Q48">
            <v>14.510395756168426</v>
          </cell>
          <cell r="R48">
            <v>24.183992926947376</v>
          </cell>
          <cell r="S48">
            <v>33.85759009772633</v>
          </cell>
          <cell r="T48">
            <v>43.531187268505278</v>
          </cell>
          <cell r="U48">
            <v>53.204784439284232</v>
          </cell>
          <cell r="V48">
            <v>62.87838161006318</v>
          </cell>
          <cell r="W48">
            <v>72.551978780842134</v>
          </cell>
          <cell r="X48">
            <v>48.367985853894751</v>
          </cell>
          <cell r="Y48">
            <v>4.8367985853894755</v>
          </cell>
          <cell r="AA48">
            <v>37.478720000000003</v>
          </cell>
          <cell r="AB48">
            <v>18.931217818201272</v>
          </cell>
          <cell r="AC48">
            <v>28.396826727301907</v>
          </cell>
          <cell r="AD48">
            <v>37.862435636402545</v>
          </cell>
          <cell r="AE48">
            <v>47.328044545503182</v>
          </cell>
          <cell r="AF48">
            <v>56.793653454603813</v>
          </cell>
          <cell r="AG48">
            <v>18.931217818201272</v>
          </cell>
          <cell r="AK48">
            <v>25.1</v>
          </cell>
          <cell r="AL48">
            <v>23.129836177474413</v>
          </cell>
          <cell r="AM48">
            <v>28.912295221843017</v>
          </cell>
          <cell r="AN48">
            <v>34.694754266211618</v>
          </cell>
          <cell r="AO48">
            <v>40.477213310580225</v>
          </cell>
          <cell r="AP48">
            <v>46.259672354948826</v>
          </cell>
          <cell r="AQ48">
            <v>52.042131399317427</v>
          </cell>
          <cell r="AR48">
            <v>57.824590443686034</v>
          </cell>
          <cell r="AS48">
            <v>43.368442832764522</v>
          </cell>
          <cell r="AT48">
            <v>2.8912295221843016</v>
          </cell>
          <cell r="AW48">
            <v>25.1</v>
          </cell>
          <cell r="AX48">
            <v>23.680383959044377</v>
          </cell>
          <cell r="AY48">
            <v>33.152537542662124</v>
          </cell>
          <cell r="AZ48">
            <v>42.624691126279878</v>
          </cell>
          <cell r="BA48">
            <v>52.096844709897624</v>
          </cell>
          <cell r="BB48">
            <v>61.568998293515378</v>
          </cell>
          <cell r="BC48">
            <v>71.041151877133132</v>
          </cell>
          <cell r="BD48">
            <v>47.360767918088754</v>
          </cell>
          <cell r="BE48">
            <v>4.7360767918088751</v>
          </cell>
          <cell r="BG48">
            <v>25.1</v>
          </cell>
          <cell r="BH48">
            <v>17.994167235494892</v>
          </cell>
          <cell r="BI48">
            <v>26.991250853242338</v>
          </cell>
          <cell r="BJ48">
            <v>35.988334470989784</v>
          </cell>
          <cell r="BK48">
            <v>44.985418088737234</v>
          </cell>
          <cell r="BL48">
            <v>53.982501706484676</v>
          </cell>
          <cell r="BM48">
            <v>17.994167235494892</v>
          </cell>
          <cell r="BQ48">
            <v>29.2</v>
          </cell>
          <cell r="BR48">
            <v>25.114619393927899</v>
          </cell>
          <cell r="BS48">
            <v>33.486159191903866</v>
          </cell>
          <cell r="BT48">
            <v>41.857698989879836</v>
          </cell>
          <cell r="BU48">
            <v>50.229238787855799</v>
          </cell>
          <cell r="BV48">
            <v>58.600778585831762</v>
          </cell>
          <cell r="BW48">
            <v>66.972318383807732</v>
          </cell>
          <cell r="BX48">
            <v>75.343858181783702</v>
          </cell>
          <cell r="BY48">
            <v>83.715397979759672</v>
          </cell>
          <cell r="BZ48">
            <v>4.1857698989879832</v>
          </cell>
          <cell r="CC48">
            <v>29.2</v>
          </cell>
          <cell r="CD48">
            <v>27.697481418251076</v>
          </cell>
          <cell r="CE48">
            <v>38.776473985551505</v>
          </cell>
          <cell r="CF48">
            <v>49.855466552851937</v>
          </cell>
          <cell r="CG48">
            <v>60.934459120152368</v>
          </cell>
          <cell r="CH48">
            <v>72.0134516874528</v>
          </cell>
          <cell r="CI48">
            <v>83.092444254753232</v>
          </cell>
          <cell r="CJ48">
            <v>55.394962836502152</v>
          </cell>
          <cell r="CK48">
            <v>5.5394962836502151</v>
          </cell>
          <cell r="CM48">
            <v>29.2</v>
          </cell>
          <cell r="CN48">
            <v>14.293217909282987</v>
          </cell>
          <cell r="CO48">
            <v>28.586435818565974</v>
          </cell>
          <cell r="CP48">
            <v>42.879653727848961</v>
          </cell>
          <cell r="CQ48">
            <v>57.172871637131948</v>
          </cell>
          <cell r="CR48">
            <v>71.466089546414935</v>
          </cell>
          <cell r="CS48">
            <v>85.759307455697922</v>
          </cell>
          <cell r="CT48">
            <v>28.586435818565974</v>
          </cell>
          <cell r="CX48">
            <v>7.45</v>
          </cell>
          <cell r="CY48">
            <v>-1.189101821340385</v>
          </cell>
          <cell r="CZ48">
            <v>-1.4863772766754813</v>
          </cell>
          <cell r="DA48">
            <v>-1.7836527320105775</v>
          </cell>
          <cell r="DB48">
            <v>-2.0809281873456738</v>
          </cell>
          <cell r="DC48">
            <v>-2.37820364268077</v>
          </cell>
          <cell r="DD48">
            <v>-2.6754790980158663</v>
          </cell>
          <cell r="DE48">
            <v>-2.9727545533509625</v>
          </cell>
          <cell r="DF48">
            <v>-2.2295659150132217</v>
          </cell>
          <cell r="DG48">
            <v>-0.14863772766754813</v>
          </cell>
          <cell r="DJ48">
            <v>7.45</v>
          </cell>
          <cell r="DK48">
            <v>3.1156452159506349</v>
          </cell>
          <cell r="DL48">
            <v>4.3619033023308891</v>
          </cell>
          <cell r="DM48">
            <v>5.6081613887111423</v>
          </cell>
          <cell r="DN48">
            <v>6.8544194750913965</v>
          </cell>
          <cell r="DO48">
            <v>8.1006775614716506</v>
          </cell>
          <cell r="DP48">
            <v>9.3469356478519039</v>
          </cell>
          <cell r="DQ48">
            <v>6.2312904319012699</v>
          </cell>
          <cell r="DR48">
            <v>0.62312904319012696</v>
          </cell>
          <cell r="DT48">
            <v>7.45</v>
          </cell>
          <cell r="DU48">
            <v>2.9878341276357325</v>
          </cell>
          <cell r="DV48">
            <v>5.9756682552714651</v>
          </cell>
          <cell r="DW48">
            <v>8.9635023829071976</v>
          </cell>
          <cell r="DX48">
            <v>11.95133651054293</v>
          </cell>
          <cell r="DY48">
            <v>14.939170638178663</v>
          </cell>
          <cell r="DZ48">
            <v>17.927004765814395</v>
          </cell>
          <cell r="EA48">
            <v>5.9756682552714651</v>
          </cell>
          <cell r="EE48">
            <v>2.505903</v>
          </cell>
          <cell r="EF48">
            <v>1.5565365590979416</v>
          </cell>
          <cell r="EG48">
            <v>1.8678438709175298</v>
          </cell>
          <cell r="EH48">
            <v>2.1791511827371184</v>
          </cell>
          <cell r="EI48">
            <v>2.4904584945567065</v>
          </cell>
          <cell r="EJ48">
            <v>2.8017658063762947</v>
          </cell>
          <cell r="EK48">
            <v>3.1130731181958833</v>
          </cell>
          <cell r="EL48">
            <v>2.3348048386469125</v>
          </cell>
          <cell r="EM48">
            <v>0.15565365590979416</v>
          </cell>
          <cell r="EP48">
            <v>2.505903</v>
          </cell>
          <cell r="EQ48">
            <v>1.623448534581748</v>
          </cell>
          <cell r="ER48">
            <v>2.2728279484144469</v>
          </cell>
          <cell r="ES48">
            <v>2.9222073622471463</v>
          </cell>
          <cell r="ET48">
            <v>3.5715867760798452</v>
          </cell>
          <cell r="EU48">
            <v>4.2209661899125441</v>
          </cell>
          <cell r="EV48">
            <v>4.8703456037452435</v>
          </cell>
          <cell r="EW48">
            <v>3.246897069163496</v>
          </cell>
          <cell r="EX48">
            <v>0.32468970691634957</v>
          </cell>
          <cell r="EZ48">
            <v>2.505903</v>
          </cell>
          <cell r="FA48">
            <v>1.0449773274738392</v>
          </cell>
          <cell r="FB48">
            <v>2.0899546549476784</v>
          </cell>
          <cell r="FC48">
            <v>3.1349319824215174</v>
          </cell>
          <cell r="FD48">
            <v>4.1799093098953568</v>
          </cell>
          <cell r="FE48">
            <v>5.2248866373691962</v>
          </cell>
          <cell r="FF48">
            <v>6.2698639648430348</v>
          </cell>
          <cell r="FG48">
            <v>2.0899546549476784</v>
          </cell>
        </row>
        <row r="49">
          <cell r="A49">
            <v>36830</v>
          </cell>
          <cell r="B49">
            <v>32.95373</v>
          </cell>
          <cell r="C49">
            <v>12.599518409783805</v>
          </cell>
          <cell r="D49">
            <v>18.899277614675707</v>
          </cell>
          <cell r="E49">
            <v>25.19903681956761</v>
          </cell>
          <cell r="F49">
            <v>31.498796024459512</v>
          </cell>
          <cell r="G49">
            <v>37.798555229351415</v>
          </cell>
          <cell r="H49">
            <v>44.098314434243321</v>
          </cell>
          <cell r="I49">
            <v>50.39807363913522</v>
          </cell>
          <cell r="J49">
            <v>56.697832844027118</v>
          </cell>
          <cell r="K49">
            <v>62.997592048919024</v>
          </cell>
          <cell r="L49">
            <v>47.24819403668927</v>
          </cell>
          <cell r="M49">
            <v>3.1498796024459512</v>
          </cell>
          <cell r="P49">
            <v>32.95373</v>
          </cell>
          <cell r="Q49">
            <v>14.608556520372442</v>
          </cell>
          <cell r="R49">
            <v>24.347594200620737</v>
          </cell>
          <cell r="S49">
            <v>34.086631880869035</v>
          </cell>
          <cell r="T49">
            <v>43.825669561117323</v>
          </cell>
          <cell r="U49">
            <v>53.564707241365625</v>
          </cell>
          <cell r="V49">
            <v>63.303744921613912</v>
          </cell>
          <cell r="W49">
            <v>73.042782601862214</v>
          </cell>
          <cell r="X49">
            <v>48.695188401241474</v>
          </cell>
          <cell r="Y49">
            <v>4.8695188401241474</v>
          </cell>
          <cell r="AA49">
            <v>32.95373</v>
          </cell>
          <cell r="AB49">
            <v>19.157397244654501</v>
          </cell>
          <cell r="AC49">
            <v>28.736095866981749</v>
          </cell>
          <cell r="AD49">
            <v>38.314794489309001</v>
          </cell>
          <cell r="AE49">
            <v>47.893493111636253</v>
          </cell>
          <cell r="AF49">
            <v>57.472191733963498</v>
          </cell>
          <cell r="AG49">
            <v>19.157397244654501</v>
          </cell>
          <cell r="AK49">
            <v>23.8</v>
          </cell>
          <cell r="AL49">
            <v>23.630457337883971</v>
          </cell>
          <cell r="AM49">
            <v>29.538071672354963</v>
          </cell>
          <cell r="AN49">
            <v>35.445686006825959</v>
          </cell>
          <cell r="AO49">
            <v>41.353300341296951</v>
          </cell>
          <cell r="AP49">
            <v>47.260914675767943</v>
          </cell>
          <cell r="AQ49">
            <v>53.168529010238935</v>
          </cell>
          <cell r="AR49">
            <v>59.076143344709926</v>
          </cell>
          <cell r="AS49">
            <v>44.307107508532447</v>
          </cell>
          <cell r="AT49">
            <v>2.9538071672354964</v>
          </cell>
          <cell r="AW49">
            <v>23.8</v>
          </cell>
          <cell r="AX49">
            <v>23.913356086461896</v>
          </cell>
          <cell r="AY49">
            <v>33.478698521046653</v>
          </cell>
          <cell r="AZ49">
            <v>43.044040955631417</v>
          </cell>
          <cell r="BA49">
            <v>52.609383390216173</v>
          </cell>
          <cell r="BB49">
            <v>62.17472582480093</v>
          </cell>
          <cell r="BC49">
            <v>71.740068259385694</v>
          </cell>
          <cell r="BD49">
            <v>47.826712172923791</v>
          </cell>
          <cell r="BE49">
            <v>4.7826712172923793</v>
          </cell>
          <cell r="BG49">
            <v>23.8</v>
          </cell>
          <cell r="BH49">
            <v>18.158100113765656</v>
          </cell>
          <cell r="BI49">
            <v>27.237150170648484</v>
          </cell>
          <cell r="BJ49">
            <v>36.316200227531311</v>
          </cell>
          <cell r="BK49">
            <v>45.395250284414139</v>
          </cell>
          <cell r="BL49">
            <v>54.474300341296967</v>
          </cell>
          <cell r="BM49">
            <v>18.158100113765656</v>
          </cell>
          <cell r="BQ49">
            <v>29</v>
          </cell>
          <cell r="BR49">
            <v>25.448494380899788</v>
          </cell>
          <cell r="BS49">
            <v>33.931325841199715</v>
          </cell>
          <cell r="BT49">
            <v>42.414157301499642</v>
          </cell>
          <cell r="BU49">
            <v>50.896988761799577</v>
          </cell>
          <cell r="BV49">
            <v>59.379820222099504</v>
          </cell>
          <cell r="BW49">
            <v>67.862651682399431</v>
          </cell>
          <cell r="BX49">
            <v>76.345483142699365</v>
          </cell>
          <cell r="BY49">
            <v>84.828314602999285</v>
          </cell>
          <cell r="BZ49">
            <v>4.2414157301499644</v>
          </cell>
          <cell r="CC49">
            <v>29</v>
          </cell>
          <cell r="CD49">
            <v>27.791048746530507</v>
          </cell>
          <cell r="CE49">
            <v>38.907468245142709</v>
          </cell>
          <cell r="CF49">
            <v>50.023887743754912</v>
          </cell>
          <cell r="CG49">
            <v>61.140307242367115</v>
          </cell>
          <cell r="CH49">
            <v>72.256726740979317</v>
          </cell>
          <cell r="CI49">
            <v>83.37314623959152</v>
          </cell>
          <cell r="CJ49">
            <v>55.582097493061013</v>
          </cell>
          <cell r="CK49">
            <v>5.5582097493061013</v>
          </cell>
          <cell r="CM49">
            <v>29</v>
          </cell>
          <cell r="CN49">
            <v>14.418472083088197</v>
          </cell>
          <cell r="CO49">
            <v>28.836944166176394</v>
          </cell>
          <cell r="CP49">
            <v>43.255416249264591</v>
          </cell>
          <cell r="CQ49">
            <v>57.673888332352789</v>
          </cell>
          <cell r="CR49">
            <v>72.092360415440993</v>
          </cell>
          <cell r="CS49">
            <v>86.510832498529183</v>
          </cell>
          <cell r="CT49">
            <v>28.836944166176394</v>
          </cell>
          <cell r="CX49">
            <v>6.1</v>
          </cell>
          <cell r="CY49">
            <v>9.4891899442834493E-2</v>
          </cell>
          <cell r="CZ49">
            <v>0.11861487430354312</v>
          </cell>
          <cell r="DA49">
            <v>0.14233784916425174</v>
          </cell>
          <cell r="DB49">
            <v>0.16606082402496036</v>
          </cell>
          <cell r="DC49">
            <v>0.18978379888566899</v>
          </cell>
          <cell r="DD49">
            <v>0.21350677374637761</v>
          </cell>
          <cell r="DE49">
            <v>0.23722974860708623</v>
          </cell>
          <cell r="DF49">
            <v>0.17792231145531467</v>
          </cell>
          <cell r="DG49">
            <v>1.1861487430354312E-2</v>
          </cell>
          <cell r="DJ49">
            <v>6.1</v>
          </cell>
          <cell r="DK49">
            <v>3.1529401032080036</v>
          </cell>
          <cell r="DL49">
            <v>4.4141161444912047</v>
          </cell>
          <cell r="DM49">
            <v>5.6752921857744063</v>
          </cell>
          <cell r="DN49">
            <v>6.9364682270576079</v>
          </cell>
          <cell r="DO49">
            <v>8.1976442683408095</v>
          </cell>
          <cell r="DP49">
            <v>9.4588203096240111</v>
          </cell>
          <cell r="DQ49">
            <v>6.3058802064160071</v>
          </cell>
          <cell r="DR49">
            <v>0.63058802064160069</v>
          </cell>
          <cell r="DT49">
            <v>6.1</v>
          </cell>
          <cell r="DU49">
            <v>2.9252434475435516</v>
          </cell>
          <cell r="DV49">
            <v>5.8504868950871032</v>
          </cell>
          <cell r="DW49">
            <v>8.7757303426306557</v>
          </cell>
          <cell r="DX49">
            <v>11.700973790174206</v>
          </cell>
          <cell r="DY49">
            <v>14.626217237717757</v>
          </cell>
          <cell r="DZ49">
            <v>17.551460685261311</v>
          </cell>
          <cell r="EA49">
            <v>5.8504868950871032</v>
          </cell>
          <cell r="EE49">
            <v>2.2890459999999999</v>
          </cell>
          <cell r="EF49">
            <v>1.6846540106163486</v>
          </cell>
          <cell r="EG49">
            <v>2.0215848127396181</v>
          </cell>
          <cell r="EH49">
            <v>2.3585156148628879</v>
          </cell>
          <cell r="EI49">
            <v>2.6954464169861576</v>
          </cell>
          <cell r="EJ49">
            <v>3.0323772191094274</v>
          </cell>
          <cell r="EK49">
            <v>3.3693080212326971</v>
          </cell>
          <cell r="EL49">
            <v>2.5269810159245227</v>
          </cell>
          <cell r="EM49">
            <v>0.16846540106163485</v>
          </cell>
          <cell r="EP49">
            <v>2.2890459999999999</v>
          </cell>
          <cell r="EQ49">
            <v>1.66564133343754</v>
          </cell>
          <cell r="ER49">
            <v>2.3318978668125561</v>
          </cell>
          <cell r="ES49">
            <v>2.998154400187572</v>
          </cell>
          <cell r="ET49">
            <v>3.6644109335625878</v>
          </cell>
          <cell r="EU49">
            <v>4.3306674669376042</v>
          </cell>
          <cell r="EV49">
            <v>4.9969240003126201</v>
          </cell>
          <cell r="EW49">
            <v>3.3312826668750799</v>
          </cell>
          <cell r="EX49">
            <v>0.333128266687508</v>
          </cell>
          <cell r="EZ49">
            <v>2.2890459999999999</v>
          </cell>
          <cell r="FA49">
            <v>1.0503743651185151</v>
          </cell>
          <cell r="FB49">
            <v>2.1007487302370302</v>
          </cell>
          <cell r="FC49">
            <v>3.1511230953555454</v>
          </cell>
          <cell r="FD49">
            <v>4.2014974604740605</v>
          </cell>
          <cell r="FE49">
            <v>5.2518718255925751</v>
          </cell>
          <cell r="FF49">
            <v>6.3022461907110907</v>
          </cell>
          <cell r="FG49">
            <v>2.1007487302370302</v>
          </cell>
        </row>
        <row r="50">
          <cell r="A50">
            <v>36860</v>
          </cell>
          <cell r="B50">
            <v>33.740679999999998</v>
          </cell>
          <cell r="C50">
            <v>12.890003107330923</v>
          </cell>
          <cell r="D50">
            <v>19.335004660996383</v>
          </cell>
          <cell r="E50">
            <v>25.780006214661846</v>
          </cell>
          <cell r="F50">
            <v>32.225007768327309</v>
          </cell>
          <cell r="G50">
            <v>38.670009321992765</v>
          </cell>
          <cell r="H50">
            <v>45.115010875658228</v>
          </cell>
          <cell r="I50">
            <v>51.560012429323692</v>
          </cell>
          <cell r="J50">
            <v>58.005013982989155</v>
          </cell>
          <cell r="K50">
            <v>64.450015536654618</v>
          </cell>
          <cell r="L50">
            <v>48.33751165249096</v>
          </cell>
          <cell r="M50">
            <v>3.2225007768327307</v>
          </cell>
          <cell r="P50">
            <v>33.740679999999998</v>
          </cell>
          <cell r="Q50">
            <v>14.706717284576458</v>
          </cell>
          <cell r="R50">
            <v>24.511195474294098</v>
          </cell>
          <cell r="S50">
            <v>34.315673664011733</v>
          </cell>
          <cell r="T50">
            <v>44.120151853729375</v>
          </cell>
          <cell r="U50">
            <v>53.92463004344701</v>
          </cell>
          <cell r="V50">
            <v>63.729108233164652</v>
          </cell>
          <cell r="W50">
            <v>73.533586422882294</v>
          </cell>
          <cell r="X50">
            <v>49.022390948588196</v>
          </cell>
          <cell r="Y50">
            <v>4.9022390948588193</v>
          </cell>
          <cell r="AA50">
            <v>33.740679999999998</v>
          </cell>
          <cell r="AB50">
            <v>19.383576671107729</v>
          </cell>
          <cell r="AC50">
            <v>29.075365006661592</v>
          </cell>
          <cell r="AD50">
            <v>38.767153342215458</v>
          </cell>
          <cell r="AE50">
            <v>48.458941677769324</v>
          </cell>
          <cell r="AF50">
            <v>58.150730013323184</v>
          </cell>
          <cell r="AG50">
            <v>19.383576671107729</v>
          </cell>
          <cell r="AK50">
            <v>25.55</v>
          </cell>
          <cell r="AL50">
            <v>24.13107849829353</v>
          </cell>
          <cell r="AM50">
            <v>30.163848122866913</v>
          </cell>
          <cell r="AN50">
            <v>36.196617747440293</v>
          </cell>
          <cell r="AO50">
            <v>42.229387372013676</v>
          </cell>
          <cell r="AP50">
            <v>48.262156996587059</v>
          </cell>
          <cell r="AQ50">
            <v>54.294926621160442</v>
          </cell>
          <cell r="AR50">
            <v>60.327696245733826</v>
          </cell>
          <cell r="AS50">
            <v>45.245772184300371</v>
          </cell>
          <cell r="AT50">
            <v>3.0163848122866912</v>
          </cell>
          <cell r="AW50">
            <v>25.55</v>
          </cell>
          <cell r="AX50">
            <v>24.146328213879418</v>
          </cell>
          <cell r="AY50">
            <v>33.804859499431188</v>
          </cell>
          <cell r="AZ50">
            <v>43.463390784982948</v>
          </cell>
          <cell r="BA50">
            <v>53.121922070534723</v>
          </cell>
          <cell r="BB50">
            <v>62.780453356086483</v>
          </cell>
          <cell r="BC50">
            <v>72.438984641638257</v>
          </cell>
          <cell r="BD50">
            <v>48.292656427758835</v>
          </cell>
          <cell r="BE50">
            <v>4.8292656427758835</v>
          </cell>
          <cell r="BG50">
            <v>25.55</v>
          </cell>
          <cell r="BH50">
            <v>18.322032992036419</v>
          </cell>
          <cell r="BI50">
            <v>27.483049488054629</v>
          </cell>
          <cell r="BJ50">
            <v>36.644065984072839</v>
          </cell>
          <cell r="BK50">
            <v>45.805082480091045</v>
          </cell>
          <cell r="BL50">
            <v>54.966098976109258</v>
          </cell>
          <cell r="BM50">
            <v>18.322032992036419</v>
          </cell>
          <cell r="BQ50">
            <v>28.8</v>
          </cell>
          <cell r="BR50">
            <v>25.782369367871674</v>
          </cell>
          <cell r="BS50">
            <v>34.376492490495565</v>
          </cell>
          <cell r="BT50">
            <v>42.970615613119456</v>
          </cell>
          <cell r="BU50">
            <v>51.564738735743347</v>
          </cell>
          <cell r="BV50">
            <v>60.158861858367239</v>
          </cell>
          <cell r="BW50">
            <v>68.75298498099113</v>
          </cell>
          <cell r="BX50">
            <v>77.347108103615028</v>
          </cell>
          <cell r="BY50">
            <v>85.941231226238912</v>
          </cell>
          <cell r="BZ50">
            <v>4.2970615613119456</v>
          </cell>
          <cell r="CC50">
            <v>28.8</v>
          </cell>
          <cell r="CD50">
            <v>27.884616074809937</v>
          </cell>
          <cell r="CE50">
            <v>39.038462504733914</v>
          </cell>
          <cell r="CF50">
            <v>50.192308934657888</v>
          </cell>
          <cell r="CG50">
            <v>61.346155364581861</v>
          </cell>
          <cell r="CH50">
            <v>72.500001794505835</v>
          </cell>
          <cell r="CI50">
            <v>83.653848224429808</v>
          </cell>
          <cell r="CJ50">
            <v>55.769232149619874</v>
          </cell>
          <cell r="CK50">
            <v>5.5769232149619876</v>
          </cell>
          <cell r="CM50">
            <v>28.8</v>
          </cell>
          <cell r="CN50">
            <v>14.543726256893407</v>
          </cell>
          <cell r="CO50">
            <v>29.087452513786815</v>
          </cell>
          <cell r="CP50">
            <v>43.631178770680222</v>
          </cell>
          <cell r="CQ50">
            <v>58.174905027573629</v>
          </cell>
          <cell r="CR50">
            <v>72.718631284467037</v>
          </cell>
          <cell r="CS50">
            <v>87.262357541360444</v>
          </cell>
          <cell r="CT50">
            <v>29.087452513786815</v>
          </cell>
          <cell r="CX50">
            <v>6.3</v>
          </cell>
          <cell r="CY50">
            <v>1.378885620226054</v>
          </cell>
          <cell r="CZ50">
            <v>1.7236070252825675</v>
          </cell>
          <cell r="DA50">
            <v>2.068328430339081</v>
          </cell>
          <cell r="DB50">
            <v>2.4130498353955945</v>
          </cell>
          <cell r="DC50">
            <v>2.757771240452108</v>
          </cell>
          <cell r="DD50">
            <v>3.1024926455086215</v>
          </cell>
          <cell r="DE50">
            <v>3.447214050565135</v>
          </cell>
          <cell r="DF50">
            <v>2.5854105379238512</v>
          </cell>
          <cell r="DG50">
            <v>0.17236070252825675</v>
          </cell>
          <cell r="DJ50">
            <v>6.3</v>
          </cell>
          <cell r="DK50">
            <v>3.1902349904653722</v>
          </cell>
          <cell r="DL50">
            <v>4.4663289866515212</v>
          </cell>
          <cell r="DM50">
            <v>5.7424229828376694</v>
          </cell>
          <cell r="DN50">
            <v>7.0185169790238184</v>
          </cell>
          <cell r="DO50">
            <v>8.2946109752099666</v>
          </cell>
          <cell r="DP50">
            <v>9.5707049713961165</v>
          </cell>
          <cell r="DQ50">
            <v>6.3804699809307444</v>
          </cell>
          <cell r="DR50">
            <v>0.63804699809307441</v>
          </cell>
          <cell r="DT50">
            <v>6.3</v>
          </cell>
          <cell r="DU50">
            <v>2.8626527674513707</v>
          </cell>
          <cell r="DV50">
            <v>5.7253055349027413</v>
          </cell>
          <cell r="DW50">
            <v>8.587958302354112</v>
          </cell>
          <cell r="DX50">
            <v>11.450611069805483</v>
          </cell>
          <cell r="DY50">
            <v>14.313263837256853</v>
          </cell>
          <cell r="DZ50">
            <v>17.175916604708224</v>
          </cell>
          <cell r="EA50">
            <v>5.7253055349027413</v>
          </cell>
          <cell r="EE50">
            <v>2.1444749999999999</v>
          </cell>
          <cell r="EF50">
            <v>1.8127714621347555</v>
          </cell>
          <cell r="EG50">
            <v>2.1753257545617064</v>
          </cell>
          <cell r="EH50">
            <v>2.5378800469886578</v>
          </cell>
          <cell r="EI50">
            <v>2.9004343394156087</v>
          </cell>
          <cell r="EJ50">
            <v>3.2629886318425596</v>
          </cell>
          <cell r="EK50">
            <v>3.625542924269511</v>
          </cell>
          <cell r="EL50">
            <v>2.719157193202133</v>
          </cell>
          <cell r="EM50">
            <v>0.18127714621347554</v>
          </cell>
          <cell r="EP50">
            <v>2.1444749999999999</v>
          </cell>
          <cell r="EQ50">
            <v>1.7078341322933321</v>
          </cell>
          <cell r="ER50">
            <v>2.3909677852106652</v>
          </cell>
          <cell r="ES50">
            <v>3.0741014381279976</v>
          </cell>
          <cell r="ET50">
            <v>3.7572350910453309</v>
          </cell>
          <cell r="EU50">
            <v>4.4403687439626633</v>
          </cell>
          <cell r="EV50">
            <v>5.1235023968799966</v>
          </cell>
          <cell r="EW50">
            <v>3.4156682645866643</v>
          </cell>
          <cell r="EX50">
            <v>0.34156682645866643</v>
          </cell>
          <cell r="EZ50">
            <v>2.1444749999999999</v>
          </cell>
          <cell r="FA50">
            <v>1.055771402763191</v>
          </cell>
          <cell r="FB50">
            <v>2.1115428055263821</v>
          </cell>
          <cell r="FC50">
            <v>3.1673142082895733</v>
          </cell>
          <cell r="FD50">
            <v>4.2230856110527641</v>
          </cell>
          <cell r="FE50">
            <v>5.278857013815955</v>
          </cell>
          <cell r="FF50">
            <v>6.3346284165791467</v>
          </cell>
          <cell r="FG50">
            <v>2.1115428055263821</v>
          </cell>
          <cell r="FK50" t="str">
            <v>WLB</v>
          </cell>
          <cell r="FT50" t="str">
            <v>WLB</v>
          </cell>
          <cell r="GC50" t="str">
            <v>WLB</v>
          </cell>
        </row>
        <row r="51">
          <cell r="A51">
            <v>36889</v>
          </cell>
          <cell r="B51">
            <v>41.31512</v>
          </cell>
          <cell r="C51">
            <v>13.18048780487805</v>
          </cell>
          <cell r="D51">
            <v>19.770731707317076</v>
          </cell>
          <cell r="E51">
            <v>26.3609756097561</v>
          </cell>
          <cell r="F51">
            <v>32.951219512195124</v>
          </cell>
          <cell r="G51">
            <v>39.541463414634151</v>
          </cell>
          <cell r="H51">
            <v>46.131707317073172</v>
          </cell>
          <cell r="I51">
            <v>52.721951219512199</v>
          </cell>
          <cell r="J51">
            <v>59.312195121951227</v>
          </cell>
          <cell r="K51">
            <v>65.902439024390247</v>
          </cell>
          <cell r="L51">
            <v>49.426829268292686</v>
          </cell>
          <cell r="M51">
            <v>3.2951219512195125</v>
          </cell>
          <cell r="P51">
            <v>41.31512</v>
          </cell>
          <cell r="Q51">
            <v>14.804878048780488</v>
          </cell>
          <cell r="R51">
            <v>24.674796747967477</v>
          </cell>
          <cell r="S51">
            <v>34.544715447154466</v>
          </cell>
          <cell r="T51">
            <v>44.414634146341463</v>
          </cell>
          <cell r="U51">
            <v>54.284552845528452</v>
          </cell>
          <cell r="V51">
            <v>64.154471544715449</v>
          </cell>
          <cell r="W51">
            <v>74.024390243902431</v>
          </cell>
          <cell r="X51">
            <v>49.349593495934954</v>
          </cell>
          <cell r="Y51">
            <v>4.9349593495934956</v>
          </cell>
          <cell r="AA51">
            <v>41.31512</v>
          </cell>
          <cell r="AB51">
            <v>19.609756097560975</v>
          </cell>
          <cell r="AC51">
            <v>29.414634146341463</v>
          </cell>
          <cell r="AD51">
            <v>39.219512195121951</v>
          </cell>
          <cell r="AE51">
            <v>49.024390243902438</v>
          </cell>
          <cell r="AF51">
            <v>58.829268292682926</v>
          </cell>
          <cell r="AG51">
            <v>19.609756097560975</v>
          </cell>
          <cell r="AK51">
            <v>28.2</v>
          </cell>
          <cell r="AL51">
            <v>24.631699658703088</v>
          </cell>
          <cell r="AM51">
            <v>30.789624573378859</v>
          </cell>
          <cell r="AN51">
            <v>36.947549488054634</v>
          </cell>
          <cell r="AO51">
            <v>43.105474402730401</v>
          </cell>
          <cell r="AP51">
            <v>49.263399317406176</v>
          </cell>
          <cell r="AQ51">
            <v>55.42132423208195</v>
          </cell>
          <cell r="AR51">
            <v>61.579249146757718</v>
          </cell>
          <cell r="AS51">
            <v>46.184436860068288</v>
          </cell>
          <cell r="AT51">
            <v>3.078962457337886</v>
          </cell>
          <cell r="AW51">
            <v>28.2</v>
          </cell>
          <cell r="AX51">
            <v>24.379300341296933</v>
          </cell>
          <cell r="AY51">
            <v>34.13102047781571</v>
          </cell>
          <cell r="AZ51">
            <v>43.88274061433448</v>
          </cell>
          <cell r="BA51">
            <v>53.634460750853258</v>
          </cell>
          <cell r="BB51">
            <v>63.386180887372028</v>
          </cell>
          <cell r="BC51">
            <v>73.137901023890805</v>
          </cell>
          <cell r="BD51">
            <v>48.758600682593865</v>
          </cell>
          <cell r="BE51">
            <v>4.8758600682593869</v>
          </cell>
          <cell r="BG51">
            <v>28.2</v>
          </cell>
          <cell r="BH51">
            <v>18.485965870307165</v>
          </cell>
          <cell r="BI51">
            <v>27.728948805460746</v>
          </cell>
          <cell r="BJ51">
            <v>36.97193174061433</v>
          </cell>
          <cell r="BK51">
            <v>46.214914675767915</v>
          </cell>
          <cell r="BL51">
            <v>55.457897610921492</v>
          </cell>
          <cell r="BM51">
            <v>18.485965870307165</v>
          </cell>
          <cell r="BQ51">
            <v>31.6</v>
          </cell>
          <cell r="BR51">
            <v>26.116244354843573</v>
          </cell>
          <cell r="BS51">
            <v>34.821659139791429</v>
          </cell>
          <cell r="BT51">
            <v>43.527073924739284</v>
          </cell>
          <cell r="BU51">
            <v>52.232488709687146</v>
          </cell>
          <cell r="BV51">
            <v>60.937903494635002</v>
          </cell>
          <cell r="BW51">
            <v>69.643318279582857</v>
          </cell>
          <cell r="BX51">
            <v>78.34873306453072</v>
          </cell>
          <cell r="BY51">
            <v>87.054147849478568</v>
          </cell>
          <cell r="BZ51">
            <v>4.3527073924739286</v>
          </cell>
          <cell r="CC51">
            <v>31.6</v>
          </cell>
          <cell r="CD51">
            <v>27.978183403089361</v>
          </cell>
          <cell r="CE51">
            <v>39.169456764325105</v>
          </cell>
          <cell r="CF51">
            <v>50.360730125560849</v>
          </cell>
          <cell r="CG51">
            <v>61.552003486796593</v>
          </cell>
          <cell r="CH51">
            <v>72.743276848032338</v>
          </cell>
          <cell r="CI51">
            <v>83.934550209268082</v>
          </cell>
          <cell r="CJ51">
            <v>55.956366806178721</v>
          </cell>
          <cell r="CK51">
            <v>5.5956366806178721</v>
          </cell>
          <cell r="CM51">
            <v>31.6</v>
          </cell>
          <cell r="CN51">
            <v>14.668980430698625</v>
          </cell>
          <cell r="CO51">
            <v>29.337960861397249</v>
          </cell>
          <cell r="CP51">
            <v>44.006941292095874</v>
          </cell>
          <cell r="CQ51">
            <v>58.675921722794499</v>
          </cell>
          <cell r="CR51">
            <v>73.344902153493123</v>
          </cell>
          <cell r="CS51">
            <v>88.013882584191748</v>
          </cell>
          <cell r="CT51">
            <v>29.337960861397249</v>
          </cell>
          <cell r="CX51">
            <v>6.7</v>
          </cell>
          <cell r="CY51">
            <v>2.6628793410092748</v>
          </cell>
          <cell r="CZ51">
            <v>3.3285991762615934</v>
          </cell>
          <cell r="DA51">
            <v>3.9943190115139124</v>
          </cell>
          <cell r="DB51">
            <v>4.6600388467662306</v>
          </cell>
          <cell r="DC51">
            <v>5.3257586820185496</v>
          </cell>
          <cell r="DD51">
            <v>5.9914785172708687</v>
          </cell>
          <cell r="DE51">
            <v>6.6571983525231868</v>
          </cell>
          <cell r="DF51">
            <v>4.9928987643923906</v>
          </cell>
          <cell r="DG51">
            <v>0.33285991762615935</v>
          </cell>
          <cell r="DJ51">
            <v>6.7</v>
          </cell>
          <cell r="DK51">
            <v>3.2275298777227404</v>
          </cell>
          <cell r="DL51">
            <v>4.518541828811836</v>
          </cell>
          <cell r="DM51">
            <v>5.8095537799009325</v>
          </cell>
          <cell r="DN51">
            <v>7.1005657309900281</v>
          </cell>
          <cell r="DO51">
            <v>8.3915776820791237</v>
          </cell>
          <cell r="DP51">
            <v>9.6825896331682202</v>
          </cell>
          <cell r="DQ51">
            <v>6.4550597554454807</v>
          </cell>
          <cell r="DR51">
            <v>0.64550597554454803</v>
          </cell>
          <cell r="DT51">
            <v>6.7</v>
          </cell>
          <cell r="DU51">
            <v>2.8000620873591906</v>
          </cell>
          <cell r="DV51">
            <v>5.6001241747183812</v>
          </cell>
          <cell r="DW51">
            <v>8.4001862620775718</v>
          </cell>
          <cell r="DX51">
            <v>11.200248349436762</v>
          </cell>
          <cell r="DY51">
            <v>14.000310436795953</v>
          </cell>
          <cell r="DZ51">
            <v>16.800372524155144</v>
          </cell>
          <cell r="EA51">
            <v>5.6001241747183812</v>
          </cell>
          <cell r="EE51">
            <v>2.5781890000000001</v>
          </cell>
          <cell r="EF51">
            <v>1.9408889136531624</v>
          </cell>
          <cell r="EG51">
            <v>2.3290666963837947</v>
          </cell>
          <cell r="EH51">
            <v>2.7172444791144272</v>
          </cell>
          <cell r="EI51">
            <v>3.1054222618450598</v>
          </cell>
          <cell r="EJ51">
            <v>3.4936000445756923</v>
          </cell>
          <cell r="EK51">
            <v>3.8817778273063248</v>
          </cell>
          <cell r="EL51">
            <v>2.9113333704797437</v>
          </cell>
          <cell r="EM51">
            <v>0.19408889136531624</v>
          </cell>
          <cell r="EP51">
            <v>2.5781890000000001</v>
          </cell>
          <cell r="EQ51">
            <v>1.7500269311491234</v>
          </cell>
          <cell r="ER51">
            <v>2.450037703608773</v>
          </cell>
          <cell r="ES51">
            <v>3.150048476068422</v>
          </cell>
          <cell r="ET51">
            <v>3.8500592485280718</v>
          </cell>
          <cell r="EU51">
            <v>4.5500700209877207</v>
          </cell>
          <cell r="EV51">
            <v>5.2500807934473706</v>
          </cell>
          <cell r="EW51">
            <v>3.5000538622982469</v>
          </cell>
          <cell r="EX51">
            <v>0.35000538622982469</v>
          </cell>
          <cell r="EZ51">
            <v>2.5781890000000001</v>
          </cell>
          <cell r="FA51">
            <v>1.0611684404078676</v>
          </cell>
          <cell r="FB51">
            <v>2.1223368808157352</v>
          </cell>
          <cell r="FC51">
            <v>3.1835053212236026</v>
          </cell>
          <cell r="FD51">
            <v>4.2446737616314705</v>
          </cell>
          <cell r="FE51">
            <v>5.3058422020393383</v>
          </cell>
          <cell r="FF51">
            <v>6.3670106424472053</v>
          </cell>
          <cell r="FG51">
            <v>2.1223368808157352</v>
          </cell>
          <cell r="FK51" t="str">
            <v>PE</v>
          </cell>
          <cell r="FT51" t="str">
            <v>PPE</v>
          </cell>
          <cell r="GC51" t="str">
            <v>PB</v>
          </cell>
        </row>
        <row r="52">
          <cell r="A52">
            <v>36922</v>
          </cell>
          <cell r="B52">
            <v>41.511870000000002</v>
          </cell>
          <cell r="C52">
            <v>13.251687857649369</v>
          </cell>
          <cell r="D52">
            <v>19.877531786474052</v>
          </cell>
          <cell r="E52">
            <v>26.503375715298738</v>
          </cell>
          <cell r="F52">
            <v>33.129219644123424</v>
          </cell>
          <cell r="G52">
            <v>39.755063572948103</v>
          </cell>
          <cell r="H52">
            <v>46.380907501772789</v>
          </cell>
          <cell r="I52">
            <v>53.006751430597475</v>
          </cell>
          <cell r="J52">
            <v>59.632595359422162</v>
          </cell>
          <cell r="K52">
            <v>66.258439288246848</v>
          </cell>
          <cell r="L52">
            <v>49.693829466185136</v>
          </cell>
          <cell r="M52">
            <v>3.3129219644123422</v>
          </cell>
          <cell r="P52">
            <v>41.511870000000002</v>
          </cell>
          <cell r="Q52">
            <v>14.890610828014973</v>
          </cell>
          <cell r="R52">
            <v>24.81768471335829</v>
          </cell>
          <cell r="S52">
            <v>34.744758598701601</v>
          </cell>
          <cell r="T52">
            <v>44.67183248404492</v>
          </cell>
          <cell r="U52">
            <v>54.598906369388231</v>
          </cell>
          <cell r="V52">
            <v>64.52598025473155</v>
          </cell>
          <cell r="W52">
            <v>74.453054140074869</v>
          </cell>
          <cell r="X52">
            <v>49.635369426716579</v>
          </cell>
          <cell r="Y52">
            <v>4.9635369426716576</v>
          </cell>
          <cell r="AA52">
            <v>41.511870000000002</v>
          </cell>
          <cell r="AB52">
            <v>19.806914691864971</v>
          </cell>
          <cell r="AC52">
            <v>29.710372037797455</v>
          </cell>
          <cell r="AD52">
            <v>39.613829383729943</v>
          </cell>
          <cell r="AE52">
            <v>49.51728672966243</v>
          </cell>
          <cell r="AF52">
            <v>59.420744075594911</v>
          </cell>
          <cell r="AG52">
            <v>19.806914691864971</v>
          </cell>
          <cell r="AK52">
            <v>30.3</v>
          </cell>
          <cell r="AL52">
            <v>24.349947667804337</v>
          </cell>
          <cell r="AM52">
            <v>30.437434584755422</v>
          </cell>
          <cell r="AN52">
            <v>36.524921501706501</v>
          </cell>
          <cell r="AO52">
            <v>42.612408418657587</v>
          </cell>
          <cell r="AP52">
            <v>48.699895335608673</v>
          </cell>
          <cell r="AQ52">
            <v>54.787382252559759</v>
          </cell>
          <cell r="AR52">
            <v>60.874869169510845</v>
          </cell>
          <cell r="AS52">
            <v>45.656151877133134</v>
          </cell>
          <cell r="AT52">
            <v>3.0437434584755421</v>
          </cell>
          <cell r="AW52">
            <v>30.3</v>
          </cell>
          <cell r="AX52">
            <v>24.184020193401597</v>
          </cell>
          <cell r="AY52">
            <v>33.857628270762234</v>
          </cell>
          <cell r="AZ52">
            <v>43.531236348122874</v>
          </cell>
          <cell r="BA52">
            <v>53.204844425483515</v>
          </cell>
          <cell r="BB52">
            <v>62.878452502844148</v>
          </cell>
          <cell r="BC52">
            <v>72.552060580204795</v>
          </cell>
          <cell r="BD52">
            <v>48.368040386803195</v>
          </cell>
          <cell r="BE52">
            <v>4.8368040386803193</v>
          </cell>
          <cell r="BG52">
            <v>30.3</v>
          </cell>
          <cell r="BH52">
            <v>18.661050910125141</v>
          </cell>
          <cell r="BI52">
            <v>27.991576365187711</v>
          </cell>
          <cell r="BJ52">
            <v>37.322101820250282</v>
          </cell>
          <cell r="BK52">
            <v>46.652627275312852</v>
          </cell>
          <cell r="BL52">
            <v>55.983152730375423</v>
          </cell>
          <cell r="BM52">
            <v>18.661050910125141</v>
          </cell>
          <cell r="BQ52">
            <v>33.799999999999997</v>
          </cell>
          <cell r="BR52">
            <v>25.761804331104415</v>
          </cell>
          <cell r="BS52">
            <v>34.349072441472551</v>
          </cell>
          <cell r="BT52">
            <v>42.936340551840686</v>
          </cell>
          <cell r="BU52">
            <v>51.523608662208829</v>
          </cell>
          <cell r="BV52">
            <v>60.110876772576965</v>
          </cell>
          <cell r="BW52">
            <v>68.698144882945101</v>
          </cell>
          <cell r="BX52">
            <v>77.285412993313244</v>
          </cell>
          <cell r="BY52">
            <v>85.872681103681373</v>
          </cell>
          <cell r="BZ52">
            <v>4.2936340551840688</v>
          </cell>
          <cell r="CC52">
            <v>33.799999999999997</v>
          </cell>
          <cell r="CD52">
            <v>27.608106055581445</v>
          </cell>
          <cell r="CE52">
            <v>38.651348477814018</v>
          </cell>
          <cell r="CF52">
            <v>49.694590900046599</v>
          </cell>
          <cell r="CG52">
            <v>60.737833322279172</v>
          </cell>
          <cell r="CH52">
            <v>71.781075744511753</v>
          </cell>
          <cell r="CI52">
            <v>82.824318166744334</v>
          </cell>
          <cell r="CJ52">
            <v>55.216212111162889</v>
          </cell>
          <cell r="CK52">
            <v>5.5216212111162886</v>
          </cell>
          <cell r="CM52">
            <v>33.799999999999997</v>
          </cell>
          <cell r="CN52">
            <v>14.729414362305844</v>
          </cell>
          <cell r="CO52">
            <v>29.458828724611688</v>
          </cell>
          <cell r="CP52">
            <v>44.188243086917531</v>
          </cell>
          <cell r="CQ52">
            <v>58.917657449223377</v>
          </cell>
          <cell r="CR52">
            <v>73.647071811529216</v>
          </cell>
          <cell r="CS52">
            <v>88.376486173835062</v>
          </cell>
          <cell r="CT52">
            <v>29.458828724611688</v>
          </cell>
          <cell r="CX52">
            <v>6.7</v>
          </cell>
          <cell r="CY52">
            <v>2.8395621386271377</v>
          </cell>
          <cell r="CZ52">
            <v>3.549452673283922</v>
          </cell>
          <cell r="DA52">
            <v>4.2593432079407068</v>
          </cell>
          <cell r="DB52">
            <v>4.9692337425974911</v>
          </cell>
          <cell r="DC52">
            <v>5.6791242772542754</v>
          </cell>
          <cell r="DD52">
            <v>6.3890148119110597</v>
          </cell>
          <cell r="DE52">
            <v>7.098905346567844</v>
          </cell>
          <cell r="DF52">
            <v>5.3241790099258832</v>
          </cell>
          <cell r="DG52">
            <v>0.35494526732839221</v>
          </cell>
          <cell r="DJ52">
            <v>6.7</v>
          </cell>
          <cell r="DK52">
            <v>3.2286591446692685</v>
          </cell>
          <cell r="DL52">
            <v>4.5201228025369762</v>
          </cell>
          <cell r="DM52">
            <v>5.8115864604046834</v>
          </cell>
          <cell r="DN52">
            <v>7.1030501182723906</v>
          </cell>
          <cell r="DO52">
            <v>8.3945137761400979</v>
          </cell>
          <cell r="DP52">
            <v>9.6859774340078051</v>
          </cell>
          <cell r="DQ52">
            <v>6.457318289338537</v>
          </cell>
          <cell r="DR52">
            <v>0.64573182893385372</v>
          </cell>
          <cell r="DT52">
            <v>6.7</v>
          </cell>
          <cell r="DU52">
            <v>2.9236134308675465</v>
          </cell>
          <cell r="DV52">
            <v>5.8472268617350931</v>
          </cell>
          <cell r="DW52">
            <v>8.7708402926026388</v>
          </cell>
          <cell r="DX52">
            <v>11.694453723470186</v>
          </cell>
          <cell r="DY52">
            <v>14.618067154337734</v>
          </cell>
          <cell r="DZ52">
            <v>17.541680585205278</v>
          </cell>
          <cell r="EA52">
            <v>5.8472268617350931</v>
          </cell>
          <cell r="EE52">
            <v>2.8191410000000001</v>
          </cell>
          <cell r="EF52">
            <v>1.9732605756143879</v>
          </cell>
          <cell r="EG52">
            <v>2.3679126907372652</v>
          </cell>
          <cell r="EH52">
            <v>2.7625648058601429</v>
          </cell>
          <cell r="EI52">
            <v>3.1572169209830205</v>
          </cell>
          <cell r="EJ52">
            <v>3.5518690361058982</v>
          </cell>
          <cell r="EK52">
            <v>3.9465211512287759</v>
          </cell>
          <cell r="EL52">
            <v>2.9598908634215819</v>
          </cell>
          <cell r="EM52">
            <v>0.19732605756143878</v>
          </cell>
          <cell r="EP52">
            <v>2.8191410000000001</v>
          </cell>
          <cell r="EQ52">
            <v>1.7663582796939117</v>
          </cell>
          <cell r="ER52">
            <v>2.4729015915714765</v>
          </cell>
          <cell r="ES52">
            <v>3.1794449034490411</v>
          </cell>
          <cell r="ET52">
            <v>3.8859882153266057</v>
          </cell>
          <cell r="EU52">
            <v>4.5925315272041702</v>
          </cell>
          <cell r="EV52">
            <v>5.2990748390817348</v>
          </cell>
          <cell r="EW52">
            <v>3.5327165593878234</v>
          </cell>
          <cell r="EX52">
            <v>0.35327165593878235</v>
          </cell>
          <cell r="EZ52">
            <v>2.8191410000000001</v>
          </cell>
          <cell r="FA52">
            <v>1.0711765775795206</v>
          </cell>
          <cell r="FB52">
            <v>2.1423531551590411</v>
          </cell>
          <cell r="FC52">
            <v>3.2135297327385617</v>
          </cell>
          <cell r="FD52">
            <v>4.2847063103180822</v>
          </cell>
          <cell r="FE52">
            <v>5.3558828878976028</v>
          </cell>
          <cell r="FF52">
            <v>6.4270594654771234</v>
          </cell>
          <cell r="FG52">
            <v>2.1423531551590411</v>
          </cell>
        </row>
        <row r="53">
          <cell r="A53">
            <v>36950</v>
          </cell>
          <cell r="B53">
            <v>39.741219999999998</v>
          </cell>
          <cell r="C53">
            <v>13.322887910420688</v>
          </cell>
          <cell r="D53">
            <v>19.984331865631031</v>
          </cell>
          <cell r="E53">
            <v>26.645775820841376</v>
          </cell>
          <cell r="F53">
            <v>33.307219776051717</v>
          </cell>
          <cell r="G53">
            <v>39.968663731262062</v>
          </cell>
          <cell r="H53">
            <v>46.630107686472407</v>
          </cell>
          <cell r="I53">
            <v>53.291551641682751</v>
          </cell>
          <cell r="J53">
            <v>59.952995596893096</v>
          </cell>
          <cell r="K53">
            <v>66.614439552103434</v>
          </cell>
          <cell r="L53">
            <v>49.960829664077579</v>
          </cell>
          <cell r="M53">
            <v>3.330721977605172</v>
          </cell>
          <cell r="P53">
            <v>39.741219999999998</v>
          </cell>
          <cell r="Q53">
            <v>14.976343607249458</v>
          </cell>
          <cell r="R53">
            <v>24.960572678749099</v>
          </cell>
          <cell r="S53">
            <v>34.944801750248736</v>
          </cell>
          <cell r="T53">
            <v>44.929030821748377</v>
          </cell>
          <cell r="U53">
            <v>54.913259893248018</v>
          </cell>
          <cell r="V53">
            <v>64.897488964747652</v>
          </cell>
          <cell r="W53">
            <v>74.881718036247293</v>
          </cell>
          <cell r="X53">
            <v>49.921145357498197</v>
          </cell>
          <cell r="Y53">
            <v>4.9921145357498196</v>
          </cell>
          <cell r="AA53">
            <v>39.741219999999998</v>
          </cell>
          <cell r="AB53">
            <v>20.004073286168968</v>
          </cell>
          <cell r="AC53">
            <v>30.006109929253451</v>
          </cell>
          <cell r="AD53">
            <v>40.008146572337935</v>
          </cell>
          <cell r="AE53">
            <v>50.010183215422416</v>
          </cell>
          <cell r="AF53">
            <v>60.012219858506903</v>
          </cell>
          <cell r="AG53">
            <v>20.004073286168968</v>
          </cell>
          <cell r="AK53">
            <v>28.55</v>
          </cell>
          <cell r="AL53">
            <v>24.068195676905585</v>
          </cell>
          <cell r="AM53">
            <v>30.085244596131982</v>
          </cell>
          <cell r="AN53">
            <v>36.102293515358376</v>
          </cell>
          <cell r="AO53">
            <v>42.119342434584773</v>
          </cell>
          <cell r="AP53">
            <v>48.13639135381117</v>
          </cell>
          <cell r="AQ53">
            <v>54.153440273037567</v>
          </cell>
          <cell r="AR53">
            <v>60.170489192263965</v>
          </cell>
          <cell r="AS53">
            <v>45.127866894197972</v>
          </cell>
          <cell r="AT53">
            <v>3.0085244596131981</v>
          </cell>
          <cell r="AW53">
            <v>28.55</v>
          </cell>
          <cell r="AX53">
            <v>23.988740045506258</v>
          </cell>
          <cell r="AY53">
            <v>33.584236063708758</v>
          </cell>
          <cell r="AZ53">
            <v>43.179732081911268</v>
          </cell>
          <cell r="BA53">
            <v>52.775228100113765</v>
          </cell>
          <cell r="BB53">
            <v>62.370724118316275</v>
          </cell>
          <cell r="BC53">
            <v>71.966220136518771</v>
          </cell>
          <cell r="BD53">
            <v>47.977480091012517</v>
          </cell>
          <cell r="BE53">
            <v>4.7977480091012517</v>
          </cell>
          <cell r="BG53">
            <v>28.55</v>
          </cell>
          <cell r="BH53">
            <v>18.836135949943117</v>
          </cell>
          <cell r="BI53">
            <v>28.254203924914677</v>
          </cell>
          <cell r="BJ53">
            <v>37.672271899886233</v>
          </cell>
          <cell r="BK53">
            <v>47.09033987485779</v>
          </cell>
          <cell r="BL53">
            <v>56.508407849829354</v>
          </cell>
          <cell r="BM53">
            <v>18.836135949943117</v>
          </cell>
          <cell r="BQ53">
            <v>33.1</v>
          </cell>
          <cell r="BR53">
            <v>25.407364307365256</v>
          </cell>
          <cell r="BS53">
            <v>33.876485743153673</v>
          </cell>
          <cell r="BT53">
            <v>42.345607178942089</v>
          </cell>
          <cell r="BU53">
            <v>50.814728614730512</v>
          </cell>
          <cell r="BV53">
            <v>59.283850050518929</v>
          </cell>
          <cell r="BW53">
            <v>67.752971486307345</v>
          </cell>
          <cell r="BX53">
            <v>76.222092922095769</v>
          </cell>
          <cell r="BY53">
            <v>84.691214357884178</v>
          </cell>
          <cell r="BZ53">
            <v>4.2345607178942091</v>
          </cell>
          <cell r="CC53">
            <v>33.1</v>
          </cell>
          <cell r="CD53">
            <v>27.238028708073525</v>
          </cell>
          <cell r="CE53">
            <v>38.133240191302932</v>
          </cell>
          <cell r="CF53">
            <v>49.028451674532349</v>
          </cell>
          <cell r="CG53">
            <v>59.923663157761752</v>
          </cell>
          <cell r="CH53">
            <v>70.818874640991169</v>
          </cell>
          <cell r="CI53">
            <v>81.714086124220572</v>
          </cell>
          <cell r="CJ53">
            <v>54.47605741614705</v>
          </cell>
          <cell r="CK53">
            <v>5.447605741614705</v>
          </cell>
          <cell r="CM53">
            <v>33.1</v>
          </cell>
          <cell r="CN53">
            <v>14.789848293913064</v>
          </cell>
          <cell r="CO53">
            <v>29.579696587826128</v>
          </cell>
          <cell r="CP53">
            <v>44.369544881739188</v>
          </cell>
          <cell r="CQ53">
            <v>59.159393175652255</v>
          </cell>
          <cell r="CR53">
            <v>73.949241469565322</v>
          </cell>
          <cell r="CS53">
            <v>88.739089763478376</v>
          </cell>
          <cell r="CT53">
            <v>29.579696587826128</v>
          </cell>
          <cell r="CX53">
            <v>6.45</v>
          </cell>
          <cell r="CY53">
            <v>3.0162449362450006</v>
          </cell>
          <cell r="CZ53">
            <v>3.7703061703062506</v>
          </cell>
          <cell r="DA53">
            <v>4.5243674043675011</v>
          </cell>
          <cell r="DB53">
            <v>5.2784286384287507</v>
          </cell>
          <cell r="DC53">
            <v>6.0324898724900011</v>
          </cell>
          <cell r="DD53">
            <v>6.7865511065512516</v>
          </cell>
          <cell r="DE53">
            <v>7.5406123406125012</v>
          </cell>
          <cell r="DF53">
            <v>5.6554592554593759</v>
          </cell>
          <cell r="DG53">
            <v>0.37703061703062507</v>
          </cell>
          <cell r="DJ53">
            <v>6.45</v>
          </cell>
          <cell r="DK53">
            <v>3.2297884116157971</v>
          </cell>
          <cell r="DL53">
            <v>4.5217037762621164</v>
          </cell>
          <cell r="DM53">
            <v>5.8136191409084343</v>
          </cell>
          <cell r="DN53">
            <v>7.1055345055547541</v>
          </cell>
          <cell r="DO53">
            <v>8.397449870201072</v>
          </cell>
          <cell r="DP53">
            <v>9.6893652348473918</v>
          </cell>
          <cell r="DQ53">
            <v>6.4595768232315942</v>
          </cell>
          <cell r="DR53">
            <v>0.64595768232315942</v>
          </cell>
          <cell r="DT53">
            <v>6.45</v>
          </cell>
          <cell r="DU53">
            <v>3.0471647743759025</v>
          </cell>
          <cell r="DV53">
            <v>6.094329548751805</v>
          </cell>
          <cell r="DW53">
            <v>9.1414943231277075</v>
          </cell>
          <cell r="DX53">
            <v>12.18865909750361</v>
          </cell>
          <cell r="DY53">
            <v>15.235823871879512</v>
          </cell>
          <cell r="DZ53">
            <v>18.282988646255415</v>
          </cell>
          <cell r="EA53">
            <v>6.094329548751805</v>
          </cell>
          <cell r="EE53">
            <v>2.5299990000000001</v>
          </cell>
          <cell r="EF53">
            <v>2.0056322375756133</v>
          </cell>
          <cell r="EG53">
            <v>2.4067586850907361</v>
          </cell>
          <cell r="EH53">
            <v>2.8078851326058585</v>
          </cell>
          <cell r="EI53">
            <v>3.2090115801209813</v>
          </cell>
          <cell r="EJ53">
            <v>3.6101380276361041</v>
          </cell>
          <cell r="EK53">
            <v>4.0112644751512265</v>
          </cell>
          <cell r="EL53">
            <v>3.0084483563634201</v>
          </cell>
          <cell r="EM53">
            <v>0.20056322375756133</v>
          </cell>
          <cell r="EP53">
            <v>2.5299990000000001</v>
          </cell>
          <cell r="EQ53">
            <v>1.7826896282387001</v>
          </cell>
          <cell r="ER53">
            <v>2.4957654795341799</v>
          </cell>
          <cell r="ES53">
            <v>3.2088413308296602</v>
          </cell>
          <cell r="ET53">
            <v>3.92191718212514</v>
          </cell>
          <cell r="EU53">
            <v>4.6349930334206197</v>
          </cell>
          <cell r="EV53">
            <v>5.3480688847161</v>
          </cell>
          <cell r="EW53">
            <v>3.5653792564774003</v>
          </cell>
          <cell r="EX53">
            <v>0.35653792564774001</v>
          </cell>
          <cell r="EZ53">
            <v>2.5299990000000001</v>
          </cell>
          <cell r="FA53">
            <v>1.0811847147511735</v>
          </cell>
          <cell r="FB53">
            <v>2.162369429502347</v>
          </cell>
          <cell r="FC53">
            <v>3.2435541442535207</v>
          </cell>
          <cell r="FD53">
            <v>4.324738859004694</v>
          </cell>
          <cell r="FE53">
            <v>5.4059235737558673</v>
          </cell>
          <cell r="FF53">
            <v>6.4871082885070415</v>
          </cell>
          <cell r="FG53">
            <v>2.162369429502347</v>
          </cell>
        </row>
        <row r="54">
          <cell r="A54">
            <v>36980</v>
          </cell>
          <cell r="B54">
            <v>37.872199999999999</v>
          </cell>
          <cell r="C54">
            <v>13.394087963192007</v>
          </cell>
          <cell r="D54">
            <v>20.09113194478801</v>
          </cell>
          <cell r="E54">
            <v>26.788175926384014</v>
          </cell>
          <cell r="F54">
            <v>33.485219907980017</v>
          </cell>
          <cell r="G54">
            <v>40.182263889576021</v>
          </cell>
          <cell r="H54">
            <v>46.879307871172024</v>
          </cell>
          <cell r="I54">
            <v>53.576351852768028</v>
          </cell>
          <cell r="J54">
            <v>60.273395834364031</v>
          </cell>
          <cell r="K54">
            <v>66.970439815960034</v>
          </cell>
          <cell r="L54">
            <v>50.227829861970022</v>
          </cell>
          <cell r="M54">
            <v>3.3485219907980017</v>
          </cell>
          <cell r="P54">
            <v>37.872199999999999</v>
          </cell>
          <cell r="Q54">
            <v>15.062076386483945</v>
          </cell>
          <cell r="R54">
            <v>25.103460644139908</v>
          </cell>
          <cell r="S54">
            <v>35.144844901795871</v>
          </cell>
          <cell r="T54">
            <v>45.186229159451834</v>
          </cell>
          <cell r="U54">
            <v>55.227613417107797</v>
          </cell>
          <cell r="V54">
            <v>65.268997674763767</v>
          </cell>
          <cell r="W54">
            <v>75.310381932419716</v>
          </cell>
          <cell r="X54">
            <v>50.206921288279815</v>
          </cell>
          <cell r="Y54">
            <v>5.0206921288279815</v>
          </cell>
          <cell r="AA54">
            <v>37.872199999999999</v>
          </cell>
          <cell r="AB54">
            <v>20.201231880472964</v>
          </cell>
          <cell r="AC54">
            <v>30.301847820709447</v>
          </cell>
          <cell r="AD54">
            <v>40.402463760945928</v>
          </cell>
          <cell r="AE54">
            <v>50.503079701182408</v>
          </cell>
          <cell r="AF54">
            <v>60.603695641418895</v>
          </cell>
          <cell r="AG54">
            <v>20.201231880472964</v>
          </cell>
          <cell r="AK54">
            <v>24.65</v>
          </cell>
          <cell r="AL54">
            <v>23.786443686006834</v>
          </cell>
          <cell r="AM54">
            <v>29.733054607508542</v>
          </cell>
          <cell r="AN54">
            <v>35.679665529010251</v>
          </cell>
          <cell r="AO54">
            <v>41.626276450511959</v>
          </cell>
          <cell r="AP54">
            <v>47.572887372013668</v>
          </cell>
          <cell r="AQ54">
            <v>53.519498293515376</v>
          </cell>
          <cell r="AR54">
            <v>59.466109215017084</v>
          </cell>
          <cell r="AS54">
            <v>44.599581911262817</v>
          </cell>
          <cell r="AT54">
            <v>2.9733054607508542</v>
          </cell>
          <cell r="AW54">
            <v>24.65</v>
          </cell>
          <cell r="AX54">
            <v>23.793459897610919</v>
          </cell>
          <cell r="AY54">
            <v>33.310843856655289</v>
          </cell>
          <cell r="AZ54">
            <v>42.828227815699655</v>
          </cell>
          <cell r="BA54">
            <v>52.345611774744022</v>
          </cell>
          <cell r="BB54">
            <v>61.862995733788395</v>
          </cell>
          <cell r="BC54">
            <v>71.380379692832761</v>
          </cell>
          <cell r="BD54">
            <v>47.586919795221839</v>
          </cell>
          <cell r="BE54">
            <v>4.758691979522184</v>
          </cell>
          <cell r="BG54">
            <v>24.65</v>
          </cell>
          <cell r="BH54">
            <v>19.011220989761092</v>
          </cell>
          <cell r="BI54">
            <v>28.516831484641639</v>
          </cell>
          <cell r="BJ54">
            <v>38.022441979522185</v>
          </cell>
          <cell r="BK54">
            <v>47.528052474402728</v>
          </cell>
          <cell r="BL54">
            <v>57.033662969283277</v>
          </cell>
          <cell r="BM54">
            <v>19.011220989761092</v>
          </cell>
          <cell r="BQ54">
            <v>33.200000000000003</v>
          </cell>
          <cell r="BR54">
            <v>25.052924283626098</v>
          </cell>
          <cell r="BS54">
            <v>33.403899044834795</v>
          </cell>
          <cell r="BT54">
            <v>41.754873806043491</v>
          </cell>
          <cell r="BU54">
            <v>50.105848567252195</v>
          </cell>
          <cell r="BV54">
            <v>58.456823328460892</v>
          </cell>
          <cell r="BW54">
            <v>66.807798089669589</v>
          </cell>
          <cell r="BX54">
            <v>75.158772850878293</v>
          </cell>
          <cell r="BY54">
            <v>83.509747612086983</v>
          </cell>
          <cell r="BZ54">
            <v>4.1754873806043493</v>
          </cell>
          <cell r="CC54">
            <v>33.200000000000003</v>
          </cell>
          <cell r="CD54">
            <v>26.867951360565606</v>
          </cell>
          <cell r="CE54">
            <v>37.615131904791852</v>
          </cell>
          <cell r="CF54">
            <v>48.362312449018091</v>
          </cell>
          <cell r="CG54">
            <v>59.109492993244338</v>
          </cell>
          <cell r="CH54">
            <v>69.856673537470584</v>
          </cell>
          <cell r="CI54">
            <v>80.603854081696824</v>
          </cell>
          <cell r="CJ54">
            <v>53.735902721131211</v>
          </cell>
          <cell r="CK54">
            <v>5.3735902721131215</v>
          </cell>
          <cell r="CM54">
            <v>33.200000000000003</v>
          </cell>
          <cell r="CN54">
            <v>14.850282225520283</v>
          </cell>
          <cell r="CO54">
            <v>29.700564451040567</v>
          </cell>
          <cell r="CP54">
            <v>44.550846676560852</v>
          </cell>
          <cell r="CQ54">
            <v>59.401128902081133</v>
          </cell>
          <cell r="CR54">
            <v>74.251411127601415</v>
          </cell>
          <cell r="CS54">
            <v>89.101693353121703</v>
          </cell>
          <cell r="CT54">
            <v>29.700564451040567</v>
          </cell>
          <cell r="CX54">
            <v>7.3</v>
          </cell>
          <cell r="CY54">
            <v>3.1929277338628634</v>
          </cell>
          <cell r="CZ54">
            <v>3.9911596673285792</v>
          </cell>
          <cell r="DA54">
            <v>4.7893916007942954</v>
          </cell>
          <cell r="DB54">
            <v>5.5876235342600111</v>
          </cell>
          <cell r="DC54">
            <v>6.3858554677257269</v>
          </cell>
          <cell r="DD54">
            <v>7.1840874011914426</v>
          </cell>
          <cell r="DE54">
            <v>7.9823193346571584</v>
          </cell>
          <cell r="DF54">
            <v>5.9867395009928686</v>
          </cell>
          <cell r="DG54">
            <v>0.39911596673285793</v>
          </cell>
          <cell r="DJ54">
            <v>7.3</v>
          </cell>
          <cell r="DK54">
            <v>3.2309176785623257</v>
          </cell>
          <cell r="DL54">
            <v>4.5232847499872557</v>
          </cell>
          <cell r="DM54">
            <v>5.8156518214121862</v>
          </cell>
          <cell r="DN54">
            <v>7.1080188928371166</v>
          </cell>
          <cell r="DO54">
            <v>8.4003859642620462</v>
          </cell>
          <cell r="DP54">
            <v>9.6927530356869767</v>
          </cell>
          <cell r="DQ54">
            <v>6.4618353571246514</v>
          </cell>
          <cell r="DR54">
            <v>0.64618353571246512</v>
          </cell>
          <cell r="DT54">
            <v>7.3</v>
          </cell>
          <cell r="DU54">
            <v>3.1707161178842584</v>
          </cell>
          <cell r="DV54">
            <v>6.3414322357685169</v>
          </cell>
          <cell r="DW54">
            <v>9.5121483536527762</v>
          </cell>
          <cell r="DX54">
            <v>12.682864471537034</v>
          </cell>
          <cell r="DY54">
            <v>15.853580589421291</v>
          </cell>
          <cell r="DZ54">
            <v>19.024296707305552</v>
          </cell>
          <cell r="EA54">
            <v>6.3414322357685169</v>
          </cell>
          <cell r="EE54">
            <v>2.1444749999999999</v>
          </cell>
          <cell r="EF54">
            <v>2.0380038995368386</v>
          </cell>
          <cell r="EG54">
            <v>2.4456046794442066</v>
          </cell>
          <cell r="EH54">
            <v>2.8532054593515745</v>
          </cell>
          <cell r="EI54">
            <v>3.2608062392589421</v>
          </cell>
          <cell r="EJ54">
            <v>3.6684070191663096</v>
          </cell>
          <cell r="EK54">
            <v>4.0760077990736772</v>
          </cell>
          <cell r="EL54">
            <v>3.0570058493052583</v>
          </cell>
          <cell r="EM54">
            <v>0.20380038995368388</v>
          </cell>
          <cell r="EP54">
            <v>2.1444749999999999</v>
          </cell>
          <cell r="EQ54">
            <v>1.7990209767834884</v>
          </cell>
          <cell r="ER54">
            <v>2.5186293674968838</v>
          </cell>
          <cell r="ES54">
            <v>3.2382377582102788</v>
          </cell>
          <cell r="ET54">
            <v>3.9578461489236743</v>
          </cell>
          <cell r="EU54">
            <v>4.6774545396370693</v>
          </cell>
          <cell r="EV54">
            <v>5.3970629303504651</v>
          </cell>
          <cell r="EW54">
            <v>3.5980419535669768</v>
          </cell>
          <cell r="EX54">
            <v>0.35980419535669766</v>
          </cell>
          <cell r="EZ54">
            <v>2.1444749999999999</v>
          </cell>
          <cell r="FA54">
            <v>1.0911928519228264</v>
          </cell>
          <cell r="FB54">
            <v>2.1823857038456529</v>
          </cell>
          <cell r="FC54">
            <v>3.2735785557684793</v>
          </cell>
          <cell r="FD54">
            <v>4.3647714076913058</v>
          </cell>
          <cell r="FE54">
            <v>5.4559642596141327</v>
          </cell>
          <cell r="FF54">
            <v>6.5471571115369587</v>
          </cell>
          <cell r="FG54">
            <v>2.1823857038456529</v>
          </cell>
        </row>
        <row r="55">
          <cell r="A55">
            <v>37011</v>
          </cell>
          <cell r="B55">
            <v>41.80697</v>
          </cell>
          <cell r="C55">
            <v>13.465288015963326</v>
          </cell>
          <cell r="D55">
            <v>20.19793202394499</v>
          </cell>
          <cell r="E55">
            <v>26.930576031926652</v>
          </cell>
          <cell r="F55">
            <v>33.663220039908317</v>
          </cell>
          <cell r="G55">
            <v>40.39586404788998</v>
          </cell>
          <cell r="H55">
            <v>47.128508055871642</v>
          </cell>
          <cell r="I55">
            <v>53.861152063853304</v>
          </cell>
          <cell r="J55">
            <v>60.593796071834966</v>
          </cell>
          <cell r="K55">
            <v>67.326440079816635</v>
          </cell>
          <cell r="L55">
            <v>50.494830059862473</v>
          </cell>
          <cell r="M55">
            <v>3.3663220039908315</v>
          </cell>
          <cell r="P55">
            <v>41.80697</v>
          </cell>
          <cell r="Q55">
            <v>15.147809165718432</v>
          </cell>
          <cell r="R55">
            <v>25.246348609530717</v>
          </cell>
          <cell r="S55">
            <v>35.344888053343006</v>
          </cell>
          <cell r="T55">
            <v>45.443427497155291</v>
          </cell>
          <cell r="U55">
            <v>55.541966940967576</v>
          </cell>
          <cell r="V55">
            <v>65.640506384779869</v>
          </cell>
          <cell r="W55">
            <v>75.739045828592154</v>
          </cell>
          <cell r="X55">
            <v>50.492697219061434</v>
          </cell>
          <cell r="Y55">
            <v>5.0492697219061435</v>
          </cell>
          <cell r="AA55">
            <v>41.80697</v>
          </cell>
          <cell r="AB55">
            <v>20.39839047477696</v>
          </cell>
          <cell r="AC55">
            <v>30.59758571216544</v>
          </cell>
          <cell r="AD55">
            <v>40.79678094955392</v>
          </cell>
          <cell r="AE55">
            <v>50.9959761869424</v>
          </cell>
          <cell r="AF55">
            <v>61.19517142433088</v>
          </cell>
          <cell r="AG55">
            <v>20.39839047477696</v>
          </cell>
          <cell r="AK55">
            <v>30.9</v>
          </cell>
          <cell r="AL55">
            <v>23.504691695108082</v>
          </cell>
          <cell r="AM55">
            <v>29.380864618885102</v>
          </cell>
          <cell r="AN55">
            <v>35.257037542662125</v>
          </cell>
          <cell r="AO55">
            <v>41.133210466439145</v>
          </cell>
          <cell r="AP55">
            <v>47.009383390216165</v>
          </cell>
          <cell r="AQ55">
            <v>52.885556313993185</v>
          </cell>
          <cell r="AR55">
            <v>58.761729237770204</v>
          </cell>
          <cell r="AS55">
            <v>44.071296928327655</v>
          </cell>
          <cell r="AT55">
            <v>2.9380864618885103</v>
          </cell>
          <cell r="AW55">
            <v>30.9</v>
          </cell>
          <cell r="AX55">
            <v>23.598179749715584</v>
          </cell>
          <cell r="AY55">
            <v>33.037451649601813</v>
          </cell>
          <cell r="AZ55">
            <v>42.47672354948805</v>
          </cell>
          <cell r="BA55">
            <v>51.915995449374279</v>
          </cell>
          <cell r="BB55">
            <v>61.355267349260515</v>
          </cell>
          <cell r="BC55">
            <v>70.794539249146752</v>
          </cell>
          <cell r="BD55">
            <v>47.196359499431168</v>
          </cell>
          <cell r="BE55">
            <v>4.7196359499431164</v>
          </cell>
          <cell r="BG55">
            <v>30.9</v>
          </cell>
          <cell r="BH55">
            <v>19.186306029579068</v>
          </cell>
          <cell r="BI55">
            <v>28.7794590443686</v>
          </cell>
          <cell r="BJ55">
            <v>38.372612059158136</v>
          </cell>
          <cell r="BK55">
            <v>47.965765073947672</v>
          </cell>
          <cell r="BL55">
            <v>57.558918088737201</v>
          </cell>
          <cell r="BM55">
            <v>19.186306029579068</v>
          </cell>
          <cell r="BQ55">
            <v>39.200000000000003</v>
          </cell>
          <cell r="BR55">
            <v>24.698484259886939</v>
          </cell>
          <cell r="BS55">
            <v>32.931312346515917</v>
          </cell>
          <cell r="BT55">
            <v>41.164140433144894</v>
          </cell>
          <cell r="BU55">
            <v>49.396968519773878</v>
          </cell>
          <cell r="BV55">
            <v>57.629796606402856</v>
          </cell>
          <cell r="BW55">
            <v>65.862624693031833</v>
          </cell>
          <cell r="BX55">
            <v>74.095452779660818</v>
          </cell>
          <cell r="BY55">
            <v>82.328280866289788</v>
          </cell>
          <cell r="BZ55">
            <v>4.1164140433144896</v>
          </cell>
          <cell r="CC55">
            <v>39.200000000000003</v>
          </cell>
          <cell r="CD55">
            <v>26.49787401305769</v>
          </cell>
          <cell r="CE55">
            <v>37.097023618280765</v>
          </cell>
          <cell r="CF55">
            <v>47.696173223503841</v>
          </cell>
          <cell r="CG55">
            <v>58.295322828726917</v>
          </cell>
          <cell r="CH55">
            <v>68.89447243395</v>
          </cell>
          <cell r="CI55">
            <v>79.493622039173061</v>
          </cell>
          <cell r="CJ55">
            <v>52.995748026115379</v>
          </cell>
          <cell r="CK55">
            <v>5.2995748026115379</v>
          </cell>
          <cell r="CM55">
            <v>39.200000000000003</v>
          </cell>
          <cell r="CN55">
            <v>14.910716157127503</v>
          </cell>
          <cell r="CO55">
            <v>29.821432314255006</v>
          </cell>
          <cell r="CP55">
            <v>44.732148471382509</v>
          </cell>
          <cell r="CQ55">
            <v>59.642864628510011</v>
          </cell>
          <cell r="CR55">
            <v>74.553580785637507</v>
          </cell>
          <cell r="CS55">
            <v>89.464296942765017</v>
          </cell>
          <cell r="CT55">
            <v>29.821432314255006</v>
          </cell>
          <cell r="CX55">
            <v>6.7</v>
          </cell>
          <cell r="CY55">
            <v>3.3696105314807263</v>
          </cell>
          <cell r="CZ55">
            <v>4.2120131643509078</v>
          </cell>
          <cell r="DA55">
            <v>5.0544157972210897</v>
          </cell>
          <cell r="DB55">
            <v>5.8968184300912707</v>
          </cell>
          <cell r="DC55">
            <v>6.7392210629614526</v>
          </cell>
          <cell r="DD55">
            <v>7.5816236958316345</v>
          </cell>
          <cell r="DE55">
            <v>8.4240263287018156</v>
          </cell>
          <cell r="DF55">
            <v>6.3180197465263621</v>
          </cell>
          <cell r="DG55">
            <v>0.42120131643509079</v>
          </cell>
          <cell r="DJ55">
            <v>6.7</v>
          </cell>
          <cell r="DK55">
            <v>3.2320469455088539</v>
          </cell>
          <cell r="DL55">
            <v>4.5248657237123959</v>
          </cell>
          <cell r="DM55">
            <v>5.8176845019159371</v>
          </cell>
          <cell r="DN55">
            <v>7.1105032801194792</v>
          </cell>
          <cell r="DO55">
            <v>8.4033220583230204</v>
          </cell>
          <cell r="DP55">
            <v>9.6961408365265616</v>
          </cell>
          <cell r="DQ55">
            <v>6.4640938910177077</v>
          </cell>
          <cell r="DR55">
            <v>0.64640938910177081</v>
          </cell>
          <cell r="DT55">
            <v>6.7</v>
          </cell>
          <cell r="DU55">
            <v>3.2942674613926144</v>
          </cell>
          <cell r="DV55">
            <v>6.5885349227852288</v>
          </cell>
          <cell r="DW55">
            <v>9.8828023841778432</v>
          </cell>
          <cell r="DX55">
            <v>13.177069845570458</v>
          </cell>
          <cell r="DY55">
            <v>16.471337306963072</v>
          </cell>
          <cell r="DZ55">
            <v>19.765604768355686</v>
          </cell>
          <cell r="EA55">
            <v>6.5885349227852288</v>
          </cell>
          <cell r="EE55">
            <v>2.313142</v>
          </cell>
          <cell r="EF55">
            <v>2.0703755614980643</v>
          </cell>
          <cell r="EG55">
            <v>2.484450673797677</v>
          </cell>
          <cell r="EH55">
            <v>2.8985257860972902</v>
          </cell>
          <cell r="EI55">
            <v>3.3126008983969029</v>
          </cell>
          <cell r="EJ55">
            <v>3.7266760106965156</v>
          </cell>
          <cell r="EK55">
            <v>4.1407511229961287</v>
          </cell>
          <cell r="EL55">
            <v>3.1055633422470965</v>
          </cell>
          <cell r="EM55">
            <v>0.20703755614980643</v>
          </cell>
          <cell r="EP55">
            <v>2.313142</v>
          </cell>
          <cell r="EQ55">
            <v>1.8153523253282766</v>
          </cell>
          <cell r="ER55">
            <v>2.5414932554595873</v>
          </cell>
          <cell r="ES55">
            <v>3.2676341855908979</v>
          </cell>
          <cell r="ET55">
            <v>3.9937751157222086</v>
          </cell>
          <cell r="EU55">
            <v>4.7199160458535196</v>
          </cell>
          <cell r="EV55">
            <v>5.4460569759848294</v>
          </cell>
          <cell r="EW55">
            <v>3.6307046506565532</v>
          </cell>
          <cell r="EX55">
            <v>0.36307046506565532</v>
          </cell>
          <cell r="EZ55">
            <v>2.313142</v>
          </cell>
          <cell r="FA55">
            <v>1.1012009890944794</v>
          </cell>
          <cell r="FB55">
            <v>2.2024019781889588</v>
          </cell>
          <cell r="FC55">
            <v>3.3036029672834379</v>
          </cell>
          <cell r="FD55">
            <v>4.4048039563779176</v>
          </cell>
          <cell r="FE55">
            <v>5.5060049454723972</v>
          </cell>
          <cell r="FF55">
            <v>6.6072059345668759</v>
          </cell>
          <cell r="FG55">
            <v>2.2024019781889588</v>
          </cell>
        </row>
        <row r="56">
          <cell r="A56">
            <v>37042</v>
          </cell>
          <cell r="B56">
            <v>40.92165</v>
          </cell>
          <cell r="C56">
            <v>13.536488068734645</v>
          </cell>
          <cell r="D56">
            <v>20.304732103101969</v>
          </cell>
          <cell r="E56">
            <v>27.07297613746929</v>
          </cell>
          <cell r="F56">
            <v>33.841220171836611</v>
          </cell>
          <cell r="G56">
            <v>40.609464206203938</v>
          </cell>
          <cell r="H56">
            <v>47.377708240571259</v>
          </cell>
          <cell r="I56">
            <v>54.14595227493858</v>
          </cell>
          <cell r="J56">
            <v>60.9141963093059</v>
          </cell>
          <cell r="K56">
            <v>67.682440343673221</v>
          </cell>
          <cell r="L56">
            <v>50.761830257754916</v>
          </cell>
          <cell r="M56">
            <v>3.3841220171836612</v>
          </cell>
          <cell r="P56">
            <v>40.92165</v>
          </cell>
          <cell r="Q56">
            <v>15.233541944952917</v>
          </cell>
          <cell r="R56">
            <v>25.389236574921526</v>
          </cell>
          <cell r="S56">
            <v>35.54493120489014</v>
          </cell>
          <cell r="T56">
            <v>45.700625834858748</v>
          </cell>
          <cell r="U56">
            <v>55.856320464827363</v>
          </cell>
          <cell r="V56">
            <v>66.01201509479597</v>
          </cell>
          <cell r="W56">
            <v>76.167709724764578</v>
          </cell>
          <cell r="X56">
            <v>50.778473149843052</v>
          </cell>
          <cell r="Y56">
            <v>5.0778473149843055</v>
          </cell>
          <cell r="AA56">
            <v>40.92165</v>
          </cell>
          <cell r="AB56">
            <v>20.595549069080956</v>
          </cell>
          <cell r="AC56">
            <v>30.893323603621432</v>
          </cell>
          <cell r="AD56">
            <v>41.191098138161912</v>
          </cell>
          <cell r="AE56">
            <v>51.488872672702392</v>
          </cell>
          <cell r="AF56">
            <v>61.786647207242865</v>
          </cell>
          <cell r="AG56">
            <v>20.595549069080956</v>
          </cell>
          <cell r="AK56">
            <v>30.9</v>
          </cell>
          <cell r="AL56">
            <v>23.222939704209331</v>
          </cell>
          <cell r="AM56">
            <v>29.028674630261662</v>
          </cell>
          <cell r="AN56">
            <v>34.834409556314</v>
          </cell>
          <cell r="AO56">
            <v>40.640144482366331</v>
          </cell>
          <cell r="AP56">
            <v>46.445879408418662</v>
          </cell>
          <cell r="AQ56">
            <v>52.251614334470993</v>
          </cell>
          <cell r="AR56">
            <v>58.057349260523324</v>
          </cell>
          <cell r="AS56">
            <v>43.543011945392493</v>
          </cell>
          <cell r="AT56">
            <v>2.9028674630261664</v>
          </cell>
          <cell r="AW56">
            <v>30.9</v>
          </cell>
          <cell r="AX56">
            <v>23.402899601820245</v>
          </cell>
          <cell r="AY56">
            <v>32.764059442548344</v>
          </cell>
          <cell r="AZ56">
            <v>42.125219283276436</v>
          </cell>
          <cell r="BA56">
            <v>51.486379124004536</v>
          </cell>
          <cell r="BB56">
            <v>60.847538964732635</v>
          </cell>
          <cell r="BC56">
            <v>70.208698805460727</v>
          </cell>
          <cell r="BD56">
            <v>46.80579920364049</v>
          </cell>
          <cell r="BE56">
            <v>4.6805799203640488</v>
          </cell>
          <cell r="BG56">
            <v>30.9</v>
          </cell>
          <cell r="BH56">
            <v>19.361391069397044</v>
          </cell>
          <cell r="BI56">
            <v>29.042086604095566</v>
          </cell>
          <cell r="BJ56">
            <v>38.722782138794088</v>
          </cell>
          <cell r="BK56">
            <v>48.40347767349261</v>
          </cell>
          <cell r="BL56">
            <v>58.084173208191132</v>
          </cell>
          <cell r="BM56">
            <v>19.361391069397044</v>
          </cell>
          <cell r="BQ56">
            <v>36.6</v>
          </cell>
          <cell r="BR56">
            <v>24.344044236147781</v>
          </cell>
          <cell r="BS56">
            <v>32.458725648197039</v>
          </cell>
          <cell r="BT56">
            <v>40.573407060246296</v>
          </cell>
          <cell r="BU56">
            <v>48.688088472295561</v>
          </cell>
          <cell r="BV56">
            <v>56.802769884344819</v>
          </cell>
          <cell r="BW56">
            <v>64.917451296394077</v>
          </cell>
          <cell r="BX56">
            <v>73.032132708443342</v>
          </cell>
          <cell r="BY56">
            <v>81.146814120492593</v>
          </cell>
          <cell r="BZ56">
            <v>4.0573407060246298</v>
          </cell>
          <cell r="CC56">
            <v>36.6</v>
          </cell>
          <cell r="CD56">
            <v>26.127796665549774</v>
          </cell>
          <cell r="CE56">
            <v>36.578915331769679</v>
          </cell>
          <cell r="CF56">
            <v>47.030033997989591</v>
          </cell>
          <cell r="CG56">
            <v>57.481152664209496</v>
          </cell>
          <cell r="CH56">
            <v>67.932271330429401</v>
          </cell>
          <cell r="CI56">
            <v>78.383389996649314</v>
          </cell>
          <cell r="CJ56">
            <v>52.255593331099547</v>
          </cell>
          <cell r="CK56">
            <v>5.2255593331099544</v>
          </cell>
          <cell r="CM56">
            <v>36.6</v>
          </cell>
          <cell r="CN56">
            <v>14.971150088734722</v>
          </cell>
          <cell r="CO56">
            <v>29.942300177469445</v>
          </cell>
          <cell r="CP56">
            <v>44.913450266204165</v>
          </cell>
          <cell r="CQ56">
            <v>59.88460035493889</v>
          </cell>
          <cell r="CR56">
            <v>74.855750443673614</v>
          </cell>
          <cell r="CS56">
            <v>89.826900532408331</v>
          </cell>
          <cell r="CT56">
            <v>29.942300177469445</v>
          </cell>
          <cell r="CX56">
            <v>7.1</v>
          </cell>
          <cell r="CY56">
            <v>3.5462933290985892</v>
          </cell>
          <cell r="CZ56">
            <v>4.4328666613732368</v>
          </cell>
          <cell r="DA56">
            <v>5.319439993647884</v>
          </cell>
          <cell r="DB56">
            <v>6.2060133259225312</v>
          </cell>
          <cell r="DC56">
            <v>7.0925866581971784</v>
          </cell>
          <cell r="DD56">
            <v>7.9791599904718256</v>
          </cell>
          <cell r="DE56">
            <v>8.8657333227464736</v>
          </cell>
          <cell r="DF56">
            <v>6.6492999920598548</v>
          </cell>
          <cell r="DG56">
            <v>0.44328666613732365</v>
          </cell>
          <cell r="DJ56">
            <v>7.1</v>
          </cell>
          <cell r="DK56">
            <v>3.2331762124553824</v>
          </cell>
          <cell r="DL56">
            <v>4.5264466974375352</v>
          </cell>
          <cell r="DM56">
            <v>5.8197171824196889</v>
          </cell>
          <cell r="DN56">
            <v>7.1129876674018417</v>
          </cell>
          <cell r="DO56">
            <v>8.4062581523839945</v>
          </cell>
          <cell r="DP56">
            <v>9.6995286373661482</v>
          </cell>
          <cell r="DQ56">
            <v>6.4663524249107649</v>
          </cell>
          <cell r="DR56">
            <v>0.64663524249107651</v>
          </cell>
          <cell r="DT56">
            <v>7.1</v>
          </cell>
          <cell r="DU56">
            <v>3.4178188049009703</v>
          </cell>
          <cell r="DV56">
            <v>6.8356376098019407</v>
          </cell>
          <cell r="DW56">
            <v>10.25345641470291</v>
          </cell>
          <cell r="DX56">
            <v>13.671275219603881</v>
          </cell>
          <cell r="DY56">
            <v>17.089094024504853</v>
          </cell>
          <cell r="DZ56">
            <v>20.50691282940582</v>
          </cell>
          <cell r="EA56">
            <v>6.8356376098019407</v>
          </cell>
          <cell r="EE56">
            <v>2.4336180000000001</v>
          </cell>
          <cell r="EF56">
            <v>2.1027472234592897</v>
          </cell>
          <cell r="EG56">
            <v>2.5232966681511479</v>
          </cell>
          <cell r="EH56">
            <v>2.9438461128430058</v>
          </cell>
          <cell r="EI56">
            <v>3.3643955575348636</v>
          </cell>
          <cell r="EJ56">
            <v>3.7849450022267215</v>
          </cell>
          <cell r="EK56">
            <v>4.2054944469185793</v>
          </cell>
          <cell r="EL56">
            <v>3.1541208351889347</v>
          </cell>
          <cell r="EM56">
            <v>0.21027472234592898</v>
          </cell>
          <cell r="EP56">
            <v>2.4336180000000001</v>
          </cell>
          <cell r="EQ56">
            <v>1.8316836738730649</v>
          </cell>
          <cell r="ER56">
            <v>2.5643571434222907</v>
          </cell>
          <cell r="ES56">
            <v>3.297030612971517</v>
          </cell>
          <cell r="ET56">
            <v>4.0297040825207429</v>
          </cell>
          <cell r="EU56">
            <v>4.7623775520699692</v>
          </cell>
          <cell r="EV56">
            <v>5.4950510216191946</v>
          </cell>
          <cell r="EW56">
            <v>3.6633673477461297</v>
          </cell>
          <cell r="EX56">
            <v>0.36633673477461298</v>
          </cell>
          <cell r="EZ56">
            <v>2.4336180000000001</v>
          </cell>
          <cell r="FA56">
            <v>1.1112091262661323</v>
          </cell>
          <cell r="FB56">
            <v>2.2224182525322647</v>
          </cell>
          <cell r="FC56">
            <v>3.333627378798397</v>
          </cell>
          <cell r="FD56">
            <v>4.4448365050645293</v>
          </cell>
          <cell r="FE56">
            <v>5.5560456313306616</v>
          </cell>
          <cell r="FF56">
            <v>6.667254757596794</v>
          </cell>
          <cell r="FG56">
            <v>2.2224182525322647</v>
          </cell>
        </row>
        <row r="57">
          <cell r="A57">
            <v>37071</v>
          </cell>
          <cell r="B57">
            <v>39.642850000000003</v>
          </cell>
          <cell r="C57">
            <v>13.607688121505964</v>
          </cell>
          <cell r="D57">
            <v>20.411532182258945</v>
          </cell>
          <cell r="E57">
            <v>27.215376243011928</v>
          </cell>
          <cell r="F57">
            <v>34.019220303764911</v>
          </cell>
          <cell r="G57">
            <v>40.82306436451789</v>
          </cell>
          <cell r="H57">
            <v>47.626908425270877</v>
          </cell>
          <cell r="I57">
            <v>54.430752486023856</v>
          </cell>
          <cell r="J57">
            <v>61.234596546776835</v>
          </cell>
          <cell r="K57">
            <v>68.038440607529822</v>
          </cell>
          <cell r="L57">
            <v>51.028830455647366</v>
          </cell>
          <cell r="M57">
            <v>3.401922030376491</v>
          </cell>
          <cell r="P57">
            <v>39.642850000000003</v>
          </cell>
          <cell r="Q57">
            <v>15.319274724187402</v>
          </cell>
          <cell r="R57">
            <v>25.532124540312338</v>
          </cell>
          <cell r="S57">
            <v>35.744974356437275</v>
          </cell>
          <cell r="T57">
            <v>45.957824172562205</v>
          </cell>
          <cell r="U57">
            <v>56.170673988687142</v>
          </cell>
          <cell r="V57">
            <v>66.383523804812071</v>
          </cell>
          <cell r="W57">
            <v>76.596373620937015</v>
          </cell>
          <cell r="X57">
            <v>51.064249080624677</v>
          </cell>
          <cell r="Y57">
            <v>5.1064249080624675</v>
          </cell>
          <cell r="AA57">
            <v>39.642850000000003</v>
          </cell>
          <cell r="AB57">
            <v>20.792707663384952</v>
          </cell>
          <cell r="AC57">
            <v>31.189061495077429</v>
          </cell>
          <cell r="AD57">
            <v>41.585415326769905</v>
          </cell>
          <cell r="AE57">
            <v>51.981769158462384</v>
          </cell>
          <cell r="AF57">
            <v>62.378122990154857</v>
          </cell>
          <cell r="AG57">
            <v>20.792707663384952</v>
          </cell>
          <cell r="AK57">
            <v>29.75</v>
          </cell>
          <cell r="AL57">
            <v>22.94118771331058</v>
          </cell>
          <cell r="AM57">
            <v>28.676484641638226</v>
          </cell>
          <cell r="AN57">
            <v>34.411781569965868</v>
          </cell>
          <cell r="AO57">
            <v>40.147078498293517</v>
          </cell>
          <cell r="AP57">
            <v>45.882375426621159</v>
          </cell>
          <cell r="AQ57">
            <v>51.617672354948802</v>
          </cell>
          <cell r="AR57">
            <v>57.352969283276451</v>
          </cell>
          <cell r="AS57">
            <v>43.014726962457338</v>
          </cell>
          <cell r="AT57">
            <v>2.8676484641638225</v>
          </cell>
          <cell r="AW57">
            <v>29.75</v>
          </cell>
          <cell r="AX57">
            <v>23.207619453924906</v>
          </cell>
          <cell r="AY57">
            <v>32.490667235494868</v>
          </cell>
          <cell r="AZ57">
            <v>41.773715017064831</v>
          </cell>
          <cell r="BA57">
            <v>51.056762798634793</v>
          </cell>
          <cell r="BB57">
            <v>60.339810580204755</v>
          </cell>
          <cell r="BC57">
            <v>69.622858361774718</v>
          </cell>
          <cell r="BD57">
            <v>46.415238907849812</v>
          </cell>
          <cell r="BE57">
            <v>4.6415238907849812</v>
          </cell>
          <cell r="BG57">
            <v>29.75</v>
          </cell>
          <cell r="BH57">
            <v>19.53647610921502</v>
          </cell>
          <cell r="BI57">
            <v>29.304714163822531</v>
          </cell>
          <cell r="BJ57">
            <v>39.072952218430039</v>
          </cell>
          <cell r="BK57">
            <v>48.841190273037547</v>
          </cell>
          <cell r="BL57">
            <v>58.609428327645062</v>
          </cell>
          <cell r="BM57">
            <v>19.53647610921502</v>
          </cell>
          <cell r="BQ57">
            <v>36.4</v>
          </cell>
          <cell r="BR57">
            <v>23.989604212408622</v>
          </cell>
          <cell r="BS57">
            <v>31.986138949878161</v>
          </cell>
          <cell r="BT57">
            <v>39.982673687347699</v>
          </cell>
          <cell r="BU57">
            <v>47.979208424817244</v>
          </cell>
          <cell r="BV57">
            <v>55.975743162286783</v>
          </cell>
          <cell r="BW57">
            <v>63.972277899756321</v>
          </cell>
          <cell r="BX57">
            <v>71.968812637225867</v>
          </cell>
          <cell r="BY57">
            <v>79.965347374695398</v>
          </cell>
          <cell r="BZ57">
            <v>3.9982673687347701</v>
          </cell>
          <cell r="CC57">
            <v>36.4</v>
          </cell>
          <cell r="CD57">
            <v>25.757719318041854</v>
          </cell>
          <cell r="CE57">
            <v>36.060807045258599</v>
          </cell>
          <cell r="CF57">
            <v>46.363894772475334</v>
          </cell>
          <cell r="CG57">
            <v>56.666982499692082</v>
          </cell>
          <cell r="CH57">
            <v>66.970070226908817</v>
          </cell>
          <cell r="CI57">
            <v>77.273157954125566</v>
          </cell>
          <cell r="CJ57">
            <v>51.515438636083708</v>
          </cell>
          <cell r="CK57">
            <v>5.1515438636083708</v>
          </cell>
          <cell r="CM57">
            <v>36.4</v>
          </cell>
          <cell r="CN57">
            <v>15.031584020341942</v>
          </cell>
          <cell r="CO57">
            <v>30.063168040683884</v>
          </cell>
          <cell r="CP57">
            <v>45.094752061025829</v>
          </cell>
          <cell r="CQ57">
            <v>60.126336081367768</v>
          </cell>
          <cell r="CR57">
            <v>75.157920101709706</v>
          </cell>
          <cell r="CS57">
            <v>90.189504122051659</v>
          </cell>
          <cell r="CT57">
            <v>30.063168040683884</v>
          </cell>
          <cell r="CX57">
            <v>7.05</v>
          </cell>
          <cell r="CY57">
            <v>3.7229761267164521</v>
          </cell>
          <cell r="CZ57">
            <v>4.653720158395565</v>
          </cell>
          <cell r="DA57">
            <v>5.5844641900746783</v>
          </cell>
          <cell r="DB57">
            <v>6.5152082217537908</v>
          </cell>
          <cell r="DC57">
            <v>7.4459522534329041</v>
          </cell>
          <cell r="DD57">
            <v>8.3766962851120166</v>
          </cell>
          <cell r="DE57">
            <v>9.3074403167911299</v>
          </cell>
          <cell r="DF57">
            <v>6.9805802375933474</v>
          </cell>
          <cell r="DG57">
            <v>0.46537201583955651</v>
          </cell>
          <cell r="DJ57">
            <v>7.05</v>
          </cell>
          <cell r="DK57">
            <v>3.234305479401911</v>
          </cell>
          <cell r="DL57">
            <v>4.5280276711626755</v>
          </cell>
          <cell r="DM57">
            <v>5.8217498629234399</v>
          </cell>
          <cell r="DN57">
            <v>7.1154720546842043</v>
          </cell>
          <cell r="DO57">
            <v>8.4091942464449687</v>
          </cell>
          <cell r="DP57">
            <v>9.7029164382057331</v>
          </cell>
          <cell r="DQ57">
            <v>6.4686109588038221</v>
          </cell>
          <cell r="DR57">
            <v>0.64686109588038221</v>
          </cell>
          <cell r="DT57">
            <v>7.05</v>
          </cell>
          <cell r="DU57">
            <v>3.5413701484093263</v>
          </cell>
          <cell r="DV57">
            <v>7.0827402968186526</v>
          </cell>
          <cell r="DW57">
            <v>10.624110445227979</v>
          </cell>
          <cell r="DX57">
            <v>14.165480593637305</v>
          </cell>
          <cell r="DY57">
            <v>17.706850742046633</v>
          </cell>
          <cell r="DZ57">
            <v>21.248220890455958</v>
          </cell>
          <cell r="EA57">
            <v>7.0827402968186526</v>
          </cell>
          <cell r="EE57">
            <v>2.5781890000000001</v>
          </cell>
          <cell r="EF57">
            <v>2.1351188854205154</v>
          </cell>
          <cell r="EG57">
            <v>2.5621426625046184</v>
          </cell>
          <cell r="EH57">
            <v>2.9891664395887214</v>
          </cell>
          <cell r="EI57">
            <v>3.4161902166728244</v>
          </cell>
          <cell r="EJ57">
            <v>3.8432139937569274</v>
          </cell>
          <cell r="EK57">
            <v>4.2702377708410308</v>
          </cell>
          <cell r="EL57">
            <v>3.2026783281307729</v>
          </cell>
          <cell r="EM57">
            <v>0.21351188854205153</v>
          </cell>
          <cell r="EP57">
            <v>2.5781890000000001</v>
          </cell>
          <cell r="EQ57">
            <v>1.8480150224178531</v>
          </cell>
          <cell r="ER57">
            <v>2.5872210313849946</v>
          </cell>
          <cell r="ES57">
            <v>3.3264270403521357</v>
          </cell>
          <cell r="ET57">
            <v>4.0656330493192767</v>
          </cell>
          <cell r="EU57">
            <v>4.8048390582864187</v>
          </cell>
          <cell r="EV57">
            <v>5.5440450672535597</v>
          </cell>
          <cell r="EW57">
            <v>3.6960300448357062</v>
          </cell>
          <cell r="EX57">
            <v>0.36960300448357064</v>
          </cell>
          <cell r="EZ57">
            <v>2.5781890000000001</v>
          </cell>
          <cell r="FA57">
            <v>1.1212172634377853</v>
          </cell>
          <cell r="FB57">
            <v>2.2424345268755705</v>
          </cell>
          <cell r="FC57">
            <v>3.363651790313356</v>
          </cell>
          <cell r="FD57">
            <v>4.4848690537511411</v>
          </cell>
          <cell r="FE57">
            <v>5.6060863171889261</v>
          </cell>
          <cell r="FF57">
            <v>6.7273035806267121</v>
          </cell>
          <cell r="FG57">
            <v>2.2424345268755705</v>
          </cell>
        </row>
        <row r="58">
          <cell r="A58">
            <v>37103</v>
          </cell>
          <cell r="B58">
            <v>40.4298</v>
          </cell>
          <cell r="C58">
            <v>13.678888174277283</v>
          </cell>
          <cell r="D58">
            <v>20.518332261415924</v>
          </cell>
          <cell r="E58">
            <v>27.357776348554566</v>
          </cell>
          <cell r="F58">
            <v>34.197220435693211</v>
          </cell>
          <cell r="G58">
            <v>41.036664522831849</v>
          </cell>
          <cell r="H58">
            <v>47.876108609970487</v>
          </cell>
          <cell r="I58">
            <v>54.715552697109132</v>
          </cell>
          <cell r="J58">
            <v>61.554996784247777</v>
          </cell>
          <cell r="K58">
            <v>68.394440871386422</v>
          </cell>
          <cell r="L58">
            <v>51.295830653539809</v>
          </cell>
          <cell r="M58">
            <v>3.4197220435693207</v>
          </cell>
          <cell r="P58">
            <v>40.4298</v>
          </cell>
          <cell r="Q58">
            <v>15.405007503421889</v>
          </cell>
          <cell r="R58">
            <v>25.675012505703148</v>
          </cell>
          <cell r="S58">
            <v>35.945017507984403</v>
          </cell>
          <cell r="T58">
            <v>46.215022510265669</v>
          </cell>
          <cell r="U58">
            <v>56.485027512546921</v>
          </cell>
          <cell r="V58">
            <v>66.755032514828187</v>
          </cell>
          <cell r="W58">
            <v>77.025037517109439</v>
          </cell>
          <cell r="X58">
            <v>51.350025011406295</v>
          </cell>
          <cell r="Y58">
            <v>5.1350025011406295</v>
          </cell>
          <cell r="AA58">
            <v>40.4298</v>
          </cell>
          <cell r="AB58">
            <v>20.989866257688949</v>
          </cell>
          <cell r="AC58">
            <v>31.484799386533425</v>
          </cell>
          <cell r="AD58">
            <v>41.979732515377897</v>
          </cell>
          <cell r="AE58">
            <v>52.47466564422237</v>
          </cell>
          <cell r="AF58">
            <v>62.969598773066849</v>
          </cell>
          <cell r="AG58">
            <v>20.989866257688949</v>
          </cell>
          <cell r="AK58">
            <v>27.1</v>
          </cell>
          <cell r="AL58">
            <v>22.659435722411828</v>
          </cell>
          <cell r="AM58">
            <v>28.324294653014785</v>
          </cell>
          <cell r="AN58">
            <v>33.989153583617743</v>
          </cell>
          <cell r="AO58">
            <v>39.654012514220696</v>
          </cell>
          <cell r="AP58">
            <v>45.318871444823657</v>
          </cell>
          <cell r="AQ58">
            <v>50.983730375426617</v>
          </cell>
          <cell r="AR58">
            <v>56.648589306029571</v>
          </cell>
          <cell r="AS58">
            <v>42.486441979522176</v>
          </cell>
          <cell r="AT58">
            <v>2.8324294653014785</v>
          </cell>
          <cell r="AW58">
            <v>27.1</v>
          </cell>
          <cell r="AX58">
            <v>23.012339306029567</v>
          </cell>
          <cell r="AY58">
            <v>32.217275028441392</v>
          </cell>
          <cell r="AZ58">
            <v>41.422210750853225</v>
          </cell>
          <cell r="BA58">
            <v>50.62714647326505</v>
          </cell>
          <cell r="BB58">
            <v>59.832082195676875</v>
          </cell>
          <cell r="BC58">
            <v>69.037017918088708</v>
          </cell>
          <cell r="BD58">
            <v>46.024678612059134</v>
          </cell>
          <cell r="BE58">
            <v>4.6024678612059136</v>
          </cell>
          <cell r="BG58">
            <v>27.1</v>
          </cell>
          <cell r="BH58">
            <v>19.711561149032995</v>
          </cell>
          <cell r="BI58">
            <v>29.567341723549493</v>
          </cell>
          <cell r="BJ58">
            <v>39.423122298065991</v>
          </cell>
          <cell r="BK58">
            <v>49.278902872582492</v>
          </cell>
          <cell r="BL58">
            <v>59.134683447098986</v>
          </cell>
          <cell r="BM58">
            <v>19.711561149032995</v>
          </cell>
          <cell r="BQ58">
            <v>34.1</v>
          </cell>
          <cell r="BR58">
            <v>23.635164188669464</v>
          </cell>
          <cell r="BS58">
            <v>31.513552251559283</v>
          </cell>
          <cell r="BT58">
            <v>39.391940314449101</v>
          </cell>
          <cell r="BU58">
            <v>47.270328377338927</v>
          </cell>
          <cell r="BV58">
            <v>55.148716440228746</v>
          </cell>
          <cell r="BW58">
            <v>63.027104503118565</v>
          </cell>
          <cell r="BX58">
            <v>70.905492566008391</v>
          </cell>
          <cell r="BY58">
            <v>78.783880628898203</v>
          </cell>
          <cell r="BZ58">
            <v>3.9391940314449103</v>
          </cell>
          <cell r="CC58">
            <v>34.1</v>
          </cell>
          <cell r="CD58">
            <v>25.387641970533934</v>
          </cell>
          <cell r="CE58">
            <v>35.542698758747512</v>
          </cell>
          <cell r="CF58">
            <v>45.697755546961083</v>
          </cell>
          <cell r="CG58">
            <v>55.852812335174661</v>
          </cell>
          <cell r="CH58">
            <v>66.007869123388232</v>
          </cell>
          <cell r="CI58">
            <v>76.162925911601803</v>
          </cell>
          <cell r="CJ58">
            <v>50.775283941067869</v>
          </cell>
          <cell r="CK58">
            <v>5.0775283941067872</v>
          </cell>
          <cell r="CM58">
            <v>34.1</v>
          </cell>
          <cell r="CN58">
            <v>15.092017951949162</v>
          </cell>
          <cell r="CO58">
            <v>30.184035903898323</v>
          </cell>
          <cell r="CP58">
            <v>45.276053855847486</v>
          </cell>
          <cell r="CQ58">
            <v>60.368071807796646</v>
          </cell>
          <cell r="CR58">
            <v>75.460089759745813</v>
          </cell>
          <cell r="CS58">
            <v>90.552107711694973</v>
          </cell>
          <cell r="CT58">
            <v>30.184035903898323</v>
          </cell>
          <cell r="CX58">
            <v>6.8</v>
          </cell>
          <cell r="CY58">
            <v>3.8996589243343149</v>
          </cell>
          <cell r="CZ58">
            <v>4.874573655417894</v>
          </cell>
          <cell r="DA58">
            <v>5.8494883865014726</v>
          </cell>
          <cell r="DB58">
            <v>6.8244031175850512</v>
          </cell>
          <cell r="DC58">
            <v>7.7993178486686299</v>
          </cell>
          <cell r="DD58">
            <v>8.7742325797522085</v>
          </cell>
          <cell r="DE58">
            <v>9.749147310835788</v>
          </cell>
          <cell r="DF58">
            <v>7.3118604831268401</v>
          </cell>
          <cell r="DG58">
            <v>0.48745736554178937</v>
          </cell>
          <cell r="DJ58">
            <v>6.8</v>
          </cell>
          <cell r="DK58">
            <v>3.2354347463484396</v>
          </cell>
          <cell r="DL58">
            <v>4.5296086448878157</v>
          </cell>
          <cell r="DM58">
            <v>5.8237825434271908</v>
          </cell>
          <cell r="DN58">
            <v>7.1179564419665668</v>
          </cell>
          <cell r="DO58">
            <v>8.4121303405059429</v>
          </cell>
          <cell r="DP58">
            <v>9.706304239045318</v>
          </cell>
          <cell r="DQ58">
            <v>6.4708694926968793</v>
          </cell>
          <cell r="DR58">
            <v>0.64708694926968791</v>
          </cell>
          <cell r="DT58">
            <v>6.8</v>
          </cell>
          <cell r="DU58">
            <v>3.6649214919176822</v>
          </cell>
          <cell r="DV58">
            <v>7.3298429838353645</v>
          </cell>
          <cell r="DW58">
            <v>10.994764475753048</v>
          </cell>
          <cell r="DX58">
            <v>14.659685967670729</v>
          </cell>
          <cell r="DY58">
            <v>18.32460745958841</v>
          </cell>
          <cell r="DZ58">
            <v>21.989528951506095</v>
          </cell>
          <cell r="EA58">
            <v>7.3298429838353645</v>
          </cell>
          <cell r="EE58">
            <v>2.4336180000000001</v>
          </cell>
          <cell r="EF58">
            <v>2.1674905473817407</v>
          </cell>
          <cell r="EG58">
            <v>2.6009886568580889</v>
          </cell>
          <cell r="EH58">
            <v>3.034486766334437</v>
          </cell>
          <cell r="EI58">
            <v>3.4679848758107852</v>
          </cell>
          <cell r="EJ58">
            <v>3.9014829852871333</v>
          </cell>
          <cell r="EK58">
            <v>4.3349810947634815</v>
          </cell>
          <cell r="EL58">
            <v>3.2512358210726111</v>
          </cell>
          <cell r="EM58">
            <v>0.21674905473817407</v>
          </cell>
          <cell r="EP58">
            <v>2.4336180000000001</v>
          </cell>
          <cell r="EQ58">
            <v>1.8643463709626416</v>
          </cell>
          <cell r="ER58">
            <v>2.610084919347698</v>
          </cell>
          <cell r="ES58">
            <v>3.3558234677327548</v>
          </cell>
          <cell r="ET58">
            <v>4.1015620161178115</v>
          </cell>
          <cell r="EU58">
            <v>4.8473005645028682</v>
          </cell>
          <cell r="EV58">
            <v>5.5930391128879249</v>
          </cell>
          <cell r="EW58">
            <v>3.7286927419252831</v>
          </cell>
          <cell r="EX58">
            <v>0.3728692741925283</v>
          </cell>
          <cell r="EZ58">
            <v>2.4336180000000001</v>
          </cell>
          <cell r="FA58">
            <v>1.1312254006094382</v>
          </cell>
          <cell r="FB58">
            <v>2.2624508012188764</v>
          </cell>
          <cell r="FC58">
            <v>3.3936762018283146</v>
          </cell>
          <cell r="FD58">
            <v>4.5249016024377529</v>
          </cell>
          <cell r="FE58">
            <v>5.6561270030471906</v>
          </cell>
          <cell r="FF58">
            <v>6.7873524036566293</v>
          </cell>
          <cell r="FG58">
            <v>2.2624508012188764</v>
          </cell>
        </row>
        <row r="59">
          <cell r="A59">
            <v>37134</v>
          </cell>
          <cell r="B59">
            <v>37.872199999999999</v>
          </cell>
          <cell r="C59">
            <v>13.750088227048602</v>
          </cell>
          <cell r="D59">
            <v>20.625132340572904</v>
          </cell>
          <cell r="E59">
            <v>27.500176454097204</v>
          </cell>
          <cell r="F59">
            <v>34.375220567621504</v>
          </cell>
          <cell r="G59">
            <v>41.250264681145808</v>
          </cell>
          <cell r="H59">
            <v>48.125308794670104</v>
          </cell>
          <cell r="I59">
            <v>55.000352908194408</v>
          </cell>
          <cell r="J59">
            <v>61.875397021718712</v>
          </cell>
          <cell r="K59">
            <v>68.750441135243008</v>
          </cell>
          <cell r="L59">
            <v>51.56283085143226</v>
          </cell>
          <cell r="M59">
            <v>3.4375220567621505</v>
          </cell>
          <cell r="P59">
            <v>37.872199999999999</v>
          </cell>
          <cell r="Q59">
            <v>15.490740282656375</v>
          </cell>
          <cell r="R59">
            <v>25.817900471093957</v>
          </cell>
          <cell r="S59">
            <v>36.145060659531538</v>
          </cell>
          <cell r="T59">
            <v>46.472220847969126</v>
          </cell>
          <cell r="U59">
            <v>56.799381036406707</v>
          </cell>
          <cell r="V59">
            <v>67.126541224844289</v>
          </cell>
          <cell r="W59">
            <v>77.453701413281877</v>
          </cell>
          <cell r="X59">
            <v>51.635800942187913</v>
          </cell>
          <cell r="Y59">
            <v>5.1635800942187915</v>
          </cell>
          <cell r="AA59">
            <v>37.872199999999999</v>
          </cell>
          <cell r="AB59">
            <v>21.187024851992945</v>
          </cell>
          <cell r="AC59">
            <v>31.780537277989417</v>
          </cell>
          <cell r="AD59">
            <v>42.374049703985889</v>
          </cell>
          <cell r="AE59">
            <v>52.967562129982362</v>
          </cell>
          <cell r="AF59">
            <v>63.561074555978834</v>
          </cell>
          <cell r="AG59">
            <v>21.187024851992945</v>
          </cell>
          <cell r="AK59">
            <v>26.85</v>
          </cell>
          <cell r="AL59">
            <v>22.377683731513077</v>
          </cell>
          <cell r="AM59">
            <v>27.972104664391345</v>
          </cell>
          <cell r="AN59">
            <v>33.566525597269617</v>
          </cell>
          <cell r="AO59">
            <v>39.160946530147882</v>
          </cell>
          <cell r="AP59">
            <v>44.755367463026154</v>
          </cell>
          <cell r="AQ59">
            <v>50.349788395904426</v>
          </cell>
          <cell r="AR59">
            <v>55.944209328782691</v>
          </cell>
          <cell r="AS59">
            <v>41.958156996587022</v>
          </cell>
          <cell r="AT59">
            <v>2.7972104664391346</v>
          </cell>
          <cell r="AW59">
            <v>26.85</v>
          </cell>
          <cell r="AX59">
            <v>22.817059158134228</v>
          </cell>
          <cell r="AY59">
            <v>31.943882821387923</v>
          </cell>
          <cell r="AZ59">
            <v>41.070706484641612</v>
          </cell>
          <cell r="BA59">
            <v>50.197530147895307</v>
          </cell>
          <cell r="BB59">
            <v>59.324353811148995</v>
          </cell>
          <cell r="BC59">
            <v>68.451177474402684</v>
          </cell>
          <cell r="BD59">
            <v>45.634118316268456</v>
          </cell>
          <cell r="BE59">
            <v>4.5634118316268459</v>
          </cell>
          <cell r="BG59">
            <v>26.85</v>
          </cell>
          <cell r="BH59">
            <v>19.886646188850971</v>
          </cell>
          <cell r="BI59">
            <v>29.829969283276455</v>
          </cell>
          <cell r="BJ59">
            <v>39.773292377701942</v>
          </cell>
          <cell r="BK59">
            <v>49.71661547212743</v>
          </cell>
          <cell r="BL59">
            <v>59.65993856655291</v>
          </cell>
          <cell r="BM59">
            <v>19.886646188850971</v>
          </cell>
          <cell r="BQ59">
            <v>31.7</v>
          </cell>
          <cell r="BR59">
            <v>23.280724164930305</v>
          </cell>
          <cell r="BS59">
            <v>31.040965553240405</v>
          </cell>
          <cell r="BT59">
            <v>38.801206941550504</v>
          </cell>
          <cell r="BU59">
            <v>46.56144832986061</v>
          </cell>
          <cell r="BV59">
            <v>54.32168971817071</v>
          </cell>
          <cell r="BW59">
            <v>62.081931106480809</v>
          </cell>
          <cell r="BX59">
            <v>69.842172494790915</v>
          </cell>
          <cell r="BY59">
            <v>77.602413883101008</v>
          </cell>
          <cell r="BZ59">
            <v>3.8801206941550506</v>
          </cell>
          <cell r="CC59">
            <v>31.7</v>
          </cell>
          <cell r="CD59">
            <v>25.017564623026018</v>
          </cell>
          <cell r="CE59">
            <v>35.024590472236426</v>
          </cell>
          <cell r="CF59">
            <v>45.031616321446833</v>
          </cell>
          <cell r="CG59">
            <v>55.038642170657241</v>
          </cell>
          <cell r="CH59">
            <v>65.045668019867648</v>
          </cell>
          <cell r="CI59">
            <v>75.052693869078055</v>
          </cell>
          <cell r="CJ59">
            <v>50.035129246052037</v>
          </cell>
          <cell r="CK59">
            <v>5.0035129246052037</v>
          </cell>
          <cell r="CM59">
            <v>31.7</v>
          </cell>
          <cell r="CN59">
            <v>15.152451883556381</v>
          </cell>
          <cell r="CO59">
            <v>30.304903767112762</v>
          </cell>
          <cell r="CP59">
            <v>45.457355650669143</v>
          </cell>
          <cell r="CQ59">
            <v>60.609807534225524</v>
          </cell>
          <cell r="CR59">
            <v>75.762259417781905</v>
          </cell>
          <cell r="CS59">
            <v>90.914711301338286</v>
          </cell>
          <cell r="CT59">
            <v>30.304903767112762</v>
          </cell>
          <cell r="CX59">
            <v>6.3</v>
          </cell>
          <cell r="CY59">
            <v>4.0763417219521774</v>
          </cell>
          <cell r="CZ59">
            <v>5.0954271524402213</v>
          </cell>
          <cell r="DA59">
            <v>6.114512582928266</v>
          </cell>
          <cell r="DB59">
            <v>7.1335980134163108</v>
          </cell>
          <cell r="DC59">
            <v>8.1526834439043547</v>
          </cell>
          <cell r="DD59">
            <v>9.1717688743923986</v>
          </cell>
          <cell r="DE59">
            <v>10.190854304880443</v>
          </cell>
          <cell r="DF59">
            <v>7.6431407286603328</v>
          </cell>
          <cell r="DG59">
            <v>0.50954271524402217</v>
          </cell>
          <cell r="DJ59">
            <v>6.3</v>
          </cell>
          <cell r="DK59">
            <v>3.2365640132949682</v>
          </cell>
          <cell r="DL59">
            <v>4.531189618612955</v>
          </cell>
          <cell r="DM59">
            <v>5.8258152239309426</v>
          </cell>
          <cell r="DN59">
            <v>7.1204408292489294</v>
          </cell>
          <cell r="DO59">
            <v>8.4150664345669171</v>
          </cell>
          <cell r="DP59">
            <v>9.7096920398849047</v>
          </cell>
          <cell r="DQ59">
            <v>6.4731280265899365</v>
          </cell>
          <cell r="DR59">
            <v>0.6473128026589936</v>
          </cell>
          <cell r="DT59">
            <v>6.3</v>
          </cell>
          <cell r="DU59">
            <v>3.7884728354260382</v>
          </cell>
          <cell r="DV59">
            <v>7.5769456708520764</v>
          </cell>
          <cell r="DW59">
            <v>11.365418506278115</v>
          </cell>
          <cell r="DX59">
            <v>15.153891341704153</v>
          </cell>
          <cell r="DY59">
            <v>18.942364177130191</v>
          </cell>
          <cell r="DZ59">
            <v>22.730837012556229</v>
          </cell>
          <cell r="EA59">
            <v>7.5769456708520764</v>
          </cell>
          <cell r="EE59">
            <v>2.385427</v>
          </cell>
          <cell r="EF59">
            <v>2.1998622093429661</v>
          </cell>
          <cell r="EG59">
            <v>2.6398346512115594</v>
          </cell>
          <cell r="EH59">
            <v>3.0798070930801527</v>
          </cell>
          <cell r="EI59">
            <v>3.519779534948746</v>
          </cell>
          <cell r="EJ59">
            <v>3.9597519768173393</v>
          </cell>
          <cell r="EK59">
            <v>4.3997244186859321</v>
          </cell>
          <cell r="EL59">
            <v>3.2997933140144493</v>
          </cell>
          <cell r="EM59">
            <v>0.21998622093429662</v>
          </cell>
          <cell r="EP59">
            <v>2.385427</v>
          </cell>
          <cell r="EQ59">
            <v>1.8806777195074298</v>
          </cell>
          <cell r="ER59">
            <v>2.6329488073104015</v>
          </cell>
          <cell r="ES59">
            <v>3.3852198951133738</v>
          </cell>
          <cell r="ET59">
            <v>4.1374909829163453</v>
          </cell>
          <cell r="EU59">
            <v>4.8897620707193177</v>
          </cell>
          <cell r="EV59">
            <v>5.6420331585222891</v>
          </cell>
          <cell r="EW59">
            <v>3.7613554390148596</v>
          </cell>
          <cell r="EX59">
            <v>0.37613554390148596</v>
          </cell>
          <cell r="EZ59">
            <v>2.385427</v>
          </cell>
          <cell r="FA59">
            <v>1.1412335377810912</v>
          </cell>
          <cell r="FB59">
            <v>2.2824670755621823</v>
          </cell>
          <cell r="FC59">
            <v>3.4237006133432732</v>
          </cell>
          <cell r="FD59">
            <v>4.5649341511243646</v>
          </cell>
          <cell r="FE59">
            <v>5.706167688905456</v>
          </cell>
          <cell r="FF59">
            <v>6.8474012266865465</v>
          </cell>
          <cell r="FG59">
            <v>2.2824670755621823</v>
          </cell>
        </row>
        <row r="60">
          <cell r="A60">
            <v>37162</v>
          </cell>
          <cell r="B60">
            <v>34.134160000000001</v>
          </cell>
          <cell r="C60">
            <v>13.821288279819921</v>
          </cell>
          <cell r="D60">
            <v>20.73193241972988</v>
          </cell>
          <cell r="E60">
            <v>27.642576559639842</v>
          </cell>
          <cell r="F60">
            <v>34.553220699549804</v>
          </cell>
          <cell r="G60">
            <v>41.46386483945976</v>
          </cell>
          <cell r="H60">
            <v>48.374508979369722</v>
          </cell>
          <cell r="I60">
            <v>55.285153119279684</v>
          </cell>
          <cell r="J60">
            <v>62.195797259189646</v>
          </cell>
          <cell r="K60">
            <v>69.106441399099609</v>
          </cell>
          <cell r="L60">
            <v>51.829831049324703</v>
          </cell>
          <cell r="M60">
            <v>3.4553220699549803</v>
          </cell>
          <cell r="P60">
            <v>34.134160000000001</v>
          </cell>
          <cell r="Q60">
            <v>15.57647306189086</v>
          </cell>
          <cell r="R60">
            <v>25.960788436484769</v>
          </cell>
          <cell r="S60">
            <v>36.345103811078673</v>
          </cell>
          <cell r="T60">
            <v>46.729419185672583</v>
          </cell>
          <cell r="U60">
            <v>57.113734560266487</v>
          </cell>
          <cell r="V60">
            <v>67.49804993486039</v>
          </cell>
          <cell r="W60">
            <v>77.8823653094543</v>
          </cell>
          <cell r="X60">
            <v>51.921576872969538</v>
          </cell>
          <cell r="Y60">
            <v>5.1921576872969535</v>
          </cell>
          <cell r="AA60">
            <v>34.134160000000001</v>
          </cell>
          <cell r="AB60">
            <v>21.384183446296941</v>
          </cell>
          <cell r="AC60">
            <v>32.07627516944541</v>
          </cell>
          <cell r="AD60">
            <v>42.768366892593882</v>
          </cell>
          <cell r="AE60">
            <v>53.460458615742354</v>
          </cell>
          <cell r="AF60">
            <v>64.152550338890819</v>
          </cell>
          <cell r="AG60">
            <v>21.384183446296941</v>
          </cell>
          <cell r="AK60">
            <v>24.4</v>
          </cell>
          <cell r="AL60">
            <v>22.095931740614326</v>
          </cell>
          <cell r="AM60">
            <v>27.619914675767909</v>
          </cell>
          <cell r="AN60">
            <v>33.143897610921485</v>
          </cell>
          <cell r="AO60">
            <v>38.667880546075068</v>
          </cell>
          <cell r="AP60">
            <v>44.191863481228651</v>
          </cell>
          <cell r="AQ60">
            <v>49.715846416382234</v>
          </cell>
          <cell r="AR60">
            <v>55.239829351535818</v>
          </cell>
          <cell r="AS60">
            <v>41.42987201365186</v>
          </cell>
          <cell r="AT60">
            <v>2.7619914675767907</v>
          </cell>
          <cell r="AW60">
            <v>24.4</v>
          </cell>
          <cell r="AX60">
            <v>22.621779010238892</v>
          </cell>
          <cell r="AY60">
            <v>31.670490614334447</v>
          </cell>
          <cell r="AZ60">
            <v>40.719202218430006</v>
          </cell>
          <cell r="BA60">
            <v>49.767913822525564</v>
          </cell>
          <cell r="BB60">
            <v>58.816625426621115</v>
          </cell>
          <cell r="BC60">
            <v>67.865337030716674</v>
          </cell>
          <cell r="BD60">
            <v>45.243558020477785</v>
          </cell>
          <cell r="BE60">
            <v>4.5243558020477783</v>
          </cell>
          <cell r="BG60">
            <v>24.4</v>
          </cell>
          <cell r="BH60">
            <v>20.061731228668947</v>
          </cell>
          <cell r="BI60">
            <v>30.09259684300342</v>
          </cell>
          <cell r="BJ60">
            <v>40.123462457337894</v>
          </cell>
          <cell r="BK60">
            <v>50.154328071672367</v>
          </cell>
          <cell r="BL60">
            <v>60.185193686006841</v>
          </cell>
          <cell r="BM60">
            <v>20.061731228668947</v>
          </cell>
          <cell r="BQ60">
            <v>26.4</v>
          </cell>
          <cell r="BR60">
            <v>22.926284141191147</v>
          </cell>
          <cell r="BS60">
            <v>30.568378854921527</v>
          </cell>
          <cell r="BT60">
            <v>38.210473568651906</v>
          </cell>
          <cell r="BU60">
            <v>45.852568282382293</v>
          </cell>
          <cell r="BV60">
            <v>53.494662996112673</v>
          </cell>
          <cell r="BW60">
            <v>61.136757709843053</v>
          </cell>
          <cell r="BX60">
            <v>68.77885242357344</v>
          </cell>
          <cell r="BY60">
            <v>76.420947137303813</v>
          </cell>
          <cell r="BZ60">
            <v>3.8210473568651908</v>
          </cell>
          <cell r="CC60">
            <v>26.4</v>
          </cell>
          <cell r="CD60">
            <v>24.647487275518102</v>
          </cell>
          <cell r="CE60">
            <v>34.506482185725339</v>
          </cell>
          <cell r="CF60">
            <v>44.365477095932583</v>
          </cell>
          <cell r="CG60">
            <v>54.22447200613982</v>
          </cell>
          <cell r="CH60">
            <v>64.083466916347064</v>
          </cell>
          <cell r="CI60">
            <v>73.942461826554307</v>
          </cell>
          <cell r="CJ60">
            <v>49.294974551036205</v>
          </cell>
          <cell r="CK60">
            <v>4.9294974551036201</v>
          </cell>
          <cell r="CM60">
            <v>26.4</v>
          </cell>
          <cell r="CN60">
            <v>15.212885815163601</v>
          </cell>
          <cell r="CO60">
            <v>30.425771630327201</v>
          </cell>
          <cell r="CP60">
            <v>45.6386574454908</v>
          </cell>
          <cell r="CQ60">
            <v>60.851543260654402</v>
          </cell>
          <cell r="CR60">
            <v>76.064429075817998</v>
          </cell>
          <cell r="CS60">
            <v>91.2773148909816</v>
          </cell>
          <cell r="CT60">
            <v>30.425771630327201</v>
          </cell>
          <cell r="CX60">
            <v>7.55</v>
          </cell>
          <cell r="CY60">
            <v>4.2530245195700402</v>
          </cell>
          <cell r="CZ60">
            <v>5.3162806494625503</v>
          </cell>
          <cell r="DA60">
            <v>6.3795367793550604</v>
          </cell>
          <cell r="DB60">
            <v>7.4427929092475704</v>
          </cell>
          <cell r="DC60">
            <v>8.5060490391400805</v>
          </cell>
          <cell r="DD60">
            <v>9.5693051690325905</v>
          </cell>
          <cell r="DE60">
            <v>10.632561298925101</v>
          </cell>
          <cell r="DF60">
            <v>7.9744209741938255</v>
          </cell>
          <cell r="DG60">
            <v>0.53162806494625503</v>
          </cell>
          <cell r="DJ60">
            <v>7.55</v>
          </cell>
          <cell r="DK60">
            <v>3.2376932802414964</v>
          </cell>
          <cell r="DL60">
            <v>4.5327705923380952</v>
          </cell>
          <cell r="DM60">
            <v>5.8278479044346936</v>
          </cell>
          <cell r="DN60">
            <v>7.122925216531292</v>
          </cell>
          <cell r="DO60">
            <v>8.4180025286278912</v>
          </cell>
          <cell r="DP60">
            <v>9.7130798407244896</v>
          </cell>
          <cell r="DQ60">
            <v>6.4753865604829928</v>
          </cell>
          <cell r="DR60">
            <v>0.6475386560482993</v>
          </cell>
          <cell r="DT60">
            <v>7.55</v>
          </cell>
          <cell r="DU60">
            <v>3.9120241789343941</v>
          </cell>
          <cell r="DV60">
            <v>7.8240483578687883</v>
          </cell>
          <cell r="DW60">
            <v>11.736072536803182</v>
          </cell>
          <cell r="DX60">
            <v>15.648096715737577</v>
          </cell>
          <cell r="DY60">
            <v>19.560120894671972</v>
          </cell>
          <cell r="DZ60">
            <v>23.472145073606363</v>
          </cell>
          <cell r="EA60">
            <v>7.8240483578687883</v>
          </cell>
          <cell r="EE60">
            <v>1.8697889999999999</v>
          </cell>
          <cell r="EF60">
            <v>2.2322338713041918</v>
          </cell>
          <cell r="EG60">
            <v>2.6786806455650298</v>
          </cell>
          <cell r="EH60">
            <v>3.1251274198258683</v>
          </cell>
          <cell r="EI60">
            <v>3.5715741940867067</v>
          </cell>
          <cell r="EJ60">
            <v>4.0180209683475452</v>
          </cell>
          <cell r="EK60">
            <v>4.4644677426083836</v>
          </cell>
          <cell r="EL60">
            <v>3.3483508069562875</v>
          </cell>
          <cell r="EM60">
            <v>0.22322338713041917</v>
          </cell>
          <cell r="EP60">
            <v>1.8697889999999999</v>
          </cell>
          <cell r="EQ60">
            <v>1.897009068052218</v>
          </cell>
          <cell r="ER60">
            <v>2.6558126952731054</v>
          </cell>
          <cell r="ES60">
            <v>3.4146163224939925</v>
          </cell>
          <cell r="ET60">
            <v>4.1734199497148801</v>
          </cell>
          <cell r="EU60">
            <v>4.9322235769357672</v>
          </cell>
          <cell r="EV60">
            <v>5.6910272041566543</v>
          </cell>
          <cell r="EW60">
            <v>3.7940181361044361</v>
          </cell>
          <cell r="EX60">
            <v>0.37940181361044362</v>
          </cell>
          <cell r="EZ60">
            <v>1.8697889999999999</v>
          </cell>
          <cell r="FA60">
            <v>1.1512416749527441</v>
          </cell>
          <cell r="FB60">
            <v>2.3024833499054882</v>
          </cell>
          <cell r="FC60">
            <v>3.4537250248582323</v>
          </cell>
          <cell r="FD60">
            <v>4.6049666998109764</v>
          </cell>
          <cell r="FE60">
            <v>5.7562083747637205</v>
          </cell>
          <cell r="FF60">
            <v>6.9074500497164646</v>
          </cell>
          <cell r="FG60">
            <v>2.3024833499054882</v>
          </cell>
        </row>
        <row r="61">
          <cell r="A61">
            <v>37195</v>
          </cell>
          <cell r="B61">
            <v>33.248840000000001</v>
          </cell>
          <cell r="C61">
            <v>13.89248833259124</v>
          </cell>
          <cell r="D61">
            <v>20.838732498886859</v>
          </cell>
          <cell r="E61">
            <v>27.78497666518248</v>
          </cell>
          <cell r="F61">
            <v>34.731220831478097</v>
          </cell>
          <cell r="G61">
            <v>41.677464997773718</v>
          </cell>
          <cell r="H61">
            <v>48.623709164069339</v>
          </cell>
          <cell r="I61">
            <v>55.56995333036496</v>
          </cell>
          <cell r="J61">
            <v>62.516197496660581</v>
          </cell>
          <cell r="K61">
            <v>69.462441662956195</v>
          </cell>
          <cell r="L61">
            <v>52.096831247217153</v>
          </cell>
          <cell r="M61">
            <v>3.47312208314781</v>
          </cell>
          <cell r="P61">
            <v>33.248840000000001</v>
          </cell>
          <cell r="Q61">
            <v>15.662205841125346</v>
          </cell>
          <cell r="R61">
            <v>26.103676401875578</v>
          </cell>
          <cell r="S61">
            <v>36.545146962625807</v>
          </cell>
          <cell r="T61">
            <v>46.98661752337604</v>
          </cell>
          <cell r="U61">
            <v>57.428088084126273</v>
          </cell>
          <cell r="V61">
            <v>67.869558644876506</v>
          </cell>
          <cell r="W61">
            <v>78.311029205626738</v>
          </cell>
          <cell r="X61">
            <v>52.207352803751157</v>
          </cell>
          <cell r="Y61">
            <v>5.2207352803751155</v>
          </cell>
          <cell r="AA61">
            <v>33.248840000000001</v>
          </cell>
          <cell r="AB61">
            <v>21.581342040600937</v>
          </cell>
          <cell r="AC61">
            <v>32.372013060901409</v>
          </cell>
          <cell r="AD61">
            <v>43.162684081201874</v>
          </cell>
          <cell r="AE61">
            <v>53.953355101502339</v>
          </cell>
          <cell r="AF61">
            <v>64.744026121802818</v>
          </cell>
          <cell r="AG61">
            <v>21.581342040600937</v>
          </cell>
          <cell r="AK61">
            <v>23.45</v>
          </cell>
          <cell r="AL61">
            <v>21.814179749715574</v>
          </cell>
          <cell r="AM61">
            <v>27.267724687144469</v>
          </cell>
          <cell r="AN61">
            <v>32.72126962457336</v>
          </cell>
          <cell r="AO61">
            <v>38.174814562002254</v>
          </cell>
          <cell r="AP61">
            <v>43.628359499431149</v>
          </cell>
          <cell r="AQ61">
            <v>49.081904436860043</v>
          </cell>
          <cell r="AR61">
            <v>54.535449374288937</v>
          </cell>
          <cell r="AS61">
            <v>40.901587030716705</v>
          </cell>
          <cell r="AT61">
            <v>2.7267724687144468</v>
          </cell>
          <cell r="AW61">
            <v>23.45</v>
          </cell>
          <cell r="AX61">
            <v>22.426498862343553</v>
          </cell>
          <cell r="AY61">
            <v>31.397098407280975</v>
          </cell>
          <cell r="AZ61">
            <v>40.367697952218393</v>
          </cell>
          <cell r="BA61">
            <v>49.338297497155821</v>
          </cell>
          <cell r="BB61">
            <v>58.308897042093236</v>
          </cell>
          <cell r="BC61">
            <v>67.279496587030664</v>
          </cell>
          <cell r="BD61">
            <v>44.852997724687107</v>
          </cell>
          <cell r="BE61">
            <v>4.4852997724687107</v>
          </cell>
          <cell r="BG61">
            <v>23.45</v>
          </cell>
          <cell r="BH61">
            <v>20.236816268486923</v>
          </cell>
          <cell r="BI61">
            <v>30.355224402730386</v>
          </cell>
          <cell r="BJ61">
            <v>40.473632536973845</v>
          </cell>
          <cell r="BK61">
            <v>50.592040671217305</v>
          </cell>
          <cell r="BL61">
            <v>60.710448805460771</v>
          </cell>
          <cell r="BM61">
            <v>20.236816268486923</v>
          </cell>
          <cell r="BQ61">
            <v>27.25</v>
          </cell>
          <cell r="BR61">
            <v>22.571844117451988</v>
          </cell>
          <cell r="BS61">
            <v>30.095792156602649</v>
          </cell>
          <cell r="BT61">
            <v>37.619740195753309</v>
          </cell>
          <cell r="BU61">
            <v>45.143688234903976</v>
          </cell>
          <cell r="BV61">
            <v>52.667636274054637</v>
          </cell>
          <cell r="BW61">
            <v>60.191584313205297</v>
          </cell>
          <cell r="BX61">
            <v>67.715532352355964</v>
          </cell>
          <cell r="BY61">
            <v>75.239480391506618</v>
          </cell>
          <cell r="BZ61">
            <v>3.7619740195753311</v>
          </cell>
          <cell r="CC61">
            <v>27.25</v>
          </cell>
          <cell r="CD61">
            <v>24.277409928010183</v>
          </cell>
          <cell r="CE61">
            <v>33.988373899214253</v>
          </cell>
          <cell r="CF61">
            <v>43.699337870418333</v>
          </cell>
          <cell r="CG61">
            <v>53.410301841622399</v>
          </cell>
          <cell r="CH61">
            <v>63.121265812826479</v>
          </cell>
          <cell r="CI61">
            <v>72.832229784030545</v>
          </cell>
          <cell r="CJ61">
            <v>48.554819856020366</v>
          </cell>
          <cell r="CK61">
            <v>4.8554819856020366</v>
          </cell>
          <cell r="CM61">
            <v>27.25</v>
          </cell>
          <cell r="CN61">
            <v>15.27331974677082</v>
          </cell>
          <cell r="CO61">
            <v>30.54663949354164</v>
          </cell>
          <cell r="CP61">
            <v>45.819959240312457</v>
          </cell>
          <cell r="CQ61">
            <v>61.093278987083281</v>
          </cell>
          <cell r="CR61">
            <v>76.366598733854104</v>
          </cell>
          <cell r="CS61">
            <v>91.639918480624914</v>
          </cell>
          <cell r="CT61">
            <v>30.54663949354164</v>
          </cell>
          <cell r="CX61">
            <v>6.7</v>
          </cell>
          <cell r="CY61">
            <v>4.4297073171879031</v>
          </cell>
          <cell r="CZ61">
            <v>5.5371341464848793</v>
          </cell>
          <cell r="DA61">
            <v>6.6445609757818547</v>
          </cell>
          <cell r="DB61">
            <v>7.75198780507883</v>
          </cell>
          <cell r="DC61">
            <v>8.8594146343758062</v>
          </cell>
          <cell r="DD61">
            <v>9.9668414636727825</v>
          </cell>
          <cell r="DE61">
            <v>11.074268292969759</v>
          </cell>
          <cell r="DF61">
            <v>8.3057012197273181</v>
          </cell>
          <cell r="DG61">
            <v>0.55371341464848789</v>
          </cell>
          <cell r="DJ61">
            <v>6.7</v>
          </cell>
          <cell r="DK61">
            <v>3.238822547188025</v>
          </cell>
          <cell r="DL61">
            <v>4.5343515660632345</v>
          </cell>
          <cell r="DM61">
            <v>5.8298805849384454</v>
          </cell>
          <cell r="DN61">
            <v>7.1254096038136545</v>
          </cell>
          <cell r="DO61">
            <v>8.4209386226888654</v>
          </cell>
          <cell r="DP61">
            <v>9.7164676415640745</v>
          </cell>
          <cell r="DQ61">
            <v>6.47764509437605</v>
          </cell>
          <cell r="DR61">
            <v>0.647764509437605</v>
          </cell>
          <cell r="DT61">
            <v>6.7</v>
          </cell>
          <cell r="DU61">
            <v>4.0355755224427501</v>
          </cell>
          <cell r="DV61">
            <v>8.0711510448855002</v>
          </cell>
          <cell r="DW61">
            <v>12.10672656732825</v>
          </cell>
          <cell r="DX61">
            <v>16.142302089771</v>
          </cell>
          <cell r="DY61">
            <v>20.177877612213749</v>
          </cell>
          <cell r="DZ61">
            <v>24.213453134656501</v>
          </cell>
          <cell r="EA61">
            <v>8.0711510448855002</v>
          </cell>
          <cell r="EE61">
            <v>2.0480939999999999</v>
          </cell>
          <cell r="EF61">
            <v>2.2646055332654171</v>
          </cell>
          <cell r="EG61">
            <v>2.7175266399185007</v>
          </cell>
          <cell r="EH61">
            <v>3.1704477465715839</v>
          </cell>
          <cell r="EI61">
            <v>3.6233688532246675</v>
          </cell>
          <cell r="EJ61">
            <v>4.0762899598777507</v>
          </cell>
          <cell r="EK61">
            <v>4.5292110665308343</v>
          </cell>
          <cell r="EL61">
            <v>3.3969082998981257</v>
          </cell>
          <cell r="EM61">
            <v>0.22646055332654172</v>
          </cell>
          <cell r="EP61">
            <v>2.0480939999999999</v>
          </cell>
          <cell r="EQ61">
            <v>1.9133404165970065</v>
          </cell>
          <cell r="ER61">
            <v>2.6786765832358088</v>
          </cell>
          <cell r="ES61">
            <v>3.4440127498746116</v>
          </cell>
          <cell r="ET61">
            <v>4.2093489165134139</v>
          </cell>
          <cell r="EU61">
            <v>4.9746850831522167</v>
          </cell>
          <cell r="EV61">
            <v>5.7400212497910195</v>
          </cell>
          <cell r="EW61">
            <v>3.826680833194013</v>
          </cell>
          <cell r="EX61">
            <v>0.38266808331940128</v>
          </cell>
          <cell r="EZ61">
            <v>2.0480939999999999</v>
          </cell>
          <cell r="FA61">
            <v>1.161249812124397</v>
          </cell>
          <cell r="FB61">
            <v>2.3224996242487941</v>
          </cell>
          <cell r="FC61">
            <v>3.4837494363731913</v>
          </cell>
          <cell r="FD61">
            <v>4.6449992484975882</v>
          </cell>
          <cell r="FE61">
            <v>5.806249060621985</v>
          </cell>
          <cell r="FF61">
            <v>6.9674988727463827</v>
          </cell>
          <cell r="FG61">
            <v>2.3224996242487941</v>
          </cell>
        </row>
        <row r="62">
          <cell r="A62">
            <v>37225</v>
          </cell>
          <cell r="B62">
            <v>34.429270000000002</v>
          </cell>
          <cell r="C62">
            <v>13.963688385362559</v>
          </cell>
          <cell r="D62">
            <v>20.945532578043839</v>
          </cell>
          <cell r="E62">
            <v>27.927376770725118</v>
          </cell>
          <cell r="F62">
            <v>34.909220963406398</v>
          </cell>
          <cell r="G62">
            <v>41.891065156087677</v>
          </cell>
          <cell r="H62">
            <v>48.872909348768957</v>
          </cell>
          <cell r="I62">
            <v>55.854753541450236</v>
          </cell>
          <cell r="J62">
            <v>62.836597734131516</v>
          </cell>
          <cell r="K62">
            <v>69.818441926812795</v>
          </cell>
          <cell r="L62">
            <v>52.363831445109597</v>
          </cell>
          <cell r="M62">
            <v>3.4909220963406398</v>
          </cell>
          <cell r="P62">
            <v>34.429270000000002</v>
          </cell>
          <cell r="Q62">
            <v>15.747938620359832</v>
          </cell>
          <cell r="R62">
            <v>26.246564367266387</v>
          </cell>
          <cell r="S62">
            <v>36.745190114172942</v>
          </cell>
          <cell r="T62">
            <v>47.243815861079497</v>
          </cell>
          <cell r="U62">
            <v>57.742441607986052</v>
          </cell>
          <cell r="V62">
            <v>68.241067354892607</v>
          </cell>
          <cell r="W62">
            <v>78.739693101799162</v>
          </cell>
          <cell r="X62">
            <v>52.493128734532775</v>
          </cell>
          <cell r="Y62">
            <v>5.2493128734532775</v>
          </cell>
          <cell r="AA62">
            <v>34.429270000000002</v>
          </cell>
          <cell r="AB62">
            <v>21.778500634904933</v>
          </cell>
          <cell r="AC62">
            <v>32.667750952357402</v>
          </cell>
          <cell r="AD62">
            <v>43.557001269809867</v>
          </cell>
          <cell r="AE62">
            <v>54.446251587262331</v>
          </cell>
          <cell r="AF62">
            <v>65.335501904714803</v>
          </cell>
          <cell r="AG62">
            <v>21.778500634904933</v>
          </cell>
          <cell r="AK62">
            <v>24</v>
          </cell>
          <cell r="AL62">
            <v>21.532427758816823</v>
          </cell>
          <cell r="AM62">
            <v>26.915534698521029</v>
          </cell>
          <cell r="AN62">
            <v>32.298641638225234</v>
          </cell>
          <cell r="AO62">
            <v>37.68174857792944</v>
          </cell>
          <cell r="AP62">
            <v>43.064855517633646</v>
          </cell>
          <cell r="AQ62">
            <v>48.447962457337852</v>
          </cell>
          <cell r="AR62">
            <v>53.831069397042057</v>
          </cell>
          <cell r="AS62">
            <v>40.373302047781543</v>
          </cell>
          <cell r="AT62">
            <v>2.6915534698521029</v>
          </cell>
          <cell r="AW62">
            <v>24</v>
          </cell>
          <cell r="AX62">
            <v>22.231218714448215</v>
          </cell>
          <cell r="AY62">
            <v>31.123706200227502</v>
          </cell>
          <cell r="AZ62">
            <v>40.016193686006787</v>
          </cell>
          <cell r="BA62">
            <v>48.908681171786071</v>
          </cell>
          <cell r="BB62">
            <v>57.801168657565363</v>
          </cell>
          <cell r="BC62">
            <v>66.69365614334464</v>
          </cell>
          <cell r="BD62">
            <v>44.462437428896429</v>
          </cell>
          <cell r="BE62">
            <v>4.4462437428896431</v>
          </cell>
          <cell r="BG62">
            <v>24</v>
          </cell>
          <cell r="BH62">
            <v>20.411901308304898</v>
          </cell>
          <cell r="BI62">
            <v>30.617851962457348</v>
          </cell>
          <cell r="BJ62">
            <v>40.823802616609797</v>
          </cell>
          <cell r="BK62">
            <v>51.029753270762242</v>
          </cell>
          <cell r="BL62">
            <v>61.235703924914695</v>
          </cell>
          <cell r="BM62">
            <v>20.411901308304898</v>
          </cell>
          <cell r="BQ62">
            <v>29.15</v>
          </cell>
          <cell r="BR62">
            <v>22.21740409371283</v>
          </cell>
          <cell r="BS62">
            <v>29.62320545828377</v>
          </cell>
          <cell r="BT62">
            <v>37.029006822854711</v>
          </cell>
          <cell r="BU62">
            <v>44.434808187425659</v>
          </cell>
          <cell r="BV62">
            <v>51.8406095519966</v>
          </cell>
          <cell r="BW62">
            <v>59.246410916567541</v>
          </cell>
          <cell r="BX62">
            <v>66.652212281138489</v>
          </cell>
          <cell r="BY62">
            <v>74.058013645709423</v>
          </cell>
          <cell r="BZ62">
            <v>3.7029006822854713</v>
          </cell>
          <cell r="CC62">
            <v>29.15</v>
          </cell>
          <cell r="CD62">
            <v>23.907332580502263</v>
          </cell>
          <cell r="CE62">
            <v>33.470265612703173</v>
          </cell>
          <cell r="CF62">
            <v>43.033198644904076</v>
          </cell>
          <cell r="CG62">
            <v>52.596131677104985</v>
          </cell>
          <cell r="CH62">
            <v>62.159064709305888</v>
          </cell>
          <cell r="CI62">
            <v>71.721997741506797</v>
          </cell>
          <cell r="CJ62">
            <v>47.814665161004527</v>
          </cell>
          <cell r="CK62">
            <v>4.781466516100453</v>
          </cell>
          <cell r="CM62">
            <v>29.15</v>
          </cell>
          <cell r="CN62">
            <v>15.33375367837804</v>
          </cell>
          <cell r="CO62">
            <v>30.667507356756079</v>
          </cell>
          <cell r="CP62">
            <v>46.001261035134121</v>
          </cell>
          <cell r="CQ62">
            <v>61.335014713512159</v>
          </cell>
          <cell r="CR62">
            <v>76.668768391890197</v>
          </cell>
          <cell r="CS62">
            <v>92.002522070268242</v>
          </cell>
          <cell r="CT62">
            <v>30.667507356756079</v>
          </cell>
          <cell r="CX62">
            <v>7.25</v>
          </cell>
          <cell r="CY62">
            <v>4.606390114805766</v>
          </cell>
          <cell r="CZ62">
            <v>5.7579876435072075</v>
          </cell>
          <cell r="DA62">
            <v>6.909585172208649</v>
          </cell>
          <cell r="DB62">
            <v>8.0611827009100914</v>
          </cell>
          <cell r="DC62">
            <v>9.212780229611532</v>
          </cell>
          <cell r="DD62">
            <v>10.364377758312973</v>
          </cell>
          <cell r="DE62">
            <v>11.515975287014415</v>
          </cell>
          <cell r="DF62">
            <v>8.6369814652608117</v>
          </cell>
          <cell r="DG62">
            <v>0.57579876435072075</v>
          </cell>
          <cell r="DJ62">
            <v>7.25</v>
          </cell>
          <cell r="DK62">
            <v>3.2399518141345536</v>
          </cell>
          <cell r="DL62">
            <v>4.5359325397883747</v>
          </cell>
          <cell r="DM62">
            <v>5.8319132654421963</v>
          </cell>
          <cell r="DN62">
            <v>7.127893991096018</v>
          </cell>
          <cell r="DO62">
            <v>8.4238747167498396</v>
          </cell>
          <cell r="DP62">
            <v>9.7198554424036612</v>
          </cell>
          <cell r="DQ62">
            <v>6.4799036282691072</v>
          </cell>
          <cell r="DR62">
            <v>0.64799036282691069</v>
          </cell>
          <cell r="DT62">
            <v>7.25</v>
          </cell>
          <cell r="DU62">
            <v>4.159126865951106</v>
          </cell>
          <cell r="DV62">
            <v>8.3182537319022121</v>
          </cell>
          <cell r="DW62">
            <v>12.477380597853319</v>
          </cell>
          <cell r="DX62">
            <v>16.636507463804424</v>
          </cell>
          <cell r="DY62">
            <v>20.795634329755529</v>
          </cell>
          <cell r="DZ62">
            <v>24.954761195706638</v>
          </cell>
          <cell r="EA62">
            <v>8.3182537319022121</v>
          </cell>
          <cell r="EE62">
            <v>2.1685699999999999</v>
          </cell>
          <cell r="EF62">
            <v>2.2969771952266429</v>
          </cell>
          <cell r="EG62">
            <v>2.7563726342719712</v>
          </cell>
          <cell r="EH62">
            <v>3.2157680733172995</v>
          </cell>
          <cell r="EI62">
            <v>3.6751635123626283</v>
          </cell>
          <cell r="EJ62">
            <v>4.134558951407957</v>
          </cell>
          <cell r="EK62">
            <v>4.5939543904532858</v>
          </cell>
          <cell r="EL62">
            <v>3.4454657928399639</v>
          </cell>
          <cell r="EM62">
            <v>0.22969771952266427</v>
          </cell>
          <cell r="EP62">
            <v>2.1685699999999999</v>
          </cell>
          <cell r="EQ62">
            <v>1.9296717651417947</v>
          </cell>
          <cell r="ER62">
            <v>2.7015404711985127</v>
          </cell>
          <cell r="ES62">
            <v>3.4734091772552302</v>
          </cell>
          <cell r="ET62">
            <v>4.2452778833119487</v>
          </cell>
          <cell r="EU62">
            <v>5.0171465893686662</v>
          </cell>
          <cell r="EV62">
            <v>5.7890152954253837</v>
          </cell>
          <cell r="EW62">
            <v>3.8593435302835895</v>
          </cell>
          <cell r="EX62">
            <v>0.38593435302835893</v>
          </cell>
          <cell r="EZ62">
            <v>2.1685699999999999</v>
          </cell>
          <cell r="FA62">
            <v>1.17125794929605</v>
          </cell>
          <cell r="FB62">
            <v>2.3425158985921</v>
          </cell>
          <cell r="FC62">
            <v>3.5137738478881499</v>
          </cell>
          <cell r="FD62">
            <v>4.6850317971841999</v>
          </cell>
          <cell r="FE62">
            <v>5.8562897464802504</v>
          </cell>
          <cell r="FF62">
            <v>7.0275476957762999</v>
          </cell>
          <cell r="FG62">
            <v>2.3425158985921</v>
          </cell>
        </row>
        <row r="63">
          <cell r="A63">
            <v>37256</v>
          </cell>
          <cell r="B63">
            <v>36.298290000000001</v>
          </cell>
          <cell r="C63">
            <v>14.034888438133875</v>
          </cell>
          <cell r="D63">
            <v>21.052332657200811</v>
          </cell>
          <cell r="E63">
            <v>28.069776876267749</v>
          </cell>
          <cell r="F63">
            <v>35.087221095334684</v>
          </cell>
          <cell r="G63">
            <v>42.104665314401622</v>
          </cell>
          <cell r="H63">
            <v>49.12210953346856</v>
          </cell>
          <cell r="I63">
            <v>56.139553752535498</v>
          </cell>
          <cell r="J63">
            <v>63.156997971602436</v>
          </cell>
          <cell r="K63">
            <v>70.174442190669367</v>
          </cell>
          <cell r="L63">
            <v>52.630831643002033</v>
          </cell>
          <cell r="M63">
            <v>3.5087221095334686</v>
          </cell>
          <cell r="P63">
            <v>36.298290000000001</v>
          </cell>
          <cell r="Q63">
            <v>15.833671399594321</v>
          </cell>
          <cell r="R63">
            <v>26.3894523326572</v>
          </cell>
          <cell r="S63">
            <v>36.945233265720084</v>
          </cell>
          <cell r="T63">
            <v>47.501014198782961</v>
          </cell>
          <cell r="U63">
            <v>58.056795131845846</v>
          </cell>
          <cell r="V63">
            <v>68.612576064908723</v>
          </cell>
          <cell r="W63">
            <v>79.1683569979716</v>
          </cell>
          <cell r="X63">
            <v>52.7789046653144</v>
          </cell>
          <cell r="Y63">
            <v>5.2778904665314403</v>
          </cell>
          <cell r="AA63">
            <v>36.298290000000001</v>
          </cell>
          <cell r="AB63">
            <v>21.975659229208926</v>
          </cell>
          <cell r="AC63">
            <v>32.963488843813387</v>
          </cell>
          <cell r="AD63">
            <v>43.951318458417852</v>
          </cell>
          <cell r="AE63">
            <v>54.939148073022317</v>
          </cell>
          <cell r="AF63">
            <v>65.926977687626774</v>
          </cell>
          <cell r="AG63">
            <v>21.975659229208926</v>
          </cell>
          <cell r="AK63">
            <v>25</v>
          </cell>
          <cell r="AL63">
            <v>21.250675767918089</v>
          </cell>
          <cell r="AM63">
            <v>26.563344709897613</v>
          </cell>
          <cell r="AN63">
            <v>31.876013651877134</v>
          </cell>
          <cell r="AO63">
            <v>37.188682593856655</v>
          </cell>
          <cell r="AP63">
            <v>42.501351535836179</v>
          </cell>
          <cell r="AQ63">
            <v>47.814020477815703</v>
          </cell>
          <cell r="AR63">
            <v>53.126689419795227</v>
          </cell>
          <cell r="AS63">
            <v>39.845017064846417</v>
          </cell>
          <cell r="AT63">
            <v>2.6563344709897612</v>
          </cell>
          <cell r="AW63">
            <v>25</v>
          </cell>
          <cell r="AX63">
            <v>22.0359385665529</v>
          </cell>
          <cell r="AY63">
            <v>30.850313993174058</v>
          </cell>
          <cell r="AZ63">
            <v>39.664689419795216</v>
          </cell>
          <cell r="BA63">
            <v>48.479064846416378</v>
          </cell>
          <cell r="BB63">
            <v>57.29344027303754</v>
          </cell>
          <cell r="BC63">
            <v>66.107815699658701</v>
          </cell>
          <cell r="BD63">
            <v>44.071877133105801</v>
          </cell>
          <cell r="BE63">
            <v>4.4071877133105799</v>
          </cell>
          <cell r="BG63">
            <v>25</v>
          </cell>
          <cell r="BH63">
            <v>20.586986348122867</v>
          </cell>
          <cell r="BI63">
            <v>30.880479522184302</v>
          </cell>
          <cell r="BJ63">
            <v>41.173972696245734</v>
          </cell>
          <cell r="BK63">
            <v>51.467465870307166</v>
          </cell>
          <cell r="BL63">
            <v>61.760959044368605</v>
          </cell>
          <cell r="BM63">
            <v>20.586986348122867</v>
          </cell>
          <cell r="BQ63">
            <v>29.1</v>
          </cell>
          <cell r="BR63">
            <v>21.862964069973668</v>
          </cell>
          <cell r="BS63">
            <v>29.150618759964889</v>
          </cell>
          <cell r="BT63">
            <v>36.438273449956114</v>
          </cell>
          <cell r="BU63">
            <v>43.725928139947335</v>
          </cell>
          <cell r="BV63">
            <v>51.013582829938557</v>
          </cell>
          <cell r="BW63">
            <v>58.301237519929778</v>
          </cell>
          <cell r="BX63">
            <v>65.588892209920999</v>
          </cell>
          <cell r="BY63">
            <v>72.876546899912228</v>
          </cell>
          <cell r="BZ63">
            <v>3.6438273449956111</v>
          </cell>
          <cell r="CC63">
            <v>29.1</v>
          </cell>
          <cell r="CD63">
            <v>23.537255232994326</v>
          </cell>
          <cell r="CE63">
            <v>32.952157326192058</v>
          </cell>
          <cell r="CF63">
            <v>42.367059419389783</v>
          </cell>
          <cell r="CG63">
            <v>51.781961512587515</v>
          </cell>
          <cell r="CH63">
            <v>61.196863605785246</v>
          </cell>
          <cell r="CI63">
            <v>70.611765698982978</v>
          </cell>
          <cell r="CJ63">
            <v>47.074510465988652</v>
          </cell>
          <cell r="CK63">
            <v>4.707451046598865</v>
          </cell>
          <cell r="CM63">
            <v>29.1</v>
          </cell>
          <cell r="CN63">
            <v>15.394187609985261</v>
          </cell>
          <cell r="CO63">
            <v>30.788375219970522</v>
          </cell>
          <cell r="CP63">
            <v>46.182562829955785</v>
          </cell>
          <cell r="CQ63">
            <v>61.576750439941044</v>
          </cell>
          <cell r="CR63">
            <v>76.970938049926303</v>
          </cell>
          <cell r="CS63">
            <v>92.36512565991157</v>
          </cell>
          <cell r="CT63">
            <v>30.788375219970522</v>
          </cell>
          <cell r="CX63">
            <v>7.35</v>
          </cell>
          <cell r="CY63">
            <v>4.783072912423628</v>
          </cell>
          <cell r="CZ63">
            <v>5.9788411405295347</v>
          </cell>
          <cell r="DA63">
            <v>7.1746093686354424</v>
          </cell>
          <cell r="DB63">
            <v>8.3703775967413492</v>
          </cell>
          <cell r="DC63">
            <v>9.566145824847256</v>
          </cell>
          <cell r="DD63">
            <v>10.761914052953163</v>
          </cell>
          <cell r="DE63">
            <v>11.957682281059069</v>
          </cell>
          <cell r="DF63">
            <v>8.9682617107943017</v>
          </cell>
          <cell r="DG63">
            <v>0.5978841140529535</v>
          </cell>
          <cell r="DJ63">
            <v>7.35</v>
          </cell>
          <cell r="DK63">
            <v>3.2410810810810826</v>
          </cell>
          <cell r="DL63">
            <v>4.5375135135135158</v>
          </cell>
          <cell r="DM63">
            <v>5.8339459459459482</v>
          </cell>
          <cell r="DN63">
            <v>7.1303783783783814</v>
          </cell>
          <cell r="DO63">
            <v>8.4268108108108137</v>
          </cell>
          <cell r="DP63">
            <v>9.7232432432432478</v>
          </cell>
          <cell r="DQ63">
            <v>6.4821621621621652</v>
          </cell>
          <cell r="DR63">
            <v>0.6482162162162165</v>
          </cell>
          <cell r="DT63">
            <v>7.35</v>
          </cell>
          <cell r="DU63">
            <v>4.2826782094594602</v>
          </cell>
          <cell r="DV63">
            <v>8.5653564189189204</v>
          </cell>
          <cell r="DW63">
            <v>12.848034628378381</v>
          </cell>
          <cell r="DX63">
            <v>17.130712837837841</v>
          </cell>
          <cell r="DY63">
            <v>21.413391047297303</v>
          </cell>
          <cell r="DZ63">
            <v>25.696069256756761</v>
          </cell>
          <cell r="EA63">
            <v>8.5653564189189204</v>
          </cell>
          <cell r="EE63">
            <v>1.98</v>
          </cell>
          <cell r="EF63">
            <v>2.3293488571878687</v>
          </cell>
          <cell r="EG63">
            <v>2.7952186286254426</v>
          </cell>
          <cell r="EH63">
            <v>3.261088400063016</v>
          </cell>
          <cell r="EI63">
            <v>3.7269581715005899</v>
          </cell>
          <cell r="EJ63">
            <v>4.1928279429381634</v>
          </cell>
          <cell r="EK63">
            <v>4.6586977143757373</v>
          </cell>
          <cell r="EL63">
            <v>3.494023285781803</v>
          </cell>
          <cell r="EM63">
            <v>0.23293488571878687</v>
          </cell>
          <cell r="EP63">
            <v>1.98</v>
          </cell>
          <cell r="EQ63">
            <v>1.9460031136865839</v>
          </cell>
          <cell r="ER63">
            <v>2.7244043591612175</v>
          </cell>
          <cell r="ES63">
            <v>3.5028056046358507</v>
          </cell>
          <cell r="ET63">
            <v>4.2812068501104843</v>
          </cell>
          <cell r="EU63">
            <v>5.0596080955851175</v>
          </cell>
          <cell r="EV63">
            <v>5.8380093410597516</v>
          </cell>
          <cell r="EW63">
            <v>3.8920062273731677</v>
          </cell>
          <cell r="EX63">
            <v>0.38920062273731676</v>
          </cell>
          <cell r="EZ63">
            <v>1.98</v>
          </cell>
          <cell r="FA63">
            <v>1.1812660864677034</v>
          </cell>
          <cell r="FB63">
            <v>2.3625321729354067</v>
          </cell>
          <cell r="FC63">
            <v>3.5437982594031103</v>
          </cell>
          <cell r="FD63">
            <v>4.7250643458708135</v>
          </cell>
          <cell r="FE63">
            <v>5.9063304323385166</v>
          </cell>
          <cell r="FF63">
            <v>7.0875965188062207</v>
          </cell>
          <cell r="FG63">
            <v>2.3625321729354067</v>
          </cell>
        </row>
        <row r="64">
          <cell r="A64">
            <v>37287</v>
          </cell>
          <cell r="B64">
            <v>32.461880000000001</v>
          </cell>
          <cell r="C64">
            <v>13.986328600405679</v>
          </cell>
          <cell r="D64">
            <v>20.97949290060852</v>
          </cell>
          <cell r="E64">
            <v>27.972657200811359</v>
          </cell>
          <cell r="F64">
            <v>34.965821501014197</v>
          </cell>
          <cell r="G64">
            <v>41.95898580121704</v>
          </cell>
          <cell r="H64">
            <v>48.952150101419875</v>
          </cell>
          <cell r="I64">
            <v>55.945314401622717</v>
          </cell>
          <cell r="J64">
            <v>62.938478701825559</v>
          </cell>
          <cell r="K64">
            <v>69.931643002028395</v>
          </cell>
          <cell r="L64">
            <v>52.448732251521299</v>
          </cell>
          <cell r="M64">
            <v>3.4965821501014198</v>
          </cell>
          <cell r="P64">
            <v>32.461880000000001</v>
          </cell>
          <cell r="Q64">
            <v>16.124299188640975</v>
          </cell>
          <cell r="R64">
            <v>26.873831981068292</v>
          </cell>
          <cell r="S64">
            <v>37.623364773495609</v>
          </cell>
          <cell r="T64">
            <v>48.372897565922926</v>
          </cell>
          <cell r="U64">
            <v>59.122430358350243</v>
          </cell>
          <cell r="V64">
            <v>69.87196315077756</v>
          </cell>
          <cell r="W64">
            <v>80.621495943204877</v>
          </cell>
          <cell r="X64">
            <v>53.747663962136585</v>
          </cell>
          <cell r="Y64">
            <v>5.3747663962136585</v>
          </cell>
          <cell r="AA64">
            <v>32.461880000000001</v>
          </cell>
          <cell r="AB64">
            <v>22.204329614604465</v>
          </cell>
          <cell r="AC64">
            <v>33.306494421906699</v>
          </cell>
          <cell r="AD64">
            <v>44.408659229208929</v>
          </cell>
          <cell r="AE64">
            <v>55.51082403651116</v>
          </cell>
          <cell r="AF64">
            <v>66.612988843813397</v>
          </cell>
          <cell r="AG64">
            <v>22.204329614604465</v>
          </cell>
          <cell r="AK64">
            <v>24.5</v>
          </cell>
          <cell r="AL64">
            <v>21.001005688282138</v>
          </cell>
          <cell r="AM64">
            <v>26.251257110352672</v>
          </cell>
          <cell r="AN64">
            <v>31.501508532423209</v>
          </cell>
          <cell r="AO64">
            <v>36.751759954493743</v>
          </cell>
          <cell r="AP64">
            <v>42.002011376564276</v>
          </cell>
          <cell r="AQ64">
            <v>47.25226279863481</v>
          </cell>
          <cell r="AR64">
            <v>52.502514220705343</v>
          </cell>
          <cell r="AS64">
            <v>39.376885665529009</v>
          </cell>
          <cell r="AT64">
            <v>2.6251257110352673</v>
          </cell>
          <cell r="AW64">
            <v>24.5</v>
          </cell>
          <cell r="AX64">
            <v>21.966005403868031</v>
          </cell>
          <cell r="AY64">
            <v>30.75240756541524</v>
          </cell>
          <cell r="AZ64">
            <v>39.538809726962455</v>
          </cell>
          <cell r="BA64">
            <v>48.325211888509664</v>
          </cell>
          <cell r="BB64">
            <v>57.111614050056879</v>
          </cell>
          <cell r="BC64">
            <v>65.898016211604087</v>
          </cell>
          <cell r="BD64">
            <v>43.932010807736063</v>
          </cell>
          <cell r="BE64">
            <v>4.3932010807736059</v>
          </cell>
          <cell r="BG64">
            <v>24.5</v>
          </cell>
          <cell r="BH64">
            <v>20.673946530147894</v>
          </cell>
          <cell r="BI64">
            <v>31.010919795221842</v>
          </cell>
          <cell r="BJ64">
            <v>41.347893060295789</v>
          </cell>
          <cell r="BK64">
            <v>51.68486632536974</v>
          </cell>
          <cell r="BL64">
            <v>62.021839590443683</v>
          </cell>
          <cell r="BM64">
            <v>20.673946530147894</v>
          </cell>
          <cell r="BQ64">
            <v>28.6</v>
          </cell>
          <cell r="BR64">
            <v>21.676730973141844</v>
          </cell>
          <cell r="BS64">
            <v>28.902307964189127</v>
          </cell>
          <cell r="BT64">
            <v>36.127884955236411</v>
          </cell>
          <cell r="BU64">
            <v>43.353461946283687</v>
          </cell>
          <cell r="BV64">
            <v>50.579038937330971</v>
          </cell>
          <cell r="BW64">
            <v>57.804615928378254</v>
          </cell>
          <cell r="BX64">
            <v>65.030192919425531</v>
          </cell>
          <cell r="BY64">
            <v>72.255769910472821</v>
          </cell>
          <cell r="BZ64">
            <v>3.6127884955236409</v>
          </cell>
          <cell r="CC64">
            <v>28.6</v>
          </cell>
          <cell r="CD64">
            <v>23.436228143995738</v>
          </cell>
          <cell r="CE64">
            <v>32.810719401594035</v>
          </cell>
          <cell r="CF64">
            <v>42.185210659192329</v>
          </cell>
          <cell r="CG64">
            <v>51.559701916790623</v>
          </cell>
          <cell r="CH64">
            <v>60.934193174388923</v>
          </cell>
          <cell r="CI64">
            <v>70.308684431987217</v>
          </cell>
          <cell r="CJ64">
            <v>46.872456287991476</v>
          </cell>
          <cell r="CK64">
            <v>4.6872456287991477</v>
          </cell>
          <cell r="CM64">
            <v>28.6</v>
          </cell>
          <cell r="CN64">
            <v>15.501462809369214</v>
          </cell>
          <cell r="CO64">
            <v>31.002925618738427</v>
          </cell>
          <cell r="CP64">
            <v>46.504388428107639</v>
          </cell>
          <cell r="CQ64">
            <v>62.005851237476854</v>
          </cell>
          <cell r="CR64">
            <v>77.507314046846062</v>
          </cell>
          <cell r="CS64">
            <v>93.008776856215277</v>
          </cell>
          <cell r="CT64">
            <v>31.002925618738427</v>
          </cell>
          <cell r="CX64">
            <v>7.1</v>
          </cell>
          <cell r="CY64">
            <v>4.8915440576673292</v>
          </cell>
          <cell r="CZ64">
            <v>6.1144300720841613</v>
          </cell>
          <cell r="DA64">
            <v>7.3373160865009943</v>
          </cell>
          <cell r="DB64">
            <v>8.5602021009178255</v>
          </cell>
          <cell r="DC64">
            <v>9.7830881153346585</v>
          </cell>
          <cell r="DD64">
            <v>11.005974129751491</v>
          </cell>
          <cell r="DE64">
            <v>12.228860144168323</v>
          </cell>
          <cell r="DF64">
            <v>9.171645108126242</v>
          </cell>
          <cell r="DG64">
            <v>0.61144300720841616</v>
          </cell>
          <cell r="DJ64">
            <v>7.1</v>
          </cell>
          <cell r="DK64">
            <v>3.358319175101963</v>
          </cell>
          <cell r="DL64">
            <v>4.701646845142748</v>
          </cell>
          <cell r="DM64">
            <v>6.0449745151835339</v>
          </cell>
          <cell r="DN64">
            <v>7.3883021852243189</v>
          </cell>
          <cell r="DO64">
            <v>8.7316298552651048</v>
          </cell>
          <cell r="DP64">
            <v>10.074957525305889</v>
          </cell>
          <cell r="DQ64">
            <v>6.716638350203926</v>
          </cell>
          <cell r="DR64">
            <v>0.67166383502039262</v>
          </cell>
          <cell r="DT64">
            <v>7.1</v>
          </cell>
          <cell r="DU64">
            <v>4.2384904919204365</v>
          </cell>
          <cell r="DV64">
            <v>8.476980983840873</v>
          </cell>
          <cell r="DW64">
            <v>12.715471475761309</v>
          </cell>
          <cell r="DX64">
            <v>16.953961967681746</v>
          </cell>
          <cell r="DY64">
            <v>21.192452459602183</v>
          </cell>
          <cell r="DZ64">
            <v>25.430942951522617</v>
          </cell>
          <cell r="EA64">
            <v>8.476980983840873</v>
          </cell>
          <cell r="EE64">
            <v>2.15</v>
          </cell>
          <cell r="EF64">
            <v>2.3000275187419468</v>
          </cell>
          <cell r="EG64">
            <v>2.7600330224903362</v>
          </cell>
          <cell r="EH64">
            <v>3.2200385262387257</v>
          </cell>
          <cell r="EI64">
            <v>3.6800440299871151</v>
          </cell>
          <cell r="EJ64">
            <v>4.1400495337355041</v>
          </cell>
          <cell r="EK64">
            <v>4.6000550374838935</v>
          </cell>
          <cell r="EL64">
            <v>3.4500412781129204</v>
          </cell>
          <cell r="EM64">
            <v>0.23000275187419469</v>
          </cell>
          <cell r="EP64">
            <v>2.15</v>
          </cell>
          <cell r="EQ64">
            <v>1.9400174372505794</v>
          </cell>
          <cell r="ER64">
            <v>2.7160244121508113</v>
          </cell>
          <cell r="ES64">
            <v>3.4920313870510427</v>
          </cell>
          <cell r="ET64">
            <v>4.268038361951275</v>
          </cell>
          <cell r="EU64">
            <v>5.0440453368515064</v>
          </cell>
          <cell r="EV64">
            <v>5.8200523117517378</v>
          </cell>
          <cell r="EW64">
            <v>3.8800348745011588</v>
          </cell>
          <cell r="EX64">
            <v>0.38800348745011587</v>
          </cell>
          <cell r="EZ64">
            <v>2.15</v>
          </cell>
          <cell r="FA64">
            <v>1.1843872829360496</v>
          </cell>
          <cell r="FB64">
            <v>2.3687745658720991</v>
          </cell>
          <cell r="FC64">
            <v>3.5531618488081484</v>
          </cell>
          <cell r="FD64">
            <v>4.7375491317441982</v>
          </cell>
          <cell r="FE64">
            <v>5.921936414680248</v>
          </cell>
          <cell r="FF64">
            <v>7.1063236976162969</v>
          </cell>
          <cell r="FG64">
            <v>2.3687745658720991</v>
          </cell>
        </row>
        <row r="65">
          <cell r="A65">
            <v>37315</v>
          </cell>
          <cell r="B65">
            <v>31.970040000000001</v>
          </cell>
          <cell r="C65">
            <v>13.937768762677484</v>
          </cell>
          <cell r="D65">
            <v>20.906653144016225</v>
          </cell>
          <cell r="E65">
            <v>27.875537525354968</v>
          </cell>
          <cell r="F65">
            <v>34.844421906693711</v>
          </cell>
          <cell r="G65">
            <v>41.81330628803245</v>
          </cell>
          <cell r="H65">
            <v>48.782190669371197</v>
          </cell>
          <cell r="I65">
            <v>55.751075050709936</v>
          </cell>
          <cell r="J65">
            <v>62.719959432048675</v>
          </cell>
          <cell r="K65">
            <v>69.688843813387422</v>
          </cell>
          <cell r="L65">
            <v>52.266632860040566</v>
          </cell>
          <cell r="M65">
            <v>3.484442190669371</v>
          </cell>
          <cell r="P65">
            <v>31.970040000000001</v>
          </cell>
          <cell r="Q65">
            <v>16.414926977687628</v>
          </cell>
          <cell r="R65">
            <v>27.358211629479385</v>
          </cell>
          <cell r="S65">
            <v>38.301496281271135</v>
          </cell>
          <cell r="T65">
            <v>49.244780933062891</v>
          </cell>
          <cell r="U65">
            <v>60.188065584854641</v>
          </cell>
          <cell r="V65">
            <v>71.131350236646398</v>
          </cell>
          <cell r="W65">
            <v>82.074634888438155</v>
          </cell>
          <cell r="X65">
            <v>54.71642325895877</v>
          </cell>
          <cell r="Y65">
            <v>5.4716423258958766</v>
          </cell>
          <cell r="AA65">
            <v>31.970040000000001</v>
          </cell>
          <cell r="AB65">
            <v>22.433000000000003</v>
          </cell>
          <cell r="AC65">
            <v>33.649500000000003</v>
          </cell>
          <cell r="AD65">
            <v>44.866000000000007</v>
          </cell>
          <cell r="AE65">
            <v>56.08250000000001</v>
          </cell>
          <cell r="AF65">
            <v>67.299000000000007</v>
          </cell>
          <cell r="AG65">
            <v>22.433000000000003</v>
          </cell>
          <cell r="AK65">
            <v>23.75</v>
          </cell>
          <cell r="AL65">
            <v>20.751335608646187</v>
          </cell>
          <cell r="AM65">
            <v>25.939169510807734</v>
          </cell>
          <cell r="AN65">
            <v>31.12700341296928</v>
          </cell>
          <cell r="AO65">
            <v>36.314837315130831</v>
          </cell>
          <cell r="AP65">
            <v>41.502671217292374</v>
          </cell>
          <cell r="AQ65">
            <v>46.690505119453917</v>
          </cell>
          <cell r="AR65">
            <v>51.878339021615467</v>
          </cell>
          <cell r="AS65">
            <v>38.908754266211602</v>
          </cell>
          <cell r="AT65">
            <v>2.5939169510807734</v>
          </cell>
          <cell r="AW65">
            <v>23.75</v>
          </cell>
          <cell r="AX65">
            <v>21.896072241183159</v>
          </cell>
          <cell r="AY65">
            <v>30.654501137656425</v>
          </cell>
          <cell r="AZ65">
            <v>39.412930034129687</v>
          </cell>
          <cell r="BA65">
            <v>48.171358930602949</v>
          </cell>
          <cell r="BB65">
            <v>56.929787827076218</v>
          </cell>
          <cell r="BC65">
            <v>65.688216723549473</v>
          </cell>
          <cell r="BD65">
            <v>43.792144482366318</v>
          </cell>
          <cell r="BE65">
            <v>4.379214448236632</v>
          </cell>
          <cell r="BG65">
            <v>23.75</v>
          </cell>
          <cell r="BH65">
            <v>20.760906712172922</v>
          </cell>
          <cell r="BI65">
            <v>31.141360068259381</v>
          </cell>
          <cell r="BJ65">
            <v>41.521813424345844</v>
          </cell>
          <cell r="BK65">
            <v>51.902266780432306</v>
          </cell>
          <cell r="BL65">
            <v>62.282720136518762</v>
          </cell>
          <cell r="BM65">
            <v>20.760906712172922</v>
          </cell>
          <cell r="BQ65">
            <v>29.25</v>
          </cell>
          <cell r="BR65">
            <v>21.490497876310023</v>
          </cell>
          <cell r="BS65">
            <v>28.653997168413365</v>
          </cell>
          <cell r="BT65">
            <v>35.817496460516708</v>
          </cell>
          <cell r="BU65">
            <v>42.980995752620046</v>
          </cell>
          <cell r="BV65">
            <v>50.144495044723392</v>
          </cell>
          <cell r="BW65">
            <v>57.307994336826731</v>
          </cell>
          <cell r="BX65">
            <v>64.471493628930077</v>
          </cell>
          <cell r="BY65">
            <v>71.634992921033415</v>
          </cell>
          <cell r="BZ65">
            <v>3.5817496460516707</v>
          </cell>
          <cell r="CC65">
            <v>29.25</v>
          </cell>
          <cell r="CD65">
            <v>23.335201054997153</v>
          </cell>
          <cell r="CE65">
            <v>32.669281476996012</v>
          </cell>
          <cell r="CF65">
            <v>42.003361898994875</v>
          </cell>
          <cell r="CG65">
            <v>51.337442320993738</v>
          </cell>
          <cell r="CH65">
            <v>60.671522742992593</v>
          </cell>
          <cell r="CI65">
            <v>70.005603164991456</v>
          </cell>
          <cell r="CJ65">
            <v>46.670402109994306</v>
          </cell>
          <cell r="CK65">
            <v>4.6670402109994304</v>
          </cell>
          <cell r="CM65">
            <v>29.25</v>
          </cell>
          <cell r="CN65">
            <v>15.608738008753166</v>
          </cell>
          <cell r="CO65">
            <v>31.217476017506332</v>
          </cell>
          <cell r="CP65">
            <v>46.8262140262595</v>
          </cell>
          <cell r="CQ65">
            <v>62.434952035012664</v>
          </cell>
          <cell r="CR65">
            <v>78.043690043765835</v>
          </cell>
          <cell r="CS65">
            <v>93.652428052518999</v>
          </cell>
          <cell r="CT65">
            <v>31.217476017506332</v>
          </cell>
          <cell r="CX65">
            <v>7.3</v>
          </cell>
          <cell r="CY65">
            <v>5.0000152029110305</v>
          </cell>
          <cell r="CZ65">
            <v>6.2500190036387879</v>
          </cell>
          <cell r="DA65">
            <v>7.5000228043665462</v>
          </cell>
          <cell r="DB65">
            <v>8.7500266050943036</v>
          </cell>
          <cell r="DC65">
            <v>10.000030405822061</v>
          </cell>
          <cell r="DD65">
            <v>11.250034206549818</v>
          </cell>
          <cell r="DE65">
            <v>12.500038007277576</v>
          </cell>
          <cell r="DF65">
            <v>9.3750285054581823</v>
          </cell>
          <cell r="DG65">
            <v>0.62500190036387882</v>
          </cell>
          <cell r="DJ65">
            <v>7.3</v>
          </cell>
          <cell r="DK65">
            <v>3.4755572691228438</v>
          </cell>
          <cell r="DL65">
            <v>4.865780176771981</v>
          </cell>
          <cell r="DM65">
            <v>6.2560030844211187</v>
          </cell>
          <cell r="DN65">
            <v>7.6462259920702564</v>
          </cell>
          <cell r="DO65">
            <v>9.0364488997193941</v>
          </cell>
          <cell r="DP65">
            <v>10.426671807368532</v>
          </cell>
          <cell r="DQ65">
            <v>6.9511145382456876</v>
          </cell>
          <cell r="DR65">
            <v>0.69511145382456874</v>
          </cell>
          <cell r="DT65">
            <v>7.3</v>
          </cell>
          <cell r="DU65">
            <v>4.1943027743814127</v>
          </cell>
          <cell r="DV65">
            <v>8.3886055487628255</v>
          </cell>
          <cell r="DW65">
            <v>12.582908323144238</v>
          </cell>
          <cell r="DX65">
            <v>16.777211097525651</v>
          </cell>
          <cell r="DY65">
            <v>20.971513871907064</v>
          </cell>
          <cell r="DZ65">
            <v>25.165816646288476</v>
          </cell>
          <cell r="EA65">
            <v>8.3886055487628255</v>
          </cell>
          <cell r="EE65">
            <v>2.35</v>
          </cell>
          <cell r="EF65">
            <v>2.2707061802960253</v>
          </cell>
          <cell r="EG65">
            <v>2.7248474163552303</v>
          </cell>
          <cell r="EH65">
            <v>3.1789886524144353</v>
          </cell>
          <cell r="EI65">
            <v>3.6331298884736403</v>
          </cell>
          <cell r="EJ65">
            <v>4.0872711245328457</v>
          </cell>
          <cell r="EK65">
            <v>4.5414123605920507</v>
          </cell>
          <cell r="EL65">
            <v>3.4060592704440378</v>
          </cell>
          <cell r="EM65">
            <v>0.22707061802960252</v>
          </cell>
          <cell r="EP65">
            <v>2.35</v>
          </cell>
          <cell r="EQ65">
            <v>1.934031760814575</v>
          </cell>
          <cell r="ER65">
            <v>2.707644465140405</v>
          </cell>
          <cell r="ES65">
            <v>3.4812571694662346</v>
          </cell>
          <cell r="ET65">
            <v>4.2548698737920647</v>
          </cell>
          <cell r="EU65">
            <v>5.0284825781178943</v>
          </cell>
          <cell r="EV65">
            <v>5.8020952824437249</v>
          </cell>
          <cell r="EW65">
            <v>3.8680635216291499</v>
          </cell>
          <cell r="EX65">
            <v>0.38680635216291498</v>
          </cell>
          <cell r="EZ65">
            <v>2.35</v>
          </cell>
          <cell r="FA65">
            <v>1.1875084794043957</v>
          </cell>
          <cell r="FB65">
            <v>2.3750169588087915</v>
          </cell>
          <cell r="FC65">
            <v>3.5625254382131875</v>
          </cell>
          <cell r="FD65">
            <v>4.750033917617583</v>
          </cell>
          <cell r="FE65">
            <v>5.9375423970219785</v>
          </cell>
          <cell r="FF65">
            <v>7.1250508764263749</v>
          </cell>
          <cell r="FG65">
            <v>2.3750169588087915</v>
          </cell>
        </row>
        <row r="66">
          <cell r="A66">
            <v>37344</v>
          </cell>
          <cell r="B66">
            <v>35.412959999999998</v>
          </cell>
          <cell r="C66">
            <v>13.889208924949289</v>
          </cell>
          <cell r="D66">
            <v>20.833813387423934</v>
          </cell>
          <cell r="E66">
            <v>27.778417849898577</v>
          </cell>
          <cell r="F66">
            <v>34.723022312373224</v>
          </cell>
          <cell r="G66">
            <v>41.667626774847868</v>
          </cell>
          <cell r="H66">
            <v>48.612231237322511</v>
          </cell>
          <cell r="I66">
            <v>55.556835699797155</v>
          </cell>
          <cell r="J66">
            <v>62.501440162271798</v>
          </cell>
          <cell r="K66">
            <v>69.446044624746449</v>
          </cell>
          <cell r="L66">
            <v>52.084533468559833</v>
          </cell>
          <cell r="M66">
            <v>3.4723022312373222</v>
          </cell>
          <cell r="P66">
            <v>35.412959999999998</v>
          </cell>
          <cell r="Q66">
            <v>16.705554766734284</v>
          </cell>
          <cell r="R66">
            <v>27.842591277890474</v>
          </cell>
          <cell r="S66">
            <v>38.97962778904666</v>
          </cell>
          <cell r="T66">
            <v>50.116664300202856</v>
          </cell>
          <cell r="U66">
            <v>61.253700811359039</v>
          </cell>
          <cell r="V66">
            <v>72.390737322515236</v>
          </cell>
          <cell r="W66">
            <v>83.527773833671418</v>
          </cell>
          <cell r="X66">
            <v>55.685182555780948</v>
          </cell>
          <cell r="Y66">
            <v>5.5685182555780948</v>
          </cell>
          <cell r="AA66">
            <v>35.412959999999998</v>
          </cell>
          <cell r="AB66">
            <v>22.661670385395542</v>
          </cell>
          <cell r="AC66">
            <v>33.992505578093315</v>
          </cell>
          <cell r="AD66">
            <v>45.323340770791084</v>
          </cell>
          <cell r="AE66">
            <v>56.654175963488854</v>
          </cell>
          <cell r="AF66">
            <v>67.98501115618663</v>
          </cell>
          <cell r="AG66">
            <v>22.661670385395542</v>
          </cell>
          <cell r="AK66">
            <v>28.15</v>
          </cell>
          <cell r="AL66">
            <v>20.501665529010236</v>
          </cell>
          <cell r="AM66">
            <v>25.627081911262795</v>
          </cell>
          <cell r="AN66">
            <v>30.752498293515352</v>
          </cell>
          <cell r="AO66">
            <v>35.877914675767911</v>
          </cell>
          <cell r="AP66">
            <v>41.003331058020471</v>
          </cell>
          <cell r="AQ66">
            <v>46.128747440273031</v>
          </cell>
          <cell r="AR66">
            <v>51.254163822525591</v>
          </cell>
          <cell r="AS66">
            <v>38.440622866894195</v>
          </cell>
          <cell r="AT66">
            <v>2.5627081911262795</v>
          </cell>
          <cell r="AW66">
            <v>28.15</v>
          </cell>
          <cell r="AX66">
            <v>21.82613907849829</v>
          </cell>
          <cell r="AY66">
            <v>30.556594709897606</v>
          </cell>
          <cell r="AZ66">
            <v>39.287050341296919</v>
          </cell>
          <cell r="BA66">
            <v>48.017505972696242</v>
          </cell>
          <cell r="BB66">
            <v>56.747961604095551</v>
          </cell>
          <cell r="BC66">
            <v>65.478417235494874</v>
          </cell>
          <cell r="BD66">
            <v>43.65227815699658</v>
          </cell>
          <cell r="BE66">
            <v>4.365227815699658</v>
          </cell>
          <cell r="BG66">
            <v>28.15</v>
          </cell>
          <cell r="BH66">
            <v>20.847866894197949</v>
          </cell>
          <cell r="BI66">
            <v>31.271800341296924</v>
          </cell>
          <cell r="BJ66">
            <v>41.695733788395899</v>
          </cell>
          <cell r="BK66">
            <v>52.119667235494873</v>
          </cell>
          <cell r="BL66">
            <v>62.543600682593848</v>
          </cell>
          <cell r="BM66">
            <v>20.847866894197949</v>
          </cell>
          <cell r="BQ66">
            <v>34.5</v>
          </cell>
          <cell r="BR66">
            <v>21.304264779478203</v>
          </cell>
          <cell r="BS66">
            <v>28.405686372637604</v>
          </cell>
          <cell r="BT66">
            <v>35.507107965797005</v>
          </cell>
          <cell r="BU66">
            <v>42.608529558956405</v>
          </cell>
          <cell r="BV66">
            <v>49.709951152115806</v>
          </cell>
          <cell r="BW66">
            <v>56.811372745275207</v>
          </cell>
          <cell r="BX66">
            <v>63.912794338434608</v>
          </cell>
          <cell r="BY66">
            <v>71.014215931594009</v>
          </cell>
          <cell r="BZ66">
            <v>3.5507107965797005</v>
          </cell>
          <cell r="CC66">
            <v>34.5</v>
          </cell>
          <cell r="CD66">
            <v>23.234173965998565</v>
          </cell>
          <cell r="CE66">
            <v>32.527843552397989</v>
          </cell>
          <cell r="CF66">
            <v>41.821513138797421</v>
          </cell>
          <cell r="CG66">
            <v>51.115182725196846</v>
          </cell>
          <cell r="CH66">
            <v>60.40885231159627</v>
          </cell>
          <cell r="CI66">
            <v>69.702521897995695</v>
          </cell>
          <cell r="CJ66">
            <v>46.46834793199713</v>
          </cell>
          <cell r="CK66">
            <v>4.6468347931997132</v>
          </cell>
          <cell r="CM66">
            <v>34.5</v>
          </cell>
          <cell r="CN66">
            <v>15.716013208137118</v>
          </cell>
          <cell r="CO66">
            <v>31.432026416274237</v>
          </cell>
          <cell r="CP66">
            <v>47.148039624411354</v>
          </cell>
          <cell r="CQ66">
            <v>62.864052832548474</v>
          </cell>
          <cell r="CR66">
            <v>78.580066040685594</v>
          </cell>
          <cell r="CS66">
            <v>94.296079248822707</v>
          </cell>
          <cell r="CT66">
            <v>31.432026416274237</v>
          </cell>
          <cell r="CX66">
            <v>8</v>
          </cell>
          <cell r="CY66">
            <v>5.1084863481547318</v>
          </cell>
          <cell r="CZ66">
            <v>6.3856079351934145</v>
          </cell>
          <cell r="DA66">
            <v>7.6627295222320981</v>
          </cell>
          <cell r="DB66">
            <v>8.93985110927078</v>
          </cell>
          <cell r="DC66">
            <v>10.216972696309464</v>
          </cell>
          <cell r="DD66">
            <v>11.494094283348147</v>
          </cell>
          <cell r="DE66">
            <v>12.771215870386829</v>
          </cell>
          <cell r="DF66">
            <v>9.5784119027901227</v>
          </cell>
          <cell r="DG66">
            <v>0.63856079351934147</v>
          </cell>
          <cell r="DJ66">
            <v>8</v>
          </cell>
          <cell r="DK66">
            <v>3.5927953631437242</v>
          </cell>
          <cell r="DL66">
            <v>5.0299135084012141</v>
          </cell>
          <cell r="DM66">
            <v>6.4670316536587036</v>
          </cell>
          <cell r="DN66">
            <v>7.9041497989161931</v>
          </cell>
          <cell r="DO66">
            <v>9.3412679441736834</v>
          </cell>
          <cell r="DP66">
            <v>10.778386089431173</v>
          </cell>
          <cell r="DQ66">
            <v>7.1855907262874483</v>
          </cell>
          <cell r="DR66">
            <v>0.71855907262874485</v>
          </cell>
          <cell r="DT66">
            <v>8</v>
          </cell>
          <cell r="DU66">
            <v>4.150115056842389</v>
          </cell>
          <cell r="DV66">
            <v>8.300230113684778</v>
          </cell>
          <cell r="DW66">
            <v>12.450345170527168</v>
          </cell>
          <cell r="DX66">
            <v>16.600460227369556</v>
          </cell>
          <cell r="DY66">
            <v>20.750575284211944</v>
          </cell>
          <cell r="DZ66">
            <v>24.900690341054336</v>
          </cell>
          <cell r="EA66">
            <v>8.300230113684778</v>
          </cell>
          <cell r="EE66">
            <v>2.4750000000000001</v>
          </cell>
          <cell r="EF66">
            <v>2.2413848418501034</v>
          </cell>
          <cell r="EG66">
            <v>2.689661810220124</v>
          </cell>
          <cell r="EH66">
            <v>3.1379387785901449</v>
          </cell>
          <cell r="EI66">
            <v>3.5862157469601654</v>
          </cell>
          <cell r="EJ66">
            <v>4.0344927153301864</v>
          </cell>
          <cell r="EK66">
            <v>4.4827696837002069</v>
          </cell>
          <cell r="EL66">
            <v>3.3620772627751552</v>
          </cell>
          <cell r="EM66">
            <v>0.22413848418501034</v>
          </cell>
          <cell r="EP66">
            <v>2.4750000000000001</v>
          </cell>
          <cell r="EQ66">
            <v>1.9280460843785705</v>
          </cell>
          <cell r="ER66">
            <v>2.6992645181299988</v>
          </cell>
          <cell r="ES66">
            <v>3.4704829518814266</v>
          </cell>
          <cell r="ET66">
            <v>4.2417013856328554</v>
          </cell>
          <cell r="EU66">
            <v>5.0129198193842832</v>
          </cell>
          <cell r="EV66">
            <v>5.7841382531357111</v>
          </cell>
          <cell r="EW66">
            <v>3.856092168757141</v>
          </cell>
          <cell r="EX66">
            <v>0.38560921687571409</v>
          </cell>
          <cell r="EZ66">
            <v>2.4750000000000001</v>
          </cell>
          <cell r="FA66">
            <v>1.1906296758727419</v>
          </cell>
          <cell r="FB66">
            <v>2.3812593517454839</v>
          </cell>
          <cell r="FC66">
            <v>3.5718890276182256</v>
          </cell>
          <cell r="FD66">
            <v>4.7625187034909677</v>
          </cell>
          <cell r="FE66">
            <v>5.9531483793637099</v>
          </cell>
          <cell r="FF66">
            <v>7.1437780552364512</v>
          </cell>
          <cell r="FG66">
            <v>2.3812593517454839</v>
          </cell>
        </row>
        <row r="67">
          <cell r="A67">
            <v>37376</v>
          </cell>
          <cell r="B67">
            <v>39.151000000000003</v>
          </cell>
          <cell r="C67">
            <v>13.840649087221093</v>
          </cell>
          <cell r="D67">
            <v>20.760973630831639</v>
          </cell>
          <cell r="E67">
            <v>27.681298174442187</v>
          </cell>
          <cell r="F67">
            <v>34.601622718052731</v>
          </cell>
          <cell r="G67">
            <v>41.521947261663279</v>
          </cell>
          <cell r="H67">
            <v>48.442271805273826</v>
          </cell>
          <cell r="I67">
            <v>55.362596348884374</v>
          </cell>
          <cell r="J67">
            <v>62.282920892494921</v>
          </cell>
          <cell r="K67">
            <v>69.203245436105462</v>
          </cell>
          <cell r="L67">
            <v>51.9024340770791</v>
          </cell>
          <cell r="M67">
            <v>3.4601622718052734</v>
          </cell>
          <cell r="P67">
            <v>39.151000000000003</v>
          </cell>
          <cell r="Q67">
            <v>16.996182555780941</v>
          </cell>
          <cell r="R67">
            <v>28.326970926301563</v>
          </cell>
          <cell r="S67">
            <v>39.657759296822192</v>
          </cell>
          <cell r="T67">
            <v>50.988547667342814</v>
          </cell>
          <cell r="U67">
            <v>62.319336037863444</v>
          </cell>
          <cell r="V67">
            <v>73.650124408384073</v>
          </cell>
          <cell r="W67">
            <v>84.980912778904695</v>
          </cell>
          <cell r="X67">
            <v>56.653941852603126</v>
          </cell>
          <cell r="Y67">
            <v>5.6653941852603129</v>
          </cell>
          <cell r="AA67">
            <v>39.151000000000003</v>
          </cell>
          <cell r="AB67">
            <v>22.890340770791081</v>
          </cell>
          <cell r="AC67">
            <v>34.33551115618662</v>
          </cell>
          <cell r="AD67">
            <v>45.780681541582162</v>
          </cell>
          <cell r="AE67">
            <v>57.225851926977704</v>
          </cell>
          <cell r="AF67">
            <v>68.671022312373239</v>
          </cell>
          <cell r="AG67">
            <v>22.890340770791081</v>
          </cell>
          <cell r="AK67">
            <v>28.3</v>
          </cell>
          <cell r="AL67">
            <v>20.251995449374284</v>
          </cell>
          <cell r="AM67">
            <v>25.314994311717854</v>
          </cell>
          <cell r="AN67">
            <v>30.377993174061427</v>
          </cell>
          <cell r="AO67">
            <v>35.440992036405</v>
          </cell>
          <cell r="AP67">
            <v>40.503990898748569</v>
          </cell>
          <cell r="AQ67">
            <v>45.566989761092138</v>
          </cell>
          <cell r="AR67">
            <v>50.629988623435707</v>
          </cell>
          <cell r="AS67">
            <v>37.972491467576781</v>
          </cell>
          <cell r="AT67">
            <v>2.5314994311717856</v>
          </cell>
          <cell r="AW67">
            <v>28.3</v>
          </cell>
          <cell r="AX67">
            <v>21.756205915813421</v>
          </cell>
          <cell r="AY67">
            <v>30.458688282138787</v>
          </cell>
          <cell r="AZ67">
            <v>39.161170648464157</v>
          </cell>
          <cell r="BA67">
            <v>47.863653014789527</v>
          </cell>
          <cell r="BB67">
            <v>56.56613538111489</v>
          </cell>
          <cell r="BC67">
            <v>65.26861774744026</v>
          </cell>
          <cell r="BD67">
            <v>43.512411831626842</v>
          </cell>
          <cell r="BE67">
            <v>4.351241183162684</v>
          </cell>
          <cell r="BG67">
            <v>28.3</v>
          </cell>
          <cell r="BH67">
            <v>20.934827076222977</v>
          </cell>
          <cell r="BI67">
            <v>31.402240614334467</v>
          </cell>
          <cell r="BJ67">
            <v>41.869654152445953</v>
          </cell>
          <cell r="BK67">
            <v>52.33706769055744</v>
          </cell>
          <cell r="BL67">
            <v>62.804481228668934</v>
          </cell>
          <cell r="BM67">
            <v>20.934827076222977</v>
          </cell>
          <cell r="BQ67">
            <v>35.4</v>
          </cell>
          <cell r="BR67">
            <v>21.118031682646382</v>
          </cell>
          <cell r="BS67">
            <v>28.157375576861842</v>
          </cell>
          <cell r="BT67">
            <v>35.196719471077301</v>
          </cell>
          <cell r="BU67">
            <v>42.236063365292765</v>
          </cell>
          <cell r="BV67">
            <v>49.275407259508221</v>
          </cell>
          <cell r="BW67">
            <v>56.314751153723684</v>
          </cell>
          <cell r="BX67">
            <v>63.354095047939147</v>
          </cell>
          <cell r="BY67">
            <v>70.393438942154603</v>
          </cell>
          <cell r="BZ67">
            <v>3.5196719471077302</v>
          </cell>
          <cell r="CC67">
            <v>35.4</v>
          </cell>
          <cell r="CD67">
            <v>23.13314687699998</v>
          </cell>
          <cell r="CE67">
            <v>32.386405627799974</v>
          </cell>
          <cell r="CF67">
            <v>41.63966437859996</v>
          </cell>
          <cell r="CG67">
            <v>50.892923129399954</v>
          </cell>
          <cell r="CH67">
            <v>60.146181880199947</v>
          </cell>
          <cell r="CI67">
            <v>69.399440630999933</v>
          </cell>
          <cell r="CJ67">
            <v>46.26629375399996</v>
          </cell>
          <cell r="CK67">
            <v>4.6266293753999959</v>
          </cell>
          <cell r="CM67">
            <v>35.4</v>
          </cell>
          <cell r="CN67">
            <v>15.823288407521071</v>
          </cell>
          <cell r="CO67">
            <v>31.646576815042142</v>
          </cell>
          <cell r="CP67">
            <v>47.469865222563215</v>
          </cell>
          <cell r="CQ67">
            <v>63.293153630084284</v>
          </cell>
          <cell r="CR67">
            <v>79.116442037605353</v>
          </cell>
          <cell r="CS67">
            <v>94.939730445126429</v>
          </cell>
          <cell r="CT67">
            <v>31.646576815042142</v>
          </cell>
          <cell r="CX67">
            <v>8</v>
          </cell>
          <cell r="CY67">
            <v>5.2169574933984331</v>
          </cell>
          <cell r="CZ67">
            <v>6.5211968667480411</v>
          </cell>
          <cell r="DA67">
            <v>7.82543624009765</v>
          </cell>
          <cell r="DB67">
            <v>9.1296756134472581</v>
          </cell>
          <cell r="DC67">
            <v>10.433914986796866</v>
          </cell>
          <cell r="DD67">
            <v>11.738154360146474</v>
          </cell>
          <cell r="DE67">
            <v>13.042393733496082</v>
          </cell>
          <cell r="DF67">
            <v>9.7817953001220612</v>
          </cell>
          <cell r="DG67">
            <v>0.65211968667480413</v>
          </cell>
          <cell r="DJ67">
            <v>8</v>
          </cell>
          <cell r="DK67">
            <v>3.710033457164605</v>
          </cell>
          <cell r="DL67">
            <v>5.1940468400304471</v>
          </cell>
          <cell r="DM67">
            <v>6.6780602228962884</v>
          </cell>
          <cell r="DN67">
            <v>8.1620736057621315</v>
          </cell>
          <cell r="DO67">
            <v>9.6460869886279728</v>
          </cell>
          <cell r="DP67">
            <v>11.130100371493814</v>
          </cell>
          <cell r="DQ67">
            <v>7.42006691432921</v>
          </cell>
          <cell r="DR67">
            <v>0.74200669143292097</v>
          </cell>
          <cell r="DT67">
            <v>8</v>
          </cell>
          <cell r="DU67">
            <v>4.1059273393033653</v>
          </cell>
          <cell r="DV67">
            <v>8.2118546786067306</v>
          </cell>
          <cell r="DW67">
            <v>12.317782017910096</v>
          </cell>
          <cell r="DX67">
            <v>16.423709357213461</v>
          </cell>
          <cell r="DY67">
            <v>20.529636696516825</v>
          </cell>
          <cell r="DZ67">
            <v>24.635564035820192</v>
          </cell>
          <cell r="EA67">
            <v>8.2118546786067306</v>
          </cell>
          <cell r="EE67">
            <v>2.6</v>
          </cell>
          <cell r="EF67">
            <v>2.2120635034041816</v>
          </cell>
          <cell r="EG67">
            <v>2.6544762040850181</v>
          </cell>
          <cell r="EH67">
            <v>3.0968889047658541</v>
          </cell>
          <cell r="EI67">
            <v>3.5393016054466906</v>
          </cell>
          <cell r="EJ67">
            <v>3.9817143061275271</v>
          </cell>
          <cell r="EK67">
            <v>4.4241270068083631</v>
          </cell>
          <cell r="EL67">
            <v>3.3180952551062726</v>
          </cell>
          <cell r="EM67">
            <v>0.22120635034041816</v>
          </cell>
          <cell r="EP67">
            <v>2.6</v>
          </cell>
          <cell r="EQ67">
            <v>1.9220604079425661</v>
          </cell>
          <cell r="ER67">
            <v>2.6908845711195926</v>
          </cell>
          <cell r="ES67">
            <v>3.4597087342966186</v>
          </cell>
          <cell r="ET67">
            <v>4.2285328974736451</v>
          </cell>
          <cell r="EU67">
            <v>4.9973570606506712</v>
          </cell>
          <cell r="EV67">
            <v>5.7661812238276982</v>
          </cell>
          <cell r="EW67">
            <v>3.8441208158851321</v>
          </cell>
          <cell r="EX67">
            <v>0.3844120815885132</v>
          </cell>
          <cell r="EZ67">
            <v>2.6</v>
          </cell>
          <cell r="FA67">
            <v>1.1937508723410881</v>
          </cell>
          <cell r="FB67">
            <v>2.3875017446821762</v>
          </cell>
          <cell r="FC67">
            <v>3.5812526170232646</v>
          </cell>
          <cell r="FD67">
            <v>4.7750034893643525</v>
          </cell>
          <cell r="FE67">
            <v>5.9687543617054404</v>
          </cell>
          <cell r="FF67">
            <v>7.1625052340465292</v>
          </cell>
          <cell r="FG67">
            <v>2.3875017446821762</v>
          </cell>
        </row>
        <row r="68">
          <cell r="A68">
            <v>37407</v>
          </cell>
          <cell r="B68">
            <v>38.462409999999998</v>
          </cell>
          <cell r="C68">
            <v>13.792089249492898</v>
          </cell>
          <cell r="D68">
            <v>20.688133874239348</v>
          </cell>
          <cell r="E68">
            <v>27.584178498985796</v>
          </cell>
          <cell r="F68">
            <v>34.480223123732245</v>
          </cell>
          <cell r="G68">
            <v>41.376267748478696</v>
          </cell>
          <cell r="H68">
            <v>48.272312373225141</v>
          </cell>
          <cell r="I68">
            <v>55.168356997971593</v>
          </cell>
          <cell r="J68">
            <v>62.064401622718044</v>
          </cell>
          <cell r="K68">
            <v>68.960446247464489</v>
          </cell>
          <cell r="L68">
            <v>51.720334685598367</v>
          </cell>
          <cell r="M68">
            <v>3.4480223123732245</v>
          </cell>
          <cell r="P68">
            <v>38.462409999999998</v>
          </cell>
          <cell r="Q68">
            <v>17.286810344827593</v>
          </cell>
          <cell r="R68">
            <v>28.811350574712655</v>
          </cell>
          <cell r="S68">
            <v>40.335890804597717</v>
          </cell>
          <cell r="T68">
            <v>51.860431034482779</v>
          </cell>
          <cell r="U68">
            <v>63.384971264367842</v>
          </cell>
          <cell r="V68">
            <v>74.909511494252911</v>
          </cell>
          <cell r="W68">
            <v>86.434051724137959</v>
          </cell>
          <cell r="X68">
            <v>57.622701149425311</v>
          </cell>
          <cell r="Y68">
            <v>5.7622701149425311</v>
          </cell>
          <cell r="AA68">
            <v>38.462409999999998</v>
          </cell>
          <cell r="AB68">
            <v>23.11901115618662</v>
          </cell>
          <cell r="AC68">
            <v>34.678516734279931</v>
          </cell>
          <cell r="AD68">
            <v>46.238022312373239</v>
          </cell>
          <cell r="AE68">
            <v>57.797527890466547</v>
          </cell>
          <cell r="AF68">
            <v>69.357033468559862</v>
          </cell>
          <cell r="AG68">
            <v>23.11901115618662</v>
          </cell>
          <cell r="AK68">
            <v>27.75</v>
          </cell>
          <cell r="AL68">
            <v>20.002325369738333</v>
          </cell>
          <cell r="AM68">
            <v>25.002906712172916</v>
          </cell>
          <cell r="AN68">
            <v>30.003488054607502</v>
          </cell>
          <cell r="AO68">
            <v>35.00406939704208</v>
          </cell>
          <cell r="AP68">
            <v>40.004650739476666</v>
          </cell>
          <cell r="AQ68">
            <v>45.005232081911252</v>
          </cell>
          <cell r="AR68">
            <v>50.005813424345831</v>
          </cell>
          <cell r="AS68">
            <v>37.504360068259373</v>
          </cell>
          <cell r="AT68">
            <v>2.5002906712172916</v>
          </cell>
          <cell r="AW68">
            <v>27.75</v>
          </cell>
          <cell r="AX68">
            <v>21.686272753128549</v>
          </cell>
          <cell r="AY68">
            <v>30.360781854379972</v>
          </cell>
          <cell r="AZ68">
            <v>39.035290955631389</v>
          </cell>
          <cell r="BA68">
            <v>47.709800056882813</v>
          </cell>
          <cell r="BB68">
            <v>56.384309158134229</v>
          </cell>
          <cell r="BC68">
            <v>65.058818259385646</v>
          </cell>
          <cell r="BD68">
            <v>43.372545506257097</v>
          </cell>
          <cell r="BE68">
            <v>4.3372545506257101</v>
          </cell>
          <cell r="BG68">
            <v>27.75</v>
          </cell>
          <cell r="BH68">
            <v>21.021787258248004</v>
          </cell>
          <cell r="BI68">
            <v>31.532680887372006</v>
          </cell>
          <cell r="BJ68">
            <v>42.043574516496008</v>
          </cell>
          <cell r="BK68">
            <v>52.554468145620007</v>
          </cell>
          <cell r="BL68">
            <v>63.065361774744012</v>
          </cell>
          <cell r="BM68">
            <v>21.021787258248004</v>
          </cell>
          <cell r="BQ68">
            <v>36</v>
          </cell>
          <cell r="BR68">
            <v>20.931798585814562</v>
          </cell>
          <cell r="BS68">
            <v>27.90906478108608</v>
          </cell>
          <cell r="BT68">
            <v>34.886330976357598</v>
          </cell>
          <cell r="BU68">
            <v>41.863597171629124</v>
          </cell>
          <cell r="BV68">
            <v>48.840863366900642</v>
          </cell>
          <cell r="BW68">
            <v>55.81812956217216</v>
          </cell>
          <cell r="BX68">
            <v>62.795395757443679</v>
          </cell>
          <cell r="BY68">
            <v>69.772661952715197</v>
          </cell>
          <cell r="BZ68">
            <v>3.48863309763576</v>
          </cell>
          <cell r="CC68">
            <v>36</v>
          </cell>
          <cell r="CD68">
            <v>23.032119788001392</v>
          </cell>
          <cell r="CE68">
            <v>32.244967703201951</v>
          </cell>
          <cell r="CF68">
            <v>41.457815618402506</v>
          </cell>
          <cell r="CG68">
            <v>50.670663533603062</v>
          </cell>
          <cell r="CH68">
            <v>59.883511448803624</v>
          </cell>
          <cell r="CI68">
            <v>69.096359364004172</v>
          </cell>
          <cell r="CJ68">
            <v>46.064239576002784</v>
          </cell>
          <cell r="CK68">
            <v>4.6064239576002786</v>
          </cell>
          <cell r="CM68">
            <v>36</v>
          </cell>
          <cell r="CN68">
            <v>15.930563606905023</v>
          </cell>
          <cell r="CO68">
            <v>31.861127213810047</v>
          </cell>
          <cell r="CP68">
            <v>47.791690820715068</v>
          </cell>
          <cell r="CQ68">
            <v>63.722254427620094</v>
          </cell>
          <cell r="CR68">
            <v>79.652818034525112</v>
          </cell>
          <cell r="CS68">
            <v>95.583381641430137</v>
          </cell>
          <cell r="CT68">
            <v>31.861127213810047</v>
          </cell>
          <cell r="CX68">
            <v>7.75</v>
          </cell>
          <cell r="CY68">
            <v>5.3254286386421343</v>
          </cell>
          <cell r="CZ68">
            <v>6.6567857983026677</v>
          </cell>
          <cell r="DA68">
            <v>7.988142957963202</v>
          </cell>
          <cell r="DB68">
            <v>9.3195001176237344</v>
          </cell>
          <cell r="DC68">
            <v>10.650857277284269</v>
          </cell>
          <cell r="DD68">
            <v>11.982214436944803</v>
          </cell>
          <cell r="DE68">
            <v>13.313571596605335</v>
          </cell>
          <cell r="DF68">
            <v>9.9851786974540016</v>
          </cell>
          <cell r="DG68">
            <v>0.66567857983026679</v>
          </cell>
          <cell r="DJ68">
            <v>7.75</v>
          </cell>
          <cell r="DK68">
            <v>3.8272715511854853</v>
          </cell>
          <cell r="DL68">
            <v>5.3581801716596793</v>
          </cell>
          <cell r="DM68">
            <v>6.8890887921338742</v>
          </cell>
          <cell r="DN68">
            <v>8.4199974126080672</v>
          </cell>
          <cell r="DO68">
            <v>9.9509060330822621</v>
          </cell>
          <cell r="DP68">
            <v>11.481814653556457</v>
          </cell>
          <cell r="DQ68">
            <v>7.6545431023709707</v>
          </cell>
          <cell r="DR68">
            <v>0.76545431023709709</v>
          </cell>
          <cell r="DT68">
            <v>7.75</v>
          </cell>
          <cell r="DU68">
            <v>4.0617396217643416</v>
          </cell>
          <cell r="DV68">
            <v>8.1234792435286831</v>
          </cell>
          <cell r="DW68">
            <v>12.185218865293024</v>
          </cell>
          <cell r="DX68">
            <v>16.246958487057366</v>
          </cell>
          <cell r="DY68">
            <v>20.308698108821709</v>
          </cell>
          <cell r="DZ68">
            <v>24.370437730586048</v>
          </cell>
          <cell r="EA68">
            <v>8.1234792435286831</v>
          </cell>
          <cell r="EE68">
            <v>2.5</v>
          </cell>
          <cell r="EF68">
            <v>2.1827421649582597</v>
          </cell>
          <cell r="EG68">
            <v>2.6192905979499117</v>
          </cell>
          <cell r="EH68">
            <v>3.0558390309415637</v>
          </cell>
          <cell r="EI68">
            <v>3.4923874639332158</v>
          </cell>
          <cell r="EJ68">
            <v>3.9289358969248678</v>
          </cell>
          <cell r="EK68">
            <v>4.3654843299165194</v>
          </cell>
          <cell r="EL68">
            <v>3.27411324743739</v>
          </cell>
          <cell r="EM68">
            <v>0.21827421649582598</v>
          </cell>
          <cell r="EP68">
            <v>2.5</v>
          </cell>
          <cell r="EQ68">
            <v>1.9160747315065616</v>
          </cell>
          <cell r="ER68">
            <v>2.6825046241091863</v>
          </cell>
          <cell r="ES68">
            <v>3.4489345167118106</v>
          </cell>
          <cell r="ET68">
            <v>4.2153644093144358</v>
          </cell>
          <cell r="EU68">
            <v>4.9817943019170601</v>
          </cell>
          <cell r="EV68">
            <v>5.7482241945196844</v>
          </cell>
          <cell r="EW68">
            <v>3.8321494630131232</v>
          </cell>
          <cell r="EX68">
            <v>0.38321494630131231</v>
          </cell>
          <cell r="EZ68">
            <v>2.5</v>
          </cell>
          <cell r="FA68">
            <v>1.1968720688094343</v>
          </cell>
          <cell r="FB68">
            <v>2.3937441376188686</v>
          </cell>
          <cell r="FC68">
            <v>3.5906162064283027</v>
          </cell>
          <cell r="FD68">
            <v>4.7874882752377372</v>
          </cell>
          <cell r="FE68">
            <v>5.9843603440471718</v>
          </cell>
          <cell r="FF68">
            <v>7.1812324128566054</v>
          </cell>
          <cell r="FG68">
            <v>2.3937441376188686</v>
          </cell>
        </row>
        <row r="69">
          <cell r="A69">
            <v>37435</v>
          </cell>
          <cell r="B69">
            <v>37.38035</v>
          </cell>
          <cell r="C69">
            <v>13.743529411764703</v>
          </cell>
          <cell r="D69">
            <v>20.615294117647053</v>
          </cell>
          <cell r="E69">
            <v>27.487058823529406</v>
          </cell>
          <cell r="F69">
            <v>34.358823529411758</v>
          </cell>
          <cell r="G69">
            <v>41.230588235294107</v>
          </cell>
          <cell r="H69">
            <v>48.102352941176463</v>
          </cell>
          <cell r="I69">
            <v>54.974117647058812</v>
          </cell>
          <cell r="J69">
            <v>61.84588235294116</v>
          </cell>
          <cell r="K69">
            <v>68.717647058823516</v>
          </cell>
          <cell r="L69">
            <v>51.538235294117634</v>
          </cell>
          <cell r="M69">
            <v>3.4358823529411757</v>
          </cell>
          <cell r="P69">
            <v>37.38035</v>
          </cell>
          <cell r="Q69">
            <v>17.577438133874246</v>
          </cell>
          <cell r="R69">
            <v>29.295730223123748</v>
          </cell>
          <cell r="S69">
            <v>41.014022312373243</v>
          </cell>
          <cell r="T69">
            <v>52.732314401622745</v>
          </cell>
          <cell r="U69">
            <v>64.450606490872246</v>
          </cell>
          <cell r="V69">
            <v>76.168898580121734</v>
          </cell>
          <cell r="W69">
            <v>87.887190669371236</v>
          </cell>
          <cell r="X69">
            <v>58.591460446247495</v>
          </cell>
          <cell r="Y69">
            <v>5.8591460446247492</v>
          </cell>
          <cell r="AA69">
            <v>37.38035</v>
          </cell>
          <cell r="AB69">
            <v>23.347681541582158</v>
          </cell>
          <cell r="AC69">
            <v>35.021522312373236</v>
          </cell>
          <cell r="AD69">
            <v>46.695363083164317</v>
          </cell>
          <cell r="AE69">
            <v>58.369203853955398</v>
          </cell>
          <cell r="AF69">
            <v>70.043044624746472</v>
          </cell>
          <cell r="AG69">
            <v>23.347681541582158</v>
          </cell>
          <cell r="AK69">
            <v>25.85</v>
          </cell>
          <cell r="AL69">
            <v>19.752655290102382</v>
          </cell>
          <cell r="AM69">
            <v>24.690819112627977</v>
          </cell>
          <cell r="AN69">
            <v>29.628982935153573</v>
          </cell>
          <cell r="AO69">
            <v>34.567146757679168</v>
          </cell>
          <cell r="AP69">
            <v>39.505310580204764</v>
          </cell>
          <cell r="AQ69">
            <v>44.443474402730359</v>
          </cell>
          <cell r="AR69">
            <v>49.381638225255955</v>
          </cell>
          <cell r="AS69">
            <v>37.036228668941966</v>
          </cell>
          <cell r="AT69">
            <v>2.4690819112627977</v>
          </cell>
          <cell r="AW69">
            <v>25.85</v>
          </cell>
          <cell r="AX69">
            <v>21.61633959044368</v>
          </cell>
          <cell r="AY69">
            <v>30.262875426621154</v>
          </cell>
          <cell r="AZ69">
            <v>38.909411262798628</v>
          </cell>
          <cell r="BA69">
            <v>47.555947098976098</v>
          </cell>
          <cell r="BB69">
            <v>56.202482935153569</v>
          </cell>
          <cell r="BC69">
            <v>64.849018771331046</v>
          </cell>
          <cell r="BD69">
            <v>43.232679180887359</v>
          </cell>
          <cell r="BE69">
            <v>4.3232679180887361</v>
          </cell>
          <cell r="BG69">
            <v>25.85</v>
          </cell>
          <cell r="BH69">
            <v>21.108747440273032</v>
          </cell>
          <cell r="BI69">
            <v>31.663121160409545</v>
          </cell>
          <cell r="BJ69">
            <v>42.217494880546063</v>
          </cell>
          <cell r="BK69">
            <v>52.771868600682581</v>
          </cell>
          <cell r="BL69">
            <v>63.326242320819091</v>
          </cell>
          <cell r="BM69">
            <v>21.108747440273032</v>
          </cell>
          <cell r="BQ69">
            <v>34.299999999999997</v>
          </cell>
          <cell r="BR69">
            <v>20.745565488982738</v>
          </cell>
          <cell r="BS69">
            <v>27.660753985310318</v>
          </cell>
          <cell r="BT69">
            <v>34.575942481637895</v>
          </cell>
          <cell r="BU69">
            <v>41.491130977965476</v>
          </cell>
          <cell r="BV69">
            <v>48.406319474293056</v>
          </cell>
          <cell r="BW69">
            <v>55.321507970620637</v>
          </cell>
          <cell r="BX69">
            <v>62.236696466948217</v>
          </cell>
          <cell r="BY69">
            <v>69.151884963275791</v>
          </cell>
          <cell r="BZ69">
            <v>3.4575942481637898</v>
          </cell>
          <cell r="CC69">
            <v>34.299999999999997</v>
          </cell>
          <cell r="CD69">
            <v>22.931092699002807</v>
          </cell>
          <cell r="CE69">
            <v>32.103529778603928</v>
          </cell>
          <cell r="CF69">
            <v>41.275966858205052</v>
          </cell>
          <cell r="CG69">
            <v>50.448403937806177</v>
          </cell>
          <cell r="CH69">
            <v>59.620841017407294</v>
          </cell>
          <cell r="CI69">
            <v>68.793278097008425</v>
          </cell>
          <cell r="CJ69">
            <v>45.862185398005614</v>
          </cell>
          <cell r="CK69">
            <v>4.5862185398005613</v>
          </cell>
          <cell r="CM69">
            <v>34.299999999999997</v>
          </cell>
          <cell r="CN69">
            <v>16.037838806288978</v>
          </cell>
          <cell r="CO69">
            <v>32.075677612577955</v>
          </cell>
          <cell r="CP69">
            <v>48.113516418866936</v>
          </cell>
          <cell r="CQ69">
            <v>64.15135522515591</v>
          </cell>
          <cell r="CR69">
            <v>80.189194031444885</v>
          </cell>
          <cell r="CS69">
            <v>96.227032837733873</v>
          </cell>
          <cell r="CT69">
            <v>32.075677612577955</v>
          </cell>
          <cell r="CX69">
            <v>7.35</v>
          </cell>
          <cell r="CY69">
            <v>5.4338997838858356</v>
          </cell>
          <cell r="CZ69">
            <v>6.7923747298572943</v>
          </cell>
          <cell r="DA69">
            <v>8.1508496758287539</v>
          </cell>
          <cell r="DB69">
            <v>9.5093246218002125</v>
          </cell>
          <cell r="DC69">
            <v>10.867799567771671</v>
          </cell>
          <cell r="DD69">
            <v>12.22627451374313</v>
          </cell>
          <cell r="DE69">
            <v>13.584749459714589</v>
          </cell>
          <cell r="DF69">
            <v>10.188562094785942</v>
          </cell>
          <cell r="DG69">
            <v>0.67923747298572945</v>
          </cell>
          <cell r="DJ69">
            <v>7.35</v>
          </cell>
          <cell r="DK69">
            <v>3.9445096452063662</v>
          </cell>
          <cell r="DL69">
            <v>5.5223135032889124</v>
          </cell>
          <cell r="DM69">
            <v>7.100117361371459</v>
          </cell>
          <cell r="DN69">
            <v>8.6779212194540047</v>
          </cell>
          <cell r="DO69">
            <v>10.255725077536551</v>
          </cell>
          <cell r="DP69">
            <v>11.833528935619098</v>
          </cell>
          <cell r="DQ69">
            <v>7.8890192904127323</v>
          </cell>
          <cell r="DR69">
            <v>0.78890192904127321</v>
          </cell>
          <cell r="DT69">
            <v>7.35</v>
          </cell>
          <cell r="DU69">
            <v>4.0175519042253178</v>
          </cell>
          <cell r="DV69">
            <v>8.0351038084506357</v>
          </cell>
          <cell r="DW69">
            <v>12.052655712675953</v>
          </cell>
          <cell r="DX69">
            <v>16.070207616901271</v>
          </cell>
          <cell r="DY69">
            <v>20.087759521126589</v>
          </cell>
          <cell r="DZ69">
            <v>24.105311425351907</v>
          </cell>
          <cell r="EA69">
            <v>8.0351038084506357</v>
          </cell>
          <cell r="EE69">
            <v>2.2749999999999999</v>
          </cell>
          <cell r="EF69">
            <v>2.1534208265123382</v>
          </cell>
          <cell r="EG69">
            <v>2.5841049918148058</v>
          </cell>
          <cell r="EH69">
            <v>3.0147891571172734</v>
          </cell>
          <cell r="EI69">
            <v>3.4454733224197409</v>
          </cell>
          <cell r="EJ69">
            <v>3.8761574877222085</v>
          </cell>
          <cell r="EK69">
            <v>4.3068416530246765</v>
          </cell>
          <cell r="EL69">
            <v>3.2301312397685069</v>
          </cell>
          <cell r="EM69">
            <v>0.21534208265123381</v>
          </cell>
          <cell r="EP69">
            <v>2.2749999999999999</v>
          </cell>
          <cell r="EQ69">
            <v>1.9100890550705572</v>
          </cell>
          <cell r="ER69">
            <v>2.6741246770987801</v>
          </cell>
          <cell r="ES69">
            <v>3.4381602991270026</v>
          </cell>
          <cell r="ET69">
            <v>4.2021959211552256</v>
          </cell>
          <cell r="EU69">
            <v>4.9662315431834481</v>
          </cell>
          <cell r="EV69">
            <v>5.7302671652116715</v>
          </cell>
          <cell r="EW69">
            <v>3.8201781101411143</v>
          </cell>
          <cell r="EX69">
            <v>0.38201781101411142</v>
          </cell>
          <cell r="EZ69">
            <v>2.2749999999999999</v>
          </cell>
          <cell r="FA69">
            <v>1.1999932652777805</v>
          </cell>
          <cell r="FB69">
            <v>2.399986530555561</v>
          </cell>
          <cell r="FC69">
            <v>3.5999797958333417</v>
          </cell>
          <cell r="FD69">
            <v>4.799973061111122</v>
          </cell>
          <cell r="FE69">
            <v>5.9999663263889023</v>
          </cell>
          <cell r="FF69">
            <v>7.1999595916666834</v>
          </cell>
          <cell r="FG69">
            <v>2.399986530555561</v>
          </cell>
        </row>
        <row r="70">
          <cell r="A70">
            <v>37468</v>
          </cell>
          <cell r="B70">
            <v>34.724379999999996</v>
          </cell>
          <cell r="C70">
            <v>13.694969574036508</v>
          </cell>
          <cell r="D70">
            <v>20.542454361054762</v>
          </cell>
          <cell r="E70">
            <v>27.389939148073015</v>
          </cell>
          <cell r="F70">
            <v>34.237423935091272</v>
          </cell>
          <cell r="G70">
            <v>41.084908722109525</v>
          </cell>
          <cell r="H70">
            <v>47.932393509127778</v>
          </cell>
          <cell r="I70">
            <v>54.77987829614603</v>
          </cell>
          <cell r="J70">
            <v>61.627363083164283</v>
          </cell>
          <cell r="K70">
            <v>68.474847870182543</v>
          </cell>
          <cell r="L70">
            <v>51.3561359026369</v>
          </cell>
          <cell r="M70">
            <v>3.4237423935091269</v>
          </cell>
          <cell r="P70">
            <v>34.724379999999996</v>
          </cell>
          <cell r="Q70">
            <v>17.868065922920902</v>
          </cell>
          <cell r="R70">
            <v>29.780109871534837</v>
          </cell>
          <cell r="S70">
            <v>41.692153820148775</v>
          </cell>
          <cell r="T70">
            <v>53.604197768762702</v>
          </cell>
          <cell r="U70">
            <v>65.516241717376644</v>
          </cell>
          <cell r="V70">
            <v>77.428285665990572</v>
          </cell>
          <cell r="W70">
            <v>89.340329614604514</v>
          </cell>
          <cell r="X70">
            <v>59.560219743069673</v>
          </cell>
          <cell r="Y70">
            <v>5.9560219743069673</v>
          </cell>
          <cell r="AA70">
            <v>34.724379999999996</v>
          </cell>
          <cell r="AB70">
            <v>23.576351926977697</v>
          </cell>
          <cell r="AC70">
            <v>35.364527890466547</v>
          </cell>
          <cell r="AD70">
            <v>47.152703853955394</v>
          </cell>
          <cell r="AE70">
            <v>58.940879817444241</v>
          </cell>
          <cell r="AF70">
            <v>70.729055780933095</v>
          </cell>
          <cell r="AG70">
            <v>23.576351926977697</v>
          </cell>
          <cell r="AK70">
            <v>24.75</v>
          </cell>
          <cell r="AL70">
            <v>19.502985210466431</v>
          </cell>
          <cell r="AM70">
            <v>24.378731513083039</v>
          </cell>
          <cell r="AN70">
            <v>29.254477815699644</v>
          </cell>
          <cell r="AO70">
            <v>34.130224118316256</v>
          </cell>
          <cell r="AP70">
            <v>39.005970420932861</v>
          </cell>
          <cell r="AQ70">
            <v>43.881716723549467</v>
          </cell>
          <cell r="AR70">
            <v>48.757463026166079</v>
          </cell>
          <cell r="AS70">
            <v>36.568097269624559</v>
          </cell>
          <cell r="AT70">
            <v>2.4378731513083038</v>
          </cell>
          <cell r="AW70">
            <v>24.75</v>
          </cell>
          <cell r="AX70">
            <v>21.546406427758811</v>
          </cell>
          <cell r="AY70">
            <v>30.164968998862335</v>
          </cell>
          <cell r="AZ70">
            <v>38.783531569965859</v>
          </cell>
          <cell r="BA70">
            <v>47.402094141069384</v>
          </cell>
          <cell r="BB70">
            <v>56.020656712172908</v>
          </cell>
          <cell r="BC70">
            <v>64.639219283276432</v>
          </cell>
          <cell r="BD70">
            <v>43.092812855517622</v>
          </cell>
          <cell r="BE70">
            <v>4.3092812855517622</v>
          </cell>
          <cell r="BG70">
            <v>24.75</v>
          </cell>
          <cell r="BH70">
            <v>21.195707622298059</v>
          </cell>
          <cell r="BI70">
            <v>31.793561433447088</v>
          </cell>
          <cell r="BJ70">
            <v>42.391415244596118</v>
          </cell>
          <cell r="BK70">
            <v>52.989269055745147</v>
          </cell>
          <cell r="BL70">
            <v>63.587122866894177</v>
          </cell>
          <cell r="BM70">
            <v>21.195707622298059</v>
          </cell>
          <cell r="BQ70">
            <v>31</v>
          </cell>
          <cell r="BR70">
            <v>20.559332392150917</v>
          </cell>
          <cell r="BS70">
            <v>27.412443189534557</v>
          </cell>
          <cell r="BT70">
            <v>34.265553986918192</v>
          </cell>
          <cell r="BU70">
            <v>41.118664784301835</v>
          </cell>
          <cell r="BV70">
            <v>47.971775581685478</v>
          </cell>
          <cell r="BW70">
            <v>54.824886379069113</v>
          </cell>
          <cell r="BX70">
            <v>61.677997176452749</v>
          </cell>
          <cell r="BY70">
            <v>68.531107973836384</v>
          </cell>
          <cell r="BZ70">
            <v>3.4265553986918196</v>
          </cell>
          <cell r="CC70">
            <v>31</v>
          </cell>
          <cell r="CD70">
            <v>22.830065610004219</v>
          </cell>
          <cell r="CE70">
            <v>31.962091854005909</v>
          </cell>
          <cell r="CF70">
            <v>41.094118098007598</v>
          </cell>
          <cell r="CG70">
            <v>50.226144342009285</v>
          </cell>
          <cell r="CH70">
            <v>59.358170586010971</v>
          </cell>
          <cell r="CI70">
            <v>68.490196830012664</v>
          </cell>
          <cell r="CJ70">
            <v>45.660131220008438</v>
          </cell>
          <cell r="CK70">
            <v>4.566013122000844</v>
          </cell>
          <cell r="CM70">
            <v>31</v>
          </cell>
          <cell r="CN70">
            <v>16.14511400567293</v>
          </cell>
          <cell r="CO70">
            <v>32.29022801134586</v>
          </cell>
          <cell r="CP70">
            <v>48.43534201701879</v>
          </cell>
          <cell r="CQ70">
            <v>64.58045602269172</v>
          </cell>
          <cell r="CR70">
            <v>80.725570028364643</v>
          </cell>
          <cell r="CS70">
            <v>96.870684034037581</v>
          </cell>
          <cell r="CT70">
            <v>32.29022801134586</v>
          </cell>
          <cell r="CX70">
            <v>6.75</v>
          </cell>
          <cell r="CY70">
            <v>5.5423709291295369</v>
          </cell>
          <cell r="CZ70">
            <v>6.9279636614119209</v>
          </cell>
          <cell r="DA70">
            <v>8.3135563936943058</v>
          </cell>
          <cell r="DB70">
            <v>9.6991491259766889</v>
          </cell>
          <cell r="DC70">
            <v>11.084741858259074</v>
          </cell>
          <cell r="DD70">
            <v>12.470334590541459</v>
          </cell>
          <cell r="DE70">
            <v>13.855927322823842</v>
          </cell>
          <cell r="DF70">
            <v>10.391945492117882</v>
          </cell>
          <cell r="DG70">
            <v>0.69279636614119211</v>
          </cell>
          <cell r="DJ70">
            <v>6.75</v>
          </cell>
          <cell r="DK70">
            <v>4.061747739227247</v>
          </cell>
          <cell r="DL70">
            <v>5.6864468349181454</v>
          </cell>
          <cell r="DM70">
            <v>7.3111459306090438</v>
          </cell>
          <cell r="DN70">
            <v>8.9358450262999423</v>
          </cell>
          <cell r="DO70">
            <v>10.560544121990841</v>
          </cell>
          <cell r="DP70">
            <v>12.185243217681739</v>
          </cell>
          <cell r="DQ70">
            <v>8.1234954784544939</v>
          </cell>
          <cell r="DR70">
            <v>0.81234954784544933</v>
          </cell>
          <cell r="DT70">
            <v>6.75</v>
          </cell>
          <cell r="DU70">
            <v>3.9733641866862941</v>
          </cell>
          <cell r="DV70">
            <v>7.9467283733725882</v>
          </cell>
          <cell r="DW70">
            <v>11.920092560058883</v>
          </cell>
          <cell r="DX70">
            <v>15.893456746745176</v>
          </cell>
          <cell r="DY70">
            <v>19.86682093343147</v>
          </cell>
          <cell r="DZ70">
            <v>23.840185120117766</v>
          </cell>
          <cell r="EA70">
            <v>7.9467283733725882</v>
          </cell>
          <cell r="EE70">
            <v>2.2250000000000001</v>
          </cell>
          <cell r="EF70">
            <v>2.1240994880664164</v>
          </cell>
          <cell r="EG70">
            <v>2.5489193856796994</v>
          </cell>
          <cell r="EH70">
            <v>2.973739283292983</v>
          </cell>
          <cell r="EI70">
            <v>3.3985591809062661</v>
          </cell>
          <cell r="EJ70">
            <v>3.8233790785195492</v>
          </cell>
          <cell r="EK70">
            <v>4.2481989761328327</v>
          </cell>
          <cell r="EL70">
            <v>3.1861492320996243</v>
          </cell>
          <cell r="EM70">
            <v>0.21240994880664163</v>
          </cell>
          <cell r="EP70">
            <v>2.2250000000000001</v>
          </cell>
          <cell r="EQ70">
            <v>1.9041033786345527</v>
          </cell>
          <cell r="ER70">
            <v>2.6657447300883739</v>
          </cell>
          <cell r="ES70">
            <v>3.4273860815421946</v>
          </cell>
          <cell r="ET70">
            <v>4.1890274329960162</v>
          </cell>
          <cell r="EU70">
            <v>4.9506687844498369</v>
          </cell>
          <cell r="EV70">
            <v>5.7123101359036577</v>
          </cell>
          <cell r="EW70">
            <v>3.8082067572691054</v>
          </cell>
          <cell r="EX70">
            <v>0.38082067572691053</v>
          </cell>
          <cell r="EZ70">
            <v>2.2250000000000001</v>
          </cell>
          <cell r="FA70">
            <v>1.2031144617461267</v>
          </cell>
          <cell r="FB70">
            <v>2.4062289234922534</v>
          </cell>
          <cell r="FC70">
            <v>3.6093433852383798</v>
          </cell>
          <cell r="FD70">
            <v>4.8124578469845067</v>
          </cell>
          <cell r="FE70">
            <v>6.0155723087306336</v>
          </cell>
          <cell r="FF70">
            <v>7.2186867704767597</v>
          </cell>
          <cell r="FG70">
            <v>2.4062289234922534</v>
          </cell>
        </row>
        <row r="71">
          <cell r="A71">
            <v>37498</v>
          </cell>
          <cell r="B71">
            <v>33.642319999999998</v>
          </cell>
          <cell r="C71">
            <v>13.646409736308312</v>
          </cell>
          <cell r="D71">
            <v>20.469614604462468</v>
          </cell>
          <cell r="E71">
            <v>27.292819472616625</v>
          </cell>
          <cell r="F71">
            <v>34.116024340770778</v>
          </cell>
          <cell r="G71">
            <v>40.939229208924935</v>
          </cell>
          <cell r="H71">
            <v>47.762434077079092</v>
          </cell>
          <cell r="I71">
            <v>54.585638945233249</v>
          </cell>
          <cell r="J71">
            <v>61.408843813387406</v>
          </cell>
          <cell r="K71">
            <v>68.232048681541556</v>
          </cell>
          <cell r="L71">
            <v>51.174036511156174</v>
          </cell>
          <cell r="M71">
            <v>3.4116024340770781</v>
          </cell>
          <cell r="P71">
            <v>33.642319999999998</v>
          </cell>
          <cell r="Q71">
            <v>18.158693711967558</v>
          </cell>
          <cell r="R71">
            <v>30.264489519945926</v>
          </cell>
          <cell r="S71">
            <v>42.3702853279243</v>
          </cell>
          <cell r="T71">
            <v>54.476081135902668</v>
          </cell>
          <cell r="U71">
            <v>66.581876943881042</v>
          </cell>
          <cell r="V71">
            <v>78.687672751859409</v>
          </cell>
          <cell r="W71">
            <v>90.793468559837777</v>
          </cell>
          <cell r="X71">
            <v>60.528979039891851</v>
          </cell>
          <cell r="Y71">
            <v>6.0528979039891855</v>
          </cell>
          <cell r="AA71">
            <v>33.642319999999998</v>
          </cell>
          <cell r="AB71">
            <v>23.805022312373236</v>
          </cell>
          <cell r="AC71">
            <v>35.707533468559852</v>
          </cell>
          <cell r="AD71">
            <v>47.610044624746472</v>
          </cell>
          <cell r="AE71">
            <v>59.512555780933091</v>
          </cell>
          <cell r="AF71">
            <v>71.415066937119704</v>
          </cell>
          <cell r="AG71">
            <v>23.805022312373236</v>
          </cell>
          <cell r="AK71">
            <v>25.7</v>
          </cell>
          <cell r="AL71">
            <v>19.25331513083048</v>
          </cell>
          <cell r="AM71">
            <v>24.066643913538101</v>
          </cell>
          <cell r="AN71">
            <v>28.879972696245719</v>
          </cell>
          <cell r="AO71">
            <v>33.693301478953337</v>
          </cell>
          <cell r="AP71">
            <v>38.506630261660959</v>
          </cell>
          <cell r="AQ71">
            <v>43.319959044368581</v>
          </cell>
          <cell r="AR71">
            <v>48.133287827076202</v>
          </cell>
          <cell r="AS71">
            <v>36.099965870307152</v>
          </cell>
          <cell r="AT71">
            <v>2.4066643913538099</v>
          </cell>
          <cell r="AW71">
            <v>25.7</v>
          </cell>
          <cell r="AX71">
            <v>21.476473265073942</v>
          </cell>
          <cell r="AY71">
            <v>30.067062571103516</v>
          </cell>
          <cell r="AZ71">
            <v>38.657651877133091</v>
          </cell>
          <cell r="BA71">
            <v>47.248241183162669</v>
          </cell>
          <cell r="BB71">
            <v>55.838830489192247</v>
          </cell>
          <cell r="BC71">
            <v>64.429419795221818</v>
          </cell>
          <cell r="BD71">
            <v>42.952946530147884</v>
          </cell>
          <cell r="BE71">
            <v>4.2952946530147882</v>
          </cell>
          <cell r="BG71">
            <v>25.7</v>
          </cell>
          <cell r="BH71">
            <v>21.282667804323086</v>
          </cell>
          <cell r="BI71">
            <v>31.924001706484631</v>
          </cell>
          <cell r="BJ71">
            <v>42.565335608646173</v>
          </cell>
          <cell r="BK71">
            <v>53.206669510807714</v>
          </cell>
          <cell r="BL71">
            <v>63.848003412969263</v>
          </cell>
          <cell r="BM71">
            <v>21.282667804323086</v>
          </cell>
          <cell r="BQ71">
            <v>30.8</v>
          </cell>
          <cell r="BR71">
            <v>20.373099295319097</v>
          </cell>
          <cell r="BS71">
            <v>27.164132393758795</v>
          </cell>
          <cell r="BT71">
            <v>33.955165492198496</v>
          </cell>
          <cell r="BU71">
            <v>40.746198590638194</v>
          </cell>
          <cell r="BV71">
            <v>47.537231689077892</v>
          </cell>
          <cell r="BW71">
            <v>54.32826478751759</v>
          </cell>
          <cell r="BX71">
            <v>61.119297885957288</v>
          </cell>
          <cell r="BY71">
            <v>67.910330984396992</v>
          </cell>
          <cell r="BZ71">
            <v>3.3955165492198494</v>
          </cell>
          <cell r="CC71">
            <v>30.8</v>
          </cell>
          <cell r="CD71">
            <v>22.729038521005634</v>
          </cell>
          <cell r="CE71">
            <v>31.820653929407886</v>
          </cell>
          <cell r="CF71">
            <v>40.912269337810137</v>
          </cell>
          <cell r="CG71">
            <v>50.003884746212393</v>
          </cell>
          <cell r="CH71">
            <v>59.095500154614648</v>
          </cell>
          <cell r="CI71">
            <v>68.187115563016903</v>
          </cell>
          <cell r="CJ71">
            <v>45.458077042011269</v>
          </cell>
          <cell r="CK71">
            <v>4.5458077042011267</v>
          </cell>
          <cell r="CM71">
            <v>30.8</v>
          </cell>
          <cell r="CN71">
            <v>16.252389205056883</v>
          </cell>
          <cell r="CO71">
            <v>32.504778410113765</v>
          </cell>
          <cell r="CP71">
            <v>48.757167615170644</v>
          </cell>
          <cell r="CQ71">
            <v>65.00955682022753</v>
          </cell>
          <cell r="CR71">
            <v>81.261946025284416</v>
          </cell>
          <cell r="CS71">
            <v>97.514335230341288</v>
          </cell>
          <cell r="CT71">
            <v>32.504778410113765</v>
          </cell>
          <cell r="CX71">
            <v>6.5</v>
          </cell>
          <cell r="CY71">
            <v>5.6508420743732382</v>
          </cell>
          <cell r="CZ71">
            <v>7.0635525929665475</v>
          </cell>
          <cell r="DA71">
            <v>8.4762631115598577</v>
          </cell>
          <cell r="DB71">
            <v>9.888973630153167</v>
          </cell>
          <cell r="DC71">
            <v>11.301684148746476</v>
          </cell>
          <cell r="DD71">
            <v>12.714394667339786</v>
          </cell>
          <cell r="DE71">
            <v>14.127105185933095</v>
          </cell>
          <cell r="DF71">
            <v>10.595328889449821</v>
          </cell>
          <cell r="DG71">
            <v>0.70635525929665477</v>
          </cell>
          <cell r="DJ71">
            <v>6.5</v>
          </cell>
          <cell r="DK71">
            <v>4.1789858332481273</v>
          </cell>
          <cell r="DL71">
            <v>5.8505801665473784</v>
          </cell>
          <cell r="DM71">
            <v>7.5221744998466287</v>
          </cell>
          <cell r="DN71">
            <v>9.1937688331458798</v>
          </cell>
          <cell r="DO71">
            <v>10.86536316644513</v>
          </cell>
          <cell r="DP71">
            <v>12.536957499744382</v>
          </cell>
          <cell r="DQ71">
            <v>8.3579716664962547</v>
          </cell>
          <cell r="DR71">
            <v>0.83579716664962544</v>
          </cell>
          <cell r="DT71">
            <v>6.5</v>
          </cell>
          <cell r="DU71">
            <v>3.9291764691472704</v>
          </cell>
          <cell r="DV71">
            <v>7.8583529382945407</v>
          </cell>
          <cell r="DW71">
            <v>11.787529407441811</v>
          </cell>
          <cell r="DX71">
            <v>15.716705876589081</v>
          </cell>
          <cell r="DY71">
            <v>19.645882345736354</v>
          </cell>
          <cell r="DZ71">
            <v>23.575058814883622</v>
          </cell>
          <cell r="EA71">
            <v>7.8583529382945407</v>
          </cell>
          <cell r="EE71">
            <v>2.25</v>
          </cell>
          <cell r="EF71">
            <v>2.0947781496204945</v>
          </cell>
          <cell r="EG71">
            <v>2.5137337795445935</v>
          </cell>
          <cell r="EH71">
            <v>2.9326894094686922</v>
          </cell>
          <cell r="EI71">
            <v>3.3516450393927912</v>
          </cell>
          <cell r="EJ71">
            <v>3.7706006693168903</v>
          </cell>
          <cell r="EK71">
            <v>4.1895562992409889</v>
          </cell>
          <cell r="EL71">
            <v>3.1421672244307417</v>
          </cell>
          <cell r="EM71">
            <v>0.20947781496204945</v>
          </cell>
          <cell r="EP71">
            <v>2.25</v>
          </cell>
          <cell r="EQ71">
            <v>1.8981177021985483</v>
          </cell>
          <cell r="ER71">
            <v>2.6573647830779676</v>
          </cell>
          <cell r="ES71">
            <v>3.4166118639573866</v>
          </cell>
          <cell r="ET71">
            <v>4.175858944836806</v>
          </cell>
          <cell r="EU71">
            <v>4.9351060257162249</v>
          </cell>
          <cell r="EV71">
            <v>5.6943531065956448</v>
          </cell>
          <cell r="EW71">
            <v>3.7962354043970965</v>
          </cell>
          <cell r="EX71">
            <v>0.37962354043970964</v>
          </cell>
          <cell r="EZ71">
            <v>2.25</v>
          </cell>
          <cell r="FA71">
            <v>1.2062356582144729</v>
          </cell>
          <cell r="FB71">
            <v>2.4124713164289457</v>
          </cell>
          <cell r="FC71">
            <v>3.6187069746434188</v>
          </cell>
          <cell r="FD71">
            <v>4.8249426328578915</v>
          </cell>
          <cell r="FE71">
            <v>6.0311782910723641</v>
          </cell>
          <cell r="FF71">
            <v>7.2374139492868377</v>
          </cell>
          <cell r="FG71">
            <v>2.4124713164289457</v>
          </cell>
        </row>
        <row r="72">
          <cell r="A72">
            <v>37529</v>
          </cell>
          <cell r="B72">
            <v>33.150469999999999</v>
          </cell>
          <cell r="C72">
            <v>13.597849898580117</v>
          </cell>
          <cell r="D72">
            <v>20.396774847870176</v>
          </cell>
          <cell r="E72">
            <v>27.195699797160234</v>
          </cell>
          <cell r="F72">
            <v>33.994624746450292</v>
          </cell>
          <cell r="G72">
            <v>40.793549695740353</v>
          </cell>
          <cell r="H72">
            <v>47.592474645030407</v>
          </cell>
          <cell r="I72">
            <v>54.391399594320468</v>
          </cell>
          <cell r="J72">
            <v>61.190324543610529</v>
          </cell>
          <cell r="K72">
            <v>67.989249492900584</v>
          </cell>
          <cell r="L72">
            <v>50.991937119675441</v>
          </cell>
          <cell r="M72">
            <v>3.3994624746450293</v>
          </cell>
          <cell r="P72">
            <v>33.150469999999999</v>
          </cell>
          <cell r="Q72">
            <v>18.449321501014211</v>
          </cell>
          <cell r="R72">
            <v>30.748869168357018</v>
          </cell>
          <cell r="S72">
            <v>43.048416835699825</v>
          </cell>
          <cell r="T72">
            <v>55.347964503042633</v>
          </cell>
          <cell r="U72">
            <v>67.64751217038544</v>
          </cell>
          <cell r="V72">
            <v>79.947059837728247</v>
          </cell>
          <cell r="W72">
            <v>92.246607505071054</v>
          </cell>
          <cell r="X72">
            <v>61.497738336714036</v>
          </cell>
          <cell r="Y72">
            <v>6.1497738336714036</v>
          </cell>
          <cell r="AA72">
            <v>33.150469999999999</v>
          </cell>
          <cell r="AB72">
            <v>24.033692697768775</v>
          </cell>
          <cell r="AC72">
            <v>36.050539046653164</v>
          </cell>
          <cell r="AD72">
            <v>48.067385395537549</v>
          </cell>
          <cell r="AE72">
            <v>60.084231744421935</v>
          </cell>
          <cell r="AF72">
            <v>72.101078093306327</v>
          </cell>
          <cell r="AG72">
            <v>24.033692697768775</v>
          </cell>
          <cell r="AK72">
            <v>25.5</v>
          </cell>
          <cell r="AL72">
            <v>19.003645051194528</v>
          </cell>
          <cell r="AM72">
            <v>23.754556313993159</v>
          </cell>
          <cell r="AN72">
            <v>28.505467576791794</v>
          </cell>
          <cell r="AO72">
            <v>33.256378839590425</v>
          </cell>
          <cell r="AP72">
            <v>38.007290102389057</v>
          </cell>
          <cell r="AQ72">
            <v>42.758201365187688</v>
          </cell>
          <cell r="AR72">
            <v>47.509112627986319</v>
          </cell>
          <cell r="AS72">
            <v>35.631834470989737</v>
          </cell>
          <cell r="AT72">
            <v>2.375455631399316</v>
          </cell>
          <cell r="AW72">
            <v>25.5</v>
          </cell>
          <cell r="AX72">
            <v>21.406540102389073</v>
          </cell>
          <cell r="AY72">
            <v>29.969156143344698</v>
          </cell>
          <cell r="AZ72">
            <v>38.53177218430033</v>
          </cell>
          <cell r="BA72">
            <v>47.094388225255955</v>
          </cell>
          <cell r="BB72">
            <v>55.657004266211587</v>
          </cell>
          <cell r="BC72">
            <v>64.219620307167219</v>
          </cell>
          <cell r="BD72">
            <v>42.813080204778146</v>
          </cell>
          <cell r="BE72">
            <v>4.2813080204778142</v>
          </cell>
          <cell r="BG72">
            <v>25.5</v>
          </cell>
          <cell r="BH72">
            <v>21.369627986348114</v>
          </cell>
          <cell r="BI72">
            <v>32.054441979522167</v>
          </cell>
          <cell r="BJ72">
            <v>42.739255972696228</v>
          </cell>
          <cell r="BK72">
            <v>53.424069965870288</v>
          </cell>
          <cell r="BL72">
            <v>64.108883959044334</v>
          </cell>
          <cell r="BM72">
            <v>21.369627986348114</v>
          </cell>
          <cell r="BQ72">
            <v>28.8</v>
          </cell>
          <cell r="BR72">
            <v>20.186866198487273</v>
          </cell>
          <cell r="BS72">
            <v>26.915821597983033</v>
          </cell>
          <cell r="BT72">
            <v>33.644776997478793</v>
          </cell>
          <cell r="BU72">
            <v>40.373732396974546</v>
          </cell>
          <cell r="BV72">
            <v>47.102687796470306</v>
          </cell>
          <cell r="BW72">
            <v>53.831643195966066</v>
          </cell>
          <cell r="BX72">
            <v>60.560598595461826</v>
          </cell>
          <cell r="BY72">
            <v>67.289553994957586</v>
          </cell>
          <cell r="BZ72">
            <v>3.3644776997478791</v>
          </cell>
          <cell r="CC72">
            <v>28.8</v>
          </cell>
          <cell r="CD72">
            <v>22.628011432007046</v>
          </cell>
          <cell r="CE72">
            <v>31.679216004809867</v>
          </cell>
          <cell r="CF72">
            <v>40.730420577612684</v>
          </cell>
          <cell r="CG72">
            <v>49.781625150415501</v>
          </cell>
          <cell r="CH72">
            <v>58.832829723218325</v>
          </cell>
          <cell r="CI72">
            <v>67.884034296021142</v>
          </cell>
          <cell r="CJ72">
            <v>45.256022864014092</v>
          </cell>
          <cell r="CK72">
            <v>4.5256022864014094</v>
          </cell>
          <cell r="CM72">
            <v>28.8</v>
          </cell>
          <cell r="CN72">
            <v>16.359664404440835</v>
          </cell>
          <cell r="CO72">
            <v>32.71932880888167</v>
          </cell>
          <cell r="CP72">
            <v>49.078993213322505</v>
          </cell>
          <cell r="CQ72">
            <v>65.43865761776334</v>
          </cell>
          <cell r="CR72">
            <v>81.798322022204175</v>
          </cell>
          <cell r="CS72">
            <v>98.15798642664501</v>
          </cell>
          <cell r="CT72">
            <v>32.71932880888167</v>
          </cell>
          <cell r="CX72">
            <v>6.4</v>
          </cell>
          <cell r="CY72">
            <v>5.7593132196169394</v>
          </cell>
          <cell r="CZ72">
            <v>7.1991415245211741</v>
          </cell>
          <cell r="DA72">
            <v>8.6389698294254096</v>
          </cell>
          <cell r="DB72">
            <v>10.078798134329643</v>
          </cell>
          <cell r="DC72">
            <v>11.518626439233879</v>
          </cell>
          <cell r="DD72">
            <v>12.958454744138114</v>
          </cell>
          <cell r="DE72">
            <v>14.398283049042348</v>
          </cell>
          <cell r="DF72">
            <v>10.798712286781761</v>
          </cell>
          <cell r="DG72">
            <v>0.71991415245211743</v>
          </cell>
          <cell r="DJ72">
            <v>6.4</v>
          </cell>
          <cell r="DK72">
            <v>4.2962239272690077</v>
          </cell>
          <cell r="DL72">
            <v>6.0147134981766106</v>
          </cell>
          <cell r="DM72">
            <v>7.7332030690842144</v>
          </cell>
          <cell r="DN72">
            <v>9.4516926399918173</v>
          </cell>
          <cell r="DO72">
            <v>11.170182210899421</v>
          </cell>
          <cell r="DP72">
            <v>12.888671781807023</v>
          </cell>
          <cell r="DQ72">
            <v>8.5924478545380154</v>
          </cell>
          <cell r="DR72">
            <v>0.85924478545380156</v>
          </cell>
          <cell r="DT72">
            <v>6.4</v>
          </cell>
          <cell r="DU72">
            <v>3.8849887516082466</v>
          </cell>
          <cell r="DV72">
            <v>7.7699775032164933</v>
          </cell>
          <cell r="DW72">
            <v>11.654966254824739</v>
          </cell>
          <cell r="DX72">
            <v>15.539955006432987</v>
          </cell>
          <cell r="DY72">
            <v>19.424943758041234</v>
          </cell>
          <cell r="DZ72">
            <v>23.309932509649478</v>
          </cell>
          <cell r="EA72">
            <v>7.7699775032164933</v>
          </cell>
          <cell r="EE72">
            <v>1.99</v>
          </cell>
          <cell r="EF72">
            <v>2.0654568111745726</v>
          </cell>
          <cell r="EG72">
            <v>2.4785481734094872</v>
          </cell>
          <cell r="EH72">
            <v>2.8916395356444018</v>
          </cell>
          <cell r="EI72">
            <v>3.3047308978793164</v>
          </cell>
          <cell r="EJ72">
            <v>3.717822260114231</v>
          </cell>
          <cell r="EK72">
            <v>4.1309136223491452</v>
          </cell>
          <cell r="EL72">
            <v>3.0981852167618591</v>
          </cell>
          <cell r="EM72">
            <v>0.20654568111745727</v>
          </cell>
          <cell r="EP72">
            <v>1.99</v>
          </cell>
          <cell r="EQ72">
            <v>1.8921320257625438</v>
          </cell>
          <cell r="ER72">
            <v>2.6489848360675614</v>
          </cell>
          <cell r="ES72">
            <v>3.4058376463725786</v>
          </cell>
          <cell r="ET72">
            <v>4.1626904566775966</v>
          </cell>
          <cell r="EU72">
            <v>4.9195432669826138</v>
          </cell>
          <cell r="EV72">
            <v>5.676396077287631</v>
          </cell>
          <cell r="EW72">
            <v>3.7842640515250876</v>
          </cell>
          <cell r="EX72">
            <v>0.37842640515250875</v>
          </cell>
          <cell r="EZ72">
            <v>1.99</v>
          </cell>
          <cell r="FA72">
            <v>1.2093568546828191</v>
          </cell>
          <cell r="FB72">
            <v>2.4187137093656381</v>
          </cell>
          <cell r="FC72">
            <v>3.628070564048457</v>
          </cell>
          <cell r="FD72">
            <v>4.8374274187312762</v>
          </cell>
          <cell r="FE72">
            <v>6.0467842734140955</v>
          </cell>
          <cell r="FF72">
            <v>7.2561411280969139</v>
          </cell>
          <cell r="FG72">
            <v>2.4187137093656381</v>
          </cell>
        </row>
        <row r="73">
          <cell r="A73">
            <v>37560</v>
          </cell>
          <cell r="B73">
            <v>35.609699999999997</v>
          </cell>
          <cell r="C73">
            <v>13.549290060851922</v>
          </cell>
          <cell r="D73">
            <v>20.323935091277882</v>
          </cell>
          <cell r="E73">
            <v>27.098580121703844</v>
          </cell>
          <cell r="F73">
            <v>33.873225152129805</v>
          </cell>
          <cell r="G73">
            <v>40.647870182555764</v>
          </cell>
          <cell r="H73">
            <v>47.422515212981729</v>
          </cell>
          <cell r="I73">
            <v>54.197160243407687</v>
          </cell>
          <cell r="J73">
            <v>60.971805273833645</v>
          </cell>
          <cell r="K73">
            <v>67.746450304259611</v>
          </cell>
          <cell r="L73">
            <v>50.809837728194708</v>
          </cell>
          <cell r="M73">
            <v>3.3873225152129804</v>
          </cell>
          <cell r="P73">
            <v>35.609699999999997</v>
          </cell>
          <cell r="Q73">
            <v>18.739949290060864</v>
          </cell>
          <cell r="R73">
            <v>31.233248816768111</v>
          </cell>
          <cell r="S73">
            <v>43.726548343475351</v>
          </cell>
          <cell r="T73">
            <v>56.219847870182598</v>
          </cell>
          <cell r="U73">
            <v>68.713147396889838</v>
          </cell>
          <cell r="V73">
            <v>81.206446923597085</v>
          </cell>
          <cell r="W73">
            <v>93.699746450304332</v>
          </cell>
          <cell r="X73">
            <v>62.466497633536221</v>
          </cell>
          <cell r="Y73">
            <v>6.2466497633536218</v>
          </cell>
          <cell r="AA73">
            <v>35.609699999999997</v>
          </cell>
          <cell r="AB73">
            <v>24.262363083164313</v>
          </cell>
          <cell r="AC73">
            <v>36.393544624746468</v>
          </cell>
          <cell r="AD73">
            <v>48.524726166328627</v>
          </cell>
          <cell r="AE73">
            <v>60.655907707910785</v>
          </cell>
          <cell r="AF73">
            <v>72.787089249492936</v>
          </cell>
          <cell r="AG73">
            <v>24.262363083164313</v>
          </cell>
          <cell r="AK73">
            <v>24.9</v>
          </cell>
          <cell r="AL73">
            <v>18.753974971558577</v>
          </cell>
          <cell r="AM73">
            <v>23.442468714448221</v>
          </cell>
          <cell r="AN73">
            <v>28.130962457337866</v>
          </cell>
          <cell r="AO73">
            <v>32.819456200227506</v>
          </cell>
          <cell r="AP73">
            <v>37.507949943117154</v>
          </cell>
          <cell r="AQ73">
            <v>42.196443686006802</v>
          </cell>
          <cell r="AR73">
            <v>46.884937428896443</v>
          </cell>
          <cell r="AS73">
            <v>35.16370307167233</v>
          </cell>
          <cell r="AT73">
            <v>2.3442468714448221</v>
          </cell>
          <cell r="AW73">
            <v>24.9</v>
          </cell>
          <cell r="AX73">
            <v>21.3366069397042</v>
          </cell>
          <cell r="AY73">
            <v>29.871249715585883</v>
          </cell>
          <cell r="AZ73">
            <v>38.405892491467561</v>
          </cell>
          <cell r="BA73">
            <v>46.94053526734924</v>
          </cell>
          <cell r="BB73">
            <v>55.475178043230926</v>
          </cell>
          <cell r="BC73">
            <v>64.009820819112605</v>
          </cell>
          <cell r="BD73">
            <v>42.673213879408401</v>
          </cell>
          <cell r="BE73">
            <v>4.2673213879408403</v>
          </cell>
          <cell r="BG73">
            <v>24.9</v>
          </cell>
          <cell r="BH73">
            <v>21.456588168373141</v>
          </cell>
          <cell r="BI73">
            <v>32.18488225255971</v>
          </cell>
          <cell r="BJ73">
            <v>42.913176336746282</v>
          </cell>
          <cell r="BK73">
            <v>53.641470420932855</v>
          </cell>
          <cell r="BL73">
            <v>64.36976450511942</v>
          </cell>
          <cell r="BM73">
            <v>21.456588168373141</v>
          </cell>
          <cell r="BQ73">
            <v>28</v>
          </cell>
          <cell r="BR73">
            <v>20.000633101655453</v>
          </cell>
          <cell r="BS73">
            <v>26.667510802207271</v>
          </cell>
          <cell r="BT73">
            <v>33.33438850275909</v>
          </cell>
          <cell r="BU73">
            <v>40.001266203310905</v>
          </cell>
          <cell r="BV73">
            <v>46.668143903862727</v>
          </cell>
          <cell r="BW73">
            <v>53.335021604414543</v>
          </cell>
          <cell r="BX73">
            <v>60.001899304966358</v>
          </cell>
          <cell r="BY73">
            <v>66.66877700551818</v>
          </cell>
          <cell r="BZ73">
            <v>3.3334388502759089</v>
          </cell>
          <cell r="CC73">
            <v>28</v>
          </cell>
          <cell r="CD73">
            <v>22.526984343008461</v>
          </cell>
          <cell r="CE73">
            <v>31.537778080211844</v>
          </cell>
          <cell r="CF73">
            <v>40.54857181741523</v>
          </cell>
          <cell r="CG73">
            <v>49.559365554618616</v>
          </cell>
          <cell r="CH73">
            <v>58.570159291821994</v>
          </cell>
          <cell r="CI73">
            <v>67.58095302902538</v>
          </cell>
          <cell r="CJ73">
            <v>45.053968686016923</v>
          </cell>
          <cell r="CK73">
            <v>4.5053968686016921</v>
          </cell>
          <cell r="CM73">
            <v>28</v>
          </cell>
          <cell r="CN73">
            <v>16.466939603824787</v>
          </cell>
          <cell r="CO73">
            <v>32.933879207649575</v>
          </cell>
          <cell r="CP73">
            <v>49.400818811474366</v>
          </cell>
          <cell r="CQ73">
            <v>65.86775841529915</v>
          </cell>
          <cell r="CR73">
            <v>82.334698019123934</v>
          </cell>
          <cell r="CS73">
            <v>98.801637622948732</v>
          </cell>
          <cell r="CT73">
            <v>32.933879207649575</v>
          </cell>
          <cell r="CX73">
            <v>5.75</v>
          </cell>
          <cell r="CY73">
            <v>5.8677843648606407</v>
          </cell>
          <cell r="CZ73">
            <v>7.3347304560758007</v>
          </cell>
          <cell r="DA73">
            <v>8.8016765472909615</v>
          </cell>
          <cell r="DB73">
            <v>10.268622638506121</v>
          </cell>
          <cell r="DC73">
            <v>11.735568729721281</v>
          </cell>
          <cell r="DD73">
            <v>13.202514820936441</v>
          </cell>
          <cell r="DE73">
            <v>14.669460912151601</v>
          </cell>
          <cell r="DF73">
            <v>11.002095684113701</v>
          </cell>
          <cell r="DG73">
            <v>0.73347304560758009</v>
          </cell>
          <cell r="DJ73">
            <v>5.75</v>
          </cell>
          <cell r="DK73">
            <v>4.4134620212898881</v>
          </cell>
          <cell r="DL73">
            <v>6.1788468298058437</v>
          </cell>
          <cell r="DM73">
            <v>7.9442316383217992</v>
          </cell>
          <cell r="DN73">
            <v>9.7096164468377548</v>
          </cell>
          <cell r="DO73">
            <v>11.47500125535371</v>
          </cell>
          <cell r="DP73">
            <v>13.240386063869666</v>
          </cell>
          <cell r="DQ73">
            <v>8.8269240425797761</v>
          </cell>
          <cell r="DR73">
            <v>0.88269240425797768</v>
          </cell>
          <cell r="DT73">
            <v>5.75</v>
          </cell>
          <cell r="DU73">
            <v>3.8408010340692229</v>
          </cell>
          <cell r="DV73">
            <v>7.6816020681384458</v>
          </cell>
          <cell r="DW73">
            <v>11.522403102207669</v>
          </cell>
          <cell r="DX73">
            <v>15.363204136276892</v>
          </cell>
          <cell r="DY73">
            <v>19.204005170346115</v>
          </cell>
          <cell r="DZ73">
            <v>23.044806204415337</v>
          </cell>
          <cell r="EA73">
            <v>7.6816020681384458</v>
          </cell>
          <cell r="EE73">
            <v>2.0249999999999999</v>
          </cell>
          <cell r="EF73">
            <v>2.0361354727286511</v>
          </cell>
          <cell r="EG73">
            <v>2.4433625672743813</v>
          </cell>
          <cell r="EH73">
            <v>2.8505896618201114</v>
          </cell>
          <cell r="EI73">
            <v>3.2578167563658416</v>
          </cell>
          <cell r="EJ73">
            <v>3.6650438509115717</v>
          </cell>
          <cell r="EK73">
            <v>4.0722709454573023</v>
          </cell>
          <cell r="EL73">
            <v>3.0542032090929765</v>
          </cell>
          <cell r="EM73">
            <v>0.2036135472728651</v>
          </cell>
          <cell r="EP73">
            <v>2.0249999999999999</v>
          </cell>
          <cell r="EQ73">
            <v>1.8861463493265394</v>
          </cell>
          <cell r="ER73">
            <v>2.6406048890571552</v>
          </cell>
          <cell r="ES73">
            <v>3.3950634287877706</v>
          </cell>
          <cell r="ET73">
            <v>4.1495219685183864</v>
          </cell>
          <cell r="EU73">
            <v>4.9039805082490018</v>
          </cell>
          <cell r="EV73">
            <v>5.6584390479796181</v>
          </cell>
          <cell r="EW73">
            <v>3.7722926986530787</v>
          </cell>
          <cell r="EX73">
            <v>0.37722926986530786</v>
          </cell>
          <cell r="EZ73">
            <v>2.0249999999999999</v>
          </cell>
          <cell r="FA73">
            <v>1.2124780511511652</v>
          </cell>
          <cell r="FB73">
            <v>2.4249561023023305</v>
          </cell>
          <cell r="FC73">
            <v>3.637434153453496</v>
          </cell>
          <cell r="FD73">
            <v>4.849912204604661</v>
          </cell>
          <cell r="FE73">
            <v>6.062390255755826</v>
          </cell>
          <cell r="FF73">
            <v>7.2748683069069919</v>
          </cell>
          <cell r="FG73">
            <v>2.4249561023023305</v>
          </cell>
        </row>
        <row r="74">
          <cell r="A74">
            <v>37589</v>
          </cell>
          <cell r="B74">
            <v>35.904809999999998</v>
          </cell>
          <cell r="C74">
            <v>13.500730223123727</v>
          </cell>
          <cell r="D74">
            <v>20.251095334685591</v>
          </cell>
          <cell r="E74">
            <v>27.001460446247453</v>
          </cell>
          <cell r="F74">
            <v>33.751825557809319</v>
          </cell>
          <cell r="G74">
            <v>40.502190669371181</v>
          </cell>
          <cell r="H74">
            <v>47.252555780933044</v>
          </cell>
          <cell r="I74">
            <v>54.002920892494906</v>
          </cell>
          <cell r="J74">
            <v>60.753286004056768</v>
          </cell>
          <cell r="K74">
            <v>67.503651115618638</v>
          </cell>
          <cell r="L74">
            <v>50.627738336713975</v>
          </cell>
          <cell r="M74">
            <v>3.3751825557809316</v>
          </cell>
          <cell r="P74">
            <v>35.904809999999998</v>
          </cell>
          <cell r="Q74">
            <v>19.03057707910752</v>
          </cell>
          <cell r="R74">
            <v>31.7176284651792</v>
          </cell>
          <cell r="S74">
            <v>44.404679851250876</v>
          </cell>
          <cell r="T74">
            <v>57.091731237322563</v>
          </cell>
          <cell r="U74">
            <v>69.778782623394235</v>
          </cell>
          <cell r="V74">
            <v>82.465834009465922</v>
          </cell>
          <cell r="W74">
            <v>95.152885395537595</v>
          </cell>
          <cell r="X74">
            <v>63.435256930358399</v>
          </cell>
          <cell r="Y74">
            <v>6.3435256930358399</v>
          </cell>
          <cell r="AA74">
            <v>35.904809999999998</v>
          </cell>
          <cell r="AB74">
            <v>24.491033468559852</v>
          </cell>
          <cell r="AC74">
            <v>36.73655020283978</v>
          </cell>
          <cell r="AD74">
            <v>48.982066937119704</v>
          </cell>
          <cell r="AE74">
            <v>61.227583671399628</v>
          </cell>
          <cell r="AF74">
            <v>73.47310040567956</v>
          </cell>
          <cell r="AG74">
            <v>24.491033468559852</v>
          </cell>
          <cell r="AK74">
            <v>24.1</v>
          </cell>
          <cell r="AL74">
            <v>18.504304891922626</v>
          </cell>
          <cell r="AM74">
            <v>23.130381114903283</v>
          </cell>
          <cell r="AN74">
            <v>27.756457337883937</v>
          </cell>
          <cell r="AO74">
            <v>32.382533560864594</v>
          </cell>
          <cell r="AP74">
            <v>37.008609783845252</v>
          </cell>
          <cell r="AQ74">
            <v>41.634686006825909</v>
          </cell>
          <cell r="AR74">
            <v>46.260762229806566</v>
          </cell>
          <cell r="AS74">
            <v>34.695571672354923</v>
          </cell>
          <cell r="AT74">
            <v>2.3130381114903282</v>
          </cell>
          <cell r="AW74">
            <v>24.1</v>
          </cell>
          <cell r="AX74">
            <v>21.266673777019331</v>
          </cell>
          <cell r="AY74">
            <v>29.773343287827064</v>
          </cell>
          <cell r="AZ74">
            <v>38.2800127986348</v>
          </cell>
          <cell r="BA74">
            <v>46.786682309442526</v>
          </cell>
          <cell r="BB74">
            <v>55.293351820250265</v>
          </cell>
          <cell r="BC74">
            <v>63.800021331057991</v>
          </cell>
          <cell r="BD74">
            <v>42.533347554038663</v>
          </cell>
          <cell r="BE74">
            <v>4.2533347554038663</v>
          </cell>
          <cell r="BG74">
            <v>24.1</v>
          </cell>
          <cell r="BH74">
            <v>21.543548350398169</v>
          </cell>
          <cell r="BI74">
            <v>32.315322525597253</v>
          </cell>
          <cell r="BJ74">
            <v>43.087096700796337</v>
          </cell>
          <cell r="BK74">
            <v>53.858870875995422</v>
          </cell>
          <cell r="BL74">
            <v>64.630645051194506</v>
          </cell>
          <cell r="BM74">
            <v>21.543548350398169</v>
          </cell>
          <cell r="BQ74">
            <v>28.05</v>
          </cell>
          <cell r="BR74">
            <v>19.814400004823632</v>
          </cell>
          <cell r="BS74">
            <v>26.41920000643151</v>
          </cell>
          <cell r="BT74">
            <v>33.024000008039387</v>
          </cell>
          <cell r="BU74">
            <v>39.628800009647264</v>
          </cell>
          <cell r="BV74">
            <v>46.233600011255142</v>
          </cell>
          <cell r="BW74">
            <v>52.838400012863019</v>
          </cell>
          <cell r="BX74">
            <v>59.443200014470897</v>
          </cell>
          <cell r="BY74">
            <v>66.048000016078774</v>
          </cell>
          <cell r="BZ74">
            <v>3.3024000008039387</v>
          </cell>
          <cell r="CC74">
            <v>28.05</v>
          </cell>
          <cell r="CD74">
            <v>22.425957254009873</v>
          </cell>
          <cell r="CE74">
            <v>31.396340155613824</v>
          </cell>
          <cell r="CF74">
            <v>40.366723057217776</v>
          </cell>
          <cell r="CG74">
            <v>49.337105958821724</v>
          </cell>
          <cell r="CH74">
            <v>58.307488860425671</v>
          </cell>
          <cell r="CI74">
            <v>67.277871762029619</v>
          </cell>
          <cell r="CJ74">
            <v>44.851914508019746</v>
          </cell>
          <cell r="CK74">
            <v>4.4851914508019748</v>
          </cell>
          <cell r="CM74">
            <v>28.05</v>
          </cell>
          <cell r="CN74">
            <v>16.57421480320874</v>
          </cell>
          <cell r="CO74">
            <v>33.14842960641748</v>
          </cell>
          <cell r="CP74">
            <v>49.72264440962622</v>
          </cell>
          <cell r="CQ74">
            <v>66.29685921283496</v>
          </cell>
          <cell r="CR74">
            <v>82.871074016043707</v>
          </cell>
          <cell r="CS74">
            <v>99.44528881925244</v>
          </cell>
          <cell r="CT74">
            <v>33.14842960641748</v>
          </cell>
          <cell r="CX74">
            <v>6.1</v>
          </cell>
          <cell r="CY74">
            <v>5.976255510104342</v>
          </cell>
          <cell r="CZ74">
            <v>7.4703193876304272</v>
          </cell>
          <cell r="DA74">
            <v>8.9643832651565134</v>
          </cell>
          <cell r="DB74">
            <v>10.458447142682598</v>
          </cell>
          <cell r="DC74">
            <v>11.952511020208684</v>
          </cell>
          <cell r="DD74">
            <v>13.44657489773477</v>
          </cell>
          <cell r="DE74">
            <v>14.940638775260854</v>
          </cell>
          <cell r="DF74">
            <v>11.205479081445642</v>
          </cell>
          <cell r="DG74">
            <v>0.74703193876304275</v>
          </cell>
          <cell r="DJ74">
            <v>6.1</v>
          </cell>
          <cell r="DK74">
            <v>4.5307001153107693</v>
          </cell>
          <cell r="DL74">
            <v>6.3429801614350767</v>
          </cell>
          <cell r="DM74">
            <v>8.155260207559385</v>
          </cell>
          <cell r="DN74">
            <v>9.9675402536836923</v>
          </cell>
          <cell r="DO74">
            <v>11.779820299808</v>
          </cell>
          <cell r="DP74">
            <v>13.592100345932307</v>
          </cell>
          <cell r="DQ74">
            <v>9.0614002306215387</v>
          </cell>
          <cell r="DR74">
            <v>0.9061400230621538</v>
          </cell>
          <cell r="DT74">
            <v>6.1</v>
          </cell>
          <cell r="DU74">
            <v>3.7966133165301992</v>
          </cell>
          <cell r="DV74">
            <v>7.5932266330603984</v>
          </cell>
          <cell r="DW74">
            <v>11.389839949590598</v>
          </cell>
          <cell r="DX74">
            <v>15.186453266120797</v>
          </cell>
          <cell r="DY74">
            <v>18.983066582650995</v>
          </cell>
          <cell r="DZ74">
            <v>22.779679899181197</v>
          </cell>
          <cell r="EA74">
            <v>7.5932266330603984</v>
          </cell>
          <cell r="EE74">
            <v>2.25</v>
          </cell>
          <cell r="EF74">
            <v>2.0068141342827293</v>
          </cell>
          <cell r="EG74">
            <v>2.4081769611392749</v>
          </cell>
          <cell r="EH74">
            <v>2.809539787995821</v>
          </cell>
          <cell r="EI74">
            <v>3.2109026148523667</v>
          </cell>
          <cell r="EJ74">
            <v>3.6122654417089124</v>
          </cell>
          <cell r="EK74">
            <v>4.0136282685654585</v>
          </cell>
          <cell r="EL74">
            <v>3.0102212014240939</v>
          </cell>
          <cell r="EM74">
            <v>0.20068141342827292</v>
          </cell>
          <cell r="EP74">
            <v>2.25</v>
          </cell>
          <cell r="EQ74">
            <v>1.8801606728905349</v>
          </cell>
          <cell r="ER74">
            <v>2.632224942046749</v>
          </cell>
          <cell r="ES74">
            <v>3.3842892112029626</v>
          </cell>
          <cell r="ET74">
            <v>4.136353480359177</v>
          </cell>
          <cell r="EU74">
            <v>4.8884177495153907</v>
          </cell>
          <cell r="EV74">
            <v>5.6404820186716043</v>
          </cell>
          <cell r="EW74">
            <v>3.7603213457810698</v>
          </cell>
          <cell r="EX74">
            <v>0.37603213457810697</v>
          </cell>
          <cell r="EZ74">
            <v>2.25</v>
          </cell>
          <cell r="FA74">
            <v>1.2155992476195114</v>
          </cell>
          <cell r="FB74">
            <v>2.4311984952390229</v>
          </cell>
          <cell r="FC74">
            <v>3.6467977428585341</v>
          </cell>
          <cell r="FD74">
            <v>4.8623969904780457</v>
          </cell>
          <cell r="FE74">
            <v>6.0779962380975574</v>
          </cell>
          <cell r="FF74">
            <v>7.2935954857170682</v>
          </cell>
          <cell r="FG74">
            <v>2.4311984952390229</v>
          </cell>
        </row>
        <row r="75">
          <cell r="A75">
            <v>37621</v>
          </cell>
          <cell r="B75">
            <v>38.855890000000002</v>
          </cell>
          <cell r="C75">
            <v>13.45217038539554</v>
          </cell>
          <cell r="D75">
            <v>20.17825557809331</v>
          </cell>
          <cell r="E75">
            <v>26.90434077079108</v>
          </cell>
          <cell r="F75">
            <v>33.630425963488847</v>
          </cell>
          <cell r="G75">
            <v>40.35651115618662</v>
          </cell>
          <cell r="H75">
            <v>47.082596348884394</v>
          </cell>
          <cell r="I75">
            <v>53.80868154158216</v>
          </cell>
          <cell r="J75">
            <v>60.534766734279927</v>
          </cell>
          <cell r="K75">
            <v>67.260851926977693</v>
          </cell>
          <cell r="L75">
            <v>50.445638945233277</v>
          </cell>
          <cell r="M75">
            <v>3.363042596348885</v>
          </cell>
          <cell r="P75">
            <v>38.855890000000002</v>
          </cell>
          <cell r="Q75">
            <v>19.321204868154162</v>
          </cell>
          <cell r="R75">
            <v>32.202008113590267</v>
          </cell>
          <cell r="S75">
            <v>45.082811359026373</v>
          </cell>
          <cell r="T75">
            <v>57.963614604462485</v>
          </cell>
          <cell r="U75">
            <v>70.844417849898591</v>
          </cell>
          <cell r="V75">
            <v>83.725221095334703</v>
          </cell>
          <cell r="W75">
            <v>96.606024340770801</v>
          </cell>
          <cell r="X75">
            <v>64.404016227180534</v>
          </cell>
          <cell r="Y75">
            <v>6.4404016227180536</v>
          </cell>
          <cell r="AA75">
            <v>38.855890000000002</v>
          </cell>
          <cell r="AB75">
            <v>24.719703853955373</v>
          </cell>
          <cell r="AC75">
            <v>37.079555780933063</v>
          </cell>
          <cell r="AD75">
            <v>49.439407707910746</v>
          </cell>
          <cell r="AE75">
            <v>61.799259634888429</v>
          </cell>
          <cell r="AF75">
            <v>74.159111561866126</v>
          </cell>
          <cell r="AG75">
            <v>24.719703853955373</v>
          </cell>
          <cell r="AK75">
            <v>24.95</v>
          </cell>
          <cell r="AL75">
            <v>18.254634812286689</v>
          </cell>
          <cell r="AM75">
            <v>22.818293515358363</v>
          </cell>
          <cell r="AN75">
            <v>27.381952218430033</v>
          </cell>
          <cell r="AO75">
            <v>31.945610921501704</v>
          </cell>
          <cell r="AP75">
            <v>36.509269624573378</v>
          </cell>
          <cell r="AQ75">
            <v>41.072928327645052</v>
          </cell>
          <cell r="AR75">
            <v>45.636587030716726</v>
          </cell>
          <cell r="AS75">
            <v>34.227440273037544</v>
          </cell>
          <cell r="AT75">
            <v>2.2818293515358361</v>
          </cell>
          <cell r="AW75">
            <v>24.95</v>
          </cell>
          <cell r="AX75">
            <v>21.19674061433447</v>
          </cell>
          <cell r="AY75">
            <v>29.67543686006826</v>
          </cell>
          <cell r="AZ75">
            <v>38.154133105802046</v>
          </cell>
          <cell r="BA75">
            <v>46.632829351535833</v>
          </cell>
          <cell r="BB75">
            <v>55.111525597269626</v>
          </cell>
          <cell r="BC75">
            <v>63.590221843003413</v>
          </cell>
          <cell r="BD75">
            <v>42.393481228668939</v>
          </cell>
          <cell r="BE75">
            <v>4.2393481228668941</v>
          </cell>
          <cell r="BG75">
            <v>24.95</v>
          </cell>
          <cell r="BH75">
            <v>21.630508532423207</v>
          </cell>
          <cell r="BI75">
            <v>32.44576279863481</v>
          </cell>
          <cell r="BJ75">
            <v>43.261017064846413</v>
          </cell>
          <cell r="BK75">
            <v>54.076271331058017</v>
          </cell>
          <cell r="BL75">
            <v>64.89152559726962</v>
          </cell>
          <cell r="BM75">
            <v>21.630508532423207</v>
          </cell>
          <cell r="BQ75">
            <v>28.75</v>
          </cell>
          <cell r="BR75">
            <v>19.628166907991805</v>
          </cell>
          <cell r="BS75">
            <v>26.170889210655741</v>
          </cell>
          <cell r="BT75">
            <v>32.713611513319677</v>
          </cell>
          <cell r="BU75">
            <v>39.256333815983609</v>
          </cell>
          <cell r="BV75">
            <v>45.799056118647549</v>
          </cell>
          <cell r="BW75">
            <v>52.341778421311481</v>
          </cell>
          <cell r="BX75">
            <v>58.884500723975414</v>
          </cell>
          <cell r="BY75">
            <v>65.427223026639354</v>
          </cell>
          <cell r="BZ75">
            <v>3.2713611513319676</v>
          </cell>
          <cell r="CC75">
            <v>28.75</v>
          </cell>
          <cell r="CD75">
            <v>22.324930165011271</v>
          </cell>
          <cell r="CE75">
            <v>31.254902231015777</v>
          </cell>
          <cell r="CF75">
            <v>40.184874297020286</v>
          </cell>
          <cell r="CG75">
            <v>49.114846363024796</v>
          </cell>
          <cell r="CH75">
            <v>58.044818429029299</v>
          </cell>
          <cell r="CI75">
            <v>66.974790495033815</v>
          </cell>
          <cell r="CJ75">
            <v>44.649860330022541</v>
          </cell>
          <cell r="CK75">
            <v>4.4649860330022539</v>
          </cell>
          <cell r="CM75">
            <v>28.75</v>
          </cell>
          <cell r="CN75">
            <v>16.6814900025927</v>
          </cell>
          <cell r="CO75">
            <v>33.362980005185399</v>
          </cell>
          <cell r="CP75">
            <v>50.044470007778102</v>
          </cell>
          <cell r="CQ75">
            <v>66.725960010370798</v>
          </cell>
          <cell r="CR75">
            <v>83.407450012963494</v>
          </cell>
          <cell r="CS75">
            <v>100.0889400155562</v>
          </cell>
          <cell r="CT75">
            <v>33.362980005185399</v>
          </cell>
          <cell r="CX75">
            <v>6.1</v>
          </cell>
          <cell r="CY75">
            <v>6.084726655348045</v>
          </cell>
          <cell r="CZ75">
            <v>7.6059083191850565</v>
          </cell>
          <cell r="DA75">
            <v>9.1270899830220671</v>
          </cell>
          <cell r="DB75">
            <v>10.648271646859079</v>
          </cell>
          <cell r="DC75">
            <v>12.16945331069609</v>
          </cell>
          <cell r="DD75">
            <v>13.690634974533101</v>
          </cell>
          <cell r="DE75">
            <v>15.211816638370113</v>
          </cell>
          <cell r="DF75">
            <v>11.408862478777584</v>
          </cell>
          <cell r="DG75">
            <v>0.76059083191850563</v>
          </cell>
          <cell r="DJ75">
            <v>6.1</v>
          </cell>
          <cell r="DK75">
            <v>4.6479382093316506</v>
          </cell>
          <cell r="DL75">
            <v>6.5071134930643106</v>
          </cell>
          <cell r="DM75">
            <v>8.3662887767969707</v>
          </cell>
          <cell r="DN75">
            <v>10.225464060529632</v>
          </cell>
          <cell r="DO75">
            <v>12.084639344262293</v>
          </cell>
          <cell r="DP75">
            <v>13.943814627994952</v>
          </cell>
          <cell r="DQ75">
            <v>9.2958764186633012</v>
          </cell>
          <cell r="DR75">
            <v>0.92958764186633014</v>
          </cell>
          <cell r="DT75">
            <v>6.1</v>
          </cell>
          <cell r="DU75">
            <v>3.7524255989911728</v>
          </cell>
          <cell r="DV75">
            <v>7.5048511979823456</v>
          </cell>
          <cell r="DW75">
            <v>11.257276796973517</v>
          </cell>
          <cell r="DX75">
            <v>15.009702395964691</v>
          </cell>
          <cell r="DY75">
            <v>18.762127994955865</v>
          </cell>
          <cell r="DZ75">
            <v>22.514553593947035</v>
          </cell>
          <cell r="EA75">
            <v>7.5048511979823456</v>
          </cell>
          <cell r="EE75">
            <v>2.25</v>
          </cell>
          <cell r="EF75">
            <v>1.9774927958368083</v>
          </cell>
          <cell r="EG75">
            <v>2.3729913550041699</v>
          </cell>
          <cell r="EH75">
            <v>2.7684899141715316</v>
          </cell>
          <cell r="EI75">
            <v>3.1639884733388932</v>
          </cell>
          <cell r="EJ75">
            <v>3.5594870325062549</v>
          </cell>
          <cell r="EK75">
            <v>3.9549855916736165</v>
          </cell>
          <cell r="EL75">
            <v>2.9662391937552126</v>
          </cell>
          <cell r="EM75">
            <v>0.19774927958368083</v>
          </cell>
          <cell r="EP75">
            <v>2.25</v>
          </cell>
          <cell r="EQ75">
            <v>1.8741749964545305</v>
          </cell>
          <cell r="ER75">
            <v>2.6238449950363427</v>
          </cell>
          <cell r="ES75">
            <v>3.3735149936181545</v>
          </cell>
          <cell r="ET75">
            <v>4.1231849921999668</v>
          </cell>
          <cell r="EU75">
            <v>4.8728549907817786</v>
          </cell>
          <cell r="EV75">
            <v>5.6225249893635914</v>
          </cell>
          <cell r="EW75">
            <v>3.7483499929090609</v>
          </cell>
          <cell r="EX75">
            <v>0.37483499929090608</v>
          </cell>
          <cell r="EZ75">
            <v>2.25</v>
          </cell>
          <cell r="FA75">
            <v>1.2187204440878587</v>
          </cell>
          <cell r="FB75">
            <v>2.4374408881757175</v>
          </cell>
          <cell r="FC75">
            <v>3.6561613322635762</v>
          </cell>
          <cell r="FD75">
            <v>4.8748817763514349</v>
          </cell>
          <cell r="FE75">
            <v>6.0936022204392941</v>
          </cell>
          <cell r="FF75">
            <v>7.3123226645271524</v>
          </cell>
          <cell r="FG75">
            <v>2.4374408881757175</v>
          </cell>
          <cell r="FK75" t="str">
            <v>ICBCA</v>
          </cell>
          <cell r="FT75" t="str">
            <v>ICBCA</v>
          </cell>
          <cell r="GC75" t="str">
            <v>ICBCA</v>
          </cell>
        </row>
        <row r="76">
          <cell r="A76">
            <v>37652</v>
          </cell>
          <cell r="B76">
            <v>37.970570000000002</v>
          </cell>
          <cell r="C76">
            <v>13.672603110209604</v>
          </cell>
          <cell r="D76">
            <v>20.508904665314404</v>
          </cell>
          <cell r="E76">
            <v>27.345206220419207</v>
          </cell>
          <cell r="F76">
            <v>34.181507775524011</v>
          </cell>
          <cell r="G76">
            <v>41.017809330628808</v>
          </cell>
          <cell r="H76">
            <v>47.854110885733611</v>
          </cell>
          <cell r="I76">
            <v>54.690412440838415</v>
          </cell>
          <cell r="J76">
            <v>61.526713995943219</v>
          </cell>
          <cell r="K76">
            <v>68.363015551048022</v>
          </cell>
          <cell r="L76">
            <v>51.272261663286017</v>
          </cell>
          <cell r="M76">
            <v>3.4181507775524009</v>
          </cell>
          <cell r="P76">
            <v>37.970570000000002</v>
          </cell>
          <cell r="Q76">
            <v>19.290211967545641</v>
          </cell>
          <cell r="R76">
            <v>32.150353279242736</v>
          </cell>
          <cell r="S76">
            <v>45.010494590939828</v>
          </cell>
          <cell r="T76">
            <v>57.87063590263692</v>
          </cell>
          <cell r="U76">
            <v>70.730777214334012</v>
          </cell>
          <cell r="V76">
            <v>83.590918526031103</v>
          </cell>
          <cell r="W76">
            <v>96.451059837728195</v>
          </cell>
          <cell r="X76">
            <v>64.300706558485473</v>
          </cell>
          <cell r="Y76">
            <v>6.4300706558485468</v>
          </cell>
          <cell r="AA76">
            <v>37.970570000000002</v>
          </cell>
          <cell r="AB76">
            <v>24.954522312373221</v>
          </cell>
          <cell r="AC76">
            <v>37.431783468559829</v>
          </cell>
          <cell r="AD76">
            <v>49.909044624746443</v>
          </cell>
          <cell r="AE76">
            <v>62.386305780933057</v>
          </cell>
          <cell r="AF76">
            <v>74.863566937119657</v>
          </cell>
          <cell r="AG76">
            <v>24.954522312373221</v>
          </cell>
          <cell r="AK76">
            <v>25.75</v>
          </cell>
          <cell r="AL76">
            <v>18.723224508901307</v>
          </cell>
          <cell r="AM76">
            <v>23.404030636126635</v>
          </cell>
          <cell r="AN76">
            <v>28.084836763351959</v>
          </cell>
          <cell r="AO76">
            <v>32.76564289057729</v>
          </cell>
          <cell r="AP76">
            <v>37.446449017802614</v>
          </cell>
          <cell r="AQ76">
            <v>42.127255145027938</v>
          </cell>
          <cell r="AR76">
            <v>46.808061272253269</v>
          </cell>
          <cell r="AS76">
            <v>35.106045954189952</v>
          </cell>
          <cell r="AT76">
            <v>2.3404030636126634</v>
          </cell>
          <cell r="AW76">
            <v>25.75</v>
          </cell>
          <cell r="AX76">
            <v>21.302656246609505</v>
          </cell>
          <cell r="AY76">
            <v>29.823718745253309</v>
          </cell>
          <cell r="AZ76">
            <v>38.34478124389711</v>
          </cell>
          <cell r="BA76">
            <v>46.86584374254091</v>
          </cell>
          <cell r="BB76">
            <v>55.386906241184718</v>
          </cell>
          <cell r="BC76">
            <v>63.907968739828519</v>
          </cell>
          <cell r="BD76">
            <v>42.60531249321901</v>
          </cell>
          <cell r="BE76">
            <v>4.2605312493219012</v>
          </cell>
          <cell r="BG76">
            <v>25.75</v>
          </cell>
          <cell r="BH76">
            <v>21.725922841823905</v>
          </cell>
          <cell r="BI76">
            <v>32.58888426273586</v>
          </cell>
          <cell r="BJ76">
            <v>43.451845683647811</v>
          </cell>
          <cell r="BK76">
            <v>54.314807104559762</v>
          </cell>
          <cell r="BL76">
            <v>65.17776852547172</v>
          </cell>
          <cell r="BM76">
            <v>21.725922841823905</v>
          </cell>
          <cell r="BQ76">
            <v>29.15</v>
          </cell>
          <cell r="BR76">
            <v>19.84184087011424</v>
          </cell>
          <cell r="BS76">
            <v>26.455787826818984</v>
          </cell>
          <cell r="BT76">
            <v>33.069734783523728</v>
          </cell>
          <cell r="BU76">
            <v>39.683681740228479</v>
          </cell>
          <cell r="BV76">
            <v>46.297628696933224</v>
          </cell>
          <cell r="BW76">
            <v>52.911575653637968</v>
          </cell>
          <cell r="BX76">
            <v>59.525522610342712</v>
          </cell>
          <cell r="BY76">
            <v>66.139469567047456</v>
          </cell>
          <cell r="BZ76">
            <v>3.306973478352373</v>
          </cell>
          <cell r="CC76">
            <v>29.15</v>
          </cell>
          <cell r="CD76">
            <v>22.413650533054366</v>
          </cell>
          <cell r="CE76">
            <v>31.379110746276112</v>
          </cell>
          <cell r="CF76">
            <v>40.344570959497858</v>
          </cell>
          <cell r="CG76">
            <v>49.310031172719604</v>
          </cell>
          <cell r="CH76">
            <v>58.275491385941351</v>
          </cell>
          <cell r="CI76">
            <v>67.240951599163097</v>
          </cell>
          <cell r="CJ76">
            <v>44.827301066108731</v>
          </cell>
          <cell r="CK76">
            <v>4.4827301066108731</v>
          </cell>
          <cell r="CM76">
            <v>29.15</v>
          </cell>
          <cell r="CN76">
            <v>16.778700895501473</v>
          </cell>
          <cell r="CO76">
            <v>33.557401791002945</v>
          </cell>
          <cell r="CP76">
            <v>50.336102686504418</v>
          </cell>
          <cell r="CQ76">
            <v>67.114803582005891</v>
          </cell>
          <cell r="CR76">
            <v>83.893504477507364</v>
          </cell>
          <cell r="CS76">
            <v>100.67220537300884</v>
          </cell>
          <cell r="CT76">
            <v>33.557401791002945</v>
          </cell>
          <cell r="CX76">
            <v>6.2</v>
          </cell>
          <cell r="CY76">
            <v>6.091017356993258</v>
          </cell>
          <cell r="CZ76">
            <v>7.6137716962415727</v>
          </cell>
          <cell r="DA76">
            <v>9.1365260354898865</v>
          </cell>
          <cell r="DB76">
            <v>10.659280374738202</v>
          </cell>
          <cell r="DC76">
            <v>12.182034713986516</v>
          </cell>
          <cell r="DD76">
            <v>13.70478905323483</v>
          </cell>
          <cell r="DE76">
            <v>15.227543392483145</v>
          </cell>
          <cell r="DF76">
            <v>11.420657544362358</v>
          </cell>
          <cell r="DG76">
            <v>0.76137716962415725</v>
          </cell>
          <cell r="DJ76">
            <v>6.2</v>
          </cell>
          <cell r="DK76">
            <v>4.661424157989261</v>
          </cell>
          <cell r="DL76">
            <v>6.525993821184966</v>
          </cell>
          <cell r="DM76">
            <v>8.3905634843806709</v>
          </cell>
          <cell r="DN76">
            <v>10.255133147576375</v>
          </cell>
          <cell r="DO76">
            <v>12.119702810772079</v>
          </cell>
          <cell r="DP76">
            <v>13.984272473967783</v>
          </cell>
          <cell r="DQ76">
            <v>9.322848315978522</v>
          </cell>
          <cell r="DR76">
            <v>0.93228483159785225</v>
          </cell>
          <cell r="DT76">
            <v>6.2</v>
          </cell>
          <cell r="DU76">
            <v>3.73808024402818</v>
          </cell>
          <cell r="DV76">
            <v>7.4761604880563599</v>
          </cell>
          <cell r="DW76">
            <v>11.214240732084541</v>
          </cell>
          <cell r="DX76">
            <v>14.95232097611272</v>
          </cell>
          <cell r="DY76">
            <v>18.690401220140899</v>
          </cell>
          <cell r="DZ76">
            <v>22.428481464169082</v>
          </cell>
          <cell r="EA76">
            <v>7.4761604880563599</v>
          </cell>
          <cell r="EE76">
            <v>2.15</v>
          </cell>
          <cell r="EF76">
            <v>2.0014828953439956</v>
          </cell>
          <cell r="EG76">
            <v>2.4017794744127947</v>
          </cell>
          <cell r="EH76">
            <v>2.8020760534815938</v>
          </cell>
          <cell r="EI76">
            <v>3.202372632550393</v>
          </cell>
          <cell r="EJ76">
            <v>3.6026692116191921</v>
          </cell>
          <cell r="EK76">
            <v>4.0029657906879912</v>
          </cell>
          <cell r="EL76">
            <v>3.0022243430159934</v>
          </cell>
          <cell r="EM76">
            <v>0.20014828953439956</v>
          </cell>
          <cell r="EP76">
            <v>2.15</v>
          </cell>
          <cell r="EQ76">
            <v>1.8520229002053505</v>
          </cell>
          <cell r="ER76">
            <v>2.592832060287491</v>
          </cell>
          <cell r="ES76">
            <v>3.3336412203696311</v>
          </cell>
          <cell r="ET76">
            <v>4.0744503804517711</v>
          </cell>
          <cell r="EU76">
            <v>4.815259540533912</v>
          </cell>
          <cell r="EV76">
            <v>5.5560687006160521</v>
          </cell>
          <cell r="EW76">
            <v>3.7040458004107011</v>
          </cell>
          <cell r="EX76">
            <v>0.37040458004107013</v>
          </cell>
          <cell r="EZ76">
            <v>2.15</v>
          </cell>
          <cell r="FA76">
            <v>1.2212593115205794</v>
          </cell>
          <cell r="FB76">
            <v>2.4425186230411589</v>
          </cell>
          <cell r="FC76">
            <v>3.6637779345617383</v>
          </cell>
          <cell r="FD76">
            <v>4.8850372460823177</v>
          </cell>
          <cell r="FE76">
            <v>6.1062965576028976</v>
          </cell>
          <cell r="FF76">
            <v>7.3275558691234766</v>
          </cell>
          <cell r="FG76">
            <v>2.4425186230411589</v>
          </cell>
          <cell r="FK76" t="str">
            <v>PE</v>
          </cell>
          <cell r="FT76" t="str">
            <v>PPE</v>
          </cell>
          <cell r="GC76" t="str">
            <v>PB</v>
          </cell>
        </row>
        <row r="77">
          <cell r="A77">
            <v>37680</v>
          </cell>
          <cell r="B77">
            <v>37.183610000000002</v>
          </cell>
          <cell r="C77">
            <v>13.893035835023667</v>
          </cell>
          <cell r="D77">
            <v>20.839553752535501</v>
          </cell>
          <cell r="E77">
            <v>27.786071670047335</v>
          </cell>
          <cell r="F77">
            <v>34.732589587559168</v>
          </cell>
          <cell r="G77">
            <v>41.679107505071002</v>
          </cell>
          <cell r="H77">
            <v>48.625625422582836</v>
          </cell>
          <cell r="I77">
            <v>55.572143340094669</v>
          </cell>
          <cell r="J77">
            <v>62.518661257606503</v>
          </cell>
          <cell r="K77">
            <v>69.465179175118337</v>
          </cell>
          <cell r="L77">
            <v>52.098884381338749</v>
          </cell>
          <cell r="M77">
            <v>3.4732589587559168</v>
          </cell>
          <cell r="P77">
            <v>37.183610000000002</v>
          </cell>
          <cell r="Q77">
            <v>19.259219066937121</v>
          </cell>
          <cell r="R77">
            <v>32.098698444895199</v>
          </cell>
          <cell r="S77">
            <v>44.938177822853277</v>
          </cell>
          <cell r="T77">
            <v>57.777657200811362</v>
          </cell>
          <cell r="U77">
            <v>70.617136578769433</v>
          </cell>
          <cell r="V77">
            <v>83.456615956727518</v>
          </cell>
          <cell r="W77">
            <v>96.296095334685603</v>
          </cell>
          <cell r="X77">
            <v>64.197396889790397</v>
          </cell>
          <cell r="Y77">
            <v>6.4197396889790399</v>
          </cell>
          <cell r="AA77">
            <v>37.183610000000002</v>
          </cell>
          <cell r="AB77">
            <v>25.18934077079107</v>
          </cell>
          <cell r="AC77">
            <v>37.784011156186608</v>
          </cell>
          <cell r="AD77">
            <v>50.378681541582139</v>
          </cell>
          <cell r="AE77">
            <v>62.973351926977671</v>
          </cell>
          <cell r="AF77">
            <v>75.568022312373216</v>
          </cell>
          <cell r="AG77">
            <v>25.18934077079107</v>
          </cell>
          <cell r="AK77">
            <v>26</v>
          </cell>
          <cell r="AL77">
            <v>19.191814205515925</v>
          </cell>
          <cell r="AM77">
            <v>23.989767756894906</v>
          </cell>
          <cell r="AN77">
            <v>28.787721308273888</v>
          </cell>
          <cell r="AO77">
            <v>33.585674859652869</v>
          </cell>
          <cell r="AP77">
            <v>38.38362841103185</v>
          </cell>
          <cell r="AQ77">
            <v>43.181581962410831</v>
          </cell>
          <cell r="AR77">
            <v>47.979535513789813</v>
          </cell>
          <cell r="AS77">
            <v>35.98465163534236</v>
          </cell>
          <cell r="AT77">
            <v>2.3989767756894906</v>
          </cell>
          <cell r="AW77">
            <v>26</v>
          </cell>
          <cell r="AX77">
            <v>21.40857187888454</v>
          </cell>
          <cell r="AY77">
            <v>29.972000630438359</v>
          </cell>
          <cell r="AZ77">
            <v>38.535429381992174</v>
          </cell>
          <cell r="BA77">
            <v>47.098858133545988</v>
          </cell>
          <cell r="BB77">
            <v>55.66228688509981</v>
          </cell>
          <cell r="BC77">
            <v>64.225715636653618</v>
          </cell>
          <cell r="BD77">
            <v>42.817143757769081</v>
          </cell>
          <cell r="BE77">
            <v>4.2817143757769083</v>
          </cell>
          <cell r="BG77">
            <v>26</v>
          </cell>
          <cell r="BH77">
            <v>21.821337151224604</v>
          </cell>
          <cell r="BI77">
            <v>32.732005726836903</v>
          </cell>
          <cell r="BJ77">
            <v>43.642674302449208</v>
          </cell>
          <cell r="BK77">
            <v>54.553342878061514</v>
          </cell>
          <cell r="BL77">
            <v>65.464011453673805</v>
          </cell>
          <cell r="BM77">
            <v>21.821337151224604</v>
          </cell>
          <cell r="BQ77">
            <v>30.7</v>
          </cell>
          <cell r="BR77">
            <v>20.055514832236671</v>
          </cell>
          <cell r="BS77">
            <v>26.740686442982227</v>
          </cell>
          <cell r="BT77">
            <v>33.425858053727787</v>
          </cell>
          <cell r="BU77">
            <v>40.111029664473342</v>
          </cell>
          <cell r="BV77">
            <v>46.796201275218898</v>
          </cell>
          <cell r="BW77">
            <v>53.481372885964454</v>
          </cell>
          <cell r="BX77">
            <v>60.16654449671001</v>
          </cell>
          <cell r="BY77">
            <v>66.851716107455573</v>
          </cell>
          <cell r="BZ77">
            <v>3.3425858053727784</v>
          </cell>
          <cell r="CC77">
            <v>30.7</v>
          </cell>
          <cell r="CD77">
            <v>22.502370901097461</v>
          </cell>
          <cell r="CE77">
            <v>31.503319261536447</v>
          </cell>
          <cell r="CF77">
            <v>40.50426762197543</v>
          </cell>
          <cell r="CG77">
            <v>49.505215982414413</v>
          </cell>
          <cell r="CH77">
            <v>58.506164342853403</v>
          </cell>
          <cell r="CI77">
            <v>67.507112703292378</v>
          </cell>
          <cell r="CJ77">
            <v>45.004741802194921</v>
          </cell>
          <cell r="CK77">
            <v>4.5004741802194923</v>
          </cell>
          <cell r="CM77">
            <v>30.7</v>
          </cell>
          <cell r="CN77">
            <v>16.875911788410246</v>
          </cell>
          <cell r="CO77">
            <v>33.751823576820492</v>
          </cell>
          <cell r="CP77">
            <v>50.627735365230734</v>
          </cell>
          <cell r="CQ77">
            <v>67.503647153640983</v>
          </cell>
          <cell r="CR77">
            <v>84.379558942051233</v>
          </cell>
          <cell r="CS77">
            <v>101.25547073046147</v>
          </cell>
          <cell r="CT77">
            <v>33.751823576820492</v>
          </cell>
          <cell r="CX77">
            <v>6.4</v>
          </cell>
          <cell r="CY77">
            <v>6.0973080586384709</v>
          </cell>
          <cell r="CZ77">
            <v>7.6216350732980889</v>
          </cell>
          <cell r="DA77">
            <v>9.1459620879577059</v>
          </cell>
          <cell r="DB77">
            <v>10.670289102617325</v>
          </cell>
          <cell r="DC77">
            <v>12.194616117276942</v>
          </cell>
          <cell r="DD77">
            <v>13.718943131936559</v>
          </cell>
          <cell r="DE77">
            <v>15.243270146596178</v>
          </cell>
          <cell r="DF77">
            <v>11.432452609947132</v>
          </cell>
          <cell r="DG77">
            <v>0.76216350732980886</v>
          </cell>
          <cell r="DJ77">
            <v>6.4</v>
          </cell>
          <cell r="DK77">
            <v>4.6749101066468715</v>
          </cell>
          <cell r="DL77">
            <v>6.5448741493056204</v>
          </cell>
          <cell r="DM77">
            <v>8.4148381919643693</v>
          </cell>
          <cell r="DN77">
            <v>10.284802234623118</v>
          </cell>
          <cell r="DO77">
            <v>12.154766277281867</v>
          </cell>
          <cell r="DP77">
            <v>14.024730319940616</v>
          </cell>
          <cell r="DQ77">
            <v>9.3498202132937429</v>
          </cell>
          <cell r="DR77">
            <v>0.93498202132937436</v>
          </cell>
          <cell r="DT77">
            <v>6.4</v>
          </cell>
          <cell r="DU77">
            <v>3.7237348890651871</v>
          </cell>
          <cell r="DV77">
            <v>7.4474697781303743</v>
          </cell>
          <cell r="DW77">
            <v>11.17120466719556</v>
          </cell>
          <cell r="DX77">
            <v>14.894939556260749</v>
          </cell>
          <cell r="DY77">
            <v>18.618674445325937</v>
          </cell>
          <cell r="DZ77">
            <v>22.342409334391121</v>
          </cell>
          <cell r="EA77">
            <v>7.4474697781303743</v>
          </cell>
          <cell r="EE77">
            <v>2.0750000000000002</v>
          </cell>
          <cell r="EF77">
            <v>2.0254729948511829</v>
          </cell>
          <cell r="EG77">
            <v>2.4305675938214195</v>
          </cell>
          <cell r="EH77">
            <v>2.8356621927916561</v>
          </cell>
          <cell r="EI77">
            <v>3.2407567917618927</v>
          </cell>
          <cell r="EJ77">
            <v>3.6458513907321293</v>
          </cell>
          <cell r="EK77">
            <v>4.0509459897023659</v>
          </cell>
          <cell r="EL77">
            <v>3.0382094922767742</v>
          </cell>
          <cell r="EM77">
            <v>0.20254729948511829</v>
          </cell>
          <cell r="EP77">
            <v>2.0750000000000002</v>
          </cell>
          <cell r="EQ77">
            <v>1.8298708039561709</v>
          </cell>
          <cell r="ER77">
            <v>2.5618191255386393</v>
          </cell>
          <cell r="ES77">
            <v>3.2937674471211076</v>
          </cell>
          <cell r="ET77">
            <v>4.0257157687035763</v>
          </cell>
          <cell r="EU77">
            <v>4.7576640902860445</v>
          </cell>
          <cell r="EV77">
            <v>5.4896124118685128</v>
          </cell>
          <cell r="EW77">
            <v>3.6597416079123417</v>
          </cell>
          <cell r="EX77">
            <v>0.36597416079123418</v>
          </cell>
          <cell r="EZ77">
            <v>2.0750000000000002</v>
          </cell>
          <cell r="FA77">
            <v>1.2237981789533001</v>
          </cell>
          <cell r="FB77">
            <v>2.4475963579066002</v>
          </cell>
          <cell r="FC77">
            <v>3.6713945368599004</v>
          </cell>
          <cell r="FD77">
            <v>4.8951927158132005</v>
          </cell>
          <cell r="FE77">
            <v>6.118990894766501</v>
          </cell>
          <cell r="FF77">
            <v>7.3427890737198007</v>
          </cell>
          <cell r="FG77">
            <v>2.4475963579066002</v>
          </cell>
        </row>
        <row r="78">
          <cell r="A78">
            <v>37711</v>
          </cell>
          <cell r="B78">
            <v>35.904809999999998</v>
          </cell>
          <cell r="C78">
            <v>14.113468559837731</v>
          </cell>
          <cell r="D78">
            <v>21.170202839756598</v>
          </cell>
          <cell r="E78">
            <v>28.226937119675462</v>
          </cell>
          <cell r="F78">
            <v>35.283671399594326</v>
          </cell>
          <cell r="G78">
            <v>42.340405679513196</v>
          </cell>
          <cell r="H78">
            <v>49.39713995943206</v>
          </cell>
          <cell r="I78">
            <v>56.453874239350924</v>
          </cell>
          <cell r="J78">
            <v>63.510608519269788</v>
          </cell>
          <cell r="K78">
            <v>70.567342799188651</v>
          </cell>
          <cell r="L78">
            <v>52.925507099391488</v>
          </cell>
          <cell r="M78">
            <v>3.5283671399594327</v>
          </cell>
          <cell r="P78">
            <v>35.904809999999998</v>
          </cell>
          <cell r="Q78">
            <v>19.2282261663286</v>
          </cell>
          <cell r="R78">
            <v>32.047043610547668</v>
          </cell>
          <cell r="S78">
            <v>44.865861054766732</v>
          </cell>
          <cell r="T78">
            <v>57.684678498985797</v>
          </cell>
          <cell r="U78">
            <v>70.503495943204868</v>
          </cell>
          <cell r="V78">
            <v>83.322313387423932</v>
          </cell>
          <cell r="W78">
            <v>96.141130831642997</v>
          </cell>
          <cell r="X78">
            <v>64.094087221095336</v>
          </cell>
          <cell r="Y78">
            <v>6.4094087221095331</v>
          </cell>
          <cell r="AA78">
            <v>35.904809999999998</v>
          </cell>
          <cell r="AB78">
            <v>25.424159229208918</v>
          </cell>
          <cell r="AC78">
            <v>38.136238843813373</v>
          </cell>
          <cell r="AD78">
            <v>50.848318458417836</v>
          </cell>
          <cell r="AE78">
            <v>63.560398073022299</v>
          </cell>
          <cell r="AF78">
            <v>76.272477687626747</v>
          </cell>
          <cell r="AG78">
            <v>25.424159229208918</v>
          </cell>
          <cell r="AK78">
            <v>26.75</v>
          </cell>
          <cell r="AL78">
            <v>19.660403902130543</v>
          </cell>
          <cell r="AM78">
            <v>24.575504877663178</v>
          </cell>
          <cell r="AN78">
            <v>29.490605853195817</v>
          </cell>
          <cell r="AO78">
            <v>34.405706828728448</v>
          </cell>
          <cell r="AP78">
            <v>39.320807804261086</v>
          </cell>
          <cell r="AQ78">
            <v>44.235908779793725</v>
          </cell>
          <cell r="AR78">
            <v>49.151009755326356</v>
          </cell>
          <cell r="AS78">
            <v>36.863257316494767</v>
          </cell>
          <cell r="AT78">
            <v>2.4575504877663179</v>
          </cell>
          <cell r="AW78">
            <v>26.75</v>
          </cell>
          <cell r="AX78">
            <v>21.514487511159576</v>
          </cell>
          <cell r="AY78">
            <v>30.120282515623408</v>
          </cell>
          <cell r="AZ78">
            <v>38.726077520087237</v>
          </cell>
          <cell r="BA78">
            <v>47.331872524551066</v>
          </cell>
          <cell r="BB78">
            <v>55.937667529014902</v>
          </cell>
          <cell r="BC78">
            <v>64.543462533478731</v>
          </cell>
          <cell r="BD78">
            <v>43.028975022319152</v>
          </cell>
          <cell r="BE78">
            <v>4.3028975022319154</v>
          </cell>
          <cell r="BG78">
            <v>26.75</v>
          </cell>
          <cell r="BH78">
            <v>21.916751460625303</v>
          </cell>
          <cell r="BI78">
            <v>32.875127190937953</v>
          </cell>
          <cell r="BJ78">
            <v>43.833502921250606</v>
          </cell>
          <cell r="BK78">
            <v>54.791878651563259</v>
          </cell>
          <cell r="BL78">
            <v>65.750254381875905</v>
          </cell>
          <cell r="BM78">
            <v>21.916751460625303</v>
          </cell>
          <cell r="BQ78">
            <v>30.4</v>
          </cell>
          <cell r="BR78">
            <v>20.269188794359103</v>
          </cell>
          <cell r="BS78">
            <v>27.02558505914547</v>
          </cell>
          <cell r="BT78">
            <v>33.781981323931838</v>
          </cell>
          <cell r="BU78">
            <v>40.538377588718205</v>
          </cell>
          <cell r="BV78">
            <v>47.294773853504573</v>
          </cell>
          <cell r="BW78">
            <v>54.051170118290941</v>
          </cell>
          <cell r="BX78">
            <v>60.807566383077308</v>
          </cell>
          <cell r="BY78">
            <v>67.563962647863676</v>
          </cell>
          <cell r="BZ78">
            <v>3.3781981323931838</v>
          </cell>
          <cell r="CC78">
            <v>30.4</v>
          </cell>
          <cell r="CD78">
            <v>22.591091269140556</v>
          </cell>
          <cell r="CE78">
            <v>31.627527776796782</v>
          </cell>
          <cell r="CF78">
            <v>40.663964284453002</v>
          </cell>
          <cell r="CG78">
            <v>49.700400792109228</v>
          </cell>
          <cell r="CH78">
            <v>58.736837299765448</v>
          </cell>
          <cell r="CI78">
            <v>67.773273807421674</v>
          </cell>
          <cell r="CJ78">
            <v>45.182182538281111</v>
          </cell>
          <cell r="CK78">
            <v>4.5182182538281115</v>
          </cell>
          <cell r="CM78">
            <v>30.4</v>
          </cell>
          <cell r="CN78">
            <v>16.973122681319019</v>
          </cell>
          <cell r="CO78">
            <v>33.946245362638038</v>
          </cell>
          <cell r="CP78">
            <v>50.919368043957057</v>
          </cell>
          <cell r="CQ78">
            <v>67.892490725276076</v>
          </cell>
          <cell r="CR78">
            <v>84.865613406595088</v>
          </cell>
          <cell r="CS78">
            <v>101.83873608791411</v>
          </cell>
          <cell r="CT78">
            <v>33.946245362638038</v>
          </cell>
          <cell r="CX78">
            <v>6.6</v>
          </cell>
          <cell r="CY78">
            <v>6.1035987602836839</v>
          </cell>
          <cell r="CZ78">
            <v>7.6294984503546051</v>
          </cell>
          <cell r="DA78">
            <v>9.1553981404255254</v>
          </cell>
          <cell r="DB78">
            <v>10.681297830496447</v>
          </cell>
          <cell r="DC78">
            <v>12.207197520567368</v>
          </cell>
          <cell r="DD78">
            <v>13.733097210638288</v>
          </cell>
          <cell r="DE78">
            <v>15.25899690070921</v>
          </cell>
          <cell r="DF78">
            <v>11.444247675531907</v>
          </cell>
          <cell r="DG78">
            <v>0.76294984503546048</v>
          </cell>
          <cell r="DJ78">
            <v>6.6</v>
          </cell>
          <cell r="DK78">
            <v>4.6883960553044819</v>
          </cell>
          <cell r="DL78">
            <v>6.5637544774262757</v>
          </cell>
          <cell r="DM78">
            <v>8.4391128995480678</v>
          </cell>
          <cell r="DN78">
            <v>10.314471321669862</v>
          </cell>
          <cell r="DO78">
            <v>12.189829743791654</v>
          </cell>
          <cell r="DP78">
            <v>14.065188165913447</v>
          </cell>
          <cell r="DQ78">
            <v>9.3767921106089638</v>
          </cell>
          <cell r="DR78">
            <v>0.93767921106089647</v>
          </cell>
          <cell r="DT78">
            <v>6.6</v>
          </cell>
          <cell r="DU78">
            <v>3.7093895341021943</v>
          </cell>
          <cell r="DV78">
            <v>7.4187790682043886</v>
          </cell>
          <cell r="DW78">
            <v>11.128168602306584</v>
          </cell>
          <cell r="DX78">
            <v>14.837558136408777</v>
          </cell>
          <cell r="DY78">
            <v>18.546947670510971</v>
          </cell>
          <cell r="DZ78">
            <v>22.256337204613168</v>
          </cell>
          <cell r="EA78">
            <v>7.4187790682043886</v>
          </cell>
          <cell r="EE78">
            <v>1.98</v>
          </cell>
          <cell r="EF78">
            <v>2.0494630943583703</v>
          </cell>
          <cell r="EG78">
            <v>2.4593557132300443</v>
          </cell>
          <cell r="EH78">
            <v>2.8692483321017184</v>
          </cell>
          <cell r="EI78">
            <v>3.2791409509733924</v>
          </cell>
          <cell r="EJ78">
            <v>3.6890335698450665</v>
          </cell>
          <cell r="EK78">
            <v>4.0989261887167405</v>
          </cell>
          <cell r="EL78">
            <v>3.0741946415375554</v>
          </cell>
          <cell r="EM78">
            <v>0.20494630943583703</v>
          </cell>
          <cell r="EP78">
            <v>1.98</v>
          </cell>
          <cell r="EQ78">
            <v>1.8077187077069912</v>
          </cell>
          <cell r="ER78">
            <v>2.5308061907897876</v>
          </cell>
          <cell r="ES78">
            <v>3.2538936738725841</v>
          </cell>
          <cell r="ET78">
            <v>3.9769811569553806</v>
          </cell>
          <cell r="EU78">
            <v>4.700068640038177</v>
          </cell>
          <cell r="EV78">
            <v>5.4231561231209735</v>
          </cell>
          <cell r="EW78">
            <v>3.6154374154139823</v>
          </cell>
          <cell r="EX78">
            <v>0.36154374154139823</v>
          </cell>
          <cell r="EZ78">
            <v>1.98</v>
          </cell>
          <cell r="FA78">
            <v>1.2263370463860208</v>
          </cell>
          <cell r="FB78">
            <v>2.4526740927720416</v>
          </cell>
          <cell r="FC78">
            <v>3.6790111391580624</v>
          </cell>
          <cell r="FD78">
            <v>4.9053481855440833</v>
          </cell>
          <cell r="FE78">
            <v>6.1316852319301045</v>
          </cell>
          <cell r="FF78">
            <v>7.3580222783161249</v>
          </cell>
          <cell r="FG78">
            <v>2.4526740927720416</v>
          </cell>
        </row>
        <row r="79">
          <cell r="A79">
            <v>37741</v>
          </cell>
          <cell r="B79">
            <v>35.019489999999998</v>
          </cell>
          <cell r="C79">
            <v>14.333901284651795</v>
          </cell>
          <cell r="D79">
            <v>21.500851926977692</v>
          </cell>
          <cell r="E79">
            <v>28.667802569303589</v>
          </cell>
          <cell r="F79">
            <v>35.83475321162949</v>
          </cell>
          <cell r="G79">
            <v>43.001703853955384</v>
          </cell>
          <cell r="H79">
            <v>50.168654496281277</v>
          </cell>
          <cell r="I79">
            <v>57.335605138607178</v>
          </cell>
          <cell r="J79">
            <v>64.502555780933079</v>
          </cell>
          <cell r="K79">
            <v>71.66950642325898</v>
          </cell>
          <cell r="L79">
            <v>53.752129817444228</v>
          </cell>
          <cell r="M79">
            <v>3.5834753211629486</v>
          </cell>
          <cell r="P79">
            <v>35.019489999999998</v>
          </cell>
          <cell r="Q79">
            <v>19.197233265720079</v>
          </cell>
          <cell r="R79">
            <v>31.99538877620013</v>
          </cell>
          <cell r="S79">
            <v>44.793544286680181</v>
          </cell>
          <cell r="T79">
            <v>57.591699797160238</v>
          </cell>
          <cell r="U79">
            <v>70.389855307640289</v>
          </cell>
          <cell r="V79">
            <v>83.188010818120347</v>
          </cell>
          <cell r="W79">
            <v>95.98616632860039</v>
          </cell>
          <cell r="X79">
            <v>63.99077755240026</v>
          </cell>
          <cell r="Y79">
            <v>6.3990777552400262</v>
          </cell>
          <cell r="AA79">
            <v>35.019489999999998</v>
          </cell>
          <cell r="AB79">
            <v>25.658977687626766</v>
          </cell>
          <cell r="AC79">
            <v>38.488466531440153</v>
          </cell>
          <cell r="AD79">
            <v>51.317955375253533</v>
          </cell>
          <cell r="AE79">
            <v>64.147444219066912</v>
          </cell>
          <cell r="AF79">
            <v>76.976933062880306</v>
          </cell>
          <cell r="AG79">
            <v>25.658977687626766</v>
          </cell>
          <cell r="AK79">
            <v>24.55</v>
          </cell>
          <cell r="AL79">
            <v>20.128993598745161</v>
          </cell>
          <cell r="AM79">
            <v>25.16124199843145</v>
          </cell>
          <cell r="AN79">
            <v>30.193490398117742</v>
          </cell>
          <cell r="AO79">
            <v>35.225738797804034</v>
          </cell>
          <cell r="AP79">
            <v>40.257987197490323</v>
          </cell>
          <cell r="AQ79">
            <v>45.290235597176611</v>
          </cell>
          <cell r="AR79">
            <v>50.3224839968629</v>
          </cell>
          <cell r="AS79">
            <v>37.741862997647175</v>
          </cell>
          <cell r="AT79">
            <v>2.5161241998431452</v>
          </cell>
          <cell r="AW79">
            <v>24.55</v>
          </cell>
          <cell r="AX79">
            <v>21.620403143434611</v>
          </cell>
          <cell r="AY79">
            <v>30.268564400808458</v>
          </cell>
          <cell r="AZ79">
            <v>38.916725658182301</v>
          </cell>
          <cell r="BA79">
            <v>47.564886915556144</v>
          </cell>
          <cell r="BB79">
            <v>56.213048172929994</v>
          </cell>
          <cell r="BC79">
            <v>64.86120943030383</v>
          </cell>
          <cell r="BD79">
            <v>43.240806286869223</v>
          </cell>
          <cell r="BE79">
            <v>4.3240806286869224</v>
          </cell>
          <cell r="BG79">
            <v>24.55</v>
          </cell>
          <cell r="BH79">
            <v>22.012165770026002</v>
          </cell>
          <cell r="BI79">
            <v>33.018248655039002</v>
          </cell>
          <cell r="BJ79">
            <v>44.024331540052003</v>
          </cell>
          <cell r="BK79">
            <v>55.030414425065004</v>
          </cell>
          <cell r="BL79">
            <v>66.036497310078005</v>
          </cell>
          <cell r="BM79">
            <v>22.012165770026002</v>
          </cell>
          <cell r="BQ79">
            <v>28.45</v>
          </cell>
          <cell r="BR79">
            <v>20.482862756481534</v>
          </cell>
          <cell r="BS79">
            <v>27.310483675308713</v>
          </cell>
          <cell r="BT79">
            <v>34.138104594135889</v>
          </cell>
          <cell r="BU79">
            <v>40.965725512963068</v>
          </cell>
          <cell r="BV79">
            <v>47.793346431790248</v>
          </cell>
          <cell r="BW79">
            <v>54.620967350617427</v>
          </cell>
          <cell r="BX79">
            <v>61.448588269444606</v>
          </cell>
          <cell r="BY79">
            <v>68.276209188271778</v>
          </cell>
          <cell r="BZ79">
            <v>3.4138104594135892</v>
          </cell>
          <cell r="CC79">
            <v>28.45</v>
          </cell>
          <cell r="CD79">
            <v>22.679811637183654</v>
          </cell>
          <cell r="CE79">
            <v>31.751736292057114</v>
          </cell>
          <cell r="CF79">
            <v>40.823660946930573</v>
          </cell>
          <cell r="CG79">
            <v>49.895585601804036</v>
          </cell>
          <cell r="CH79">
            <v>58.9675102566775</v>
          </cell>
          <cell r="CI79">
            <v>68.039434911550956</v>
          </cell>
          <cell r="CJ79">
            <v>45.359623274367308</v>
          </cell>
          <cell r="CK79">
            <v>4.5359623274367307</v>
          </cell>
          <cell r="CM79">
            <v>28.45</v>
          </cell>
          <cell r="CN79">
            <v>17.070333574227792</v>
          </cell>
          <cell r="CO79">
            <v>34.140667148455584</v>
          </cell>
          <cell r="CP79">
            <v>51.21100072268338</v>
          </cell>
          <cell r="CQ79">
            <v>68.281334296911169</v>
          </cell>
          <cell r="CR79">
            <v>85.351667871138957</v>
          </cell>
          <cell r="CS79">
            <v>102.42200144536676</v>
          </cell>
          <cell r="CT79">
            <v>34.140667148455584</v>
          </cell>
          <cell r="CX79">
            <v>6.1</v>
          </cell>
          <cell r="CY79">
            <v>6.1098894619288968</v>
          </cell>
          <cell r="CZ79">
            <v>7.6373618274111212</v>
          </cell>
          <cell r="DA79">
            <v>9.1648341928933448</v>
          </cell>
          <cell r="DB79">
            <v>10.69230655837557</v>
          </cell>
          <cell r="DC79">
            <v>12.219778923857794</v>
          </cell>
          <cell r="DD79">
            <v>13.747251289340017</v>
          </cell>
          <cell r="DE79">
            <v>15.274723654822242</v>
          </cell>
          <cell r="DF79">
            <v>11.456042741116681</v>
          </cell>
          <cell r="DG79">
            <v>0.7637361827411121</v>
          </cell>
          <cell r="DJ79">
            <v>6.1</v>
          </cell>
          <cell r="DK79">
            <v>4.7018820039620932</v>
          </cell>
          <cell r="DL79">
            <v>6.5826348055469301</v>
          </cell>
          <cell r="DM79">
            <v>8.463387607131768</v>
          </cell>
          <cell r="DN79">
            <v>10.344140408716605</v>
          </cell>
          <cell r="DO79">
            <v>12.224893210301442</v>
          </cell>
          <cell r="DP79">
            <v>14.105646011886279</v>
          </cell>
          <cell r="DQ79">
            <v>9.4037640079241864</v>
          </cell>
          <cell r="DR79">
            <v>0.94037640079241858</v>
          </cell>
          <cell r="DT79">
            <v>6.1</v>
          </cell>
          <cell r="DU79">
            <v>3.6950441791392015</v>
          </cell>
          <cell r="DV79">
            <v>7.3900883582784029</v>
          </cell>
          <cell r="DW79">
            <v>11.085132537417604</v>
          </cell>
          <cell r="DX79">
            <v>14.780176716556806</v>
          </cell>
          <cell r="DY79">
            <v>18.475220895696008</v>
          </cell>
          <cell r="DZ79">
            <v>22.170265074835207</v>
          </cell>
          <cell r="EA79">
            <v>7.3900883582784029</v>
          </cell>
          <cell r="EE79">
            <v>1.79</v>
          </cell>
          <cell r="EF79">
            <v>2.0734531938655576</v>
          </cell>
          <cell r="EG79">
            <v>2.4881438326386691</v>
          </cell>
          <cell r="EH79">
            <v>2.9028344714117806</v>
          </cell>
          <cell r="EI79">
            <v>3.3175251101848922</v>
          </cell>
          <cell r="EJ79">
            <v>3.7322157489580037</v>
          </cell>
          <cell r="EK79">
            <v>4.1469063877311152</v>
          </cell>
          <cell r="EL79">
            <v>3.1101797907983366</v>
          </cell>
          <cell r="EM79">
            <v>0.20734531938655576</v>
          </cell>
          <cell r="EP79">
            <v>1.79</v>
          </cell>
          <cell r="EQ79">
            <v>1.7855666114578115</v>
          </cell>
          <cell r="ER79">
            <v>2.4997932560409359</v>
          </cell>
          <cell r="ES79">
            <v>3.2140199006240606</v>
          </cell>
          <cell r="ET79">
            <v>3.9282465452071853</v>
          </cell>
          <cell r="EU79">
            <v>4.6424731897903095</v>
          </cell>
          <cell r="EV79">
            <v>5.3566998343734342</v>
          </cell>
          <cell r="EW79">
            <v>3.571133222915623</v>
          </cell>
          <cell r="EX79">
            <v>0.35711332229156229</v>
          </cell>
          <cell r="EZ79">
            <v>1.79</v>
          </cell>
          <cell r="FA79">
            <v>1.2288759138187415</v>
          </cell>
          <cell r="FB79">
            <v>2.457751827637483</v>
          </cell>
          <cell r="FC79">
            <v>3.6866277414562245</v>
          </cell>
          <cell r="FD79">
            <v>4.915503655274966</v>
          </cell>
          <cell r="FE79">
            <v>6.144379569093708</v>
          </cell>
          <cell r="FF79">
            <v>7.373255482912449</v>
          </cell>
          <cell r="FG79">
            <v>2.457751827637483</v>
          </cell>
        </row>
        <row r="80">
          <cell r="A80">
            <v>37772</v>
          </cell>
          <cell r="B80">
            <v>36.790140000000001</v>
          </cell>
          <cell r="C80">
            <v>14.554334009465858</v>
          </cell>
          <cell r="D80">
            <v>21.831501014198786</v>
          </cell>
          <cell r="E80">
            <v>29.108668018931716</v>
          </cell>
          <cell r="F80">
            <v>36.385835023664647</v>
          </cell>
          <cell r="G80">
            <v>43.663002028397571</v>
          </cell>
          <cell r="H80">
            <v>50.940169033130502</v>
          </cell>
          <cell r="I80">
            <v>58.217336037863433</v>
          </cell>
          <cell r="J80">
            <v>65.494503042596364</v>
          </cell>
          <cell r="K80">
            <v>72.771670047329295</v>
          </cell>
          <cell r="L80">
            <v>54.578752535496967</v>
          </cell>
          <cell r="M80">
            <v>3.6385835023664646</v>
          </cell>
          <cell r="P80">
            <v>36.790140000000001</v>
          </cell>
          <cell r="Q80">
            <v>19.166240365111559</v>
          </cell>
          <cell r="R80">
            <v>31.943733941852596</v>
          </cell>
          <cell r="S80">
            <v>44.721227518593636</v>
          </cell>
          <cell r="T80">
            <v>57.498721095334673</v>
          </cell>
          <cell r="U80">
            <v>70.27621467207571</v>
          </cell>
          <cell r="V80">
            <v>83.053708248816747</v>
          </cell>
          <cell r="W80">
            <v>95.831201825557784</v>
          </cell>
          <cell r="X80">
            <v>63.887467883705192</v>
          </cell>
          <cell r="Y80">
            <v>6.3887467883705193</v>
          </cell>
          <cell r="AA80">
            <v>36.790140000000001</v>
          </cell>
          <cell r="AB80">
            <v>25.893796146044615</v>
          </cell>
          <cell r="AC80">
            <v>38.840694219066918</v>
          </cell>
          <cell r="AD80">
            <v>51.787592292089229</v>
          </cell>
          <cell r="AE80">
            <v>64.73449036511154</v>
          </cell>
          <cell r="AF80">
            <v>77.681388438133837</v>
          </cell>
          <cell r="AG80">
            <v>25.893796146044615</v>
          </cell>
          <cell r="AK80">
            <v>26.1</v>
          </cell>
          <cell r="AL80">
            <v>20.597583295359779</v>
          </cell>
          <cell r="AM80">
            <v>25.746979119199725</v>
          </cell>
          <cell r="AN80">
            <v>30.896374943039667</v>
          </cell>
          <cell r="AO80">
            <v>36.045770766879613</v>
          </cell>
          <cell r="AP80">
            <v>41.195166590719559</v>
          </cell>
          <cell r="AQ80">
            <v>46.344562414559505</v>
          </cell>
          <cell r="AR80">
            <v>51.493958238399451</v>
          </cell>
          <cell r="AS80">
            <v>38.62046867879959</v>
          </cell>
          <cell r="AT80">
            <v>2.5746979119199724</v>
          </cell>
          <cell r="AW80">
            <v>26.1</v>
          </cell>
          <cell r="AX80">
            <v>21.726318775709647</v>
          </cell>
          <cell r="AY80">
            <v>30.416846285993508</v>
          </cell>
          <cell r="AZ80">
            <v>39.107373796277365</v>
          </cell>
          <cell r="BA80">
            <v>47.797901306561222</v>
          </cell>
          <cell r="BB80">
            <v>56.488428816845087</v>
          </cell>
          <cell r="BC80">
            <v>65.178956327128944</v>
          </cell>
          <cell r="BD80">
            <v>43.452637551419294</v>
          </cell>
          <cell r="BE80">
            <v>4.3452637551419295</v>
          </cell>
          <cell r="BG80">
            <v>26.1</v>
          </cell>
          <cell r="BH80">
            <v>22.1075800794267</v>
          </cell>
          <cell r="BI80">
            <v>33.161370119140052</v>
          </cell>
          <cell r="BJ80">
            <v>44.215160158853401</v>
          </cell>
          <cell r="BK80">
            <v>55.268950198566749</v>
          </cell>
          <cell r="BL80">
            <v>66.322740238280105</v>
          </cell>
          <cell r="BM80">
            <v>22.1075800794267</v>
          </cell>
          <cell r="BQ80">
            <v>31.4</v>
          </cell>
          <cell r="BR80">
            <v>20.696536718603966</v>
          </cell>
          <cell r="BS80">
            <v>27.595382291471957</v>
          </cell>
          <cell r="BT80">
            <v>34.494227864339948</v>
          </cell>
          <cell r="BU80">
            <v>41.393073437207931</v>
          </cell>
          <cell r="BV80">
            <v>48.291919010075922</v>
          </cell>
          <cell r="BW80">
            <v>55.190764582943913</v>
          </cell>
          <cell r="BX80">
            <v>62.089610155811904</v>
          </cell>
          <cell r="BY80">
            <v>68.988455728679895</v>
          </cell>
          <cell r="BZ80">
            <v>3.4494227864339946</v>
          </cell>
          <cell r="CC80">
            <v>31.4</v>
          </cell>
          <cell r="CD80">
            <v>22.768532005226749</v>
          </cell>
          <cell r="CE80">
            <v>31.875944807317449</v>
          </cell>
          <cell r="CF80">
            <v>40.983357609408145</v>
          </cell>
          <cell r="CG80">
            <v>50.090770411498852</v>
          </cell>
          <cell r="CH80">
            <v>59.198183213589544</v>
          </cell>
          <cell r="CI80">
            <v>68.305596015680251</v>
          </cell>
          <cell r="CJ80">
            <v>45.537064010453498</v>
          </cell>
          <cell r="CK80">
            <v>4.5537064010453498</v>
          </cell>
          <cell r="CM80">
            <v>31.4</v>
          </cell>
          <cell r="CN80">
            <v>17.167544467136565</v>
          </cell>
          <cell r="CO80">
            <v>34.335088934273131</v>
          </cell>
          <cell r="CP80">
            <v>51.502633401409696</v>
          </cell>
          <cell r="CQ80">
            <v>68.670177868546261</v>
          </cell>
          <cell r="CR80">
            <v>85.837722335682827</v>
          </cell>
          <cell r="CS80">
            <v>103.00526680281939</v>
          </cell>
          <cell r="CT80">
            <v>34.335088934273131</v>
          </cell>
          <cell r="CX80">
            <v>6.4</v>
          </cell>
          <cell r="CY80">
            <v>6.1161801635741098</v>
          </cell>
          <cell r="CZ80">
            <v>7.6452252044676374</v>
          </cell>
          <cell r="DA80">
            <v>9.1742702453611642</v>
          </cell>
          <cell r="DB80">
            <v>10.703315286254693</v>
          </cell>
          <cell r="DC80">
            <v>12.23236032714822</v>
          </cell>
          <cell r="DD80">
            <v>13.761405368041746</v>
          </cell>
          <cell r="DE80">
            <v>15.290450408935275</v>
          </cell>
          <cell r="DF80">
            <v>11.467837806701455</v>
          </cell>
          <cell r="DG80">
            <v>0.76452252044676372</v>
          </cell>
          <cell r="DJ80">
            <v>6.4</v>
          </cell>
          <cell r="DK80">
            <v>4.7153679526197037</v>
          </cell>
          <cell r="DL80">
            <v>6.6015151336675846</v>
          </cell>
          <cell r="DM80">
            <v>8.4876623147154664</v>
          </cell>
          <cell r="DN80">
            <v>10.373809495763348</v>
          </cell>
          <cell r="DO80">
            <v>12.259956676811228</v>
          </cell>
          <cell r="DP80">
            <v>14.14610385785911</v>
          </cell>
          <cell r="DQ80">
            <v>9.4307359052394073</v>
          </cell>
          <cell r="DR80">
            <v>0.94307359052394069</v>
          </cell>
          <cell r="DT80">
            <v>6.4</v>
          </cell>
          <cell r="DU80">
            <v>3.6806988241762086</v>
          </cell>
          <cell r="DV80">
            <v>7.3613976483524173</v>
          </cell>
          <cell r="DW80">
            <v>11.042096472528627</v>
          </cell>
          <cell r="DX80">
            <v>14.722795296704835</v>
          </cell>
          <cell r="DY80">
            <v>18.403494120881042</v>
          </cell>
          <cell r="DZ80">
            <v>22.084192945057254</v>
          </cell>
          <cell r="EA80">
            <v>7.3613976483524173</v>
          </cell>
          <cell r="EE80">
            <v>2.0249999999999999</v>
          </cell>
          <cell r="EF80">
            <v>2.0974432933727449</v>
          </cell>
          <cell r="EG80">
            <v>2.5169319520472939</v>
          </cell>
          <cell r="EH80">
            <v>2.9364206107218429</v>
          </cell>
          <cell r="EI80">
            <v>3.3559092693963919</v>
          </cell>
          <cell r="EJ80">
            <v>3.7753979280709409</v>
          </cell>
          <cell r="EK80">
            <v>4.1948865867454899</v>
          </cell>
          <cell r="EL80">
            <v>3.1461649400591174</v>
          </cell>
          <cell r="EM80">
            <v>0.20974432933727449</v>
          </cell>
          <cell r="EP80">
            <v>2.0249999999999999</v>
          </cell>
          <cell r="EQ80">
            <v>1.7634145152086318</v>
          </cell>
          <cell r="ER80">
            <v>2.4687803212920842</v>
          </cell>
          <cell r="ES80">
            <v>3.1741461273755371</v>
          </cell>
          <cell r="ET80">
            <v>3.8795119334589896</v>
          </cell>
          <cell r="EU80">
            <v>4.584877739542442</v>
          </cell>
          <cell r="EV80">
            <v>5.2902435456258949</v>
          </cell>
          <cell r="EW80">
            <v>3.5268290304172636</v>
          </cell>
          <cell r="EX80">
            <v>0.35268290304172634</v>
          </cell>
          <cell r="EZ80">
            <v>2.0249999999999999</v>
          </cell>
          <cell r="FA80">
            <v>1.2314147812514622</v>
          </cell>
          <cell r="FB80">
            <v>2.4628295625029244</v>
          </cell>
          <cell r="FC80">
            <v>3.6942443437543866</v>
          </cell>
          <cell r="FD80">
            <v>4.9256591250058488</v>
          </cell>
          <cell r="FE80">
            <v>6.1570739062573114</v>
          </cell>
          <cell r="FF80">
            <v>7.3884886875087732</v>
          </cell>
          <cell r="FG80">
            <v>2.4628295625029244</v>
          </cell>
        </row>
        <row r="81">
          <cell r="A81">
            <v>37802</v>
          </cell>
          <cell r="B81">
            <v>38.167299999999997</v>
          </cell>
          <cell r="C81">
            <v>14.774766734279922</v>
          </cell>
          <cell r="D81">
            <v>22.162150101419883</v>
          </cell>
          <cell r="E81">
            <v>29.549533468559844</v>
          </cell>
          <cell r="F81">
            <v>36.936916835699805</v>
          </cell>
          <cell r="G81">
            <v>44.324300202839765</v>
          </cell>
          <cell r="H81">
            <v>51.711683569979726</v>
          </cell>
          <cell r="I81">
            <v>59.099066937119687</v>
          </cell>
          <cell r="J81">
            <v>66.486450304259648</v>
          </cell>
          <cell r="K81">
            <v>73.873833671399609</v>
          </cell>
          <cell r="L81">
            <v>55.405375253549707</v>
          </cell>
          <cell r="M81">
            <v>3.6936916835699805</v>
          </cell>
          <cell r="P81">
            <v>38.167299999999997</v>
          </cell>
          <cell r="Q81">
            <v>19.135247464503038</v>
          </cell>
          <cell r="R81">
            <v>31.892079107505062</v>
          </cell>
          <cell r="S81">
            <v>44.648910750507085</v>
          </cell>
          <cell r="T81">
            <v>57.405742393509115</v>
          </cell>
          <cell r="U81">
            <v>70.162574036511131</v>
          </cell>
          <cell r="V81">
            <v>82.919405679513162</v>
          </cell>
          <cell r="W81">
            <v>95.676237322515192</v>
          </cell>
          <cell r="X81">
            <v>63.784158215010123</v>
          </cell>
          <cell r="Y81">
            <v>6.3784158215010125</v>
          </cell>
          <cell r="AA81">
            <v>38.167299999999997</v>
          </cell>
          <cell r="AB81">
            <v>26.128614604462463</v>
          </cell>
          <cell r="AC81">
            <v>39.192921906693698</v>
          </cell>
          <cell r="AD81">
            <v>52.257229208924926</v>
          </cell>
          <cell r="AE81">
            <v>65.321536511156154</v>
          </cell>
          <cell r="AF81">
            <v>78.385843813387396</v>
          </cell>
          <cell r="AG81">
            <v>26.128614604462463</v>
          </cell>
          <cell r="AK81">
            <v>28.65</v>
          </cell>
          <cell r="AL81">
            <v>21.066172991974398</v>
          </cell>
          <cell r="AM81">
            <v>26.332716239967997</v>
          </cell>
          <cell r="AN81">
            <v>31.599259487961596</v>
          </cell>
          <cell r="AO81">
            <v>36.865802735955199</v>
          </cell>
          <cell r="AP81">
            <v>42.132345983948795</v>
          </cell>
          <cell r="AQ81">
            <v>47.398889231942391</v>
          </cell>
          <cell r="AR81">
            <v>52.665432479935994</v>
          </cell>
          <cell r="AS81">
            <v>39.499074359951997</v>
          </cell>
          <cell r="AT81">
            <v>2.6332716239967997</v>
          </cell>
          <cell r="AW81">
            <v>28.65</v>
          </cell>
          <cell r="AX81">
            <v>21.832234407984682</v>
          </cell>
          <cell r="AY81">
            <v>30.565128171178557</v>
          </cell>
          <cell r="AZ81">
            <v>39.298021934372429</v>
          </cell>
          <cell r="BA81">
            <v>48.0309156975663</v>
          </cell>
          <cell r="BB81">
            <v>56.763809460760179</v>
          </cell>
          <cell r="BC81">
            <v>65.496703223954043</v>
          </cell>
          <cell r="BD81">
            <v>43.664468815969364</v>
          </cell>
          <cell r="BE81">
            <v>4.3664468815969366</v>
          </cell>
          <cell r="BG81">
            <v>28.65</v>
          </cell>
          <cell r="BH81">
            <v>22.202994388827399</v>
          </cell>
          <cell r="BI81">
            <v>33.304491583241102</v>
          </cell>
          <cell r="BJ81">
            <v>44.405988777654798</v>
          </cell>
          <cell r="BK81">
            <v>55.507485972068494</v>
          </cell>
          <cell r="BL81">
            <v>66.608983166482204</v>
          </cell>
          <cell r="BM81">
            <v>22.202994388827399</v>
          </cell>
          <cell r="BQ81">
            <v>33</v>
          </cell>
          <cell r="BR81">
            <v>20.910210680726401</v>
          </cell>
          <cell r="BS81">
            <v>27.8802809076352</v>
          </cell>
          <cell r="BT81">
            <v>34.850351134543999</v>
          </cell>
          <cell r="BU81">
            <v>41.820421361452802</v>
          </cell>
          <cell r="BV81">
            <v>48.790491588361597</v>
          </cell>
          <cell r="BW81">
            <v>55.7605618152704</v>
          </cell>
          <cell r="BX81">
            <v>62.730632042179202</v>
          </cell>
          <cell r="BY81">
            <v>69.700702269087998</v>
          </cell>
          <cell r="BZ81">
            <v>3.4850351134544</v>
          </cell>
          <cell r="CC81">
            <v>33</v>
          </cell>
          <cell r="CD81">
            <v>22.857252373269844</v>
          </cell>
          <cell r="CE81">
            <v>32.000153322577781</v>
          </cell>
          <cell r="CF81">
            <v>41.143054271885724</v>
          </cell>
          <cell r="CG81">
            <v>50.28595522119366</v>
          </cell>
          <cell r="CH81">
            <v>59.428856170501597</v>
          </cell>
          <cell r="CI81">
            <v>68.571757119809533</v>
          </cell>
          <cell r="CJ81">
            <v>45.714504746539689</v>
          </cell>
          <cell r="CK81">
            <v>4.571450474653969</v>
          </cell>
          <cell r="CM81">
            <v>33</v>
          </cell>
          <cell r="CN81">
            <v>17.264755360045339</v>
          </cell>
          <cell r="CO81">
            <v>34.529510720090677</v>
          </cell>
          <cell r="CP81">
            <v>51.794266080136012</v>
          </cell>
          <cell r="CQ81">
            <v>69.059021440181354</v>
          </cell>
          <cell r="CR81">
            <v>86.323776800226696</v>
          </cell>
          <cell r="CS81">
            <v>103.58853216027202</v>
          </cell>
          <cell r="CT81">
            <v>34.529510720090677</v>
          </cell>
          <cell r="CX81">
            <v>6.5</v>
          </cell>
          <cell r="CY81">
            <v>6.1224708652193227</v>
          </cell>
          <cell r="CZ81">
            <v>7.6530885815241536</v>
          </cell>
          <cell r="DA81">
            <v>9.1837062978289836</v>
          </cell>
          <cell r="DB81">
            <v>10.714324014133815</v>
          </cell>
          <cell r="DC81">
            <v>12.244941730438645</v>
          </cell>
          <cell r="DD81">
            <v>13.775559446743475</v>
          </cell>
          <cell r="DE81">
            <v>15.306177163048307</v>
          </cell>
          <cell r="DF81">
            <v>11.47963287228623</v>
          </cell>
          <cell r="DG81">
            <v>0.76530885815241534</v>
          </cell>
          <cell r="DJ81">
            <v>6.5</v>
          </cell>
          <cell r="DK81">
            <v>4.7288539012773141</v>
          </cell>
          <cell r="DL81">
            <v>6.6203954617882399</v>
          </cell>
          <cell r="DM81">
            <v>8.5119370222991648</v>
          </cell>
          <cell r="DN81">
            <v>10.403478582810092</v>
          </cell>
          <cell r="DO81">
            <v>12.295020143321016</v>
          </cell>
          <cell r="DP81">
            <v>14.186561703831941</v>
          </cell>
          <cell r="DQ81">
            <v>9.4577078025546282</v>
          </cell>
          <cell r="DR81">
            <v>0.9457707802554628</v>
          </cell>
          <cell r="DT81">
            <v>6.5</v>
          </cell>
          <cell r="DU81">
            <v>3.6663534692132158</v>
          </cell>
          <cell r="DV81">
            <v>7.3327069384264316</v>
          </cell>
          <cell r="DW81">
            <v>10.999060407639647</v>
          </cell>
          <cell r="DX81">
            <v>14.665413876852863</v>
          </cell>
          <cell r="DY81">
            <v>18.33176734606608</v>
          </cell>
          <cell r="DZ81">
            <v>21.998120815279293</v>
          </cell>
          <cell r="EA81">
            <v>7.3327069384264316</v>
          </cell>
          <cell r="EE81">
            <v>2.1749999999999998</v>
          </cell>
          <cell r="EF81">
            <v>2.1214333928799323</v>
          </cell>
          <cell r="EG81">
            <v>2.5457200714559187</v>
          </cell>
          <cell r="EH81">
            <v>2.9700067500319052</v>
          </cell>
          <cell r="EI81">
            <v>3.3942934286078916</v>
          </cell>
          <cell r="EJ81">
            <v>3.8185801071838781</v>
          </cell>
          <cell r="EK81">
            <v>4.2428667857598645</v>
          </cell>
          <cell r="EL81">
            <v>3.1821500893198982</v>
          </cell>
          <cell r="EM81">
            <v>0.21214333928799323</v>
          </cell>
          <cell r="EP81">
            <v>2.1749999999999998</v>
          </cell>
          <cell r="EQ81">
            <v>1.7412624189594519</v>
          </cell>
          <cell r="ER81">
            <v>2.4377673865432326</v>
          </cell>
          <cell r="ES81">
            <v>3.1342723541270137</v>
          </cell>
          <cell r="ET81">
            <v>3.8307773217107943</v>
          </cell>
          <cell r="EU81">
            <v>4.5272822892945754</v>
          </cell>
          <cell r="EV81">
            <v>5.2237872568783557</v>
          </cell>
          <cell r="EW81">
            <v>3.4825248379189038</v>
          </cell>
          <cell r="EX81">
            <v>0.34825248379189039</v>
          </cell>
          <cell r="EZ81">
            <v>2.1749999999999998</v>
          </cell>
          <cell r="FA81">
            <v>1.2339536486841829</v>
          </cell>
          <cell r="FB81">
            <v>2.4679072973683658</v>
          </cell>
          <cell r="FC81">
            <v>3.7018609460525487</v>
          </cell>
          <cell r="FD81">
            <v>4.9358145947367316</v>
          </cell>
          <cell r="FE81">
            <v>6.1697682434209149</v>
          </cell>
          <cell r="FF81">
            <v>7.4037218921050973</v>
          </cell>
          <cell r="FG81">
            <v>2.4679072973683658</v>
          </cell>
        </row>
        <row r="82">
          <cell r="A82">
            <v>37833</v>
          </cell>
          <cell r="B82">
            <v>37.872199999999999</v>
          </cell>
          <cell r="C82">
            <v>14.995199459093985</v>
          </cell>
          <cell r="D82">
            <v>22.49279918864098</v>
          </cell>
          <cell r="E82">
            <v>29.990398918187971</v>
          </cell>
          <cell r="F82">
            <v>37.487998647734962</v>
          </cell>
          <cell r="G82">
            <v>44.98559837728196</v>
          </cell>
          <cell r="H82">
            <v>52.483198106828951</v>
          </cell>
          <cell r="I82">
            <v>59.980797836375942</v>
          </cell>
          <cell r="J82">
            <v>67.478397565922933</v>
          </cell>
          <cell r="K82">
            <v>74.975997295469924</v>
          </cell>
          <cell r="L82">
            <v>56.231997971602446</v>
          </cell>
          <cell r="M82">
            <v>3.7487998647734964</v>
          </cell>
          <cell r="P82">
            <v>37.872199999999999</v>
          </cell>
          <cell r="Q82">
            <v>19.104254563894518</v>
          </cell>
          <cell r="R82">
            <v>31.840424273157527</v>
          </cell>
          <cell r="S82">
            <v>44.57659398242054</v>
          </cell>
          <cell r="T82">
            <v>57.31276369168355</v>
          </cell>
          <cell r="U82">
            <v>70.048933400946567</v>
          </cell>
          <cell r="V82">
            <v>82.785103110209576</v>
          </cell>
          <cell r="W82">
            <v>95.521272819472586</v>
          </cell>
          <cell r="X82">
            <v>63.680848546315055</v>
          </cell>
          <cell r="Y82">
            <v>6.3680848546315056</v>
          </cell>
          <cell r="AA82">
            <v>37.872199999999999</v>
          </cell>
          <cell r="AB82">
            <v>26.363433062880311</v>
          </cell>
          <cell r="AC82">
            <v>39.545149594320463</v>
          </cell>
          <cell r="AD82">
            <v>52.726866125760623</v>
          </cell>
          <cell r="AE82">
            <v>65.908582657200782</v>
          </cell>
          <cell r="AF82">
            <v>79.090299188640927</v>
          </cell>
          <cell r="AG82">
            <v>26.363433062880311</v>
          </cell>
          <cell r="AK82">
            <v>31.1</v>
          </cell>
          <cell r="AL82">
            <v>21.534762688589016</v>
          </cell>
          <cell r="AM82">
            <v>26.918453360736269</v>
          </cell>
          <cell r="AN82">
            <v>32.302144032883525</v>
          </cell>
          <cell r="AO82">
            <v>37.685834705030778</v>
          </cell>
          <cell r="AP82">
            <v>43.069525377178032</v>
          </cell>
          <cell r="AQ82">
            <v>48.453216049325285</v>
          </cell>
          <cell r="AR82">
            <v>53.836906721472538</v>
          </cell>
          <cell r="AS82">
            <v>40.377680041104405</v>
          </cell>
          <cell r="AT82">
            <v>2.691845336073627</v>
          </cell>
          <cell r="AW82">
            <v>31.1</v>
          </cell>
          <cell r="AX82">
            <v>21.938150040259718</v>
          </cell>
          <cell r="AY82">
            <v>30.713410056363607</v>
          </cell>
          <cell r="AZ82">
            <v>39.488670072467492</v>
          </cell>
          <cell r="BA82">
            <v>48.263930088571378</v>
          </cell>
          <cell r="BB82">
            <v>57.039190104675271</v>
          </cell>
          <cell r="BC82">
            <v>65.814450120779156</v>
          </cell>
          <cell r="BD82">
            <v>43.876300080519435</v>
          </cell>
          <cell r="BE82">
            <v>4.3876300080519437</v>
          </cell>
          <cell r="BG82">
            <v>31.1</v>
          </cell>
          <cell r="BH82">
            <v>22.298408698228098</v>
          </cell>
          <cell r="BI82">
            <v>33.447613047342145</v>
          </cell>
          <cell r="BJ82">
            <v>44.596817396456196</v>
          </cell>
          <cell r="BK82">
            <v>55.746021745570246</v>
          </cell>
          <cell r="BL82">
            <v>66.89522609468429</v>
          </cell>
          <cell r="BM82">
            <v>22.298408698228098</v>
          </cell>
          <cell r="BQ82">
            <v>33</v>
          </cell>
          <cell r="BR82">
            <v>21.123884642848832</v>
          </cell>
          <cell r="BS82">
            <v>28.165179523798443</v>
          </cell>
          <cell r="BT82">
            <v>35.20647440474805</v>
          </cell>
          <cell r="BU82">
            <v>42.247769285697665</v>
          </cell>
          <cell r="BV82">
            <v>49.289064166647279</v>
          </cell>
          <cell r="BW82">
            <v>56.330359047596886</v>
          </cell>
          <cell r="BX82">
            <v>63.371653928546493</v>
          </cell>
          <cell r="BY82">
            <v>70.4129488094961</v>
          </cell>
          <cell r="BZ82">
            <v>3.5206474404748054</v>
          </cell>
          <cell r="CC82">
            <v>33</v>
          </cell>
          <cell r="CD82">
            <v>22.945972741312943</v>
          </cell>
          <cell r="CE82">
            <v>32.124361837838116</v>
          </cell>
          <cell r="CF82">
            <v>41.302750934363296</v>
          </cell>
          <cell r="CG82">
            <v>50.481140030888469</v>
          </cell>
          <cell r="CH82">
            <v>59.659529127413649</v>
          </cell>
          <cell r="CI82">
            <v>68.837918223938829</v>
          </cell>
          <cell r="CJ82">
            <v>45.891945482625886</v>
          </cell>
          <cell r="CK82">
            <v>4.5891945482625882</v>
          </cell>
          <cell r="CM82">
            <v>33</v>
          </cell>
          <cell r="CN82">
            <v>17.361966252954112</v>
          </cell>
          <cell r="CO82">
            <v>34.723932505908223</v>
          </cell>
          <cell r="CP82">
            <v>52.085898758862335</v>
          </cell>
          <cell r="CQ82">
            <v>69.447865011816447</v>
          </cell>
          <cell r="CR82">
            <v>86.809831264770565</v>
          </cell>
          <cell r="CS82">
            <v>104.17179751772467</v>
          </cell>
          <cell r="CT82">
            <v>34.723932505908223</v>
          </cell>
          <cell r="CX82">
            <v>7.65</v>
          </cell>
          <cell r="CY82">
            <v>6.1287615668645357</v>
          </cell>
          <cell r="CZ82">
            <v>7.6609519585806698</v>
          </cell>
          <cell r="DA82">
            <v>9.193142350296803</v>
          </cell>
          <cell r="DB82">
            <v>10.725332742012938</v>
          </cell>
          <cell r="DC82">
            <v>12.257523133729071</v>
          </cell>
          <cell r="DD82">
            <v>13.789713525445205</v>
          </cell>
          <cell r="DE82">
            <v>15.32190391716134</v>
          </cell>
          <cell r="DF82">
            <v>11.491427937871004</v>
          </cell>
          <cell r="DG82">
            <v>0.76609519585806696</v>
          </cell>
          <cell r="DJ82">
            <v>7.65</v>
          </cell>
          <cell r="DK82">
            <v>4.7423398499349245</v>
          </cell>
          <cell r="DL82">
            <v>6.6392757899088943</v>
          </cell>
          <cell r="DM82">
            <v>8.536211729882865</v>
          </cell>
          <cell r="DN82">
            <v>10.433147669856833</v>
          </cell>
          <cell r="DO82">
            <v>12.330083609830805</v>
          </cell>
          <cell r="DP82">
            <v>14.227019549804773</v>
          </cell>
          <cell r="DQ82">
            <v>9.484679699869849</v>
          </cell>
          <cell r="DR82">
            <v>0.9484679699869849</v>
          </cell>
          <cell r="DT82">
            <v>7.65</v>
          </cell>
          <cell r="DU82">
            <v>3.652008114250223</v>
          </cell>
          <cell r="DV82">
            <v>7.304016228500446</v>
          </cell>
          <cell r="DW82">
            <v>10.95602434275067</v>
          </cell>
          <cell r="DX82">
            <v>14.608032457000892</v>
          </cell>
          <cell r="DY82">
            <v>18.260040571251114</v>
          </cell>
          <cell r="DZ82">
            <v>21.91204868550134</v>
          </cell>
          <cell r="EA82">
            <v>7.304016228500446</v>
          </cell>
          <cell r="EE82">
            <v>2.375</v>
          </cell>
          <cell r="EF82">
            <v>2.1454234923871196</v>
          </cell>
          <cell r="EG82">
            <v>2.5745081908645435</v>
          </cell>
          <cell r="EH82">
            <v>3.0035928893419674</v>
          </cell>
          <cell r="EI82">
            <v>3.4326775878193914</v>
          </cell>
          <cell r="EJ82">
            <v>3.8617622862968153</v>
          </cell>
          <cell r="EK82">
            <v>4.2908469847742392</v>
          </cell>
          <cell r="EL82">
            <v>3.2181352385806794</v>
          </cell>
          <cell r="EM82">
            <v>0.21454234923871196</v>
          </cell>
          <cell r="EP82">
            <v>2.375</v>
          </cell>
          <cell r="EQ82">
            <v>1.7191103227102722</v>
          </cell>
          <cell r="ER82">
            <v>2.4067544517943809</v>
          </cell>
          <cell r="ES82">
            <v>3.0943985808784902</v>
          </cell>
          <cell r="ET82">
            <v>3.7820427099625986</v>
          </cell>
          <cell r="EU82">
            <v>4.4696868390467079</v>
          </cell>
          <cell r="EV82">
            <v>5.1573309681308164</v>
          </cell>
          <cell r="EW82">
            <v>3.4382206454205444</v>
          </cell>
          <cell r="EX82">
            <v>0.34382206454205444</v>
          </cell>
          <cell r="EZ82">
            <v>2.375</v>
          </cell>
          <cell r="FA82">
            <v>1.2364925161169036</v>
          </cell>
          <cell r="FB82">
            <v>2.4729850322338072</v>
          </cell>
          <cell r="FC82">
            <v>3.7094775483507108</v>
          </cell>
          <cell r="FD82">
            <v>4.9459700644676143</v>
          </cell>
          <cell r="FE82">
            <v>6.1824625805845184</v>
          </cell>
          <cell r="FF82">
            <v>7.4189550967014215</v>
          </cell>
          <cell r="FG82">
            <v>2.4729850322338072</v>
          </cell>
        </row>
        <row r="83">
          <cell r="A83">
            <v>37864</v>
          </cell>
          <cell r="B83">
            <v>45.446640000000002</v>
          </cell>
          <cell r="C83">
            <v>15.215632183908049</v>
          </cell>
          <cell r="D83">
            <v>22.823448275862074</v>
          </cell>
          <cell r="E83">
            <v>30.431264367816098</v>
          </cell>
          <cell r="F83">
            <v>38.039080459770119</v>
          </cell>
          <cell r="G83">
            <v>45.646896551724147</v>
          </cell>
          <cell r="H83">
            <v>53.254712643678175</v>
          </cell>
          <cell r="I83">
            <v>60.862528735632196</v>
          </cell>
          <cell r="J83">
            <v>68.470344827586217</v>
          </cell>
          <cell r="K83">
            <v>76.078160919540238</v>
          </cell>
          <cell r="L83">
            <v>57.058620689655186</v>
          </cell>
          <cell r="M83">
            <v>3.8039080459770123</v>
          </cell>
          <cell r="P83">
            <v>45.446640000000002</v>
          </cell>
          <cell r="Q83">
            <v>19.073261663285997</v>
          </cell>
          <cell r="R83">
            <v>31.788769438809993</v>
          </cell>
          <cell r="S83">
            <v>44.504277214333989</v>
          </cell>
          <cell r="T83">
            <v>57.219784989857992</v>
          </cell>
          <cell r="U83">
            <v>69.935292765381988</v>
          </cell>
          <cell r="V83">
            <v>82.65080054090599</v>
          </cell>
          <cell r="W83">
            <v>95.366308316429979</v>
          </cell>
          <cell r="X83">
            <v>63.577538877619986</v>
          </cell>
          <cell r="Y83">
            <v>6.3577538877619988</v>
          </cell>
          <cell r="AA83">
            <v>45.446640000000002</v>
          </cell>
          <cell r="AB83">
            <v>26.59825152129816</v>
          </cell>
          <cell r="AC83">
            <v>39.897377281947243</v>
          </cell>
          <cell r="AD83">
            <v>53.196503042596319</v>
          </cell>
          <cell r="AE83">
            <v>66.495628803245395</v>
          </cell>
          <cell r="AF83">
            <v>79.794754563894486</v>
          </cell>
          <cell r="AG83">
            <v>26.59825152129816</v>
          </cell>
          <cell r="AK83">
            <v>35.5</v>
          </cell>
          <cell r="AL83">
            <v>22.003352385203634</v>
          </cell>
          <cell r="AM83">
            <v>27.504190481504544</v>
          </cell>
          <cell r="AN83">
            <v>33.005028577805447</v>
          </cell>
          <cell r="AO83">
            <v>38.505866674106358</v>
          </cell>
          <cell r="AP83">
            <v>44.006704770407268</v>
          </cell>
          <cell r="AQ83">
            <v>49.507542866708178</v>
          </cell>
          <cell r="AR83">
            <v>55.008380963009088</v>
          </cell>
          <cell r="AS83">
            <v>41.256285722256813</v>
          </cell>
          <cell r="AT83">
            <v>2.7504190481504542</v>
          </cell>
          <cell r="AW83">
            <v>35.5</v>
          </cell>
          <cell r="AX83">
            <v>22.044065672534753</v>
          </cell>
          <cell r="AY83">
            <v>30.861691941548656</v>
          </cell>
          <cell r="AZ83">
            <v>39.679318210562556</v>
          </cell>
          <cell r="BA83">
            <v>48.496944479576456</v>
          </cell>
          <cell r="BB83">
            <v>57.314570748590363</v>
          </cell>
          <cell r="BC83">
            <v>66.132197017604256</v>
          </cell>
          <cell r="BD83">
            <v>44.088131345069506</v>
          </cell>
          <cell r="BE83">
            <v>4.4088131345069508</v>
          </cell>
          <cell r="BG83">
            <v>35.5</v>
          </cell>
          <cell r="BH83">
            <v>22.393823007628797</v>
          </cell>
          <cell r="BI83">
            <v>33.590734511443195</v>
          </cell>
          <cell r="BJ83">
            <v>44.787646015257593</v>
          </cell>
          <cell r="BK83">
            <v>55.984557519071991</v>
          </cell>
          <cell r="BL83">
            <v>67.18146902288639</v>
          </cell>
          <cell r="BM83">
            <v>22.393823007628797</v>
          </cell>
          <cell r="BQ83">
            <v>39.799999999999997</v>
          </cell>
          <cell r="BR83">
            <v>21.337558604971264</v>
          </cell>
          <cell r="BS83">
            <v>28.450078139961686</v>
          </cell>
          <cell r="BT83">
            <v>35.562597674952109</v>
          </cell>
          <cell r="BU83">
            <v>42.675117209942528</v>
          </cell>
          <cell r="BV83">
            <v>49.787636744932954</v>
          </cell>
          <cell r="BW83">
            <v>56.900156279923372</v>
          </cell>
          <cell r="BX83">
            <v>64.012675814913791</v>
          </cell>
          <cell r="BY83">
            <v>71.125195349904217</v>
          </cell>
          <cell r="BZ83">
            <v>3.5562597674952108</v>
          </cell>
          <cell r="CC83">
            <v>39.799999999999997</v>
          </cell>
          <cell r="CD83">
            <v>23.034693109356038</v>
          </cell>
          <cell r="CE83">
            <v>32.248570353098451</v>
          </cell>
          <cell r="CF83">
            <v>41.462447596840867</v>
          </cell>
          <cell r="CG83">
            <v>50.676324840583284</v>
          </cell>
          <cell r="CH83">
            <v>59.890202084325693</v>
          </cell>
          <cell r="CI83">
            <v>69.10407932806811</v>
          </cell>
          <cell r="CJ83">
            <v>46.069386218712076</v>
          </cell>
          <cell r="CK83">
            <v>4.6069386218712074</v>
          </cell>
          <cell r="CM83">
            <v>39.799999999999997</v>
          </cell>
          <cell r="CN83">
            <v>17.459177145862885</v>
          </cell>
          <cell r="CO83">
            <v>34.91835429172577</v>
          </cell>
          <cell r="CP83">
            <v>52.377531437588658</v>
          </cell>
          <cell r="CQ83">
            <v>69.836708583451539</v>
          </cell>
          <cell r="CR83">
            <v>87.295885729314421</v>
          </cell>
          <cell r="CS83">
            <v>104.75506287517732</v>
          </cell>
          <cell r="CT83">
            <v>34.91835429172577</v>
          </cell>
          <cell r="CX83">
            <v>9</v>
          </cell>
          <cell r="CY83">
            <v>6.1350522685097486</v>
          </cell>
          <cell r="CZ83">
            <v>7.668815335637186</v>
          </cell>
          <cell r="DA83">
            <v>9.2025784027646225</v>
          </cell>
          <cell r="DB83">
            <v>10.736341469892061</v>
          </cell>
          <cell r="DC83">
            <v>12.270104537019497</v>
          </cell>
          <cell r="DD83">
            <v>13.803867604146934</v>
          </cell>
          <cell r="DE83">
            <v>15.337630671274372</v>
          </cell>
          <cell r="DF83">
            <v>11.503223003455778</v>
          </cell>
          <cell r="DG83">
            <v>0.76688153356371858</v>
          </cell>
          <cell r="DJ83">
            <v>9</v>
          </cell>
          <cell r="DK83">
            <v>4.755825798592535</v>
          </cell>
          <cell r="DL83">
            <v>6.6581561180295488</v>
          </cell>
          <cell r="DM83">
            <v>8.5604864374665635</v>
          </cell>
          <cell r="DN83">
            <v>10.462816756903576</v>
          </cell>
          <cell r="DO83">
            <v>12.365147076340591</v>
          </cell>
          <cell r="DP83">
            <v>14.267477395777606</v>
          </cell>
          <cell r="DQ83">
            <v>9.5116515971850699</v>
          </cell>
          <cell r="DR83">
            <v>0.95116515971850701</v>
          </cell>
          <cell r="DT83">
            <v>9</v>
          </cell>
          <cell r="DU83">
            <v>3.6376627592872302</v>
          </cell>
          <cell r="DV83">
            <v>7.2753255185744603</v>
          </cell>
          <cell r="DW83">
            <v>10.91298827786169</v>
          </cell>
          <cell r="DX83">
            <v>14.550651037148921</v>
          </cell>
          <cell r="DY83">
            <v>18.188313796436152</v>
          </cell>
          <cell r="DZ83">
            <v>21.825976555723379</v>
          </cell>
          <cell r="EA83">
            <v>7.2753255185744603</v>
          </cell>
          <cell r="EE83">
            <v>2.4500000000000002</v>
          </cell>
          <cell r="EF83">
            <v>2.1694135918943069</v>
          </cell>
          <cell r="EG83">
            <v>2.6032963102731683</v>
          </cell>
          <cell r="EH83">
            <v>3.0371790286520297</v>
          </cell>
          <cell r="EI83">
            <v>3.4710617470308911</v>
          </cell>
          <cell r="EJ83">
            <v>3.9049444654097525</v>
          </cell>
          <cell r="EK83">
            <v>4.3388271837886139</v>
          </cell>
          <cell r="EL83">
            <v>3.2541203878414606</v>
          </cell>
          <cell r="EM83">
            <v>0.21694135918943069</v>
          </cell>
          <cell r="EP83">
            <v>2.4500000000000002</v>
          </cell>
          <cell r="EQ83">
            <v>1.6969582264610925</v>
          </cell>
          <cell r="ER83">
            <v>2.3757415170455296</v>
          </cell>
          <cell r="ES83">
            <v>3.0545248076299663</v>
          </cell>
          <cell r="ET83">
            <v>3.7333080982144033</v>
          </cell>
          <cell r="EU83">
            <v>4.4120913887988404</v>
          </cell>
          <cell r="EV83">
            <v>5.0908746793832771</v>
          </cell>
          <cell r="EW83">
            <v>3.393916452922185</v>
          </cell>
          <cell r="EX83">
            <v>0.33939164529221849</v>
          </cell>
          <cell r="EZ83">
            <v>2.4500000000000002</v>
          </cell>
          <cell r="FA83">
            <v>1.2390313835496243</v>
          </cell>
          <cell r="FB83">
            <v>2.4780627670992486</v>
          </cell>
          <cell r="FC83">
            <v>3.7170941506488728</v>
          </cell>
          <cell r="FD83">
            <v>4.9561255341984971</v>
          </cell>
          <cell r="FE83">
            <v>6.1951569177481218</v>
          </cell>
          <cell r="FF83">
            <v>7.4341883012977457</v>
          </cell>
          <cell r="FG83">
            <v>2.4780627670992486</v>
          </cell>
        </row>
        <row r="84">
          <cell r="A84">
            <v>37894</v>
          </cell>
          <cell r="B84">
            <v>46.627070000000003</v>
          </cell>
          <cell r="C84">
            <v>15.436064908722113</v>
          </cell>
          <cell r="D84">
            <v>23.154097363083167</v>
          </cell>
          <cell r="E84">
            <v>30.872129817444225</v>
          </cell>
          <cell r="F84">
            <v>38.590162271805283</v>
          </cell>
          <cell r="G84">
            <v>46.308194726166334</v>
          </cell>
          <cell r="H84">
            <v>54.026227180527393</v>
          </cell>
          <cell r="I84">
            <v>61.744259634888451</v>
          </cell>
          <cell r="J84">
            <v>69.462292089249502</v>
          </cell>
          <cell r="K84">
            <v>77.180324543610567</v>
          </cell>
          <cell r="L84">
            <v>57.885243407707925</v>
          </cell>
          <cell r="M84">
            <v>3.8590162271805282</v>
          </cell>
          <cell r="P84">
            <v>46.627070000000003</v>
          </cell>
          <cell r="Q84">
            <v>19.042268762677477</v>
          </cell>
          <cell r="R84">
            <v>31.737114604462459</v>
          </cell>
          <cell r="S84">
            <v>44.431960446247444</v>
          </cell>
          <cell r="T84">
            <v>57.126806288032427</v>
          </cell>
          <cell r="U84">
            <v>69.821652129817409</v>
          </cell>
          <cell r="V84">
            <v>82.516497971602391</v>
          </cell>
          <cell r="W84">
            <v>95.211343813387373</v>
          </cell>
          <cell r="X84">
            <v>63.474229208924918</v>
          </cell>
          <cell r="Y84">
            <v>6.3474229208924919</v>
          </cell>
          <cell r="AA84">
            <v>46.627070000000003</v>
          </cell>
          <cell r="AB84">
            <v>26.833069979716008</v>
          </cell>
          <cell r="AC84">
            <v>40.249604969574008</v>
          </cell>
          <cell r="AD84">
            <v>53.666139959432016</v>
          </cell>
          <cell r="AE84">
            <v>67.082674949290023</v>
          </cell>
          <cell r="AF84">
            <v>80.499209939148017</v>
          </cell>
          <cell r="AG84">
            <v>26.833069979716008</v>
          </cell>
          <cell r="AK84">
            <v>41</v>
          </cell>
          <cell r="AL84">
            <v>22.471942081818252</v>
          </cell>
          <cell r="AM84">
            <v>28.089927602272816</v>
          </cell>
          <cell r="AN84">
            <v>33.707913122727376</v>
          </cell>
          <cell r="AO84">
            <v>39.325898643181944</v>
          </cell>
          <cell r="AP84">
            <v>44.943884163636504</v>
          </cell>
          <cell r="AQ84">
            <v>50.561869684091064</v>
          </cell>
          <cell r="AR84">
            <v>56.179855204545632</v>
          </cell>
          <cell r="AS84">
            <v>42.13489140340922</v>
          </cell>
          <cell r="AT84">
            <v>2.8089927602272815</v>
          </cell>
          <cell r="AW84">
            <v>41</v>
          </cell>
          <cell r="AX84">
            <v>22.149981304809788</v>
          </cell>
          <cell r="AY84">
            <v>31.009973826733706</v>
          </cell>
          <cell r="AZ84">
            <v>39.86996634865762</v>
          </cell>
          <cell r="BA84">
            <v>48.729958870581534</v>
          </cell>
          <cell r="BB84">
            <v>57.589951392505455</v>
          </cell>
          <cell r="BC84">
            <v>66.449943914429369</v>
          </cell>
          <cell r="BD84">
            <v>44.299962609619577</v>
          </cell>
          <cell r="BE84">
            <v>4.4299962609619579</v>
          </cell>
          <cell r="BG84">
            <v>41</v>
          </cell>
          <cell r="BH84">
            <v>22.489237317029495</v>
          </cell>
          <cell r="BI84">
            <v>33.733855975544245</v>
          </cell>
          <cell r="BJ84">
            <v>44.97847463405899</v>
          </cell>
          <cell r="BK84">
            <v>56.223093292573736</v>
          </cell>
          <cell r="BL84">
            <v>67.467711951088489</v>
          </cell>
          <cell r="BM84">
            <v>22.489237317029495</v>
          </cell>
          <cell r="BQ84">
            <v>45.6</v>
          </cell>
          <cell r="BR84">
            <v>21.551232567093699</v>
          </cell>
          <cell r="BS84">
            <v>28.734976756124929</v>
          </cell>
          <cell r="BT84">
            <v>35.91872094515616</v>
          </cell>
          <cell r="BU84">
            <v>43.102465134187398</v>
          </cell>
          <cell r="BV84">
            <v>50.286209323218628</v>
          </cell>
          <cell r="BW84">
            <v>57.469953512249859</v>
          </cell>
          <cell r="BX84">
            <v>64.653697701281089</v>
          </cell>
          <cell r="BY84">
            <v>71.83744189031232</v>
          </cell>
          <cell r="BZ84">
            <v>3.5918720945156162</v>
          </cell>
          <cell r="CC84">
            <v>45.6</v>
          </cell>
          <cell r="CD84">
            <v>23.123413477399133</v>
          </cell>
          <cell r="CE84">
            <v>32.372778868358786</v>
          </cell>
          <cell r="CF84">
            <v>41.622144259318439</v>
          </cell>
          <cell r="CG84">
            <v>50.871509650278092</v>
          </cell>
          <cell r="CH84">
            <v>60.120875041237746</v>
          </cell>
          <cell r="CI84">
            <v>69.370240432197392</v>
          </cell>
          <cell r="CJ84">
            <v>46.246826954798266</v>
          </cell>
          <cell r="CK84">
            <v>4.6246826954798266</v>
          </cell>
          <cell r="CM84">
            <v>45.6</v>
          </cell>
          <cell r="CN84">
            <v>17.556388038771658</v>
          </cell>
          <cell r="CO84">
            <v>35.112776077543316</v>
          </cell>
          <cell r="CP84">
            <v>52.669164116314974</v>
          </cell>
          <cell r="CQ84">
            <v>70.225552155086632</v>
          </cell>
          <cell r="CR84">
            <v>87.78194019385829</v>
          </cell>
          <cell r="CS84">
            <v>105.33832823262995</v>
          </cell>
          <cell r="CT84">
            <v>35.112776077543316</v>
          </cell>
          <cell r="CX84">
            <v>9.3000000000000007</v>
          </cell>
          <cell r="CY84">
            <v>6.1413429701549616</v>
          </cell>
          <cell r="CZ84">
            <v>7.6766787126937022</v>
          </cell>
          <cell r="DA84">
            <v>9.2120144552324419</v>
          </cell>
          <cell r="DB84">
            <v>10.747350197771183</v>
          </cell>
          <cell r="DC84">
            <v>12.282685940309923</v>
          </cell>
          <cell r="DD84">
            <v>13.818021682848663</v>
          </cell>
          <cell r="DE84">
            <v>15.353357425387404</v>
          </cell>
          <cell r="DF84">
            <v>11.515018069040552</v>
          </cell>
          <cell r="DG84">
            <v>0.76766787126937019</v>
          </cell>
          <cell r="DJ84">
            <v>9.3000000000000007</v>
          </cell>
          <cell r="DK84">
            <v>4.7693117472501454</v>
          </cell>
          <cell r="DL84">
            <v>6.6770364461502041</v>
          </cell>
          <cell r="DM84">
            <v>8.5847611450502619</v>
          </cell>
          <cell r="DN84">
            <v>10.49248584395032</v>
          </cell>
          <cell r="DO84">
            <v>12.400210542850379</v>
          </cell>
          <cell r="DP84">
            <v>14.307935241750437</v>
          </cell>
          <cell r="DQ84">
            <v>9.5386234945002908</v>
          </cell>
          <cell r="DR84">
            <v>0.95386234945002912</v>
          </cell>
          <cell r="DT84">
            <v>9.3000000000000007</v>
          </cell>
          <cell r="DU84">
            <v>3.6233174043242373</v>
          </cell>
          <cell r="DV84">
            <v>7.2466348086484746</v>
          </cell>
          <cell r="DW84">
            <v>10.869952212972713</v>
          </cell>
          <cell r="DX84">
            <v>14.493269617296949</v>
          </cell>
          <cell r="DY84">
            <v>18.116587021621186</v>
          </cell>
          <cell r="DZ84">
            <v>21.739904425945426</v>
          </cell>
          <cell r="EA84">
            <v>7.2466348086484746</v>
          </cell>
          <cell r="EE84">
            <v>2.875</v>
          </cell>
          <cell r="EF84">
            <v>2.1934036914014943</v>
          </cell>
          <cell r="EG84">
            <v>2.6320844296817931</v>
          </cell>
          <cell r="EH84">
            <v>3.070765167962092</v>
          </cell>
          <cell r="EI84">
            <v>3.5094459062423908</v>
          </cell>
          <cell r="EJ84">
            <v>3.9481266445226897</v>
          </cell>
          <cell r="EK84">
            <v>4.3868073828029885</v>
          </cell>
          <cell r="EL84">
            <v>3.2901055371022414</v>
          </cell>
          <cell r="EM84">
            <v>0.21934036914014943</v>
          </cell>
          <cell r="EP84">
            <v>2.875</v>
          </cell>
          <cell r="EQ84">
            <v>1.6748061302119126</v>
          </cell>
          <cell r="ER84">
            <v>2.3447285822966779</v>
          </cell>
          <cell r="ES84">
            <v>3.0146510343814428</v>
          </cell>
          <cell r="ET84">
            <v>3.6845734864662081</v>
          </cell>
          <cell r="EU84">
            <v>4.3544959385509729</v>
          </cell>
          <cell r="EV84">
            <v>5.0244183906357378</v>
          </cell>
          <cell r="EW84">
            <v>3.3496122604238252</v>
          </cell>
          <cell r="EX84">
            <v>0.33496122604238254</v>
          </cell>
          <cell r="EZ84">
            <v>2.875</v>
          </cell>
          <cell r="FA84">
            <v>1.241570250982345</v>
          </cell>
          <cell r="FB84">
            <v>2.4831405019646899</v>
          </cell>
          <cell r="FC84">
            <v>3.7247107529470349</v>
          </cell>
          <cell r="FD84">
            <v>4.9662810039293799</v>
          </cell>
          <cell r="FE84">
            <v>6.2078512549117253</v>
          </cell>
          <cell r="FF84">
            <v>7.4494215058940698</v>
          </cell>
          <cell r="FG84">
            <v>2.4831405019646899</v>
          </cell>
        </row>
        <row r="85">
          <cell r="A85">
            <v>37925</v>
          </cell>
          <cell r="B85">
            <v>53.365369999999999</v>
          </cell>
          <cell r="C85">
            <v>15.656497633536176</v>
          </cell>
          <cell r="D85">
            <v>23.484746450304264</v>
          </cell>
          <cell r="E85">
            <v>31.312995267072353</v>
          </cell>
          <cell r="F85">
            <v>39.141244083840441</v>
          </cell>
          <cell r="G85">
            <v>46.969492900608529</v>
          </cell>
          <cell r="H85">
            <v>54.797741717376617</v>
          </cell>
          <cell r="I85">
            <v>62.625990534144705</v>
          </cell>
          <cell r="J85">
            <v>70.454239350912786</v>
          </cell>
          <cell r="K85">
            <v>78.282488167680881</v>
          </cell>
          <cell r="L85">
            <v>58.711866125760665</v>
          </cell>
          <cell r="M85">
            <v>3.9141244083840441</v>
          </cell>
          <cell r="P85">
            <v>53.365369999999999</v>
          </cell>
          <cell r="Q85">
            <v>19.011275862068956</v>
          </cell>
          <cell r="R85">
            <v>31.685459770114925</v>
          </cell>
          <cell r="S85">
            <v>44.359643678160893</v>
          </cell>
          <cell r="T85">
            <v>57.033827586206868</v>
          </cell>
          <cell r="U85">
            <v>69.70801149425283</v>
          </cell>
          <cell r="V85">
            <v>82.382195402298805</v>
          </cell>
          <cell r="W85">
            <v>95.056379310344781</v>
          </cell>
          <cell r="X85">
            <v>63.370919540229849</v>
          </cell>
          <cell r="Y85">
            <v>6.3370919540229851</v>
          </cell>
          <cell r="AA85">
            <v>53.365369999999999</v>
          </cell>
          <cell r="AB85">
            <v>27.067888438133856</v>
          </cell>
          <cell r="AC85">
            <v>40.601832657200788</v>
          </cell>
          <cell r="AD85">
            <v>54.135776876267713</v>
          </cell>
          <cell r="AE85">
            <v>67.669721095334637</v>
          </cell>
          <cell r="AF85">
            <v>81.203665314401576</v>
          </cell>
          <cell r="AG85">
            <v>27.067888438133856</v>
          </cell>
          <cell r="AK85">
            <v>47.9</v>
          </cell>
          <cell r="AL85">
            <v>22.94053177843287</v>
          </cell>
          <cell r="AM85">
            <v>28.675664723041088</v>
          </cell>
          <cell r="AN85">
            <v>34.410797667649305</v>
          </cell>
          <cell r="AO85">
            <v>40.145930612257523</v>
          </cell>
          <cell r="AP85">
            <v>45.88106355686574</v>
          </cell>
          <cell r="AQ85">
            <v>51.616196501473958</v>
          </cell>
          <cell r="AR85">
            <v>57.351329446082175</v>
          </cell>
          <cell r="AS85">
            <v>43.013497084561635</v>
          </cell>
          <cell r="AT85">
            <v>2.8675664723041088</v>
          </cell>
          <cell r="AW85">
            <v>47.9</v>
          </cell>
          <cell r="AX85">
            <v>22.255896937084824</v>
          </cell>
          <cell r="AY85">
            <v>31.158255711918756</v>
          </cell>
          <cell r="AZ85">
            <v>40.060614486752684</v>
          </cell>
          <cell r="BA85">
            <v>48.962973261586612</v>
          </cell>
          <cell r="BB85">
            <v>57.865332036420547</v>
          </cell>
          <cell r="BC85">
            <v>66.767690811254468</v>
          </cell>
          <cell r="BD85">
            <v>44.511793874169648</v>
          </cell>
          <cell r="BE85">
            <v>4.4511793874169649</v>
          </cell>
          <cell r="BG85">
            <v>47.9</v>
          </cell>
          <cell r="BH85">
            <v>22.584651626430194</v>
          </cell>
          <cell r="BI85">
            <v>33.876977439645287</v>
          </cell>
          <cell r="BJ85">
            <v>45.169303252860388</v>
          </cell>
          <cell r="BK85">
            <v>56.461629066075488</v>
          </cell>
          <cell r="BL85">
            <v>67.753954879290575</v>
          </cell>
          <cell r="BM85">
            <v>22.584651626430194</v>
          </cell>
          <cell r="BQ85">
            <v>48.9</v>
          </cell>
          <cell r="BR85">
            <v>21.76490652921613</v>
          </cell>
          <cell r="BS85">
            <v>29.019875372288173</v>
          </cell>
          <cell r="BT85">
            <v>36.274844215360218</v>
          </cell>
          <cell r="BU85">
            <v>43.529813058432261</v>
          </cell>
          <cell r="BV85">
            <v>50.784781901504303</v>
          </cell>
          <cell r="BW85">
            <v>58.039750744576345</v>
          </cell>
          <cell r="BX85">
            <v>65.294719587648387</v>
          </cell>
          <cell r="BY85">
            <v>72.549688430720437</v>
          </cell>
          <cell r="BZ85">
            <v>3.6274844215360216</v>
          </cell>
          <cell r="CC85">
            <v>48.9</v>
          </cell>
          <cell r="CD85">
            <v>23.212133845442228</v>
          </cell>
          <cell r="CE85">
            <v>32.496987383619121</v>
          </cell>
          <cell r="CF85">
            <v>41.781840921796011</v>
          </cell>
          <cell r="CG85">
            <v>51.066694459972901</v>
          </cell>
          <cell r="CH85">
            <v>60.351547998149798</v>
          </cell>
          <cell r="CI85">
            <v>69.636401536326687</v>
          </cell>
          <cell r="CJ85">
            <v>46.424267690884456</v>
          </cell>
          <cell r="CK85">
            <v>4.6424267690884458</v>
          </cell>
          <cell r="CM85">
            <v>48.9</v>
          </cell>
          <cell r="CN85">
            <v>17.653598931680431</v>
          </cell>
          <cell r="CO85">
            <v>35.307197863360862</v>
          </cell>
          <cell r="CP85">
            <v>52.96079679504129</v>
          </cell>
          <cell r="CQ85">
            <v>70.614395726721725</v>
          </cell>
          <cell r="CR85">
            <v>88.267994658402159</v>
          </cell>
          <cell r="CS85">
            <v>105.92159359008258</v>
          </cell>
          <cell r="CT85">
            <v>35.307197863360862</v>
          </cell>
          <cell r="CX85">
            <v>10.45</v>
          </cell>
          <cell r="CY85">
            <v>6.1476336718001745</v>
          </cell>
          <cell r="CZ85">
            <v>7.6845420897502184</v>
          </cell>
          <cell r="DA85">
            <v>9.2214505077002613</v>
          </cell>
          <cell r="DB85">
            <v>10.758358925650306</v>
          </cell>
          <cell r="DC85">
            <v>12.295267343600349</v>
          </cell>
          <cell r="DD85">
            <v>13.832175761550392</v>
          </cell>
          <cell r="DE85">
            <v>15.369084179500437</v>
          </cell>
          <cell r="DF85">
            <v>11.526813134625327</v>
          </cell>
          <cell r="DG85">
            <v>0.76845420897502181</v>
          </cell>
          <cell r="DJ85">
            <v>10.45</v>
          </cell>
          <cell r="DK85">
            <v>4.7827976959077558</v>
          </cell>
          <cell r="DL85">
            <v>6.6959167742708585</v>
          </cell>
          <cell r="DM85">
            <v>8.6090358526339603</v>
          </cell>
          <cell r="DN85">
            <v>10.522154930997063</v>
          </cell>
          <cell r="DO85">
            <v>12.435274009360166</v>
          </cell>
          <cell r="DP85">
            <v>14.348393087723268</v>
          </cell>
          <cell r="DQ85">
            <v>9.5655953918155117</v>
          </cell>
          <cell r="DR85">
            <v>0.95655953918155123</v>
          </cell>
          <cell r="DT85">
            <v>10.45</v>
          </cell>
          <cell r="DU85">
            <v>3.6089720493612445</v>
          </cell>
          <cell r="DV85">
            <v>7.217944098722489</v>
          </cell>
          <cell r="DW85">
            <v>10.826916148083733</v>
          </cell>
          <cell r="DX85">
            <v>14.435888197444978</v>
          </cell>
          <cell r="DY85">
            <v>18.044860246806223</v>
          </cell>
          <cell r="DZ85">
            <v>21.653832296167465</v>
          </cell>
          <cell r="EA85">
            <v>7.217944098722489</v>
          </cell>
          <cell r="EE85">
            <v>3.4750000000000001</v>
          </cell>
          <cell r="EF85">
            <v>2.2173937909086816</v>
          </cell>
          <cell r="EG85">
            <v>2.6608725490904179</v>
          </cell>
          <cell r="EH85">
            <v>3.1043513072721542</v>
          </cell>
          <cell r="EI85">
            <v>3.5478300654538906</v>
          </cell>
          <cell r="EJ85">
            <v>3.9913088236356269</v>
          </cell>
          <cell r="EK85">
            <v>4.4347875818173632</v>
          </cell>
          <cell r="EL85">
            <v>3.3260906863630222</v>
          </cell>
          <cell r="EM85">
            <v>0.22173937909086816</v>
          </cell>
          <cell r="EP85">
            <v>3.4750000000000001</v>
          </cell>
          <cell r="EQ85">
            <v>1.6526540339627329</v>
          </cell>
          <cell r="ER85">
            <v>2.3137156475478262</v>
          </cell>
          <cell r="ES85">
            <v>2.9747772611329193</v>
          </cell>
          <cell r="ET85">
            <v>3.6358388747180124</v>
          </cell>
          <cell r="EU85">
            <v>4.2969004883031054</v>
          </cell>
          <cell r="EV85">
            <v>4.9579621018881985</v>
          </cell>
          <cell r="EW85">
            <v>3.3053080679254658</v>
          </cell>
          <cell r="EX85">
            <v>0.33053080679254659</v>
          </cell>
          <cell r="EZ85">
            <v>3.4750000000000001</v>
          </cell>
          <cell r="FA85">
            <v>1.2441091184150657</v>
          </cell>
          <cell r="FB85">
            <v>2.4882182368301313</v>
          </cell>
          <cell r="FC85">
            <v>3.732327355245197</v>
          </cell>
          <cell r="FD85">
            <v>4.9764364736602626</v>
          </cell>
          <cell r="FE85">
            <v>6.2205455920753288</v>
          </cell>
          <cell r="FF85">
            <v>7.464654710490394</v>
          </cell>
          <cell r="FG85">
            <v>2.4882182368301313</v>
          </cell>
        </row>
        <row r="86">
          <cell r="A86">
            <v>37955</v>
          </cell>
          <cell r="B86">
            <v>56.562370000000001</v>
          </cell>
          <cell r="C86">
            <v>15.87693035835024</v>
          </cell>
          <cell r="D86">
            <v>23.815395537525362</v>
          </cell>
          <cell r="E86">
            <v>31.75386071670048</v>
          </cell>
          <cell r="F86">
            <v>39.692325895875598</v>
          </cell>
          <cell r="G86">
            <v>47.630791075050723</v>
          </cell>
          <cell r="H86">
            <v>55.569256254225841</v>
          </cell>
          <cell r="I86">
            <v>63.50772143340096</v>
          </cell>
          <cell r="J86">
            <v>71.446186612576085</v>
          </cell>
          <cell r="K86">
            <v>79.384651791751196</v>
          </cell>
          <cell r="L86">
            <v>59.538488843813397</v>
          </cell>
          <cell r="M86">
            <v>3.96923258958756</v>
          </cell>
          <cell r="P86">
            <v>56.562370000000001</v>
          </cell>
          <cell r="Q86">
            <v>18.980282961460436</v>
          </cell>
          <cell r="R86">
            <v>31.63380493576739</v>
          </cell>
          <cell r="S86">
            <v>44.287326910074349</v>
          </cell>
          <cell r="T86">
            <v>56.940848884381303</v>
          </cell>
          <cell r="U86">
            <v>69.594370858688265</v>
          </cell>
          <cell r="V86">
            <v>82.24789283299522</v>
          </cell>
          <cell r="W86">
            <v>94.901414807302174</v>
          </cell>
          <cell r="X86">
            <v>63.267609871534781</v>
          </cell>
          <cell r="Y86">
            <v>6.3267609871534782</v>
          </cell>
          <cell r="AA86">
            <v>56.562370000000001</v>
          </cell>
          <cell r="AB86">
            <v>27.302706896551705</v>
          </cell>
          <cell r="AC86">
            <v>40.954060344827553</v>
          </cell>
          <cell r="AD86">
            <v>54.605413793103409</v>
          </cell>
          <cell r="AE86">
            <v>68.256767241379265</v>
          </cell>
          <cell r="AF86">
            <v>81.908120689655107</v>
          </cell>
          <cell r="AG86">
            <v>27.302706896551705</v>
          </cell>
          <cell r="AK86">
            <v>46.4</v>
          </cell>
          <cell r="AL86">
            <v>23.409121475047488</v>
          </cell>
          <cell r="AM86">
            <v>29.261401843809359</v>
          </cell>
          <cell r="AN86">
            <v>35.113682212571234</v>
          </cell>
          <cell r="AO86">
            <v>40.965962581333102</v>
          </cell>
          <cell r="AP86">
            <v>46.818242950094977</v>
          </cell>
          <cell r="AQ86">
            <v>52.670523318856851</v>
          </cell>
          <cell r="AR86">
            <v>58.522803687618719</v>
          </cell>
          <cell r="AS86">
            <v>43.892102765714043</v>
          </cell>
          <cell r="AT86">
            <v>2.926140184380936</v>
          </cell>
          <cell r="AW86">
            <v>46.4</v>
          </cell>
          <cell r="AX86">
            <v>22.361812569359859</v>
          </cell>
          <cell r="AY86">
            <v>31.306537597103805</v>
          </cell>
          <cell r="AZ86">
            <v>40.251262624847747</v>
          </cell>
          <cell r="BA86">
            <v>49.19598765259169</v>
          </cell>
          <cell r="BB86">
            <v>58.140712680335639</v>
          </cell>
          <cell r="BC86">
            <v>67.085437708079581</v>
          </cell>
          <cell r="BD86">
            <v>44.723625138719719</v>
          </cell>
          <cell r="BE86">
            <v>4.472362513871972</v>
          </cell>
          <cell r="BG86">
            <v>46.4</v>
          </cell>
          <cell r="BH86">
            <v>22.680065935830893</v>
          </cell>
          <cell r="BI86">
            <v>34.020098903746337</v>
          </cell>
          <cell r="BJ86">
            <v>45.360131871661785</v>
          </cell>
          <cell r="BK86">
            <v>56.700164839577234</v>
          </cell>
          <cell r="BL86">
            <v>68.040197807492675</v>
          </cell>
          <cell r="BM86">
            <v>22.680065935830893</v>
          </cell>
          <cell r="BQ86">
            <v>50.25</v>
          </cell>
          <cell r="BR86">
            <v>21.978580491338562</v>
          </cell>
          <cell r="BS86">
            <v>29.304773988451416</v>
          </cell>
          <cell r="BT86">
            <v>36.63096748556427</v>
          </cell>
          <cell r="BU86">
            <v>43.957160982677124</v>
          </cell>
          <cell r="BV86">
            <v>51.283354479789978</v>
          </cell>
          <cell r="BW86">
            <v>58.609547976902832</v>
          </cell>
          <cell r="BX86">
            <v>65.935741474015686</v>
          </cell>
          <cell r="BY86">
            <v>73.261934971128539</v>
          </cell>
          <cell r="BZ86">
            <v>3.663096748556427</v>
          </cell>
          <cell r="CC86">
            <v>50.25</v>
          </cell>
          <cell r="CD86">
            <v>23.300854213485323</v>
          </cell>
          <cell r="CE86">
            <v>32.621195898879456</v>
          </cell>
          <cell r="CF86">
            <v>41.941537584273583</v>
          </cell>
          <cell r="CG86">
            <v>51.261879269667716</v>
          </cell>
          <cell r="CH86">
            <v>60.582220955061842</v>
          </cell>
          <cell r="CI86">
            <v>69.902562640455969</v>
          </cell>
          <cell r="CJ86">
            <v>46.601708426970646</v>
          </cell>
          <cell r="CK86">
            <v>4.6601708426970649</v>
          </cell>
          <cell r="CM86">
            <v>50.25</v>
          </cell>
          <cell r="CN86">
            <v>17.750809824589204</v>
          </cell>
          <cell r="CO86">
            <v>35.501619649178409</v>
          </cell>
          <cell r="CP86">
            <v>53.252429473767613</v>
          </cell>
          <cell r="CQ86">
            <v>71.003239298356817</v>
          </cell>
          <cell r="CR86">
            <v>88.754049122946014</v>
          </cell>
          <cell r="CS86">
            <v>106.50485894753523</v>
          </cell>
          <cell r="CT86">
            <v>35.501619649178409</v>
          </cell>
          <cell r="CX86">
            <v>10.45</v>
          </cell>
          <cell r="CY86">
            <v>6.1539243734453875</v>
          </cell>
          <cell r="CZ86">
            <v>7.6924054668067345</v>
          </cell>
          <cell r="DA86">
            <v>9.2308865601680807</v>
          </cell>
          <cell r="DB86">
            <v>10.769367653529429</v>
          </cell>
          <cell r="DC86">
            <v>12.307848746890775</v>
          </cell>
          <cell r="DD86">
            <v>13.846329840252121</v>
          </cell>
          <cell r="DE86">
            <v>15.384810933613469</v>
          </cell>
          <cell r="DF86">
            <v>11.538608200210101</v>
          </cell>
          <cell r="DG86">
            <v>0.76924054668067343</v>
          </cell>
          <cell r="DJ86">
            <v>10.45</v>
          </cell>
          <cell r="DK86">
            <v>4.7962836445653672</v>
          </cell>
          <cell r="DL86">
            <v>6.714797102391513</v>
          </cell>
          <cell r="DM86">
            <v>8.6333105602176605</v>
          </cell>
          <cell r="DN86">
            <v>10.551824018043806</v>
          </cell>
          <cell r="DO86">
            <v>12.470337475869954</v>
          </cell>
          <cell r="DP86">
            <v>14.3888509336961</v>
          </cell>
          <cell r="DQ86">
            <v>9.5925672891307343</v>
          </cell>
          <cell r="DR86">
            <v>0.95925672891307334</v>
          </cell>
          <cell r="DT86">
            <v>10.45</v>
          </cell>
          <cell r="DU86">
            <v>3.5946266943982517</v>
          </cell>
          <cell r="DV86">
            <v>7.1892533887965033</v>
          </cell>
          <cell r="DW86">
            <v>10.783880083194756</v>
          </cell>
          <cell r="DX86">
            <v>14.378506777593007</v>
          </cell>
          <cell r="DY86">
            <v>17.973133471991257</v>
          </cell>
          <cell r="DZ86">
            <v>21.567760166389512</v>
          </cell>
          <cell r="EA86">
            <v>7.1892533887965033</v>
          </cell>
          <cell r="EE86">
            <v>3.55</v>
          </cell>
          <cell r="EF86">
            <v>2.2413838904158689</v>
          </cell>
          <cell r="EG86">
            <v>2.6896606684990427</v>
          </cell>
          <cell r="EH86">
            <v>3.1379374465822165</v>
          </cell>
          <cell r="EI86">
            <v>3.5862142246653903</v>
          </cell>
          <cell r="EJ86">
            <v>4.0344910027485641</v>
          </cell>
          <cell r="EK86">
            <v>4.4827677808317379</v>
          </cell>
          <cell r="EL86">
            <v>3.3620758356238034</v>
          </cell>
          <cell r="EM86">
            <v>0.22413838904158689</v>
          </cell>
          <cell r="EP86">
            <v>3.55</v>
          </cell>
          <cell r="EQ86">
            <v>1.6305019377135532</v>
          </cell>
          <cell r="ER86">
            <v>2.2827027127989745</v>
          </cell>
          <cell r="ES86">
            <v>2.9349034878843958</v>
          </cell>
          <cell r="ET86">
            <v>3.5871042629698171</v>
          </cell>
          <cell r="EU86">
            <v>4.2393050380552388</v>
          </cell>
          <cell r="EV86">
            <v>4.8915058131406592</v>
          </cell>
          <cell r="EW86">
            <v>3.2610038754271065</v>
          </cell>
          <cell r="EX86">
            <v>0.32610038754271065</v>
          </cell>
          <cell r="EZ86">
            <v>3.55</v>
          </cell>
          <cell r="FA86">
            <v>1.2466479858477864</v>
          </cell>
          <cell r="FB86">
            <v>2.4932959716955727</v>
          </cell>
          <cell r="FC86">
            <v>3.7399439575433591</v>
          </cell>
          <cell r="FD86">
            <v>4.9865919433911454</v>
          </cell>
          <cell r="FE86">
            <v>6.2332399292389322</v>
          </cell>
          <cell r="FF86">
            <v>7.4798879150867181</v>
          </cell>
          <cell r="FG86">
            <v>2.4932959716955727</v>
          </cell>
        </row>
        <row r="87">
          <cell r="A87">
            <v>37986</v>
          </cell>
          <cell r="B87">
            <v>56.808300000000003</v>
          </cell>
          <cell r="C87">
            <v>16.0973630831643</v>
          </cell>
          <cell r="D87">
            <v>24.146044624746452</v>
          </cell>
          <cell r="E87">
            <v>32.1947261663286</v>
          </cell>
          <cell r="F87">
            <v>40.243407707910748</v>
          </cell>
          <cell r="G87">
            <v>48.292089249492903</v>
          </cell>
          <cell r="H87">
            <v>56.340770791075052</v>
          </cell>
          <cell r="I87">
            <v>64.3894523326572</v>
          </cell>
          <cell r="J87">
            <v>72.438133874239355</v>
          </cell>
          <cell r="K87">
            <v>80.486815415821496</v>
          </cell>
          <cell r="L87">
            <v>60.365111561866122</v>
          </cell>
          <cell r="M87">
            <v>4.024340770791075</v>
          </cell>
          <cell r="P87">
            <v>56.808300000000003</v>
          </cell>
          <cell r="Q87">
            <v>18.949290060851929</v>
          </cell>
          <cell r="R87">
            <v>31.582150101419877</v>
          </cell>
          <cell r="S87">
            <v>44.215010141987833</v>
          </cell>
          <cell r="T87">
            <v>56.847870182555781</v>
          </cell>
          <cell r="U87">
            <v>69.480730223123729</v>
          </cell>
          <cell r="V87">
            <v>82.113590263691691</v>
          </cell>
          <cell r="W87">
            <v>94.746450304259639</v>
          </cell>
          <cell r="X87">
            <v>63.164300202839755</v>
          </cell>
          <cell r="Y87">
            <v>6.3164300202839758</v>
          </cell>
          <cell r="AA87">
            <v>56.808300000000003</v>
          </cell>
          <cell r="AB87">
            <v>27.537525354969574</v>
          </cell>
          <cell r="AC87">
            <v>41.306288032454361</v>
          </cell>
          <cell r="AD87">
            <v>55.075050709939148</v>
          </cell>
          <cell r="AE87">
            <v>68.843813387423936</v>
          </cell>
          <cell r="AF87">
            <v>82.612576064908723</v>
          </cell>
          <cell r="AG87">
            <v>27.537525354969574</v>
          </cell>
          <cell r="AK87">
            <v>46.2</v>
          </cell>
          <cell r="AL87">
            <v>23.877711171662117</v>
          </cell>
          <cell r="AM87">
            <v>29.847138964577645</v>
          </cell>
          <cell r="AN87">
            <v>35.816566757493177</v>
          </cell>
          <cell r="AO87">
            <v>41.785994550408702</v>
          </cell>
          <cell r="AP87">
            <v>47.755422343324234</v>
          </cell>
          <cell r="AQ87">
            <v>53.724850136239766</v>
          </cell>
          <cell r="AR87">
            <v>59.694277929155291</v>
          </cell>
          <cell r="AS87">
            <v>44.770708446866472</v>
          </cell>
          <cell r="AT87">
            <v>2.9847138964577646</v>
          </cell>
          <cell r="AW87">
            <v>46.2</v>
          </cell>
          <cell r="AX87">
            <v>22.467728201634873</v>
          </cell>
          <cell r="AY87">
            <v>31.454819482288823</v>
          </cell>
          <cell r="AZ87">
            <v>40.441910762942769</v>
          </cell>
          <cell r="BA87">
            <v>49.429002043596725</v>
          </cell>
          <cell r="BB87">
            <v>58.416093324250667</v>
          </cell>
          <cell r="BC87">
            <v>67.403184604904624</v>
          </cell>
          <cell r="BD87">
            <v>44.935456403269747</v>
          </cell>
          <cell r="BE87">
            <v>4.4935456403269747</v>
          </cell>
          <cell r="BG87">
            <v>46.2</v>
          </cell>
          <cell r="BH87">
            <v>22.775480245231606</v>
          </cell>
          <cell r="BI87">
            <v>34.163220367847408</v>
          </cell>
          <cell r="BJ87">
            <v>45.550960490463211</v>
          </cell>
          <cell r="BK87">
            <v>56.938700613079014</v>
          </cell>
          <cell r="BL87">
            <v>68.326440735694817</v>
          </cell>
          <cell r="BM87">
            <v>22.775480245231606</v>
          </cell>
          <cell r="BQ87">
            <v>50.75</v>
          </cell>
          <cell r="BR87">
            <v>22.192254453460997</v>
          </cell>
          <cell r="BS87">
            <v>29.589672604614663</v>
          </cell>
          <cell r="BT87">
            <v>36.987090755768328</v>
          </cell>
          <cell r="BU87">
            <v>44.384508906921994</v>
          </cell>
          <cell r="BV87">
            <v>51.781927058075659</v>
          </cell>
          <cell r="BW87">
            <v>59.179345209229325</v>
          </cell>
          <cell r="BX87">
            <v>66.576763360382984</v>
          </cell>
          <cell r="BY87">
            <v>73.974181511536656</v>
          </cell>
          <cell r="BZ87">
            <v>3.6987090755768328</v>
          </cell>
          <cell r="CC87">
            <v>50.75</v>
          </cell>
          <cell r="CD87">
            <v>23.389574581528414</v>
          </cell>
          <cell r="CE87">
            <v>32.745404414139784</v>
          </cell>
          <cell r="CF87">
            <v>42.101234246751147</v>
          </cell>
          <cell r="CG87">
            <v>51.457064079362517</v>
          </cell>
          <cell r="CH87">
            <v>60.81289391197388</v>
          </cell>
          <cell r="CI87">
            <v>70.16872374458525</v>
          </cell>
          <cell r="CJ87">
            <v>46.779149163056829</v>
          </cell>
          <cell r="CK87">
            <v>4.6779149163056832</v>
          </cell>
          <cell r="CM87">
            <v>50.75</v>
          </cell>
          <cell r="CN87">
            <v>17.848020717497985</v>
          </cell>
          <cell r="CO87">
            <v>35.696041434995969</v>
          </cell>
          <cell r="CP87">
            <v>53.54406215249395</v>
          </cell>
          <cell r="CQ87">
            <v>71.392082869991938</v>
          </cell>
          <cell r="CR87">
            <v>89.240103587489926</v>
          </cell>
          <cell r="CS87">
            <v>107.0881243049879</v>
          </cell>
          <cell r="CT87">
            <v>35.696041434995969</v>
          </cell>
          <cell r="CX87">
            <v>10.75</v>
          </cell>
          <cell r="CY87">
            <v>6.1602150750905986</v>
          </cell>
          <cell r="CZ87">
            <v>7.7002688438632481</v>
          </cell>
          <cell r="DA87">
            <v>9.2403226126358984</v>
          </cell>
          <cell r="DB87">
            <v>10.780376381408548</v>
          </cell>
          <cell r="DC87">
            <v>12.320430150181197</v>
          </cell>
          <cell r="DD87">
            <v>13.860483918953847</v>
          </cell>
          <cell r="DE87">
            <v>15.400537687726496</v>
          </cell>
          <cell r="DF87">
            <v>11.550403265794872</v>
          </cell>
          <cell r="DG87">
            <v>0.77002688438632483</v>
          </cell>
          <cell r="DJ87">
            <v>10.75</v>
          </cell>
          <cell r="DK87">
            <v>4.8097695932229758</v>
          </cell>
          <cell r="DL87">
            <v>6.7336774305121665</v>
          </cell>
          <cell r="DM87">
            <v>8.6575852678013572</v>
          </cell>
          <cell r="DN87">
            <v>10.581493105090548</v>
          </cell>
          <cell r="DO87">
            <v>12.505400942379739</v>
          </cell>
          <cell r="DP87">
            <v>14.429308779668929</v>
          </cell>
          <cell r="DQ87">
            <v>9.6195391864459516</v>
          </cell>
          <cell r="DR87">
            <v>0.96195391864459523</v>
          </cell>
          <cell r="DT87">
            <v>10.75</v>
          </cell>
          <cell r="DU87">
            <v>3.5802813394352593</v>
          </cell>
          <cell r="DV87">
            <v>7.1605626788705186</v>
          </cell>
          <cell r="DW87">
            <v>10.740844018305777</v>
          </cell>
          <cell r="DX87">
            <v>14.321125357741037</v>
          </cell>
          <cell r="DY87">
            <v>17.901406697176295</v>
          </cell>
          <cell r="DZ87">
            <v>21.481688036611555</v>
          </cell>
          <cell r="EA87">
            <v>7.1605626788705186</v>
          </cell>
          <cell r="EE87">
            <v>4.2</v>
          </cell>
          <cell r="EF87">
            <v>2.2653739899230576</v>
          </cell>
          <cell r="EG87">
            <v>2.7184487879076693</v>
          </cell>
          <cell r="EH87">
            <v>3.1715235858922806</v>
          </cell>
          <cell r="EI87">
            <v>3.6245983838768923</v>
          </cell>
          <cell r="EJ87">
            <v>4.0776731818615035</v>
          </cell>
          <cell r="EK87">
            <v>4.5307479798461152</v>
          </cell>
          <cell r="EL87">
            <v>3.3980609848845864</v>
          </cell>
          <cell r="EM87">
            <v>0.22653739899230577</v>
          </cell>
          <cell r="EP87">
            <v>4.2</v>
          </cell>
          <cell r="EQ87">
            <v>1.608349841464374</v>
          </cell>
          <cell r="ER87">
            <v>2.2516897780501237</v>
          </cell>
          <cell r="ES87">
            <v>2.8950297146358732</v>
          </cell>
          <cell r="ET87">
            <v>3.5383696512216227</v>
          </cell>
          <cell r="EU87">
            <v>4.1817095878073722</v>
          </cell>
          <cell r="EV87">
            <v>4.8250495243931217</v>
          </cell>
          <cell r="EW87">
            <v>3.216699682928748</v>
          </cell>
          <cell r="EX87">
            <v>0.32166996829287481</v>
          </cell>
          <cell r="EZ87">
            <v>4.2</v>
          </cell>
          <cell r="FA87">
            <v>1.2491868532805073</v>
          </cell>
          <cell r="FB87">
            <v>2.4983737065610145</v>
          </cell>
          <cell r="FC87">
            <v>3.7475605598415216</v>
          </cell>
          <cell r="FD87">
            <v>4.9967474131220291</v>
          </cell>
          <cell r="FE87">
            <v>6.2459342664025366</v>
          </cell>
          <cell r="FF87">
            <v>7.4951211196830432</v>
          </cell>
          <cell r="FG87">
            <v>2.4983737065610145</v>
          </cell>
        </row>
        <row r="88">
          <cell r="A88">
            <v>38017</v>
          </cell>
          <cell r="B88">
            <v>59.021610000000003</v>
          </cell>
          <cell r="C88">
            <v>16.303893682664274</v>
          </cell>
          <cell r="D88">
            <v>24.455840523996411</v>
          </cell>
          <cell r="E88">
            <v>32.607787365328548</v>
          </cell>
          <cell r="F88">
            <v>40.759734206660681</v>
          </cell>
          <cell r="G88">
            <v>48.911681047992822</v>
          </cell>
          <cell r="H88">
            <v>57.063627889324962</v>
          </cell>
          <cell r="I88">
            <v>65.215574730657096</v>
          </cell>
          <cell r="J88">
            <v>73.367521571989229</v>
          </cell>
          <cell r="K88">
            <v>81.519468413321363</v>
          </cell>
          <cell r="L88">
            <v>61.139601309991029</v>
          </cell>
          <cell r="M88">
            <v>4.0759734206660685</v>
          </cell>
          <cell r="P88">
            <v>59.021610000000003</v>
          </cell>
          <cell r="Q88">
            <v>18.894759093998537</v>
          </cell>
          <cell r="R88">
            <v>31.491265156664227</v>
          </cell>
          <cell r="S88">
            <v>44.087771219329916</v>
          </cell>
          <cell r="T88">
            <v>56.684277281995612</v>
          </cell>
          <cell r="U88">
            <v>69.280783344661302</v>
          </cell>
          <cell r="V88">
            <v>81.877289407326998</v>
          </cell>
          <cell r="W88">
            <v>94.47379546999268</v>
          </cell>
          <cell r="X88">
            <v>62.982530313328454</v>
          </cell>
          <cell r="Y88">
            <v>6.2982530313328455</v>
          </cell>
          <cell r="AA88">
            <v>59.021610000000003</v>
          </cell>
          <cell r="AB88">
            <v>28.017246844789781</v>
          </cell>
          <cell r="AC88">
            <v>42.025870267184672</v>
          </cell>
          <cell r="AD88">
            <v>56.034493689579563</v>
          </cell>
          <cell r="AE88">
            <v>70.043117111974453</v>
          </cell>
          <cell r="AF88">
            <v>84.051740534369344</v>
          </cell>
          <cell r="AG88">
            <v>28.017246844789781</v>
          </cell>
          <cell r="AK88">
            <v>49.9</v>
          </cell>
          <cell r="AL88">
            <v>24.638705722070839</v>
          </cell>
          <cell r="AM88">
            <v>30.798382152588548</v>
          </cell>
          <cell r="AN88">
            <v>36.958058583106258</v>
          </cell>
          <cell r="AO88">
            <v>43.117735013623971</v>
          </cell>
          <cell r="AP88">
            <v>49.277411444141677</v>
          </cell>
          <cell r="AQ88">
            <v>55.437087874659383</v>
          </cell>
          <cell r="AR88">
            <v>61.596764305177096</v>
          </cell>
          <cell r="AS88">
            <v>46.197573228882824</v>
          </cell>
          <cell r="AT88">
            <v>3.0798382152588548</v>
          </cell>
          <cell r="AW88">
            <v>49.9</v>
          </cell>
          <cell r="AX88">
            <v>22.583611489554944</v>
          </cell>
          <cell r="AY88">
            <v>31.617056085376923</v>
          </cell>
          <cell r="AZ88">
            <v>40.650500681198899</v>
          </cell>
          <cell r="BA88">
            <v>49.683945277020875</v>
          </cell>
          <cell r="BB88">
            <v>58.717389872842858</v>
          </cell>
          <cell r="BC88">
            <v>67.750834468664834</v>
          </cell>
          <cell r="BD88">
            <v>45.167222979109887</v>
          </cell>
          <cell r="BE88">
            <v>4.5167222979109889</v>
          </cell>
          <cell r="BG88">
            <v>49.9</v>
          </cell>
          <cell r="BH88">
            <v>22.976415758401451</v>
          </cell>
          <cell r="BI88">
            <v>34.464623637602173</v>
          </cell>
          <cell r="BJ88">
            <v>45.952831516802902</v>
          </cell>
          <cell r="BK88">
            <v>57.441039396003632</v>
          </cell>
          <cell r="BL88">
            <v>68.929247275204347</v>
          </cell>
          <cell r="BM88">
            <v>22.976415758401451</v>
          </cell>
          <cell r="BQ88">
            <v>48.8</v>
          </cell>
          <cell r="BR88">
            <v>22.568450348033636</v>
          </cell>
          <cell r="BS88">
            <v>30.091267130711515</v>
          </cell>
          <cell r="BT88">
            <v>37.614083913389393</v>
          </cell>
          <cell r="BU88">
            <v>45.136900696067272</v>
          </cell>
          <cell r="BV88">
            <v>52.659717478745151</v>
          </cell>
          <cell r="BW88">
            <v>60.182534261423029</v>
          </cell>
          <cell r="BX88">
            <v>67.705351044100908</v>
          </cell>
          <cell r="BY88">
            <v>75.228167826778787</v>
          </cell>
          <cell r="BZ88">
            <v>3.7614083913389393</v>
          </cell>
          <cell r="CC88">
            <v>48.8</v>
          </cell>
          <cell r="CD88">
            <v>23.388481727480315</v>
          </cell>
          <cell r="CE88">
            <v>32.743874418472444</v>
          </cell>
          <cell r="CF88">
            <v>42.099267109464563</v>
          </cell>
          <cell r="CG88">
            <v>51.454659800456696</v>
          </cell>
          <cell r="CH88">
            <v>60.810052491448815</v>
          </cell>
          <cell r="CI88">
            <v>70.165445182440948</v>
          </cell>
          <cell r="CJ88">
            <v>46.776963454960629</v>
          </cell>
          <cell r="CK88">
            <v>4.6776963454960629</v>
          </cell>
          <cell r="CM88">
            <v>48.8</v>
          </cell>
          <cell r="CN88">
            <v>18.077784398307941</v>
          </cell>
          <cell r="CO88">
            <v>36.155568796615881</v>
          </cell>
          <cell r="CP88">
            <v>54.233353194923822</v>
          </cell>
          <cell r="CQ88">
            <v>72.311137593231763</v>
          </cell>
          <cell r="CR88">
            <v>90.388921991539704</v>
          </cell>
          <cell r="CS88">
            <v>108.46670638984764</v>
          </cell>
          <cell r="CT88">
            <v>36.155568796615881</v>
          </cell>
          <cell r="CX88">
            <v>12.1</v>
          </cell>
          <cell r="CY88">
            <v>6.1803258643452867</v>
          </cell>
          <cell r="CZ88">
            <v>7.725407330431608</v>
          </cell>
          <cell r="DA88">
            <v>9.270488796517931</v>
          </cell>
          <cell r="DB88">
            <v>10.815570262604252</v>
          </cell>
          <cell r="DC88">
            <v>12.360651728690573</v>
          </cell>
          <cell r="DD88">
            <v>13.905733194776895</v>
          </cell>
          <cell r="DE88">
            <v>15.450814660863216</v>
          </cell>
          <cell r="DF88">
            <v>11.588110995647412</v>
          </cell>
          <cell r="DG88">
            <v>0.77254073304316084</v>
          </cell>
          <cell r="DJ88">
            <v>12.1</v>
          </cell>
          <cell r="DK88">
            <v>4.8039249334538638</v>
          </cell>
          <cell r="DL88">
            <v>6.7254949068354088</v>
          </cell>
          <cell r="DM88">
            <v>8.6470648802169539</v>
          </cell>
          <cell r="DN88">
            <v>10.5686348535985</v>
          </cell>
          <cell r="DO88">
            <v>12.490204826980046</v>
          </cell>
          <cell r="DP88">
            <v>14.411774800361592</v>
          </cell>
          <cell r="DQ88">
            <v>9.6078498669077277</v>
          </cell>
          <cell r="DR88">
            <v>0.96078498669077272</v>
          </cell>
          <cell r="DT88">
            <v>12.1</v>
          </cell>
          <cell r="DU88">
            <v>3.6215165617851199</v>
          </cell>
          <cell r="DV88">
            <v>7.2430331235702399</v>
          </cell>
          <cell r="DW88">
            <v>10.86454968535536</v>
          </cell>
          <cell r="DX88">
            <v>14.48606624714048</v>
          </cell>
          <cell r="DY88">
            <v>18.107582808925599</v>
          </cell>
          <cell r="DZ88">
            <v>21.729099370710721</v>
          </cell>
          <cell r="EA88">
            <v>7.2430331235702399</v>
          </cell>
          <cell r="EE88">
            <v>4.2</v>
          </cell>
          <cell r="EF88">
            <v>2.32311118095779</v>
          </cell>
          <cell r="EG88">
            <v>2.7877334171493482</v>
          </cell>
          <cell r="EH88">
            <v>3.2523556533409059</v>
          </cell>
          <cell r="EI88">
            <v>3.7169778895324641</v>
          </cell>
          <cell r="EJ88">
            <v>4.1816001257240218</v>
          </cell>
          <cell r="EK88">
            <v>4.64622236191558</v>
          </cell>
          <cell r="EL88">
            <v>3.484666771436685</v>
          </cell>
          <cell r="EM88">
            <v>0.23231111809577901</v>
          </cell>
          <cell r="EP88">
            <v>4.2</v>
          </cell>
          <cell r="EQ88">
            <v>1.6096626100610889</v>
          </cell>
          <cell r="ER88">
            <v>2.2535276540855245</v>
          </cell>
          <cell r="ES88">
            <v>2.89739269810996</v>
          </cell>
          <cell r="ET88">
            <v>3.5412577421343956</v>
          </cell>
          <cell r="EU88">
            <v>4.1851227861588312</v>
          </cell>
          <cell r="EV88">
            <v>4.8289878301832667</v>
          </cell>
          <cell r="EW88">
            <v>3.2193252201221778</v>
          </cell>
          <cell r="EX88">
            <v>0.32193252201221778</v>
          </cell>
          <cell r="EZ88">
            <v>4.2</v>
          </cell>
          <cell r="FA88">
            <v>1.2537136387811494</v>
          </cell>
          <cell r="FB88">
            <v>2.5074272775622988</v>
          </cell>
          <cell r="FC88">
            <v>3.7611409163434484</v>
          </cell>
          <cell r="FD88">
            <v>5.0148545551245975</v>
          </cell>
          <cell r="FE88">
            <v>6.2685681939057467</v>
          </cell>
          <cell r="FF88">
            <v>7.5222818326868968</v>
          </cell>
          <cell r="FG88">
            <v>2.5074272775622988</v>
          </cell>
        </row>
        <row r="89">
          <cell r="A89">
            <v>38046</v>
          </cell>
          <cell r="B89">
            <v>59.021610000000003</v>
          </cell>
          <cell r="C89">
            <v>16.510424282164244</v>
          </cell>
          <cell r="D89">
            <v>24.765636423246367</v>
          </cell>
          <cell r="E89">
            <v>33.020848564328489</v>
          </cell>
          <cell r="F89">
            <v>41.276060705410615</v>
          </cell>
          <cell r="G89">
            <v>49.531272846492733</v>
          </cell>
          <cell r="H89">
            <v>57.786484987574852</v>
          </cell>
          <cell r="I89">
            <v>66.041697128656978</v>
          </cell>
          <cell r="J89">
            <v>74.296909269739103</v>
          </cell>
          <cell r="K89">
            <v>82.552121410821229</v>
          </cell>
          <cell r="L89">
            <v>61.914091058115915</v>
          </cell>
          <cell r="M89">
            <v>4.1276060705410611</v>
          </cell>
          <cell r="P89">
            <v>59.021610000000003</v>
          </cell>
          <cell r="Q89">
            <v>18.840228127145146</v>
          </cell>
          <cell r="R89">
            <v>31.400380211908576</v>
          </cell>
          <cell r="S89">
            <v>43.960532296672007</v>
          </cell>
          <cell r="T89">
            <v>56.520684381435437</v>
          </cell>
          <cell r="U89">
            <v>69.080836466198861</v>
          </cell>
          <cell r="V89">
            <v>81.640988550962305</v>
          </cell>
          <cell r="W89">
            <v>94.201140635725721</v>
          </cell>
          <cell r="X89">
            <v>62.800760423817152</v>
          </cell>
          <cell r="Y89">
            <v>6.2800760423817152</v>
          </cell>
          <cell r="AA89">
            <v>59.021610000000003</v>
          </cell>
          <cell r="AB89">
            <v>28.496968334609988</v>
          </cell>
          <cell r="AC89">
            <v>42.745452501914983</v>
          </cell>
          <cell r="AD89">
            <v>56.993936669219977</v>
          </cell>
          <cell r="AE89">
            <v>71.242420836524971</v>
          </cell>
          <cell r="AF89">
            <v>85.490905003829965</v>
          </cell>
          <cell r="AG89">
            <v>28.496968334609988</v>
          </cell>
          <cell r="AK89">
            <v>50.25</v>
          </cell>
          <cell r="AL89">
            <v>25.39970027247956</v>
          </cell>
          <cell r="AM89">
            <v>31.749625340599451</v>
          </cell>
          <cell r="AN89">
            <v>38.099550408719338</v>
          </cell>
          <cell r="AO89">
            <v>44.449475476839233</v>
          </cell>
          <cell r="AP89">
            <v>50.79940054495912</v>
          </cell>
          <cell r="AQ89">
            <v>57.149325613079007</v>
          </cell>
          <cell r="AR89">
            <v>63.499250681198902</v>
          </cell>
          <cell r="AS89">
            <v>47.624438010899176</v>
          </cell>
          <cell r="AT89">
            <v>3.174962534059945</v>
          </cell>
          <cell r="AW89">
            <v>50.25</v>
          </cell>
          <cell r="AX89">
            <v>22.699494777475017</v>
          </cell>
          <cell r="AY89">
            <v>31.77929268846502</v>
          </cell>
          <cell r="AZ89">
            <v>40.85909059945503</v>
          </cell>
          <cell r="BA89">
            <v>49.938888510445032</v>
          </cell>
          <cell r="BB89">
            <v>59.018686421435042</v>
          </cell>
          <cell r="BC89">
            <v>68.098484332425045</v>
          </cell>
          <cell r="BD89">
            <v>45.398989554950035</v>
          </cell>
          <cell r="BE89">
            <v>4.5398989554950031</v>
          </cell>
          <cell r="BG89">
            <v>50.25</v>
          </cell>
          <cell r="BH89">
            <v>23.177351271571297</v>
          </cell>
          <cell r="BI89">
            <v>34.766026907356945</v>
          </cell>
          <cell r="BJ89">
            <v>46.354702543142594</v>
          </cell>
          <cell r="BK89">
            <v>57.943378178928242</v>
          </cell>
          <cell r="BL89">
            <v>69.53205381471389</v>
          </cell>
          <cell r="BM89">
            <v>23.177351271571297</v>
          </cell>
          <cell r="BQ89">
            <v>52</v>
          </cell>
          <cell r="BR89">
            <v>22.944646242606275</v>
          </cell>
          <cell r="BS89">
            <v>30.592861656808367</v>
          </cell>
          <cell r="BT89">
            <v>38.241077071010459</v>
          </cell>
          <cell r="BU89">
            <v>45.88929248521255</v>
          </cell>
          <cell r="BV89">
            <v>53.537507899414642</v>
          </cell>
          <cell r="BW89">
            <v>61.185723313616734</v>
          </cell>
          <cell r="BX89">
            <v>68.833938727818833</v>
          </cell>
          <cell r="BY89">
            <v>76.482154142020917</v>
          </cell>
          <cell r="BZ89">
            <v>3.8241077071010459</v>
          </cell>
          <cell r="CC89">
            <v>52</v>
          </cell>
          <cell r="CD89">
            <v>23.387388873432215</v>
          </cell>
          <cell r="CE89">
            <v>32.742344422805097</v>
          </cell>
          <cell r="CF89">
            <v>42.097299972177986</v>
          </cell>
          <cell r="CG89">
            <v>51.452255521550867</v>
          </cell>
          <cell r="CH89">
            <v>60.807211070923756</v>
          </cell>
          <cell r="CI89">
            <v>70.162166620296645</v>
          </cell>
          <cell r="CJ89">
            <v>46.77477774686443</v>
          </cell>
          <cell r="CK89">
            <v>4.6774777746864427</v>
          </cell>
          <cell r="CM89">
            <v>52</v>
          </cell>
          <cell r="CN89">
            <v>18.307548079117897</v>
          </cell>
          <cell r="CO89">
            <v>36.615096158235794</v>
          </cell>
          <cell r="CP89">
            <v>54.922644237353694</v>
          </cell>
          <cell r="CQ89">
            <v>73.230192316471587</v>
          </cell>
          <cell r="CR89">
            <v>91.537740395589481</v>
          </cell>
          <cell r="CS89">
            <v>109.84528847470739</v>
          </cell>
          <cell r="CT89">
            <v>36.615096158235794</v>
          </cell>
          <cell r="CX89">
            <v>12.35</v>
          </cell>
          <cell r="CY89">
            <v>6.2004366535999749</v>
          </cell>
          <cell r="CZ89">
            <v>7.7505458169999688</v>
          </cell>
          <cell r="DA89">
            <v>9.3006549803999619</v>
          </cell>
          <cell r="DB89">
            <v>10.850764143799957</v>
          </cell>
          <cell r="DC89">
            <v>12.40087330719995</v>
          </cell>
          <cell r="DD89">
            <v>13.950982470599943</v>
          </cell>
          <cell r="DE89">
            <v>15.501091633999938</v>
          </cell>
          <cell r="DF89">
            <v>11.625818725499952</v>
          </cell>
          <cell r="DG89">
            <v>0.77505458169999686</v>
          </cell>
          <cell r="DJ89">
            <v>12.35</v>
          </cell>
          <cell r="DK89">
            <v>4.798080273684751</v>
          </cell>
          <cell r="DL89">
            <v>6.7173123831586512</v>
          </cell>
          <cell r="DM89">
            <v>8.6365444926325523</v>
          </cell>
          <cell r="DN89">
            <v>10.555776602106452</v>
          </cell>
          <cell r="DO89">
            <v>12.475008711580353</v>
          </cell>
          <cell r="DP89">
            <v>14.394240821054254</v>
          </cell>
          <cell r="DQ89">
            <v>9.596160547369502</v>
          </cell>
          <cell r="DR89">
            <v>0.95961605473695022</v>
          </cell>
          <cell r="DT89">
            <v>12.35</v>
          </cell>
          <cell r="DU89">
            <v>3.6627517841349806</v>
          </cell>
          <cell r="DV89">
            <v>7.3255035682699612</v>
          </cell>
          <cell r="DW89">
            <v>10.988255352404941</v>
          </cell>
          <cell r="DX89">
            <v>14.651007136539922</v>
          </cell>
          <cell r="DY89">
            <v>18.313758920674903</v>
          </cell>
          <cell r="DZ89">
            <v>21.976510704809883</v>
          </cell>
          <cell r="EA89">
            <v>7.3255035682699612</v>
          </cell>
          <cell r="EE89">
            <v>4.1500000000000004</v>
          </cell>
          <cell r="EF89">
            <v>2.3808483719925224</v>
          </cell>
          <cell r="EG89">
            <v>2.8570180463910271</v>
          </cell>
          <cell r="EH89">
            <v>3.3331877207895313</v>
          </cell>
          <cell r="EI89">
            <v>3.809357395188036</v>
          </cell>
          <cell r="EJ89">
            <v>4.2855270695865402</v>
          </cell>
          <cell r="EK89">
            <v>4.7616967439850448</v>
          </cell>
          <cell r="EL89">
            <v>3.5712725579887836</v>
          </cell>
          <cell r="EM89">
            <v>0.23808483719925225</v>
          </cell>
          <cell r="EP89">
            <v>4.1500000000000004</v>
          </cell>
          <cell r="EQ89">
            <v>1.6109753786578038</v>
          </cell>
          <cell r="ER89">
            <v>2.2553655301209252</v>
          </cell>
          <cell r="ES89">
            <v>2.8997556815840468</v>
          </cell>
          <cell r="ET89">
            <v>3.5441458330471685</v>
          </cell>
          <cell r="EU89">
            <v>4.1885359845102901</v>
          </cell>
          <cell r="EV89">
            <v>4.8329261359734117</v>
          </cell>
          <cell r="EW89">
            <v>3.2219507573156076</v>
          </cell>
          <cell r="EX89">
            <v>0.32219507573156075</v>
          </cell>
          <cell r="EZ89">
            <v>4.1500000000000004</v>
          </cell>
          <cell r="FA89">
            <v>1.2582404242817915</v>
          </cell>
          <cell r="FB89">
            <v>2.516480848563583</v>
          </cell>
          <cell r="FC89">
            <v>3.7747212728453743</v>
          </cell>
          <cell r="FD89">
            <v>5.032961697127166</v>
          </cell>
          <cell r="FE89">
            <v>6.2912021214089577</v>
          </cell>
          <cell r="FF89">
            <v>7.5494425456907486</v>
          </cell>
          <cell r="FG89">
            <v>2.516480848563583</v>
          </cell>
        </row>
        <row r="90">
          <cell r="A90">
            <v>38077</v>
          </cell>
          <cell r="B90">
            <v>54.103140000000003</v>
          </cell>
          <cell r="C90">
            <v>16.716954881664215</v>
          </cell>
          <cell r="D90">
            <v>25.075432322496322</v>
          </cell>
          <cell r="E90">
            <v>33.43390976332843</v>
          </cell>
          <cell r="F90">
            <v>41.792387204160534</v>
          </cell>
          <cell r="G90">
            <v>50.150864644992645</v>
          </cell>
          <cell r="H90">
            <v>58.509342085824755</v>
          </cell>
          <cell r="I90">
            <v>66.867819526656859</v>
          </cell>
          <cell r="J90">
            <v>75.226296967488963</v>
          </cell>
          <cell r="K90">
            <v>83.584774408321067</v>
          </cell>
          <cell r="L90">
            <v>62.688580806240807</v>
          </cell>
          <cell r="M90">
            <v>4.1792387204160537</v>
          </cell>
          <cell r="P90">
            <v>54.103140000000003</v>
          </cell>
          <cell r="Q90">
            <v>18.785697160291754</v>
          </cell>
          <cell r="R90">
            <v>31.309495267152926</v>
          </cell>
          <cell r="S90">
            <v>43.833293374014097</v>
          </cell>
          <cell r="T90">
            <v>56.357091480875262</v>
          </cell>
          <cell r="U90">
            <v>68.880889587736434</v>
          </cell>
          <cell r="V90">
            <v>81.404687694597598</v>
          </cell>
          <cell r="W90">
            <v>93.928485801458777</v>
          </cell>
          <cell r="X90">
            <v>62.618990534305851</v>
          </cell>
          <cell r="Y90">
            <v>6.2618990534305849</v>
          </cell>
          <cell r="AA90">
            <v>54.103140000000003</v>
          </cell>
          <cell r="AB90">
            <v>28.976689824430196</v>
          </cell>
          <cell r="AC90">
            <v>43.465034736645293</v>
          </cell>
          <cell r="AD90">
            <v>57.953379648860391</v>
          </cell>
          <cell r="AE90">
            <v>72.441724561075489</v>
          </cell>
          <cell r="AF90">
            <v>86.930069473290587</v>
          </cell>
          <cell r="AG90">
            <v>28.976689824430196</v>
          </cell>
          <cell r="AK90">
            <v>49.4</v>
          </cell>
          <cell r="AL90">
            <v>26.160694822888281</v>
          </cell>
          <cell r="AM90">
            <v>32.70086852861035</v>
          </cell>
          <cell r="AN90">
            <v>39.241042234332426</v>
          </cell>
          <cell r="AO90">
            <v>45.781215940054494</v>
          </cell>
          <cell r="AP90">
            <v>52.321389645776563</v>
          </cell>
          <cell r="AQ90">
            <v>58.861563351498631</v>
          </cell>
          <cell r="AR90">
            <v>65.4017370572207</v>
          </cell>
          <cell r="AS90">
            <v>49.051302792915529</v>
          </cell>
          <cell r="AT90">
            <v>3.2700868528610352</v>
          </cell>
          <cell r="AW90">
            <v>49.4</v>
          </cell>
          <cell r="AX90">
            <v>22.815378065395088</v>
          </cell>
          <cell r="AY90">
            <v>31.94152929155312</v>
          </cell>
          <cell r="AZ90">
            <v>41.067680517711153</v>
          </cell>
          <cell r="BA90">
            <v>50.19383174386919</v>
          </cell>
          <cell r="BB90">
            <v>59.319982970027226</v>
          </cell>
          <cell r="BC90">
            <v>68.446134196185255</v>
          </cell>
          <cell r="BD90">
            <v>45.630756130790175</v>
          </cell>
          <cell r="BE90">
            <v>4.5630756130790173</v>
          </cell>
          <cell r="BG90">
            <v>49.4</v>
          </cell>
          <cell r="BH90">
            <v>23.378286784741142</v>
          </cell>
          <cell r="BI90">
            <v>35.067430177111717</v>
          </cell>
          <cell r="BJ90">
            <v>46.756573569482285</v>
          </cell>
          <cell r="BK90">
            <v>58.445716961852852</v>
          </cell>
          <cell r="BL90">
            <v>70.134860354223434</v>
          </cell>
          <cell r="BM90">
            <v>23.378286784741142</v>
          </cell>
          <cell r="BQ90">
            <v>54.25</v>
          </cell>
          <cell r="BR90">
            <v>23.320842137178914</v>
          </cell>
          <cell r="BS90">
            <v>31.094456182905219</v>
          </cell>
          <cell r="BT90">
            <v>38.868070228631524</v>
          </cell>
          <cell r="BU90">
            <v>46.641684274357829</v>
          </cell>
          <cell r="BV90">
            <v>54.415298320084133</v>
          </cell>
          <cell r="BW90">
            <v>62.188912365810438</v>
          </cell>
          <cell r="BX90">
            <v>69.962526411536743</v>
          </cell>
          <cell r="BY90">
            <v>77.736140457263048</v>
          </cell>
          <cell r="BZ90">
            <v>3.8868070228631524</v>
          </cell>
          <cell r="CC90">
            <v>54.25</v>
          </cell>
          <cell r="CD90">
            <v>23.386296019384112</v>
          </cell>
          <cell r="CE90">
            <v>32.740814427137757</v>
          </cell>
          <cell r="CF90">
            <v>42.095332834891401</v>
          </cell>
          <cell r="CG90">
            <v>51.449851242645046</v>
          </cell>
          <cell r="CH90">
            <v>60.804369650398691</v>
          </cell>
          <cell r="CI90">
            <v>70.158888058152343</v>
          </cell>
          <cell r="CJ90">
            <v>46.772592038768224</v>
          </cell>
          <cell r="CK90">
            <v>4.6772592038768224</v>
          </cell>
          <cell r="CM90">
            <v>54.25</v>
          </cell>
          <cell r="CN90">
            <v>18.537311759927853</v>
          </cell>
          <cell r="CO90">
            <v>37.074623519855706</v>
          </cell>
          <cell r="CP90">
            <v>55.611935279783559</v>
          </cell>
          <cell r="CQ90">
            <v>74.149247039711412</v>
          </cell>
          <cell r="CR90">
            <v>92.686558799639272</v>
          </cell>
          <cell r="CS90">
            <v>111.22387055956712</v>
          </cell>
          <cell r="CT90">
            <v>37.074623519855706</v>
          </cell>
          <cell r="CX90">
            <v>11.15</v>
          </cell>
          <cell r="CY90">
            <v>6.220547442854663</v>
          </cell>
          <cell r="CZ90">
            <v>7.7756843035683287</v>
          </cell>
          <cell r="DA90">
            <v>9.3308211642819945</v>
          </cell>
          <cell r="DB90">
            <v>10.885958024995659</v>
          </cell>
          <cell r="DC90">
            <v>12.441094885709326</v>
          </cell>
          <cell r="DD90">
            <v>13.996231746422993</v>
          </cell>
          <cell r="DE90">
            <v>15.551368607136657</v>
          </cell>
          <cell r="DF90">
            <v>11.663526455352493</v>
          </cell>
          <cell r="DG90">
            <v>0.77756843035683287</v>
          </cell>
          <cell r="DJ90">
            <v>11.15</v>
          </cell>
          <cell r="DK90">
            <v>4.7922356139156381</v>
          </cell>
          <cell r="DL90">
            <v>6.7091298594818944</v>
          </cell>
          <cell r="DM90">
            <v>8.626024105048149</v>
          </cell>
          <cell r="DN90">
            <v>10.542918350614405</v>
          </cell>
          <cell r="DO90">
            <v>12.45981259618066</v>
          </cell>
          <cell r="DP90">
            <v>14.376706841746916</v>
          </cell>
          <cell r="DQ90">
            <v>9.5844712278312763</v>
          </cell>
          <cell r="DR90">
            <v>0.95844712278312771</v>
          </cell>
          <cell r="DT90">
            <v>11.15</v>
          </cell>
          <cell r="DU90">
            <v>3.7039870064848412</v>
          </cell>
          <cell r="DV90">
            <v>7.4079740129696825</v>
          </cell>
          <cell r="DW90">
            <v>11.111961019454524</v>
          </cell>
          <cell r="DX90">
            <v>14.815948025939365</v>
          </cell>
          <cell r="DY90">
            <v>18.519935032424208</v>
          </cell>
          <cell r="DZ90">
            <v>22.223922038909048</v>
          </cell>
          <cell r="EA90">
            <v>7.4079740129696825</v>
          </cell>
          <cell r="EE90">
            <v>3.4249999999999998</v>
          </cell>
          <cell r="EF90">
            <v>2.4385855630272548</v>
          </cell>
          <cell r="EG90">
            <v>2.926302675632706</v>
          </cell>
          <cell r="EH90">
            <v>3.4140197882381567</v>
          </cell>
          <cell r="EI90">
            <v>3.9017369008436078</v>
          </cell>
          <cell r="EJ90">
            <v>4.3894540134490585</v>
          </cell>
          <cell r="EK90">
            <v>4.8771711260545096</v>
          </cell>
          <cell r="EL90">
            <v>3.6578783445408822</v>
          </cell>
          <cell r="EM90">
            <v>0.24385855630272549</v>
          </cell>
          <cell r="EP90">
            <v>3.4249999999999998</v>
          </cell>
          <cell r="EQ90">
            <v>1.6122881472545187</v>
          </cell>
          <cell r="ER90">
            <v>2.257203406156326</v>
          </cell>
          <cell r="ES90">
            <v>2.9021186650581337</v>
          </cell>
          <cell r="ET90">
            <v>3.5470339239599409</v>
          </cell>
          <cell r="EU90">
            <v>4.1919491828617481</v>
          </cell>
          <cell r="EV90">
            <v>4.8368644417635558</v>
          </cell>
          <cell r="EW90">
            <v>3.2245762945090375</v>
          </cell>
          <cell r="EX90">
            <v>0.32245762945090373</v>
          </cell>
          <cell r="EZ90">
            <v>3.4249999999999998</v>
          </cell>
          <cell r="FA90">
            <v>1.2627672097824336</v>
          </cell>
          <cell r="FB90">
            <v>2.5255344195648672</v>
          </cell>
          <cell r="FC90">
            <v>3.7883016293473011</v>
          </cell>
          <cell r="FD90">
            <v>5.0510688391297345</v>
          </cell>
          <cell r="FE90">
            <v>6.3138360489121679</v>
          </cell>
          <cell r="FF90">
            <v>7.5766032586946022</v>
          </cell>
          <cell r="FG90">
            <v>2.5255344195648672</v>
          </cell>
        </row>
        <row r="91">
          <cell r="A91">
            <v>38107</v>
          </cell>
          <cell r="B91">
            <v>55.086829999999999</v>
          </cell>
          <cell r="C91">
            <v>16.923485481164185</v>
          </cell>
          <cell r="D91">
            <v>25.385228221746278</v>
          </cell>
          <cell r="E91">
            <v>33.846970962328371</v>
          </cell>
          <cell r="F91">
            <v>42.308713702910467</v>
          </cell>
          <cell r="G91">
            <v>50.770456443492556</v>
          </cell>
          <cell r="H91">
            <v>59.232199184074645</v>
          </cell>
          <cell r="I91">
            <v>67.693941924656741</v>
          </cell>
          <cell r="J91">
            <v>76.155684665238837</v>
          </cell>
          <cell r="K91">
            <v>84.617427405820933</v>
          </cell>
          <cell r="L91">
            <v>63.463070554365693</v>
          </cell>
          <cell r="M91">
            <v>4.2308713702910463</v>
          </cell>
          <cell r="P91">
            <v>55.086829999999999</v>
          </cell>
          <cell r="Q91">
            <v>18.731166193438362</v>
          </cell>
          <cell r="R91">
            <v>31.218610322397275</v>
          </cell>
          <cell r="S91">
            <v>43.706054451356181</v>
          </cell>
          <cell r="T91">
            <v>56.193498580315094</v>
          </cell>
          <cell r="U91">
            <v>68.680942709274007</v>
          </cell>
          <cell r="V91">
            <v>81.168386838232905</v>
          </cell>
          <cell r="W91">
            <v>93.655830967191818</v>
          </cell>
          <cell r="X91">
            <v>62.43722064479455</v>
          </cell>
          <cell r="Y91">
            <v>6.2437220644794547</v>
          </cell>
          <cell r="AA91">
            <v>55.086829999999999</v>
          </cell>
          <cell r="AB91">
            <v>29.456411314250403</v>
          </cell>
          <cell r="AC91">
            <v>44.184616971375604</v>
          </cell>
          <cell r="AD91">
            <v>58.912822628500805</v>
          </cell>
          <cell r="AE91">
            <v>73.641028285626007</v>
          </cell>
          <cell r="AF91">
            <v>88.369233942751208</v>
          </cell>
          <cell r="AG91">
            <v>29.456411314250403</v>
          </cell>
          <cell r="AK91">
            <v>49.5</v>
          </cell>
          <cell r="AL91">
            <v>26.921689373297003</v>
          </cell>
          <cell r="AM91">
            <v>33.652111716621256</v>
          </cell>
          <cell r="AN91">
            <v>40.382534059945506</v>
          </cell>
          <cell r="AO91">
            <v>47.112956403269756</v>
          </cell>
          <cell r="AP91">
            <v>53.843378746594006</v>
          </cell>
          <cell r="AQ91">
            <v>60.573801089918256</v>
          </cell>
          <cell r="AR91">
            <v>67.304223433242512</v>
          </cell>
          <cell r="AS91">
            <v>50.478167574931881</v>
          </cell>
          <cell r="AT91">
            <v>3.3652111716621254</v>
          </cell>
          <cell r="AW91">
            <v>49.5</v>
          </cell>
          <cell r="AX91">
            <v>22.931261353315158</v>
          </cell>
          <cell r="AY91">
            <v>32.103765894641221</v>
          </cell>
          <cell r="AZ91">
            <v>41.276270435967284</v>
          </cell>
          <cell r="BA91">
            <v>50.448774977293347</v>
          </cell>
          <cell r="BB91">
            <v>59.62127951861941</v>
          </cell>
          <cell r="BC91">
            <v>68.793784059945466</v>
          </cell>
          <cell r="BD91">
            <v>45.862522706630315</v>
          </cell>
          <cell r="BE91">
            <v>4.5862522706630315</v>
          </cell>
          <cell r="BG91">
            <v>49.5</v>
          </cell>
          <cell r="BH91">
            <v>23.579222297910988</v>
          </cell>
          <cell r="BI91">
            <v>35.368833446866482</v>
          </cell>
          <cell r="BJ91">
            <v>47.158444595821976</v>
          </cell>
          <cell r="BK91">
            <v>58.94805574477747</v>
          </cell>
          <cell r="BL91">
            <v>70.737666893732964</v>
          </cell>
          <cell r="BM91">
            <v>23.579222297910988</v>
          </cell>
          <cell r="BQ91">
            <v>56.5</v>
          </cell>
          <cell r="BR91">
            <v>23.697038031751553</v>
          </cell>
          <cell r="BS91">
            <v>31.596050709002071</v>
          </cell>
          <cell r="BT91">
            <v>39.495063386252589</v>
          </cell>
          <cell r="BU91">
            <v>47.394076063503107</v>
          </cell>
          <cell r="BV91">
            <v>55.293088740753625</v>
          </cell>
          <cell r="BW91">
            <v>63.192101418004142</v>
          </cell>
          <cell r="BX91">
            <v>71.091114095254653</v>
          </cell>
          <cell r="BY91">
            <v>78.990126772505178</v>
          </cell>
          <cell r="BZ91">
            <v>3.9495063386252589</v>
          </cell>
          <cell r="CC91">
            <v>56.5</v>
          </cell>
          <cell r="CD91">
            <v>23.385203165336009</v>
          </cell>
          <cell r="CE91">
            <v>32.739284431470416</v>
          </cell>
          <cell r="CF91">
            <v>42.093365697604817</v>
          </cell>
          <cell r="CG91">
            <v>51.447446963739225</v>
          </cell>
          <cell r="CH91">
            <v>60.801528229873625</v>
          </cell>
          <cell r="CI91">
            <v>70.155609496008026</v>
          </cell>
          <cell r="CJ91">
            <v>46.770406330672017</v>
          </cell>
          <cell r="CK91">
            <v>4.6770406330672021</v>
          </cell>
          <cell r="CM91">
            <v>56.5</v>
          </cell>
          <cell r="CN91">
            <v>18.767075440737809</v>
          </cell>
          <cell r="CO91">
            <v>37.534150881475618</v>
          </cell>
          <cell r="CP91">
            <v>56.301226322213424</v>
          </cell>
          <cell r="CQ91">
            <v>75.068301762951236</v>
          </cell>
          <cell r="CR91">
            <v>93.835377203689049</v>
          </cell>
          <cell r="CS91">
            <v>112.60245264442685</v>
          </cell>
          <cell r="CT91">
            <v>37.534150881475618</v>
          </cell>
          <cell r="CX91">
            <v>9.35</v>
          </cell>
          <cell r="CY91">
            <v>6.2406582321093511</v>
          </cell>
          <cell r="CZ91">
            <v>7.8008227901366887</v>
          </cell>
          <cell r="DA91">
            <v>9.3609873481640271</v>
          </cell>
          <cell r="DB91">
            <v>10.921151906191364</v>
          </cell>
          <cell r="DC91">
            <v>12.481316464218702</v>
          </cell>
          <cell r="DD91">
            <v>14.041481022246041</v>
          </cell>
          <cell r="DE91">
            <v>15.601645580273377</v>
          </cell>
          <cell r="DF91">
            <v>11.701234185205033</v>
          </cell>
          <cell r="DG91">
            <v>0.78008227901366889</v>
          </cell>
          <cell r="DJ91">
            <v>9.35</v>
          </cell>
          <cell r="DK91">
            <v>4.7863909541465262</v>
          </cell>
          <cell r="DL91">
            <v>6.7009473358051368</v>
          </cell>
          <cell r="DM91">
            <v>8.6155037174637474</v>
          </cell>
          <cell r="DN91">
            <v>10.530060099122357</v>
          </cell>
          <cell r="DO91">
            <v>12.444616480780967</v>
          </cell>
          <cell r="DP91">
            <v>14.359172862439578</v>
          </cell>
          <cell r="DQ91">
            <v>9.5727819082930523</v>
          </cell>
          <cell r="DR91">
            <v>0.95727819082930521</v>
          </cell>
          <cell r="DT91">
            <v>9.35</v>
          </cell>
          <cell r="DU91">
            <v>3.7452222288347019</v>
          </cell>
          <cell r="DV91">
            <v>7.4904444576694038</v>
          </cell>
          <cell r="DW91">
            <v>11.235666686504105</v>
          </cell>
          <cell r="DX91">
            <v>14.980888915338808</v>
          </cell>
          <cell r="DY91">
            <v>18.726111144173508</v>
          </cell>
          <cell r="DZ91">
            <v>22.471333373008211</v>
          </cell>
          <cell r="EA91">
            <v>7.4904444576694038</v>
          </cell>
          <cell r="EE91">
            <v>3.125</v>
          </cell>
          <cell r="EF91">
            <v>2.4963227540619872</v>
          </cell>
          <cell r="EG91">
            <v>2.9955873048743848</v>
          </cell>
          <cell r="EH91">
            <v>3.494851855686782</v>
          </cell>
          <cell r="EI91">
            <v>3.9941164064991797</v>
          </cell>
          <cell r="EJ91">
            <v>4.4933809573115768</v>
          </cell>
          <cell r="EK91">
            <v>4.9926455081239745</v>
          </cell>
          <cell r="EL91">
            <v>3.7444841310929808</v>
          </cell>
          <cell r="EM91">
            <v>0.24963227540619873</v>
          </cell>
          <cell r="EP91">
            <v>3.125</v>
          </cell>
          <cell r="EQ91">
            <v>1.6136009158512334</v>
          </cell>
          <cell r="ER91">
            <v>2.2590412821917267</v>
          </cell>
          <cell r="ES91">
            <v>2.9044816485322205</v>
          </cell>
          <cell r="ET91">
            <v>3.5499220148727137</v>
          </cell>
          <cell r="EU91">
            <v>4.195362381213207</v>
          </cell>
          <cell r="EV91">
            <v>4.8408027475537008</v>
          </cell>
          <cell r="EW91">
            <v>3.2272018317024669</v>
          </cell>
          <cell r="EX91">
            <v>0.3227201831702467</v>
          </cell>
          <cell r="EZ91">
            <v>3.125</v>
          </cell>
          <cell r="FA91">
            <v>1.2672939952830757</v>
          </cell>
          <cell r="FB91">
            <v>2.5345879905661515</v>
          </cell>
          <cell r="FC91">
            <v>3.801881985849227</v>
          </cell>
          <cell r="FD91">
            <v>5.0691759811323029</v>
          </cell>
          <cell r="FE91">
            <v>6.3364699764153789</v>
          </cell>
          <cell r="FF91">
            <v>7.603763971698454</v>
          </cell>
          <cell r="FG91">
            <v>2.5345879905661515</v>
          </cell>
        </row>
        <row r="92">
          <cell r="A92">
            <v>38138</v>
          </cell>
          <cell r="B92">
            <v>51.152059999999999</v>
          </cell>
          <cell r="C92">
            <v>17.130016080664156</v>
          </cell>
          <cell r="D92">
            <v>25.695024120996234</v>
          </cell>
          <cell r="E92">
            <v>34.260032161328311</v>
          </cell>
          <cell r="F92">
            <v>42.825040201660386</v>
          </cell>
          <cell r="G92">
            <v>51.390048241992467</v>
          </cell>
          <cell r="H92">
            <v>59.955056282324549</v>
          </cell>
          <cell r="I92">
            <v>68.520064322656623</v>
          </cell>
          <cell r="J92">
            <v>77.085072362988697</v>
          </cell>
          <cell r="K92">
            <v>85.650080403320771</v>
          </cell>
          <cell r="L92">
            <v>64.237560302490579</v>
          </cell>
          <cell r="M92">
            <v>4.2825040201660389</v>
          </cell>
          <cell r="P92">
            <v>51.152059999999999</v>
          </cell>
          <cell r="Q92">
            <v>18.676635226584974</v>
          </cell>
          <cell r="R92">
            <v>31.127725377641621</v>
          </cell>
          <cell r="S92">
            <v>43.578815528698271</v>
          </cell>
          <cell r="T92">
            <v>56.029905679754918</v>
          </cell>
          <cell r="U92">
            <v>68.480995830811565</v>
          </cell>
          <cell r="V92">
            <v>80.932085981868212</v>
          </cell>
          <cell r="W92">
            <v>93.383176132924859</v>
          </cell>
          <cell r="X92">
            <v>62.255450755283242</v>
          </cell>
          <cell r="Y92">
            <v>6.2255450755283244</v>
          </cell>
          <cell r="AA92">
            <v>51.152059999999999</v>
          </cell>
          <cell r="AB92">
            <v>29.93613280407061</v>
          </cell>
          <cell r="AC92">
            <v>44.904199206105915</v>
          </cell>
          <cell r="AD92">
            <v>59.87226560814122</v>
          </cell>
          <cell r="AE92">
            <v>74.840332010176525</v>
          </cell>
          <cell r="AF92">
            <v>89.80839841221183</v>
          </cell>
          <cell r="AG92">
            <v>29.93613280407061</v>
          </cell>
          <cell r="AK92">
            <v>44.9</v>
          </cell>
          <cell r="AL92">
            <v>27.682683923705724</v>
          </cell>
          <cell r="AM92">
            <v>34.603354904632155</v>
          </cell>
          <cell r="AN92">
            <v>41.524025885558586</v>
          </cell>
          <cell r="AO92">
            <v>48.444696866485017</v>
          </cell>
          <cell r="AP92">
            <v>55.365367847411449</v>
          </cell>
          <cell r="AQ92">
            <v>62.28603882833788</v>
          </cell>
          <cell r="AR92">
            <v>69.206709809264311</v>
          </cell>
          <cell r="AS92">
            <v>51.905032356948233</v>
          </cell>
          <cell r="AT92">
            <v>3.4603354904632155</v>
          </cell>
          <cell r="AW92">
            <v>44.9</v>
          </cell>
          <cell r="AX92">
            <v>23.047144641235228</v>
          </cell>
          <cell r="AY92">
            <v>32.266002497729318</v>
          </cell>
          <cell r="AZ92">
            <v>41.484860354223414</v>
          </cell>
          <cell r="BA92">
            <v>50.703718210717504</v>
          </cell>
          <cell r="BB92">
            <v>59.922576067211594</v>
          </cell>
          <cell r="BC92">
            <v>69.141433923705691</v>
          </cell>
          <cell r="BD92">
            <v>46.094289282470456</v>
          </cell>
          <cell r="BE92">
            <v>4.6094289282470458</v>
          </cell>
          <cell r="BG92">
            <v>44.9</v>
          </cell>
          <cell r="BH92">
            <v>23.780157811080834</v>
          </cell>
          <cell r="BI92">
            <v>35.670236716621247</v>
          </cell>
          <cell r="BJ92">
            <v>47.560315622161667</v>
          </cell>
          <cell r="BK92">
            <v>59.450394527702088</v>
          </cell>
          <cell r="BL92">
            <v>71.340473433242494</v>
          </cell>
          <cell r="BM92">
            <v>23.780157811080834</v>
          </cell>
          <cell r="BQ92">
            <v>53</v>
          </cell>
          <cell r="BR92">
            <v>24.073233926324193</v>
          </cell>
          <cell r="BS92">
            <v>32.097645235098923</v>
          </cell>
          <cell r="BT92">
            <v>40.122056543873654</v>
          </cell>
          <cell r="BU92">
            <v>48.146467852648385</v>
          </cell>
          <cell r="BV92">
            <v>56.170879161423116</v>
          </cell>
          <cell r="BW92">
            <v>64.195290470197847</v>
          </cell>
          <cell r="BX92">
            <v>72.219701778972578</v>
          </cell>
          <cell r="BY92">
            <v>80.244113087747309</v>
          </cell>
          <cell r="BZ92">
            <v>4.0122056543873654</v>
          </cell>
          <cell r="CC92">
            <v>53</v>
          </cell>
          <cell r="CD92">
            <v>23.384110311287909</v>
          </cell>
          <cell r="CE92">
            <v>32.737754435803069</v>
          </cell>
          <cell r="CF92">
            <v>42.09139856031824</v>
          </cell>
          <cell r="CG92">
            <v>51.445042684833396</v>
          </cell>
          <cell r="CH92">
            <v>60.798686809348567</v>
          </cell>
          <cell r="CI92">
            <v>70.152330933863723</v>
          </cell>
          <cell r="CJ92">
            <v>46.768220622575818</v>
          </cell>
          <cell r="CK92">
            <v>4.6768220622575818</v>
          </cell>
          <cell r="CM92">
            <v>53</v>
          </cell>
          <cell r="CN92">
            <v>18.996839121547765</v>
          </cell>
          <cell r="CO92">
            <v>37.99367824309553</v>
          </cell>
          <cell r="CP92">
            <v>56.990517364643296</v>
          </cell>
          <cell r="CQ92">
            <v>75.987356486191061</v>
          </cell>
          <cell r="CR92">
            <v>94.984195607738826</v>
          </cell>
          <cell r="CS92">
            <v>113.98103472928659</v>
          </cell>
          <cell r="CT92">
            <v>37.99367824309553</v>
          </cell>
          <cell r="CX92">
            <v>9.9</v>
          </cell>
          <cell r="CY92">
            <v>6.2607690213640392</v>
          </cell>
          <cell r="CZ92">
            <v>7.8259612767050495</v>
          </cell>
          <cell r="DA92">
            <v>9.391153532046058</v>
          </cell>
          <cell r="DB92">
            <v>10.956345787387068</v>
          </cell>
          <cell r="DC92">
            <v>12.521538042728078</v>
          </cell>
          <cell r="DD92">
            <v>14.086730298069089</v>
          </cell>
          <cell r="DE92">
            <v>15.651922553410099</v>
          </cell>
          <cell r="DF92">
            <v>11.738941915057573</v>
          </cell>
          <cell r="DG92">
            <v>0.7825961276705049</v>
          </cell>
          <cell r="DJ92">
            <v>9.9</v>
          </cell>
          <cell r="DK92">
            <v>4.7805462943774133</v>
          </cell>
          <cell r="DL92">
            <v>6.6927648121283791</v>
          </cell>
          <cell r="DM92">
            <v>8.6049833298793441</v>
          </cell>
          <cell r="DN92">
            <v>10.517201847630309</v>
          </cell>
          <cell r="DO92">
            <v>12.429420365381276</v>
          </cell>
          <cell r="DP92">
            <v>14.341638883132241</v>
          </cell>
          <cell r="DQ92">
            <v>9.5610925887548266</v>
          </cell>
          <cell r="DR92">
            <v>0.9561092588754827</v>
          </cell>
          <cell r="DT92">
            <v>9.9</v>
          </cell>
          <cell r="DU92">
            <v>3.7864574511845626</v>
          </cell>
          <cell r="DV92">
            <v>7.5729149023691251</v>
          </cell>
          <cell r="DW92">
            <v>11.359372353553688</v>
          </cell>
          <cell r="DX92">
            <v>15.14582980473825</v>
          </cell>
          <cell r="DY92">
            <v>18.932287255922812</v>
          </cell>
          <cell r="DZ92">
            <v>22.718744707107376</v>
          </cell>
          <cell r="EA92">
            <v>7.5729149023691251</v>
          </cell>
          <cell r="EE92">
            <v>3.0249999999999999</v>
          </cell>
          <cell r="EF92">
            <v>2.5540599450967196</v>
          </cell>
          <cell r="EG92">
            <v>3.0648719341160633</v>
          </cell>
          <cell r="EH92">
            <v>3.5756839231354069</v>
          </cell>
          <cell r="EI92">
            <v>4.0864959121547511</v>
          </cell>
          <cell r="EJ92">
            <v>4.5973079011740952</v>
          </cell>
          <cell r="EK92">
            <v>5.1081198901934393</v>
          </cell>
          <cell r="EL92">
            <v>3.831089917645079</v>
          </cell>
          <cell r="EM92">
            <v>0.25540599450967194</v>
          </cell>
          <cell r="EP92">
            <v>3.0249999999999999</v>
          </cell>
          <cell r="EQ92">
            <v>1.6149136844479484</v>
          </cell>
          <cell r="ER92">
            <v>2.2608791582271275</v>
          </cell>
          <cell r="ES92">
            <v>2.9068446320063073</v>
          </cell>
          <cell r="ET92">
            <v>3.5528101057854862</v>
          </cell>
          <cell r="EU92">
            <v>4.198775579564666</v>
          </cell>
          <cell r="EV92">
            <v>4.8447410533438449</v>
          </cell>
          <cell r="EW92">
            <v>3.2298273688958967</v>
          </cell>
          <cell r="EX92">
            <v>0.32298273688958967</v>
          </cell>
          <cell r="EZ92">
            <v>3.0249999999999999</v>
          </cell>
          <cell r="FA92">
            <v>1.2718207807837179</v>
          </cell>
          <cell r="FB92">
            <v>2.5436415615674357</v>
          </cell>
          <cell r="FC92">
            <v>3.8154623423511538</v>
          </cell>
          <cell r="FD92">
            <v>5.0872831231348714</v>
          </cell>
          <cell r="FE92">
            <v>6.359103903918589</v>
          </cell>
          <cell r="FF92">
            <v>7.6309246847023076</v>
          </cell>
          <cell r="FG92">
            <v>2.5436415615674357</v>
          </cell>
        </row>
        <row r="93">
          <cell r="A93">
            <v>38168</v>
          </cell>
          <cell r="B93">
            <v>45.249899999999997</v>
          </cell>
          <cell r="C93">
            <v>17.336546680164126</v>
          </cell>
          <cell r="D93">
            <v>26.004820020246189</v>
          </cell>
          <cell r="E93">
            <v>34.673093360328252</v>
          </cell>
          <cell r="F93">
            <v>43.341366700410319</v>
          </cell>
          <cell r="G93">
            <v>52.009640040492378</v>
          </cell>
          <cell r="H93">
            <v>60.677913380574438</v>
          </cell>
          <cell r="I93">
            <v>69.346186720656505</v>
          </cell>
          <cell r="J93">
            <v>78.014460060738571</v>
          </cell>
          <cell r="K93">
            <v>86.682733400820638</v>
          </cell>
          <cell r="L93">
            <v>65.012050050615471</v>
          </cell>
          <cell r="M93">
            <v>4.3341366700410315</v>
          </cell>
          <cell r="P93">
            <v>45.249899999999997</v>
          </cell>
          <cell r="Q93">
            <v>18.622104259731582</v>
          </cell>
          <cell r="R93">
            <v>31.03684043288597</v>
          </cell>
          <cell r="S93">
            <v>43.451576606040362</v>
          </cell>
          <cell r="T93">
            <v>55.866312779194743</v>
          </cell>
          <cell r="U93">
            <v>68.281048952349138</v>
          </cell>
          <cell r="V93">
            <v>80.695785125503519</v>
          </cell>
          <cell r="W93">
            <v>93.110521298657915</v>
          </cell>
          <cell r="X93">
            <v>62.073680865771941</v>
          </cell>
          <cell r="Y93">
            <v>6.2073680865771941</v>
          </cell>
          <cell r="AA93">
            <v>45.249899999999997</v>
          </cell>
          <cell r="AB93">
            <v>30.415854293890817</v>
          </cell>
          <cell r="AC93">
            <v>45.623781440836225</v>
          </cell>
          <cell r="AD93">
            <v>60.831708587781634</v>
          </cell>
          <cell r="AE93">
            <v>76.039635734727042</v>
          </cell>
          <cell r="AF93">
            <v>91.247562881672451</v>
          </cell>
          <cell r="AG93">
            <v>30.415854293890817</v>
          </cell>
          <cell r="AK93">
            <v>46.3</v>
          </cell>
          <cell r="AL93">
            <v>28.443678474114446</v>
          </cell>
          <cell r="AM93">
            <v>35.554598092643054</v>
          </cell>
          <cell r="AN93">
            <v>42.665517711171667</v>
          </cell>
          <cell r="AO93">
            <v>49.776437329700279</v>
          </cell>
          <cell r="AP93">
            <v>56.887356948228891</v>
          </cell>
          <cell r="AQ93">
            <v>63.998276566757504</v>
          </cell>
          <cell r="AR93">
            <v>71.109196185286109</v>
          </cell>
          <cell r="AS93">
            <v>53.331897138964585</v>
          </cell>
          <cell r="AT93">
            <v>3.5554598092643057</v>
          </cell>
          <cell r="AW93">
            <v>46.3</v>
          </cell>
          <cell r="AX93">
            <v>23.163027929155298</v>
          </cell>
          <cell r="AY93">
            <v>32.428239100817422</v>
          </cell>
          <cell r="AZ93">
            <v>41.693450272479538</v>
          </cell>
          <cell r="BA93">
            <v>50.958661444141661</v>
          </cell>
          <cell r="BB93">
            <v>60.223872615803778</v>
          </cell>
          <cell r="BC93">
            <v>69.489083787465901</v>
          </cell>
          <cell r="BD93">
            <v>46.326055858310596</v>
          </cell>
          <cell r="BE93">
            <v>4.63260558583106</v>
          </cell>
          <cell r="BG93">
            <v>46.3</v>
          </cell>
          <cell r="BH93">
            <v>23.981093324250679</v>
          </cell>
          <cell r="BI93">
            <v>35.971639986376019</v>
          </cell>
          <cell r="BJ93">
            <v>47.962186648501358</v>
          </cell>
          <cell r="BK93">
            <v>59.952733310626698</v>
          </cell>
          <cell r="BL93">
            <v>71.943279972752038</v>
          </cell>
          <cell r="BM93">
            <v>23.981093324250679</v>
          </cell>
          <cell r="BQ93">
            <v>53.5</v>
          </cell>
          <cell r="BR93">
            <v>24.449429820896832</v>
          </cell>
          <cell r="BS93">
            <v>32.599239761195776</v>
          </cell>
          <cell r="BT93">
            <v>40.749049701494719</v>
          </cell>
          <cell r="BU93">
            <v>48.898859641793663</v>
          </cell>
          <cell r="BV93">
            <v>57.048669582092607</v>
          </cell>
          <cell r="BW93">
            <v>65.198479522391551</v>
          </cell>
          <cell r="BX93">
            <v>73.348289462690502</v>
          </cell>
          <cell r="BY93">
            <v>81.498099402989439</v>
          </cell>
          <cell r="BZ93">
            <v>4.0749049701494719</v>
          </cell>
          <cell r="CC93">
            <v>53.5</v>
          </cell>
          <cell r="CD93">
            <v>23.383017457239809</v>
          </cell>
          <cell r="CE93">
            <v>32.736224440135729</v>
          </cell>
          <cell r="CF93">
            <v>42.089431423031655</v>
          </cell>
          <cell r="CG93">
            <v>51.442638405927575</v>
          </cell>
          <cell r="CH93">
            <v>60.795845388823501</v>
          </cell>
          <cell r="CI93">
            <v>70.149052371719421</v>
          </cell>
          <cell r="CJ93">
            <v>46.766034914479619</v>
          </cell>
          <cell r="CK93">
            <v>4.6766034914479615</v>
          </cell>
          <cell r="CM93">
            <v>53.5</v>
          </cell>
          <cell r="CN93">
            <v>19.226602802357721</v>
          </cell>
          <cell r="CO93">
            <v>38.453205604715443</v>
          </cell>
          <cell r="CP93">
            <v>57.679808407073168</v>
          </cell>
          <cell r="CQ93">
            <v>76.906411209430885</v>
          </cell>
          <cell r="CR93">
            <v>96.133014011788603</v>
          </cell>
          <cell r="CS93">
            <v>115.35961681414634</v>
          </cell>
          <cell r="CT93">
            <v>38.453205604715443</v>
          </cell>
          <cell r="CX93">
            <v>10.1</v>
          </cell>
          <cell r="CY93">
            <v>6.2808798106187274</v>
          </cell>
          <cell r="CZ93">
            <v>7.8510997632734094</v>
          </cell>
          <cell r="DA93">
            <v>9.4213197159280906</v>
          </cell>
          <cell r="DB93">
            <v>10.991539668582773</v>
          </cell>
          <cell r="DC93">
            <v>12.561759621237455</v>
          </cell>
          <cell r="DD93">
            <v>14.131979573892137</v>
          </cell>
          <cell r="DE93">
            <v>15.702199526546819</v>
          </cell>
          <cell r="DF93">
            <v>11.776649644910114</v>
          </cell>
          <cell r="DG93">
            <v>0.78510997632734092</v>
          </cell>
          <cell r="DJ93">
            <v>10.1</v>
          </cell>
          <cell r="DK93">
            <v>4.7747016346083013</v>
          </cell>
          <cell r="DL93">
            <v>6.6845822884516215</v>
          </cell>
          <cell r="DM93">
            <v>8.5944629422949426</v>
          </cell>
          <cell r="DN93">
            <v>10.504343596138263</v>
          </cell>
          <cell r="DO93">
            <v>12.414224249981583</v>
          </cell>
          <cell r="DP93">
            <v>14.324104903824903</v>
          </cell>
          <cell r="DQ93">
            <v>9.5494032692166027</v>
          </cell>
          <cell r="DR93">
            <v>0.9549403269216602</v>
          </cell>
          <cell r="DT93">
            <v>10.1</v>
          </cell>
          <cell r="DU93">
            <v>3.8276926735344232</v>
          </cell>
          <cell r="DV93">
            <v>7.6553853470688464</v>
          </cell>
          <cell r="DW93">
            <v>11.483078020603269</v>
          </cell>
          <cell r="DX93">
            <v>15.310770694137693</v>
          </cell>
          <cell r="DY93">
            <v>19.138463367672117</v>
          </cell>
          <cell r="DZ93">
            <v>22.966156041206538</v>
          </cell>
          <cell r="EA93">
            <v>7.6553853470688464</v>
          </cell>
          <cell r="EE93">
            <v>2.85</v>
          </cell>
          <cell r="EF93">
            <v>2.611797136131452</v>
          </cell>
          <cell r="EG93">
            <v>3.1341565633577422</v>
          </cell>
          <cell r="EH93">
            <v>3.6565159905840323</v>
          </cell>
          <cell r="EI93">
            <v>4.1788754178103229</v>
          </cell>
          <cell r="EJ93">
            <v>4.7012348450366135</v>
          </cell>
          <cell r="EK93">
            <v>5.2235942722629041</v>
          </cell>
          <cell r="EL93">
            <v>3.9176957041971776</v>
          </cell>
          <cell r="EM93">
            <v>0.26117971361314518</v>
          </cell>
          <cell r="EP93">
            <v>2.85</v>
          </cell>
          <cell r="EQ93">
            <v>1.6162264530446633</v>
          </cell>
          <cell r="ER93">
            <v>2.2627170342625287</v>
          </cell>
          <cell r="ES93">
            <v>2.9092076154803936</v>
          </cell>
          <cell r="ET93">
            <v>3.555698196698259</v>
          </cell>
          <cell r="EU93">
            <v>4.202188777916124</v>
          </cell>
          <cell r="EV93">
            <v>4.8486793591339898</v>
          </cell>
          <cell r="EW93">
            <v>3.2324529060893266</v>
          </cell>
          <cell r="EX93">
            <v>0.32324529060893264</v>
          </cell>
          <cell r="EZ93">
            <v>2.85</v>
          </cell>
          <cell r="FA93">
            <v>1.27634756628436</v>
          </cell>
          <cell r="FB93">
            <v>2.5526951325687199</v>
          </cell>
          <cell r="FC93">
            <v>3.8290426988530797</v>
          </cell>
          <cell r="FD93">
            <v>5.1053902651374399</v>
          </cell>
          <cell r="FE93">
            <v>6.3817378314218001</v>
          </cell>
          <cell r="FF93">
            <v>7.6580853977061594</v>
          </cell>
          <cell r="FG93">
            <v>2.5526951325687199</v>
          </cell>
        </row>
        <row r="94">
          <cell r="A94">
            <v>38199</v>
          </cell>
          <cell r="B94">
            <v>48</v>
          </cell>
          <cell r="C94">
            <v>17.543077279664097</v>
          </cell>
          <cell r="D94">
            <v>26.314615919496145</v>
          </cell>
          <cell r="E94">
            <v>35.086154559328193</v>
          </cell>
          <cell r="F94">
            <v>43.857693199160238</v>
          </cell>
          <cell r="G94">
            <v>52.62923183899229</v>
          </cell>
          <cell r="H94">
            <v>61.400770478824342</v>
          </cell>
          <cell r="I94">
            <v>70.172309118656386</v>
          </cell>
          <cell r="J94">
            <v>78.943847758488431</v>
          </cell>
          <cell r="K94">
            <v>87.715386398320476</v>
          </cell>
          <cell r="L94">
            <v>65.786539798740364</v>
          </cell>
          <cell r="M94">
            <v>4.3857693199160241</v>
          </cell>
          <cell r="P94">
            <v>48</v>
          </cell>
          <cell r="Q94">
            <v>18.56757329287819</v>
          </cell>
          <cell r="R94">
            <v>30.94595548813032</v>
          </cell>
          <cell r="S94">
            <v>43.324337683382446</v>
          </cell>
          <cell r="T94">
            <v>55.702719878634575</v>
          </cell>
          <cell r="U94">
            <v>68.081102073886697</v>
          </cell>
          <cell r="V94">
            <v>80.459484269138827</v>
          </cell>
          <cell r="W94">
            <v>92.837866464390956</v>
          </cell>
          <cell r="X94">
            <v>61.89191097626064</v>
          </cell>
          <cell r="Y94">
            <v>6.1891910976260638</v>
          </cell>
          <cell r="AA94">
            <v>48</v>
          </cell>
          <cell r="AB94">
            <v>30.895575783711024</v>
          </cell>
          <cell r="AC94">
            <v>46.343363675566536</v>
          </cell>
          <cell r="AD94">
            <v>61.791151567422048</v>
          </cell>
          <cell r="AE94">
            <v>77.23893945927756</v>
          </cell>
          <cell r="AF94">
            <v>92.686727351133072</v>
          </cell>
          <cell r="AG94">
            <v>30.895575783711024</v>
          </cell>
          <cell r="AK94">
            <v>46.9</v>
          </cell>
          <cell r="AL94">
            <v>29.204673024523167</v>
          </cell>
          <cell r="AM94">
            <v>36.505841280653961</v>
          </cell>
          <cell r="AN94">
            <v>43.807009536784747</v>
          </cell>
          <cell r="AO94">
            <v>51.108177792915541</v>
          </cell>
          <cell r="AP94">
            <v>58.409346049046334</v>
          </cell>
          <cell r="AQ94">
            <v>65.710514305177128</v>
          </cell>
          <cell r="AR94">
            <v>73.011682561307921</v>
          </cell>
          <cell r="AS94">
            <v>54.758761920980938</v>
          </cell>
          <cell r="AT94">
            <v>3.6505841280653959</v>
          </cell>
          <cell r="AW94">
            <v>46.9</v>
          </cell>
          <cell r="AX94">
            <v>23.278911217075372</v>
          </cell>
          <cell r="AY94">
            <v>32.590475703905518</v>
          </cell>
          <cell r="AZ94">
            <v>41.902040190735669</v>
          </cell>
          <cell r="BA94">
            <v>51.213604677565819</v>
          </cell>
          <cell r="BB94">
            <v>60.525169164395962</v>
          </cell>
          <cell r="BC94">
            <v>69.836733651226112</v>
          </cell>
          <cell r="BD94">
            <v>46.557822434150744</v>
          </cell>
          <cell r="BE94">
            <v>4.6557822434150742</v>
          </cell>
          <cell r="BG94">
            <v>46.9</v>
          </cell>
          <cell r="BH94">
            <v>24.182028837420525</v>
          </cell>
          <cell r="BI94">
            <v>36.273043256130791</v>
          </cell>
          <cell r="BJ94">
            <v>48.36405767484105</v>
          </cell>
          <cell r="BK94">
            <v>60.455072093551308</v>
          </cell>
          <cell r="BL94">
            <v>72.546086512261581</v>
          </cell>
          <cell r="BM94">
            <v>24.182028837420525</v>
          </cell>
          <cell r="BQ94">
            <v>56</v>
          </cell>
          <cell r="BR94">
            <v>24.825625715469471</v>
          </cell>
          <cell r="BS94">
            <v>33.100834287292628</v>
          </cell>
          <cell r="BT94">
            <v>41.376042859115785</v>
          </cell>
          <cell r="BU94">
            <v>49.651251430938942</v>
          </cell>
          <cell r="BV94">
            <v>57.926460002762099</v>
          </cell>
          <cell r="BW94">
            <v>66.201668574585256</v>
          </cell>
          <cell r="BX94">
            <v>74.476877146408413</v>
          </cell>
          <cell r="BY94">
            <v>82.752085718231569</v>
          </cell>
          <cell r="BZ94">
            <v>4.1376042859115785</v>
          </cell>
          <cell r="CC94">
            <v>56</v>
          </cell>
          <cell r="CD94">
            <v>23.381924603191706</v>
          </cell>
          <cell r="CE94">
            <v>32.734694444468388</v>
          </cell>
          <cell r="CF94">
            <v>42.087464285745071</v>
          </cell>
          <cell r="CG94">
            <v>51.440234127021753</v>
          </cell>
          <cell r="CH94">
            <v>60.793003968298436</v>
          </cell>
          <cell r="CI94">
            <v>70.145773809575118</v>
          </cell>
          <cell r="CJ94">
            <v>46.763849206383412</v>
          </cell>
          <cell r="CK94">
            <v>4.6763849206383412</v>
          </cell>
          <cell r="CM94">
            <v>56</v>
          </cell>
          <cell r="CN94">
            <v>19.456366483167677</v>
          </cell>
          <cell r="CO94">
            <v>38.912732966335355</v>
          </cell>
          <cell r="CP94">
            <v>58.369099449503032</v>
          </cell>
          <cell r="CQ94">
            <v>77.82546593267071</v>
          </cell>
          <cell r="CR94">
            <v>97.28183241583838</v>
          </cell>
          <cell r="CS94">
            <v>116.73819889900606</v>
          </cell>
          <cell r="CT94">
            <v>38.912732966335355</v>
          </cell>
          <cell r="CX94">
            <v>10.5</v>
          </cell>
          <cell r="CY94">
            <v>6.3009905998734155</v>
          </cell>
          <cell r="CZ94">
            <v>7.8762382498417693</v>
          </cell>
          <cell r="DA94">
            <v>9.4514858998101232</v>
          </cell>
          <cell r="DB94">
            <v>11.026733549778477</v>
          </cell>
          <cell r="DC94">
            <v>12.601981199746831</v>
          </cell>
          <cell r="DD94">
            <v>14.177228849715185</v>
          </cell>
          <cell r="DE94">
            <v>15.752476499683539</v>
          </cell>
          <cell r="DF94">
            <v>11.814357374762654</v>
          </cell>
          <cell r="DG94">
            <v>0.78762382498417693</v>
          </cell>
          <cell r="DJ94">
            <v>10.5</v>
          </cell>
          <cell r="DK94">
            <v>4.7688569748391885</v>
          </cell>
          <cell r="DL94">
            <v>6.6763997647748639</v>
          </cell>
          <cell r="DM94">
            <v>8.5839425547105392</v>
          </cell>
          <cell r="DN94">
            <v>10.491485344646215</v>
          </cell>
          <cell r="DO94">
            <v>12.39902813458189</v>
          </cell>
          <cell r="DP94">
            <v>14.306570924517565</v>
          </cell>
          <cell r="DQ94">
            <v>9.5377139496783769</v>
          </cell>
          <cell r="DR94">
            <v>0.95377139496783769</v>
          </cell>
          <cell r="DT94">
            <v>10.5</v>
          </cell>
          <cell r="DU94">
            <v>3.8689278958842839</v>
          </cell>
          <cell r="DV94">
            <v>7.7378557917685677</v>
          </cell>
          <cell r="DW94">
            <v>11.606783687652852</v>
          </cell>
          <cell r="DX94">
            <v>15.475711583537135</v>
          </cell>
          <cell r="DY94">
            <v>19.344639479421421</v>
          </cell>
          <cell r="DZ94">
            <v>23.213567375305704</v>
          </cell>
          <cell r="EA94">
            <v>7.7378557917685677</v>
          </cell>
          <cell r="EE94">
            <v>2.7749999999999999</v>
          </cell>
          <cell r="EF94">
            <v>2.6695343271661844</v>
          </cell>
          <cell r="EG94">
            <v>3.2034411925994211</v>
          </cell>
          <cell r="EH94">
            <v>3.7373480580326577</v>
          </cell>
          <cell r="EI94">
            <v>4.2712549234658947</v>
          </cell>
          <cell r="EJ94">
            <v>4.8051617888991318</v>
          </cell>
          <cell r="EK94">
            <v>5.3390686543323689</v>
          </cell>
          <cell r="EL94">
            <v>4.0043014907492767</v>
          </cell>
          <cell r="EM94">
            <v>0.26695343271661842</v>
          </cell>
          <cell r="EP94">
            <v>2.7749999999999999</v>
          </cell>
          <cell r="EQ94">
            <v>1.617539221641378</v>
          </cell>
          <cell r="ER94">
            <v>2.2645549102979294</v>
          </cell>
          <cell r="ES94">
            <v>2.9115705989544804</v>
          </cell>
          <cell r="ET94">
            <v>3.5585862876110319</v>
          </cell>
          <cell r="EU94">
            <v>4.2056019762675829</v>
          </cell>
          <cell r="EV94">
            <v>4.8526176649241339</v>
          </cell>
          <cell r="EW94">
            <v>3.235078443282756</v>
          </cell>
          <cell r="EX94">
            <v>0.32350784432827562</v>
          </cell>
          <cell r="EZ94">
            <v>2.7749999999999999</v>
          </cell>
          <cell r="FA94">
            <v>1.2808743517850021</v>
          </cell>
          <cell r="FB94">
            <v>2.5617487035700042</v>
          </cell>
          <cell r="FC94">
            <v>3.8426230553550065</v>
          </cell>
          <cell r="FD94">
            <v>5.1234974071400083</v>
          </cell>
          <cell r="FE94">
            <v>6.4043717589250102</v>
          </cell>
          <cell r="FF94">
            <v>7.685246110710013</v>
          </cell>
          <cell r="FG94">
            <v>2.5617487035700042</v>
          </cell>
        </row>
        <row r="95">
          <cell r="A95">
            <v>38230</v>
          </cell>
          <cell r="B95">
            <v>56</v>
          </cell>
          <cell r="C95">
            <v>17.749607879164067</v>
          </cell>
          <cell r="D95">
            <v>26.624411818746101</v>
          </cell>
          <cell r="E95">
            <v>35.499215758328134</v>
          </cell>
          <cell r="F95">
            <v>44.374019697910171</v>
          </cell>
          <cell r="G95">
            <v>53.248823637492201</v>
          </cell>
          <cell r="H95">
            <v>62.123627577074231</v>
          </cell>
          <cell r="I95">
            <v>70.998431516656268</v>
          </cell>
          <cell r="J95">
            <v>79.873235456238305</v>
          </cell>
          <cell r="K95">
            <v>88.748039395820342</v>
          </cell>
          <cell r="L95">
            <v>66.561029546865257</v>
          </cell>
          <cell r="M95">
            <v>4.4374019697910168</v>
          </cell>
          <cell r="P95">
            <v>56</v>
          </cell>
          <cell r="Q95">
            <v>18.513042326024802</v>
          </cell>
          <cell r="R95">
            <v>30.855070543374666</v>
          </cell>
          <cell r="S95">
            <v>43.197098760724536</v>
          </cell>
          <cell r="T95">
            <v>55.5391269780744</v>
          </cell>
          <cell r="U95">
            <v>67.88115519542427</v>
          </cell>
          <cell r="V95">
            <v>80.223183412774134</v>
          </cell>
          <cell r="W95">
            <v>92.565211630123997</v>
          </cell>
          <cell r="X95">
            <v>61.710141086749331</v>
          </cell>
          <cell r="Y95">
            <v>6.1710141086749335</v>
          </cell>
          <cell r="AA95">
            <v>56</v>
          </cell>
          <cell r="AB95">
            <v>31.375297273531231</v>
          </cell>
          <cell r="AC95">
            <v>47.062945910296847</v>
          </cell>
          <cell r="AD95">
            <v>62.750594547062462</v>
          </cell>
          <cell r="AE95">
            <v>78.438243183828078</v>
          </cell>
          <cell r="AF95">
            <v>94.125891820593694</v>
          </cell>
          <cell r="AG95">
            <v>31.375297273531231</v>
          </cell>
          <cell r="AK95">
            <v>51</v>
          </cell>
          <cell r="AL95">
            <v>29.965667574931889</v>
          </cell>
          <cell r="AM95">
            <v>37.45708446866486</v>
          </cell>
          <cell r="AN95">
            <v>44.948501362397835</v>
          </cell>
          <cell r="AO95">
            <v>52.439918256130802</v>
          </cell>
          <cell r="AP95">
            <v>59.931335149863777</v>
          </cell>
          <cell r="AQ95">
            <v>67.422752043596745</v>
          </cell>
          <cell r="AR95">
            <v>74.91416893732972</v>
          </cell>
          <cell r="AS95">
            <v>56.18562670299729</v>
          </cell>
          <cell r="AT95">
            <v>3.7457084468664861</v>
          </cell>
          <cell r="AW95">
            <v>51</v>
          </cell>
          <cell r="AX95">
            <v>23.394794504995442</v>
          </cell>
          <cell r="AY95">
            <v>32.752712306993615</v>
          </cell>
          <cell r="AZ95">
            <v>42.110630108991799</v>
          </cell>
          <cell r="BA95">
            <v>51.468547910989969</v>
          </cell>
          <cell r="BB95">
            <v>60.826465712988153</v>
          </cell>
          <cell r="BC95">
            <v>70.184383514986322</v>
          </cell>
          <cell r="BD95">
            <v>46.789589009990884</v>
          </cell>
          <cell r="BE95">
            <v>4.6789589009990884</v>
          </cell>
          <cell r="BG95">
            <v>51</v>
          </cell>
          <cell r="BH95">
            <v>24.38296435059037</v>
          </cell>
          <cell r="BI95">
            <v>36.574446525885556</v>
          </cell>
          <cell r="BJ95">
            <v>48.765928701180741</v>
          </cell>
          <cell r="BK95">
            <v>60.957410876475926</v>
          </cell>
          <cell r="BL95">
            <v>73.148893051771111</v>
          </cell>
          <cell r="BM95">
            <v>24.38296435059037</v>
          </cell>
          <cell r="BQ95">
            <v>56.75</v>
          </cell>
          <cell r="BR95">
            <v>25.20182161004211</v>
          </cell>
          <cell r="BS95">
            <v>33.60242881338948</v>
          </cell>
          <cell r="BT95">
            <v>42.00303601673685</v>
          </cell>
          <cell r="BU95">
            <v>50.40364322008422</v>
          </cell>
          <cell r="BV95">
            <v>58.80425042343159</v>
          </cell>
          <cell r="BW95">
            <v>67.20485762677896</v>
          </cell>
          <cell r="BX95">
            <v>75.605464830126323</v>
          </cell>
          <cell r="BY95">
            <v>84.0060720334737</v>
          </cell>
          <cell r="BZ95">
            <v>4.200303601673685</v>
          </cell>
          <cell r="CC95">
            <v>56.75</v>
          </cell>
          <cell r="CD95">
            <v>23.380831749143603</v>
          </cell>
          <cell r="CE95">
            <v>32.733164448801048</v>
          </cell>
          <cell r="CF95">
            <v>42.085497148458487</v>
          </cell>
          <cell r="CG95">
            <v>51.437829848115932</v>
          </cell>
          <cell r="CH95">
            <v>60.79016254777337</v>
          </cell>
          <cell r="CI95">
            <v>70.142495247430816</v>
          </cell>
          <cell r="CJ95">
            <v>46.761663498287206</v>
          </cell>
          <cell r="CK95">
            <v>4.6761663498287209</v>
          </cell>
          <cell r="CM95">
            <v>56.75</v>
          </cell>
          <cell r="CN95">
            <v>19.686130163977634</v>
          </cell>
          <cell r="CO95">
            <v>39.372260327955267</v>
          </cell>
          <cell r="CP95">
            <v>59.058390491932897</v>
          </cell>
          <cell r="CQ95">
            <v>78.744520655910534</v>
          </cell>
          <cell r="CR95">
            <v>98.430650819888172</v>
          </cell>
          <cell r="CS95">
            <v>118.11678098386579</v>
          </cell>
          <cell r="CT95">
            <v>39.372260327955267</v>
          </cell>
          <cell r="CX95">
            <v>10.65</v>
          </cell>
          <cell r="CY95">
            <v>6.3211013891281036</v>
          </cell>
          <cell r="CZ95">
            <v>7.9013767364101293</v>
          </cell>
          <cell r="DA95">
            <v>9.4816520836921558</v>
          </cell>
          <cell r="DB95">
            <v>11.061927430974182</v>
          </cell>
          <cell r="DC95">
            <v>12.642202778256207</v>
          </cell>
          <cell r="DD95">
            <v>14.222478125538233</v>
          </cell>
          <cell r="DE95">
            <v>15.802753472820259</v>
          </cell>
          <cell r="DF95">
            <v>11.852065104615194</v>
          </cell>
          <cell r="DG95">
            <v>0.79013767364101295</v>
          </cell>
          <cell r="DJ95">
            <v>10.65</v>
          </cell>
          <cell r="DK95">
            <v>4.7630123150700756</v>
          </cell>
          <cell r="DL95">
            <v>6.6682172410981062</v>
          </cell>
          <cell r="DM95">
            <v>8.5734221671261359</v>
          </cell>
          <cell r="DN95">
            <v>10.478627093154167</v>
          </cell>
          <cell r="DO95">
            <v>12.383832019182197</v>
          </cell>
          <cell r="DP95">
            <v>14.289036945210228</v>
          </cell>
          <cell r="DQ95">
            <v>9.5260246301401512</v>
          </cell>
          <cell r="DR95">
            <v>0.95260246301401519</v>
          </cell>
          <cell r="DT95">
            <v>10.65</v>
          </cell>
          <cell r="DU95">
            <v>3.9101631182341445</v>
          </cell>
          <cell r="DV95">
            <v>7.8203262364682891</v>
          </cell>
          <cell r="DW95">
            <v>11.730489354702433</v>
          </cell>
          <cell r="DX95">
            <v>15.640652472936578</v>
          </cell>
          <cell r="DY95">
            <v>19.550815591170721</v>
          </cell>
          <cell r="DZ95">
            <v>23.460978709404866</v>
          </cell>
          <cell r="EA95">
            <v>7.8203262364682891</v>
          </cell>
          <cell r="EE95">
            <v>3.2</v>
          </cell>
          <cell r="EF95">
            <v>2.7272715182009168</v>
          </cell>
          <cell r="EG95">
            <v>3.2727258218410999</v>
          </cell>
          <cell r="EH95">
            <v>3.818180125481283</v>
          </cell>
          <cell r="EI95">
            <v>4.3636344291214666</v>
          </cell>
          <cell r="EJ95">
            <v>4.9090887327616501</v>
          </cell>
          <cell r="EK95">
            <v>5.4545430364018337</v>
          </cell>
          <cell r="EL95">
            <v>4.0909072773013753</v>
          </cell>
          <cell r="EM95">
            <v>0.27272715182009166</v>
          </cell>
          <cell r="EP95">
            <v>3.2</v>
          </cell>
          <cell r="EQ95">
            <v>1.6188519902380929</v>
          </cell>
          <cell r="ER95">
            <v>2.2663927863333302</v>
          </cell>
          <cell r="ES95">
            <v>2.9139335824285673</v>
          </cell>
          <cell r="ET95">
            <v>3.5614743785238043</v>
          </cell>
          <cell r="EU95">
            <v>4.2090151746190418</v>
          </cell>
          <cell r="EV95">
            <v>4.8565559707142789</v>
          </cell>
          <cell r="EW95">
            <v>3.2377039804761858</v>
          </cell>
          <cell r="EX95">
            <v>0.32377039804761859</v>
          </cell>
          <cell r="EZ95">
            <v>3.2</v>
          </cell>
          <cell r="FA95">
            <v>1.2854011372856442</v>
          </cell>
          <cell r="FB95">
            <v>2.5708022745712884</v>
          </cell>
          <cell r="FC95">
            <v>3.8562034118569324</v>
          </cell>
          <cell r="FD95">
            <v>5.1416045491425768</v>
          </cell>
          <cell r="FE95">
            <v>6.4270056864282212</v>
          </cell>
          <cell r="FF95">
            <v>7.7124068237138648</v>
          </cell>
          <cell r="FG95">
            <v>2.5708022745712884</v>
          </cell>
        </row>
        <row r="96">
          <cell r="A96">
            <v>38260</v>
          </cell>
          <cell r="B96">
            <v>55.75</v>
          </cell>
          <cell r="C96">
            <v>17.956138478664037</v>
          </cell>
          <cell r="D96">
            <v>26.934207717996056</v>
          </cell>
          <cell r="E96">
            <v>35.912276957328075</v>
          </cell>
          <cell r="F96">
            <v>44.89034619666009</v>
          </cell>
          <cell r="G96">
            <v>53.868415435992112</v>
          </cell>
          <cell r="H96">
            <v>62.846484675324135</v>
          </cell>
          <cell r="I96">
            <v>71.82455391465615</v>
          </cell>
          <cell r="J96">
            <v>80.802623153988165</v>
          </cell>
          <cell r="K96">
            <v>89.78069239332018</v>
          </cell>
          <cell r="L96">
            <v>67.335519294990135</v>
          </cell>
          <cell r="M96">
            <v>4.4890346196660094</v>
          </cell>
          <cell r="P96">
            <v>55.75</v>
          </cell>
          <cell r="Q96">
            <v>18.458511359171411</v>
          </cell>
          <cell r="R96">
            <v>30.764185598619015</v>
          </cell>
          <cell r="S96">
            <v>43.06985983806662</v>
          </cell>
          <cell r="T96">
            <v>55.375534077514232</v>
          </cell>
          <cell r="U96">
            <v>67.681208316961829</v>
          </cell>
          <cell r="V96">
            <v>79.986882556409441</v>
          </cell>
          <cell r="W96">
            <v>92.292556795857053</v>
          </cell>
          <cell r="X96">
            <v>61.52837119723803</v>
          </cell>
          <cell r="Y96">
            <v>6.1528371197238032</v>
          </cell>
          <cell r="AA96">
            <v>55.75</v>
          </cell>
          <cell r="AB96">
            <v>31.855018763351438</v>
          </cell>
          <cell r="AC96">
            <v>47.782528145027158</v>
          </cell>
          <cell r="AD96">
            <v>63.710037526702877</v>
          </cell>
          <cell r="AE96">
            <v>79.637546908378596</v>
          </cell>
          <cell r="AF96">
            <v>95.565056290054315</v>
          </cell>
          <cell r="AG96">
            <v>31.855018763351438</v>
          </cell>
          <cell r="AK96">
            <v>51</v>
          </cell>
          <cell r="AL96">
            <v>30.72666212534061</v>
          </cell>
          <cell r="AM96">
            <v>38.408327656675766</v>
          </cell>
          <cell r="AN96">
            <v>46.089993188010915</v>
          </cell>
          <cell r="AO96">
            <v>53.771658719346064</v>
          </cell>
          <cell r="AP96">
            <v>61.45332425068122</v>
          </cell>
          <cell r="AQ96">
            <v>69.134989782016376</v>
          </cell>
          <cell r="AR96">
            <v>76.816655313351532</v>
          </cell>
          <cell r="AS96">
            <v>57.612491485013642</v>
          </cell>
          <cell r="AT96">
            <v>3.8408327656675763</v>
          </cell>
          <cell r="AW96">
            <v>51</v>
          </cell>
          <cell r="AX96">
            <v>23.510677792915512</v>
          </cell>
          <cell r="AY96">
            <v>32.914948910081719</v>
          </cell>
          <cell r="AZ96">
            <v>42.319220027247923</v>
          </cell>
          <cell r="BA96">
            <v>51.723491144414126</v>
          </cell>
          <cell r="BB96">
            <v>61.127762261580337</v>
          </cell>
          <cell r="BC96">
            <v>70.532033378746533</v>
          </cell>
          <cell r="BD96">
            <v>47.021355585831024</v>
          </cell>
          <cell r="BE96">
            <v>4.7021355585831026</v>
          </cell>
          <cell r="BG96">
            <v>51</v>
          </cell>
          <cell r="BH96">
            <v>24.583899863760216</v>
          </cell>
          <cell r="BI96">
            <v>36.87584979564032</v>
          </cell>
          <cell r="BJ96">
            <v>49.167799727520432</v>
          </cell>
          <cell r="BK96">
            <v>61.459749659400543</v>
          </cell>
          <cell r="BL96">
            <v>73.751699591280641</v>
          </cell>
          <cell r="BM96">
            <v>24.583899863760216</v>
          </cell>
          <cell r="BQ96">
            <v>57</v>
          </cell>
          <cell r="BR96">
            <v>25.578017504614749</v>
          </cell>
          <cell r="BS96">
            <v>34.104023339486332</v>
          </cell>
          <cell r="BT96">
            <v>42.630029174357915</v>
          </cell>
          <cell r="BU96">
            <v>51.156035009229498</v>
          </cell>
          <cell r="BV96">
            <v>59.682040844101081</v>
          </cell>
          <cell r="BW96">
            <v>68.208046678972664</v>
          </cell>
          <cell r="BX96">
            <v>76.734052513844247</v>
          </cell>
          <cell r="BY96">
            <v>85.26005834871583</v>
          </cell>
          <cell r="BZ96">
            <v>4.2630029174357915</v>
          </cell>
          <cell r="CC96">
            <v>57</v>
          </cell>
          <cell r="CD96">
            <v>23.379738895095503</v>
          </cell>
          <cell r="CE96">
            <v>32.731634453133708</v>
          </cell>
          <cell r="CF96">
            <v>42.083530011171902</v>
          </cell>
          <cell r="CG96">
            <v>51.435425569210111</v>
          </cell>
          <cell r="CH96">
            <v>60.787321127248305</v>
          </cell>
          <cell r="CI96">
            <v>70.139216685286513</v>
          </cell>
          <cell r="CJ96">
            <v>46.759477790191006</v>
          </cell>
          <cell r="CK96">
            <v>4.6759477790191006</v>
          </cell>
          <cell r="CM96">
            <v>57</v>
          </cell>
          <cell r="CN96">
            <v>19.91589384478759</v>
          </cell>
          <cell r="CO96">
            <v>39.831787689575179</v>
          </cell>
          <cell r="CP96">
            <v>59.747681534362769</v>
          </cell>
          <cell r="CQ96">
            <v>79.663575379150359</v>
          </cell>
          <cell r="CR96">
            <v>99.579469223937949</v>
          </cell>
          <cell r="CS96">
            <v>119.49536306872554</v>
          </cell>
          <cell r="CT96">
            <v>39.831787689575179</v>
          </cell>
          <cell r="CX96">
            <v>10.65</v>
          </cell>
          <cell r="CY96">
            <v>6.3412121783827917</v>
          </cell>
          <cell r="CZ96">
            <v>7.9265152229784892</v>
          </cell>
          <cell r="DA96">
            <v>9.5118182675741885</v>
          </cell>
          <cell r="DB96">
            <v>11.097121312169886</v>
          </cell>
          <cell r="DC96">
            <v>12.682424356765583</v>
          </cell>
          <cell r="DD96">
            <v>14.267727401361281</v>
          </cell>
          <cell r="DE96">
            <v>15.853030445956978</v>
          </cell>
          <cell r="DF96">
            <v>11.889772834467735</v>
          </cell>
          <cell r="DG96">
            <v>0.79265152229784896</v>
          </cell>
          <cell r="DJ96">
            <v>10.65</v>
          </cell>
          <cell r="DK96">
            <v>4.7571676553009636</v>
          </cell>
          <cell r="DL96">
            <v>6.6600347174213486</v>
          </cell>
          <cell r="DM96">
            <v>8.5629017795417344</v>
          </cell>
          <cell r="DN96">
            <v>10.46576884166212</v>
          </cell>
          <cell r="DO96">
            <v>12.368635903782504</v>
          </cell>
          <cell r="DP96">
            <v>14.27150296590289</v>
          </cell>
          <cell r="DQ96">
            <v>9.5143353106019273</v>
          </cell>
          <cell r="DR96">
            <v>0.95143353106019268</v>
          </cell>
          <cell r="DT96">
            <v>10.65</v>
          </cell>
          <cell r="DU96">
            <v>3.9513983405840052</v>
          </cell>
          <cell r="DV96">
            <v>7.9027966811680104</v>
          </cell>
          <cell r="DW96">
            <v>11.854195021752016</v>
          </cell>
          <cell r="DX96">
            <v>15.805593362336021</v>
          </cell>
          <cell r="DY96">
            <v>19.756991702920025</v>
          </cell>
          <cell r="DZ96">
            <v>23.708390043504032</v>
          </cell>
          <cell r="EA96">
            <v>7.9027966811680104</v>
          </cell>
          <cell r="EE96">
            <v>3.1749999999999998</v>
          </cell>
          <cell r="EF96">
            <v>2.7850087092356492</v>
          </cell>
          <cell r="EG96">
            <v>3.3420104510827788</v>
          </cell>
          <cell r="EH96">
            <v>3.8990121929299084</v>
          </cell>
          <cell r="EI96">
            <v>4.4560139347770384</v>
          </cell>
          <cell r="EJ96">
            <v>5.0130156766241685</v>
          </cell>
          <cell r="EK96">
            <v>5.5700174184712985</v>
          </cell>
          <cell r="EL96">
            <v>4.1775130638534739</v>
          </cell>
          <cell r="EM96">
            <v>0.2785008709235649</v>
          </cell>
          <cell r="EP96">
            <v>3.1749999999999998</v>
          </cell>
          <cell r="EQ96">
            <v>1.6201647588348078</v>
          </cell>
          <cell r="ER96">
            <v>2.2682306623687309</v>
          </cell>
          <cell r="ES96">
            <v>2.9162965659026541</v>
          </cell>
          <cell r="ET96">
            <v>3.5643624694365772</v>
          </cell>
          <cell r="EU96">
            <v>4.2124283729704999</v>
          </cell>
          <cell r="EV96">
            <v>4.8604942765044239</v>
          </cell>
          <cell r="EW96">
            <v>3.2403295176696156</v>
          </cell>
          <cell r="EX96">
            <v>0.32403295176696156</v>
          </cell>
          <cell r="EZ96">
            <v>3.1749999999999998</v>
          </cell>
          <cell r="FA96">
            <v>1.2899279227862863</v>
          </cell>
          <cell r="FB96">
            <v>2.5798558455725726</v>
          </cell>
          <cell r="FC96">
            <v>3.8697837683588592</v>
          </cell>
          <cell r="FD96">
            <v>5.1597116911451453</v>
          </cell>
          <cell r="FE96">
            <v>6.4496396139314314</v>
          </cell>
          <cell r="FF96">
            <v>7.7395675367177184</v>
          </cell>
          <cell r="FG96">
            <v>2.5798558455725726</v>
          </cell>
        </row>
        <row r="97">
          <cell r="A97">
            <v>38291</v>
          </cell>
          <cell r="B97">
            <v>56</v>
          </cell>
          <cell r="C97">
            <v>18.162669078164008</v>
          </cell>
          <cell r="D97">
            <v>27.244003617246012</v>
          </cell>
          <cell r="E97">
            <v>36.325338156328016</v>
          </cell>
          <cell r="F97">
            <v>45.406672695410023</v>
          </cell>
          <cell r="G97">
            <v>54.488007234492024</v>
          </cell>
          <cell r="H97">
            <v>63.569341773574024</v>
          </cell>
          <cell r="I97">
            <v>72.650676312656032</v>
          </cell>
          <cell r="J97">
            <v>81.732010851738039</v>
          </cell>
          <cell r="K97">
            <v>90.813345390820047</v>
          </cell>
          <cell r="L97">
            <v>68.110009043115028</v>
          </cell>
          <cell r="M97">
            <v>4.540667269541002</v>
          </cell>
          <cell r="P97">
            <v>56</v>
          </cell>
          <cell r="Q97">
            <v>18.403980392318019</v>
          </cell>
          <cell r="R97">
            <v>30.673300653863365</v>
          </cell>
          <cell r="S97">
            <v>42.94262091540871</v>
          </cell>
          <cell r="T97">
            <v>55.211941176954056</v>
          </cell>
          <cell r="U97">
            <v>67.481261438499402</v>
          </cell>
          <cell r="V97">
            <v>79.750581700044748</v>
          </cell>
          <cell r="W97">
            <v>92.019901961590094</v>
          </cell>
          <cell r="X97">
            <v>61.346601307726729</v>
          </cell>
          <cell r="Y97">
            <v>6.1346601307726729</v>
          </cell>
          <cell r="AA97">
            <v>56</v>
          </cell>
          <cell r="AB97">
            <v>32.334740253171645</v>
          </cell>
          <cell r="AC97">
            <v>48.502110379757468</v>
          </cell>
          <cell r="AD97">
            <v>64.669480506343291</v>
          </cell>
          <cell r="AE97">
            <v>80.836850632929114</v>
          </cell>
          <cell r="AF97">
            <v>97.004220759514936</v>
          </cell>
          <cell r="AG97">
            <v>32.334740253171645</v>
          </cell>
          <cell r="AK97">
            <v>53.25</v>
          </cell>
          <cell r="AL97">
            <v>31.487656675749331</v>
          </cell>
          <cell r="AM97">
            <v>39.359570844686665</v>
          </cell>
          <cell r="AN97">
            <v>47.231485013623995</v>
          </cell>
          <cell r="AO97">
            <v>55.103399182561333</v>
          </cell>
          <cell r="AP97">
            <v>62.975313351498663</v>
          </cell>
          <cell r="AQ97">
            <v>70.847227520435993</v>
          </cell>
          <cell r="AR97">
            <v>78.71914168937333</v>
          </cell>
          <cell r="AS97">
            <v>59.039356267029994</v>
          </cell>
          <cell r="AT97">
            <v>3.9359570844686664</v>
          </cell>
          <cell r="AW97">
            <v>53.25</v>
          </cell>
          <cell r="AX97">
            <v>23.626561080835586</v>
          </cell>
          <cell r="AY97">
            <v>33.077185513169816</v>
          </cell>
          <cell r="AZ97">
            <v>42.527809945504053</v>
          </cell>
          <cell r="BA97">
            <v>51.978434377838283</v>
          </cell>
          <cell r="BB97">
            <v>61.429058810172521</v>
          </cell>
          <cell r="BC97">
            <v>70.879683242506758</v>
          </cell>
          <cell r="BD97">
            <v>47.253122161671172</v>
          </cell>
          <cell r="BE97">
            <v>4.7253122161671168</v>
          </cell>
          <cell r="BG97">
            <v>53.25</v>
          </cell>
          <cell r="BH97">
            <v>24.784835376930062</v>
          </cell>
          <cell r="BI97">
            <v>37.177253065395092</v>
          </cell>
          <cell r="BJ97">
            <v>49.569670753860123</v>
          </cell>
          <cell r="BK97">
            <v>61.962088442325154</v>
          </cell>
          <cell r="BL97">
            <v>74.354506130790185</v>
          </cell>
          <cell r="BM97">
            <v>24.784835376930062</v>
          </cell>
          <cell r="BQ97">
            <v>60</v>
          </cell>
          <cell r="BR97">
            <v>25.954213399187388</v>
          </cell>
          <cell r="BS97">
            <v>34.605617865583184</v>
          </cell>
          <cell r="BT97">
            <v>43.25702233197898</v>
          </cell>
          <cell r="BU97">
            <v>51.908426798374776</v>
          </cell>
          <cell r="BV97">
            <v>60.559831264770573</v>
          </cell>
          <cell r="BW97">
            <v>69.211235731166369</v>
          </cell>
          <cell r="BX97">
            <v>77.862640197562172</v>
          </cell>
          <cell r="BY97">
            <v>86.514044663957961</v>
          </cell>
          <cell r="BZ97">
            <v>4.325702233197898</v>
          </cell>
          <cell r="CC97">
            <v>60</v>
          </cell>
          <cell r="CD97">
            <v>23.378646041047404</v>
          </cell>
          <cell r="CE97">
            <v>32.730104457466361</v>
          </cell>
          <cell r="CF97">
            <v>42.081562873885325</v>
          </cell>
          <cell r="CG97">
            <v>51.433021290304282</v>
          </cell>
          <cell r="CH97">
            <v>60.784479706723246</v>
          </cell>
          <cell r="CI97">
            <v>70.135938123142211</v>
          </cell>
          <cell r="CJ97">
            <v>46.757292082094807</v>
          </cell>
          <cell r="CK97">
            <v>4.6757292082094803</v>
          </cell>
          <cell r="CM97">
            <v>60</v>
          </cell>
          <cell r="CN97">
            <v>20.145657525597546</v>
          </cell>
          <cell r="CO97">
            <v>40.291315051195092</v>
          </cell>
          <cell r="CP97">
            <v>60.436972576792641</v>
          </cell>
          <cell r="CQ97">
            <v>80.582630102390183</v>
          </cell>
          <cell r="CR97">
            <v>100.72828762798773</v>
          </cell>
          <cell r="CS97">
            <v>120.87394515358528</v>
          </cell>
          <cell r="CT97">
            <v>40.291315051195092</v>
          </cell>
          <cell r="CX97">
            <v>10.45</v>
          </cell>
          <cell r="CY97">
            <v>6.3613229676374798</v>
          </cell>
          <cell r="CZ97">
            <v>7.95165370954685</v>
          </cell>
          <cell r="DA97">
            <v>9.5419844514562193</v>
          </cell>
          <cell r="DB97">
            <v>11.13231519336559</v>
          </cell>
          <cell r="DC97">
            <v>12.72264593527496</v>
          </cell>
          <cell r="DD97">
            <v>14.312976677184329</v>
          </cell>
          <cell r="DE97">
            <v>15.9033074190937</v>
          </cell>
          <cell r="DF97">
            <v>11.927480564320275</v>
          </cell>
          <cell r="DG97">
            <v>0.79516537095468498</v>
          </cell>
          <cell r="DJ97">
            <v>10.45</v>
          </cell>
          <cell r="DK97">
            <v>4.7513229955318508</v>
          </cell>
          <cell r="DL97">
            <v>6.6518521937445909</v>
          </cell>
          <cell r="DM97">
            <v>8.552381391957331</v>
          </cell>
          <cell r="DN97">
            <v>10.452910590170072</v>
          </cell>
          <cell r="DO97">
            <v>12.353439788382813</v>
          </cell>
          <cell r="DP97">
            <v>14.253968986595552</v>
          </cell>
          <cell r="DQ97">
            <v>9.5026459910637016</v>
          </cell>
          <cell r="DR97">
            <v>0.95026459910637018</v>
          </cell>
          <cell r="DT97">
            <v>10.45</v>
          </cell>
          <cell r="DU97">
            <v>3.9926335629338658</v>
          </cell>
          <cell r="DV97">
            <v>7.9852671258677317</v>
          </cell>
          <cell r="DW97">
            <v>11.977900688801597</v>
          </cell>
          <cell r="DX97">
            <v>15.970534251735463</v>
          </cell>
          <cell r="DY97">
            <v>19.96316781466933</v>
          </cell>
          <cell r="DZ97">
            <v>23.955801377603194</v>
          </cell>
          <cell r="EA97">
            <v>7.9852671258677317</v>
          </cell>
          <cell r="EE97">
            <v>3.1</v>
          </cell>
          <cell r="EF97">
            <v>2.8427459002703817</v>
          </cell>
          <cell r="EG97">
            <v>3.4112950803244577</v>
          </cell>
          <cell r="EH97">
            <v>3.9798442603785338</v>
          </cell>
          <cell r="EI97">
            <v>4.5483934404326103</v>
          </cell>
          <cell r="EJ97">
            <v>5.1169426204866868</v>
          </cell>
          <cell r="EK97">
            <v>5.6854918005407633</v>
          </cell>
          <cell r="EL97">
            <v>4.2641188504055725</v>
          </cell>
          <cell r="EM97">
            <v>0.28427459002703814</v>
          </cell>
          <cell r="EP97">
            <v>3.1</v>
          </cell>
          <cell r="EQ97">
            <v>1.6214775274315227</v>
          </cell>
          <cell r="ER97">
            <v>2.2700685384041317</v>
          </cell>
          <cell r="ES97">
            <v>2.9186595493767409</v>
          </cell>
          <cell r="ET97">
            <v>3.5672505603493501</v>
          </cell>
          <cell r="EU97">
            <v>4.2158415713219588</v>
          </cell>
          <cell r="EV97">
            <v>4.864432582294568</v>
          </cell>
          <cell r="EW97">
            <v>3.2429550548630455</v>
          </cell>
          <cell r="EX97">
            <v>0.32429550548630454</v>
          </cell>
          <cell r="EZ97">
            <v>3.1</v>
          </cell>
          <cell r="FA97">
            <v>1.2944547082869284</v>
          </cell>
          <cell r="FB97">
            <v>2.5889094165738569</v>
          </cell>
          <cell r="FC97">
            <v>3.8833641248607851</v>
          </cell>
          <cell r="FD97">
            <v>5.1778188331477137</v>
          </cell>
          <cell r="FE97">
            <v>6.4722735414346424</v>
          </cell>
          <cell r="FF97">
            <v>7.7667282497215702</v>
          </cell>
          <cell r="FG97">
            <v>2.5889094165738569</v>
          </cell>
        </row>
        <row r="98">
          <cell r="A98">
            <v>38321</v>
          </cell>
          <cell r="B98">
            <v>60.75</v>
          </cell>
          <cell r="C98">
            <v>18.369199677663978</v>
          </cell>
          <cell r="D98">
            <v>27.553799516495967</v>
          </cell>
          <cell r="E98">
            <v>36.738399355327957</v>
          </cell>
          <cell r="F98">
            <v>45.922999194159942</v>
          </cell>
          <cell r="G98">
            <v>55.107599032991935</v>
          </cell>
          <cell r="H98">
            <v>64.292198871823928</v>
          </cell>
          <cell r="I98">
            <v>73.476798710655913</v>
          </cell>
          <cell r="J98">
            <v>82.661398549487899</v>
          </cell>
          <cell r="K98">
            <v>91.845998388319884</v>
          </cell>
          <cell r="L98">
            <v>68.88449879123992</v>
          </cell>
          <cell r="M98">
            <v>4.5922999194159946</v>
          </cell>
          <cell r="P98">
            <v>60.75</v>
          </cell>
          <cell r="Q98">
            <v>18.349449425464627</v>
          </cell>
          <cell r="R98">
            <v>30.582415709107714</v>
          </cell>
          <cell r="S98">
            <v>42.815381992750801</v>
          </cell>
          <cell r="T98">
            <v>55.048348276393881</v>
          </cell>
          <cell r="U98">
            <v>67.281314560036975</v>
          </cell>
          <cell r="V98">
            <v>79.514280843680055</v>
          </cell>
          <cell r="W98">
            <v>91.747247127323135</v>
          </cell>
          <cell r="X98">
            <v>61.164831418215428</v>
          </cell>
          <cell r="Y98">
            <v>6.1164831418215426</v>
          </cell>
          <cell r="AA98">
            <v>60.75</v>
          </cell>
          <cell r="AB98">
            <v>32.814461742991853</v>
          </cell>
          <cell r="AC98">
            <v>49.221692614487779</v>
          </cell>
          <cell r="AD98">
            <v>65.628923485983705</v>
          </cell>
          <cell r="AE98">
            <v>82.036154357479631</v>
          </cell>
          <cell r="AF98">
            <v>98.443385228975558</v>
          </cell>
          <cell r="AG98">
            <v>32.814461742991853</v>
          </cell>
          <cell r="AK98">
            <v>55.25</v>
          </cell>
          <cell r="AL98">
            <v>32.248651226158053</v>
          </cell>
          <cell r="AM98">
            <v>40.310814032697564</v>
          </cell>
          <cell r="AN98">
            <v>48.372976839237083</v>
          </cell>
          <cell r="AO98">
            <v>56.435139645776594</v>
          </cell>
          <cell r="AP98">
            <v>64.497302452316106</v>
          </cell>
          <cell r="AQ98">
            <v>72.559465258855624</v>
          </cell>
          <cell r="AR98">
            <v>80.621628065395129</v>
          </cell>
          <cell r="AS98">
            <v>60.466221049046347</v>
          </cell>
          <cell r="AT98">
            <v>4.0310814032697566</v>
          </cell>
          <cell r="AW98">
            <v>55.25</v>
          </cell>
          <cell r="AX98">
            <v>23.742444368755656</v>
          </cell>
          <cell r="AY98">
            <v>33.23942211625792</v>
          </cell>
          <cell r="AZ98">
            <v>42.736399863760177</v>
          </cell>
          <cell r="BA98">
            <v>52.233377611262441</v>
          </cell>
          <cell r="BB98">
            <v>61.730355358764704</v>
          </cell>
          <cell r="BC98">
            <v>71.227333106266968</v>
          </cell>
          <cell r="BD98">
            <v>47.484888737511312</v>
          </cell>
          <cell r="BE98">
            <v>4.748488873751131</v>
          </cell>
          <cell r="BG98">
            <v>55.25</v>
          </cell>
          <cell r="BH98">
            <v>24.985770890099907</v>
          </cell>
          <cell r="BI98">
            <v>37.478656335149864</v>
          </cell>
          <cell r="BJ98">
            <v>49.971541780199814</v>
          </cell>
          <cell r="BK98">
            <v>62.464427225249764</v>
          </cell>
          <cell r="BL98">
            <v>74.957312670299729</v>
          </cell>
          <cell r="BM98">
            <v>24.985770890099907</v>
          </cell>
          <cell r="BQ98">
            <v>61.25</v>
          </cell>
          <cell r="BR98">
            <v>26.330409293760027</v>
          </cell>
          <cell r="BS98">
            <v>35.107212391680036</v>
          </cell>
          <cell r="BT98">
            <v>43.884015489600046</v>
          </cell>
          <cell r="BU98">
            <v>52.660818587520055</v>
          </cell>
          <cell r="BV98">
            <v>61.437621685440064</v>
          </cell>
          <cell r="BW98">
            <v>70.214424783360073</v>
          </cell>
          <cell r="BX98">
            <v>78.991227881280082</v>
          </cell>
          <cell r="BY98">
            <v>87.768030979200091</v>
          </cell>
          <cell r="BZ98">
            <v>4.3884015489600046</v>
          </cell>
          <cell r="CC98">
            <v>61.25</v>
          </cell>
          <cell r="CD98">
            <v>23.3775531869993</v>
          </cell>
          <cell r="CE98">
            <v>32.72857446179902</v>
          </cell>
          <cell r="CF98">
            <v>42.079595736598741</v>
          </cell>
          <cell r="CG98">
            <v>51.430617011398461</v>
          </cell>
          <cell r="CH98">
            <v>60.781638286198181</v>
          </cell>
          <cell r="CI98">
            <v>70.132659560997894</v>
          </cell>
          <cell r="CJ98">
            <v>46.755106373998601</v>
          </cell>
          <cell r="CK98">
            <v>4.6755106373998601</v>
          </cell>
          <cell r="CM98">
            <v>61.25</v>
          </cell>
          <cell r="CN98">
            <v>20.375421206407502</v>
          </cell>
          <cell r="CO98">
            <v>40.750842412815004</v>
          </cell>
          <cell r="CP98">
            <v>61.126263619222506</v>
          </cell>
          <cell r="CQ98">
            <v>81.501684825630008</v>
          </cell>
          <cell r="CR98">
            <v>101.87710603203752</v>
          </cell>
          <cell r="CS98">
            <v>122.25252723844501</v>
          </cell>
          <cell r="CT98">
            <v>40.750842412815004</v>
          </cell>
          <cell r="CX98">
            <v>11.1</v>
          </cell>
          <cell r="CY98">
            <v>6.381433756892168</v>
          </cell>
          <cell r="CZ98">
            <v>7.97679219611521</v>
          </cell>
          <cell r="DA98">
            <v>9.5721506353382519</v>
          </cell>
          <cell r="DB98">
            <v>11.167509074561295</v>
          </cell>
          <cell r="DC98">
            <v>12.762867513784336</v>
          </cell>
          <cell r="DD98">
            <v>14.358225953007377</v>
          </cell>
          <cell r="DE98">
            <v>15.95358439223042</v>
          </cell>
          <cell r="DF98">
            <v>11.965188294172815</v>
          </cell>
          <cell r="DG98">
            <v>0.797679219611521</v>
          </cell>
          <cell r="DJ98">
            <v>11.1</v>
          </cell>
          <cell r="DK98">
            <v>4.7454783357627388</v>
          </cell>
          <cell r="DL98">
            <v>6.6436696700678333</v>
          </cell>
          <cell r="DM98">
            <v>8.5418610043729295</v>
          </cell>
          <cell r="DN98">
            <v>10.440052338678024</v>
          </cell>
          <cell r="DO98">
            <v>12.33824367298312</v>
          </cell>
          <cell r="DP98">
            <v>14.236435007288215</v>
          </cell>
          <cell r="DQ98">
            <v>9.4909566715254776</v>
          </cell>
          <cell r="DR98">
            <v>0.94909566715254767</v>
          </cell>
          <cell r="DT98">
            <v>11.1</v>
          </cell>
          <cell r="DU98">
            <v>4.0338687852837269</v>
          </cell>
          <cell r="DV98">
            <v>8.0677375705674539</v>
          </cell>
          <cell r="DW98">
            <v>12.101606355851182</v>
          </cell>
          <cell r="DX98">
            <v>16.135475141134908</v>
          </cell>
          <cell r="DY98">
            <v>20.169343926418634</v>
          </cell>
          <cell r="DZ98">
            <v>24.203212711702363</v>
          </cell>
          <cell r="EA98">
            <v>8.0677375705674539</v>
          </cell>
          <cell r="EE98">
            <v>3.4249999999999998</v>
          </cell>
          <cell r="EF98">
            <v>2.9004830913051141</v>
          </cell>
          <cell r="EG98">
            <v>3.4805797095661366</v>
          </cell>
          <cell r="EH98">
            <v>4.0606763278271591</v>
          </cell>
          <cell r="EI98">
            <v>4.6407729460881821</v>
          </cell>
          <cell r="EJ98">
            <v>5.2208695643492051</v>
          </cell>
          <cell r="EK98">
            <v>5.8009661826102281</v>
          </cell>
          <cell r="EL98">
            <v>4.3507246369576711</v>
          </cell>
          <cell r="EM98">
            <v>0.29004830913051138</v>
          </cell>
          <cell r="EP98">
            <v>3.4249999999999998</v>
          </cell>
          <cell r="EQ98">
            <v>1.6227902960282377</v>
          </cell>
          <cell r="ER98">
            <v>2.2719064144395325</v>
          </cell>
          <cell r="ES98">
            <v>2.9210225328508277</v>
          </cell>
          <cell r="ET98">
            <v>3.5701386512621225</v>
          </cell>
          <cell r="EU98">
            <v>4.2192547696734177</v>
          </cell>
          <cell r="EV98">
            <v>4.868370888084713</v>
          </cell>
          <cell r="EW98">
            <v>3.2455805920564753</v>
          </cell>
          <cell r="EX98">
            <v>0.32455805920564751</v>
          </cell>
          <cell r="EZ98">
            <v>3.4249999999999998</v>
          </cell>
          <cell r="FA98">
            <v>1.2989814937875706</v>
          </cell>
          <cell r="FB98">
            <v>2.5979629875751411</v>
          </cell>
          <cell r="FC98">
            <v>3.8969444813627119</v>
          </cell>
          <cell r="FD98">
            <v>5.1959259751502822</v>
          </cell>
          <cell r="FE98">
            <v>6.4949074689378525</v>
          </cell>
          <cell r="FF98">
            <v>7.7938889627254238</v>
          </cell>
          <cell r="FG98">
            <v>2.5979629875751411</v>
          </cell>
        </row>
        <row r="99">
          <cell r="A99">
            <v>38352</v>
          </cell>
          <cell r="B99">
            <v>60.25</v>
          </cell>
          <cell r="C99">
            <v>18.575730277163967</v>
          </cell>
          <cell r="D99">
            <v>27.863595415745948</v>
          </cell>
          <cell r="E99">
            <v>37.151460554327933</v>
          </cell>
          <cell r="F99">
            <v>46.439325692909918</v>
          </cell>
          <cell r="G99">
            <v>55.727190831491896</v>
          </cell>
          <cell r="H99">
            <v>65.015055970073888</v>
          </cell>
          <cell r="I99">
            <v>74.302921108655866</v>
          </cell>
          <cell r="J99">
            <v>83.590786247237844</v>
          </cell>
          <cell r="K99">
            <v>92.878651385819836</v>
          </cell>
          <cell r="L99">
            <v>69.65898853936487</v>
          </cell>
          <cell r="M99">
            <v>4.6439325692909916</v>
          </cell>
          <cell r="P99">
            <v>60.25</v>
          </cell>
          <cell r="Q99">
            <v>18.294918458611228</v>
          </cell>
          <cell r="R99">
            <v>30.491530764352049</v>
          </cell>
          <cell r="S99">
            <v>42.68814307009287</v>
          </cell>
          <cell r="T99">
            <v>54.884755375833684</v>
          </cell>
          <cell r="U99">
            <v>67.081367681574505</v>
          </cell>
          <cell r="V99">
            <v>79.277979987315319</v>
          </cell>
          <cell r="W99">
            <v>91.474592293056148</v>
          </cell>
          <cell r="X99">
            <v>60.983061528704098</v>
          </cell>
          <cell r="Y99">
            <v>6.0983061528704097</v>
          </cell>
          <cell r="AA99">
            <v>60.25</v>
          </cell>
          <cell r="AB99">
            <v>33.294183232812067</v>
          </cell>
          <cell r="AC99">
            <v>49.941274849218104</v>
          </cell>
          <cell r="AD99">
            <v>66.588366465624134</v>
          </cell>
          <cell r="AE99">
            <v>83.235458082030163</v>
          </cell>
          <cell r="AF99">
            <v>99.882549698436208</v>
          </cell>
          <cell r="AG99">
            <v>33.294183232812067</v>
          </cell>
          <cell r="AK99">
            <v>54.5</v>
          </cell>
          <cell r="AL99">
            <v>33.009645776566757</v>
          </cell>
          <cell r="AM99">
            <v>41.262057220708442</v>
          </cell>
          <cell r="AN99">
            <v>49.514468664850135</v>
          </cell>
          <cell r="AO99">
            <v>57.766880108991828</v>
          </cell>
          <cell r="AP99">
            <v>66.019291553133513</v>
          </cell>
          <cell r="AQ99">
            <v>74.271702997275199</v>
          </cell>
          <cell r="AR99">
            <v>82.524114441416884</v>
          </cell>
          <cell r="AS99">
            <v>61.89308583106267</v>
          </cell>
          <cell r="AT99">
            <v>4.1262057220708446</v>
          </cell>
          <cell r="AW99">
            <v>54.5</v>
          </cell>
          <cell r="AX99">
            <v>23.858327656675748</v>
          </cell>
          <cell r="AY99">
            <v>33.401658719346045</v>
          </cell>
          <cell r="AZ99">
            <v>42.94498978201635</v>
          </cell>
          <cell r="BA99">
            <v>52.488320844686648</v>
          </cell>
          <cell r="BB99">
            <v>62.031651907356945</v>
          </cell>
          <cell r="BC99">
            <v>71.57498297002725</v>
          </cell>
          <cell r="BD99">
            <v>47.716655313351495</v>
          </cell>
          <cell r="BE99">
            <v>4.7716655313351497</v>
          </cell>
          <cell r="BG99">
            <v>54.5</v>
          </cell>
          <cell r="BH99">
            <v>25.186706403269753</v>
          </cell>
          <cell r="BI99">
            <v>37.780059604904629</v>
          </cell>
          <cell r="BJ99">
            <v>50.373412806539505</v>
          </cell>
          <cell r="BK99">
            <v>62.966766008174382</v>
          </cell>
          <cell r="BL99">
            <v>75.560119209809258</v>
          </cell>
          <cell r="BM99">
            <v>25.186706403269753</v>
          </cell>
          <cell r="BQ99">
            <v>63</v>
          </cell>
          <cell r="BR99">
            <v>26.706605188332667</v>
          </cell>
          <cell r="BS99">
            <v>35.608806917776889</v>
          </cell>
          <cell r="BT99">
            <v>44.511008647221111</v>
          </cell>
          <cell r="BU99">
            <v>53.413210376665333</v>
          </cell>
          <cell r="BV99">
            <v>62.315412106109555</v>
          </cell>
          <cell r="BW99">
            <v>71.217613835553777</v>
          </cell>
          <cell r="BX99">
            <v>80.119815564997992</v>
          </cell>
          <cell r="BY99">
            <v>89.022017294442222</v>
          </cell>
          <cell r="BZ99">
            <v>4.4511008647221111</v>
          </cell>
          <cell r="CC99">
            <v>63</v>
          </cell>
          <cell r="CD99">
            <v>23.376460332951172</v>
          </cell>
          <cell r="CE99">
            <v>32.727044466131645</v>
          </cell>
          <cell r="CF99">
            <v>42.077628599312106</v>
          </cell>
          <cell r="CG99">
            <v>51.428212732492582</v>
          </cell>
          <cell r="CH99">
            <v>60.778796865673044</v>
          </cell>
          <cell r="CI99">
            <v>70.12938099885352</v>
          </cell>
          <cell r="CJ99">
            <v>46.752920665902344</v>
          </cell>
          <cell r="CK99">
            <v>4.6752920665902344</v>
          </cell>
          <cell r="CM99">
            <v>63</v>
          </cell>
          <cell r="CN99">
            <v>20.605184887217462</v>
          </cell>
          <cell r="CO99">
            <v>41.210369774434923</v>
          </cell>
          <cell r="CP99">
            <v>61.815554661652385</v>
          </cell>
          <cell r="CQ99">
            <v>82.420739548869847</v>
          </cell>
          <cell r="CR99">
            <v>103.02592443608731</v>
          </cell>
          <cell r="CS99">
            <v>123.63110932330477</v>
          </cell>
          <cell r="CT99">
            <v>41.210369774434923</v>
          </cell>
          <cell r="CX99">
            <v>11.1</v>
          </cell>
          <cell r="CY99">
            <v>6.4015445461468525</v>
          </cell>
          <cell r="CZ99">
            <v>8.0019306826835663</v>
          </cell>
          <cell r="DA99">
            <v>9.6023168192202792</v>
          </cell>
          <cell r="DB99">
            <v>11.202702955756992</v>
          </cell>
          <cell r="DC99">
            <v>12.803089092293705</v>
          </cell>
          <cell r="DD99">
            <v>14.403475228830418</v>
          </cell>
          <cell r="DE99">
            <v>16.003861365367133</v>
          </cell>
          <cell r="DF99">
            <v>12.002896024025349</v>
          </cell>
          <cell r="DG99">
            <v>0.80019306826835657</v>
          </cell>
          <cell r="DJ99">
            <v>11.1</v>
          </cell>
          <cell r="DK99">
            <v>4.7396336759936277</v>
          </cell>
          <cell r="DL99">
            <v>6.6354871463910783</v>
          </cell>
          <cell r="DM99">
            <v>8.5313406167885297</v>
          </cell>
          <cell r="DN99">
            <v>10.427194087185981</v>
          </cell>
          <cell r="DO99">
            <v>12.323047557583431</v>
          </cell>
          <cell r="DP99">
            <v>14.218901027980882</v>
          </cell>
          <cell r="DQ99">
            <v>9.4792673519872555</v>
          </cell>
          <cell r="DR99">
            <v>0.9479267351987255</v>
          </cell>
          <cell r="DT99">
            <v>11.1</v>
          </cell>
          <cell r="DU99">
            <v>4.0751040076335876</v>
          </cell>
          <cell r="DV99">
            <v>8.1502080152671752</v>
          </cell>
          <cell r="DW99">
            <v>12.225312022900763</v>
          </cell>
          <cell r="DX99">
            <v>16.30041603053435</v>
          </cell>
          <cell r="DY99">
            <v>20.375520038167938</v>
          </cell>
          <cell r="DZ99">
            <v>24.450624045801526</v>
          </cell>
          <cell r="EA99">
            <v>8.1502080152671752</v>
          </cell>
          <cell r="EE99">
            <v>3.45</v>
          </cell>
          <cell r="EF99">
            <v>2.9582202823398465</v>
          </cell>
          <cell r="EG99">
            <v>3.5498643388078155</v>
          </cell>
          <cell r="EH99">
            <v>4.1415083952757845</v>
          </cell>
          <cell r="EI99">
            <v>4.733152451743754</v>
          </cell>
          <cell r="EJ99">
            <v>5.3247965082117235</v>
          </cell>
          <cell r="EK99">
            <v>5.9164405646796929</v>
          </cell>
          <cell r="EL99">
            <v>4.4373304235097697</v>
          </cell>
          <cell r="EM99">
            <v>0.29582202823398462</v>
          </cell>
          <cell r="EP99">
            <v>3.45</v>
          </cell>
          <cell r="EQ99">
            <v>1.624103064624951</v>
          </cell>
          <cell r="ER99">
            <v>2.2737442904749314</v>
          </cell>
          <cell r="ES99">
            <v>2.9233855163249118</v>
          </cell>
          <cell r="ET99">
            <v>3.5730267421748922</v>
          </cell>
          <cell r="EU99">
            <v>4.2226679680248722</v>
          </cell>
          <cell r="EV99">
            <v>4.8723091938748535</v>
          </cell>
          <cell r="EW99">
            <v>3.248206129249902</v>
          </cell>
          <cell r="EX99">
            <v>0.3248206129249902</v>
          </cell>
          <cell r="EZ99">
            <v>3.45</v>
          </cell>
          <cell r="FA99">
            <v>1.3035082792882131</v>
          </cell>
          <cell r="FB99">
            <v>2.6070165585764262</v>
          </cell>
          <cell r="FC99">
            <v>3.9105248378646396</v>
          </cell>
          <cell r="FD99">
            <v>5.2140331171528524</v>
          </cell>
          <cell r="FE99">
            <v>6.5175413964410653</v>
          </cell>
          <cell r="FF99">
            <v>7.8210496757292791</v>
          </cell>
          <cell r="FG99">
            <v>2.6070165585764262</v>
          </cell>
          <cell r="FK99" t="str">
            <v>CIFH</v>
          </cell>
          <cell r="FT99" t="str">
            <v>CIFH</v>
          </cell>
          <cell r="GC99" t="str">
            <v>CIFH</v>
          </cell>
        </row>
        <row r="100">
          <cell r="A100">
            <v>38383</v>
          </cell>
          <cell r="B100">
            <v>56.75</v>
          </cell>
          <cell r="C100">
            <v>18.391816346101095</v>
          </cell>
          <cell r="D100">
            <v>27.587724519151642</v>
          </cell>
          <cell r="E100">
            <v>36.78363269220219</v>
          </cell>
          <cell r="F100">
            <v>45.979540865252737</v>
          </cell>
          <cell r="G100">
            <v>55.175449038303285</v>
          </cell>
          <cell r="H100">
            <v>64.371357211353825</v>
          </cell>
          <cell r="I100">
            <v>73.567265384404379</v>
          </cell>
          <cell r="J100">
            <v>82.763173557454934</v>
          </cell>
          <cell r="K100">
            <v>91.959081730505474</v>
          </cell>
          <cell r="L100">
            <v>68.969311297879102</v>
          </cell>
          <cell r="M100">
            <v>4.5979540865252737</v>
          </cell>
          <cell r="P100">
            <v>56.75</v>
          </cell>
          <cell r="Q100">
            <v>18.033291687828015</v>
          </cell>
          <cell r="R100">
            <v>30.055486146380023</v>
          </cell>
          <cell r="S100">
            <v>42.077680604932034</v>
          </cell>
          <cell r="T100">
            <v>54.099875063484042</v>
          </cell>
          <cell r="U100">
            <v>66.122069522036057</v>
          </cell>
          <cell r="V100">
            <v>78.144263980588065</v>
          </cell>
          <cell r="W100">
            <v>90.166458439140072</v>
          </cell>
          <cell r="X100">
            <v>60.110972292760046</v>
          </cell>
          <cell r="Y100">
            <v>6.0110972292760048</v>
          </cell>
          <cell r="AA100">
            <v>56.75</v>
          </cell>
          <cell r="AB100">
            <v>33.564421111816571</v>
          </cell>
          <cell r="AC100">
            <v>50.346631667724857</v>
          </cell>
          <cell r="AD100">
            <v>67.128842223633143</v>
          </cell>
          <cell r="AE100">
            <v>83.911052779541421</v>
          </cell>
          <cell r="AF100">
            <v>100.69326333544971</v>
          </cell>
          <cell r="AG100">
            <v>33.564421111816571</v>
          </cell>
          <cell r="AK100">
            <v>49.8</v>
          </cell>
          <cell r="AL100">
            <v>33.317538916284001</v>
          </cell>
          <cell r="AM100">
            <v>41.646923645355002</v>
          </cell>
          <cell r="AN100">
            <v>49.976308374425997</v>
          </cell>
          <cell r="AO100">
            <v>58.305693103496999</v>
          </cell>
          <cell r="AP100">
            <v>66.635077832568001</v>
          </cell>
          <cell r="AQ100">
            <v>74.964462561638996</v>
          </cell>
          <cell r="AR100">
            <v>83.293847290710005</v>
          </cell>
          <cell r="AS100">
            <v>62.470385468032504</v>
          </cell>
          <cell r="AT100">
            <v>4.1646923645355001</v>
          </cell>
          <cell r="AW100">
            <v>49.8</v>
          </cell>
          <cell r="AX100">
            <v>24.201735908100204</v>
          </cell>
          <cell r="AY100">
            <v>33.88243027134029</v>
          </cell>
          <cell r="AZ100">
            <v>43.563124634580369</v>
          </cell>
          <cell r="BA100">
            <v>53.243818997820455</v>
          </cell>
          <cell r="BB100">
            <v>62.924513361060534</v>
          </cell>
          <cell r="BC100">
            <v>72.605207724300612</v>
          </cell>
          <cell r="BD100">
            <v>48.403471816200408</v>
          </cell>
          <cell r="BE100">
            <v>4.8403471816200412</v>
          </cell>
          <cell r="BG100">
            <v>49.8</v>
          </cell>
          <cell r="BH100">
            <v>25.445180103746718</v>
          </cell>
          <cell r="BI100">
            <v>38.167770155620076</v>
          </cell>
          <cell r="BJ100">
            <v>50.890360207493437</v>
          </cell>
          <cell r="BK100">
            <v>63.612950259366798</v>
          </cell>
          <cell r="BL100">
            <v>76.335540311240152</v>
          </cell>
          <cell r="BM100">
            <v>25.445180103746718</v>
          </cell>
          <cell r="BQ100">
            <v>54.75</v>
          </cell>
          <cell r="BR100">
            <v>26.868954848223567</v>
          </cell>
          <cell r="BS100">
            <v>35.825273130964753</v>
          </cell>
          <cell r="BT100">
            <v>44.781591413705939</v>
          </cell>
          <cell r="BU100">
            <v>53.737909696447133</v>
          </cell>
          <cell r="BV100">
            <v>62.694227979188319</v>
          </cell>
          <cell r="BW100">
            <v>71.650546261929506</v>
          </cell>
          <cell r="BX100">
            <v>80.6068645446707</v>
          </cell>
          <cell r="BY100">
            <v>89.563182827411879</v>
          </cell>
          <cell r="BZ100">
            <v>4.4781591413705941</v>
          </cell>
          <cell r="CC100">
            <v>54.75</v>
          </cell>
          <cell r="CD100">
            <v>23.337119381725266</v>
          </cell>
          <cell r="CE100">
            <v>32.671967134415368</v>
          </cell>
          <cell r="CF100">
            <v>42.006814887105477</v>
          </cell>
          <cell r="CG100">
            <v>51.34166263979558</v>
          </cell>
          <cell r="CH100">
            <v>60.676510392485689</v>
          </cell>
          <cell r="CI100">
            <v>70.011358145175791</v>
          </cell>
          <cell r="CJ100">
            <v>46.674238763450532</v>
          </cell>
          <cell r="CK100">
            <v>4.6674238763450528</v>
          </cell>
          <cell r="CM100">
            <v>54.75</v>
          </cell>
          <cell r="CN100">
            <v>20.707081055387636</v>
          </cell>
          <cell r="CO100">
            <v>41.414162110775273</v>
          </cell>
          <cell r="CP100">
            <v>62.121243166162913</v>
          </cell>
          <cell r="CQ100">
            <v>82.828324221550545</v>
          </cell>
          <cell r="CR100">
            <v>103.53540527693818</v>
          </cell>
          <cell r="CS100">
            <v>124.24248633232583</v>
          </cell>
          <cell r="CT100">
            <v>41.414162110775273</v>
          </cell>
          <cell r="CX100">
            <v>10.9</v>
          </cell>
          <cell r="CY100">
            <v>6.4753858789014771</v>
          </cell>
          <cell r="CZ100">
            <v>8.0942323486268464</v>
          </cell>
          <cell r="DA100">
            <v>9.7130788183522156</v>
          </cell>
          <cell r="DB100">
            <v>11.331925288077585</v>
          </cell>
          <cell r="DC100">
            <v>12.950771757802954</v>
          </cell>
          <cell r="DD100">
            <v>14.569618227528323</v>
          </cell>
          <cell r="DE100">
            <v>16.188464697253693</v>
          </cell>
          <cell r="DF100">
            <v>12.14134852294027</v>
          </cell>
          <cell r="DG100">
            <v>0.80942323486268464</v>
          </cell>
          <cell r="DJ100">
            <v>10.9</v>
          </cell>
          <cell r="DK100">
            <v>4.786985883212723</v>
          </cell>
          <cell r="DL100">
            <v>6.7017802364978118</v>
          </cell>
          <cell r="DM100">
            <v>8.6165745897829016</v>
          </cell>
          <cell r="DN100">
            <v>10.53136894306799</v>
          </cell>
          <cell r="DO100">
            <v>12.446163296353079</v>
          </cell>
          <cell r="DP100">
            <v>14.360957649638168</v>
          </cell>
          <cell r="DQ100">
            <v>9.573971766425446</v>
          </cell>
          <cell r="DR100">
            <v>0.95739717664254453</v>
          </cell>
          <cell r="DT100">
            <v>10.9</v>
          </cell>
          <cell r="DU100">
            <v>4.1175388897017777</v>
          </cell>
          <cell r="DV100">
            <v>8.2350777794035555</v>
          </cell>
          <cell r="DW100">
            <v>12.352616669105334</v>
          </cell>
          <cell r="DX100">
            <v>16.470155558807111</v>
          </cell>
          <cell r="DY100">
            <v>20.587694448508888</v>
          </cell>
          <cell r="DZ100">
            <v>24.705233338210668</v>
          </cell>
          <cell r="EA100">
            <v>8.2350777794035555</v>
          </cell>
          <cell r="EE100">
            <v>3.15</v>
          </cell>
          <cell r="EF100">
            <v>2.9996048017860106</v>
          </cell>
          <cell r="EG100">
            <v>3.5995257621432124</v>
          </cell>
          <cell r="EH100">
            <v>4.1994467225004151</v>
          </cell>
          <cell r="EI100">
            <v>4.7993676828576168</v>
          </cell>
          <cell r="EJ100">
            <v>5.3992886432148186</v>
          </cell>
          <cell r="EK100">
            <v>5.9992096035720213</v>
          </cell>
          <cell r="EL100">
            <v>4.4994072026790155</v>
          </cell>
          <cell r="EM100">
            <v>0.29996048017860105</v>
          </cell>
          <cell r="EP100">
            <v>3.15</v>
          </cell>
          <cell r="EQ100">
            <v>1.6030203947582859</v>
          </cell>
          <cell r="ER100">
            <v>2.2442285526616006</v>
          </cell>
          <cell r="ES100">
            <v>2.8854367105649148</v>
          </cell>
          <cell r="ET100">
            <v>3.5266448684682294</v>
          </cell>
          <cell r="EU100">
            <v>4.1678530263715441</v>
          </cell>
          <cell r="EV100">
            <v>4.8090611842748583</v>
          </cell>
          <cell r="EW100">
            <v>3.2060407895165719</v>
          </cell>
          <cell r="EX100">
            <v>0.32060407895165721</v>
          </cell>
          <cell r="EZ100">
            <v>3.15</v>
          </cell>
          <cell r="FA100">
            <v>1.3183012342017641</v>
          </cell>
          <cell r="FB100">
            <v>2.6366024684035283</v>
          </cell>
          <cell r="FC100">
            <v>3.9549037026052924</v>
          </cell>
          <cell r="FD100">
            <v>5.2732049368070566</v>
          </cell>
          <cell r="FE100">
            <v>6.5915061710088203</v>
          </cell>
          <cell r="FF100">
            <v>7.9098074052105849</v>
          </cell>
          <cell r="FG100">
            <v>2.6366024684035283</v>
          </cell>
          <cell r="FK100" t="str">
            <v>PE</v>
          </cell>
          <cell r="FT100" t="str">
            <v>PPE</v>
          </cell>
          <cell r="GC100" t="str">
            <v>PB</v>
          </cell>
        </row>
        <row r="101">
          <cell r="A101">
            <v>38411</v>
          </cell>
          <cell r="B101">
            <v>59</v>
          </cell>
          <cell r="C101">
            <v>18.207902415038223</v>
          </cell>
          <cell r="D101">
            <v>27.311853622557337</v>
          </cell>
          <cell r="E101">
            <v>36.415804830076446</v>
          </cell>
          <cell r="F101">
            <v>45.519756037595556</v>
          </cell>
          <cell r="G101">
            <v>54.623707245114673</v>
          </cell>
          <cell r="H101">
            <v>63.727658452633783</v>
          </cell>
          <cell r="I101">
            <v>72.831609660152893</v>
          </cell>
          <cell r="J101">
            <v>81.93556086767201</v>
          </cell>
          <cell r="K101">
            <v>91.039512075191112</v>
          </cell>
          <cell r="L101">
            <v>68.279634056393334</v>
          </cell>
          <cell r="M101">
            <v>4.5519756037595558</v>
          </cell>
          <cell r="P101">
            <v>59</v>
          </cell>
          <cell r="Q101">
            <v>17.771664917044799</v>
          </cell>
          <cell r="R101">
            <v>29.619441528408</v>
          </cell>
          <cell r="S101">
            <v>41.467218139771198</v>
          </cell>
          <cell r="T101">
            <v>53.3149947511344</v>
          </cell>
          <cell r="U101">
            <v>65.162771362497594</v>
          </cell>
          <cell r="V101">
            <v>77.010547973860795</v>
          </cell>
          <cell r="W101">
            <v>88.858324585223997</v>
          </cell>
          <cell r="X101">
            <v>59.238883056816</v>
          </cell>
          <cell r="Y101">
            <v>5.9238883056815999</v>
          </cell>
          <cell r="AA101">
            <v>59</v>
          </cell>
          <cell r="AB101">
            <v>33.834658990821083</v>
          </cell>
          <cell r="AC101">
            <v>50.751988486231625</v>
          </cell>
          <cell r="AD101">
            <v>67.669317981642166</v>
          </cell>
          <cell r="AE101">
            <v>84.586647477052708</v>
          </cell>
          <cell r="AF101">
            <v>101.50397697246325</v>
          </cell>
          <cell r="AG101">
            <v>33.834658990821083</v>
          </cell>
          <cell r="AK101">
            <v>52.25</v>
          </cell>
          <cell r="AL101">
            <v>33.625432056001245</v>
          </cell>
          <cell r="AM101">
            <v>42.031790070001556</v>
          </cell>
          <cell r="AN101">
            <v>50.438148084001867</v>
          </cell>
          <cell r="AO101">
            <v>58.844506098002178</v>
          </cell>
          <cell r="AP101">
            <v>67.250864112002489</v>
          </cell>
          <cell r="AQ101">
            <v>75.657222126002807</v>
          </cell>
          <cell r="AR101">
            <v>84.063580140003111</v>
          </cell>
          <cell r="AS101">
            <v>63.04768510500233</v>
          </cell>
          <cell r="AT101">
            <v>4.2031790070001556</v>
          </cell>
          <cell r="AW101">
            <v>52.25</v>
          </cell>
          <cell r="AX101">
            <v>24.545144159524664</v>
          </cell>
          <cell r="AY101">
            <v>34.363201823334528</v>
          </cell>
          <cell r="AZ101">
            <v>44.181259487144395</v>
          </cell>
          <cell r="BA101">
            <v>53.999317150954262</v>
          </cell>
          <cell r="BB101">
            <v>63.817374814764122</v>
          </cell>
          <cell r="BC101">
            <v>73.635432478573989</v>
          </cell>
          <cell r="BD101">
            <v>49.090288319049328</v>
          </cell>
          <cell r="BE101">
            <v>4.9090288319049327</v>
          </cell>
          <cell r="BG101">
            <v>52.25</v>
          </cell>
          <cell r="BH101">
            <v>25.703653804223684</v>
          </cell>
          <cell r="BI101">
            <v>38.55548070633553</v>
          </cell>
          <cell r="BJ101">
            <v>51.407307608447368</v>
          </cell>
          <cell r="BK101">
            <v>64.259134510559207</v>
          </cell>
          <cell r="BL101">
            <v>77.11096141267106</v>
          </cell>
          <cell r="BM101">
            <v>25.703653804223684</v>
          </cell>
          <cell r="BQ101">
            <v>61</v>
          </cell>
          <cell r="BR101">
            <v>27.031304508114463</v>
          </cell>
          <cell r="BS101">
            <v>36.041739344152617</v>
          </cell>
          <cell r="BT101">
            <v>45.052174180190775</v>
          </cell>
          <cell r="BU101">
            <v>54.062609016228926</v>
          </cell>
          <cell r="BV101">
            <v>63.073043852267077</v>
          </cell>
          <cell r="BW101">
            <v>72.083478688305235</v>
          </cell>
          <cell r="BX101">
            <v>81.093913524343392</v>
          </cell>
          <cell r="BY101">
            <v>90.10434836038155</v>
          </cell>
          <cell r="BZ101">
            <v>4.5052174180190772</v>
          </cell>
          <cell r="CC101">
            <v>61</v>
          </cell>
          <cell r="CD101">
            <v>23.297778430499356</v>
          </cell>
          <cell r="CE101">
            <v>32.616889802699099</v>
          </cell>
          <cell r="CF101">
            <v>41.936001174898841</v>
          </cell>
          <cell r="CG101">
            <v>51.255112547098584</v>
          </cell>
          <cell r="CH101">
            <v>60.574223919298326</v>
          </cell>
          <cell r="CI101">
            <v>69.893335291498062</v>
          </cell>
          <cell r="CJ101">
            <v>46.595556860998713</v>
          </cell>
          <cell r="CK101">
            <v>4.6595556860998713</v>
          </cell>
          <cell r="CM101">
            <v>61</v>
          </cell>
          <cell r="CN101">
            <v>20.808977223557811</v>
          </cell>
          <cell r="CO101">
            <v>41.617954447115622</v>
          </cell>
          <cell r="CP101">
            <v>62.426931670673433</v>
          </cell>
          <cell r="CQ101">
            <v>83.235908894231244</v>
          </cell>
          <cell r="CR101">
            <v>104.04488611778905</v>
          </cell>
          <cell r="CS101">
            <v>124.85386334134687</v>
          </cell>
          <cell r="CT101">
            <v>41.617954447115622</v>
          </cell>
          <cell r="CX101">
            <v>10.85</v>
          </cell>
          <cell r="CY101">
            <v>6.5492272116561008</v>
          </cell>
          <cell r="CZ101">
            <v>8.1865340145701264</v>
          </cell>
          <cell r="DA101">
            <v>9.8238408174841503</v>
          </cell>
          <cell r="DB101">
            <v>11.461147620398176</v>
          </cell>
          <cell r="DC101">
            <v>13.098454423312202</v>
          </cell>
          <cell r="DD101">
            <v>14.735761226226227</v>
          </cell>
          <cell r="DE101">
            <v>16.373068029140253</v>
          </cell>
          <cell r="DF101">
            <v>12.279801021855189</v>
          </cell>
          <cell r="DG101">
            <v>0.8186534014570126</v>
          </cell>
          <cell r="DJ101">
            <v>10.85</v>
          </cell>
          <cell r="DK101">
            <v>4.8343380904318174</v>
          </cell>
          <cell r="DL101">
            <v>6.7680733266045454</v>
          </cell>
          <cell r="DM101">
            <v>8.7018085627772717</v>
          </cell>
          <cell r="DN101">
            <v>10.63554379895</v>
          </cell>
          <cell r="DO101">
            <v>12.569279035122726</v>
          </cell>
          <cell r="DP101">
            <v>14.503014271295454</v>
          </cell>
          <cell r="DQ101">
            <v>9.6686761808636348</v>
          </cell>
          <cell r="DR101">
            <v>0.96686761808636357</v>
          </cell>
          <cell r="DT101">
            <v>10.85</v>
          </cell>
          <cell r="DU101">
            <v>4.1599737717699679</v>
          </cell>
          <cell r="DV101">
            <v>8.3199475435399357</v>
          </cell>
          <cell r="DW101">
            <v>12.479921315309904</v>
          </cell>
          <cell r="DX101">
            <v>16.639895087079871</v>
          </cell>
          <cell r="DY101">
            <v>20.799868858849841</v>
          </cell>
          <cell r="DZ101">
            <v>24.959842630619807</v>
          </cell>
          <cell r="EA101">
            <v>8.3199475435399357</v>
          </cell>
          <cell r="EE101">
            <v>3.25</v>
          </cell>
          <cell r="EF101">
            <v>3.0409893212321748</v>
          </cell>
          <cell r="EG101">
            <v>3.6491871854786098</v>
          </cell>
          <cell r="EH101">
            <v>4.2573850497250447</v>
          </cell>
          <cell r="EI101">
            <v>4.8655829139714797</v>
          </cell>
          <cell r="EJ101">
            <v>5.4737807782179146</v>
          </cell>
          <cell r="EK101">
            <v>6.0819786424643496</v>
          </cell>
          <cell r="EL101">
            <v>4.5614839818482622</v>
          </cell>
          <cell r="EM101">
            <v>0.30409893212321748</v>
          </cell>
          <cell r="EP101">
            <v>3.25</v>
          </cell>
          <cell r="EQ101">
            <v>1.5819377248916211</v>
          </cell>
          <cell r="ER101">
            <v>2.2147128148482693</v>
          </cell>
          <cell r="ES101">
            <v>2.8474879048049182</v>
          </cell>
          <cell r="ET101">
            <v>3.4802629947615662</v>
          </cell>
          <cell r="EU101">
            <v>4.1130380847182151</v>
          </cell>
          <cell r="EV101">
            <v>4.7458131746748631</v>
          </cell>
          <cell r="EW101">
            <v>3.1638754497832422</v>
          </cell>
          <cell r="EX101">
            <v>0.31638754497832422</v>
          </cell>
          <cell r="EZ101">
            <v>3.25</v>
          </cell>
          <cell r="FA101">
            <v>1.3330941891153152</v>
          </cell>
          <cell r="FB101">
            <v>2.6661883782306304</v>
          </cell>
          <cell r="FC101">
            <v>3.9992825673459453</v>
          </cell>
          <cell r="FD101">
            <v>5.3323767564612607</v>
          </cell>
          <cell r="FE101">
            <v>6.6654709455765762</v>
          </cell>
          <cell r="FF101">
            <v>7.9985651346918907</v>
          </cell>
          <cell r="FG101">
            <v>2.6661883782306304</v>
          </cell>
        </row>
        <row r="102">
          <cell r="A102">
            <v>38442</v>
          </cell>
          <cell r="B102">
            <v>49.7</v>
          </cell>
          <cell r="C102">
            <v>18.023988483975351</v>
          </cell>
          <cell r="D102">
            <v>27.035982725963027</v>
          </cell>
          <cell r="E102">
            <v>36.047976967950703</v>
          </cell>
          <cell r="F102">
            <v>45.059971209938382</v>
          </cell>
          <cell r="G102">
            <v>54.071965451926054</v>
          </cell>
          <cell r="H102">
            <v>63.083959693913727</v>
          </cell>
          <cell r="I102">
            <v>72.095953935901406</v>
          </cell>
          <cell r="J102">
            <v>81.107948177889085</v>
          </cell>
          <cell r="K102">
            <v>90.119942419876764</v>
          </cell>
          <cell r="L102">
            <v>67.589956814907566</v>
          </cell>
          <cell r="M102">
            <v>4.5059971209938379</v>
          </cell>
          <cell r="P102">
            <v>49.7</v>
          </cell>
          <cell r="Q102">
            <v>17.510038146261586</v>
          </cell>
          <cell r="R102">
            <v>29.183396910435974</v>
          </cell>
          <cell r="S102">
            <v>40.856755674610362</v>
          </cell>
          <cell r="T102">
            <v>52.530114438784757</v>
          </cell>
          <cell r="U102">
            <v>64.203473202959145</v>
          </cell>
          <cell r="V102">
            <v>75.876831967133541</v>
          </cell>
          <cell r="W102">
            <v>87.550190731307922</v>
          </cell>
          <cell r="X102">
            <v>58.366793820871948</v>
          </cell>
          <cell r="Y102">
            <v>5.8366793820871949</v>
          </cell>
          <cell r="AA102">
            <v>49.7</v>
          </cell>
          <cell r="AB102">
            <v>34.104896869825595</v>
          </cell>
          <cell r="AC102">
            <v>51.157345304738392</v>
          </cell>
          <cell r="AD102">
            <v>68.20979373965119</v>
          </cell>
          <cell r="AE102">
            <v>85.262242174563994</v>
          </cell>
          <cell r="AF102">
            <v>102.31469060947678</v>
          </cell>
          <cell r="AG102">
            <v>34.104896869825595</v>
          </cell>
          <cell r="AK102">
            <v>47.5</v>
          </cell>
          <cell r="AL102">
            <v>33.933325195718488</v>
          </cell>
          <cell r="AM102">
            <v>42.416656494648109</v>
          </cell>
          <cell r="AN102">
            <v>50.899987793577736</v>
          </cell>
          <cell r="AO102">
            <v>59.383319092507357</v>
          </cell>
          <cell r="AP102">
            <v>67.866650391436977</v>
          </cell>
          <cell r="AQ102">
            <v>76.349981690366604</v>
          </cell>
          <cell r="AR102">
            <v>84.833312989296218</v>
          </cell>
          <cell r="AS102">
            <v>63.624984741972163</v>
          </cell>
          <cell r="AT102">
            <v>4.2416656494648111</v>
          </cell>
          <cell r="AW102">
            <v>47.5</v>
          </cell>
          <cell r="AX102">
            <v>24.888552410949121</v>
          </cell>
          <cell r="AY102">
            <v>34.843973375328773</v>
          </cell>
          <cell r="AZ102">
            <v>44.799394339708414</v>
          </cell>
          <cell r="BA102">
            <v>54.754815304088069</v>
          </cell>
          <cell r="BB102">
            <v>64.71023626846771</v>
          </cell>
          <cell r="BC102">
            <v>74.665657232847366</v>
          </cell>
          <cell r="BD102">
            <v>49.777104821898241</v>
          </cell>
          <cell r="BE102">
            <v>4.9777104821898241</v>
          </cell>
          <cell r="BG102">
            <v>47.5</v>
          </cell>
          <cell r="BH102">
            <v>25.96212750470065</v>
          </cell>
          <cell r="BI102">
            <v>38.943191257050977</v>
          </cell>
          <cell r="BJ102">
            <v>51.9242550094013</v>
          </cell>
          <cell r="BK102">
            <v>64.90531876175163</v>
          </cell>
          <cell r="BL102">
            <v>77.886382514101953</v>
          </cell>
          <cell r="BM102">
            <v>25.96212750470065</v>
          </cell>
          <cell r="BQ102">
            <v>57.75</v>
          </cell>
          <cell r="BR102">
            <v>27.193654168005359</v>
          </cell>
          <cell r="BS102">
            <v>36.258205557340482</v>
          </cell>
          <cell r="BT102">
            <v>45.322756946675604</v>
          </cell>
          <cell r="BU102">
            <v>54.387308336010719</v>
          </cell>
          <cell r="BV102">
            <v>63.451859725345841</v>
          </cell>
          <cell r="BW102">
            <v>72.516411114680963</v>
          </cell>
          <cell r="BX102">
            <v>81.580962504016085</v>
          </cell>
          <cell r="BY102">
            <v>90.645513893351207</v>
          </cell>
          <cell r="BZ102">
            <v>4.5322756946675602</v>
          </cell>
          <cell r="CC102">
            <v>57.75</v>
          </cell>
          <cell r="CD102">
            <v>23.258437479273447</v>
          </cell>
          <cell r="CE102">
            <v>32.561812470982829</v>
          </cell>
          <cell r="CF102">
            <v>41.865187462692205</v>
          </cell>
          <cell r="CG102">
            <v>51.168562454401588</v>
          </cell>
          <cell r="CH102">
            <v>60.471937446110964</v>
          </cell>
          <cell r="CI102">
            <v>69.775312437820347</v>
          </cell>
          <cell r="CJ102">
            <v>46.516874958546893</v>
          </cell>
          <cell r="CK102">
            <v>4.6516874958546897</v>
          </cell>
          <cell r="CM102">
            <v>57.75</v>
          </cell>
          <cell r="CN102">
            <v>20.910873391727986</v>
          </cell>
          <cell r="CO102">
            <v>41.821746783455971</v>
          </cell>
          <cell r="CP102">
            <v>62.732620175183953</v>
          </cell>
          <cell r="CQ102">
            <v>83.643493566911943</v>
          </cell>
          <cell r="CR102">
            <v>104.55436695863993</v>
          </cell>
          <cell r="CS102">
            <v>125.46524035036791</v>
          </cell>
          <cell r="CT102">
            <v>41.821746783455971</v>
          </cell>
          <cell r="CX102">
            <v>10.5</v>
          </cell>
          <cell r="CY102">
            <v>6.6230685444107245</v>
          </cell>
          <cell r="CZ102">
            <v>8.2788356805134065</v>
          </cell>
          <cell r="DA102">
            <v>9.9346028166160867</v>
          </cell>
          <cell r="DB102">
            <v>11.590369952718767</v>
          </cell>
          <cell r="DC102">
            <v>13.246137088821449</v>
          </cell>
          <cell r="DD102">
            <v>14.901904224924131</v>
          </cell>
          <cell r="DE102">
            <v>16.557671361026813</v>
          </cell>
          <cell r="DF102">
            <v>12.418253520770108</v>
          </cell>
          <cell r="DG102">
            <v>0.82788356805134056</v>
          </cell>
          <cell r="DJ102">
            <v>10.5</v>
          </cell>
          <cell r="DK102">
            <v>4.8816902976509127</v>
          </cell>
          <cell r="DL102">
            <v>6.8343664167112781</v>
          </cell>
          <cell r="DM102">
            <v>8.7870425357716435</v>
          </cell>
          <cell r="DN102">
            <v>10.739718654832009</v>
          </cell>
          <cell r="DO102">
            <v>12.692394773892374</v>
          </cell>
          <cell r="DP102">
            <v>14.64507089295274</v>
          </cell>
          <cell r="DQ102">
            <v>9.7633805953018253</v>
          </cell>
          <cell r="DR102">
            <v>0.9763380595301826</v>
          </cell>
          <cell r="DT102">
            <v>10.5</v>
          </cell>
          <cell r="DU102">
            <v>4.202408653838158</v>
          </cell>
          <cell r="DV102">
            <v>8.404817307676316</v>
          </cell>
          <cell r="DW102">
            <v>12.607225961514473</v>
          </cell>
          <cell r="DX102">
            <v>16.809634615352632</v>
          </cell>
          <cell r="DY102">
            <v>21.012043269190791</v>
          </cell>
          <cell r="DZ102">
            <v>25.214451923028946</v>
          </cell>
          <cell r="EA102">
            <v>8.404817307676316</v>
          </cell>
          <cell r="EE102">
            <v>3</v>
          </cell>
          <cell r="EF102">
            <v>3.082373840678339</v>
          </cell>
          <cell r="EG102">
            <v>3.6988486088140071</v>
          </cell>
          <cell r="EH102">
            <v>4.3153233769496744</v>
          </cell>
          <cell r="EI102">
            <v>4.9317981450853425</v>
          </cell>
          <cell r="EJ102">
            <v>5.5482729132210107</v>
          </cell>
          <cell r="EK102">
            <v>6.1647476813566779</v>
          </cell>
          <cell r="EL102">
            <v>4.6235607610175089</v>
          </cell>
          <cell r="EM102">
            <v>0.30823738406783391</v>
          </cell>
          <cell r="EP102">
            <v>3</v>
          </cell>
          <cell r="EQ102">
            <v>1.5608550550249563</v>
          </cell>
          <cell r="ER102">
            <v>2.1851970770349385</v>
          </cell>
          <cell r="ES102">
            <v>2.8095390990449212</v>
          </cell>
          <cell r="ET102">
            <v>3.4338811210549034</v>
          </cell>
          <cell r="EU102">
            <v>4.0582231430648861</v>
          </cell>
          <cell r="EV102">
            <v>4.6825651650748688</v>
          </cell>
          <cell r="EW102">
            <v>3.1217101100499125</v>
          </cell>
          <cell r="EX102">
            <v>0.31217101100499123</v>
          </cell>
          <cell r="EZ102">
            <v>3</v>
          </cell>
          <cell r="FA102">
            <v>1.3478871440288662</v>
          </cell>
          <cell r="FB102">
            <v>2.6957742880577324</v>
          </cell>
          <cell r="FC102">
            <v>4.0436614320865987</v>
          </cell>
          <cell r="FD102">
            <v>5.3915485761154649</v>
          </cell>
          <cell r="FE102">
            <v>6.7394357201443311</v>
          </cell>
          <cell r="FF102">
            <v>8.0873228641731973</v>
          </cell>
          <cell r="FG102">
            <v>2.6957742880577324</v>
          </cell>
        </row>
        <row r="103">
          <cell r="A103">
            <v>38472</v>
          </cell>
          <cell r="B103">
            <v>50.25</v>
          </cell>
          <cell r="C103">
            <v>17.84007455291248</v>
          </cell>
          <cell r="D103">
            <v>26.760111829368718</v>
          </cell>
          <cell r="E103">
            <v>35.68014910582496</v>
          </cell>
          <cell r="F103">
            <v>44.600186382281201</v>
          </cell>
          <cell r="G103">
            <v>53.520223658737436</v>
          </cell>
          <cell r="H103">
            <v>62.440260935193677</v>
          </cell>
          <cell r="I103">
            <v>71.360298211649919</v>
          </cell>
          <cell r="J103">
            <v>80.280335488106161</v>
          </cell>
          <cell r="K103">
            <v>89.200372764562402</v>
          </cell>
          <cell r="L103">
            <v>66.900279573421798</v>
          </cell>
          <cell r="M103">
            <v>4.4600186382281199</v>
          </cell>
          <cell r="P103">
            <v>50.25</v>
          </cell>
          <cell r="Q103">
            <v>17.248411375478369</v>
          </cell>
          <cell r="R103">
            <v>28.747352292463951</v>
          </cell>
          <cell r="S103">
            <v>40.246293209449533</v>
          </cell>
          <cell r="T103">
            <v>51.745234126435108</v>
          </cell>
          <cell r="U103">
            <v>63.24417504342069</v>
          </cell>
          <cell r="V103">
            <v>74.743115960406271</v>
          </cell>
          <cell r="W103">
            <v>86.242056877391846</v>
          </cell>
          <cell r="X103">
            <v>57.494704584927902</v>
          </cell>
          <cell r="Y103">
            <v>5.74947045849279</v>
          </cell>
          <cell r="AA103">
            <v>50.25</v>
          </cell>
          <cell r="AB103">
            <v>34.375134748830106</v>
          </cell>
          <cell r="AC103">
            <v>51.56270212324516</v>
          </cell>
          <cell r="AD103">
            <v>68.750269497660213</v>
          </cell>
          <cell r="AE103">
            <v>85.937836872075266</v>
          </cell>
          <cell r="AF103">
            <v>103.12540424649032</v>
          </cell>
          <cell r="AG103">
            <v>34.375134748830106</v>
          </cell>
          <cell r="AK103">
            <v>49.2</v>
          </cell>
          <cell r="AL103">
            <v>34.241218335435732</v>
          </cell>
          <cell r="AM103">
            <v>42.801522919294669</v>
          </cell>
          <cell r="AN103">
            <v>51.361827503153599</v>
          </cell>
          <cell r="AO103">
            <v>59.922132087012528</v>
          </cell>
          <cell r="AP103">
            <v>68.482436670871465</v>
          </cell>
          <cell r="AQ103">
            <v>77.042741254730402</v>
          </cell>
          <cell r="AR103">
            <v>85.603045838589338</v>
          </cell>
          <cell r="AS103">
            <v>64.202284378941997</v>
          </cell>
          <cell r="AT103">
            <v>4.2801522919294666</v>
          </cell>
          <cell r="AW103">
            <v>49.2</v>
          </cell>
          <cell r="AX103">
            <v>25.231960662373577</v>
          </cell>
          <cell r="AY103">
            <v>35.32474492732301</v>
          </cell>
          <cell r="AZ103">
            <v>45.41752919227244</v>
          </cell>
          <cell r="BA103">
            <v>55.510313457221869</v>
          </cell>
          <cell r="BB103">
            <v>65.603097722171299</v>
          </cell>
          <cell r="BC103">
            <v>75.695881987120728</v>
          </cell>
          <cell r="BD103">
            <v>50.463921324747155</v>
          </cell>
          <cell r="BE103">
            <v>5.0463921324747156</v>
          </cell>
          <cell r="BG103">
            <v>49.2</v>
          </cell>
          <cell r="BH103">
            <v>26.220601205177616</v>
          </cell>
          <cell r="BI103">
            <v>39.330901807766423</v>
          </cell>
          <cell r="BJ103">
            <v>52.441202410355231</v>
          </cell>
          <cell r="BK103">
            <v>65.551503012944039</v>
          </cell>
          <cell r="BL103">
            <v>78.661803615532847</v>
          </cell>
          <cell r="BM103">
            <v>26.220601205177616</v>
          </cell>
          <cell r="BQ103">
            <v>57</v>
          </cell>
          <cell r="BR103">
            <v>27.356003827896259</v>
          </cell>
          <cell r="BS103">
            <v>36.474671770528346</v>
          </cell>
          <cell r="BT103">
            <v>45.593339713160432</v>
          </cell>
          <cell r="BU103">
            <v>54.712007655792519</v>
          </cell>
          <cell r="BV103">
            <v>63.830675598424605</v>
          </cell>
          <cell r="BW103">
            <v>72.949343541056692</v>
          </cell>
          <cell r="BX103">
            <v>82.068011483688778</v>
          </cell>
          <cell r="BY103">
            <v>91.186679426320865</v>
          </cell>
          <cell r="BZ103">
            <v>4.5593339713160432</v>
          </cell>
          <cell r="CC103">
            <v>57</v>
          </cell>
          <cell r="CD103">
            <v>23.21909652804754</v>
          </cell>
          <cell r="CE103">
            <v>32.506735139266553</v>
          </cell>
          <cell r="CF103">
            <v>41.794373750485576</v>
          </cell>
          <cell r="CG103">
            <v>51.082012361704585</v>
          </cell>
          <cell r="CH103">
            <v>60.369650972923608</v>
          </cell>
          <cell r="CI103">
            <v>69.657289584142617</v>
          </cell>
          <cell r="CJ103">
            <v>46.438193056095081</v>
          </cell>
          <cell r="CK103">
            <v>4.6438193056095081</v>
          </cell>
          <cell r="CM103">
            <v>57</v>
          </cell>
          <cell r="CN103">
            <v>21.01276955989816</v>
          </cell>
          <cell r="CO103">
            <v>42.025539119796321</v>
          </cell>
          <cell r="CP103">
            <v>63.038308679694481</v>
          </cell>
          <cell r="CQ103">
            <v>84.051078239592641</v>
          </cell>
          <cell r="CR103">
            <v>105.0638477994908</v>
          </cell>
          <cell r="CS103">
            <v>126.07661735938896</v>
          </cell>
          <cell r="CT103">
            <v>42.025539119796321</v>
          </cell>
          <cell r="CX103">
            <v>9.8000000000000007</v>
          </cell>
          <cell r="CY103">
            <v>6.6969098771653481</v>
          </cell>
          <cell r="CZ103">
            <v>8.3711373464566847</v>
          </cell>
          <cell r="DA103">
            <v>10.045364815748023</v>
          </cell>
          <cell r="DB103">
            <v>11.71959228503936</v>
          </cell>
          <cell r="DC103">
            <v>13.393819754330696</v>
          </cell>
          <cell r="DD103">
            <v>15.068047223622033</v>
          </cell>
          <cell r="DE103">
            <v>16.742274692913369</v>
          </cell>
          <cell r="DF103">
            <v>12.556706019685027</v>
          </cell>
          <cell r="DG103">
            <v>0.83711373464566852</v>
          </cell>
          <cell r="DJ103">
            <v>9.8000000000000007</v>
          </cell>
          <cell r="DK103">
            <v>4.9290425048700079</v>
          </cell>
          <cell r="DL103">
            <v>6.9006595068180117</v>
          </cell>
          <cell r="DM103">
            <v>8.8722765087660154</v>
          </cell>
          <cell r="DN103">
            <v>10.843893510714018</v>
          </cell>
          <cell r="DO103">
            <v>12.815510512662021</v>
          </cell>
          <cell r="DP103">
            <v>14.787127514610024</v>
          </cell>
          <cell r="DQ103">
            <v>9.8580850097400159</v>
          </cell>
          <cell r="DR103">
            <v>0.98580850097400163</v>
          </cell>
          <cell r="DT103">
            <v>9.8000000000000007</v>
          </cell>
          <cell r="DU103">
            <v>4.2448435359063481</v>
          </cell>
          <cell r="DV103">
            <v>8.4896870718126962</v>
          </cell>
          <cell r="DW103">
            <v>12.734530607719044</v>
          </cell>
          <cell r="DX103">
            <v>16.979374143625392</v>
          </cell>
          <cell r="DY103">
            <v>21.224217679531741</v>
          </cell>
          <cell r="DZ103">
            <v>25.469061215438089</v>
          </cell>
          <cell r="EA103">
            <v>8.4896870718126962</v>
          </cell>
          <cell r="EE103">
            <v>3.05</v>
          </cell>
          <cell r="EF103">
            <v>3.1237583601245031</v>
          </cell>
          <cell r="EG103">
            <v>3.748510032149404</v>
          </cell>
          <cell r="EH103">
            <v>4.3732617041743049</v>
          </cell>
          <cell r="EI103">
            <v>4.9980133761992054</v>
          </cell>
          <cell r="EJ103">
            <v>5.6227650482241058</v>
          </cell>
          <cell r="EK103">
            <v>6.2475167202490063</v>
          </cell>
          <cell r="EL103">
            <v>4.6856375401867547</v>
          </cell>
          <cell r="EM103">
            <v>0.31237583601245034</v>
          </cell>
          <cell r="EP103">
            <v>3.05</v>
          </cell>
          <cell r="EQ103">
            <v>1.5397723851582912</v>
          </cell>
          <cell r="ER103">
            <v>2.1556813392216077</v>
          </cell>
          <cell r="ES103">
            <v>2.7715902932849241</v>
          </cell>
          <cell r="ET103">
            <v>3.3874992473482406</v>
          </cell>
          <cell r="EU103">
            <v>4.0034082014115571</v>
          </cell>
          <cell r="EV103">
            <v>4.6193171554748735</v>
          </cell>
          <cell r="EW103">
            <v>3.0795447703165824</v>
          </cell>
          <cell r="EX103">
            <v>0.30795447703165824</v>
          </cell>
          <cell r="EZ103">
            <v>3.05</v>
          </cell>
          <cell r="FA103">
            <v>1.3626800989424173</v>
          </cell>
          <cell r="FB103">
            <v>2.7253601978848345</v>
          </cell>
          <cell r="FC103">
            <v>4.088040296827252</v>
          </cell>
          <cell r="FD103">
            <v>5.450720395769669</v>
          </cell>
          <cell r="FE103">
            <v>6.8134004947120861</v>
          </cell>
          <cell r="FF103">
            <v>8.176080593654504</v>
          </cell>
          <cell r="FG103">
            <v>2.7253601978848345</v>
          </cell>
        </row>
        <row r="104">
          <cell r="A104">
            <v>38503</v>
          </cell>
          <cell r="B104">
            <v>50.5</v>
          </cell>
          <cell r="C104">
            <v>17.656160621849608</v>
          </cell>
          <cell r="D104">
            <v>26.484240932774412</v>
          </cell>
          <cell r="E104">
            <v>35.312321243699216</v>
          </cell>
          <cell r="F104">
            <v>44.14040155462402</v>
          </cell>
          <cell r="G104">
            <v>52.968481865548824</v>
          </cell>
          <cell r="H104">
            <v>61.796562176473628</v>
          </cell>
          <cell r="I104">
            <v>70.624642487398432</v>
          </cell>
          <cell r="J104">
            <v>79.452722798323236</v>
          </cell>
          <cell r="K104">
            <v>88.280803109248041</v>
          </cell>
          <cell r="L104">
            <v>66.21060233193603</v>
          </cell>
          <cell r="M104">
            <v>4.414040155462402</v>
          </cell>
          <cell r="P104">
            <v>50.5</v>
          </cell>
          <cell r="Q104">
            <v>16.986784604695156</v>
          </cell>
          <cell r="R104">
            <v>28.311307674491925</v>
          </cell>
          <cell r="S104">
            <v>39.635830744288697</v>
          </cell>
          <cell r="T104">
            <v>50.960353814085465</v>
          </cell>
          <cell r="U104">
            <v>62.284876883882234</v>
          </cell>
          <cell r="V104">
            <v>73.609399953679002</v>
          </cell>
          <cell r="W104">
            <v>84.933923023475771</v>
          </cell>
          <cell r="X104">
            <v>56.62261534898385</v>
          </cell>
          <cell r="Y104">
            <v>5.6622615348983851</v>
          </cell>
          <cell r="AA104">
            <v>50.5</v>
          </cell>
          <cell r="AB104">
            <v>34.645372627834618</v>
          </cell>
          <cell r="AC104">
            <v>51.968058941751927</v>
          </cell>
          <cell r="AD104">
            <v>69.290745255669236</v>
          </cell>
          <cell r="AE104">
            <v>86.613431569586538</v>
          </cell>
          <cell r="AF104">
            <v>103.93611788350385</v>
          </cell>
          <cell r="AG104">
            <v>34.645372627834618</v>
          </cell>
          <cell r="AK104">
            <v>55.5</v>
          </cell>
          <cell r="AL104">
            <v>34.549111475152976</v>
          </cell>
          <cell r="AM104">
            <v>43.186389343941222</v>
          </cell>
          <cell r="AN104">
            <v>51.823667212729461</v>
          </cell>
          <cell r="AO104">
            <v>60.460945081517707</v>
          </cell>
          <cell r="AP104">
            <v>69.098222950305953</v>
          </cell>
          <cell r="AQ104">
            <v>77.735500819094199</v>
          </cell>
          <cell r="AR104">
            <v>86.372778687882445</v>
          </cell>
          <cell r="AS104">
            <v>64.779584015911837</v>
          </cell>
          <cell r="AT104">
            <v>4.3186389343941221</v>
          </cell>
          <cell r="AW104">
            <v>55.5</v>
          </cell>
          <cell r="AX104">
            <v>25.575368913798037</v>
          </cell>
          <cell r="AY104">
            <v>35.805516479317248</v>
          </cell>
          <cell r="AZ104">
            <v>46.035664044836466</v>
          </cell>
          <cell r="BA104">
            <v>56.265811610355676</v>
          </cell>
          <cell r="BB104">
            <v>66.495959175874887</v>
          </cell>
          <cell r="BC104">
            <v>76.726106741394105</v>
          </cell>
          <cell r="BD104">
            <v>51.150737827596075</v>
          </cell>
          <cell r="BE104">
            <v>5.1150737827596071</v>
          </cell>
          <cell r="BG104">
            <v>55.5</v>
          </cell>
          <cell r="BH104">
            <v>26.479074905654581</v>
          </cell>
          <cell r="BI104">
            <v>39.71861235848187</v>
          </cell>
          <cell r="BJ104">
            <v>52.958149811309163</v>
          </cell>
          <cell r="BK104">
            <v>66.197687264136448</v>
          </cell>
          <cell r="BL104">
            <v>79.43722471696374</v>
          </cell>
          <cell r="BM104">
            <v>26.479074905654581</v>
          </cell>
          <cell r="BQ104">
            <v>59</v>
          </cell>
          <cell r="BR104">
            <v>27.518353487787159</v>
          </cell>
          <cell r="BS104">
            <v>36.69113798371621</v>
          </cell>
          <cell r="BT104">
            <v>45.863922479645261</v>
          </cell>
          <cell r="BU104">
            <v>55.036706975574319</v>
          </cell>
          <cell r="BV104">
            <v>64.20949147150337</v>
          </cell>
          <cell r="BW104">
            <v>73.38227596743242</v>
          </cell>
          <cell r="BX104">
            <v>82.555060463361471</v>
          </cell>
          <cell r="BY104">
            <v>91.727844959290522</v>
          </cell>
          <cell r="BZ104">
            <v>4.5863922479645263</v>
          </cell>
          <cell r="CC104">
            <v>59</v>
          </cell>
          <cell r="CD104">
            <v>23.179755576821634</v>
          </cell>
          <cell r="CE104">
            <v>32.451657807550284</v>
          </cell>
          <cell r="CF104">
            <v>41.72356003827894</v>
          </cell>
          <cell r="CG104">
            <v>50.995462269007589</v>
          </cell>
          <cell r="CH104">
            <v>60.267364499736246</v>
          </cell>
          <cell r="CI104">
            <v>69.539266730464902</v>
          </cell>
          <cell r="CJ104">
            <v>46.359511153643268</v>
          </cell>
          <cell r="CK104">
            <v>4.6359511153643265</v>
          </cell>
          <cell r="CM104">
            <v>59</v>
          </cell>
          <cell r="CN104">
            <v>21.114665728068335</v>
          </cell>
          <cell r="CO104">
            <v>42.22933145613667</v>
          </cell>
          <cell r="CP104">
            <v>63.343997184205008</v>
          </cell>
          <cell r="CQ104">
            <v>84.45866291227334</v>
          </cell>
          <cell r="CR104">
            <v>105.57332864034167</v>
          </cell>
          <cell r="CS104">
            <v>126.68799436841002</v>
          </cell>
          <cell r="CT104">
            <v>42.22933145613667</v>
          </cell>
          <cell r="CX104">
            <v>9.65</v>
          </cell>
          <cell r="CY104">
            <v>6.7707512099199718</v>
          </cell>
          <cell r="CZ104">
            <v>8.4634390123999648</v>
          </cell>
          <cell r="DA104">
            <v>10.156126814879958</v>
          </cell>
          <cell r="DB104">
            <v>11.848814617359951</v>
          </cell>
          <cell r="DC104">
            <v>13.541502419839944</v>
          </cell>
          <cell r="DD104">
            <v>15.234190222319937</v>
          </cell>
          <cell r="DE104">
            <v>16.92687802479993</v>
          </cell>
          <cell r="DF104">
            <v>12.695158518599946</v>
          </cell>
          <cell r="DG104">
            <v>0.84634390123999648</v>
          </cell>
          <cell r="DJ104">
            <v>9.65</v>
          </cell>
          <cell r="DK104">
            <v>4.9763947120891032</v>
          </cell>
          <cell r="DL104">
            <v>6.9669525969247443</v>
          </cell>
          <cell r="DM104">
            <v>8.9575104817603854</v>
          </cell>
          <cell r="DN104">
            <v>10.948068366596027</v>
          </cell>
          <cell r="DO104">
            <v>12.938626251431669</v>
          </cell>
          <cell r="DP104">
            <v>14.92918413626731</v>
          </cell>
          <cell r="DQ104">
            <v>9.9527894241782064</v>
          </cell>
          <cell r="DR104">
            <v>0.99527894241782067</v>
          </cell>
          <cell r="DT104">
            <v>9.65</v>
          </cell>
          <cell r="DU104">
            <v>4.2872784179745382</v>
          </cell>
          <cell r="DV104">
            <v>8.5745568359490765</v>
          </cell>
          <cell r="DW104">
            <v>12.861835253923616</v>
          </cell>
          <cell r="DX104">
            <v>17.149113671898153</v>
          </cell>
          <cell r="DY104">
            <v>21.43639208987269</v>
          </cell>
          <cell r="DZ104">
            <v>25.723670507847231</v>
          </cell>
          <cell r="EA104">
            <v>8.5745568359490765</v>
          </cell>
          <cell r="EE104">
            <v>2.875</v>
          </cell>
          <cell r="EF104">
            <v>3.1651428795706678</v>
          </cell>
          <cell r="EG104">
            <v>3.798171455484801</v>
          </cell>
          <cell r="EH104">
            <v>4.4312000313989346</v>
          </cell>
          <cell r="EI104">
            <v>5.0642286073130682</v>
          </cell>
          <cell r="EJ104">
            <v>5.6972571832272019</v>
          </cell>
          <cell r="EK104">
            <v>6.3302857591413355</v>
          </cell>
          <cell r="EL104">
            <v>4.7477143193560014</v>
          </cell>
          <cell r="EM104">
            <v>0.31651428795706676</v>
          </cell>
          <cell r="EP104">
            <v>2.875</v>
          </cell>
          <cell r="EQ104">
            <v>1.5186897152916261</v>
          </cell>
          <cell r="ER104">
            <v>2.1261656014082768</v>
          </cell>
          <cell r="ES104">
            <v>2.7336414875249271</v>
          </cell>
          <cell r="ET104">
            <v>3.3411173736415778</v>
          </cell>
          <cell r="EU104">
            <v>3.9485932597582281</v>
          </cell>
          <cell r="EV104">
            <v>4.5560691458748783</v>
          </cell>
          <cell r="EW104">
            <v>3.0373794305832522</v>
          </cell>
          <cell r="EX104">
            <v>0.30373794305832524</v>
          </cell>
          <cell r="EZ104">
            <v>2.875</v>
          </cell>
          <cell r="FA104">
            <v>1.3774730538559683</v>
          </cell>
          <cell r="FB104">
            <v>2.7549461077119366</v>
          </cell>
          <cell r="FC104">
            <v>4.1324191615679045</v>
          </cell>
          <cell r="FD104">
            <v>5.5098922154238732</v>
          </cell>
          <cell r="FE104">
            <v>6.8873652692798419</v>
          </cell>
          <cell r="FF104">
            <v>8.2648383231358089</v>
          </cell>
          <cell r="FG104">
            <v>2.7549461077119366</v>
          </cell>
        </row>
        <row r="105">
          <cell r="A105">
            <v>38533</v>
          </cell>
          <cell r="B105">
            <v>52</v>
          </cell>
          <cell r="C105">
            <v>17.472246690786736</v>
          </cell>
          <cell r="D105">
            <v>26.208370036180106</v>
          </cell>
          <cell r="E105">
            <v>34.944493381573473</v>
          </cell>
          <cell r="F105">
            <v>43.680616726966839</v>
          </cell>
          <cell r="G105">
            <v>52.416740072360213</v>
          </cell>
          <cell r="H105">
            <v>61.152863417753579</v>
          </cell>
          <cell r="I105">
            <v>69.888986763146946</v>
          </cell>
          <cell r="J105">
            <v>78.625110108540312</v>
          </cell>
          <cell r="K105">
            <v>87.361233453933679</v>
          </cell>
          <cell r="L105">
            <v>65.520925090450262</v>
          </cell>
          <cell r="M105">
            <v>4.3680616726966841</v>
          </cell>
          <cell r="P105">
            <v>52</v>
          </cell>
          <cell r="Q105">
            <v>16.72515783391194</v>
          </cell>
          <cell r="R105">
            <v>27.875263056519902</v>
          </cell>
          <cell r="S105">
            <v>39.025368279127861</v>
          </cell>
          <cell r="T105">
            <v>50.175473501735823</v>
          </cell>
          <cell r="U105">
            <v>61.325578724343785</v>
          </cell>
          <cell r="V105">
            <v>72.475683946951747</v>
          </cell>
          <cell r="W105">
            <v>83.62578916955971</v>
          </cell>
          <cell r="X105">
            <v>55.750526113039804</v>
          </cell>
          <cell r="Y105">
            <v>5.5750526113039802</v>
          </cell>
          <cell r="AA105">
            <v>52</v>
          </cell>
          <cell r="AB105">
            <v>34.91561050683913</v>
          </cell>
          <cell r="AC105">
            <v>52.373415760258695</v>
          </cell>
          <cell r="AD105">
            <v>69.83122101367826</v>
          </cell>
          <cell r="AE105">
            <v>87.289026267097825</v>
          </cell>
          <cell r="AF105">
            <v>104.74683152051739</v>
          </cell>
          <cell r="AG105">
            <v>34.91561050683913</v>
          </cell>
          <cell r="AK105">
            <v>50.75</v>
          </cell>
          <cell r="AL105">
            <v>34.85700461487022</v>
          </cell>
          <cell r="AM105">
            <v>43.571255768587775</v>
          </cell>
          <cell r="AN105">
            <v>52.285506922305331</v>
          </cell>
          <cell r="AO105">
            <v>60.999758076022886</v>
          </cell>
          <cell r="AP105">
            <v>69.714009229740441</v>
          </cell>
          <cell r="AQ105">
            <v>78.428260383457996</v>
          </cell>
          <cell r="AR105">
            <v>87.142511537175551</v>
          </cell>
          <cell r="AS105">
            <v>65.356883652881663</v>
          </cell>
          <cell r="AT105">
            <v>4.3571255768587775</v>
          </cell>
          <cell r="AW105">
            <v>50.75</v>
          </cell>
          <cell r="AX105">
            <v>25.918777165222494</v>
          </cell>
          <cell r="AY105">
            <v>36.286288031311493</v>
          </cell>
          <cell r="AZ105">
            <v>46.653798897400485</v>
          </cell>
          <cell r="BA105">
            <v>57.021309763489484</v>
          </cell>
          <cell r="BB105">
            <v>67.388820629578476</v>
          </cell>
          <cell r="BC105">
            <v>77.756331495667482</v>
          </cell>
          <cell r="BD105">
            <v>51.837554330444988</v>
          </cell>
          <cell r="BE105">
            <v>5.1837554330444986</v>
          </cell>
          <cell r="BG105">
            <v>50.75</v>
          </cell>
          <cell r="BH105">
            <v>26.737548606131547</v>
          </cell>
          <cell r="BI105">
            <v>40.106322909197317</v>
          </cell>
          <cell r="BJ105">
            <v>53.475097212263094</v>
          </cell>
          <cell r="BK105">
            <v>66.843871515328871</v>
          </cell>
          <cell r="BL105">
            <v>80.212645818394634</v>
          </cell>
          <cell r="BM105">
            <v>26.737548606131547</v>
          </cell>
          <cell r="BQ105">
            <v>58.5</v>
          </cell>
          <cell r="BR105">
            <v>27.680703147678056</v>
          </cell>
          <cell r="BS105">
            <v>36.907604196904074</v>
          </cell>
          <cell r="BT105">
            <v>46.13450524613009</v>
          </cell>
          <cell r="BU105">
            <v>55.361406295356112</v>
          </cell>
          <cell r="BV105">
            <v>64.588307344582134</v>
          </cell>
          <cell r="BW105">
            <v>73.815208393808149</v>
          </cell>
          <cell r="BX105">
            <v>83.042109443034164</v>
          </cell>
          <cell r="BY105">
            <v>92.269010492260179</v>
          </cell>
          <cell r="BZ105">
            <v>4.6134505246130093</v>
          </cell>
          <cell r="CC105">
            <v>58.5</v>
          </cell>
          <cell r="CD105">
            <v>23.140414625595724</v>
          </cell>
          <cell r="CE105">
            <v>32.396580475834014</v>
          </cell>
          <cell r="CF105">
            <v>41.652746326072304</v>
          </cell>
          <cell r="CG105">
            <v>50.908912176310594</v>
          </cell>
          <cell r="CH105">
            <v>60.165078026548883</v>
          </cell>
          <cell r="CI105">
            <v>69.421243876787173</v>
          </cell>
          <cell r="CJ105">
            <v>46.280829251191449</v>
          </cell>
          <cell r="CK105">
            <v>4.6280829251191449</v>
          </cell>
          <cell r="CM105">
            <v>58.5</v>
          </cell>
          <cell r="CN105">
            <v>21.21656189623851</v>
          </cell>
          <cell r="CO105">
            <v>42.433123792477019</v>
          </cell>
          <cell r="CP105">
            <v>63.649685688715529</v>
          </cell>
          <cell r="CQ105">
            <v>84.866247584954039</v>
          </cell>
          <cell r="CR105">
            <v>106.08280948119256</v>
          </cell>
          <cell r="CS105">
            <v>127.29937137743106</v>
          </cell>
          <cell r="CT105">
            <v>42.433123792477019</v>
          </cell>
          <cell r="CX105">
            <v>9.5500000000000007</v>
          </cell>
          <cell r="CY105">
            <v>6.8445925426745955</v>
          </cell>
          <cell r="CZ105">
            <v>8.5557406783432448</v>
          </cell>
          <cell r="DA105">
            <v>10.266888814011892</v>
          </cell>
          <cell r="DB105">
            <v>11.978036949680542</v>
          </cell>
          <cell r="DC105">
            <v>13.689185085349191</v>
          </cell>
          <cell r="DD105">
            <v>15.40033322101784</v>
          </cell>
          <cell r="DE105">
            <v>17.11148135668649</v>
          </cell>
          <cell r="DF105">
            <v>12.833611017514867</v>
          </cell>
          <cell r="DG105">
            <v>0.85557406783432444</v>
          </cell>
          <cell r="DJ105">
            <v>9.5500000000000007</v>
          </cell>
          <cell r="DK105">
            <v>5.0237469193081985</v>
          </cell>
          <cell r="DL105">
            <v>7.0332456870314779</v>
          </cell>
          <cell r="DM105">
            <v>9.0427444547547573</v>
          </cell>
          <cell r="DN105">
            <v>11.052243222478037</v>
          </cell>
          <cell r="DO105">
            <v>13.061741990201316</v>
          </cell>
          <cell r="DP105">
            <v>15.071240757924595</v>
          </cell>
          <cell r="DQ105">
            <v>10.047493838616397</v>
          </cell>
          <cell r="DR105">
            <v>1.0047493838616397</v>
          </cell>
          <cell r="DT105">
            <v>9.5500000000000007</v>
          </cell>
          <cell r="DU105">
            <v>4.3297133000427284</v>
          </cell>
          <cell r="DV105">
            <v>8.6594266000854567</v>
          </cell>
          <cell r="DW105">
            <v>12.989139900128185</v>
          </cell>
          <cell r="DX105">
            <v>17.318853200170913</v>
          </cell>
          <cell r="DY105">
            <v>21.64856650021364</v>
          </cell>
          <cell r="DZ105">
            <v>25.97827980025637</v>
          </cell>
          <cell r="EA105">
            <v>8.6594266000854567</v>
          </cell>
          <cell r="EE105">
            <v>3</v>
          </cell>
          <cell r="EF105">
            <v>3.2065273990168319</v>
          </cell>
          <cell r="EG105">
            <v>3.8478328788201983</v>
          </cell>
          <cell r="EH105">
            <v>4.4891383586235651</v>
          </cell>
          <cell r="EI105">
            <v>5.1304438384269311</v>
          </cell>
          <cell r="EJ105">
            <v>5.771749318230297</v>
          </cell>
          <cell r="EK105">
            <v>6.4130547980336639</v>
          </cell>
          <cell r="EL105">
            <v>4.8097910985252481</v>
          </cell>
          <cell r="EM105">
            <v>0.32065273990168319</v>
          </cell>
          <cell r="EP105">
            <v>3</v>
          </cell>
          <cell r="EQ105">
            <v>1.4976070454249613</v>
          </cell>
          <cell r="ER105">
            <v>2.096649863594946</v>
          </cell>
          <cell r="ES105">
            <v>2.69569268176493</v>
          </cell>
          <cell r="ET105">
            <v>3.294735499934915</v>
          </cell>
          <cell r="EU105">
            <v>3.893778318104899</v>
          </cell>
          <cell r="EV105">
            <v>4.492821136274884</v>
          </cell>
          <cell r="EW105">
            <v>2.9952140908499225</v>
          </cell>
          <cell r="EX105">
            <v>0.29952140908499225</v>
          </cell>
          <cell r="EZ105">
            <v>3</v>
          </cell>
          <cell r="FA105">
            <v>1.3922660087695193</v>
          </cell>
          <cell r="FB105">
            <v>2.7845320175390387</v>
          </cell>
          <cell r="FC105">
            <v>4.1767980263085578</v>
          </cell>
          <cell r="FD105">
            <v>5.5690640350780773</v>
          </cell>
          <cell r="FE105">
            <v>6.9613300438475969</v>
          </cell>
          <cell r="FF105">
            <v>8.3535960526171156</v>
          </cell>
          <cell r="FG105">
            <v>2.7845320175390387</v>
          </cell>
        </row>
        <row r="106">
          <cell r="A106">
            <v>38564</v>
          </cell>
          <cell r="B106">
            <v>56.8</v>
          </cell>
          <cell r="C106">
            <v>17.288332759723865</v>
          </cell>
          <cell r="D106">
            <v>25.932499139585797</v>
          </cell>
          <cell r="E106">
            <v>34.576665519447729</v>
          </cell>
          <cell r="F106">
            <v>43.220831899309658</v>
          </cell>
          <cell r="G106">
            <v>51.864998279171594</v>
          </cell>
          <cell r="H106">
            <v>60.50916465903353</v>
          </cell>
          <cell r="I106">
            <v>69.153331038895459</v>
          </cell>
          <cell r="J106">
            <v>77.797497418757388</v>
          </cell>
          <cell r="K106">
            <v>86.441663798619317</v>
          </cell>
          <cell r="L106">
            <v>64.831247848964495</v>
          </cell>
          <cell r="M106">
            <v>4.3220831899309662</v>
          </cell>
          <cell r="P106">
            <v>56.8</v>
          </cell>
          <cell r="Q106">
            <v>16.463531063128727</v>
          </cell>
          <cell r="R106">
            <v>27.439218438547876</v>
          </cell>
          <cell r="S106">
            <v>38.414905813967025</v>
          </cell>
          <cell r="T106">
            <v>49.39059318938618</v>
          </cell>
          <cell r="U106">
            <v>60.366280564805329</v>
          </cell>
          <cell r="V106">
            <v>71.341967940224478</v>
          </cell>
          <cell r="W106">
            <v>82.317655315643634</v>
          </cell>
          <cell r="X106">
            <v>54.878436877095751</v>
          </cell>
          <cell r="Y106">
            <v>5.4878436877095753</v>
          </cell>
          <cell r="AA106">
            <v>56.8</v>
          </cell>
          <cell r="AB106">
            <v>35.185848385843641</v>
          </cell>
          <cell r="AC106">
            <v>52.778772578765462</v>
          </cell>
          <cell r="AD106">
            <v>70.371696771687283</v>
          </cell>
          <cell r="AE106">
            <v>87.964620964609111</v>
          </cell>
          <cell r="AF106">
            <v>105.55754515753092</v>
          </cell>
          <cell r="AG106">
            <v>35.185848385843641</v>
          </cell>
          <cell r="AK106">
            <v>55.55</v>
          </cell>
          <cell r="AL106">
            <v>35.164897754587464</v>
          </cell>
          <cell r="AM106">
            <v>43.956122193234329</v>
          </cell>
          <cell r="AN106">
            <v>52.7473466318812</v>
          </cell>
          <cell r="AO106">
            <v>61.538571070528064</v>
          </cell>
          <cell r="AP106">
            <v>70.329795509174929</v>
          </cell>
          <cell r="AQ106">
            <v>79.121019947821793</v>
          </cell>
          <cell r="AR106">
            <v>87.912244386468657</v>
          </cell>
          <cell r="AS106">
            <v>65.934183289851489</v>
          </cell>
          <cell r="AT106">
            <v>4.395612219323433</v>
          </cell>
          <cell r="AW106">
            <v>55.55</v>
          </cell>
          <cell r="AX106">
            <v>26.26218541664695</v>
          </cell>
          <cell r="AY106">
            <v>36.767059583305731</v>
          </cell>
          <cell r="AZ106">
            <v>47.271933749964511</v>
          </cell>
          <cell r="BA106">
            <v>57.776807916623291</v>
          </cell>
          <cell r="BB106">
            <v>68.281682083282078</v>
          </cell>
          <cell r="BC106">
            <v>78.786556249940844</v>
          </cell>
          <cell r="BD106">
            <v>52.524370833293901</v>
          </cell>
          <cell r="BE106">
            <v>5.2524370833293901</v>
          </cell>
          <cell r="BG106">
            <v>55.55</v>
          </cell>
          <cell r="BH106">
            <v>26.996022306608513</v>
          </cell>
          <cell r="BI106">
            <v>40.494033459912771</v>
          </cell>
          <cell r="BJ106">
            <v>53.992044613217026</v>
          </cell>
          <cell r="BK106">
            <v>67.49005576652128</v>
          </cell>
          <cell r="BL106">
            <v>80.988066919825542</v>
          </cell>
          <cell r="BM106">
            <v>26.996022306608513</v>
          </cell>
          <cell r="BQ106">
            <v>63.1</v>
          </cell>
          <cell r="BR106">
            <v>27.843052807568952</v>
          </cell>
          <cell r="BS106">
            <v>37.124070410091939</v>
          </cell>
          <cell r="BT106">
            <v>46.405088012614925</v>
          </cell>
          <cell r="BU106">
            <v>55.686105615137905</v>
          </cell>
          <cell r="BV106">
            <v>64.967123217660898</v>
          </cell>
          <cell r="BW106">
            <v>74.248140820183878</v>
          </cell>
          <cell r="BX106">
            <v>83.529158422706857</v>
          </cell>
          <cell r="BY106">
            <v>92.81017602522985</v>
          </cell>
          <cell r="BZ106">
            <v>4.6405088012614923</v>
          </cell>
          <cell r="CC106">
            <v>63.1</v>
          </cell>
          <cell r="CD106">
            <v>23.101073674369815</v>
          </cell>
          <cell r="CE106">
            <v>32.341503144117745</v>
          </cell>
          <cell r="CF106">
            <v>41.581932613865668</v>
          </cell>
          <cell r="CG106">
            <v>50.822362083613598</v>
          </cell>
          <cell r="CH106">
            <v>60.062791553361521</v>
          </cell>
          <cell r="CI106">
            <v>69.303221023109444</v>
          </cell>
          <cell r="CJ106">
            <v>46.202147348739629</v>
          </cell>
          <cell r="CK106">
            <v>4.6202147348739633</v>
          </cell>
          <cell r="CM106">
            <v>63.1</v>
          </cell>
          <cell r="CN106">
            <v>21.318458064408684</v>
          </cell>
          <cell r="CO106">
            <v>42.636916128817369</v>
          </cell>
          <cell r="CP106">
            <v>63.955374193226049</v>
          </cell>
          <cell r="CQ106">
            <v>85.273832257634737</v>
          </cell>
          <cell r="CR106">
            <v>106.59229032204343</v>
          </cell>
          <cell r="CS106">
            <v>127.9107483864521</v>
          </cell>
          <cell r="CT106">
            <v>42.636916128817369</v>
          </cell>
          <cell r="CX106">
            <v>10.1</v>
          </cell>
          <cell r="CY106">
            <v>6.9184338754292192</v>
          </cell>
          <cell r="CZ106">
            <v>8.6480423442865231</v>
          </cell>
          <cell r="DA106">
            <v>10.377650813143829</v>
          </cell>
          <cell r="DB106">
            <v>12.107259282001134</v>
          </cell>
          <cell r="DC106">
            <v>13.836867750858438</v>
          </cell>
          <cell r="DD106">
            <v>15.566476219715742</v>
          </cell>
          <cell r="DE106">
            <v>17.296084688573046</v>
          </cell>
          <cell r="DF106">
            <v>12.972063516429786</v>
          </cell>
          <cell r="DG106">
            <v>0.8648042344286524</v>
          </cell>
          <cell r="DJ106">
            <v>10.1</v>
          </cell>
          <cell r="DK106">
            <v>5.0710991265272938</v>
          </cell>
          <cell r="DL106">
            <v>7.0995387771382124</v>
          </cell>
          <cell r="DM106">
            <v>9.1279784277491292</v>
          </cell>
          <cell r="DN106">
            <v>11.156418078360048</v>
          </cell>
          <cell r="DO106">
            <v>13.184857728970965</v>
          </cell>
          <cell r="DP106">
            <v>15.213297379581883</v>
          </cell>
          <cell r="DQ106">
            <v>10.142198253054588</v>
          </cell>
          <cell r="DR106">
            <v>1.0142198253054588</v>
          </cell>
          <cell r="DT106">
            <v>10.1</v>
          </cell>
          <cell r="DU106">
            <v>4.3721481821109185</v>
          </cell>
          <cell r="DV106">
            <v>8.744296364221837</v>
          </cell>
          <cell r="DW106">
            <v>13.116444546332755</v>
          </cell>
          <cell r="DX106">
            <v>17.488592728443674</v>
          </cell>
          <cell r="DY106">
            <v>21.860740910554593</v>
          </cell>
          <cell r="DZ106">
            <v>26.232889092665509</v>
          </cell>
          <cell r="EA106">
            <v>8.744296364221837</v>
          </cell>
          <cell r="EE106">
            <v>3.2</v>
          </cell>
          <cell r="EF106">
            <v>3.2479119184629961</v>
          </cell>
          <cell r="EG106">
            <v>3.8974943021555957</v>
          </cell>
          <cell r="EH106">
            <v>4.5470766858481948</v>
          </cell>
          <cell r="EI106">
            <v>5.1966590695407939</v>
          </cell>
          <cell r="EJ106">
            <v>5.8462414532333931</v>
          </cell>
          <cell r="EK106">
            <v>6.4958238369259922</v>
          </cell>
          <cell r="EL106">
            <v>4.8718678776944939</v>
          </cell>
          <cell r="EM106">
            <v>0.32479119184629962</v>
          </cell>
          <cell r="EP106">
            <v>3.2</v>
          </cell>
          <cell r="EQ106">
            <v>1.4765243755582964</v>
          </cell>
          <cell r="ER106">
            <v>2.0671341257816147</v>
          </cell>
          <cell r="ES106">
            <v>2.6577438760049334</v>
          </cell>
          <cell r="ET106">
            <v>3.2483536262282517</v>
          </cell>
          <cell r="EU106">
            <v>3.8389633764515705</v>
          </cell>
          <cell r="EV106">
            <v>4.4295731266748888</v>
          </cell>
          <cell r="EW106">
            <v>2.9530487511165928</v>
          </cell>
          <cell r="EX106">
            <v>0.29530487511165926</v>
          </cell>
          <cell r="EZ106">
            <v>3.2</v>
          </cell>
          <cell r="FA106">
            <v>1.4070589636830704</v>
          </cell>
          <cell r="FB106">
            <v>2.8141179273661407</v>
          </cell>
          <cell r="FC106">
            <v>4.2211768910492111</v>
          </cell>
          <cell r="FD106">
            <v>5.6282358547322815</v>
          </cell>
          <cell r="FE106">
            <v>7.0352948184153519</v>
          </cell>
          <cell r="FF106">
            <v>8.4423537820984222</v>
          </cell>
          <cell r="FG106">
            <v>2.8141179273661407</v>
          </cell>
        </row>
        <row r="107">
          <cell r="A107">
            <v>38595</v>
          </cell>
          <cell r="B107">
            <v>51</v>
          </cell>
          <cell r="C107">
            <v>17.104418828660993</v>
          </cell>
          <cell r="D107">
            <v>25.656628242991488</v>
          </cell>
          <cell r="E107">
            <v>34.208837657321986</v>
          </cell>
          <cell r="F107">
            <v>42.761047071652484</v>
          </cell>
          <cell r="G107">
            <v>51.313256485982976</v>
          </cell>
          <cell r="H107">
            <v>59.865465900313474</v>
          </cell>
          <cell r="I107">
            <v>68.417675314643972</v>
          </cell>
          <cell r="J107">
            <v>76.969884728974463</v>
          </cell>
          <cell r="K107">
            <v>85.522094143304969</v>
          </cell>
          <cell r="L107">
            <v>64.141570607478727</v>
          </cell>
          <cell r="M107">
            <v>4.2761047071652483</v>
          </cell>
          <cell r="P107">
            <v>51</v>
          </cell>
          <cell r="Q107">
            <v>16.20190429234551</v>
          </cell>
          <cell r="R107">
            <v>27.003173820575853</v>
          </cell>
          <cell r="S107">
            <v>37.804443348806196</v>
          </cell>
          <cell r="T107">
            <v>48.605712877036531</v>
          </cell>
          <cell r="U107">
            <v>59.406982405266874</v>
          </cell>
          <cell r="V107">
            <v>70.208251933497209</v>
          </cell>
          <cell r="W107">
            <v>81.009521461727559</v>
          </cell>
          <cell r="X107">
            <v>54.006347641151706</v>
          </cell>
          <cell r="Y107">
            <v>5.4006347641151704</v>
          </cell>
          <cell r="AA107">
            <v>51</v>
          </cell>
          <cell r="AB107">
            <v>35.456086264848153</v>
          </cell>
          <cell r="AC107">
            <v>53.18412939727223</v>
          </cell>
          <cell r="AD107">
            <v>70.912172529696306</v>
          </cell>
          <cell r="AE107">
            <v>88.640215662120383</v>
          </cell>
          <cell r="AF107">
            <v>106.36825879454446</v>
          </cell>
          <cell r="AG107">
            <v>35.456086264848153</v>
          </cell>
          <cell r="AK107">
            <v>57.15</v>
          </cell>
          <cell r="AL107">
            <v>35.472790894304708</v>
          </cell>
          <cell r="AM107">
            <v>44.340988617880882</v>
          </cell>
          <cell r="AN107">
            <v>53.209186341457062</v>
          </cell>
          <cell r="AO107">
            <v>62.077384065033243</v>
          </cell>
          <cell r="AP107">
            <v>70.945581788609417</v>
          </cell>
          <cell r="AQ107">
            <v>79.81377951218559</v>
          </cell>
          <cell r="AR107">
            <v>88.681977235761764</v>
          </cell>
          <cell r="AS107">
            <v>66.51148292682133</v>
          </cell>
          <cell r="AT107">
            <v>4.4340988617880885</v>
          </cell>
          <cell r="AW107">
            <v>57.15</v>
          </cell>
          <cell r="AX107">
            <v>26.605593668071407</v>
          </cell>
          <cell r="AY107">
            <v>37.247831135299968</v>
          </cell>
          <cell r="AZ107">
            <v>47.890068602528537</v>
          </cell>
          <cell r="BA107">
            <v>58.532306069757098</v>
          </cell>
          <cell r="BB107">
            <v>69.174543536985666</v>
          </cell>
          <cell r="BC107">
            <v>79.816781004214221</v>
          </cell>
          <cell r="BD107">
            <v>53.211187336142814</v>
          </cell>
          <cell r="BE107">
            <v>5.3211187336142816</v>
          </cell>
          <cell r="BG107">
            <v>57.15</v>
          </cell>
          <cell r="BH107">
            <v>27.254496007085478</v>
          </cell>
          <cell r="BI107">
            <v>40.881744010628218</v>
          </cell>
          <cell r="BJ107">
            <v>54.508992014170957</v>
          </cell>
          <cell r="BK107">
            <v>68.136240017713703</v>
          </cell>
          <cell r="BL107">
            <v>81.763488021256435</v>
          </cell>
          <cell r="BM107">
            <v>27.254496007085478</v>
          </cell>
          <cell r="BQ107">
            <v>65</v>
          </cell>
          <cell r="BR107">
            <v>28.005402467459852</v>
          </cell>
          <cell r="BS107">
            <v>37.340536623279803</v>
          </cell>
          <cell r="BT107">
            <v>46.675670779099754</v>
          </cell>
          <cell r="BU107">
            <v>56.010804934919705</v>
          </cell>
          <cell r="BV107">
            <v>65.345939090739648</v>
          </cell>
          <cell r="BW107">
            <v>74.681073246559606</v>
          </cell>
          <cell r="BX107">
            <v>84.016207402379564</v>
          </cell>
          <cell r="BY107">
            <v>93.351341558199508</v>
          </cell>
          <cell r="BZ107">
            <v>4.6675670779099754</v>
          </cell>
          <cell r="CC107">
            <v>65</v>
          </cell>
          <cell r="CD107">
            <v>23.061732723143908</v>
          </cell>
          <cell r="CE107">
            <v>32.286425812401475</v>
          </cell>
          <cell r="CF107">
            <v>41.511118901659032</v>
          </cell>
          <cell r="CG107">
            <v>50.735811990916602</v>
          </cell>
          <cell r="CH107">
            <v>59.960505080174158</v>
          </cell>
          <cell r="CI107">
            <v>69.185198169431729</v>
          </cell>
          <cell r="CJ107">
            <v>46.123465446287817</v>
          </cell>
          <cell r="CK107">
            <v>4.6123465446287817</v>
          </cell>
          <cell r="CM107">
            <v>65</v>
          </cell>
          <cell r="CN107">
            <v>21.420354232578859</v>
          </cell>
          <cell r="CO107">
            <v>42.840708465157718</v>
          </cell>
          <cell r="CP107">
            <v>64.261062697736577</v>
          </cell>
          <cell r="CQ107">
            <v>85.681416930315436</v>
          </cell>
          <cell r="CR107">
            <v>107.10177116289429</v>
          </cell>
          <cell r="CS107">
            <v>128.52212539547315</v>
          </cell>
          <cell r="CT107">
            <v>42.840708465157718</v>
          </cell>
          <cell r="CX107">
            <v>10.3</v>
          </cell>
          <cell r="CY107">
            <v>6.9922752081838428</v>
          </cell>
          <cell r="CZ107">
            <v>8.7403440102298031</v>
          </cell>
          <cell r="DA107">
            <v>10.488412812275765</v>
          </cell>
          <cell r="DB107">
            <v>12.236481614321725</v>
          </cell>
          <cell r="DC107">
            <v>13.984550416367686</v>
          </cell>
          <cell r="DD107">
            <v>15.732619218413646</v>
          </cell>
          <cell r="DE107">
            <v>17.480688020459606</v>
          </cell>
          <cell r="DF107">
            <v>13.110516015344706</v>
          </cell>
          <cell r="DG107">
            <v>0.87403440102298036</v>
          </cell>
          <cell r="DJ107">
            <v>10.3</v>
          </cell>
          <cell r="DK107">
            <v>5.1184513337463899</v>
          </cell>
          <cell r="DL107">
            <v>7.1658318672449459</v>
          </cell>
          <cell r="DM107">
            <v>9.213212400743501</v>
          </cell>
          <cell r="DN107">
            <v>11.260592934242059</v>
          </cell>
          <cell r="DO107">
            <v>13.307973467740613</v>
          </cell>
          <cell r="DP107">
            <v>15.355354001239171</v>
          </cell>
          <cell r="DQ107">
            <v>10.23690266749278</v>
          </cell>
          <cell r="DR107">
            <v>1.023690266749278</v>
          </cell>
          <cell r="DT107">
            <v>10.3</v>
          </cell>
          <cell r="DU107">
            <v>4.4145830641791086</v>
          </cell>
          <cell r="DV107">
            <v>8.8291661283582172</v>
          </cell>
          <cell r="DW107">
            <v>13.243749192537326</v>
          </cell>
          <cell r="DX107">
            <v>17.658332256716434</v>
          </cell>
          <cell r="DY107">
            <v>22.072915320895543</v>
          </cell>
          <cell r="DZ107">
            <v>26.487498385074652</v>
          </cell>
          <cell r="EA107">
            <v>8.8291661283582172</v>
          </cell>
          <cell r="EE107">
            <v>3.3250000000000002</v>
          </cell>
          <cell r="EF107">
            <v>3.2892964379091607</v>
          </cell>
          <cell r="EG107">
            <v>3.9471557254909926</v>
          </cell>
          <cell r="EH107">
            <v>4.6050150130728245</v>
          </cell>
          <cell r="EI107">
            <v>5.2628743006546568</v>
          </cell>
          <cell r="EJ107">
            <v>5.9207335882364891</v>
          </cell>
          <cell r="EK107">
            <v>6.5785928758183214</v>
          </cell>
          <cell r="EL107">
            <v>4.9339446568637406</v>
          </cell>
          <cell r="EM107">
            <v>0.32892964379091605</v>
          </cell>
          <cell r="EP107">
            <v>3.3250000000000002</v>
          </cell>
          <cell r="EQ107">
            <v>1.4554417056916313</v>
          </cell>
          <cell r="ER107">
            <v>2.0376183879682839</v>
          </cell>
          <cell r="ES107">
            <v>2.6197950702449364</v>
          </cell>
          <cell r="ET107">
            <v>3.2019717525215889</v>
          </cell>
          <cell r="EU107">
            <v>3.7841484347982415</v>
          </cell>
          <cell r="EV107">
            <v>4.3663251170748936</v>
          </cell>
          <cell r="EW107">
            <v>2.9108834113832627</v>
          </cell>
          <cell r="EX107">
            <v>0.29108834113832627</v>
          </cell>
          <cell r="EZ107">
            <v>3.3250000000000002</v>
          </cell>
          <cell r="FA107">
            <v>1.4218519185966214</v>
          </cell>
          <cell r="FB107">
            <v>2.8437038371932428</v>
          </cell>
          <cell r="FC107">
            <v>4.2655557557898645</v>
          </cell>
          <cell r="FD107">
            <v>5.6874076743864856</v>
          </cell>
          <cell r="FE107">
            <v>7.1092595929831068</v>
          </cell>
          <cell r="FF107">
            <v>8.5311115115797289</v>
          </cell>
          <cell r="FG107">
            <v>2.8437038371932428</v>
          </cell>
        </row>
        <row r="108">
          <cell r="A108">
            <v>38625</v>
          </cell>
          <cell r="B108">
            <v>52</v>
          </cell>
          <cell r="C108">
            <v>16.920504897598121</v>
          </cell>
          <cell r="D108">
            <v>25.380757346397182</v>
          </cell>
          <cell r="E108">
            <v>33.841009795196243</v>
          </cell>
          <cell r="F108">
            <v>42.301262243995303</v>
          </cell>
          <cell r="G108">
            <v>50.761514692794364</v>
          </cell>
          <cell r="H108">
            <v>59.221767141593425</v>
          </cell>
          <cell r="I108">
            <v>67.682019590392485</v>
          </cell>
          <cell r="J108">
            <v>76.142272039191539</v>
          </cell>
          <cell r="K108">
            <v>84.602524487990607</v>
          </cell>
          <cell r="L108">
            <v>63.451893365992959</v>
          </cell>
          <cell r="M108">
            <v>4.2301262243995303</v>
          </cell>
          <cell r="P108">
            <v>52</v>
          </cell>
          <cell r="Q108">
            <v>15.940277521562297</v>
          </cell>
          <cell r="R108">
            <v>26.567129202603827</v>
          </cell>
          <cell r="S108">
            <v>37.193980883645359</v>
          </cell>
          <cell r="T108">
            <v>47.820832564686889</v>
          </cell>
          <cell r="U108">
            <v>58.447684245728418</v>
          </cell>
          <cell r="V108">
            <v>69.074535926769954</v>
          </cell>
          <cell r="W108">
            <v>79.701387607811483</v>
          </cell>
          <cell r="X108">
            <v>53.134258405207653</v>
          </cell>
          <cell r="Y108">
            <v>5.3134258405207655</v>
          </cell>
          <cell r="AA108">
            <v>52</v>
          </cell>
          <cell r="AB108">
            <v>35.726324143852665</v>
          </cell>
          <cell r="AC108">
            <v>53.589486215778997</v>
          </cell>
          <cell r="AD108">
            <v>71.45264828770533</v>
          </cell>
          <cell r="AE108">
            <v>89.315810359631655</v>
          </cell>
          <cell r="AF108">
            <v>107.17897243155799</v>
          </cell>
          <cell r="AG108">
            <v>35.726324143852665</v>
          </cell>
          <cell r="AK108">
            <v>57.1</v>
          </cell>
          <cell r="AL108">
            <v>35.780684034021952</v>
          </cell>
          <cell r="AM108">
            <v>44.725855042527442</v>
          </cell>
          <cell r="AN108">
            <v>53.671026051032925</v>
          </cell>
          <cell r="AO108">
            <v>62.616197059538415</v>
          </cell>
          <cell r="AP108">
            <v>71.561368068043905</v>
          </cell>
          <cell r="AQ108">
            <v>80.506539076549387</v>
          </cell>
          <cell r="AR108">
            <v>89.451710085054884</v>
          </cell>
          <cell r="AS108">
            <v>67.088782563791156</v>
          </cell>
          <cell r="AT108">
            <v>4.472585504252744</v>
          </cell>
          <cell r="AW108">
            <v>57.1</v>
          </cell>
          <cell r="AX108">
            <v>26.949001919495863</v>
          </cell>
          <cell r="AY108">
            <v>37.728602687294213</v>
          </cell>
          <cell r="AZ108">
            <v>48.508203455092556</v>
          </cell>
          <cell r="BA108">
            <v>59.287804222890905</v>
          </cell>
          <cell r="BB108">
            <v>70.067404990689255</v>
          </cell>
          <cell r="BC108">
            <v>80.847005758487597</v>
          </cell>
          <cell r="BD108">
            <v>53.898003838991727</v>
          </cell>
          <cell r="BE108">
            <v>5.389800383899173</v>
          </cell>
          <cell r="BG108">
            <v>57.1</v>
          </cell>
          <cell r="BH108">
            <v>27.512969707562444</v>
          </cell>
          <cell r="BI108">
            <v>41.269454561343665</v>
          </cell>
          <cell r="BJ108">
            <v>55.025939415124888</v>
          </cell>
          <cell r="BK108">
            <v>68.782424268906112</v>
          </cell>
          <cell r="BL108">
            <v>82.538909122687329</v>
          </cell>
          <cell r="BM108">
            <v>27.512969707562444</v>
          </cell>
          <cell r="BQ108">
            <v>59.45</v>
          </cell>
          <cell r="BR108">
            <v>28.167752127350752</v>
          </cell>
          <cell r="BS108">
            <v>37.557002836467667</v>
          </cell>
          <cell r="BT108">
            <v>46.946253545584582</v>
          </cell>
          <cell r="BU108">
            <v>56.335504254701505</v>
          </cell>
          <cell r="BV108">
            <v>65.724754963818413</v>
          </cell>
          <cell r="BW108">
            <v>75.114005672935335</v>
          </cell>
          <cell r="BX108">
            <v>84.503256382052257</v>
          </cell>
          <cell r="BY108">
            <v>93.892507091169165</v>
          </cell>
          <cell r="BZ108">
            <v>4.6946253545584584</v>
          </cell>
          <cell r="CC108">
            <v>59.45</v>
          </cell>
          <cell r="CD108">
            <v>23.022391771918002</v>
          </cell>
          <cell r="CE108">
            <v>32.231348480685199</v>
          </cell>
          <cell r="CF108">
            <v>41.440305189452403</v>
          </cell>
          <cell r="CG108">
            <v>50.649261898219599</v>
          </cell>
          <cell r="CH108">
            <v>59.858218606986803</v>
          </cell>
          <cell r="CI108">
            <v>69.067175315754</v>
          </cell>
          <cell r="CJ108">
            <v>46.044783543836004</v>
          </cell>
          <cell r="CK108">
            <v>4.6044783543836001</v>
          </cell>
          <cell r="CM108">
            <v>59.45</v>
          </cell>
          <cell r="CN108">
            <v>21.522250400749034</v>
          </cell>
          <cell r="CO108">
            <v>43.044500801498067</v>
          </cell>
          <cell r="CP108">
            <v>64.566751202247104</v>
          </cell>
          <cell r="CQ108">
            <v>86.089001602996134</v>
          </cell>
          <cell r="CR108">
            <v>107.61125200374516</v>
          </cell>
          <cell r="CS108">
            <v>129.13350240449421</v>
          </cell>
          <cell r="CT108">
            <v>43.044500801498067</v>
          </cell>
          <cell r="CX108">
            <v>9.8000000000000007</v>
          </cell>
          <cell r="CY108">
            <v>7.0661165409384665</v>
          </cell>
          <cell r="CZ108">
            <v>8.8326456761730832</v>
          </cell>
          <cell r="DA108">
            <v>10.5991748114077</v>
          </cell>
          <cell r="DB108">
            <v>12.365703946642316</v>
          </cell>
          <cell r="DC108">
            <v>14.132233081876933</v>
          </cell>
          <cell r="DD108">
            <v>15.89876221711155</v>
          </cell>
          <cell r="DE108">
            <v>17.665291352346166</v>
          </cell>
          <cell r="DF108">
            <v>13.248968514259625</v>
          </cell>
          <cell r="DG108">
            <v>0.88326456761730832</v>
          </cell>
          <cell r="DJ108">
            <v>9.8000000000000007</v>
          </cell>
          <cell r="DK108">
            <v>5.1658035409654861</v>
          </cell>
          <cell r="DL108">
            <v>7.2321249573516795</v>
          </cell>
          <cell r="DM108">
            <v>9.2984463737378746</v>
          </cell>
          <cell r="DN108">
            <v>11.364767790124068</v>
          </cell>
          <cell r="DO108">
            <v>13.431089206510263</v>
          </cell>
          <cell r="DP108">
            <v>15.497410622896457</v>
          </cell>
          <cell r="DQ108">
            <v>10.331607081930972</v>
          </cell>
          <cell r="DR108">
            <v>1.0331607081930971</v>
          </cell>
          <cell r="DT108">
            <v>9.8000000000000007</v>
          </cell>
          <cell r="DU108">
            <v>4.4570179462472987</v>
          </cell>
          <cell r="DV108">
            <v>8.9140358924945975</v>
          </cell>
          <cell r="DW108">
            <v>13.371053838741897</v>
          </cell>
          <cell r="DX108">
            <v>17.828071784989195</v>
          </cell>
          <cell r="DY108">
            <v>22.285089731236493</v>
          </cell>
          <cell r="DZ108">
            <v>26.742107677483794</v>
          </cell>
          <cell r="EA108">
            <v>8.9140358924945975</v>
          </cell>
          <cell r="EE108">
            <v>3.1</v>
          </cell>
          <cell r="EF108">
            <v>3.3306809573553249</v>
          </cell>
          <cell r="EG108">
            <v>3.9968171488263895</v>
          </cell>
          <cell r="EH108">
            <v>4.662953340297455</v>
          </cell>
          <cell r="EI108">
            <v>5.3290895317685196</v>
          </cell>
          <cell r="EJ108">
            <v>5.9952257232395842</v>
          </cell>
          <cell r="EK108">
            <v>6.6613619147106498</v>
          </cell>
          <cell r="EL108">
            <v>4.9960214360329873</v>
          </cell>
          <cell r="EM108">
            <v>0.33306809573553248</v>
          </cell>
          <cell r="EP108">
            <v>3.1</v>
          </cell>
          <cell r="EQ108">
            <v>1.4343590358249663</v>
          </cell>
          <cell r="ER108">
            <v>2.008102650154953</v>
          </cell>
          <cell r="ES108">
            <v>2.5818462644849394</v>
          </cell>
          <cell r="ET108">
            <v>3.1555898788149261</v>
          </cell>
          <cell r="EU108">
            <v>3.7293334931449125</v>
          </cell>
          <cell r="EV108">
            <v>4.3030771074748992</v>
          </cell>
          <cell r="EW108">
            <v>2.8687180716499325</v>
          </cell>
          <cell r="EX108">
            <v>0.28687180716499328</v>
          </cell>
          <cell r="EZ108">
            <v>3.1</v>
          </cell>
          <cell r="FA108">
            <v>1.4366448735101724</v>
          </cell>
          <cell r="FB108">
            <v>2.8732897470203449</v>
          </cell>
          <cell r="FC108">
            <v>4.3099346205305178</v>
          </cell>
          <cell r="FD108">
            <v>5.7465794940406898</v>
          </cell>
          <cell r="FE108">
            <v>7.1832243675508618</v>
          </cell>
          <cell r="FF108">
            <v>8.6198692410610356</v>
          </cell>
          <cell r="FG108">
            <v>2.8732897470203449</v>
          </cell>
        </row>
        <row r="109">
          <cell r="A109">
            <v>38656</v>
          </cell>
          <cell r="B109">
            <v>47.1</v>
          </cell>
          <cell r="C109">
            <v>16.73659096653525</v>
          </cell>
          <cell r="D109">
            <v>25.104886449802876</v>
          </cell>
          <cell r="E109">
            <v>33.473181933070499</v>
          </cell>
          <cell r="F109">
            <v>41.841477416338122</v>
          </cell>
          <cell r="G109">
            <v>50.209772899605753</v>
          </cell>
          <cell r="H109">
            <v>58.578068382873376</v>
          </cell>
          <cell r="I109">
            <v>66.946363866140999</v>
          </cell>
          <cell r="J109">
            <v>75.314659349408629</v>
          </cell>
          <cell r="K109">
            <v>83.682954832676245</v>
          </cell>
          <cell r="L109">
            <v>62.762216124507184</v>
          </cell>
          <cell r="M109">
            <v>4.1841477416338124</v>
          </cell>
          <cell r="P109">
            <v>47.1</v>
          </cell>
          <cell r="Q109">
            <v>15.678650750779081</v>
          </cell>
          <cell r="R109">
            <v>26.131084584631804</v>
          </cell>
          <cell r="S109">
            <v>36.583518418484523</v>
          </cell>
          <cell r="T109">
            <v>47.035952252337246</v>
          </cell>
          <cell r="U109">
            <v>57.488386086189969</v>
          </cell>
          <cell r="V109">
            <v>67.940819920042685</v>
          </cell>
          <cell r="W109">
            <v>78.393253753895408</v>
          </cell>
          <cell r="X109">
            <v>52.262169169263608</v>
          </cell>
          <cell r="Y109">
            <v>5.2262169169263606</v>
          </cell>
          <cell r="AA109">
            <v>47.1</v>
          </cell>
          <cell r="AB109">
            <v>35.996562022857177</v>
          </cell>
          <cell r="AC109">
            <v>53.994843034285765</v>
          </cell>
          <cell r="AD109">
            <v>71.993124045714353</v>
          </cell>
          <cell r="AE109">
            <v>89.991405057142941</v>
          </cell>
          <cell r="AF109">
            <v>107.98968606857153</v>
          </cell>
          <cell r="AG109">
            <v>35.996562022857177</v>
          </cell>
          <cell r="AK109">
            <v>52.95</v>
          </cell>
          <cell r="AL109">
            <v>36.088577173739196</v>
          </cell>
          <cell r="AM109">
            <v>45.110721467173995</v>
          </cell>
          <cell r="AN109">
            <v>54.132865760608794</v>
          </cell>
          <cell r="AO109">
            <v>63.155010054043593</v>
          </cell>
          <cell r="AP109">
            <v>72.177154347478393</v>
          </cell>
          <cell r="AQ109">
            <v>81.199298640913184</v>
          </cell>
          <cell r="AR109">
            <v>90.221442934347991</v>
          </cell>
          <cell r="AS109">
            <v>67.666082200760997</v>
          </cell>
          <cell r="AT109">
            <v>4.5110721467173995</v>
          </cell>
          <cell r="AW109">
            <v>52.95</v>
          </cell>
          <cell r="AX109">
            <v>27.292410170920324</v>
          </cell>
          <cell r="AY109">
            <v>38.209374239288451</v>
          </cell>
          <cell r="AZ109">
            <v>49.126338307656582</v>
          </cell>
          <cell r="BA109">
            <v>60.043302376024712</v>
          </cell>
          <cell r="BB109">
            <v>70.960266444392843</v>
          </cell>
          <cell r="BC109">
            <v>81.877230512760974</v>
          </cell>
          <cell r="BD109">
            <v>54.584820341840647</v>
          </cell>
          <cell r="BE109">
            <v>5.4584820341840645</v>
          </cell>
          <cell r="BG109">
            <v>52.95</v>
          </cell>
          <cell r="BH109">
            <v>27.77144340803941</v>
          </cell>
          <cell r="BI109">
            <v>41.657165112059118</v>
          </cell>
          <cell r="BJ109">
            <v>55.54288681607882</v>
          </cell>
          <cell r="BK109">
            <v>69.428608520098521</v>
          </cell>
          <cell r="BL109">
            <v>83.314330224118237</v>
          </cell>
          <cell r="BM109">
            <v>27.77144340803941</v>
          </cell>
          <cell r="BQ109">
            <v>55.5</v>
          </cell>
          <cell r="BR109">
            <v>28.330101787241649</v>
          </cell>
          <cell r="BS109">
            <v>37.773469049655532</v>
          </cell>
          <cell r="BT109">
            <v>47.216836312069418</v>
          </cell>
          <cell r="BU109">
            <v>56.660203574483297</v>
          </cell>
          <cell r="BV109">
            <v>66.103570836897177</v>
          </cell>
          <cell r="BW109">
            <v>75.546938099311063</v>
          </cell>
          <cell r="BX109">
            <v>84.99030536172495</v>
          </cell>
          <cell r="BY109">
            <v>94.433672624138836</v>
          </cell>
          <cell r="BZ109">
            <v>4.7216836312069415</v>
          </cell>
          <cell r="CC109">
            <v>55.5</v>
          </cell>
          <cell r="CD109">
            <v>22.983050820692092</v>
          </cell>
          <cell r="CE109">
            <v>32.176271148968929</v>
          </cell>
          <cell r="CF109">
            <v>41.369491477245766</v>
          </cell>
          <cell r="CG109">
            <v>50.562711805522603</v>
          </cell>
          <cell r="CH109">
            <v>59.75593213379944</v>
          </cell>
          <cell r="CI109">
            <v>68.949152462076285</v>
          </cell>
          <cell r="CJ109">
            <v>45.966101641384185</v>
          </cell>
          <cell r="CK109">
            <v>4.5966101641384185</v>
          </cell>
          <cell r="CM109">
            <v>55.5</v>
          </cell>
          <cell r="CN109">
            <v>21.624146568919208</v>
          </cell>
          <cell r="CO109">
            <v>43.248293137838417</v>
          </cell>
          <cell r="CP109">
            <v>64.872439706757632</v>
          </cell>
          <cell r="CQ109">
            <v>86.496586275676833</v>
          </cell>
          <cell r="CR109">
            <v>108.12073284459603</v>
          </cell>
          <cell r="CS109">
            <v>129.74487941351526</v>
          </cell>
          <cell r="CT109">
            <v>43.248293137838417</v>
          </cell>
          <cell r="CX109">
            <v>9.5500000000000007</v>
          </cell>
          <cell r="CY109">
            <v>7.1399578736930902</v>
          </cell>
          <cell r="CZ109">
            <v>8.9249473421163632</v>
          </cell>
          <cell r="DA109">
            <v>10.709936810539634</v>
          </cell>
          <cell r="DB109">
            <v>12.494926278962907</v>
          </cell>
          <cell r="DC109">
            <v>14.27991574738618</v>
          </cell>
          <cell r="DD109">
            <v>16.064905215809453</v>
          </cell>
          <cell r="DE109">
            <v>17.849894684232726</v>
          </cell>
          <cell r="DF109">
            <v>13.387421013174544</v>
          </cell>
          <cell r="DG109">
            <v>0.89249473421163628</v>
          </cell>
          <cell r="DJ109">
            <v>9.5500000000000007</v>
          </cell>
          <cell r="DK109">
            <v>5.2131557481845814</v>
          </cell>
          <cell r="DL109">
            <v>7.2984180474584139</v>
          </cell>
          <cell r="DM109">
            <v>9.3836803467322465</v>
          </cell>
          <cell r="DN109">
            <v>11.468942646006079</v>
          </cell>
          <cell r="DO109">
            <v>13.554204945279912</v>
          </cell>
          <cell r="DP109">
            <v>15.639467244553744</v>
          </cell>
          <cell r="DQ109">
            <v>10.426311496369163</v>
          </cell>
          <cell r="DR109">
            <v>1.0426311496369163</v>
          </cell>
          <cell r="DT109">
            <v>9.5500000000000007</v>
          </cell>
          <cell r="DU109">
            <v>4.4994528283154889</v>
          </cell>
          <cell r="DV109">
            <v>8.9989056566309777</v>
          </cell>
          <cell r="DW109">
            <v>13.498358484946467</v>
          </cell>
          <cell r="DX109">
            <v>17.997811313261955</v>
          </cell>
          <cell r="DY109">
            <v>22.497264141577446</v>
          </cell>
          <cell r="DZ109">
            <v>26.996716969892933</v>
          </cell>
          <cell r="EA109">
            <v>8.9989056566309777</v>
          </cell>
          <cell r="EE109">
            <v>2.8250000000000002</v>
          </cell>
          <cell r="EF109">
            <v>3.372065476801489</v>
          </cell>
          <cell r="EG109">
            <v>4.0464785721617869</v>
          </cell>
          <cell r="EH109">
            <v>4.7208916675220847</v>
          </cell>
          <cell r="EI109">
            <v>5.3953047628823825</v>
          </cell>
          <cell r="EJ109">
            <v>6.0697178582426803</v>
          </cell>
          <cell r="EK109">
            <v>6.7441309536029781</v>
          </cell>
          <cell r="EL109">
            <v>5.058098215202234</v>
          </cell>
          <cell r="EM109">
            <v>0.3372065476801489</v>
          </cell>
          <cell r="EP109">
            <v>2.8250000000000002</v>
          </cell>
          <cell r="EQ109">
            <v>1.4132763659583014</v>
          </cell>
          <cell r="ER109">
            <v>1.978586912341622</v>
          </cell>
          <cell r="ES109">
            <v>2.5438974587249428</v>
          </cell>
          <cell r="ET109">
            <v>3.1092080051082629</v>
          </cell>
          <cell r="EU109">
            <v>3.6745185514915839</v>
          </cell>
          <cell r="EV109">
            <v>4.239829097874904</v>
          </cell>
          <cell r="EW109">
            <v>2.8265527319166028</v>
          </cell>
          <cell r="EX109">
            <v>0.28265527319166028</v>
          </cell>
          <cell r="EZ109">
            <v>2.8250000000000002</v>
          </cell>
          <cell r="FA109">
            <v>1.4514378284237235</v>
          </cell>
          <cell r="FB109">
            <v>2.902875656847447</v>
          </cell>
          <cell r="FC109">
            <v>4.3543134852711702</v>
          </cell>
          <cell r="FD109">
            <v>5.8057513136948939</v>
          </cell>
          <cell r="FE109">
            <v>7.2571891421186177</v>
          </cell>
          <cell r="FF109">
            <v>8.7086269705423405</v>
          </cell>
          <cell r="FG109">
            <v>2.902875656847447</v>
          </cell>
        </row>
        <row r="110">
          <cell r="A110">
            <v>38686</v>
          </cell>
          <cell r="B110">
            <v>53.65</v>
          </cell>
          <cell r="C110">
            <v>16.552677035472378</v>
          </cell>
          <cell r="D110">
            <v>24.829015553208567</v>
          </cell>
          <cell r="E110">
            <v>33.105354070944756</v>
          </cell>
          <cell r="F110">
            <v>41.381692588680949</v>
          </cell>
          <cell r="G110">
            <v>49.658031106417134</v>
          </cell>
          <cell r="H110">
            <v>57.934369624153319</v>
          </cell>
          <cell r="I110">
            <v>66.210708141889512</v>
          </cell>
          <cell r="J110">
            <v>74.487046659625705</v>
          </cell>
          <cell r="K110">
            <v>82.763385177361897</v>
          </cell>
          <cell r="L110">
            <v>62.072538883021416</v>
          </cell>
          <cell r="M110">
            <v>4.1381692588680945</v>
          </cell>
          <cell r="P110">
            <v>53.65</v>
          </cell>
          <cell r="Q110">
            <v>15.417023979995868</v>
          </cell>
          <cell r="R110">
            <v>25.695039966659778</v>
          </cell>
          <cell r="S110">
            <v>35.973055953323687</v>
          </cell>
          <cell r="T110">
            <v>46.251071939987604</v>
          </cell>
          <cell r="U110">
            <v>56.529087926651513</v>
          </cell>
          <cell r="V110">
            <v>66.80710391331543</v>
          </cell>
          <cell r="W110">
            <v>77.085119899979333</v>
          </cell>
          <cell r="X110">
            <v>51.390079933319555</v>
          </cell>
          <cell r="Y110">
            <v>5.1390079933319557</v>
          </cell>
          <cell r="AA110">
            <v>53.65</v>
          </cell>
          <cell r="AB110">
            <v>36.266799901861688</v>
          </cell>
          <cell r="AC110">
            <v>54.400199852792532</v>
          </cell>
          <cell r="AD110">
            <v>72.533599803723376</v>
          </cell>
          <cell r="AE110">
            <v>90.666999754654228</v>
          </cell>
          <cell r="AF110">
            <v>108.80039970558506</v>
          </cell>
          <cell r="AG110">
            <v>36.266799901861688</v>
          </cell>
          <cell r="AK110">
            <v>53.8</v>
          </cell>
          <cell r="AL110">
            <v>36.39647031345644</v>
          </cell>
          <cell r="AM110">
            <v>45.495587891820549</v>
          </cell>
          <cell r="AN110">
            <v>54.594705470184664</v>
          </cell>
          <cell r="AO110">
            <v>63.693823048548772</v>
          </cell>
          <cell r="AP110">
            <v>72.79294062691288</v>
          </cell>
          <cell r="AQ110">
            <v>81.892058205276996</v>
          </cell>
          <cell r="AR110">
            <v>90.991175783641097</v>
          </cell>
          <cell r="AS110">
            <v>68.243381837730823</v>
          </cell>
          <cell r="AT110">
            <v>4.549558789182055</v>
          </cell>
          <cell r="AW110">
            <v>53.8</v>
          </cell>
          <cell r="AX110">
            <v>27.63581842234478</v>
          </cell>
          <cell r="AY110">
            <v>38.690145791282688</v>
          </cell>
          <cell r="AZ110">
            <v>49.744473160220608</v>
          </cell>
          <cell r="BA110">
            <v>60.798800529158513</v>
          </cell>
          <cell r="BB110">
            <v>71.853127898096432</v>
          </cell>
          <cell r="BC110">
            <v>82.907455267034337</v>
          </cell>
          <cell r="BD110">
            <v>55.27163684468956</v>
          </cell>
          <cell r="BE110">
            <v>5.527163684468956</v>
          </cell>
          <cell r="BG110">
            <v>53.8</v>
          </cell>
          <cell r="BH110">
            <v>28.029917108516376</v>
          </cell>
          <cell r="BI110">
            <v>42.044875662774565</v>
          </cell>
          <cell r="BJ110">
            <v>56.059834217032751</v>
          </cell>
          <cell r="BK110">
            <v>70.074792771290944</v>
          </cell>
          <cell r="BL110">
            <v>84.08975132554913</v>
          </cell>
          <cell r="BM110">
            <v>28.029917108516376</v>
          </cell>
          <cell r="BQ110">
            <v>58</v>
          </cell>
          <cell r="BR110">
            <v>28.492451447132545</v>
          </cell>
          <cell r="BS110">
            <v>37.989935262843396</v>
          </cell>
          <cell r="BT110">
            <v>47.487419078554247</v>
          </cell>
          <cell r="BU110">
            <v>56.98490289426509</v>
          </cell>
          <cell r="BV110">
            <v>66.482386709975941</v>
          </cell>
          <cell r="BW110">
            <v>75.979870525686792</v>
          </cell>
          <cell r="BX110">
            <v>85.477354341397643</v>
          </cell>
          <cell r="BY110">
            <v>94.974838157108493</v>
          </cell>
          <cell r="BZ110">
            <v>4.7487419078554245</v>
          </cell>
          <cell r="CC110">
            <v>58</v>
          </cell>
          <cell r="CD110">
            <v>22.943709869466183</v>
          </cell>
          <cell r="CE110">
            <v>32.12119381725266</v>
          </cell>
          <cell r="CF110">
            <v>41.29867776503913</v>
          </cell>
          <cell r="CG110">
            <v>50.476161712825608</v>
          </cell>
          <cell r="CH110">
            <v>59.653645660612078</v>
          </cell>
          <cell r="CI110">
            <v>68.831129608398555</v>
          </cell>
          <cell r="CJ110">
            <v>45.887419738932365</v>
          </cell>
          <cell r="CK110">
            <v>4.5887419738932369</v>
          </cell>
          <cell r="CM110">
            <v>58</v>
          </cell>
          <cell r="CN110">
            <v>21.726042737089383</v>
          </cell>
          <cell r="CO110">
            <v>43.452085474178766</v>
          </cell>
          <cell r="CP110">
            <v>65.178128211268145</v>
          </cell>
          <cell r="CQ110">
            <v>86.904170948357532</v>
          </cell>
          <cell r="CR110">
            <v>108.63021368544692</v>
          </cell>
          <cell r="CS110">
            <v>130.35625642253629</v>
          </cell>
          <cell r="CT110">
            <v>43.452085474178766</v>
          </cell>
          <cell r="CX110">
            <v>9.6</v>
          </cell>
          <cell r="CY110">
            <v>7.2137992064477139</v>
          </cell>
          <cell r="CZ110">
            <v>9.0172490080596432</v>
          </cell>
          <cell r="DA110">
            <v>10.820698809671571</v>
          </cell>
          <cell r="DB110">
            <v>12.624148611283498</v>
          </cell>
          <cell r="DC110">
            <v>14.427598412895428</v>
          </cell>
          <cell r="DD110">
            <v>16.231048214507357</v>
          </cell>
          <cell r="DE110">
            <v>18.034498016119286</v>
          </cell>
          <cell r="DF110">
            <v>13.525873512089463</v>
          </cell>
          <cell r="DG110">
            <v>0.90172490080596424</v>
          </cell>
          <cell r="DJ110">
            <v>9.6</v>
          </cell>
          <cell r="DK110">
            <v>5.2605079554036767</v>
          </cell>
          <cell r="DL110">
            <v>7.3647111375651484</v>
          </cell>
          <cell r="DM110">
            <v>9.4689143197266183</v>
          </cell>
          <cell r="DN110">
            <v>11.57311750188809</v>
          </cell>
          <cell r="DO110">
            <v>13.67732068404956</v>
          </cell>
          <cell r="DP110">
            <v>15.781523866211032</v>
          </cell>
          <cell r="DQ110">
            <v>10.521015910807353</v>
          </cell>
          <cell r="DR110">
            <v>1.0521015910807354</v>
          </cell>
          <cell r="DT110">
            <v>9.6</v>
          </cell>
          <cell r="DU110">
            <v>4.541887710383679</v>
          </cell>
          <cell r="DV110">
            <v>9.083775420767358</v>
          </cell>
          <cell r="DW110">
            <v>13.625663131151036</v>
          </cell>
          <cell r="DX110">
            <v>18.167550841534716</v>
          </cell>
          <cell r="DY110">
            <v>22.709438551918396</v>
          </cell>
          <cell r="DZ110">
            <v>27.251326262302072</v>
          </cell>
          <cell r="EA110">
            <v>9.083775420767358</v>
          </cell>
          <cell r="EE110">
            <v>2.9249999999999998</v>
          </cell>
          <cell r="EF110">
            <v>3.4134499962476532</v>
          </cell>
          <cell r="EG110">
            <v>4.0961399954971842</v>
          </cell>
          <cell r="EH110">
            <v>4.7788299947467143</v>
          </cell>
          <cell r="EI110">
            <v>5.4615199939962453</v>
          </cell>
          <cell r="EJ110">
            <v>6.1442099932457763</v>
          </cell>
          <cell r="EK110">
            <v>6.8268999924953064</v>
          </cell>
          <cell r="EL110">
            <v>5.1201749943714798</v>
          </cell>
          <cell r="EM110">
            <v>0.34134499962476533</v>
          </cell>
          <cell r="EP110">
            <v>2.9249999999999998</v>
          </cell>
          <cell r="EQ110">
            <v>1.3921936960916366</v>
          </cell>
          <cell r="ER110">
            <v>1.9490711745282909</v>
          </cell>
          <cell r="ES110">
            <v>2.5059486529649457</v>
          </cell>
          <cell r="ET110">
            <v>3.0628261314016001</v>
          </cell>
          <cell r="EU110">
            <v>3.6197036098382549</v>
          </cell>
          <cell r="EV110">
            <v>4.1765810882749097</v>
          </cell>
          <cell r="EW110">
            <v>2.7843873921832731</v>
          </cell>
          <cell r="EX110">
            <v>0.27843873921832729</v>
          </cell>
          <cell r="EZ110">
            <v>2.9249999999999998</v>
          </cell>
          <cell r="FA110">
            <v>1.4662307833372745</v>
          </cell>
          <cell r="FB110">
            <v>2.932461566674549</v>
          </cell>
          <cell r="FC110">
            <v>4.3986923500118236</v>
          </cell>
          <cell r="FD110">
            <v>5.8649231333490981</v>
          </cell>
          <cell r="FE110">
            <v>7.3311539166863726</v>
          </cell>
          <cell r="FF110">
            <v>8.7973847000236471</v>
          </cell>
          <cell r="FG110">
            <v>2.932461566674549</v>
          </cell>
        </row>
        <row r="111">
          <cell r="A111">
            <v>38717</v>
          </cell>
          <cell r="B111">
            <v>52.5</v>
          </cell>
          <cell r="C111">
            <v>16.368763104409506</v>
          </cell>
          <cell r="D111">
            <v>24.553144656614258</v>
          </cell>
          <cell r="E111">
            <v>32.737526208819013</v>
          </cell>
          <cell r="F111">
            <v>40.921907761023768</v>
          </cell>
          <cell r="G111">
            <v>49.106289313228515</v>
          </cell>
          <cell r="H111">
            <v>57.29067086543327</v>
          </cell>
          <cell r="I111">
            <v>65.475052417638025</v>
          </cell>
          <cell r="J111">
            <v>73.65943396984278</v>
          </cell>
          <cell r="K111">
            <v>81.843815522047535</v>
          </cell>
          <cell r="L111">
            <v>61.382861641535648</v>
          </cell>
          <cell r="M111">
            <v>4.0921907761023766</v>
          </cell>
          <cell r="P111">
            <v>53.9</v>
          </cell>
          <cell r="Q111">
            <v>15.155397209212648</v>
          </cell>
          <cell r="R111">
            <v>25.258995348687744</v>
          </cell>
          <cell r="S111">
            <v>35.362593488162844</v>
          </cell>
          <cell r="T111">
            <v>45.46619162763794</v>
          </cell>
          <cell r="U111">
            <v>55.569789767113036</v>
          </cell>
          <cell r="V111">
            <v>65.673387906588133</v>
          </cell>
          <cell r="W111">
            <v>75.776986046063229</v>
          </cell>
          <cell r="X111">
            <v>50.517990697375488</v>
          </cell>
          <cell r="Y111">
            <v>5.051799069737549</v>
          </cell>
          <cell r="AA111">
            <v>52.5</v>
          </cell>
          <cell r="AB111">
            <v>36.537037780866164</v>
          </cell>
          <cell r="AC111">
            <v>54.805556671299243</v>
          </cell>
          <cell r="AD111">
            <v>73.074075561732329</v>
          </cell>
          <cell r="AE111">
            <v>91.342594452165415</v>
          </cell>
          <cell r="AF111">
            <v>109.61111334259849</v>
          </cell>
          <cell r="AG111">
            <v>36.537037780866164</v>
          </cell>
          <cell r="AK111">
            <v>55.8</v>
          </cell>
          <cell r="AL111">
            <v>36.704363453173663</v>
          </cell>
          <cell r="AM111">
            <v>45.88045431646708</v>
          </cell>
          <cell r="AN111">
            <v>55.056545179760491</v>
          </cell>
          <cell r="AO111">
            <v>64.232636043053915</v>
          </cell>
          <cell r="AP111">
            <v>73.408726906347326</v>
          </cell>
          <cell r="AQ111">
            <v>82.584817769640736</v>
          </cell>
          <cell r="AR111">
            <v>91.760908632934161</v>
          </cell>
          <cell r="AS111">
            <v>68.820681474700621</v>
          </cell>
          <cell r="AT111">
            <v>4.5880454316467079</v>
          </cell>
          <cell r="AW111">
            <v>55.8</v>
          </cell>
          <cell r="AX111">
            <v>27.979226673769237</v>
          </cell>
          <cell r="AY111">
            <v>39.170917343276933</v>
          </cell>
          <cell r="AZ111">
            <v>50.362608012784627</v>
          </cell>
          <cell r="BA111">
            <v>61.55429868229232</v>
          </cell>
          <cell r="BB111">
            <v>72.74598935180002</v>
          </cell>
          <cell r="BC111">
            <v>83.937680021307713</v>
          </cell>
          <cell r="BD111">
            <v>55.958453347538473</v>
          </cell>
          <cell r="BE111">
            <v>5.5958453347538475</v>
          </cell>
          <cell r="BG111">
            <v>55.8</v>
          </cell>
          <cell r="BH111">
            <v>28.288390808993334</v>
          </cell>
          <cell r="BI111">
            <v>42.432586213489998</v>
          </cell>
          <cell r="BJ111">
            <v>56.576781617986668</v>
          </cell>
          <cell r="BK111">
            <v>70.720977022483339</v>
          </cell>
          <cell r="BL111">
            <v>84.865172426979996</v>
          </cell>
          <cell r="BM111">
            <v>28.288390808993334</v>
          </cell>
          <cell r="BQ111">
            <v>60</v>
          </cell>
          <cell r="BR111">
            <v>28.654801107023466</v>
          </cell>
          <cell r="BS111">
            <v>38.206401476031289</v>
          </cell>
          <cell r="BT111">
            <v>47.758001845039111</v>
          </cell>
          <cell r="BU111">
            <v>57.309602214046933</v>
          </cell>
          <cell r="BV111">
            <v>66.861202583054762</v>
          </cell>
          <cell r="BW111">
            <v>76.412802952062577</v>
          </cell>
          <cell r="BX111">
            <v>85.964403321070392</v>
          </cell>
          <cell r="BY111">
            <v>95.516003690078222</v>
          </cell>
          <cell r="BZ111">
            <v>4.7758001845039111</v>
          </cell>
          <cell r="CC111">
            <v>60</v>
          </cell>
          <cell r="CD111">
            <v>22.904368918240301</v>
          </cell>
          <cell r="CE111">
            <v>32.066116485536426</v>
          </cell>
          <cell r="CF111">
            <v>41.227864052832544</v>
          </cell>
          <cell r="CG111">
            <v>50.389611620128669</v>
          </cell>
          <cell r="CH111">
            <v>59.551359187424787</v>
          </cell>
          <cell r="CI111">
            <v>68.713106754720911</v>
          </cell>
          <cell r="CJ111">
            <v>45.808737836480603</v>
          </cell>
          <cell r="CK111">
            <v>4.5808737836480606</v>
          </cell>
          <cell r="CM111">
            <v>60</v>
          </cell>
          <cell r="CN111">
            <v>21.827938905259568</v>
          </cell>
          <cell r="CO111">
            <v>43.655877810519137</v>
          </cell>
          <cell r="CP111">
            <v>65.483816715778701</v>
          </cell>
          <cell r="CQ111">
            <v>87.311755621038273</v>
          </cell>
          <cell r="CR111">
            <v>109.13969452629784</v>
          </cell>
          <cell r="CS111">
            <v>130.9676334315574</v>
          </cell>
          <cell r="CT111">
            <v>43.655877810519137</v>
          </cell>
          <cell r="CX111">
            <v>9.5</v>
          </cell>
          <cell r="CY111">
            <v>7.287640539202342</v>
          </cell>
          <cell r="CZ111">
            <v>9.1095506740029268</v>
          </cell>
          <cell r="DA111">
            <v>10.931460808803513</v>
          </cell>
          <cell r="DB111">
            <v>12.753370943604098</v>
          </cell>
          <cell r="DC111">
            <v>14.575281078404684</v>
          </cell>
          <cell r="DD111">
            <v>16.397191213205268</v>
          </cell>
          <cell r="DE111">
            <v>18.219101348005854</v>
          </cell>
          <cell r="DF111">
            <v>13.664326011004391</v>
          </cell>
          <cell r="DG111">
            <v>0.91095506740029275</v>
          </cell>
          <cell r="DJ111">
            <v>9.5</v>
          </cell>
          <cell r="DK111">
            <v>5.3078601626227719</v>
          </cell>
          <cell r="DL111">
            <v>7.4310042276718802</v>
          </cell>
          <cell r="DM111">
            <v>9.5541482927209884</v>
          </cell>
          <cell r="DN111">
            <v>11.677292357770098</v>
          </cell>
          <cell r="DO111">
            <v>13.800436422819207</v>
          </cell>
          <cell r="DP111">
            <v>15.923580487868316</v>
          </cell>
          <cell r="DQ111">
            <v>10.615720325245544</v>
          </cell>
          <cell r="DR111">
            <v>1.0615720325245543</v>
          </cell>
          <cell r="DT111">
            <v>9.5</v>
          </cell>
          <cell r="DU111">
            <v>4.5843225924518727</v>
          </cell>
          <cell r="DV111">
            <v>9.1686451849037454</v>
          </cell>
          <cell r="DW111">
            <v>13.752967777355618</v>
          </cell>
          <cell r="DX111">
            <v>18.337290369807491</v>
          </cell>
          <cell r="DY111">
            <v>22.921612962259363</v>
          </cell>
          <cell r="DZ111">
            <v>27.505935554711236</v>
          </cell>
          <cell r="EA111">
            <v>9.1686451849037454</v>
          </cell>
          <cell r="EE111">
            <v>2.875</v>
          </cell>
          <cell r="EF111">
            <v>3.4548345156938174</v>
          </cell>
          <cell r="EG111">
            <v>4.1458014188325816</v>
          </cell>
          <cell r="EH111">
            <v>4.8367683219713449</v>
          </cell>
          <cell r="EI111">
            <v>5.5277352251101082</v>
          </cell>
          <cell r="EJ111">
            <v>6.2187021282488715</v>
          </cell>
          <cell r="EK111">
            <v>6.9096690313876348</v>
          </cell>
          <cell r="EL111">
            <v>5.1822517735407265</v>
          </cell>
          <cell r="EM111">
            <v>0.34548345156938176</v>
          </cell>
          <cell r="EP111">
            <v>2.875</v>
          </cell>
          <cell r="EQ111">
            <v>1.3711110262249724</v>
          </cell>
          <cell r="ER111">
            <v>1.9195554367149612</v>
          </cell>
          <cell r="ES111">
            <v>2.46799984720495</v>
          </cell>
          <cell r="ET111">
            <v>3.0164442576949391</v>
          </cell>
          <cell r="EU111">
            <v>3.5648886681849281</v>
          </cell>
          <cell r="EV111">
            <v>4.1133330786749172</v>
          </cell>
          <cell r="EW111">
            <v>2.7422220524499448</v>
          </cell>
          <cell r="EX111">
            <v>0.27422220524499447</v>
          </cell>
          <cell r="EZ111">
            <v>2.875</v>
          </cell>
          <cell r="FA111">
            <v>1.481023738250826</v>
          </cell>
          <cell r="FB111">
            <v>2.962047476501652</v>
          </cell>
          <cell r="FC111">
            <v>4.4430712147524778</v>
          </cell>
          <cell r="FD111">
            <v>5.924094953003304</v>
          </cell>
          <cell r="FE111">
            <v>7.4051186912541302</v>
          </cell>
          <cell r="FF111">
            <v>8.8861424295049556</v>
          </cell>
          <cell r="FG111">
            <v>2.962047476501652</v>
          </cell>
        </row>
        <row r="112">
          <cell r="A112">
            <v>38748</v>
          </cell>
          <cell r="B112">
            <v>52.5</v>
          </cell>
          <cell r="C112">
            <v>16.60114090268544</v>
          </cell>
          <cell r="D112">
            <v>24.901711354028158</v>
          </cell>
          <cell r="E112">
            <v>33.20228180537088</v>
          </cell>
          <cell r="F112">
            <v>41.502852256713602</v>
          </cell>
          <cell r="G112">
            <v>49.803422708056317</v>
          </cell>
          <cell r="H112">
            <v>58.103993159399039</v>
          </cell>
          <cell r="I112">
            <v>66.404563610741761</v>
          </cell>
          <cell r="J112">
            <v>74.705134062084483</v>
          </cell>
          <cell r="K112">
            <v>83.005704513427204</v>
          </cell>
          <cell r="L112">
            <v>62.2542783850704</v>
          </cell>
          <cell r="M112">
            <v>4.15028522567136</v>
          </cell>
          <cell r="P112">
            <v>54.65</v>
          </cell>
          <cell r="Q112">
            <v>15.701239487008337</v>
          </cell>
          <cell r="R112">
            <v>26.168732478347231</v>
          </cell>
          <cell r="S112">
            <v>36.636225469686124</v>
          </cell>
          <cell r="T112">
            <v>47.103718461025011</v>
          </cell>
          <cell r="U112">
            <v>57.571211452363904</v>
          </cell>
          <cell r="V112">
            <v>68.038704443702798</v>
          </cell>
          <cell r="W112">
            <v>78.506197435041685</v>
          </cell>
          <cell r="X112">
            <v>52.337464956694461</v>
          </cell>
          <cell r="Y112">
            <v>5.2337464956694459</v>
          </cell>
          <cell r="AA112">
            <v>52.5</v>
          </cell>
          <cell r="AB112">
            <v>36.8752290862395</v>
          </cell>
          <cell r="AC112">
            <v>55.31284362935925</v>
          </cell>
          <cell r="AD112">
            <v>73.750458172479</v>
          </cell>
          <cell r="AE112">
            <v>92.18807271559875</v>
          </cell>
          <cell r="AF112">
            <v>110.6256872587185</v>
          </cell>
          <cell r="AG112">
            <v>36.8752290862395</v>
          </cell>
          <cell r="AK112">
            <v>56.1</v>
          </cell>
          <cell r="AL112">
            <v>37.447494343092863</v>
          </cell>
          <cell r="AM112">
            <v>46.809367928866081</v>
          </cell>
          <cell r="AN112">
            <v>56.171241514639291</v>
          </cell>
          <cell r="AO112">
            <v>65.533115100412516</v>
          </cell>
          <cell r="AP112">
            <v>74.894988686185727</v>
          </cell>
          <cell r="AQ112">
            <v>84.256862271958937</v>
          </cell>
          <cell r="AR112">
            <v>93.618735857732162</v>
          </cell>
          <cell r="AS112">
            <v>70.214051893299114</v>
          </cell>
          <cell r="AT112">
            <v>4.6809367928866079</v>
          </cell>
          <cell r="AW112">
            <v>56.1</v>
          </cell>
          <cell r="AX112">
            <v>28.489818899914674</v>
          </cell>
          <cell r="AY112">
            <v>39.885746459880544</v>
          </cell>
          <cell r="AZ112">
            <v>51.281674019846413</v>
          </cell>
          <cell r="BA112">
            <v>62.677601579812283</v>
          </cell>
          <cell r="BB112">
            <v>74.073529139778145</v>
          </cell>
          <cell r="BC112">
            <v>85.469456699744029</v>
          </cell>
          <cell r="BD112">
            <v>56.979637799829348</v>
          </cell>
          <cell r="BE112">
            <v>5.6979637799829348</v>
          </cell>
          <cell r="BG112">
            <v>56.1</v>
          </cell>
          <cell r="BH112">
            <v>28.531465922805928</v>
          </cell>
          <cell r="BI112">
            <v>42.797198884208896</v>
          </cell>
          <cell r="BJ112">
            <v>57.062931845611857</v>
          </cell>
          <cell r="BK112">
            <v>71.328664807014817</v>
          </cell>
          <cell r="BL112">
            <v>85.594397768417792</v>
          </cell>
          <cell r="BM112">
            <v>28.531465922805928</v>
          </cell>
          <cell r="BQ112">
            <v>61</v>
          </cell>
          <cell r="BR112">
            <v>28.758080092958004</v>
          </cell>
          <cell r="BS112">
            <v>38.344106790610674</v>
          </cell>
          <cell r="BT112">
            <v>47.930133488263344</v>
          </cell>
          <cell r="BU112">
            <v>57.516160185916007</v>
          </cell>
          <cell r="BV112">
            <v>67.102186883568677</v>
          </cell>
          <cell r="BW112">
            <v>76.688213581221348</v>
          </cell>
          <cell r="BX112">
            <v>86.274240278874018</v>
          </cell>
          <cell r="BY112">
            <v>95.860266976526688</v>
          </cell>
          <cell r="BZ112">
            <v>4.7930133488263342</v>
          </cell>
          <cell r="CC112">
            <v>61</v>
          </cell>
          <cell r="CD112">
            <v>23.524480982852779</v>
          </cell>
          <cell r="CE112">
            <v>32.934273375993889</v>
          </cell>
          <cell r="CF112">
            <v>42.344065769135007</v>
          </cell>
          <cell r="CG112">
            <v>51.753858162276117</v>
          </cell>
          <cell r="CH112">
            <v>61.163650555417227</v>
          </cell>
          <cell r="CI112">
            <v>70.573442948558338</v>
          </cell>
          <cell r="CJ112">
            <v>47.048961965705558</v>
          </cell>
          <cell r="CK112">
            <v>4.704896196570556</v>
          </cell>
          <cell r="CM112">
            <v>61</v>
          </cell>
          <cell r="CN112">
            <v>21.95679183129463</v>
          </cell>
          <cell r="CO112">
            <v>43.913583662589261</v>
          </cell>
          <cell r="CP112">
            <v>65.870375493883898</v>
          </cell>
          <cell r="CQ112">
            <v>87.827167325178522</v>
          </cell>
          <cell r="CR112">
            <v>109.78395915647314</v>
          </cell>
          <cell r="CS112">
            <v>131.7407509877678</v>
          </cell>
          <cell r="CT112">
            <v>43.913583662589261</v>
          </cell>
          <cell r="CX112">
            <v>10.050000000000001</v>
          </cell>
          <cell r="CY112">
            <v>7.3640067907470117</v>
          </cell>
          <cell r="CZ112">
            <v>9.205008488433764</v>
          </cell>
          <cell r="DA112">
            <v>11.046010186120517</v>
          </cell>
          <cell r="DB112">
            <v>12.88701188380727</v>
          </cell>
          <cell r="DC112">
            <v>14.728013581494023</v>
          </cell>
          <cell r="DD112">
            <v>16.569015279180775</v>
          </cell>
          <cell r="DE112">
            <v>18.410016976867528</v>
          </cell>
          <cell r="DF112">
            <v>13.807512732650647</v>
          </cell>
          <cell r="DG112">
            <v>0.92050084884337646</v>
          </cell>
          <cell r="DJ112">
            <v>10.050000000000001</v>
          </cell>
          <cell r="DK112">
            <v>5.428541871669891</v>
          </cell>
          <cell r="DL112">
            <v>7.5999586203378469</v>
          </cell>
          <cell r="DM112">
            <v>9.7713753690058027</v>
          </cell>
          <cell r="DN112">
            <v>11.942792117673759</v>
          </cell>
          <cell r="DO112">
            <v>14.114208866341716</v>
          </cell>
          <cell r="DP112">
            <v>16.285625615009671</v>
          </cell>
          <cell r="DQ112">
            <v>10.857083743339782</v>
          </cell>
          <cell r="DR112">
            <v>1.0857083743339782</v>
          </cell>
          <cell r="DT112">
            <v>10.050000000000001</v>
          </cell>
          <cell r="DU112">
            <v>4.592076090539762</v>
          </cell>
          <cell r="DV112">
            <v>9.1841521810795239</v>
          </cell>
          <cell r="DW112">
            <v>13.776228271619285</v>
          </cell>
          <cell r="DX112">
            <v>18.368304362159048</v>
          </cell>
          <cell r="DY112">
            <v>22.960380452698811</v>
          </cell>
          <cell r="DZ112">
            <v>27.55245654323857</v>
          </cell>
          <cell r="EA112">
            <v>9.1841521810795239</v>
          </cell>
          <cell r="EE112">
            <v>3.125</v>
          </cell>
          <cell r="EF112">
            <v>3.4256938069246727</v>
          </cell>
          <cell r="EG112">
            <v>4.1108325683096076</v>
          </cell>
          <cell r="EH112">
            <v>4.7959713296945417</v>
          </cell>
          <cell r="EI112">
            <v>5.4811100910794766</v>
          </cell>
          <cell r="EJ112">
            <v>6.1662488524644115</v>
          </cell>
          <cell r="EK112">
            <v>6.8513876138493455</v>
          </cell>
          <cell r="EL112">
            <v>5.1385407103870095</v>
          </cell>
          <cell r="EM112">
            <v>0.34256938069246728</v>
          </cell>
          <cell r="EP112">
            <v>3.125</v>
          </cell>
          <cell r="EQ112">
            <v>1.3849354904456026</v>
          </cell>
          <cell r="ER112">
            <v>1.9389096866238438</v>
          </cell>
          <cell r="ES112">
            <v>2.4928838828020847</v>
          </cell>
          <cell r="ET112">
            <v>3.0468580789803257</v>
          </cell>
          <cell r="EU112">
            <v>3.6008322751585671</v>
          </cell>
          <cell r="EV112">
            <v>4.1548064713368076</v>
          </cell>
          <cell r="EW112">
            <v>2.7698709808912052</v>
          </cell>
          <cell r="EX112">
            <v>0.27698709808912053</v>
          </cell>
          <cell r="EZ112">
            <v>3.125</v>
          </cell>
          <cell r="FA112">
            <v>1.4793563683542437</v>
          </cell>
          <cell r="FB112">
            <v>2.9587127367084873</v>
          </cell>
          <cell r="FC112">
            <v>4.4380691050627306</v>
          </cell>
          <cell r="FD112">
            <v>5.9174254734169747</v>
          </cell>
          <cell r="FE112">
            <v>7.3967818417712188</v>
          </cell>
          <cell r="FF112">
            <v>8.8761382101254611</v>
          </cell>
          <cell r="FG112">
            <v>2.9587127367084873</v>
          </cell>
        </row>
        <row r="113">
          <cell r="A113">
            <v>38776</v>
          </cell>
          <cell r="B113">
            <v>52.5</v>
          </cell>
          <cell r="C113">
            <v>16.833518700961374</v>
          </cell>
          <cell r="D113">
            <v>25.250278051442059</v>
          </cell>
          <cell r="E113">
            <v>33.667037401922748</v>
          </cell>
          <cell r="F113">
            <v>42.083796752403437</v>
          </cell>
          <cell r="G113">
            <v>50.500556102884119</v>
          </cell>
          <cell r="H113">
            <v>58.917315453364807</v>
          </cell>
          <cell r="I113">
            <v>67.334074803845496</v>
          </cell>
          <cell r="J113">
            <v>75.750834154326185</v>
          </cell>
          <cell r="K113">
            <v>84.167593504806874</v>
          </cell>
          <cell r="L113">
            <v>63.125695128605152</v>
          </cell>
          <cell r="M113">
            <v>4.2083796752403435</v>
          </cell>
          <cell r="P113">
            <v>54.65</v>
          </cell>
          <cell r="Q113">
            <v>16.24708176480403</v>
          </cell>
          <cell r="R113">
            <v>27.078469608006714</v>
          </cell>
          <cell r="S113">
            <v>37.909857451209398</v>
          </cell>
          <cell r="T113">
            <v>48.741245294412089</v>
          </cell>
          <cell r="U113">
            <v>59.572633137614773</v>
          </cell>
          <cell r="V113">
            <v>70.404020980817464</v>
          </cell>
          <cell r="W113">
            <v>81.235408824020141</v>
          </cell>
          <cell r="X113">
            <v>54.156939216013427</v>
          </cell>
          <cell r="Y113">
            <v>5.4156939216013429</v>
          </cell>
          <cell r="AA113">
            <v>52.5</v>
          </cell>
          <cell r="AB113">
            <v>37.213420391612843</v>
          </cell>
          <cell r="AC113">
            <v>55.820130587419264</v>
          </cell>
          <cell r="AD113">
            <v>74.426840783225686</v>
          </cell>
          <cell r="AE113">
            <v>93.0335509790321</v>
          </cell>
          <cell r="AF113">
            <v>111.64026117483853</v>
          </cell>
          <cell r="AG113">
            <v>37.213420391612843</v>
          </cell>
          <cell r="AK113">
            <v>59.85</v>
          </cell>
          <cell r="AL113">
            <v>38.190625233012064</v>
          </cell>
          <cell r="AM113">
            <v>47.738281541265081</v>
          </cell>
          <cell r="AN113">
            <v>57.285937849518092</v>
          </cell>
          <cell r="AO113">
            <v>66.833594157771117</v>
          </cell>
          <cell r="AP113">
            <v>76.381250466024127</v>
          </cell>
          <cell r="AQ113">
            <v>85.928906774277138</v>
          </cell>
          <cell r="AR113">
            <v>95.476563082530163</v>
          </cell>
          <cell r="AS113">
            <v>71.607422311897622</v>
          </cell>
          <cell r="AT113">
            <v>4.773828154126508</v>
          </cell>
          <cell r="AW113">
            <v>59.85</v>
          </cell>
          <cell r="AX113">
            <v>29.000411126060111</v>
          </cell>
          <cell r="AY113">
            <v>40.600575576484154</v>
          </cell>
          <cell r="AZ113">
            <v>52.2007400269082</v>
          </cell>
          <cell r="BA113">
            <v>63.800904477332246</v>
          </cell>
          <cell r="BB113">
            <v>75.401068927756285</v>
          </cell>
          <cell r="BC113">
            <v>87.001233378180331</v>
          </cell>
          <cell r="BD113">
            <v>58.000822252120223</v>
          </cell>
          <cell r="BE113">
            <v>5.8000822252120221</v>
          </cell>
          <cell r="BG113">
            <v>59.85</v>
          </cell>
          <cell r="BH113">
            <v>28.774541036618523</v>
          </cell>
          <cell r="BI113">
            <v>43.16181155492778</v>
          </cell>
          <cell r="BJ113">
            <v>57.549082073237045</v>
          </cell>
          <cell r="BK113">
            <v>71.93635259154631</v>
          </cell>
          <cell r="BL113">
            <v>86.323623109855561</v>
          </cell>
          <cell r="BM113">
            <v>28.774541036618523</v>
          </cell>
          <cell r="BQ113">
            <v>69.75</v>
          </cell>
          <cell r="BR113">
            <v>28.861359078892544</v>
          </cell>
          <cell r="BS113">
            <v>38.481812105190059</v>
          </cell>
          <cell r="BT113">
            <v>48.10226513148757</v>
          </cell>
          <cell r="BU113">
            <v>57.722718157785089</v>
          </cell>
          <cell r="BV113">
            <v>67.343171184082607</v>
          </cell>
          <cell r="BW113">
            <v>76.963624210380118</v>
          </cell>
          <cell r="BX113">
            <v>86.584077236677629</v>
          </cell>
          <cell r="BY113">
            <v>96.20453026297514</v>
          </cell>
          <cell r="BZ113">
            <v>4.8102265131487574</v>
          </cell>
          <cell r="CC113">
            <v>69.75</v>
          </cell>
          <cell r="CD113">
            <v>24.092917042080884</v>
          </cell>
          <cell r="CE113">
            <v>33.73008385891324</v>
          </cell>
          <cell r="CF113">
            <v>43.367250675745588</v>
          </cell>
          <cell r="CG113">
            <v>53.004417492577943</v>
          </cell>
          <cell r="CH113">
            <v>62.641584309410298</v>
          </cell>
          <cell r="CI113">
            <v>72.278751126242653</v>
          </cell>
          <cell r="CJ113">
            <v>48.185834084161769</v>
          </cell>
          <cell r="CK113">
            <v>4.8185834084161767</v>
          </cell>
          <cell r="CM113">
            <v>69.75</v>
          </cell>
          <cell r="CN113">
            <v>22.085644757329696</v>
          </cell>
          <cell r="CO113">
            <v>44.171289514659392</v>
          </cell>
          <cell r="CP113">
            <v>66.256934271989081</v>
          </cell>
          <cell r="CQ113">
            <v>88.342579029318784</v>
          </cell>
          <cell r="CR113">
            <v>110.42822378664849</v>
          </cell>
          <cell r="CS113">
            <v>132.51386854397816</v>
          </cell>
          <cell r="CT113">
            <v>44.171289514659392</v>
          </cell>
          <cell r="CX113">
            <v>10.65</v>
          </cell>
          <cell r="CY113">
            <v>7.4403730422916814</v>
          </cell>
          <cell r="CZ113">
            <v>9.3004663028646011</v>
          </cell>
          <cell r="DA113">
            <v>11.160559563437522</v>
          </cell>
          <cell r="DB113">
            <v>13.020652824010442</v>
          </cell>
          <cell r="DC113">
            <v>14.880746084583363</v>
          </cell>
          <cell r="DD113">
            <v>16.740839345156282</v>
          </cell>
          <cell r="DE113">
            <v>18.600932605729202</v>
          </cell>
          <cell r="DF113">
            <v>13.950699454296903</v>
          </cell>
          <cell r="DG113">
            <v>0.93004663028646017</v>
          </cell>
          <cell r="DJ113">
            <v>10.65</v>
          </cell>
          <cell r="DK113">
            <v>5.5492235807170101</v>
          </cell>
          <cell r="DL113">
            <v>7.7689130130038135</v>
          </cell>
          <cell r="DM113">
            <v>9.988602445290617</v>
          </cell>
          <cell r="DN113">
            <v>12.208291877577421</v>
          </cell>
          <cell r="DO113">
            <v>14.427981309864226</v>
          </cell>
          <cell r="DP113">
            <v>16.647670742151028</v>
          </cell>
          <cell r="DQ113">
            <v>11.09844716143402</v>
          </cell>
          <cell r="DR113">
            <v>1.109844716143402</v>
          </cell>
          <cell r="DT113">
            <v>10.65</v>
          </cell>
          <cell r="DU113">
            <v>4.5998295886276512</v>
          </cell>
          <cell r="DV113">
            <v>9.1996591772553025</v>
          </cell>
          <cell r="DW113">
            <v>13.799488765882954</v>
          </cell>
          <cell r="DX113">
            <v>18.399318354510605</v>
          </cell>
          <cell r="DY113">
            <v>22.999147943138254</v>
          </cell>
          <cell r="DZ113">
            <v>27.598977531765907</v>
          </cell>
          <cell r="EA113">
            <v>9.1996591772553025</v>
          </cell>
          <cell r="EE113">
            <v>3.5249999999999999</v>
          </cell>
          <cell r="EF113">
            <v>3.3965530981555281</v>
          </cell>
          <cell r="EG113">
            <v>4.0758637177866337</v>
          </cell>
          <cell r="EH113">
            <v>4.7551743374177393</v>
          </cell>
          <cell r="EI113">
            <v>5.4344849570488449</v>
          </cell>
          <cell r="EJ113">
            <v>6.1137955766799505</v>
          </cell>
          <cell r="EK113">
            <v>6.7931061963110562</v>
          </cell>
          <cell r="EL113">
            <v>5.0948296472332917</v>
          </cell>
          <cell r="EM113">
            <v>0.33965530981555281</v>
          </cell>
          <cell r="EP113">
            <v>3.5249999999999999</v>
          </cell>
          <cell r="EQ113">
            <v>1.398759954666233</v>
          </cell>
          <cell r="ER113">
            <v>1.9582639365327261</v>
          </cell>
          <cell r="ES113">
            <v>2.5177679183992194</v>
          </cell>
          <cell r="ET113">
            <v>3.0772719002657127</v>
          </cell>
          <cell r="EU113">
            <v>3.6367758821322056</v>
          </cell>
          <cell r="EV113">
            <v>4.1962798639986989</v>
          </cell>
          <cell r="EW113">
            <v>2.7975199093324661</v>
          </cell>
          <cell r="EX113">
            <v>0.2797519909332466</v>
          </cell>
          <cell r="EZ113">
            <v>3.5249999999999999</v>
          </cell>
          <cell r="FA113">
            <v>1.4776889984576613</v>
          </cell>
          <cell r="FB113">
            <v>2.9553779969153227</v>
          </cell>
          <cell r="FC113">
            <v>4.4330669953729842</v>
          </cell>
          <cell r="FD113">
            <v>5.9107559938306453</v>
          </cell>
          <cell r="FE113">
            <v>7.3884449922883064</v>
          </cell>
          <cell r="FF113">
            <v>8.8661339907459684</v>
          </cell>
          <cell r="FG113">
            <v>2.9553779969153227</v>
          </cell>
        </row>
        <row r="114">
          <cell r="A114">
            <v>38807</v>
          </cell>
          <cell r="B114">
            <v>52.5</v>
          </cell>
          <cell r="C114">
            <v>17.065896499237308</v>
          </cell>
          <cell r="D114">
            <v>25.59884474885596</v>
          </cell>
          <cell r="E114">
            <v>34.131792998474616</v>
          </cell>
          <cell r="F114">
            <v>42.664741248093272</v>
          </cell>
          <cell r="G114">
            <v>51.19768949771192</v>
          </cell>
          <cell r="H114">
            <v>59.730637747330576</v>
          </cell>
          <cell r="I114">
            <v>68.263585996949232</v>
          </cell>
          <cell r="J114">
            <v>76.796534246567887</v>
          </cell>
          <cell r="K114">
            <v>85.329482496186543</v>
          </cell>
          <cell r="L114">
            <v>63.997111872139904</v>
          </cell>
          <cell r="M114">
            <v>4.266474124809327</v>
          </cell>
          <cell r="P114">
            <v>54.65</v>
          </cell>
          <cell r="Q114">
            <v>16.792924042599719</v>
          </cell>
          <cell r="R114">
            <v>27.9882067376662</v>
          </cell>
          <cell r="S114">
            <v>39.183489432732678</v>
          </cell>
          <cell r="T114">
            <v>50.378772127799159</v>
          </cell>
          <cell r="U114">
            <v>61.574054822865641</v>
          </cell>
          <cell r="V114">
            <v>72.769337517932115</v>
          </cell>
          <cell r="W114">
            <v>83.964620212998597</v>
          </cell>
          <cell r="X114">
            <v>55.9764134753324</v>
          </cell>
          <cell r="Y114">
            <v>5.5976413475332398</v>
          </cell>
          <cell r="AA114">
            <v>52.5</v>
          </cell>
          <cell r="AB114">
            <v>37.551611696986186</v>
          </cell>
          <cell r="AC114">
            <v>56.327417545479278</v>
          </cell>
          <cell r="AD114">
            <v>75.103223393972371</v>
          </cell>
          <cell r="AE114">
            <v>93.879029242465464</v>
          </cell>
          <cell r="AF114">
            <v>112.65483509095856</v>
          </cell>
          <cell r="AG114">
            <v>37.551611696986186</v>
          </cell>
          <cell r="AK114">
            <v>65.150000000000006</v>
          </cell>
          <cell r="AL114">
            <v>38.933756122931264</v>
          </cell>
          <cell r="AM114">
            <v>48.667195153664082</v>
          </cell>
          <cell r="AN114">
            <v>58.400634184396893</v>
          </cell>
          <cell r="AO114">
            <v>68.134073215129717</v>
          </cell>
          <cell r="AP114">
            <v>77.867512245862528</v>
          </cell>
          <cell r="AQ114">
            <v>87.600951276595339</v>
          </cell>
          <cell r="AR114">
            <v>97.334390307328164</v>
          </cell>
          <cell r="AS114">
            <v>73.000792730496116</v>
          </cell>
          <cell r="AT114">
            <v>4.866719515366408</v>
          </cell>
          <cell r="AW114">
            <v>65.150000000000006</v>
          </cell>
          <cell r="AX114">
            <v>29.511003352205549</v>
          </cell>
          <cell r="AY114">
            <v>41.315404693087764</v>
          </cell>
          <cell r="AZ114">
            <v>53.119806033969986</v>
          </cell>
          <cell r="BA114">
            <v>64.924207374852202</v>
          </cell>
          <cell r="BB114">
            <v>76.728608715734424</v>
          </cell>
          <cell r="BC114">
            <v>88.533010056616646</v>
          </cell>
          <cell r="BD114">
            <v>59.022006704411098</v>
          </cell>
          <cell r="BE114">
            <v>5.9022006704411094</v>
          </cell>
          <cell r="BG114">
            <v>65.150000000000006</v>
          </cell>
          <cell r="BH114">
            <v>29.017616150431117</v>
          </cell>
          <cell r="BI114">
            <v>43.526424225646679</v>
          </cell>
          <cell r="BJ114">
            <v>58.035232300862234</v>
          </cell>
          <cell r="BK114">
            <v>72.544040376077788</v>
          </cell>
          <cell r="BL114">
            <v>87.052848451293357</v>
          </cell>
          <cell r="BM114">
            <v>29.017616150431117</v>
          </cell>
          <cell r="BQ114">
            <v>69.75</v>
          </cell>
          <cell r="BR114">
            <v>28.964638064827085</v>
          </cell>
          <cell r="BS114">
            <v>38.619517419769444</v>
          </cell>
          <cell r="BT114">
            <v>48.274396774711803</v>
          </cell>
          <cell r="BU114">
            <v>57.92927612965417</v>
          </cell>
          <cell r="BV114">
            <v>67.584155484596522</v>
          </cell>
          <cell r="BW114">
            <v>77.239034839538888</v>
          </cell>
          <cell r="BX114">
            <v>86.893914194481255</v>
          </cell>
          <cell r="BY114">
            <v>96.548793549423607</v>
          </cell>
          <cell r="BZ114">
            <v>4.8274396774711805</v>
          </cell>
          <cell r="CC114">
            <v>69.75</v>
          </cell>
          <cell r="CD114">
            <v>24.661353101308986</v>
          </cell>
          <cell r="CE114">
            <v>34.525894341832583</v>
          </cell>
          <cell r="CF114">
            <v>44.390435582356176</v>
          </cell>
          <cell r="CG114">
            <v>54.254976822879769</v>
          </cell>
          <cell r="CH114">
            <v>64.119518063403362</v>
          </cell>
          <cell r="CI114">
            <v>73.984059303926955</v>
          </cell>
          <cell r="CJ114">
            <v>49.322706202617972</v>
          </cell>
          <cell r="CK114">
            <v>4.9322706202617974</v>
          </cell>
          <cell r="CM114">
            <v>69.75</v>
          </cell>
          <cell r="CN114">
            <v>22.214497683364762</v>
          </cell>
          <cell r="CO114">
            <v>44.428995366729524</v>
          </cell>
          <cell r="CP114">
            <v>66.643493050094293</v>
          </cell>
          <cell r="CQ114">
            <v>88.857990733459047</v>
          </cell>
          <cell r="CR114">
            <v>111.0724884168238</v>
          </cell>
          <cell r="CS114">
            <v>133.28698610018859</v>
          </cell>
          <cell r="CT114">
            <v>44.428995366729524</v>
          </cell>
          <cell r="CX114">
            <v>11.2</v>
          </cell>
          <cell r="CY114">
            <v>7.5167392938363511</v>
          </cell>
          <cell r="CZ114">
            <v>9.3959241172954382</v>
          </cell>
          <cell r="DA114">
            <v>11.275108940754526</v>
          </cell>
          <cell r="DB114">
            <v>13.154293764213614</v>
          </cell>
          <cell r="DC114">
            <v>15.033478587672702</v>
          </cell>
          <cell r="DD114">
            <v>16.912663411131788</v>
          </cell>
          <cell r="DE114">
            <v>18.791848234590876</v>
          </cell>
          <cell r="DF114">
            <v>14.093886175943158</v>
          </cell>
          <cell r="DG114">
            <v>0.93959241172954389</v>
          </cell>
          <cell r="DJ114">
            <v>11.2</v>
          </cell>
          <cell r="DK114">
            <v>5.6699052897641291</v>
          </cell>
          <cell r="DL114">
            <v>7.9378674056697802</v>
          </cell>
          <cell r="DM114">
            <v>10.205829521575431</v>
          </cell>
          <cell r="DN114">
            <v>12.473791637481083</v>
          </cell>
          <cell r="DO114">
            <v>14.741753753386735</v>
          </cell>
          <cell r="DP114">
            <v>17.009715869292386</v>
          </cell>
          <cell r="DQ114">
            <v>11.339810579528258</v>
          </cell>
          <cell r="DR114">
            <v>1.1339810579528258</v>
          </cell>
          <cell r="DT114">
            <v>11.2</v>
          </cell>
          <cell r="DU114">
            <v>4.6075830867155405</v>
          </cell>
          <cell r="DV114">
            <v>9.215166173431081</v>
          </cell>
          <cell r="DW114">
            <v>13.822749260146622</v>
          </cell>
          <cell r="DX114">
            <v>18.430332346862162</v>
          </cell>
          <cell r="DY114">
            <v>23.037915433577702</v>
          </cell>
          <cell r="DZ114">
            <v>27.645498520293245</v>
          </cell>
          <cell r="EA114">
            <v>9.215166173431081</v>
          </cell>
          <cell r="EE114">
            <v>3.4750000000000001</v>
          </cell>
          <cell r="EF114">
            <v>3.3674123893863834</v>
          </cell>
          <cell r="EG114">
            <v>4.0408948672636598</v>
          </cell>
          <cell r="EH114">
            <v>4.714377345140937</v>
          </cell>
          <cell r="EI114">
            <v>5.3878598230182133</v>
          </cell>
          <cell r="EJ114">
            <v>6.0613423008954896</v>
          </cell>
          <cell r="EK114">
            <v>6.7348247787727669</v>
          </cell>
          <cell r="EL114">
            <v>5.0511185840795747</v>
          </cell>
          <cell r="EM114">
            <v>0.33674123893863833</v>
          </cell>
          <cell r="EP114">
            <v>3.4750000000000001</v>
          </cell>
          <cell r="EQ114">
            <v>1.4125844188868633</v>
          </cell>
          <cell r="ER114">
            <v>1.9776181864416087</v>
          </cell>
          <cell r="ES114">
            <v>2.5426519539963541</v>
          </cell>
          <cell r="ET114">
            <v>3.1076857215510993</v>
          </cell>
          <cell r="EU114">
            <v>3.6727194891058446</v>
          </cell>
          <cell r="EV114">
            <v>4.2377532566605902</v>
          </cell>
          <cell r="EW114">
            <v>2.8251688377737265</v>
          </cell>
          <cell r="EX114">
            <v>0.28251688377737266</v>
          </cell>
          <cell r="EZ114">
            <v>3.4750000000000001</v>
          </cell>
          <cell r="FA114">
            <v>1.476021628561079</v>
          </cell>
          <cell r="FB114">
            <v>2.952043257122158</v>
          </cell>
          <cell r="FC114">
            <v>4.428064885683237</v>
          </cell>
          <cell r="FD114">
            <v>5.904086514244316</v>
          </cell>
          <cell r="FE114">
            <v>7.380108142805395</v>
          </cell>
          <cell r="FF114">
            <v>8.8561297713664739</v>
          </cell>
          <cell r="FG114">
            <v>2.952043257122158</v>
          </cell>
        </row>
        <row r="115">
          <cell r="A115">
            <v>38837</v>
          </cell>
          <cell r="B115">
            <v>52.5</v>
          </cell>
          <cell r="C115">
            <v>17.298274297513242</v>
          </cell>
          <cell r="D115">
            <v>25.947411446269861</v>
          </cell>
          <cell r="E115">
            <v>34.596548595026483</v>
          </cell>
          <cell r="F115">
            <v>43.245685743783106</v>
          </cell>
          <cell r="G115">
            <v>51.894822892539722</v>
          </cell>
          <cell r="H115">
            <v>60.543960041296344</v>
          </cell>
          <cell r="I115">
            <v>69.193097190052967</v>
          </cell>
          <cell r="J115">
            <v>77.84223433880959</v>
          </cell>
          <cell r="K115">
            <v>86.491371487566212</v>
          </cell>
          <cell r="L115">
            <v>64.868528615674663</v>
          </cell>
          <cell r="M115">
            <v>4.3245685743783104</v>
          </cell>
          <cell r="P115">
            <v>54.65</v>
          </cell>
          <cell r="Q115">
            <v>17.338766320395411</v>
          </cell>
          <cell r="R115">
            <v>28.897943867325683</v>
          </cell>
          <cell r="S115">
            <v>40.457121414255958</v>
          </cell>
          <cell r="T115">
            <v>52.01629896118623</v>
          </cell>
          <cell r="U115">
            <v>63.575476508116502</v>
          </cell>
          <cell r="V115">
            <v>75.134654055046781</v>
          </cell>
          <cell r="W115">
            <v>86.693831601977053</v>
          </cell>
          <cell r="X115">
            <v>57.795887734651366</v>
          </cell>
          <cell r="Y115">
            <v>5.7795887734651368</v>
          </cell>
          <cell r="AA115">
            <v>52.5</v>
          </cell>
          <cell r="AB115">
            <v>37.889803002359528</v>
          </cell>
          <cell r="AC115">
            <v>56.834704503539292</v>
          </cell>
          <cell r="AD115">
            <v>75.779606004719057</v>
          </cell>
          <cell r="AE115">
            <v>94.724507505898828</v>
          </cell>
          <cell r="AF115">
            <v>113.66940900707858</v>
          </cell>
          <cell r="AG115">
            <v>37.889803002359528</v>
          </cell>
          <cell r="AK115">
            <v>71.900000000000006</v>
          </cell>
          <cell r="AL115">
            <v>39.676887012850464</v>
          </cell>
          <cell r="AM115">
            <v>49.596108766063082</v>
          </cell>
          <cell r="AN115">
            <v>59.515330519275693</v>
          </cell>
          <cell r="AO115">
            <v>69.434552272488318</v>
          </cell>
          <cell r="AP115">
            <v>79.353774025700929</v>
          </cell>
          <cell r="AQ115">
            <v>89.27299577891354</v>
          </cell>
          <cell r="AR115">
            <v>99.192217532126165</v>
          </cell>
          <cell r="AS115">
            <v>74.394163149094624</v>
          </cell>
          <cell r="AT115">
            <v>4.9596108766063081</v>
          </cell>
          <cell r="AW115">
            <v>71.900000000000006</v>
          </cell>
          <cell r="AX115">
            <v>30.021595578350983</v>
          </cell>
          <cell r="AY115">
            <v>42.030233809691374</v>
          </cell>
          <cell r="AZ115">
            <v>54.038872041031773</v>
          </cell>
          <cell r="BA115">
            <v>66.047510272372165</v>
          </cell>
          <cell r="BB115">
            <v>78.056148503712564</v>
          </cell>
          <cell r="BC115">
            <v>90.064786735052948</v>
          </cell>
          <cell r="BD115">
            <v>60.043191156701965</v>
          </cell>
          <cell r="BE115">
            <v>6.0043191156701967</v>
          </cell>
          <cell r="BG115">
            <v>71.900000000000006</v>
          </cell>
          <cell r="BH115">
            <v>29.260691264243711</v>
          </cell>
          <cell r="BI115">
            <v>43.891036896365563</v>
          </cell>
          <cell r="BJ115">
            <v>58.521382528487422</v>
          </cell>
          <cell r="BK115">
            <v>73.151728160609281</v>
          </cell>
          <cell r="BL115">
            <v>87.782073792731126</v>
          </cell>
          <cell r="BM115">
            <v>29.260691264243711</v>
          </cell>
          <cell r="BQ115">
            <v>69.75</v>
          </cell>
          <cell r="BR115">
            <v>29.067917050761622</v>
          </cell>
          <cell r="BS115">
            <v>38.757222734348829</v>
          </cell>
          <cell r="BT115">
            <v>48.446528417936037</v>
          </cell>
          <cell r="BU115">
            <v>58.135834101523244</v>
          </cell>
          <cell r="BV115">
            <v>67.825139785110451</v>
          </cell>
          <cell r="BW115">
            <v>77.514445468697659</v>
          </cell>
          <cell r="BX115">
            <v>87.203751152284866</v>
          </cell>
          <cell r="BY115">
            <v>96.893056835872073</v>
          </cell>
          <cell r="BZ115">
            <v>4.8446528417936037</v>
          </cell>
          <cell r="CC115">
            <v>69.75</v>
          </cell>
          <cell r="CD115">
            <v>25.229789160537091</v>
          </cell>
          <cell r="CE115">
            <v>35.321704824751926</v>
          </cell>
          <cell r="CF115">
            <v>45.413620488966764</v>
          </cell>
          <cell r="CG115">
            <v>55.505536153181602</v>
          </cell>
          <cell r="CH115">
            <v>65.597451817396433</v>
          </cell>
          <cell r="CI115">
            <v>75.689367481611271</v>
          </cell>
          <cell r="CJ115">
            <v>50.459578321074183</v>
          </cell>
          <cell r="CK115">
            <v>5.0459578321074181</v>
          </cell>
          <cell r="CM115">
            <v>69.75</v>
          </cell>
          <cell r="CN115">
            <v>22.343350609399828</v>
          </cell>
          <cell r="CO115">
            <v>44.686701218799655</v>
          </cell>
          <cell r="CP115">
            <v>67.030051828199475</v>
          </cell>
          <cell r="CQ115">
            <v>89.37340243759931</v>
          </cell>
          <cell r="CR115">
            <v>111.71675304699914</v>
          </cell>
          <cell r="CS115">
            <v>134.06010365639895</v>
          </cell>
          <cell r="CT115">
            <v>44.686701218799655</v>
          </cell>
          <cell r="CX115">
            <v>11.65</v>
          </cell>
          <cell r="CY115">
            <v>7.5931055453810208</v>
          </cell>
          <cell r="CZ115">
            <v>9.4913819317262753</v>
          </cell>
          <cell r="DA115">
            <v>11.389658318071531</v>
          </cell>
          <cell r="DB115">
            <v>13.287934704416786</v>
          </cell>
          <cell r="DC115">
            <v>15.186211090762042</v>
          </cell>
          <cell r="DD115">
            <v>17.084487477107295</v>
          </cell>
          <cell r="DE115">
            <v>18.982763863452551</v>
          </cell>
          <cell r="DF115">
            <v>14.237072897589414</v>
          </cell>
          <cell r="DG115">
            <v>0.9491381931726276</v>
          </cell>
          <cell r="DJ115">
            <v>11.65</v>
          </cell>
          <cell r="DK115">
            <v>5.7905869988112482</v>
          </cell>
          <cell r="DL115">
            <v>8.1068217983357478</v>
          </cell>
          <cell r="DM115">
            <v>10.423056597860246</v>
          </cell>
          <cell r="DN115">
            <v>12.739291397384745</v>
          </cell>
          <cell r="DO115">
            <v>15.055526196909245</v>
          </cell>
          <cell r="DP115">
            <v>17.371760996433743</v>
          </cell>
          <cell r="DQ115">
            <v>11.581173997622496</v>
          </cell>
          <cell r="DR115">
            <v>1.1581173997622496</v>
          </cell>
          <cell r="DT115">
            <v>11.65</v>
          </cell>
          <cell r="DU115">
            <v>4.6153365848034298</v>
          </cell>
          <cell r="DV115">
            <v>9.2306731696068596</v>
          </cell>
          <cell r="DW115">
            <v>13.846009754410289</v>
          </cell>
          <cell r="DX115">
            <v>18.461346339213719</v>
          </cell>
          <cell r="DY115">
            <v>23.076682924017149</v>
          </cell>
          <cell r="DZ115">
            <v>27.692019508820579</v>
          </cell>
          <cell r="EA115">
            <v>9.2306731696068596</v>
          </cell>
          <cell r="EE115">
            <v>3.4750000000000001</v>
          </cell>
          <cell r="EF115">
            <v>3.3382716806172388</v>
          </cell>
          <cell r="EG115">
            <v>4.0059260167406858</v>
          </cell>
          <cell r="EH115">
            <v>4.6735803528641338</v>
          </cell>
          <cell r="EI115">
            <v>5.3412346889875817</v>
          </cell>
          <cell r="EJ115">
            <v>6.0088890251110296</v>
          </cell>
          <cell r="EK115">
            <v>6.6765433612344776</v>
          </cell>
          <cell r="EL115">
            <v>5.0074075209258577</v>
          </cell>
          <cell r="EM115">
            <v>0.33382716806172386</v>
          </cell>
          <cell r="EP115">
            <v>3.4750000000000001</v>
          </cell>
          <cell r="EQ115">
            <v>1.4264088831074937</v>
          </cell>
          <cell r="ER115">
            <v>1.996972436350491</v>
          </cell>
          <cell r="ES115">
            <v>2.5675359895934884</v>
          </cell>
          <cell r="ET115">
            <v>3.138099542836486</v>
          </cell>
          <cell r="EU115">
            <v>3.7086630960794835</v>
          </cell>
          <cell r="EV115">
            <v>4.2792266493224806</v>
          </cell>
          <cell r="EW115">
            <v>2.8528177662149874</v>
          </cell>
          <cell r="EX115">
            <v>0.28528177662149873</v>
          </cell>
          <cell r="EZ115">
            <v>3.4750000000000001</v>
          </cell>
          <cell r="FA115">
            <v>1.4743542586644967</v>
          </cell>
          <cell r="FB115">
            <v>2.9487085173289933</v>
          </cell>
          <cell r="FC115">
            <v>4.4230627759934897</v>
          </cell>
          <cell r="FD115">
            <v>5.8974170346579866</v>
          </cell>
          <cell r="FE115">
            <v>7.3717712933224835</v>
          </cell>
          <cell r="FF115">
            <v>8.8461255519869795</v>
          </cell>
          <cell r="FG115">
            <v>2.9487085173289933</v>
          </cell>
        </row>
        <row r="116">
          <cell r="A116">
            <v>38868</v>
          </cell>
          <cell r="B116">
            <v>52.5</v>
          </cell>
          <cell r="C116">
            <v>17.530652095789176</v>
          </cell>
          <cell r="D116">
            <v>26.295978143683762</v>
          </cell>
          <cell r="E116">
            <v>35.061304191578351</v>
          </cell>
          <cell r="F116">
            <v>43.826630239472941</v>
          </cell>
          <cell r="G116">
            <v>52.591956287367523</v>
          </cell>
          <cell r="H116">
            <v>61.357282335262113</v>
          </cell>
          <cell r="I116">
            <v>70.122608383156702</v>
          </cell>
          <cell r="J116">
            <v>78.887934431051292</v>
          </cell>
          <cell r="K116">
            <v>87.653260478945882</v>
          </cell>
          <cell r="L116">
            <v>65.739945359209415</v>
          </cell>
          <cell r="M116">
            <v>4.3826630239472939</v>
          </cell>
          <cell r="P116">
            <v>54.65</v>
          </cell>
          <cell r="Q116">
            <v>17.8846085981911</v>
          </cell>
          <cell r="R116">
            <v>29.807680996985169</v>
          </cell>
          <cell r="S116">
            <v>41.730753395779239</v>
          </cell>
          <cell r="T116">
            <v>53.653825794573301</v>
          </cell>
          <cell r="U116">
            <v>65.57689819336737</v>
          </cell>
          <cell r="V116">
            <v>77.499970592161432</v>
          </cell>
          <cell r="W116">
            <v>89.423042990955508</v>
          </cell>
          <cell r="X116">
            <v>59.615361993970339</v>
          </cell>
          <cell r="Y116">
            <v>5.9615361993970337</v>
          </cell>
          <cell r="AA116">
            <v>52.5</v>
          </cell>
          <cell r="AB116">
            <v>38.227994307732871</v>
          </cell>
          <cell r="AC116">
            <v>57.341991461599306</v>
          </cell>
          <cell r="AD116">
            <v>76.455988615465742</v>
          </cell>
          <cell r="AE116">
            <v>95.569985769332177</v>
          </cell>
          <cell r="AF116">
            <v>114.68398292319861</v>
          </cell>
          <cell r="AG116">
            <v>38.227994307732871</v>
          </cell>
          <cell r="AK116">
            <v>69.45</v>
          </cell>
          <cell r="AL116">
            <v>40.420017902769665</v>
          </cell>
          <cell r="AM116">
            <v>50.525022378462083</v>
          </cell>
          <cell r="AN116">
            <v>60.630026854154494</v>
          </cell>
          <cell r="AO116">
            <v>70.735031329846919</v>
          </cell>
          <cell r="AP116">
            <v>80.84003580553933</v>
          </cell>
          <cell r="AQ116">
            <v>90.945040281231741</v>
          </cell>
          <cell r="AR116">
            <v>101.05004475692417</v>
          </cell>
          <cell r="AS116">
            <v>75.787533567693117</v>
          </cell>
          <cell r="AT116">
            <v>5.0525022378462081</v>
          </cell>
          <cell r="AW116">
            <v>69.45</v>
          </cell>
          <cell r="AX116">
            <v>30.53218780449642</v>
          </cell>
          <cell r="AY116">
            <v>42.745062926294992</v>
          </cell>
          <cell r="AZ116">
            <v>54.957938048093553</v>
          </cell>
          <cell r="BA116">
            <v>67.170813169892128</v>
          </cell>
          <cell r="BB116">
            <v>79.383688291690689</v>
          </cell>
          <cell r="BC116">
            <v>91.596563413489264</v>
          </cell>
          <cell r="BD116">
            <v>61.06437560899284</v>
          </cell>
          <cell r="BE116">
            <v>6.106437560899284</v>
          </cell>
          <cell r="BG116">
            <v>69.45</v>
          </cell>
          <cell r="BH116">
            <v>29.503766378056305</v>
          </cell>
          <cell r="BI116">
            <v>44.255649567084461</v>
          </cell>
          <cell r="BJ116">
            <v>59.00753275611261</v>
          </cell>
          <cell r="BK116">
            <v>73.759415945140759</v>
          </cell>
          <cell r="BL116">
            <v>88.511299134168922</v>
          </cell>
          <cell r="BM116">
            <v>29.503766378056305</v>
          </cell>
          <cell r="BQ116">
            <v>69.75</v>
          </cell>
          <cell r="BR116">
            <v>29.171196036696159</v>
          </cell>
          <cell r="BS116">
            <v>38.894928048928215</v>
          </cell>
          <cell r="BT116">
            <v>48.61866006116027</v>
          </cell>
          <cell r="BU116">
            <v>58.342392073392318</v>
          </cell>
          <cell r="BV116">
            <v>68.066124085624381</v>
          </cell>
          <cell r="BW116">
            <v>77.789856097856429</v>
          </cell>
          <cell r="BX116">
            <v>87.513588110088477</v>
          </cell>
          <cell r="BY116">
            <v>97.23732012232054</v>
          </cell>
          <cell r="BZ116">
            <v>4.8618660061160268</v>
          </cell>
          <cell r="CC116">
            <v>69.75</v>
          </cell>
          <cell r="CD116">
            <v>25.798225219765193</v>
          </cell>
          <cell r="CE116">
            <v>36.117515307671269</v>
          </cell>
          <cell r="CF116">
            <v>46.436805395577352</v>
          </cell>
          <cell r="CG116">
            <v>56.756095483483428</v>
          </cell>
          <cell r="CH116">
            <v>67.075385571389504</v>
          </cell>
          <cell r="CI116">
            <v>77.394675659295586</v>
          </cell>
          <cell r="CJ116">
            <v>51.596450439530386</v>
          </cell>
          <cell r="CK116">
            <v>5.1596450439530388</v>
          </cell>
          <cell r="CM116">
            <v>69.75</v>
          </cell>
          <cell r="CN116">
            <v>22.472203535434893</v>
          </cell>
          <cell r="CO116">
            <v>44.944407070869786</v>
          </cell>
          <cell r="CP116">
            <v>67.416610606304687</v>
          </cell>
          <cell r="CQ116">
            <v>89.888814141739573</v>
          </cell>
          <cell r="CR116">
            <v>112.36101767717446</v>
          </cell>
          <cell r="CS116">
            <v>134.83322121260937</v>
          </cell>
          <cell r="CT116">
            <v>44.944407070869786</v>
          </cell>
          <cell r="CX116">
            <v>11.05</v>
          </cell>
          <cell r="CY116">
            <v>7.6694717969256905</v>
          </cell>
          <cell r="CZ116">
            <v>9.5868397461571124</v>
          </cell>
          <cell r="DA116">
            <v>11.504207695388535</v>
          </cell>
          <cell r="DB116">
            <v>13.421575644619958</v>
          </cell>
          <cell r="DC116">
            <v>15.338943593851381</v>
          </cell>
          <cell r="DD116">
            <v>17.256311543082802</v>
          </cell>
          <cell r="DE116">
            <v>19.173679492314225</v>
          </cell>
          <cell r="DF116">
            <v>14.38025961923567</v>
          </cell>
          <cell r="DG116">
            <v>0.95868397461571131</v>
          </cell>
          <cell r="DJ116">
            <v>11.05</v>
          </cell>
          <cell r="DK116">
            <v>5.9112687078583672</v>
          </cell>
          <cell r="DL116">
            <v>8.2757761910017145</v>
          </cell>
          <cell r="DM116">
            <v>10.64028367414506</v>
          </cell>
          <cell r="DN116">
            <v>13.004791157288407</v>
          </cell>
          <cell r="DO116">
            <v>15.369298640431754</v>
          </cell>
          <cell r="DP116">
            <v>17.7338061235751</v>
          </cell>
          <cell r="DQ116">
            <v>11.822537415716734</v>
          </cell>
          <cell r="DR116">
            <v>1.1822537415716734</v>
          </cell>
          <cell r="DT116">
            <v>11.05</v>
          </cell>
          <cell r="DU116">
            <v>4.6230900828913191</v>
          </cell>
          <cell r="DV116">
            <v>9.2461801657826381</v>
          </cell>
          <cell r="DW116">
            <v>13.869270248673956</v>
          </cell>
          <cell r="DX116">
            <v>18.492360331565276</v>
          </cell>
          <cell r="DY116">
            <v>23.115450414456596</v>
          </cell>
          <cell r="DZ116">
            <v>27.738540497347913</v>
          </cell>
          <cell r="EA116">
            <v>9.2461801657826381</v>
          </cell>
          <cell r="EE116">
            <v>3.4750000000000001</v>
          </cell>
          <cell r="EF116">
            <v>3.3091309718480937</v>
          </cell>
          <cell r="EG116">
            <v>3.9709571662177128</v>
          </cell>
          <cell r="EH116">
            <v>4.6327833605873314</v>
          </cell>
          <cell r="EI116">
            <v>5.2946095549569501</v>
          </cell>
          <cell r="EJ116">
            <v>5.9564357493265687</v>
          </cell>
          <cell r="EK116">
            <v>6.6182619436961874</v>
          </cell>
          <cell r="EL116">
            <v>4.9636964577721407</v>
          </cell>
          <cell r="EM116">
            <v>0.33091309718480938</v>
          </cell>
          <cell r="EP116">
            <v>3.4750000000000001</v>
          </cell>
          <cell r="EQ116">
            <v>1.4402333473281239</v>
          </cell>
          <cell r="ER116">
            <v>2.0163266862593736</v>
          </cell>
          <cell r="ES116">
            <v>2.5924200251906231</v>
          </cell>
          <cell r="ET116">
            <v>3.1685133641218726</v>
          </cell>
          <cell r="EU116">
            <v>3.7446067030531225</v>
          </cell>
          <cell r="EV116">
            <v>4.320700041984372</v>
          </cell>
          <cell r="EW116">
            <v>2.8804666946562478</v>
          </cell>
          <cell r="EX116">
            <v>0.28804666946562479</v>
          </cell>
          <cell r="EZ116">
            <v>3.4750000000000001</v>
          </cell>
          <cell r="FA116">
            <v>1.4726868887679143</v>
          </cell>
          <cell r="FB116">
            <v>2.9453737775358286</v>
          </cell>
          <cell r="FC116">
            <v>4.4180606663037434</v>
          </cell>
          <cell r="FD116">
            <v>5.8907475550716573</v>
          </cell>
          <cell r="FE116">
            <v>7.3634344438395711</v>
          </cell>
          <cell r="FF116">
            <v>8.8361213326074868</v>
          </cell>
          <cell r="FG116">
            <v>2.9453737775358286</v>
          </cell>
        </row>
        <row r="117">
          <cell r="A117">
            <v>38898</v>
          </cell>
          <cell r="B117">
            <v>52.5</v>
          </cell>
          <cell r="C117">
            <v>17.763029894065109</v>
          </cell>
          <cell r="D117">
            <v>26.644544841097662</v>
          </cell>
          <cell r="E117">
            <v>35.526059788130219</v>
          </cell>
          <cell r="F117">
            <v>44.407574735162775</v>
          </cell>
          <cell r="G117">
            <v>53.289089682195325</v>
          </cell>
          <cell r="H117">
            <v>62.170604629227881</v>
          </cell>
          <cell r="I117">
            <v>71.052119576260438</v>
          </cell>
          <cell r="J117">
            <v>79.933634523292994</v>
          </cell>
          <cell r="K117">
            <v>88.815149470325551</v>
          </cell>
          <cell r="L117">
            <v>66.611362102744167</v>
          </cell>
          <cell r="M117">
            <v>4.4407574735162774</v>
          </cell>
          <cell r="P117">
            <v>54.65</v>
          </cell>
          <cell r="Q117">
            <v>18.430450875986793</v>
          </cell>
          <cell r="R117">
            <v>30.717418126644652</v>
          </cell>
          <cell r="S117">
            <v>43.004385377302512</v>
          </cell>
          <cell r="T117">
            <v>55.291352627960379</v>
          </cell>
          <cell r="U117">
            <v>67.578319878618231</v>
          </cell>
          <cell r="V117">
            <v>79.865287129276098</v>
          </cell>
          <cell r="W117">
            <v>92.152254379933964</v>
          </cell>
          <cell r="X117">
            <v>61.434836253289305</v>
          </cell>
          <cell r="Y117">
            <v>6.1434836253289307</v>
          </cell>
          <cell r="AA117">
            <v>52.5</v>
          </cell>
          <cell r="AB117">
            <v>38.566185613106214</v>
          </cell>
          <cell r="AC117">
            <v>57.849278419659321</v>
          </cell>
          <cell r="AD117">
            <v>77.132371226212427</v>
          </cell>
          <cell r="AE117">
            <v>96.415464032765527</v>
          </cell>
          <cell r="AF117">
            <v>115.69855683931864</v>
          </cell>
          <cell r="AG117">
            <v>38.566185613106214</v>
          </cell>
          <cell r="AK117">
            <v>68</v>
          </cell>
          <cell r="AL117">
            <v>41.163148792688865</v>
          </cell>
          <cell r="AM117">
            <v>51.453935990861083</v>
          </cell>
          <cell r="AN117">
            <v>61.744723189033294</v>
          </cell>
          <cell r="AO117">
            <v>72.03551038720552</v>
          </cell>
          <cell r="AP117">
            <v>82.326297585377731</v>
          </cell>
          <cell r="AQ117">
            <v>92.617084783549942</v>
          </cell>
          <cell r="AR117">
            <v>102.90787198172217</v>
          </cell>
          <cell r="AS117">
            <v>77.180903986291625</v>
          </cell>
          <cell r="AT117">
            <v>5.1453935990861082</v>
          </cell>
          <cell r="AW117">
            <v>68</v>
          </cell>
          <cell r="AX117">
            <v>31.042780030641858</v>
          </cell>
          <cell r="AY117">
            <v>43.459892042898602</v>
          </cell>
          <cell r="AZ117">
            <v>55.877004055155339</v>
          </cell>
          <cell r="BA117">
            <v>68.294116067412091</v>
          </cell>
          <cell r="BB117">
            <v>80.711228079668828</v>
          </cell>
          <cell r="BC117">
            <v>93.128340091925566</v>
          </cell>
          <cell r="BD117">
            <v>62.085560061283715</v>
          </cell>
          <cell r="BE117">
            <v>6.2085560061283713</v>
          </cell>
          <cell r="BG117">
            <v>68</v>
          </cell>
          <cell r="BH117">
            <v>29.746841491868899</v>
          </cell>
          <cell r="BI117">
            <v>44.620262237803345</v>
          </cell>
          <cell r="BJ117">
            <v>59.493682983737799</v>
          </cell>
          <cell r="BK117">
            <v>74.367103729672252</v>
          </cell>
          <cell r="BL117">
            <v>89.240524475606691</v>
          </cell>
          <cell r="BM117">
            <v>29.746841491868899</v>
          </cell>
          <cell r="BQ117">
            <v>69.75</v>
          </cell>
          <cell r="BR117">
            <v>29.2744750226307</v>
          </cell>
          <cell r="BS117">
            <v>39.0326333635076</v>
          </cell>
          <cell r="BT117">
            <v>48.790791704384503</v>
          </cell>
          <cell r="BU117">
            <v>58.5489500452614</v>
          </cell>
          <cell r="BV117">
            <v>68.307108386138296</v>
          </cell>
          <cell r="BW117">
            <v>78.065266727015199</v>
          </cell>
          <cell r="BX117">
            <v>87.823425067892103</v>
          </cell>
          <cell r="BY117">
            <v>97.581583408769006</v>
          </cell>
          <cell r="BZ117">
            <v>4.87907917043845</v>
          </cell>
          <cell r="CC117">
            <v>69.75</v>
          </cell>
          <cell r="CD117">
            <v>26.366661278993298</v>
          </cell>
          <cell r="CE117">
            <v>36.913325790590619</v>
          </cell>
          <cell r="CF117">
            <v>47.459990302187933</v>
          </cell>
          <cell r="CG117">
            <v>58.006654813785254</v>
          </cell>
          <cell r="CH117">
            <v>68.553319325382574</v>
          </cell>
          <cell r="CI117">
            <v>79.099983836979888</v>
          </cell>
          <cell r="CJ117">
            <v>52.733322557986597</v>
          </cell>
          <cell r="CK117">
            <v>5.2733322557986595</v>
          </cell>
          <cell r="CM117">
            <v>69.75</v>
          </cell>
          <cell r="CN117">
            <v>22.601056461469959</v>
          </cell>
          <cell r="CO117">
            <v>45.202112922939918</v>
          </cell>
          <cell r="CP117">
            <v>67.80316938440987</v>
          </cell>
          <cell r="CQ117">
            <v>90.404225845879836</v>
          </cell>
          <cell r="CR117">
            <v>113.0052823073498</v>
          </cell>
          <cell r="CS117">
            <v>135.60633876881974</v>
          </cell>
          <cell r="CT117">
            <v>45.202112922939918</v>
          </cell>
          <cell r="CX117">
            <v>11.3</v>
          </cell>
          <cell r="CY117">
            <v>7.7458380484703602</v>
          </cell>
          <cell r="CZ117">
            <v>9.6822975605879495</v>
          </cell>
          <cell r="DA117">
            <v>11.61875707270554</v>
          </cell>
          <cell r="DB117">
            <v>13.55521658482313</v>
          </cell>
          <cell r="DC117">
            <v>15.49167609694072</v>
          </cell>
          <cell r="DD117">
            <v>17.428135609058309</v>
          </cell>
          <cell r="DE117">
            <v>19.364595121175899</v>
          </cell>
          <cell r="DF117">
            <v>14.523446340881925</v>
          </cell>
          <cell r="DG117">
            <v>0.96822975605879502</v>
          </cell>
          <cell r="DJ117">
            <v>11.3</v>
          </cell>
          <cell r="DK117">
            <v>6.0319504169054863</v>
          </cell>
          <cell r="DL117">
            <v>8.4447305836676811</v>
          </cell>
          <cell r="DM117">
            <v>10.857510750429874</v>
          </cell>
          <cell r="DN117">
            <v>13.270290917192069</v>
          </cell>
          <cell r="DO117">
            <v>15.683071083954264</v>
          </cell>
          <cell r="DP117">
            <v>18.095851250716457</v>
          </cell>
          <cell r="DQ117">
            <v>12.063900833810973</v>
          </cell>
          <cell r="DR117">
            <v>1.2063900833810972</v>
          </cell>
          <cell r="DT117">
            <v>11.3</v>
          </cell>
          <cell r="DU117">
            <v>4.6308435809792083</v>
          </cell>
          <cell r="DV117">
            <v>9.2616871619584167</v>
          </cell>
          <cell r="DW117">
            <v>13.892530742937625</v>
          </cell>
          <cell r="DX117">
            <v>18.523374323916833</v>
          </cell>
          <cell r="DY117">
            <v>23.154217904896043</v>
          </cell>
          <cell r="DZ117">
            <v>27.78506148587525</v>
          </cell>
          <cell r="EA117">
            <v>9.2616871619584167</v>
          </cell>
          <cell r="EE117">
            <v>3.4750000000000001</v>
          </cell>
          <cell r="EF117">
            <v>3.279990263078949</v>
          </cell>
          <cell r="EG117">
            <v>3.9359883156947388</v>
          </cell>
          <cell r="EH117">
            <v>4.5919863683105291</v>
          </cell>
          <cell r="EI117">
            <v>5.2479844209263184</v>
          </cell>
          <cell r="EJ117">
            <v>5.9039824735421078</v>
          </cell>
          <cell r="EK117">
            <v>6.5599805261578981</v>
          </cell>
          <cell r="EL117">
            <v>4.9199853946184238</v>
          </cell>
          <cell r="EM117">
            <v>0.3279990263078949</v>
          </cell>
          <cell r="EP117">
            <v>3.4750000000000001</v>
          </cell>
          <cell r="EQ117">
            <v>1.4540578115487544</v>
          </cell>
          <cell r="ER117">
            <v>2.035680936168256</v>
          </cell>
          <cell r="ES117">
            <v>2.6173040607877578</v>
          </cell>
          <cell r="ET117">
            <v>3.1989271854072596</v>
          </cell>
          <cell r="EU117">
            <v>3.780550310026761</v>
          </cell>
          <cell r="EV117">
            <v>4.3621734346462633</v>
          </cell>
          <cell r="EW117">
            <v>2.9081156230975087</v>
          </cell>
          <cell r="EX117">
            <v>0.29081156230975086</v>
          </cell>
          <cell r="EZ117">
            <v>3.4750000000000001</v>
          </cell>
          <cell r="FA117">
            <v>1.471019518871332</v>
          </cell>
          <cell r="FB117">
            <v>2.942039037742664</v>
          </cell>
          <cell r="FC117">
            <v>4.4130585566139962</v>
          </cell>
          <cell r="FD117">
            <v>5.8840780754853279</v>
          </cell>
          <cell r="FE117">
            <v>7.3550975943566597</v>
          </cell>
          <cell r="FF117">
            <v>8.8261171132279923</v>
          </cell>
          <cell r="FG117">
            <v>2.942039037742664</v>
          </cell>
        </row>
        <row r="118">
          <cell r="A118">
            <v>38929</v>
          </cell>
          <cell r="B118">
            <v>52.5</v>
          </cell>
          <cell r="C118">
            <v>17.995407692341043</v>
          </cell>
          <cell r="D118">
            <v>26.993111538511563</v>
          </cell>
          <cell r="E118">
            <v>35.990815384682087</v>
          </cell>
          <cell r="F118">
            <v>44.98851923085261</v>
          </cell>
          <cell r="G118">
            <v>53.986223077023126</v>
          </cell>
          <cell r="H118">
            <v>62.98392692319365</v>
          </cell>
          <cell r="I118">
            <v>71.981630769364173</v>
          </cell>
          <cell r="J118">
            <v>80.979334615534697</v>
          </cell>
          <cell r="K118">
            <v>89.97703846170522</v>
          </cell>
          <cell r="L118">
            <v>67.482778846278919</v>
          </cell>
          <cell r="M118">
            <v>4.4988519230852608</v>
          </cell>
          <cell r="P118">
            <v>54.65</v>
          </cell>
          <cell r="Q118">
            <v>18.976293153782482</v>
          </cell>
          <cell r="R118">
            <v>31.627155256304139</v>
          </cell>
          <cell r="S118">
            <v>44.278017358825792</v>
          </cell>
          <cell r="T118">
            <v>56.928879461347449</v>
          </cell>
          <cell r="U118">
            <v>69.579741563869106</v>
          </cell>
          <cell r="V118">
            <v>82.230603666390763</v>
          </cell>
          <cell r="W118">
            <v>94.88146576891242</v>
          </cell>
          <cell r="X118">
            <v>63.254310512608278</v>
          </cell>
          <cell r="Y118">
            <v>6.3254310512608276</v>
          </cell>
          <cell r="AA118">
            <v>52.5</v>
          </cell>
          <cell r="AB118">
            <v>38.904376918479556</v>
          </cell>
          <cell r="AC118">
            <v>58.356565377719335</v>
          </cell>
          <cell r="AD118">
            <v>77.808753836959113</v>
          </cell>
          <cell r="AE118">
            <v>97.260942296198891</v>
          </cell>
          <cell r="AF118">
            <v>116.71313075543867</v>
          </cell>
          <cell r="AG118">
            <v>38.904376918479556</v>
          </cell>
          <cell r="AK118">
            <v>69.400000000000006</v>
          </cell>
          <cell r="AL118">
            <v>41.906279682608066</v>
          </cell>
          <cell r="AM118">
            <v>52.382849603260084</v>
          </cell>
          <cell r="AN118">
            <v>62.859419523912095</v>
          </cell>
          <cell r="AO118">
            <v>73.33598944456412</v>
          </cell>
          <cell r="AP118">
            <v>83.812559365216131</v>
          </cell>
          <cell r="AQ118">
            <v>94.289129285868142</v>
          </cell>
          <cell r="AR118">
            <v>104.76569920652017</v>
          </cell>
          <cell r="AS118">
            <v>78.574274404890119</v>
          </cell>
          <cell r="AT118">
            <v>5.2382849603260082</v>
          </cell>
          <cell r="AW118">
            <v>69.400000000000006</v>
          </cell>
          <cell r="AX118">
            <v>31.553372256787291</v>
          </cell>
          <cell r="AY118">
            <v>44.174721159502212</v>
          </cell>
          <cell r="AZ118">
            <v>56.796070062217126</v>
          </cell>
          <cell r="BA118">
            <v>69.41741896493204</v>
          </cell>
          <cell r="BB118">
            <v>82.038767867646968</v>
          </cell>
          <cell r="BC118">
            <v>94.660116770361881</v>
          </cell>
          <cell r="BD118">
            <v>63.106744513574583</v>
          </cell>
          <cell r="BE118">
            <v>6.3106744513574586</v>
          </cell>
          <cell r="BG118">
            <v>69.400000000000006</v>
          </cell>
          <cell r="BH118">
            <v>29.989916605681493</v>
          </cell>
          <cell r="BI118">
            <v>44.984874908522244</v>
          </cell>
          <cell r="BJ118">
            <v>59.979833211362987</v>
          </cell>
          <cell r="BK118">
            <v>74.97479151420373</v>
          </cell>
          <cell r="BL118">
            <v>89.969749817044487</v>
          </cell>
          <cell r="BM118">
            <v>29.989916605681493</v>
          </cell>
          <cell r="BQ118">
            <v>69.75</v>
          </cell>
          <cell r="BR118">
            <v>29.37775400856524</v>
          </cell>
          <cell r="BS118">
            <v>39.170338678086985</v>
          </cell>
          <cell r="BT118">
            <v>48.962923347608729</v>
          </cell>
          <cell r="BU118">
            <v>58.755508017130481</v>
          </cell>
          <cell r="BV118">
            <v>68.548092686652225</v>
          </cell>
          <cell r="BW118">
            <v>78.34067735617397</v>
          </cell>
          <cell r="BX118">
            <v>88.133262025695714</v>
          </cell>
          <cell r="BY118">
            <v>97.925846695217459</v>
          </cell>
          <cell r="BZ118">
            <v>4.8962923347608731</v>
          </cell>
          <cell r="CC118">
            <v>69.75</v>
          </cell>
          <cell r="CD118">
            <v>26.9350973382214</v>
          </cell>
          <cell r="CE118">
            <v>37.709136273509962</v>
          </cell>
          <cell r="CF118">
            <v>48.483175208798521</v>
          </cell>
          <cell r="CG118">
            <v>59.257214144087079</v>
          </cell>
          <cell r="CH118">
            <v>70.031253079375645</v>
          </cell>
          <cell r="CI118">
            <v>80.805292014664204</v>
          </cell>
          <cell r="CJ118">
            <v>53.8701946764428</v>
          </cell>
          <cell r="CK118">
            <v>5.3870194676442802</v>
          </cell>
          <cell r="CM118">
            <v>69.75</v>
          </cell>
          <cell r="CN118">
            <v>22.729909387505025</v>
          </cell>
          <cell r="CO118">
            <v>45.459818775010049</v>
          </cell>
          <cell r="CP118">
            <v>68.189728162515081</v>
          </cell>
          <cell r="CQ118">
            <v>90.919637550020099</v>
          </cell>
          <cell r="CR118">
            <v>113.64954693752512</v>
          </cell>
          <cell r="CS118">
            <v>136.37945632503016</v>
          </cell>
          <cell r="CT118">
            <v>45.459818775010049</v>
          </cell>
          <cell r="CX118">
            <v>11.3</v>
          </cell>
          <cell r="CY118">
            <v>7.8222043000150299</v>
          </cell>
          <cell r="CZ118">
            <v>9.7777553750187867</v>
          </cell>
          <cell r="DA118">
            <v>11.733306450022544</v>
          </cell>
          <cell r="DB118">
            <v>13.688857525026302</v>
          </cell>
          <cell r="DC118">
            <v>15.64440860003006</v>
          </cell>
          <cell r="DD118">
            <v>17.599959675033816</v>
          </cell>
          <cell r="DE118">
            <v>19.555510750037573</v>
          </cell>
          <cell r="DF118">
            <v>14.666633062528181</v>
          </cell>
          <cell r="DG118">
            <v>0.97777553750187873</v>
          </cell>
          <cell r="DJ118">
            <v>11.3</v>
          </cell>
          <cell r="DK118">
            <v>6.1526321259526053</v>
          </cell>
          <cell r="DL118">
            <v>8.6136849763336478</v>
          </cell>
          <cell r="DM118">
            <v>11.074737826714689</v>
          </cell>
          <cell r="DN118">
            <v>13.535790677095731</v>
          </cell>
          <cell r="DO118">
            <v>15.996843527476774</v>
          </cell>
          <cell r="DP118">
            <v>18.457896377857814</v>
          </cell>
          <cell r="DQ118">
            <v>12.305264251905211</v>
          </cell>
          <cell r="DR118">
            <v>1.230526425190521</v>
          </cell>
          <cell r="DT118">
            <v>11.3</v>
          </cell>
          <cell r="DU118">
            <v>4.6385970790670976</v>
          </cell>
          <cell r="DV118">
            <v>9.2771941581341952</v>
          </cell>
          <cell r="DW118">
            <v>13.915791237201294</v>
          </cell>
          <cell r="DX118">
            <v>18.55438831626839</v>
          </cell>
          <cell r="DY118">
            <v>23.192985395335487</v>
          </cell>
          <cell r="DZ118">
            <v>27.831582474402587</v>
          </cell>
          <cell r="EA118">
            <v>9.2771941581341952</v>
          </cell>
          <cell r="EE118">
            <v>3.4750000000000001</v>
          </cell>
          <cell r="EF118">
            <v>3.2508495543098044</v>
          </cell>
          <cell r="EG118">
            <v>3.9010194651717649</v>
          </cell>
          <cell r="EH118">
            <v>4.5511893760337259</v>
          </cell>
          <cell r="EI118">
            <v>5.2013592868956868</v>
          </cell>
          <cell r="EJ118">
            <v>5.8515291977576478</v>
          </cell>
          <cell r="EK118">
            <v>6.5016991086196088</v>
          </cell>
          <cell r="EL118">
            <v>4.8762743314647068</v>
          </cell>
          <cell r="EM118">
            <v>0.32508495543098043</v>
          </cell>
          <cell r="EP118">
            <v>3.4750000000000001</v>
          </cell>
          <cell r="EQ118">
            <v>1.4678822757693846</v>
          </cell>
          <cell r="ER118">
            <v>2.0550351860771383</v>
          </cell>
          <cell r="ES118">
            <v>2.6421880963848925</v>
          </cell>
          <cell r="ET118">
            <v>3.2293410066926462</v>
          </cell>
          <cell r="EU118">
            <v>3.8164939170004</v>
          </cell>
          <cell r="EV118">
            <v>4.4036468273081537</v>
          </cell>
          <cell r="EW118">
            <v>2.9357645515387691</v>
          </cell>
          <cell r="EX118">
            <v>0.29357645515387693</v>
          </cell>
          <cell r="EZ118">
            <v>3.4750000000000001</v>
          </cell>
          <cell r="FA118">
            <v>1.4693521489747496</v>
          </cell>
          <cell r="FB118">
            <v>2.9387042979494993</v>
          </cell>
          <cell r="FC118">
            <v>4.4080564469242489</v>
          </cell>
          <cell r="FD118">
            <v>5.8774085958989986</v>
          </cell>
          <cell r="FE118">
            <v>7.3467607448737482</v>
          </cell>
          <cell r="FF118">
            <v>8.8161128938484978</v>
          </cell>
          <cell r="FG118">
            <v>2.9387042979494993</v>
          </cell>
        </row>
        <row r="119">
          <cell r="A119">
            <v>38960</v>
          </cell>
          <cell r="B119">
            <v>52.5</v>
          </cell>
          <cell r="C119">
            <v>18.227785490616977</v>
          </cell>
          <cell r="D119">
            <v>27.341678235925464</v>
          </cell>
          <cell r="E119">
            <v>36.455570981233954</v>
          </cell>
          <cell r="F119">
            <v>45.569463726542445</v>
          </cell>
          <cell r="G119">
            <v>54.683356471850928</v>
          </cell>
          <cell r="H119">
            <v>63.797249217159418</v>
          </cell>
          <cell r="I119">
            <v>72.911141962467909</v>
          </cell>
          <cell r="J119">
            <v>82.025034707776399</v>
          </cell>
          <cell r="K119">
            <v>91.138927453084889</v>
          </cell>
          <cell r="L119">
            <v>68.354195589813671</v>
          </cell>
          <cell r="M119">
            <v>4.5569463726542443</v>
          </cell>
          <cell r="P119">
            <v>54.65</v>
          </cell>
          <cell r="Q119">
            <v>19.522135431578175</v>
          </cell>
          <cell r="R119">
            <v>32.536892385963625</v>
          </cell>
          <cell r="S119">
            <v>45.551649340349073</v>
          </cell>
          <cell r="T119">
            <v>58.56640629473452</v>
          </cell>
          <cell r="U119">
            <v>71.581163249119967</v>
          </cell>
          <cell r="V119">
            <v>84.595920203505415</v>
          </cell>
          <cell r="W119">
            <v>97.610677157890862</v>
          </cell>
          <cell r="X119">
            <v>65.073784771927251</v>
          </cell>
          <cell r="Y119">
            <v>6.5073784771927246</v>
          </cell>
          <cell r="AA119">
            <v>52.5</v>
          </cell>
          <cell r="AB119">
            <v>39.242568223852899</v>
          </cell>
          <cell r="AC119">
            <v>58.863852335779349</v>
          </cell>
          <cell r="AD119">
            <v>78.485136447705798</v>
          </cell>
          <cell r="AE119">
            <v>98.106420559632255</v>
          </cell>
          <cell r="AF119">
            <v>117.7277046715587</v>
          </cell>
          <cell r="AG119">
            <v>39.242568223852899</v>
          </cell>
          <cell r="AK119">
            <v>69.400000000000006</v>
          </cell>
          <cell r="AL119">
            <v>42.649410572527266</v>
          </cell>
          <cell r="AM119">
            <v>53.311763215659084</v>
          </cell>
          <cell r="AN119">
            <v>63.974115858790896</v>
          </cell>
          <cell r="AO119">
            <v>74.636468501922721</v>
          </cell>
          <cell r="AP119">
            <v>85.298821145054532</v>
          </cell>
          <cell r="AQ119">
            <v>95.961173788186343</v>
          </cell>
          <cell r="AR119">
            <v>106.62352643131817</v>
          </cell>
          <cell r="AS119">
            <v>79.967644823488627</v>
          </cell>
          <cell r="AT119">
            <v>5.3311763215659083</v>
          </cell>
          <cell r="AW119">
            <v>69.400000000000006</v>
          </cell>
          <cell r="AX119">
            <v>32.063964482932732</v>
          </cell>
          <cell r="AY119">
            <v>44.889550276105822</v>
          </cell>
          <cell r="AZ119">
            <v>57.715136069278913</v>
          </cell>
          <cell r="BA119">
            <v>70.540721862452003</v>
          </cell>
          <cell r="BB119">
            <v>83.366307655625093</v>
          </cell>
          <cell r="BC119">
            <v>96.191893448798183</v>
          </cell>
          <cell r="BD119">
            <v>64.127928965865465</v>
          </cell>
          <cell r="BE119">
            <v>6.4127928965865459</v>
          </cell>
          <cell r="BG119">
            <v>69.400000000000006</v>
          </cell>
          <cell r="BH119">
            <v>30.232991719494088</v>
          </cell>
          <cell r="BI119">
            <v>45.349487579241128</v>
          </cell>
          <cell r="BJ119">
            <v>60.465983438988175</v>
          </cell>
          <cell r="BK119">
            <v>75.582479298735223</v>
          </cell>
          <cell r="BL119">
            <v>90.698975158482256</v>
          </cell>
          <cell r="BM119">
            <v>30.232991719494088</v>
          </cell>
          <cell r="BQ119">
            <v>69.75</v>
          </cell>
          <cell r="BR119">
            <v>29.481032994499778</v>
          </cell>
          <cell r="BS119">
            <v>39.30804399266637</v>
          </cell>
          <cell r="BT119">
            <v>49.135054990832963</v>
          </cell>
          <cell r="BU119">
            <v>58.962065988999555</v>
          </cell>
          <cell r="BV119">
            <v>68.78907698716614</v>
          </cell>
          <cell r="BW119">
            <v>78.61608798533274</v>
          </cell>
          <cell r="BX119">
            <v>88.44309898349934</v>
          </cell>
          <cell r="BY119">
            <v>98.270109981665925</v>
          </cell>
          <cell r="BZ119">
            <v>4.9135054990832963</v>
          </cell>
          <cell r="CC119">
            <v>69.75</v>
          </cell>
          <cell r="CD119">
            <v>27.503533397449505</v>
          </cell>
          <cell r="CE119">
            <v>38.504946756429305</v>
          </cell>
          <cell r="CF119">
            <v>49.506360115409109</v>
          </cell>
          <cell r="CG119">
            <v>60.507773474388912</v>
          </cell>
          <cell r="CH119">
            <v>71.509186833368716</v>
          </cell>
          <cell r="CI119">
            <v>82.510600192348519</v>
          </cell>
          <cell r="CJ119">
            <v>55.007066794899011</v>
          </cell>
          <cell r="CK119">
            <v>5.5007066794899009</v>
          </cell>
          <cell r="CM119">
            <v>69.75</v>
          </cell>
          <cell r="CN119">
            <v>22.85876231354009</v>
          </cell>
          <cell r="CO119">
            <v>45.717524627080181</v>
          </cell>
          <cell r="CP119">
            <v>68.576286940620264</v>
          </cell>
          <cell r="CQ119">
            <v>91.435049254160361</v>
          </cell>
          <cell r="CR119">
            <v>114.29381156770046</v>
          </cell>
          <cell r="CS119">
            <v>137.15257388124053</v>
          </cell>
          <cell r="CT119">
            <v>45.717524627080181</v>
          </cell>
          <cell r="CX119">
            <v>11.3</v>
          </cell>
          <cell r="CY119">
            <v>7.8985705515596996</v>
          </cell>
          <cell r="CZ119">
            <v>9.8732131894496238</v>
          </cell>
          <cell r="DA119">
            <v>11.847855827339549</v>
          </cell>
          <cell r="DB119">
            <v>13.822498465229474</v>
          </cell>
          <cell r="DC119">
            <v>15.797141103119399</v>
          </cell>
          <cell r="DD119">
            <v>17.771783741009322</v>
          </cell>
          <cell r="DE119">
            <v>19.746426378899248</v>
          </cell>
          <cell r="DF119">
            <v>14.809819784174437</v>
          </cell>
          <cell r="DG119">
            <v>0.98732131894496244</v>
          </cell>
          <cell r="DJ119">
            <v>11.3</v>
          </cell>
          <cell r="DK119">
            <v>6.2733138349997244</v>
          </cell>
          <cell r="DL119">
            <v>8.7826393689996145</v>
          </cell>
          <cell r="DM119">
            <v>11.291964902999503</v>
          </cell>
          <cell r="DN119">
            <v>13.801290436999393</v>
          </cell>
          <cell r="DO119">
            <v>16.310615970999283</v>
          </cell>
          <cell r="DP119">
            <v>18.819941504999171</v>
          </cell>
          <cell r="DQ119">
            <v>12.546627669999449</v>
          </cell>
          <cell r="DR119">
            <v>1.2546627669999448</v>
          </cell>
          <cell r="DT119">
            <v>11.3</v>
          </cell>
          <cell r="DU119">
            <v>4.6463505771549869</v>
          </cell>
          <cell r="DV119">
            <v>9.2927011543099738</v>
          </cell>
          <cell r="DW119">
            <v>13.939051731464961</v>
          </cell>
          <cell r="DX119">
            <v>18.585402308619948</v>
          </cell>
          <cell r="DY119">
            <v>23.231752885774934</v>
          </cell>
          <cell r="DZ119">
            <v>27.878103462929921</v>
          </cell>
          <cell r="EA119">
            <v>9.2927011543099738</v>
          </cell>
          <cell r="EE119">
            <v>3.4750000000000001</v>
          </cell>
          <cell r="EF119">
            <v>3.2217088455406593</v>
          </cell>
          <cell r="EG119">
            <v>3.8660506146487914</v>
          </cell>
          <cell r="EH119">
            <v>4.5103923837569235</v>
          </cell>
          <cell r="EI119">
            <v>5.1547341528650552</v>
          </cell>
          <cell r="EJ119">
            <v>5.7990759219731869</v>
          </cell>
          <cell r="EK119">
            <v>6.4434176910813186</v>
          </cell>
          <cell r="EL119">
            <v>4.8325632683109889</v>
          </cell>
          <cell r="EM119">
            <v>0.32217088455406595</v>
          </cell>
          <cell r="EP119">
            <v>3.4750000000000001</v>
          </cell>
          <cell r="EQ119">
            <v>1.481706739990015</v>
          </cell>
          <cell r="ER119">
            <v>2.0743894359860211</v>
          </cell>
          <cell r="ES119">
            <v>2.6670721319820268</v>
          </cell>
          <cell r="ET119">
            <v>3.2597548279780328</v>
          </cell>
          <cell r="EU119">
            <v>3.8524375239740389</v>
          </cell>
          <cell r="EV119">
            <v>4.445120219970045</v>
          </cell>
          <cell r="EW119">
            <v>2.96341347998003</v>
          </cell>
          <cell r="EX119">
            <v>0.29634134799800299</v>
          </cell>
          <cell r="EZ119">
            <v>3.4750000000000001</v>
          </cell>
          <cell r="FA119">
            <v>1.4676847790781673</v>
          </cell>
          <cell r="FB119">
            <v>2.9353695581563346</v>
          </cell>
          <cell r="FC119">
            <v>4.4030543372345017</v>
          </cell>
          <cell r="FD119">
            <v>5.8707391163126692</v>
          </cell>
          <cell r="FE119">
            <v>7.3384238953908367</v>
          </cell>
          <cell r="FF119">
            <v>8.8061086744690034</v>
          </cell>
          <cell r="FG119">
            <v>2.9353695581563346</v>
          </cell>
        </row>
        <row r="120">
          <cell r="A120">
            <v>38990</v>
          </cell>
          <cell r="B120">
            <v>52.5</v>
          </cell>
          <cell r="C120">
            <v>18.460163288892911</v>
          </cell>
          <cell r="D120">
            <v>27.690244933339365</v>
          </cell>
          <cell r="E120">
            <v>36.920326577785822</v>
          </cell>
          <cell r="F120">
            <v>46.150408222232279</v>
          </cell>
          <cell r="G120">
            <v>55.38048986667873</v>
          </cell>
          <cell r="H120">
            <v>64.610571511125187</v>
          </cell>
          <cell r="I120">
            <v>73.840653155571644</v>
          </cell>
          <cell r="J120">
            <v>83.070734800018101</v>
          </cell>
          <cell r="K120">
            <v>92.300816444464559</v>
          </cell>
          <cell r="L120">
            <v>69.225612333348423</v>
          </cell>
          <cell r="M120">
            <v>4.6150408222232278</v>
          </cell>
          <cell r="P120">
            <v>54.65</v>
          </cell>
          <cell r="Q120">
            <v>20.067977709373864</v>
          </cell>
          <cell r="R120">
            <v>33.446629515623108</v>
          </cell>
          <cell r="S120">
            <v>46.825281321872353</v>
          </cell>
          <cell r="T120">
            <v>60.203933128121591</v>
          </cell>
          <cell r="U120">
            <v>73.582584934370843</v>
          </cell>
          <cell r="V120">
            <v>86.96123674062008</v>
          </cell>
          <cell r="W120">
            <v>100.33988854686932</v>
          </cell>
          <cell r="X120">
            <v>66.893259031246217</v>
          </cell>
          <cell r="Y120">
            <v>6.6893259031246215</v>
          </cell>
          <cell r="AA120">
            <v>52.5</v>
          </cell>
          <cell r="AB120">
            <v>39.580759529226242</v>
          </cell>
          <cell r="AC120">
            <v>59.371139293839363</v>
          </cell>
          <cell r="AD120">
            <v>79.161519058452484</v>
          </cell>
          <cell r="AE120">
            <v>98.951898823065605</v>
          </cell>
          <cell r="AF120">
            <v>118.74227858767873</v>
          </cell>
          <cell r="AG120">
            <v>39.580759529226242</v>
          </cell>
          <cell r="AK120">
            <v>69.400000000000006</v>
          </cell>
          <cell r="AL120">
            <v>43.392541462446466</v>
          </cell>
          <cell r="AM120">
            <v>54.240676828058085</v>
          </cell>
          <cell r="AN120">
            <v>65.088812193669696</v>
          </cell>
          <cell r="AO120">
            <v>75.936947559281322</v>
          </cell>
          <cell r="AP120">
            <v>86.785082924892933</v>
          </cell>
          <cell r="AQ120">
            <v>97.633218290504544</v>
          </cell>
          <cell r="AR120">
            <v>108.48135365611617</v>
          </cell>
          <cell r="AS120">
            <v>81.36101524208712</v>
          </cell>
          <cell r="AT120">
            <v>5.4240676828058083</v>
          </cell>
          <cell r="AW120">
            <v>69.400000000000006</v>
          </cell>
          <cell r="AX120">
            <v>32.574556709078166</v>
          </cell>
          <cell r="AY120">
            <v>45.604379392709433</v>
          </cell>
          <cell r="AZ120">
            <v>58.634202076340699</v>
          </cell>
          <cell r="BA120">
            <v>71.664024759971966</v>
          </cell>
          <cell r="BB120">
            <v>84.693847443603232</v>
          </cell>
          <cell r="BC120">
            <v>97.723670127234499</v>
          </cell>
          <cell r="BD120">
            <v>65.149113418156333</v>
          </cell>
          <cell r="BE120">
            <v>6.5149113418156333</v>
          </cell>
          <cell r="BG120">
            <v>69.400000000000006</v>
          </cell>
          <cell r="BH120">
            <v>30.476066833306682</v>
          </cell>
          <cell r="BI120">
            <v>45.714100249960026</v>
          </cell>
          <cell r="BJ120">
            <v>60.952133666613364</v>
          </cell>
          <cell r="BK120">
            <v>76.190167083266701</v>
          </cell>
          <cell r="BL120">
            <v>91.428200499920052</v>
          </cell>
          <cell r="BM120">
            <v>30.476066833306682</v>
          </cell>
          <cell r="BQ120">
            <v>69.75</v>
          </cell>
          <cell r="BR120">
            <v>29.584311980434315</v>
          </cell>
          <cell r="BS120">
            <v>39.445749307245755</v>
          </cell>
          <cell r="BT120">
            <v>49.307186634057196</v>
          </cell>
          <cell r="BU120">
            <v>59.168623960868629</v>
          </cell>
          <cell r="BV120">
            <v>69.03006128768007</v>
          </cell>
          <cell r="BW120">
            <v>78.89149861449151</v>
          </cell>
          <cell r="BX120">
            <v>88.752935941302951</v>
          </cell>
          <cell r="BY120">
            <v>98.614373268114392</v>
          </cell>
          <cell r="BZ120">
            <v>4.9307186634057194</v>
          </cell>
          <cell r="CC120">
            <v>69.75</v>
          </cell>
          <cell r="CD120">
            <v>28.071969456677607</v>
          </cell>
          <cell r="CE120">
            <v>39.300757239348648</v>
          </cell>
          <cell r="CF120">
            <v>50.529545022019697</v>
          </cell>
          <cell r="CG120">
            <v>61.758332804690738</v>
          </cell>
          <cell r="CH120">
            <v>72.987120587361787</v>
          </cell>
          <cell r="CI120">
            <v>84.215908370032821</v>
          </cell>
          <cell r="CJ120">
            <v>56.143938913355214</v>
          </cell>
          <cell r="CK120">
            <v>5.6143938913355216</v>
          </cell>
          <cell r="CM120">
            <v>69.75</v>
          </cell>
          <cell r="CN120">
            <v>22.987615239575156</v>
          </cell>
          <cell r="CO120">
            <v>45.975230479150312</v>
          </cell>
          <cell r="CP120">
            <v>68.962845718725475</v>
          </cell>
          <cell r="CQ120">
            <v>91.950460958300624</v>
          </cell>
          <cell r="CR120">
            <v>114.93807619787577</v>
          </cell>
          <cell r="CS120">
            <v>137.92569143745095</v>
          </cell>
          <cell r="CT120">
            <v>45.975230479150312</v>
          </cell>
          <cell r="CX120">
            <v>11.3</v>
          </cell>
          <cell r="CY120">
            <v>7.9749368031043693</v>
          </cell>
          <cell r="CZ120">
            <v>9.9686710038804609</v>
          </cell>
          <cell r="DA120">
            <v>11.962405204656553</v>
          </cell>
          <cell r="DB120">
            <v>13.956139405432646</v>
          </cell>
          <cell r="DC120">
            <v>15.949873606208739</v>
          </cell>
          <cell r="DD120">
            <v>17.943607806984829</v>
          </cell>
          <cell r="DE120">
            <v>19.937342007760922</v>
          </cell>
          <cell r="DF120">
            <v>14.953006505820692</v>
          </cell>
          <cell r="DG120">
            <v>0.99686710038804616</v>
          </cell>
          <cell r="DJ120">
            <v>11.3</v>
          </cell>
          <cell r="DK120">
            <v>6.3939955440468434</v>
          </cell>
          <cell r="DL120">
            <v>8.9515937616655812</v>
          </cell>
          <cell r="DM120">
            <v>11.509191979284317</v>
          </cell>
          <cell r="DN120">
            <v>14.066790196903055</v>
          </cell>
          <cell r="DO120">
            <v>16.624388414521793</v>
          </cell>
          <cell r="DP120">
            <v>19.181986632140529</v>
          </cell>
          <cell r="DQ120">
            <v>12.787991088093687</v>
          </cell>
          <cell r="DR120">
            <v>1.2787991088093686</v>
          </cell>
          <cell r="DT120">
            <v>11.3</v>
          </cell>
          <cell r="DU120">
            <v>4.6541040752428762</v>
          </cell>
          <cell r="DV120">
            <v>9.3082081504857523</v>
          </cell>
          <cell r="DW120">
            <v>13.962312225728628</v>
          </cell>
          <cell r="DX120">
            <v>18.616416300971505</v>
          </cell>
          <cell r="DY120">
            <v>23.270520376214382</v>
          </cell>
          <cell r="DZ120">
            <v>27.924624451457255</v>
          </cell>
          <cell r="EA120">
            <v>9.3082081504857523</v>
          </cell>
          <cell r="EE120">
            <v>3.4750000000000001</v>
          </cell>
          <cell r="EF120">
            <v>3.1925681367715146</v>
          </cell>
          <cell r="EG120">
            <v>3.8310817641258179</v>
          </cell>
          <cell r="EH120">
            <v>4.4695953914801203</v>
          </cell>
          <cell r="EI120">
            <v>5.1081090188344236</v>
          </cell>
          <cell r="EJ120">
            <v>5.7466226461887269</v>
          </cell>
          <cell r="EK120">
            <v>6.3851362735430293</v>
          </cell>
          <cell r="EL120">
            <v>4.7888522051572719</v>
          </cell>
          <cell r="EM120">
            <v>0.31925681367715147</v>
          </cell>
          <cell r="EP120">
            <v>3.4750000000000001</v>
          </cell>
          <cell r="EQ120">
            <v>1.4955312042106452</v>
          </cell>
          <cell r="ER120">
            <v>2.0937436858949035</v>
          </cell>
          <cell r="ES120">
            <v>2.6919561675791615</v>
          </cell>
          <cell r="ET120">
            <v>3.2901686492634195</v>
          </cell>
          <cell r="EU120">
            <v>3.8883811309476779</v>
          </cell>
          <cell r="EV120">
            <v>4.4865936126319355</v>
          </cell>
          <cell r="EW120">
            <v>2.9910624084212905</v>
          </cell>
          <cell r="EX120">
            <v>0.29910624084212906</v>
          </cell>
          <cell r="EZ120">
            <v>3.4750000000000001</v>
          </cell>
          <cell r="FA120">
            <v>1.466017409181585</v>
          </cell>
          <cell r="FB120">
            <v>2.9320348183631699</v>
          </cell>
          <cell r="FC120">
            <v>4.3980522275447544</v>
          </cell>
          <cell r="FD120">
            <v>5.8640696367263399</v>
          </cell>
          <cell r="FE120">
            <v>7.3300870459079253</v>
          </cell>
          <cell r="FF120">
            <v>8.7961044550895089</v>
          </cell>
          <cell r="FG120">
            <v>2.9320348183631699</v>
          </cell>
        </row>
        <row r="121">
          <cell r="A121">
            <v>39021</v>
          </cell>
          <cell r="B121">
            <v>52.5</v>
          </cell>
          <cell r="C121">
            <v>18.692541087168845</v>
          </cell>
          <cell r="D121">
            <v>28.038811630753266</v>
          </cell>
          <cell r="E121">
            <v>37.38508217433769</v>
          </cell>
          <cell r="F121">
            <v>46.731352717922114</v>
          </cell>
          <cell r="G121">
            <v>56.077623261506531</v>
          </cell>
          <cell r="H121">
            <v>65.423893805090955</v>
          </cell>
          <cell r="I121">
            <v>74.77016434867538</v>
          </cell>
          <cell r="J121">
            <v>84.116434892259804</v>
          </cell>
          <cell r="K121">
            <v>93.462705435844228</v>
          </cell>
          <cell r="L121">
            <v>70.097029076883175</v>
          </cell>
          <cell r="M121">
            <v>4.6731352717922112</v>
          </cell>
          <cell r="P121">
            <v>54.65</v>
          </cell>
          <cell r="Q121">
            <v>20.613819987169556</v>
          </cell>
          <cell r="R121">
            <v>34.356366645282591</v>
          </cell>
          <cell r="S121">
            <v>48.098913303395626</v>
          </cell>
          <cell r="T121">
            <v>61.841459961508669</v>
          </cell>
          <cell r="U121">
            <v>75.584006619621704</v>
          </cell>
          <cell r="V121">
            <v>89.326553277734746</v>
          </cell>
          <cell r="W121">
            <v>103.06909993584777</v>
          </cell>
          <cell r="X121">
            <v>68.712733290565183</v>
          </cell>
          <cell r="Y121">
            <v>6.8712733290565184</v>
          </cell>
          <cell r="AA121">
            <v>52.5</v>
          </cell>
          <cell r="AB121">
            <v>39.918950834599585</v>
          </cell>
          <cell r="AC121">
            <v>59.878426251899377</v>
          </cell>
          <cell r="AD121">
            <v>79.837901669199169</v>
          </cell>
          <cell r="AE121">
            <v>99.797377086498955</v>
          </cell>
          <cell r="AF121">
            <v>119.75685250379875</v>
          </cell>
          <cell r="AG121">
            <v>39.918950834599585</v>
          </cell>
          <cell r="AK121">
            <v>69.400000000000006</v>
          </cell>
          <cell r="AL121">
            <v>44.135672352365667</v>
          </cell>
          <cell r="AM121">
            <v>55.169590440457085</v>
          </cell>
          <cell r="AN121">
            <v>66.203508528548497</v>
          </cell>
          <cell r="AO121">
            <v>77.237426616639922</v>
          </cell>
          <cell r="AP121">
            <v>88.271344704731334</v>
          </cell>
          <cell r="AQ121">
            <v>99.305262792822745</v>
          </cell>
          <cell r="AR121">
            <v>110.33918088091417</v>
          </cell>
          <cell r="AS121">
            <v>82.754385660685628</v>
          </cell>
          <cell r="AT121">
            <v>5.5169590440457084</v>
          </cell>
          <cell r="AW121">
            <v>69.400000000000006</v>
          </cell>
          <cell r="AX121">
            <v>33.0851489352236</v>
          </cell>
          <cell r="AY121">
            <v>46.319208509313043</v>
          </cell>
          <cell r="AZ121">
            <v>59.553268083402486</v>
          </cell>
          <cell r="BA121">
            <v>72.787327657491929</v>
          </cell>
          <cell r="BB121">
            <v>86.021387231581372</v>
          </cell>
          <cell r="BC121">
            <v>99.255446805670815</v>
          </cell>
          <cell r="BD121">
            <v>66.1702978704472</v>
          </cell>
          <cell r="BE121">
            <v>6.6170297870447206</v>
          </cell>
          <cell r="BG121">
            <v>69.400000000000006</v>
          </cell>
          <cell r="BH121">
            <v>30.719141947119276</v>
          </cell>
          <cell r="BI121">
            <v>46.07871292067891</v>
          </cell>
          <cell r="BJ121">
            <v>61.438283894238552</v>
          </cell>
          <cell r="BK121">
            <v>76.797854867798193</v>
          </cell>
          <cell r="BL121">
            <v>92.157425841357821</v>
          </cell>
          <cell r="BM121">
            <v>30.719141947119276</v>
          </cell>
          <cell r="BQ121">
            <v>69.75</v>
          </cell>
          <cell r="BR121">
            <v>29.687590966368855</v>
          </cell>
          <cell r="BS121">
            <v>39.58345462182514</v>
          </cell>
          <cell r="BT121">
            <v>49.479318277281422</v>
          </cell>
          <cell r="BU121">
            <v>59.375181932737711</v>
          </cell>
          <cell r="BV121">
            <v>69.271045588193999</v>
          </cell>
          <cell r="BW121">
            <v>79.166909243650281</v>
          </cell>
          <cell r="BX121">
            <v>89.062772899106562</v>
          </cell>
          <cell r="BY121">
            <v>98.958636554562844</v>
          </cell>
          <cell r="BZ121">
            <v>4.9479318277281426</v>
          </cell>
          <cell r="CC121">
            <v>69.75</v>
          </cell>
          <cell r="CD121">
            <v>28.640405515905712</v>
          </cell>
          <cell r="CE121">
            <v>40.096567722267999</v>
          </cell>
          <cell r="CF121">
            <v>51.552729928630278</v>
          </cell>
          <cell r="CG121">
            <v>63.008892134992564</v>
          </cell>
          <cell r="CH121">
            <v>74.465054341354843</v>
          </cell>
          <cell r="CI121">
            <v>85.921216547717137</v>
          </cell>
          <cell r="CJ121">
            <v>57.280811031811425</v>
          </cell>
          <cell r="CK121">
            <v>5.7280811031811423</v>
          </cell>
          <cell r="CM121">
            <v>69.75</v>
          </cell>
          <cell r="CN121">
            <v>23.116468165610222</v>
          </cell>
          <cell r="CO121">
            <v>46.232936331220444</v>
          </cell>
          <cell r="CP121">
            <v>69.349404496830658</v>
          </cell>
          <cell r="CQ121">
            <v>92.465872662440887</v>
          </cell>
          <cell r="CR121">
            <v>115.58234082805112</v>
          </cell>
          <cell r="CS121">
            <v>138.69880899366132</v>
          </cell>
          <cell r="CT121">
            <v>46.232936331220444</v>
          </cell>
          <cell r="CX121">
            <v>11.3</v>
          </cell>
          <cell r="CY121">
            <v>8.0513030546490381</v>
          </cell>
          <cell r="CZ121">
            <v>10.064128818311298</v>
          </cell>
          <cell r="DA121">
            <v>12.076954581973556</v>
          </cell>
          <cell r="DB121">
            <v>14.089780345635816</v>
          </cell>
          <cell r="DC121">
            <v>16.102606109298076</v>
          </cell>
          <cell r="DD121">
            <v>18.115431872960336</v>
          </cell>
          <cell r="DE121">
            <v>20.128257636622596</v>
          </cell>
          <cell r="DF121">
            <v>15.096193227466946</v>
          </cell>
          <cell r="DG121">
            <v>1.0064128818311298</v>
          </cell>
          <cell r="DJ121">
            <v>11.3</v>
          </cell>
          <cell r="DK121">
            <v>6.5146772530939625</v>
          </cell>
          <cell r="DL121">
            <v>9.1205481543315479</v>
          </cell>
          <cell r="DM121">
            <v>11.726419055569131</v>
          </cell>
          <cell r="DN121">
            <v>14.332289956806717</v>
          </cell>
          <cell r="DO121">
            <v>16.938160858044302</v>
          </cell>
          <cell r="DP121">
            <v>19.544031759281886</v>
          </cell>
          <cell r="DQ121">
            <v>13.029354506187925</v>
          </cell>
          <cell r="DR121">
            <v>1.3029354506187925</v>
          </cell>
          <cell r="DT121">
            <v>11.3</v>
          </cell>
          <cell r="DU121">
            <v>4.6618575733307654</v>
          </cell>
          <cell r="DV121">
            <v>9.3237151466615309</v>
          </cell>
          <cell r="DW121">
            <v>13.985572719992296</v>
          </cell>
          <cell r="DX121">
            <v>18.647430293323062</v>
          </cell>
          <cell r="DY121">
            <v>23.309287866653825</v>
          </cell>
          <cell r="DZ121">
            <v>27.971145439984593</v>
          </cell>
          <cell r="EA121">
            <v>9.3237151466615309</v>
          </cell>
          <cell r="EE121">
            <v>3.4750000000000001</v>
          </cell>
          <cell r="EF121">
            <v>3.16342742800237</v>
          </cell>
          <cell r="EG121">
            <v>3.796112913602844</v>
          </cell>
          <cell r="EH121">
            <v>4.428798399203318</v>
          </cell>
          <cell r="EI121">
            <v>5.061483884803792</v>
          </cell>
          <cell r="EJ121">
            <v>5.694169370404266</v>
          </cell>
          <cell r="EK121">
            <v>6.32685485600474</v>
          </cell>
          <cell r="EL121">
            <v>4.745141142003555</v>
          </cell>
          <cell r="EM121">
            <v>0.316342742800237</v>
          </cell>
          <cell r="EP121">
            <v>3.4750000000000001</v>
          </cell>
          <cell r="EQ121">
            <v>1.5093556684312757</v>
          </cell>
          <cell r="ER121">
            <v>2.1130979358037858</v>
          </cell>
          <cell r="ES121">
            <v>2.7168402031762962</v>
          </cell>
          <cell r="ET121">
            <v>3.3205824705488065</v>
          </cell>
          <cell r="EU121">
            <v>3.9243247379213164</v>
          </cell>
          <cell r="EV121">
            <v>4.5280670052938268</v>
          </cell>
          <cell r="EW121">
            <v>3.0187113368625513</v>
          </cell>
          <cell r="EX121">
            <v>0.30187113368625512</v>
          </cell>
          <cell r="EZ121">
            <v>3.4750000000000001</v>
          </cell>
          <cell r="FA121">
            <v>1.4643500392850026</v>
          </cell>
          <cell r="FB121">
            <v>2.9287000785700052</v>
          </cell>
          <cell r="FC121">
            <v>4.3930501178550081</v>
          </cell>
          <cell r="FD121">
            <v>5.8574001571400105</v>
          </cell>
          <cell r="FE121">
            <v>7.3217501964250129</v>
          </cell>
          <cell r="FF121">
            <v>8.7861002357100162</v>
          </cell>
          <cell r="FG121">
            <v>2.9287000785700052</v>
          </cell>
        </row>
        <row r="122">
          <cell r="A122">
            <v>39051</v>
          </cell>
          <cell r="B122">
            <v>52.5</v>
          </cell>
          <cell r="C122">
            <v>18.924918885444779</v>
          </cell>
          <cell r="D122">
            <v>28.387378328167166</v>
          </cell>
          <cell r="E122">
            <v>37.849837770889557</v>
          </cell>
          <cell r="F122">
            <v>47.312297213611949</v>
          </cell>
          <cell r="G122">
            <v>56.774756656334333</v>
          </cell>
          <cell r="H122">
            <v>66.237216099056724</v>
          </cell>
          <cell r="I122">
            <v>75.699675541779115</v>
          </cell>
          <cell r="J122">
            <v>85.162134984501506</v>
          </cell>
          <cell r="K122">
            <v>94.624594427223897</v>
          </cell>
          <cell r="L122">
            <v>70.968445820417926</v>
          </cell>
          <cell r="M122">
            <v>4.7312297213611947</v>
          </cell>
          <cell r="P122">
            <v>54.65</v>
          </cell>
          <cell r="Q122">
            <v>21.159662264965245</v>
          </cell>
          <cell r="R122">
            <v>35.266103774942074</v>
          </cell>
          <cell r="S122">
            <v>49.372545284918907</v>
          </cell>
          <cell r="T122">
            <v>63.478986794895739</v>
          </cell>
          <cell r="U122">
            <v>77.585428304872565</v>
          </cell>
          <cell r="V122">
            <v>91.691869814849397</v>
          </cell>
          <cell r="W122">
            <v>105.79831132482623</v>
          </cell>
          <cell r="X122">
            <v>70.532207549884149</v>
          </cell>
          <cell r="Y122">
            <v>7.0532207549884154</v>
          </cell>
          <cell r="AA122">
            <v>52.5</v>
          </cell>
          <cell r="AB122">
            <v>40.257142139972927</v>
          </cell>
          <cell r="AC122">
            <v>60.385713209959391</v>
          </cell>
          <cell r="AD122">
            <v>80.514284279945855</v>
          </cell>
          <cell r="AE122">
            <v>100.64285534993232</v>
          </cell>
          <cell r="AF122">
            <v>120.77142641991878</v>
          </cell>
          <cell r="AG122">
            <v>40.257142139972927</v>
          </cell>
          <cell r="AK122">
            <v>69.400000000000006</v>
          </cell>
          <cell r="AL122">
            <v>44.878803242284867</v>
          </cell>
          <cell r="AM122">
            <v>56.098504052856086</v>
          </cell>
          <cell r="AN122">
            <v>67.318204863427297</v>
          </cell>
          <cell r="AO122">
            <v>78.537905673998523</v>
          </cell>
          <cell r="AP122">
            <v>89.757606484569735</v>
          </cell>
          <cell r="AQ122">
            <v>100.97730729514095</v>
          </cell>
          <cell r="AR122">
            <v>112.19700810571217</v>
          </cell>
          <cell r="AS122">
            <v>84.147756079284122</v>
          </cell>
          <cell r="AT122">
            <v>5.6098504052856084</v>
          </cell>
          <cell r="AW122">
            <v>69.400000000000006</v>
          </cell>
          <cell r="AX122">
            <v>33.595741161369041</v>
          </cell>
          <cell r="AY122">
            <v>47.034037625916653</v>
          </cell>
          <cell r="AZ122">
            <v>60.472334090464273</v>
          </cell>
          <cell r="BA122">
            <v>73.910630555011892</v>
          </cell>
          <cell r="BB122">
            <v>87.348927019559497</v>
          </cell>
          <cell r="BC122">
            <v>100.78722348410712</v>
          </cell>
          <cell r="BD122">
            <v>67.191482322738082</v>
          </cell>
          <cell r="BE122">
            <v>6.7191482322738079</v>
          </cell>
          <cell r="BG122">
            <v>69.400000000000006</v>
          </cell>
          <cell r="BH122">
            <v>30.96221706093187</v>
          </cell>
          <cell r="BI122">
            <v>46.443325591397809</v>
          </cell>
          <cell r="BJ122">
            <v>61.92443412186374</v>
          </cell>
          <cell r="BK122">
            <v>77.405542652329672</v>
          </cell>
          <cell r="BL122">
            <v>92.886651182795617</v>
          </cell>
          <cell r="BM122">
            <v>30.96221706093187</v>
          </cell>
          <cell r="BQ122">
            <v>69.75</v>
          </cell>
          <cell r="BR122">
            <v>29.790869952303396</v>
          </cell>
          <cell r="BS122">
            <v>39.721159936404526</v>
          </cell>
          <cell r="BT122">
            <v>49.651449920505655</v>
          </cell>
          <cell r="BU122">
            <v>59.581739904606792</v>
          </cell>
          <cell r="BV122">
            <v>69.512029888707914</v>
          </cell>
          <cell r="BW122">
            <v>79.442319872809051</v>
          </cell>
          <cell r="BX122">
            <v>89.372609856910188</v>
          </cell>
          <cell r="BY122">
            <v>99.30289984101131</v>
          </cell>
          <cell r="BZ122">
            <v>4.9651449920505657</v>
          </cell>
          <cell r="CC122">
            <v>69.75</v>
          </cell>
          <cell r="CD122">
            <v>29.208841575133814</v>
          </cell>
          <cell r="CE122">
            <v>40.892378205187342</v>
          </cell>
          <cell r="CF122">
            <v>52.575914835240866</v>
          </cell>
          <cell r="CG122">
            <v>64.25945146529439</v>
          </cell>
          <cell r="CH122">
            <v>75.942988095347914</v>
          </cell>
          <cell r="CI122">
            <v>87.626524725401438</v>
          </cell>
          <cell r="CJ122">
            <v>58.417683150267628</v>
          </cell>
          <cell r="CK122">
            <v>5.841768315026763</v>
          </cell>
          <cell r="CM122">
            <v>69.75</v>
          </cell>
          <cell r="CN122">
            <v>23.245321091645287</v>
          </cell>
          <cell r="CO122">
            <v>46.490642183290575</v>
          </cell>
          <cell r="CP122">
            <v>69.73596327493587</v>
          </cell>
          <cell r="CQ122">
            <v>92.98128436658115</v>
          </cell>
          <cell r="CR122">
            <v>116.22660545822643</v>
          </cell>
          <cell r="CS122">
            <v>139.47192654987174</v>
          </cell>
          <cell r="CT122">
            <v>46.490642183290575</v>
          </cell>
          <cell r="CX122">
            <v>11.3</v>
          </cell>
          <cell r="CY122">
            <v>8.1276693061937078</v>
          </cell>
          <cell r="CZ122">
            <v>10.159586632742135</v>
          </cell>
          <cell r="DA122">
            <v>12.191503959290561</v>
          </cell>
          <cell r="DB122">
            <v>14.223421285838988</v>
          </cell>
          <cell r="DC122">
            <v>16.255338612387416</v>
          </cell>
          <cell r="DD122">
            <v>18.287255938935843</v>
          </cell>
          <cell r="DE122">
            <v>20.31917326548427</v>
          </cell>
          <cell r="DF122">
            <v>15.239379949113202</v>
          </cell>
          <cell r="DG122">
            <v>1.0159586632742135</v>
          </cell>
          <cell r="DJ122">
            <v>11.3</v>
          </cell>
          <cell r="DK122">
            <v>6.6353589621410816</v>
          </cell>
          <cell r="DL122">
            <v>9.2895025469975145</v>
          </cell>
          <cell r="DM122">
            <v>11.943646131853946</v>
          </cell>
          <cell r="DN122">
            <v>14.597789716710379</v>
          </cell>
          <cell r="DO122">
            <v>17.251933301566812</v>
          </cell>
          <cell r="DP122">
            <v>19.906076886423243</v>
          </cell>
          <cell r="DQ122">
            <v>13.270717924282163</v>
          </cell>
          <cell r="DR122">
            <v>1.3270717924282163</v>
          </cell>
          <cell r="DT122">
            <v>11.3</v>
          </cell>
          <cell r="DU122">
            <v>4.6696110714186547</v>
          </cell>
          <cell r="DV122">
            <v>9.3392221428373094</v>
          </cell>
          <cell r="DW122">
            <v>14.008833214255965</v>
          </cell>
          <cell r="DX122">
            <v>18.678444285674619</v>
          </cell>
          <cell r="DY122">
            <v>23.348055357093273</v>
          </cell>
          <cell r="DZ122">
            <v>28.01766642851193</v>
          </cell>
          <cell r="EA122">
            <v>9.3392221428373094</v>
          </cell>
          <cell r="EE122">
            <v>3.4750000000000001</v>
          </cell>
          <cell r="EF122">
            <v>3.1342867192332253</v>
          </cell>
          <cell r="EG122">
            <v>3.76114406307987</v>
          </cell>
          <cell r="EH122">
            <v>4.3880014069265156</v>
          </cell>
          <cell r="EI122">
            <v>5.0148587507731603</v>
          </cell>
          <cell r="EJ122">
            <v>5.6417160946198051</v>
          </cell>
          <cell r="EK122">
            <v>6.2685734384664507</v>
          </cell>
          <cell r="EL122">
            <v>4.701430078849838</v>
          </cell>
          <cell r="EM122">
            <v>0.31342867192332252</v>
          </cell>
          <cell r="EP122">
            <v>3.4750000000000001</v>
          </cell>
          <cell r="EQ122">
            <v>1.5231801326519059</v>
          </cell>
          <cell r="ER122">
            <v>2.1324521857126681</v>
          </cell>
          <cell r="ES122">
            <v>2.7417242387734309</v>
          </cell>
          <cell r="ET122">
            <v>3.3509962918341931</v>
          </cell>
          <cell r="EU122">
            <v>3.9602683448949554</v>
          </cell>
          <cell r="EV122">
            <v>4.5695403979557181</v>
          </cell>
          <cell r="EW122">
            <v>3.0463602653038118</v>
          </cell>
          <cell r="EX122">
            <v>0.30463602653038119</v>
          </cell>
          <cell r="EZ122">
            <v>3.4750000000000001</v>
          </cell>
          <cell r="FA122">
            <v>1.4626826693884203</v>
          </cell>
          <cell r="FB122">
            <v>2.9253653387768406</v>
          </cell>
          <cell r="FC122">
            <v>4.3880480081652609</v>
          </cell>
          <cell r="FD122">
            <v>5.8507306775536811</v>
          </cell>
          <cell r="FE122">
            <v>7.3134133469421014</v>
          </cell>
          <cell r="FF122">
            <v>8.7760960163305217</v>
          </cell>
          <cell r="FG122">
            <v>2.9253653387768406</v>
          </cell>
        </row>
        <row r="123">
          <cell r="A123">
            <v>39082</v>
          </cell>
          <cell r="B123">
            <v>52.5</v>
          </cell>
          <cell r="C123">
            <v>19.157296683720716</v>
          </cell>
          <cell r="D123">
            <v>28.735945025581074</v>
          </cell>
          <cell r="E123">
            <v>38.314593367441432</v>
          </cell>
          <cell r="F123">
            <v>47.89324170930179</v>
          </cell>
          <cell r="G123">
            <v>57.471890051162148</v>
          </cell>
          <cell r="H123">
            <v>67.050538393022507</v>
          </cell>
          <cell r="I123">
            <v>76.629186734882865</v>
          </cell>
          <cell r="J123">
            <v>86.207835076743223</v>
          </cell>
          <cell r="K123">
            <v>95.786483418603581</v>
          </cell>
          <cell r="L123">
            <v>71.839862563952693</v>
          </cell>
          <cell r="M123">
            <v>4.789324170930179</v>
          </cell>
          <cell r="P123">
            <v>54.65</v>
          </cell>
          <cell r="Q123">
            <v>21.705504542760924</v>
          </cell>
          <cell r="R123">
            <v>36.175840904601543</v>
          </cell>
          <cell r="S123">
            <v>50.646177266442152</v>
          </cell>
          <cell r="T123">
            <v>65.116513628282775</v>
          </cell>
          <cell r="U123">
            <v>79.586849990123383</v>
          </cell>
          <cell r="V123">
            <v>94.057186351964006</v>
          </cell>
          <cell r="W123">
            <v>108.52752271380461</v>
          </cell>
          <cell r="X123">
            <v>72.351681809203086</v>
          </cell>
          <cell r="Y123">
            <v>7.2351681809203079</v>
          </cell>
          <cell r="AA123">
            <v>52.5</v>
          </cell>
          <cell r="AB123">
            <v>40.595333445346235</v>
          </cell>
          <cell r="AC123">
            <v>60.893000168019356</v>
          </cell>
          <cell r="AD123">
            <v>81.190666890692469</v>
          </cell>
          <cell r="AE123">
            <v>101.48833361336558</v>
          </cell>
          <cell r="AF123">
            <v>121.78600033603871</v>
          </cell>
          <cell r="AG123">
            <v>40.595333445346235</v>
          </cell>
          <cell r="AK123">
            <v>69.400000000000006</v>
          </cell>
          <cell r="AL123">
            <v>45.621934132204053</v>
          </cell>
          <cell r="AM123">
            <v>57.027417665255065</v>
          </cell>
          <cell r="AN123">
            <v>68.432901198306084</v>
          </cell>
          <cell r="AO123">
            <v>79.838384731357095</v>
          </cell>
          <cell r="AP123">
            <v>91.243868264408107</v>
          </cell>
          <cell r="AQ123">
            <v>102.64935179745912</v>
          </cell>
          <cell r="AR123">
            <v>114.05483533051013</v>
          </cell>
          <cell r="AS123">
            <v>85.541126497882601</v>
          </cell>
          <cell r="AT123">
            <v>5.7027417665255067</v>
          </cell>
          <cell r="AW123">
            <v>69.400000000000006</v>
          </cell>
          <cell r="AX123">
            <v>34.106333387514461</v>
          </cell>
          <cell r="AY123">
            <v>47.748866742520242</v>
          </cell>
          <cell r="AZ123">
            <v>61.391400097526024</v>
          </cell>
          <cell r="BA123">
            <v>75.033933452531812</v>
          </cell>
          <cell r="BB123">
            <v>88.676466807537594</v>
          </cell>
          <cell r="BC123">
            <v>102.31900016254338</v>
          </cell>
          <cell r="BD123">
            <v>68.212666775028922</v>
          </cell>
          <cell r="BE123">
            <v>6.8212666775028916</v>
          </cell>
          <cell r="BG123">
            <v>69.400000000000006</v>
          </cell>
          <cell r="BH123">
            <v>31.205292174744475</v>
          </cell>
          <cell r="BI123">
            <v>46.807938262116714</v>
          </cell>
          <cell r="BJ123">
            <v>62.41058434948895</v>
          </cell>
          <cell r="BK123">
            <v>78.013230436861193</v>
          </cell>
          <cell r="BL123">
            <v>93.615876524233428</v>
          </cell>
          <cell r="BM123">
            <v>31.205292174744475</v>
          </cell>
          <cell r="BQ123">
            <v>69.75</v>
          </cell>
          <cell r="BR123">
            <v>29.894148938237926</v>
          </cell>
          <cell r="BS123">
            <v>39.858865250983904</v>
          </cell>
          <cell r="BT123">
            <v>49.823581563729881</v>
          </cell>
          <cell r="BU123">
            <v>59.788297876475852</v>
          </cell>
          <cell r="BV123">
            <v>69.75301418922183</v>
          </cell>
          <cell r="BW123">
            <v>79.717730501967807</v>
          </cell>
          <cell r="BX123">
            <v>89.682446814713785</v>
          </cell>
          <cell r="BY123">
            <v>99.647163127459763</v>
          </cell>
          <cell r="BZ123">
            <v>4.982358156372988</v>
          </cell>
          <cell r="CC123">
            <v>69.75</v>
          </cell>
          <cell r="CD123">
            <v>30.345713693590021</v>
          </cell>
          <cell r="CE123">
            <v>42.483999171026028</v>
          </cell>
          <cell r="CF123">
            <v>54.622284648462042</v>
          </cell>
          <cell r="CG123">
            <v>66.760570125898042</v>
          </cell>
          <cell r="CH123">
            <v>78.898855603334056</v>
          </cell>
          <cell r="CI123">
            <v>91.03714108077007</v>
          </cell>
          <cell r="CJ123">
            <v>60.691427387180042</v>
          </cell>
          <cell r="CK123">
            <v>6.0691427387180044</v>
          </cell>
          <cell r="CM123">
            <v>69.75</v>
          </cell>
          <cell r="CN123">
            <v>23.374174017680335</v>
          </cell>
          <cell r="CO123">
            <v>46.748348035360671</v>
          </cell>
          <cell r="CP123">
            <v>70.12252205304101</v>
          </cell>
          <cell r="CQ123">
            <v>93.496696070721342</v>
          </cell>
          <cell r="CR123">
            <v>116.87087008840167</v>
          </cell>
          <cell r="CS123">
            <v>140.24504410608202</v>
          </cell>
          <cell r="CT123">
            <v>46.748348035360671</v>
          </cell>
          <cell r="CX123">
            <v>11.3</v>
          </cell>
          <cell r="CY123">
            <v>8.2040355577383739</v>
          </cell>
          <cell r="CZ123">
            <v>10.255044447172967</v>
          </cell>
          <cell r="DA123">
            <v>12.306053336607562</v>
          </cell>
          <cell r="DB123">
            <v>14.357062226042155</v>
          </cell>
          <cell r="DC123">
            <v>16.408071115476748</v>
          </cell>
          <cell r="DD123">
            <v>18.459080004911343</v>
          </cell>
          <cell r="DE123">
            <v>20.510088894345934</v>
          </cell>
          <cell r="DF123">
            <v>15.38256667075945</v>
          </cell>
          <cell r="DG123">
            <v>1.0255044447172967</v>
          </cell>
          <cell r="DJ123">
            <v>11.3</v>
          </cell>
          <cell r="DK123">
            <v>6.7560406711881962</v>
          </cell>
          <cell r="DL123">
            <v>9.4584569396634741</v>
          </cell>
          <cell r="DM123">
            <v>12.160873208138753</v>
          </cell>
          <cell r="DN123">
            <v>14.863289476614032</v>
          </cell>
          <cell r="DO123">
            <v>17.565705745089311</v>
          </cell>
          <cell r="DP123">
            <v>20.268122013564589</v>
          </cell>
          <cell r="DQ123">
            <v>13.512081342376392</v>
          </cell>
          <cell r="DR123">
            <v>1.3512081342376392</v>
          </cell>
          <cell r="DT123">
            <v>11.3</v>
          </cell>
          <cell r="DU123">
            <v>4.6773645695065422</v>
          </cell>
          <cell r="DV123">
            <v>9.3547291390130844</v>
          </cell>
          <cell r="DW123">
            <v>14.032093708519627</v>
          </cell>
          <cell r="DX123">
            <v>18.709458278026169</v>
          </cell>
          <cell r="DY123">
            <v>23.386822847532713</v>
          </cell>
          <cell r="DZ123">
            <v>28.064187417039253</v>
          </cell>
          <cell r="EA123">
            <v>9.3547291390130844</v>
          </cell>
          <cell r="EE123">
            <v>3.4750000000000001</v>
          </cell>
          <cell r="EF123">
            <v>3.1051460104640798</v>
          </cell>
          <cell r="EG123">
            <v>3.7261752125568961</v>
          </cell>
          <cell r="EH123">
            <v>4.3472044146497115</v>
          </cell>
          <cell r="EI123">
            <v>4.9682336167425278</v>
          </cell>
          <cell r="EJ123">
            <v>5.5892628188353441</v>
          </cell>
          <cell r="EK123">
            <v>6.2102920209281596</v>
          </cell>
          <cell r="EL123">
            <v>4.6577190156961201</v>
          </cell>
          <cell r="EM123">
            <v>0.31051460104640799</v>
          </cell>
          <cell r="EP123">
            <v>3.4750000000000001</v>
          </cell>
          <cell r="EQ123">
            <v>1.5370045968725368</v>
          </cell>
          <cell r="ER123">
            <v>2.1518064356215514</v>
          </cell>
          <cell r="ES123">
            <v>2.7666082743705664</v>
          </cell>
          <cell r="ET123">
            <v>3.3814101131195811</v>
          </cell>
          <cell r="EU123">
            <v>3.9962119518685957</v>
          </cell>
          <cell r="EV123">
            <v>4.6110137906176103</v>
          </cell>
          <cell r="EW123">
            <v>3.0740091937450735</v>
          </cell>
          <cell r="EX123">
            <v>0.30740091937450736</v>
          </cell>
          <cell r="EZ123">
            <v>3.4750000000000001</v>
          </cell>
          <cell r="FA123">
            <v>1.4610152994918373</v>
          </cell>
          <cell r="FB123">
            <v>2.9220305989836746</v>
          </cell>
          <cell r="FC123">
            <v>4.3830458984755118</v>
          </cell>
          <cell r="FD123">
            <v>5.8440611979673491</v>
          </cell>
          <cell r="FE123">
            <v>7.3050764974591864</v>
          </cell>
          <cell r="FF123">
            <v>8.7660917969510237</v>
          </cell>
          <cell r="FG123">
            <v>2.9220305989836746</v>
          </cell>
        </row>
        <row r="124">
          <cell r="A124">
            <v>39113</v>
          </cell>
          <cell r="C124">
            <v>19.474916659141567</v>
          </cell>
          <cell r="D124">
            <v>29.212374988712348</v>
          </cell>
          <cell r="E124">
            <v>38.949833318283133</v>
          </cell>
          <cell r="F124">
            <v>48.687291647853918</v>
          </cell>
          <cell r="G124">
            <v>58.424749977424696</v>
          </cell>
          <cell r="H124">
            <v>68.162208306995481</v>
          </cell>
          <cell r="I124">
            <v>77.899666636566266</v>
          </cell>
          <cell r="J124">
            <v>87.637124966137051</v>
          </cell>
          <cell r="K124">
            <v>97.374583295707836</v>
          </cell>
          <cell r="L124">
            <v>73.030937471780874</v>
          </cell>
          <cell r="M124">
            <v>4.8687291647853916</v>
          </cell>
          <cell r="Q124">
            <v>22.216772649016843</v>
          </cell>
          <cell r="R124">
            <v>37.02795441502807</v>
          </cell>
          <cell r="S124">
            <v>51.839136181039301</v>
          </cell>
          <cell r="T124">
            <v>66.650317947050524</v>
          </cell>
          <cell r="U124">
            <v>81.461499713061755</v>
          </cell>
          <cell r="V124">
            <v>96.272681479072986</v>
          </cell>
          <cell r="W124">
            <v>111.08386324508422</v>
          </cell>
          <cell r="X124">
            <v>74.05590883005614</v>
          </cell>
          <cell r="Y124">
            <v>7.4055908830056145</v>
          </cell>
          <cell r="AB124">
            <v>40.88997352891208</v>
          </cell>
          <cell r="AC124">
            <v>61.33496029336812</v>
          </cell>
          <cell r="AD124">
            <v>81.77994705782416</v>
          </cell>
          <cell r="AE124">
            <v>102.22493382228021</v>
          </cell>
          <cell r="AF124">
            <v>122.66992058673624</v>
          </cell>
          <cell r="AG124">
            <v>40.88997352891208</v>
          </cell>
        </row>
        <row r="125">
          <cell r="A125">
            <v>39141</v>
          </cell>
          <cell r="M125">
            <v>4.9481341586406042</v>
          </cell>
          <cell r="Y125">
            <v>7.5760135850909212</v>
          </cell>
          <cell r="AG125">
            <v>41.184613612477925</v>
          </cell>
        </row>
        <row r="126">
          <cell r="A126">
            <v>39172</v>
          </cell>
          <cell r="M126">
            <v>5.0275391524958168</v>
          </cell>
          <cell r="Y126">
            <v>7.7464362871762278</v>
          </cell>
          <cell r="AG126">
            <v>41.47925369604377</v>
          </cell>
        </row>
        <row r="127">
          <cell r="A127">
            <v>39202</v>
          </cell>
          <cell r="M127">
            <v>5.1069441463510294</v>
          </cell>
          <cell r="Y127">
            <v>7.9168589892615344</v>
          </cell>
          <cell r="AG127">
            <v>41.773893779609615</v>
          </cell>
        </row>
        <row r="128">
          <cell r="A128">
            <v>39233</v>
          </cell>
          <cell r="M128">
            <v>5.186349140206242</v>
          </cell>
          <cell r="Y128">
            <v>8.0872816913468402</v>
          </cell>
          <cell r="AG128">
            <v>42.06853386317546</v>
          </cell>
        </row>
        <row r="129">
          <cell r="A129">
            <v>39263</v>
          </cell>
          <cell r="M129">
            <v>5.2657541340614546</v>
          </cell>
          <cell r="Y129">
            <v>8.2577043934321459</v>
          </cell>
          <cell r="AG129">
            <v>42.363173946741306</v>
          </cell>
        </row>
        <row r="130">
          <cell r="A130">
            <v>39294</v>
          </cell>
          <cell r="M130">
            <v>5.3451591279166673</v>
          </cell>
          <cell r="Y130">
            <v>8.4281270955174517</v>
          </cell>
          <cell r="AG130">
            <v>42.657814030307151</v>
          </cell>
        </row>
        <row r="131">
          <cell r="A131">
            <v>39325</v>
          </cell>
          <cell r="M131">
            <v>5.4245641217718799</v>
          </cell>
          <cell r="Y131">
            <v>8.5985497976027574</v>
          </cell>
          <cell r="AG131">
            <v>42.952454113872996</v>
          </cell>
        </row>
        <row r="132">
          <cell r="A132">
            <v>39355</v>
          </cell>
          <cell r="M132">
            <v>5.5039691156270925</v>
          </cell>
          <cell r="Y132">
            <v>8.7689724996880631</v>
          </cell>
          <cell r="AG132">
            <v>43.247094197438841</v>
          </cell>
        </row>
        <row r="133">
          <cell r="A133">
            <v>39386</v>
          </cell>
          <cell r="M133">
            <v>5.5833741094823051</v>
          </cell>
          <cell r="Y133">
            <v>8.9393952017733689</v>
          </cell>
          <cell r="AG133">
            <v>43.541734281004686</v>
          </cell>
        </row>
        <row r="134">
          <cell r="A134">
            <v>39416</v>
          </cell>
          <cell r="M134">
            <v>5.6627791033375177</v>
          </cell>
          <cell r="Y134">
            <v>9.1098179038586746</v>
          </cell>
          <cell r="AG134">
            <v>43.836374364570531</v>
          </cell>
        </row>
        <row r="135">
          <cell r="A135">
            <v>39447</v>
          </cell>
          <cell r="M135">
            <v>5.7421840971927276</v>
          </cell>
          <cell r="Y135">
            <v>9.2802406059439839</v>
          </cell>
          <cell r="AG135">
            <v>44.131014448136405</v>
          </cell>
        </row>
      </sheetData>
      <sheetData sheetId="30" refreshError="1">
        <row r="1">
          <cell r="B1" t="str">
            <v>Code</v>
          </cell>
          <cell r="C1" t="str">
            <v>06 P/E (via modelware)</v>
          </cell>
        </row>
        <row r="2">
          <cell r="A2" t="str">
            <v>HSB</v>
          </cell>
          <cell r="B2" t="str">
            <v>0011.HK</v>
          </cell>
          <cell r="C2">
            <v>17.901479931108788</v>
          </cell>
        </row>
        <row r="3">
          <cell r="A3" t="str">
            <v>BEA</v>
          </cell>
          <cell r="B3" t="str">
            <v>0023.HK</v>
          </cell>
          <cell r="C3">
            <v>19.865434972359616</v>
          </cell>
        </row>
        <row r="4">
          <cell r="A4" t="str">
            <v>STD</v>
          </cell>
          <cell r="B4" t="str">
            <v>2888.HK</v>
          </cell>
          <cell r="C4">
            <v>17.523393180284831</v>
          </cell>
        </row>
        <row r="5">
          <cell r="A5" t="str">
            <v>CIFH</v>
          </cell>
          <cell r="B5" t="str">
            <v>0183.HK</v>
          </cell>
          <cell r="C5">
            <v>21.738108215372417</v>
          </cell>
        </row>
        <row r="6">
          <cell r="A6" t="str">
            <v>ICBCA</v>
          </cell>
          <cell r="B6" t="str">
            <v>0349.HK</v>
          </cell>
          <cell r="C6">
            <v>16.830741289237537</v>
          </cell>
        </row>
        <row r="7">
          <cell r="A7" t="str">
            <v>WLB</v>
          </cell>
          <cell r="B7" t="str">
            <v>0096.HK</v>
          </cell>
          <cell r="C7">
            <v>18.675895445408532</v>
          </cell>
        </row>
        <row r="8">
          <cell r="A8" t="str">
            <v>BOCHK</v>
          </cell>
          <cell r="B8" t="str">
            <v>2388.HK</v>
          </cell>
          <cell r="C8">
            <v>15.960166747827955</v>
          </cell>
        </row>
        <row r="9">
          <cell r="A9" t="str">
            <v>WHB</v>
          </cell>
          <cell r="B9" t="str">
            <v>0302.HK</v>
          </cell>
          <cell r="C9">
            <v>16.921685033407051</v>
          </cell>
        </row>
        <row r="10">
          <cell r="A10" t="str">
            <v>HSBC</v>
          </cell>
          <cell r="B10" t="str">
            <v>0005.HK</v>
          </cell>
          <cell r="C10">
            <v>12.954155640435509</v>
          </cell>
        </row>
        <row r="11">
          <cell r="A11" t="str">
            <v>DSF</v>
          </cell>
          <cell r="B11" t="str">
            <v>0440.HK</v>
          </cell>
          <cell r="C11">
            <v>15.064755991655336</v>
          </cell>
        </row>
        <row r="12">
          <cell r="A12" t="str">
            <v>Dated</v>
          </cell>
          <cell r="C12" t="str">
            <v>2/21/2007</v>
          </cell>
        </row>
        <row r="13">
          <cell r="A13" t="str">
            <v>2006 ave</v>
          </cell>
          <cell r="C13">
            <v>17.343581644709758</v>
          </cell>
        </row>
        <row r="24">
          <cell r="C24" t="str">
            <v>07 P/E (via modelware)</v>
          </cell>
        </row>
        <row r="25">
          <cell r="A25" t="str">
            <v>BEA</v>
          </cell>
          <cell r="B25" t="str">
            <v>0023.HK</v>
          </cell>
          <cell r="C25">
            <v>21.911292627217524</v>
          </cell>
        </row>
        <row r="26">
          <cell r="A26" t="str">
            <v>CIFH</v>
          </cell>
          <cell r="B26" t="str">
            <v>0183.HK</v>
          </cell>
          <cell r="C26">
            <v>21.872467651653157</v>
          </cell>
        </row>
        <row r="27">
          <cell r="A27" t="str">
            <v>WLB</v>
          </cell>
          <cell r="B27" t="str">
            <v>0096.HK</v>
          </cell>
          <cell r="C27">
            <v>17.004614409939823</v>
          </cell>
        </row>
        <row r="28">
          <cell r="A28" t="str">
            <v>HSB</v>
          </cell>
          <cell r="B28" t="str">
            <v>0011.HK</v>
          </cell>
          <cell r="C28">
            <v>16.061409834855311</v>
          </cell>
        </row>
        <row r="29">
          <cell r="A29" t="str">
            <v>WHB</v>
          </cell>
          <cell r="B29" t="str">
            <v>0302.HK</v>
          </cell>
          <cell r="C29">
            <v>15.811618636035687</v>
          </cell>
        </row>
        <row r="30">
          <cell r="A30" t="str">
            <v>STD</v>
          </cell>
          <cell r="B30" t="str">
            <v>2888.HK</v>
          </cell>
          <cell r="C30">
            <v>15.697215465844415</v>
          </cell>
        </row>
        <row r="31">
          <cell r="A31" t="str">
            <v>BOCHK</v>
          </cell>
          <cell r="B31" t="str">
            <v>2388.HK</v>
          </cell>
          <cell r="C31">
            <v>14.804509325990432</v>
          </cell>
        </row>
        <row r="32">
          <cell r="A32" t="str">
            <v>ICBCA</v>
          </cell>
          <cell r="B32" t="str">
            <v>0349.HK</v>
          </cell>
          <cell r="C32">
            <v>14.549464835975138</v>
          </cell>
        </row>
        <row r="33">
          <cell r="A33" t="str">
            <v>DSF</v>
          </cell>
          <cell r="B33" t="str">
            <v>0440.HK</v>
          </cell>
          <cell r="C33">
            <v>12.564905405118045</v>
          </cell>
        </row>
        <row r="34">
          <cell r="A34" t="str">
            <v>HSBC</v>
          </cell>
          <cell r="B34" t="str">
            <v>0005.HK</v>
          </cell>
          <cell r="C34">
            <v>11.533045459228623</v>
          </cell>
        </row>
        <row r="35">
          <cell r="A35" t="str">
            <v>Dated</v>
          </cell>
          <cell r="C35" t="str">
            <v>2/21/2007</v>
          </cell>
        </row>
        <row r="36">
          <cell r="A36" t="str">
            <v>2007 ave</v>
          </cell>
          <cell r="C36">
            <v>16.181054365185815</v>
          </cell>
        </row>
        <row r="48">
          <cell r="B48" t="str">
            <v>06 P/E</v>
          </cell>
        </row>
        <row r="49">
          <cell r="A49" t="str">
            <v>CIFH</v>
          </cell>
          <cell r="B49">
            <v>1.1862979287954865</v>
          </cell>
        </row>
        <row r="50">
          <cell r="A50" t="str">
            <v>BEA</v>
          </cell>
          <cell r="B50">
            <v>12.060994686247176</v>
          </cell>
        </row>
        <row r="51">
          <cell r="A51" t="str">
            <v>STD</v>
          </cell>
          <cell r="B51">
            <v>2.1792415816074127</v>
          </cell>
        </row>
        <row r="52">
          <cell r="A52" t="str">
            <v>HSB</v>
          </cell>
          <cell r="B52">
            <v>5.7421840971927276</v>
          </cell>
        </row>
        <row r="53">
          <cell r="A53" t="str">
            <v>WLB</v>
          </cell>
          <cell r="B53">
            <v>1.3644491387862037</v>
          </cell>
        </row>
        <row r="54">
          <cell r="A54" t="str">
            <v>BOCHK</v>
          </cell>
          <cell r="B54">
            <v>5.4720441026647926</v>
          </cell>
        </row>
        <row r="55">
          <cell r="A55" t="str">
            <v>DSF</v>
          </cell>
          <cell r="B55">
            <v>14.9962902982515</v>
          </cell>
        </row>
        <row r="56">
          <cell r="A56" t="str">
            <v>WHB</v>
          </cell>
          <cell r="B56">
            <v>6.1031069760353489</v>
          </cell>
        </row>
        <row r="57">
          <cell r="A57" t="str">
            <v>ICBCA</v>
          </cell>
          <cell r="B57">
            <v>7.0354969558634499</v>
          </cell>
        </row>
        <row r="58">
          <cell r="A58" t="str">
            <v>HSBC</v>
          </cell>
          <cell r="B58">
            <v>0.30860715432306679</v>
          </cell>
        </row>
        <row r="59">
          <cell r="A59" t="str">
            <v>Ave</v>
          </cell>
          <cell r="B59">
            <v>5.6448712919767168</v>
          </cell>
        </row>
        <row r="71">
          <cell r="B71" t="str">
            <v>07P/E</v>
          </cell>
        </row>
        <row r="72">
          <cell r="A72" t="str">
            <v>BEA</v>
          </cell>
          <cell r="B72">
            <v>13.130921041611622</v>
          </cell>
        </row>
        <row r="73">
          <cell r="A73" t="str">
            <v>CIFH</v>
          </cell>
          <cell r="B73">
            <v>18.947147469366453</v>
          </cell>
        </row>
        <row r="74">
          <cell r="A74" t="str">
            <v>STD</v>
          </cell>
          <cell r="B74">
            <v>26.247724790680746</v>
          </cell>
        </row>
        <row r="75">
          <cell r="A75" t="str">
            <v>HSB</v>
          </cell>
          <cell r="B75">
            <v>17.631142815076565</v>
          </cell>
        </row>
        <row r="76">
          <cell r="A76" t="str">
            <v>BOCHK</v>
          </cell>
          <cell r="B76">
            <v>19.483645966160875</v>
          </cell>
        </row>
        <row r="77">
          <cell r="A77" t="str">
            <v>WHB</v>
          </cell>
          <cell r="B77">
            <v>21.032921630282313</v>
          </cell>
        </row>
        <row r="78">
          <cell r="A78" t="str">
            <v>WLB</v>
          </cell>
          <cell r="B78">
            <v>15.827075737364755</v>
          </cell>
        </row>
        <row r="79">
          <cell r="A79" t="str">
            <v>ICBCA</v>
          </cell>
          <cell r="B79">
            <v>19.047205078469407</v>
          </cell>
        </row>
        <row r="80">
          <cell r="A80" t="str">
            <v>DSF</v>
          </cell>
          <cell r="B80">
            <v>20.102540548899043</v>
          </cell>
        </row>
        <row r="81">
          <cell r="A81" t="str">
            <v>HSBC</v>
          </cell>
          <cell r="B81">
            <v>19.53783884390894</v>
          </cell>
        </row>
        <row r="82">
          <cell r="A82" t="str">
            <v>Ave</v>
          </cell>
          <cell r="B82">
            <v>19.098816392182073</v>
          </cell>
        </row>
      </sheetData>
      <sheetData sheetId="31" refreshError="1">
        <row r="1">
          <cell r="A1" t="str">
            <v>Price to Earnings</v>
          </cell>
        </row>
        <row r="2">
          <cell r="K2">
            <v>12.52219647255551</v>
          </cell>
          <cell r="L2">
            <v>15.579635626808631</v>
          </cell>
        </row>
        <row r="3">
          <cell r="A3" t="str">
            <v>Date</v>
          </cell>
          <cell r="B3" t="str">
            <v>BEA</v>
          </cell>
          <cell r="C3" t="str">
            <v>DSF</v>
          </cell>
          <cell r="D3" t="str">
            <v>HSB</v>
          </cell>
          <cell r="E3" t="str">
            <v>WHB</v>
          </cell>
          <cell r="F3" t="str">
            <v>BOCHK</v>
          </cell>
          <cell r="G3" t="str">
            <v>CIFH</v>
          </cell>
          <cell r="H3" t="str">
            <v>ICBCA</v>
          </cell>
          <cell r="I3" t="str">
            <v>WLB</v>
          </cell>
          <cell r="K3" t="str">
            <v>HK Mid-Sized Banks</v>
          </cell>
          <cell r="L3" t="str">
            <v>HK Large-Sized Banks</v>
          </cell>
        </row>
        <row r="4">
          <cell r="A4" t="str">
            <v xml:space="preserve"> </v>
          </cell>
        </row>
        <row r="5">
          <cell r="A5">
            <v>34700</v>
          </cell>
          <cell r="B5">
            <v>10.863987999999999</v>
          </cell>
          <cell r="C5">
            <v>5.9539339999999994</v>
          </cell>
          <cell r="D5">
            <v>11.09375</v>
          </cell>
          <cell r="E5">
            <v>6.0612729999999999</v>
          </cell>
          <cell r="G5">
            <v>6.576174</v>
          </cell>
          <cell r="H5">
            <v>4.9070679999999998</v>
          </cell>
          <cell r="I5">
            <v>8.9010619999999996</v>
          </cell>
        </row>
        <row r="6">
          <cell r="A6">
            <v>34731</v>
          </cell>
          <cell r="B6">
            <v>11.579090000000001</v>
          </cell>
          <cell r="C6">
            <v>7.2953349999999997</v>
          </cell>
          <cell r="D6">
            <v>12.5</v>
          </cell>
          <cell r="E6">
            <v>6.3678739999999996</v>
          </cell>
          <cell r="G6">
            <v>6.939680000000001</v>
          </cell>
          <cell r="H6">
            <v>6.6201859999999995</v>
          </cell>
          <cell r="I6">
            <v>10.307650000000001</v>
          </cell>
        </row>
        <row r="7">
          <cell r="A7">
            <v>34759</v>
          </cell>
          <cell r="B7">
            <v>10.483412</v>
          </cell>
          <cell r="C7">
            <v>6.306934</v>
          </cell>
          <cell r="D7">
            <v>14.064515999999999</v>
          </cell>
          <cell r="E7">
            <v>7.0324209999999994</v>
          </cell>
          <cell r="G7">
            <v>6.6648519999999998</v>
          </cell>
          <cell r="H7">
            <v>6.444617</v>
          </cell>
          <cell r="I7">
            <v>10.222023999999999</v>
          </cell>
        </row>
        <row r="8">
          <cell r="A8">
            <v>34790</v>
          </cell>
          <cell r="B8">
            <v>10.099580000000001</v>
          </cell>
          <cell r="C8">
            <v>6.589334</v>
          </cell>
          <cell r="D8">
            <v>13.161290000000001</v>
          </cell>
          <cell r="E8">
            <v>7.5699309999999995</v>
          </cell>
          <cell r="G8">
            <v>6.2568000000000001</v>
          </cell>
          <cell r="H8">
            <v>6.1760909999999996</v>
          </cell>
          <cell r="I8">
            <v>9.8612520000000004</v>
          </cell>
        </row>
        <row r="9">
          <cell r="A9">
            <v>34820</v>
          </cell>
          <cell r="B9">
            <v>11.131128</v>
          </cell>
          <cell r="C9">
            <v>8.4014019999999991</v>
          </cell>
          <cell r="D9">
            <v>15.483870999999999</v>
          </cell>
          <cell r="E9">
            <v>9.1376689999999989</v>
          </cell>
          <cell r="G9">
            <v>6.9708909999999999</v>
          </cell>
          <cell r="H9">
            <v>7.3576049999999995</v>
          </cell>
          <cell r="I9">
            <v>10.366339</v>
          </cell>
        </row>
        <row r="10">
          <cell r="A10">
            <v>34851</v>
          </cell>
          <cell r="B10">
            <v>9.9125389999999989</v>
          </cell>
          <cell r="C10">
            <v>8.7544019999999989</v>
          </cell>
          <cell r="D10">
            <v>15.089513999999999</v>
          </cell>
          <cell r="E10">
            <v>8.7632630000000002</v>
          </cell>
          <cell r="G10">
            <v>6.5794519999999999</v>
          </cell>
          <cell r="H10">
            <v>6.593299</v>
          </cell>
          <cell r="I10">
            <v>9.6602479999999993</v>
          </cell>
        </row>
        <row r="11">
          <cell r="A11">
            <v>34881</v>
          </cell>
          <cell r="B11">
            <v>11.167560999999999</v>
          </cell>
          <cell r="C11">
            <v>9.931068999999999</v>
          </cell>
          <cell r="D11">
            <v>16.368290000000002</v>
          </cell>
          <cell r="E11">
            <v>9.9572839999999996</v>
          </cell>
          <cell r="G11">
            <v>8.5376219999999989</v>
          </cell>
          <cell r="H11">
            <v>8.6412169999999993</v>
          </cell>
          <cell r="I11">
            <v>10.655009</v>
          </cell>
        </row>
        <row r="12">
          <cell r="A12">
            <v>34912</v>
          </cell>
          <cell r="B12">
            <v>10.550685</v>
          </cell>
          <cell r="C12">
            <v>8.0013349999999992</v>
          </cell>
          <cell r="D12">
            <v>16.11253</v>
          </cell>
          <cell r="E12">
            <v>10.575616</v>
          </cell>
          <cell r="G12">
            <v>6.9710859999999997</v>
          </cell>
          <cell r="H12">
            <v>6.593299</v>
          </cell>
          <cell r="I12">
            <v>9.9476230000000001</v>
          </cell>
        </row>
        <row r="13">
          <cell r="A13">
            <v>34943</v>
          </cell>
          <cell r="B13">
            <v>11.744142999999999</v>
          </cell>
          <cell r="C13">
            <v>8.1896009999999997</v>
          </cell>
          <cell r="D13">
            <v>15.858208999999999</v>
          </cell>
          <cell r="E13">
            <v>10.640820999999999</v>
          </cell>
          <cell r="G13">
            <v>6.9783859999999995</v>
          </cell>
          <cell r="H13">
            <v>7.2269019999999999</v>
          </cell>
          <cell r="I13">
            <v>9.5314949999999996</v>
          </cell>
        </row>
        <row r="14">
          <cell r="A14">
            <v>34973</v>
          </cell>
          <cell r="B14">
            <v>12.775566</v>
          </cell>
          <cell r="C14">
            <v>8.2366689999999991</v>
          </cell>
          <cell r="D14">
            <v>16.10697</v>
          </cell>
          <cell r="E14">
            <v>10.132176999999999</v>
          </cell>
          <cell r="G14">
            <v>7.2885349999999995</v>
          </cell>
          <cell r="H14">
            <v>7.5344289999999994</v>
          </cell>
          <cell r="I14">
            <v>9.4651509999999988</v>
          </cell>
        </row>
        <row r="15">
          <cell r="A15">
            <v>35004</v>
          </cell>
          <cell r="B15">
            <v>13.127186999999999</v>
          </cell>
          <cell r="C15">
            <v>7.9542679999999999</v>
          </cell>
          <cell r="D15">
            <v>16.791040000000002</v>
          </cell>
          <cell r="E15">
            <v>10.457710000000001</v>
          </cell>
          <cell r="G15">
            <v>7.2885349999999995</v>
          </cell>
          <cell r="H15">
            <v>7.5856839999999996</v>
          </cell>
          <cell r="I15">
            <v>9.7305289999999989</v>
          </cell>
        </row>
        <row r="16">
          <cell r="A16">
            <v>35034</v>
          </cell>
          <cell r="B16">
            <v>14.487855999999999</v>
          </cell>
          <cell r="C16">
            <v>8.4720009999999988</v>
          </cell>
          <cell r="D16">
            <v>16.76755</v>
          </cell>
          <cell r="E16">
            <v>9.4941009999999988</v>
          </cell>
          <cell r="G16">
            <v>6.9855400000000003</v>
          </cell>
          <cell r="H16">
            <v>7.6839889999999995</v>
          </cell>
          <cell r="I16">
            <v>9.5796300000000016</v>
          </cell>
        </row>
        <row r="17">
          <cell r="A17">
            <v>35065</v>
          </cell>
          <cell r="B17">
            <v>17.281010000000002</v>
          </cell>
          <cell r="C17">
            <v>10.401735</v>
          </cell>
          <cell r="D17">
            <v>18.099270000000001</v>
          </cell>
          <cell r="E17">
            <v>10.992144999999999</v>
          </cell>
          <cell r="G17">
            <v>8.597586999999999</v>
          </cell>
          <cell r="H17">
            <v>9.1050000000000004</v>
          </cell>
          <cell r="I17">
            <v>11.017681</v>
          </cell>
        </row>
        <row r="18">
          <cell r="A18">
            <v>35096</v>
          </cell>
          <cell r="B18">
            <v>17.228810000000003</v>
          </cell>
          <cell r="C18">
            <v>10.825336</v>
          </cell>
          <cell r="D18">
            <v>18.40194</v>
          </cell>
          <cell r="E18">
            <v>12.529098999999999</v>
          </cell>
          <cell r="G18">
            <v>8.674351999999999</v>
          </cell>
          <cell r="H18">
            <v>9.5786709999999999</v>
          </cell>
          <cell r="I18">
            <v>11.946883</v>
          </cell>
        </row>
        <row r="19">
          <cell r="A19">
            <v>35125</v>
          </cell>
          <cell r="B19">
            <v>15.885710000000001</v>
          </cell>
          <cell r="C19">
            <v>11.361950999999999</v>
          </cell>
          <cell r="D19">
            <v>17.893550000000001</v>
          </cell>
          <cell r="E19">
            <v>11.449914</v>
          </cell>
          <cell r="G19">
            <v>9.0717739999999996</v>
          </cell>
          <cell r="H19">
            <v>8.620476</v>
          </cell>
          <cell r="I19">
            <v>10.886502</v>
          </cell>
        </row>
        <row r="20">
          <cell r="A20">
            <v>35156</v>
          </cell>
          <cell r="B20">
            <v>15.585979</v>
          </cell>
          <cell r="C20">
            <v>10.011555999999999</v>
          </cell>
          <cell r="D20">
            <v>17.780290000000001</v>
          </cell>
          <cell r="E20">
            <v>10.5893</v>
          </cell>
          <cell r="G20">
            <v>8.5677849999999989</v>
          </cell>
          <cell r="H20">
            <v>8.0626800000000003</v>
          </cell>
          <cell r="I20">
            <v>10.694094999999999</v>
          </cell>
        </row>
        <row r="21">
          <cell r="A21">
            <v>35186</v>
          </cell>
          <cell r="B21">
            <v>16.365280000000002</v>
          </cell>
          <cell r="C21">
            <v>10.337513</v>
          </cell>
          <cell r="D21">
            <v>18.289920000000002</v>
          </cell>
          <cell r="E21">
            <v>11.300241999999999</v>
          </cell>
          <cell r="G21">
            <v>8.4837879999999988</v>
          </cell>
          <cell r="H21">
            <v>7.9612629999999998</v>
          </cell>
          <cell r="I21">
            <v>10.718399</v>
          </cell>
        </row>
        <row r="22">
          <cell r="A22">
            <v>35217</v>
          </cell>
          <cell r="B22">
            <v>16.262800000000002</v>
          </cell>
          <cell r="C22">
            <v>10.804501999999999</v>
          </cell>
          <cell r="D22">
            <v>16.595750000000002</v>
          </cell>
          <cell r="E22">
            <v>11.063058999999999</v>
          </cell>
          <cell r="G22">
            <v>8.4214719999999996</v>
          </cell>
          <cell r="H22">
            <v>7.9743930000000001</v>
          </cell>
          <cell r="I22">
            <v>10.039958</v>
          </cell>
        </row>
        <row r="23">
          <cell r="A23">
            <v>35247</v>
          </cell>
          <cell r="B23">
            <v>15.889270999999999</v>
          </cell>
          <cell r="C23">
            <v>10.412868</v>
          </cell>
          <cell r="D23">
            <v>16.329790000000003</v>
          </cell>
          <cell r="E23">
            <v>11.099093</v>
          </cell>
          <cell r="G23">
            <v>8.7485179999999989</v>
          </cell>
          <cell r="H23">
            <v>8.0722389999999997</v>
          </cell>
          <cell r="I23">
            <v>9.9727259999999998</v>
          </cell>
        </row>
        <row r="24">
          <cell r="A24">
            <v>35278</v>
          </cell>
          <cell r="B24">
            <v>16.119130000000002</v>
          </cell>
          <cell r="C24">
            <v>11.656882</v>
          </cell>
          <cell r="D24">
            <v>16.861700000000003</v>
          </cell>
          <cell r="E24">
            <v>10.77477</v>
          </cell>
          <cell r="G24">
            <v>8.3397089999999992</v>
          </cell>
          <cell r="H24">
            <v>8.0722389999999997</v>
          </cell>
          <cell r="I24">
            <v>10.039958</v>
          </cell>
        </row>
        <row r="25">
          <cell r="A25">
            <v>35309</v>
          </cell>
          <cell r="B25">
            <v>16.116110000000003</v>
          </cell>
          <cell r="C25">
            <v>11.206895999999999</v>
          </cell>
          <cell r="D25">
            <v>18.041800000000002</v>
          </cell>
          <cell r="E25">
            <v>9.7890249999999988</v>
          </cell>
          <cell r="G25">
            <v>7.8461159999999994</v>
          </cell>
          <cell r="H25">
            <v>7.5629369999999998</v>
          </cell>
          <cell r="I25">
            <v>10.210754</v>
          </cell>
        </row>
        <row r="26">
          <cell r="A26">
            <v>35339</v>
          </cell>
          <cell r="B26">
            <v>17.10744</v>
          </cell>
          <cell r="C26">
            <v>11.268697999999999</v>
          </cell>
          <cell r="D26">
            <v>20.18702</v>
          </cell>
          <cell r="E26">
            <v>10.497885999999999</v>
          </cell>
          <cell r="G26">
            <v>8.8083749999999998</v>
          </cell>
          <cell r="H26">
            <v>8.2165230000000005</v>
          </cell>
          <cell r="I26">
            <v>10.771784999999999</v>
          </cell>
        </row>
        <row r="27">
          <cell r="A27">
            <v>35370</v>
          </cell>
          <cell r="B27">
            <v>18.750210000000003</v>
          </cell>
          <cell r="C27">
            <v>12.813765999999999</v>
          </cell>
          <cell r="D27">
            <v>20.517050000000001</v>
          </cell>
          <cell r="E27">
            <v>11.679319</v>
          </cell>
          <cell r="G27">
            <v>9.8446540000000002</v>
          </cell>
          <cell r="H27">
            <v>8.8234250000000003</v>
          </cell>
          <cell r="I27">
            <v>11.501123999999999</v>
          </cell>
        </row>
        <row r="28">
          <cell r="A28">
            <v>35400</v>
          </cell>
          <cell r="B28">
            <v>19.212940000000003</v>
          </cell>
          <cell r="C28">
            <v>11.699990000000001</v>
          </cell>
          <cell r="D28">
            <v>21.412300000000002</v>
          </cell>
          <cell r="E28">
            <v>11.142851</v>
          </cell>
          <cell r="G28">
            <v>9.8045179999999998</v>
          </cell>
          <cell r="H28">
            <v>8.7053270000000005</v>
          </cell>
          <cell r="I28">
            <v>11.797749</v>
          </cell>
        </row>
        <row r="29">
          <cell r="A29">
            <v>35431</v>
          </cell>
          <cell r="B29">
            <v>19.4922</v>
          </cell>
          <cell r="C29">
            <v>13.041390000000002</v>
          </cell>
          <cell r="D29">
            <v>20.785880000000002</v>
          </cell>
          <cell r="E29">
            <v>11.714281</v>
          </cell>
          <cell r="G29">
            <v>10.142605</v>
          </cell>
          <cell r="H29">
            <v>9.508896</v>
          </cell>
          <cell r="I29">
            <v>12.696624999999999</v>
          </cell>
        </row>
        <row r="30">
          <cell r="A30">
            <v>35462</v>
          </cell>
          <cell r="B30">
            <v>18.933690000000002</v>
          </cell>
          <cell r="C30">
            <v>12.072600999999999</v>
          </cell>
          <cell r="D30">
            <v>20.387250000000002</v>
          </cell>
          <cell r="E30">
            <v>11.174598999999999</v>
          </cell>
          <cell r="G30">
            <v>10.210222</v>
          </cell>
          <cell r="H30">
            <v>10.714248999999999</v>
          </cell>
          <cell r="I30">
            <v>12.415725999999999</v>
          </cell>
        </row>
        <row r="31">
          <cell r="A31">
            <v>35490</v>
          </cell>
          <cell r="B31">
            <v>16.862080000000002</v>
          </cell>
          <cell r="C31">
            <v>10.534590999999999</v>
          </cell>
          <cell r="D31">
            <v>17.563120000000001</v>
          </cell>
          <cell r="E31">
            <v>10.140157</v>
          </cell>
          <cell r="G31">
            <v>8.1155159999999995</v>
          </cell>
          <cell r="H31">
            <v>9.2026869999999992</v>
          </cell>
          <cell r="I31">
            <v>11.474307999999999</v>
          </cell>
        </row>
        <row r="32">
          <cell r="A32">
            <v>35521</v>
          </cell>
          <cell r="B32">
            <v>17.086480000000002</v>
          </cell>
          <cell r="C32">
            <v>11.232244999999999</v>
          </cell>
          <cell r="D32">
            <v>19.154780000000002</v>
          </cell>
          <cell r="E32">
            <v>10.128231</v>
          </cell>
          <cell r="G32">
            <v>9.1980889999999995</v>
          </cell>
          <cell r="H32">
            <v>9.2852230000000002</v>
          </cell>
          <cell r="I32">
            <v>10.963664999999999</v>
          </cell>
        </row>
        <row r="33">
          <cell r="A33">
            <v>35551</v>
          </cell>
          <cell r="B33">
            <v>18.080260000000003</v>
          </cell>
          <cell r="C33">
            <v>13.255445</v>
          </cell>
          <cell r="D33">
            <v>20.41713</v>
          </cell>
          <cell r="E33">
            <v>13.206068999999999</v>
          </cell>
          <cell r="G33">
            <v>16.574760000000001</v>
          </cell>
          <cell r="H33">
            <v>14.278606999999999</v>
          </cell>
          <cell r="I33">
            <v>11.506677</v>
          </cell>
        </row>
        <row r="34">
          <cell r="A34">
            <v>35582</v>
          </cell>
          <cell r="B34">
            <v>19.847910000000002</v>
          </cell>
          <cell r="C34">
            <v>14.066816999999999</v>
          </cell>
          <cell r="D34">
            <v>23.411020000000001</v>
          </cell>
          <cell r="E34">
            <v>15.792990000000001</v>
          </cell>
          <cell r="G34">
            <v>25.566210000000002</v>
          </cell>
          <cell r="H34">
            <v>17.18844</v>
          </cell>
          <cell r="I34">
            <v>12.269269</v>
          </cell>
        </row>
        <row r="35">
          <cell r="A35">
            <v>35612</v>
          </cell>
          <cell r="B35">
            <v>19.786460000000002</v>
          </cell>
          <cell r="C35">
            <v>16.198150000000002</v>
          </cell>
          <cell r="D35">
            <v>23.94068</v>
          </cell>
          <cell r="E35">
            <v>15.624260999999999</v>
          </cell>
          <cell r="G35">
            <v>22.386340000000001</v>
          </cell>
          <cell r="H35">
            <v>14.387646999999999</v>
          </cell>
          <cell r="I35">
            <v>12.915018999999999</v>
          </cell>
        </row>
        <row r="36">
          <cell r="A36">
            <v>35643</v>
          </cell>
          <cell r="B36">
            <v>17.14798</v>
          </cell>
          <cell r="C36">
            <v>10.623890000000001</v>
          </cell>
          <cell r="D36">
            <v>19.809320000000003</v>
          </cell>
          <cell r="E36">
            <v>11.136082999999999</v>
          </cell>
          <cell r="G36">
            <v>58.891330000000004</v>
          </cell>
          <cell r="H36">
            <v>18.032520000000002</v>
          </cell>
          <cell r="I36">
            <v>11.797374</v>
          </cell>
        </row>
        <row r="37">
          <cell r="A37">
            <v>35674</v>
          </cell>
          <cell r="B37">
            <v>17.942260000000001</v>
          </cell>
          <cell r="C37">
            <v>11.120013</v>
          </cell>
          <cell r="D37">
            <v>19.90596</v>
          </cell>
          <cell r="E37">
            <v>11.41248</v>
          </cell>
          <cell r="G37">
            <v>47.734990000000003</v>
          </cell>
          <cell r="H37">
            <v>15.899585999999999</v>
          </cell>
          <cell r="I37">
            <v>11.380654</v>
          </cell>
        </row>
        <row r="38">
          <cell r="A38">
            <v>35704</v>
          </cell>
          <cell r="B38">
            <v>10.74052</v>
          </cell>
          <cell r="C38">
            <v>6.6377920000000001</v>
          </cell>
          <cell r="D38">
            <v>14.054336999999999</v>
          </cell>
          <cell r="E38">
            <v>6.719182</v>
          </cell>
          <cell r="G38">
            <v>29.028030000000001</v>
          </cell>
          <cell r="H38">
            <v>7.7500500000000008</v>
          </cell>
          <cell r="I38">
            <v>8.182169</v>
          </cell>
        </row>
        <row r="39">
          <cell r="A39">
            <v>35735</v>
          </cell>
          <cell r="B39">
            <v>10.026553999999999</v>
          </cell>
          <cell r="C39">
            <v>5.3033909999999995</v>
          </cell>
          <cell r="D39">
            <v>14.211077</v>
          </cell>
          <cell r="E39">
            <v>6.8035939999999995</v>
          </cell>
          <cell r="G39">
            <v>20.900180000000002</v>
          </cell>
          <cell r="H39">
            <v>7.1907669999999992</v>
          </cell>
          <cell r="I39">
            <v>8.2317579999999992</v>
          </cell>
        </row>
        <row r="40">
          <cell r="A40">
            <v>35765</v>
          </cell>
          <cell r="B40">
            <v>11.280223999999999</v>
          </cell>
          <cell r="C40">
            <v>6.6712300000000004</v>
          </cell>
          <cell r="D40">
            <v>15.412372</v>
          </cell>
          <cell r="E40">
            <v>7.3986479999999997</v>
          </cell>
          <cell r="G40">
            <v>17.800310000000003</v>
          </cell>
          <cell r="H40">
            <v>7.9166100000000004</v>
          </cell>
          <cell r="I40">
            <v>9.1831680000000002</v>
          </cell>
        </row>
        <row r="41">
          <cell r="A41">
            <v>35796</v>
          </cell>
          <cell r="B41">
            <v>8.2970249999999997</v>
          </cell>
          <cell r="C41">
            <v>3.2014749999999998</v>
          </cell>
          <cell r="D41">
            <v>12.57732</v>
          </cell>
          <cell r="E41">
            <v>3.8175679999999996</v>
          </cell>
          <cell r="G41">
            <v>10.012672</v>
          </cell>
          <cell r="H41">
            <v>3.6874739999999999</v>
          </cell>
          <cell r="I41">
            <v>6.5099009999999993</v>
          </cell>
        </row>
        <row r="42">
          <cell r="A42">
            <v>35827</v>
          </cell>
          <cell r="B42">
            <v>10.416667</v>
          </cell>
          <cell r="C42">
            <v>7.5833829999999995</v>
          </cell>
          <cell r="D42">
            <v>15.103092999999999</v>
          </cell>
          <cell r="E42">
            <v>7.0945939999999998</v>
          </cell>
          <cell r="G42">
            <v>19.894460000000002</v>
          </cell>
          <cell r="H42">
            <v>9.0416019999999993</v>
          </cell>
          <cell r="I42">
            <v>8.4158419999999996</v>
          </cell>
        </row>
        <row r="43">
          <cell r="A43">
            <v>35855</v>
          </cell>
          <cell r="B43">
            <v>11.219512999999999</v>
          </cell>
          <cell r="C43">
            <v>8.0430250000000001</v>
          </cell>
          <cell r="D43">
            <v>16.630080000000003</v>
          </cell>
          <cell r="E43">
            <v>8.2437279999999991</v>
          </cell>
          <cell r="G43">
            <v>20.960100000000001</v>
          </cell>
          <cell r="H43">
            <v>9.7435259999999992</v>
          </cell>
          <cell r="I43">
            <v>8.8805669999999992</v>
          </cell>
        </row>
        <row r="44">
          <cell r="A44">
            <v>35886</v>
          </cell>
          <cell r="B44">
            <v>9.7212540000000001</v>
          </cell>
          <cell r="C44">
            <v>7.4516260000000001</v>
          </cell>
          <cell r="D44">
            <v>14.324917999999998</v>
          </cell>
          <cell r="E44">
            <v>7.8136200000000002</v>
          </cell>
          <cell r="G44">
            <v>21.517570000000003</v>
          </cell>
          <cell r="H44">
            <v>8.3718649999999997</v>
          </cell>
          <cell r="I44">
            <v>7.810619</v>
          </cell>
        </row>
        <row r="45">
          <cell r="A45">
            <v>35916</v>
          </cell>
          <cell r="B45">
            <v>7.2125439999999994</v>
          </cell>
          <cell r="C45">
            <v>5.1254569999999999</v>
          </cell>
          <cell r="D45">
            <v>12.678376</v>
          </cell>
          <cell r="E45">
            <v>5.2329749999999997</v>
          </cell>
          <cell r="G45">
            <v>17.392440000000001</v>
          </cell>
          <cell r="H45">
            <v>5.959632</v>
          </cell>
          <cell r="I45">
            <v>5.8847129999999996</v>
          </cell>
        </row>
        <row r="46">
          <cell r="A46">
            <v>35947</v>
          </cell>
          <cell r="B46">
            <v>6.4122139999999996</v>
          </cell>
          <cell r="C46">
            <v>3.9523400000000004</v>
          </cell>
          <cell r="D46">
            <v>10.281690000000001</v>
          </cell>
          <cell r="E46">
            <v>3.9503819999999998</v>
          </cell>
          <cell r="G46">
            <v>16.383410000000001</v>
          </cell>
          <cell r="H46">
            <v>5.3871310000000001</v>
          </cell>
          <cell r="I46">
            <v>5.2371249999999998</v>
          </cell>
        </row>
        <row r="47">
          <cell r="A47">
            <v>35977</v>
          </cell>
          <cell r="B47">
            <v>6.1068709999999999</v>
          </cell>
          <cell r="C47">
            <v>3.8864679999999998</v>
          </cell>
          <cell r="D47">
            <v>8.8732389999999999</v>
          </cell>
          <cell r="E47">
            <v>3.7022900000000001</v>
          </cell>
          <cell r="G47">
            <v>13.158330000000001</v>
          </cell>
          <cell r="H47">
            <v>4.6214469999999999</v>
          </cell>
          <cell r="I47">
            <v>5.4116960000000001</v>
          </cell>
        </row>
        <row r="48">
          <cell r="A48">
            <v>36008</v>
          </cell>
          <cell r="B48">
            <v>6.1450389999999997</v>
          </cell>
          <cell r="C48">
            <v>2.5909779999999998</v>
          </cell>
          <cell r="D48">
            <v>9.7887319999999995</v>
          </cell>
          <cell r="E48">
            <v>2.5381679999999998</v>
          </cell>
          <cell r="G48">
            <v>9.4946369999999991</v>
          </cell>
          <cell r="H48">
            <v>3.2268089999999998</v>
          </cell>
          <cell r="I48">
            <v>4.1897000000000002</v>
          </cell>
        </row>
        <row r="49">
          <cell r="A49">
            <v>36039</v>
          </cell>
          <cell r="B49">
            <v>11.005025</v>
          </cell>
          <cell r="C49">
            <v>4.6203779999999997</v>
          </cell>
          <cell r="D49">
            <v>12.548015999999999</v>
          </cell>
          <cell r="E49">
            <v>3.8337179999999997</v>
          </cell>
          <cell r="G49">
            <v>19.402720000000002</v>
          </cell>
          <cell r="H49">
            <v>8.0548729999999988</v>
          </cell>
          <cell r="I49">
            <v>5.2517870000000002</v>
          </cell>
        </row>
        <row r="50">
          <cell r="A50">
            <v>36069</v>
          </cell>
          <cell r="B50">
            <v>12.864322</v>
          </cell>
          <cell r="C50">
            <v>8.1080199999999998</v>
          </cell>
          <cell r="D50">
            <v>17.157490000000003</v>
          </cell>
          <cell r="E50">
            <v>6.8129330000000001</v>
          </cell>
          <cell r="G50">
            <v>22.77711</v>
          </cell>
          <cell r="H50">
            <v>10.056386</v>
          </cell>
          <cell r="I50">
            <v>7.6450059999999995</v>
          </cell>
        </row>
        <row r="51">
          <cell r="A51">
            <v>36100</v>
          </cell>
          <cell r="B51">
            <v>14.522613</v>
          </cell>
          <cell r="C51">
            <v>11.476424</v>
          </cell>
          <cell r="D51">
            <v>17.477590000000003</v>
          </cell>
          <cell r="E51">
            <v>9.9307169999999996</v>
          </cell>
          <cell r="G51">
            <v>23.620699999999999</v>
          </cell>
          <cell r="H51">
            <v>12.692525999999999</v>
          </cell>
          <cell r="I51">
            <v>9.0576699999999999</v>
          </cell>
        </row>
        <row r="52">
          <cell r="A52">
            <v>36130</v>
          </cell>
          <cell r="B52">
            <v>19.85294</v>
          </cell>
          <cell r="C52">
            <v>17.632240000000003</v>
          </cell>
          <cell r="D52">
            <v>19.50704</v>
          </cell>
          <cell r="E52">
            <v>11.286548999999999</v>
          </cell>
          <cell r="G52">
            <v>58.332160000000002</v>
          </cell>
          <cell r="H52">
            <v>56.359010000000005</v>
          </cell>
          <cell r="I52">
            <v>10.426356</v>
          </cell>
        </row>
        <row r="53">
          <cell r="A53">
            <v>36161</v>
          </cell>
          <cell r="B53">
            <v>16.25</v>
          </cell>
          <cell r="C53">
            <v>13.502585999999999</v>
          </cell>
          <cell r="D53">
            <v>18.239440000000002</v>
          </cell>
          <cell r="E53">
            <v>9.2105259999999998</v>
          </cell>
          <cell r="G53">
            <v>44.586560000000006</v>
          </cell>
          <cell r="H53">
            <v>41.814750000000004</v>
          </cell>
          <cell r="I53">
            <v>8.6434110000000004</v>
          </cell>
        </row>
        <row r="54">
          <cell r="A54">
            <v>36192</v>
          </cell>
          <cell r="B54">
            <v>16.029410000000002</v>
          </cell>
          <cell r="C54">
            <v>13.966593</v>
          </cell>
          <cell r="D54">
            <v>17.746480000000002</v>
          </cell>
          <cell r="E54">
            <v>10</v>
          </cell>
          <cell r="G54">
            <v>42.969430000000003</v>
          </cell>
          <cell r="H54">
            <v>32.27008</v>
          </cell>
          <cell r="I54">
            <v>8.8372100000000007</v>
          </cell>
        </row>
        <row r="55">
          <cell r="A55">
            <v>36220</v>
          </cell>
          <cell r="B55">
            <v>19.924240000000001</v>
          </cell>
          <cell r="C55">
            <v>17.237200000000001</v>
          </cell>
          <cell r="D55">
            <v>19.414170000000002</v>
          </cell>
          <cell r="E55">
            <v>12.447130000000001</v>
          </cell>
          <cell r="G55">
            <v>151.93049999999999</v>
          </cell>
          <cell r="H55" t="e">
            <v>#N/A</v>
          </cell>
          <cell r="I55">
            <v>10.037037</v>
          </cell>
        </row>
        <row r="56">
          <cell r="A56">
            <v>36251</v>
          </cell>
          <cell r="B56">
            <v>28.560610000000004</v>
          </cell>
          <cell r="C56">
            <v>22.065420000000003</v>
          </cell>
          <cell r="D56">
            <v>25</v>
          </cell>
          <cell r="E56">
            <v>14.320241999999999</v>
          </cell>
          <cell r="G56">
            <v>211.67400000000001</v>
          </cell>
          <cell r="H56" t="e">
            <v>#N/A</v>
          </cell>
          <cell r="I56">
            <v>11.333333</v>
          </cell>
        </row>
        <row r="57">
          <cell r="A57">
            <v>36281</v>
          </cell>
          <cell r="B57">
            <v>25.681820000000002</v>
          </cell>
          <cell r="C57">
            <v>19.718990000000002</v>
          </cell>
          <cell r="D57">
            <v>22.343320000000002</v>
          </cell>
          <cell r="E57">
            <v>12.990936999999999</v>
          </cell>
          <cell r="G57">
            <v>180.02180000000001</v>
          </cell>
          <cell r="H57" t="e">
            <v>#N/A</v>
          </cell>
          <cell r="I57">
            <v>10.370370000000001</v>
          </cell>
        </row>
        <row r="58">
          <cell r="A58">
            <v>36312</v>
          </cell>
          <cell r="B58">
            <v>30.703130000000002</v>
          </cell>
          <cell r="C58">
            <v>25.953700000000001</v>
          </cell>
          <cell r="D58">
            <v>22.889180000000003</v>
          </cell>
          <cell r="E58">
            <v>15.59375</v>
          </cell>
          <cell r="G58" t="e">
            <v>#N/A</v>
          </cell>
          <cell r="H58" t="e">
            <v>#N/A</v>
          </cell>
          <cell r="I58">
            <v>10.70922</v>
          </cell>
        </row>
        <row r="59">
          <cell r="A59">
            <v>36342</v>
          </cell>
          <cell r="B59">
            <v>29.375</v>
          </cell>
          <cell r="C59">
            <v>27.929870000000001</v>
          </cell>
          <cell r="D59">
            <v>22.427440000000001</v>
          </cell>
          <cell r="E59">
            <v>18.46875</v>
          </cell>
          <cell r="G59" t="e">
            <v>#N/A</v>
          </cell>
          <cell r="H59" t="e">
            <v>#N/A</v>
          </cell>
          <cell r="I59">
            <v>11.241135999999999</v>
          </cell>
        </row>
        <row r="60">
          <cell r="A60">
            <v>36373</v>
          </cell>
          <cell r="B60">
            <v>27.96875</v>
          </cell>
          <cell r="C60">
            <v>27.139400000000002</v>
          </cell>
          <cell r="D60">
            <v>23.153030000000001</v>
          </cell>
          <cell r="E60">
            <v>16.875</v>
          </cell>
          <cell r="G60" t="e">
            <v>#N/A</v>
          </cell>
          <cell r="H60" t="e">
            <v>#N/A</v>
          </cell>
          <cell r="I60">
            <v>11.382978</v>
          </cell>
        </row>
        <row r="61">
          <cell r="A61">
            <v>36404</v>
          </cell>
          <cell r="B61">
            <v>19.593020000000003</v>
          </cell>
          <cell r="C61">
            <v>17.38231</v>
          </cell>
          <cell r="D61">
            <v>20.208850000000002</v>
          </cell>
          <cell r="E61">
            <v>13.265305999999999</v>
          </cell>
          <cell r="G61">
            <v>230.2758</v>
          </cell>
          <cell r="H61" t="e">
            <v>#N/A</v>
          </cell>
          <cell r="I61">
            <v>9.630768999999999</v>
          </cell>
        </row>
        <row r="62">
          <cell r="A62">
            <v>36434</v>
          </cell>
          <cell r="B62">
            <v>19.767440000000001</v>
          </cell>
          <cell r="C62">
            <v>17.326420000000002</v>
          </cell>
          <cell r="D62">
            <v>20.761670000000002</v>
          </cell>
          <cell r="E62">
            <v>12.933674</v>
          </cell>
          <cell r="G62">
            <v>217.71530000000001</v>
          </cell>
          <cell r="H62" t="e">
            <v>#N/A</v>
          </cell>
          <cell r="I62">
            <v>9.2307690000000004</v>
          </cell>
        </row>
        <row r="63">
          <cell r="A63">
            <v>36465</v>
          </cell>
          <cell r="B63">
            <v>21.744190000000003</v>
          </cell>
          <cell r="C63">
            <v>18.388360000000002</v>
          </cell>
          <cell r="D63">
            <v>21.191640000000003</v>
          </cell>
          <cell r="E63">
            <v>15.153060999999999</v>
          </cell>
          <cell r="G63">
            <v>226.089</v>
          </cell>
          <cell r="H63" t="e">
            <v>#N/A</v>
          </cell>
          <cell r="I63">
            <v>9.8153849999999991</v>
          </cell>
        </row>
        <row r="64">
          <cell r="A64">
            <v>36495</v>
          </cell>
          <cell r="B64">
            <v>20</v>
          </cell>
          <cell r="C64">
            <v>12.706040000000002</v>
          </cell>
          <cell r="D64">
            <v>20.4023</v>
          </cell>
          <cell r="E64">
            <v>11.465517999999999</v>
          </cell>
          <cell r="G64">
            <v>71.008710000000008</v>
          </cell>
          <cell r="H64" t="e">
            <v>#N/A</v>
          </cell>
          <cell r="I64">
            <v>8.5597820000000002</v>
          </cell>
        </row>
        <row r="65">
          <cell r="A65">
            <v>36526</v>
          </cell>
          <cell r="B65">
            <v>18.564810000000001</v>
          </cell>
          <cell r="C65">
            <v>11.312474999999999</v>
          </cell>
          <cell r="D65">
            <v>17.413790000000002</v>
          </cell>
          <cell r="E65">
            <v>9.9137939999999993</v>
          </cell>
          <cell r="G65">
            <v>67.428440000000009</v>
          </cell>
          <cell r="H65" t="e">
            <v>#N/A</v>
          </cell>
          <cell r="I65">
            <v>7.4184779999999995</v>
          </cell>
        </row>
        <row r="66">
          <cell r="A66">
            <v>36557</v>
          </cell>
          <cell r="B66">
            <v>16.94444</v>
          </cell>
          <cell r="C66">
            <v>10.369767999999999</v>
          </cell>
          <cell r="D66">
            <v>16.149430000000002</v>
          </cell>
          <cell r="E66">
            <v>7.8017239999999992</v>
          </cell>
          <cell r="G66">
            <v>57.284340000000007</v>
          </cell>
          <cell r="H66" t="e">
            <v>#N/A</v>
          </cell>
          <cell r="I66">
            <v>7.5815219999999997</v>
          </cell>
        </row>
        <row r="67">
          <cell r="A67">
            <v>36586</v>
          </cell>
          <cell r="B67">
            <v>14.786325</v>
          </cell>
          <cell r="C67">
            <v>10.424498</v>
          </cell>
          <cell r="D67">
            <v>14.798694999999999</v>
          </cell>
          <cell r="E67">
            <v>7.8313249999999996</v>
          </cell>
          <cell r="G67">
            <v>31.046340000000004</v>
          </cell>
          <cell r="H67" t="e">
            <v>#N/A</v>
          </cell>
          <cell r="I67">
            <v>7.4967579999999998</v>
          </cell>
        </row>
        <row r="68">
          <cell r="A68">
            <v>36617</v>
          </cell>
          <cell r="B68">
            <v>14.401710999999999</v>
          </cell>
          <cell r="C68">
            <v>11.561715</v>
          </cell>
          <cell r="D68">
            <v>15.614799</v>
          </cell>
          <cell r="E68">
            <v>7.6706829999999995</v>
          </cell>
          <cell r="G68">
            <v>26.471090000000004</v>
          </cell>
          <cell r="H68" t="e">
            <v>#N/A</v>
          </cell>
          <cell r="I68">
            <v>6.9649809999999999</v>
          </cell>
        </row>
        <row r="69">
          <cell r="A69">
            <v>36647</v>
          </cell>
          <cell r="B69">
            <v>11.709401999999999</v>
          </cell>
          <cell r="C69">
            <v>10.765663</v>
          </cell>
          <cell r="D69">
            <v>14.363440000000001</v>
          </cell>
          <cell r="E69">
            <v>6.2048189999999996</v>
          </cell>
          <cell r="G69">
            <v>23.399130000000003</v>
          </cell>
          <cell r="H69" t="e">
            <v>#N/A</v>
          </cell>
          <cell r="I69">
            <v>5.7457849999999997</v>
          </cell>
        </row>
        <row r="70">
          <cell r="A70">
            <v>36678</v>
          </cell>
          <cell r="B70">
            <v>14.444445999999999</v>
          </cell>
          <cell r="C70">
            <v>11.070959</v>
          </cell>
          <cell r="D70">
            <v>15.289256</v>
          </cell>
          <cell r="E70">
            <v>7.2932329999999999</v>
          </cell>
          <cell r="G70">
            <v>19.576810000000002</v>
          </cell>
          <cell r="H70">
            <v>18.45382</v>
          </cell>
          <cell r="I70">
            <v>6.4019849999999998</v>
          </cell>
        </row>
        <row r="71">
          <cell r="A71">
            <v>36708</v>
          </cell>
          <cell r="B71">
            <v>14.047620000000002</v>
          </cell>
          <cell r="C71">
            <v>12.446014</v>
          </cell>
          <cell r="D71">
            <v>16.683880000000002</v>
          </cell>
          <cell r="E71">
            <v>8.4586469999999991</v>
          </cell>
          <cell r="G71">
            <v>24.077220000000001</v>
          </cell>
          <cell r="H71">
            <v>18.822890000000001</v>
          </cell>
          <cell r="I71">
            <v>7.0719600000000007</v>
          </cell>
        </row>
        <row r="72">
          <cell r="A72">
            <v>36739</v>
          </cell>
          <cell r="B72">
            <v>14.444445999999999</v>
          </cell>
          <cell r="C72">
            <v>12.798592999999999</v>
          </cell>
          <cell r="D72">
            <v>17.303720000000002</v>
          </cell>
          <cell r="E72">
            <v>9.6616540000000004</v>
          </cell>
          <cell r="G72">
            <v>25.877390000000002</v>
          </cell>
          <cell r="H72">
            <v>18.945920000000001</v>
          </cell>
          <cell r="I72">
            <v>7.431762</v>
          </cell>
        </row>
        <row r="73">
          <cell r="A73">
            <v>36770</v>
          </cell>
          <cell r="B73">
            <v>13.513513999999999</v>
          </cell>
          <cell r="C73">
            <v>12.328526999999999</v>
          </cell>
          <cell r="D73">
            <v>16.66667</v>
          </cell>
          <cell r="E73">
            <v>8.7609069999999996</v>
          </cell>
          <cell r="G73">
            <v>16.44509</v>
          </cell>
          <cell r="H73">
            <v>20.233020000000003</v>
          </cell>
          <cell r="I73">
            <v>6.9689739999999993</v>
          </cell>
        </row>
        <row r="74">
          <cell r="A74">
            <v>36800</v>
          </cell>
          <cell r="B74">
            <v>13.629344</v>
          </cell>
          <cell r="C74">
            <v>10.840043</v>
          </cell>
          <cell r="D74">
            <v>18.204360000000001</v>
          </cell>
          <cell r="E74">
            <v>8.3071549999999998</v>
          </cell>
          <cell r="G74">
            <v>15.021958999999999</v>
          </cell>
          <cell r="H74">
            <v>16.56663</v>
          </cell>
          <cell r="I74">
            <v>6.9212409999999993</v>
          </cell>
        </row>
        <row r="75">
          <cell r="A75">
            <v>36831</v>
          </cell>
          <cell r="B75">
            <v>13.088804</v>
          </cell>
          <cell r="C75">
            <v>11.098908999999999</v>
          </cell>
          <cell r="D75">
            <v>18.05556</v>
          </cell>
          <cell r="E75">
            <v>8.9179750000000002</v>
          </cell>
          <cell r="G75">
            <v>14.073202999999999</v>
          </cell>
          <cell r="H75">
            <v>17.1098</v>
          </cell>
          <cell r="I75">
            <v>6.8735079999999993</v>
          </cell>
        </row>
        <row r="76">
          <cell r="A76">
            <v>36861</v>
          </cell>
          <cell r="B76">
            <v>15.150374999999999</v>
          </cell>
          <cell r="C76">
            <v>12.557789</v>
          </cell>
          <cell r="D76">
            <v>20.038170000000001</v>
          </cell>
          <cell r="E76">
            <v>9.1856679999999997</v>
          </cell>
          <cell r="G76">
            <v>13.042233999999999</v>
          </cell>
          <cell r="H76">
            <v>20.303030000000003</v>
          </cell>
          <cell r="I76">
            <v>7.2643679999999993</v>
          </cell>
        </row>
        <row r="77">
          <cell r="A77">
            <v>36892</v>
          </cell>
          <cell r="B77">
            <v>16.052630000000001</v>
          </cell>
          <cell r="C77">
            <v>12.617588999999999</v>
          </cell>
          <cell r="D77">
            <v>19.561070000000001</v>
          </cell>
          <cell r="E77">
            <v>9.869707</v>
          </cell>
          <cell r="G77">
            <v>14.261134999999999</v>
          </cell>
          <cell r="H77">
            <v>20.303030000000003</v>
          </cell>
          <cell r="I77">
            <v>7.7701149999999997</v>
          </cell>
          <cell r="K77">
            <v>13.479034333333333</v>
          </cell>
        </row>
        <row r="78">
          <cell r="A78">
            <v>36923</v>
          </cell>
          <cell r="B78">
            <v>14.511277</v>
          </cell>
          <cell r="C78">
            <v>12.079397999999999</v>
          </cell>
          <cell r="D78">
            <v>17.700380000000003</v>
          </cell>
          <cell r="E78">
            <v>9.2996739999999996</v>
          </cell>
          <cell r="G78">
            <v>12.798454999999999</v>
          </cell>
          <cell r="H78">
            <v>19.545450000000002</v>
          </cell>
          <cell r="I78">
            <v>7.6091949999999997</v>
          </cell>
          <cell r="K78">
            <v>12.640574833333332</v>
          </cell>
        </row>
        <row r="79">
          <cell r="A79">
            <v>36951</v>
          </cell>
          <cell r="B79">
            <v>12.999998999999999</v>
          </cell>
          <cell r="C79">
            <v>10.805192</v>
          </cell>
          <cell r="D79">
            <v>17.123940000000001</v>
          </cell>
          <cell r="E79">
            <v>8.0162600000000008</v>
          </cell>
          <cell r="G79">
            <v>10.131696</v>
          </cell>
          <cell r="H79">
            <v>20.27778</v>
          </cell>
          <cell r="I79">
            <v>7.7934269999999994</v>
          </cell>
          <cell r="K79">
            <v>11.670725666666664</v>
          </cell>
        </row>
        <row r="80">
          <cell r="A80">
            <v>36982</v>
          </cell>
          <cell r="B80">
            <v>13.111111999999999</v>
          </cell>
          <cell r="C80">
            <v>11.927809</v>
          </cell>
          <cell r="D80">
            <v>17.40776</v>
          </cell>
          <cell r="E80">
            <v>10.048780000000001</v>
          </cell>
          <cell r="G80">
            <v>10.928573</v>
          </cell>
          <cell r="H80">
            <v>18.61111</v>
          </cell>
          <cell r="I80">
            <v>9.2018779999999989</v>
          </cell>
          <cell r="K80">
            <v>12.304876999999999</v>
          </cell>
        </row>
        <row r="81">
          <cell r="A81">
            <v>37012</v>
          </cell>
          <cell r="B81">
            <v>13.370370000000001</v>
          </cell>
          <cell r="C81">
            <v>11.675220000000001</v>
          </cell>
          <cell r="D81">
            <v>16.367080000000001</v>
          </cell>
          <cell r="E81">
            <v>10.048780000000001</v>
          </cell>
          <cell r="G81">
            <v>11.497767999999999</v>
          </cell>
          <cell r="H81">
            <v>19.72222</v>
          </cell>
          <cell r="I81">
            <v>8.5915489999999988</v>
          </cell>
          <cell r="K81">
            <v>12.484317833333336</v>
          </cell>
        </row>
        <row r="82">
          <cell r="A82">
            <v>37043</v>
          </cell>
          <cell r="B82">
            <v>13.211679</v>
          </cell>
          <cell r="C82">
            <v>10.656678999999999</v>
          </cell>
          <cell r="D82">
            <v>15.009380999999999</v>
          </cell>
          <cell r="E82">
            <v>9.6590910000000001</v>
          </cell>
          <cell r="G82">
            <v>11.426115999999999</v>
          </cell>
          <cell r="H82">
            <v>18.076920000000001</v>
          </cell>
          <cell r="I82">
            <v>8.7290169999999989</v>
          </cell>
          <cell r="K82">
            <v>11.959916999999999</v>
          </cell>
        </row>
        <row r="83">
          <cell r="A83">
            <v>37073</v>
          </cell>
          <cell r="B83">
            <v>13.284671999999999</v>
          </cell>
          <cell r="C83">
            <v>10.868226</v>
          </cell>
          <cell r="D83">
            <v>16.416510000000002</v>
          </cell>
          <cell r="E83">
            <v>8.7987009999999994</v>
          </cell>
          <cell r="G83">
            <v>10.785399</v>
          </cell>
          <cell r="H83">
            <v>17.4359</v>
          </cell>
          <cell r="I83">
            <v>8.1774579999999997</v>
          </cell>
          <cell r="K83">
            <v>11.558392666666665</v>
          </cell>
        </row>
        <row r="84">
          <cell r="A84">
            <v>37104</v>
          </cell>
          <cell r="B84">
            <v>13.029197999999999</v>
          </cell>
          <cell r="C84">
            <v>10.180698</v>
          </cell>
          <cell r="D84">
            <v>16.463420000000003</v>
          </cell>
          <cell r="E84">
            <v>8.7175329999999995</v>
          </cell>
          <cell r="G84">
            <v>10.571826999999999</v>
          </cell>
          <cell r="H84">
            <v>16.153850000000002</v>
          </cell>
          <cell r="I84">
            <v>7.6019189999999996</v>
          </cell>
          <cell r="K84">
            <v>11.042504166666667</v>
          </cell>
        </row>
        <row r="85">
          <cell r="A85">
            <v>37135</v>
          </cell>
          <cell r="B85">
            <v>12.489960000000002</v>
          </cell>
          <cell r="C85">
            <v>9.4293269999999989</v>
          </cell>
          <cell r="D85">
            <v>15.207155999999999</v>
          </cell>
          <cell r="E85">
            <v>8.5017420000000001</v>
          </cell>
          <cell r="G85">
            <v>8.1532700000000009</v>
          </cell>
          <cell r="H85">
            <v>15.894736999999999</v>
          </cell>
          <cell r="I85">
            <v>6.7605629999999994</v>
          </cell>
          <cell r="K85">
            <v>10.204933166666667</v>
          </cell>
        </row>
        <row r="86">
          <cell r="A86">
            <v>37165</v>
          </cell>
          <cell r="B86">
            <v>12.489960000000002</v>
          </cell>
          <cell r="C86">
            <v>9.1847630000000002</v>
          </cell>
          <cell r="D86">
            <v>14.736345999999999</v>
          </cell>
          <cell r="E86">
            <v>8.1707319999999992</v>
          </cell>
          <cell r="G86">
            <v>8.9307719999999993</v>
          </cell>
          <cell r="H86">
            <v>14.105262999999999</v>
          </cell>
          <cell r="I86">
            <v>6.9782329999999995</v>
          </cell>
          <cell r="K86">
            <v>9.9766204999999992</v>
          </cell>
        </row>
        <row r="87">
          <cell r="A87">
            <v>37196</v>
          </cell>
          <cell r="B87">
            <v>13.212852</v>
          </cell>
          <cell r="C87">
            <v>9.5108490000000003</v>
          </cell>
          <cell r="D87">
            <v>15.913371</v>
          </cell>
          <cell r="E87">
            <v>8.3623700000000003</v>
          </cell>
          <cell r="G87">
            <v>9.4561109999999999</v>
          </cell>
          <cell r="H87">
            <v>15.263157999999999</v>
          </cell>
          <cell r="I87">
            <v>7.4647889999999997</v>
          </cell>
          <cell r="K87">
            <v>10.545021499999999</v>
          </cell>
        </row>
        <row r="88">
          <cell r="A88">
            <v>37226</v>
          </cell>
          <cell r="B88">
            <v>14.999998999999999</v>
          </cell>
          <cell r="C88">
            <v>10.312014999999999</v>
          </cell>
          <cell r="D88">
            <v>16.20983</v>
          </cell>
          <cell r="E88">
            <v>9.3984959999999997</v>
          </cell>
          <cell r="G88">
            <v>8.4971250000000005</v>
          </cell>
          <cell r="H88">
            <v>13.125</v>
          </cell>
          <cell r="I88">
            <v>7.9945049999999993</v>
          </cell>
          <cell r="K88">
            <v>10.72119</v>
          </cell>
        </row>
        <row r="89">
          <cell r="A89">
            <v>37257</v>
          </cell>
          <cell r="B89">
            <v>14.017856999999999</v>
          </cell>
          <cell r="C89">
            <v>9.2221259999999994</v>
          </cell>
          <cell r="D89">
            <v>16.115310000000001</v>
          </cell>
          <cell r="E89">
            <v>9.2105259999999998</v>
          </cell>
          <cell r="G89">
            <v>9.2266770000000005</v>
          </cell>
          <cell r="H89">
            <v>12.678571</v>
          </cell>
          <cell r="I89">
            <v>7.8571429999999998</v>
          </cell>
          <cell r="K89">
            <v>10.368816666666666</v>
          </cell>
        </row>
        <row r="90">
          <cell r="A90">
            <v>37288</v>
          </cell>
          <cell r="B90">
            <v>13.258929</v>
          </cell>
          <cell r="C90">
            <v>9.0823970000000003</v>
          </cell>
          <cell r="D90">
            <v>16.162570000000002</v>
          </cell>
          <cell r="E90">
            <v>8.9285709999999998</v>
          </cell>
          <cell r="G90">
            <v>10.084970999999999</v>
          </cell>
          <cell r="H90">
            <v>13.035713999999999</v>
          </cell>
          <cell r="I90">
            <v>8.0357140000000005</v>
          </cell>
          <cell r="K90">
            <v>10.404382666666665</v>
          </cell>
        </row>
        <row r="91">
          <cell r="A91">
            <v>37316</v>
          </cell>
          <cell r="B91">
            <v>14.951922999999999</v>
          </cell>
          <cell r="C91">
            <v>9.9895519999999998</v>
          </cell>
          <cell r="D91">
            <v>16.619050000000001</v>
          </cell>
          <cell r="E91">
            <v>11.017612</v>
          </cell>
          <cell r="G91">
            <v>10.381710999999999</v>
          </cell>
          <cell r="H91">
            <v>13.114754</v>
          </cell>
          <cell r="I91">
            <v>9.8150779999999997</v>
          </cell>
          <cell r="K91">
            <v>11.545105</v>
          </cell>
        </row>
        <row r="92">
          <cell r="A92">
            <v>37347</v>
          </cell>
          <cell r="B92">
            <v>15.721155</v>
          </cell>
          <cell r="C92">
            <v>11.044005</v>
          </cell>
          <cell r="D92">
            <v>17</v>
          </cell>
          <cell r="E92">
            <v>11.076321</v>
          </cell>
          <cell r="G92">
            <v>10.906041</v>
          </cell>
          <cell r="H92">
            <v>13.114754</v>
          </cell>
          <cell r="I92">
            <v>10.071123999999999</v>
          </cell>
          <cell r="K92">
            <v>11.988900000000001</v>
          </cell>
        </row>
        <row r="93">
          <cell r="A93">
            <v>37377</v>
          </cell>
          <cell r="B93">
            <v>16.298080000000002</v>
          </cell>
          <cell r="C93">
            <v>10.849763999999999</v>
          </cell>
          <cell r="D93">
            <v>16.428570000000001</v>
          </cell>
          <cell r="E93">
            <v>10.861056</v>
          </cell>
          <cell r="G93">
            <v>10.486576999999999</v>
          </cell>
          <cell r="H93">
            <v>12.704917999999999</v>
          </cell>
          <cell r="I93">
            <v>10.241820000000001</v>
          </cell>
          <cell r="K93">
            <v>11.907035833333333</v>
          </cell>
        </row>
        <row r="94">
          <cell r="A94">
            <v>37408</v>
          </cell>
          <cell r="B94">
            <v>16.35417</v>
          </cell>
          <cell r="C94">
            <v>10.470687</v>
          </cell>
          <cell r="D94">
            <v>16.026870000000002</v>
          </cell>
          <cell r="E94">
            <v>10.551020999999999</v>
          </cell>
          <cell r="G94">
            <v>9.3321849999999991</v>
          </cell>
          <cell r="H94">
            <v>11.136362999999999</v>
          </cell>
          <cell r="I94">
            <v>10.117993</v>
          </cell>
          <cell r="K94">
            <v>11.327069833333333</v>
          </cell>
        </row>
        <row r="95">
          <cell r="A95">
            <v>37438</v>
          </cell>
          <cell r="B95">
            <v>15.677083999999999</v>
          </cell>
          <cell r="C95">
            <v>9.7267169999999989</v>
          </cell>
          <cell r="D95">
            <v>16.5547</v>
          </cell>
          <cell r="E95">
            <v>10.102040000000001</v>
          </cell>
          <cell r="G95">
            <v>9.1270810000000004</v>
          </cell>
          <cell r="H95">
            <v>10.227271999999999</v>
          </cell>
          <cell r="I95">
            <v>9.1445429999999988</v>
          </cell>
          <cell r="K95">
            <v>10.667456166666668</v>
          </cell>
        </row>
        <row r="96">
          <cell r="A96">
            <v>37469</v>
          </cell>
          <cell r="B96">
            <v>15.468750999999999</v>
          </cell>
          <cell r="C96">
            <v>9.4236190000000004</v>
          </cell>
          <cell r="D96">
            <v>16.074860000000001</v>
          </cell>
          <cell r="E96">
            <v>10.489796</v>
          </cell>
          <cell r="G96">
            <v>9.2296329999999998</v>
          </cell>
          <cell r="H96">
            <v>9.8484839999999991</v>
          </cell>
          <cell r="I96">
            <v>9.085545999999999</v>
          </cell>
          <cell r="K96">
            <v>10.5909715</v>
          </cell>
        </row>
        <row r="97">
          <cell r="A97">
            <v>37500</v>
          </cell>
          <cell r="B97">
            <v>14.810810000000002</v>
          </cell>
          <cell r="C97">
            <v>9.5672359999999994</v>
          </cell>
          <cell r="D97">
            <v>15.690978999999999</v>
          </cell>
          <cell r="E97">
            <v>10.691823999999999</v>
          </cell>
          <cell r="F97">
            <v>18.86336</v>
          </cell>
          <cell r="G97">
            <v>8.916170000000001</v>
          </cell>
          <cell r="H97">
            <v>9.411764999999999</v>
          </cell>
          <cell r="I97">
            <v>8.6616540000000004</v>
          </cell>
          <cell r="K97">
            <v>10.343243166666667</v>
          </cell>
          <cell r="L97">
            <v>17.277169499999999</v>
          </cell>
        </row>
        <row r="98">
          <cell r="A98">
            <v>37530</v>
          </cell>
          <cell r="B98">
            <v>14.702703</v>
          </cell>
          <cell r="C98">
            <v>10.276971</v>
          </cell>
          <cell r="D98">
            <v>16.170830000000002</v>
          </cell>
          <cell r="E98">
            <v>10.440251</v>
          </cell>
          <cell r="F98">
            <v>19.226120000000002</v>
          </cell>
          <cell r="G98">
            <v>9.0729879999999987</v>
          </cell>
          <cell r="H98">
            <v>8.455881999999999</v>
          </cell>
          <cell r="I98">
            <v>8.4210529999999988</v>
          </cell>
          <cell r="K98">
            <v>10.228308</v>
          </cell>
          <cell r="L98">
            <v>17.698475000000002</v>
          </cell>
        </row>
        <row r="99">
          <cell r="A99">
            <v>37561</v>
          </cell>
          <cell r="B99">
            <v>14.702703</v>
          </cell>
          <cell r="C99">
            <v>10.36214</v>
          </cell>
          <cell r="D99">
            <v>16.26679</v>
          </cell>
          <cell r="E99">
            <v>10.104822</v>
          </cell>
          <cell r="F99">
            <v>20.918980000000001</v>
          </cell>
          <cell r="G99">
            <v>10.081097</v>
          </cell>
          <cell r="H99">
            <v>8.9705879999999993</v>
          </cell>
          <cell r="I99">
            <v>8.4360900000000001</v>
          </cell>
          <cell r="K99">
            <v>10.442906666666667</v>
          </cell>
          <cell r="L99">
            <v>18.592885000000003</v>
          </cell>
        </row>
        <row r="100">
          <cell r="A100">
            <v>37591</v>
          </cell>
          <cell r="B100">
            <v>15.000000999999999</v>
          </cell>
          <cell r="C100">
            <v>11.564254</v>
          </cell>
          <cell r="D100">
            <v>15.930902</v>
          </cell>
          <cell r="E100">
            <v>10.754311</v>
          </cell>
          <cell r="F100">
            <v>12.676278999999999</v>
          </cell>
          <cell r="G100">
            <v>11.105627</v>
          </cell>
          <cell r="H100">
            <v>8.7142859999999995</v>
          </cell>
          <cell r="I100">
            <v>8.8190179999999998</v>
          </cell>
          <cell r="K100">
            <v>10.992916166666665</v>
          </cell>
          <cell r="L100">
            <v>14.303590499999999</v>
          </cell>
        </row>
        <row r="101">
          <cell r="A101">
            <v>37622</v>
          </cell>
          <cell r="B101">
            <v>16.235950000000003</v>
          </cell>
          <cell r="C101">
            <v>11.300763999999999</v>
          </cell>
          <cell r="D101">
            <v>15.930902</v>
          </cell>
          <cell r="E101">
            <v>11.099138</v>
          </cell>
          <cell r="F101">
            <v>12.755507</v>
          </cell>
          <cell r="G101">
            <v>10.612043</v>
          </cell>
          <cell r="H101">
            <v>8.8571419999999996</v>
          </cell>
          <cell r="I101">
            <v>8.9417179999999998</v>
          </cell>
          <cell r="K101">
            <v>11.174459166666667</v>
          </cell>
          <cell r="L101">
            <v>14.343204499999999</v>
          </cell>
        </row>
        <row r="102">
          <cell r="A102">
            <v>37653</v>
          </cell>
          <cell r="B102">
            <v>16.348310000000001</v>
          </cell>
          <cell r="C102">
            <v>11.066552</v>
          </cell>
          <cell r="D102">
            <v>16.362760000000002</v>
          </cell>
          <cell r="E102">
            <v>11.206897</v>
          </cell>
          <cell r="F102">
            <v>12.676278999999999</v>
          </cell>
          <cell r="G102">
            <v>10.241856</v>
          </cell>
          <cell r="H102">
            <v>9.1428580000000004</v>
          </cell>
          <cell r="I102">
            <v>9.4171779999999998</v>
          </cell>
          <cell r="K102">
            <v>11.237275166666665</v>
          </cell>
          <cell r="L102">
            <v>14.519519500000001</v>
          </cell>
        </row>
        <row r="103">
          <cell r="A103">
            <v>37681</v>
          </cell>
          <cell r="B103">
            <v>16.067420000000002</v>
          </cell>
          <cell r="C103">
            <v>10.622724999999999</v>
          </cell>
          <cell r="D103">
            <v>15.406977999999999</v>
          </cell>
          <cell r="E103">
            <v>11.555076</v>
          </cell>
          <cell r="F103">
            <v>10.997907999999999</v>
          </cell>
          <cell r="G103">
            <v>10.404624</v>
          </cell>
          <cell r="H103">
            <v>9.5652169999999987</v>
          </cell>
          <cell r="I103">
            <v>9.2682919999999989</v>
          </cell>
          <cell r="K103">
            <v>11.247225666666667</v>
          </cell>
          <cell r="L103">
            <v>13.202442999999999</v>
          </cell>
        </row>
        <row r="104">
          <cell r="A104">
            <v>37712</v>
          </cell>
          <cell r="B104">
            <v>16.235950000000003</v>
          </cell>
          <cell r="C104">
            <v>10.360794</v>
          </cell>
          <cell r="D104">
            <v>14.970931</v>
          </cell>
          <cell r="E104">
            <v>10.604751</v>
          </cell>
          <cell r="F104">
            <v>10.255718</v>
          </cell>
          <cell r="G104">
            <v>9.4062009999999994</v>
          </cell>
          <cell r="H104">
            <v>8.840580000000001</v>
          </cell>
          <cell r="I104">
            <v>8.6737800000000007</v>
          </cell>
          <cell r="K104">
            <v>10.687009333333334</v>
          </cell>
          <cell r="L104">
            <v>12.613324500000001</v>
          </cell>
        </row>
        <row r="105">
          <cell r="A105">
            <v>37742</v>
          </cell>
          <cell r="B105">
            <v>16.516850000000002</v>
          </cell>
          <cell r="C105">
            <v>10.884656</v>
          </cell>
          <cell r="D105">
            <v>16.085270000000001</v>
          </cell>
          <cell r="E105">
            <v>11.274298</v>
          </cell>
          <cell r="F105">
            <v>10.795492999999999</v>
          </cell>
          <cell r="G105">
            <v>10.641093</v>
          </cell>
          <cell r="H105">
            <v>9.2753619999999994</v>
          </cell>
          <cell r="I105">
            <v>9.5731710000000003</v>
          </cell>
          <cell r="K105">
            <v>11.360905000000001</v>
          </cell>
          <cell r="L105">
            <v>13.440381500000001</v>
          </cell>
        </row>
        <row r="106">
          <cell r="A106">
            <v>37773</v>
          </cell>
          <cell r="B106">
            <v>17.303370000000001</v>
          </cell>
          <cell r="C106">
            <v>11.225676999999999</v>
          </cell>
          <cell r="D106">
            <v>16.14481</v>
          </cell>
          <cell r="E106">
            <v>12.402597</v>
          </cell>
          <cell r="F106">
            <v>9.2244419999999998</v>
          </cell>
          <cell r="G106">
            <v>12.219101</v>
          </cell>
          <cell r="H106">
            <v>9.5588239999999995</v>
          </cell>
          <cell r="I106">
            <v>10</v>
          </cell>
          <cell r="K106">
            <v>12.118261500000001</v>
          </cell>
          <cell r="L106">
            <v>12.684626</v>
          </cell>
        </row>
        <row r="107">
          <cell r="A107">
            <v>37803</v>
          </cell>
          <cell r="B107">
            <v>18.370790000000003</v>
          </cell>
          <cell r="C107">
            <v>11.138881999999999</v>
          </cell>
          <cell r="D107">
            <v>16.438360000000003</v>
          </cell>
          <cell r="E107">
            <v>13.463203999999999</v>
          </cell>
          <cell r="F107">
            <v>9.9882489999999997</v>
          </cell>
          <cell r="G107">
            <v>13.342696</v>
          </cell>
          <cell r="H107">
            <v>11.25</v>
          </cell>
          <cell r="I107">
            <v>10</v>
          </cell>
          <cell r="K107">
            <v>12.927595333333334</v>
          </cell>
          <cell r="L107">
            <v>13.213304500000001</v>
          </cell>
        </row>
        <row r="108">
          <cell r="A108">
            <v>37834</v>
          </cell>
          <cell r="B108">
            <v>20.674160000000001</v>
          </cell>
          <cell r="C108">
            <v>13.366657999999999</v>
          </cell>
          <cell r="D108">
            <v>16.927590000000002</v>
          </cell>
          <cell r="E108">
            <v>15.367965999999999</v>
          </cell>
          <cell r="F108">
            <v>11.750881</v>
          </cell>
          <cell r="G108">
            <v>13.764044999999999</v>
          </cell>
          <cell r="H108">
            <v>13.235294</v>
          </cell>
          <cell r="I108">
            <v>12.060606</v>
          </cell>
          <cell r="K108">
            <v>14.744788166666666</v>
          </cell>
          <cell r="L108">
            <v>14.339235500000001</v>
          </cell>
        </row>
        <row r="109">
          <cell r="A109">
            <v>37865</v>
          </cell>
          <cell r="B109">
            <v>18.009050000000002</v>
          </cell>
          <cell r="C109">
            <v>12.567943999999999</v>
          </cell>
          <cell r="D109">
            <v>18.811880000000002</v>
          </cell>
          <cell r="E109">
            <v>15.619047</v>
          </cell>
          <cell r="F109">
            <v>13.963346</v>
          </cell>
          <cell r="G109">
            <v>14.819586999999999</v>
          </cell>
          <cell r="H109">
            <v>13.381295</v>
          </cell>
          <cell r="I109">
            <v>13.028570999999999</v>
          </cell>
          <cell r="K109">
            <v>14.570915666666664</v>
          </cell>
          <cell r="L109">
            <v>16.387613000000002</v>
          </cell>
        </row>
        <row r="110">
          <cell r="A110">
            <v>37895</v>
          </cell>
          <cell r="B110">
            <v>20.995480000000001</v>
          </cell>
          <cell r="C110">
            <v>14.384196999999999</v>
          </cell>
          <cell r="D110">
            <v>19.207920000000001</v>
          </cell>
          <cell r="E110">
            <v>18.247620000000001</v>
          </cell>
          <cell r="F110">
            <v>16.76848</v>
          </cell>
          <cell r="G110">
            <v>17.912370000000003</v>
          </cell>
          <cell r="H110">
            <v>15.035971</v>
          </cell>
          <cell r="I110">
            <v>13.971428999999999</v>
          </cell>
          <cell r="K110">
            <v>16.757844500000001</v>
          </cell>
          <cell r="L110">
            <v>17.988199999999999</v>
          </cell>
        </row>
        <row r="111">
          <cell r="A111">
            <v>37926</v>
          </cell>
          <cell r="B111">
            <v>22.08145</v>
          </cell>
          <cell r="C111">
            <v>15.245922999999999</v>
          </cell>
          <cell r="D111">
            <v>19.752470000000002</v>
          </cell>
          <cell r="E111">
            <v>17.676190000000002</v>
          </cell>
          <cell r="F111">
            <v>18.01521</v>
          </cell>
          <cell r="G111">
            <v>18.298970000000001</v>
          </cell>
          <cell r="H111">
            <v>15.035971</v>
          </cell>
          <cell r="I111">
            <v>14.357142</v>
          </cell>
          <cell r="K111">
            <v>17.115940999999999</v>
          </cell>
          <cell r="L111">
            <v>18.883839999999999</v>
          </cell>
        </row>
        <row r="112">
          <cell r="A112">
            <v>37956</v>
          </cell>
          <cell r="B112">
            <v>18.068180000000002</v>
          </cell>
          <cell r="C112">
            <v>14.131418</v>
          </cell>
          <cell r="D112">
            <v>20.44088</v>
          </cell>
          <cell r="E112">
            <v>15.714286</v>
          </cell>
          <cell r="F112">
            <v>19.383960000000002</v>
          </cell>
          <cell r="G112">
            <v>20</v>
          </cell>
          <cell r="H112">
            <v>15.140844999999999</v>
          </cell>
          <cell r="I112">
            <v>13.716215999999999</v>
          </cell>
          <cell r="K112">
            <v>16.128490833333334</v>
          </cell>
          <cell r="L112">
            <v>19.912420000000001</v>
          </cell>
        </row>
        <row r="113">
          <cell r="A113">
            <v>37987</v>
          </cell>
          <cell r="B113">
            <v>18.106060000000003</v>
          </cell>
          <cell r="C113">
            <v>14.681992999999999</v>
          </cell>
          <cell r="D113">
            <v>21.142290000000003</v>
          </cell>
          <cell r="E113">
            <v>16.97279</v>
          </cell>
          <cell r="F113">
            <v>19.450340000000001</v>
          </cell>
          <cell r="G113">
            <v>20</v>
          </cell>
          <cell r="H113">
            <v>17.042260000000002</v>
          </cell>
          <cell r="I113">
            <v>13.189188999999999</v>
          </cell>
          <cell r="K113">
            <v>16.665382000000001</v>
          </cell>
          <cell r="L113">
            <v>20.296315</v>
          </cell>
        </row>
        <row r="114">
          <cell r="A114">
            <v>38018</v>
          </cell>
          <cell r="B114">
            <v>19.16667</v>
          </cell>
          <cell r="C114">
            <v>14.681992999999999</v>
          </cell>
          <cell r="D114">
            <v>22.144290000000002</v>
          </cell>
          <cell r="E114">
            <v>17.091840000000001</v>
          </cell>
          <cell r="F114">
            <v>21.109930000000002</v>
          </cell>
          <cell r="G114">
            <v>19.76191</v>
          </cell>
          <cell r="H114">
            <v>17.394370000000002</v>
          </cell>
          <cell r="I114">
            <v>14.054053999999999</v>
          </cell>
          <cell r="K114">
            <v>17.025139499999998</v>
          </cell>
          <cell r="L114">
            <v>21.627110000000002</v>
          </cell>
        </row>
        <row r="115">
          <cell r="A115">
            <v>38047</v>
          </cell>
          <cell r="B115">
            <v>17.003610000000002</v>
          </cell>
          <cell r="C115">
            <v>9.0322449999999996</v>
          </cell>
          <cell r="D115">
            <v>18.738230000000001</v>
          </cell>
          <cell r="E115">
            <v>15.389408</v>
          </cell>
          <cell r="F115">
            <v>16.977250000000002</v>
          </cell>
          <cell r="G115">
            <v>15.134775999999999</v>
          </cell>
          <cell r="H115">
            <v>14.768210999999999</v>
          </cell>
          <cell r="I115">
            <v>14.018087999999999</v>
          </cell>
          <cell r="K115">
            <v>14.224389666666667</v>
          </cell>
          <cell r="L115">
            <v>17.85774</v>
          </cell>
        </row>
        <row r="116">
          <cell r="A116">
            <v>38078</v>
          </cell>
          <cell r="B116">
            <v>16.46209</v>
          </cell>
          <cell r="C116">
            <v>9.1964659999999991</v>
          </cell>
          <cell r="D116">
            <v>18.644070000000003</v>
          </cell>
          <cell r="E116">
            <v>15.420560999999999</v>
          </cell>
          <cell r="F116">
            <v>15.205214</v>
          </cell>
          <cell r="G116">
            <v>13.809102999999999</v>
          </cell>
          <cell r="H116">
            <v>12.384107</v>
          </cell>
          <cell r="I116">
            <v>14.599482999999999</v>
          </cell>
          <cell r="K116">
            <v>13.645301666666667</v>
          </cell>
          <cell r="L116">
            <v>16.924642000000002</v>
          </cell>
        </row>
        <row r="117">
          <cell r="A117">
            <v>38108</v>
          </cell>
          <cell r="B117">
            <v>16.425990000000002</v>
          </cell>
          <cell r="C117">
            <v>8.5395769999999995</v>
          </cell>
          <cell r="D117">
            <v>18.738230000000001</v>
          </cell>
          <cell r="E117">
            <v>13.987539</v>
          </cell>
          <cell r="F117">
            <v>15.491026</v>
          </cell>
          <cell r="G117">
            <v>13.367211999999999</v>
          </cell>
          <cell r="H117">
            <v>13.112582</v>
          </cell>
          <cell r="I117">
            <v>13.695091</v>
          </cell>
          <cell r="K117">
            <v>13.187998500000001</v>
          </cell>
          <cell r="L117">
            <v>17.114628</v>
          </cell>
        </row>
        <row r="118">
          <cell r="A118">
            <v>38139</v>
          </cell>
          <cell r="B118">
            <v>15.379310000000002</v>
          </cell>
          <cell r="C118">
            <v>5.6846610000000002</v>
          </cell>
          <cell r="D118">
            <v>17.761990000000001</v>
          </cell>
          <cell r="E118">
            <v>13.304597999999999</v>
          </cell>
          <cell r="F118">
            <v>13.350733</v>
          </cell>
          <cell r="G118">
            <v>11.747733999999999</v>
          </cell>
          <cell r="H118">
            <v>12.625</v>
          </cell>
          <cell r="I118">
            <v>13.242574999999999</v>
          </cell>
          <cell r="K118">
            <v>11.997313</v>
          </cell>
          <cell r="L118">
            <v>15.556361500000001</v>
          </cell>
        </row>
        <row r="119">
          <cell r="A119">
            <v>38169</v>
          </cell>
          <cell r="B119">
            <v>15.241378999999998</v>
          </cell>
          <cell r="C119">
            <v>6.030151</v>
          </cell>
          <cell r="D119">
            <v>17.717580000000002</v>
          </cell>
          <cell r="E119">
            <v>13.477012</v>
          </cell>
          <cell r="F119">
            <v>13.400924</v>
          </cell>
          <cell r="G119">
            <v>11.438582</v>
          </cell>
          <cell r="H119">
            <v>13.125</v>
          </cell>
          <cell r="I119">
            <v>13.861386</v>
          </cell>
          <cell r="K119">
            <v>12.195584999999999</v>
          </cell>
          <cell r="L119">
            <v>15.559252000000001</v>
          </cell>
        </row>
        <row r="120">
          <cell r="A120">
            <v>38200</v>
          </cell>
          <cell r="B120">
            <v>14.758620000000001</v>
          </cell>
          <cell r="C120">
            <v>7.0351759999999999</v>
          </cell>
          <cell r="D120">
            <v>18.472470000000001</v>
          </cell>
          <cell r="E120">
            <v>14.655171999999999</v>
          </cell>
          <cell r="F120">
            <v>14.053402999999999</v>
          </cell>
          <cell r="G120">
            <v>13.190436999999999</v>
          </cell>
          <cell r="H120">
            <v>13.312498999999999</v>
          </cell>
          <cell r="I120">
            <v>14.047029</v>
          </cell>
          <cell r="K120">
            <v>12.833155500000002</v>
          </cell>
          <cell r="L120">
            <v>16.262936500000002</v>
          </cell>
        </row>
        <row r="121">
          <cell r="A121">
            <v>38231</v>
          </cell>
          <cell r="B121">
            <v>14.174757</v>
          </cell>
          <cell r="C121">
            <v>6.8912230000000001</v>
          </cell>
          <cell r="D121">
            <v>17.9465</v>
          </cell>
          <cell r="E121">
            <v>13.691276</v>
          </cell>
          <cell r="F121">
            <v>13.394744999999999</v>
          </cell>
          <cell r="G121">
            <v>12.095238999999999</v>
          </cell>
          <cell r="H121">
            <v>13.312498999999999</v>
          </cell>
          <cell r="I121">
            <v>13.443396999999999</v>
          </cell>
          <cell r="K121">
            <v>12.268065166666666</v>
          </cell>
          <cell r="L121">
            <v>15.6706225</v>
          </cell>
        </row>
        <row r="122">
          <cell r="A122">
            <v>38261</v>
          </cell>
          <cell r="B122">
            <v>14.433657</v>
          </cell>
          <cell r="C122">
            <v>6.9221259999999996</v>
          </cell>
          <cell r="D122">
            <v>17.860220000000002</v>
          </cell>
          <cell r="E122">
            <v>14.295302</v>
          </cell>
          <cell r="F122">
            <v>13.300746</v>
          </cell>
          <cell r="G122">
            <v>11.809524</v>
          </cell>
          <cell r="H122">
            <v>13.0625</v>
          </cell>
          <cell r="I122">
            <v>14.150943999999999</v>
          </cell>
          <cell r="K122">
            <v>12.4456755</v>
          </cell>
          <cell r="L122">
            <v>15.580483000000001</v>
          </cell>
        </row>
        <row r="123">
          <cell r="A123">
            <v>38292</v>
          </cell>
          <cell r="B123">
            <v>15.825244</v>
          </cell>
          <cell r="C123">
            <v>7.509271</v>
          </cell>
          <cell r="D123">
            <v>18.636750000000003</v>
          </cell>
          <cell r="E123">
            <v>14.832215</v>
          </cell>
          <cell r="F123">
            <v>13.723739</v>
          </cell>
          <cell r="G123">
            <v>13.04762</v>
          </cell>
          <cell r="H123">
            <v>13.875</v>
          </cell>
          <cell r="I123">
            <v>14.445755999999999</v>
          </cell>
          <cell r="K123">
            <v>13.255851</v>
          </cell>
          <cell r="L123">
            <v>16.180244500000001</v>
          </cell>
        </row>
        <row r="124">
          <cell r="A124">
            <v>38322</v>
          </cell>
          <cell r="B124">
            <v>14.725610000000001</v>
          </cell>
          <cell r="C124">
            <v>7.3296829999999993</v>
          </cell>
          <cell r="D124">
            <v>18.120810000000002</v>
          </cell>
          <cell r="E124">
            <v>13.727960000000001</v>
          </cell>
          <cell r="F124">
            <v>13.124170999999999</v>
          </cell>
          <cell r="G124">
            <v>12.216714</v>
          </cell>
          <cell r="H124">
            <v>13.875</v>
          </cell>
          <cell r="I124">
            <v>14.189188999999999</v>
          </cell>
          <cell r="K124">
            <v>12.677359333333335</v>
          </cell>
          <cell r="L124">
            <v>15.622490500000001</v>
          </cell>
        </row>
        <row r="125">
          <cell r="A125">
            <v>38353</v>
          </cell>
          <cell r="B125">
            <v>14.176829</v>
          </cell>
          <cell r="C125">
            <v>6.9038930000000001</v>
          </cell>
          <cell r="D125">
            <v>17.701340000000002</v>
          </cell>
          <cell r="E125">
            <v>12.544081</v>
          </cell>
          <cell r="F125">
            <v>12.682281</v>
          </cell>
          <cell r="G125">
            <v>11.154390000000001</v>
          </cell>
          <cell r="H125">
            <v>13.624998999999999</v>
          </cell>
          <cell r="I125">
            <v>12.331080999999999</v>
          </cell>
          <cell r="K125">
            <v>11.789212166666665</v>
          </cell>
          <cell r="L125">
            <v>15.191810500000001</v>
          </cell>
        </row>
        <row r="126">
          <cell r="A126">
            <v>38384</v>
          </cell>
          <cell r="B126">
            <v>14.481707999999999</v>
          </cell>
          <cell r="C126">
            <v>7.1776149999999994</v>
          </cell>
          <cell r="D126">
            <v>17.869130000000002</v>
          </cell>
          <cell r="E126">
            <v>13.161208999999999</v>
          </cell>
          <cell r="F126">
            <v>13.124170999999999</v>
          </cell>
          <cell r="G126">
            <v>11.508497999999999</v>
          </cell>
          <cell r="H126">
            <v>13.5625</v>
          </cell>
          <cell r="I126">
            <v>13.738738999999999</v>
          </cell>
          <cell r="K126">
            <v>12.2717115</v>
          </cell>
          <cell r="L126">
            <v>15.496650500000001</v>
          </cell>
        </row>
        <row r="127">
          <cell r="A127">
            <v>38412</v>
          </cell>
          <cell r="B127">
            <v>13.244838</v>
          </cell>
          <cell r="C127">
            <v>7.990354</v>
          </cell>
          <cell r="D127">
            <v>17.527520000000003</v>
          </cell>
          <cell r="E127">
            <v>11.150233999999999</v>
          </cell>
          <cell r="F127">
            <v>12.202380999999999</v>
          </cell>
          <cell r="G127">
            <v>9.1130009999999988</v>
          </cell>
          <cell r="H127">
            <v>12.883434999999999</v>
          </cell>
          <cell r="I127">
            <v>12.636761</v>
          </cell>
          <cell r="K127">
            <v>11.169770499999998</v>
          </cell>
          <cell r="L127">
            <v>14.864950500000001</v>
          </cell>
        </row>
        <row r="128">
          <cell r="A128">
            <v>38443</v>
          </cell>
          <cell r="B128">
            <v>13.480824999999999</v>
          </cell>
          <cell r="C128">
            <v>8.0787779999999998</v>
          </cell>
          <cell r="D128">
            <v>18.03556</v>
          </cell>
          <cell r="E128">
            <v>11.549294999999999</v>
          </cell>
          <cell r="F128">
            <v>12.542517</v>
          </cell>
          <cell r="G128">
            <v>9.2648840000000003</v>
          </cell>
          <cell r="H128">
            <v>12.024540000000002</v>
          </cell>
          <cell r="I128">
            <v>12.472648</v>
          </cell>
          <cell r="K128">
            <v>11.145161666666667</v>
          </cell>
          <cell r="L128">
            <v>15.2890385</v>
          </cell>
        </row>
        <row r="129">
          <cell r="A129">
            <v>38473</v>
          </cell>
          <cell r="B129">
            <v>13.510323999999999</v>
          </cell>
          <cell r="C129">
            <v>8.1189710000000002</v>
          </cell>
          <cell r="D129">
            <v>17.696870000000001</v>
          </cell>
          <cell r="E129">
            <v>13.028169</v>
          </cell>
          <cell r="F129">
            <v>12.244897999999999</v>
          </cell>
          <cell r="G129">
            <v>8.7332929999999998</v>
          </cell>
          <cell r="H129">
            <v>11.840490000000001</v>
          </cell>
          <cell r="I129">
            <v>12.910283999999999</v>
          </cell>
          <cell r="K129">
            <v>11.356921833333333</v>
          </cell>
          <cell r="L129">
            <v>14.970884</v>
          </cell>
        </row>
        <row r="130">
          <cell r="A130">
            <v>38504</v>
          </cell>
          <cell r="B130">
            <v>13.114286</v>
          </cell>
          <cell r="C130">
            <v>12.322274999999999</v>
          </cell>
          <cell r="D130">
            <v>18.119660000000003</v>
          </cell>
          <cell r="E130">
            <v>11.153846</v>
          </cell>
          <cell r="F130">
            <v>12.044243999999999</v>
          </cell>
          <cell r="G130">
            <v>7.9787239999999997</v>
          </cell>
          <cell r="H130">
            <v>11.506024</v>
          </cell>
          <cell r="I130">
            <v>12.446809</v>
          </cell>
          <cell r="K130">
            <v>11.420327333333333</v>
          </cell>
          <cell r="L130">
            <v>15.081952000000001</v>
          </cell>
        </row>
        <row r="131">
          <cell r="A131">
            <v>38534</v>
          </cell>
          <cell r="B131">
            <v>13.514284999999999</v>
          </cell>
          <cell r="C131">
            <v>13.459716</v>
          </cell>
          <cell r="D131">
            <v>18.376070000000002</v>
          </cell>
          <cell r="E131">
            <v>12.208791</v>
          </cell>
          <cell r="F131">
            <v>12.863581</v>
          </cell>
          <cell r="G131">
            <v>8.5106389999999994</v>
          </cell>
          <cell r="H131">
            <v>12.168674999999999</v>
          </cell>
          <cell r="I131">
            <v>13.425531999999999</v>
          </cell>
          <cell r="K131">
            <v>12.214606333333331</v>
          </cell>
          <cell r="L131">
            <v>15.619825500000001</v>
          </cell>
        </row>
        <row r="132">
          <cell r="A132">
            <v>38565</v>
          </cell>
          <cell r="B132">
            <v>12.971428999999999</v>
          </cell>
          <cell r="C132">
            <v>12.085308999999999</v>
          </cell>
          <cell r="D132">
            <v>17.948720000000002</v>
          </cell>
          <cell r="E132">
            <v>12.560438999999999</v>
          </cell>
          <cell r="F132">
            <v>12.822614</v>
          </cell>
          <cell r="G132">
            <v>8.8430850000000003</v>
          </cell>
          <cell r="H132">
            <v>12.409639</v>
          </cell>
          <cell r="I132">
            <v>13.829787999999999</v>
          </cell>
          <cell r="K132">
            <v>12.116614833333331</v>
          </cell>
          <cell r="L132">
            <v>15.385667000000002</v>
          </cell>
        </row>
        <row r="133">
          <cell r="A133">
            <v>38596</v>
          </cell>
          <cell r="B133">
            <v>12.681564999999999</v>
          </cell>
          <cell r="C133">
            <v>12.515041</v>
          </cell>
          <cell r="D133">
            <v>17.707980000000003</v>
          </cell>
          <cell r="E133">
            <v>12.494529</v>
          </cell>
          <cell r="F133">
            <v>12.455943999999999</v>
          </cell>
          <cell r="G133">
            <v>8.5979759999999992</v>
          </cell>
          <cell r="H133">
            <v>11.264367999999999</v>
          </cell>
          <cell r="I133">
            <v>12.542195</v>
          </cell>
          <cell r="K133">
            <v>11.682612333333333</v>
          </cell>
          <cell r="L133">
            <v>15.081962000000001</v>
          </cell>
        </row>
        <row r="134">
          <cell r="A134">
            <v>38626</v>
          </cell>
          <cell r="B134">
            <v>12.653630999999999</v>
          </cell>
          <cell r="C134">
            <v>11.335739</v>
          </cell>
          <cell r="D134">
            <v>17.062820000000002</v>
          </cell>
          <cell r="E134">
            <v>11.586433</v>
          </cell>
          <cell r="F134">
            <v>11.574816</v>
          </cell>
          <cell r="G134">
            <v>7.8352519999999997</v>
          </cell>
          <cell r="H134">
            <v>10.977012</v>
          </cell>
          <cell r="I134">
            <v>11.708860999999999</v>
          </cell>
          <cell r="K134">
            <v>11.016154666666665</v>
          </cell>
          <cell r="L134">
            <v>14.318818</v>
          </cell>
        </row>
        <row r="135">
          <cell r="A135">
            <v>38657</v>
          </cell>
          <cell r="B135">
            <v>12.960894999999999</v>
          </cell>
          <cell r="C135">
            <v>12.912153999999999</v>
          </cell>
          <cell r="D135">
            <v>17.419360000000001</v>
          </cell>
          <cell r="E135">
            <v>11.772428999999999</v>
          </cell>
          <cell r="F135">
            <v>11.855174999999999</v>
          </cell>
          <cell r="G135">
            <v>8.1126059999999995</v>
          </cell>
          <cell r="H135">
            <v>11.034483</v>
          </cell>
          <cell r="I135">
            <v>12.236286999999999</v>
          </cell>
          <cell r="K135">
            <v>11.504809</v>
          </cell>
          <cell r="L135">
            <v>14.6372675</v>
          </cell>
        </row>
        <row r="136">
          <cell r="A136">
            <v>38687</v>
          </cell>
          <cell r="B136">
            <v>12.814207999999999</v>
          </cell>
          <cell r="C136">
            <v>13.178483999999999</v>
          </cell>
          <cell r="D136">
            <v>17.065770000000001</v>
          </cell>
          <cell r="E136">
            <v>12.156862</v>
          </cell>
          <cell r="F136">
            <v>11.674372</v>
          </cell>
          <cell r="G136">
            <v>8.3309189999999997</v>
          </cell>
          <cell r="H136">
            <v>10.43956</v>
          </cell>
          <cell r="I136">
            <v>12.552300000000001</v>
          </cell>
          <cell r="K136">
            <v>11.578722166666665</v>
          </cell>
          <cell r="L136">
            <v>14.370070999999999</v>
          </cell>
        </row>
        <row r="137">
          <cell r="A137">
            <v>38718</v>
          </cell>
          <cell r="B137">
            <v>13.196721</v>
          </cell>
          <cell r="C137">
            <v>13.264057999999999</v>
          </cell>
          <cell r="D137">
            <v>17.45363</v>
          </cell>
          <cell r="E137">
            <v>12.222220999999999</v>
          </cell>
          <cell r="F137">
            <v>12.183657</v>
          </cell>
          <cell r="G137">
            <v>9.0553460000000001</v>
          </cell>
          <cell r="H137">
            <v>11.043956</v>
          </cell>
          <cell r="I137">
            <v>12.761505999999999</v>
          </cell>
          <cell r="K137">
            <v>11.923968</v>
          </cell>
          <cell r="L137">
            <v>14.8186435</v>
          </cell>
        </row>
        <row r="138">
          <cell r="A138">
            <v>38749</v>
          </cell>
          <cell r="B138">
            <v>14.562840999999999</v>
          </cell>
          <cell r="C138">
            <v>13.276282999999999</v>
          </cell>
          <cell r="D138">
            <v>17.521080000000001</v>
          </cell>
          <cell r="E138">
            <v>13.039214999999999</v>
          </cell>
          <cell r="F138">
            <v>12.262008</v>
          </cell>
          <cell r="G138">
            <v>10.214432</v>
          </cell>
          <cell r="H138">
            <v>11.703296</v>
          </cell>
          <cell r="I138">
            <v>14.372383999999998</v>
          </cell>
          <cell r="K138">
            <v>12.861408499999998</v>
          </cell>
          <cell r="L138">
            <v>14.891544</v>
          </cell>
        </row>
        <row r="139">
          <cell r="A139">
            <v>38777</v>
          </cell>
          <cell r="B139">
            <v>14.384615</v>
          </cell>
          <cell r="C139">
            <v>13.225107999999999</v>
          </cell>
          <cell r="D139">
            <v>16.742040000000003</v>
          </cell>
          <cell r="E139">
            <v>13.601253999999999</v>
          </cell>
          <cell r="F139">
            <v>11.969616</v>
          </cell>
          <cell r="G139">
            <v>11.251415999999999</v>
          </cell>
          <cell r="H139">
            <v>11.978608999999999</v>
          </cell>
          <cell r="I139">
            <v>13.550136</v>
          </cell>
          <cell r="K139">
            <v>12.998523</v>
          </cell>
          <cell r="L139">
            <v>14.355828000000002</v>
          </cell>
        </row>
        <row r="140">
          <cell r="A140">
            <v>38808</v>
          </cell>
          <cell r="B140">
            <v>16.615390000000001</v>
          </cell>
          <cell r="C140">
            <v>13.744589</v>
          </cell>
          <cell r="D140">
            <v>16.817420000000002</v>
          </cell>
          <cell r="E140">
            <v>15.010439</v>
          </cell>
          <cell r="F140">
            <v>12.276527999999999</v>
          </cell>
          <cell r="G140">
            <v>14.813015999999999</v>
          </cell>
          <cell r="H140">
            <v>12.459892</v>
          </cell>
          <cell r="I140">
            <v>13.315266999999999</v>
          </cell>
          <cell r="K140">
            <v>14.326432166666665</v>
          </cell>
          <cell r="L140">
            <v>14.546974000000001</v>
          </cell>
        </row>
        <row r="141">
          <cell r="A141">
            <v>38838</v>
          </cell>
          <cell r="B141">
            <v>15.153846</v>
          </cell>
          <cell r="C141">
            <v>13.636363999999999</v>
          </cell>
          <cell r="D141">
            <v>16.32328</v>
          </cell>
          <cell r="E141">
            <v>14.498956</v>
          </cell>
          <cell r="F141">
            <v>11.509245999999999</v>
          </cell>
          <cell r="G141">
            <v>14.246398999999998</v>
          </cell>
          <cell r="H141">
            <v>11.818182</v>
          </cell>
          <cell r="I141">
            <v>12.845528999999999</v>
          </cell>
          <cell r="K141">
            <v>13.699879333333334</v>
          </cell>
          <cell r="L141">
            <v>13.916263000000001</v>
          </cell>
        </row>
        <row r="142">
          <cell r="A142">
            <v>38869</v>
          </cell>
          <cell r="B142">
            <v>15.434783999999999</v>
          </cell>
          <cell r="C142">
            <v>11.048544</v>
          </cell>
          <cell r="D142">
            <v>16.38935</v>
          </cell>
          <cell r="E142">
            <v>13.627255</v>
          </cell>
          <cell r="F142">
            <v>11.425993999999999</v>
          </cell>
          <cell r="G142">
            <v>16.049160000000001</v>
          </cell>
          <cell r="H142">
            <v>11.927083</v>
          </cell>
          <cell r="I142">
            <v>10.651828999999999</v>
          </cell>
          <cell r="K142">
            <v>13.123109166666666</v>
          </cell>
          <cell r="L142">
            <v>13.907672</v>
          </cell>
        </row>
        <row r="143">
          <cell r="A143">
            <v>38899</v>
          </cell>
          <cell r="B143">
            <v>15.507245999999999</v>
          </cell>
          <cell r="C143">
            <v>12.601941999999999</v>
          </cell>
          <cell r="D143">
            <v>16.522460000000002</v>
          </cell>
          <cell r="E143">
            <v>14.278557999999999</v>
          </cell>
          <cell r="F143">
            <v>11.877020999999999</v>
          </cell>
          <cell r="G143">
            <v>16.104180000000003</v>
          </cell>
          <cell r="H143">
            <v>13.708333</v>
          </cell>
          <cell r="I143">
            <v>10.937998</v>
          </cell>
          <cell r="K143">
            <v>13.856376166666665</v>
          </cell>
          <cell r="L143">
            <v>14.199740500000001</v>
          </cell>
        </row>
        <row r="144">
          <cell r="A144">
            <v>38930</v>
          </cell>
          <cell r="B144">
            <v>16.714980000000001</v>
          </cell>
          <cell r="C144">
            <v>12.951454999999999</v>
          </cell>
          <cell r="D144">
            <v>16.38935</v>
          </cell>
          <cell r="E144">
            <v>14.969940000000001</v>
          </cell>
          <cell r="F144">
            <v>12.824174999999999</v>
          </cell>
          <cell r="G144">
            <v>14.820250000000001</v>
          </cell>
          <cell r="H144">
            <v>13.5</v>
          </cell>
          <cell r="I144">
            <v>11.8283</v>
          </cell>
          <cell r="K144">
            <v>14.130820833333336</v>
          </cell>
          <cell r="L144">
            <v>14.606762499999999</v>
          </cell>
        </row>
        <row r="145">
          <cell r="A145">
            <v>38961</v>
          </cell>
          <cell r="B145">
            <v>17.173910000000003</v>
          </cell>
          <cell r="C145">
            <v>13.621359</v>
          </cell>
          <cell r="D145">
            <v>16.381030000000003</v>
          </cell>
          <cell r="E145">
            <v>15.250501999999999</v>
          </cell>
          <cell r="F145">
            <v>13.154926999999999</v>
          </cell>
          <cell r="G145">
            <v>16.434340000000002</v>
          </cell>
          <cell r="H145">
            <v>14.145833999999999</v>
          </cell>
          <cell r="I145">
            <v>12.201908</v>
          </cell>
          <cell r="K145">
            <v>14.804642166666666</v>
          </cell>
          <cell r="L145">
            <v>14.767978500000002</v>
          </cell>
        </row>
        <row r="146">
          <cell r="A146">
            <v>38991</v>
          </cell>
          <cell r="B146">
            <v>17.946860000000001</v>
          </cell>
          <cell r="C146">
            <v>13.213592999999999</v>
          </cell>
          <cell r="D146">
            <v>16.489180000000001</v>
          </cell>
          <cell r="E146">
            <v>15.150300999999999</v>
          </cell>
          <cell r="F146">
            <v>13.079756999999999</v>
          </cell>
          <cell r="G146">
            <v>19.148940000000003</v>
          </cell>
          <cell r="H146">
            <v>14.041665999999999</v>
          </cell>
          <cell r="I146">
            <v>11.764706</v>
          </cell>
          <cell r="K146">
            <v>15.211010999999999</v>
          </cell>
          <cell r="L146">
            <v>14.784468499999999</v>
          </cell>
        </row>
        <row r="147">
          <cell r="A147">
            <v>39022</v>
          </cell>
          <cell r="B147">
            <v>20.265700000000002</v>
          </cell>
          <cell r="C147">
            <v>13.728154</v>
          </cell>
          <cell r="D147">
            <v>17.271220000000003</v>
          </cell>
          <cell r="E147">
            <v>16.452910000000003</v>
          </cell>
          <cell r="F147">
            <v>14.087048999999999</v>
          </cell>
          <cell r="G147">
            <v>22.120320000000003</v>
          </cell>
          <cell r="H147">
            <v>14.479166999999999</v>
          </cell>
          <cell r="I147">
            <v>11.899841</v>
          </cell>
          <cell r="K147">
            <v>16.491015333333337</v>
          </cell>
          <cell r="L147">
            <v>15.6791345</v>
          </cell>
        </row>
        <row r="148">
          <cell r="A148">
            <v>39052</v>
          </cell>
          <cell r="B148">
            <v>20.241548369304557</v>
          </cell>
          <cell r="C148">
            <v>13.825242903954802</v>
          </cell>
          <cell r="D148">
            <v>17.32113</v>
          </cell>
          <cell r="E148">
            <v>19.238477152698053</v>
          </cell>
          <cell r="F148">
            <v>14.087048188097766</v>
          </cell>
          <cell r="G148">
            <v>21.680115950000001</v>
          </cell>
          <cell r="H148">
            <v>14.8125</v>
          </cell>
          <cell r="I148">
            <v>12.30524676802097</v>
          </cell>
          <cell r="K148">
            <v>17.017188523996399</v>
          </cell>
          <cell r="L148">
            <v>15.704089094048882</v>
          </cell>
        </row>
        <row r="149">
          <cell r="A149">
            <v>39083</v>
          </cell>
        </row>
        <row r="150">
          <cell r="A150">
            <v>39114</v>
          </cell>
        </row>
        <row r="151">
          <cell r="A151">
            <v>39142</v>
          </cell>
        </row>
        <row r="152">
          <cell r="A152">
            <v>39173</v>
          </cell>
        </row>
        <row r="153">
          <cell r="A153">
            <v>39203</v>
          </cell>
        </row>
        <row r="154">
          <cell r="A154">
            <v>39234</v>
          </cell>
        </row>
        <row r="155">
          <cell r="A155">
            <v>39264</v>
          </cell>
        </row>
      </sheetData>
      <sheetData sheetId="32" refreshError="1">
        <row r="1">
          <cell r="A1" t="str">
            <v>Price to Book Value</v>
          </cell>
        </row>
        <row r="2">
          <cell r="K2">
            <v>1.4699009273220225</v>
          </cell>
          <cell r="L2">
            <v>3.2468569839512735</v>
          </cell>
        </row>
        <row r="3">
          <cell r="A3" t="str">
            <v>Date</v>
          </cell>
          <cell r="B3" t="str">
            <v>BEA</v>
          </cell>
          <cell r="C3" t="str">
            <v>DSF</v>
          </cell>
          <cell r="D3" t="str">
            <v>HSB</v>
          </cell>
          <cell r="E3" t="str">
            <v>WHB</v>
          </cell>
          <cell r="F3" t="str">
            <v>BOCHK</v>
          </cell>
          <cell r="G3" t="str">
            <v>CIFH</v>
          </cell>
          <cell r="H3" t="str">
            <v>ICBCA</v>
          </cell>
          <cell r="I3" t="str">
            <v>WLB</v>
          </cell>
          <cell r="K3" t="str">
            <v>HK Mid-Sized Banks</v>
          </cell>
          <cell r="L3" t="str">
            <v>HK Large Sized Banks</v>
          </cell>
        </row>
        <row r="4">
          <cell r="A4" t="str">
            <v xml:space="preserve"> </v>
          </cell>
        </row>
        <row r="5">
          <cell r="A5">
            <v>34700</v>
          </cell>
          <cell r="B5">
            <v>2.0193590000000001</v>
          </cell>
          <cell r="C5">
            <v>0.97775349999999994</v>
          </cell>
          <cell r="D5">
            <v>2.315334</v>
          </cell>
          <cell r="E5">
            <v>1.420337</v>
          </cell>
          <cell r="F5" t="e">
            <v>#N/A</v>
          </cell>
          <cell r="G5">
            <v>1.228737</v>
          </cell>
          <cell r="H5">
            <v>0.87754029999999994</v>
          </cell>
          <cell r="I5">
            <v>2.7118880000000001</v>
          </cell>
        </row>
        <row r="6">
          <cell r="A6">
            <v>34731</v>
          </cell>
          <cell r="B6">
            <v>2.1522800000000002</v>
          </cell>
          <cell r="C6">
            <v>1.1980379999999999</v>
          </cell>
          <cell r="D6">
            <v>2.6088269999999998</v>
          </cell>
          <cell r="E6">
            <v>1.4921819999999999</v>
          </cell>
          <cell r="F6" t="e">
            <v>#N/A</v>
          </cell>
          <cell r="G6">
            <v>1.2966569999999999</v>
          </cell>
          <cell r="H6">
            <v>1.1839</v>
          </cell>
          <cell r="I6">
            <v>3.1404339999999999</v>
          </cell>
        </row>
        <row r="7">
          <cell r="A7">
            <v>34759</v>
          </cell>
          <cell r="B7">
            <v>2.2340770000000001</v>
          </cell>
          <cell r="C7">
            <v>1.0357229999999999</v>
          </cell>
          <cell r="D7">
            <v>2.9621059999999999</v>
          </cell>
          <cell r="E7">
            <v>1.7353529999999999</v>
          </cell>
          <cell r="F7" t="e">
            <v>#N/A</v>
          </cell>
          <cell r="G7">
            <v>1.3614900000000001</v>
          </cell>
          <cell r="H7">
            <v>1.246211</v>
          </cell>
          <cell r="I7">
            <v>3.4149700000000003</v>
          </cell>
        </row>
        <row r="8">
          <cell r="A8">
            <v>34790</v>
          </cell>
          <cell r="B8">
            <v>2.1522800000000002</v>
          </cell>
          <cell r="C8">
            <v>1.0820989999999999</v>
          </cell>
          <cell r="D8">
            <v>2.7718789999999998</v>
          </cell>
          <cell r="E8">
            <v>1.867991</v>
          </cell>
          <cell r="F8" t="e">
            <v>#N/A</v>
          </cell>
          <cell r="G8">
            <v>1.278133</v>
          </cell>
          <cell r="H8">
            <v>1.194286</v>
          </cell>
          <cell r="I8">
            <v>3.2944429999999998</v>
          </cell>
        </row>
        <row r="9">
          <cell r="A9">
            <v>34820</v>
          </cell>
          <cell r="B9">
            <v>2.372109</v>
          </cell>
          <cell r="C9">
            <v>1.3796759999999999</v>
          </cell>
          <cell r="D9">
            <v>3.261034</v>
          </cell>
          <cell r="E9">
            <v>2.2548529999999998</v>
          </cell>
          <cell r="F9" t="e">
            <v>#N/A</v>
          </cell>
          <cell r="G9">
            <v>1.424007</v>
          </cell>
          <cell r="H9">
            <v>1.422758</v>
          </cell>
          <cell r="I9">
            <v>3.4631829999999999</v>
          </cell>
        </row>
        <row r="10">
          <cell r="A10">
            <v>34851</v>
          </cell>
          <cell r="B10">
            <v>2.382333</v>
          </cell>
          <cell r="C10">
            <v>1.437646</v>
          </cell>
          <cell r="D10">
            <v>3.2066839999999996</v>
          </cell>
          <cell r="E10">
            <v>2.271433</v>
          </cell>
          <cell r="F10" t="e">
            <v>#N/A</v>
          </cell>
          <cell r="G10">
            <v>1.458739</v>
          </cell>
          <cell r="H10">
            <v>1.3708319999999998</v>
          </cell>
          <cell r="I10">
            <v>3.5113949999999998</v>
          </cell>
        </row>
        <row r="11">
          <cell r="A11">
            <v>34881</v>
          </cell>
          <cell r="B11">
            <v>2.6839589999999998</v>
          </cell>
          <cell r="C11">
            <v>1.6308769999999999</v>
          </cell>
          <cell r="D11">
            <v>3.4784359999999999</v>
          </cell>
          <cell r="E11">
            <v>2.5809229999999999</v>
          </cell>
          <cell r="F11" t="e">
            <v>#N/A</v>
          </cell>
          <cell r="G11">
            <v>1.8928879999999999</v>
          </cell>
          <cell r="H11">
            <v>1.796621</v>
          </cell>
          <cell r="I11">
            <v>3.8729800000000005</v>
          </cell>
        </row>
        <row r="12">
          <cell r="A12">
            <v>34912</v>
          </cell>
          <cell r="B12">
            <v>2.5357019999999997</v>
          </cell>
          <cell r="C12">
            <v>1.313977</v>
          </cell>
          <cell r="D12">
            <v>3.424086</v>
          </cell>
          <cell r="E12">
            <v>2.7411939999999997</v>
          </cell>
          <cell r="F12" t="e">
            <v>#N/A</v>
          </cell>
          <cell r="G12">
            <v>1.545569</v>
          </cell>
          <cell r="H12">
            <v>1.3708319999999998</v>
          </cell>
          <cell r="I12">
            <v>3.615853</v>
          </cell>
        </row>
        <row r="13">
          <cell r="A13">
            <v>34943</v>
          </cell>
          <cell r="B13">
            <v>2.561264</v>
          </cell>
          <cell r="C13">
            <v>1.344894</v>
          </cell>
          <cell r="D13">
            <v>3.4648489999999996</v>
          </cell>
          <cell r="E13">
            <v>2.890412</v>
          </cell>
          <cell r="F13" t="e">
            <v>#N/A</v>
          </cell>
          <cell r="G13">
            <v>1.562935</v>
          </cell>
          <cell r="H13">
            <v>1.4642979999999999</v>
          </cell>
          <cell r="I13">
            <v>3.4631829999999999</v>
          </cell>
        </row>
        <row r="14">
          <cell r="A14">
            <v>34973</v>
          </cell>
          <cell r="B14">
            <v>2.7862049999999998</v>
          </cell>
          <cell r="C14">
            <v>1.3526229999999999</v>
          </cell>
          <cell r="D14">
            <v>3.519199</v>
          </cell>
          <cell r="E14">
            <v>2.7522469999999997</v>
          </cell>
          <cell r="F14" t="e">
            <v>#N/A</v>
          </cell>
          <cell r="G14">
            <v>1.632398</v>
          </cell>
          <cell r="H14">
            <v>1.526608</v>
          </cell>
          <cell r="I14">
            <v>3.4390769999999997</v>
          </cell>
        </row>
        <row r="15">
          <cell r="A15">
            <v>35004</v>
          </cell>
          <cell r="B15">
            <v>2.8628900000000002</v>
          </cell>
          <cell r="C15">
            <v>1.3062479999999999</v>
          </cell>
          <cell r="D15">
            <v>3.6686639999999997</v>
          </cell>
          <cell r="E15">
            <v>2.8406729999999998</v>
          </cell>
          <cell r="F15" t="e">
            <v>#N/A</v>
          </cell>
          <cell r="G15">
            <v>1.632398</v>
          </cell>
          <cell r="H15">
            <v>1.536994</v>
          </cell>
          <cell r="I15">
            <v>3.5355000000000003</v>
          </cell>
        </row>
        <row r="16">
          <cell r="A16">
            <v>35034</v>
          </cell>
          <cell r="B16">
            <v>2.3597419999999998</v>
          </cell>
          <cell r="C16">
            <v>1.39127</v>
          </cell>
          <cell r="D16">
            <v>3.109178</v>
          </cell>
          <cell r="E16">
            <v>1.9128079999999998</v>
          </cell>
          <cell r="F16" t="e">
            <v>#N/A</v>
          </cell>
          <cell r="G16">
            <v>1.303658</v>
          </cell>
          <cell r="H16">
            <v>1.237614</v>
          </cell>
          <cell r="I16">
            <v>1.4834209999999999</v>
          </cell>
        </row>
        <row r="17">
          <cell r="A17">
            <v>35065</v>
          </cell>
          <cell r="B17">
            <v>2.814683</v>
          </cell>
          <cell r="C17">
            <v>1.7081700000000002</v>
          </cell>
          <cell r="D17">
            <v>3.3561159999999997</v>
          </cell>
          <cell r="E17">
            <v>2.2146239999999997</v>
          </cell>
          <cell r="F17" t="e">
            <v>#N/A</v>
          </cell>
          <cell r="G17">
            <v>1.604501</v>
          </cell>
          <cell r="H17">
            <v>1.466488</v>
          </cell>
          <cell r="I17">
            <v>1.7061059999999999</v>
          </cell>
        </row>
        <row r="18">
          <cell r="A18">
            <v>35096</v>
          </cell>
          <cell r="B18">
            <v>2.806181</v>
          </cell>
          <cell r="C18">
            <v>1.7777339999999999</v>
          </cell>
          <cell r="D18">
            <v>3.4122379999999999</v>
          </cell>
          <cell r="E18">
            <v>2.5242800000000001</v>
          </cell>
          <cell r="F18" t="e">
            <v>#N/A</v>
          </cell>
          <cell r="G18">
            <v>1.618827</v>
          </cell>
          <cell r="H18">
            <v>1.5427789999999999</v>
          </cell>
          <cell r="I18">
            <v>1.8499939999999999</v>
          </cell>
        </row>
        <row r="19">
          <cell r="A19">
            <v>35125</v>
          </cell>
          <cell r="B19">
            <v>2.7041379999999999</v>
          </cell>
          <cell r="C19">
            <v>1.8859439999999998</v>
          </cell>
          <cell r="D19">
            <v>3.546932</v>
          </cell>
          <cell r="E19">
            <v>2.3988500000000004</v>
          </cell>
          <cell r="F19" t="e">
            <v>#N/A</v>
          </cell>
          <cell r="G19">
            <v>1.7405979999999999</v>
          </cell>
          <cell r="H19">
            <v>1.441057</v>
          </cell>
          <cell r="I19">
            <v>1.8414300000000001</v>
          </cell>
        </row>
        <row r="20">
          <cell r="A20">
            <v>35156</v>
          </cell>
          <cell r="B20">
            <v>2.6531159999999998</v>
          </cell>
          <cell r="C20">
            <v>1.6617949999999999</v>
          </cell>
          <cell r="D20">
            <v>3.524483</v>
          </cell>
          <cell r="E20">
            <v>2.2185440000000001</v>
          </cell>
          <cell r="F20" t="e">
            <v>#N/A</v>
          </cell>
          <cell r="G20">
            <v>1.6438979999999999</v>
          </cell>
          <cell r="H20">
            <v>1.3478129999999999</v>
          </cell>
          <cell r="I20">
            <v>1.8088839999999999</v>
          </cell>
        </row>
        <row r="21">
          <cell r="A21">
            <v>35186</v>
          </cell>
          <cell r="B21">
            <v>2.7857719999999997</v>
          </cell>
          <cell r="C21">
            <v>1.7159</v>
          </cell>
          <cell r="D21">
            <v>3.6255029999999997</v>
          </cell>
          <cell r="E21">
            <v>2.3674919999999999</v>
          </cell>
          <cell r="F21" t="e">
            <v>#N/A</v>
          </cell>
          <cell r="G21">
            <v>1.6277809999999999</v>
          </cell>
          <cell r="H21">
            <v>1.330859</v>
          </cell>
          <cell r="I21">
            <v>1.8129949999999999</v>
          </cell>
        </row>
        <row r="22">
          <cell r="A22">
            <v>35217</v>
          </cell>
          <cell r="B22">
            <v>2.8878149999999998</v>
          </cell>
          <cell r="C22">
            <v>1.8125149999999999</v>
          </cell>
          <cell r="D22">
            <v>3.5020339999999996</v>
          </cell>
          <cell r="E22">
            <v>2.4066890000000001</v>
          </cell>
          <cell r="F22" t="e">
            <v>#N/A</v>
          </cell>
          <cell r="G22">
            <v>1.660015</v>
          </cell>
          <cell r="H22">
            <v>1.3817200000000001</v>
          </cell>
          <cell r="I22">
            <v>1.8417729999999999</v>
          </cell>
        </row>
        <row r="23">
          <cell r="A23">
            <v>35247</v>
          </cell>
          <cell r="B23">
            <v>2.8214869999999999</v>
          </cell>
          <cell r="C23">
            <v>1.7468169999999998</v>
          </cell>
          <cell r="D23">
            <v>3.4459119999999999</v>
          </cell>
          <cell r="E23">
            <v>2.4145289999999999</v>
          </cell>
          <cell r="F23" t="e">
            <v>#N/A</v>
          </cell>
          <cell r="G23">
            <v>1.7244809999999999</v>
          </cell>
          <cell r="H23">
            <v>1.3986729999999998</v>
          </cell>
          <cell r="I23">
            <v>1.8294400000000002</v>
          </cell>
        </row>
        <row r="24">
          <cell r="A24">
            <v>35278</v>
          </cell>
          <cell r="B24">
            <v>2.862304</v>
          </cell>
          <cell r="C24">
            <v>1.9555069999999999</v>
          </cell>
          <cell r="D24">
            <v>3.5581559999999999</v>
          </cell>
          <cell r="E24">
            <v>2.3439739999999998</v>
          </cell>
          <cell r="F24" t="e">
            <v>#N/A</v>
          </cell>
          <cell r="G24">
            <v>1.6438979999999999</v>
          </cell>
          <cell r="H24">
            <v>1.3986729999999998</v>
          </cell>
          <cell r="I24">
            <v>1.8417729999999999</v>
          </cell>
        </row>
        <row r="25">
          <cell r="A25">
            <v>35309</v>
          </cell>
          <cell r="B25">
            <v>2.9031210000000001</v>
          </cell>
          <cell r="C25">
            <v>2.102363</v>
          </cell>
          <cell r="D25">
            <v>3.6816259999999996</v>
          </cell>
          <cell r="E25">
            <v>2.2734200000000002</v>
          </cell>
          <cell r="F25" t="e">
            <v>#N/A</v>
          </cell>
          <cell r="G25">
            <v>1.708364</v>
          </cell>
          <cell r="H25">
            <v>1.373243</v>
          </cell>
          <cell r="I25">
            <v>1.8705509999999999</v>
          </cell>
        </row>
        <row r="26">
          <cell r="A26">
            <v>35339</v>
          </cell>
          <cell r="B26">
            <v>3.0816969999999997</v>
          </cell>
          <cell r="C26">
            <v>2.1139570000000001</v>
          </cell>
          <cell r="D26">
            <v>4.1193800000000005</v>
          </cell>
          <cell r="E26">
            <v>2.4380470000000001</v>
          </cell>
          <cell r="F26" t="e">
            <v>#N/A</v>
          </cell>
          <cell r="G26">
            <v>1.9178809999999999</v>
          </cell>
          <cell r="H26">
            <v>1.4919179999999999</v>
          </cell>
          <cell r="I26">
            <v>1.973328</v>
          </cell>
        </row>
        <row r="27">
          <cell r="A27">
            <v>35370</v>
          </cell>
          <cell r="B27">
            <v>3.377621</v>
          </cell>
          <cell r="C27">
            <v>2.4038049999999997</v>
          </cell>
          <cell r="D27">
            <v>4.1867269999999994</v>
          </cell>
          <cell r="E27">
            <v>2.7124250000000001</v>
          </cell>
          <cell r="F27" t="e">
            <v>#N/A</v>
          </cell>
          <cell r="G27">
            <v>2.1435139999999997</v>
          </cell>
          <cell r="H27">
            <v>1.602117</v>
          </cell>
          <cell r="I27">
            <v>2.1069390000000001</v>
          </cell>
        </row>
        <row r="28">
          <cell r="A28">
            <v>35400</v>
          </cell>
          <cell r="B28">
            <v>3.117156</v>
          </cell>
          <cell r="C28">
            <v>2.1791469999999999</v>
          </cell>
          <cell r="D28">
            <v>3.7601969999999998</v>
          </cell>
          <cell r="E28">
            <v>2.3971900000000002</v>
          </cell>
          <cell r="F28" t="e">
            <v>#N/A</v>
          </cell>
          <cell r="G28">
            <v>1.9175469999999999</v>
          </cell>
          <cell r="H28">
            <v>1.483608</v>
          </cell>
          <cell r="I28">
            <v>1.9424000000000001</v>
          </cell>
        </row>
        <row r="29">
          <cell r="A29">
            <v>35431</v>
          </cell>
          <cell r="B29">
            <v>3.1624639999999999</v>
          </cell>
          <cell r="C29">
            <v>2.4289849999999999</v>
          </cell>
          <cell r="D29">
            <v>3.650191</v>
          </cell>
          <cell r="E29">
            <v>2.5201229999999999</v>
          </cell>
          <cell r="F29" t="e">
            <v>#N/A</v>
          </cell>
          <cell r="G29">
            <v>1.9836689999999999</v>
          </cell>
          <cell r="H29">
            <v>1.620557</v>
          </cell>
          <cell r="I29">
            <v>2.0903929999999997</v>
          </cell>
        </row>
        <row r="30">
          <cell r="A30">
            <v>35462</v>
          </cell>
          <cell r="B30">
            <v>3.0718500000000004</v>
          </cell>
          <cell r="C30">
            <v>2.2485459999999997</v>
          </cell>
          <cell r="D30">
            <v>3.5801879999999997</v>
          </cell>
          <cell r="E30">
            <v>2.40402</v>
          </cell>
          <cell r="F30" t="e">
            <v>#N/A</v>
          </cell>
          <cell r="G30">
            <v>1.9968939999999999</v>
          </cell>
          <cell r="H30">
            <v>1.8259800000000002</v>
          </cell>
          <cell r="I30">
            <v>2.0441449999999999</v>
          </cell>
        </row>
        <row r="31">
          <cell r="A31">
            <v>35490</v>
          </cell>
          <cell r="B31">
            <v>2.8598109999999997</v>
          </cell>
          <cell r="C31">
            <v>2.0958669999999997</v>
          </cell>
          <cell r="D31">
            <v>3.2001679999999997</v>
          </cell>
          <cell r="E31">
            <v>2.3220639999999997</v>
          </cell>
          <cell r="F31" t="e">
            <v>#N/A</v>
          </cell>
          <cell r="G31">
            <v>1.7720779999999998</v>
          </cell>
          <cell r="H31">
            <v>1.6966400000000001</v>
          </cell>
          <cell r="I31">
            <v>1.9701489999999999</v>
          </cell>
        </row>
        <row r="32">
          <cell r="A32">
            <v>35521</v>
          </cell>
          <cell r="B32">
            <v>2.897869</v>
          </cell>
          <cell r="C32">
            <v>2.2346659999999998</v>
          </cell>
          <cell r="D32">
            <v>3.490183</v>
          </cell>
          <cell r="E32">
            <v>2.319334</v>
          </cell>
          <cell r="F32" t="e">
            <v>#N/A</v>
          </cell>
          <cell r="G32">
            <v>2.0084649999999997</v>
          </cell>
          <cell r="H32">
            <v>1.7118559999999998</v>
          </cell>
          <cell r="I32">
            <v>1.882471</v>
          </cell>
        </row>
        <row r="33">
          <cell r="A33">
            <v>35551</v>
          </cell>
          <cell r="B33">
            <v>3.0664129999999998</v>
          </cell>
          <cell r="C33">
            <v>2.637184</v>
          </cell>
          <cell r="D33">
            <v>3.7201949999999999</v>
          </cell>
          <cell r="E33">
            <v>3.024149</v>
          </cell>
          <cell r="F33" t="e">
            <v>#N/A</v>
          </cell>
          <cell r="G33">
            <v>3.619211</v>
          </cell>
          <cell r="H33">
            <v>2.6324540000000001</v>
          </cell>
          <cell r="I33">
            <v>1.975706</v>
          </cell>
        </row>
        <row r="34">
          <cell r="A34">
            <v>35582</v>
          </cell>
          <cell r="B34">
            <v>3.5122389999999997</v>
          </cell>
          <cell r="C34">
            <v>2.9772419999999999</v>
          </cell>
          <cell r="D34">
            <v>4.4202319999999995</v>
          </cell>
          <cell r="E34">
            <v>3.8355059999999996</v>
          </cell>
          <cell r="F34" t="e">
            <v>#N/A</v>
          </cell>
          <cell r="G34">
            <v>6.1649269999999996</v>
          </cell>
          <cell r="H34">
            <v>3.4084949999999998</v>
          </cell>
          <cell r="I34">
            <v>2.1932559999999999</v>
          </cell>
        </row>
        <row r="35">
          <cell r="A35">
            <v>35612</v>
          </cell>
          <cell r="B35">
            <v>3.5013649999999998</v>
          </cell>
          <cell r="C35">
            <v>3.4283389999999998</v>
          </cell>
          <cell r="D35">
            <v>4.5202369999999998</v>
          </cell>
          <cell r="E35">
            <v>3.7945279999999997</v>
          </cell>
          <cell r="F35" t="e">
            <v>#N/A</v>
          </cell>
          <cell r="G35">
            <v>5.3981449999999995</v>
          </cell>
          <cell r="H35">
            <v>2.8530929999999999</v>
          </cell>
          <cell r="I35">
            <v>2.308691</v>
          </cell>
        </row>
        <row r="36">
          <cell r="A36">
            <v>35643</v>
          </cell>
          <cell r="B36">
            <v>3.0344659999999997</v>
          </cell>
          <cell r="C36">
            <v>2.2485459999999997</v>
          </cell>
          <cell r="D36">
            <v>3.7401959999999996</v>
          </cell>
          <cell r="E36">
            <v>2.704523</v>
          </cell>
          <cell r="F36" t="e">
            <v>#N/A</v>
          </cell>
          <cell r="G36">
            <v>14.200801</v>
          </cell>
          <cell r="H36">
            <v>3.5758769999999998</v>
          </cell>
          <cell r="I36">
            <v>2.1089000000000002</v>
          </cell>
        </row>
        <row r="37">
          <cell r="A37">
            <v>35674</v>
          </cell>
          <cell r="B37">
            <v>3.1716489999999999</v>
          </cell>
          <cell r="C37">
            <v>2.2554859999999999</v>
          </cell>
          <cell r="D37">
            <v>3.8102</v>
          </cell>
          <cell r="E37">
            <v>2.7700869999999997</v>
          </cell>
          <cell r="F37" t="e">
            <v>#N/A</v>
          </cell>
          <cell r="G37">
            <v>11.348371999999999</v>
          </cell>
          <cell r="H37">
            <v>3.0280830000000001</v>
          </cell>
          <cell r="I37">
            <v>2.0378629999999998</v>
          </cell>
        </row>
        <row r="38">
          <cell r="A38">
            <v>35704</v>
          </cell>
          <cell r="B38">
            <v>1.8985989999999999</v>
          </cell>
          <cell r="C38">
            <v>1.346352</v>
          </cell>
          <cell r="D38">
            <v>2.6901409999999997</v>
          </cell>
          <cell r="E38">
            <v>1.6309100000000001</v>
          </cell>
          <cell r="F38" t="e">
            <v>#N/A</v>
          </cell>
          <cell r="G38">
            <v>6.9010379999999998</v>
          </cell>
          <cell r="H38">
            <v>1.476</v>
          </cell>
          <cell r="I38">
            <v>1.465131</v>
          </cell>
        </row>
        <row r="39">
          <cell r="A39">
            <v>35735</v>
          </cell>
          <cell r="B39">
            <v>1.772392</v>
          </cell>
          <cell r="C39">
            <v>1.075693</v>
          </cell>
          <cell r="D39">
            <v>2.7201429999999998</v>
          </cell>
          <cell r="E39">
            <v>1.6513979999999999</v>
          </cell>
          <cell r="F39" t="e">
            <v>#N/A</v>
          </cell>
          <cell r="G39">
            <v>4.9687469999999996</v>
          </cell>
          <cell r="H39">
            <v>1.3694849999999998</v>
          </cell>
          <cell r="I39">
            <v>1.47401</v>
          </cell>
        </row>
        <row r="40">
          <cell r="A40">
            <v>35765</v>
          </cell>
          <cell r="B40">
            <v>1.7823719999999998</v>
          </cell>
          <cell r="C40">
            <v>1.1407620000000001</v>
          </cell>
          <cell r="D40">
            <v>2.8733</v>
          </cell>
          <cell r="E40">
            <v>1.575939</v>
          </cell>
          <cell r="F40" t="e">
            <v>#N/A</v>
          </cell>
          <cell r="G40">
            <v>2.3474629999999999</v>
          </cell>
          <cell r="H40">
            <v>1.184801</v>
          </cell>
          <cell r="I40">
            <v>1.4978819999999999</v>
          </cell>
        </row>
        <row r="41">
          <cell r="A41">
            <v>35796</v>
          </cell>
          <cell r="B41">
            <v>1.3110009999999999</v>
          </cell>
          <cell r="C41">
            <v>0.54744340000000002</v>
          </cell>
          <cell r="D41">
            <v>2.344767</v>
          </cell>
          <cell r="E41">
            <v>0.81315559999999998</v>
          </cell>
          <cell r="F41" t="e">
            <v>#N/A</v>
          </cell>
          <cell r="G41">
            <v>1.3204479999999998</v>
          </cell>
          <cell r="H41">
            <v>0.55186809999999997</v>
          </cell>
          <cell r="I41">
            <v>1.061841</v>
          </cell>
        </row>
        <row r="42">
          <cell r="A42">
            <v>35827</v>
          </cell>
          <cell r="B42">
            <v>1.645923</v>
          </cell>
          <cell r="C42">
            <v>1.2967379999999999</v>
          </cell>
          <cell r="D42">
            <v>2.815642</v>
          </cell>
          <cell r="E42">
            <v>1.511174</v>
          </cell>
          <cell r="F42" t="e">
            <v>#N/A</v>
          </cell>
          <cell r="G42">
            <v>2.6236359999999999</v>
          </cell>
          <cell r="H42">
            <v>1.3531679999999999</v>
          </cell>
          <cell r="I42">
            <v>1.372722</v>
          </cell>
        </row>
        <row r="43">
          <cell r="A43">
            <v>35855</v>
          </cell>
          <cell r="B43">
            <v>1.6307300000000002</v>
          </cell>
          <cell r="C43">
            <v>1.2478039999999999</v>
          </cell>
          <cell r="D43">
            <v>2.9117389999999999</v>
          </cell>
          <cell r="E43">
            <v>1.655095</v>
          </cell>
          <cell r="F43" t="e">
            <v>#N/A</v>
          </cell>
          <cell r="G43">
            <v>2.433767</v>
          </cell>
          <cell r="H43">
            <v>1.2845739999999999</v>
          </cell>
          <cell r="I43">
            <v>1.3404229999999999</v>
          </cell>
        </row>
        <row r="44">
          <cell r="A44">
            <v>35886</v>
          </cell>
          <cell r="B44">
            <v>1.4129619999999998</v>
          </cell>
          <cell r="C44">
            <v>1.1560539999999999</v>
          </cell>
          <cell r="D44">
            <v>2.5081319999999998</v>
          </cell>
          <cell r="E44">
            <v>1.568743</v>
          </cell>
          <cell r="F44" t="e">
            <v>#N/A</v>
          </cell>
          <cell r="G44">
            <v>2.498497</v>
          </cell>
          <cell r="H44">
            <v>1.1037360000000001</v>
          </cell>
          <cell r="I44">
            <v>1.1789259999999999</v>
          </cell>
        </row>
        <row r="45">
          <cell r="A45">
            <v>35916</v>
          </cell>
          <cell r="B45">
            <v>1.0483259999999999</v>
          </cell>
          <cell r="C45">
            <v>0.79516919999999991</v>
          </cell>
          <cell r="D45">
            <v>2.2198409999999997</v>
          </cell>
          <cell r="E45">
            <v>1.0506260000000001</v>
          </cell>
          <cell r="F45" t="e">
            <v>#N/A</v>
          </cell>
          <cell r="G45">
            <v>2.0195110000000001</v>
          </cell>
          <cell r="H45">
            <v>0.78571049999999998</v>
          </cell>
          <cell r="I45">
            <v>0.88823219999999992</v>
          </cell>
        </row>
        <row r="46">
          <cell r="A46">
            <v>35947</v>
          </cell>
          <cell r="B46">
            <v>0.85081549999999995</v>
          </cell>
          <cell r="C46">
            <v>0.55050179999999993</v>
          </cell>
          <cell r="D46">
            <v>1.683619</v>
          </cell>
          <cell r="E46">
            <v>0.74479299999999993</v>
          </cell>
          <cell r="F46" t="e">
            <v>#N/A</v>
          </cell>
          <cell r="G46">
            <v>1.6440889999999999</v>
          </cell>
          <cell r="H46">
            <v>0.6142261</v>
          </cell>
          <cell r="I46">
            <v>0.72673539999999992</v>
          </cell>
        </row>
        <row r="47">
          <cell r="A47">
            <v>35977</v>
          </cell>
          <cell r="B47">
            <v>0.81030049999999998</v>
          </cell>
          <cell r="C47">
            <v>0.5413268</v>
          </cell>
          <cell r="D47">
            <v>1.452987</v>
          </cell>
          <cell r="E47">
            <v>0.69801849999999999</v>
          </cell>
          <cell r="F47" t="e">
            <v>#N/A</v>
          </cell>
          <cell r="G47">
            <v>1.320449</v>
          </cell>
          <cell r="H47">
            <v>0.52692490000000003</v>
          </cell>
          <cell r="I47">
            <v>0.75095990000000001</v>
          </cell>
        </row>
        <row r="48">
          <cell r="A48">
            <v>36008</v>
          </cell>
          <cell r="B48">
            <v>0.81536500000000001</v>
          </cell>
          <cell r="C48">
            <v>0.3608845</v>
          </cell>
          <cell r="D48">
            <v>1.6028979999999999</v>
          </cell>
          <cell r="E48">
            <v>0.47853849999999998</v>
          </cell>
          <cell r="F48" t="e">
            <v>#N/A</v>
          </cell>
          <cell r="G48">
            <v>0.9527949</v>
          </cell>
          <cell r="H48">
            <v>0.36791209999999996</v>
          </cell>
          <cell r="I48">
            <v>0.58138829999999997</v>
          </cell>
        </row>
        <row r="49">
          <cell r="A49">
            <v>36039</v>
          </cell>
          <cell r="B49">
            <v>1.1090990000000001</v>
          </cell>
          <cell r="C49">
            <v>0.4740432</v>
          </cell>
          <cell r="D49">
            <v>1.8835009999999999</v>
          </cell>
          <cell r="E49">
            <v>0.59727359999999996</v>
          </cell>
          <cell r="F49" t="e">
            <v>#N/A</v>
          </cell>
          <cell r="G49">
            <v>1.1909939999999999</v>
          </cell>
          <cell r="H49">
            <v>0.5144533</v>
          </cell>
          <cell r="I49">
            <v>0.63791219999999993</v>
          </cell>
        </row>
        <row r="50">
          <cell r="A50">
            <v>36069</v>
          </cell>
          <cell r="B50">
            <v>1.296481</v>
          </cell>
          <cell r="C50">
            <v>0.83186939999999998</v>
          </cell>
          <cell r="D50">
            <v>2.5754000000000001</v>
          </cell>
          <cell r="E50">
            <v>1.06142</v>
          </cell>
          <cell r="F50" t="e">
            <v>#N/A</v>
          </cell>
          <cell r="G50">
            <v>1.398123</v>
          </cell>
          <cell r="H50">
            <v>0.6422871</v>
          </cell>
          <cell r="I50">
            <v>0.9286063</v>
          </cell>
        </row>
        <row r="51">
          <cell r="A51">
            <v>36100</v>
          </cell>
          <cell r="B51">
            <v>1.4636049999999998</v>
          </cell>
          <cell r="C51">
            <v>1.177462</v>
          </cell>
          <cell r="D51">
            <v>2.6234479999999998</v>
          </cell>
          <cell r="E51">
            <v>1.5471539999999999</v>
          </cell>
          <cell r="F51" t="e">
            <v>#N/A</v>
          </cell>
          <cell r="G51">
            <v>1.449905</v>
          </cell>
          <cell r="H51">
            <v>0.81065369999999992</v>
          </cell>
          <cell r="I51">
            <v>1.1001969999999999</v>
          </cell>
        </row>
        <row r="52">
          <cell r="A52">
            <v>36130</v>
          </cell>
          <cell r="B52">
            <v>1.3143589999999998</v>
          </cell>
          <cell r="C52">
            <v>1.248383</v>
          </cell>
          <cell r="D52">
            <v>3.073096</v>
          </cell>
          <cell r="E52">
            <v>1.2873669999999999</v>
          </cell>
          <cell r="F52" t="e">
            <v>#N/A</v>
          </cell>
          <cell r="G52">
            <v>1.2406349999999999</v>
          </cell>
          <cell r="H52">
            <v>0.77038469999999992</v>
          </cell>
          <cell r="I52">
            <v>1.1337679999999999</v>
          </cell>
        </row>
        <row r="53">
          <cell r="A53">
            <v>36161</v>
          </cell>
          <cell r="B53">
            <v>1.0758269999999999</v>
          </cell>
          <cell r="C53">
            <v>0.95599839999999991</v>
          </cell>
          <cell r="D53">
            <v>2.8734000000000002</v>
          </cell>
          <cell r="E53">
            <v>1.0505709999999999</v>
          </cell>
          <cell r="F53" t="e">
            <v>#N/A</v>
          </cell>
          <cell r="G53">
            <v>0.94828749999999995</v>
          </cell>
          <cell r="H53">
            <v>0.57157579999999997</v>
          </cell>
          <cell r="I53">
            <v>0.93988919999999998</v>
          </cell>
        </row>
        <row r="54">
          <cell r="A54">
            <v>36192</v>
          </cell>
          <cell r="B54">
            <v>1.061223</v>
          </cell>
          <cell r="C54">
            <v>0.98885059999999991</v>
          </cell>
          <cell r="D54">
            <v>2.7957400000000003</v>
          </cell>
          <cell r="E54">
            <v>1.1406200000000002</v>
          </cell>
          <cell r="F54" t="e">
            <v>#N/A</v>
          </cell>
          <cell r="G54">
            <v>0.91389359999999997</v>
          </cell>
          <cell r="H54">
            <v>0.44110739999999998</v>
          </cell>
          <cell r="I54">
            <v>0.96096300000000001</v>
          </cell>
        </row>
        <row r="55">
          <cell r="A55">
            <v>36220</v>
          </cell>
          <cell r="B55">
            <v>1.2802829999999998</v>
          </cell>
          <cell r="C55">
            <v>1.254953</v>
          </cell>
          <cell r="D55">
            <v>3.1618489999999997</v>
          </cell>
          <cell r="E55">
            <v>1.3740809999999999</v>
          </cell>
          <cell r="F55" t="e">
            <v>#N/A</v>
          </cell>
          <cell r="G55">
            <v>0.94337409999999999</v>
          </cell>
          <cell r="H55">
            <v>0.48770329999999995</v>
          </cell>
          <cell r="I55">
            <v>1.1421969999999999</v>
          </cell>
        </row>
        <row r="56">
          <cell r="A56">
            <v>36251</v>
          </cell>
          <cell r="B56">
            <v>1.8352339999999998</v>
          </cell>
          <cell r="C56">
            <v>1.6064719999999999</v>
          </cell>
          <cell r="D56">
            <v>4.071574</v>
          </cell>
          <cell r="E56">
            <v>1.5808600000000002</v>
          </cell>
          <cell r="F56" t="e">
            <v>#N/A</v>
          </cell>
          <cell r="G56">
            <v>1.3143359999999999</v>
          </cell>
          <cell r="H56">
            <v>0.70825689999999997</v>
          </cell>
          <cell r="I56">
            <v>1.289714</v>
          </cell>
        </row>
        <row r="57">
          <cell r="A57">
            <v>36281</v>
          </cell>
          <cell r="B57">
            <v>1.6502500000000002</v>
          </cell>
          <cell r="C57">
            <v>1.43564</v>
          </cell>
          <cell r="D57">
            <v>3.6389</v>
          </cell>
          <cell r="E57">
            <v>1.4341139999999999</v>
          </cell>
          <cell r="F57" t="e">
            <v>#N/A</v>
          </cell>
          <cell r="G57">
            <v>1.1178000000000001</v>
          </cell>
          <cell r="H57">
            <v>0.59953329999999994</v>
          </cell>
          <cell r="I57">
            <v>1.1801300000000001</v>
          </cell>
        </row>
        <row r="58">
          <cell r="A58">
            <v>36312</v>
          </cell>
          <cell r="B58">
            <v>1.913122</v>
          </cell>
          <cell r="C58">
            <v>1.9415639999999998</v>
          </cell>
          <cell r="D58">
            <v>3.8496900000000003</v>
          </cell>
          <cell r="E58">
            <v>1.664239</v>
          </cell>
          <cell r="F58" t="e">
            <v>#N/A</v>
          </cell>
          <cell r="G58">
            <v>1.5600069999999999</v>
          </cell>
          <cell r="H58">
            <v>0.74553360000000002</v>
          </cell>
          <cell r="I58">
            <v>1.2728549999999998</v>
          </cell>
        </row>
        <row r="59">
          <cell r="A59">
            <v>36342</v>
          </cell>
          <cell r="B59">
            <v>1.8303659999999999</v>
          </cell>
          <cell r="C59">
            <v>2.0893989999999998</v>
          </cell>
          <cell r="D59">
            <v>3.7720309999999997</v>
          </cell>
          <cell r="E59">
            <v>1.9710719999999999</v>
          </cell>
          <cell r="F59" t="e">
            <v>#N/A</v>
          </cell>
          <cell r="G59">
            <v>1.731976</v>
          </cell>
          <cell r="H59">
            <v>0.74553360000000002</v>
          </cell>
          <cell r="I59">
            <v>1.336076</v>
          </cell>
        </row>
        <row r="60">
          <cell r="A60">
            <v>36373</v>
          </cell>
          <cell r="B60">
            <v>1.742742</v>
          </cell>
          <cell r="C60">
            <v>2.030265</v>
          </cell>
          <cell r="D60">
            <v>3.8940669999999997</v>
          </cell>
          <cell r="E60">
            <v>1.8009800000000002</v>
          </cell>
          <cell r="F60" t="e">
            <v>#N/A</v>
          </cell>
          <cell r="G60">
            <v>1.5108729999999999</v>
          </cell>
          <cell r="H60">
            <v>0.50634159999999995</v>
          </cell>
          <cell r="I60">
            <v>1.352935</v>
          </cell>
        </row>
        <row r="61">
          <cell r="A61">
            <v>36404</v>
          </cell>
          <cell r="B61">
            <v>1.640514</v>
          </cell>
          <cell r="C61">
            <v>2.0434060000000001</v>
          </cell>
          <cell r="D61">
            <v>3.649994</v>
          </cell>
          <cell r="E61">
            <v>1.7342769999999998</v>
          </cell>
          <cell r="F61" t="e">
            <v>#N/A</v>
          </cell>
          <cell r="G61">
            <v>1.3511869999999999</v>
          </cell>
          <cell r="H61">
            <v>0.48937509999999995</v>
          </cell>
          <cell r="I61">
            <v>1.3192169999999999</v>
          </cell>
        </row>
        <row r="62">
          <cell r="A62">
            <v>36434</v>
          </cell>
          <cell r="B62">
            <v>1.6551179999999999</v>
          </cell>
          <cell r="C62">
            <v>2.036835</v>
          </cell>
          <cell r="D62">
            <v>3.7498419999999997</v>
          </cell>
          <cell r="E62">
            <v>1.6909200000000002</v>
          </cell>
          <cell r="F62" t="e">
            <v>#N/A</v>
          </cell>
          <cell r="G62">
            <v>1.2774859999999999</v>
          </cell>
          <cell r="H62">
            <v>0.58213249999999994</v>
          </cell>
          <cell r="I62">
            <v>1.2644249999999999</v>
          </cell>
        </row>
        <row r="63">
          <cell r="A63">
            <v>36465</v>
          </cell>
          <cell r="B63">
            <v>1.8206300000000002</v>
          </cell>
          <cell r="C63">
            <v>2.1616740000000001</v>
          </cell>
          <cell r="D63">
            <v>3.827502</v>
          </cell>
          <cell r="E63">
            <v>1.9810779999999999</v>
          </cell>
          <cell r="F63" t="e">
            <v>#N/A</v>
          </cell>
          <cell r="G63">
            <v>1.3266200000000001</v>
          </cell>
          <cell r="H63">
            <v>0.6077207</v>
          </cell>
          <cell r="I63">
            <v>1.3445049999999998</v>
          </cell>
        </row>
        <row r="64">
          <cell r="A64">
            <v>36495</v>
          </cell>
          <cell r="B64">
            <v>2.0019869999999997</v>
          </cell>
          <cell r="C64">
            <v>1.859116</v>
          </cell>
          <cell r="D64">
            <v>4.2875639999999997</v>
          </cell>
          <cell r="E64">
            <v>1.615453</v>
          </cell>
          <cell r="F64" t="e">
            <v>#N/A</v>
          </cell>
          <cell r="G64">
            <v>1.4395100000000001</v>
          </cell>
          <cell r="H64">
            <v>1.205778</v>
          </cell>
          <cell r="I64">
            <v>1.196169</v>
          </cell>
        </row>
        <row r="65">
          <cell r="A65">
            <v>36526</v>
          </cell>
          <cell r="B65">
            <v>1.8583259999999999</v>
          </cell>
          <cell r="C65">
            <v>1.6552129999999998</v>
          </cell>
          <cell r="D65">
            <v>3.6595259999999996</v>
          </cell>
          <cell r="E65">
            <v>1.3968200000000002</v>
          </cell>
          <cell r="F65" t="e">
            <v>#N/A</v>
          </cell>
          <cell r="G65">
            <v>1.3669300000000002</v>
          </cell>
          <cell r="H65">
            <v>1.3170809999999999</v>
          </cell>
          <cell r="I65">
            <v>1.03668</v>
          </cell>
        </row>
        <row r="66">
          <cell r="A66">
            <v>36557</v>
          </cell>
          <cell r="B66">
            <v>1.6961279999999999</v>
          </cell>
          <cell r="C66">
            <v>1.5172789999999998</v>
          </cell>
          <cell r="D66">
            <v>3.393818</v>
          </cell>
          <cell r="E66">
            <v>1.099237</v>
          </cell>
          <cell r="F66" t="e">
            <v>#N/A</v>
          </cell>
          <cell r="G66">
            <v>1.161286</v>
          </cell>
          <cell r="H66">
            <v>1.3634569999999999</v>
          </cell>
          <cell r="I66">
            <v>1.059464</v>
          </cell>
        </row>
        <row r="67">
          <cell r="A67">
            <v>36586</v>
          </cell>
          <cell r="B67">
            <v>1.603443</v>
          </cell>
          <cell r="C67">
            <v>1.649216</v>
          </cell>
          <cell r="D67">
            <v>3.2851189999999999</v>
          </cell>
          <cell r="E67">
            <v>1.184261</v>
          </cell>
          <cell r="F67" t="e">
            <v>#N/A</v>
          </cell>
          <cell r="G67">
            <v>1.149189</v>
          </cell>
          <cell r="H67">
            <v>1.289255</v>
          </cell>
          <cell r="I67">
            <v>1.097437</v>
          </cell>
        </row>
        <row r="68">
          <cell r="A68">
            <v>36617</v>
          </cell>
          <cell r="B68">
            <v>1.5617349999999999</v>
          </cell>
          <cell r="C68">
            <v>1.8291309999999998</v>
          </cell>
          <cell r="D68">
            <v>3.4662839999999999</v>
          </cell>
          <cell r="E68">
            <v>1.1599679999999999</v>
          </cell>
          <cell r="F68" t="e">
            <v>#N/A</v>
          </cell>
          <cell r="G68">
            <v>0.97983469999999995</v>
          </cell>
          <cell r="H68">
            <v>1.335631</v>
          </cell>
          <cell r="I68">
            <v>1.0195909999999999</v>
          </cell>
        </row>
        <row r="69">
          <cell r="A69">
            <v>36647</v>
          </cell>
          <cell r="B69">
            <v>1.269779</v>
          </cell>
          <cell r="C69">
            <v>1.7031900000000002</v>
          </cell>
          <cell r="D69">
            <v>3.1884980000000001</v>
          </cell>
          <cell r="E69">
            <v>0.93829879999999999</v>
          </cell>
          <cell r="F69" t="e">
            <v>#N/A</v>
          </cell>
          <cell r="G69">
            <v>0.86612549999999999</v>
          </cell>
          <cell r="H69">
            <v>1.354182</v>
          </cell>
          <cell r="I69">
            <v>0.84111539999999996</v>
          </cell>
        </row>
        <row r="70">
          <cell r="A70">
            <v>36678</v>
          </cell>
          <cell r="B70">
            <v>1.6868600000000002</v>
          </cell>
          <cell r="C70">
            <v>1.8831049999999998</v>
          </cell>
          <cell r="D70">
            <v>3.574983</v>
          </cell>
          <cell r="E70">
            <v>1.1781869999999999</v>
          </cell>
          <cell r="F70" t="e">
            <v>#N/A</v>
          </cell>
          <cell r="G70">
            <v>1.0524149999999999</v>
          </cell>
          <cell r="H70">
            <v>1.3912819999999999</v>
          </cell>
          <cell r="I70">
            <v>0.97971900000000001</v>
          </cell>
        </row>
        <row r="71">
          <cell r="A71">
            <v>36708</v>
          </cell>
          <cell r="B71">
            <v>1.640517</v>
          </cell>
          <cell r="C71">
            <v>2.116994</v>
          </cell>
          <cell r="D71">
            <v>3.9010789999999997</v>
          </cell>
          <cell r="E71">
            <v>1.366455</v>
          </cell>
          <cell r="F71" t="e">
            <v>#N/A</v>
          </cell>
          <cell r="G71">
            <v>1.294349</v>
          </cell>
          <cell r="H71">
            <v>1.419108</v>
          </cell>
          <cell r="I71">
            <v>1.0822479999999999</v>
          </cell>
        </row>
        <row r="72">
          <cell r="A72">
            <v>36739</v>
          </cell>
          <cell r="B72">
            <v>1.6868600000000002</v>
          </cell>
          <cell r="C72">
            <v>2.176965</v>
          </cell>
          <cell r="D72">
            <v>4.046011</v>
          </cell>
          <cell r="E72">
            <v>1.5607949999999999</v>
          </cell>
          <cell r="F72" t="e">
            <v>#N/A</v>
          </cell>
          <cell r="G72">
            <v>1.3911229999999999</v>
          </cell>
          <cell r="H72">
            <v>1.428383</v>
          </cell>
          <cell r="I72">
            <v>1.13731</v>
          </cell>
        </row>
        <row r="73">
          <cell r="A73">
            <v>36770</v>
          </cell>
          <cell r="B73">
            <v>1.6219800000000002</v>
          </cell>
          <cell r="C73">
            <v>2.2849140000000001</v>
          </cell>
          <cell r="D73">
            <v>4.0580889999999998</v>
          </cell>
          <cell r="E73">
            <v>1.5243559999999998</v>
          </cell>
          <cell r="F73" t="e">
            <v>#N/A</v>
          </cell>
          <cell r="G73">
            <v>1.258059</v>
          </cell>
          <cell r="H73">
            <v>1.382007</v>
          </cell>
          <cell r="I73">
            <v>1.1088289999999998</v>
          </cell>
        </row>
        <row r="74">
          <cell r="A74">
            <v>36800</v>
          </cell>
          <cell r="B74">
            <v>1.635883</v>
          </cell>
          <cell r="C74">
            <v>2.009045</v>
          </cell>
          <cell r="D74">
            <v>4.4324959999999995</v>
          </cell>
          <cell r="E74">
            <v>1.4454049999999998</v>
          </cell>
          <cell r="F74" t="e">
            <v>#N/A</v>
          </cell>
          <cell r="G74">
            <v>1.149189</v>
          </cell>
          <cell r="H74">
            <v>1.1315759999999999</v>
          </cell>
          <cell r="I74">
            <v>1.101235</v>
          </cell>
        </row>
        <row r="75">
          <cell r="A75">
            <v>36831</v>
          </cell>
          <cell r="B75">
            <v>1.5710039999999998</v>
          </cell>
          <cell r="C75">
            <v>2.0570219999999999</v>
          </cell>
          <cell r="D75">
            <v>4.3962629999999994</v>
          </cell>
          <cell r="E75">
            <v>1.551685</v>
          </cell>
          <cell r="F75" t="e">
            <v>#N/A</v>
          </cell>
          <cell r="G75">
            <v>1.076608</v>
          </cell>
          <cell r="H75">
            <v>1.168677</v>
          </cell>
          <cell r="I75">
            <v>1.0936400000000002</v>
          </cell>
        </row>
        <row r="76">
          <cell r="A76">
            <v>36861</v>
          </cell>
          <cell r="B76">
            <v>1.9197309999999999</v>
          </cell>
          <cell r="C76">
            <v>2.2210909999999999</v>
          </cell>
          <cell r="D76">
            <v>4.9463700000000008</v>
          </cell>
          <cell r="E76">
            <v>1.5275879999999999</v>
          </cell>
          <cell r="F76" t="e">
            <v>#N/A</v>
          </cell>
          <cell r="G76">
            <v>1.2149000000000001</v>
          </cell>
          <cell r="H76">
            <v>1.1965139999999999</v>
          </cell>
          <cell r="I76">
            <v>1.077102</v>
          </cell>
        </row>
        <row r="77">
          <cell r="A77">
            <v>36892</v>
          </cell>
          <cell r="B77">
            <v>2.0340579999999999</v>
          </cell>
          <cell r="C77">
            <v>2.2316669999999998</v>
          </cell>
          <cell r="D77">
            <v>4.8285989999999996</v>
          </cell>
          <cell r="E77">
            <v>1.6413439999999999</v>
          </cell>
          <cell r="F77" t="e">
            <v>#N/A</v>
          </cell>
          <cell r="G77">
            <v>1.328443</v>
          </cell>
          <cell r="H77">
            <v>1.1965139999999999</v>
          </cell>
          <cell r="I77">
            <v>1.152091</v>
          </cell>
          <cell r="K77">
            <v>1.5973528333333331</v>
          </cell>
        </row>
        <row r="78">
          <cell r="A78">
            <v>36923</v>
          </cell>
          <cell r="B78">
            <v>1.8387500000000001</v>
          </cell>
          <cell r="C78">
            <v>2.1364779999999999</v>
          </cell>
          <cell r="D78">
            <v>4.3692929999999999</v>
          </cell>
          <cell r="E78">
            <v>1.5465469999999999</v>
          </cell>
          <cell r="F78" t="e">
            <v>#N/A</v>
          </cell>
          <cell r="G78">
            <v>1.1921919999999999</v>
          </cell>
          <cell r="H78">
            <v>1.1518679999999999</v>
          </cell>
          <cell r="I78">
            <v>1.128231</v>
          </cell>
          <cell r="K78">
            <v>1.4990110000000001</v>
          </cell>
        </row>
        <row r="79">
          <cell r="A79">
            <v>36951</v>
          </cell>
          <cell r="B79">
            <v>1.672024</v>
          </cell>
          <cell r="C79">
            <v>2.036</v>
          </cell>
          <cell r="D79">
            <v>4.2632989999999999</v>
          </cell>
          <cell r="E79">
            <v>1.3352849999999998</v>
          </cell>
          <cell r="F79" t="e">
            <v>#N/A</v>
          </cell>
          <cell r="G79">
            <v>1.0105249999999999</v>
          </cell>
          <cell r="H79">
            <v>1.3036649999999999</v>
          </cell>
          <cell r="I79">
            <v>1.1316389999999998</v>
          </cell>
          <cell r="K79">
            <v>1.414856333333333</v>
          </cell>
        </row>
        <row r="80">
          <cell r="A80">
            <v>36982</v>
          </cell>
          <cell r="B80">
            <v>1.686315</v>
          </cell>
          <cell r="C80">
            <v>2.2475320000000001</v>
          </cell>
          <cell r="D80">
            <v>4.3339619999999996</v>
          </cell>
          <cell r="E80">
            <v>1.6738459999999999</v>
          </cell>
          <cell r="F80" t="e">
            <v>#N/A</v>
          </cell>
          <cell r="G80">
            <v>1.090004</v>
          </cell>
          <cell r="H80">
            <v>1.1965139999999999</v>
          </cell>
          <cell r="I80">
            <v>1.336152</v>
          </cell>
          <cell r="K80">
            <v>1.5383938333333333</v>
          </cell>
        </row>
        <row r="81">
          <cell r="A81">
            <v>37012</v>
          </cell>
          <cell r="B81">
            <v>1.7196600000000002</v>
          </cell>
          <cell r="C81">
            <v>2.1999369999999998</v>
          </cell>
          <cell r="D81">
            <v>4.0748660000000001</v>
          </cell>
          <cell r="E81">
            <v>1.6738459999999999</v>
          </cell>
          <cell r="F81" t="e">
            <v>#N/A</v>
          </cell>
          <cell r="G81">
            <v>1.1467749999999999</v>
          </cell>
          <cell r="H81">
            <v>1.2679479999999999</v>
          </cell>
          <cell r="I81">
            <v>1.24753</v>
          </cell>
          <cell r="K81">
            <v>1.542616</v>
          </cell>
        </row>
        <row r="82">
          <cell r="A82">
            <v>37043</v>
          </cell>
          <cell r="B82">
            <v>1.724424</v>
          </cell>
          <cell r="C82">
            <v>2.131189</v>
          </cell>
          <cell r="D82">
            <v>3.7686629999999997</v>
          </cell>
          <cell r="E82">
            <v>1.611551</v>
          </cell>
          <cell r="F82" t="e">
            <v>#N/A</v>
          </cell>
          <cell r="G82">
            <v>1.2149000000000001</v>
          </cell>
          <cell r="H82">
            <v>1.2590189999999999</v>
          </cell>
          <cell r="I82">
            <v>1.240713</v>
          </cell>
          <cell r="K82">
            <v>1.5302993333333335</v>
          </cell>
        </row>
        <row r="83">
          <cell r="A83">
            <v>37073</v>
          </cell>
          <cell r="B83">
            <v>1.733951</v>
          </cell>
          <cell r="C83">
            <v>2.1734960000000001</v>
          </cell>
          <cell r="D83">
            <v>4.1219739999999998</v>
          </cell>
          <cell r="E83">
            <v>1.4680009999999999</v>
          </cell>
          <cell r="F83" t="e">
            <v>#N/A</v>
          </cell>
          <cell r="G83">
            <v>1.1467749999999999</v>
          </cell>
          <cell r="H83">
            <v>1.2143729999999999</v>
          </cell>
          <cell r="I83">
            <v>1.1623159999999999</v>
          </cell>
          <cell r="K83">
            <v>1.4831519999999998</v>
          </cell>
        </row>
        <row r="84">
          <cell r="A84">
            <v>37104</v>
          </cell>
          <cell r="B84">
            <v>1.7006059999999998</v>
          </cell>
          <cell r="C84">
            <v>2.036</v>
          </cell>
          <cell r="D84">
            <v>4.1337519999999994</v>
          </cell>
          <cell r="E84">
            <v>1.454458</v>
          </cell>
          <cell r="F84" t="e">
            <v>#N/A</v>
          </cell>
          <cell r="G84">
            <v>1.1240669999999999</v>
          </cell>
          <cell r="H84">
            <v>1.1250800000000001</v>
          </cell>
          <cell r="I84">
            <v>1.080511</v>
          </cell>
          <cell r="K84">
            <v>1.4201203333333334</v>
          </cell>
        </row>
        <row r="85">
          <cell r="A85">
            <v>37135</v>
          </cell>
          <cell r="B85">
            <v>1.4814800000000001</v>
          </cell>
          <cell r="C85">
            <v>1.8350439999999999</v>
          </cell>
          <cell r="D85">
            <v>3.8039939999999999</v>
          </cell>
          <cell r="E85">
            <v>1.321742</v>
          </cell>
          <cell r="F85" t="e">
            <v>#N/A</v>
          </cell>
          <cell r="G85">
            <v>0.88108679999999995</v>
          </cell>
          <cell r="H85">
            <v>1.348311</v>
          </cell>
          <cell r="I85">
            <v>0.89985769999999998</v>
          </cell>
          <cell r="K85">
            <v>1.2945869166666666</v>
          </cell>
        </row>
        <row r="86">
          <cell r="A86">
            <v>37165</v>
          </cell>
          <cell r="B86">
            <v>1.4814800000000001</v>
          </cell>
          <cell r="C86">
            <v>1.7874489999999998</v>
          </cell>
          <cell r="D86">
            <v>3.686223</v>
          </cell>
          <cell r="E86">
            <v>1.270281</v>
          </cell>
          <cell r="F86" t="e">
            <v>#N/A</v>
          </cell>
          <cell r="G86">
            <v>0.96510789999999991</v>
          </cell>
          <cell r="H86">
            <v>1.1965139999999999</v>
          </cell>
          <cell r="I86">
            <v>0.92883039999999994</v>
          </cell>
          <cell r="K86">
            <v>1.2716103833333332</v>
          </cell>
        </row>
        <row r="87">
          <cell r="A87">
            <v>37196</v>
          </cell>
          <cell r="B87">
            <v>1.5672249999999999</v>
          </cell>
          <cell r="C87">
            <v>1.8509089999999999</v>
          </cell>
          <cell r="D87">
            <v>3.9806500000000002</v>
          </cell>
          <cell r="E87">
            <v>1.3000749999999999</v>
          </cell>
          <cell r="F87" t="e">
            <v>#N/A</v>
          </cell>
          <cell r="G87">
            <v>1.021879</v>
          </cell>
          <cell r="H87">
            <v>1.294735</v>
          </cell>
          <cell r="I87">
            <v>0.9935929</v>
          </cell>
          <cell r="K87">
            <v>1.3380693166666664</v>
          </cell>
        </row>
        <row r="88">
          <cell r="A88">
            <v>37226</v>
          </cell>
          <cell r="B88">
            <v>1.3197719999999999</v>
          </cell>
          <cell r="C88">
            <v>1.6795289999999998</v>
          </cell>
          <cell r="D88">
            <v>3.6373829999999998</v>
          </cell>
          <cell r="E88">
            <v>1.213457</v>
          </cell>
          <cell r="F88" t="e">
            <v>#N/A</v>
          </cell>
          <cell r="G88">
            <v>0.82188369999999999</v>
          </cell>
          <cell r="H88">
            <v>0.96196759999999992</v>
          </cell>
          <cell r="I88">
            <v>0.91170010000000001</v>
          </cell>
          <cell r="K88">
            <v>1.1513849</v>
          </cell>
        </row>
        <row r="89">
          <cell r="A89">
            <v>37257</v>
          </cell>
          <cell r="B89">
            <v>1.2333589999999999</v>
          </cell>
          <cell r="C89">
            <v>1.5020179999999999</v>
          </cell>
          <cell r="D89">
            <v>3.616174</v>
          </cell>
          <cell r="E89">
            <v>1.1891879999999999</v>
          </cell>
          <cell r="F89" t="e">
            <v>#N/A</v>
          </cell>
          <cell r="G89">
            <v>0.89244950000000001</v>
          </cell>
          <cell r="H89">
            <v>0.92924759999999995</v>
          </cell>
          <cell r="I89">
            <v>0.89603519999999992</v>
          </cell>
          <cell r="K89">
            <v>1.1070495499999999</v>
          </cell>
        </row>
        <row r="90">
          <cell r="A90">
            <v>37288</v>
          </cell>
          <cell r="B90">
            <v>1.1665839999999998</v>
          </cell>
          <cell r="C90">
            <v>1.47926</v>
          </cell>
          <cell r="D90">
            <v>3.626779</v>
          </cell>
          <cell r="E90">
            <v>1.152784</v>
          </cell>
          <cell r="F90" t="e">
            <v>#N/A</v>
          </cell>
          <cell r="G90">
            <v>0.975468</v>
          </cell>
          <cell r="H90">
            <v>0.95542359999999993</v>
          </cell>
          <cell r="I90">
            <v>0.91639959999999998</v>
          </cell>
          <cell r="K90">
            <v>1.1076531999999999</v>
          </cell>
        </row>
        <row r="91">
          <cell r="A91">
            <v>37316</v>
          </cell>
          <cell r="B91">
            <v>1.2215749999999999</v>
          </cell>
          <cell r="C91">
            <v>1.6385649999999998</v>
          </cell>
          <cell r="D91">
            <v>3.7010109999999998</v>
          </cell>
          <cell r="E91">
            <v>1.366352</v>
          </cell>
          <cell r="F91" t="e">
            <v>#N/A</v>
          </cell>
          <cell r="G91">
            <v>1.027355</v>
          </cell>
          <cell r="H91">
            <v>1.0470400000000002</v>
          </cell>
          <cell r="I91">
            <v>1.0808819999999999</v>
          </cell>
          <cell r="K91">
            <v>1.2302948333333332</v>
          </cell>
        </row>
        <row r="92">
          <cell r="A92">
            <v>37347</v>
          </cell>
          <cell r="B92">
            <v>1.284421</v>
          </cell>
          <cell r="C92">
            <v>1.8115249999999998</v>
          </cell>
          <cell r="D92">
            <v>3.7858479999999997</v>
          </cell>
          <cell r="E92">
            <v>1.3736329999999999</v>
          </cell>
          <cell r="F92" t="e">
            <v>#N/A</v>
          </cell>
          <cell r="G92">
            <v>1.0792409999999999</v>
          </cell>
          <cell r="H92">
            <v>1.0470400000000002</v>
          </cell>
          <cell r="I92">
            <v>1.1090789999999999</v>
          </cell>
          <cell r="K92">
            <v>1.2841564999999999</v>
          </cell>
        </row>
        <row r="93">
          <cell r="A93">
            <v>37377</v>
          </cell>
          <cell r="B93">
            <v>1.331556</v>
          </cell>
          <cell r="C93">
            <v>1.7796639999999999</v>
          </cell>
          <cell r="D93">
            <v>3.6585919999999996</v>
          </cell>
          <cell r="E93">
            <v>1.3469369999999998</v>
          </cell>
          <cell r="F93" t="e">
            <v>#N/A</v>
          </cell>
          <cell r="G93">
            <v>1.0377319999999999</v>
          </cell>
          <cell r="H93">
            <v>1.0143200000000001</v>
          </cell>
          <cell r="I93">
            <v>1.1278759999999999</v>
          </cell>
          <cell r="K93">
            <v>1.2730141666666666</v>
          </cell>
        </row>
        <row r="94">
          <cell r="A94">
            <v>37408</v>
          </cell>
          <cell r="B94">
            <v>1.2333589999999999</v>
          </cell>
          <cell r="C94">
            <v>1.7295969999999998</v>
          </cell>
          <cell r="D94">
            <v>3.5419419999999997</v>
          </cell>
          <cell r="E94">
            <v>1.2547139999999999</v>
          </cell>
          <cell r="F94" t="e">
            <v>#N/A</v>
          </cell>
          <cell r="G94">
            <v>0.94433610000000001</v>
          </cell>
          <cell r="H94">
            <v>0.96196759999999992</v>
          </cell>
          <cell r="I94">
            <v>1.074616</v>
          </cell>
          <cell r="K94">
            <v>1.1997649500000001</v>
          </cell>
        </row>
        <row r="95">
          <cell r="A95">
            <v>37438</v>
          </cell>
          <cell r="B95">
            <v>1.182296</v>
          </cell>
          <cell r="C95">
            <v>1.6067039999999999</v>
          </cell>
          <cell r="D95">
            <v>3.6585919999999996</v>
          </cell>
          <cell r="E95">
            <v>1.201322</v>
          </cell>
          <cell r="F95">
            <v>1.7124779999999999</v>
          </cell>
          <cell r="G95">
            <v>0.9235814</v>
          </cell>
          <cell r="H95">
            <v>0.88343959999999999</v>
          </cell>
          <cell r="I95">
            <v>0.9712269</v>
          </cell>
          <cell r="K95">
            <v>1.1280949833333334</v>
          </cell>
          <cell r="L95">
            <v>2.6855349999999998</v>
          </cell>
        </row>
        <row r="96">
          <cell r="A96">
            <v>37469</v>
          </cell>
          <cell r="B96">
            <v>1.1665839999999998</v>
          </cell>
          <cell r="C96">
            <v>1.5566369999999998</v>
          </cell>
          <cell r="D96">
            <v>3.552546</v>
          </cell>
          <cell r="E96">
            <v>1.2474339999999999</v>
          </cell>
          <cell r="F96">
            <v>1.702345</v>
          </cell>
          <cell r="G96">
            <v>0.93395869999999992</v>
          </cell>
          <cell r="H96">
            <v>0.85071959999999991</v>
          </cell>
          <cell r="I96">
            <v>0.96496090000000001</v>
          </cell>
          <cell r="K96">
            <v>1.1200490333333333</v>
          </cell>
          <cell r="L96">
            <v>2.6274454999999999</v>
          </cell>
        </row>
        <row r="97">
          <cell r="A97">
            <v>37500</v>
          </cell>
          <cell r="B97">
            <v>1.0762430000000001</v>
          </cell>
          <cell r="C97">
            <v>1.533879</v>
          </cell>
          <cell r="D97">
            <v>3.4677089999999997</v>
          </cell>
          <cell r="E97">
            <v>1.2377259999999999</v>
          </cell>
          <cell r="F97">
            <v>1.580749</v>
          </cell>
          <cell r="G97">
            <v>0.82603459999999995</v>
          </cell>
          <cell r="H97">
            <v>0.83763159999999992</v>
          </cell>
          <cell r="I97">
            <v>0.90230109999999997</v>
          </cell>
          <cell r="K97">
            <v>1.0689692166666667</v>
          </cell>
          <cell r="L97">
            <v>2.5242290000000001</v>
          </cell>
        </row>
        <row r="98">
          <cell r="A98">
            <v>37530</v>
          </cell>
          <cell r="B98">
            <v>1.068387</v>
          </cell>
          <cell r="C98">
            <v>1.6476679999999999</v>
          </cell>
          <cell r="D98">
            <v>3.5737559999999999</v>
          </cell>
          <cell r="E98">
            <v>1.2086029999999999</v>
          </cell>
          <cell r="F98">
            <v>1.611148</v>
          </cell>
          <cell r="G98">
            <v>0.8405629</v>
          </cell>
          <cell r="H98">
            <v>0.75255969999999994</v>
          </cell>
          <cell r="I98">
            <v>0.87723719999999994</v>
          </cell>
          <cell r="K98">
            <v>1.0658363</v>
          </cell>
          <cell r="L98">
            <v>2.5924519999999998</v>
          </cell>
        </row>
        <row r="99">
          <cell r="A99">
            <v>37561</v>
          </cell>
          <cell r="B99">
            <v>1.068387</v>
          </cell>
          <cell r="C99">
            <v>1.6613229999999999</v>
          </cell>
          <cell r="D99">
            <v>3.5949649999999997</v>
          </cell>
          <cell r="E99">
            <v>1.169772</v>
          </cell>
          <cell r="F99">
            <v>1.7530100000000002</v>
          </cell>
          <cell r="G99">
            <v>0.93395869999999992</v>
          </cell>
          <cell r="H99">
            <v>0.79836759999999996</v>
          </cell>
          <cell r="I99">
            <v>0.87880369999999997</v>
          </cell>
          <cell r="K99">
            <v>1.085102</v>
          </cell>
          <cell r="L99">
            <v>2.6739875</v>
          </cell>
        </row>
        <row r="100">
          <cell r="A100">
            <v>37591</v>
          </cell>
          <cell r="B100">
            <v>1.0229759999999999</v>
          </cell>
          <cell r="C100">
            <v>1.598981</v>
          </cell>
          <cell r="D100">
            <v>3.642525</v>
          </cell>
          <cell r="E100">
            <v>1.1518949999999999</v>
          </cell>
          <cell r="F100">
            <v>1.4854369999999999</v>
          </cell>
          <cell r="G100">
            <v>0.91963229999999996</v>
          </cell>
          <cell r="H100">
            <v>0.77094960000000001</v>
          </cell>
          <cell r="I100">
            <v>0.83854030000000002</v>
          </cell>
          <cell r="K100">
            <v>1.0504956999999999</v>
          </cell>
          <cell r="L100">
            <v>2.5639810000000001</v>
          </cell>
        </row>
        <row r="101">
          <cell r="A101">
            <v>37622</v>
          </cell>
          <cell r="B101">
            <v>1.1072659999999999</v>
          </cell>
          <cell r="C101">
            <v>1.5625479999999998</v>
          </cell>
          <cell r="D101">
            <v>3.642525</v>
          </cell>
          <cell r="E101">
            <v>1.1888289999999999</v>
          </cell>
          <cell r="F101">
            <v>1.494721</v>
          </cell>
          <cell r="G101">
            <v>0.87875979999999998</v>
          </cell>
          <cell r="H101">
            <v>0.78358810000000001</v>
          </cell>
          <cell r="I101">
            <v>0.85020689999999999</v>
          </cell>
          <cell r="K101">
            <v>1.0618662999999999</v>
          </cell>
          <cell r="L101">
            <v>2.5686230000000001</v>
          </cell>
        </row>
        <row r="102">
          <cell r="A102">
            <v>37653</v>
          </cell>
          <cell r="B102">
            <v>1.1149290000000001</v>
          </cell>
          <cell r="C102">
            <v>1.5301639999999999</v>
          </cell>
          <cell r="D102">
            <v>3.7412679999999998</v>
          </cell>
          <cell r="E102">
            <v>1.2003709999999999</v>
          </cell>
          <cell r="F102">
            <v>1.4854369999999999</v>
          </cell>
          <cell r="G102">
            <v>0.84810540000000001</v>
          </cell>
          <cell r="H102">
            <v>0.80886519999999995</v>
          </cell>
          <cell r="I102">
            <v>0.89541519999999997</v>
          </cell>
          <cell r="K102">
            <v>1.0663083</v>
          </cell>
          <cell r="L102">
            <v>2.6133525</v>
          </cell>
        </row>
        <row r="103">
          <cell r="A103">
            <v>37681</v>
          </cell>
          <cell r="B103">
            <v>1.095772</v>
          </cell>
          <cell r="C103">
            <v>1.4775389999999999</v>
          </cell>
          <cell r="D103">
            <v>3.4889250000000001</v>
          </cell>
          <cell r="E103">
            <v>1.2349969999999999</v>
          </cell>
          <cell r="F103">
            <v>1.5132889999999999</v>
          </cell>
          <cell r="G103">
            <v>0.80927649999999995</v>
          </cell>
          <cell r="H103">
            <v>0.8341421</v>
          </cell>
          <cell r="I103">
            <v>0.88666519999999993</v>
          </cell>
          <cell r="K103">
            <v>1.0563986333333333</v>
          </cell>
          <cell r="L103">
            <v>2.5011070000000002</v>
          </cell>
        </row>
        <row r="104">
          <cell r="A104">
            <v>37712</v>
          </cell>
          <cell r="B104">
            <v>1.1072659999999999</v>
          </cell>
          <cell r="C104">
            <v>1.441106</v>
          </cell>
          <cell r="D104">
            <v>3.3901819999999998</v>
          </cell>
          <cell r="E104">
            <v>1.133427</v>
          </cell>
          <cell r="F104">
            <v>1.411165</v>
          </cell>
          <cell r="G104">
            <v>0.73161860000000001</v>
          </cell>
          <cell r="H104">
            <v>0.77094960000000001</v>
          </cell>
          <cell r="I104">
            <v>0.82979039999999993</v>
          </cell>
          <cell r="K104">
            <v>1.0023595999999999</v>
          </cell>
          <cell r="L104">
            <v>2.4006734999999999</v>
          </cell>
        </row>
        <row r="105">
          <cell r="A105">
            <v>37742</v>
          </cell>
          <cell r="B105">
            <v>1.126423</v>
          </cell>
          <cell r="C105">
            <v>1.5139719999999999</v>
          </cell>
          <cell r="D105">
            <v>3.642525</v>
          </cell>
          <cell r="E105">
            <v>1.2049879999999999</v>
          </cell>
          <cell r="F105">
            <v>1.4854369999999999</v>
          </cell>
          <cell r="G105">
            <v>0.82766909999999994</v>
          </cell>
          <cell r="H105">
            <v>0.80886519999999995</v>
          </cell>
          <cell r="I105">
            <v>0.91583179999999997</v>
          </cell>
          <cell r="K105">
            <v>1.0662915166666667</v>
          </cell>
          <cell r="L105">
            <v>2.5639810000000001</v>
          </cell>
        </row>
        <row r="106">
          <cell r="A106">
            <v>37773</v>
          </cell>
          <cell r="B106">
            <v>1.1800619999999999</v>
          </cell>
          <cell r="C106">
            <v>1.5706439999999999</v>
          </cell>
          <cell r="D106">
            <v>3.6205819999999997</v>
          </cell>
          <cell r="E106">
            <v>1.3227169999999999</v>
          </cell>
          <cell r="F106">
            <v>1.4575849999999999</v>
          </cell>
          <cell r="G106">
            <v>0.88897789999999999</v>
          </cell>
          <cell r="H106">
            <v>0.8215036</v>
          </cell>
          <cell r="I106">
            <v>0.96249839999999998</v>
          </cell>
          <cell r="K106">
            <v>1.1244004833333332</v>
          </cell>
          <cell r="L106">
            <v>2.5390834999999998</v>
          </cell>
        </row>
        <row r="107">
          <cell r="A107">
            <v>37803</v>
          </cell>
          <cell r="B107">
            <v>1.252858</v>
          </cell>
          <cell r="C107">
            <v>1.5585</v>
          </cell>
          <cell r="D107">
            <v>3.6864109999999997</v>
          </cell>
          <cell r="E107">
            <v>1.4358279999999999</v>
          </cell>
          <cell r="F107">
            <v>1.5782769999999999</v>
          </cell>
          <cell r="G107">
            <v>0.970723</v>
          </cell>
          <cell r="H107">
            <v>0.9668466</v>
          </cell>
          <cell r="I107">
            <v>0.96249839999999998</v>
          </cell>
          <cell r="K107">
            <v>1.191209</v>
          </cell>
          <cell r="L107">
            <v>2.6323439999999998</v>
          </cell>
        </row>
        <row r="108">
          <cell r="A108">
            <v>37834</v>
          </cell>
          <cell r="B108">
            <v>1.4099439999999999</v>
          </cell>
          <cell r="C108">
            <v>1.8702000000000001</v>
          </cell>
          <cell r="D108">
            <v>3.7961259999999997</v>
          </cell>
          <cell r="E108">
            <v>1.638968</v>
          </cell>
          <cell r="F108">
            <v>1.8567959999999999</v>
          </cell>
          <cell r="G108">
            <v>1.001377</v>
          </cell>
          <cell r="H108">
            <v>1.137467</v>
          </cell>
          <cell r="I108">
            <v>1.1608309999999999</v>
          </cell>
          <cell r="K108">
            <v>1.3697978333333332</v>
          </cell>
          <cell r="L108">
            <v>2.8264609999999997</v>
          </cell>
        </row>
        <row r="109">
          <cell r="A109">
            <v>37865</v>
          </cell>
          <cell r="B109">
            <v>1.5248849999999998</v>
          </cell>
          <cell r="C109">
            <v>1.918777</v>
          </cell>
          <cell r="D109">
            <v>4.1691549999999999</v>
          </cell>
          <cell r="E109">
            <v>1.8928929999999999</v>
          </cell>
          <cell r="F109">
            <v>2.079612</v>
          </cell>
          <cell r="G109">
            <v>1.1750859999999999</v>
          </cell>
          <cell r="H109">
            <v>1.1753819999999999</v>
          </cell>
          <cell r="I109">
            <v>1.329998</v>
          </cell>
          <cell r="K109">
            <v>1.5028368333333333</v>
          </cell>
          <cell r="L109">
            <v>3.1243835</v>
          </cell>
        </row>
        <row r="110">
          <cell r="A110">
            <v>37895</v>
          </cell>
          <cell r="B110">
            <v>1.7777559999999999</v>
          </cell>
          <cell r="C110">
            <v>2.1960679999999999</v>
          </cell>
          <cell r="D110">
            <v>4.2569270000000001</v>
          </cell>
          <cell r="E110">
            <v>2.2114530000000001</v>
          </cell>
          <cell r="F110">
            <v>2.4973909999999999</v>
          </cell>
          <cell r="G110">
            <v>1.4203209999999999</v>
          </cell>
          <cell r="H110">
            <v>1.3207249999999999</v>
          </cell>
          <cell r="I110">
            <v>1.426248</v>
          </cell>
          <cell r="K110">
            <v>1.7254285000000003</v>
          </cell>
          <cell r="L110">
            <v>3.3771589999999998</v>
          </cell>
        </row>
        <row r="111">
          <cell r="A111">
            <v>37926</v>
          </cell>
          <cell r="B111">
            <v>1.8697089999999998</v>
          </cell>
          <cell r="C111">
            <v>2.3276300000000001</v>
          </cell>
          <cell r="D111">
            <v>4.3776130000000002</v>
          </cell>
          <cell r="E111">
            <v>2.142201</v>
          </cell>
          <cell r="F111">
            <v>2.683071</v>
          </cell>
          <cell r="G111">
            <v>1.4509749999999999</v>
          </cell>
          <cell r="H111">
            <v>1.3207249999999999</v>
          </cell>
          <cell r="I111">
            <v>1.4656229999999999</v>
          </cell>
          <cell r="K111">
            <v>1.7628104999999998</v>
          </cell>
          <cell r="L111">
            <v>3.5303420000000001</v>
          </cell>
        </row>
        <row r="112">
          <cell r="A112">
            <v>37956</v>
          </cell>
          <cell r="B112">
            <v>1.7411019999999999</v>
          </cell>
          <cell r="C112">
            <v>2.0983969999999998</v>
          </cell>
          <cell r="D112">
            <v>4.9193489999999995</v>
          </cell>
          <cell r="E112">
            <v>2.029744</v>
          </cell>
          <cell r="F112">
            <v>2.5615649999999999</v>
          </cell>
          <cell r="G112">
            <v>1.7150139999999998</v>
          </cell>
          <cell r="H112">
            <v>1.3680669999999999</v>
          </cell>
          <cell r="I112">
            <v>1.368808</v>
          </cell>
          <cell r="K112">
            <v>1.7201886666666664</v>
          </cell>
          <cell r="L112">
            <v>3.7404569999999997</v>
          </cell>
        </row>
        <row r="113">
          <cell r="A113">
            <v>37987</v>
          </cell>
          <cell r="B113">
            <v>1.7447519999999999</v>
          </cell>
          <cell r="C113">
            <v>2.1801529999999998</v>
          </cell>
          <cell r="D113">
            <v>5.0881509999999999</v>
          </cell>
          <cell r="E113">
            <v>2.1922989999999998</v>
          </cell>
          <cell r="F113">
            <v>2.570338</v>
          </cell>
          <cell r="G113">
            <v>1.7150139999999998</v>
          </cell>
          <cell r="H113">
            <v>1.539871</v>
          </cell>
          <cell r="I113">
            <v>1.3162129999999999</v>
          </cell>
          <cell r="K113">
            <v>1.7813836666666665</v>
          </cell>
          <cell r="L113">
            <v>3.8292444999999997</v>
          </cell>
        </row>
        <row r="114">
          <cell r="A114">
            <v>38018</v>
          </cell>
          <cell r="B114">
            <v>1.8469549999999999</v>
          </cell>
          <cell r="C114">
            <v>2.1801529999999998</v>
          </cell>
          <cell r="D114">
            <v>5.3292950000000001</v>
          </cell>
          <cell r="E114">
            <v>2.2076759999999997</v>
          </cell>
          <cell r="F114">
            <v>2.7896500000000004</v>
          </cell>
          <cell r="G114">
            <v>1.6945969999999999</v>
          </cell>
          <cell r="H114">
            <v>1.5716869999999998</v>
          </cell>
          <cell r="I114">
            <v>1.402522</v>
          </cell>
          <cell r="K114">
            <v>1.8172649999999999</v>
          </cell>
          <cell r="L114">
            <v>4.0594725</v>
          </cell>
        </row>
        <row r="115">
          <cell r="A115">
            <v>38047</v>
          </cell>
          <cell r="B115">
            <v>1.719201</v>
          </cell>
          <cell r="C115">
            <v>1.9984739999999999</v>
          </cell>
          <cell r="D115">
            <v>4.7987769999999994</v>
          </cell>
          <cell r="E115">
            <v>2.1703319999999997</v>
          </cell>
          <cell r="F115">
            <v>2.6054279999999999</v>
          </cell>
          <cell r="G115">
            <v>1.3985529999999999</v>
          </cell>
          <cell r="H115">
            <v>1.4189719999999999</v>
          </cell>
          <cell r="I115">
            <v>1.4632079999999998</v>
          </cell>
          <cell r="K115">
            <v>1.69479</v>
          </cell>
          <cell r="L115">
            <v>3.7021024999999996</v>
          </cell>
        </row>
        <row r="116">
          <cell r="A116">
            <v>38078</v>
          </cell>
          <cell r="B116">
            <v>1.6644500000000002</v>
          </cell>
          <cell r="C116">
            <v>2.0348100000000002</v>
          </cell>
          <cell r="D116">
            <v>4.7746620000000002</v>
          </cell>
          <cell r="E116">
            <v>2.1747259999999997</v>
          </cell>
          <cell r="F116">
            <v>2.3334809999999999</v>
          </cell>
          <cell r="G116">
            <v>1.276052</v>
          </cell>
          <cell r="H116">
            <v>1.1899009999999999</v>
          </cell>
          <cell r="I116">
            <v>1.5238939999999999</v>
          </cell>
          <cell r="K116">
            <v>1.6439721666666667</v>
          </cell>
          <cell r="L116">
            <v>3.5540715000000001</v>
          </cell>
        </row>
        <row r="117">
          <cell r="A117">
            <v>38108</v>
          </cell>
          <cell r="B117">
            <v>1.6608000000000001</v>
          </cell>
          <cell r="C117">
            <v>1.8894659999999999</v>
          </cell>
          <cell r="D117">
            <v>4.7987769999999994</v>
          </cell>
          <cell r="E117">
            <v>1.9726300000000001</v>
          </cell>
          <cell r="F117">
            <v>2.3773429999999998</v>
          </cell>
          <cell r="G117">
            <v>1.2352179999999999</v>
          </cell>
          <cell r="H117">
            <v>1.259895</v>
          </cell>
          <cell r="I117">
            <v>1.429494</v>
          </cell>
          <cell r="K117">
            <v>1.5745838333333335</v>
          </cell>
          <cell r="L117">
            <v>3.5880599999999996</v>
          </cell>
        </row>
        <row r="118">
          <cell r="A118">
            <v>38139</v>
          </cell>
          <cell r="B118">
            <v>1.6279489999999999</v>
          </cell>
          <cell r="C118">
            <v>1.671451</v>
          </cell>
          <cell r="D118">
            <v>4.8228919999999995</v>
          </cell>
          <cell r="E118">
            <v>2.0341369999999999</v>
          </cell>
          <cell r="F118">
            <v>2.3334809999999999</v>
          </cell>
          <cell r="G118">
            <v>1.163759</v>
          </cell>
          <cell r="H118">
            <v>1.285347</v>
          </cell>
          <cell r="I118">
            <v>1.4429800000000002</v>
          </cell>
          <cell r="K118">
            <v>1.5376038333333335</v>
          </cell>
          <cell r="L118">
            <v>3.5781864999999997</v>
          </cell>
        </row>
        <row r="119">
          <cell r="A119">
            <v>38169</v>
          </cell>
          <cell r="B119">
            <v>1.613348</v>
          </cell>
          <cell r="C119">
            <v>1.7441229999999999</v>
          </cell>
          <cell r="D119">
            <v>4.8108339999999998</v>
          </cell>
          <cell r="E119">
            <v>2.0604979999999999</v>
          </cell>
          <cell r="F119">
            <v>2.3422529999999999</v>
          </cell>
          <cell r="G119">
            <v>1.1331339999999999</v>
          </cell>
          <cell r="H119">
            <v>1.336252</v>
          </cell>
          <cell r="I119">
            <v>1.5104089999999999</v>
          </cell>
          <cell r="K119">
            <v>1.5662940000000001</v>
          </cell>
          <cell r="L119">
            <v>3.5765434999999997</v>
          </cell>
        </row>
        <row r="120">
          <cell r="A120">
            <v>38200</v>
          </cell>
          <cell r="B120">
            <v>1.5622469999999999</v>
          </cell>
          <cell r="C120">
            <v>2.0348100000000002</v>
          </cell>
          <cell r="D120">
            <v>5.0158069999999997</v>
          </cell>
          <cell r="E120">
            <v>2.2406269999999999</v>
          </cell>
          <cell r="F120">
            <v>2.4562949999999999</v>
          </cell>
          <cell r="G120">
            <v>1.3066769999999999</v>
          </cell>
          <cell r="H120">
            <v>1.3553409999999999</v>
          </cell>
          <cell r="I120">
            <v>1.530637</v>
          </cell>
          <cell r="K120">
            <v>1.6717231666666663</v>
          </cell>
          <cell r="L120">
            <v>3.7360509999999998</v>
          </cell>
        </row>
        <row r="121">
          <cell r="A121">
            <v>38231</v>
          </cell>
          <cell r="B121">
            <v>1.5987479999999998</v>
          </cell>
          <cell r="C121">
            <v>2.0257259999999997</v>
          </cell>
          <cell r="D121">
            <v>5.0158069999999997</v>
          </cell>
          <cell r="E121">
            <v>2.2406269999999999</v>
          </cell>
          <cell r="F121">
            <v>2.5001579999999999</v>
          </cell>
          <cell r="G121">
            <v>1.2964689999999999</v>
          </cell>
          <cell r="H121">
            <v>1.3553409999999999</v>
          </cell>
          <cell r="I121">
            <v>1.5373800000000002</v>
          </cell>
          <cell r="K121">
            <v>1.6757151666666665</v>
          </cell>
          <cell r="L121">
            <v>3.7579824999999998</v>
          </cell>
        </row>
        <row r="122">
          <cell r="A122">
            <v>38261</v>
          </cell>
          <cell r="B122">
            <v>1.6279489999999999</v>
          </cell>
          <cell r="C122">
            <v>2.0348100000000002</v>
          </cell>
          <cell r="D122">
            <v>4.9916929999999997</v>
          </cell>
          <cell r="E122">
            <v>2.3394779999999997</v>
          </cell>
          <cell r="F122">
            <v>2.4826129999999997</v>
          </cell>
          <cell r="G122">
            <v>1.2658430000000001</v>
          </cell>
          <cell r="H122">
            <v>1.3298889999999999</v>
          </cell>
          <cell r="I122">
            <v>1.6182949999999998</v>
          </cell>
          <cell r="K122">
            <v>1.7027106666666665</v>
          </cell>
          <cell r="L122">
            <v>3.7371529999999997</v>
          </cell>
        </row>
        <row r="123">
          <cell r="A123">
            <v>38292</v>
          </cell>
          <cell r="B123">
            <v>1.7849029999999999</v>
          </cell>
          <cell r="C123">
            <v>2.2074050000000001</v>
          </cell>
          <cell r="D123">
            <v>5.208723</v>
          </cell>
          <cell r="E123">
            <v>2.427346</v>
          </cell>
          <cell r="F123">
            <v>2.5615649999999999</v>
          </cell>
          <cell r="G123">
            <v>1.3985529999999999</v>
          </cell>
          <cell r="H123">
            <v>1.412609</v>
          </cell>
          <cell r="I123">
            <v>1.6520089999999998</v>
          </cell>
          <cell r="K123">
            <v>1.8138041666666667</v>
          </cell>
          <cell r="L123">
            <v>3.8851439999999999</v>
          </cell>
        </row>
        <row r="124">
          <cell r="A124">
            <v>38322</v>
          </cell>
          <cell r="B124">
            <v>1.6583500000000002</v>
          </cell>
          <cell r="C124">
            <v>1.8139149999999999</v>
          </cell>
          <cell r="D124">
            <v>4.7812679999999999</v>
          </cell>
          <cell r="E124">
            <v>2.163475</v>
          </cell>
          <cell r="F124">
            <v>2.2913519999999998</v>
          </cell>
          <cell r="G124">
            <v>1.326036</v>
          </cell>
          <cell r="H124">
            <v>1.361883</v>
          </cell>
          <cell r="I124">
            <v>1.5300019999999999</v>
          </cell>
          <cell r="K124">
            <v>1.6422768333333335</v>
          </cell>
          <cell r="L124">
            <v>3.5363099999999998</v>
          </cell>
        </row>
        <row r="125">
          <cell r="A125">
            <v>38353</v>
          </cell>
          <cell r="B125">
            <v>1.5965479999999999</v>
          </cell>
          <cell r="C125">
            <v>1.7085429999999999</v>
          </cell>
          <cell r="D125">
            <v>4.6705900000000007</v>
          </cell>
          <cell r="E125">
            <v>1.9769000000000001</v>
          </cell>
          <cell r="F125">
            <v>2.2142019999999998</v>
          </cell>
          <cell r="G125">
            <v>1.210728</v>
          </cell>
          <cell r="H125">
            <v>1.3373439999999999</v>
          </cell>
          <cell r="I125">
            <v>1.329644</v>
          </cell>
          <cell r="K125">
            <v>1.5266178333333331</v>
          </cell>
          <cell r="L125">
            <v>3.4423960000000005</v>
          </cell>
        </row>
        <row r="126">
          <cell r="A126">
            <v>38384</v>
          </cell>
          <cell r="B126">
            <v>1.6308819999999999</v>
          </cell>
          <cell r="C126">
            <v>1.7762819999999999</v>
          </cell>
          <cell r="D126">
            <v>4.714861</v>
          </cell>
          <cell r="E126">
            <v>2.074157</v>
          </cell>
          <cell r="F126">
            <v>2.2913519999999998</v>
          </cell>
          <cell r="G126">
            <v>1.2491639999999999</v>
          </cell>
          <cell r="H126">
            <v>1.33121</v>
          </cell>
          <cell r="I126">
            <v>1.48143</v>
          </cell>
          <cell r="K126">
            <v>1.5905208333333334</v>
          </cell>
          <cell r="L126">
            <v>3.5031064999999999</v>
          </cell>
        </row>
        <row r="127">
          <cell r="A127">
            <v>38412</v>
          </cell>
          <cell r="B127">
            <v>1.5416129999999999</v>
          </cell>
          <cell r="C127">
            <v>1.496292</v>
          </cell>
          <cell r="D127">
            <v>4.5820479999999995</v>
          </cell>
          <cell r="E127">
            <v>1.885597</v>
          </cell>
          <cell r="F127">
            <v>2.2142019999999998</v>
          </cell>
          <cell r="G127">
            <v>1.1530749999999999</v>
          </cell>
          <cell r="H127">
            <v>1.288268</v>
          </cell>
          <cell r="I127">
            <v>1.402501</v>
          </cell>
          <cell r="K127">
            <v>1.4612243333333332</v>
          </cell>
          <cell r="L127">
            <v>3.3981249999999994</v>
          </cell>
        </row>
        <row r="128">
          <cell r="A128">
            <v>38443</v>
          </cell>
          <cell r="B128">
            <v>1.56908</v>
          </cell>
          <cell r="C128">
            <v>1.5128509999999999</v>
          </cell>
          <cell r="D128">
            <v>4.714861</v>
          </cell>
          <cell r="E128">
            <v>1.953082</v>
          </cell>
          <cell r="F128">
            <v>2.275922</v>
          </cell>
          <cell r="G128">
            <v>1.1722919999999999</v>
          </cell>
          <cell r="H128">
            <v>1.202383</v>
          </cell>
          <cell r="I128">
            <v>1.384287</v>
          </cell>
          <cell r="K128">
            <v>1.4656624999999999</v>
          </cell>
          <cell r="L128">
            <v>3.4953915000000002</v>
          </cell>
        </row>
        <row r="129">
          <cell r="A129">
            <v>38473</v>
          </cell>
          <cell r="B129">
            <v>1.572514</v>
          </cell>
          <cell r="C129">
            <v>1.5203769999999999</v>
          </cell>
          <cell r="D129">
            <v>4.6263189999999996</v>
          </cell>
          <cell r="E129">
            <v>2.2031709999999998</v>
          </cell>
          <cell r="F129">
            <v>2.2219169999999999</v>
          </cell>
          <cell r="G129">
            <v>1.1050300000000002</v>
          </cell>
          <cell r="H129">
            <v>1.1839789999999999</v>
          </cell>
          <cell r="I129">
            <v>1.4328589999999999</v>
          </cell>
          <cell r="K129">
            <v>1.5029883333333334</v>
          </cell>
          <cell r="L129">
            <v>3.424118</v>
          </cell>
        </row>
        <row r="130">
          <cell r="A130">
            <v>38504</v>
          </cell>
          <cell r="B130">
            <v>1.575947</v>
          </cell>
          <cell r="C130">
            <v>1.565537</v>
          </cell>
          <cell r="D130">
            <v>4.6927259999999995</v>
          </cell>
          <cell r="E130">
            <v>2.0146109999999999</v>
          </cell>
          <cell r="F130">
            <v>2.2682069999999999</v>
          </cell>
          <cell r="G130">
            <v>1.1530749999999999</v>
          </cell>
          <cell r="H130">
            <v>1.17171</v>
          </cell>
          <cell r="I130">
            <v>1.4207159999999999</v>
          </cell>
          <cell r="K130">
            <v>1.4835993333333333</v>
          </cell>
          <cell r="L130">
            <v>3.4804664999999995</v>
          </cell>
        </row>
        <row r="131">
          <cell r="A131">
            <v>38534</v>
          </cell>
          <cell r="B131">
            <v>1.624015</v>
          </cell>
          <cell r="C131">
            <v>1.710048</v>
          </cell>
          <cell r="D131">
            <v>4.7591320000000001</v>
          </cell>
          <cell r="E131">
            <v>2.2051560000000001</v>
          </cell>
          <cell r="F131">
            <v>2.422507</v>
          </cell>
          <cell r="G131">
            <v>1.229946</v>
          </cell>
          <cell r="H131">
            <v>1.2391909999999999</v>
          </cell>
          <cell r="I131">
            <v>1.5324300000000002</v>
          </cell>
          <cell r="K131">
            <v>1.5901310000000002</v>
          </cell>
          <cell r="L131">
            <v>3.5908195000000003</v>
          </cell>
        </row>
        <row r="132">
          <cell r="A132">
            <v>38565</v>
          </cell>
          <cell r="B132">
            <v>1.5587800000000001</v>
          </cell>
          <cell r="C132">
            <v>1.535431</v>
          </cell>
          <cell r="D132">
            <v>4.6484550000000002</v>
          </cell>
          <cell r="E132">
            <v>2.2686709999999999</v>
          </cell>
          <cell r="F132">
            <v>2.4147919999999998</v>
          </cell>
          <cell r="G132">
            <v>1.2779909999999999</v>
          </cell>
          <cell r="H132">
            <v>1.2637289999999999</v>
          </cell>
          <cell r="I132">
            <v>1.578573</v>
          </cell>
          <cell r="K132">
            <v>1.5805291666666665</v>
          </cell>
          <cell r="L132">
            <v>3.5316235000000002</v>
          </cell>
        </row>
        <row r="133">
          <cell r="A133">
            <v>38596</v>
          </cell>
          <cell r="B133">
            <v>1.5587800000000001</v>
          </cell>
          <cell r="C133">
            <v>1.565537</v>
          </cell>
          <cell r="D133">
            <v>4.6174650000000002</v>
          </cell>
          <cell r="E133">
            <v>2.266686</v>
          </cell>
          <cell r="F133">
            <v>2.399362</v>
          </cell>
          <cell r="G133">
            <v>1.1915100000000001</v>
          </cell>
          <cell r="H133">
            <v>1.202383</v>
          </cell>
          <cell r="I133">
            <v>1.4437869999999999</v>
          </cell>
          <cell r="K133">
            <v>1.5381138333333333</v>
          </cell>
          <cell r="L133">
            <v>3.5084135000000001</v>
          </cell>
        </row>
        <row r="134">
          <cell r="A134">
            <v>38626</v>
          </cell>
          <cell r="B134">
            <v>1.555347</v>
          </cell>
          <cell r="C134">
            <v>1.418015</v>
          </cell>
          <cell r="D134">
            <v>4.4492349999999998</v>
          </cell>
          <cell r="E134">
            <v>2.101944</v>
          </cell>
          <cell r="F134">
            <v>2.2296320000000001</v>
          </cell>
          <cell r="G134">
            <v>1.085812</v>
          </cell>
          <cell r="H134">
            <v>1.17171</v>
          </cell>
          <cell r="I134">
            <v>1.347858</v>
          </cell>
          <cell r="K134">
            <v>1.4467809999999999</v>
          </cell>
          <cell r="L134">
            <v>3.3394335000000002</v>
          </cell>
        </row>
        <row r="135">
          <cell r="A135">
            <v>38657</v>
          </cell>
          <cell r="B135">
            <v>1.5931139999999999</v>
          </cell>
          <cell r="C135">
            <v>1.615213</v>
          </cell>
          <cell r="D135">
            <v>4.5422039999999999</v>
          </cell>
          <cell r="E135">
            <v>2.1356869999999999</v>
          </cell>
          <cell r="F135">
            <v>2.2836369999999997</v>
          </cell>
          <cell r="G135">
            <v>1.1242479999999999</v>
          </cell>
          <cell r="H135">
            <v>1.177845</v>
          </cell>
          <cell r="I135">
            <v>1.4085729999999999</v>
          </cell>
          <cell r="K135">
            <v>1.5091133333333333</v>
          </cell>
          <cell r="L135">
            <v>3.4129204999999998</v>
          </cell>
        </row>
        <row r="136">
          <cell r="A136">
            <v>38687</v>
          </cell>
          <cell r="B136">
            <v>1.4635829999999999</v>
          </cell>
          <cell r="C136">
            <v>1.481889</v>
          </cell>
          <cell r="D136">
            <v>4.544842</v>
          </cell>
          <cell r="E136">
            <v>1.9728789999999998</v>
          </cell>
          <cell r="F136">
            <v>1.9831869999999998</v>
          </cell>
          <cell r="G136">
            <v>0.97229219999999994</v>
          </cell>
          <cell r="H136">
            <v>1.079242</v>
          </cell>
          <cell r="I136">
            <v>1.374385</v>
          </cell>
          <cell r="K136">
            <v>1.3907117</v>
          </cell>
          <cell r="L136">
            <v>3.2640145</v>
          </cell>
        </row>
        <row r="137">
          <cell r="A137">
            <v>38718</v>
          </cell>
          <cell r="B137">
            <v>1.5072719999999999</v>
          </cell>
          <cell r="C137">
            <v>1.491511</v>
          </cell>
          <cell r="D137">
            <v>4.6481339999999998</v>
          </cell>
          <cell r="E137">
            <v>1.9834859999999999</v>
          </cell>
          <cell r="F137">
            <v>2.0697019999999999</v>
          </cell>
          <cell r="G137">
            <v>1.0568389999999999</v>
          </cell>
          <cell r="H137">
            <v>1.1417249999999999</v>
          </cell>
          <cell r="I137">
            <v>1.3972909999999998</v>
          </cell>
          <cell r="K137">
            <v>1.4296873333333331</v>
          </cell>
          <cell r="L137">
            <v>3.3589180000000001</v>
          </cell>
        </row>
        <row r="138">
          <cell r="A138">
            <v>38749</v>
          </cell>
          <cell r="B138">
            <v>1.663305</v>
          </cell>
          <cell r="C138">
            <v>1.4928859999999999</v>
          </cell>
          <cell r="D138">
            <v>4.6660979999999999</v>
          </cell>
          <cell r="E138">
            <v>2.116072</v>
          </cell>
          <cell r="F138">
            <v>2.0830120000000001</v>
          </cell>
          <cell r="G138">
            <v>1.192115</v>
          </cell>
          <cell r="H138">
            <v>1.2098879999999999</v>
          </cell>
          <cell r="I138">
            <v>1.5736709999999998</v>
          </cell>
          <cell r="K138">
            <v>1.5413228333333331</v>
          </cell>
          <cell r="L138">
            <v>3.374555</v>
          </cell>
        </row>
        <row r="139">
          <cell r="A139">
            <v>38777</v>
          </cell>
          <cell r="B139">
            <v>1.750683</v>
          </cell>
          <cell r="C139">
            <v>1.6798400000000002</v>
          </cell>
          <cell r="D139">
            <v>4.4887049999999995</v>
          </cell>
          <cell r="E139">
            <v>2.3034600000000003</v>
          </cell>
          <cell r="F139">
            <v>2.0763569999999998</v>
          </cell>
          <cell r="G139">
            <v>1.1752050000000001</v>
          </cell>
          <cell r="H139">
            <v>1.27237</v>
          </cell>
          <cell r="I139">
            <v>1.717981</v>
          </cell>
          <cell r="K139">
            <v>1.6499231666666667</v>
          </cell>
          <cell r="L139">
            <v>3.2825309999999996</v>
          </cell>
        </row>
        <row r="140">
          <cell r="A140">
            <v>38808</v>
          </cell>
          <cell r="B140">
            <v>2.0221789999999999</v>
          </cell>
          <cell r="C140">
            <v>1.7458239999999998</v>
          </cell>
          <cell r="D140">
            <v>4.5089139999999999</v>
          </cell>
          <cell r="E140">
            <v>2.5421139999999998</v>
          </cell>
          <cell r="F140">
            <v>2.1295959999999998</v>
          </cell>
          <cell r="G140">
            <v>1.5472129999999999</v>
          </cell>
          <cell r="H140">
            <v>1.3234919999999999</v>
          </cell>
          <cell r="I140">
            <v>1.6882029999999999</v>
          </cell>
          <cell r="K140">
            <v>1.8115041666666665</v>
          </cell>
          <cell r="L140">
            <v>3.3192550000000001</v>
          </cell>
        </row>
        <row r="141">
          <cell r="A141">
            <v>38838</v>
          </cell>
          <cell r="B141">
            <v>1.8443019999999999</v>
          </cell>
          <cell r="C141">
            <v>1.732078</v>
          </cell>
          <cell r="D141">
            <v>4.3764310000000002</v>
          </cell>
          <cell r="E141">
            <v>2.455492</v>
          </cell>
          <cell r="F141">
            <v>1.996497</v>
          </cell>
          <cell r="G141">
            <v>1.4880300000000002</v>
          </cell>
          <cell r="H141">
            <v>1.2553289999999999</v>
          </cell>
          <cell r="I141">
            <v>1.6286459999999998</v>
          </cell>
          <cell r="K141">
            <v>1.7339794999999996</v>
          </cell>
          <cell r="L141">
            <v>3.186464</v>
          </cell>
        </row>
        <row r="142">
          <cell r="A142">
            <v>38869</v>
          </cell>
          <cell r="B142">
            <v>1.9221139999999999</v>
          </cell>
          <cell r="C142">
            <v>1.4766759999999999</v>
          </cell>
          <cell r="D142">
            <v>4.2261980000000001</v>
          </cell>
          <cell r="E142">
            <v>2.2484139999999999</v>
          </cell>
          <cell r="F142">
            <v>1.9529589999999999</v>
          </cell>
          <cell r="G142">
            <v>1.442167</v>
          </cell>
          <cell r="H142">
            <v>1.2579</v>
          </cell>
          <cell r="I142">
            <v>1.4363539999999999</v>
          </cell>
          <cell r="K142">
            <v>1.6306041666666669</v>
          </cell>
          <cell r="L142">
            <v>3.0895785</v>
          </cell>
        </row>
        <row r="143">
          <cell r="A143">
            <v>38899</v>
          </cell>
          <cell r="B143">
            <v>1.931138</v>
          </cell>
          <cell r="C143">
            <v>1.6842919999999999</v>
          </cell>
          <cell r="D143">
            <v>4.2605230000000001</v>
          </cell>
          <cell r="E143">
            <v>2.3558749999999997</v>
          </cell>
          <cell r="F143">
            <v>2.0300500000000001</v>
          </cell>
          <cell r="G143">
            <v>1.447111</v>
          </cell>
          <cell r="H143">
            <v>1.4457609999999999</v>
          </cell>
          <cell r="I143">
            <v>1.474942</v>
          </cell>
          <cell r="K143">
            <v>1.7231864999999997</v>
          </cell>
          <cell r="L143">
            <v>3.1452865000000001</v>
          </cell>
        </row>
        <row r="144">
          <cell r="A144">
            <v>38930</v>
          </cell>
          <cell r="B144">
            <v>2.0815380000000001</v>
          </cell>
          <cell r="C144">
            <v>1.7310059999999998</v>
          </cell>
          <cell r="D144">
            <v>4.2261980000000001</v>
          </cell>
          <cell r="E144">
            <v>2.4699489999999997</v>
          </cell>
          <cell r="F144">
            <v>2.1919400000000002</v>
          </cell>
          <cell r="G144">
            <v>1.3317379999999999</v>
          </cell>
          <cell r="H144">
            <v>1.423789</v>
          </cell>
          <cell r="I144">
            <v>1.5949959999999999</v>
          </cell>
          <cell r="K144">
            <v>1.7721693333333333</v>
          </cell>
          <cell r="L144">
            <v>3.2090690000000004</v>
          </cell>
        </row>
        <row r="145">
          <cell r="A145">
            <v>38961</v>
          </cell>
          <cell r="B145">
            <v>2.13869</v>
          </cell>
          <cell r="C145">
            <v>1.820541</v>
          </cell>
          <cell r="D145">
            <v>4.2240529999999996</v>
          </cell>
          <cell r="E145">
            <v>2.5162400000000003</v>
          </cell>
          <cell r="F145">
            <v>2.2484729999999997</v>
          </cell>
          <cell r="G145">
            <v>1.4767789999999998</v>
          </cell>
          <cell r="H145">
            <v>1.491903</v>
          </cell>
          <cell r="I145">
            <v>1.645375</v>
          </cell>
          <cell r="K145">
            <v>1.8482546666666668</v>
          </cell>
          <cell r="L145">
            <v>3.2362629999999997</v>
          </cell>
        </row>
        <row r="146">
          <cell r="A146">
            <v>38991</v>
          </cell>
          <cell r="B146">
            <v>2.234947</v>
          </cell>
          <cell r="C146">
            <v>1.7660419999999999</v>
          </cell>
          <cell r="D146">
            <v>4.2519419999999997</v>
          </cell>
          <cell r="E146">
            <v>2.4997069999999999</v>
          </cell>
          <cell r="F146">
            <v>2.2356250000000002</v>
          </cell>
          <cell r="G146">
            <v>1.7207109999999999</v>
          </cell>
          <cell r="H146">
            <v>1.480917</v>
          </cell>
          <cell r="I146">
            <v>1.5864209999999999</v>
          </cell>
          <cell r="K146">
            <v>1.8814575</v>
          </cell>
          <cell r="L146">
            <v>3.2437835000000002</v>
          </cell>
        </row>
        <row r="147">
          <cell r="A147">
            <v>39022</v>
          </cell>
          <cell r="B147">
            <v>2.5237149999999997</v>
          </cell>
          <cell r="C147">
            <v>1.8348149999999999</v>
          </cell>
          <cell r="D147">
            <v>4.4535979999999995</v>
          </cell>
          <cell r="E147">
            <v>2.714629</v>
          </cell>
          <cell r="F147">
            <v>2.4077929999999999</v>
          </cell>
          <cell r="G147">
            <v>1.9877179999999999</v>
          </cell>
          <cell r="H147">
            <v>1.527058</v>
          </cell>
          <cell r="I147">
            <v>1.6046429999999998</v>
          </cell>
          <cell r="K147">
            <v>2.0320963333333331</v>
          </cell>
          <cell r="L147">
            <v>3.4306954999999997</v>
          </cell>
        </row>
        <row r="148">
          <cell r="A148">
            <v>39052</v>
          </cell>
          <cell r="B148">
            <v>2.5207070143884889</v>
          </cell>
          <cell r="C148">
            <v>1.8477908474576277</v>
          </cell>
          <cell r="D148">
            <v>4.466469</v>
          </cell>
          <cell r="E148">
            <v>3.1742317336394947</v>
          </cell>
          <cell r="F148">
            <v>2.4077932667375133</v>
          </cell>
          <cell r="G148">
            <v>1.9481615649999997</v>
          </cell>
          <cell r="H148">
            <v>1.5622136186440678</v>
          </cell>
          <cell r="I148">
            <v>1.6593099239842728</v>
          </cell>
          <cell r="K148">
            <v>2.1187357838523249</v>
          </cell>
          <cell r="L148">
            <v>3.4371311333687569</v>
          </cell>
        </row>
        <row r="149">
          <cell r="A149">
            <v>39083</v>
          </cell>
        </row>
        <row r="150">
          <cell r="A150">
            <v>39114</v>
          </cell>
        </row>
        <row r="151">
          <cell r="A151">
            <v>39142</v>
          </cell>
        </row>
        <row r="152">
          <cell r="A152">
            <v>39173</v>
          </cell>
        </row>
        <row r="153">
          <cell r="A153">
            <v>39203</v>
          </cell>
        </row>
        <row r="154">
          <cell r="A154">
            <v>39234</v>
          </cell>
        </row>
        <row r="155">
          <cell r="A155">
            <v>39264</v>
          </cell>
        </row>
      </sheetData>
      <sheetData sheetId="33" refreshError="1">
        <row r="1">
          <cell r="B1" t="str">
            <v>HSB</v>
          </cell>
          <cell r="F1" t="str">
            <v>BEA</v>
          </cell>
          <cell r="J1" t="str">
            <v>BOCHK</v>
          </cell>
          <cell r="N1" t="str">
            <v>DSF</v>
          </cell>
          <cell r="R1" t="str">
            <v>WHB</v>
          </cell>
          <cell r="V1" t="str">
            <v>WLB</v>
          </cell>
          <cell r="Z1" t="str">
            <v>ICBCA</v>
          </cell>
          <cell r="AD1" t="str">
            <v>CIFH</v>
          </cell>
        </row>
        <row r="2">
          <cell r="B2" t="str">
            <v>Px Last</v>
          </cell>
          <cell r="C2" t="str">
            <v>PPE</v>
          </cell>
          <cell r="F2" t="str">
            <v>Px Last</v>
          </cell>
          <cell r="G2" t="str">
            <v>PPE</v>
          </cell>
          <cell r="J2" t="str">
            <v>Px Last</v>
          </cell>
          <cell r="K2" t="str">
            <v>PPE</v>
          </cell>
          <cell r="N2" t="str">
            <v>Px Last</v>
          </cell>
          <cell r="O2" t="str">
            <v>PPE</v>
          </cell>
          <cell r="R2" t="str">
            <v>Px Last</v>
          </cell>
          <cell r="S2" t="str">
            <v>PPE</v>
          </cell>
          <cell r="V2" t="str">
            <v>Px Last</v>
          </cell>
          <cell r="W2" t="str">
            <v>PPE</v>
          </cell>
          <cell r="Z2" t="str">
            <v>Px Last</v>
          </cell>
          <cell r="AA2" t="str">
            <v>PPE</v>
          </cell>
          <cell r="AD2" t="str">
            <v>Px Last</v>
          </cell>
          <cell r="AE2" t="str">
            <v>PPE</v>
          </cell>
        </row>
        <row r="3">
          <cell r="A3">
            <v>35430</v>
          </cell>
          <cell r="B3">
            <v>94</v>
          </cell>
          <cell r="C3">
            <v>5.0750673017187822</v>
          </cell>
          <cell r="D3">
            <v>18.521921860654903</v>
          </cell>
          <cell r="F3">
            <v>28.667000000000002</v>
          </cell>
          <cell r="G3" t="e">
            <v>#REF!</v>
          </cell>
          <cell r="H3" t="e">
            <v>#REF!</v>
          </cell>
          <cell r="N3">
            <v>30.887979999999999</v>
          </cell>
          <cell r="O3" t="e">
            <v>#REF!</v>
          </cell>
          <cell r="P3" t="e">
            <v>#REF!</v>
          </cell>
          <cell r="R3">
            <v>29.249980000000001</v>
          </cell>
          <cell r="S3">
            <v>2.9334044368600685</v>
          </cell>
          <cell r="T3">
            <v>9.9713423871784048</v>
          </cell>
          <cell r="V3">
            <v>43.74982</v>
          </cell>
          <cell r="W3">
            <v>4.5609804527157332</v>
          </cell>
          <cell r="X3">
            <v>9.5921963388266995</v>
          </cell>
          <cell r="Z3">
            <v>9.4691310000000009</v>
          </cell>
          <cell r="AD3">
            <v>2.0085540000000002</v>
          </cell>
          <cell r="AE3">
            <v>0.2678172256801864</v>
          </cell>
          <cell r="AF3">
            <v>7.4997192391146354</v>
          </cell>
        </row>
        <row r="4">
          <cell r="A4">
            <v>35461</v>
          </cell>
          <cell r="B4">
            <v>91.25</v>
          </cell>
          <cell r="C4">
            <v>5.1213850433014549</v>
          </cell>
          <cell r="D4">
            <v>17.817445716047256</v>
          </cell>
          <cell r="F4">
            <v>29.082999999999998</v>
          </cell>
          <cell r="G4" t="e">
            <v>#REF!</v>
          </cell>
          <cell r="H4" t="e">
            <v>#REF!</v>
          </cell>
          <cell r="N4">
            <v>34.429270000000002</v>
          </cell>
          <cell r="O4" t="e">
            <v>#REF!</v>
          </cell>
          <cell r="P4" t="e">
            <v>#REF!</v>
          </cell>
          <cell r="R4">
            <v>30.74999</v>
          </cell>
          <cell r="S4">
            <v>2.9809034888130452</v>
          </cell>
          <cell r="T4">
            <v>10.315661045518862</v>
          </cell>
          <cell r="V4">
            <v>47.083150000000003</v>
          </cell>
          <cell r="W4">
            <v>4.5917537992000188</v>
          </cell>
          <cell r="X4">
            <v>10.253848977748522</v>
          </cell>
          <cell r="Z4">
            <v>10.343209999999999</v>
          </cell>
          <cell r="AD4">
            <v>2.077814</v>
          </cell>
          <cell r="AE4">
            <v>0.27504470420471616</v>
          </cell>
          <cell r="AF4">
            <v>7.5544592142137015</v>
          </cell>
        </row>
        <row r="5">
          <cell r="A5">
            <v>35489</v>
          </cell>
          <cell r="B5">
            <v>89.5</v>
          </cell>
          <cell r="C5">
            <v>5.1677027848841277</v>
          </cell>
          <cell r="D5">
            <v>17.319107488494389</v>
          </cell>
          <cell r="F5">
            <v>28.25</v>
          </cell>
          <cell r="G5" t="e">
            <v>#REF!</v>
          </cell>
          <cell r="H5" t="e">
            <v>#REF!</v>
          </cell>
          <cell r="N5">
            <v>31.871670000000002</v>
          </cell>
          <cell r="O5" t="e">
            <v>#REF!</v>
          </cell>
          <cell r="P5" t="e">
            <v>#REF!</v>
          </cell>
          <cell r="R5">
            <v>29.333320000000001</v>
          </cell>
          <cell r="S5">
            <v>3.028402540766022</v>
          </cell>
          <cell r="T5">
            <v>9.6860703308551113</v>
          </cell>
          <cell r="V5">
            <v>46.04148</v>
          </cell>
          <cell r="W5">
            <v>4.6225271456843045</v>
          </cell>
          <cell r="X5">
            <v>9.9602400481272166</v>
          </cell>
          <cell r="Z5">
            <v>11.65432</v>
          </cell>
          <cell r="AD5">
            <v>2.091666</v>
          </cell>
          <cell r="AE5">
            <v>0.28227218272924592</v>
          </cell>
          <cell r="AF5">
            <v>7.4101031840119918</v>
          </cell>
        </row>
        <row r="6">
          <cell r="A6">
            <v>35520</v>
          </cell>
          <cell r="B6">
            <v>80</v>
          </cell>
          <cell r="C6">
            <v>5.2140205264668005</v>
          </cell>
          <cell r="D6">
            <v>15.343246079280542</v>
          </cell>
          <cell r="F6">
            <v>26.3</v>
          </cell>
          <cell r="G6" t="e">
            <v>#REF!</v>
          </cell>
          <cell r="H6" t="e">
            <v>#REF!</v>
          </cell>
          <cell r="N6">
            <v>29.707540000000002</v>
          </cell>
          <cell r="O6" t="e">
            <v>#REF!</v>
          </cell>
          <cell r="P6" t="e">
            <v>#REF!</v>
          </cell>
          <cell r="R6">
            <v>28.333320000000001</v>
          </cell>
          <cell r="S6">
            <v>3.0759015927189988</v>
          </cell>
          <cell r="T6">
            <v>9.2113870180593942</v>
          </cell>
          <cell r="V6">
            <v>44.37482</v>
          </cell>
          <cell r="W6">
            <v>4.6533004921685901</v>
          </cell>
          <cell r="X6">
            <v>9.5362034054499425</v>
          </cell>
          <cell r="Z6">
            <v>10.828799999999999</v>
          </cell>
          <cell r="AD6">
            <v>1.8561810000000001</v>
          </cell>
          <cell r="AE6">
            <v>0.28949966125377569</v>
          </cell>
          <cell r="AF6">
            <v>6.4116862588411463</v>
          </cell>
        </row>
        <row r="7">
          <cell r="A7">
            <v>35550</v>
          </cell>
          <cell r="B7">
            <v>87.25</v>
          </cell>
          <cell r="C7">
            <v>5.2603382680494732</v>
          </cell>
          <cell r="D7">
            <v>16.5863858090541</v>
          </cell>
          <cell r="F7">
            <v>26.65</v>
          </cell>
          <cell r="G7" t="e">
            <v>#REF!</v>
          </cell>
          <cell r="H7" t="e">
            <v>#REF!</v>
          </cell>
          <cell r="N7">
            <v>31.67493</v>
          </cell>
          <cell r="O7" t="e">
            <v>#REF!</v>
          </cell>
          <cell r="P7" t="e">
            <v>#REF!</v>
          </cell>
          <cell r="R7">
            <v>28.3</v>
          </cell>
          <cell r="S7">
            <v>3.1234006446719755</v>
          </cell>
          <cell r="T7">
            <v>9.0606371770702214</v>
          </cell>
          <cell r="V7">
            <v>42.4</v>
          </cell>
          <cell r="W7">
            <v>4.6840738386528757</v>
          </cell>
          <cell r="X7">
            <v>9.051949533783203</v>
          </cell>
          <cell r="Z7">
            <v>10.92592</v>
          </cell>
          <cell r="AD7">
            <v>2.1037870000000001</v>
          </cell>
          <cell r="AE7">
            <v>0.29672713977830545</v>
          </cell>
          <cell r="AF7">
            <v>7.0899716202967085</v>
          </cell>
        </row>
        <row r="8">
          <cell r="A8">
            <v>35580</v>
          </cell>
          <cell r="B8">
            <v>93</v>
          </cell>
          <cell r="C8">
            <v>5.306656009632146</v>
          </cell>
          <cell r="D8">
            <v>17.525160822784649</v>
          </cell>
          <cell r="F8">
            <v>28.2</v>
          </cell>
          <cell r="G8" t="e">
            <v>#REF!</v>
          </cell>
          <cell r="H8" t="e">
            <v>#REF!</v>
          </cell>
          <cell r="N8">
            <v>37.38035</v>
          </cell>
          <cell r="O8" t="e">
            <v>#REF!</v>
          </cell>
          <cell r="P8" t="e">
            <v>#REF!</v>
          </cell>
          <cell r="R8">
            <v>36.9</v>
          </cell>
          <cell r="S8">
            <v>3.1708996966249523</v>
          </cell>
          <cell r="T8">
            <v>11.637075760950649</v>
          </cell>
          <cell r="V8">
            <v>44.5</v>
          </cell>
          <cell r="W8">
            <v>4.7148471851371614</v>
          </cell>
          <cell r="X8">
            <v>9.4382698426111205</v>
          </cell>
          <cell r="Z8">
            <v>16.801639999999999</v>
          </cell>
          <cell r="AD8">
            <v>3.790978</v>
          </cell>
          <cell r="AE8">
            <v>0.30395461830283521</v>
          </cell>
          <cell r="AF8">
            <v>12.47218423976366</v>
          </cell>
        </row>
        <row r="9">
          <cell r="A9">
            <v>35611</v>
          </cell>
          <cell r="B9">
            <v>110.5</v>
          </cell>
          <cell r="C9">
            <v>5.3529737512148188</v>
          </cell>
          <cell r="D9">
            <v>20.642731523748424</v>
          </cell>
          <cell r="F9">
            <v>32.299999999999997</v>
          </cell>
          <cell r="G9" t="e">
            <v>#REF!</v>
          </cell>
          <cell r="H9" t="e">
            <v>#REF!</v>
          </cell>
          <cell r="N9">
            <v>42.200449999999996</v>
          </cell>
          <cell r="O9" t="e">
            <v>#REF!</v>
          </cell>
          <cell r="P9" t="e">
            <v>#REF!</v>
          </cell>
          <cell r="R9">
            <v>46.8</v>
          </cell>
          <cell r="S9">
            <v>3.2183987485779291</v>
          </cell>
          <cell r="T9">
            <v>14.541392678790622</v>
          </cell>
          <cell r="V9">
            <v>49.4</v>
          </cell>
          <cell r="W9">
            <v>4.745620531621447</v>
          </cell>
          <cell r="X9">
            <v>10.409597579670237</v>
          </cell>
          <cell r="Z9">
            <v>21.754719999999999</v>
          </cell>
          <cell r="AD9">
            <v>6.4575139999999998</v>
          </cell>
          <cell r="AE9">
            <v>0.31118209682736497</v>
          </cell>
          <cell r="AF9">
            <v>20.751560150269331</v>
          </cell>
        </row>
        <row r="10">
          <cell r="A10">
            <v>35642</v>
          </cell>
          <cell r="B10">
            <v>113</v>
          </cell>
          <cell r="C10">
            <v>5.3992914927974915</v>
          </cell>
          <cell r="D10">
            <v>20.928671873103895</v>
          </cell>
          <cell r="F10">
            <v>32.200000000000003</v>
          </cell>
          <cell r="G10" t="e">
            <v>#REF!</v>
          </cell>
          <cell r="H10" t="e">
            <v>#REF!</v>
          </cell>
          <cell r="N10">
            <v>48.594459999999998</v>
          </cell>
          <cell r="O10" t="e">
            <v>#REF!</v>
          </cell>
          <cell r="P10" t="e">
            <v>#REF!</v>
          </cell>
          <cell r="R10">
            <v>46.3</v>
          </cell>
          <cell r="S10">
            <v>3.2658978005309058</v>
          </cell>
          <cell r="T10">
            <v>14.176806142700928</v>
          </cell>
          <cell r="V10">
            <v>52</v>
          </cell>
          <cell r="W10">
            <v>4.7763938781057327</v>
          </cell>
          <cell r="X10">
            <v>10.88687435061839</v>
          </cell>
          <cell r="Z10">
            <v>18.209869999999999</v>
          </cell>
          <cell r="AD10">
            <v>5.6543400000000004</v>
          </cell>
          <cell r="AE10">
            <v>0.31840957535189474</v>
          </cell>
          <cell r="AF10">
            <v>17.758071483092266</v>
          </cell>
        </row>
        <row r="11">
          <cell r="A11">
            <v>35671</v>
          </cell>
          <cell r="B11">
            <v>93.5</v>
          </cell>
          <cell r="C11">
            <v>5.4456092343801643</v>
          </cell>
          <cell r="D11">
            <v>17.169796064267629</v>
          </cell>
          <cell r="F11">
            <v>27.65</v>
          </cell>
          <cell r="G11" t="e">
            <v>#REF!</v>
          </cell>
          <cell r="H11" t="e">
            <v>#REF!</v>
          </cell>
          <cell r="N11">
            <v>31.871670000000002</v>
          </cell>
          <cell r="O11" t="e">
            <v>#REF!</v>
          </cell>
          <cell r="P11" t="e">
            <v>#REF!</v>
          </cell>
          <cell r="R11">
            <v>33</v>
          </cell>
          <cell r="S11">
            <v>3.3133968524838826</v>
          </cell>
          <cell r="T11">
            <v>9.9595676187298849</v>
          </cell>
          <cell r="V11">
            <v>47.5</v>
          </cell>
          <cell r="W11">
            <v>4.8071672245900183</v>
          </cell>
          <cell r="X11">
            <v>9.881079184644145</v>
          </cell>
          <cell r="Z11">
            <v>22.823039999999999</v>
          </cell>
          <cell r="AD11">
            <v>14.87477</v>
          </cell>
          <cell r="AE11">
            <v>0.3256370538764245</v>
          </cell>
          <cell r="AF11">
            <v>45.678984694551389</v>
          </cell>
        </row>
        <row r="12">
          <cell r="A12">
            <v>35703</v>
          </cell>
          <cell r="B12">
            <v>95.25</v>
          </cell>
          <cell r="C12">
            <v>5.4919269759628371</v>
          </cell>
          <cell r="D12">
            <v>17.343639202941315</v>
          </cell>
          <cell r="F12">
            <v>28.9</v>
          </cell>
          <cell r="G12" t="e">
            <v>#REF!</v>
          </cell>
          <cell r="H12" t="e">
            <v>#REF!</v>
          </cell>
          <cell r="N12">
            <v>31.970040000000001</v>
          </cell>
          <cell r="O12" t="e">
            <v>#REF!</v>
          </cell>
          <cell r="P12" t="e">
            <v>#REF!</v>
          </cell>
          <cell r="R12">
            <v>33.799999999999997</v>
          </cell>
          <cell r="S12">
            <v>3.3608959044368594</v>
          </cell>
          <cell r="T12">
            <v>10.056842270949005</v>
          </cell>
          <cell r="V12">
            <v>45.9</v>
          </cell>
          <cell r="W12">
            <v>4.837940571074304</v>
          </cell>
          <cell r="X12">
            <v>9.4875080265418656</v>
          </cell>
          <cell r="Z12">
            <v>19.326740000000001</v>
          </cell>
          <cell r="AD12">
            <v>11.88697</v>
          </cell>
          <cell r="AE12">
            <v>0.33286453240095426</v>
          </cell>
          <cell r="AF12">
            <v>35.711134239082789</v>
          </cell>
        </row>
        <row r="13">
          <cell r="A13">
            <v>35734</v>
          </cell>
          <cell r="B13">
            <v>67.25</v>
          </cell>
          <cell r="C13">
            <v>5.5382447175455098</v>
          </cell>
          <cell r="D13">
            <v>12.142836481556646</v>
          </cell>
          <cell r="F13">
            <v>17.3</v>
          </cell>
          <cell r="G13" t="e">
            <v>#REF!</v>
          </cell>
          <cell r="H13" t="e">
            <v>#REF!</v>
          </cell>
          <cell r="N13">
            <v>19.083649999999999</v>
          </cell>
          <cell r="O13" t="e">
            <v>#REF!</v>
          </cell>
          <cell r="P13" t="e">
            <v>#REF!</v>
          </cell>
          <cell r="R13">
            <v>19.899999999999999</v>
          </cell>
          <cell r="S13">
            <v>3.4083949563898361</v>
          </cell>
          <cell r="T13">
            <v>5.8385252456417289</v>
          </cell>
          <cell r="V13">
            <v>33</v>
          </cell>
          <cell r="W13">
            <v>4.8687139175585896</v>
          </cell>
          <cell r="X13">
            <v>6.777970642511649</v>
          </cell>
          <cell r="Z13">
            <v>9.4205719999999999</v>
          </cell>
          <cell r="AD13">
            <v>7.2285599999999999</v>
          </cell>
          <cell r="AE13">
            <v>0.34009201092548402</v>
          </cell>
          <cell r="AF13">
            <v>21.254718628435572</v>
          </cell>
        </row>
        <row r="14">
          <cell r="A14">
            <v>35762</v>
          </cell>
          <cell r="B14">
            <v>68</v>
          </cell>
          <cell r="C14">
            <v>5.5845624591281826</v>
          </cell>
          <cell r="D14">
            <v>12.176423936104676</v>
          </cell>
          <cell r="F14">
            <v>16.149999999999999</v>
          </cell>
          <cell r="G14" t="e">
            <v>#REF!</v>
          </cell>
          <cell r="H14" t="e">
            <v>#REF!</v>
          </cell>
          <cell r="N14">
            <v>15.247249999999999</v>
          </cell>
          <cell r="O14" t="e">
            <v>#REF!</v>
          </cell>
          <cell r="P14" t="e">
            <v>#REF!</v>
          </cell>
          <cell r="R14">
            <v>20.149999999999999</v>
          </cell>
          <cell r="S14">
            <v>3.4558940083428129</v>
          </cell>
          <cell r="T14">
            <v>5.8306186333713468</v>
          </cell>
          <cell r="V14">
            <v>33.200000000000003</v>
          </cell>
          <cell r="W14">
            <v>4.8994872640428753</v>
          </cell>
          <cell r="X14">
            <v>6.7762192676065034</v>
          </cell>
          <cell r="Z14">
            <v>8.7407369999999993</v>
          </cell>
          <cell r="AD14">
            <v>5.2045640000000004</v>
          </cell>
          <cell r="AE14">
            <v>0.34731948945001379</v>
          </cell>
          <cell r="AF14">
            <v>14.984946592664622</v>
          </cell>
        </row>
        <row r="15">
          <cell r="A15">
            <v>35795</v>
          </cell>
          <cell r="B15">
            <v>74.75</v>
          </cell>
          <cell r="C15">
            <v>5.6308802007108509</v>
          </cell>
          <cell r="D15">
            <v>13.275011603081779</v>
          </cell>
          <cell r="F15">
            <v>18.149999999999999</v>
          </cell>
          <cell r="G15" t="e">
            <v>#REF!</v>
          </cell>
          <cell r="H15" t="e">
            <v>#REF!</v>
          </cell>
          <cell r="N15">
            <v>18.345880000000001</v>
          </cell>
          <cell r="O15">
            <v>12.560758771929825</v>
          </cell>
          <cell r="P15">
            <v>1.4605709999780017</v>
          </cell>
          <cell r="R15">
            <v>21.9</v>
          </cell>
          <cell r="S15">
            <v>3.5033930602957915</v>
          </cell>
          <cell r="T15">
            <v>6.2510827712123689</v>
          </cell>
          <cell r="V15">
            <v>37.1</v>
          </cell>
          <cell r="W15">
            <v>4.9302606105271645</v>
          </cell>
          <cell r="X15">
            <v>7.5249571839637728</v>
          </cell>
          <cell r="Z15">
            <v>9.2263339999999996</v>
          </cell>
          <cell r="AA15">
            <v>1.6320254567578869</v>
          </cell>
          <cell r="AB15">
            <v>5.6533027483092368</v>
          </cell>
          <cell r="AD15">
            <v>4.3692630000000001</v>
          </cell>
          <cell r="AE15">
            <v>0.35454696797454327</v>
          </cell>
          <cell r="AF15">
            <v>12.323509702990089</v>
          </cell>
        </row>
        <row r="16">
          <cell r="A16">
            <v>35825</v>
          </cell>
          <cell r="B16">
            <v>61</v>
          </cell>
          <cell r="C16">
            <v>5.6250777820600595</v>
          </cell>
          <cell r="D16">
            <v>10.844294490388382</v>
          </cell>
          <cell r="F16">
            <v>13.35</v>
          </cell>
          <cell r="G16" t="e">
            <v>#REF!</v>
          </cell>
          <cell r="H16" t="e">
            <v>#REF!</v>
          </cell>
          <cell r="N16">
            <v>8.8040559999999992</v>
          </cell>
          <cell r="O16">
            <v>12.592179782292218</v>
          </cell>
          <cell r="P16">
            <v>0.69916854366872394</v>
          </cell>
          <cell r="R16">
            <v>11.3</v>
          </cell>
          <cell r="S16">
            <v>3.5297843667045892</v>
          </cell>
          <cell r="T16">
            <v>3.2013287005828333</v>
          </cell>
          <cell r="V16">
            <v>26.3</v>
          </cell>
          <cell r="W16">
            <v>4.9066599169253875</v>
          </cell>
          <cell r="X16">
            <v>5.3600617212696724</v>
          </cell>
          <cell r="Z16">
            <v>4.2975289999999999</v>
          </cell>
          <cell r="AA16">
            <v>1.5831705943226109</v>
          </cell>
          <cell r="AB16">
            <v>2.7145078460977721</v>
          </cell>
          <cell r="AD16">
            <v>2.4577110000000002</v>
          </cell>
          <cell r="AE16">
            <v>0.34809636796103371</v>
          </cell>
          <cell r="AF16">
            <v>7.0604327600313228</v>
          </cell>
        </row>
        <row r="17">
          <cell r="A17">
            <v>35853</v>
          </cell>
          <cell r="B17">
            <v>73.25</v>
          </cell>
          <cell r="C17">
            <v>5.619275363409268</v>
          </cell>
          <cell r="D17">
            <v>13.035488610680671</v>
          </cell>
          <cell r="F17">
            <v>16.25</v>
          </cell>
          <cell r="G17" t="e">
            <v>#REF!</v>
          </cell>
          <cell r="H17" t="e">
            <v>#REF!</v>
          </cell>
          <cell r="N17">
            <v>20.854299999999999</v>
          </cell>
          <cell r="O17">
            <v>12.623600792654612</v>
          </cell>
          <cell r="P17">
            <v>1.6520088319122579</v>
          </cell>
          <cell r="R17">
            <v>21</v>
          </cell>
          <cell r="S17">
            <v>3.5561756731133869</v>
          </cell>
          <cell r="T17">
            <v>5.9052200820030825</v>
          </cell>
          <cell r="V17">
            <v>34</v>
          </cell>
          <cell r="W17">
            <v>4.8830592233236105</v>
          </cell>
          <cell r="X17">
            <v>6.9628481746855009</v>
          </cell>
          <cell r="Z17">
            <v>10.53744</v>
          </cell>
          <cell r="AA17">
            <v>1.5343157318873348</v>
          </cell>
          <cell r="AB17">
            <v>6.8678432874034865</v>
          </cell>
          <cell r="AD17">
            <v>4.8832940000000002</v>
          </cell>
          <cell r="AE17">
            <v>0.34164576794752416</v>
          </cell>
          <cell r="AF17">
            <v>14.293442091605421</v>
          </cell>
        </row>
        <row r="18">
          <cell r="A18">
            <v>35885</v>
          </cell>
          <cell r="B18">
            <v>75.75</v>
          </cell>
          <cell r="C18">
            <v>5.6134729447584766</v>
          </cell>
          <cell r="D18">
            <v>13.494319959398895</v>
          </cell>
          <cell r="F18">
            <v>16.100000000000001</v>
          </cell>
          <cell r="G18" t="e">
            <v>#REF!</v>
          </cell>
          <cell r="H18" t="e">
            <v>#REF!</v>
          </cell>
          <cell r="N18">
            <v>20.067350000000001</v>
          </cell>
          <cell r="O18">
            <v>12.655021803017005</v>
          </cell>
          <cell r="P18">
            <v>1.5857222778720039</v>
          </cell>
          <cell r="R18">
            <v>23</v>
          </cell>
          <cell r="S18">
            <v>3.5825669795221846</v>
          </cell>
          <cell r="T18">
            <v>6.4199776672612456</v>
          </cell>
          <cell r="V18">
            <v>33.200000000000003</v>
          </cell>
          <cell r="W18">
            <v>4.8594585297218336</v>
          </cell>
          <cell r="X18">
            <v>6.8320369022473058</v>
          </cell>
          <cell r="Z18">
            <v>10.00329</v>
          </cell>
          <cell r="AA18">
            <v>1.4854608694520588</v>
          </cell>
          <cell r="AB18">
            <v>6.7341322856184753</v>
          </cell>
          <cell r="AD18">
            <v>4.5298980000000002</v>
          </cell>
          <cell r="AE18">
            <v>0.3351951679340146</v>
          </cell>
          <cell r="AF18">
            <v>13.514210326837828</v>
          </cell>
        </row>
        <row r="19">
          <cell r="A19">
            <v>35915</v>
          </cell>
          <cell r="B19">
            <v>65.25</v>
          </cell>
          <cell r="C19">
            <v>5.6076705261076851</v>
          </cell>
          <cell r="D19">
            <v>11.635847665481585</v>
          </cell>
          <cell r="F19">
            <v>13.95</v>
          </cell>
          <cell r="G19" t="e">
            <v>#REF!</v>
          </cell>
          <cell r="H19" t="e">
            <v>#REF!</v>
          </cell>
          <cell r="N19">
            <v>18.591809999999999</v>
          </cell>
          <cell r="O19">
            <v>12.686442813379399</v>
          </cell>
          <cell r="P19">
            <v>1.4654864467124442</v>
          </cell>
          <cell r="R19">
            <v>21.8</v>
          </cell>
          <cell r="S19">
            <v>3.6089582859309823</v>
          </cell>
          <cell r="T19">
            <v>6.0405242379731137</v>
          </cell>
          <cell r="V19">
            <v>29.2</v>
          </cell>
          <cell r="W19">
            <v>4.8358578361200566</v>
          </cell>
          <cell r="X19">
            <v>6.0382254792312038</v>
          </cell>
          <cell r="Z19">
            <v>8.5950579999999999</v>
          </cell>
          <cell r="AA19">
            <v>1.4366060070167828</v>
          </cell>
          <cell r="AB19">
            <v>5.9828915917233738</v>
          </cell>
          <cell r="AD19">
            <v>4.6503779999999999</v>
          </cell>
          <cell r="AE19">
            <v>0.32874456792050505</v>
          </cell>
          <cell r="AF19">
            <v>14.145870240278844</v>
          </cell>
        </row>
        <row r="20">
          <cell r="A20">
            <v>35944</v>
          </cell>
          <cell r="B20">
            <v>57.75</v>
          </cell>
          <cell r="C20">
            <v>5.6018681074568937</v>
          </cell>
          <cell r="D20">
            <v>10.309060993979211</v>
          </cell>
          <cell r="F20">
            <v>10.35</v>
          </cell>
          <cell r="G20" t="e">
            <v>#REF!</v>
          </cell>
          <cell r="H20" t="e">
            <v>#REF!</v>
          </cell>
          <cell r="N20">
            <v>12.788019999999999</v>
          </cell>
          <cell r="O20">
            <v>12.717863823741792</v>
          </cell>
          <cell r="P20">
            <v>1.0055163490685628</v>
          </cell>
          <cell r="R20">
            <v>14.6</v>
          </cell>
          <cell r="S20">
            <v>3.6353495923397801</v>
          </cell>
          <cell r="T20">
            <v>4.0161199436676904</v>
          </cell>
          <cell r="V20">
            <v>22</v>
          </cell>
          <cell r="W20">
            <v>4.8122571425182796</v>
          </cell>
          <cell r="X20">
            <v>4.5716592751498899</v>
          </cell>
          <cell r="Z20">
            <v>6.1185159999999996</v>
          </cell>
          <cell r="AA20">
            <v>1.3877511445815067</v>
          </cell>
          <cell r="AB20">
            <v>4.4089432200361198</v>
          </cell>
          <cell r="AD20">
            <v>3.7588550000000001</v>
          </cell>
          <cell r="AE20">
            <v>0.32229396790699549</v>
          </cell>
          <cell r="AF20">
            <v>11.662815237934252</v>
          </cell>
        </row>
        <row r="21">
          <cell r="A21">
            <v>35976</v>
          </cell>
          <cell r="B21">
            <v>43.8</v>
          </cell>
          <cell r="C21">
            <v>5.5960656888061022</v>
          </cell>
          <cell r="D21">
            <v>7.8269274228881596</v>
          </cell>
          <cell r="F21">
            <v>8.4</v>
          </cell>
          <cell r="G21" t="e">
            <v>#REF!</v>
          </cell>
          <cell r="H21" t="e">
            <v>#REF!</v>
          </cell>
          <cell r="N21">
            <v>8.8532410000000006</v>
          </cell>
          <cell r="O21">
            <v>12.749284834104186</v>
          </cell>
          <cell r="P21">
            <v>0.69441079364057234</v>
          </cell>
          <cell r="R21">
            <v>10.35</v>
          </cell>
          <cell r="S21">
            <v>3.6617408987485778</v>
          </cell>
          <cell r="T21">
            <v>2.8265244008764179</v>
          </cell>
          <cell r="V21">
            <v>18</v>
          </cell>
          <cell r="W21">
            <v>4.7886564489165027</v>
          </cell>
          <cell r="X21">
            <v>3.7588831422794469</v>
          </cell>
          <cell r="Z21">
            <v>4.7831260000000002</v>
          </cell>
          <cell r="AA21">
            <v>1.3388962821462307</v>
          </cell>
          <cell r="AB21">
            <v>3.5724395263333775</v>
          </cell>
          <cell r="AD21">
            <v>3.0600930000000002</v>
          </cell>
          <cell r="AE21">
            <v>0.31584336789348594</v>
          </cell>
          <cell r="AF21">
            <v>9.6886409881241402</v>
          </cell>
        </row>
        <row r="22">
          <cell r="A22">
            <v>36007</v>
          </cell>
          <cell r="B22">
            <v>37.799999999999997</v>
          </cell>
          <cell r="C22">
            <v>5.5902632701553108</v>
          </cell>
          <cell r="D22">
            <v>6.7617566782234615</v>
          </cell>
          <cell r="F22">
            <v>8</v>
          </cell>
          <cell r="G22" t="e">
            <v>#REF!</v>
          </cell>
          <cell r="H22" t="e">
            <v>#REF!</v>
          </cell>
          <cell r="N22">
            <v>8.7056880000000003</v>
          </cell>
          <cell r="O22">
            <v>12.78070584446658</v>
          </cell>
          <cell r="P22">
            <v>0.6811586234706386</v>
          </cell>
          <cell r="R22">
            <v>9.6999999999999993</v>
          </cell>
          <cell r="S22">
            <v>3.6881322051573755</v>
          </cell>
          <cell r="T22">
            <v>2.6300575631306828</v>
          </cell>
          <cell r="V22">
            <v>18.600000000000001</v>
          </cell>
          <cell r="W22">
            <v>4.7650557553147257</v>
          </cell>
          <cell r="X22">
            <v>3.9034170752890796</v>
          </cell>
          <cell r="Z22">
            <v>4.1032909999999996</v>
          </cell>
          <cell r="AA22">
            <v>1.2900414197109547</v>
          </cell>
          <cell r="AB22">
            <v>3.1807436081543634</v>
          </cell>
          <cell r="AD22">
            <v>2.457713</v>
          </cell>
          <cell r="AE22">
            <v>0.30939276787997638</v>
          </cell>
          <cell r="AF22">
            <v>7.9436666113457042</v>
          </cell>
        </row>
        <row r="23">
          <cell r="A23">
            <v>36038</v>
          </cell>
          <cell r="B23">
            <v>41.7</v>
          </cell>
          <cell r="C23">
            <v>5.5844608515045193</v>
          </cell>
          <cell r="D23">
            <v>7.4671487738633768</v>
          </cell>
          <cell r="F23">
            <v>8.0500000000000007</v>
          </cell>
          <cell r="G23" t="e">
            <v>#REF!</v>
          </cell>
          <cell r="H23" t="e">
            <v>#REF!</v>
          </cell>
          <cell r="N23">
            <v>5.8037919999999996</v>
          </cell>
          <cell r="O23">
            <v>12.812126854828973</v>
          </cell>
          <cell r="P23">
            <v>0.45299208053130641</v>
          </cell>
          <cell r="R23">
            <v>6.65</v>
          </cell>
          <cell r="S23">
            <v>3.7145235115661732</v>
          </cell>
          <cell r="T23">
            <v>1.7902699981016212</v>
          </cell>
          <cell r="V23">
            <v>14.4</v>
          </cell>
          <cell r="W23">
            <v>4.7414550617129487</v>
          </cell>
          <cell r="X23">
            <v>3.0370423873210139</v>
          </cell>
          <cell r="Z23">
            <v>2.8650199999999999</v>
          </cell>
          <cell r="AA23">
            <v>1.2411865572756786</v>
          </cell>
          <cell r="AB23">
            <v>2.3082911937819621</v>
          </cell>
          <cell r="AD23">
            <v>1.773409</v>
          </cell>
          <cell r="AE23">
            <v>0.30294216786646683</v>
          </cell>
          <cell r="AF23">
            <v>5.8539522988483297</v>
          </cell>
        </row>
        <row r="24">
          <cell r="A24">
            <v>36068</v>
          </cell>
          <cell r="B24">
            <v>49</v>
          </cell>
          <cell r="C24">
            <v>5.5786584328537279</v>
          </cell>
          <cell r="D24">
            <v>8.783473766995689</v>
          </cell>
          <cell r="F24">
            <v>10.95</v>
          </cell>
          <cell r="G24" t="e">
            <v>#REF!</v>
          </cell>
          <cell r="H24" t="e">
            <v>#REF!</v>
          </cell>
          <cell r="N24">
            <v>7.6236240000000004</v>
          </cell>
          <cell r="O24">
            <v>12.843547865191367</v>
          </cell>
          <cell r="P24">
            <v>0.59357617381265626</v>
          </cell>
          <cell r="R24">
            <v>8.3000000000000007</v>
          </cell>
          <cell r="S24">
            <v>3.7409148179749709</v>
          </cell>
          <cell r="T24">
            <v>2.2187086324764138</v>
          </cell>
          <cell r="V24">
            <v>15.8</v>
          </cell>
          <cell r="W24">
            <v>4.7178543681111718</v>
          </cell>
          <cell r="X24">
            <v>3.3489800165929346</v>
          </cell>
          <cell r="Z24">
            <v>4.0061710000000001</v>
          </cell>
          <cell r="AA24">
            <v>1.1923316948404026</v>
          </cell>
          <cell r="AB24">
            <v>3.3599467474830811</v>
          </cell>
          <cell r="AD24">
            <v>2.216761</v>
          </cell>
          <cell r="AE24">
            <v>0.29649156785295727</v>
          </cell>
          <cell r="AF24">
            <v>7.4766409582999867</v>
          </cell>
        </row>
        <row r="25">
          <cell r="A25">
            <v>36098</v>
          </cell>
          <cell r="B25">
            <v>67</v>
          </cell>
          <cell r="C25">
            <v>5.5728560142029364</v>
          </cell>
          <cell r="D25">
            <v>12.022560753273426</v>
          </cell>
          <cell r="F25">
            <v>12.8</v>
          </cell>
          <cell r="G25" t="e">
            <v>#REF!</v>
          </cell>
          <cell r="H25" t="e">
            <v>#REF!</v>
          </cell>
          <cell r="N25">
            <v>13.37823</v>
          </cell>
          <cell r="O25">
            <v>12.87496887555376</v>
          </cell>
          <cell r="P25">
            <v>1.0390883371688613</v>
          </cell>
          <cell r="R25">
            <v>14.75</v>
          </cell>
          <cell r="S25">
            <v>3.7673061243837687</v>
          </cell>
          <cell r="T25">
            <v>3.9152645187315933</v>
          </cell>
          <cell r="V25">
            <v>23</v>
          </cell>
          <cell r="W25">
            <v>4.6942536745093948</v>
          </cell>
          <cell r="X25">
            <v>4.8996073912438858</v>
          </cell>
          <cell r="Z25">
            <v>5.0016439999999998</v>
          </cell>
          <cell r="AA25">
            <v>1.1434768324051265</v>
          </cell>
          <cell r="AB25">
            <v>4.3740667569799516</v>
          </cell>
          <cell r="AD25">
            <v>2.602284</v>
          </cell>
          <cell r="AE25">
            <v>0.29004096783944772</v>
          </cell>
          <cell r="AF25">
            <v>8.9721256255098947</v>
          </cell>
        </row>
        <row r="26">
          <cell r="A26">
            <v>36129</v>
          </cell>
          <cell r="B26">
            <v>68.25</v>
          </cell>
          <cell r="C26">
            <v>5.567053595552145</v>
          </cell>
          <cell r="D26">
            <v>12.259626897526017</v>
          </cell>
          <cell r="F26">
            <v>14.45</v>
          </cell>
          <cell r="G26" t="e">
            <v>#REF!</v>
          </cell>
          <cell r="H26" t="e">
            <v>#REF!</v>
          </cell>
          <cell r="N26">
            <v>18.9361</v>
          </cell>
          <cell r="O26">
            <v>12.906389885916154</v>
          </cell>
          <cell r="P26">
            <v>1.4671879718017546</v>
          </cell>
          <cell r="R26">
            <v>21.5</v>
          </cell>
          <cell r="S26">
            <v>3.7936974307925664</v>
          </cell>
          <cell r="T26">
            <v>5.6672943460091103</v>
          </cell>
          <cell r="V26">
            <v>27.25</v>
          </cell>
          <cell r="W26">
            <v>4.6706529809076178</v>
          </cell>
          <cell r="X26">
            <v>5.8343019940446705</v>
          </cell>
          <cell r="Z26">
            <v>6.3127550000000001</v>
          </cell>
          <cell r="AA26">
            <v>1.0946219699698505</v>
          </cell>
          <cell r="AB26">
            <v>5.7670640396281048</v>
          </cell>
          <cell r="AD26">
            <v>2.6986650000000001</v>
          </cell>
          <cell r="AE26">
            <v>0.28359036782593816</v>
          </cell>
          <cell r="AF26">
            <v>9.5160672088002087</v>
          </cell>
        </row>
        <row r="27">
          <cell r="A27">
            <v>36160</v>
          </cell>
          <cell r="B27">
            <v>69.25</v>
          </cell>
          <cell r="C27">
            <v>5.56125117690135</v>
          </cell>
          <cell r="D27">
            <v>12.452233822422873</v>
          </cell>
          <cell r="F27">
            <v>13.5</v>
          </cell>
          <cell r="G27" t="e">
            <v>#REF!</v>
          </cell>
          <cell r="H27" t="e">
            <v>#REF!</v>
          </cell>
          <cell r="N27">
            <v>18.690180000000002</v>
          </cell>
          <cell r="O27">
            <v>12.937810896278547</v>
          </cell>
          <cell r="P27">
            <v>1.4446168791488578</v>
          </cell>
          <cell r="R27">
            <v>19.3</v>
          </cell>
          <cell r="S27">
            <v>3.8200887372013654</v>
          </cell>
          <cell r="T27">
            <v>5.052238659288153</v>
          </cell>
          <cell r="V27">
            <v>26.9</v>
          </cell>
          <cell r="W27">
            <v>4.6470522873058382</v>
          </cell>
          <cell r="X27">
            <v>5.7886157367933269</v>
          </cell>
          <cell r="Z27">
            <v>6.0213970000000003</v>
          </cell>
          <cell r="AA27">
            <v>1.0457671075345742</v>
          </cell>
          <cell r="AB27">
            <v>5.7578756843821708</v>
          </cell>
          <cell r="AD27">
            <v>2.4336180000000001</v>
          </cell>
          <cell r="AE27">
            <v>0.27713976781242877</v>
          </cell>
          <cell r="AF27">
            <v>8.7811937608575157</v>
          </cell>
        </row>
        <row r="28">
          <cell r="A28">
            <v>36189</v>
          </cell>
          <cell r="B28">
            <v>64.75</v>
          </cell>
          <cell r="C28">
            <v>5.5801251874324374</v>
          </cell>
          <cell r="D28">
            <v>11.603682323441417</v>
          </cell>
          <cell r="F28">
            <v>11.05</v>
          </cell>
          <cell r="G28" t="e">
            <v>#REF!</v>
          </cell>
          <cell r="H28" t="e">
            <v>#REF!</v>
          </cell>
          <cell r="N28">
            <v>14.31274</v>
          </cell>
          <cell r="O28">
            <v>13.061486247433136</v>
          </cell>
          <cell r="P28">
            <v>1.0957971955766337</v>
          </cell>
          <cell r="R28">
            <v>15.75</v>
          </cell>
          <cell r="S28">
            <v>3.8614752559726964</v>
          </cell>
          <cell r="T28">
            <v>4.0787520198760445</v>
          </cell>
          <cell r="V28">
            <v>22.3</v>
          </cell>
          <cell r="W28">
            <v>4.7073875210926213</v>
          </cell>
          <cell r="X28">
            <v>4.7372348038225667</v>
          </cell>
          <cell r="Z28">
            <v>4.4674880000000003</v>
          </cell>
          <cell r="AA28">
            <v>1.0049530357505982</v>
          </cell>
          <cell r="AB28">
            <v>4.4454694309801637</v>
          </cell>
          <cell r="AD28">
            <v>1.8601510000000001</v>
          </cell>
          <cell r="AE28">
            <v>0.27477334290938671</v>
          </cell>
          <cell r="AF28">
            <v>6.7697651464444668</v>
          </cell>
        </row>
        <row r="29">
          <cell r="A29">
            <v>36217</v>
          </cell>
          <cell r="B29">
            <v>63</v>
          </cell>
          <cell r="C29">
            <v>5.5989991979635247</v>
          </cell>
          <cell r="D29">
            <v>11.252010899182562</v>
          </cell>
          <cell r="F29">
            <v>10.9</v>
          </cell>
          <cell r="G29" t="e">
            <v>#REF!</v>
          </cell>
          <cell r="H29" t="e">
            <v>#REF!</v>
          </cell>
          <cell r="N29">
            <v>14.804589999999999</v>
          </cell>
          <cell r="O29">
            <v>13.185161598587724</v>
          </cell>
          <cell r="P29">
            <v>1.122822036673842</v>
          </cell>
          <cell r="R29">
            <v>17.100000000000001</v>
          </cell>
          <cell r="S29">
            <v>3.9028617747440273</v>
          </cell>
          <cell r="T29">
            <v>4.381400363870565</v>
          </cell>
          <cell r="V29">
            <v>22.8</v>
          </cell>
          <cell r="W29">
            <v>4.7677227548794043</v>
          </cell>
          <cell r="X29">
            <v>4.7821572629545042</v>
          </cell>
          <cell r="Z29">
            <v>3.4477350000000002</v>
          </cell>
          <cell r="AA29">
            <v>0.96413896396662235</v>
          </cell>
          <cell r="AB29">
            <v>3.5759731002006863</v>
          </cell>
          <cell r="AD29">
            <v>1.7926850000000001</v>
          </cell>
          <cell r="AE29">
            <v>0.27240691800634464</v>
          </cell>
          <cell r="AF29">
            <v>6.5809084920458831</v>
          </cell>
        </row>
        <row r="30">
          <cell r="A30">
            <v>36250</v>
          </cell>
          <cell r="B30">
            <v>71.25</v>
          </cell>
          <cell r="C30">
            <v>5.6178732084946121</v>
          </cell>
          <cell r="D30">
            <v>12.682735504294593</v>
          </cell>
          <cell r="F30">
            <v>13.15</v>
          </cell>
          <cell r="G30" t="e">
            <v>#REF!</v>
          </cell>
          <cell r="H30" t="e">
            <v>#REF!</v>
          </cell>
          <cell r="N30">
            <v>18.788550000000001</v>
          </cell>
          <cell r="O30">
            <v>13.308836949742313</v>
          </cell>
          <cell r="P30">
            <v>1.411734930028111</v>
          </cell>
          <cell r="R30">
            <v>20.6</v>
          </cell>
          <cell r="S30">
            <v>3.9442482935153582</v>
          </cell>
          <cell r="T30">
            <v>5.2227949325269289</v>
          </cell>
          <cell r="V30">
            <v>27.1</v>
          </cell>
          <cell r="W30">
            <v>4.8280579886661874</v>
          </cell>
          <cell r="X30">
            <v>5.6130228890408835</v>
          </cell>
          <cell r="Z30">
            <v>3.8119329999999998</v>
          </cell>
          <cell r="AA30">
            <v>0.92332489218264646</v>
          </cell>
          <cell r="AB30">
            <v>4.1284850351959825</v>
          </cell>
          <cell r="AD30">
            <v>1.8505130000000001</v>
          </cell>
          <cell r="AE30">
            <v>0.27004049310330258</v>
          </cell>
          <cell r="AF30">
            <v>6.8527241182754617</v>
          </cell>
        </row>
        <row r="31">
          <cell r="A31">
            <v>36280</v>
          </cell>
          <cell r="B31">
            <v>91.75</v>
          </cell>
          <cell r="C31">
            <v>5.6367472190256995</v>
          </cell>
          <cell r="D31">
            <v>16.277118067369855</v>
          </cell>
          <cell r="F31">
            <v>18.850000000000001</v>
          </cell>
          <cell r="G31" t="e">
            <v>#REF!</v>
          </cell>
          <cell r="H31" t="e">
            <v>#REF!</v>
          </cell>
          <cell r="N31">
            <v>24.051310000000001</v>
          </cell>
          <cell r="O31">
            <v>13.432512300896901</v>
          </cell>
          <cell r="P31">
            <v>1.7905295347017156</v>
          </cell>
          <cell r="R31">
            <v>23.7</v>
          </cell>
          <cell r="S31">
            <v>3.9856348122866891</v>
          </cell>
          <cell r="T31">
            <v>5.946355126901989</v>
          </cell>
          <cell r="V31">
            <v>30.6</v>
          </cell>
          <cell r="W31">
            <v>4.8883932224529705</v>
          </cell>
          <cell r="X31">
            <v>6.2597255596073103</v>
          </cell>
          <cell r="Z31">
            <v>5.5358000000000001</v>
          </cell>
          <cell r="AA31">
            <v>0.88251082039867057</v>
          </cell>
          <cell r="AB31">
            <v>6.2727842787233197</v>
          </cell>
          <cell r="AD31">
            <v>2.5781890000000001</v>
          </cell>
          <cell r="AE31">
            <v>0.26767406820026052</v>
          </cell>
          <cell r="AF31">
            <v>9.631822078749618</v>
          </cell>
        </row>
        <row r="32">
          <cell r="A32">
            <v>36311</v>
          </cell>
          <cell r="B32">
            <v>82</v>
          </cell>
          <cell r="C32">
            <v>5.6556212295567869</v>
          </cell>
          <cell r="D32">
            <v>14.498849316757742</v>
          </cell>
          <cell r="F32">
            <v>16.95</v>
          </cell>
          <cell r="G32" t="e">
            <v>#REF!</v>
          </cell>
          <cell r="H32" t="e">
            <v>#REF!</v>
          </cell>
          <cell r="N32">
            <v>21.4937</v>
          </cell>
          <cell r="O32">
            <v>13.55618765205149</v>
          </cell>
          <cell r="P32">
            <v>1.5855268864434249</v>
          </cell>
          <cell r="R32">
            <v>21.5</v>
          </cell>
          <cell r="S32">
            <v>4.0270213310580205</v>
          </cell>
          <cell r="T32">
            <v>5.3389337260727396</v>
          </cell>
          <cell r="V32">
            <v>28</v>
          </cell>
          <cell r="W32">
            <v>4.9487284562397535</v>
          </cell>
          <cell r="X32">
            <v>5.658019074515062</v>
          </cell>
          <cell r="Z32">
            <v>4.6860059999999999</v>
          </cell>
          <cell r="AA32">
            <v>0.84169674861469468</v>
          </cell>
          <cell r="AB32">
            <v>5.5673328995418547</v>
          </cell>
          <cell r="AD32">
            <v>2.192666</v>
          </cell>
          <cell r="AE32">
            <v>0.26530764329721845</v>
          </cell>
          <cell r="AF32">
            <v>8.2646167775257169</v>
          </cell>
        </row>
        <row r="33">
          <cell r="A33">
            <v>36341</v>
          </cell>
          <cell r="B33">
            <v>86.75</v>
          </cell>
          <cell r="C33">
            <v>5.6744952400878743</v>
          </cell>
          <cell r="D33">
            <v>15.287703369129375</v>
          </cell>
          <cell r="F33">
            <v>19.649999999999999</v>
          </cell>
          <cell r="G33" t="e">
            <v>#REF!</v>
          </cell>
          <cell r="H33" t="e">
            <v>#REF!</v>
          </cell>
          <cell r="N33">
            <v>29.06814</v>
          </cell>
          <cell r="O33">
            <v>13.679863003206078</v>
          </cell>
          <cell r="P33">
            <v>2.1248853145084459</v>
          </cell>
          <cell r="R33">
            <v>24.95</v>
          </cell>
          <cell r="S33">
            <v>4.0684078498293514</v>
          </cell>
          <cell r="T33">
            <v>6.132620160254219</v>
          </cell>
          <cell r="V33">
            <v>30.2</v>
          </cell>
          <cell r="W33">
            <v>5.0090636900265366</v>
          </cell>
          <cell r="X33">
            <v>6.0290708740898458</v>
          </cell>
          <cell r="Z33">
            <v>5.8271579999999998</v>
          </cell>
          <cell r="AA33">
            <v>0.80088267683071879</v>
          </cell>
          <cell r="AB33">
            <v>7.2759196428863158</v>
          </cell>
          <cell r="AD33">
            <v>3.0600930000000002</v>
          </cell>
          <cell r="AE33">
            <v>0.26294121839417639</v>
          </cell>
          <cell r="AF33">
            <v>11.637935728329214</v>
          </cell>
        </row>
        <row r="34">
          <cell r="A34">
            <v>36371</v>
          </cell>
          <cell r="B34">
            <v>85</v>
          </cell>
          <cell r="C34">
            <v>5.6933692506189617</v>
          </cell>
          <cell r="D34">
            <v>14.929648202733226</v>
          </cell>
          <cell r="F34">
            <v>18.8</v>
          </cell>
          <cell r="G34" t="e">
            <v>#REF!</v>
          </cell>
          <cell r="H34" t="e">
            <v>#REF!</v>
          </cell>
          <cell r="N34">
            <v>31.28145</v>
          </cell>
          <cell r="O34">
            <v>13.803538354360667</v>
          </cell>
          <cell r="P34">
            <v>2.2661906821969238</v>
          </cell>
          <cell r="R34">
            <v>29.55</v>
          </cell>
          <cell r="S34">
            <v>4.1097943686006824</v>
          </cell>
          <cell r="T34">
            <v>7.1901407588091306</v>
          </cell>
          <cell r="V34">
            <v>31.7</v>
          </cell>
          <cell r="W34">
            <v>5.0693989238133197</v>
          </cell>
          <cell r="X34">
            <v>6.253206835053045</v>
          </cell>
          <cell r="Z34">
            <v>5.8271579999999998</v>
          </cell>
          <cell r="AA34">
            <v>0.7600686050467429</v>
          </cell>
          <cell r="AB34">
            <v>7.6666210935546273</v>
          </cell>
          <cell r="AD34">
            <v>3.397427</v>
          </cell>
          <cell r="AE34">
            <v>0.26057479349113433</v>
          </cell>
          <cell r="AF34">
            <v>13.038202791919673</v>
          </cell>
        </row>
        <row r="35">
          <cell r="A35">
            <v>36403</v>
          </cell>
          <cell r="B35">
            <v>87.75</v>
          </cell>
          <cell r="C35">
            <v>5.7122432611500491</v>
          </cell>
          <cell r="D35">
            <v>15.361740736218794</v>
          </cell>
          <cell r="F35">
            <v>17.899999999999999</v>
          </cell>
          <cell r="G35" t="e">
            <v>#REF!</v>
          </cell>
          <cell r="H35" t="e">
            <v>#REF!</v>
          </cell>
          <cell r="N35">
            <v>30.396129999999999</v>
          </cell>
          <cell r="O35">
            <v>13.927213705515255</v>
          </cell>
          <cell r="P35">
            <v>2.1824990010717622</v>
          </cell>
          <cell r="R35">
            <v>27</v>
          </cell>
          <cell r="S35">
            <v>4.1511808873720133</v>
          </cell>
          <cell r="T35">
            <v>6.5041733262298003</v>
          </cell>
          <cell r="V35">
            <v>32.1</v>
          </cell>
          <cell r="W35">
            <v>5.1297341576001028</v>
          </cell>
          <cell r="X35">
            <v>6.2576342192004901</v>
          </cell>
          <cell r="Z35">
            <v>3.957611</v>
          </cell>
          <cell r="AA35">
            <v>0.719254533262767</v>
          </cell>
          <cell r="AB35">
            <v>5.5023789451100429</v>
          </cell>
          <cell r="AD35">
            <v>2.9637129999999998</v>
          </cell>
          <cell r="AE35">
            <v>0.25820836858809226</v>
          </cell>
          <cell r="AF35">
            <v>11.477989718946223</v>
          </cell>
        </row>
        <row r="36">
          <cell r="A36">
            <v>36433</v>
          </cell>
          <cell r="B36">
            <v>82.25</v>
          </cell>
          <cell r="C36">
            <v>5.7311172716811365</v>
          </cell>
          <cell r="D36">
            <v>14.351477399776398</v>
          </cell>
          <cell r="F36">
            <v>16.850000000000001</v>
          </cell>
          <cell r="G36" t="e">
            <v>#REF!</v>
          </cell>
          <cell r="H36" t="e">
            <v>#REF!</v>
          </cell>
          <cell r="N36">
            <v>30.592870000000001</v>
          </cell>
          <cell r="O36">
            <v>14.050889056669844</v>
          </cell>
          <cell r="P36">
            <v>2.1772906950309889</v>
          </cell>
          <cell r="R36">
            <v>26</v>
          </cell>
          <cell r="S36">
            <v>4.1925674061433442</v>
          </cell>
          <cell r="T36">
            <v>6.201450681962168</v>
          </cell>
          <cell r="V36">
            <v>31.3</v>
          </cell>
          <cell r="W36">
            <v>5.1900693913868858</v>
          </cell>
          <cell r="X36">
            <v>6.0307478840154856</v>
          </cell>
          <cell r="Z36">
            <v>3.8250000000000002</v>
          </cell>
          <cell r="AA36">
            <v>0.67844046147879111</v>
          </cell>
          <cell r="AB36">
            <v>5.6379302491226406</v>
          </cell>
          <cell r="AD36">
            <v>2.6504750000000001</v>
          </cell>
          <cell r="AE36">
            <v>0.2558419436850502</v>
          </cell>
          <cell r="AF36">
            <v>10.359814195528555</v>
          </cell>
        </row>
        <row r="37">
          <cell r="A37">
            <v>36462</v>
          </cell>
          <cell r="B37">
            <v>84.5</v>
          </cell>
          <cell r="C37">
            <v>5.7499912822122239</v>
          </cell>
          <cell r="D37">
            <v>14.695674454568891</v>
          </cell>
          <cell r="F37">
            <v>17</v>
          </cell>
          <cell r="G37" t="e">
            <v>#REF!</v>
          </cell>
          <cell r="H37" t="e">
            <v>#REF!</v>
          </cell>
          <cell r="N37">
            <v>30.494499999999999</v>
          </cell>
          <cell r="O37">
            <v>14.174564407824432</v>
          </cell>
          <cell r="P37">
            <v>2.151353588203873</v>
          </cell>
          <cell r="R37">
            <v>25.35</v>
          </cell>
          <cell r="S37">
            <v>4.2339539249146751</v>
          </cell>
          <cell r="T37">
            <v>5.9873112578831069</v>
          </cell>
          <cell r="V37">
            <v>30</v>
          </cell>
          <cell r="W37">
            <v>5.2504046251736689</v>
          </cell>
          <cell r="X37">
            <v>5.7138453398737212</v>
          </cell>
          <cell r="Z37">
            <v>4.55</v>
          </cell>
          <cell r="AA37">
            <v>0.63762638969481522</v>
          </cell>
          <cell r="AB37">
            <v>7.13584016210143</v>
          </cell>
          <cell r="AD37">
            <v>2.505903</v>
          </cell>
          <cell r="AE37">
            <v>0.25347551878200814</v>
          </cell>
          <cell r="AF37">
            <v>9.8861736708983941</v>
          </cell>
        </row>
        <row r="38">
          <cell r="A38">
            <v>36494</v>
          </cell>
          <cell r="B38">
            <v>86.25</v>
          </cell>
          <cell r="C38">
            <v>5.7688652927433113</v>
          </cell>
          <cell r="D38">
            <v>14.95094713140457</v>
          </cell>
          <cell r="F38">
            <v>18.7</v>
          </cell>
          <cell r="G38" t="e">
            <v>#REF!</v>
          </cell>
          <cell r="H38" t="e">
            <v>#REF!</v>
          </cell>
          <cell r="N38">
            <v>32.363520000000001</v>
          </cell>
          <cell r="O38">
            <v>14.298239758979021</v>
          </cell>
          <cell r="P38">
            <v>2.2634618348511277</v>
          </cell>
          <cell r="R38">
            <v>29.7</v>
          </cell>
          <cell r="S38">
            <v>4.2753404436860061</v>
          </cell>
          <cell r="T38">
            <v>6.9468152048247171</v>
          </cell>
          <cell r="V38">
            <v>31.9</v>
          </cell>
          <cell r="W38">
            <v>5.310739858960452</v>
          </cell>
          <cell r="X38">
            <v>6.0066960248819736</v>
          </cell>
          <cell r="Z38">
            <v>4.75</v>
          </cell>
          <cell r="AA38">
            <v>0.59681231791083933</v>
          </cell>
          <cell r="AB38">
            <v>7.9589510093014288</v>
          </cell>
          <cell r="AD38">
            <v>2.602284</v>
          </cell>
          <cell r="AE38">
            <v>0.25110909387896607</v>
          </cell>
          <cell r="AF38">
            <v>10.363161125714923</v>
          </cell>
        </row>
        <row r="39">
          <cell r="A39">
            <v>36525</v>
          </cell>
          <cell r="B39">
            <v>88.75</v>
          </cell>
          <cell r="C39">
            <v>5.7877393032744013</v>
          </cell>
          <cell r="D39">
            <v>15.334139177586986</v>
          </cell>
          <cell r="F39">
            <v>21.6</v>
          </cell>
          <cell r="G39" t="e">
            <v>#REF!</v>
          </cell>
          <cell r="H39" t="e">
            <v>#REF!</v>
          </cell>
          <cell r="N39">
            <v>30.494499999999999</v>
          </cell>
          <cell r="O39">
            <v>14.421915110133607</v>
          </cell>
          <cell r="P39">
            <v>2.1144556577352849</v>
          </cell>
          <cell r="R39">
            <v>26.6</v>
          </cell>
          <cell r="S39">
            <v>4.316726962457337</v>
          </cell>
          <cell r="T39">
            <v>6.1620760894401583</v>
          </cell>
          <cell r="V39">
            <v>31.5</v>
          </cell>
          <cell r="W39">
            <v>5.3710750927472386</v>
          </cell>
          <cell r="X39">
            <v>5.8647476447565623</v>
          </cell>
          <cell r="Z39">
            <v>6.5</v>
          </cell>
          <cell r="AA39">
            <v>0.55599824612686344</v>
          </cell>
          <cell r="AB39">
            <v>11.690684359671307</v>
          </cell>
          <cell r="AD39">
            <v>2.8673320000000002</v>
          </cell>
          <cell r="AE39">
            <v>0.24874266897592376</v>
          </cell>
          <cell r="AF39">
            <v>11.527302540431993</v>
          </cell>
        </row>
        <row r="40">
          <cell r="A40">
            <v>36556</v>
          </cell>
          <cell r="B40">
            <v>75.75</v>
          </cell>
          <cell r="C40">
            <v>5.8084440492380658</v>
          </cell>
          <cell r="D40">
            <v>13.041358298000073</v>
          </cell>
          <cell r="F40">
            <v>20.05</v>
          </cell>
          <cell r="G40" t="e">
            <v>#REF!</v>
          </cell>
          <cell r="H40" t="e">
            <v>#REF!</v>
          </cell>
          <cell r="N40">
            <v>27.149940000000001</v>
          </cell>
          <cell r="O40">
            <v>14.665506059700482</v>
          </cell>
          <cell r="P40">
            <v>1.8512787686614951</v>
          </cell>
          <cell r="R40">
            <v>23</v>
          </cell>
          <cell r="S40">
            <v>4.3633213879408412</v>
          </cell>
          <cell r="T40">
            <v>5.2712138197214635</v>
          </cell>
          <cell r="V40">
            <v>27.3</v>
          </cell>
          <cell r="W40">
            <v>5.3897885584031249</v>
          </cell>
          <cell r="X40">
            <v>5.0651337625178359</v>
          </cell>
          <cell r="Z40">
            <v>7.1</v>
          </cell>
          <cell r="AA40">
            <v>0.56345722357833716</v>
          </cell>
          <cell r="AB40">
            <v>12.600779088268961</v>
          </cell>
          <cell r="AD40">
            <v>2.7227600000000001</v>
          </cell>
          <cell r="AE40">
            <v>0.25718122874708216</v>
          </cell>
          <cell r="AF40">
            <v>10.586931298464336</v>
          </cell>
        </row>
        <row r="41">
          <cell r="A41">
            <v>36585</v>
          </cell>
          <cell r="B41">
            <v>70.25</v>
          </cell>
          <cell r="C41">
            <v>5.8291487952017302</v>
          </cell>
          <cell r="D41">
            <v>12.051502280714873</v>
          </cell>
          <cell r="F41">
            <v>18.3</v>
          </cell>
          <cell r="G41" t="e">
            <v>#REF!</v>
          </cell>
          <cell r="H41" t="e">
            <v>#REF!</v>
          </cell>
          <cell r="N41">
            <v>24.887440000000002</v>
          </cell>
          <cell r="O41">
            <v>14.909097009267356</v>
          </cell>
          <cell r="P41">
            <v>1.6692788291960405</v>
          </cell>
          <cell r="R41">
            <v>18.100000000000001</v>
          </cell>
          <cell r="S41">
            <v>4.4099158134243455</v>
          </cell>
          <cell r="T41">
            <v>4.1043867424637215</v>
          </cell>
          <cell r="V41">
            <v>27.9</v>
          </cell>
          <cell r="W41">
            <v>5.4085020240590111</v>
          </cell>
          <cell r="X41">
            <v>5.1585448014793212</v>
          </cell>
          <cell r="Z41">
            <v>7.35</v>
          </cell>
          <cell r="AA41">
            <v>0.57091620102981089</v>
          </cell>
          <cell r="AB41">
            <v>12.874043487892216</v>
          </cell>
          <cell r="AD41">
            <v>2.313142</v>
          </cell>
          <cell r="AE41">
            <v>0.26561978851824058</v>
          </cell>
          <cell r="AF41">
            <v>8.7084701516549572</v>
          </cell>
        </row>
        <row r="42">
          <cell r="A42">
            <v>36616</v>
          </cell>
          <cell r="B42">
            <v>68</v>
          </cell>
          <cell r="C42">
            <v>5.8498535411653947</v>
          </cell>
          <cell r="D42">
            <v>11.624222644461829</v>
          </cell>
          <cell r="F42">
            <v>17.3</v>
          </cell>
          <cell r="G42" t="e">
            <v>#REF!</v>
          </cell>
          <cell r="H42" t="e">
            <v>#REF!</v>
          </cell>
          <cell r="N42">
            <v>27.051570000000002</v>
          </cell>
          <cell r="O42">
            <v>15.15268795883423</v>
          </cell>
          <cell r="P42">
            <v>1.7852654310239759</v>
          </cell>
          <cell r="R42">
            <v>19.5</v>
          </cell>
          <cell r="S42">
            <v>4.4565102389078497</v>
          </cell>
          <cell r="T42">
            <v>4.3756210475528574</v>
          </cell>
          <cell r="V42">
            <v>28.9</v>
          </cell>
          <cell r="W42">
            <v>5.4272154897148974</v>
          </cell>
          <cell r="X42">
            <v>5.3250142830643661</v>
          </cell>
          <cell r="Z42">
            <v>6.95</v>
          </cell>
          <cell r="AA42">
            <v>0.57837517848128461</v>
          </cell>
          <cell r="AB42">
            <v>12.016421621428369</v>
          </cell>
          <cell r="AD42">
            <v>2.2890459999999999</v>
          </cell>
          <cell r="AE42">
            <v>0.27405834828939901</v>
          </cell>
          <cell r="AF42">
            <v>8.352403837677743</v>
          </cell>
        </row>
        <row r="43">
          <cell r="A43">
            <v>36644</v>
          </cell>
          <cell r="B43">
            <v>71.75</v>
          </cell>
          <cell r="C43">
            <v>5.8705582871290591</v>
          </cell>
          <cell r="D43">
            <v>12.222006237006235</v>
          </cell>
          <cell r="F43">
            <v>16.850000000000001</v>
          </cell>
          <cell r="G43" t="e">
            <v>#REF!</v>
          </cell>
          <cell r="H43" t="e">
            <v>#REF!</v>
          </cell>
          <cell r="N43">
            <v>30.002649999999999</v>
          </cell>
          <cell r="O43">
            <v>15.396278908401104</v>
          </cell>
          <cell r="P43">
            <v>1.9486948878036245</v>
          </cell>
          <cell r="R43">
            <v>19.100000000000001</v>
          </cell>
          <cell r="S43">
            <v>4.5031046643913539</v>
          </cell>
          <cell r="T43">
            <v>4.2415181132774284</v>
          </cell>
          <cell r="V43">
            <v>26.85</v>
          </cell>
          <cell r="W43">
            <v>5.4459289553707837</v>
          </cell>
          <cell r="X43">
            <v>4.9302883346505082</v>
          </cell>
          <cell r="Z43">
            <v>7.2</v>
          </cell>
          <cell r="AA43">
            <v>0.58583415593275834</v>
          </cell>
          <cell r="AB43">
            <v>12.290167664492426</v>
          </cell>
          <cell r="AD43">
            <v>1.951713</v>
          </cell>
          <cell r="AE43">
            <v>0.28249690806055744</v>
          </cell>
          <cell r="AF43">
            <v>6.908794200259428</v>
          </cell>
        </row>
        <row r="44">
          <cell r="A44">
            <v>36677</v>
          </cell>
          <cell r="B44">
            <v>66</v>
          </cell>
          <cell r="C44">
            <v>5.8912630330927236</v>
          </cell>
          <cell r="D44">
            <v>11.203030594502605</v>
          </cell>
          <cell r="F44">
            <v>13.7</v>
          </cell>
          <cell r="G44" t="e">
            <v>#REF!</v>
          </cell>
          <cell r="H44" t="e">
            <v>#REF!</v>
          </cell>
          <cell r="N44">
            <v>27.936900000000001</v>
          </cell>
          <cell r="O44">
            <v>15.639869857967978</v>
          </cell>
          <cell r="P44">
            <v>1.7862616667342093</v>
          </cell>
          <cell r="R44">
            <v>15.45</v>
          </cell>
          <cell r="S44">
            <v>4.5496990898748582</v>
          </cell>
          <cell r="T44">
            <v>3.3958289756751716</v>
          </cell>
          <cell r="V44">
            <v>22.15</v>
          </cell>
          <cell r="W44">
            <v>5.46464242102667</v>
          </cell>
          <cell r="X44">
            <v>4.0533301712060723</v>
          </cell>
          <cell r="Z44">
            <v>7.3</v>
          </cell>
          <cell r="AA44">
            <v>0.59329313338423206</v>
          </cell>
          <cell r="AB44">
            <v>12.304204429873842</v>
          </cell>
          <cell r="AD44">
            <v>1.7252179999999999</v>
          </cell>
          <cell r="AE44">
            <v>0.29093546783171587</v>
          </cell>
          <cell r="AF44">
            <v>5.9298992070568302</v>
          </cell>
        </row>
        <row r="45">
          <cell r="A45">
            <v>36707</v>
          </cell>
          <cell r="B45">
            <v>74</v>
          </cell>
          <cell r="C45">
            <v>5.911967779056388</v>
          </cell>
          <cell r="D45">
            <v>12.516982968369827</v>
          </cell>
          <cell r="F45">
            <v>18.2</v>
          </cell>
          <cell r="G45" t="e">
            <v>#REF!</v>
          </cell>
          <cell r="H45" t="e">
            <v>#REF!</v>
          </cell>
          <cell r="N45">
            <v>30.887979999999999</v>
          </cell>
          <cell r="O45">
            <v>15.883460807534853</v>
          </cell>
          <cell r="P45">
            <v>1.9446630916448164</v>
          </cell>
          <cell r="R45">
            <v>19.399999999999999</v>
          </cell>
          <cell r="S45">
            <v>4.5962935153583624</v>
          </cell>
          <cell r="T45">
            <v>4.2207922394806907</v>
          </cell>
          <cell r="V45">
            <v>25.8</v>
          </cell>
          <cell r="W45">
            <v>5.4833558866825562</v>
          </cell>
          <cell r="X45">
            <v>4.7051478206367277</v>
          </cell>
          <cell r="Z45">
            <v>7.5</v>
          </cell>
          <cell r="AA45">
            <v>0.60075211083570579</v>
          </cell>
          <cell r="AB45">
            <v>12.484350641010243</v>
          </cell>
          <cell r="AD45">
            <v>2.0962839999999998</v>
          </cell>
          <cell r="AE45">
            <v>0.29937402760287429</v>
          </cell>
          <cell r="AF45">
            <v>7.002223996467599</v>
          </cell>
        </row>
        <row r="46">
          <cell r="A46">
            <v>36738</v>
          </cell>
          <cell r="B46">
            <v>80.75</v>
          </cell>
          <cell r="C46">
            <v>5.9326725250200525</v>
          </cell>
          <cell r="D46">
            <v>13.611066456044961</v>
          </cell>
          <cell r="F46">
            <v>17.7</v>
          </cell>
          <cell r="G46" t="e">
            <v>#REF!</v>
          </cell>
          <cell r="H46" t="e">
            <v>#REF!</v>
          </cell>
          <cell r="N46">
            <v>34.724379999999996</v>
          </cell>
          <cell r="O46">
            <v>16.127051757101725</v>
          </cell>
          <cell r="P46">
            <v>2.1531759507566988</v>
          </cell>
          <cell r="R46">
            <v>22.5</v>
          </cell>
          <cell r="S46">
            <v>4.6428879408418666</v>
          </cell>
          <cell r="T46">
            <v>4.8461216998315519</v>
          </cell>
          <cell r="V46">
            <v>28.5</v>
          </cell>
          <cell r="W46">
            <v>5.5020693523384425</v>
          </cell>
          <cell r="X46">
            <v>5.1798692773451087</v>
          </cell>
          <cell r="Z46">
            <v>7.65</v>
          </cell>
          <cell r="AA46">
            <v>0.60821108828717951</v>
          </cell>
          <cell r="AB46">
            <v>12.577869998298837</v>
          </cell>
          <cell r="AD46">
            <v>2.5781890000000001</v>
          </cell>
          <cell r="AE46">
            <v>0.30781258737403272</v>
          </cell>
          <cell r="AF46">
            <v>8.3758400590264426</v>
          </cell>
        </row>
        <row r="47">
          <cell r="A47">
            <v>36769</v>
          </cell>
          <cell r="B47">
            <v>83.75</v>
          </cell>
          <cell r="C47">
            <v>5.9533772709837169</v>
          </cell>
          <cell r="D47">
            <v>14.06764533606677</v>
          </cell>
          <cell r="F47">
            <v>18.2</v>
          </cell>
          <cell r="G47" t="e">
            <v>#REF!</v>
          </cell>
          <cell r="H47" t="e">
            <v>#REF!</v>
          </cell>
          <cell r="N47">
            <v>35.708069999999999</v>
          </cell>
          <cell r="O47">
            <v>16.370642706668598</v>
          </cell>
          <cell r="P47">
            <v>2.1812259078535923</v>
          </cell>
          <cell r="R47">
            <v>25.7</v>
          </cell>
          <cell r="S47">
            <v>4.6894823663253709</v>
          </cell>
          <cell r="T47">
            <v>5.4803490006804845</v>
          </cell>
          <cell r="V47">
            <v>29.95</v>
          </cell>
          <cell r="W47">
            <v>5.5207828179943288</v>
          </cell>
          <cell r="X47">
            <v>5.4249552984373102</v>
          </cell>
          <cell r="Z47">
            <v>7.7</v>
          </cell>
          <cell r="AA47">
            <v>0.61567006573865324</v>
          </cell>
          <cell r="AB47">
            <v>12.506698682454029</v>
          </cell>
          <cell r="AD47">
            <v>2.7709510000000002</v>
          </cell>
          <cell r="AE47">
            <v>0.31625114714519115</v>
          </cell>
          <cell r="AF47">
            <v>8.7618686130104511</v>
          </cell>
        </row>
        <row r="48">
          <cell r="A48">
            <v>36798</v>
          </cell>
          <cell r="B48">
            <v>84</v>
          </cell>
          <cell r="C48">
            <v>5.9740820169473814</v>
          </cell>
          <cell r="D48">
            <v>14.060737660063474</v>
          </cell>
          <cell r="F48">
            <v>17.5</v>
          </cell>
          <cell r="G48" t="e">
            <v>#REF!</v>
          </cell>
          <cell r="H48" t="e">
            <v>#REF!</v>
          </cell>
          <cell r="N48">
            <v>37.478720000000003</v>
          </cell>
          <cell r="O48">
            <v>16.61423365623547</v>
          </cell>
          <cell r="P48">
            <v>2.2558199659082021</v>
          </cell>
          <cell r="R48">
            <v>25.1</v>
          </cell>
          <cell r="S48">
            <v>4.7360767918088751</v>
          </cell>
          <cell r="T48">
            <v>5.2997451484340115</v>
          </cell>
          <cell r="V48">
            <v>29.2</v>
          </cell>
          <cell r="W48">
            <v>5.5394962836502151</v>
          </cell>
          <cell r="X48">
            <v>5.2712374022496586</v>
          </cell>
          <cell r="Z48">
            <v>7.45</v>
          </cell>
          <cell r="AA48">
            <v>0.62312904319012696</v>
          </cell>
          <cell r="AB48">
            <v>11.955790026828973</v>
          </cell>
          <cell r="AD48">
            <v>2.505903</v>
          </cell>
          <cell r="AE48">
            <v>0.32468970691634957</v>
          </cell>
          <cell r="AF48">
            <v>7.7178393605363063</v>
          </cell>
        </row>
        <row r="49">
          <cell r="A49">
            <v>36830</v>
          </cell>
          <cell r="B49">
            <v>91.75</v>
          </cell>
          <cell r="C49">
            <v>5.9947867629110458</v>
          </cell>
          <cell r="D49">
            <v>15.30496473496691</v>
          </cell>
          <cell r="F49">
            <v>17.649999999999999</v>
          </cell>
          <cell r="G49" t="e">
            <v>#REF!</v>
          </cell>
          <cell r="H49" t="e">
            <v>#REF!</v>
          </cell>
          <cell r="N49">
            <v>32.95373</v>
          </cell>
          <cell r="O49">
            <v>16.857824605802342</v>
          </cell>
          <cell r="P49">
            <v>1.9548032305815759</v>
          </cell>
          <cell r="R49">
            <v>23.8</v>
          </cell>
          <cell r="S49">
            <v>4.7826712172923793</v>
          </cell>
          <cell r="T49">
            <v>4.9762985826723689</v>
          </cell>
          <cell r="V49">
            <v>29</v>
          </cell>
          <cell r="W49">
            <v>5.5582097493061013</v>
          </cell>
          <cell r="X49">
            <v>5.2175073104465737</v>
          </cell>
          <cell r="Z49">
            <v>6.1</v>
          </cell>
          <cell r="AA49">
            <v>0.63058802064160069</v>
          </cell>
          <cell r="AB49">
            <v>9.6735107555539486</v>
          </cell>
          <cell r="AD49">
            <v>2.2890459999999999</v>
          </cell>
          <cell r="AE49">
            <v>0.333128266687508</v>
          </cell>
          <cell r="AF49">
            <v>6.8713652634804676</v>
          </cell>
        </row>
        <row r="50">
          <cell r="A50">
            <v>36860</v>
          </cell>
          <cell r="B50">
            <v>91</v>
          </cell>
          <cell r="C50">
            <v>6.0154915088747103</v>
          </cell>
          <cell r="D50">
            <v>15.127608419984778</v>
          </cell>
          <cell r="F50">
            <v>16.95</v>
          </cell>
          <cell r="G50" t="e">
            <v>#REF!</v>
          </cell>
          <cell r="H50" t="e">
            <v>#REF!</v>
          </cell>
          <cell r="N50">
            <v>33.740679999999998</v>
          </cell>
          <cell r="O50">
            <v>17.101415555369215</v>
          </cell>
          <cell r="P50">
            <v>1.9729758563411242</v>
          </cell>
          <cell r="R50">
            <v>25.55</v>
          </cell>
          <cell r="S50">
            <v>4.8292656427758835</v>
          </cell>
          <cell r="T50">
            <v>5.2906594687373101</v>
          </cell>
          <cell r="V50">
            <v>28.8</v>
          </cell>
          <cell r="W50">
            <v>5.5769232149619876</v>
          </cell>
          <cell r="X50">
            <v>5.1641378032127525</v>
          </cell>
          <cell r="Z50">
            <v>6.3</v>
          </cell>
          <cell r="AA50">
            <v>0.63804699809307441</v>
          </cell>
          <cell r="AB50">
            <v>9.8738807937796995</v>
          </cell>
          <cell r="AD50">
            <v>2.1444749999999999</v>
          </cell>
          <cell r="AE50">
            <v>0.34156682645866643</v>
          </cell>
          <cell r="AF50">
            <v>6.2783468237642408</v>
          </cell>
        </row>
        <row r="51">
          <cell r="A51">
            <v>36889</v>
          </cell>
          <cell r="B51">
            <v>105</v>
          </cell>
          <cell r="C51">
            <v>6.0361962548383721</v>
          </cell>
          <cell r="D51">
            <v>17.395060658578856</v>
          </cell>
          <cell r="F51">
            <v>20.149999999999999</v>
          </cell>
          <cell r="G51" t="e">
            <v>#REF!</v>
          </cell>
          <cell r="H51" t="e">
            <v>#REF!</v>
          </cell>
          <cell r="N51">
            <v>41.31512</v>
          </cell>
          <cell r="O51">
            <v>17.345006504936098</v>
          </cell>
          <cell r="P51">
            <v>2.3819604788411239</v>
          </cell>
          <cell r="R51">
            <v>28.2</v>
          </cell>
          <cell r="S51">
            <v>4.8758600682593869</v>
          </cell>
          <cell r="T51">
            <v>5.7835950181537923</v>
          </cell>
          <cell r="V51">
            <v>31.6</v>
          </cell>
          <cell r="W51">
            <v>5.5956366806178721</v>
          </cell>
          <cell r="X51">
            <v>5.6472572834215384</v>
          </cell>
          <cell r="Z51">
            <v>6.7</v>
          </cell>
          <cell r="AA51">
            <v>0.64550597554454803</v>
          </cell>
          <cell r="AB51">
            <v>10.37945465082316</v>
          </cell>
          <cell r="AD51">
            <v>2.5781890000000001</v>
          </cell>
          <cell r="AE51">
            <v>0.35000538622982469</v>
          </cell>
          <cell r="AF51">
            <v>7.3661409264915685</v>
          </cell>
        </row>
        <row r="52">
          <cell r="A52">
            <v>36922</v>
          </cell>
          <cell r="B52">
            <v>102.5</v>
          </cell>
          <cell r="C52">
            <v>6.0438679080796458</v>
          </cell>
          <cell r="D52">
            <v>16.959338218324486</v>
          </cell>
          <cell r="F52">
            <v>21.35</v>
          </cell>
          <cell r="G52" t="e">
            <v>#REF!</v>
          </cell>
          <cell r="H52" t="e">
            <v>#REF!</v>
          </cell>
          <cell r="N52">
            <v>41.511870000000002</v>
          </cell>
          <cell r="O52">
            <v>17.167755641694619</v>
          </cell>
          <cell r="P52">
            <v>2.4180137967004747</v>
          </cell>
          <cell r="R52">
            <v>30.3</v>
          </cell>
          <cell r="S52">
            <v>4.8368040386803193</v>
          </cell>
          <cell r="T52">
            <v>6.2644671476637077</v>
          </cell>
          <cell r="V52">
            <v>33.799999999999997</v>
          </cell>
          <cell r="W52">
            <v>5.5216212111162886</v>
          </cell>
          <cell r="X52">
            <v>6.1213905676747355</v>
          </cell>
          <cell r="Z52">
            <v>6.7</v>
          </cell>
          <cell r="AA52">
            <v>0.64573182893385372</v>
          </cell>
          <cell r="AB52">
            <v>10.3758242970029</v>
          </cell>
          <cell r="AD52">
            <v>2.8191410000000001</v>
          </cell>
          <cell r="AE52">
            <v>0.35327165593878235</v>
          </cell>
          <cell r="AF52">
            <v>7.9800939379312181</v>
          </cell>
        </row>
        <row r="53">
          <cell r="A53">
            <v>36950</v>
          </cell>
          <cell r="B53">
            <v>92.75</v>
          </cell>
          <cell r="C53">
            <v>6.0515395613209195</v>
          </cell>
          <cell r="D53">
            <v>15.32667828742653</v>
          </cell>
          <cell r="F53">
            <v>19.3</v>
          </cell>
          <cell r="G53" t="e">
            <v>#REF!</v>
          </cell>
          <cell r="H53" t="e">
            <v>#REF!</v>
          </cell>
          <cell r="N53">
            <v>39.741219999999998</v>
          </cell>
          <cell r="O53">
            <v>16.99050477845314</v>
          </cell>
          <cell r="P53">
            <v>2.3390252684192556</v>
          </cell>
          <cell r="R53">
            <v>28.55</v>
          </cell>
          <cell r="S53">
            <v>4.7977480091012517</v>
          </cell>
          <cell r="T53">
            <v>5.9507085294686393</v>
          </cell>
          <cell r="V53">
            <v>33.1</v>
          </cell>
          <cell r="W53">
            <v>5.447605741614705</v>
          </cell>
          <cell r="X53">
            <v>6.0760637920520564</v>
          </cell>
          <cell r="Z53">
            <v>6.45</v>
          </cell>
          <cell r="AA53">
            <v>0.64595768232315942</v>
          </cell>
          <cell r="AB53">
            <v>9.9851742250403284</v>
          </cell>
          <cell r="AD53">
            <v>2.5299990000000001</v>
          </cell>
          <cell r="AE53">
            <v>0.35653792564774001</v>
          </cell>
          <cell r="AF53">
            <v>7.0960164908224739</v>
          </cell>
        </row>
        <row r="54">
          <cell r="A54">
            <v>36980</v>
          </cell>
          <cell r="B54">
            <v>90.5</v>
          </cell>
          <cell r="C54">
            <v>6.0592112145621932</v>
          </cell>
          <cell r="D54">
            <v>14.935937499999998</v>
          </cell>
          <cell r="F54">
            <v>17.55</v>
          </cell>
          <cell r="G54" t="e">
            <v>#REF!</v>
          </cell>
          <cell r="H54" t="e">
            <v>#REF!</v>
          </cell>
          <cell r="N54">
            <v>37.872199999999999</v>
          </cell>
          <cell r="O54">
            <v>16.813253915211661</v>
          </cell>
          <cell r="P54">
            <v>2.2525205525942495</v>
          </cell>
          <cell r="R54">
            <v>24.65</v>
          </cell>
          <cell r="S54">
            <v>4.758691979522184</v>
          </cell>
          <cell r="T54">
            <v>5.1799948612087059</v>
          </cell>
          <cell r="V54">
            <v>33.200000000000003</v>
          </cell>
          <cell r="W54">
            <v>5.3735902721131215</v>
          </cell>
          <cell r="X54">
            <v>6.1783646163525541</v>
          </cell>
          <cell r="Z54">
            <v>7.3</v>
          </cell>
          <cell r="AA54">
            <v>0.64618353571246512</v>
          </cell>
          <cell r="AB54">
            <v>11.297099967041422</v>
          </cell>
          <cell r="AD54">
            <v>2.1444749999999999</v>
          </cell>
          <cell r="AE54">
            <v>0.35980419535669766</v>
          </cell>
          <cell r="AF54">
            <v>5.9601167181334285</v>
          </cell>
        </row>
        <row r="55">
          <cell r="A55">
            <v>37011</v>
          </cell>
          <cell r="B55">
            <v>92</v>
          </cell>
          <cell r="C55">
            <v>6.066882867803467</v>
          </cell>
          <cell r="D55">
            <v>15.164294746522588</v>
          </cell>
          <cell r="F55">
            <v>17.7</v>
          </cell>
          <cell r="G55" t="e">
            <v>#REF!</v>
          </cell>
          <cell r="H55" t="e">
            <v>#REF!</v>
          </cell>
          <cell r="N55">
            <v>41.80697</v>
          </cell>
          <cell r="O55">
            <v>16.636003051970182</v>
          </cell>
          <cell r="P55">
            <v>2.5130417366116586</v>
          </cell>
          <cell r="R55">
            <v>30.9</v>
          </cell>
          <cell r="S55">
            <v>4.7196359499431164</v>
          </cell>
          <cell r="T55">
            <v>6.5471151435678898</v>
          </cell>
          <cell r="V55">
            <v>39.200000000000003</v>
          </cell>
          <cell r="W55">
            <v>5.2995748026115379</v>
          </cell>
          <cell r="X55">
            <v>7.3968198317878118</v>
          </cell>
          <cell r="Z55">
            <v>6.7</v>
          </cell>
          <cell r="AA55">
            <v>0.64640938910177081</v>
          </cell>
          <cell r="AB55">
            <v>10.364948456751378</v>
          </cell>
          <cell r="AD55">
            <v>2.313142</v>
          </cell>
          <cell r="AE55">
            <v>0.36307046506565532</v>
          </cell>
          <cell r="AF55">
            <v>6.3710552704464858</v>
          </cell>
        </row>
        <row r="56">
          <cell r="A56">
            <v>37042</v>
          </cell>
          <cell r="B56">
            <v>86.5</v>
          </cell>
          <cell r="C56">
            <v>6.0745545210447407</v>
          </cell>
          <cell r="D56">
            <v>14.23972732491389</v>
          </cell>
          <cell r="F56">
            <v>18.05</v>
          </cell>
          <cell r="G56" t="e">
            <v>#REF!</v>
          </cell>
          <cell r="H56" t="e">
            <v>#REF!</v>
          </cell>
          <cell r="N56">
            <v>40.92165</v>
          </cell>
          <cell r="O56">
            <v>16.458752188728702</v>
          </cell>
          <cell r="P56">
            <v>2.4863154588367884</v>
          </cell>
          <cell r="R56">
            <v>30.9</v>
          </cell>
          <cell r="S56">
            <v>4.6805799203640488</v>
          </cell>
          <cell r="T56">
            <v>6.6017460497921894</v>
          </cell>
          <cell r="V56">
            <v>36.6</v>
          </cell>
          <cell r="W56">
            <v>5.2255593331099544</v>
          </cell>
          <cell r="X56">
            <v>7.0040349112671487</v>
          </cell>
          <cell r="Z56">
            <v>7.1</v>
          </cell>
          <cell r="AA56">
            <v>0.64663524249107651</v>
          </cell>
          <cell r="AB56">
            <v>10.979915002232467</v>
          </cell>
          <cell r="AD56">
            <v>2.4336180000000001</v>
          </cell>
          <cell r="AE56">
            <v>0.36633673477461298</v>
          </cell>
          <cell r="AF56">
            <v>6.6431175718625992</v>
          </cell>
        </row>
        <row r="57">
          <cell r="A57">
            <v>37071</v>
          </cell>
          <cell r="B57">
            <v>80</v>
          </cell>
          <cell r="C57">
            <v>6.0822261742860144</v>
          </cell>
          <cell r="D57">
            <v>13.153078775369794</v>
          </cell>
          <cell r="F57">
            <v>18.100000000000001</v>
          </cell>
          <cell r="G57" t="e">
            <v>#REF!</v>
          </cell>
          <cell r="H57" t="e">
            <v>#REF!</v>
          </cell>
          <cell r="N57">
            <v>39.642850000000003</v>
          </cell>
          <cell r="O57">
            <v>16.281501325487223</v>
          </cell>
          <cell r="P57">
            <v>2.4348399577834199</v>
          </cell>
          <cell r="R57">
            <v>29.75</v>
          </cell>
          <cell r="S57">
            <v>4.6415238907849812</v>
          </cell>
          <cell r="T57">
            <v>6.409532881876137</v>
          </cell>
          <cell r="V57">
            <v>36.4</v>
          </cell>
          <cell r="W57">
            <v>5.1515438636083708</v>
          </cell>
          <cell r="X57">
            <v>7.0658429712959521</v>
          </cell>
          <cell r="Z57">
            <v>7.05</v>
          </cell>
          <cell r="AA57">
            <v>0.64686109588038221</v>
          </cell>
          <cell r="AB57">
            <v>10.898784986295865</v>
          </cell>
          <cell r="AD57">
            <v>2.5781890000000001</v>
          </cell>
          <cell r="AE57">
            <v>0.36960300448357064</v>
          </cell>
          <cell r="AF57">
            <v>6.9755628842963153</v>
          </cell>
        </row>
        <row r="58">
          <cell r="A58">
            <v>37103</v>
          </cell>
          <cell r="B58">
            <v>87.5</v>
          </cell>
          <cell r="C58">
            <v>6.0898978275272881</v>
          </cell>
          <cell r="D58">
            <v>14.368057146129177</v>
          </cell>
          <cell r="F58">
            <v>18.2</v>
          </cell>
          <cell r="G58" t="e">
            <v>#REF!</v>
          </cell>
          <cell r="H58" t="e">
            <v>#REF!</v>
          </cell>
          <cell r="N58">
            <v>40.4298</v>
          </cell>
          <cell r="O58">
            <v>16.104250462245744</v>
          </cell>
          <cell r="P58">
            <v>2.5105049188586732</v>
          </cell>
          <cell r="R58">
            <v>27.1</v>
          </cell>
          <cell r="S58">
            <v>4.6024678612059136</v>
          </cell>
          <cell r="T58">
            <v>5.8881454074726349</v>
          </cell>
          <cell r="V58">
            <v>34.1</v>
          </cell>
          <cell r="W58">
            <v>5.0775283941067872</v>
          </cell>
          <cell r="X58">
            <v>6.7158659397312341</v>
          </cell>
          <cell r="Z58">
            <v>6.8</v>
          </cell>
          <cell r="AA58">
            <v>0.64708694926968791</v>
          </cell>
          <cell r="AB58">
            <v>10.508634129732615</v>
          </cell>
          <cell r="AD58">
            <v>2.4336180000000001</v>
          </cell>
          <cell r="AE58">
            <v>0.3728692741925283</v>
          </cell>
          <cell r="AF58">
            <v>6.526732472848968</v>
          </cell>
        </row>
        <row r="59">
          <cell r="A59">
            <v>37134</v>
          </cell>
          <cell r="B59">
            <v>87.75</v>
          </cell>
          <cell r="C59">
            <v>6.0975694807685619</v>
          </cell>
          <cell r="D59">
            <v>14.390979926798577</v>
          </cell>
          <cell r="F59">
            <v>17.850000000000001</v>
          </cell>
          <cell r="G59" t="e">
            <v>#REF!</v>
          </cell>
          <cell r="H59" t="e">
            <v>#REF!</v>
          </cell>
          <cell r="N59">
            <v>37.872199999999999</v>
          </cell>
          <cell r="O59">
            <v>15.926999599004265</v>
          </cell>
          <cell r="P59">
            <v>2.3778615529297631</v>
          </cell>
          <cell r="R59">
            <v>26.85</v>
          </cell>
          <cell r="S59">
            <v>4.5634118316268459</v>
          </cell>
          <cell r="T59">
            <v>5.8837556176533026</v>
          </cell>
          <cell r="V59">
            <v>31.7</v>
          </cell>
          <cell r="W59">
            <v>5.0035129246052037</v>
          </cell>
          <cell r="X59">
            <v>6.3355487389894671</v>
          </cell>
          <cell r="Z59">
            <v>6.3</v>
          </cell>
          <cell r="AA59">
            <v>0.6473128026589936</v>
          </cell>
          <cell r="AB59">
            <v>9.7325434845738084</v>
          </cell>
          <cell r="AD59">
            <v>2.385427</v>
          </cell>
          <cell r="AE59">
            <v>0.37613554390148596</v>
          </cell>
          <cell r="AF59">
            <v>6.3419345464058816</v>
          </cell>
        </row>
        <row r="60">
          <cell r="A60">
            <v>37162</v>
          </cell>
          <cell r="B60">
            <v>80.75</v>
          </cell>
          <cell r="C60">
            <v>6.1052411340098356</v>
          </cell>
          <cell r="D60">
            <v>13.226340815627138</v>
          </cell>
          <cell r="F60">
            <v>15.55</v>
          </cell>
          <cell r="G60" t="e">
            <v>#REF!</v>
          </cell>
          <cell r="H60" t="e">
            <v>#REF!</v>
          </cell>
          <cell r="N60">
            <v>34.134160000000001</v>
          </cell>
          <cell r="O60">
            <v>15.749748735762786</v>
          </cell>
          <cell r="P60">
            <v>2.1672828292486934</v>
          </cell>
          <cell r="R60">
            <v>24.4</v>
          </cell>
          <cell r="S60">
            <v>4.5243558020477783</v>
          </cell>
          <cell r="T60">
            <v>5.3930329681313447</v>
          </cell>
          <cell r="V60">
            <v>26.4</v>
          </cell>
          <cell r="W60">
            <v>4.9294974551036201</v>
          </cell>
          <cell r="X60">
            <v>5.3555154943162577</v>
          </cell>
          <cell r="Z60">
            <v>7.55</v>
          </cell>
          <cell r="AA60">
            <v>0.6475386560482993</v>
          </cell>
          <cell r="AB60">
            <v>11.659535580586022</v>
          </cell>
          <cell r="AD60">
            <v>1.8697889999999999</v>
          </cell>
          <cell r="AE60">
            <v>0.37940181361044362</v>
          </cell>
          <cell r="AF60">
            <v>4.928255303280741</v>
          </cell>
        </row>
        <row r="61">
          <cell r="A61">
            <v>37195</v>
          </cell>
          <cell r="B61">
            <v>78.25</v>
          </cell>
          <cell r="C61">
            <v>6.1129127872511093</v>
          </cell>
          <cell r="D61">
            <v>12.800771534512259</v>
          </cell>
          <cell r="F61">
            <v>15.55</v>
          </cell>
          <cell r="G61" t="e">
            <v>#REF!</v>
          </cell>
          <cell r="H61" t="e">
            <v>#REF!</v>
          </cell>
          <cell r="N61">
            <v>33.248840000000001</v>
          </cell>
          <cell r="O61">
            <v>15.572497872521307</v>
          </cell>
          <cell r="P61">
            <v>2.1350999866675058</v>
          </cell>
          <cell r="R61">
            <v>23.45</v>
          </cell>
          <cell r="S61">
            <v>4.4852997724687107</v>
          </cell>
          <cell r="T61">
            <v>5.2281901298858138</v>
          </cell>
          <cell r="V61">
            <v>27.25</v>
          </cell>
          <cell r="W61">
            <v>4.8554819856020366</v>
          </cell>
          <cell r="X61">
            <v>5.6122131810610032</v>
          </cell>
          <cell r="Z61">
            <v>6.7</v>
          </cell>
          <cell r="AA61">
            <v>0.647764509437605</v>
          </cell>
          <cell r="AB61">
            <v>10.34326503286974</v>
          </cell>
          <cell r="AD61">
            <v>2.0480939999999999</v>
          </cell>
          <cell r="AE61">
            <v>0.38266808331940128</v>
          </cell>
          <cell r="AF61">
            <v>5.3521422069854694</v>
          </cell>
        </row>
        <row r="62">
          <cell r="A62">
            <v>37225</v>
          </cell>
          <cell r="B62">
            <v>84.5</v>
          </cell>
          <cell r="C62">
            <v>6.120584440492383</v>
          </cell>
          <cell r="D62">
            <v>13.805871125797625</v>
          </cell>
          <cell r="F62">
            <v>16.45</v>
          </cell>
          <cell r="G62" t="e">
            <v>#REF!</v>
          </cell>
          <cell r="H62" t="e">
            <v>#REF!</v>
          </cell>
          <cell r="N62">
            <v>34.429270000000002</v>
          </cell>
          <cell r="O62">
            <v>15.395247009279828</v>
          </cell>
          <cell r="P62">
            <v>2.2363571028933147</v>
          </cell>
          <cell r="R62">
            <v>24</v>
          </cell>
          <cell r="S62">
            <v>4.4462437428896431</v>
          </cell>
          <cell r="T62">
            <v>5.3978147370756249</v>
          </cell>
          <cell r="V62">
            <v>29.15</v>
          </cell>
          <cell r="W62">
            <v>4.781466516100453</v>
          </cell>
          <cell r="X62">
            <v>6.0964559517136205</v>
          </cell>
          <cell r="Z62">
            <v>7.25</v>
          </cell>
          <cell r="AA62">
            <v>0.64799036282691069</v>
          </cell>
          <cell r="AB62">
            <v>11.188438001409905</v>
          </cell>
          <cell r="AD62">
            <v>2.1685699999999999</v>
          </cell>
          <cell r="AE62">
            <v>0.38593435302835893</v>
          </cell>
          <cell r="AF62">
            <v>5.6190126195909045</v>
          </cell>
        </row>
        <row r="63">
          <cell r="A63">
            <v>37256</v>
          </cell>
          <cell r="B63">
            <v>85.75</v>
          </cell>
          <cell r="C63">
            <v>6.1282560937336541</v>
          </cell>
          <cell r="D63">
            <v>13.992561454421304</v>
          </cell>
          <cell r="F63">
            <v>16.8</v>
          </cell>
          <cell r="G63" t="e">
            <v>#REF!</v>
          </cell>
          <cell r="H63" t="e">
            <v>#REF!</v>
          </cell>
          <cell r="N63">
            <v>36.298290000000001</v>
          </cell>
          <cell r="O63">
            <v>15.217996146038354</v>
          </cell>
          <cell r="P63">
            <v>2.3852213952261647</v>
          </cell>
          <cell r="R63">
            <v>25</v>
          </cell>
          <cell r="S63">
            <v>4.4071877133105799</v>
          </cell>
          <cell r="T63">
            <v>5.6725516647487124</v>
          </cell>
          <cell r="V63">
            <v>29.1</v>
          </cell>
          <cell r="W63">
            <v>4.707451046598865</v>
          </cell>
          <cell r="X63">
            <v>6.1816893499136354</v>
          </cell>
          <cell r="Z63">
            <v>7.35</v>
          </cell>
          <cell r="AA63">
            <v>0.6482162162162165</v>
          </cell>
          <cell r="AB63">
            <v>11.338809206137419</v>
          </cell>
          <cell r="AD63">
            <v>1.98</v>
          </cell>
          <cell r="AE63">
            <v>0.38920062273731676</v>
          </cell>
          <cell r="AF63">
            <v>5.0873505444937628</v>
          </cell>
        </row>
        <row r="64">
          <cell r="A64">
            <v>37287</v>
          </cell>
          <cell r="B64">
            <v>85.25</v>
          </cell>
          <cell r="C64">
            <v>6.1081615929141817</v>
          </cell>
          <cell r="D64">
            <v>13.956736196844382</v>
          </cell>
          <cell r="F64">
            <v>15.7</v>
          </cell>
          <cell r="G64" t="e">
            <v>#REF!</v>
          </cell>
          <cell r="H64" t="e">
            <v>#REF!</v>
          </cell>
          <cell r="N64">
            <v>32.461880000000001</v>
          </cell>
          <cell r="O64">
            <v>15.357796715545343</v>
          </cell>
          <cell r="P64">
            <v>2.1137068422804233</v>
          </cell>
          <cell r="R64">
            <v>24.5</v>
          </cell>
          <cell r="S64">
            <v>4.3932010807736059</v>
          </cell>
          <cell r="T64">
            <v>5.5767991379274076</v>
          </cell>
          <cell r="V64">
            <v>28.6</v>
          </cell>
          <cell r="W64">
            <v>4.6872456287991477</v>
          </cell>
          <cell r="X64">
            <v>6.1016644453785966</v>
          </cell>
          <cell r="Z64">
            <v>7.1</v>
          </cell>
          <cell r="AA64">
            <v>0.67166383502039262</v>
          </cell>
          <cell r="AB64">
            <v>10.570764167739409</v>
          </cell>
          <cell r="AD64">
            <v>2.15</v>
          </cell>
          <cell r="AE64">
            <v>0.38800348745011587</v>
          </cell>
          <cell r="AF64">
            <v>5.541187307695056</v>
          </cell>
        </row>
        <row r="65">
          <cell r="A65">
            <v>37315</v>
          </cell>
          <cell r="B65">
            <v>85.5</v>
          </cell>
          <cell r="C65">
            <v>6.0880670920947093</v>
          </cell>
          <cell r="D65">
            <v>14.043866256175273</v>
          </cell>
          <cell r="F65">
            <v>14.85</v>
          </cell>
          <cell r="G65" t="e">
            <v>#REF!</v>
          </cell>
          <cell r="H65" t="e">
            <v>#REF!</v>
          </cell>
          <cell r="N65">
            <v>31.970040000000001</v>
          </cell>
          <cell r="O65">
            <v>15.497597285052331</v>
          </cell>
          <cell r="P65">
            <v>2.0629030043796268</v>
          </cell>
          <cell r="R65">
            <v>23.75</v>
          </cell>
          <cell r="S65">
            <v>4.379214448236632</v>
          </cell>
          <cell r="T65">
            <v>5.4233471049958188</v>
          </cell>
          <cell r="V65">
            <v>29.25</v>
          </cell>
          <cell r="W65">
            <v>4.6670402109994304</v>
          </cell>
          <cell r="X65">
            <v>6.2673554710462227</v>
          </cell>
          <cell r="Z65">
            <v>7.3</v>
          </cell>
          <cell r="AA65">
            <v>0.69511145382456874</v>
          </cell>
          <cell r="AB65">
            <v>10.501912980766914</v>
          </cell>
          <cell r="AD65">
            <v>2.35</v>
          </cell>
          <cell r="AE65">
            <v>0.38680635216291498</v>
          </cell>
          <cell r="AF65">
            <v>6.0753914377554681</v>
          </cell>
        </row>
        <row r="66">
          <cell r="A66">
            <v>37344</v>
          </cell>
          <cell r="B66">
            <v>87.25</v>
          </cell>
          <cell r="C66">
            <v>6.0679725912752369</v>
          </cell>
          <cell r="D66">
            <v>14.378772924164389</v>
          </cell>
          <cell r="F66">
            <v>15.55</v>
          </cell>
          <cell r="G66" t="e">
            <v>#REF!</v>
          </cell>
          <cell r="H66" t="e">
            <v>#REF!</v>
          </cell>
          <cell r="N66">
            <v>35.412959999999998</v>
          </cell>
          <cell r="O66">
            <v>15.637397854559319</v>
          </cell>
          <cell r="P66">
            <v>2.2646325385700163</v>
          </cell>
          <cell r="R66">
            <v>28.15</v>
          </cell>
          <cell r="S66">
            <v>4.365227815699658</v>
          </cell>
          <cell r="T66">
            <v>6.4486897794332236</v>
          </cell>
          <cell r="V66">
            <v>34.5</v>
          </cell>
          <cell r="W66">
            <v>4.6468347931997132</v>
          </cell>
          <cell r="X66">
            <v>7.4244085566562656</v>
          </cell>
          <cell r="Z66">
            <v>8</v>
          </cell>
          <cell r="AA66">
            <v>0.71855907262874485</v>
          </cell>
          <cell r="AB66">
            <v>11.133392235565481</v>
          </cell>
          <cell r="AD66">
            <v>2.4750000000000001</v>
          </cell>
          <cell r="AE66">
            <v>0.38560921687571409</v>
          </cell>
          <cell r="AF66">
            <v>6.4184150473709209</v>
          </cell>
        </row>
        <row r="67">
          <cell r="A67">
            <v>37376</v>
          </cell>
          <cell r="B67">
            <v>89.25</v>
          </cell>
          <cell r="C67">
            <v>6.0478780904557645</v>
          </cell>
          <cell r="D67">
            <v>14.757241906189643</v>
          </cell>
          <cell r="F67">
            <v>16.350000000000001</v>
          </cell>
          <cell r="G67" t="e">
            <v>#REF!</v>
          </cell>
          <cell r="H67" t="e">
            <v>#REF!</v>
          </cell>
          <cell r="N67">
            <v>39.151000000000003</v>
          </cell>
          <cell r="O67">
            <v>15.777198424066308</v>
          </cell>
          <cell r="P67">
            <v>2.4814925278672821</v>
          </cell>
          <cell r="R67">
            <v>28.3</v>
          </cell>
          <cell r="S67">
            <v>4.351241183162684</v>
          </cell>
          <cell r="T67">
            <v>6.5038913746054972</v>
          </cell>
          <cell r="V67">
            <v>35.4</v>
          </cell>
          <cell r="W67">
            <v>4.6266293753999959</v>
          </cell>
          <cell r="X67">
            <v>7.6513585004719529</v>
          </cell>
          <cell r="Z67">
            <v>8</v>
          </cell>
          <cell r="AA67">
            <v>0.74200669143292097</v>
          </cell>
          <cell r="AB67">
            <v>10.781573929678258</v>
          </cell>
          <cell r="AD67">
            <v>2.6</v>
          </cell>
          <cell r="AE67">
            <v>0.3844120815885132</v>
          </cell>
          <cell r="AF67">
            <v>6.7635751437779259</v>
          </cell>
        </row>
        <row r="68">
          <cell r="A68">
            <v>37407</v>
          </cell>
          <cell r="B68">
            <v>86.25</v>
          </cell>
          <cell r="C68">
            <v>6.0277835896362921</v>
          </cell>
          <cell r="D68">
            <v>14.308741964175956</v>
          </cell>
          <cell r="F68">
            <v>16.95</v>
          </cell>
          <cell r="G68" t="e">
            <v>#REF!</v>
          </cell>
          <cell r="H68" t="e">
            <v>#REF!</v>
          </cell>
          <cell r="N68">
            <v>38.462409999999998</v>
          </cell>
          <cell r="O68">
            <v>15.916998993573296</v>
          </cell>
          <cell r="P68">
            <v>2.4164360389499127</v>
          </cell>
          <cell r="R68">
            <v>27.75</v>
          </cell>
          <cell r="S68">
            <v>4.3372545506257101</v>
          </cell>
          <cell r="T68">
            <v>6.3980565761344748</v>
          </cell>
          <cell r="V68">
            <v>36</v>
          </cell>
          <cell r="W68">
            <v>4.6064239576002786</v>
          </cell>
          <cell r="X68">
            <v>7.815172969609649</v>
          </cell>
          <cell r="Z68">
            <v>7.75</v>
          </cell>
          <cell r="AA68">
            <v>0.76545431023709709</v>
          </cell>
          <cell r="AB68">
            <v>10.124706199119137</v>
          </cell>
          <cell r="AD68">
            <v>2.5</v>
          </cell>
          <cell r="AE68">
            <v>0.38321494630131231</v>
          </cell>
          <cell r="AF68">
            <v>6.523753898769681</v>
          </cell>
        </row>
        <row r="69">
          <cell r="A69">
            <v>37435</v>
          </cell>
          <cell r="B69">
            <v>83.5</v>
          </cell>
          <cell r="C69">
            <v>6.0076890888168197</v>
          </cell>
          <cell r="D69">
            <v>13.898855078142009</v>
          </cell>
          <cell r="F69">
            <v>15.7</v>
          </cell>
          <cell r="G69" t="e">
            <v>#REF!</v>
          </cell>
          <cell r="H69" t="e">
            <v>#REF!</v>
          </cell>
          <cell r="N69">
            <v>37.38035</v>
          </cell>
          <cell r="O69">
            <v>16.056799563080286</v>
          </cell>
          <cell r="P69">
            <v>2.3280075119047616</v>
          </cell>
          <cell r="R69">
            <v>25.85</v>
          </cell>
          <cell r="S69">
            <v>4.3232679180887361</v>
          </cell>
          <cell r="T69">
            <v>5.9792732002202564</v>
          </cell>
          <cell r="V69">
            <v>34.299999999999997</v>
          </cell>
          <cell r="W69">
            <v>4.5862185398005613</v>
          </cell>
          <cell r="X69">
            <v>7.4789283812654039</v>
          </cell>
          <cell r="Z69">
            <v>7.35</v>
          </cell>
          <cell r="AA69">
            <v>0.78890192904127321</v>
          </cell>
          <cell r="AB69">
            <v>9.3167474047531034</v>
          </cell>
          <cell r="AD69">
            <v>2.2749999999999999</v>
          </cell>
          <cell r="AE69">
            <v>0.38201781101411142</v>
          </cell>
          <cell r="AF69">
            <v>5.9552197159623095</v>
          </cell>
        </row>
        <row r="70">
          <cell r="A70">
            <v>37468</v>
          </cell>
          <cell r="B70">
            <v>86.25</v>
          </cell>
          <cell r="C70">
            <v>5.9875945879973473</v>
          </cell>
          <cell r="D70">
            <v>14.404782877734508</v>
          </cell>
          <cell r="F70">
            <v>15.05</v>
          </cell>
          <cell r="G70" t="e">
            <v>#REF!</v>
          </cell>
          <cell r="H70" t="e">
            <v>#REF!</v>
          </cell>
          <cell r="J70">
            <v>8.4499999999999993</v>
          </cell>
          <cell r="K70">
            <v>1.2</v>
          </cell>
          <cell r="L70">
            <v>7.0416666666666661</v>
          </cell>
          <cell r="N70">
            <v>34.724379999999996</v>
          </cell>
          <cell r="O70">
            <v>16.196600132587275</v>
          </cell>
          <cell r="P70">
            <v>2.1439301900239642</v>
          </cell>
          <cell r="R70">
            <v>24.75</v>
          </cell>
          <cell r="S70">
            <v>4.3092812855517622</v>
          </cell>
          <cell r="T70">
            <v>5.7434171408077388</v>
          </cell>
          <cell r="V70">
            <v>31</v>
          </cell>
          <cell r="W70">
            <v>4.566013122000844</v>
          </cell>
          <cell r="X70">
            <v>6.789292796954487</v>
          </cell>
          <cell r="Z70">
            <v>6.75</v>
          </cell>
          <cell r="AA70">
            <v>0.81234954784544933</v>
          </cell>
          <cell r="AB70">
            <v>8.3092309436284655</v>
          </cell>
          <cell r="AD70">
            <v>2.2250000000000001</v>
          </cell>
          <cell r="AE70">
            <v>0.38082067572691053</v>
          </cell>
          <cell r="AF70">
            <v>5.8426449555369331</v>
          </cell>
        </row>
        <row r="71">
          <cell r="A71">
            <v>37498</v>
          </cell>
          <cell r="B71">
            <v>83.75</v>
          </cell>
          <cell r="C71">
            <v>5.9675000871778749</v>
          </cell>
          <cell r="D71">
            <v>14.034352539005441</v>
          </cell>
          <cell r="F71">
            <v>14.85</v>
          </cell>
          <cell r="G71" t="e">
            <v>#REF!</v>
          </cell>
          <cell r="H71" t="e">
            <v>#REF!</v>
          </cell>
          <cell r="J71">
            <v>8.4</v>
          </cell>
          <cell r="K71">
            <v>3.9735726693688473</v>
          </cell>
          <cell r="L71">
            <v>2.1139666237271144</v>
          </cell>
          <cell r="N71">
            <v>33.642319999999998</v>
          </cell>
          <cell r="O71">
            <v>16.336400702094263</v>
          </cell>
          <cell r="P71">
            <v>2.0593471360975606</v>
          </cell>
          <cell r="R71">
            <v>25.7</v>
          </cell>
          <cell r="S71">
            <v>4.2952946530147882</v>
          </cell>
          <cell r="T71">
            <v>5.9832915029383704</v>
          </cell>
          <cell r="V71">
            <v>30.8</v>
          </cell>
          <cell r="W71">
            <v>4.5458077042011267</v>
          </cell>
          <cell r="X71">
            <v>6.7754735800934514</v>
          </cell>
          <cell r="Z71">
            <v>6.5</v>
          </cell>
          <cell r="AA71">
            <v>0.83579716664962544</v>
          </cell>
          <cell r="AB71">
            <v>7.7770065027330553</v>
          </cell>
          <cell r="AD71">
            <v>2.25</v>
          </cell>
          <cell r="AE71">
            <v>0.37962354043970964</v>
          </cell>
          <cell r="AF71">
            <v>5.9269243350764658</v>
          </cell>
        </row>
        <row r="72">
          <cell r="A72">
            <v>37529</v>
          </cell>
          <cell r="B72">
            <v>81.75</v>
          </cell>
          <cell r="C72">
            <v>5.9474055863584026</v>
          </cell>
          <cell r="D72">
            <v>13.745489325212734</v>
          </cell>
          <cell r="F72">
            <v>13.7</v>
          </cell>
          <cell r="G72" t="e">
            <v>#REF!</v>
          </cell>
          <cell r="H72" t="e">
            <v>#REF!</v>
          </cell>
          <cell r="J72">
            <v>7.8</v>
          </cell>
          <cell r="K72">
            <v>6.7471453387376954</v>
          </cell>
          <cell r="L72">
            <v>1.1560444615321241</v>
          </cell>
          <cell r="N72">
            <v>33.150469999999999</v>
          </cell>
          <cell r="O72">
            <v>16.476201271601251</v>
          </cell>
          <cell r="P72">
            <v>2.0120214273625612</v>
          </cell>
          <cell r="R72">
            <v>25.5</v>
          </cell>
          <cell r="S72">
            <v>4.2813080204778142</v>
          </cell>
          <cell r="T72">
            <v>5.9561236608138461</v>
          </cell>
          <cell r="V72">
            <v>28.8</v>
          </cell>
          <cell r="W72">
            <v>4.5256022864014094</v>
          </cell>
          <cell r="X72">
            <v>6.3637938504977845</v>
          </cell>
          <cell r="Z72">
            <v>6.4</v>
          </cell>
          <cell r="AA72">
            <v>0.85924478545380156</v>
          </cell>
          <cell r="AB72">
            <v>7.4484013267766347</v>
          </cell>
          <cell r="AD72">
            <v>1.99</v>
          </cell>
          <cell r="AE72">
            <v>0.37842640515250875</v>
          </cell>
          <cell r="AF72">
            <v>5.2586182488983946</v>
          </cell>
        </row>
        <row r="73">
          <cell r="A73">
            <v>37560</v>
          </cell>
          <cell r="B73">
            <v>84.25</v>
          </cell>
          <cell r="C73">
            <v>5.9273110855389302</v>
          </cell>
          <cell r="D73">
            <v>14.21386507037697</v>
          </cell>
          <cell r="F73">
            <v>13.6</v>
          </cell>
          <cell r="G73" t="e">
            <v>#REF!</v>
          </cell>
          <cell r="H73" t="e">
            <v>#REF!</v>
          </cell>
          <cell r="J73">
            <v>7.95</v>
          </cell>
          <cell r="K73">
            <v>9.5207180081065435</v>
          </cell>
          <cell r="L73">
            <v>0.83502105547405836</v>
          </cell>
          <cell r="N73">
            <v>35.609699999999997</v>
          </cell>
          <cell r="O73">
            <v>16.61600184110824</v>
          </cell>
          <cell r="P73">
            <v>2.1430967774630996</v>
          </cell>
          <cell r="R73">
            <v>24.9</v>
          </cell>
          <cell r="S73">
            <v>4.2673213879408403</v>
          </cell>
          <cell r="T73">
            <v>5.8350421110455155</v>
          </cell>
          <cell r="V73">
            <v>28</v>
          </cell>
          <cell r="W73">
            <v>4.5053968686016921</v>
          </cell>
          <cell r="X73">
            <v>6.2147688242812134</v>
          </cell>
          <cell r="Z73">
            <v>5.75</v>
          </cell>
          <cell r="AA73">
            <v>0.88269240425797768</v>
          </cell>
          <cell r="AB73">
            <v>6.5141605074008231</v>
          </cell>
          <cell r="AD73">
            <v>2.0249999999999999</v>
          </cell>
          <cell r="AE73">
            <v>0.37722926986530786</v>
          </cell>
          <cell r="AF73">
            <v>5.3680882205218046</v>
          </cell>
        </row>
        <row r="74">
          <cell r="A74">
            <v>37589</v>
          </cell>
          <cell r="B74">
            <v>84.75</v>
          </cell>
          <cell r="C74">
            <v>5.9072165847194578</v>
          </cell>
          <cell r="D74">
            <v>14.34685842046621</v>
          </cell>
          <cell r="F74">
            <v>13.6</v>
          </cell>
          <cell r="G74" t="e">
            <v>#REF!</v>
          </cell>
          <cell r="H74" t="e">
            <v>#REF!</v>
          </cell>
          <cell r="J74">
            <v>8.65</v>
          </cell>
          <cell r="K74">
            <v>12.294290677475392</v>
          </cell>
          <cell r="L74">
            <v>0.7035786144090308</v>
          </cell>
          <cell r="N74">
            <v>35.904809999999998</v>
          </cell>
          <cell r="O74">
            <v>16.755802410615228</v>
          </cell>
          <cell r="P74">
            <v>2.1428284435517924</v>
          </cell>
          <cell r="R74">
            <v>24.1</v>
          </cell>
          <cell r="S74">
            <v>4.2533347554038663</v>
          </cell>
          <cell r="T74">
            <v>5.6661423061941987</v>
          </cell>
          <cell r="V74">
            <v>28.05</v>
          </cell>
          <cell r="W74">
            <v>4.4851914508019748</v>
          </cell>
          <cell r="X74">
            <v>6.2539136417431012</v>
          </cell>
          <cell r="Z74">
            <v>6.1</v>
          </cell>
          <cell r="AA74">
            <v>0.9061400230621538</v>
          </cell>
          <cell r="AB74">
            <v>6.7318514189297538</v>
          </cell>
          <cell r="AD74">
            <v>2.25</v>
          </cell>
          <cell r="AE74">
            <v>0.37603213457810697</v>
          </cell>
          <cell r="AF74">
            <v>5.9835311748673021</v>
          </cell>
        </row>
        <row r="75">
          <cell r="A75">
            <v>37621</v>
          </cell>
          <cell r="B75">
            <v>83</v>
          </cell>
          <cell r="C75">
            <v>5.8871220838999898</v>
          </cell>
          <cell r="D75">
            <v>14.098569524655709</v>
          </cell>
          <cell r="F75">
            <v>13.35</v>
          </cell>
          <cell r="G75" t="e">
            <v>#REF!</v>
          </cell>
          <cell r="H75" t="e">
            <v>#REF!</v>
          </cell>
          <cell r="J75">
            <v>8</v>
          </cell>
          <cell r="K75">
            <v>17.841436016213084</v>
          </cell>
          <cell r="L75">
            <v>0.44839440013293458</v>
          </cell>
          <cell r="N75">
            <v>38.855890000000002</v>
          </cell>
          <cell r="O75">
            <v>16.895602980122217</v>
          </cell>
          <cell r="P75">
            <v>2.2997634381983407</v>
          </cell>
          <cell r="R75">
            <v>24.95</v>
          </cell>
          <cell r="S75">
            <v>4.2393481228668941</v>
          </cell>
          <cell r="T75">
            <v>5.8853388013644317</v>
          </cell>
          <cell r="V75">
            <v>28.75</v>
          </cell>
          <cell r="W75">
            <v>4.4649860330022539</v>
          </cell>
          <cell r="X75">
            <v>6.4389899066870129</v>
          </cell>
          <cell r="Z75">
            <v>6.1</v>
          </cell>
          <cell r="AA75">
            <v>0.92958764186633014</v>
          </cell>
          <cell r="AB75">
            <v>6.5620493703563545</v>
          </cell>
          <cell r="AD75">
            <v>2.25</v>
          </cell>
          <cell r="AE75">
            <v>0.37483499929090608</v>
          </cell>
          <cell r="AF75">
            <v>6.0026411734668228</v>
          </cell>
        </row>
        <row r="76">
          <cell r="A76">
            <v>37652</v>
          </cell>
          <cell r="B76">
            <v>83</v>
          </cell>
          <cell r="C76">
            <v>5.8967116504515813</v>
          </cell>
          <cell r="D76">
            <v>14.075641632170313</v>
          </cell>
          <cell r="F76">
            <v>14.45</v>
          </cell>
          <cell r="G76" t="e">
            <v>#REF!</v>
          </cell>
          <cell r="H76" t="e">
            <v>#REF!</v>
          </cell>
          <cell r="J76">
            <v>8.0500000000000007</v>
          </cell>
          <cell r="K76">
            <v>17.904779910075447</v>
          </cell>
          <cell r="L76">
            <v>0.4496006117042563</v>
          </cell>
          <cell r="N76">
            <v>37.970570000000002</v>
          </cell>
          <cell r="O76">
            <v>17.121782406575445</v>
          </cell>
          <cell r="P76">
            <v>2.2176762382763253</v>
          </cell>
          <cell r="R76">
            <v>25.75</v>
          </cell>
          <cell r="S76">
            <v>4.2605312493219012</v>
          </cell>
          <cell r="T76">
            <v>6.0438472324544801</v>
          </cell>
          <cell r="V76">
            <v>29.15</v>
          </cell>
          <cell r="W76">
            <v>4.4827301066108731</v>
          </cell>
          <cell r="X76">
            <v>6.5027336704949628</v>
          </cell>
          <cell r="Z76">
            <v>6.2</v>
          </cell>
          <cell r="AA76">
            <v>0.93228483159785225</v>
          </cell>
          <cell r="AB76">
            <v>6.6503280862928538</v>
          </cell>
          <cell r="AD76">
            <v>2.15</v>
          </cell>
          <cell r="AE76">
            <v>0.37040458004107013</v>
          </cell>
          <cell r="AF76">
            <v>5.8044638642470616</v>
          </cell>
        </row>
        <row r="77">
          <cell r="A77">
            <v>37680</v>
          </cell>
          <cell r="B77">
            <v>85.25</v>
          </cell>
          <cell r="C77">
            <v>5.9063012170031728</v>
          </cell>
          <cell r="D77">
            <v>14.433737269372696</v>
          </cell>
          <cell r="F77">
            <v>14.55</v>
          </cell>
          <cell r="G77" t="e">
            <v>#REF!</v>
          </cell>
          <cell r="H77" t="e">
            <v>#REF!</v>
          </cell>
          <cell r="J77">
            <v>8</v>
          </cell>
          <cell r="K77">
            <v>17.968123803937811</v>
          </cell>
          <cell r="L77">
            <v>0.44523290730258419</v>
          </cell>
          <cell r="N77">
            <v>37.183610000000002</v>
          </cell>
          <cell r="O77">
            <v>17.347961833028673</v>
          </cell>
          <cell r="P77">
            <v>2.1433993432707679</v>
          </cell>
          <cell r="R77">
            <v>26</v>
          </cell>
          <cell r="S77">
            <v>4.2817143757769083</v>
          </cell>
          <cell r="T77">
            <v>6.0723340508397072</v>
          </cell>
          <cell r="V77">
            <v>30.7</v>
          </cell>
          <cell r="W77">
            <v>4.5004741802194923</v>
          </cell>
          <cell r="X77">
            <v>6.8215034173360669</v>
          </cell>
          <cell r="Z77">
            <v>6.4</v>
          </cell>
          <cell r="AA77">
            <v>0.93498202132937436</v>
          </cell>
          <cell r="AB77">
            <v>6.8450514063365242</v>
          </cell>
          <cell r="AD77">
            <v>2.0750000000000002</v>
          </cell>
          <cell r="AE77">
            <v>0.36597416079123418</v>
          </cell>
          <cell r="AF77">
            <v>5.6697991888658512</v>
          </cell>
        </row>
        <row r="78">
          <cell r="A78">
            <v>37711</v>
          </cell>
          <cell r="B78">
            <v>79.5</v>
          </cell>
          <cell r="C78">
            <v>5.9158907835547643</v>
          </cell>
          <cell r="D78">
            <v>13.438381962864723</v>
          </cell>
          <cell r="F78">
            <v>14.3</v>
          </cell>
          <cell r="G78" t="e">
            <v>#REF!</v>
          </cell>
          <cell r="H78" t="e">
            <v>#REF!</v>
          </cell>
          <cell r="J78">
            <v>8.15</v>
          </cell>
          <cell r="K78">
            <v>18.031467697800174</v>
          </cell>
          <cell r="L78">
            <v>0.45198761058115611</v>
          </cell>
          <cell r="N78">
            <v>35.904809999999998</v>
          </cell>
          <cell r="O78">
            <v>17.574141259481902</v>
          </cell>
          <cell r="P78">
            <v>2.0430477637493678</v>
          </cell>
          <cell r="R78">
            <v>26.75</v>
          </cell>
          <cell r="S78">
            <v>4.3028975022319154</v>
          </cell>
          <cell r="T78">
            <v>6.2167411578185998</v>
          </cell>
          <cell r="V78">
            <v>30.4</v>
          </cell>
          <cell r="W78">
            <v>4.5182182538281115</v>
          </cell>
          <cell r="X78">
            <v>6.7283159626570175</v>
          </cell>
          <cell r="Z78">
            <v>6.6</v>
          </cell>
          <cell r="AA78">
            <v>0.93767921106089647</v>
          </cell>
          <cell r="AB78">
            <v>7.0386545016101145</v>
          </cell>
          <cell r="AD78">
            <v>1.98</v>
          </cell>
          <cell r="AE78">
            <v>0.36154374154139823</v>
          </cell>
          <cell r="AF78">
            <v>5.4765157642018867</v>
          </cell>
        </row>
        <row r="79">
          <cell r="A79">
            <v>37741</v>
          </cell>
          <cell r="B79">
            <v>77.25</v>
          </cell>
          <cell r="C79">
            <v>5.9254803501063558</v>
          </cell>
          <cell r="D79">
            <v>13.036917757834342</v>
          </cell>
          <cell r="F79">
            <v>14.45</v>
          </cell>
          <cell r="G79" t="e">
            <v>#REF!</v>
          </cell>
          <cell r="H79" t="e">
            <v>#REF!</v>
          </cell>
          <cell r="J79">
            <v>7.6</v>
          </cell>
          <cell r="K79">
            <v>18.094811591662538</v>
          </cell>
          <cell r="L79">
            <v>0.42000989960579732</v>
          </cell>
          <cell r="N79">
            <v>35.019489999999998</v>
          </cell>
          <cell r="O79">
            <v>17.80032068593513</v>
          </cell>
          <cell r="P79">
            <v>1.9673516347191735</v>
          </cell>
          <cell r="R79">
            <v>24.55</v>
          </cell>
          <cell r="S79">
            <v>4.3240806286869224</v>
          </cell>
          <cell r="T79">
            <v>5.6775074537532406</v>
          </cell>
          <cell r="V79">
            <v>28.45</v>
          </cell>
          <cell r="W79">
            <v>4.5359623274367307</v>
          </cell>
          <cell r="X79">
            <v>6.2720979466505131</v>
          </cell>
          <cell r="Z79">
            <v>6.1</v>
          </cell>
          <cell r="AA79">
            <v>0.94037640079241858</v>
          </cell>
          <cell r="AB79">
            <v>6.4867642306418656</v>
          </cell>
          <cell r="AD79">
            <v>1.79</v>
          </cell>
          <cell r="AE79">
            <v>0.35711332229156229</v>
          </cell>
          <cell r="AF79">
            <v>5.0124145145684844</v>
          </cell>
        </row>
        <row r="80">
          <cell r="A80">
            <v>37772</v>
          </cell>
          <cell r="B80">
            <v>83</v>
          </cell>
          <cell r="C80">
            <v>5.9350699166579473</v>
          </cell>
          <cell r="D80">
            <v>13.984670975323153</v>
          </cell>
          <cell r="F80">
            <v>14.7</v>
          </cell>
          <cell r="G80" t="e">
            <v>#REF!</v>
          </cell>
          <cell r="H80" t="e">
            <v>#REF!</v>
          </cell>
          <cell r="J80">
            <v>8</v>
          </cell>
          <cell r="K80">
            <v>18.158155485524901</v>
          </cell>
          <cell r="L80">
            <v>0.44057338347924951</v>
          </cell>
          <cell r="N80">
            <v>36.790140000000001</v>
          </cell>
          <cell r="O80">
            <v>18.026500112388359</v>
          </cell>
          <cell r="P80">
            <v>2.0408920073573626</v>
          </cell>
          <cell r="R80">
            <v>26.1</v>
          </cell>
          <cell r="S80">
            <v>4.3452637551419295</v>
          </cell>
          <cell r="T80">
            <v>6.0065398720882701</v>
          </cell>
          <cell r="V80">
            <v>31.4</v>
          </cell>
          <cell r="W80">
            <v>4.5537064010453498</v>
          </cell>
          <cell r="X80">
            <v>6.8954818854355233</v>
          </cell>
          <cell r="Z80">
            <v>6.4</v>
          </cell>
          <cell r="AA80">
            <v>0.94307359052394069</v>
          </cell>
          <cell r="AB80">
            <v>6.7863208813263141</v>
          </cell>
          <cell r="AD80">
            <v>2.0249999999999999</v>
          </cell>
          <cell r="AE80">
            <v>0.35268290304172634</v>
          </cell>
          <cell r="AF80">
            <v>5.741701632076051</v>
          </cell>
        </row>
        <row r="81">
          <cell r="A81">
            <v>37802</v>
          </cell>
          <cell r="B81">
            <v>82.5</v>
          </cell>
          <cell r="C81">
            <v>5.9446594832095387</v>
          </cell>
          <cell r="D81">
            <v>13.878002639683242</v>
          </cell>
          <cell r="F81">
            <v>15.4</v>
          </cell>
          <cell r="G81" t="e">
            <v>#REF!</v>
          </cell>
          <cell r="H81" t="e">
            <v>#REF!</v>
          </cell>
          <cell r="J81">
            <v>7.85</v>
          </cell>
          <cell r="K81">
            <v>18.221499379387264</v>
          </cell>
          <cell r="L81">
            <v>0.43080977237691909</v>
          </cell>
          <cell r="N81">
            <v>38.167299999999997</v>
          </cell>
          <cell r="O81">
            <v>18.252679538841587</v>
          </cell>
          <cell r="P81">
            <v>2.0910518874108441</v>
          </cell>
          <cell r="R81">
            <v>28.65</v>
          </cell>
          <cell r="S81">
            <v>4.3664468815969366</v>
          </cell>
          <cell r="T81">
            <v>6.5613989536320343</v>
          </cell>
          <cell r="V81">
            <v>33</v>
          </cell>
          <cell r="W81">
            <v>4.571450474653969</v>
          </cell>
          <cell r="X81">
            <v>7.2187154127482698</v>
          </cell>
          <cell r="Z81">
            <v>6.5</v>
          </cell>
          <cell r="AA81">
            <v>0.9457707802554628</v>
          </cell>
          <cell r="AB81">
            <v>6.8727012249673018</v>
          </cell>
          <cell r="AD81">
            <v>2.1749999999999998</v>
          </cell>
          <cell r="AE81">
            <v>0.34825248379189039</v>
          </cell>
          <cell r="AF81">
            <v>6.245468736698923</v>
          </cell>
        </row>
        <row r="82">
          <cell r="A82">
            <v>37833</v>
          </cell>
          <cell r="B82">
            <v>84</v>
          </cell>
          <cell r="C82">
            <v>5.9542490497611302</v>
          </cell>
          <cell r="D82">
            <v>14.107572474377751</v>
          </cell>
          <cell r="F82">
            <v>16.350000000000001</v>
          </cell>
          <cell r="G82" t="e">
            <v>#REF!</v>
          </cell>
          <cell r="H82" t="e">
            <v>#REF!</v>
          </cell>
          <cell r="J82">
            <v>8.5</v>
          </cell>
          <cell r="K82">
            <v>18.284843273249628</v>
          </cell>
          <cell r="L82">
            <v>0.46486589318680877</v>
          </cell>
          <cell r="N82">
            <v>37.872199999999999</v>
          </cell>
          <cell r="O82">
            <v>18.478858965294815</v>
          </cell>
          <cell r="P82">
            <v>2.0494880160689499</v>
          </cell>
          <cell r="R82">
            <v>31.1</v>
          </cell>
          <cell r="S82">
            <v>4.3876300080519437</v>
          </cell>
          <cell r="T82">
            <v>7.0881090572648437</v>
          </cell>
          <cell r="V82">
            <v>33</v>
          </cell>
          <cell r="W82">
            <v>4.5891945482625882</v>
          </cell>
          <cell r="X82">
            <v>7.1908043237115296</v>
          </cell>
          <cell r="Z82">
            <v>7.65</v>
          </cell>
          <cell r="AA82">
            <v>0.9484679699869849</v>
          </cell>
          <cell r="AB82">
            <v>8.0656387374947158</v>
          </cell>
          <cell r="AD82">
            <v>2.375</v>
          </cell>
          <cell r="AE82">
            <v>0.34382206454205444</v>
          </cell>
          <cell r="AF82">
            <v>6.907642774943267</v>
          </cell>
        </row>
        <row r="83">
          <cell r="A83">
            <v>37864</v>
          </cell>
          <cell r="B83">
            <v>86.5</v>
          </cell>
          <cell r="C83">
            <v>5.9638386163127217</v>
          </cell>
          <cell r="D83">
            <v>14.504081274667453</v>
          </cell>
          <cell r="F83">
            <v>18.399999999999999</v>
          </cell>
          <cell r="G83" t="e">
            <v>#REF!</v>
          </cell>
          <cell r="H83" t="e">
            <v>#REF!</v>
          </cell>
          <cell r="J83">
            <v>10</v>
          </cell>
          <cell r="K83">
            <v>18.348187167111991</v>
          </cell>
          <cell r="L83">
            <v>0.54501297097755752</v>
          </cell>
          <cell r="N83">
            <v>45.446640000000002</v>
          </cell>
          <cell r="O83">
            <v>18.705038391748044</v>
          </cell>
          <cell r="P83">
            <v>2.4296469778992456</v>
          </cell>
          <cell r="R83">
            <v>35.5</v>
          </cell>
          <cell r="S83">
            <v>4.4088131345069508</v>
          </cell>
          <cell r="T83">
            <v>8.0520536745248243</v>
          </cell>
          <cell r="V83">
            <v>39.799999999999997</v>
          </cell>
          <cell r="W83">
            <v>4.6069386218712074</v>
          </cell>
          <cell r="X83">
            <v>8.6391426642958766</v>
          </cell>
          <cell r="Z83">
            <v>9</v>
          </cell>
          <cell r="AA83">
            <v>0.95116515971850701</v>
          </cell>
          <cell r="AB83">
            <v>9.4620791226872836</v>
          </cell>
          <cell r="AD83">
            <v>2.4500000000000002</v>
          </cell>
          <cell r="AE83">
            <v>0.33939164529221849</v>
          </cell>
          <cell r="AF83">
            <v>7.2187987947980679</v>
          </cell>
        </row>
        <row r="84">
          <cell r="A84">
            <v>37894</v>
          </cell>
          <cell r="B84">
            <v>95</v>
          </cell>
          <cell r="C84">
            <v>5.9734281828643132</v>
          </cell>
          <cell r="D84">
            <v>15.903765323993003</v>
          </cell>
          <cell r="F84">
            <v>19.899999999999999</v>
          </cell>
          <cell r="G84" t="e">
            <v>#REF!</v>
          </cell>
          <cell r="H84" t="e">
            <v>#REF!</v>
          </cell>
          <cell r="J84">
            <v>11.2</v>
          </cell>
          <cell r="K84">
            <v>18.411531060974355</v>
          </cell>
          <cell r="L84">
            <v>0.60831442876251951</v>
          </cell>
          <cell r="N84">
            <v>46.627070000000003</v>
          </cell>
          <cell r="O84">
            <v>18.931217818201272</v>
          </cell>
          <cell r="P84">
            <v>2.4629725592809337</v>
          </cell>
          <cell r="R84">
            <v>41</v>
          </cell>
          <cell r="S84">
            <v>4.4299962609619579</v>
          </cell>
          <cell r="T84">
            <v>9.2550868183118951</v>
          </cell>
          <cell r="V84">
            <v>45.6</v>
          </cell>
          <cell r="W84">
            <v>4.6246826954798266</v>
          </cell>
          <cell r="X84">
            <v>9.8601359277187868</v>
          </cell>
          <cell r="Z84">
            <v>9.3000000000000007</v>
          </cell>
          <cell r="AA84">
            <v>0.95386234945002912</v>
          </cell>
          <cell r="AB84">
            <v>9.7498344550050913</v>
          </cell>
          <cell r="AD84">
            <v>2.875</v>
          </cell>
          <cell r="AE84">
            <v>0.33496122604238254</v>
          </cell>
          <cell r="AF84">
            <v>8.5830829853608996</v>
          </cell>
        </row>
        <row r="85">
          <cell r="A85">
            <v>37925</v>
          </cell>
          <cell r="B85">
            <v>97</v>
          </cell>
          <cell r="C85">
            <v>5.9830177494159047</v>
          </cell>
          <cell r="D85">
            <v>16.212554276555451</v>
          </cell>
          <cell r="F85">
            <v>23.2</v>
          </cell>
          <cell r="G85" t="e">
            <v>#REF!</v>
          </cell>
          <cell r="H85" t="e">
            <v>#REF!</v>
          </cell>
          <cell r="J85">
            <v>13.45</v>
          </cell>
          <cell r="K85">
            <v>18.474874954836718</v>
          </cell>
          <cell r="L85">
            <v>0.72801575290114706</v>
          </cell>
          <cell r="N85">
            <v>53.365369999999999</v>
          </cell>
          <cell r="O85">
            <v>19.157397244654501</v>
          </cell>
          <cell r="P85">
            <v>2.7856273646405993</v>
          </cell>
          <cell r="R85">
            <v>47.9</v>
          </cell>
          <cell r="S85">
            <v>4.4511793874169649</v>
          </cell>
          <cell r="T85">
            <v>10.761192895394975</v>
          </cell>
          <cell r="V85">
            <v>48.9</v>
          </cell>
          <cell r="W85">
            <v>4.6424267690884458</v>
          </cell>
          <cell r="X85">
            <v>10.533284084436222</v>
          </cell>
          <cell r="Z85">
            <v>10.45</v>
          </cell>
          <cell r="AA85">
            <v>0.95655953918155123</v>
          </cell>
          <cell r="AB85">
            <v>10.924568280340603</v>
          </cell>
          <cell r="AD85">
            <v>3.4750000000000001</v>
          </cell>
          <cell r="AE85">
            <v>0.33053080679254659</v>
          </cell>
          <cell r="AF85">
            <v>10.513392181870174</v>
          </cell>
        </row>
        <row r="86">
          <cell r="A86">
            <v>37955</v>
          </cell>
          <cell r="B86">
            <v>99.75</v>
          </cell>
          <cell r="C86">
            <v>5.9926073159674962</v>
          </cell>
          <cell r="D86">
            <v>16.645509164969461</v>
          </cell>
          <cell r="F86">
            <v>24.4</v>
          </cell>
          <cell r="G86" t="e">
            <v>#REF!</v>
          </cell>
          <cell r="H86" t="e">
            <v>#REF!</v>
          </cell>
          <cell r="J86">
            <v>14.45</v>
          </cell>
          <cell r="K86">
            <v>18.538218848699081</v>
          </cell>
          <cell r="L86">
            <v>0.77947078508106116</v>
          </cell>
          <cell r="N86">
            <v>56.562370000000001</v>
          </cell>
          <cell r="O86">
            <v>19.383576671107729</v>
          </cell>
          <cell r="P86">
            <v>2.9180564020627462</v>
          </cell>
          <cell r="R86">
            <v>46.4</v>
          </cell>
          <cell r="S86">
            <v>4.472362513871972</v>
          </cell>
          <cell r="T86">
            <v>10.374829825641514</v>
          </cell>
          <cell r="V86">
            <v>50.25</v>
          </cell>
          <cell r="W86">
            <v>4.6601708426970649</v>
          </cell>
          <cell r="X86">
            <v>10.782866486267681</v>
          </cell>
          <cell r="Z86">
            <v>10.45</v>
          </cell>
          <cell r="AA86">
            <v>0.95925672891307334</v>
          </cell>
          <cell r="AB86">
            <v>10.893851129760451</v>
          </cell>
          <cell r="AD86">
            <v>3.55</v>
          </cell>
          <cell r="AE86">
            <v>0.32610038754271065</v>
          </cell>
          <cell r="AF86">
            <v>10.886218280053539</v>
          </cell>
        </row>
        <row r="87">
          <cell r="A87">
            <v>37986</v>
          </cell>
          <cell r="B87">
            <v>102</v>
          </cell>
          <cell r="C87">
            <v>6.0021968825190921</v>
          </cell>
          <cell r="D87">
            <v>16.993777777777776</v>
          </cell>
          <cell r="F87">
            <v>23.85</v>
          </cell>
          <cell r="G87" t="e">
            <v>#REF!</v>
          </cell>
          <cell r="H87" t="e">
            <v>#REF!</v>
          </cell>
          <cell r="J87">
            <v>14.6</v>
          </cell>
          <cell r="K87">
            <v>18.601562742561445</v>
          </cell>
          <cell r="L87">
            <v>0.78488029215923671</v>
          </cell>
          <cell r="N87">
            <v>56.808300000000003</v>
          </cell>
          <cell r="O87">
            <v>19.609756097560975</v>
          </cell>
          <cell r="P87">
            <v>2.8969406716417914</v>
          </cell>
          <cell r="R87">
            <v>46.2</v>
          </cell>
          <cell r="S87">
            <v>4.4935456403269747</v>
          </cell>
          <cell r="T87">
            <v>10.281413319891914</v>
          </cell>
          <cell r="V87">
            <v>50.75</v>
          </cell>
          <cell r="W87">
            <v>4.6779149163056832</v>
          </cell>
          <cell r="X87">
            <v>10.848850590057138</v>
          </cell>
          <cell r="Z87">
            <v>10.75</v>
          </cell>
          <cell r="AA87">
            <v>0.96195391864459523</v>
          </cell>
          <cell r="AB87">
            <v>11.175171483418749</v>
          </cell>
          <cell r="AD87">
            <v>4.2</v>
          </cell>
          <cell r="AE87">
            <v>0.32166996829287481</v>
          </cell>
          <cell r="AF87">
            <v>13.056860801428545</v>
          </cell>
        </row>
        <row r="88">
          <cell r="A88">
            <v>38017</v>
          </cell>
          <cell r="B88">
            <v>105.5</v>
          </cell>
          <cell r="C88">
            <v>6.0172786553684139</v>
          </cell>
          <cell r="D88">
            <v>17.532842675629862</v>
          </cell>
          <cell r="F88">
            <v>23.9</v>
          </cell>
          <cell r="G88" t="e">
            <v>#REF!</v>
          </cell>
          <cell r="H88" t="e">
            <v>#REF!</v>
          </cell>
          <cell r="J88">
            <v>14.65</v>
          </cell>
          <cell r="K88">
            <v>18.787692173983746</v>
          </cell>
          <cell r="L88">
            <v>0.77976580967653841</v>
          </cell>
          <cell r="N88">
            <v>59.021610000000003</v>
          </cell>
          <cell r="O88">
            <v>19.806914691864971</v>
          </cell>
          <cell r="P88">
            <v>2.9798487507113443</v>
          </cell>
          <cell r="R88">
            <v>49.9</v>
          </cell>
          <cell r="S88">
            <v>4.5167222979109889</v>
          </cell>
          <cell r="T88">
            <v>11.047834404846862</v>
          </cell>
          <cell r="V88">
            <v>48.8</v>
          </cell>
          <cell r="W88">
            <v>4.6776963454960629</v>
          </cell>
          <cell r="X88">
            <v>10.432485650118622</v>
          </cell>
          <cell r="Z88">
            <v>12.1</v>
          </cell>
          <cell r="AA88">
            <v>0.96078498669077272</v>
          </cell>
          <cell r="AB88">
            <v>12.593868729855963</v>
          </cell>
          <cell r="AD88">
            <v>4.2</v>
          </cell>
          <cell r="AE88">
            <v>0.32193252201221778</v>
          </cell>
          <cell r="AF88">
            <v>13.046212211640439</v>
          </cell>
        </row>
        <row r="89">
          <cell r="A89">
            <v>38046</v>
          </cell>
          <cell r="B89">
            <v>110.5</v>
          </cell>
          <cell r="C89">
            <v>6.0323604282177357</v>
          </cell>
          <cell r="D89">
            <v>18.317870975200879</v>
          </cell>
          <cell r="F89">
            <v>25.3</v>
          </cell>
          <cell r="G89" t="e">
            <v>#REF!</v>
          </cell>
          <cell r="H89" t="e">
            <v>#REF!</v>
          </cell>
          <cell r="J89">
            <v>15.9</v>
          </cell>
          <cell r="K89">
            <v>18.973821605406048</v>
          </cell>
          <cell r="L89">
            <v>0.83799670570686458</v>
          </cell>
          <cell r="N89">
            <v>59.021610000000003</v>
          </cell>
          <cell r="O89">
            <v>20.004073286168968</v>
          </cell>
          <cell r="P89">
            <v>2.9504795926141791</v>
          </cell>
          <cell r="R89">
            <v>50.25</v>
          </cell>
          <cell r="S89">
            <v>4.5398989554950031</v>
          </cell>
          <cell r="T89">
            <v>11.068528285013569</v>
          </cell>
          <cell r="V89">
            <v>52</v>
          </cell>
          <cell r="W89">
            <v>4.6774777746864427</v>
          </cell>
          <cell r="X89">
            <v>11.117102529361745</v>
          </cell>
          <cell r="Z89">
            <v>12.35</v>
          </cell>
          <cell r="AA89">
            <v>0.95961605473695022</v>
          </cell>
          <cell r="AB89">
            <v>12.869730491728152</v>
          </cell>
          <cell r="AD89">
            <v>4.1500000000000004</v>
          </cell>
          <cell r="AE89">
            <v>0.32219507573156075</v>
          </cell>
          <cell r="AF89">
            <v>12.88039548890438</v>
          </cell>
        </row>
        <row r="90">
          <cell r="A90">
            <v>38077</v>
          </cell>
          <cell r="B90">
            <v>99.5</v>
          </cell>
          <cell r="C90">
            <v>6.0474422010670574</v>
          </cell>
          <cell r="D90">
            <v>16.45323703671669</v>
          </cell>
          <cell r="F90">
            <v>23.55</v>
          </cell>
          <cell r="G90" t="e">
            <v>#REF!</v>
          </cell>
          <cell r="H90" t="e">
            <v>#REF!</v>
          </cell>
          <cell r="J90">
            <v>14.85</v>
          </cell>
          <cell r="K90">
            <v>19.15995103682835</v>
          </cell>
          <cell r="L90">
            <v>0.77505417270931609</v>
          </cell>
          <cell r="N90">
            <v>54.103140000000003</v>
          </cell>
          <cell r="O90">
            <v>20.201231880472964</v>
          </cell>
          <cell r="P90">
            <v>2.6782099388848413</v>
          </cell>
          <cell r="R90">
            <v>49.4</v>
          </cell>
          <cell r="S90">
            <v>4.5630756130790173</v>
          </cell>
          <cell r="T90">
            <v>10.826031428978768</v>
          </cell>
          <cell r="V90">
            <v>54.25</v>
          </cell>
          <cell r="W90">
            <v>4.6772592038768224</v>
          </cell>
          <cell r="X90">
            <v>11.598672991018759</v>
          </cell>
          <cell r="Z90">
            <v>11.15</v>
          </cell>
          <cell r="AA90">
            <v>0.95844712278312771</v>
          </cell>
          <cell r="AB90">
            <v>11.633401295652867</v>
          </cell>
          <cell r="AD90">
            <v>3.4249999999999998</v>
          </cell>
          <cell r="AE90">
            <v>0.32245762945090373</v>
          </cell>
          <cell r="AF90">
            <v>10.62155051450404</v>
          </cell>
        </row>
        <row r="91">
          <cell r="A91">
            <v>38107</v>
          </cell>
          <cell r="B91">
            <v>99</v>
          </cell>
          <cell r="C91">
            <v>6.0625239739163792</v>
          </cell>
          <cell r="D91">
            <v>16.329832331540651</v>
          </cell>
          <cell r="F91">
            <v>22.8</v>
          </cell>
          <cell r="G91" t="e">
            <v>#REF!</v>
          </cell>
          <cell r="H91" t="e">
            <v>#REF!</v>
          </cell>
          <cell r="J91">
            <v>13.3</v>
          </cell>
          <cell r="K91">
            <v>19.346080468250651</v>
          </cell>
          <cell r="L91">
            <v>0.68747775663535426</v>
          </cell>
          <cell r="N91">
            <v>55.086829999999999</v>
          </cell>
          <cell r="O91">
            <v>20.39839047477696</v>
          </cell>
          <cell r="P91">
            <v>2.7005478725449454</v>
          </cell>
          <cell r="R91">
            <v>49.5</v>
          </cell>
          <cell r="S91">
            <v>4.5862522706630315</v>
          </cell>
          <cell r="T91">
            <v>10.793126299797681</v>
          </cell>
          <cell r="V91">
            <v>56.5</v>
          </cell>
          <cell r="W91">
            <v>4.6770406330672021</v>
          </cell>
          <cell r="X91">
            <v>12.080288462866596</v>
          </cell>
          <cell r="Z91">
            <v>9.35</v>
          </cell>
          <cell r="AA91">
            <v>0.95727819082930521</v>
          </cell>
          <cell r="AB91">
            <v>9.767275688062993</v>
          </cell>
          <cell r="AD91">
            <v>3.125</v>
          </cell>
          <cell r="AE91">
            <v>0.3227201831702467</v>
          </cell>
          <cell r="AF91">
            <v>9.6833113110606046</v>
          </cell>
        </row>
        <row r="92">
          <cell r="A92">
            <v>38138</v>
          </cell>
          <cell r="B92">
            <v>99.5</v>
          </cell>
          <cell r="C92">
            <v>6.077605746765701</v>
          </cell>
          <cell r="D92">
            <v>16.3715785698917</v>
          </cell>
          <cell r="F92">
            <v>22.75</v>
          </cell>
          <cell r="G92" t="e">
            <v>#REF!</v>
          </cell>
          <cell r="H92" t="e">
            <v>#REF!</v>
          </cell>
          <cell r="J92">
            <v>13.55</v>
          </cell>
          <cell r="K92">
            <v>19.532209899672953</v>
          </cell>
          <cell r="L92">
            <v>0.69372590554778346</v>
          </cell>
          <cell r="N92">
            <v>51.152059999999999</v>
          </cell>
          <cell r="O92">
            <v>20.595549069080956</v>
          </cell>
          <cell r="P92">
            <v>2.4836463368093433</v>
          </cell>
          <cell r="R92">
            <v>44.9</v>
          </cell>
          <cell r="S92">
            <v>4.6094289282470458</v>
          </cell>
          <cell r="T92">
            <v>9.7409029836317185</v>
          </cell>
          <cell r="V92">
            <v>53</v>
          </cell>
          <cell r="W92">
            <v>4.6768220622575818</v>
          </cell>
          <cell r="X92">
            <v>11.332481607054341</v>
          </cell>
          <cell r="Z92">
            <v>9.9</v>
          </cell>
          <cell r="AA92">
            <v>0.9561092588754827</v>
          </cell>
          <cell r="AB92">
            <v>10.354465149353093</v>
          </cell>
          <cell r="AD92">
            <v>3.0249999999999999</v>
          </cell>
          <cell r="AE92">
            <v>0.32298273688958967</v>
          </cell>
          <cell r="AF92">
            <v>9.3658256448365034</v>
          </cell>
        </row>
        <row r="93">
          <cell r="A93">
            <v>38168</v>
          </cell>
          <cell r="B93">
            <v>100</v>
          </cell>
          <cell r="C93">
            <v>6.0926875196150228</v>
          </cell>
          <cell r="D93">
            <v>16.413118131868131</v>
          </cell>
          <cell r="F93">
            <v>22.3</v>
          </cell>
          <cell r="G93" t="e">
            <v>#REF!</v>
          </cell>
          <cell r="H93" t="e">
            <v>#REF!</v>
          </cell>
          <cell r="J93">
            <v>13.3</v>
          </cell>
          <cell r="K93">
            <v>19.718339331095255</v>
          </cell>
          <cell r="L93">
            <v>0.67449899186115958</v>
          </cell>
          <cell r="N93">
            <v>45.249899999999997</v>
          </cell>
          <cell r="O93">
            <v>20.792707663384952</v>
          </cell>
          <cell r="P93">
            <v>2.1762389359074716</v>
          </cell>
          <cell r="R93">
            <v>46.3</v>
          </cell>
          <cell r="S93">
            <v>4.63260558583106</v>
          </cell>
          <cell r="T93">
            <v>9.9943755500381268</v>
          </cell>
          <cell r="V93">
            <v>53.5</v>
          </cell>
          <cell r="W93">
            <v>4.6766034914479615</v>
          </cell>
          <cell r="X93">
            <v>11.439926454708997</v>
          </cell>
          <cell r="Z93">
            <v>10.1</v>
          </cell>
          <cell r="AA93">
            <v>0.9549403269216602</v>
          </cell>
          <cell r="AB93">
            <v>10.576577106716497</v>
          </cell>
          <cell r="AD93">
            <v>2.85</v>
          </cell>
          <cell r="AE93">
            <v>0.32324529060893264</v>
          </cell>
          <cell r="AF93">
            <v>8.8168337878369147</v>
          </cell>
        </row>
        <row r="94">
          <cell r="A94">
            <v>38199</v>
          </cell>
          <cell r="B94">
            <v>99.75</v>
          </cell>
          <cell r="C94">
            <v>6.1077692924643445</v>
          </cell>
          <cell r="D94">
            <v>16.331658126489774</v>
          </cell>
          <cell r="F94">
            <v>22.1</v>
          </cell>
          <cell r="G94" t="e">
            <v>#REF!</v>
          </cell>
          <cell r="H94" t="e">
            <v>#REF!</v>
          </cell>
          <cell r="J94">
            <v>13.35</v>
          </cell>
          <cell r="K94">
            <v>19.904468762517556</v>
          </cell>
          <cell r="L94">
            <v>0.67070365751934113</v>
          </cell>
          <cell r="N94">
            <v>48</v>
          </cell>
          <cell r="O94">
            <v>20.989866257688949</v>
          </cell>
          <cell r="P94">
            <v>2.2868178105907071</v>
          </cell>
          <cell r="R94">
            <v>46.9</v>
          </cell>
          <cell r="S94">
            <v>4.6557822434150742</v>
          </cell>
          <cell r="T94">
            <v>10.07349518254064</v>
          </cell>
          <cell r="V94">
            <v>56</v>
          </cell>
          <cell r="W94">
            <v>4.6763849206383412</v>
          </cell>
          <cell r="X94">
            <v>11.975062136748962</v>
          </cell>
          <cell r="Z94">
            <v>10.5</v>
          </cell>
          <cell r="AA94">
            <v>0.95377139496783769</v>
          </cell>
          <cell r="AB94">
            <v>11.008927354498898</v>
          </cell>
          <cell r="AD94">
            <v>2.7749999999999999</v>
          </cell>
          <cell r="AE94">
            <v>0.32350784432827562</v>
          </cell>
          <cell r="AF94">
            <v>8.5778445519982593</v>
          </cell>
        </row>
        <row r="95">
          <cell r="A95">
            <v>38230</v>
          </cell>
          <cell r="B95">
            <v>104</v>
          </cell>
          <cell r="C95">
            <v>6.1228510653136663</v>
          </cell>
          <cell r="D95">
            <v>16.985551157559016</v>
          </cell>
          <cell r="F95">
            <v>21.4</v>
          </cell>
          <cell r="G95" t="e">
            <v>#REF!</v>
          </cell>
          <cell r="H95" t="e">
            <v>#REF!</v>
          </cell>
          <cell r="J95">
            <v>14</v>
          </cell>
          <cell r="K95">
            <v>20.090598193939858</v>
          </cell>
          <cell r="L95">
            <v>0.69684336249494905</v>
          </cell>
          <cell r="N95">
            <v>56</v>
          </cell>
          <cell r="O95">
            <v>21.187024851992945</v>
          </cell>
          <cell r="P95">
            <v>2.6431271210187113</v>
          </cell>
          <cell r="R95">
            <v>51</v>
          </cell>
          <cell r="S95">
            <v>4.6789589009990884</v>
          </cell>
          <cell r="T95">
            <v>10.899860648297226</v>
          </cell>
          <cell r="V95">
            <v>56.75</v>
          </cell>
          <cell r="W95">
            <v>4.6761663498287209</v>
          </cell>
          <cell r="X95">
            <v>12.136009661435301</v>
          </cell>
          <cell r="Z95">
            <v>10.65</v>
          </cell>
          <cell r="AA95">
            <v>0.95260246301401519</v>
          </cell>
          <cell r="AB95">
            <v>11.179899710004541</v>
          </cell>
          <cell r="AD95">
            <v>3.2</v>
          </cell>
          <cell r="AE95">
            <v>0.32377039804761859</v>
          </cell>
          <cell r="AF95">
            <v>9.8835471658201435</v>
          </cell>
        </row>
        <row r="96">
          <cell r="A96">
            <v>38260</v>
          </cell>
          <cell r="B96">
            <v>104</v>
          </cell>
          <cell r="C96">
            <v>6.1379328381629881</v>
          </cell>
          <cell r="D96">
            <v>16.943815245643187</v>
          </cell>
          <cell r="F96">
            <v>21.9</v>
          </cell>
          <cell r="G96" t="e">
            <v>#REF!</v>
          </cell>
          <cell r="H96" t="e">
            <v>#REF!</v>
          </cell>
          <cell r="J96">
            <v>14.25</v>
          </cell>
          <cell r="K96">
            <v>20.27672762536216</v>
          </cell>
          <cell r="L96">
            <v>0.70277612163493675</v>
          </cell>
          <cell r="N96">
            <v>55.75</v>
          </cell>
          <cell r="O96">
            <v>21.384183446296941</v>
          </cell>
          <cell r="P96">
            <v>2.6070670474749469</v>
          </cell>
          <cell r="R96">
            <v>51</v>
          </cell>
          <cell r="S96">
            <v>4.7021355585831026</v>
          </cell>
          <cell r="T96">
            <v>10.846135625951172</v>
          </cell>
          <cell r="V96">
            <v>57</v>
          </cell>
          <cell r="W96">
            <v>4.6759477790191006</v>
          </cell>
          <cell r="X96">
            <v>12.190042039339714</v>
          </cell>
          <cell r="Z96">
            <v>10.65</v>
          </cell>
          <cell r="AA96">
            <v>0.95143353106019268</v>
          </cell>
          <cell r="AB96">
            <v>11.193635343220025</v>
          </cell>
          <cell r="AD96">
            <v>3.1749999999999998</v>
          </cell>
          <cell r="AE96">
            <v>0.32403295176696156</v>
          </cell>
          <cell r="AF96">
            <v>9.7983861909309784</v>
          </cell>
        </row>
        <row r="97">
          <cell r="A97">
            <v>38291</v>
          </cell>
          <cell r="B97">
            <v>103.5</v>
          </cell>
          <cell r="C97">
            <v>6.1530146110123098</v>
          </cell>
          <cell r="D97">
            <v>16.821022952677811</v>
          </cell>
          <cell r="F97">
            <v>22.3</v>
          </cell>
          <cell r="G97" t="e">
            <v>#REF!</v>
          </cell>
          <cell r="H97" t="e">
            <v>#REF!</v>
          </cell>
          <cell r="J97">
            <v>14.15</v>
          </cell>
          <cell r="K97">
            <v>20.462857056784461</v>
          </cell>
          <cell r="L97">
            <v>0.69149679151516952</v>
          </cell>
          <cell r="N97">
            <v>56</v>
          </cell>
          <cell r="O97">
            <v>21.581342040600937</v>
          </cell>
          <cell r="P97">
            <v>2.5948339957101512</v>
          </cell>
          <cell r="R97">
            <v>53.25</v>
          </cell>
          <cell r="S97">
            <v>4.7253122161671168</v>
          </cell>
          <cell r="T97">
            <v>11.269096636156908</v>
          </cell>
          <cell r="V97">
            <v>60</v>
          </cell>
          <cell r="W97">
            <v>4.6757292082094803</v>
          </cell>
          <cell r="X97">
            <v>12.832223024090899</v>
          </cell>
          <cell r="Z97">
            <v>10.45</v>
          </cell>
          <cell r="AA97">
            <v>0.95026459910637018</v>
          </cell>
          <cell r="AB97">
            <v>10.996937073976227</v>
          </cell>
          <cell r="AD97">
            <v>3.1</v>
          </cell>
          <cell r="AE97">
            <v>0.32429550548630454</v>
          </cell>
          <cell r="AF97">
            <v>9.5591827439955601</v>
          </cell>
        </row>
        <row r="98">
          <cell r="A98">
            <v>38321</v>
          </cell>
          <cell r="B98">
            <v>108</v>
          </cell>
          <cell r="C98">
            <v>6.1680963838616316</v>
          </cell>
          <cell r="D98">
            <v>17.509454016084124</v>
          </cell>
          <cell r="F98">
            <v>24.45</v>
          </cell>
          <cell r="G98" t="e">
            <v>#REF!</v>
          </cell>
          <cell r="H98" t="e">
            <v>#REF!</v>
          </cell>
          <cell r="J98">
            <v>14.6</v>
          </cell>
          <cell r="K98">
            <v>20.648986488206763</v>
          </cell>
          <cell r="L98">
            <v>0.70705649443562202</v>
          </cell>
          <cell r="N98">
            <v>60.75</v>
          </cell>
          <cell r="O98">
            <v>21.778500634904933</v>
          </cell>
          <cell r="P98">
            <v>2.7894482277918846</v>
          </cell>
          <cell r="R98">
            <v>55.25</v>
          </cell>
          <cell r="S98">
            <v>4.748488873751131</v>
          </cell>
          <cell r="T98">
            <v>11.635280500584713</v>
          </cell>
          <cell r="V98">
            <v>61.25</v>
          </cell>
          <cell r="W98">
            <v>4.6755106373998601</v>
          </cell>
          <cell r="X98">
            <v>13.100173382144691</v>
          </cell>
          <cell r="Z98">
            <v>11.1</v>
          </cell>
          <cell r="AA98">
            <v>0.94909566715254767</v>
          </cell>
          <cell r="AB98">
            <v>11.695343666779065</v>
          </cell>
          <cell r="AD98">
            <v>3.4249999999999998</v>
          </cell>
          <cell r="AE98">
            <v>0.32455805920564751</v>
          </cell>
          <cell r="AF98">
            <v>10.552811439600827</v>
          </cell>
        </row>
        <row r="99">
          <cell r="A99">
            <v>38352</v>
          </cell>
          <cell r="B99">
            <v>108</v>
          </cell>
          <cell r="C99">
            <v>6.1831781567109534</v>
          </cell>
          <cell r="D99">
            <v>17.466745622197781</v>
          </cell>
          <cell r="F99">
            <v>24.15</v>
          </cell>
          <cell r="G99" t="e">
            <v>#REF!</v>
          </cell>
          <cell r="H99" t="e">
            <v>#REF!</v>
          </cell>
          <cell r="J99">
            <v>14.85</v>
          </cell>
          <cell r="K99">
            <v>20.835115919629054</v>
          </cell>
          <cell r="L99">
            <v>0.71273901509756454</v>
          </cell>
          <cell r="N99">
            <v>60.25</v>
          </cell>
          <cell r="O99">
            <v>21.975659229208926</v>
          </cell>
          <cell r="P99">
            <v>2.741669743400406</v>
          </cell>
          <cell r="R99">
            <v>54.5</v>
          </cell>
          <cell r="S99">
            <v>4.7716655313351497</v>
          </cell>
          <cell r="T99">
            <v>11.42158846677388</v>
          </cell>
          <cell r="V99">
            <v>63</v>
          </cell>
          <cell r="W99">
            <v>4.6752920665902344</v>
          </cell>
          <cell r="X99">
            <v>13.475093984010053</v>
          </cell>
          <cell r="Z99">
            <v>11.1</v>
          </cell>
          <cell r="AA99">
            <v>0.9479267351987255</v>
          </cell>
          <cell r="AB99">
            <v>11.709765731708126</v>
          </cell>
          <cell r="AD99">
            <v>3.45</v>
          </cell>
          <cell r="AE99">
            <v>0.3248206129249902</v>
          </cell>
          <cell r="AF99">
            <v>10.62124712139712</v>
          </cell>
        </row>
        <row r="100">
          <cell r="A100">
            <v>38383</v>
          </cell>
          <cell r="B100">
            <v>105.5</v>
          </cell>
          <cell r="C100">
            <v>6.1772936499633859</v>
          </cell>
          <cell r="D100">
            <v>17.078676517284446</v>
          </cell>
          <cell r="F100">
            <v>23.25</v>
          </cell>
          <cell r="G100" t="e">
            <v>#REF!</v>
          </cell>
          <cell r="H100" t="e">
            <v>#REF!</v>
          </cell>
          <cell r="J100">
            <v>14.35</v>
          </cell>
          <cell r="K100">
            <v>20.576232554251451</v>
          </cell>
          <cell r="L100">
            <v>0.69740658121765875</v>
          </cell>
          <cell r="N100">
            <v>56.75</v>
          </cell>
          <cell r="O100">
            <v>22.204329614604465</v>
          </cell>
          <cell r="P100">
            <v>2.5558078530177193</v>
          </cell>
          <cell r="R100">
            <v>49.8</v>
          </cell>
          <cell r="S100">
            <v>4.8403471816200412</v>
          </cell>
          <cell r="T100">
            <v>10.288518185038987</v>
          </cell>
          <cell r="V100">
            <v>54.75</v>
          </cell>
          <cell r="W100">
            <v>4.6674238763450528</v>
          </cell>
          <cell r="X100">
            <v>11.730239517665879</v>
          </cell>
          <cell r="Z100">
            <v>10.9</v>
          </cell>
          <cell r="AA100">
            <v>0.95739717664254453</v>
          </cell>
          <cell r="AB100">
            <v>11.385034618782507</v>
          </cell>
          <cell r="AD100">
            <v>3.15</v>
          </cell>
          <cell r="AE100">
            <v>0.32060407895165721</v>
          </cell>
          <cell r="AF100">
            <v>9.8252025061570656</v>
          </cell>
        </row>
        <row r="101">
          <cell r="A101">
            <v>38411</v>
          </cell>
          <cell r="B101">
            <v>106.5</v>
          </cell>
          <cell r="C101">
            <v>6.1714091432158185</v>
          </cell>
          <cell r="D101">
            <v>17.256998771030212</v>
          </cell>
          <cell r="F101">
            <v>23.75</v>
          </cell>
          <cell r="G101" t="e">
            <v>#REF!</v>
          </cell>
          <cell r="H101" t="e">
            <v>#REF!</v>
          </cell>
          <cell r="J101">
            <v>14.85</v>
          </cell>
          <cell r="K101">
            <v>20.317349188873848</v>
          </cell>
          <cell r="L101">
            <v>0.73090243525135312</v>
          </cell>
          <cell r="N101">
            <v>59</v>
          </cell>
          <cell r="O101">
            <v>22.433000000000003</v>
          </cell>
          <cell r="P101">
            <v>2.6300539383943295</v>
          </cell>
          <cell r="R101">
            <v>52.25</v>
          </cell>
          <cell r="S101">
            <v>4.9090288319049327</v>
          </cell>
          <cell r="T101">
            <v>10.643653111266115</v>
          </cell>
          <cell r="V101">
            <v>61</v>
          </cell>
          <cell r="W101">
            <v>4.6595556860998713</v>
          </cell>
          <cell r="X101">
            <v>13.091376970120097</v>
          </cell>
          <cell r="Z101">
            <v>10.85</v>
          </cell>
          <cell r="AA101">
            <v>0.96686761808636357</v>
          </cell>
          <cell r="AB101">
            <v>11.221805133441592</v>
          </cell>
          <cell r="AD101">
            <v>3.25</v>
          </cell>
          <cell r="AE101">
            <v>0.31638754497832422</v>
          </cell>
          <cell r="AF101">
            <v>10.272212201724496</v>
          </cell>
        </row>
        <row r="102">
          <cell r="A102">
            <v>38442</v>
          </cell>
          <cell r="B102">
            <v>103.5</v>
          </cell>
          <cell r="C102">
            <v>6.165524636468251</v>
          </cell>
          <cell r="D102">
            <v>16.786892617022627</v>
          </cell>
          <cell r="F102">
            <v>22.45</v>
          </cell>
          <cell r="G102" t="e">
            <v>#REF!</v>
          </cell>
          <cell r="H102" t="e">
            <v>#REF!</v>
          </cell>
          <cell r="J102">
            <v>14.35</v>
          </cell>
          <cell r="K102">
            <v>20.058465823496245</v>
          </cell>
          <cell r="L102">
            <v>0.71540865220063754</v>
          </cell>
          <cell r="N102">
            <v>49.7</v>
          </cell>
          <cell r="O102">
            <v>22.661670385395542</v>
          </cell>
          <cell r="P102">
            <v>2.1931304777969713</v>
          </cell>
          <cell r="R102">
            <v>47.5</v>
          </cell>
          <cell r="S102">
            <v>4.9777104821898241</v>
          </cell>
          <cell r="T102">
            <v>9.5425397218167483</v>
          </cell>
          <cell r="V102">
            <v>57.75</v>
          </cell>
          <cell r="W102">
            <v>4.6516874958546897</v>
          </cell>
          <cell r="X102">
            <v>12.414849460859829</v>
          </cell>
          <cell r="Z102">
            <v>10.5</v>
          </cell>
          <cell r="AA102">
            <v>0.9763380595301826</v>
          </cell>
          <cell r="AB102">
            <v>10.754471668402067</v>
          </cell>
          <cell r="AD102">
            <v>3</v>
          </cell>
          <cell r="AE102">
            <v>0.31217101100499123</v>
          </cell>
          <cell r="AF102">
            <v>9.6101171929511224</v>
          </cell>
        </row>
        <row r="103">
          <cell r="A103">
            <v>38472</v>
          </cell>
          <cell r="B103">
            <v>106.5</v>
          </cell>
          <cell r="C103">
            <v>6.1596401297206835</v>
          </cell>
          <cell r="D103">
            <v>17.289971127717386</v>
          </cell>
          <cell r="F103">
            <v>22.85</v>
          </cell>
          <cell r="G103" t="e">
            <v>#REF!</v>
          </cell>
          <cell r="H103" t="e">
            <v>#REF!</v>
          </cell>
          <cell r="J103">
            <v>14.75</v>
          </cell>
          <cell r="K103">
            <v>19.799582458118643</v>
          </cell>
          <cell r="L103">
            <v>0.74496520475621919</v>
          </cell>
          <cell r="N103">
            <v>50.25</v>
          </cell>
          <cell r="O103">
            <v>22.890340770791081</v>
          </cell>
          <cell r="P103">
            <v>2.195249101058419</v>
          </cell>
          <cell r="R103">
            <v>49.2</v>
          </cell>
          <cell r="S103">
            <v>5.0463921324747156</v>
          </cell>
          <cell r="T103">
            <v>9.749539613338106</v>
          </cell>
          <cell r="V103">
            <v>57</v>
          </cell>
          <cell r="W103">
            <v>4.6438193056095081</v>
          </cell>
          <cell r="X103">
            <v>12.274379395241922</v>
          </cell>
          <cell r="Z103">
            <v>9.8000000000000007</v>
          </cell>
          <cell r="AA103">
            <v>0.98580850097400163</v>
          </cell>
          <cell r="AB103">
            <v>9.9410788102530798</v>
          </cell>
          <cell r="AD103">
            <v>3.05</v>
          </cell>
          <cell r="AE103">
            <v>0.30795447703165824</v>
          </cell>
          <cell r="AF103">
            <v>9.9040612411244631</v>
          </cell>
        </row>
        <row r="104">
          <cell r="A104">
            <v>38503</v>
          </cell>
          <cell r="B104">
            <v>104.5</v>
          </cell>
          <cell r="C104">
            <v>6.1537556229731161</v>
          </cell>
          <cell r="D104">
            <v>16.981499819375674</v>
          </cell>
          <cell r="F104">
            <v>22.9</v>
          </cell>
          <cell r="G104" t="e">
            <v>#REF!</v>
          </cell>
          <cell r="H104" t="e">
            <v>#REF!</v>
          </cell>
          <cell r="J104">
            <v>14.4</v>
          </cell>
          <cell r="K104">
            <v>19.54069909274104</v>
          </cell>
          <cell r="L104">
            <v>0.73692348117418682</v>
          </cell>
          <cell r="N104">
            <v>50.5</v>
          </cell>
          <cell r="O104">
            <v>23.11901115618662</v>
          </cell>
          <cell r="P104">
            <v>2.184349480124121</v>
          </cell>
          <cell r="R104">
            <v>55.5</v>
          </cell>
          <cell r="S104">
            <v>5.1150737827596071</v>
          </cell>
          <cell r="T104">
            <v>10.850283369726386</v>
          </cell>
          <cell r="V104">
            <v>59</v>
          </cell>
          <cell r="W104">
            <v>4.6359511153643265</v>
          </cell>
          <cell r="X104">
            <v>12.726622548815067</v>
          </cell>
          <cell r="Z104">
            <v>9.65</v>
          </cell>
          <cell r="AA104">
            <v>0.99527894241782067</v>
          </cell>
          <cell r="AB104">
            <v>9.695774308815734</v>
          </cell>
          <cell r="AD104">
            <v>2.875</v>
          </cell>
          <cell r="AE104">
            <v>0.30373794305832524</v>
          </cell>
          <cell r="AF104">
            <v>9.4653962921185926</v>
          </cell>
        </row>
        <row r="105">
          <cell r="A105">
            <v>38533</v>
          </cell>
          <cell r="B105">
            <v>106</v>
          </cell>
          <cell r="C105">
            <v>6.1478711162255486</v>
          </cell>
          <cell r="D105">
            <v>17.241740758072059</v>
          </cell>
          <cell r="F105">
            <v>22.95</v>
          </cell>
          <cell r="G105" t="e">
            <v>#REF!</v>
          </cell>
          <cell r="H105" t="e">
            <v>#REF!</v>
          </cell>
          <cell r="J105">
            <v>14.7</v>
          </cell>
          <cell r="K105">
            <v>19.281815727363437</v>
          </cell>
          <cell r="L105">
            <v>0.76237633466949706</v>
          </cell>
          <cell r="N105">
            <v>52</v>
          </cell>
          <cell r="O105">
            <v>23.347681541582158</v>
          </cell>
          <cell r="P105">
            <v>2.2272018704464571</v>
          </cell>
          <cell r="R105">
            <v>50.75</v>
          </cell>
          <cell r="S105">
            <v>5.1837554330444986</v>
          </cell>
          <cell r="T105">
            <v>9.7901995291845303</v>
          </cell>
          <cell r="V105">
            <v>58.5</v>
          </cell>
          <cell r="W105">
            <v>4.6280829251191449</v>
          </cell>
          <cell r="X105">
            <v>12.640222949007333</v>
          </cell>
          <cell r="Z105">
            <v>9.5500000000000007</v>
          </cell>
          <cell r="AA105">
            <v>1.0047493838616397</v>
          </cell>
          <cell r="AB105">
            <v>9.5048577818437323</v>
          </cell>
          <cell r="AD105">
            <v>3</v>
          </cell>
          <cell r="AE105">
            <v>0.29952140908499225</v>
          </cell>
          <cell r="AF105">
            <v>10.015978521083678</v>
          </cell>
        </row>
        <row r="106">
          <cell r="A106">
            <v>38564</v>
          </cell>
          <cell r="B106">
            <v>107.5</v>
          </cell>
          <cell r="C106">
            <v>6.1419866094779811</v>
          </cell>
          <cell r="D106">
            <v>17.50248035938597</v>
          </cell>
          <cell r="F106">
            <v>23.65</v>
          </cell>
          <cell r="G106" t="e">
            <v>#REF!</v>
          </cell>
          <cell r="H106" t="e">
            <v>#REF!</v>
          </cell>
          <cell r="J106">
            <v>15.7</v>
          </cell>
          <cell r="K106">
            <v>19.022932361985834</v>
          </cell>
          <cell r="L106">
            <v>0.82531965636243532</v>
          </cell>
          <cell r="N106">
            <v>56.8</v>
          </cell>
          <cell r="O106">
            <v>23.576351926977697</v>
          </cell>
          <cell r="P106">
            <v>2.4091937622887913</v>
          </cell>
          <cell r="R106">
            <v>55.55</v>
          </cell>
          <cell r="S106">
            <v>5.2524370833293901</v>
          </cell>
          <cell r="T106">
            <v>10.576042914689847</v>
          </cell>
          <cell r="V106">
            <v>63.1</v>
          </cell>
          <cell r="W106">
            <v>4.6202147348739633</v>
          </cell>
          <cell r="X106">
            <v>13.65737387132967</v>
          </cell>
          <cell r="Z106">
            <v>10.1</v>
          </cell>
          <cell r="AA106">
            <v>1.0142198253054588</v>
          </cell>
          <cell r="AB106">
            <v>9.9583933857318563</v>
          </cell>
          <cell r="AD106">
            <v>3.2</v>
          </cell>
          <cell r="AE106">
            <v>0.29530487511165926</v>
          </cell>
          <cell r="AF106">
            <v>10.836258625225986</v>
          </cell>
        </row>
        <row r="107">
          <cell r="A107">
            <v>38595</v>
          </cell>
          <cell r="B107">
            <v>105</v>
          </cell>
          <cell r="C107">
            <v>6.1361021027304137</v>
          </cell>
          <cell r="D107">
            <v>17.111840422811348</v>
          </cell>
          <cell r="F107">
            <v>22.7</v>
          </cell>
          <cell r="G107" t="e">
            <v>#REF!</v>
          </cell>
          <cell r="H107" t="e">
            <v>#REF!</v>
          </cell>
          <cell r="J107">
            <v>15.65</v>
          </cell>
          <cell r="K107">
            <v>18.764048996608231</v>
          </cell>
          <cell r="L107">
            <v>0.83404173602557086</v>
          </cell>
          <cell r="N107">
            <v>51</v>
          </cell>
          <cell r="O107">
            <v>23.805022312373236</v>
          </cell>
          <cell r="P107">
            <v>2.1424050492694358</v>
          </cell>
          <cell r="R107">
            <v>57.15</v>
          </cell>
          <cell r="S107">
            <v>5.3211187336142816</v>
          </cell>
          <cell r="T107">
            <v>10.740222660128806</v>
          </cell>
          <cell r="V107">
            <v>65</v>
          </cell>
          <cell r="W107">
            <v>4.6123465446287817</v>
          </cell>
          <cell r="X107">
            <v>14.092609774886599</v>
          </cell>
          <cell r="Z107">
            <v>10.3</v>
          </cell>
          <cell r="AA107">
            <v>1.023690266749278</v>
          </cell>
          <cell r="AB107">
            <v>10.061637132399028</v>
          </cell>
          <cell r="AD107">
            <v>3.3250000000000002</v>
          </cell>
          <cell r="AE107">
            <v>0.29108834113832627</v>
          </cell>
          <cell r="AF107">
            <v>11.422649175838849</v>
          </cell>
        </row>
        <row r="108">
          <cell r="A108">
            <v>38625</v>
          </cell>
          <cell r="B108">
            <v>104.3</v>
          </cell>
          <cell r="C108">
            <v>6.1302175959828462</v>
          </cell>
          <cell r="D108">
            <v>17.014077945348657</v>
          </cell>
          <cell r="F108">
            <v>22.7</v>
          </cell>
          <cell r="G108" t="e">
            <v>#REF!</v>
          </cell>
          <cell r="H108" t="e">
            <v>#REF!</v>
          </cell>
          <cell r="J108">
            <v>15.55</v>
          </cell>
          <cell r="K108">
            <v>18.505165631230629</v>
          </cell>
          <cell r="L108">
            <v>0.84030590754382217</v>
          </cell>
          <cell r="N108">
            <v>52</v>
          </cell>
          <cell r="O108">
            <v>24.033692697768775</v>
          </cell>
          <cell r="P108">
            <v>2.1636292289294166</v>
          </cell>
          <cell r="R108">
            <v>57.1</v>
          </cell>
          <cell r="S108">
            <v>5.389800383899173</v>
          </cell>
          <cell r="T108">
            <v>10.594084369167645</v>
          </cell>
          <cell r="V108">
            <v>59.45</v>
          </cell>
          <cell r="W108">
            <v>4.6044783543836001</v>
          </cell>
          <cell r="X108">
            <v>12.911343136927083</v>
          </cell>
          <cell r="Z108">
            <v>9.8000000000000007</v>
          </cell>
          <cell r="AA108">
            <v>1.0331607081930971</v>
          </cell>
          <cell r="AB108">
            <v>9.4854555755796195</v>
          </cell>
          <cell r="AD108">
            <v>3.1</v>
          </cell>
          <cell r="AE108">
            <v>0.28687180716499328</v>
          </cell>
          <cell r="AF108">
            <v>10.806220487944451</v>
          </cell>
        </row>
        <row r="109">
          <cell r="A109">
            <v>38656</v>
          </cell>
          <cell r="B109">
            <v>100.5</v>
          </cell>
          <cell r="C109">
            <v>6.1243330892352787</v>
          </cell>
          <cell r="D109">
            <v>16.409950036298408</v>
          </cell>
          <cell r="F109">
            <v>22.65</v>
          </cell>
          <cell r="G109" t="e">
            <v>#REF!</v>
          </cell>
          <cell r="H109" t="e">
            <v>#REF!</v>
          </cell>
          <cell r="J109">
            <v>14.45</v>
          </cell>
          <cell r="K109">
            <v>18.246282265853026</v>
          </cell>
          <cell r="L109">
            <v>0.79194214960942633</v>
          </cell>
          <cell r="N109">
            <v>47.1</v>
          </cell>
          <cell r="O109">
            <v>24.262363083164313</v>
          </cell>
          <cell r="P109">
            <v>1.9412783428619431</v>
          </cell>
          <cell r="R109">
            <v>52.95</v>
          </cell>
          <cell r="S109">
            <v>5.4584820341840645</v>
          </cell>
          <cell r="T109">
            <v>9.70049908901367</v>
          </cell>
          <cell r="V109">
            <v>55.5</v>
          </cell>
          <cell r="W109">
            <v>4.5966101641384185</v>
          </cell>
          <cell r="X109">
            <v>12.074115058309026</v>
          </cell>
          <cell r="Z109">
            <v>9.5500000000000007</v>
          </cell>
          <cell r="AA109">
            <v>1.0426311496369163</v>
          </cell>
          <cell r="AB109">
            <v>9.1595191677571428</v>
          </cell>
          <cell r="AD109">
            <v>2.8250000000000002</v>
          </cell>
          <cell r="AE109">
            <v>0.28265527319166028</v>
          </cell>
          <cell r="AF109">
            <v>9.9945066232125459</v>
          </cell>
          <cell r="AJ109" t="str">
            <v>P/PPE</v>
          </cell>
        </row>
        <row r="110">
          <cell r="A110">
            <v>38686</v>
          </cell>
          <cell r="B110">
            <v>102.6</v>
          </cell>
          <cell r="C110">
            <v>6.1184485824877113</v>
          </cell>
          <cell r="D110">
            <v>16.768956806086891</v>
          </cell>
          <cell r="F110">
            <v>23.2</v>
          </cell>
          <cell r="G110" t="e">
            <v>#REF!</v>
          </cell>
          <cell r="H110" t="e">
            <v>#REF!</v>
          </cell>
          <cell r="J110">
            <v>14.8</v>
          </cell>
          <cell r="K110">
            <v>17.987398900475423</v>
          </cell>
          <cell r="L110">
            <v>0.82279823124447549</v>
          </cell>
          <cell r="N110">
            <v>53.65</v>
          </cell>
          <cell r="O110">
            <v>24.491033468559852</v>
          </cell>
          <cell r="P110">
            <v>2.1905976352068897</v>
          </cell>
          <cell r="R110">
            <v>53.8</v>
          </cell>
          <cell r="S110">
            <v>5.527163684468956</v>
          </cell>
          <cell r="T110">
            <v>9.7337446602450388</v>
          </cell>
          <cell r="V110">
            <v>58</v>
          </cell>
          <cell r="W110">
            <v>4.5887419738932369</v>
          </cell>
          <cell r="X110">
            <v>12.639629844079233</v>
          </cell>
          <cell r="Z110">
            <v>9.6</v>
          </cell>
          <cell r="AA110">
            <v>1.0521015910807354</v>
          </cell>
          <cell r="AB110">
            <v>9.1245941279669847</v>
          </cell>
          <cell r="AD110">
            <v>2.9249999999999998</v>
          </cell>
          <cell r="AE110">
            <v>0.27843873921832729</v>
          </cell>
          <cell r="AF110">
            <v>10.505003751315188</v>
          </cell>
          <cell r="AJ110" t="str">
            <v>2006E</v>
          </cell>
        </row>
        <row r="111">
          <cell r="A111">
            <v>38717</v>
          </cell>
          <cell r="B111">
            <v>101.2</v>
          </cell>
          <cell r="C111">
            <v>6.1125640757401403</v>
          </cell>
          <cell r="D111">
            <v>16.556063665925038</v>
          </cell>
          <cell r="F111">
            <v>23.45</v>
          </cell>
          <cell r="G111" t="e">
            <v>#REF!</v>
          </cell>
          <cell r="H111" t="e">
            <v>#REF!</v>
          </cell>
          <cell r="J111">
            <v>14.9</v>
          </cell>
          <cell r="K111">
            <v>17.728515535097813</v>
          </cell>
          <cell r="L111">
            <v>0.84045389872050524</v>
          </cell>
          <cell r="N111">
            <v>53.9</v>
          </cell>
          <cell r="O111">
            <v>24.719703853955373</v>
          </cell>
          <cell r="P111">
            <v>2.1804468337663971</v>
          </cell>
          <cell r="R111">
            <v>55.8</v>
          </cell>
          <cell r="S111">
            <v>5.5958453347538475</v>
          </cell>
          <cell r="T111">
            <v>9.9716837514156484</v>
          </cell>
          <cell r="V111">
            <v>60</v>
          </cell>
          <cell r="W111">
            <v>4.5808737836480606</v>
          </cell>
          <cell r="X111">
            <v>13.097937824477217</v>
          </cell>
          <cell r="Z111">
            <v>9.5</v>
          </cell>
          <cell r="AA111">
            <v>1.0615720325245543</v>
          </cell>
          <cell r="AB111">
            <v>8.9489923518499097</v>
          </cell>
          <cell r="AD111">
            <v>2.875</v>
          </cell>
          <cell r="AE111">
            <v>0.27422220524499447</v>
          </cell>
          <cell r="AF111">
            <v>10.484198380037931</v>
          </cell>
          <cell r="AI111" t="str">
            <v>CIFH</v>
          </cell>
          <cell r="AJ111">
            <v>14.549464835975082</v>
          </cell>
        </row>
        <row r="112">
          <cell r="A112">
            <v>38748</v>
          </cell>
          <cell r="B112">
            <v>103.5</v>
          </cell>
          <cell r="C112">
            <v>6.1633162241551966</v>
          </cell>
          <cell r="D112">
            <v>16.792907622419893</v>
          </cell>
          <cell r="F112">
            <v>24.15</v>
          </cell>
          <cell r="G112" t="e">
            <v>#REF!</v>
          </cell>
          <cell r="H112" t="e">
            <v>#REF!</v>
          </cell>
          <cell r="J112">
            <v>15.55</v>
          </cell>
          <cell r="K112">
            <v>17.42760224643682</v>
          </cell>
          <cell r="L112">
            <v>0.89226273242374998</v>
          </cell>
          <cell r="N112">
            <v>54.25</v>
          </cell>
          <cell r="O112">
            <v>24.954522312373221</v>
          </cell>
          <cell r="P112">
            <v>2.1739546572326565</v>
          </cell>
          <cell r="R112">
            <v>56.1</v>
          </cell>
          <cell r="S112">
            <v>5.6979637799829348</v>
          </cell>
          <cell r="T112">
            <v>9.8456224304339148</v>
          </cell>
          <cell r="V112">
            <v>61</v>
          </cell>
          <cell r="W112">
            <v>4.704896196570556</v>
          </cell>
          <cell r="X112">
            <v>12.965216967903242</v>
          </cell>
          <cell r="Z112">
            <v>10.050000000000001</v>
          </cell>
          <cell r="AA112">
            <v>1.0857083743339782</v>
          </cell>
          <cell r="AB112">
            <v>9.2566293468677703</v>
          </cell>
          <cell r="AD112">
            <v>3.125</v>
          </cell>
          <cell r="AE112">
            <v>0.27698709808912053</v>
          </cell>
          <cell r="AF112">
            <v>11.282113938009243</v>
          </cell>
          <cell r="AI112" t="str">
            <v>HSB</v>
          </cell>
          <cell r="AJ112">
            <v>12.564905405118084</v>
          </cell>
        </row>
        <row r="113">
          <cell r="A113">
            <v>38776</v>
          </cell>
          <cell r="B113">
            <v>103.9</v>
          </cell>
          <cell r="C113">
            <v>6.214068372570253</v>
          </cell>
          <cell r="D113">
            <v>16.720125008380791</v>
          </cell>
          <cell r="F113">
            <v>26.65</v>
          </cell>
          <cell r="G113" t="e">
            <v>#REF!</v>
          </cell>
          <cell r="H113" t="e">
            <v>#REF!</v>
          </cell>
          <cell r="J113">
            <v>15.65</v>
          </cell>
          <cell r="K113">
            <v>17.126688957775826</v>
          </cell>
          <cell r="L113">
            <v>0.91377849148679835</v>
          </cell>
          <cell r="N113">
            <v>54.3</v>
          </cell>
          <cell r="O113">
            <v>25.18934077079107</v>
          </cell>
          <cell r="P113">
            <v>2.1556737230283103</v>
          </cell>
          <cell r="R113">
            <v>59.85</v>
          </cell>
          <cell r="S113">
            <v>5.8000822252120221</v>
          </cell>
          <cell r="T113">
            <v>10.318819229810519</v>
          </cell>
          <cell r="V113">
            <v>68.7</v>
          </cell>
          <cell r="W113">
            <v>4.8185834084161767</v>
          </cell>
          <cell r="X113">
            <v>14.257302235343282</v>
          </cell>
          <cell r="Z113">
            <v>10.65</v>
          </cell>
          <cell r="AA113">
            <v>1.109844716143402</v>
          </cell>
          <cell r="AB113">
            <v>9.5959370217192834</v>
          </cell>
          <cell r="AD113">
            <v>3.5249999999999999</v>
          </cell>
          <cell r="AE113">
            <v>0.2797519909332466</v>
          </cell>
          <cell r="AF113">
            <v>12.600446517791262</v>
          </cell>
          <cell r="AI113" t="str">
            <v>BEA</v>
          </cell>
          <cell r="AJ113">
            <v>11.53304545922833</v>
          </cell>
        </row>
        <row r="114">
          <cell r="A114">
            <v>38807</v>
          </cell>
          <cell r="B114">
            <v>99.9</v>
          </cell>
          <cell r="C114">
            <v>6.2648205209853094</v>
          </cell>
          <cell r="D114">
            <v>15.946187071978253</v>
          </cell>
          <cell r="F114">
            <v>27.85</v>
          </cell>
          <cell r="G114" t="e">
            <v>#REF!</v>
          </cell>
          <cell r="H114" t="e">
            <v>#REF!</v>
          </cell>
          <cell r="J114">
            <v>15.6</v>
          </cell>
          <cell r="K114">
            <v>16.825775669114833</v>
          </cell>
          <cell r="L114">
            <v>0.92714893546543287</v>
          </cell>
          <cell r="N114">
            <v>59.1</v>
          </cell>
          <cell r="O114">
            <v>25.424159229208918</v>
          </cell>
          <cell r="P114">
            <v>2.3245606459269692</v>
          </cell>
          <cell r="R114">
            <v>67.55</v>
          </cell>
          <cell r="S114">
            <v>5.9022006704411094</v>
          </cell>
          <cell r="T114">
            <v>11.444883658107061</v>
          </cell>
          <cell r="V114">
            <v>72.7</v>
          </cell>
          <cell r="W114">
            <v>4.9322706202617974</v>
          </cell>
          <cell r="X114">
            <v>14.739661627922029</v>
          </cell>
          <cell r="Z114">
            <v>11.55</v>
          </cell>
          <cell r="AA114">
            <v>1.1339810579528258</v>
          </cell>
          <cell r="AB114">
            <v>10.185355318766257</v>
          </cell>
          <cell r="AD114">
            <v>3.4750000000000001</v>
          </cell>
          <cell r="AE114">
            <v>0.28251688377737266</v>
          </cell>
          <cell r="AF114">
            <v>12.300149830119002</v>
          </cell>
          <cell r="AI114" t="str">
            <v>WLB</v>
          </cell>
          <cell r="AJ114">
            <v>14.804509325990457</v>
          </cell>
        </row>
        <row r="115">
          <cell r="A115">
            <v>38837</v>
          </cell>
          <cell r="C115">
            <v>6.3155726694003658</v>
          </cell>
          <cell r="G115" t="e">
            <v>#REF!</v>
          </cell>
          <cell r="K115">
            <v>16.52486238045384</v>
          </cell>
          <cell r="O115">
            <v>25.658977687626766</v>
          </cell>
          <cell r="S115">
            <v>6.0043191156701967</v>
          </cell>
          <cell r="W115">
            <v>5.0459578321074181</v>
          </cell>
          <cell r="AA115">
            <v>1.1581173997622496</v>
          </cell>
          <cell r="AE115">
            <v>0.28528177662149873</v>
          </cell>
          <cell r="AI115" t="str">
            <v>BOCHK</v>
          </cell>
          <cell r="AJ115">
            <v>17.00461440993983</v>
          </cell>
        </row>
        <row r="116">
          <cell r="A116">
            <v>38868</v>
          </cell>
          <cell r="C116">
            <v>6.3663248178154221</v>
          </cell>
          <cell r="G116" t="e">
            <v>#REF!</v>
          </cell>
          <cell r="K116">
            <v>16.223949091792846</v>
          </cell>
          <cell r="O116">
            <v>25.893796146044615</v>
          </cell>
          <cell r="S116">
            <v>6.106437560899284</v>
          </cell>
          <cell r="W116">
            <v>5.1596450439530388</v>
          </cell>
          <cell r="AA116">
            <v>1.1822537415716734</v>
          </cell>
          <cell r="AE116">
            <v>0.28804666946562479</v>
          </cell>
          <cell r="AI116" t="str">
            <v>ICBCA</v>
          </cell>
          <cell r="AJ116">
            <v>16.061409834855336</v>
          </cell>
        </row>
        <row r="117">
          <cell r="A117">
            <v>38898</v>
          </cell>
          <cell r="C117">
            <v>6.4170769662304785</v>
          </cell>
          <cell r="G117" t="e">
            <v>#REF!</v>
          </cell>
          <cell r="K117">
            <v>15.923035803131853</v>
          </cell>
          <cell r="O117">
            <v>26.128614604462463</v>
          </cell>
          <cell r="S117">
            <v>6.2085560061283713</v>
          </cell>
          <cell r="W117">
            <v>5.2733322557986595</v>
          </cell>
          <cell r="AA117">
            <v>1.2063900833810972</v>
          </cell>
          <cell r="AE117">
            <v>0.29081156230975086</v>
          </cell>
          <cell r="AI117" t="str">
            <v>WHB</v>
          </cell>
          <cell r="AJ117">
            <v>15.811618636035698</v>
          </cell>
        </row>
        <row r="118">
          <cell r="A118">
            <v>38929</v>
          </cell>
          <cell r="C118">
            <v>6.4678291146455349</v>
          </cell>
          <cell r="G118" t="e">
            <v>#REF!</v>
          </cell>
          <cell r="K118">
            <v>15.62212251447086</v>
          </cell>
          <cell r="O118">
            <v>26.363433062880311</v>
          </cell>
          <cell r="S118">
            <v>6.3106744513574586</v>
          </cell>
          <cell r="W118">
            <v>5.3870194676442802</v>
          </cell>
          <cell r="AA118">
            <v>1.230526425190521</v>
          </cell>
          <cell r="AE118">
            <v>0.29357645515387693</v>
          </cell>
          <cell r="AI118" t="str">
            <v>DSF</v>
          </cell>
          <cell r="AJ118">
            <v>15.697215465844016</v>
          </cell>
        </row>
        <row r="119">
          <cell r="A119">
            <v>38960</v>
          </cell>
          <cell r="C119">
            <v>6.5185812630605913</v>
          </cell>
          <cell r="G119" t="e">
            <v>#REF!</v>
          </cell>
          <cell r="K119">
            <v>15.321209225809866</v>
          </cell>
          <cell r="O119">
            <v>26.59825152129816</v>
          </cell>
          <cell r="S119">
            <v>6.4127928965865459</v>
          </cell>
          <cell r="W119">
            <v>5.5007066794899009</v>
          </cell>
          <cell r="AA119">
            <v>1.2546627669999448</v>
          </cell>
          <cell r="AE119">
            <v>0.29634134799800299</v>
          </cell>
        </row>
        <row r="120">
          <cell r="A120">
            <v>38990</v>
          </cell>
          <cell r="C120">
            <v>6.5693334114756476</v>
          </cell>
          <cell r="G120" t="e">
            <v>#REF!</v>
          </cell>
          <cell r="K120">
            <v>15.020295937148873</v>
          </cell>
          <cell r="O120">
            <v>26.833069979716008</v>
          </cell>
          <cell r="S120">
            <v>6.5149113418156333</v>
          </cell>
          <cell r="W120">
            <v>5.6143938913355216</v>
          </cell>
          <cell r="AA120">
            <v>1.2787991088093686</v>
          </cell>
          <cell r="AE120">
            <v>0.29910624084212906</v>
          </cell>
        </row>
        <row r="121">
          <cell r="A121">
            <v>39021</v>
          </cell>
          <cell r="C121">
            <v>6.620085559890704</v>
          </cell>
          <cell r="G121" t="e">
            <v>#REF!</v>
          </cell>
          <cell r="K121">
            <v>14.71938264848788</v>
          </cell>
          <cell r="O121">
            <v>27.067888438133856</v>
          </cell>
          <cell r="S121">
            <v>6.6170297870447206</v>
          </cell>
          <cell r="W121">
            <v>5.7280811031811423</v>
          </cell>
          <cell r="AA121">
            <v>1.3029354506187925</v>
          </cell>
          <cell r="AE121">
            <v>0.30187113368625512</v>
          </cell>
        </row>
        <row r="122">
          <cell r="A122">
            <v>39051</v>
          </cell>
          <cell r="C122">
            <v>6.6708377083057604</v>
          </cell>
          <cell r="G122" t="e">
            <v>#REF!</v>
          </cell>
          <cell r="K122">
            <v>14.418469359826886</v>
          </cell>
          <cell r="O122">
            <v>27.302706896551705</v>
          </cell>
          <cell r="S122">
            <v>6.7191482322738079</v>
          </cell>
          <cell r="W122">
            <v>5.841768315026763</v>
          </cell>
          <cell r="AA122">
            <v>1.3270717924282163</v>
          </cell>
          <cell r="AE122">
            <v>0.30463602653038119</v>
          </cell>
        </row>
        <row r="123">
          <cell r="A123">
            <v>39082</v>
          </cell>
          <cell r="C123">
            <v>6.721589856720815</v>
          </cell>
          <cell r="G123" t="e">
            <v>#REF!</v>
          </cell>
          <cell r="K123">
            <v>14.117556071165886</v>
          </cell>
          <cell r="O123">
            <v>27.537525354969574</v>
          </cell>
          <cell r="S123">
            <v>6.8212666775028916</v>
          </cell>
          <cell r="W123">
            <v>6.0691427387180044</v>
          </cell>
          <cell r="AA123">
            <v>1.3512081342376392</v>
          </cell>
          <cell r="AE123">
            <v>0.30740091937450736</v>
          </cell>
        </row>
      </sheetData>
      <sheetData sheetId="34" refreshError="1">
        <row r="2">
          <cell r="T2" t="str">
            <v>(a)</v>
          </cell>
          <cell r="AB2" t="str">
            <v>(b)</v>
          </cell>
          <cell r="AD2" t="str">
            <v>(b)</v>
          </cell>
        </row>
        <row r="3">
          <cell r="B3" t="str">
            <v>Mid-sized banks</v>
          </cell>
          <cell r="V3" t="str">
            <v>Large-sized banks</v>
          </cell>
          <cell r="AD3" t="str">
            <v>PE Prspective</v>
          </cell>
          <cell r="AF3" t="str">
            <v>HK 10 yr bond yield</v>
          </cell>
          <cell r="AG3" t="str">
            <v>COE if 5% premium</v>
          </cell>
          <cell r="AH3" t="str">
            <v>PE without growth</v>
          </cell>
          <cell r="AJ3" t="str">
            <v>Current Mkt Cap explained by PE prospective</v>
          </cell>
          <cell r="AL3" t="str">
            <v>Prospective Earnings Growth</v>
          </cell>
        </row>
        <row r="4">
          <cell r="B4" t="str">
            <v>DSF</v>
          </cell>
          <cell r="E4" t="str">
            <v>WHB</v>
          </cell>
          <cell r="H4" t="str">
            <v>WLB</v>
          </cell>
          <cell r="K4" t="str">
            <v>CIFH</v>
          </cell>
          <cell r="N4" t="str">
            <v>ICBCA</v>
          </cell>
          <cell r="Q4" t="str">
            <v>BEA</v>
          </cell>
          <cell r="T4" t="str">
            <v>Average</v>
          </cell>
          <cell r="V4" t="str">
            <v>BOCHK</v>
          </cell>
          <cell r="Y4" t="str">
            <v>HSB</v>
          </cell>
          <cell r="AB4" t="str">
            <v>Average</v>
          </cell>
          <cell r="AD4" t="str">
            <v>Average</v>
          </cell>
          <cell r="AL4" t="str">
            <v>DSF</v>
          </cell>
          <cell r="AM4" t="str">
            <v>WHB</v>
          </cell>
          <cell r="AN4" t="str">
            <v>WLB</v>
          </cell>
          <cell r="AO4" t="str">
            <v>CIFH</v>
          </cell>
          <cell r="AP4" t="str">
            <v>ICBCA</v>
          </cell>
          <cell r="AQ4" t="str">
            <v>BEA</v>
          </cell>
          <cell r="AR4" t="str">
            <v>Mid Ave</v>
          </cell>
        </row>
        <row r="5">
          <cell r="B5" t="str">
            <v>Price</v>
          </cell>
          <cell r="C5" t="str">
            <v>EPS</v>
          </cell>
          <cell r="D5" t="str">
            <v>PE Prospective</v>
          </cell>
          <cell r="E5" t="str">
            <v>Price</v>
          </cell>
          <cell r="F5" t="str">
            <v>EPS</v>
          </cell>
          <cell r="G5" t="str">
            <v>PE Prospective</v>
          </cell>
          <cell r="H5" t="str">
            <v>Price</v>
          </cell>
          <cell r="I5" t="str">
            <v>EPS</v>
          </cell>
          <cell r="J5" t="str">
            <v>PE Prospective</v>
          </cell>
          <cell r="K5" t="str">
            <v>Price</v>
          </cell>
          <cell r="L5" t="str">
            <v>EPS</v>
          </cell>
          <cell r="M5" t="str">
            <v>PE Prospective</v>
          </cell>
          <cell r="N5" t="str">
            <v>Price</v>
          </cell>
          <cell r="O5" t="str">
            <v>EPS</v>
          </cell>
          <cell r="P5" t="str">
            <v>PE Prospective</v>
          </cell>
          <cell r="Q5" t="str">
            <v>Price</v>
          </cell>
          <cell r="R5" t="str">
            <v>EPS</v>
          </cell>
          <cell r="S5" t="str">
            <v>PE Prospective</v>
          </cell>
          <cell r="T5">
            <v>11.028744607537956</v>
          </cell>
          <cell r="V5" t="str">
            <v>Price</v>
          </cell>
          <cell r="W5" t="str">
            <v>EPS</v>
          </cell>
          <cell r="X5" t="str">
            <v>PE Prospective</v>
          </cell>
          <cell r="Y5" t="str">
            <v>Price</v>
          </cell>
          <cell r="Z5" t="str">
            <v>EPS</v>
          </cell>
          <cell r="AA5" t="str">
            <v>PE Prospective</v>
          </cell>
          <cell r="AB5">
            <v>14.019658924471662</v>
          </cell>
          <cell r="AD5">
            <v>11.251365709106803</v>
          </cell>
        </row>
        <row r="6">
          <cell r="A6">
            <v>35400</v>
          </cell>
          <cell r="B6">
            <v>30.887979999999999</v>
          </cell>
          <cell r="C6" t="e">
            <v>#REF!</v>
          </cell>
          <cell r="D6">
            <v>18.364894204039906</v>
          </cell>
          <cell r="E6">
            <v>29.249980000000001</v>
          </cell>
          <cell r="F6">
            <v>2.1920563139931741</v>
          </cell>
          <cell r="G6">
            <v>11.803524622112036</v>
          </cell>
          <cell r="H6">
            <v>43.74982</v>
          </cell>
          <cell r="I6">
            <v>3.7116861455283048</v>
          </cell>
          <cell r="J6">
            <v>10.816576288693913</v>
          </cell>
          <cell r="K6">
            <v>2.0085540000000002</v>
          </cell>
          <cell r="L6">
            <v>0.21256028365112567</v>
          </cell>
          <cell r="M6">
            <v>8.183381253059494</v>
          </cell>
          <cell r="N6">
            <v>9.4691310000000009</v>
          </cell>
          <cell r="O6" t="str">
            <v>N/A</v>
          </cell>
          <cell r="P6">
            <v>7.9158274235953217</v>
          </cell>
          <cell r="Q6">
            <v>27.5383</v>
          </cell>
          <cell r="R6">
            <v>1.3975083590348332</v>
          </cell>
          <cell r="S6">
            <v>16.594084930120147</v>
          </cell>
          <cell r="Y6">
            <v>94</v>
          </cell>
          <cell r="Z6">
            <v>4.3937668254296955</v>
          </cell>
          <cell r="AA6">
            <v>19.207604400299051</v>
          </cell>
        </row>
        <row r="7">
          <cell r="A7">
            <v>35431</v>
          </cell>
          <cell r="B7">
            <v>34.429270000000002</v>
          </cell>
          <cell r="C7" t="e">
            <v>#REF!</v>
          </cell>
          <cell r="D7">
            <v>19.61196116327967</v>
          </cell>
          <cell r="E7">
            <v>30.74999</v>
          </cell>
          <cell r="F7">
            <v>2.2158909271899887</v>
          </cell>
          <cell r="G7">
            <v>12.734651833184094</v>
          </cell>
          <cell r="H7">
            <v>47.083150000000003</v>
          </cell>
          <cell r="I7">
            <v>3.7394374070416938</v>
          </cell>
          <cell r="J7">
            <v>11.994757676882751</v>
          </cell>
          <cell r="K7">
            <v>2.077814</v>
          </cell>
          <cell r="L7">
            <v>0.21530051362965447</v>
          </cell>
          <cell r="M7">
            <v>9.0943721242190421</v>
          </cell>
          <cell r="N7">
            <v>10.343209999999999</v>
          </cell>
          <cell r="O7" t="str">
            <v>N/A</v>
          </cell>
          <cell r="P7">
            <v>9.3545261590169613</v>
          </cell>
          <cell r="Q7">
            <v>27.938559999999999</v>
          </cell>
          <cell r="R7">
            <v>1.4193430851733579</v>
          </cell>
          <cell r="S7">
            <v>17.679993758842382</v>
          </cell>
          <cell r="Y7">
            <v>91.25</v>
          </cell>
          <cell r="Z7">
            <v>4.4354441770564597</v>
          </cell>
          <cell r="AA7">
            <v>19.082164911319072</v>
          </cell>
        </row>
        <row r="8">
          <cell r="A8">
            <v>35462</v>
          </cell>
          <cell r="B8">
            <v>31.871670000000002</v>
          </cell>
          <cell r="C8" t="e">
            <v>#REF!</v>
          </cell>
          <cell r="D8">
            <v>17.424357399776497</v>
          </cell>
          <cell r="E8">
            <v>29.333320000000001</v>
          </cell>
          <cell r="F8">
            <v>2.2397255403868033</v>
          </cell>
          <cell r="G8">
            <v>12.475523731278718</v>
          </cell>
          <cell r="H8">
            <v>46.04148</v>
          </cell>
          <cell r="I8">
            <v>3.7671886685550828</v>
          </cell>
          <cell r="J8">
            <v>12.097332552987156</v>
          </cell>
          <cell r="K8">
            <v>2.091666</v>
          </cell>
          <cell r="L8">
            <v>0.21804074360818326</v>
          </cell>
          <cell r="M8">
            <v>9.8895816025556371</v>
          </cell>
          <cell r="N8">
            <v>11.65432</v>
          </cell>
          <cell r="O8" t="str">
            <v>N/A</v>
          </cell>
          <cell r="P8">
            <v>11.480354972465763</v>
          </cell>
          <cell r="Q8">
            <v>27.13804</v>
          </cell>
          <cell r="R8">
            <v>1.4411778113118827</v>
          </cell>
          <cell r="S8">
            <v>18.080616216314237</v>
          </cell>
          <cell r="Y8">
            <v>89.5</v>
          </cell>
          <cell r="Z8">
            <v>4.4771215286832238</v>
          </cell>
          <cell r="AA8">
            <v>19.164844041323015</v>
          </cell>
        </row>
        <row r="9">
          <cell r="A9">
            <v>35490</v>
          </cell>
          <cell r="B9">
            <v>29.707540000000002</v>
          </cell>
          <cell r="C9" t="e">
            <v>#REF!</v>
          </cell>
          <cell r="D9">
            <v>15.612824869862077</v>
          </cell>
          <cell r="E9">
            <v>28.333320000000001</v>
          </cell>
          <cell r="F9">
            <v>2.2635601535836178</v>
          </cell>
          <cell r="G9">
            <v>12.384155275152885</v>
          </cell>
          <cell r="H9">
            <v>44.37482</v>
          </cell>
          <cell r="I9">
            <v>3.7949399300684719</v>
          </cell>
          <cell r="J9">
            <v>12.037017898040569</v>
          </cell>
          <cell r="K9">
            <v>1.8561810000000001</v>
          </cell>
          <cell r="L9">
            <v>0.22078097358671206</v>
          </cell>
          <cell r="M9">
            <v>9.5418049209738989</v>
          </cell>
          <cell r="N9">
            <v>10.828799999999999</v>
          </cell>
          <cell r="O9" t="str">
            <v>N/A</v>
          </cell>
          <cell r="P9">
            <v>11.711671034603983</v>
          </cell>
          <cell r="Q9">
            <v>25.264800000000001</v>
          </cell>
          <cell r="R9">
            <v>1.4630125374504075</v>
          </cell>
          <cell r="S9">
            <v>17.771370102326866</v>
          </cell>
          <cell r="Y9">
            <v>80</v>
          </cell>
          <cell r="Z9">
            <v>4.5187988803099879</v>
          </cell>
          <cell r="AA9">
            <v>17.551301882705737</v>
          </cell>
        </row>
        <row r="10">
          <cell r="A10">
            <v>35521</v>
          </cell>
          <cell r="B10">
            <v>31.67493</v>
          </cell>
          <cell r="C10" t="e">
            <v>#REF!</v>
          </cell>
          <cell r="D10">
            <v>16.026693956572071</v>
          </cell>
          <cell r="E10">
            <v>28.3</v>
          </cell>
          <cell r="F10">
            <v>2.2873947667804324</v>
          </cell>
          <cell r="G10">
            <v>12.722145422688099</v>
          </cell>
          <cell r="H10">
            <v>42.4</v>
          </cell>
          <cell r="I10">
            <v>3.8226911915818609</v>
          </cell>
          <cell r="J10">
            <v>11.886277264573561</v>
          </cell>
          <cell r="K10">
            <v>2.1037870000000001</v>
          </cell>
          <cell r="L10">
            <v>0.22352120356524086</v>
          </cell>
          <cell r="M10">
            <v>11.848256117417611</v>
          </cell>
          <cell r="N10">
            <v>10.92592</v>
          </cell>
          <cell r="O10" t="str">
            <v>N/A</v>
          </cell>
          <cell r="P10">
            <v>13.099382838599666</v>
          </cell>
          <cell r="Q10">
            <v>25.601019999999998</v>
          </cell>
          <cell r="R10">
            <v>1.4848472635889323</v>
          </cell>
          <cell r="S10">
            <v>19.071533574890008</v>
          </cell>
          <cell r="Y10">
            <v>87.25</v>
          </cell>
          <cell r="Z10">
            <v>4.560476231936752</v>
          </cell>
          <cell r="AA10">
            <v>19.62383607366727</v>
          </cell>
        </row>
        <row r="11">
          <cell r="A11">
            <v>35551</v>
          </cell>
          <cell r="B11">
            <v>37.38035</v>
          </cell>
          <cell r="C11" t="e">
            <v>#REF!</v>
          </cell>
          <cell r="D11">
            <v>18.234260636043025</v>
          </cell>
          <cell r="E11">
            <v>36.9</v>
          </cell>
          <cell r="F11">
            <v>2.311229379977247</v>
          </cell>
          <cell r="G11">
            <v>17.074902182195775</v>
          </cell>
          <cell r="H11">
            <v>44.5</v>
          </cell>
          <cell r="I11">
            <v>3.8504424530952499</v>
          </cell>
          <cell r="J11">
            <v>12.906975451505337</v>
          </cell>
          <cell r="K11">
            <v>3.790978</v>
          </cell>
          <cell r="L11">
            <v>0.22626143354376965</v>
          </cell>
          <cell r="M11">
            <v>23.606510072621507</v>
          </cell>
          <cell r="N11">
            <v>16.801639999999999</v>
          </cell>
          <cell r="O11" t="str">
            <v>N/A</v>
          </cell>
          <cell r="P11">
            <v>22.596764562733345</v>
          </cell>
          <cell r="Q11">
            <v>27.090009999999999</v>
          </cell>
          <cell r="R11">
            <v>1.506681989727457</v>
          </cell>
          <cell r="S11">
            <v>21.447598024787041</v>
          </cell>
          <cell r="Y11">
            <v>93</v>
          </cell>
          <cell r="Z11">
            <v>4.6021535835635161</v>
          </cell>
          <cell r="AA11">
            <v>21.457342586313942</v>
          </cell>
        </row>
        <row r="12">
          <cell r="A12">
            <v>35582</v>
          </cell>
          <cell r="B12">
            <v>42.200449999999996</v>
          </cell>
          <cell r="C12" t="e">
            <v>#REF!</v>
          </cell>
          <cell r="D12">
            <v>19.871875684477491</v>
          </cell>
          <cell r="E12">
            <v>46.8</v>
          </cell>
          <cell r="F12">
            <v>2.3350639931740615</v>
          </cell>
          <cell r="G12">
            <v>22.310515834277012</v>
          </cell>
          <cell r="H12">
            <v>49.4</v>
          </cell>
          <cell r="I12">
            <v>3.8781937146086389</v>
          </cell>
          <cell r="J12">
            <v>14.842155828816828</v>
          </cell>
          <cell r="K12">
            <v>6.4575139999999998</v>
          </cell>
          <cell r="L12">
            <v>0.22900166352229845</v>
          </cell>
          <cell r="M12">
            <v>44.96255279011018</v>
          </cell>
          <cell r="N12">
            <v>21.754719999999999</v>
          </cell>
          <cell r="O12" t="str">
            <v>N/A</v>
          </cell>
          <cell r="P12">
            <v>33.314798533394843</v>
          </cell>
          <cell r="Q12">
            <v>31.02863</v>
          </cell>
          <cell r="R12">
            <v>1.5285167158659818</v>
          </cell>
          <cell r="S12">
            <v>26.211267707446922</v>
          </cell>
          <cell r="Y12">
            <v>110.5</v>
          </cell>
          <cell r="Z12">
            <v>4.6438309351902802</v>
          </cell>
          <cell r="AA12">
            <v>26.17095592075432</v>
          </cell>
        </row>
        <row r="13">
          <cell r="A13">
            <v>35612</v>
          </cell>
          <cell r="B13">
            <v>48.594459999999998</v>
          </cell>
          <cell r="C13" t="e">
            <v>#REF!</v>
          </cell>
          <cell r="D13">
            <v>22.116061324013351</v>
          </cell>
          <cell r="E13">
            <v>46.3</v>
          </cell>
          <cell r="F13">
            <v>2.3588986063708761</v>
          </cell>
          <cell r="G13">
            <v>22.760068753832591</v>
          </cell>
          <cell r="H13">
            <v>52</v>
          </cell>
          <cell r="I13">
            <v>3.905944976122028</v>
          </cell>
          <cell r="J13">
            <v>16.204592620840423</v>
          </cell>
          <cell r="K13">
            <v>5.6543400000000004</v>
          </cell>
          <cell r="L13">
            <v>0.23174189350082725</v>
          </cell>
          <cell r="M13">
            <v>44.645651151336097</v>
          </cell>
          <cell r="N13">
            <v>18.209869999999999</v>
          </cell>
          <cell r="O13" t="str">
            <v>N/A</v>
          </cell>
          <cell r="P13">
            <v>32.374969650330605</v>
          </cell>
          <cell r="Q13">
            <v>30.932569999999998</v>
          </cell>
          <cell r="R13">
            <v>1.5503514420045066</v>
          </cell>
          <cell r="S13">
            <v>28.005935018116773</v>
          </cell>
          <cell r="Y13">
            <v>113</v>
          </cell>
          <cell r="Z13">
            <v>4.6855082868170443</v>
          </cell>
          <cell r="AA13">
            <v>27.491944311311102</v>
          </cell>
        </row>
        <row r="14">
          <cell r="A14">
            <v>35643</v>
          </cell>
          <cell r="B14">
            <v>31.871670000000002</v>
          </cell>
          <cell r="C14" t="e">
            <v>#REF!</v>
          </cell>
          <cell r="D14">
            <v>14.035016277644747</v>
          </cell>
          <cell r="E14">
            <v>33</v>
          </cell>
          <cell r="F14">
            <v>2.3827332195676907</v>
          </cell>
          <cell r="G14">
            <v>16.743929914124372</v>
          </cell>
          <cell r="H14">
            <v>47.5</v>
          </cell>
          <cell r="I14">
            <v>3.933696237635417</v>
          </cell>
          <cell r="J14">
            <v>15.374277005347695</v>
          </cell>
          <cell r="K14">
            <v>14.87477</v>
          </cell>
          <cell r="L14">
            <v>0.23448212347935604</v>
          </cell>
          <cell r="M14">
            <v>135.6212534662784</v>
          </cell>
          <cell r="N14">
            <v>22.823039999999999</v>
          </cell>
          <cell r="O14" t="str">
            <v>N/A</v>
          </cell>
          <cell r="P14">
            <v>48.361028557685607</v>
          </cell>
          <cell r="Q14">
            <v>26.807780000000001</v>
          </cell>
          <cell r="R14">
            <v>1.5721861681430314</v>
          </cell>
          <cell r="S14">
            <v>26.148541109509349</v>
          </cell>
          <cell r="Y14">
            <v>93.5</v>
          </cell>
          <cell r="Z14">
            <v>4.7271856384438085</v>
          </cell>
          <cell r="AA14">
            <v>23.384633973672099</v>
          </cell>
        </row>
        <row r="15">
          <cell r="A15">
            <v>35674</v>
          </cell>
          <cell r="B15">
            <v>31.970040000000001</v>
          </cell>
          <cell r="C15" t="e">
            <v>#REF!</v>
          </cell>
          <cell r="D15">
            <v>13.636253044564926</v>
          </cell>
          <cell r="E15">
            <v>33.799999999999997</v>
          </cell>
          <cell r="F15">
            <v>2.4065678327645053</v>
          </cell>
          <cell r="G15">
            <v>17.719876933867614</v>
          </cell>
          <cell r="H15">
            <v>45.9</v>
          </cell>
          <cell r="I15">
            <v>3.961447499148806</v>
          </cell>
          <cell r="J15">
            <v>15.453580045241932</v>
          </cell>
          <cell r="K15">
            <v>11.88697</v>
          </cell>
          <cell r="L15">
            <v>0.23722235345788484</v>
          </cell>
          <cell r="M15">
            <v>128.21916310100039</v>
          </cell>
          <cell r="N15">
            <v>19.326740000000001</v>
          </cell>
          <cell r="O15" t="str">
            <v>N/A</v>
          </cell>
          <cell r="P15">
            <v>50.674046482648649</v>
          </cell>
          <cell r="Q15">
            <v>28.0197</v>
          </cell>
          <cell r="R15">
            <v>1.5940208942815561</v>
          </cell>
          <cell r="S15">
            <v>29.621572870668583</v>
          </cell>
          <cell r="Y15">
            <v>95.25</v>
          </cell>
          <cell r="Z15">
            <v>4.7688629900705726</v>
          </cell>
          <cell r="AA15">
            <v>24.508484499989738</v>
          </cell>
        </row>
        <row r="16">
          <cell r="A16">
            <v>35704</v>
          </cell>
          <cell r="B16">
            <v>19.083649999999999</v>
          </cell>
          <cell r="C16" t="e">
            <v>#REF!</v>
          </cell>
          <cell r="D16">
            <v>7.8919720202805346</v>
          </cell>
          <cell r="E16">
            <v>19.899999999999999</v>
          </cell>
          <cell r="F16">
            <v>2.4304024459613198</v>
          </cell>
          <cell r="G16">
            <v>10.791397531046995</v>
          </cell>
          <cell r="H16">
            <v>33</v>
          </cell>
          <cell r="I16">
            <v>3.989198760662195</v>
          </cell>
          <cell r="J16">
            <v>11.575718748492948</v>
          </cell>
          <cell r="K16">
            <v>7.2285599999999999</v>
          </cell>
          <cell r="L16">
            <v>0.23996258343641363</v>
          </cell>
          <cell r="M16">
            <v>95.44205640971839</v>
          </cell>
          <cell r="N16">
            <v>9.4205719999999999</v>
          </cell>
          <cell r="O16" t="str">
            <v>N/A</v>
          </cell>
          <cell r="P16">
            <v>32.389113992045999</v>
          </cell>
          <cell r="Q16">
            <v>16.773040000000002</v>
          </cell>
          <cell r="R16">
            <v>1.6158556204200809</v>
          </cell>
          <cell r="S16">
            <v>19.354262540407397</v>
          </cell>
          <cell r="Y16">
            <v>67.25</v>
          </cell>
          <cell r="Z16">
            <v>4.8105403416973367</v>
          </cell>
          <cell r="AA16">
            <v>17.817088260488521</v>
          </cell>
        </row>
        <row r="17">
          <cell r="A17">
            <v>35735</v>
          </cell>
          <cell r="B17">
            <v>15.247249999999999</v>
          </cell>
          <cell r="C17" t="e">
            <v>#REF!</v>
          </cell>
          <cell r="D17">
            <v>6.1191427399141176</v>
          </cell>
          <cell r="E17">
            <v>20.149999999999999</v>
          </cell>
          <cell r="F17">
            <v>2.4542370591581344</v>
          </cell>
          <cell r="G17">
            <v>11.316026285450336</v>
          </cell>
          <cell r="H17">
            <v>33.200000000000003</v>
          </cell>
          <cell r="I17">
            <v>4.0169500221755845</v>
          </cell>
          <cell r="J17">
            <v>12.154919882814037</v>
          </cell>
          <cell r="K17">
            <v>5.2045640000000004</v>
          </cell>
          <cell r="L17">
            <v>0.24270281341494243</v>
          </cell>
          <cell r="M17">
            <v>88.562478983846773</v>
          </cell>
          <cell r="N17">
            <v>8.7407369999999993</v>
          </cell>
          <cell r="O17" t="str">
            <v>N/A</v>
          </cell>
          <cell r="P17">
            <v>43.634094256749471</v>
          </cell>
          <cell r="Q17">
            <v>15.65807</v>
          </cell>
          <cell r="R17">
            <v>1.6376903465586057</v>
          </cell>
          <cell r="S17">
            <v>19.887212031866653</v>
          </cell>
          <cell r="Y17">
            <v>68</v>
          </cell>
          <cell r="Z17">
            <v>4.8522176933241008</v>
          </cell>
          <cell r="AA17">
            <v>18.56643389999418</v>
          </cell>
        </row>
        <row r="18">
          <cell r="A18">
            <v>35765</v>
          </cell>
          <cell r="B18">
            <v>18.345880000000001</v>
          </cell>
          <cell r="C18">
            <v>1.6819035087719298</v>
          </cell>
          <cell r="D18">
            <v>7.1514131570416621</v>
          </cell>
          <cell r="E18">
            <v>21.9</v>
          </cell>
          <cell r="F18">
            <v>2.4780716723549499</v>
          </cell>
          <cell r="G18">
            <v>12.752878326248068</v>
          </cell>
          <cell r="H18">
            <v>37.1</v>
          </cell>
          <cell r="I18">
            <v>4.0447012836889753</v>
          </cell>
          <cell r="J18">
            <v>14.203601247872978</v>
          </cell>
          <cell r="K18">
            <v>4.3692630000000001</v>
          </cell>
          <cell r="L18">
            <v>0.24544304339347123</v>
          </cell>
          <cell r="M18">
            <v>104.53630531145782</v>
          </cell>
          <cell r="N18">
            <v>9.2263339999999996</v>
          </cell>
          <cell r="O18">
            <v>1.196227569562043</v>
          </cell>
          <cell r="P18">
            <v>84.042451045716447</v>
          </cell>
          <cell r="Q18">
            <v>17.597149999999999</v>
          </cell>
          <cell r="R18">
            <v>1.6595250726971307</v>
          </cell>
          <cell r="S18">
            <v>24.852821209474389</v>
          </cell>
          <cell r="Y18">
            <v>74.75</v>
          </cell>
          <cell r="Z18">
            <v>4.8938950449508676</v>
          </cell>
          <cell r="AA18">
            <v>21.052894814378313</v>
          </cell>
        </row>
        <row r="19">
          <cell r="A19">
            <v>35796</v>
          </cell>
          <cell r="B19">
            <v>8.8040559999999992</v>
          </cell>
          <cell r="C19">
            <v>1.7555240760145612</v>
          </cell>
          <cell r="D19">
            <v>3.3182499519222657</v>
          </cell>
          <cell r="E19">
            <v>11.3</v>
          </cell>
          <cell r="F19">
            <v>2.4146706484641647</v>
          </cell>
          <cell r="G19">
            <v>6.3908352153183934</v>
          </cell>
          <cell r="H19">
            <v>26.3</v>
          </cell>
          <cell r="I19">
            <v>3.9253106455616344</v>
          </cell>
          <cell r="J19">
            <v>9.7356003118349363</v>
          </cell>
          <cell r="K19">
            <v>2.4577110000000002</v>
          </cell>
          <cell r="L19">
            <v>0.22847250713071382</v>
          </cell>
          <cell r="M19">
            <v>58.972014650491488</v>
          </cell>
          <cell r="N19">
            <v>4.2975289999999999</v>
          </cell>
          <cell r="O19">
            <v>1.1056904245256753</v>
          </cell>
          <cell r="P19">
            <v>-133.76462361815169</v>
          </cell>
          <cell r="Q19">
            <v>12.94336</v>
          </cell>
          <cell r="R19">
            <v>1.5802358519514152</v>
          </cell>
          <cell r="S19">
            <v>19.077135458547644</v>
          </cell>
          <cell r="Y19">
            <v>61</v>
          </cell>
          <cell r="Z19">
            <v>4.7819521749271088</v>
          </cell>
          <cell r="AA19">
            <v>16.865774028321784</v>
          </cell>
        </row>
        <row r="20">
          <cell r="A20">
            <v>35827</v>
          </cell>
          <cell r="B20">
            <v>20.854299999999999</v>
          </cell>
          <cell r="C20">
            <v>1.8291446432571925</v>
          </cell>
          <cell r="D20">
            <v>7.6080178913925955</v>
          </cell>
          <cell r="E20">
            <v>21</v>
          </cell>
          <cell r="F20">
            <v>2.3512696245733795</v>
          </cell>
          <cell r="G20">
            <v>11.544458266023495</v>
          </cell>
          <cell r="H20">
            <v>34</v>
          </cell>
          <cell r="I20">
            <v>3.8059200074342936</v>
          </cell>
          <cell r="J20">
            <v>12.182722528488858</v>
          </cell>
          <cell r="K20">
            <v>4.8832940000000002</v>
          </cell>
          <cell r="L20">
            <v>0.21150197086795641</v>
          </cell>
          <cell r="M20">
            <v>117.51352654732582</v>
          </cell>
          <cell r="N20">
            <v>10.53744</v>
          </cell>
          <cell r="O20">
            <v>1.0151532794893077</v>
          </cell>
          <cell r="P20">
            <v>-60.547152989058027</v>
          </cell>
          <cell r="Q20">
            <v>16.25</v>
          </cell>
          <cell r="R20">
            <v>1.5009466312056998</v>
          </cell>
          <cell r="S20">
            <v>25.042548031057123</v>
          </cell>
          <cell r="Y20">
            <v>73.25</v>
          </cell>
          <cell r="Z20">
            <v>4.67000930490335</v>
          </cell>
          <cell r="AA20">
            <v>19.888657182758539</v>
          </cell>
        </row>
        <row r="21">
          <cell r="A21">
            <v>35855</v>
          </cell>
          <cell r="B21">
            <v>20.067350000000001</v>
          </cell>
          <cell r="C21">
            <v>1.9027652104998238</v>
          </cell>
          <cell r="D21">
            <v>7.0935247021213668</v>
          </cell>
          <cell r="E21">
            <v>23</v>
          </cell>
          <cell r="F21">
            <v>2.2878686006825943</v>
          </cell>
          <cell r="G21">
            <v>12.299779520200916</v>
          </cell>
          <cell r="H21">
            <v>33.200000000000003</v>
          </cell>
          <cell r="I21">
            <v>3.6865293693069527</v>
          </cell>
          <cell r="J21">
            <v>11.526778893321481</v>
          </cell>
          <cell r="K21">
            <v>4.5298980000000002</v>
          </cell>
          <cell r="L21">
            <v>0.19453143460519901</v>
          </cell>
          <cell r="M21">
            <v>109.32686939005661</v>
          </cell>
          <cell r="N21">
            <v>10.00329</v>
          </cell>
          <cell r="O21">
            <v>0.92461613445294</v>
          </cell>
          <cell r="P21">
            <v>-31.661362037183167</v>
          </cell>
          <cell r="Q21">
            <v>16.100000000000001</v>
          </cell>
          <cell r="R21">
            <v>1.4216574104599844</v>
          </cell>
          <cell r="S21">
            <v>25.996412026546977</v>
          </cell>
          <cell r="Y21">
            <v>75.75</v>
          </cell>
          <cell r="Z21">
            <v>4.5580664348795912</v>
          </cell>
          <cell r="AA21">
            <v>20.204227267971124</v>
          </cell>
        </row>
        <row r="22">
          <cell r="A22">
            <v>35886</v>
          </cell>
          <cell r="B22">
            <v>18.591809999999999</v>
          </cell>
          <cell r="C22">
            <v>1.9763857777424552</v>
          </cell>
          <cell r="D22">
            <v>6.3739566381418475</v>
          </cell>
          <cell r="E22">
            <v>21.8</v>
          </cell>
          <cell r="F22">
            <v>2.2244675767918092</v>
          </cell>
          <cell r="G22">
            <v>11.349143315050046</v>
          </cell>
          <cell r="H22">
            <v>29.2</v>
          </cell>
          <cell r="I22">
            <v>3.5671387311796119</v>
          </cell>
          <cell r="J22">
            <v>9.832770314063545</v>
          </cell>
          <cell r="K22">
            <v>4.6503779999999999</v>
          </cell>
          <cell r="L22">
            <v>0.1775608983424416</v>
          </cell>
          <cell r="M22">
            <v>112.56255243959328</v>
          </cell>
          <cell r="N22">
            <v>8.5950579999999999</v>
          </cell>
          <cell r="O22">
            <v>0.83407898941657233</v>
          </cell>
          <cell r="P22">
            <v>-18.772418018600344</v>
          </cell>
          <cell r="Q22">
            <v>13.95</v>
          </cell>
          <cell r="R22">
            <v>1.342368189714269</v>
          </cell>
          <cell r="S22">
            <v>23.654618649169461</v>
          </cell>
          <cell r="Y22">
            <v>65.25</v>
          </cell>
          <cell r="Z22">
            <v>4.4461235648558324</v>
          </cell>
          <cell r="AA22">
            <v>17.101624548736464</v>
          </cell>
        </row>
        <row r="23">
          <cell r="A23">
            <v>35916</v>
          </cell>
          <cell r="B23">
            <v>12.788019999999999</v>
          </cell>
          <cell r="C23">
            <v>2.0500063449850865</v>
          </cell>
          <cell r="D23">
            <v>4.2559884642608603</v>
          </cell>
          <cell r="E23">
            <v>14.6</v>
          </cell>
          <cell r="F23">
            <v>2.161066552901024</v>
          </cell>
          <cell r="G23">
            <v>7.4045994440232512</v>
          </cell>
          <cell r="H23">
            <v>22</v>
          </cell>
          <cell r="I23">
            <v>3.447748093052271</v>
          </cell>
          <cell r="J23">
            <v>7.1917198834425227</v>
          </cell>
          <cell r="K23">
            <v>3.7588550000000001</v>
          </cell>
          <cell r="L23">
            <v>0.16059036207968419</v>
          </cell>
          <cell r="M23">
            <v>91.24984727858066</v>
          </cell>
          <cell r="N23">
            <v>6.1185159999999996</v>
          </cell>
          <cell r="O23">
            <v>0.74354184438020465</v>
          </cell>
          <cell r="P23">
            <v>-10.201521534518516</v>
          </cell>
          <cell r="Q23">
            <v>10.35</v>
          </cell>
          <cell r="R23">
            <v>1.2630789689685535</v>
          </cell>
          <cell r="S23">
            <v>18.476948154490927</v>
          </cell>
          <cell r="Y23">
            <v>57.75</v>
          </cell>
          <cell r="Z23">
            <v>4.3341806948320736</v>
          </cell>
          <cell r="AA23">
            <v>14.877737476277641</v>
          </cell>
        </row>
        <row r="24">
          <cell r="A24">
            <v>35947</v>
          </cell>
          <cell r="B24">
            <v>8.8532410000000006</v>
          </cell>
          <cell r="C24">
            <v>2.1236269122277176</v>
          </cell>
          <cell r="D24">
            <v>2.8627321751651116</v>
          </cell>
          <cell r="E24">
            <v>10.35</v>
          </cell>
          <cell r="F24">
            <v>2.0976655290102388</v>
          </cell>
          <cell r="G24">
            <v>5.1170619352552595</v>
          </cell>
          <cell r="H24">
            <v>18</v>
          </cell>
          <cell r="I24">
            <v>3.3283574549249302</v>
          </cell>
          <cell r="J24">
            <v>5.7170343875650369</v>
          </cell>
          <cell r="K24">
            <v>3.0600930000000002</v>
          </cell>
          <cell r="L24">
            <v>0.14361982581692678</v>
          </cell>
          <cell r="M24">
            <v>74.505069661731383</v>
          </cell>
          <cell r="N24">
            <v>4.7831260000000002</v>
          </cell>
          <cell r="O24">
            <v>0.65300469934383698</v>
          </cell>
          <cell r="P24">
            <v>-6.4490912575671198</v>
          </cell>
          <cell r="Q24">
            <v>8.4</v>
          </cell>
          <cell r="R24">
            <v>1.1837897482228381</v>
          </cell>
          <cell r="S24">
            <v>15.831789655546631</v>
          </cell>
          <cell r="Y24">
            <v>43.8</v>
          </cell>
          <cell r="Z24">
            <v>4.2222378248083148</v>
          </cell>
          <cell r="AA24">
            <v>11.094645909241473</v>
          </cell>
        </row>
        <row r="25">
          <cell r="A25">
            <v>35977</v>
          </cell>
          <cell r="B25">
            <v>8.7056880000000003</v>
          </cell>
          <cell r="C25">
            <v>2.1972474794703487</v>
          </cell>
          <cell r="D25">
            <v>2.7372445350819743</v>
          </cell>
          <cell r="E25">
            <v>9.6999999999999993</v>
          </cell>
          <cell r="F25">
            <v>2.0342645051194537</v>
          </cell>
          <cell r="G25">
            <v>4.6779842909531437</v>
          </cell>
          <cell r="H25">
            <v>18.600000000000001</v>
          </cell>
          <cell r="I25">
            <v>3.2089668167975893</v>
          </cell>
          <cell r="J25">
            <v>5.7444684308354077</v>
          </cell>
          <cell r="K25">
            <v>2.457713</v>
          </cell>
          <cell r="L25">
            <v>0.12664928955416938</v>
          </cell>
          <cell r="M25">
            <v>60.015129094417965</v>
          </cell>
          <cell r="N25">
            <v>4.1032909999999996</v>
          </cell>
          <cell r="O25">
            <v>0.56246755430746931</v>
          </cell>
          <cell r="P25">
            <v>-4.6439183685849175</v>
          </cell>
          <cell r="Q25">
            <v>8</v>
          </cell>
          <cell r="R25">
            <v>1.1045005274771227</v>
          </cell>
          <cell r="S25">
            <v>15.968106956640307</v>
          </cell>
          <cell r="Y25">
            <v>37.799999999999997</v>
          </cell>
          <cell r="Z25">
            <v>4.110294954784556</v>
          </cell>
          <cell r="AA25">
            <v>9.4168953946725473</v>
          </cell>
        </row>
        <row r="26">
          <cell r="A26">
            <v>36008</v>
          </cell>
          <cell r="B26">
            <v>5.8037919999999996</v>
          </cell>
          <cell r="C26">
            <v>2.2708680467129798</v>
          </cell>
          <cell r="D26">
            <v>1.7757672869291168</v>
          </cell>
          <cell r="E26">
            <v>6.65</v>
          </cell>
          <cell r="F26">
            <v>1.9708634812286685</v>
          </cell>
          <cell r="G26">
            <v>3.130236271830686</v>
          </cell>
          <cell r="H26">
            <v>14.4</v>
          </cell>
          <cell r="I26">
            <v>3.0895761786702485</v>
          </cell>
          <cell r="J26">
            <v>4.3278210377055002</v>
          </cell>
          <cell r="K26">
            <v>1.773409</v>
          </cell>
          <cell r="L26">
            <v>0.10967875329141197</v>
          </cell>
          <cell r="M26">
            <v>43.433081060251389</v>
          </cell>
          <cell r="N26">
            <v>2.8650199999999999</v>
          </cell>
          <cell r="O26">
            <v>0.47193040927110158</v>
          </cell>
          <cell r="P26">
            <v>-2.7937972626395311</v>
          </cell>
          <cell r="Q26">
            <v>8.0500000000000007</v>
          </cell>
          <cell r="R26">
            <v>1.0252113067314073</v>
          </cell>
          <cell r="S26">
            <v>17.076095154340312</v>
          </cell>
          <cell r="Y26">
            <v>41.7</v>
          </cell>
          <cell r="Z26">
            <v>3.9983520847607972</v>
          </cell>
          <cell r="AA26">
            <v>10.21990342705752</v>
          </cell>
        </row>
        <row r="27">
          <cell r="A27">
            <v>36039</v>
          </cell>
          <cell r="B27">
            <v>7.6236240000000004</v>
          </cell>
          <cell r="C27">
            <v>2.3444886139556109</v>
          </cell>
          <cell r="D27">
            <v>2.2715036544286824</v>
          </cell>
          <cell r="E27">
            <v>8.3000000000000007</v>
          </cell>
          <cell r="F27">
            <v>1.9074624573378833</v>
          </cell>
          <cell r="G27">
            <v>3.8154992202380402</v>
          </cell>
          <cell r="H27">
            <v>15.8</v>
          </cell>
          <cell r="I27">
            <v>2.9701855405429076</v>
          </cell>
          <cell r="J27">
            <v>4.6243160692800966</v>
          </cell>
          <cell r="K27">
            <v>2.216761</v>
          </cell>
          <cell r="L27">
            <v>9.270821702865456E-2</v>
          </cell>
          <cell r="M27">
            <v>54.452340471355981</v>
          </cell>
          <cell r="N27">
            <v>4.0061710000000001</v>
          </cell>
          <cell r="O27">
            <v>0.38139326423473385</v>
          </cell>
          <cell r="P27">
            <v>-3.4316963184743718</v>
          </cell>
          <cell r="Q27">
            <v>10.95</v>
          </cell>
          <cell r="R27">
            <v>0.94592208598569172</v>
          </cell>
          <cell r="S27">
            <v>24.782734899658774</v>
          </cell>
          <cell r="Y27">
            <v>49</v>
          </cell>
          <cell r="Z27">
            <v>3.8864092147370384</v>
          </cell>
          <cell r="AA27">
            <v>11.817238008136496</v>
          </cell>
        </row>
        <row r="28">
          <cell r="A28">
            <v>36069</v>
          </cell>
          <cell r="B28">
            <v>13.37823</v>
          </cell>
          <cell r="C28">
            <v>2.418109181198242</v>
          </cell>
          <cell r="D28">
            <v>3.8844201707405461</v>
          </cell>
          <cell r="E28">
            <v>14.75</v>
          </cell>
          <cell r="F28">
            <v>1.8440614334470982</v>
          </cell>
          <cell r="G28">
            <v>6.6255344656569894</v>
          </cell>
          <cell r="H28">
            <v>23</v>
          </cell>
          <cell r="I28">
            <v>2.8507949024155668</v>
          </cell>
          <cell r="J28">
            <v>6.5599328455204162</v>
          </cell>
          <cell r="K28">
            <v>2.602284</v>
          </cell>
          <cell r="L28">
            <v>7.5737680765897153E-2</v>
          </cell>
          <cell r="M28">
            <v>64.112415325732641</v>
          </cell>
          <cell r="N28">
            <v>5.0016439999999998</v>
          </cell>
          <cell r="O28">
            <v>0.29085611919836613</v>
          </cell>
          <cell r="P28">
            <v>-3.8200553615828547</v>
          </cell>
          <cell r="Q28">
            <v>12.8</v>
          </cell>
          <cell r="R28">
            <v>0.86663286523997618</v>
          </cell>
          <cell r="S28">
            <v>31.048332988008109</v>
          </cell>
          <cell r="Y28">
            <v>67</v>
          </cell>
          <cell r="Z28">
            <v>3.7744663447132796</v>
          </cell>
          <cell r="AA28">
            <v>15.904302299112231</v>
          </cell>
        </row>
        <row r="29">
          <cell r="A29">
            <v>36100</v>
          </cell>
          <cell r="B29">
            <v>18.9361</v>
          </cell>
          <cell r="C29">
            <v>2.4917297484408731</v>
          </cell>
          <cell r="D29">
            <v>5.3613783468896496</v>
          </cell>
          <cell r="E29">
            <v>21.5</v>
          </cell>
          <cell r="F29">
            <v>1.780660409556313</v>
          </cell>
          <cell r="G29">
            <v>9.4416966426858515</v>
          </cell>
          <cell r="H29">
            <v>27.25</v>
          </cell>
          <cell r="I29">
            <v>2.7314042642882259</v>
          </cell>
          <cell r="J29">
            <v>7.5788223195374584</v>
          </cell>
          <cell r="K29">
            <v>2.6986650000000001</v>
          </cell>
          <cell r="L29">
            <v>5.8767144503139745E-2</v>
          </cell>
          <cell r="M29">
            <v>66.685288312116086</v>
          </cell>
          <cell r="N29">
            <v>6.3127550000000001</v>
          </cell>
          <cell r="O29">
            <v>0.2003189741619984</v>
          </cell>
          <cell r="P29">
            <v>-4.3499603038883805</v>
          </cell>
          <cell r="Q29">
            <v>14.45</v>
          </cell>
          <cell r="R29">
            <v>0.78734364449426064</v>
          </cell>
          <cell r="S29">
            <v>37.759903551148845</v>
          </cell>
          <cell r="Y29">
            <v>68.25</v>
          </cell>
          <cell r="Z29">
            <v>3.6625234746895208</v>
          </cell>
          <cell r="AA29">
            <v>15.950330565883979</v>
          </cell>
        </row>
        <row r="30">
          <cell r="A30">
            <v>36130</v>
          </cell>
          <cell r="B30">
            <v>18.690180000000002</v>
          </cell>
          <cell r="C30">
            <v>2.5653503156835051</v>
          </cell>
          <cell r="D30">
            <v>5.1632919160634039</v>
          </cell>
          <cell r="E30">
            <v>19.3</v>
          </cell>
          <cell r="F30">
            <v>1.7172593856655292</v>
          </cell>
          <cell r="G30">
            <v>8.2902686211815375</v>
          </cell>
          <cell r="H30">
            <v>26.9</v>
          </cell>
          <cell r="I30">
            <v>2.6120136261608873</v>
          </cell>
          <cell r="J30">
            <v>7.2999486682616297</v>
          </cell>
          <cell r="K30">
            <v>2.4336180000000001</v>
          </cell>
          <cell r="L30">
            <v>4.1796608240382317E-2</v>
          </cell>
          <cell r="M30">
            <v>60.315778807859182</v>
          </cell>
          <cell r="N30">
            <v>6.0213970000000003</v>
          </cell>
          <cell r="O30">
            <v>0.10978182912563038</v>
          </cell>
          <cell r="P30">
            <v>-3.7796002159593405</v>
          </cell>
          <cell r="Q30">
            <v>13.5</v>
          </cell>
          <cell r="R30">
            <v>0.70805442374854477</v>
          </cell>
          <cell r="S30">
            <v>38.232614884099227</v>
          </cell>
          <cell r="Y30">
            <v>69.25</v>
          </cell>
          <cell r="Z30">
            <v>3.5505806046657602</v>
          </cell>
          <cell r="AA30">
            <v>15.937420247983628</v>
          </cell>
        </row>
        <row r="31">
          <cell r="A31">
            <v>36161</v>
          </cell>
          <cell r="B31">
            <v>14.31274</v>
          </cell>
          <cell r="C31">
            <v>2.6532226708538942</v>
          </cell>
          <cell r="D31">
            <v>3.9556997728047287</v>
          </cell>
          <cell r="E31">
            <v>15.75</v>
          </cell>
          <cell r="F31">
            <v>1.7681569965870307</v>
          </cell>
          <cell r="G31">
            <v>6.5882811471083</v>
          </cell>
          <cell r="H31">
            <v>22.3</v>
          </cell>
          <cell r="I31">
            <v>2.7014256088583259</v>
          </cell>
          <cell r="J31">
            <v>5.9616052576106213</v>
          </cell>
          <cell r="K31">
            <v>1.8601510000000001</v>
          </cell>
          <cell r="L31">
            <v>4.1675886682286119E-2</v>
          </cell>
          <cell r="M31">
            <v>34.991754762138562</v>
          </cell>
          <cell r="N31">
            <v>4.4674880000000003</v>
          </cell>
          <cell r="O31">
            <v>-3.212754526389465E-2</v>
          </cell>
          <cell r="P31">
            <v>-3.118379123138121</v>
          </cell>
          <cell r="Q31">
            <v>11.05</v>
          </cell>
          <cell r="R31">
            <v>0.67847502724527953</v>
          </cell>
          <cell r="S31">
            <v>25.430953382875551</v>
          </cell>
          <cell r="Y31">
            <v>64.75</v>
          </cell>
          <cell r="Z31">
            <v>3.6167922028106148</v>
          </cell>
          <cell r="AA31">
            <v>14.650892091013993</v>
          </cell>
          <cell r="AF31">
            <v>7.13</v>
          </cell>
          <cell r="AG31">
            <v>12.129999999999999</v>
          </cell>
        </row>
        <row r="32">
          <cell r="A32">
            <v>36192</v>
          </cell>
          <cell r="B32">
            <v>14.804589999999999</v>
          </cell>
          <cell r="C32">
            <v>2.7410950260242832</v>
          </cell>
          <cell r="D32">
            <v>4.0934015572994369</v>
          </cell>
          <cell r="E32">
            <v>17.100000000000001</v>
          </cell>
          <cell r="F32">
            <v>1.8190546075085323</v>
          </cell>
          <cell r="G32">
            <v>6.9705272867282027</v>
          </cell>
          <cell r="H32">
            <v>22.8</v>
          </cell>
          <cell r="I32">
            <v>2.7908375915557646</v>
          </cell>
          <cell r="J32">
            <v>6.0059283556995284</v>
          </cell>
          <cell r="K32">
            <v>1.7926850000000001</v>
          </cell>
          <cell r="L32">
            <v>4.155516512418992E-2</v>
          </cell>
          <cell r="M32">
            <v>27.173652783083604</v>
          </cell>
          <cell r="N32">
            <v>3.4477350000000002</v>
          </cell>
          <cell r="O32">
            <v>-0.17403691965341966</v>
          </cell>
          <cell r="P32">
            <v>-2.710201746019012</v>
          </cell>
          <cell r="Q32">
            <v>10.9</v>
          </cell>
          <cell r="R32">
            <v>0.64889563074201428</v>
          </cell>
          <cell r="S32">
            <v>21.127386218567228</v>
          </cell>
          <cell r="Y32">
            <v>63</v>
          </cell>
          <cell r="Z32">
            <v>3.6830038009554693</v>
          </cell>
          <cell r="AA32">
            <v>14.01890240353838</v>
          </cell>
          <cell r="AF32">
            <v>7.3</v>
          </cell>
          <cell r="AG32">
            <v>12.3</v>
          </cell>
        </row>
        <row r="33">
          <cell r="A33">
            <v>36220</v>
          </cell>
          <cell r="B33">
            <v>18.788550000000001</v>
          </cell>
          <cell r="C33">
            <v>2.8289673811946723</v>
          </cell>
          <cell r="D33">
            <v>5.1971917149616793</v>
          </cell>
          <cell r="E33">
            <v>20.6</v>
          </cell>
          <cell r="F33">
            <v>1.8699522184300339</v>
          </cell>
          <cell r="G33">
            <v>8.1883685634098988</v>
          </cell>
          <cell r="H33">
            <v>27.1</v>
          </cell>
          <cell r="I33">
            <v>2.8802495742532033</v>
          </cell>
          <cell r="J33">
            <v>7.0354982726711413</v>
          </cell>
          <cell r="K33">
            <v>1.8505130000000001</v>
          </cell>
          <cell r="L33">
            <v>4.1434443566093722E-2</v>
          </cell>
          <cell r="M33">
            <v>23.488679723082541</v>
          </cell>
          <cell r="N33">
            <v>3.8119329999999998</v>
          </cell>
          <cell r="O33">
            <v>-0.31594629404294472</v>
          </cell>
          <cell r="P33">
            <v>-3.4291289817784989</v>
          </cell>
          <cell r="Q33">
            <v>13.15</v>
          </cell>
          <cell r="R33">
            <v>0.61931623423874904</v>
          </cell>
          <cell r="S33">
            <v>22.01477001187563</v>
          </cell>
          <cell r="Y33">
            <v>71.25</v>
          </cell>
          <cell r="Z33">
            <v>3.7492153991003239</v>
          </cell>
          <cell r="AA33">
            <v>15.596479175611849</v>
          </cell>
          <cell r="AF33">
            <v>7.16</v>
          </cell>
          <cell r="AG33">
            <v>12.16</v>
          </cell>
        </row>
        <row r="34">
          <cell r="A34">
            <v>36251</v>
          </cell>
          <cell r="B34">
            <v>24.051310000000001</v>
          </cell>
          <cell r="C34">
            <v>2.9168397363650613</v>
          </cell>
          <cell r="D34">
            <v>6.6558234919395529</v>
          </cell>
          <cell r="E34">
            <v>23.7</v>
          </cell>
          <cell r="F34">
            <v>1.9208498293515355</v>
          </cell>
          <cell r="G34">
            <v>9.1919560952751578</v>
          </cell>
          <cell r="H34">
            <v>30.6</v>
          </cell>
          <cell r="I34">
            <v>2.9696615569506419</v>
          </cell>
          <cell r="J34">
            <v>7.8310123965879468</v>
          </cell>
          <cell r="K34">
            <v>2.5781890000000001</v>
          </cell>
          <cell r="L34">
            <v>4.1313722007997523E-2</v>
          </cell>
          <cell r="M34">
            <v>28.147726034194402</v>
          </cell>
          <cell r="N34">
            <v>5.5358000000000001</v>
          </cell>
          <cell r="O34">
            <v>-0.45785566843246972</v>
          </cell>
          <cell r="P34">
            <v>-5.8202116060066853</v>
          </cell>
          <cell r="Q34">
            <v>18.850000000000001</v>
          </cell>
          <cell r="R34">
            <v>0.5897368377354838</v>
          </cell>
          <cell r="S34">
            <v>27.772275551969944</v>
          </cell>
          <cell r="Y34">
            <v>91.75</v>
          </cell>
          <cell r="Z34">
            <v>3.8154269972451784</v>
          </cell>
          <cell r="AA34">
            <v>19.762015547543935</v>
          </cell>
          <cell r="AF34">
            <v>6.82</v>
          </cell>
          <cell r="AG34">
            <v>11.82</v>
          </cell>
        </row>
        <row r="35">
          <cell r="A35">
            <v>36281</v>
          </cell>
          <cell r="B35">
            <v>21.4937</v>
          </cell>
          <cell r="C35">
            <v>3.0047120915354504</v>
          </cell>
          <cell r="D35">
            <v>5.9506158098138551</v>
          </cell>
          <cell r="E35">
            <v>21.5</v>
          </cell>
          <cell r="F35">
            <v>1.9717474402730371</v>
          </cell>
          <cell r="G35">
            <v>8.141105604659149</v>
          </cell>
          <cell r="H35">
            <v>28</v>
          </cell>
          <cell r="I35">
            <v>3.0590735396480806</v>
          </cell>
          <cell r="J35">
            <v>7.0650219147612301</v>
          </cell>
          <cell r="K35">
            <v>2.192666</v>
          </cell>
          <cell r="L35">
            <v>4.1193000449901325E-2</v>
          </cell>
          <cell r="M35">
            <v>21.001205082420029</v>
          </cell>
          <cell r="N35">
            <v>4.6860059999999999</v>
          </cell>
          <cell r="O35">
            <v>-0.59976504282199472</v>
          </cell>
          <cell r="P35">
            <v>-5.9268922341269716</v>
          </cell>
          <cell r="Q35">
            <v>16.95</v>
          </cell>
          <cell r="R35">
            <v>0.56015744123221856</v>
          </cell>
          <cell r="S35">
            <v>22.298446561592858</v>
          </cell>
          <cell r="Y35">
            <v>82</v>
          </cell>
          <cell r="Z35">
            <v>3.881638595390033</v>
          </cell>
          <cell r="AA35">
            <v>17.383372605549855</v>
          </cell>
          <cell r="AF35">
            <v>7.33</v>
          </cell>
          <cell r="AG35">
            <v>12.33</v>
          </cell>
        </row>
        <row r="36">
          <cell r="A36">
            <v>36312</v>
          </cell>
          <cell r="B36">
            <v>29.06814</v>
          </cell>
          <cell r="C36">
            <v>3.0925844467058394</v>
          </cell>
          <cell r="D36">
            <v>8.0511092878063106</v>
          </cell>
          <cell r="E36">
            <v>24.95</v>
          </cell>
          <cell r="F36">
            <v>2.0226450511945386</v>
          </cell>
          <cell r="G36">
            <v>9.228789161299769</v>
          </cell>
          <cell r="H36">
            <v>30.2</v>
          </cell>
          <cell r="I36">
            <v>3.1484855223455193</v>
          </cell>
          <cell r="J36">
            <v>7.5146204053332157</v>
          </cell>
          <cell r="K36">
            <v>3.0600930000000002</v>
          </cell>
          <cell r="L36">
            <v>4.1072278891805127E-2</v>
          </cell>
          <cell r="M36">
            <v>26.10590543824781</v>
          </cell>
          <cell r="N36">
            <v>5.8271579999999998</v>
          </cell>
          <cell r="O36">
            <v>-0.74167441721151972</v>
          </cell>
          <cell r="P36">
            <v>-9.2474700676076615</v>
          </cell>
          <cell r="Q36">
            <v>19.649999999999999</v>
          </cell>
          <cell r="R36">
            <v>0.53057804472895331</v>
          </cell>
          <cell r="S36">
            <v>23.349748146934765</v>
          </cell>
          <cell r="Y36">
            <v>86.75</v>
          </cell>
          <cell r="Z36">
            <v>3.9478501935348875</v>
          </cell>
          <cell r="AA36">
            <v>18.104759565525896</v>
          </cell>
          <cell r="AF36">
            <v>7.71</v>
          </cell>
          <cell r="AG36">
            <v>12.71</v>
          </cell>
        </row>
        <row r="37">
          <cell r="A37">
            <v>36342</v>
          </cell>
          <cell r="B37">
            <v>31.28145</v>
          </cell>
          <cell r="C37">
            <v>3.1804568018762285</v>
          </cell>
          <cell r="D37">
            <v>8.6678858947313593</v>
          </cell>
          <cell r="E37">
            <v>29.55</v>
          </cell>
          <cell r="F37">
            <v>2.0735426621160404</v>
          </cell>
          <cell r="G37">
            <v>10.683010476461043</v>
          </cell>
          <cell r="H37">
            <v>31.7</v>
          </cell>
          <cell r="I37">
            <v>3.2378975050429579</v>
          </cell>
          <cell r="J37">
            <v>7.7801372737124677</v>
          </cell>
          <cell r="K37">
            <v>3.397427</v>
          </cell>
          <cell r="L37">
            <v>4.0951557333708928E-2</v>
          </cell>
          <cell r="M37">
            <v>26.127991025493898</v>
          </cell>
          <cell r="N37">
            <v>5.8271579999999998</v>
          </cell>
          <cell r="O37">
            <v>-0.88358379160104472</v>
          </cell>
          <cell r="P37">
            <v>-12.407813798901511</v>
          </cell>
          <cell r="Q37">
            <v>18.8</v>
          </cell>
          <cell r="R37">
            <v>0.50099864822568807</v>
          </cell>
          <cell r="S37">
            <v>20.369268236521691</v>
          </cell>
          <cell r="Y37">
            <v>85</v>
          </cell>
          <cell r="Z37">
            <v>4.0140617916797421</v>
          </cell>
          <cell r="AA37">
            <v>17.468275509929857</v>
          </cell>
          <cell r="AF37">
            <v>7.48</v>
          </cell>
          <cell r="AG37">
            <v>12.48</v>
          </cell>
        </row>
        <row r="38">
          <cell r="A38">
            <v>36373</v>
          </cell>
          <cell r="B38">
            <v>30.396129999999999</v>
          </cell>
          <cell r="C38">
            <v>3.2683291570466175</v>
          </cell>
          <cell r="D38">
            <v>8.4262145932625963</v>
          </cell>
          <cell r="E38">
            <v>27</v>
          </cell>
          <cell r="F38">
            <v>2.1244402730375422</v>
          </cell>
          <cell r="G38">
            <v>9.5451830669827853</v>
          </cell>
          <cell r="H38">
            <v>32.1</v>
          </cell>
          <cell r="I38">
            <v>3.3273094877403966</v>
          </cell>
          <cell r="J38">
            <v>7.7721636136942172</v>
          </cell>
          <cell r="K38">
            <v>2.9637129999999998</v>
          </cell>
          <cell r="L38">
            <v>4.083083577561273E-2</v>
          </cell>
          <cell r="M38">
            <v>20.74820327083156</v>
          </cell>
          <cell r="N38">
            <v>3.957611</v>
          </cell>
          <cell r="O38">
            <v>-1.0254931659905697</v>
          </cell>
          <cell r="P38">
            <v>-12.802128935469003</v>
          </cell>
          <cell r="Q38">
            <v>17.899999999999999</v>
          </cell>
          <cell r="R38">
            <v>0.47141925172242288</v>
          </cell>
          <cell r="S38">
            <v>17.822166643473551</v>
          </cell>
          <cell r="Y38">
            <v>87.75</v>
          </cell>
          <cell r="Z38">
            <v>4.0802733898245966</v>
          </cell>
          <cell r="AA38">
            <v>17.761826363155105</v>
          </cell>
          <cell r="AF38">
            <v>7.44</v>
          </cell>
          <cell r="AG38">
            <v>12.440000000000001</v>
          </cell>
        </row>
        <row r="39">
          <cell r="A39">
            <v>36404</v>
          </cell>
          <cell r="B39">
            <v>30.592870000000001</v>
          </cell>
          <cell r="C39">
            <v>3.3562015122170066</v>
          </cell>
          <cell r="D39">
            <v>8.4844254275574151</v>
          </cell>
          <cell r="E39">
            <v>26</v>
          </cell>
          <cell r="F39">
            <v>2.175337883959044</v>
          </cell>
          <cell r="G39">
            <v>8.9927139303548618</v>
          </cell>
          <cell r="H39">
            <v>31.3</v>
          </cell>
          <cell r="I39">
            <v>3.4167214704378353</v>
          </cell>
          <cell r="J39">
            <v>7.4777163473719792</v>
          </cell>
          <cell r="K39">
            <v>2.6504750000000001</v>
          </cell>
          <cell r="L39">
            <v>4.0710114217516531E-2</v>
          </cell>
          <cell r="M39">
            <v>17.028029213371177</v>
          </cell>
          <cell r="N39">
            <v>3.8250000000000002</v>
          </cell>
          <cell r="O39">
            <v>-1.1674025403800947</v>
          </cell>
          <cell r="P39">
            <v>-25.733708796700792</v>
          </cell>
          <cell r="Q39">
            <v>16.850000000000001</v>
          </cell>
          <cell r="R39">
            <v>0.4418398552191577</v>
          </cell>
          <cell r="S39">
            <v>15.518863058664207</v>
          </cell>
          <cell r="Y39">
            <v>82.25</v>
          </cell>
          <cell r="Z39">
            <v>4.1464849879694512</v>
          </cell>
          <cell r="AA39">
            <v>16.401528071136141</v>
          </cell>
          <cell r="AF39">
            <v>7.38</v>
          </cell>
          <cell r="AG39">
            <v>12.379999999999999</v>
          </cell>
        </row>
        <row r="40">
          <cell r="A40">
            <v>36434</v>
          </cell>
          <cell r="B40">
            <v>30.494499999999999</v>
          </cell>
          <cell r="C40">
            <v>3.4440738673873956</v>
          </cell>
          <cell r="D40">
            <v>8.4608073721685191</v>
          </cell>
          <cell r="E40">
            <v>25.35</v>
          </cell>
          <cell r="F40">
            <v>2.2262354948805458</v>
          </cell>
          <cell r="G40">
            <v>8.5821445222253185</v>
          </cell>
          <cell r="H40">
            <v>30</v>
          </cell>
          <cell r="I40">
            <v>3.5061334531352739</v>
          </cell>
          <cell r="J40">
            <v>7.0731099964443445</v>
          </cell>
          <cell r="K40">
            <v>2.505903</v>
          </cell>
          <cell r="L40">
            <v>4.0589392659420333E-2</v>
          </cell>
          <cell r="M40">
            <v>14.874882226310605</v>
          </cell>
          <cell r="N40">
            <v>4.55</v>
          </cell>
          <cell r="O40">
            <v>-1.3093119147696197</v>
          </cell>
          <cell r="P40">
            <v>383.59438702065779</v>
          </cell>
          <cell r="Q40">
            <v>17</v>
          </cell>
          <cell r="R40">
            <v>0.41226045871589251</v>
          </cell>
          <cell r="S40">
            <v>14.564974902398216</v>
          </cell>
          <cell r="Y40">
            <v>84.5</v>
          </cell>
          <cell r="Z40">
            <v>4.2126965861143058</v>
          </cell>
          <cell r="AA40">
            <v>16.603843979649518</v>
          </cell>
          <cell r="AF40">
            <v>7.53</v>
          </cell>
          <cell r="AG40">
            <v>12.530000000000001</v>
          </cell>
        </row>
        <row r="41">
          <cell r="A41">
            <v>36465</v>
          </cell>
          <cell r="B41">
            <v>32.363520000000001</v>
          </cell>
          <cell r="C41">
            <v>3.5319462225577847</v>
          </cell>
          <cell r="D41">
            <v>8.9832647359548545</v>
          </cell>
          <cell r="E41">
            <v>29.7</v>
          </cell>
          <cell r="F41">
            <v>2.2771331058020476</v>
          </cell>
          <cell r="G41">
            <v>9.8462238236389759</v>
          </cell>
          <cell r="H41">
            <v>31.9</v>
          </cell>
          <cell r="I41">
            <v>3.5955454358327126</v>
          </cell>
          <cell r="J41">
            <v>7.4236776794653458</v>
          </cell>
          <cell r="K41">
            <v>2.602284</v>
          </cell>
          <cell r="L41">
            <v>4.0468671101324134E-2</v>
          </cell>
          <cell r="M41">
            <v>14.355278943631975</v>
          </cell>
          <cell r="N41">
            <v>4.75</v>
          </cell>
          <cell r="O41">
            <v>-1.4512212891591447</v>
          </cell>
          <cell r="P41">
            <v>27.558485956050724</v>
          </cell>
          <cell r="Q41">
            <v>18.7</v>
          </cell>
          <cell r="R41">
            <v>0.38268106221262732</v>
          </cell>
          <cell r="S41">
            <v>14.976872279627289</v>
          </cell>
          <cell r="Y41">
            <v>86.25</v>
          </cell>
          <cell r="Z41">
            <v>4.2789081842591603</v>
          </cell>
          <cell r="AA41">
            <v>16.703497353559399</v>
          </cell>
          <cell r="AF41">
            <v>7.64</v>
          </cell>
          <cell r="AG41">
            <v>12.64</v>
          </cell>
        </row>
        <row r="42">
          <cell r="A42">
            <v>36495</v>
          </cell>
          <cell r="B42">
            <v>30.494499999999999</v>
          </cell>
          <cell r="C42">
            <v>3.6198185777281724</v>
          </cell>
          <cell r="D42">
            <v>8.4681433681777989</v>
          </cell>
          <cell r="E42">
            <v>26.6</v>
          </cell>
          <cell r="F42">
            <v>2.3280307167235486</v>
          </cell>
          <cell r="G42">
            <v>8.6392739010526078</v>
          </cell>
          <cell r="H42">
            <v>31.5</v>
          </cell>
          <cell r="I42">
            <v>3.6849574185301526</v>
          </cell>
          <cell r="J42">
            <v>7.2368751583130164</v>
          </cell>
          <cell r="K42">
            <v>2.8673320000000002</v>
          </cell>
          <cell r="L42">
            <v>4.034794954322795E-2</v>
          </cell>
          <cell r="M42">
            <v>14.773292689910194</v>
          </cell>
          <cell r="N42">
            <v>6.5</v>
          </cell>
          <cell r="O42">
            <v>-1.5931306635486699</v>
          </cell>
          <cell r="P42">
            <v>19.527734208299183</v>
          </cell>
          <cell r="Q42">
            <v>21.6</v>
          </cell>
          <cell r="R42">
            <v>0.35310166570936241</v>
          </cell>
          <cell r="S42">
            <v>16.2406015037594</v>
          </cell>
          <cell r="W42">
            <v>0.2900839891041162</v>
          </cell>
          <cell r="Y42">
            <v>88.75</v>
          </cell>
          <cell r="Z42">
            <v>4.3451197824040175</v>
          </cell>
          <cell r="AA42">
            <v>16.943504094268025</v>
          </cell>
          <cell r="AF42">
            <v>7.74</v>
          </cell>
          <cell r="AG42">
            <v>12.74</v>
          </cell>
        </row>
        <row r="43">
          <cell r="A43">
            <v>36526</v>
          </cell>
          <cell r="B43">
            <v>27.149940000000001</v>
          </cell>
          <cell r="C43">
            <v>3.618257406287376</v>
          </cell>
          <cell r="D43">
            <v>7.6633885792348924</v>
          </cell>
          <cell r="E43">
            <v>23</v>
          </cell>
          <cell r="F43">
            <v>2.3906083617747433</v>
          </cell>
          <cell r="G43">
            <v>7.5564844126250845</v>
          </cell>
          <cell r="H43">
            <v>27.3</v>
          </cell>
          <cell r="I43">
            <v>3.7406032496921338</v>
          </cell>
          <cell r="J43">
            <v>6.3582502954667026</v>
          </cell>
          <cell r="K43">
            <v>2.7227600000000001</v>
          </cell>
          <cell r="L43">
            <v>5.3159694695068642E-2</v>
          </cell>
          <cell r="M43">
            <v>13.798279019243319</v>
          </cell>
          <cell r="N43">
            <v>7.1</v>
          </cell>
          <cell r="O43">
            <v>-1.4326314484507674</v>
          </cell>
          <cell r="P43">
            <v>20.003084006276222</v>
          </cell>
          <cell r="Q43">
            <v>20.05</v>
          </cell>
          <cell r="R43">
            <v>0.43450986023358223</v>
          </cell>
          <cell r="S43">
            <v>15.214305795845842</v>
          </cell>
          <cell r="T43">
            <v>11.765632018115346</v>
          </cell>
          <cell r="W43">
            <v>0.30569007263922515</v>
          </cell>
          <cell r="Y43">
            <v>75.75</v>
          </cell>
          <cell r="Z43">
            <v>4.4195261010565963</v>
          </cell>
          <cell r="AA43">
            <v>14.449494050836043</v>
          </cell>
          <cell r="AF43">
            <v>7.62</v>
          </cell>
          <cell r="AG43">
            <v>12.620000000000001</v>
          </cell>
        </row>
        <row r="44">
          <cell r="A44">
            <v>36557</v>
          </cell>
          <cell r="B44">
            <v>24.887440000000002</v>
          </cell>
          <cell r="C44">
            <v>3.6166962348465796</v>
          </cell>
          <cell r="D44">
            <v>7.1422492130407633</v>
          </cell>
          <cell r="E44">
            <v>18.100000000000001</v>
          </cell>
          <cell r="F44">
            <v>2.4531860068259381</v>
          </cell>
          <cell r="G44">
            <v>6.0162382732720392</v>
          </cell>
          <cell r="H44">
            <v>27.9</v>
          </cell>
          <cell r="I44">
            <v>3.7962490808541149</v>
          </cell>
          <cell r="J44">
            <v>6.5886409142987326</v>
          </cell>
          <cell r="K44">
            <v>2.313142</v>
          </cell>
          <cell r="L44">
            <v>6.5971439846909327E-2</v>
          </cell>
          <cell r="M44">
            <v>11.533231051352173</v>
          </cell>
          <cell r="N44">
            <v>7.35</v>
          </cell>
          <cell r="O44">
            <v>-1.2721322333528651</v>
          </cell>
          <cell r="P44">
            <v>19.494438032344149</v>
          </cell>
          <cell r="Q44">
            <v>18.3</v>
          </cell>
          <cell r="R44">
            <v>0.51591805475780206</v>
          </cell>
          <cell r="S44">
            <v>14.015714593624027</v>
          </cell>
          <cell r="T44">
            <v>10.798418679655315</v>
          </cell>
          <cell r="W44">
            <v>0.3212961561743341</v>
          </cell>
          <cell r="Y44">
            <v>70.25</v>
          </cell>
          <cell r="Z44">
            <v>4.493932419709175</v>
          </cell>
          <cell r="AA44">
            <v>13.389111904959709</v>
          </cell>
          <cell r="AF44">
            <v>7.67</v>
          </cell>
          <cell r="AG44">
            <v>12.67</v>
          </cell>
        </row>
        <row r="45">
          <cell r="A45">
            <v>36586</v>
          </cell>
          <cell r="B45">
            <v>27.051570000000002</v>
          </cell>
          <cell r="C45">
            <v>3.6151350634057833</v>
          </cell>
          <cell r="D45">
            <v>7.8953525326681051</v>
          </cell>
          <cell r="E45">
            <v>19.5</v>
          </cell>
          <cell r="F45">
            <v>2.5157636518771329</v>
          </cell>
          <cell r="G45">
            <v>6.5583574433942049</v>
          </cell>
          <cell r="H45">
            <v>28.9</v>
          </cell>
          <cell r="I45">
            <v>3.8518949120160961</v>
          </cell>
          <cell r="J45">
            <v>6.9213477052389241</v>
          </cell>
          <cell r="K45">
            <v>2.2890459999999999</v>
          </cell>
          <cell r="L45">
            <v>7.8783184998750019E-2</v>
          </cell>
          <cell r="M45">
            <v>11.231803827854369</v>
          </cell>
          <cell r="N45">
            <v>6.95</v>
          </cell>
          <cell r="O45">
            <v>-1.1116330182549627</v>
          </cell>
          <cell r="P45">
            <v>17.413485250646147</v>
          </cell>
          <cell r="Q45">
            <v>17.3</v>
          </cell>
          <cell r="R45">
            <v>0.59732624928202183</v>
          </cell>
          <cell r="S45">
            <v>13.374400644706443</v>
          </cell>
          <cell r="T45">
            <v>10.565791234084699</v>
          </cell>
          <cell r="W45">
            <v>0.33690223970944305</v>
          </cell>
          <cell r="Y45">
            <v>68</v>
          </cell>
          <cell r="Z45">
            <v>4.5683387383617537</v>
          </cell>
          <cell r="AA45">
            <v>12.949413551809151</v>
          </cell>
          <cell r="AF45">
            <v>7.43</v>
          </cell>
          <cell r="AG45">
            <v>12.43</v>
          </cell>
        </row>
        <row r="46">
          <cell r="A46">
            <v>36617</v>
          </cell>
          <cell r="B46">
            <v>30.002649999999999</v>
          </cell>
          <cell r="C46">
            <v>3.6135738919649869</v>
          </cell>
          <cell r="D46">
            <v>8.9081718761793365</v>
          </cell>
          <cell r="E46">
            <v>19.100000000000001</v>
          </cell>
          <cell r="F46">
            <v>2.5783412969283277</v>
          </cell>
          <cell r="G46">
            <v>6.5008297910072796</v>
          </cell>
          <cell r="H46">
            <v>26.85</v>
          </cell>
          <cell r="I46">
            <v>3.9075407431780773</v>
          </cell>
          <cell r="J46">
            <v>6.5226674764671362</v>
          </cell>
          <cell r="K46">
            <v>1.951713</v>
          </cell>
          <cell r="L46">
            <v>9.1594930150590712E-2</v>
          </cell>
          <cell r="M46">
            <v>9.4268548967405543</v>
          </cell>
          <cell r="N46">
            <v>7.2</v>
          </cell>
          <cell r="O46">
            <v>-0.95113380315706031</v>
          </cell>
          <cell r="P46">
            <v>17.093963667868916</v>
          </cell>
          <cell r="Q46">
            <v>16.850000000000001</v>
          </cell>
          <cell r="R46">
            <v>0.67873444380624159</v>
          </cell>
          <cell r="S46">
            <v>13.15014651557218</v>
          </cell>
          <cell r="T46">
            <v>10.267105703972566</v>
          </cell>
          <cell r="W46">
            <v>0.352508323244552</v>
          </cell>
          <cell r="Y46">
            <v>71.75</v>
          </cell>
          <cell r="Z46">
            <v>4.6427450570143325</v>
          </cell>
          <cell r="AA46">
            <v>13.652090037487977</v>
          </cell>
          <cell r="AF46">
            <v>7.48</v>
          </cell>
          <cell r="AG46">
            <v>12.48</v>
          </cell>
        </row>
        <row r="47">
          <cell r="A47">
            <v>36647</v>
          </cell>
          <cell r="B47">
            <v>27.936900000000001</v>
          </cell>
          <cell r="C47">
            <v>3.6120127205241905</v>
          </cell>
          <cell r="D47">
            <v>8.44086854788201</v>
          </cell>
          <cell r="E47">
            <v>15.45</v>
          </cell>
          <cell r="F47">
            <v>2.6409189419795225</v>
          </cell>
          <cell r="G47">
            <v>5.3223235978861272</v>
          </cell>
          <cell r="H47">
            <v>22.15</v>
          </cell>
          <cell r="I47">
            <v>3.9631865743400585</v>
          </cell>
          <cell r="J47">
            <v>5.4592408192661992</v>
          </cell>
          <cell r="K47">
            <v>1.7252179999999999</v>
          </cell>
          <cell r="L47">
            <v>0.1044066753024314</v>
          </cell>
          <cell r="M47">
            <v>8.2045905506501828</v>
          </cell>
          <cell r="N47">
            <v>7.3</v>
          </cell>
          <cell r="O47">
            <v>-0.79063458805915787</v>
          </cell>
          <cell r="P47">
            <v>16.467898896238328</v>
          </cell>
          <cell r="Q47">
            <v>13.7</v>
          </cell>
          <cell r="R47">
            <v>0.76014263833046136</v>
          </cell>
          <cell r="S47">
            <v>10.794259067627163</v>
          </cell>
          <cell r="T47">
            <v>9.114863579925002</v>
          </cell>
          <cell r="W47">
            <v>0.36811440677966095</v>
          </cell>
          <cell r="Y47">
            <v>66</v>
          </cell>
          <cell r="Z47">
            <v>4.7171513756669112</v>
          </cell>
          <cell r="AA47">
            <v>12.547509384866544</v>
          </cell>
          <cell r="AF47">
            <v>7.71</v>
          </cell>
          <cell r="AG47">
            <v>12.71</v>
          </cell>
        </row>
        <row r="48">
          <cell r="A48">
            <v>36678</v>
          </cell>
          <cell r="B48">
            <v>30.887979999999999</v>
          </cell>
          <cell r="C48">
            <v>3.6104515490833942</v>
          </cell>
          <cell r="D48">
            <v>9.4997687346364081</v>
          </cell>
          <cell r="E48">
            <v>19.399999999999999</v>
          </cell>
          <cell r="F48">
            <v>2.7034965870307173</v>
          </cell>
          <cell r="G48">
            <v>6.7651248897611458</v>
          </cell>
          <cell r="H48">
            <v>25.8</v>
          </cell>
          <cell r="I48">
            <v>4.0188324055020397</v>
          </cell>
          <cell r="J48">
            <v>6.4527950786253374</v>
          </cell>
          <cell r="K48">
            <v>2.0962839999999998</v>
          </cell>
          <cell r="L48">
            <v>0.1172184204542721</v>
          </cell>
          <cell r="M48">
            <v>9.8181137093316142</v>
          </cell>
          <cell r="N48">
            <v>7.5</v>
          </cell>
          <cell r="O48">
            <v>-0.63013537296125544</v>
          </cell>
          <cell r="P48">
            <v>16.116138798052976</v>
          </cell>
          <cell r="Q48">
            <v>18.2</v>
          </cell>
          <cell r="R48">
            <v>0.84155083285468113</v>
          </cell>
          <cell r="S48">
            <v>14.478551580891859</v>
          </cell>
          <cell r="T48">
            <v>10.521748798549892</v>
          </cell>
          <cell r="W48">
            <v>0.3837204903147699</v>
          </cell>
          <cell r="Y48">
            <v>74</v>
          </cell>
          <cell r="Z48">
            <v>4.79155769431949</v>
          </cell>
          <cell r="AA48">
            <v>14.056654577972084</v>
          </cell>
          <cell r="AF48">
            <v>7.48</v>
          </cell>
          <cell r="AG48">
            <v>12.48</v>
          </cell>
        </row>
        <row r="49">
          <cell r="A49">
            <v>36708</v>
          </cell>
          <cell r="B49">
            <v>34.724379999999996</v>
          </cell>
          <cell r="C49">
            <v>3.6088903776425978</v>
          </cell>
          <cell r="D49">
            <v>10.874571372043546</v>
          </cell>
          <cell r="E49">
            <v>22.5</v>
          </cell>
          <cell r="F49">
            <v>2.7660742320819121</v>
          </cell>
          <cell r="G49">
            <v>7.9437106115562672</v>
          </cell>
          <cell r="H49">
            <v>28.5</v>
          </cell>
          <cell r="I49">
            <v>4.0744782366640209</v>
          </cell>
          <cell r="J49">
            <v>7.2349825300547836</v>
          </cell>
          <cell r="K49">
            <v>2.5781890000000001</v>
          </cell>
          <cell r="L49">
            <v>0.13003016560611277</v>
          </cell>
          <cell r="M49">
            <v>11.894810812966957</v>
          </cell>
          <cell r="N49">
            <v>7.65</v>
          </cell>
          <cell r="O49">
            <v>-0.469636157863353</v>
          </cell>
          <cell r="P49">
            <v>15.693680187799258</v>
          </cell>
          <cell r="Q49">
            <v>17.7</v>
          </cell>
          <cell r="R49">
            <v>0.9229590273789009</v>
          </cell>
          <cell r="S49">
            <v>14.218346942378666</v>
          </cell>
          <cell r="T49">
            <v>11.310017076133247</v>
          </cell>
          <cell r="W49">
            <v>0.39932657384987885</v>
          </cell>
          <cell r="Y49">
            <v>80.75</v>
          </cell>
          <cell r="Z49">
            <v>4.8659640129720687</v>
          </cell>
          <cell r="AA49">
            <v>15.32603267838677</v>
          </cell>
          <cell r="AF49">
            <v>7.49</v>
          </cell>
          <cell r="AG49">
            <v>12.49</v>
          </cell>
        </row>
        <row r="50">
          <cell r="A50">
            <v>36739</v>
          </cell>
          <cell r="B50">
            <v>35.708069999999999</v>
          </cell>
          <cell r="C50">
            <v>3.6073292062018014</v>
          </cell>
          <cell r="D50">
            <v>11.390500511828776</v>
          </cell>
          <cell r="E50">
            <v>25.7</v>
          </cell>
          <cell r="F50">
            <v>2.8286518771331068</v>
          </cell>
          <cell r="G50">
            <v>9.1877248095372135</v>
          </cell>
          <cell r="H50">
            <v>29.95</v>
          </cell>
          <cell r="I50">
            <v>4.1301240678260021</v>
          </cell>
          <cell r="J50">
            <v>7.7188320572388847</v>
          </cell>
          <cell r="K50">
            <v>2.7709510000000002</v>
          </cell>
          <cell r="L50">
            <v>0.14284191075795347</v>
          </cell>
          <cell r="M50">
            <v>12.596020733624044</v>
          </cell>
          <cell r="N50">
            <v>7.7</v>
          </cell>
          <cell r="O50">
            <v>-0.30913694276545056</v>
          </cell>
          <cell r="P50">
            <v>15.111588821974301</v>
          </cell>
          <cell r="Q50">
            <v>18.2</v>
          </cell>
          <cell r="R50">
            <v>1.0043672219031208</v>
          </cell>
          <cell r="S50">
            <v>14.76422958116704</v>
          </cell>
          <cell r="T50">
            <v>11.794816085895043</v>
          </cell>
          <cell r="W50">
            <v>0.4149326573849878</v>
          </cell>
          <cell r="Y50">
            <v>83.75</v>
          </cell>
          <cell r="Z50">
            <v>4.9403703316246474</v>
          </cell>
          <cell r="AA50">
            <v>15.882150178547819</v>
          </cell>
          <cell r="AF50">
            <v>7.25</v>
          </cell>
          <cell r="AG50">
            <v>12.25</v>
          </cell>
        </row>
        <row r="51">
          <cell r="A51">
            <v>36770</v>
          </cell>
          <cell r="B51">
            <v>37.478720000000003</v>
          </cell>
          <cell r="C51">
            <v>3.605768034761005</v>
          </cell>
          <cell r="D51">
            <v>12.181760379009967</v>
          </cell>
          <cell r="E51">
            <v>25.1</v>
          </cell>
          <cell r="F51">
            <v>2.8912295221843016</v>
          </cell>
          <cell r="G51">
            <v>9.087645742085245</v>
          </cell>
          <cell r="H51">
            <v>29.2</v>
          </cell>
          <cell r="I51">
            <v>4.1857698989879832</v>
          </cell>
          <cell r="J51">
            <v>7.6418838273587495</v>
          </cell>
          <cell r="K51">
            <v>2.505903</v>
          </cell>
          <cell r="L51">
            <v>0.15565365590979416</v>
          </cell>
          <cell r="M51">
            <v>11.225987707712346</v>
          </cell>
          <cell r="N51">
            <v>7.45</v>
          </cell>
          <cell r="O51">
            <v>-0.14863772766754813</v>
          </cell>
          <cell r="P51">
            <v>14.013556640869135</v>
          </cell>
          <cell r="Q51">
            <v>17.5</v>
          </cell>
          <cell r="R51">
            <v>1.0857754164273405</v>
          </cell>
          <cell r="S51">
            <v>14.337825253574447</v>
          </cell>
          <cell r="T51">
            <v>11.414776591768314</v>
          </cell>
          <cell r="W51">
            <v>0.43053874092009675</v>
          </cell>
          <cell r="Y51">
            <v>84</v>
          </cell>
          <cell r="Z51">
            <v>5.0147766502772262</v>
          </cell>
          <cell r="AA51">
            <v>15.916271463614073</v>
          </cell>
          <cell r="AF51">
            <v>7.18</v>
          </cell>
          <cell r="AG51">
            <v>12.18</v>
          </cell>
        </row>
        <row r="52">
          <cell r="A52">
            <v>36800</v>
          </cell>
          <cell r="B52">
            <v>32.95373</v>
          </cell>
          <cell r="C52">
            <v>3.6042068633202087</v>
          </cell>
          <cell r="D52">
            <v>10.917786140090287</v>
          </cell>
          <cell r="E52">
            <v>23.8</v>
          </cell>
          <cell r="F52">
            <v>2.9538071672354964</v>
          </cell>
          <cell r="G52">
            <v>8.728267676554859</v>
          </cell>
          <cell r="H52">
            <v>29</v>
          </cell>
          <cell r="I52">
            <v>4.2414157301499644</v>
          </cell>
          <cell r="J52">
            <v>7.7087188399226783</v>
          </cell>
          <cell r="K52">
            <v>2.2890459999999999</v>
          </cell>
          <cell r="L52">
            <v>0.16846540106163485</v>
          </cell>
          <cell r="M52">
            <v>10.107923726121701</v>
          </cell>
          <cell r="N52">
            <v>6.1</v>
          </cell>
          <cell r="O52">
            <v>1.1861487430354312E-2</v>
          </cell>
          <cell r="P52">
            <v>11.016529198362376</v>
          </cell>
          <cell r="Q52">
            <v>17.649999999999999</v>
          </cell>
          <cell r="R52">
            <v>1.1671836109515603</v>
          </cell>
          <cell r="S52">
            <v>14.606255550393039</v>
          </cell>
          <cell r="T52">
            <v>10.514246855240824</v>
          </cell>
          <cell r="W52">
            <v>0.4461448244552057</v>
          </cell>
          <cell r="Y52">
            <v>91.75</v>
          </cell>
          <cell r="Z52">
            <v>5.0891829689298049</v>
          </cell>
          <cell r="AA52">
            <v>17.370247074551497</v>
          </cell>
          <cell r="AF52">
            <v>7</v>
          </cell>
          <cell r="AG52">
            <v>12</v>
          </cell>
        </row>
        <row r="53">
          <cell r="A53">
            <v>36831</v>
          </cell>
          <cell r="B53">
            <v>33.740679999999998</v>
          </cell>
          <cell r="C53">
            <v>3.6026456918794123</v>
          </cell>
          <cell r="D53">
            <v>11.398571883463449</v>
          </cell>
          <cell r="E53">
            <v>25.55</v>
          </cell>
          <cell r="F53">
            <v>3.0163848122866912</v>
          </cell>
          <cell r="G53">
            <v>9.4926592713775584</v>
          </cell>
          <cell r="H53">
            <v>28.8</v>
          </cell>
          <cell r="I53">
            <v>4.2970615613119456</v>
          </cell>
          <cell r="J53">
            <v>7.7776863251499151</v>
          </cell>
          <cell r="K53">
            <v>2.1444749999999999</v>
          </cell>
          <cell r="L53">
            <v>0.18127714621347554</v>
          </cell>
          <cell r="M53">
            <v>9.3360744044670607</v>
          </cell>
          <cell r="N53">
            <v>6.3</v>
          </cell>
          <cell r="O53">
            <v>0.17236070252825675</v>
          </cell>
          <cell r="P53">
            <v>10.941322541919613</v>
          </cell>
          <cell r="Q53">
            <v>16.95</v>
          </cell>
          <cell r="R53">
            <v>1.2485918054757801</v>
          </cell>
          <cell r="S53">
            <v>14.169575149286763</v>
          </cell>
          <cell r="T53">
            <v>10.519314929277394</v>
          </cell>
          <cell r="W53">
            <v>0.46175090799031465</v>
          </cell>
          <cell r="Y53">
            <v>91</v>
          </cell>
          <cell r="Z53">
            <v>5.1635892875823837</v>
          </cell>
          <cell r="AA53">
            <v>17.213908426025952</v>
          </cell>
          <cell r="AF53">
            <v>7.07</v>
          </cell>
          <cell r="AG53">
            <v>12.07</v>
          </cell>
        </row>
        <row r="54">
          <cell r="A54">
            <v>36861</v>
          </cell>
          <cell r="B54">
            <v>41.31512</v>
          </cell>
          <cell r="C54">
            <v>3.6010845204386164</v>
          </cell>
          <cell r="D54">
            <v>14.237724396875</v>
          </cell>
          <cell r="E54">
            <v>28.2</v>
          </cell>
          <cell r="F54">
            <v>3.078962457337886</v>
          </cell>
          <cell r="G54">
            <v>10.616132986254764</v>
          </cell>
          <cell r="H54">
            <v>31.6</v>
          </cell>
          <cell r="I54">
            <v>4.3527073924739286</v>
          </cell>
          <cell r="J54">
            <v>8.6722001368695647</v>
          </cell>
          <cell r="K54">
            <v>2.5781890000000001</v>
          </cell>
          <cell r="L54">
            <v>0.19408889136531624</v>
          </cell>
          <cell r="M54">
            <v>11.068281988094073</v>
          </cell>
          <cell r="N54">
            <v>6.7</v>
          </cell>
          <cell r="O54">
            <v>0.33285991762615935</v>
          </cell>
          <cell r="P54">
            <v>11.206185015657722</v>
          </cell>
          <cell r="Q54">
            <v>20.149999999999999</v>
          </cell>
          <cell r="R54">
            <v>1.33</v>
          </cell>
          <cell r="S54">
            <v>17.017666470241601</v>
          </cell>
          <cell r="T54">
            <v>12.136365165665453</v>
          </cell>
          <cell r="W54">
            <v>0.47735699152542371</v>
          </cell>
          <cell r="Y54">
            <v>105</v>
          </cell>
          <cell r="Z54">
            <v>5.2379956062349615</v>
          </cell>
          <cell r="AA54">
            <v>19.84567474048443</v>
          </cell>
          <cell r="AF54">
            <v>6.46</v>
          </cell>
          <cell r="AG54">
            <v>11.46</v>
          </cell>
        </row>
        <row r="55">
          <cell r="A55">
            <v>36892</v>
          </cell>
          <cell r="B55">
            <v>41.511870000000002</v>
          </cell>
          <cell r="C55">
            <v>3.5428113450447833</v>
          </cell>
          <cell r="D55">
            <v>13.661891477763962</v>
          </cell>
          <cell r="E55">
            <v>30.3</v>
          </cell>
          <cell r="F55">
            <v>3.0437434584755421</v>
          </cell>
          <cell r="G55">
            <v>11.542304382844444</v>
          </cell>
          <cell r="H55">
            <v>33.799999999999997</v>
          </cell>
          <cell r="I55">
            <v>4.2936340551840688</v>
          </cell>
          <cell r="J55">
            <v>9.3556542382371024</v>
          </cell>
          <cell r="K55">
            <v>2.8191410000000001</v>
          </cell>
          <cell r="L55">
            <v>0.19732605756143878</v>
          </cell>
          <cell r="M55">
            <v>12.256988131785459</v>
          </cell>
          <cell r="N55">
            <v>6.7</v>
          </cell>
          <cell r="O55">
            <v>0.35494526732839221</v>
          </cell>
          <cell r="P55">
            <v>10.957685215158968</v>
          </cell>
          <cell r="Q55">
            <v>21.35</v>
          </cell>
          <cell r="R55">
            <v>1.3178386361522003</v>
          </cell>
          <cell r="S55">
            <v>18.302968979855436</v>
          </cell>
          <cell r="T55">
            <v>12.679582070940896</v>
          </cell>
          <cell r="W55">
            <v>0.45939423173930588</v>
          </cell>
          <cell r="Y55">
            <v>102.5</v>
          </cell>
          <cell r="Z55">
            <v>5.2423980890609201</v>
          </cell>
          <cell r="AA55">
            <v>19.404332219334073</v>
          </cell>
          <cell r="AF55">
            <v>6.2</v>
          </cell>
          <cell r="AG55">
            <v>11.2</v>
          </cell>
        </row>
        <row r="56">
          <cell r="A56">
            <v>36923</v>
          </cell>
          <cell r="B56">
            <v>39.741219999999998</v>
          </cell>
          <cell r="C56">
            <v>3.4845381696509503</v>
          </cell>
          <cell r="D56">
            <v>12.516033792059716</v>
          </cell>
          <cell r="E56">
            <v>28.55</v>
          </cell>
          <cell r="F56">
            <v>3.0085244596131981</v>
          </cell>
          <cell r="G56">
            <v>11.006520462462936</v>
          </cell>
          <cell r="H56">
            <v>33.1</v>
          </cell>
          <cell r="I56">
            <v>4.2345607178942091</v>
          </cell>
          <cell r="J56">
            <v>9.2412935774245621</v>
          </cell>
          <cell r="K56">
            <v>2.5299990000000001</v>
          </cell>
          <cell r="L56">
            <v>0.20056322375756133</v>
          </cell>
          <cell r="M56">
            <v>11.141903879744458</v>
          </cell>
          <cell r="N56">
            <v>6.45</v>
          </cell>
          <cell r="O56">
            <v>0.37703061703062507</v>
          </cell>
          <cell r="P56">
            <v>10.319968621287043</v>
          </cell>
          <cell r="Q56">
            <v>19.3</v>
          </cell>
          <cell r="R56">
            <v>1.3056772723044006</v>
          </cell>
          <cell r="S56">
            <v>16.798805629838995</v>
          </cell>
          <cell r="T56">
            <v>11.837420993802953</v>
          </cell>
          <cell r="W56">
            <v>0.44143147195318805</v>
          </cell>
          <cell r="Y56">
            <v>92.75</v>
          </cell>
          <cell r="Z56">
            <v>5.2468005718868778</v>
          </cell>
          <cell r="AA56">
            <v>17.586853458963549</v>
          </cell>
          <cell r="AF56">
            <v>5.88</v>
          </cell>
          <cell r="AG56">
            <v>10.879999999999999</v>
          </cell>
        </row>
        <row r="57">
          <cell r="A57">
            <v>36951</v>
          </cell>
          <cell r="B57">
            <v>37.872199999999999</v>
          </cell>
          <cell r="C57">
            <v>3.4262649942571173</v>
          </cell>
          <cell r="D57">
            <v>11.435071265090231</v>
          </cell>
          <cell r="E57">
            <v>24.65</v>
          </cell>
          <cell r="F57">
            <v>2.9733054607508542</v>
          </cell>
          <cell r="G57">
            <v>9.6187307182900987</v>
          </cell>
          <cell r="H57">
            <v>33.200000000000003</v>
          </cell>
          <cell r="I57">
            <v>4.1754873806043493</v>
          </cell>
          <cell r="J57">
            <v>9.3502405298625355</v>
          </cell>
          <cell r="K57">
            <v>2.1444749999999999</v>
          </cell>
          <cell r="L57">
            <v>0.20380038995368388</v>
          </cell>
          <cell r="M57">
            <v>9.5676340803210245</v>
          </cell>
          <cell r="N57">
            <v>7.3</v>
          </cell>
          <cell r="O57">
            <v>0.39911596673285793</v>
          </cell>
          <cell r="P57">
            <v>11.431957730707262</v>
          </cell>
          <cell r="Q57">
            <v>17.55</v>
          </cell>
          <cell r="R57">
            <v>1.2935159084566008</v>
          </cell>
          <cell r="S57">
            <v>15.513058109946899</v>
          </cell>
          <cell r="T57">
            <v>11.152782072369675</v>
          </cell>
          <cell r="W57">
            <v>0.42346871216707022</v>
          </cell>
          <cell r="Y57">
            <v>90.5</v>
          </cell>
          <cell r="Z57">
            <v>5.2512030547128354</v>
          </cell>
          <cell r="AA57">
            <v>17.187920029802555</v>
          </cell>
          <cell r="AF57">
            <v>6.13</v>
          </cell>
          <cell r="AG57">
            <v>11.129999999999999</v>
          </cell>
        </row>
        <row r="58">
          <cell r="A58">
            <v>36982</v>
          </cell>
          <cell r="B58">
            <v>41.80697</v>
          </cell>
          <cell r="C58">
            <v>3.3679918188632842</v>
          </cell>
          <cell r="D58">
            <v>12.12273044734064</v>
          </cell>
          <cell r="E58">
            <v>30.9</v>
          </cell>
          <cell r="F58">
            <v>2.9380864618885103</v>
          </cell>
          <cell r="G58">
            <v>12.206204599341721</v>
          </cell>
          <cell r="H58">
            <v>39.200000000000003</v>
          </cell>
          <cell r="I58">
            <v>4.1164140433144896</v>
          </cell>
          <cell r="J58">
            <v>11.137401607048172</v>
          </cell>
          <cell r="K58">
            <v>2.313142</v>
          </cell>
          <cell r="L58">
            <v>0.20703755614980643</v>
          </cell>
          <cell r="M58">
            <v>10.45694211056901</v>
          </cell>
          <cell r="N58">
            <v>6.7</v>
          </cell>
          <cell r="O58">
            <v>0.42120131643509079</v>
          </cell>
          <cell r="P58">
            <v>10.274187602223277</v>
          </cell>
          <cell r="Q58">
            <v>17.7</v>
          </cell>
          <cell r="R58">
            <v>1.281354544608801</v>
          </cell>
          <cell r="S58">
            <v>15.892701514350382</v>
          </cell>
          <cell r="T58">
            <v>12.015027980145534</v>
          </cell>
          <cell r="W58">
            <v>0.40550595238095238</v>
          </cell>
          <cell r="Y58">
            <v>92</v>
          </cell>
          <cell r="Z58">
            <v>5.2556055375387931</v>
          </cell>
          <cell r="AA58">
            <v>17.501054726368153</v>
          </cell>
          <cell r="AF58">
            <v>6.28</v>
          </cell>
          <cell r="AG58">
            <v>11.280000000000001</v>
          </cell>
        </row>
        <row r="59">
          <cell r="A59">
            <v>37012</v>
          </cell>
          <cell r="B59">
            <v>40.92165</v>
          </cell>
          <cell r="C59">
            <v>3.3097186434694512</v>
          </cell>
          <cell r="D59">
            <v>11.413564900220351</v>
          </cell>
          <cell r="E59">
            <v>30.9</v>
          </cell>
          <cell r="F59">
            <v>2.9028674630261664</v>
          </cell>
          <cell r="G59">
            <v>12.358563088569227</v>
          </cell>
          <cell r="H59">
            <v>36.6</v>
          </cell>
          <cell r="I59">
            <v>4.0573407060246298</v>
          </cell>
          <cell r="J59">
            <v>10.491215033419179</v>
          </cell>
          <cell r="K59">
            <v>2.4336180000000001</v>
          </cell>
          <cell r="L59">
            <v>0.21027472234592898</v>
          </cell>
          <cell r="M59">
            <v>11.149360831844001</v>
          </cell>
          <cell r="N59">
            <v>7.1</v>
          </cell>
          <cell r="O59">
            <v>0.44328666613732365</v>
          </cell>
          <cell r="P59">
            <v>10.665808116899813</v>
          </cell>
          <cell r="Q59">
            <v>18.05</v>
          </cell>
          <cell r="R59">
            <v>1.2691931807610013</v>
          </cell>
          <cell r="S59">
            <v>16.466986507063428</v>
          </cell>
          <cell r="T59">
            <v>12.090916413002667</v>
          </cell>
          <cell r="W59">
            <v>0.38754319259483455</v>
          </cell>
          <cell r="Y59">
            <v>86.5</v>
          </cell>
          <cell r="Z59">
            <v>5.2600080203647508</v>
          </cell>
          <cell r="AA59">
            <v>16.481445122710845</v>
          </cell>
          <cell r="AF59">
            <v>6.45</v>
          </cell>
          <cell r="AG59">
            <v>11.45</v>
          </cell>
        </row>
        <row r="60">
          <cell r="A60">
            <v>37043</v>
          </cell>
          <cell r="B60">
            <v>39.642850000000003</v>
          </cell>
          <cell r="C60">
            <v>3.2514454680756182</v>
          </cell>
          <cell r="D60">
            <v>10.650778218576969</v>
          </cell>
          <cell r="E60">
            <v>29.75</v>
          </cell>
          <cell r="F60">
            <v>2.8676484641638225</v>
          </cell>
          <cell r="G60">
            <v>12.049012981017116</v>
          </cell>
          <cell r="H60">
            <v>36.4</v>
          </cell>
          <cell r="I60">
            <v>3.9982673687347701</v>
          </cell>
          <cell r="J60">
            <v>10.52755106222507</v>
          </cell>
          <cell r="K60">
            <v>2.5781890000000001</v>
          </cell>
          <cell r="L60">
            <v>0.21351188854205153</v>
          </cell>
          <cell r="M60">
            <v>11.972527470051514</v>
          </cell>
          <cell r="N60">
            <v>7.05</v>
          </cell>
          <cell r="O60">
            <v>0.46537201583955651</v>
          </cell>
          <cell r="P60">
            <v>10.379286008780198</v>
          </cell>
          <cell r="Q60">
            <v>18.100000000000001</v>
          </cell>
          <cell r="R60">
            <v>1.2570318169132015</v>
          </cell>
          <cell r="S60">
            <v>16.781847319097043</v>
          </cell>
          <cell r="T60">
            <v>12.060167176624651</v>
          </cell>
          <cell r="W60">
            <v>0.36958043280871672</v>
          </cell>
          <cell r="Y60">
            <v>80</v>
          </cell>
          <cell r="Z60">
            <v>5.2644105031907085</v>
          </cell>
          <cell r="AA60">
            <v>15.267681557274763</v>
          </cell>
          <cell r="AF60">
            <v>6.37</v>
          </cell>
          <cell r="AG60">
            <v>11.370000000000001</v>
          </cell>
        </row>
        <row r="61">
          <cell r="A61">
            <v>37073</v>
          </cell>
          <cell r="B61">
            <v>40.4298</v>
          </cell>
          <cell r="C61">
            <v>3.1931722926817852</v>
          </cell>
          <cell r="D61">
            <v>10.477378711233758</v>
          </cell>
          <cell r="E61">
            <v>27.1</v>
          </cell>
          <cell r="F61">
            <v>2.8324294653014785</v>
          </cell>
          <cell r="G61">
            <v>11.116246957089039</v>
          </cell>
          <cell r="H61">
            <v>34.1</v>
          </cell>
          <cell r="I61">
            <v>3.9391940314449103</v>
          </cell>
          <cell r="J61">
            <v>9.9516850108475126</v>
          </cell>
          <cell r="K61">
            <v>2.4336180000000001</v>
          </cell>
          <cell r="L61">
            <v>0.21674905473817407</v>
          </cell>
          <cell r="M61">
            <v>11.45717521082471</v>
          </cell>
          <cell r="N61">
            <v>6.8</v>
          </cell>
          <cell r="O61">
            <v>0.48745736554178937</v>
          </cell>
          <cell r="P61">
            <v>9.8152939771831278</v>
          </cell>
          <cell r="Q61">
            <v>18.2</v>
          </cell>
          <cell r="R61">
            <v>1.2448704530654018</v>
          </cell>
          <cell r="S61">
            <v>17.15427336748197</v>
          </cell>
          <cell r="T61">
            <v>11.662008872443351</v>
          </cell>
          <cell r="W61">
            <v>0.35161767302259889</v>
          </cell>
          <cell r="Y61">
            <v>87.5</v>
          </cell>
          <cell r="Z61">
            <v>5.2688129860166661</v>
          </cell>
          <cell r="AA61">
            <v>16.726159230096229</v>
          </cell>
          <cell r="AF61">
            <v>6.19</v>
          </cell>
          <cell r="AG61">
            <v>11.190000000000001</v>
          </cell>
        </row>
        <row r="62">
          <cell r="A62">
            <v>37104</v>
          </cell>
          <cell r="B62">
            <v>37.872199999999999</v>
          </cell>
          <cell r="C62">
            <v>3.1348991172879521</v>
          </cell>
          <cell r="D62">
            <v>9.4787617897180212</v>
          </cell>
          <cell r="E62">
            <v>26.85</v>
          </cell>
          <cell r="F62">
            <v>2.7972104664391346</v>
          </cell>
          <cell r="G62">
            <v>11.156520242897761</v>
          </cell>
          <cell r="H62">
            <v>31.7</v>
          </cell>
          <cell r="I62">
            <v>3.8801206941550506</v>
          </cell>
          <cell r="J62">
            <v>9.3358402294588618</v>
          </cell>
          <cell r="K62">
            <v>2.385427</v>
          </cell>
          <cell r="L62">
            <v>0.21998622093429662</v>
          </cell>
          <cell r="M62">
            <v>11.38749227660295</v>
          </cell>
          <cell r="N62">
            <v>6.3</v>
          </cell>
          <cell r="O62">
            <v>0.50954271524402217</v>
          </cell>
          <cell r="P62">
            <v>8.9190246934285629</v>
          </cell>
          <cell r="Q62">
            <v>17.850000000000001</v>
          </cell>
          <cell r="R62">
            <v>1.232709089217602</v>
          </cell>
          <cell r="S62">
            <v>17.107960872694758</v>
          </cell>
          <cell r="T62">
            <v>11.230933350800152</v>
          </cell>
          <cell r="W62">
            <v>0.33365491323648105</v>
          </cell>
          <cell r="Y62">
            <v>87.75</v>
          </cell>
          <cell r="Z62">
            <v>5.2732154688426238</v>
          </cell>
          <cell r="AA62">
            <v>16.801246870305452</v>
          </cell>
          <cell r="AF62">
            <v>5.72</v>
          </cell>
          <cell r="AG62">
            <v>10.719999999999999</v>
          </cell>
        </row>
        <row r="63">
          <cell r="A63">
            <v>37135</v>
          </cell>
          <cell r="B63">
            <v>34.134160000000001</v>
          </cell>
          <cell r="C63">
            <v>3.0766259418941191</v>
          </cell>
          <cell r="D63">
            <v>8.2605518425935198</v>
          </cell>
          <cell r="E63">
            <v>24.4</v>
          </cell>
          <cell r="F63">
            <v>2.7619914675767907</v>
          </cell>
          <cell r="G63">
            <v>10.271713635681179</v>
          </cell>
          <cell r="H63">
            <v>26.4</v>
          </cell>
          <cell r="I63">
            <v>3.8210473568651908</v>
          </cell>
          <cell r="J63">
            <v>7.8466859810003529</v>
          </cell>
          <cell r="K63">
            <v>1.8697889999999999</v>
          </cell>
          <cell r="L63">
            <v>0.22322338713041917</v>
          </cell>
          <cell r="M63">
            <v>9.0526656857893748</v>
          </cell>
          <cell r="N63">
            <v>7.55</v>
          </cell>
          <cell r="O63">
            <v>0.53162806494625503</v>
          </cell>
          <cell r="P63">
            <v>10.487361547600861</v>
          </cell>
          <cell r="Q63">
            <v>15.55</v>
          </cell>
          <cell r="R63">
            <v>1.2205477253698023</v>
          </cell>
          <cell r="S63">
            <v>15.159082245603631</v>
          </cell>
          <cell r="T63">
            <v>10.17967682304482</v>
          </cell>
          <cell r="W63">
            <v>0.31569215345036322</v>
          </cell>
          <cell r="Y63">
            <v>80.75</v>
          </cell>
          <cell r="Z63">
            <v>5.2776179516685815</v>
          </cell>
          <cell r="AA63">
            <v>15.48617931034482</v>
          </cell>
          <cell r="AF63">
            <v>5.39</v>
          </cell>
          <cell r="AG63">
            <v>10.39</v>
          </cell>
        </row>
        <row r="64">
          <cell r="A64">
            <v>37165</v>
          </cell>
          <cell r="B64">
            <v>33.248840000000001</v>
          </cell>
          <cell r="C64">
            <v>3.0183527665002861</v>
          </cell>
          <cell r="D64">
            <v>7.7886237048278115</v>
          </cell>
          <cell r="E64">
            <v>23.45</v>
          </cell>
          <cell r="F64">
            <v>2.7267724687144468</v>
          </cell>
          <cell r="G64">
            <v>10.003212667421472</v>
          </cell>
          <cell r="H64">
            <v>27.25</v>
          </cell>
          <cell r="I64">
            <v>3.7619740195753311</v>
          </cell>
          <cell r="J64">
            <v>8.1747412278897862</v>
          </cell>
          <cell r="K64">
            <v>2.0480939999999999</v>
          </cell>
          <cell r="L64">
            <v>0.22646055332654172</v>
          </cell>
          <cell r="M64">
            <v>10.05873149125644</v>
          </cell>
          <cell r="N64">
            <v>6.7</v>
          </cell>
          <cell r="O64">
            <v>0.55371341464848789</v>
          </cell>
          <cell r="P64">
            <v>9.134623337726044</v>
          </cell>
          <cell r="Q64">
            <v>15.55</v>
          </cell>
          <cell r="R64">
            <v>1.2083863615220025</v>
          </cell>
          <cell r="S64">
            <v>15.423504482618027</v>
          </cell>
          <cell r="T64">
            <v>10.097239485289931</v>
          </cell>
          <cell r="W64">
            <v>0.29772939366424539</v>
          </cell>
          <cell r="Y64">
            <v>78.25</v>
          </cell>
          <cell r="Z64">
            <v>5.2820204344945392</v>
          </cell>
          <cell r="AA64">
            <v>15.03123335845264</v>
          </cell>
          <cell r="AF64">
            <v>5.33</v>
          </cell>
          <cell r="AG64">
            <v>10.33</v>
          </cell>
        </row>
        <row r="65">
          <cell r="A65">
            <v>37196</v>
          </cell>
          <cell r="B65">
            <v>34.429270000000002</v>
          </cell>
          <cell r="C65">
            <v>2.960079591106453</v>
          </cell>
          <cell r="D65">
            <v>7.8148752111570285</v>
          </cell>
          <cell r="E65">
            <v>24</v>
          </cell>
          <cell r="F65">
            <v>2.6915534698521029</v>
          </cell>
          <cell r="G65">
            <v>10.375963924146674</v>
          </cell>
          <cell r="H65">
            <v>29.15</v>
          </cell>
          <cell r="I65">
            <v>3.7029006822854713</v>
          </cell>
          <cell r="J65">
            <v>8.8269137575410923</v>
          </cell>
          <cell r="K65">
            <v>2.1685699999999999</v>
          </cell>
          <cell r="L65">
            <v>0.22969771952266427</v>
          </cell>
          <cell r="M65">
            <v>10.806033119629612</v>
          </cell>
          <cell r="N65">
            <v>7.25</v>
          </cell>
          <cell r="O65">
            <v>0.57579876435072075</v>
          </cell>
          <cell r="P65">
            <v>9.705073670618102</v>
          </cell>
          <cell r="Q65">
            <v>16.45</v>
          </cell>
          <cell r="R65">
            <v>1.1962249976742028</v>
          </cell>
          <cell r="S65">
            <v>16.605841482792993</v>
          </cell>
          <cell r="T65">
            <v>10.689116860980917</v>
          </cell>
          <cell r="W65">
            <v>0.27976663387812756</v>
          </cell>
          <cell r="Y65">
            <v>84.5</v>
          </cell>
          <cell r="Z65">
            <v>5.2864229173204969</v>
          </cell>
          <cell r="AA65">
            <v>16.258357026041001</v>
          </cell>
          <cell r="AF65">
            <v>5.81</v>
          </cell>
          <cell r="AG65">
            <v>10.809999999999999</v>
          </cell>
        </row>
        <row r="66">
          <cell r="A66">
            <v>37226</v>
          </cell>
          <cell r="B66">
            <v>36.298290000000001</v>
          </cell>
          <cell r="C66">
            <v>2.9018064157126222</v>
          </cell>
          <cell r="D66">
            <v>7.9911410083257719</v>
          </cell>
          <cell r="E66">
            <v>25</v>
          </cell>
          <cell r="F66">
            <v>2.6563344709897612</v>
          </cell>
          <cell r="G66">
            <v>10.956121667544155</v>
          </cell>
          <cell r="H66">
            <v>29.1</v>
          </cell>
          <cell r="I66">
            <v>3.6438273449956111</v>
          </cell>
          <cell r="J66">
            <v>8.895379829326286</v>
          </cell>
          <cell r="K66">
            <v>1.98</v>
          </cell>
          <cell r="L66">
            <v>0.23293488571878687</v>
          </cell>
          <cell r="M66">
            <v>10.012678701881848</v>
          </cell>
          <cell r="N66">
            <v>7.35</v>
          </cell>
          <cell r="O66">
            <v>0.5978841140529535</v>
          </cell>
          <cell r="P66">
            <v>9.663540094823972</v>
          </cell>
          <cell r="Q66">
            <v>16.8</v>
          </cell>
          <cell r="R66">
            <v>1.1840636338264026</v>
          </cell>
          <cell r="S66">
            <v>17.265671641791045</v>
          </cell>
          <cell r="T66">
            <v>10.797422157282179</v>
          </cell>
          <cell r="W66">
            <v>0.26180387409200967</v>
          </cell>
          <cell r="Y66">
            <v>85.75</v>
          </cell>
          <cell r="Z66">
            <v>5.290825400146459</v>
          </cell>
          <cell r="AA66">
            <v>16.525892137096776</v>
          </cell>
          <cell r="AF66">
            <v>6.22</v>
          </cell>
          <cell r="AG66">
            <v>11.219999999999999</v>
          </cell>
        </row>
        <row r="67">
          <cell r="A67">
            <v>37257</v>
          </cell>
          <cell r="B67">
            <v>32.461880000000001</v>
          </cell>
          <cell r="C67">
            <v>3.0385155721346893</v>
          </cell>
          <cell r="D67">
            <v>7.0954362140894229</v>
          </cell>
          <cell r="E67">
            <v>24.5</v>
          </cell>
          <cell r="F67">
            <v>2.6251257110352673</v>
          </cell>
          <cell r="G67">
            <v>10.468282314663194</v>
          </cell>
          <cell r="H67">
            <v>28.6</v>
          </cell>
          <cell r="I67">
            <v>3.6127884955236409</v>
          </cell>
          <cell r="J67">
            <v>8.6483911005688885</v>
          </cell>
          <cell r="K67">
            <v>2.15</v>
          </cell>
          <cell r="L67">
            <v>0.23000275187419469</v>
          </cell>
          <cell r="M67">
            <v>10.742035342902486</v>
          </cell>
          <cell r="N67">
            <v>7.1</v>
          </cell>
          <cell r="O67">
            <v>0.61144300720841616</v>
          </cell>
          <cell r="P67">
            <v>9.3252073784991634</v>
          </cell>
          <cell r="Q67">
            <v>15.7</v>
          </cell>
          <cell r="R67">
            <v>1.166477418144465</v>
          </cell>
          <cell r="S67">
            <v>15.559038303670949</v>
          </cell>
          <cell r="T67">
            <v>10.306398442399017</v>
          </cell>
          <cell r="W67">
            <v>0.2925825388418079</v>
          </cell>
          <cell r="Y67">
            <v>85.25</v>
          </cell>
          <cell r="Z67">
            <v>5.2823255570666392</v>
          </cell>
          <cell r="AA67">
            <v>16.482284529618486</v>
          </cell>
          <cell r="AF67">
            <v>6.07</v>
          </cell>
          <cell r="AG67">
            <v>11.07</v>
          </cell>
        </row>
        <row r="68">
          <cell r="A68">
            <v>37288</v>
          </cell>
          <cell r="B68">
            <v>31.970040000000001</v>
          </cell>
          <cell r="C68">
            <v>3.1752247285567563</v>
          </cell>
          <cell r="D68">
            <v>6.9383088934752806</v>
          </cell>
          <cell r="E68">
            <v>23.75</v>
          </cell>
          <cell r="F68">
            <v>2.5939169510807734</v>
          </cell>
          <cell r="G68">
            <v>9.9000541567035416</v>
          </cell>
          <cell r="H68">
            <v>29.25</v>
          </cell>
          <cell r="I68">
            <v>3.5817496460516707</v>
          </cell>
          <cell r="J68">
            <v>8.750710289316844</v>
          </cell>
          <cell r="K68">
            <v>2.35</v>
          </cell>
          <cell r="L68">
            <v>0.22707061802960252</v>
          </cell>
          <cell r="M68">
            <v>11.602228249765735</v>
          </cell>
          <cell r="N68">
            <v>7.3</v>
          </cell>
          <cell r="O68">
            <v>0.62500190036387882</v>
          </cell>
          <cell r="P68">
            <v>9.5779972798423305</v>
          </cell>
          <cell r="Q68">
            <v>14.85</v>
          </cell>
          <cell r="R68">
            <v>1.1488912024625275</v>
          </cell>
          <cell r="S68">
            <v>14.209295148820559</v>
          </cell>
          <cell r="T68">
            <v>10.163099002987382</v>
          </cell>
          <cell r="W68">
            <v>0.32336120359160614</v>
          </cell>
          <cell r="Y68">
            <v>85.5</v>
          </cell>
          <cell r="Z68">
            <v>5.2738257139868194</v>
          </cell>
          <cell r="AA68">
            <v>16.583868513163903</v>
          </cell>
          <cell r="AF68">
            <v>5.75</v>
          </cell>
          <cell r="AG68">
            <v>10.75</v>
          </cell>
        </row>
        <row r="69">
          <cell r="A69">
            <v>37316</v>
          </cell>
          <cell r="B69">
            <v>35.412959999999998</v>
          </cell>
          <cell r="C69">
            <v>3.3119338849788234</v>
          </cell>
          <cell r="D69">
            <v>7.6313188418251894</v>
          </cell>
          <cell r="E69">
            <v>28.15</v>
          </cell>
          <cell r="F69">
            <v>2.5627081911262795</v>
          </cell>
          <cell r="G69">
            <v>11.454495091812213</v>
          </cell>
          <cell r="H69">
            <v>34.5</v>
          </cell>
          <cell r="I69">
            <v>3.5507107965797005</v>
          </cell>
          <cell r="J69">
            <v>10.212544867982478</v>
          </cell>
          <cell r="K69">
            <v>2.4750000000000001</v>
          </cell>
          <cell r="L69">
            <v>0.22413848418501034</v>
          </cell>
          <cell r="M69">
            <v>12.076333586162251</v>
          </cell>
          <cell r="N69">
            <v>8</v>
          </cell>
          <cell r="O69">
            <v>0.63856079351934147</v>
          </cell>
          <cell r="P69">
            <v>10.485617176615554</v>
          </cell>
          <cell r="Q69">
            <v>15.55</v>
          </cell>
          <cell r="R69">
            <v>1.13130498678059</v>
          </cell>
          <cell r="S69">
            <v>14.383214994900328</v>
          </cell>
          <cell r="T69">
            <v>11.040587426549669</v>
          </cell>
          <cell r="W69">
            <v>0.35413986834140437</v>
          </cell>
          <cell r="Y69">
            <v>87.25</v>
          </cell>
          <cell r="Z69">
            <v>5.2653258709069997</v>
          </cell>
          <cell r="AA69">
            <v>16.9779943510013</v>
          </cell>
          <cell r="AF69">
            <v>6.21</v>
          </cell>
          <cell r="AG69">
            <v>11.21</v>
          </cell>
        </row>
        <row r="70">
          <cell r="A70">
            <v>37347</v>
          </cell>
          <cell r="B70">
            <v>39.151000000000003</v>
          </cell>
          <cell r="C70">
            <v>3.4486430414008904</v>
          </cell>
          <cell r="D70">
            <v>8.3777759397928708</v>
          </cell>
          <cell r="E70">
            <v>28.3</v>
          </cell>
          <cell r="F70">
            <v>2.5314994311717856</v>
          </cell>
          <cell r="G70">
            <v>11.247457499023387</v>
          </cell>
          <cell r="H70">
            <v>35.4</v>
          </cell>
          <cell r="I70">
            <v>3.5196719471077302</v>
          </cell>
          <cell r="J70">
            <v>10.369644249693016</v>
          </cell>
          <cell r="K70">
            <v>2.6</v>
          </cell>
          <cell r="L70">
            <v>0.22120635034041816</v>
          </cell>
          <cell r="M70">
            <v>12.539468012551547</v>
          </cell>
          <cell r="N70">
            <v>8</v>
          </cell>
          <cell r="O70">
            <v>0.65211968667480413</v>
          </cell>
          <cell r="P70">
            <v>10.474821254752316</v>
          </cell>
          <cell r="Q70">
            <v>16.350000000000001</v>
          </cell>
          <cell r="R70">
            <v>1.1137187710986525</v>
          </cell>
          <cell r="S70">
            <v>14.635429533116842</v>
          </cell>
          <cell r="T70">
            <v>11.274099414821663</v>
          </cell>
          <cell r="W70">
            <v>0.38491853309120261</v>
          </cell>
          <cell r="Y70">
            <v>89.25</v>
          </cell>
          <cell r="Z70">
            <v>5.2568260278271799</v>
          </cell>
          <cell r="AA70">
            <v>17.423481057898499</v>
          </cell>
          <cell r="AF70">
            <v>5.89</v>
          </cell>
          <cell r="AG70">
            <v>10.89</v>
          </cell>
        </row>
        <row r="71">
          <cell r="A71">
            <v>37377</v>
          </cell>
          <cell r="B71">
            <v>38.462409999999998</v>
          </cell>
          <cell r="C71">
            <v>3.5853521978229574</v>
          </cell>
          <cell r="D71">
            <v>8.1732009659932103</v>
          </cell>
          <cell r="E71">
            <v>27.75</v>
          </cell>
          <cell r="F71">
            <v>2.5002906712172916</v>
          </cell>
          <cell r="G71">
            <v>10.777963454091827</v>
          </cell>
          <cell r="H71">
            <v>36</v>
          </cell>
          <cell r="I71">
            <v>3.48863309763576</v>
          </cell>
          <cell r="J71">
            <v>10.436528726366047</v>
          </cell>
          <cell r="K71">
            <v>2.5</v>
          </cell>
          <cell r="L71">
            <v>0.21827421649582598</v>
          </cell>
          <cell r="M71">
            <v>11.919273373917695</v>
          </cell>
          <cell r="N71">
            <v>7.75</v>
          </cell>
          <cell r="O71">
            <v>0.66567857983026679</v>
          </cell>
          <cell r="P71">
            <v>10.137046055191593</v>
          </cell>
          <cell r="Q71">
            <v>16.95</v>
          </cell>
          <cell r="R71">
            <v>1.0961325554167149</v>
          </cell>
          <cell r="S71">
            <v>14.698450338054334</v>
          </cell>
          <cell r="T71">
            <v>11.023743818935785</v>
          </cell>
          <cell r="W71">
            <v>0.41569719784100084</v>
          </cell>
          <cell r="Y71">
            <v>86.25</v>
          </cell>
          <cell r="Z71">
            <v>5.2483261847473601</v>
          </cell>
          <cell r="AA71">
            <v>16.892585478294276</v>
          </cell>
          <cell r="AF71">
            <v>5.7</v>
          </cell>
          <cell r="AG71">
            <v>10.7</v>
          </cell>
        </row>
        <row r="72">
          <cell r="A72">
            <v>37408</v>
          </cell>
          <cell r="B72">
            <v>37.38035</v>
          </cell>
          <cell r="C72">
            <v>3.7220613542450245</v>
          </cell>
          <cell r="D72">
            <v>7.8884167582675895</v>
          </cell>
          <cell r="E72">
            <v>25.85</v>
          </cell>
          <cell r="F72">
            <v>2.4690819112627977</v>
          </cell>
          <cell r="G72">
            <v>9.8166857396825158</v>
          </cell>
          <cell r="H72">
            <v>34.299999999999997</v>
          </cell>
          <cell r="I72">
            <v>3.4575942481637898</v>
          </cell>
          <cell r="J72">
            <v>9.8420816099042145</v>
          </cell>
          <cell r="K72">
            <v>2.2749999999999999</v>
          </cell>
          <cell r="L72">
            <v>0.21534208265123381</v>
          </cell>
          <cell r="M72">
            <v>10.723881351332906</v>
          </cell>
          <cell r="N72">
            <v>7.35</v>
          </cell>
          <cell r="O72">
            <v>0.67923747298572945</v>
          </cell>
          <cell r="P72">
            <v>9.6039656691602122</v>
          </cell>
          <cell r="Q72">
            <v>15.7</v>
          </cell>
          <cell r="R72">
            <v>1.0785463397347774</v>
          </cell>
          <cell r="S72">
            <v>13.20200237716891</v>
          </cell>
          <cell r="T72">
            <v>10.179505584252725</v>
          </cell>
          <cell r="W72">
            <v>0.44647586259079908</v>
          </cell>
          <cell r="Y72">
            <v>83.5</v>
          </cell>
          <cell r="Z72">
            <v>5.2398263416675404</v>
          </cell>
          <cell r="AA72">
            <v>16.407348784624084</v>
          </cell>
          <cell r="AF72">
            <v>5.4</v>
          </cell>
          <cell r="AG72">
            <v>10.4</v>
          </cell>
        </row>
        <row r="73">
          <cell r="A73">
            <v>37438</v>
          </cell>
          <cell r="B73">
            <v>34.724379999999996</v>
          </cell>
          <cell r="C73">
            <v>3.8587705106670915</v>
          </cell>
          <cell r="D73">
            <v>7.2776721946829737</v>
          </cell>
          <cell r="E73">
            <v>24.75</v>
          </cell>
          <cell r="F73">
            <v>2.4378731513083038</v>
          </cell>
          <cell r="G73">
            <v>9.1944361246626389</v>
          </cell>
          <cell r="H73">
            <v>31</v>
          </cell>
          <cell r="I73">
            <v>3.4265553986918196</v>
          </cell>
          <cell r="J73">
            <v>8.805198624438022</v>
          </cell>
          <cell r="K73">
            <v>2.2250000000000001</v>
          </cell>
          <cell r="L73">
            <v>0.21240994880664163</v>
          </cell>
          <cell r="M73">
            <v>10.370912819288369</v>
          </cell>
          <cell r="N73">
            <v>6.75</v>
          </cell>
          <cell r="O73">
            <v>0.69279636614119211</v>
          </cell>
          <cell r="P73">
            <v>8.8109154534504608</v>
          </cell>
          <cell r="Q73">
            <v>15.05</v>
          </cell>
          <cell r="R73">
            <v>1.0609601240528399</v>
          </cell>
          <cell r="S73">
            <v>12.283264745562805</v>
          </cell>
          <cell r="T73">
            <v>9.4570666603475448</v>
          </cell>
          <cell r="V73">
            <v>8.4499999999999993</v>
          </cell>
          <cell r="W73">
            <v>0.47725452734059731</v>
          </cell>
          <cell r="X73">
            <v>12.031534576796169</v>
          </cell>
          <cell r="Y73">
            <v>86.25</v>
          </cell>
          <cell r="Z73">
            <v>5.2313264985877206</v>
          </cell>
          <cell r="AA73">
            <v>17.003196617772165</v>
          </cell>
          <cell r="AB73">
            <v>14.517365597284167</v>
          </cell>
          <cell r="AD73">
            <v>10.722141394581699</v>
          </cell>
          <cell r="AF73">
            <v>5.24</v>
          </cell>
          <cell r="AG73">
            <v>10.24</v>
          </cell>
          <cell r="AH73">
            <v>9.765625</v>
          </cell>
          <cell r="AJ73">
            <v>0.91079054459540487</v>
          </cell>
          <cell r="AL73">
            <v>0.23649697817745463</v>
          </cell>
          <cell r="AM73">
            <v>0.10417776849013949</v>
          </cell>
          <cell r="AN73">
            <v>2.7459658705330625E-2</v>
          </cell>
          <cell r="AO73">
            <v>1.0039079826771546E-2</v>
          </cell>
          <cell r="AP73">
            <v>0.10580140615509026</v>
          </cell>
          <cell r="AQ73">
            <v>0.15484480789539745</v>
          </cell>
          <cell r="AR73">
            <v>0.10646994987503067</v>
          </cell>
        </row>
        <row r="74">
          <cell r="A74">
            <v>37469</v>
          </cell>
          <cell r="B74">
            <v>33.642319999999998</v>
          </cell>
          <cell r="C74">
            <v>3.9954796670891586</v>
          </cell>
          <cell r="D74">
            <v>7.0028666654597398</v>
          </cell>
          <cell r="E74">
            <v>25.7</v>
          </cell>
          <cell r="F74">
            <v>2.4066643913538099</v>
          </cell>
          <cell r="G74">
            <v>9.3440306913530904</v>
          </cell>
          <cell r="H74">
            <v>30.8</v>
          </cell>
          <cell r="I74">
            <v>3.3955165492198494</v>
          </cell>
          <cell r="J74">
            <v>8.6607846483873256</v>
          </cell>
          <cell r="K74">
            <v>2.25</v>
          </cell>
          <cell r="L74">
            <v>0.20947781496204945</v>
          </cell>
          <cell r="M74">
            <v>10.371466318855898</v>
          </cell>
          <cell r="N74">
            <v>6.5</v>
          </cell>
          <cell r="O74">
            <v>0.70635525929665477</v>
          </cell>
          <cell r="P74">
            <v>8.4758854080034105</v>
          </cell>
          <cell r="Q74">
            <v>14.85</v>
          </cell>
          <cell r="R74">
            <v>1.0433739083709024</v>
          </cell>
          <cell r="S74">
            <v>11.773799948338588</v>
          </cell>
          <cell r="T74">
            <v>9.2714722800663427</v>
          </cell>
          <cell r="V74">
            <v>8.4</v>
          </cell>
          <cell r="W74">
            <v>0.50803319209039555</v>
          </cell>
          <cell r="X74">
            <v>11.789661489446429</v>
          </cell>
          <cell r="Y74">
            <v>83.75</v>
          </cell>
          <cell r="Z74">
            <v>5.2228266555079008</v>
          </cell>
          <cell r="AA74">
            <v>16.564582040140699</v>
          </cell>
          <cell r="AB74">
            <v>14.177121764793565</v>
          </cell>
          <cell r="AD74">
            <v>10.49788465124815</v>
          </cell>
          <cell r="AF74">
            <v>4.4400000000000004</v>
          </cell>
          <cell r="AG74">
            <v>9.4400000000000013</v>
          </cell>
          <cell r="AH74">
            <v>10.59322033898305</v>
          </cell>
          <cell r="AJ74">
            <v>1.009081418866949</v>
          </cell>
          <cell r="AL74">
            <v>0.20237837029333106</v>
          </cell>
          <cell r="AM74">
            <v>0.14283447996804965</v>
          </cell>
          <cell r="AN74">
            <v>4.7339842390782483E-2</v>
          </cell>
          <cell r="AO74">
            <v>3.5629282407463547E-2</v>
          </cell>
          <cell r="AP74">
            <v>8.5688148379233553E-2</v>
          </cell>
          <cell r="AQ74">
            <v>0.20884280296216251</v>
          </cell>
          <cell r="AR74">
            <v>0.12045215440017047</v>
          </cell>
        </row>
        <row r="75">
          <cell r="A75">
            <v>37500</v>
          </cell>
          <cell r="B75">
            <v>33.150469999999999</v>
          </cell>
          <cell r="C75">
            <v>4.1321888235112256</v>
          </cell>
          <cell r="D75">
            <v>6.8538041050825793</v>
          </cell>
          <cell r="E75">
            <v>25.5</v>
          </cell>
          <cell r="F75">
            <v>2.375455631399316</v>
          </cell>
          <cell r="G75">
            <v>9.0779870852841711</v>
          </cell>
          <cell r="H75">
            <v>28.8</v>
          </cell>
          <cell r="I75">
            <v>3.3644776997478791</v>
          </cell>
          <cell r="J75">
            <v>8.0181028840014523</v>
          </cell>
          <cell r="K75">
            <v>1.99</v>
          </cell>
          <cell r="L75">
            <v>0.20654568111745727</v>
          </cell>
          <cell r="M75">
            <v>9.0726572942369419</v>
          </cell>
          <cell r="N75">
            <v>6.4</v>
          </cell>
          <cell r="O75">
            <v>0.71991415245211743</v>
          </cell>
          <cell r="P75">
            <v>8.3369387198885097</v>
          </cell>
          <cell r="Q75">
            <v>13.7</v>
          </cell>
          <cell r="R75">
            <v>1.0257876926889649</v>
          </cell>
          <cell r="S75">
            <v>10.560347540150218</v>
          </cell>
          <cell r="T75">
            <v>8.6533062714406448</v>
          </cell>
          <cell r="V75">
            <v>7.8</v>
          </cell>
          <cell r="W75">
            <v>0.53881185684019373</v>
          </cell>
          <cell r="X75">
            <v>10.793513513513506</v>
          </cell>
          <cell r="Y75">
            <v>81.75</v>
          </cell>
          <cell r="Z75">
            <v>5.214326812428081</v>
          </cell>
          <cell r="AA75">
            <v>16.222295456314711</v>
          </cell>
          <cell r="AB75">
            <v>13.507904484914109</v>
          </cell>
          <cell r="AD75">
            <v>9.8669558248090112</v>
          </cell>
          <cell r="AF75">
            <v>4.18</v>
          </cell>
          <cell r="AG75">
            <v>9.18</v>
          </cell>
          <cell r="AH75">
            <v>10.893246187363834</v>
          </cell>
          <cell r="AJ75">
            <v>1.104012866863594</v>
          </cell>
          <cell r="AL75">
            <v>0.17051731950611226</v>
          </cell>
          <cell r="AM75">
            <v>0.182506935973618</v>
          </cell>
          <cell r="AN75">
            <v>6.7586833696290149E-2</v>
          </cell>
          <cell r="AO75">
            <v>6.1946044833617986E-2</v>
          </cell>
          <cell r="AP75">
            <v>6.6332518474039759E-2</v>
          </cell>
          <cell r="AQ75">
            <v>0.26469229302034658</v>
          </cell>
          <cell r="AR75">
            <v>0.13559699091733746</v>
          </cell>
        </row>
        <row r="76">
          <cell r="A76">
            <v>37530</v>
          </cell>
          <cell r="B76">
            <v>35.609699999999997</v>
          </cell>
          <cell r="C76">
            <v>4.2688979799332927</v>
          </cell>
          <cell r="D76">
            <v>7.3127758961688576</v>
          </cell>
          <cell r="E76">
            <v>24.9</v>
          </cell>
          <cell r="F76">
            <v>2.3442468714448221</v>
          </cell>
          <cell r="G76">
            <v>8.6833209414645864</v>
          </cell>
          <cell r="H76">
            <v>28</v>
          </cell>
          <cell r="I76">
            <v>3.3334388502759089</v>
          </cell>
          <cell r="J76">
            <v>7.7188477595566578</v>
          </cell>
          <cell r="K76">
            <v>2.0249999999999999</v>
          </cell>
          <cell r="L76">
            <v>0.2036135472728651</v>
          </cell>
          <cell r="M76">
            <v>9.1323427002569559</v>
          </cell>
          <cell r="N76">
            <v>5.75</v>
          </cell>
          <cell r="O76">
            <v>0.73347304560758009</v>
          </cell>
          <cell r="P76">
            <v>7.4825538501109321</v>
          </cell>
          <cell r="Q76">
            <v>13.6</v>
          </cell>
          <cell r="R76">
            <v>1.0082014770070273</v>
          </cell>
          <cell r="S76">
            <v>10.199975480495333</v>
          </cell>
          <cell r="T76">
            <v>8.4216361046755548</v>
          </cell>
          <cell r="V76">
            <v>7.95</v>
          </cell>
          <cell r="W76">
            <v>0.5695905215899919</v>
          </cell>
          <cell r="X76">
            <v>10.848446050593694</v>
          </cell>
          <cell r="Y76">
            <v>84.25</v>
          </cell>
          <cell r="Z76">
            <v>5.2058269693482613</v>
          </cell>
          <cell r="AA76">
            <v>16.773668315542828</v>
          </cell>
          <cell r="AB76">
            <v>13.811057183068261</v>
          </cell>
          <cell r="AD76">
            <v>9.7689913742737318</v>
          </cell>
          <cell r="AF76">
            <v>4.57</v>
          </cell>
          <cell r="AG76">
            <v>9.57</v>
          </cell>
          <cell r="AH76">
            <v>10.449320794148379</v>
          </cell>
          <cell r="AJ76">
            <v>1.0696417259274349</v>
          </cell>
          <cell r="AL76">
            <v>0.14069693466889555</v>
          </cell>
          <cell r="AM76">
            <v>0.22323570406932047</v>
          </cell>
          <cell r="AN76">
            <v>8.821087905535574E-2</v>
          </cell>
          <cell r="AO76">
            <v>8.9020755547824182E-2</v>
          </cell>
          <cell r="AP76">
            <v>4.7692500190603004E-2</v>
          </cell>
          <cell r="AQ76">
            <v>0.32249016581807011</v>
          </cell>
          <cell r="AR76">
            <v>0.15189115655834484</v>
          </cell>
        </row>
        <row r="77">
          <cell r="A77">
            <v>37561</v>
          </cell>
          <cell r="B77">
            <v>35.904809999999998</v>
          </cell>
          <cell r="C77">
            <v>4.4056071363553597</v>
          </cell>
          <cell r="D77">
            <v>7.3241654079367233</v>
          </cell>
          <cell r="E77">
            <v>24.1</v>
          </cell>
          <cell r="F77">
            <v>2.3130381114903282</v>
          </cell>
          <cell r="G77">
            <v>8.2361057507224924</v>
          </cell>
          <cell r="H77">
            <v>28.05</v>
          </cell>
          <cell r="I77">
            <v>3.3024000008039387</v>
          </cell>
          <cell r="J77">
            <v>7.657455406017899</v>
          </cell>
          <cell r="K77">
            <v>2.25</v>
          </cell>
          <cell r="L77">
            <v>0.20068141342827292</v>
          </cell>
          <cell r="M77">
            <v>10.038441025747412</v>
          </cell>
          <cell r="N77">
            <v>6.1</v>
          </cell>
          <cell r="O77">
            <v>0.74703193876304275</v>
          </cell>
          <cell r="P77">
            <v>7.9298992055501039</v>
          </cell>
          <cell r="Q77">
            <v>13.6</v>
          </cell>
          <cell r="R77">
            <v>0.99061526132508992</v>
          </cell>
          <cell r="S77">
            <v>9.9315940443827486</v>
          </cell>
          <cell r="T77">
            <v>8.5196101400595623</v>
          </cell>
          <cell r="V77">
            <v>8.65</v>
          </cell>
          <cell r="W77">
            <v>0.60036918633979008</v>
          </cell>
          <cell r="X77">
            <v>11.642125899051612</v>
          </cell>
          <cell r="Y77">
            <v>84.75</v>
          </cell>
          <cell r="Z77">
            <v>5.1973271262684415</v>
          </cell>
          <cell r="AA77">
            <v>16.929190502311734</v>
          </cell>
          <cell r="AB77">
            <v>14.285658200681674</v>
          </cell>
          <cell r="AD77">
            <v>9.9611221552150901</v>
          </cell>
          <cell r="AF77">
            <v>4.63</v>
          </cell>
          <cell r="AG77">
            <v>9.629999999999999</v>
          </cell>
          <cell r="AH77">
            <v>10.384215991692628</v>
          </cell>
          <cell r="AJ77">
            <v>1.0424745154094943</v>
          </cell>
          <cell r="AL77">
            <v>0.11272724578758275</v>
          </cell>
          <cell r="AM77">
            <v>0.26506354125552045</v>
          </cell>
          <cell r="AN77">
            <v>0.10922261012132983</v>
          </cell>
          <cell r="AO77">
            <v>0.11688663744486694</v>
          </cell>
          <cell r="AP77">
            <v>2.9729127718962411E-2</v>
          </cell>
          <cell r="AQ77">
            <v>0.38234018922695689</v>
          </cell>
          <cell r="AR77">
            <v>0.16932822525920321</v>
          </cell>
        </row>
        <row r="78">
          <cell r="A78">
            <v>37591</v>
          </cell>
          <cell r="B78">
            <v>38.855890000000002</v>
          </cell>
          <cell r="C78">
            <v>4.5423162927774285</v>
          </cell>
          <cell r="D78">
            <v>7.8735987973640871</v>
          </cell>
          <cell r="E78">
            <v>24.95</v>
          </cell>
          <cell r="F78">
            <v>2.2818293515358361</v>
          </cell>
          <cell r="G78">
            <v>8.359260172176123</v>
          </cell>
          <cell r="H78">
            <v>28.75</v>
          </cell>
          <cell r="I78">
            <v>3.2713611513319676</v>
          </cell>
          <cell r="J78">
            <v>7.772982252062171</v>
          </cell>
          <cell r="K78">
            <v>2.25</v>
          </cell>
          <cell r="L78">
            <v>0.19774927958368083</v>
          </cell>
          <cell r="M78">
            <v>9.9321348704829973</v>
          </cell>
          <cell r="N78">
            <v>6.1</v>
          </cell>
          <cell r="O78">
            <v>0.76059083191850563</v>
          </cell>
          <cell r="P78">
            <v>7.9218013340682418</v>
          </cell>
          <cell r="Q78">
            <v>13.35</v>
          </cell>
          <cell r="R78">
            <v>0.97302904564315351</v>
          </cell>
          <cell r="S78">
            <v>9.4990882638215322</v>
          </cell>
          <cell r="T78">
            <v>8.5598109483291918</v>
          </cell>
          <cell r="V78">
            <v>8</v>
          </cell>
          <cell r="W78">
            <v>0.63114785108958837</v>
          </cell>
          <cell r="X78">
            <v>10.621926409644606</v>
          </cell>
          <cell r="Y78">
            <v>83</v>
          </cell>
          <cell r="Z78">
            <v>5.1888272831886182</v>
          </cell>
          <cell r="AA78">
            <v>16.634804486843485</v>
          </cell>
          <cell r="AB78">
            <v>13.628365448244047</v>
          </cell>
          <cell r="AD78">
            <v>9.8269495733079069</v>
          </cell>
          <cell r="AF78">
            <v>4.3869999999999996</v>
          </cell>
          <cell r="AG78">
            <v>9.3870000000000005</v>
          </cell>
          <cell r="AH78">
            <v>10.653030787258974</v>
          </cell>
          <cell r="AJ78">
            <v>1.084062832294864</v>
          </cell>
          <cell r="AL78">
            <v>8.6441152818969025E-2</v>
          </cell>
          <cell r="AM78">
            <v>0.30803554369604225</v>
          </cell>
          <cell r="AN78">
            <v>0.13063306204234482</v>
          </cell>
          <cell r="AO78">
            <v>0.14557888387372242</v>
          </cell>
          <cell r="AP78">
            <v>1.240621379042639E-2</v>
          </cell>
          <cell r="AQ78">
            <v>0.4443536329878881</v>
          </cell>
          <cell r="AR78">
            <v>0.18790808153489882</v>
          </cell>
        </row>
        <row r="79">
          <cell r="A79">
            <v>37622</v>
          </cell>
          <cell r="B79">
            <v>37.970570000000002</v>
          </cell>
          <cell r="C79">
            <v>4.5750365475121004</v>
          </cell>
          <cell r="D79">
            <v>7.6499017612956628</v>
          </cell>
          <cell r="E79">
            <v>25.75</v>
          </cell>
          <cell r="F79">
            <v>2.3404030636126634</v>
          </cell>
          <cell r="G79">
            <v>8.3608287839352489</v>
          </cell>
          <cell r="H79">
            <v>29.15</v>
          </cell>
          <cell r="I79">
            <v>3.306973478352373</v>
          </cell>
          <cell r="J79">
            <v>7.7497567313140241</v>
          </cell>
          <cell r="K79">
            <v>2.15</v>
          </cell>
          <cell r="L79">
            <v>0.20014828953439956</v>
          </cell>
          <cell r="M79">
            <v>9.254830408562631</v>
          </cell>
          <cell r="N79">
            <v>6.2</v>
          </cell>
          <cell r="O79">
            <v>0.76137716962415725</v>
          </cell>
          <cell r="P79">
            <v>8.025466793934882</v>
          </cell>
          <cell r="Q79">
            <v>14.45</v>
          </cell>
          <cell r="R79">
            <v>1.0090597949293429</v>
          </cell>
          <cell r="S79">
            <v>10.093197470621449</v>
          </cell>
          <cell r="T79">
            <v>8.522330324943983</v>
          </cell>
          <cell r="V79">
            <v>8.0500000000000007</v>
          </cell>
          <cell r="W79">
            <v>0.64131545096852305</v>
          </cell>
          <cell r="X79">
            <v>10.259080298129659</v>
          </cell>
          <cell r="Y79">
            <v>83</v>
          </cell>
          <cell r="Z79">
            <v>5.1722198974788158</v>
          </cell>
          <cell r="AA79">
            <v>16.373752504449968</v>
          </cell>
          <cell r="AB79">
            <v>13.316416401289814</v>
          </cell>
          <cell r="AD79">
            <v>9.7208518440304417</v>
          </cell>
          <cell r="AF79">
            <v>4.5289999999999999</v>
          </cell>
          <cell r="AG79">
            <v>9.5289999999999999</v>
          </cell>
          <cell r="AH79">
            <v>10.4942806170637</v>
          </cell>
          <cell r="AJ79">
            <v>1.079563888581248</v>
          </cell>
          <cell r="AL79">
            <v>8.4917440795270416E-2</v>
          </cell>
          <cell r="AM79">
            <v>0.31594350697216833</v>
          </cell>
          <cell r="AN79">
            <v>0.13741716284128724</v>
          </cell>
          <cell r="AO79">
            <v>0.16069499587630309</v>
          </cell>
          <cell r="AP79">
            <v>1.4662330135948753E-2</v>
          </cell>
          <cell r="AQ79">
            <v>0.41880324945070013</v>
          </cell>
          <cell r="AR79">
            <v>0.18873978101194633</v>
          </cell>
        </row>
        <row r="80">
          <cell r="A80">
            <v>37653</v>
          </cell>
          <cell r="B80">
            <v>37.183610000000002</v>
          </cell>
          <cell r="C80">
            <v>4.6077568022467723</v>
          </cell>
          <cell r="D80">
            <v>7.4484689270886282</v>
          </cell>
          <cell r="E80">
            <v>26</v>
          </cell>
          <cell r="F80">
            <v>2.3989767756894906</v>
          </cell>
          <cell r="G80">
            <v>8.1890730114389143</v>
          </cell>
          <cell r="H80">
            <v>30.7</v>
          </cell>
          <cell r="I80">
            <v>3.3425858053727784</v>
          </cell>
          <cell r="J80">
            <v>8.0280165600442395</v>
          </cell>
          <cell r="K80">
            <v>2.0750000000000002</v>
          </cell>
          <cell r="L80">
            <v>0.20254729948511829</v>
          </cell>
          <cell r="M80">
            <v>8.7153807206270812</v>
          </cell>
          <cell r="N80">
            <v>6.4</v>
          </cell>
          <cell r="O80">
            <v>0.76216350732980886</v>
          </cell>
          <cell r="P80">
            <v>8.2574829581192919</v>
          </cell>
          <cell r="Q80">
            <v>14.55</v>
          </cell>
          <cell r="R80">
            <v>1.0450905442155323</v>
          </cell>
          <cell r="S80">
            <v>9.97999477607563</v>
          </cell>
          <cell r="T80">
            <v>8.4364028255656311</v>
          </cell>
          <cell r="V80">
            <v>8</v>
          </cell>
          <cell r="W80">
            <v>0.65148305084745772</v>
          </cell>
          <cell r="X80">
            <v>9.8017305315203949</v>
          </cell>
          <cell r="Y80">
            <v>85.25</v>
          </cell>
          <cell r="Z80">
            <v>5.1556125117690135</v>
          </cell>
          <cell r="AA80">
            <v>16.557776122182901</v>
          </cell>
          <cell r="AB80">
            <v>13.179753326851648</v>
          </cell>
          <cell r="AD80">
            <v>9.6222404508871353</v>
          </cell>
          <cell r="AF80">
            <v>4.3099999999999996</v>
          </cell>
          <cell r="AG80">
            <v>9.3099999999999987</v>
          </cell>
          <cell r="AH80">
            <v>10.741138560687434</v>
          </cell>
          <cell r="AJ80">
            <v>1.1162824932001298</v>
          </cell>
          <cell r="AL80">
            <v>8.3415368909147247E-2</v>
          </cell>
          <cell r="AM80">
            <v>0.32346530663992268</v>
          </cell>
          <cell r="AN80">
            <v>0.14405670632427237</v>
          </cell>
          <cell r="AO80">
            <v>0.17545303148682567</v>
          </cell>
          <cell r="AP80">
            <v>1.6913791130398037E-2</v>
          </cell>
          <cell r="AQ80">
            <v>0.39501462611408011</v>
          </cell>
          <cell r="AR80">
            <v>0.18971980510077435</v>
          </cell>
        </row>
        <row r="81">
          <cell r="A81">
            <v>37681</v>
          </cell>
          <cell r="B81">
            <v>35.904809999999998</v>
          </cell>
          <cell r="C81">
            <v>4.6404770569814442</v>
          </cell>
          <cell r="D81">
            <v>7.1513666002024969</v>
          </cell>
          <cell r="E81">
            <v>26.75</v>
          </cell>
          <cell r="F81">
            <v>2.4575504877663179</v>
          </cell>
          <cell r="G81">
            <v>8.1802108640007916</v>
          </cell>
          <cell r="H81">
            <v>30.4</v>
          </cell>
          <cell r="I81">
            <v>3.3781981323931838</v>
          </cell>
          <cell r="J81">
            <v>7.821329904258107</v>
          </cell>
          <cell r="K81">
            <v>1.98</v>
          </cell>
          <cell r="L81">
            <v>0.20494630943583703</v>
          </cell>
          <cell r="M81">
            <v>8.1194608465656302</v>
          </cell>
          <cell r="N81">
            <v>6.6</v>
          </cell>
          <cell r="O81">
            <v>0.76294984503546048</v>
          </cell>
          <cell r="P81">
            <v>8.4879989237361428</v>
          </cell>
          <cell r="Q81">
            <v>14.3</v>
          </cell>
          <cell r="R81">
            <v>1.0811212935017216</v>
          </cell>
          <cell r="S81">
            <v>9.6349767260449664</v>
          </cell>
          <cell r="T81">
            <v>8.2325573108013561</v>
          </cell>
          <cell r="V81">
            <v>8.15</v>
          </cell>
          <cell r="W81">
            <v>0.6616506507263924</v>
          </cell>
          <cell r="X81">
            <v>9.6143174337517436</v>
          </cell>
          <cell r="Y81">
            <v>79.5</v>
          </cell>
          <cell r="Z81">
            <v>5.1390051260592111</v>
          </cell>
          <cell r="AA81">
            <v>15.206032865611164</v>
          </cell>
          <cell r="AB81">
            <v>12.410175149681454</v>
          </cell>
          <cell r="AD81">
            <v>9.2769617705213818</v>
          </cell>
          <cell r="AF81">
            <v>4.3929999999999998</v>
          </cell>
          <cell r="AG81">
            <v>9.3930000000000007</v>
          </cell>
          <cell r="AH81">
            <v>10.646225912913872</v>
          </cell>
          <cell r="AJ81">
            <v>1.1475983383636963</v>
          </cell>
          <cell r="AL81">
            <v>8.1934479403257932E-2</v>
          </cell>
          <cell r="AM81">
            <v>0.33062855438353012</v>
          </cell>
          <cell r="AN81">
            <v>0.15055626417911139</v>
          </cell>
          <cell r="AO81">
            <v>0.18986556515217856</v>
          </cell>
          <cell r="AP81">
            <v>1.9160611167950314E-2</v>
          </cell>
          <cell r="AQ81">
            <v>0.37281161935620521</v>
          </cell>
          <cell r="AR81">
            <v>0.1908261822737056</v>
          </cell>
        </row>
        <row r="82">
          <cell r="A82">
            <v>37712</v>
          </cell>
          <cell r="B82">
            <v>35.019489999999998</v>
          </cell>
          <cell r="C82">
            <v>4.6731973117161161</v>
          </cell>
          <cell r="D82">
            <v>6.9355554226126452</v>
          </cell>
          <cell r="E82">
            <v>24.55</v>
          </cell>
          <cell r="F82">
            <v>2.5161241998431452</v>
          </cell>
          <cell r="G82">
            <v>7.295233121395591</v>
          </cell>
          <cell r="H82">
            <v>28.45</v>
          </cell>
          <cell r="I82">
            <v>3.4138104594135892</v>
          </cell>
          <cell r="J82">
            <v>7.2034319129369608</v>
          </cell>
          <cell r="K82">
            <v>1.79</v>
          </cell>
          <cell r="L82">
            <v>0.20734531938655576</v>
          </cell>
          <cell r="M82">
            <v>7.1705471461465988</v>
          </cell>
          <cell r="N82">
            <v>6.1</v>
          </cell>
          <cell r="O82">
            <v>0.7637361827411121</v>
          </cell>
          <cell r="P82">
            <v>7.8196879535743351</v>
          </cell>
          <cell r="Q82">
            <v>14.45</v>
          </cell>
          <cell r="R82">
            <v>1.1171520427879109</v>
          </cell>
          <cell r="S82">
            <v>9.5667794648305406</v>
          </cell>
          <cell r="T82">
            <v>7.6652058369161118</v>
          </cell>
          <cell r="V82">
            <v>7.6</v>
          </cell>
          <cell r="W82">
            <v>0.67181825060532707</v>
          </cell>
          <cell r="X82">
            <v>8.6441653817190804</v>
          </cell>
          <cell r="Y82">
            <v>77.25</v>
          </cell>
          <cell r="Z82">
            <v>5.1223977403494088</v>
          </cell>
          <cell r="AA82">
            <v>14.554222784311147</v>
          </cell>
          <cell r="AB82">
            <v>11.599194083015114</v>
          </cell>
          <cell r="AD82">
            <v>8.6487028984408632</v>
          </cell>
          <cell r="AF82">
            <v>4.3</v>
          </cell>
          <cell r="AG82">
            <v>9.3000000000000007</v>
          </cell>
          <cell r="AH82">
            <v>10.75268817204301</v>
          </cell>
          <cell r="AJ82">
            <v>1.2432717713058961</v>
          </cell>
          <cell r="AL82">
            <v>8.0474327340551488E-2</v>
          </cell>
          <cell r="AM82">
            <v>0.33745829076001588</v>
          </cell>
          <cell r="AN82">
            <v>0.15692021732913952</v>
          </cell>
          <cell r="AO82">
            <v>0.20394458936787974</v>
          </cell>
          <cell r="AP82">
            <v>2.1402804583500634E-2</v>
          </cell>
          <cell r="AQ82">
            <v>0.352040809719675</v>
          </cell>
          <cell r="AR82">
            <v>0.19204017318346037</v>
          </cell>
        </row>
        <row r="83">
          <cell r="A83">
            <v>37742</v>
          </cell>
          <cell r="B83">
            <v>36.790140000000001</v>
          </cell>
          <cell r="C83">
            <v>4.705917566450788</v>
          </cell>
          <cell r="D83">
            <v>7.2452237568143012</v>
          </cell>
          <cell r="E83">
            <v>26.1</v>
          </cell>
          <cell r="F83">
            <v>2.5746979119199724</v>
          </cell>
          <cell r="G83">
            <v>7.5426212492783877</v>
          </cell>
          <cell r="H83">
            <v>31.4</v>
          </cell>
          <cell r="I83">
            <v>3.4494227864339946</v>
          </cell>
          <cell r="J83">
            <v>7.8261192732391356</v>
          </cell>
          <cell r="K83">
            <v>2.0249999999999999</v>
          </cell>
          <cell r="L83">
            <v>0.20974432933727449</v>
          </cell>
          <cell r="M83">
            <v>7.9285531410004371</v>
          </cell>
          <cell r="N83">
            <v>6.4</v>
          </cell>
          <cell r="O83">
            <v>0.76452252044676372</v>
          </cell>
          <cell r="P83">
            <v>8.1779091075372428</v>
          </cell>
          <cell r="Q83">
            <v>14.7</v>
          </cell>
          <cell r="R83">
            <v>1.1531827920741002</v>
          </cell>
          <cell r="S83">
            <v>9.5659876810387896</v>
          </cell>
          <cell r="T83">
            <v>8.0477357014847168</v>
          </cell>
          <cell r="V83">
            <v>8</v>
          </cell>
          <cell r="W83">
            <v>0.68198585048426175</v>
          </cell>
          <cell r="X83">
            <v>8.7842833157357241</v>
          </cell>
          <cell r="Y83">
            <v>83</v>
          </cell>
          <cell r="Z83">
            <v>5.1057903546396064</v>
          </cell>
          <cell r="AA83">
            <v>15.406639534601473</v>
          </cell>
          <cell r="AB83">
            <v>12.095461425168597</v>
          </cell>
          <cell r="AD83">
            <v>9.0596671324056857</v>
          </cell>
          <cell r="AF83">
            <v>3.6779999999999999</v>
          </cell>
          <cell r="AG83">
            <v>8.6780000000000008</v>
          </cell>
          <cell r="AH83">
            <v>11.523392486748097</v>
          </cell>
          <cell r="AJ83">
            <v>1.2719443571530205</v>
          </cell>
          <cell r="AL83">
            <v>7.9034480158569398E-2</v>
          </cell>
          <cell r="AM83">
            <v>0.34397727766160191</v>
          </cell>
          <cell r="AN83">
            <v>0.16315276578061177</v>
          </cell>
          <cell r="AO83">
            <v>0.21770154795924079</v>
          </cell>
          <cell r="AP83">
            <v>2.3640385652968776E-2</v>
          </cell>
          <cell r="AQ83">
            <v>0.33256795187297139</v>
          </cell>
          <cell r="AR83">
            <v>0.19334573484766068</v>
          </cell>
        </row>
        <row r="84">
          <cell r="A84">
            <v>37773</v>
          </cell>
          <cell r="B84">
            <v>38.167299999999997</v>
          </cell>
          <cell r="C84">
            <v>4.7386378211854598</v>
          </cell>
          <cell r="D84">
            <v>7.4743682100833686</v>
          </cell>
          <cell r="E84">
            <v>28.65</v>
          </cell>
          <cell r="F84">
            <v>2.6332716239967997</v>
          </cell>
          <cell r="G84">
            <v>8.0580294918108617</v>
          </cell>
          <cell r="H84">
            <v>33</v>
          </cell>
          <cell r="I84">
            <v>3.4850351134544</v>
          </cell>
          <cell r="J84">
            <v>8.0983483643765872</v>
          </cell>
          <cell r="K84">
            <v>2.1749999999999998</v>
          </cell>
          <cell r="L84">
            <v>0.21214333928799323</v>
          </cell>
          <cell r="M84">
            <v>8.3275992990082361</v>
          </cell>
          <cell r="N84">
            <v>6.5</v>
          </cell>
          <cell r="O84">
            <v>0.76530885815241534</v>
          </cell>
          <cell r="P84">
            <v>8.2790948987889479</v>
          </cell>
          <cell r="Q84">
            <v>15.4</v>
          </cell>
          <cell r="R84">
            <v>1.1892135413602896</v>
          </cell>
          <cell r="S84">
            <v>9.8531388992679982</v>
          </cell>
          <cell r="T84">
            <v>8.3484298605559992</v>
          </cell>
          <cell r="V84">
            <v>7.85</v>
          </cell>
          <cell r="W84">
            <v>0.69215345036319642</v>
          </cell>
          <cell r="X84">
            <v>8.3313069664725958</v>
          </cell>
          <cell r="Y84">
            <v>82.5</v>
          </cell>
          <cell r="Z84">
            <v>5.089182968929804</v>
          </cell>
          <cell r="AA84">
            <v>15.090991723676025</v>
          </cell>
          <cell r="AB84">
            <v>11.711149345074311</v>
          </cell>
          <cell r="AD84">
            <v>9.1891097316855763</v>
          </cell>
          <cell r="AF84">
            <v>3.9329999999999998</v>
          </cell>
          <cell r="AG84">
            <v>8.9329999999999998</v>
          </cell>
          <cell r="AH84">
            <v>11.194447554013209</v>
          </cell>
          <cell r="AJ84">
            <v>1.2182298264882936</v>
          </cell>
          <cell r="AL84">
            <v>7.7614517242214243E-2</v>
          </cell>
          <cell r="AM84">
            <v>0.35020625174542452</v>
          </cell>
          <cell r="AN84">
            <v>0.16925793786633836</v>
          </cell>
          <cell r="AO84">
            <v>0.23114736710438533</v>
          </cell>
          <cell r="AP84">
            <v>2.5873368593601231E-2</v>
          </cell>
          <cell r="AQ84">
            <v>0.31427506992556298</v>
          </cell>
          <cell r="AR84">
            <v>0.19472908541292111</v>
          </cell>
        </row>
        <row r="85">
          <cell r="A85">
            <v>37803</v>
          </cell>
          <cell r="B85">
            <v>37.872199999999999</v>
          </cell>
          <cell r="C85">
            <v>4.7713580759201317</v>
          </cell>
          <cell r="D85">
            <v>7.3753031262570001</v>
          </cell>
          <cell r="E85">
            <v>31.1</v>
          </cell>
          <cell r="F85">
            <v>2.691845336073627</v>
          </cell>
          <cell r="G85">
            <v>8.5191845767655963</v>
          </cell>
          <cell r="H85">
            <v>33</v>
          </cell>
          <cell r="I85">
            <v>3.5206474404748054</v>
          </cell>
          <cell r="J85">
            <v>7.9756297895291812</v>
          </cell>
          <cell r="K85">
            <v>2.375</v>
          </cell>
          <cell r="L85">
            <v>0.21454234923871196</v>
          </cell>
          <cell r="M85">
            <v>8.8966827503625172</v>
          </cell>
          <cell r="N85">
            <v>7.65</v>
          </cell>
          <cell r="O85">
            <v>0.76609519585806696</v>
          </cell>
          <cell r="P85">
            <v>9.7127584988350062</v>
          </cell>
          <cell r="Q85">
            <v>16.350000000000001</v>
          </cell>
          <cell r="R85">
            <v>1.2252442906464789</v>
          </cell>
          <cell r="S85">
            <v>10.288111230076387</v>
          </cell>
          <cell r="T85">
            <v>8.7946116619709489</v>
          </cell>
          <cell r="V85">
            <v>8.5</v>
          </cell>
          <cell r="W85">
            <v>0.7023210502421311</v>
          </cell>
          <cell r="X85">
            <v>8.729222450664551</v>
          </cell>
          <cell r="Y85">
            <v>84</v>
          </cell>
          <cell r="Z85">
            <v>5.0725755832200017</v>
          </cell>
          <cell r="AA85">
            <v>15.144993437752959</v>
          </cell>
          <cell r="AB85">
            <v>11.937107944208755</v>
          </cell>
          <cell r="AD85">
            <v>9.5802357325304008</v>
          </cell>
          <cell r="AF85">
            <v>4.6520000000000001</v>
          </cell>
          <cell r="AG85">
            <v>9.652000000000001</v>
          </cell>
          <cell r="AH85">
            <v>10.360547036883546</v>
          </cell>
          <cell r="AJ85">
            <v>1.0814501152308329</v>
          </cell>
          <cell r="AL85">
            <v>7.621402951409606E-2</v>
          </cell>
          <cell r="AM85">
            <v>0.35616414477594094</v>
          </cell>
          <cell r="AN85">
            <v>0.17523959892830643</v>
          </cell>
          <cell r="AO85">
            <v>0.24429248427587091</v>
          </cell>
          <cell r="AP85">
            <v>2.8101767564273405E-2</v>
          </cell>
          <cell r="AQ85">
            <v>0.29705806525128353</v>
          </cell>
          <cell r="AR85">
            <v>0.19617834838496187</v>
          </cell>
        </row>
        <row r="86">
          <cell r="A86">
            <v>37834</v>
          </cell>
          <cell r="B86">
            <v>45.446640000000002</v>
          </cell>
          <cell r="C86">
            <v>4.8040783306548036</v>
          </cell>
          <cell r="D86">
            <v>8.8013818263190355</v>
          </cell>
          <cell r="E86">
            <v>35.5</v>
          </cell>
          <cell r="F86">
            <v>2.7504190481504542</v>
          </cell>
          <cell r="G86">
            <v>9.477512866677575</v>
          </cell>
          <cell r="H86">
            <v>39.799999999999997</v>
          </cell>
          <cell r="I86">
            <v>3.5562597674952108</v>
          </cell>
          <cell r="J86">
            <v>9.4755055287291583</v>
          </cell>
          <cell r="K86">
            <v>2.4500000000000002</v>
          </cell>
          <cell r="L86">
            <v>0.21694135918943069</v>
          </cell>
          <cell r="M86">
            <v>8.9833373158833023</v>
          </cell>
          <cell r="N86">
            <v>9</v>
          </cell>
          <cell r="O86">
            <v>0.76688153356371858</v>
          </cell>
          <cell r="P86">
            <v>11.390420049872237</v>
          </cell>
          <cell r="Q86">
            <v>18.399999999999999</v>
          </cell>
          <cell r="R86">
            <v>1.2612750399326682</v>
          </cell>
          <cell r="S86">
            <v>11.389858164146645</v>
          </cell>
          <cell r="T86">
            <v>9.9196692919379927</v>
          </cell>
          <cell r="V86">
            <v>10</v>
          </cell>
          <cell r="W86">
            <v>0.71248865012106577</v>
          </cell>
          <cell r="X86">
            <v>9.9477497255762906</v>
          </cell>
          <cell r="Y86">
            <v>86.5</v>
          </cell>
          <cell r="Z86">
            <v>5.0559681975101993</v>
          </cell>
          <cell r="AA86">
            <v>15.375216165122259</v>
          </cell>
          <cell r="AB86">
            <v>12.661482945349274</v>
          </cell>
          <cell r="AD86">
            <v>10.605122705290812</v>
          </cell>
          <cell r="AF86">
            <v>4.6769999999999996</v>
          </cell>
          <cell r="AG86">
            <v>9.6769999999999996</v>
          </cell>
          <cell r="AH86">
            <v>10.333781130515655</v>
          </cell>
          <cell r="AJ86">
            <v>0.97441410322958477</v>
          </cell>
          <cell r="AL86">
            <v>7.4832619041619086E-2</v>
          </cell>
          <cell r="AM86">
            <v>0.36186827581248893</v>
          </cell>
          <cell r="AN86">
            <v>0.18110145947861822</v>
          </cell>
          <cell r="AO86">
            <v>0.25714687526203539</v>
          </cell>
          <cell r="AP86">
            <v>3.0325596665788046E-2</v>
          </cell>
          <cell r="AQ86">
            <v>0.28082473433449207</v>
          </cell>
          <cell r="AR86">
            <v>0.19768326009917361</v>
          </cell>
        </row>
        <row r="87">
          <cell r="A87">
            <v>37865</v>
          </cell>
          <cell r="B87">
            <v>46.627070000000003</v>
          </cell>
          <cell r="C87">
            <v>4.8367985853894755</v>
          </cell>
          <cell r="D87">
            <v>8.9802877354971358</v>
          </cell>
          <cell r="E87">
            <v>41</v>
          </cell>
          <cell r="F87">
            <v>2.8089927602272815</v>
          </cell>
          <cell r="G87">
            <v>10.674768338390223</v>
          </cell>
          <cell r="H87">
            <v>45.6</v>
          </cell>
          <cell r="I87">
            <v>3.5918720945156162</v>
          </cell>
          <cell r="J87">
            <v>10.696685149685173</v>
          </cell>
          <cell r="K87">
            <v>2.875</v>
          </cell>
          <cell r="L87">
            <v>0.21934036914014943</v>
          </cell>
          <cell r="M87">
            <v>10.323127502136426</v>
          </cell>
          <cell r="N87">
            <v>9.3000000000000007</v>
          </cell>
          <cell r="O87">
            <v>0.76766787126937019</v>
          </cell>
          <cell r="P87">
            <v>11.732772521573997</v>
          </cell>
          <cell r="Q87">
            <v>19.899999999999999</v>
          </cell>
          <cell r="R87">
            <v>1.2973057892188575</v>
          </cell>
          <cell r="S87">
            <v>12.121348364629739</v>
          </cell>
          <cell r="T87">
            <v>10.754831601985449</v>
          </cell>
          <cell r="V87">
            <v>11.2</v>
          </cell>
          <cell r="W87">
            <v>0.72265625000000044</v>
          </cell>
          <cell r="X87">
            <v>10.802842676640971</v>
          </cell>
          <cell r="Y87">
            <v>95</v>
          </cell>
          <cell r="Z87">
            <v>5.039360811800397</v>
          </cell>
          <cell r="AA87">
            <v>16.650638307625307</v>
          </cell>
          <cell r="AB87">
            <v>13.726740492133139</v>
          </cell>
          <cell r="AD87">
            <v>11.497808824522373</v>
          </cell>
          <cell r="AF87">
            <v>4.24</v>
          </cell>
          <cell r="AG87">
            <v>9.24</v>
          </cell>
          <cell r="AH87">
            <v>10.822510822510822</v>
          </cell>
          <cell r="AJ87">
            <v>0.94126724384464588</v>
          </cell>
          <cell r="AL87">
            <v>7.3469898660016852E-2</v>
          </cell>
          <cell r="AM87">
            <v>0.36733451935162931</v>
          </cell>
          <cell r="AN87">
            <v>0.18684708287494889</v>
          </cell>
          <cell r="AO87">
            <v>0.26972007941508647</v>
          </cell>
          <cell r="AP87">
            <v>3.2544869941173005E-2</v>
          </cell>
          <cell r="AQ87">
            <v>0.26549311692457533</v>
          </cell>
          <cell r="AR87">
            <v>0.19923492786123831</v>
          </cell>
        </row>
        <row r="88">
          <cell r="A88">
            <v>37895</v>
          </cell>
          <cell r="B88">
            <v>53.365369999999999</v>
          </cell>
          <cell r="C88">
            <v>4.8695188401241474</v>
          </cell>
          <cell r="D88">
            <v>10.22181113081942</v>
          </cell>
          <cell r="E88">
            <v>47.9</v>
          </cell>
          <cell r="F88">
            <v>2.8675664723041088</v>
          </cell>
          <cell r="G88">
            <v>12.16984813910039</v>
          </cell>
          <cell r="H88">
            <v>48.9</v>
          </cell>
          <cell r="I88">
            <v>3.6274844215360216</v>
          </cell>
          <cell r="J88">
            <v>11.304522910688027</v>
          </cell>
          <cell r="K88">
            <v>3.4750000000000001</v>
          </cell>
          <cell r="L88">
            <v>0.22173937909086816</v>
          </cell>
          <cell r="M88">
            <v>12.224096426168385</v>
          </cell>
          <cell r="N88">
            <v>10.45</v>
          </cell>
          <cell r="O88">
            <v>0.76845420897502181</v>
          </cell>
          <cell r="P88">
            <v>13.141920387520907</v>
          </cell>
          <cell r="Q88">
            <v>23.2</v>
          </cell>
          <cell r="R88">
            <v>1.3333365385050469</v>
          </cell>
          <cell r="S88">
            <v>13.908949403725106</v>
          </cell>
          <cell r="T88">
            <v>12.161858066337039</v>
          </cell>
          <cell r="V88">
            <v>13.45</v>
          </cell>
          <cell r="W88">
            <v>0.73282384987893512</v>
          </cell>
          <cell r="X88">
            <v>12.590381300908984</v>
          </cell>
          <cell r="Y88">
            <v>97</v>
          </cell>
          <cell r="Z88">
            <v>5.0227534260905946</v>
          </cell>
          <cell r="AA88">
            <v>16.767395530372667</v>
          </cell>
          <cell r="AB88">
            <v>14.678888415640825</v>
          </cell>
          <cell r="AD88">
            <v>12.791115653662986</v>
          </cell>
          <cell r="AF88">
            <v>4.3789999999999996</v>
          </cell>
          <cell r="AG88">
            <v>9.3789999999999996</v>
          </cell>
          <cell r="AH88">
            <v>10.662117496534812</v>
          </cell>
          <cell r="AJ88">
            <v>0.83355649227372175</v>
          </cell>
          <cell r="AL88">
            <v>7.2125491610586678E-2</v>
          </cell>
          <cell r="AM88">
            <v>0.37257745286235644</v>
          </cell>
          <cell r="AN88">
            <v>0.19247989254388664</v>
          </cell>
          <cell r="AO88">
            <v>0.28202122326022772</v>
          </cell>
          <cell r="AP88">
            <v>3.4759601375976557E-2</v>
          </cell>
          <cell r="AQ88">
            <v>0.25099011201734722</v>
          </cell>
          <cell r="AR88">
            <v>0.20082562894506353</v>
          </cell>
        </row>
        <row r="89">
          <cell r="A89">
            <v>37926</v>
          </cell>
          <cell r="B89">
            <v>56.562370000000001</v>
          </cell>
          <cell r="C89">
            <v>4.9022390948588193</v>
          </cell>
          <cell r="D89">
            <v>10.775195032867275</v>
          </cell>
          <cell r="E89">
            <v>46.4</v>
          </cell>
          <cell r="F89">
            <v>2.926140184380936</v>
          </cell>
          <cell r="G89">
            <v>11.510558919093837</v>
          </cell>
          <cell r="H89">
            <v>50.25</v>
          </cell>
          <cell r="I89">
            <v>3.663096748556427</v>
          </cell>
          <cell r="J89">
            <v>11.450638561530134</v>
          </cell>
          <cell r="K89">
            <v>3.55</v>
          </cell>
          <cell r="L89">
            <v>0.22413838904158689</v>
          </cell>
          <cell r="M89">
            <v>12.23934044174216</v>
          </cell>
          <cell r="N89">
            <v>10.45</v>
          </cell>
          <cell r="O89">
            <v>0.76924054668067343</v>
          </cell>
          <cell r="P89">
            <v>13.10050424165402</v>
          </cell>
          <cell r="Q89">
            <v>24.4</v>
          </cell>
          <cell r="R89">
            <v>1.3693672877912362</v>
          </cell>
          <cell r="S89">
            <v>14.401651760215223</v>
          </cell>
          <cell r="T89">
            <v>12.246314826183776</v>
          </cell>
          <cell r="V89">
            <v>14.45</v>
          </cell>
          <cell r="W89">
            <v>0.74299144975786979</v>
          </cell>
          <cell r="X89">
            <v>13.138901773044562</v>
          </cell>
          <cell r="Y89">
            <v>99.75</v>
          </cell>
          <cell r="Z89">
            <v>5.0061460403807923</v>
          </cell>
          <cell r="AA89">
            <v>17.008871513196521</v>
          </cell>
          <cell r="AB89">
            <v>15.073886643120542</v>
          </cell>
          <cell r="AD89">
            <v>12.953207780417967</v>
          </cell>
          <cell r="AF89">
            <v>4.3979999999999997</v>
          </cell>
          <cell r="AG89">
            <v>9.3979999999999997</v>
          </cell>
          <cell r="AH89">
            <v>10.640561821664184</v>
          </cell>
          <cell r="AJ89">
            <v>0.82146152536440198</v>
          </cell>
          <cell r="AL89">
            <v>7.0799031193408801E-2</v>
          </cell>
          <cell r="AM89">
            <v>0.37761048660168184</v>
          </cell>
          <cell r="AN89">
            <v>0.19800317878292728</v>
          </cell>
          <cell r="AO89">
            <v>0.29405904258861915</v>
          </cell>
          <cell r="AP89">
            <v>3.6969804898561831E-2</v>
          </cell>
          <cell r="AQ89">
            <v>0.23725031233397331</v>
          </cell>
          <cell r="AR89">
            <v>0.20244864273319538</v>
          </cell>
        </row>
        <row r="90">
          <cell r="A90">
            <v>37956</v>
          </cell>
          <cell r="B90">
            <v>56.808300000000003</v>
          </cell>
          <cell r="C90">
            <v>4.9349593495934956</v>
          </cell>
          <cell r="D90">
            <v>10.763448078401231</v>
          </cell>
          <cell r="E90">
            <v>46.2</v>
          </cell>
          <cell r="F90">
            <v>2.9847138964577646</v>
          </cell>
          <cell r="G90">
            <v>11.196727238508437</v>
          </cell>
          <cell r="H90">
            <v>50.75</v>
          </cell>
          <cell r="I90">
            <v>3.6987090755768328</v>
          </cell>
          <cell r="J90">
            <v>11.401673775183793</v>
          </cell>
          <cell r="K90">
            <v>4.2</v>
          </cell>
          <cell r="L90">
            <v>0.22653739899230577</v>
          </cell>
          <cell r="M90">
            <v>14.197725656447567</v>
          </cell>
          <cell r="N90">
            <v>10.75</v>
          </cell>
          <cell r="O90">
            <v>0.77002688438632483</v>
          </cell>
          <cell r="P90">
            <v>13.43425783887799</v>
          </cell>
          <cell r="Q90">
            <v>23.85</v>
          </cell>
          <cell r="R90">
            <v>1.4053980370774264</v>
          </cell>
          <cell r="S90">
            <v>13.862173743669654</v>
          </cell>
          <cell r="T90">
            <v>12.476001055181447</v>
          </cell>
          <cell r="V90">
            <v>14.6</v>
          </cell>
          <cell r="W90">
            <v>0.75315904963680391</v>
          </cell>
          <cell r="X90">
            <v>12.905516261182175</v>
          </cell>
          <cell r="Y90">
            <v>102</v>
          </cell>
          <cell r="Z90">
            <v>4.9895386546709908</v>
          </cell>
          <cell r="AA90">
            <v>17.159767687434002</v>
          </cell>
          <cell r="AB90">
            <v>15.032641974308088</v>
          </cell>
          <cell r="AD90">
            <v>13.115161284963106</v>
          </cell>
          <cell r="AF90">
            <v>4.3739999999999997</v>
          </cell>
          <cell r="AG90">
            <v>9.3739999999999988</v>
          </cell>
          <cell r="AH90">
            <v>10.667804565820356</v>
          </cell>
          <cell r="AJ90">
            <v>0.8133948438782288</v>
          </cell>
          <cell r="AL90">
            <v>6.9490160433883341E-2</v>
          </cell>
          <cell r="AM90">
            <v>0.38244597814477088</v>
          </cell>
          <cell r="AN90">
            <v>0.20342010516951481</v>
          </cell>
          <cell r="AO90">
            <v>0.30584190314656201</v>
          </cell>
          <cell r="AP90">
            <v>3.9175494380397913E-2</v>
          </cell>
          <cell r="AQ90">
            <v>0.22421501808546318</v>
          </cell>
          <cell r="AR90">
            <v>0.20409810989343202</v>
          </cell>
        </row>
        <row r="91">
          <cell r="A91">
            <v>37987</v>
          </cell>
          <cell r="B91">
            <v>59.021610000000003</v>
          </cell>
          <cell r="C91">
            <v>4.9635369426716576</v>
          </cell>
          <cell r="D91">
            <v>10.981241908779278</v>
          </cell>
          <cell r="E91">
            <v>49.9</v>
          </cell>
          <cell r="F91">
            <v>3.0798382152588548</v>
          </cell>
          <cell r="G91">
            <v>11.981677308250712</v>
          </cell>
          <cell r="H91">
            <v>48.8</v>
          </cell>
          <cell r="I91">
            <v>3.7614083913389393</v>
          </cell>
          <cell r="J91">
            <v>10.897334922551273</v>
          </cell>
          <cell r="K91">
            <v>4.2</v>
          </cell>
          <cell r="L91">
            <v>0.23231111809577901</v>
          </cell>
          <cell r="M91">
            <v>14.00184450131316</v>
          </cell>
          <cell r="N91">
            <v>12.1</v>
          </cell>
          <cell r="O91">
            <v>0.77254073304316084</v>
          </cell>
          <cell r="P91">
            <v>14.948916066206964</v>
          </cell>
          <cell r="Q91">
            <v>23.9</v>
          </cell>
          <cell r="R91">
            <v>1.4316573159358088</v>
          </cell>
          <cell r="S91">
            <v>13.825145688390078</v>
          </cell>
          <cell r="T91">
            <v>12.772693399248576</v>
          </cell>
          <cell r="V91">
            <v>14.65</v>
          </cell>
          <cell r="W91">
            <v>0.78467072740112997</v>
          </cell>
          <cell r="X91">
            <v>12.81286485368628</v>
          </cell>
          <cell r="Y91">
            <v>105.5</v>
          </cell>
          <cell r="Z91">
            <v>5.0690884681103325</v>
          </cell>
          <cell r="AA91">
            <v>17.751447053818961</v>
          </cell>
          <cell r="AB91">
            <v>15.282155953752621</v>
          </cell>
          <cell r="AD91">
            <v>13.400059037874588</v>
          </cell>
          <cell r="AF91">
            <v>4.0979999999999999</v>
          </cell>
          <cell r="AG91">
            <v>9.097999999999999</v>
          </cell>
          <cell r="AH91">
            <v>10.991426687183997</v>
          </cell>
          <cell r="AJ91">
            <v>0.82025210904797408</v>
          </cell>
          <cell r="AL91">
            <v>8.285008418223927E-2</v>
          </cell>
          <cell r="AM91">
            <v>0.35224387563665105</v>
          </cell>
          <cell r="AN91">
            <v>0.19055382331842852</v>
          </cell>
          <cell r="AO91">
            <v>0.29120156898789085</v>
          </cell>
          <cell r="AP91">
            <v>4.7741821553198616E-2</v>
          </cell>
          <cell r="AQ91">
            <v>0.20750547193687741</v>
          </cell>
          <cell r="AR91">
            <v>0.19534944093588094</v>
          </cell>
        </row>
        <row r="92">
          <cell r="A92">
            <v>38018</v>
          </cell>
          <cell r="B92">
            <v>59.021610000000003</v>
          </cell>
          <cell r="C92">
            <v>4.9921145357498196</v>
          </cell>
          <cell r="D92">
            <v>10.786818012695365</v>
          </cell>
          <cell r="E92">
            <v>50.25</v>
          </cell>
          <cell r="F92">
            <v>3.174962534059945</v>
          </cell>
          <cell r="G92">
            <v>11.955236718757751</v>
          </cell>
          <cell r="H92">
            <v>52</v>
          </cell>
          <cell r="I92">
            <v>3.8241077071010459</v>
          </cell>
          <cell r="J92">
            <v>11.542173257170829</v>
          </cell>
          <cell r="K92">
            <v>4.1500000000000004</v>
          </cell>
          <cell r="L92">
            <v>0.23808483719925225</v>
          </cell>
          <cell r="M92">
            <v>13.646874624072888</v>
          </cell>
          <cell r="N92">
            <v>12.35</v>
          </cell>
          <cell r="O92">
            <v>0.77505458169999686</v>
          </cell>
          <cell r="P92">
            <v>15.08574932690669</v>
          </cell>
          <cell r="Q92">
            <v>25.3</v>
          </cell>
          <cell r="R92">
            <v>1.4579165947941912</v>
          </cell>
          <cell r="S92">
            <v>14.565688846729898</v>
          </cell>
          <cell r="T92">
            <v>12.930423464388904</v>
          </cell>
          <cell r="V92">
            <v>15.9</v>
          </cell>
          <cell r="W92">
            <v>0.81618240516545604</v>
          </cell>
          <cell r="X92">
            <v>13.760694143167031</v>
          </cell>
          <cell r="Y92">
            <v>110.5</v>
          </cell>
          <cell r="Z92">
            <v>5.1486382815496743</v>
          </cell>
          <cell r="AA92">
            <v>18.595748364191195</v>
          </cell>
          <cell r="AB92">
            <v>16.178221253679112</v>
          </cell>
          <cell r="AD92">
            <v>13.742372911711456</v>
          </cell>
          <cell r="AF92">
            <v>3.9340000000000002</v>
          </cell>
          <cell r="AG92">
            <v>8.9340000000000011</v>
          </cell>
          <cell r="AH92">
            <v>11.193194537721064</v>
          </cell>
          <cell r="AJ92">
            <v>0.81450231409322738</v>
          </cell>
          <cell r="AL92">
            <v>9.6057048914249599E-2</v>
          </cell>
          <cell r="AM92">
            <v>0.32385152955659957</v>
          </cell>
          <cell r="AN92">
            <v>0.17810944750673929</v>
          </cell>
          <cell r="AO92">
            <v>0.27727131093492652</v>
          </cell>
          <cell r="AP92">
            <v>5.6252579865261332E-2</v>
          </cell>
          <cell r="AQ92">
            <v>0.19139785409266707</v>
          </cell>
          <cell r="AR92">
            <v>0.18715662847840722</v>
          </cell>
        </row>
        <row r="93">
          <cell r="A93">
            <v>38047</v>
          </cell>
          <cell r="B93">
            <v>54.103140000000003</v>
          </cell>
          <cell r="C93">
            <v>5.0206921288279815</v>
          </cell>
          <cell r="D93">
            <v>9.7158952376251655</v>
          </cell>
          <cell r="E93">
            <v>49.4</v>
          </cell>
          <cell r="F93">
            <v>3.2700868528610352</v>
          </cell>
          <cell r="G93">
            <v>11.646368215333759</v>
          </cell>
          <cell r="H93">
            <v>54.25</v>
          </cell>
          <cell r="I93">
            <v>3.8868070228631524</v>
          </cell>
          <cell r="J93">
            <v>11.969704328407852</v>
          </cell>
          <cell r="K93">
            <v>3.4249999999999998</v>
          </cell>
          <cell r="L93">
            <v>0.24385855630272549</v>
          </cell>
          <cell r="M93">
            <v>11.111565880815608</v>
          </cell>
          <cell r="N93">
            <v>11.15</v>
          </cell>
          <cell r="O93">
            <v>0.77756843035683287</v>
          </cell>
          <cell r="P93">
            <v>13.468077432971278</v>
          </cell>
          <cell r="Q93">
            <v>23.55</v>
          </cell>
          <cell r="R93">
            <v>1.4841758736525736</v>
          </cell>
          <cell r="S93">
            <v>13.494284046184422</v>
          </cell>
          <cell r="T93">
            <v>11.900982523556349</v>
          </cell>
          <cell r="V93">
            <v>14.85</v>
          </cell>
          <cell r="W93">
            <v>0.8476940829297821</v>
          </cell>
          <cell r="X93">
            <v>12.718964700164047</v>
          </cell>
          <cell r="Y93">
            <v>99.5</v>
          </cell>
          <cell r="Z93">
            <v>5.228188094989016</v>
          </cell>
          <cell r="AA93">
            <v>16.747290575340056</v>
          </cell>
          <cell r="AB93">
            <v>14.733127637752052</v>
          </cell>
          <cell r="AD93">
            <v>12.609018802105275</v>
          </cell>
          <cell r="AF93">
            <v>3.778</v>
          </cell>
          <cell r="AG93">
            <v>8.7780000000000005</v>
          </cell>
          <cell r="AH93">
            <v>11.392116655274549</v>
          </cell>
          <cell r="AJ93">
            <v>0.90348954459267317</v>
          </cell>
          <cell r="AL93">
            <v>0.10911366654103061</v>
          </cell>
          <cell r="AM93">
            <v>0.29711100662471113</v>
          </cell>
          <cell r="AN93">
            <v>0.16606656003439402</v>
          </cell>
          <cell r="AO93">
            <v>0.26400069261949</v>
          </cell>
          <cell r="AP93">
            <v>6.4708308272517723E-2</v>
          </cell>
          <cell r="AQ93">
            <v>0.17586021509830063</v>
          </cell>
          <cell r="AR93">
            <v>0.17947674153174067</v>
          </cell>
        </row>
        <row r="94">
          <cell r="A94">
            <v>38078</v>
          </cell>
          <cell r="B94">
            <v>55.086829999999999</v>
          </cell>
          <cell r="C94">
            <v>5.0492697219061435</v>
          </cell>
          <cell r="D94">
            <v>9.7233887349479939</v>
          </cell>
          <cell r="E94">
            <v>49.5</v>
          </cell>
          <cell r="F94">
            <v>3.3652111716621254</v>
          </cell>
          <cell r="G94">
            <v>11.565009051975975</v>
          </cell>
          <cell r="H94">
            <v>56.5</v>
          </cell>
          <cell r="I94">
            <v>3.9495063386252589</v>
          </cell>
          <cell r="J94">
            <v>12.392160862848874</v>
          </cell>
          <cell r="K94">
            <v>3.125</v>
          </cell>
          <cell r="L94">
            <v>0.24963227540619873</v>
          </cell>
          <cell r="M94">
            <v>10.003974826898734</v>
          </cell>
          <cell r="N94">
            <v>9.35</v>
          </cell>
          <cell r="O94">
            <v>0.78008227901366889</v>
          </cell>
          <cell r="P94">
            <v>11.169330537812337</v>
          </cell>
          <cell r="Q94">
            <v>22.8</v>
          </cell>
          <cell r="R94">
            <v>1.5104351525109561</v>
          </cell>
          <cell r="S94">
            <v>13.003248370751701</v>
          </cell>
          <cell r="T94">
            <v>11.309518730872602</v>
          </cell>
          <cell r="V94">
            <v>13.3</v>
          </cell>
          <cell r="W94">
            <v>0.87920576069410816</v>
          </cell>
          <cell r="X94">
            <v>11.274714560615783</v>
          </cell>
          <cell r="Y94">
            <v>99</v>
          </cell>
          <cell r="Z94">
            <v>5.3077379084283578</v>
          </cell>
          <cell r="AA94">
            <v>16.665823304960377</v>
          </cell>
          <cell r="AB94">
            <v>13.97026893278808</v>
          </cell>
          <cell r="AD94">
            <v>11.97470628135147</v>
          </cell>
          <cell r="AF94">
            <v>4.5140000000000002</v>
          </cell>
          <cell r="AG94">
            <v>9.5139999999999993</v>
          </cell>
          <cell r="AH94">
            <v>10.510826150935465</v>
          </cell>
          <cell r="AJ94">
            <v>0.87775231425126943</v>
          </cell>
          <cell r="AL94">
            <v>0.12202248984266517</v>
          </cell>
          <cell r="AM94">
            <v>0.27188223074138884</v>
          </cell>
          <cell r="AN94">
            <v>0.15440603974395772</v>
          </cell>
          <cell r="AO94">
            <v>0.25134394382359426</v>
          </cell>
          <cell r="AP94">
            <v>7.3109538783665107E-2</v>
          </cell>
          <cell r="AQ94">
            <v>0.16086282729509027</v>
          </cell>
          <cell r="AR94">
            <v>0.1722711783717269</v>
          </cell>
        </row>
        <row r="95">
          <cell r="A95">
            <v>38108</v>
          </cell>
          <cell r="B95">
            <v>51.152059999999999</v>
          </cell>
          <cell r="C95">
            <v>5.0778473149843055</v>
          </cell>
          <cell r="D95">
            <v>8.8770673674866689</v>
          </cell>
          <cell r="E95">
            <v>44.9</v>
          </cell>
          <cell r="F95">
            <v>3.4603354904632155</v>
          </cell>
          <cell r="G95">
            <v>10.396794147899559</v>
          </cell>
          <cell r="H95">
            <v>53</v>
          </cell>
          <cell r="I95">
            <v>4.0122056543873654</v>
          </cell>
          <cell r="J95">
            <v>11.555923945127411</v>
          </cell>
          <cell r="K95">
            <v>3.0249999999999999</v>
          </cell>
          <cell r="L95">
            <v>0.25540599450967194</v>
          </cell>
          <cell r="M95">
            <v>9.5572304793087977</v>
          </cell>
          <cell r="N95">
            <v>9.9</v>
          </cell>
          <cell r="O95">
            <v>0.7825961276705049</v>
          </cell>
          <cell r="P95">
            <v>11.697372646621899</v>
          </cell>
          <cell r="Q95">
            <v>22.75</v>
          </cell>
          <cell r="R95">
            <v>1.5366944313693385</v>
          </cell>
          <cell r="S95">
            <v>12.914156420646702</v>
          </cell>
          <cell r="T95">
            <v>10.833090834515174</v>
          </cell>
          <cell r="V95">
            <v>13.55</v>
          </cell>
          <cell r="W95">
            <v>0.91071743845843423</v>
          </cell>
          <cell r="X95">
            <v>11.370181154387989</v>
          </cell>
          <cell r="Y95">
            <v>99.5</v>
          </cell>
          <cell r="Z95">
            <v>5.3872877218676996</v>
          </cell>
          <cell r="AA95">
            <v>16.752698557148939</v>
          </cell>
          <cell r="AB95">
            <v>14.061439855768464</v>
          </cell>
          <cell r="AD95">
            <v>11.640178089828495</v>
          </cell>
          <cell r="AF95">
            <v>4.569</v>
          </cell>
          <cell r="AG95">
            <v>9.5689999999999991</v>
          </cell>
          <cell r="AH95">
            <v>10.450412791305258</v>
          </cell>
          <cell r="AJ95">
            <v>0.8977880502049288</v>
          </cell>
          <cell r="AL95">
            <v>0.13478601413212066</v>
          </cell>
          <cell r="AM95">
            <v>0.24804052852575009</v>
          </cell>
          <cell r="AN95">
            <v>0.14310996071432314</v>
          </cell>
          <cell r="AO95">
            <v>0.23925943306346609</v>
          </cell>
          <cell r="AP95">
            <v>8.1456796571744761E-2</v>
          </cell>
          <cell r="AQ95">
            <v>0.1463779949881876</v>
          </cell>
          <cell r="AR95">
            <v>0.16550512133259873</v>
          </cell>
        </row>
        <row r="96">
          <cell r="A96">
            <v>38139</v>
          </cell>
          <cell r="B96">
            <v>45.249899999999997</v>
          </cell>
          <cell r="C96">
            <v>5.1064249080624675</v>
          </cell>
          <cell r="D96">
            <v>7.722951374716593</v>
          </cell>
          <cell r="E96">
            <v>46.3</v>
          </cell>
          <cell r="F96">
            <v>3.5554598092643057</v>
          </cell>
          <cell r="G96">
            <v>10.626271651637701</v>
          </cell>
          <cell r="H96">
            <v>53.5</v>
          </cell>
          <cell r="I96">
            <v>4.0749049701494719</v>
          </cell>
          <cell r="J96">
            <v>11.596526225777126</v>
          </cell>
          <cell r="K96">
            <v>2.85</v>
          </cell>
          <cell r="L96">
            <v>0.26117971361314518</v>
          </cell>
          <cell r="M96">
            <v>8.8881199046477875</v>
          </cell>
          <cell r="N96">
            <v>10.1</v>
          </cell>
          <cell r="O96">
            <v>0.78510997632734092</v>
          </cell>
          <cell r="P96">
            <v>11.804939373122503</v>
          </cell>
          <cell r="Q96">
            <v>22.3</v>
          </cell>
          <cell r="R96">
            <v>1.5629537102277209</v>
          </cell>
          <cell r="S96">
            <v>12.599885588086511</v>
          </cell>
          <cell r="T96">
            <v>10.539782352998037</v>
          </cell>
          <cell r="V96">
            <v>13.3</v>
          </cell>
          <cell r="W96">
            <v>0.94222911622276029</v>
          </cell>
          <cell r="X96">
            <v>11.048378707523085</v>
          </cell>
          <cell r="Y96">
            <v>100</v>
          </cell>
          <cell r="Z96">
            <v>5.4668375353070413</v>
          </cell>
          <cell r="AA96">
            <v>16.839601867347842</v>
          </cell>
          <cell r="AB96">
            <v>13.943990287435463</v>
          </cell>
          <cell r="AD96">
            <v>11.390834336607393</v>
          </cell>
          <cell r="AF96">
            <v>4.585</v>
          </cell>
          <cell r="AG96">
            <v>9.5850000000000009</v>
          </cell>
          <cell r="AH96">
            <v>10.432968179447052</v>
          </cell>
          <cell r="AJ96">
            <v>0.91590904328386291</v>
          </cell>
          <cell r="AL96">
            <v>0.1474066788632924</v>
          </cell>
          <cell r="AM96">
            <v>0.22547456886043449</v>
          </cell>
          <cell r="AN96">
            <v>0.13216150030703244</v>
          </cell>
          <cell r="AO96">
            <v>0.22770921012888623</v>
          </cell>
          <cell r="AP96">
            <v>8.9750600083579268E-2</v>
          </cell>
          <cell r="AQ96">
            <v>0.13237988375085297</v>
          </cell>
          <cell r="AR96">
            <v>0.15914707366567962</v>
          </cell>
        </row>
        <row r="97">
          <cell r="A97">
            <v>38169</v>
          </cell>
          <cell r="B97">
            <v>48</v>
          </cell>
          <cell r="C97">
            <v>5.1350025011406295</v>
          </cell>
          <cell r="D97">
            <v>8.0590703336995659</v>
          </cell>
          <cell r="E97">
            <v>46.9</v>
          </cell>
          <cell r="F97">
            <v>3.6505841280653959</v>
          </cell>
          <cell r="G97">
            <v>10.669731008987592</v>
          </cell>
          <cell r="H97">
            <v>56</v>
          </cell>
          <cell r="I97">
            <v>4.1376042859115785</v>
          </cell>
          <cell r="J97">
            <v>12.067642234570648</v>
          </cell>
          <cell r="K97">
            <v>2.7749999999999999</v>
          </cell>
          <cell r="L97">
            <v>0.26695343271661842</v>
          </cell>
          <cell r="M97">
            <v>8.5439509126627069</v>
          </cell>
          <cell r="N97">
            <v>10.5</v>
          </cell>
          <cell r="O97">
            <v>0.78762382498417693</v>
          </cell>
          <cell r="P97">
            <v>12.141476165339318</v>
          </cell>
          <cell r="Q97">
            <v>22.1</v>
          </cell>
          <cell r="R97">
            <v>1.5892129890861033</v>
          </cell>
          <cell r="S97">
            <v>12.429123064577748</v>
          </cell>
          <cell r="T97">
            <v>10.651832286639596</v>
          </cell>
          <cell r="V97">
            <v>13.35</v>
          </cell>
          <cell r="W97">
            <v>0.97374079398708635</v>
          </cell>
          <cell r="X97">
            <v>10.979707123548749</v>
          </cell>
          <cell r="Y97">
            <v>99.75</v>
          </cell>
          <cell r="Z97">
            <v>5.5463873487463831</v>
          </cell>
          <cell r="AA97">
            <v>16.800215836844966</v>
          </cell>
          <cell r="AB97">
            <v>13.889961480196858</v>
          </cell>
          <cell r="AD97">
            <v>11.461364585028912</v>
          </cell>
          <cell r="AF97">
            <v>4.5880000000000001</v>
          </cell>
          <cell r="AG97">
            <v>9.588000000000001</v>
          </cell>
          <cell r="AH97">
            <v>10.429703796412181</v>
          </cell>
          <cell r="AJ97">
            <v>0.90998796164600593</v>
          </cell>
          <cell r="AL97">
            <v>0.15988686918535411</v>
          </cell>
          <cell r="AM97">
            <v>0.20408462457564558</v>
          </cell>
          <cell r="AN97">
            <v>0.12154485557313666</v>
          </cell>
          <cell r="AO97">
            <v>0.21665860798680292</v>
          </cell>
          <cell r="AP97">
            <v>9.7991461147110437E-2</v>
          </cell>
          <cell r="AQ97">
            <v>0.11884436665161857</v>
          </cell>
          <cell r="AR97">
            <v>0.15316846418661137</v>
          </cell>
        </row>
        <row r="98">
          <cell r="A98">
            <v>38200</v>
          </cell>
          <cell r="B98">
            <v>56</v>
          </cell>
          <cell r="C98">
            <v>5.1635800942187915</v>
          </cell>
          <cell r="D98">
            <v>9.2517668211606523</v>
          </cell>
          <cell r="E98">
            <v>51</v>
          </cell>
          <cell r="F98">
            <v>3.7457084468664861</v>
          </cell>
          <cell r="G98">
            <v>11.501773322986717</v>
          </cell>
          <cell r="H98">
            <v>56.75</v>
          </cell>
          <cell r="I98">
            <v>4.200303601673685</v>
          </cell>
          <cell r="J98">
            <v>12.15836838608676</v>
          </cell>
          <cell r="K98">
            <v>3.2</v>
          </cell>
          <cell r="L98">
            <v>0.27272715182009166</v>
          </cell>
          <cell r="M98">
            <v>9.7285242008594341</v>
          </cell>
          <cell r="N98">
            <v>10.65</v>
          </cell>
          <cell r="O98">
            <v>0.79013767364101295</v>
          </cell>
          <cell r="P98">
            <v>12.184875089052687</v>
          </cell>
          <cell r="Q98">
            <v>21.4</v>
          </cell>
          <cell r="R98">
            <v>1.6154722679444857</v>
          </cell>
          <cell r="S98">
            <v>11.980025872141125</v>
          </cell>
          <cell r="T98">
            <v>11.134222282047896</v>
          </cell>
          <cell r="V98">
            <v>14</v>
          </cell>
          <cell r="W98">
            <v>1.0052524717514124</v>
          </cell>
          <cell r="X98">
            <v>11.401001309404613</v>
          </cell>
          <cell r="Y98">
            <v>104</v>
          </cell>
          <cell r="Z98">
            <v>5.6259371621857248</v>
          </cell>
          <cell r="AA98">
            <v>17.518843984962409</v>
          </cell>
          <cell r="AB98">
            <v>14.459922647183511</v>
          </cell>
          <cell r="AD98">
            <v>11.965647373331802</v>
          </cell>
          <cell r="AF98">
            <v>4.0590000000000002</v>
          </cell>
          <cell r="AG98">
            <v>9.0590000000000011</v>
          </cell>
          <cell r="AH98">
            <v>11.038745998454575</v>
          </cell>
          <cell r="AJ98">
            <v>0.92253646242801368</v>
          </cell>
          <cell r="AL98">
            <v>0.17222891744549207</v>
          </cell>
          <cell r="AM98">
            <v>0.18378109900611284</v>
          </cell>
          <cell r="AN98">
            <v>0.1112451671469894</v>
          </cell>
          <cell r="AO98">
            <v>0.20607589525189329</v>
          </cell>
          <cell r="AP98">
            <v>0.10617988507669196</v>
          </cell>
          <cell r="AQ98">
            <v>0.10574888547878647</v>
          </cell>
          <cell r="AR98">
            <v>0.14754330823432768</v>
          </cell>
        </row>
        <row r="99">
          <cell r="A99">
            <v>38231</v>
          </cell>
          <cell r="B99">
            <v>55.75</v>
          </cell>
          <cell r="C99">
            <v>5.1921576872969535</v>
          </cell>
          <cell r="D99">
            <v>9.0653740296522987</v>
          </cell>
          <cell r="E99">
            <v>51</v>
          </cell>
          <cell r="F99">
            <v>3.8408327656675763</v>
          </cell>
          <cell r="G99">
            <v>11.402800449875539</v>
          </cell>
          <cell r="H99">
            <v>57</v>
          </cell>
          <cell r="I99">
            <v>4.2630029174357915</v>
          </cell>
          <cell r="J99">
            <v>12.141543934843124</v>
          </cell>
          <cell r="K99">
            <v>3.1749999999999998</v>
          </cell>
          <cell r="L99">
            <v>0.2785008709235649</v>
          </cell>
          <cell r="M99">
            <v>9.5325851999978379</v>
          </cell>
          <cell r="N99">
            <v>10.65</v>
          </cell>
          <cell r="O99">
            <v>0.79265152229784896</v>
          </cell>
          <cell r="P99">
            <v>12.057542428911653</v>
          </cell>
          <cell r="Q99">
            <v>21.9</v>
          </cell>
          <cell r="R99">
            <v>1.6417315468028681</v>
          </cell>
          <cell r="S99">
            <v>12.20374354228505</v>
          </cell>
          <cell r="T99">
            <v>11.067264930927584</v>
          </cell>
          <cell r="V99">
            <v>14.25</v>
          </cell>
          <cell r="W99">
            <v>1.0367641495157385</v>
          </cell>
          <cell r="X99">
            <v>11.491516503632523</v>
          </cell>
          <cell r="Y99">
            <v>104</v>
          </cell>
          <cell r="Z99">
            <v>5.7054869756250666</v>
          </cell>
          <cell r="AA99">
            <v>17.521674377616218</v>
          </cell>
          <cell r="AB99">
            <v>14.50659544062437</v>
          </cell>
          <cell r="AD99">
            <v>11.927097558351781</v>
          </cell>
          <cell r="AF99">
            <v>3.8039999999999998</v>
          </cell>
          <cell r="AG99">
            <v>8.8040000000000003</v>
          </cell>
          <cell r="AH99">
            <v>11.358473421172194</v>
          </cell>
          <cell r="AJ99">
            <v>0.95232502003126351</v>
          </cell>
          <cell r="AL99">
            <v>0.18443510464201385</v>
          </cell>
          <cell r="AM99">
            <v>0.16448327150098208</v>
          </cell>
          <cell r="AN99">
            <v>0.10124844985616122</v>
          </cell>
          <cell r="AO99">
            <v>0.19593197188580302</v>
          </cell>
          <cell r="AP99">
            <v>0.11431637077637546</v>
          </cell>
          <cell r="AQ99">
            <v>9.3072325283104274E-2</v>
          </cell>
          <cell r="AR99">
            <v>0.14224791565740666</v>
          </cell>
        </row>
        <row r="100">
          <cell r="A100">
            <v>38261</v>
          </cell>
          <cell r="B100">
            <v>56</v>
          </cell>
          <cell r="C100">
            <v>5.2207352803751155</v>
          </cell>
          <cell r="D100">
            <v>8.9648054751728914</v>
          </cell>
          <cell r="E100">
            <v>53.25</v>
          </cell>
          <cell r="F100">
            <v>3.9359570844686664</v>
          </cell>
          <cell r="G100">
            <v>11.804289150806149</v>
          </cell>
          <cell r="H100">
            <v>60</v>
          </cell>
          <cell r="I100">
            <v>4.325702233197898</v>
          </cell>
          <cell r="J100">
            <v>12.707331682165879</v>
          </cell>
          <cell r="K100">
            <v>3.1</v>
          </cell>
          <cell r="L100">
            <v>0.28427459002703814</v>
          </cell>
          <cell r="M100">
            <v>9.1931785468781833</v>
          </cell>
          <cell r="N100">
            <v>10.45</v>
          </cell>
          <cell r="O100">
            <v>0.79516537095468498</v>
          </cell>
          <cell r="P100">
            <v>11.708752555532728</v>
          </cell>
          <cell r="Q100">
            <v>22.3</v>
          </cell>
          <cell r="R100">
            <v>1.6679908256612506</v>
          </cell>
          <cell r="S100">
            <v>12.369949267074807</v>
          </cell>
          <cell r="T100">
            <v>11.124717779605106</v>
          </cell>
          <cell r="V100">
            <v>14.15</v>
          </cell>
          <cell r="W100">
            <v>1.0682758272800645</v>
          </cell>
          <cell r="X100">
            <v>11.30076066019565</v>
          </cell>
          <cell r="Y100">
            <v>103.5</v>
          </cell>
          <cell r="Z100">
            <v>5.7850367890644083</v>
          </cell>
          <cell r="AA100">
            <v>17.440253253812031</v>
          </cell>
          <cell r="AB100">
            <v>14.37050695700384</v>
          </cell>
          <cell r="AD100">
            <v>11.93616507395479</v>
          </cell>
          <cell r="AF100">
            <v>3.5259999999999998</v>
          </cell>
          <cell r="AG100">
            <v>8.5259999999999998</v>
          </cell>
          <cell r="AH100">
            <v>11.728829462819611</v>
          </cell>
          <cell r="AJ100">
            <v>0.98262962937840115</v>
          </cell>
          <cell r="AL100">
            <v>0.19650766182973234</v>
          </cell>
          <cell r="AM100">
            <v>0.14611822484501769</v>
          </cell>
          <cell r="AN100">
            <v>9.1541529366043095E-2</v>
          </cell>
          <cell r="AO100">
            <v>0.18620010197913306</v>
          </cell>
          <cell r="AP100">
            <v>0.1224014108412399</v>
          </cell>
          <cell r="AQ100">
            <v>8.0794900770930989E-2</v>
          </cell>
          <cell r="AR100">
            <v>0.13726063827201618</v>
          </cell>
        </row>
        <row r="101">
          <cell r="A101">
            <v>38292</v>
          </cell>
          <cell r="B101">
            <v>60.75</v>
          </cell>
          <cell r="C101">
            <v>5.2493128734532775</v>
          </cell>
          <cell r="D101">
            <v>9.5766932995469105</v>
          </cell>
          <cell r="E101">
            <v>55.25</v>
          </cell>
          <cell r="F101">
            <v>4.0310814032697566</v>
          </cell>
          <cell r="G101">
            <v>12.144034742747692</v>
          </cell>
          <cell r="H101">
            <v>61.25</v>
          </cell>
          <cell r="I101">
            <v>4.3884015489600046</v>
          </cell>
          <cell r="J101">
            <v>12.898153066326795</v>
          </cell>
          <cell r="K101">
            <v>3.4249999999999998</v>
          </cell>
          <cell r="L101">
            <v>0.29004830913051138</v>
          </cell>
          <cell r="M101">
            <v>10.033836745126026</v>
          </cell>
          <cell r="N101">
            <v>11.1</v>
          </cell>
          <cell r="O101">
            <v>0.797679219611521</v>
          </cell>
          <cell r="P101">
            <v>12.309741019770874</v>
          </cell>
          <cell r="Q101">
            <v>24.45</v>
          </cell>
          <cell r="R101">
            <v>1.694250104519633</v>
          </cell>
          <cell r="S101">
            <v>13.50097261160523</v>
          </cell>
          <cell r="T101">
            <v>11.743905247520587</v>
          </cell>
          <cell r="V101">
            <v>14.6</v>
          </cell>
          <cell r="W101">
            <v>1.0997875050443906</v>
          </cell>
          <cell r="X101">
            <v>11.548705134199952</v>
          </cell>
          <cell r="Y101">
            <v>108</v>
          </cell>
          <cell r="Z101">
            <v>5.8645866025037501</v>
          </cell>
          <cell r="AA101">
            <v>18.201466288585582</v>
          </cell>
          <cell r="AB101">
            <v>14.875085711392767</v>
          </cell>
          <cell r="AD101">
            <v>12.526700363488631</v>
          </cell>
          <cell r="AF101">
            <v>3.6030000000000002</v>
          </cell>
          <cell r="AG101">
            <v>8.6029999999999998</v>
          </cell>
          <cell r="AH101">
            <v>11.62385214460072</v>
          </cell>
          <cell r="AJ101">
            <v>0.92792609444707175</v>
          </cell>
          <cell r="AL101">
            <v>0.20844877147944341</v>
          </cell>
          <cell r="AM101">
            <v>0.12861992454226856</v>
          </cell>
          <cell r="AN101">
            <v>8.2111984255592185E-2</v>
          </cell>
          <cell r="AO101">
            <v>0.17685567844897276</v>
          </cell>
          <cell r="AP101">
            <v>0.13043549165680246</v>
          </cell>
          <cell r="AQ101">
            <v>6.8898053262197445E-2</v>
          </cell>
          <cell r="AR101">
            <v>0.13256165060754613</v>
          </cell>
        </row>
        <row r="102">
          <cell r="A102">
            <v>38322</v>
          </cell>
          <cell r="B102">
            <v>60.25</v>
          </cell>
          <cell r="C102">
            <v>5.2778904665314403</v>
          </cell>
          <cell r="D102">
            <v>9.3550066485718002</v>
          </cell>
          <cell r="E102">
            <v>54.5</v>
          </cell>
          <cell r="F102">
            <v>4.1262057220708446</v>
          </cell>
          <cell r="G102">
            <v>11.878696672024727</v>
          </cell>
          <cell r="H102">
            <v>63</v>
          </cell>
          <cell r="I102">
            <v>4.4511008647221111</v>
          </cell>
          <cell r="J102">
            <v>13.191506672414135</v>
          </cell>
          <cell r="K102">
            <v>3.45</v>
          </cell>
          <cell r="L102">
            <v>0.29582202823398462</v>
          </cell>
          <cell r="M102">
            <v>9.9860065202201262</v>
          </cell>
          <cell r="N102">
            <v>11.1</v>
          </cell>
          <cell r="O102">
            <v>0.80019306826835657</v>
          </cell>
          <cell r="P102">
            <v>12.185013725954089</v>
          </cell>
          <cell r="Q102">
            <v>24.15</v>
          </cell>
          <cell r="R102">
            <v>1.7205093833780161</v>
          </cell>
          <cell r="S102">
            <v>13.27502730251183</v>
          </cell>
          <cell r="T102">
            <v>11.645209590282784</v>
          </cell>
          <cell r="V102">
            <v>14.85</v>
          </cell>
          <cell r="W102">
            <v>1.1312991828087167</v>
          </cell>
          <cell r="X102">
            <v>11.635251222765675</v>
          </cell>
          <cell r="Y102">
            <v>108</v>
          </cell>
          <cell r="Z102">
            <v>5.9441364159430901</v>
          </cell>
          <cell r="AA102">
            <v>18.204408393581378</v>
          </cell>
          <cell r="AB102">
            <v>14.919829808173526</v>
          </cell>
          <cell r="AD102">
            <v>12.46386464475547</v>
          </cell>
          <cell r="AF102">
            <v>3.6339999999999999</v>
          </cell>
          <cell r="AG102">
            <v>8.6340000000000003</v>
          </cell>
          <cell r="AH102">
            <v>11.582117211026175</v>
          </cell>
          <cell r="AJ102">
            <v>0.92925569565613697</v>
          </cell>
          <cell r="AL102">
            <v>0.22026056879323619</v>
          </cell>
          <cell r="AM102">
            <v>0.1119284254552575</v>
          </cell>
          <cell r="AN102">
            <v>7.2948092988692981E-2</v>
          </cell>
          <cell r="AO102">
            <v>0.16787601529158858</v>
          </cell>
          <cell r="AP102">
            <v>0.13841909349655923</v>
          </cell>
          <cell r="AQ102">
            <v>5.7364357084441542E-2</v>
          </cell>
          <cell r="AR102">
            <v>0.12813275885162934</v>
          </cell>
        </row>
        <row r="103">
          <cell r="A103">
            <v>38353</v>
          </cell>
          <cell r="B103">
            <v>56.75</v>
          </cell>
          <cell r="C103">
            <v>5.3747663962136585</v>
          </cell>
          <cell r="D103">
            <v>8.8257195040901095</v>
          </cell>
          <cell r="E103">
            <v>49.8</v>
          </cell>
          <cell r="F103">
            <v>4.1646923645355001</v>
          </cell>
          <cell r="G103">
            <v>10.638896059369705</v>
          </cell>
          <cell r="H103">
            <v>54.75</v>
          </cell>
          <cell r="I103">
            <v>4.4781591413705941</v>
          </cell>
          <cell r="J103">
            <v>11.422876594618005</v>
          </cell>
          <cell r="K103">
            <v>3.15</v>
          </cell>
          <cell r="L103">
            <v>0.29996048017860105</v>
          </cell>
          <cell r="M103">
            <v>9.1952176041904643</v>
          </cell>
          <cell r="N103">
            <v>10.9</v>
          </cell>
          <cell r="O103">
            <v>0.80942323486268464</v>
          </cell>
          <cell r="P103">
            <v>11.841379629031325</v>
          </cell>
          <cell r="Q103">
            <v>23.25</v>
          </cell>
          <cell r="R103">
            <v>1.7287340429309519</v>
          </cell>
          <cell r="S103">
            <v>12.551353913469017</v>
          </cell>
          <cell r="T103">
            <v>10.745907217461436</v>
          </cell>
          <cell r="V103">
            <v>14.35</v>
          </cell>
          <cell r="W103">
            <v>1.1433820747578691</v>
          </cell>
          <cell r="X103">
            <v>11.251310597416682</v>
          </cell>
          <cell r="Y103">
            <v>105.5</v>
          </cell>
          <cell r="Z103">
            <v>5.9431774592879307</v>
          </cell>
          <cell r="AA103">
            <v>17.68866798272963</v>
          </cell>
          <cell r="AB103">
            <v>14.469989290073155</v>
          </cell>
          <cell r="AD103">
            <v>11.676927735614365</v>
          </cell>
          <cell r="AF103">
            <v>3.621</v>
          </cell>
          <cell r="AG103">
            <v>8.6210000000000004</v>
          </cell>
          <cell r="AH103">
            <v>11.599582415033058</v>
          </cell>
          <cell r="AJ103">
            <v>0.99337622683529969</v>
          </cell>
          <cell r="AL103">
            <v>0.19634420956012422</v>
          </cell>
          <cell r="AM103">
            <v>0.12395739784940529</v>
          </cell>
          <cell r="AN103">
            <v>7.0308847344664693E-2</v>
          </cell>
          <cell r="AO103">
            <v>0.14204838080168503</v>
          </cell>
          <cell r="AP103">
            <v>0.13723057258114868</v>
          </cell>
          <cell r="AQ103">
            <v>7.1529660865646161E-2</v>
          </cell>
          <cell r="AR103">
            <v>0.12356984483377902</v>
          </cell>
        </row>
        <row r="104">
          <cell r="A104">
            <v>38384</v>
          </cell>
          <cell r="B104">
            <v>59</v>
          </cell>
          <cell r="C104">
            <v>5.4716423258958766</v>
          </cell>
          <cell r="D104">
            <v>9.1904037949213233</v>
          </cell>
          <cell r="E104">
            <v>52.25</v>
          </cell>
          <cell r="F104">
            <v>4.2031790070001556</v>
          </cell>
          <cell r="G104">
            <v>10.945094442671754</v>
          </cell>
          <cell r="H104">
            <v>61</v>
          </cell>
          <cell r="I104">
            <v>4.5052174180190772</v>
          </cell>
          <cell r="J104">
            <v>12.681315491745858</v>
          </cell>
          <cell r="K104">
            <v>3.25</v>
          </cell>
          <cell r="L104">
            <v>0.30409893212321748</v>
          </cell>
          <cell r="M104">
            <v>9.5685240479970339</v>
          </cell>
          <cell r="N104">
            <v>10.85</v>
          </cell>
          <cell r="O104">
            <v>0.8186534014570126</v>
          </cell>
          <cell r="P104">
            <v>11.66608172824424</v>
          </cell>
          <cell r="Q104">
            <v>23.75</v>
          </cell>
          <cell r="R104">
            <v>1.7369587024838877</v>
          </cell>
          <cell r="S104">
            <v>12.595631954536255</v>
          </cell>
          <cell r="T104">
            <v>11.10784191001941</v>
          </cell>
          <cell r="V104">
            <v>14.85</v>
          </cell>
          <cell r="W104">
            <v>1.1554649667070216</v>
          </cell>
          <cell r="X104">
            <v>11.651444689199355</v>
          </cell>
          <cell r="Y104">
            <v>106.5</v>
          </cell>
          <cell r="Z104">
            <v>5.9422185026327714</v>
          </cell>
          <cell r="AA104">
            <v>17.762101935002807</v>
          </cell>
          <cell r="AB104">
            <v>14.706773312101081</v>
          </cell>
          <cell r="AD104">
            <v>12.007574760539827</v>
          </cell>
          <cell r="AF104">
            <v>3.851</v>
          </cell>
          <cell r="AG104">
            <v>8.8509999999999991</v>
          </cell>
          <cell r="AH104">
            <v>11.298158400180771</v>
          </cell>
          <cell r="AJ104">
            <v>0.94091926350603361</v>
          </cell>
          <cell r="AL104">
            <v>0.17327473299854823</v>
          </cell>
          <cell r="AM104">
            <v>0.13576608233338838</v>
          </cell>
          <cell r="AN104">
            <v>6.7701304249993655E-2</v>
          </cell>
          <cell r="AO104">
            <v>0.11692371769963428</v>
          </cell>
          <cell r="AP104">
            <v>0.13606885237536859</v>
          </cell>
          <cell r="AQ104">
            <v>8.5560816608791113E-2</v>
          </cell>
          <cell r="AR104">
            <v>0.11921591771095404</v>
          </cell>
        </row>
        <row r="105">
          <cell r="A105">
            <v>38412</v>
          </cell>
          <cell r="B105">
            <v>49.7</v>
          </cell>
          <cell r="C105">
            <v>5.5685182555780948</v>
          </cell>
          <cell r="D105">
            <v>7.7542254137355444</v>
          </cell>
          <cell r="E105">
            <v>47.5</v>
          </cell>
          <cell r="F105">
            <v>4.2416656494648111</v>
          </cell>
          <cell r="G105">
            <v>9.7601679837971513</v>
          </cell>
          <cell r="H105">
            <v>57.75</v>
          </cell>
          <cell r="I105">
            <v>4.5322756946675602</v>
          </cell>
          <cell r="J105">
            <v>11.962863103087374</v>
          </cell>
          <cell r="K105">
            <v>3</v>
          </cell>
          <cell r="L105">
            <v>0.30823738406783391</v>
          </cell>
          <cell r="M105">
            <v>8.9089177478101096</v>
          </cell>
          <cell r="N105">
            <v>10.5</v>
          </cell>
          <cell r="O105">
            <v>0.82788356805134056</v>
          </cell>
          <cell r="P105">
            <v>11.175058322014591</v>
          </cell>
          <cell r="Q105">
            <v>22.45</v>
          </cell>
          <cell r="R105">
            <v>1.7451833620368236</v>
          </cell>
          <cell r="S105">
            <v>11.700271997203206</v>
          </cell>
          <cell r="T105">
            <v>10.210250761274663</v>
          </cell>
          <cell r="V105">
            <v>14.35</v>
          </cell>
          <cell r="W105">
            <v>1.1675478586561741</v>
          </cell>
          <cell r="X105">
            <v>11.266980615447142</v>
          </cell>
          <cell r="Y105">
            <v>103.5</v>
          </cell>
          <cell r="Z105">
            <v>5.9412595459776121</v>
          </cell>
          <cell r="AA105">
            <v>17.171145747661591</v>
          </cell>
          <cell r="AB105">
            <v>14.219063181554366</v>
          </cell>
          <cell r="AD105">
            <v>11.212453866344589</v>
          </cell>
          <cell r="AF105">
            <v>4.3620000000000001</v>
          </cell>
          <cell r="AG105">
            <v>9.3620000000000001</v>
          </cell>
          <cell r="AH105">
            <v>10.681478316599017</v>
          </cell>
          <cell r="AJ105">
            <v>0.95264412624792572</v>
          </cell>
          <cell r="AL105">
            <v>0.15100793926447165</v>
          </cell>
          <cell r="AM105">
            <v>0.14736047523700102</v>
          </cell>
          <cell r="AN105">
            <v>6.512489589962378E-2</v>
          </cell>
          <cell r="AO105">
            <v>9.247371131508042E-2</v>
          </cell>
          <cell r="AP105">
            <v>0.13493303646688126</v>
          </cell>
          <cell r="AQ105">
            <v>9.9459720943136487E-2</v>
          </cell>
          <cell r="AR105">
            <v>0.11505996318769911</v>
          </cell>
        </row>
        <row r="106">
          <cell r="A106">
            <v>38443</v>
          </cell>
          <cell r="B106">
            <v>50.25</v>
          </cell>
          <cell r="C106">
            <v>5.6653941852603129</v>
          </cell>
          <cell r="D106">
            <v>7.8526940790572013</v>
          </cell>
          <cell r="E106">
            <v>49.2</v>
          </cell>
          <cell r="F106">
            <v>4.2801522919294666</v>
          </cell>
          <cell r="G106">
            <v>9.9201330959387448</v>
          </cell>
          <cell r="H106">
            <v>57</v>
          </cell>
          <cell r="I106">
            <v>4.5593339713160432</v>
          </cell>
          <cell r="J106">
            <v>11.765548917824475</v>
          </cell>
          <cell r="K106">
            <v>3.05</v>
          </cell>
          <cell r="L106">
            <v>0.31237583601245034</v>
          </cell>
          <cell r="M106">
            <v>9.1364642899168178</v>
          </cell>
          <cell r="N106">
            <v>9.8000000000000007</v>
          </cell>
          <cell r="O106">
            <v>0.83711373464566852</v>
          </cell>
          <cell r="P106">
            <v>10.325156094753837</v>
          </cell>
          <cell r="Q106">
            <v>22.85</v>
          </cell>
          <cell r="R106">
            <v>1.7534080215897594</v>
          </cell>
          <cell r="S106">
            <v>11.706282555194717</v>
          </cell>
          <cell r="T106">
            <v>10.117713172114298</v>
          </cell>
          <cell r="V106">
            <v>14.75</v>
          </cell>
          <cell r="W106">
            <v>1.1796307506053265</v>
          </cell>
          <cell r="X106">
            <v>11.589113035394263</v>
          </cell>
          <cell r="Y106">
            <v>106.5</v>
          </cell>
          <cell r="Z106">
            <v>5.9403005893224528</v>
          </cell>
          <cell r="AA106">
            <v>17.576592129527103</v>
          </cell>
          <cell r="AB106">
            <v>14.582852582460683</v>
          </cell>
          <cell r="AD106">
            <v>11.233998024700893</v>
          </cell>
          <cell r="AF106">
            <v>3.625</v>
          </cell>
          <cell r="AG106">
            <v>8.625</v>
          </cell>
          <cell r="AH106">
            <v>11.594202898550725</v>
          </cell>
          <cell r="AJ106">
            <v>1.0320638185139277</v>
          </cell>
          <cell r="AL106">
            <v>0.12950265171107445</v>
          </cell>
          <cell r="AM106">
            <v>0.15874635721677688</v>
          </cell>
          <cell r="AN106">
            <v>6.2579067967509339E-2</v>
          </cell>
          <cell r="AO106">
            <v>6.8671547463801108E-2</v>
          </cell>
          <cell r="AP106">
            <v>0.13382226797936436</v>
          </cell>
          <cell r="AQ106">
            <v>0.11322823491208922</v>
          </cell>
          <cell r="AR106">
            <v>0.11109168787510255</v>
          </cell>
        </row>
        <row r="107">
          <cell r="A107">
            <v>38473</v>
          </cell>
          <cell r="B107">
            <v>50.5</v>
          </cell>
          <cell r="C107">
            <v>5.7622701149425311</v>
          </cell>
          <cell r="D107">
            <v>7.9045236370809855</v>
          </cell>
          <cell r="E107">
            <v>55.5</v>
          </cell>
          <cell r="F107">
            <v>4.3186389343941221</v>
          </cell>
          <cell r="G107">
            <v>10.984656193573239</v>
          </cell>
          <cell r="H107">
            <v>59</v>
          </cell>
          <cell r="I107">
            <v>4.5863922479645263</v>
          </cell>
          <cell r="J107">
            <v>12.135258340271088</v>
          </cell>
          <cell r="K107">
            <v>2.875</v>
          </cell>
          <cell r="L107">
            <v>0.31651428795706676</v>
          </cell>
          <cell r="M107">
            <v>8.6880816276496944</v>
          </cell>
          <cell r="N107">
            <v>9.65</v>
          </cell>
          <cell r="O107">
            <v>0.84634390123999648</v>
          </cell>
          <cell r="P107">
            <v>10.065882246407847</v>
          </cell>
          <cell r="Q107">
            <v>22.9</v>
          </cell>
          <cell r="R107">
            <v>1.7616326811426952</v>
          </cell>
          <cell r="S107">
            <v>11.535781096704651</v>
          </cell>
          <cell r="T107">
            <v>10.219030523614585</v>
          </cell>
          <cell r="V107">
            <v>14.4</v>
          </cell>
          <cell r="W107">
            <v>1.191713642554479</v>
          </cell>
          <cell r="X107">
            <v>11.32200686634722</v>
          </cell>
          <cell r="Y107">
            <v>104.5</v>
          </cell>
          <cell r="Z107">
            <v>5.9393416326672934</v>
          </cell>
          <cell r="AA107">
            <v>17.156920676921075</v>
          </cell>
          <cell r="AB107">
            <v>14.239463771634147</v>
          </cell>
          <cell r="AD107">
            <v>11.224138835619476</v>
          </cell>
          <cell r="AF107">
            <v>3.6190000000000002</v>
          </cell>
          <cell r="AG107">
            <v>8.6189999999999998</v>
          </cell>
          <cell r="AH107">
            <v>11.60227404571296</v>
          </cell>
          <cell r="AJ107">
            <v>1.0336894630074855</v>
          </cell>
          <cell r="AL107">
            <v>0.10872046275710501</v>
          </cell>
          <cell r="AM107">
            <v>0.16992930286612218</v>
          </cell>
          <cell r="AN107">
            <v>6.0063279209003007E-2</v>
          </cell>
          <cell r="AO107">
            <v>4.5491814352771831E-2</v>
          </cell>
          <cell r="AP107">
            <v>0.13273572741662454</v>
          </cell>
          <cell r="AQ107">
            <v>0.12686818480391415</v>
          </cell>
          <cell r="AR107">
            <v>0.10730146190092345</v>
          </cell>
        </row>
        <row r="108">
          <cell r="A108">
            <v>38504</v>
          </cell>
          <cell r="B108">
            <v>52</v>
          </cell>
          <cell r="C108">
            <v>5.8591460446247492</v>
          </cell>
          <cell r="D108">
            <v>8.1524945151291508</v>
          </cell>
          <cell r="E108">
            <v>50.75</v>
          </cell>
          <cell r="F108">
            <v>4.3571255768587775</v>
          </cell>
          <cell r="G108">
            <v>9.8631910314915245</v>
          </cell>
          <cell r="H108">
            <v>58.5</v>
          </cell>
          <cell r="I108">
            <v>4.6134505246130093</v>
          </cell>
          <cell r="J108">
            <v>11.989967359915376</v>
          </cell>
          <cell r="K108">
            <v>3</v>
          </cell>
          <cell r="L108">
            <v>0.32065273990168319</v>
          </cell>
          <cell r="M108">
            <v>9.1463686150820447</v>
          </cell>
          <cell r="N108">
            <v>9.5500000000000007</v>
          </cell>
          <cell r="O108">
            <v>0.85557406783432444</v>
          </cell>
          <cell r="P108">
            <v>9.8633613976847077</v>
          </cell>
          <cell r="Q108">
            <v>22.95</v>
          </cell>
          <cell r="R108">
            <v>1.7698573406956311</v>
          </cell>
          <cell r="S108">
            <v>11.370886309077749</v>
          </cell>
          <cell r="T108">
            <v>10.064378204730092</v>
          </cell>
          <cell r="V108">
            <v>14.7</v>
          </cell>
          <cell r="W108">
            <v>1.2037965345036314</v>
          </cell>
          <cell r="X108">
            <v>11.565947352990912</v>
          </cell>
          <cell r="Y108">
            <v>106</v>
          </cell>
          <cell r="Z108">
            <v>5.9383826760121341</v>
          </cell>
          <cell r="AA108">
            <v>17.313250972600514</v>
          </cell>
          <cell r="AB108">
            <v>14.439599162795712</v>
          </cell>
          <cell r="AD108">
            <v>11.158183444246497</v>
          </cell>
          <cell r="AF108">
            <v>3.55</v>
          </cell>
          <cell r="AG108">
            <v>8.5500000000000007</v>
          </cell>
          <cell r="AH108">
            <v>11.695906432748536</v>
          </cell>
          <cell r="AJ108">
            <v>1.0481909077036466</v>
          </cell>
          <cell r="AL108">
            <v>8.8625504966316271E-2</v>
          </cell>
          <cell r="AM108">
            <v>0.18091468981612957</v>
          </cell>
          <cell r="AN108">
            <v>5.7577001077240952E-2</v>
          </cell>
          <cell r="AO108">
            <v>2.2910412081506681E-2</v>
          </cell>
          <cell r="AP108">
            <v>0.13167263064626389</v>
          </cell>
          <cell r="AQ108">
            <v>0.14038136295928361</v>
          </cell>
          <cell r="AR108">
            <v>0.10368026692445682</v>
          </cell>
        </row>
        <row r="109">
          <cell r="A109">
            <v>38534</v>
          </cell>
          <cell r="B109">
            <v>56.8</v>
          </cell>
          <cell r="C109">
            <v>5.9560219743069673</v>
          </cell>
          <cell r="D109">
            <v>8.9194791364454549</v>
          </cell>
          <cell r="E109">
            <v>55.55</v>
          </cell>
          <cell r="F109">
            <v>4.395612219323433</v>
          </cell>
          <cell r="G109">
            <v>10.60461590400817</v>
          </cell>
          <cell r="H109">
            <v>63.1</v>
          </cell>
          <cell r="I109">
            <v>4.6405088012614923</v>
          </cell>
          <cell r="J109">
            <v>12.887302408809646</v>
          </cell>
          <cell r="K109">
            <v>3.2</v>
          </cell>
          <cell r="L109">
            <v>0.32479119184629962</v>
          </cell>
          <cell r="M109">
            <v>9.8435807210998423</v>
          </cell>
          <cell r="N109">
            <v>10.1</v>
          </cell>
          <cell r="O109">
            <v>0.8648042344286524</v>
          </cell>
          <cell r="P109">
            <v>10.329569121563949</v>
          </cell>
          <cell r="Q109">
            <v>23.65</v>
          </cell>
          <cell r="R109">
            <v>1.7780820002485669</v>
          </cell>
          <cell r="S109">
            <v>11.528167940971574</v>
          </cell>
          <cell r="T109">
            <v>10.68545253881644</v>
          </cell>
          <cell r="V109">
            <v>15.7</v>
          </cell>
          <cell r="W109">
            <v>1.2158794264527839</v>
          </cell>
          <cell r="X109">
            <v>12.361372529554936</v>
          </cell>
          <cell r="Y109">
            <v>107.5</v>
          </cell>
          <cell r="Z109">
            <v>5.9374237193569748</v>
          </cell>
          <cell r="AA109">
            <v>17.46797371765113</v>
          </cell>
          <cell r="AB109">
            <v>14.914673123603034</v>
          </cell>
          <cell r="AD109">
            <v>11.742757685013089</v>
          </cell>
          <cell r="AF109">
            <v>3.7839999999999998</v>
          </cell>
          <cell r="AG109">
            <v>8.7839999999999989</v>
          </cell>
          <cell r="AH109">
            <v>11.38433515482696</v>
          </cell>
          <cell r="AJ109">
            <v>0.96947714158799581</v>
          </cell>
          <cell r="AL109">
            <v>6.9184244467547451E-2</v>
          </cell>
          <cell r="AM109">
            <v>0.1917077073582889</v>
          </cell>
          <cell r="AN109">
            <v>5.5119717352943631E-2</v>
          </cell>
          <cell r="AO109">
            <v>9.0446906214070033E-4</v>
          </cell>
          <cell r="AP109">
            <v>0.13063222701246691</v>
          </cell>
          <cell r="AQ109">
            <v>0.15376952855641268</v>
          </cell>
          <cell r="AR109">
            <v>0.10021964896830005</v>
          </cell>
        </row>
        <row r="110">
          <cell r="A110">
            <v>38565</v>
          </cell>
          <cell r="B110">
            <v>51</v>
          </cell>
          <cell r="C110">
            <v>6.0528979039891855</v>
          </cell>
          <cell r="D110">
            <v>8.0217008868760367</v>
          </cell>
          <cell r="E110">
            <v>57.15</v>
          </cell>
          <cell r="F110">
            <v>4.4340988617880885</v>
          </cell>
          <cell r="G110">
            <v>10.719960577708584</v>
          </cell>
          <cell r="H110">
            <v>65</v>
          </cell>
          <cell r="I110">
            <v>4.6675670779099754</v>
          </cell>
          <cell r="J110">
            <v>13.228844459851919</v>
          </cell>
          <cell r="K110">
            <v>3.3250000000000002</v>
          </cell>
          <cell r="L110">
            <v>0.32892964379091605</v>
          </cell>
          <cell r="M110">
            <v>10.320609835995302</v>
          </cell>
          <cell r="N110">
            <v>10.3</v>
          </cell>
          <cell r="O110">
            <v>0.87403440102298036</v>
          </cell>
          <cell r="P110">
            <v>10.432267390930477</v>
          </cell>
          <cell r="Q110">
            <v>22.7</v>
          </cell>
          <cell r="R110">
            <v>1.7863066598015027</v>
          </cell>
          <cell r="S110">
            <v>10.888954397547685</v>
          </cell>
          <cell r="T110">
            <v>10.602056258151666</v>
          </cell>
          <cell r="V110">
            <v>15.65</v>
          </cell>
          <cell r="W110">
            <v>1.2279623184019364</v>
          </cell>
          <cell r="X110">
            <v>12.330615683873582</v>
          </cell>
          <cell r="Y110">
            <v>105</v>
          </cell>
          <cell r="Z110">
            <v>5.9364647627018154</v>
          </cell>
          <cell r="AA110">
            <v>16.97446721105258</v>
          </cell>
          <cell r="AB110">
            <v>14.652541447463081</v>
          </cell>
          <cell r="AD110">
            <v>11.614677555479521</v>
          </cell>
          <cell r="AF110">
            <v>4.0579999999999998</v>
          </cell>
          <cell r="AG110">
            <v>9.0579999999999998</v>
          </cell>
          <cell r="AH110">
            <v>11.039964672113049</v>
          </cell>
          <cell r="AJ110">
            <v>0.95051839531306348</v>
          </cell>
          <cell r="AL110">
            <v>5.0365294212528555E-2</v>
          </cell>
          <cell r="AM110">
            <v>0.20231336461814142</v>
          </cell>
          <cell r="AN110">
            <v>5.269092378709761E-2</v>
          </cell>
          <cell r="AO110">
            <v>-2.0547735251086996E-2</v>
          </cell>
          <cell r="AP110">
            <v>0.12961379756836777</v>
          </cell>
          <cell r="AQ110">
            <v>0.16703440837450656</v>
          </cell>
          <cell r="AR110">
            <v>9.6911675551592483E-2</v>
          </cell>
        </row>
        <row r="111">
          <cell r="A111">
            <v>38596</v>
          </cell>
          <cell r="B111">
            <v>52</v>
          </cell>
          <cell r="C111">
            <v>6.1497738336714036</v>
          </cell>
          <cell r="D111">
            <v>8.1923011351335067</v>
          </cell>
          <cell r="E111">
            <v>57.1</v>
          </cell>
          <cell r="F111">
            <v>4.472585504252744</v>
          </cell>
          <cell r="G111">
            <v>10.527154773714553</v>
          </cell>
          <cell r="H111">
            <v>59.45</v>
          </cell>
          <cell r="I111">
            <v>4.6946253545584584</v>
          </cell>
          <cell r="J111">
            <v>12.057065928587582</v>
          </cell>
          <cell r="K111">
            <v>3.1</v>
          </cell>
          <cell r="L111">
            <v>0.33306809573553248</v>
          </cell>
          <cell r="M111">
            <v>9.7100511788446138</v>
          </cell>
          <cell r="N111">
            <v>9.8000000000000007</v>
          </cell>
          <cell r="O111">
            <v>0.88326456761730832</v>
          </cell>
          <cell r="P111">
            <v>9.8307989060780496</v>
          </cell>
          <cell r="Q111">
            <v>22.7</v>
          </cell>
          <cell r="R111">
            <v>1.7945313193544385</v>
          </cell>
          <cell r="S111">
            <v>10.718337094110895</v>
          </cell>
          <cell r="T111">
            <v>10.172618169411534</v>
          </cell>
          <cell r="V111">
            <v>15.55</v>
          </cell>
          <cell r="W111">
            <v>1.2400452103510888</v>
          </cell>
          <cell r="X111">
            <v>12.260393335926558</v>
          </cell>
          <cell r="Y111">
            <v>104.3</v>
          </cell>
          <cell r="Z111">
            <v>5.9355058060466561</v>
          </cell>
          <cell r="AA111">
            <v>16.775493758143334</v>
          </cell>
          <cell r="AB111">
            <v>14.517943547034946</v>
          </cell>
          <cell r="AD111">
            <v>11.258949513817388</v>
          </cell>
          <cell r="AF111">
            <v>4.1710000000000003</v>
          </cell>
          <cell r="AG111">
            <v>9.1709999999999994</v>
          </cell>
          <cell r="AH111">
            <v>10.903936321011885</v>
          </cell>
          <cell r="AJ111">
            <v>0.96846835556285094</v>
          </cell>
          <cell r="AL111">
            <v>3.2139244883919948E-2</v>
          </cell>
          <cell r="AM111">
            <v>0.2127364983069302</v>
          </cell>
          <cell r="AN111">
            <v>5.0290127755991287E-2</v>
          </cell>
          <cell r="AO111">
            <v>-4.1466841871722337E-2</v>
          </cell>
          <cell r="AP111">
            <v>0.12861665341924855</v>
          </cell>
          <cell r="AQ111">
            <v>0.18017769753621282</v>
          </cell>
          <cell r="AR111">
            <v>9.3748896671763407E-2</v>
          </cell>
        </row>
        <row r="112">
          <cell r="A112">
            <v>38626</v>
          </cell>
          <cell r="B112">
            <v>47.1</v>
          </cell>
          <cell r="C112">
            <v>6.2466497633536218</v>
          </cell>
          <cell r="D112">
            <v>7.4324312068881122</v>
          </cell>
          <cell r="E112">
            <v>52.95</v>
          </cell>
          <cell r="F112">
            <v>4.5110721467173995</v>
          </cell>
          <cell r="G112">
            <v>9.5976786445691271</v>
          </cell>
          <cell r="H112">
            <v>55.5</v>
          </cell>
          <cell r="I112">
            <v>4.7216836312069415</v>
          </cell>
          <cell r="J112">
            <v>11.21680773550249</v>
          </cell>
          <cell r="K112">
            <v>2.8250000000000002</v>
          </cell>
          <cell r="L112">
            <v>0.3372065476801489</v>
          </cell>
          <cell r="M112">
            <v>8.9301874763851341</v>
          </cell>
          <cell r="N112">
            <v>9.5500000000000007</v>
          </cell>
          <cell r="O112">
            <v>0.89249473421163628</v>
          </cell>
          <cell r="P112">
            <v>9.4891472201986726</v>
          </cell>
          <cell r="Q112">
            <v>22.65</v>
          </cell>
          <cell r="R112">
            <v>1.8027559789073744</v>
          </cell>
          <cell r="S112">
            <v>10.529739598506316</v>
          </cell>
          <cell r="T112">
            <v>9.5326653136749773</v>
          </cell>
          <cell r="V112">
            <v>14.45</v>
          </cell>
          <cell r="W112">
            <v>1.2521281023002413</v>
          </cell>
          <cell r="X112">
            <v>11.401071238472548</v>
          </cell>
          <cell r="Y112">
            <v>100.5</v>
          </cell>
          <cell r="Z112">
            <v>5.9345468493914968</v>
          </cell>
          <cell r="AA112">
            <v>16.082459414547998</v>
          </cell>
          <cell r="AB112">
            <v>13.741765326510272</v>
          </cell>
          <cell r="AD112">
            <v>10.584940316883801</v>
          </cell>
          <cell r="AF112">
            <v>4.4779999999999998</v>
          </cell>
          <cell r="AG112">
            <v>9.4779999999999998</v>
          </cell>
          <cell r="AH112">
            <v>10.550749103186327</v>
          </cell>
          <cell r="AJ112">
            <v>0.99676982461177077</v>
          </cell>
          <cell r="AL112">
            <v>1.4478511537488137E-2</v>
          </cell>
          <cell r="AM112">
            <v>0.22298178007644354</v>
          </cell>
          <cell r="AN112">
            <v>4.791684792811246E-2</v>
          </cell>
          <cell r="AO112">
            <v>-6.187247852524469E-2</v>
          </cell>
          <cell r="AP112">
            <v>0.12764013416854536</v>
          </cell>
          <cell r="AQ112">
            <v>0.19320106022974937</v>
          </cell>
          <cell r="AR112">
            <v>9.0724309235849024E-2</v>
          </cell>
        </row>
        <row r="113">
          <cell r="A113">
            <v>38657</v>
          </cell>
          <cell r="B113">
            <v>53.65</v>
          </cell>
          <cell r="C113">
            <v>6.3435256930358399</v>
          </cell>
          <cell r="D113">
            <v>8.479852504138627</v>
          </cell>
          <cell r="E113">
            <v>53.8</v>
          </cell>
          <cell r="F113">
            <v>4.549558789182055</v>
          </cell>
          <cell r="G113">
            <v>9.5902735569043998</v>
          </cell>
          <cell r="H113">
            <v>58</v>
          </cell>
          <cell r="I113">
            <v>4.7487419078554245</v>
          </cell>
          <cell r="J113">
            <v>11.681431275997131</v>
          </cell>
          <cell r="K113">
            <v>2.9249999999999998</v>
          </cell>
          <cell r="L113">
            <v>0.34134499962476533</v>
          </cell>
          <cell r="M113">
            <v>9.3322668345912358</v>
          </cell>
          <cell r="N113">
            <v>9.6</v>
          </cell>
          <cell r="O113">
            <v>0.90172490080596424</v>
          </cell>
          <cell r="P113">
            <v>9.4492033455980291</v>
          </cell>
          <cell r="Q113">
            <v>23.2</v>
          </cell>
          <cell r="R113">
            <v>1.8109806384603102</v>
          </cell>
          <cell r="S113">
            <v>10.621568463163783</v>
          </cell>
          <cell r="T113">
            <v>9.8590993300655345</v>
          </cell>
          <cell r="V113">
            <v>14.8</v>
          </cell>
          <cell r="W113">
            <v>1.2642109942493938</v>
          </cell>
          <cell r="X113">
            <v>11.685398905366627</v>
          </cell>
          <cell r="Y113">
            <v>102.6</v>
          </cell>
          <cell r="Z113">
            <v>5.9335878927363375</v>
          </cell>
          <cell r="AA113">
            <v>16.335795829261414</v>
          </cell>
          <cell r="AB113">
            <v>14.01059736731402</v>
          </cell>
          <cell r="AD113">
            <v>10.896973839377656</v>
          </cell>
          <cell r="AF113">
            <v>4.4630000000000001</v>
          </cell>
          <cell r="AG113">
            <v>9.463000000000001</v>
          </cell>
          <cell r="AH113">
            <v>10.567473317129874</v>
          </cell>
          <cell r="AJ113">
            <v>0.96976219938630226</v>
          </cell>
          <cell r="AL113">
            <v>-2.6428057035799979E-3</v>
          </cell>
          <cell r="AM113">
            <v>0.23305372350055475</v>
          </cell>
          <cell r="AN113">
            <v>4.5570613942434779E-2</v>
          </cell>
          <cell r="AO113">
            <v>-8.1783321074369808E-2</v>
          </cell>
          <cell r="AP113">
            <v>0.12668360645929466</v>
          </cell>
          <cell r="AQ113">
            <v>0.20610613041135761</v>
          </cell>
          <cell r="AR113">
            <v>8.7831324589282E-2</v>
          </cell>
        </row>
        <row r="114">
          <cell r="A114">
            <v>38687</v>
          </cell>
          <cell r="B114">
            <v>53.9</v>
          </cell>
          <cell r="C114">
            <v>6.4404016227180536</v>
          </cell>
          <cell r="D114">
            <v>8.5333012202954404</v>
          </cell>
          <cell r="E114">
            <v>55.8</v>
          </cell>
          <cell r="F114">
            <v>4.5880454316467079</v>
          </cell>
          <cell r="G114">
            <v>9.7847670970374487</v>
          </cell>
          <cell r="H114">
            <v>60</v>
          </cell>
          <cell r="I114">
            <v>4.7758001845039111</v>
          </cell>
          <cell r="J114">
            <v>12.042490346313894</v>
          </cell>
          <cell r="K114">
            <v>2.875</v>
          </cell>
          <cell r="L114">
            <v>0.34548345156938176</v>
          </cell>
          <cell r="M114">
            <v>9.2588238695104597</v>
          </cell>
          <cell r="N114">
            <v>9.5</v>
          </cell>
          <cell r="O114">
            <v>0.91095506740029275</v>
          </cell>
          <cell r="P114">
            <v>9.2637336180623659</v>
          </cell>
          <cell r="Q114">
            <v>23.45</v>
          </cell>
          <cell r="R114">
            <v>1.8192052980132449</v>
          </cell>
          <cell r="S114">
            <v>10.575356415478616</v>
          </cell>
          <cell r="T114">
            <v>9.9097454277830384</v>
          </cell>
          <cell r="V114">
            <v>14.9</v>
          </cell>
          <cell r="W114">
            <v>1.2762938861985471</v>
          </cell>
          <cell r="X114">
            <v>11.772598244684966</v>
          </cell>
          <cell r="Y114">
            <v>101.2</v>
          </cell>
          <cell r="Z114">
            <v>5.9326289360811799</v>
          </cell>
          <cell r="AA114">
            <v>16.032121849807222</v>
          </cell>
          <cell r="AB114">
            <v>13.902360047246095</v>
          </cell>
          <cell r="AD114">
            <v>10.907899082648802</v>
          </cell>
          <cell r="AF114">
            <v>4.181</v>
          </cell>
          <cell r="AG114">
            <v>9.1810000000000009</v>
          </cell>
          <cell r="AH114">
            <v>10.892059688487091</v>
          </cell>
          <cell r="AJ114">
            <v>0.99854789689181245</v>
          </cell>
          <cell r="AL114">
            <v>-1.9249048381824063E-2</v>
          </cell>
          <cell r="AM114">
            <v>0.24295669070537529</v>
          </cell>
          <cell r="AN114">
            <v>4.325096609763901E-2</v>
          </cell>
          <cell r="AO114">
            <v>-0.1012171505295707</v>
          </cell>
          <cell r="AP114">
            <v>0.12574646260425104</v>
          </cell>
          <cell r="AQ114">
            <v>0.2188945124886974</v>
          </cell>
          <cell r="AR114">
            <v>8.5063738830761335E-2</v>
          </cell>
        </row>
        <row r="115">
          <cell r="A115">
            <v>38718</v>
          </cell>
          <cell r="B115">
            <v>54.25</v>
          </cell>
          <cell r="C115">
            <v>6.4300706558485468</v>
          </cell>
          <cell r="D115">
            <v>8.6134996053849449</v>
          </cell>
          <cell r="E115">
            <v>56.1</v>
          </cell>
          <cell r="F115">
            <v>4.6809367928866079</v>
          </cell>
          <cell r="G115">
            <v>9.7801547875339399</v>
          </cell>
          <cell r="H115">
            <v>61</v>
          </cell>
          <cell r="I115">
            <v>4.7930133488263342</v>
          </cell>
          <cell r="J115">
            <v>12.143737291417427</v>
          </cell>
          <cell r="K115">
            <v>3.125</v>
          </cell>
          <cell r="L115">
            <v>0.34256938069246728</v>
          </cell>
          <cell r="M115">
            <v>10.06909340515876</v>
          </cell>
          <cell r="N115">
            <v>10.050000000000001</v>
          </cell>
          <cell r="O115">
            <v>0.92050084884337646</v>
          </cell>
          <cell r="P115">
            <v>9.6736569988084824</v>
          </cell>
          <cell r="Q115">
            <v>24.15</v>
          </cell>
          <cell r="R115">
            <v>1.8523898027487002</v>
          </cell>
          <cell r="S115">
            <v>10.906687256347714</v>
          </cell>
          <cell r="T115">
            <v>10.197804890775211</v>
          </cell>
          <cell r="V115">
            <v>15.55</v>
          </cell>
          <cell r="W115">
            <v>1.2754069737702185</v>
          </cell>
          <cell r="X115">
            <v>12.206761784155336</v>
          </cell>
          <cell r="Y115">
            <v>103.5</v>
          </cell>
          <cell r="Z115">
            <v>5.9642704641754349</v>
          </cell>
          <cell r="AA115">
            <v>16.241430414293628</v>
          </cell>
          <cell r="AB115">
            <v>14.224096099224482</v>
          </cell>
          <cell r="AD115">
            <v>11.20437769288753</v>
          </cell>
          <cell r="AF115">
            <v>4.18</v>
          </cell>
          <cell r="AG115">
            <v>9.18</v>
          </cell>
          <cell r="AH115">
            <v>10.893246187363834</v>
          </cell>
          <cell r="AJ115">
            <v>0.97223125513510678</v>
          </cell>
          <cell r="AL115">
            <v>-2.0500182901692532E-2</v>
          </cell>
          <cell r="AM115">
            <v>0.22541828437024414</v>
          </cell>
          <cell r="AN115">
            <v>4.8018220060662697E-2</v>
          </cell>
          <cell r="AO115">
            <v>-9.4035647536725109E-2</v>
          </cell>
          <cell r="AP115">
            <v>0.12862894480674458</v>
          </cell>
          <cell r="AQ115">
            <v>0.19534121298361007</v>
          </cell>
          <cell r="AR115">
            <v>8.0478471963807308E-2</v>
          </cell>
        </row>
        <row r="116">
          <cell r="A116">
            <v>38749</v>
          </cell>
          <cell r="B116">
            <v>54.3</v>
          </cell>
          <cell r="C116">
            <v>6.4197396889790399</v>
          </cell>
          <cell r="D116">
            <v>8.6463921190684747</v>
          </cell>
          <cell r="E116">
            <v>59.85</v>
          </cell>
          <cell r="F116">
            <v>4.773828154126508</v>
          </cell>
          <cell r="G116">
            <v>10.373571098648968</v>
          </cell>
          <cell r="H116">
            <v>68.7</v>
          </cell>
          <cell r="I116">
            <v>4.8102265131487574</v>
          </cell>
          <cell r="J116">
            <v>13.566424434786416</v>
          </cell>
          <cell r="K116">
            <v>3.5249999999999999</v>
          </cell>
          <cell r="L116">
            <v>0.33965530981555281</v>
          </cell>
          <cell r="M116">
            <v>11.363757501614275</v>
          </cell>
          <cell r="N116">
            <v>10.65</v>
          </cell>
          <cell r="O116">
            <v>0.93004663028646017</v>
          </cell>
          <cell r="P116">
            <v>10.120655713624167</v>
          </cell>
          <cell r="Q116">
            <v>26.65</v>
          </cell>
          <cell r="R116">
            <v>1.8855743074841556</v>
          </cell>
          <cell r="S116">
            <v>12.053062096827995</v>
          </cell>
          <cell r="T116">
            <v>11.020643827428382</v>
          </cell>
          <cell r="V116">
            <v>15.65</v>
          </cell>
          <cell r="W116">
            <v>1.2745200613418899</v>
          </cell>
          <cell r="X116">
            <v>12.206371406901182</v>
          </cell>
          <cell r="Y116">
            <v>103.9</v>
          </cell>
          <cell r="Z116">
            <v>5.99591199226969</v>
          </cell>
          <cell r="AA116">
            <v>16.151458575963332</v>
          </cell>
          <cell r="AB116">
            <v>14.178914991432258</v>
          </cell>
          <cell r="AD116">
            <v>11.810211618429351</v>
          </cell>
          <cell r="AF116">
            <v>4.2469999999999999</v>
          </cell>
          <cell r="AG116">
            <v>9.2469999999999999</v>
          </cell>
          <cell r="AH116">
            <v>10.814318157240185</v>
          </cell>
          <cell r="AJ116">
            <v>0.91567522298795101</v>
          </cell>
          <cell r="AL116">
            <v>-2.1755344198315263E-2</v>
          </cell>
          <cell r="AM116">
            <v>0.20856241891670768</v>
          </cell>
          <cell r="AN116">
            <v>5.2751355245451048E-2</v>
          </cell>
          <cell r="AO116">
            <v>-8.6730917212410441E-2</v>
          </cell>
          <cell r="AP116">
            <v>0.13145225676073102</v>
          </cell>
          <cell r="AQ116">
            <v>0.17261694957204599</v>
          </cell>
          <cell r="AR116">
            <v>7.6149453180701668E-2</v>
          </cell>
        </row>
        <row r="117">
          <cell r="A117">
            <v>38777</v>
          </cell>
          <cell r="B117">
            <v>61.1</v>
          </cell>
          <cell r="C117">
            <v>6.4094087221095331</v>
          </cell>
          <cell r="D117">
            <v>9.7574233437261064</v>
          </cell>
          <cell r="E117">
            <v>65.150000000000006</v>
          </cell>
          <cell r="F117">
            <v>4.866719515366408</v>
          </cell>
          <cell r="G117">
            <v>11.227274544417781</v>
          </cell>
          <cell r="H117">
            <v>75</v>
          </cell>
          <cell r="I117">
            <v>4.8274396774711805</v>
          </cell>
          <cell r="J117">
            <v>14.692113126496865</v>
          </cell>
          <cell r="K117">
            <v>3.4750000000000001</v>
          </cell>
          <cell r="L117">
            <v>0.33674123893863833</v>
          </cell>
          <cell r="M117">
            <v>11.208312920584635</v>
          </cell>
          <cell r="N117">
            <v>11.2</v>
          </cell>
          <cell r="O117">
            <v>0.93959241172954389</v>
          </cell>
          <cell r="P117">
            <v>10.509496488714948</v>
          </cell>
          <cell r="Q117">
            <v>28.05</v>
          </cell>
          <cell r="R117">
            <v>1.9187588122196109</v>
          </cell>
          <cell r="S117">
            <v>12.704524089433505</v>
          </cell>
          <cell r="T117">
            <v>11.683190752228974</v>
          </cell>
          <cell r="V117">
            <v>15.6</v>
          </cell>
          <cell r="W117">
            <v>1.2736331489135613</v>
          </cell>
          <cell r="X117">
            <v>12.089738525490974</v>
          </cell>
          <cell r="Y117">
            <v>99.95</v>
          </cell>
          <cell r="Z117">
            <v>6.027553520363945</v>
          </cell>
          <cell r="AA117">
            <v>15.393216929957845</v>
          </cell>
          <cell r="AB117">
            <v>13.741477727724408</v>
          </cell>
          <cell r="AD117">
            <v>12.197762496102833</v>
          </cell>
          <cell r="AF117">
            <v>4.5750000000000002</v>
          </cell>
          <cell r="AG117">
            <v>9.5749999999999993</v>
          </cell>
          <cell r="AH117">
            <v>10.443864229765014</v>
          </cell>
          <cell r="AJ117">
            <v>0.85621147592452407</v>
          </cell>
          <cell r="AL117">
            <v>-2.3014551743300027E-2</v>
          </cell>
          <cell r="AM117">
            <v>0.19235001125107587</v>
          </cell>
          <cell r="AN117">
            <v>5.7450736623194887E-2</v>
          </cell>
          <cell r="AO117">
            <v>-7.9299760425041277E-2</v>
          </cell>
          <cell r="AP117">
            <v>0.13421820188518163</v>
          </cell>
          <cell r="AQ117">
            <v>0.15067870827226404</v>
          </cell>
          <cell r="AR117">
            <v>7.2063890977229192E-2</v>
          </cell>
        </row>
        <row r="118">
          <cell r="A118">
            <v>38808</v>
          </cell>
          <cell r="B118">
            <v>63.5</v>
          </cell>
          <cell r="C118">
            <v>6.3990777552400262</v>
          </cell>
          <cell r="D118">
            <v>10.170215673316338</v>
          </cell>
          <cell r="E118">
            <v>71.900000000000006</v>
          </cell>
          <cell r="F118">
            <v>4.9596108766063081</v>
          </cell>
          <cell r="G118">
            <v>12.319666730914694</v>
          </cell>
          <cell r="H118">
            <v>73.7</v>
          </cell>
          <cell r="I118">
            <v>4.8446528417936037</v>
          </cell>
          <cell r="J118">
            <v>14.322953395018837</v>
          </cell>
          <cell r="K118">
            <v>4.5750000000000002</v>
          </cell>
          <cell r="L118">
            <v>0.33382716806172386</v>
          </cell>
          <cell r="M118">
            <v>14.763837392198518</v>
          </cell>
          <cell r="N118">
            <v>11.65</v>
          </cell>
          <cell r="O118">
            <v>0.9491381931726276</v>
          </cell>
          <cell r="P118">
            <v>10.796010993826055</v>
          </cell>
          <cell r="Q118">
            <v>32.4</v>
          </cell>
          <cell r="R118">
            <v>1.9519433169550662</v>
          </cell>
          <cell r="S118">
            <v>14.695920781015831</v>
          </cell>
          <cell r="T118">
            <v>12.844767494381712</v>
          </cell>
          <cell r="V118">
            <v>16</v>
          </cell>
          <cell r="W118">
            <v>1.2727462364852327</v>
          </cell>
          <cell r="X118">
            <v>12.321115964807705</v>
          </cell>
          <cell r="Y118">
            <v>100.4</v>
          </cell>
          <cell r="Z118">
            <v>6.0591950484582</v>
          </cell>
          <cell r="AA118">
            <v>15.320329549085528</v>
          </cell>
          <cell r="AB118">
            <v>13.820722756946616</v>
          </cell>
          <cell r="AD118">
            <v>13.088756310022937</v>
          </cell>
          <cell r="AF118">
            <v>4.8029999999999999</v>
          </cell>
          <cell r="AG118">
            <v>9.8030000000000008</v>
          </cell>
          <cell r="AH118">
            <v>10.200958890135672</v>
          </cell>
          <cell r="AJ118">
            <v>0.7793680811617002</v>
          </cell>
          <cell r="AL118">
            <v>-2.4277825133997677E-2</v>
          </cell>
          <cell r="AM118">
            <v>0.17674490631725348</v>
          </cell>
          <cell r="AN118">
            <v>6.2116723978080657E-2</v>
          </cell>
          <cell r="AO118">
            <v>-7.173886633856863E-2</v>
          </cell>
          <cell r="AP118">
            <v>0.13692851104885961</v>
          </cell>
          <cell r="AQ118">
            <v>0.12948640018271051</v>
          </cell>
          <cell r="AR118">
            <v>6.8209975009056331E-2</v>
          </cell>
        </row>
        <row r="119">
          <cell r="A119">
            <v>38838</v>
          </cell>
          <cell r="B119">
            <v>63</v>
          </cell>
          <cell r="C119">
            <v>6.3887467883705193</v>
          </cell>
          <cell r="D119">
            <v>10.119595832281973</v>
          </cell>
          <cell r="E119">
            <v>69.45</v>
          </cell>
          <cell r="F119">
            <v>5.0525022378462081</v>
          </cell>
          <cell r="G119">
            <v>11.832231522541193</v>
          </cell>
          <cell r="H119">
            <v>71.099999999999994</v>
          </cell>
          <cell r="I119">
            <v>4.8618660061160268</v>
          </cell>
          <cell r="J119">
            <v>13.708946996294539</v>
          </cell>
          <cell r="K119">
            <v>4.4000000000000004</v>
          </cell>
          <cell r="L119">
            <v>0.33091309718480938</v>
          </cell>
          <cell r="M119">
            <v>14.206387681335611</v>
          </cell>
          <cell r="N119">
            <v>11.05</v>
          </cell>
          <cell r="O119">
            <v>0.95868397461571131</v>
          </cell>
          <cell r="P119">
            <v>10.114400461892039</v>
          </cell>
          <cell r="Q119">
            <v>29.55</v>
          </cell>
          <cell r="R119">
            <v>1.9851278216905215</v>
          </cell>
          <cell r="S119">
            <v>13.422593508543649</v>
          </cell>
          <cell r="T119">
            <v>12.234026000481501</v>
          </cell>
          <cell r="V119">
            <v>15</v>
          </cell>
          <cell r="W119">
            <v>1.2718593240569041</v>
          </cell>
          <cell r="X119">
            <v>11.478272528379083</v>
          </cell>
          <cell r="Y119">
            <v>97.45</v>
          </cell>
          <cell r="Z119">
            <v>6.090836576552455</v>
          </cell>
          <cell r="AA119">
            <v>14.734682036061212</v>
          </cell>
          <cell r="AB119">
            <v>13.106477282220148</v>
          </cell>
          <cell r="AD119">
            <v>12.452138820916163</v>
          </cell>
          <cell r="AF119">
            <v>4.8879999999999999</v>
          </cell>
          <cell r="AG119">
            <v>9.8879999999999999</v>
          </cell>
          <cell r="AH119">
            <v>10.11326860841424</v>
          </cell>
          <cell r="AJ119">
            <v>0.81217120639762974</v>
          </cell>
          <cell r="AL119">
            <v>-2.5545184094519446E-2</v>
          </cell>
          <cell r="AM119">
            <v>0.16171360793367295</v>
          </cell>
          <cell r="AN119">
            <v>6.6749671999112081E-2</v>
          </cell>
          <cell r="AO119">
            <v>-6.4044807494047618E-2</v>
          </cell>
          <cell r="AP119">
            <v>0.13958484618229461</v>
          </cell>
          <cell r="AQ119">
            <v>0.1090026169956535</v>
          </cell>
          <cell r="AR119">
            <v>6.4576791920361018E-2</v>
          </cell>
        </row>
        <row r="120">
          <cell r="A120">
            <v>38869</v>
          </cell>
          <cell r="B120">
            <v>56.9</v>
          </cell>
          <cell r="C120">
            <v>6.3784158215010125</v>
          </cell>
          <cell r="D120">
            <v>9.1665258457993648</v>
          </cell>
          <cell r="E120">
            <v>68</v>
          </cell>
          <cell r="F120">
            <v>5.1453935990861082</v>
          </cell>
          <cell r="G120">
            <v>11.519713911775874</v>
          </cell>
          <cell r="H120">
            <v>67</v>
          </cell>
          <cell r="I120">
            <v>4.87907917043845</v>
          </cell>
          <cell r="J120">
            <v>12.817566866069047</v>
          </cell>
          <cell r="K120">
            <v>4.375</v>
          </cell>
          <cell r="L120">
            <v>0.3279990263078949</v>
          </cell>
          <cell r="M120">
            <v>14.132922844519072</v>
          </cell>
          <cell r="N120">
            <v>11.45</v>
          </cell>
          <cell r="O120">
            <v>0.96822975605879502</v>
          </cell>
          <cell r="P120">
            <v>10.3535470773685</v>
          </cell>
          <cell r="Q120">
            <v>31.95</v>
          </cell>
          <cell r="R120">
            <v>2.0183123264259768</v>
          </cell>
          <cell r="S120">
            <v>14.533756622054007</v>
          </cell>
          <cell r="T120">
            <v>12.087338861264309</v>
          </cell>
          <cell r="V120">
            <v>15.2</v>
          </cell>
          <cell r="W120">
            <v>1.2709724116285754</v>
          </cell>
          <cell r="X120">
            <v>11.55849554136654</v>
          </cell>
          <cell r="Y120">
            <v>98.5</v>
          </cell>
          <cell r="Z120">
            <v>6.1224781046467101</v>
          </cell>
          <cell r="AA120">
            <v>14.758959709019324</v>
          </cell>
          <cell r="AB120">
            <v>13.158727625192931</v>
          </cell>
          <cell r="AD120">
            <v>12.355186052246465</v>
          </cell>
          <cell r="AF120">
            <v>4.8259999999999996</v>
          </cell>
          <cell r="AG120">
            <v>9.8260000000000005</v>
          </cell>
          <cell r="AH120">
            <v>10.17708121310808</v>
          </cell>
          <cell r="AJ120">
            <v>0.82370926427754165</v>
          </cell>
          <cell r="AL120">
            <v>-2.681664847676335E-2</v>
          </cell>
          <cell r="AM120">
            <v>0.14722503878592841</v>
          </cell>
          <cell r="AN120">
            <v>7.1349930369987158E-2</v>
          </cell>
          <cell r="AO120">
            <v>-5.6214034629021858E-2</v>
          </cell>
          <cell r="AP120">
            <v>0.14218880367609477</v>
          </cell>
          <cell r="AQ120">
            <v>8.919241062945904E-2</v>
          </cell>
          <cell r="AR120">
            <v>6.1154250059280692E-2</v>
          </cell>
        </row>
        <row r="121">
          <cell r="A121">
            <v>38899</v>
          </cell>
          <cell r="B121">
            <v>64.900000000000006</v>
          </cell>
          <cell r="C121">
            <v>6.3680848546315056</v>
          </cell>
          <cell r="D121">
            <v>10.486022967507523</v>
          </cell>
          <cell r="E121">
            <v>71.25</v>
          </cell>
          <cell r="F121">
            <v>5.2382849603260082</v>
          </cell>
          <cell r="G121">
            <v>12.002449735387694</v>
          </cell>
          <cell r="H121">
            <v>68.8</v>
          </cell>
          <cell r="I121">
            <v>4.8962923347608731</v>
          </cell>
          <cell r="J121">
            <v>13.059964257890174</v>
          </cell>
          <cell r="K121">
            <v>4.3899999999999997</v>
          </cell>
          <cell r="L121">
            <v>0.32508495543098043</v>
          </cell>
          <cell r="M121">
            <v>14.188664201595744</v>
          </cell>
          <cell r="N121">
            <v>13.16</v>
          </cell>
          <cell r="O121">
            <v>0.97777553750187873</v>
          </cell>
          <cell r="P121">
            <v>11.75734158050531</v>
          </cell>
          <cell r="Q121">
            <v>32.1</v>
          </cell>
          <cell r="R121">
            <v>2.0514968311614323</v>
          </cell>
          <cell r="S121">
            <v>14.623153229388798</v>
          </cell>
          <cell r="T121">
            <v>12.686265995379207</v>
          </cell>
          <cell r="V121">
            <v>15.8</v>
          </cell>
          <cell r="W121">
            <v>1.2700854992002468</v>
          </cell>
          <cell r="X121">
            <v>11.939998742890085</v>
          </cell>
          <cell r="Y121">
            <v>99.3</v>
          </cell>
          <cell r="Z121">
            <v>6.1541196327409651</v>
          </cell>
          <cell r="AA121">
            <v>14.745678794764036</v>
          </cell>
          <cell r="AB121">
            <v>13.342838768827061</v>
          </cell>
          <cell r="AD121">
            <v>12.850409188741169</v>
          </cell>
          <cell r="AF121">
            <v>4.8150000000000004</v>
          </cell>
          <cell r="AG121">
            <v>9.8150000000000013</v>
          </cell>
          <cell r="AH121">
            <v>10.188487009679061</v>
          </cell>
          <cell r="AJ121">
            <v>0.79285311930811198</v>
          </cell>
          <cell r="AL121">
            <v>-2.8092238261450353E-2</v>
          </cell>
          <cell r="AM121">
            <v>0.13325032595594655</v>
          </cell>
          <cell r="AN121">
            <v>7.5917843857080891E-2</v>
          </cell>
          <cell r="AO121">
            <v>-4.8242871218272754E-2</v>
          </cell>
          <cell r="AP121">
            <v>0.1447419175801965</v>
          </cell>
          <cell r="AQ121">
            <v>7.002309424855091E-2</v>
          </cell>
          <cell r="AR121">
            <v>5.7933012027008624E-2</v>
          </cell>
        </row>
        <row r="122">
          <cell r="A122">
            <v>38930</v>
          </cell>
          <cell r="B122">
            <v>66.7</v>
          </cell>
          <cell r="C122">
            <v>6.3577538877619988</v>
          </cell>
          <cell r="D122">
            <v>10.808596257499419</v>
          </cell>
          <cell r="E122">
            <v>74.7</v>
          </cell>
          <cell r="F122">
            <v>5.3311763215659083</v>
          </cell>
          <cell r="G122">
            <v>12.513292428731633</v>
          </cell>
          <cell r="H122">
            <v>74.400000000000006</v>
          </cell>
          <cell r="I122">
            <v>4.9135054990832963</v>
          </cell>
          <cell r="J122">
            <v>14.014425750160852</v>
          </cell>
          <cell r="K122">
            <v>4.04</v>
          </cell>
          <cell r="L122">
            <v>0.32217088455406595</v>
          </cell>
          <cell r="M122">
            <v>13.064161171841334</v>
          </cell>
          <cell r="N122">
            <v>12.96</v>
          </cell>
          <cell r="O122">
            <v>0.98732131894496244</v>
          </cell>
          <cell r="P122">
            <v>11.44168698422159</v>
          </cell>
          <cell r="Q122">
            <v>34.6</v>
          </cell>
          <cell r="R122">
            <v>2.0846813358968879</v>
          </cell>
          <cell r="S122">
            <v>15.784905526659902</v>
          </cell>
          <cell r="T122">
            <v>12.937844686519121</v>
          </cell>
          <cell r="V122">
            <v>17.059999999999999</v>
          </cell>
          <cell r="W122">
            <v>1.2691985867719182</v>
          </cell>
          <cell r="X122">
            <v>12.81245949168451</v>
          </cell>
          <cell r="Y122">
            <v>98.5</v>
          </cell>
          <cell r="Z122">
            <v>6.1857611608352201</v>
          </cell>
          <cell r="AA122">
            <v>14.497146825039465</v>
          </cell>
          <cell r="AB122">
            <v>13.654803158361988</v>
          </cell>
          <cell r="AD122">
            <v>13.117084304479837</v>
          </cell>
          <cell r="AF122">
            <v>4.2119999999999997</v>
          </cell>
          <cell r="AG122">
            <v>9.2119999999999997</v>
          </cell>
          <cell r="AH122">
            <v>10.855405992184108</v>
          </cell>
          <cell r="AJ122">
            <v>0.82757766438054337</v>
          </cell>
          <cell r="AL122">
            <v>-2.9371973559171538E-2</v>
          </cell>
          <cell r="AM122">
            <v>0.11976260887302437</v>
          </cell>
          <cell r="AN122">
            <v>8.0453752395577949E-2</v>
          </cell>
          <cell r="AO122">
            <v>-4.0127507718291322E-2</v>
          </cell>
          <cell r="AP122">
            <v>0.1472456626175267</v>
          </cell>
          <cell r="AQ122">
            <v>5.1464062287869705E-2</v>
          </cell>
          <cell r="AR122">
            <v>5.4904434149422643E-2</v>
          </cell>
        </row>
        <row r="123">
          <cell r="A123">
            <v>38961</v>
          </cell>
          <cell r="B123">
            <v>70.150000000000006</v>
          </cell>
          <cell r="C123">
            <v>6.3474229208924919</v>
          </cell>
          <cell r="D123">
            <v>11.40124443976001</v>
          </cell>
          <cell r="E123">
            <v>76.099999999999994</v>
          </cell>
          <cell r="F123">
            <v>5.4240676828058083</v>
          </cell>
          <cell r="G123">
            <v>12.676961736738074</v>
          </cell>
          <cell r="H123">
            <v>76.75</v>
          </cell>
          <cell r="I123">
            <v>4.9307186634057194</v>
          </cell>
          <cell r="J123">
            <v>14.346806402592495</v>
          </cell>
          <cell r="K123">
            <v>4.4800000000000004</v>
          </cell>
          <cell r="L123">
            <v>0.31925681367715147</v>
          </cell>
          <cell r="M123">
            <v>14.494440889959966</v>
          </cell>
          <cell r="N123">
            <v>13.58</v>
          </cell>
          <cell r="O123">
            <v>0.99686710038804616</v>
          </cell>
          <cell r="P123">
            <v>11.848883378292745</v>
          </cell>
          <cell r="Q123">
            <v>35.549999999999997</v>
          </cell>
          <cell r="R123">
            <v>2.1178658406323434</v>
          </cell>
          <cell r="S123">
            <v>16.241880017201183</v>
          </cell>
          <cell r="T123">
            <v>13.501702810757413</v>
          </cell>
          <cell r="V123">
            <v>17.5</v>
          </cell>
          <cell r="W123">
            <v>1.2683116743435896</v>
          </cell>
          <cell r="X123">
            <v>13.062142472084147</v>
          </cell>
          <cell r="Y123">
            <v>98.45</v>
          </cell>
          <cell r="Z123">
            <v>6.2174026889294751</v>
          </cell>
          <cell r="AA123">
            <v>14.36239877217673</v>
          </cell>
          <cell r="AB123">
            <v>13.71227062213044</v>
          </cell>
          <cell r="AD123">
            <v>13.554344763600669</v>
          </cell>
          <cell r="AF123">
            <v>3.9239999999999999</v>
          </cell>
          <cell r="AG123">
            <v>8.9239999999999995</v>
          </cell>
          <cell r="AH123">
            <v>11.20573733751681</v>
          </cell>
          <cell r="AJ123">
            <v>0.82672659822030681</v>
          </cell>
          <cell r="AL123">
            <v>-3.0655874611444478E-2</v>
          </cell>
          <cell r="AM123">
            <v>0.10673686699879048</v>
          </cell>
          <cell r="AN123">
            <v>8.4957991173800984E-2</v>
          </cell>
          <cell r="AO123">
            <v>-3.1863995496542619E-2</v>
          </cell>
          <cell r="AP123">
            <v>0.14970145702451476</v>
          </cell>
          <cell r="AQ123">
            <v>3.3486627397379731E-2</v>
          </cell>
          <cell r="AR123">
            <v>5.2060512081083143E-2</v>
          </cell>
        </row>
        <row r="124">
          <cell r="A124">
            <v>38991</v>
          </cell>
          <cell r="B124">
            <v>68.05</v>
          </cell>
          <cell r="C124">
            <v>6.3370919540229851</v>
          </cell>
          <cell r="D124">
            <v>11.092709057939118</v>
          </cell>
          <cell r="E124">
            <v>75.599999999999994</v>
          </cell>
          <cell r="F124">
            <v>5.5169590440457084</v>
          </cell>
          <cell r="G124">
            <v>12.524063594320717</v>
          </cell>
          <cell r="H124">
            <v>74</v>
          </cell>
          <cell r="I124">
            <v>4.9479318277281426</v>
          </cell>
          <cell r="J124">
            <v>13.728033393206262</v>
          </cell>
          <cell r="K124">
            <v>5.22</v>
          </cell>
          <cell r="L124">
            <v>0.316342742800237</v>
          </cell>
          <cell r="M124">
            <v>16.897301773905252</v>
          </cell>
          <cell r="N124">
            <v>13.48</v>
          </cell>
          <cell r="O124">
            <v>1.0064128818311298</v>
          </cell>
          <cell r="P124">
            <v>11.625710611344596</v>
          </cell>
          <cell r="Q124">
            <v>37.15</v>
          </cell>
          <cell r="R124">
            <v>2.1510503453677989</v>
          </cell>
          <cell r="S124">
            <v>16.997585453036493</v>
          </cell>
          <cell r="T124">
            <v>13.810900647292073</v>
          </cell>
          <cell r="V124">
            <v>17.399999999999999</v>
          </cell>
          <cell r="W124">
            <v>1.267424761915261</v>
          </cell>
          <cell r="X124">
            <v>12.908176842911233</v>
          </cell>
          <cell r="Y124">
            <v>99.1</v>
          </cell>
          <cell r="Z124">
            <v>6.2490442170237301</v>
          </cell>
          <cell r="AA124">
            <v>14.331229055633901</v>
          </cell>
          <cell r="AB124">
            <v>13.619702949272568</v>
          </cell>
          <cell r="AD124">
            <v>13.763101222787196</v>
          </cell>
          <cell r="AF124">
            <v>3.867</v>
          </cell>
          <cell r="AG124">
            <v>8.8670000000000009</v>
          </cell>
          <cell r="AH124">
            <v>11.277771512349158</v>
          </cell>
          <cell r="AJ124">
            <v>0.81942080711263354</v>
          </cell>
          <cell r="AL124">
            <v>-3.1943961791780828E-2</v>
          </cell>
          <cell r="AM124">
            <v>9.4149764920210766E-2</v>
          </cell>
          <cell r="AN124">
            <v>8.943089071577881E-2</v>
          </cell>
          <cell r="AO124">
            <v>-2.3448240425198108E-2</v>
          </cell>
          <cell r="AP124">
            <v>0.15211066522995176</v>
          </cell>
          <cell r="AQ124">
            <v>1.6063872479433527E-2</v>
          </cell>
          <cell r="AR124">
            <v>4.9393831854732652E-2</v>
          </cell>
        </row>
        <row r="125">
          <cell r="A125">
            <v>39022</v>
          </cell>
          <cell r="B125">
            <v>70.7</v>
          </cell>
          <cell r="C125">
            <v>6.3267609871534782</v>
          </cell>
          <cell r="D125">
            <v>11.55892992111557</v>
          </cell>
          <cell r="E125">
            <v>82.1</v>
          </cell>
          <cell r="F125">
            <v>5.6098504052856084</v>
          </cell>
          <cell r="G125">
            <v>13.526107642247112</v>
          </cell>
          <cell r="H125">
            <v>74.849999999999994</v>
          </cell>
          <cell r="I125">
            <v>4.9651449920505657</v>
          </cell>
          <cell r="J125">
            <v>13.781391020195541</v>
          </cell>
          <cell r="K125">
            <v>6.03</v>
          </cell>
          <cell r="L125">
            <v>0.31342867192332252</v>
          </cell>
          <cell r="M125">
            <v>19.529345480393228</v>
          </cell>
          <cell r="N125">
            <v>13.9</v>
          </cell>
          <cell r="O125">
            <v>1.0159586632742135</v>
          </cell>
          <cell r="P125">
            <v>11.850983127976054</v>
          </cell>
          <cell r="Q125">
            <v>41.95</v>
          </cell>
          <cell r="R125">
            <v>2.1842348501032545</v>
          </cell>
          <cell r="S125">
            <v>19.221754350372677</v>
          </cell>
          <cell r="T125">
            <v>14.911418590383363</v>
          </cell>
          <cell r="V125">
            <v>18.739999999999998</v>
          </cell>
          <cell r="W125">
            <v>1.2665378494869324</v>
          </cell>
          <cell r="X125">
            <v>13.817858377673796</v>
          </cell>
          <cell r="Y125">
            <v>103.8</v>
          </cell>
          <cell r="Z125">
            <v>6.2806857451179852</v>
          </cell>
          <cell r="AA125">
            <v>14.881223715890927</v>
          </cell>
          <cell r="AB125">
            <v>14.349541046782361</v>
          </cell>
          <cell r="AD125">
            <v>14.770949204483113</v>
          </cell>
          <cell r="AF125">
            <v>3.794</v>
          </cell>
          <cell r="AG125">
            <v>8.7940000000000005</v>
          </cell>
          <cell r="AH125">
            <v>11.37138958380714</v>
          </cell>
          <cell r="AJ125">
            <v>0.76984826272070739</v>
          </cell>
          <cell r="AL125">
            <v>-3.323625560676402E-2</v>
          </cell>
          <cell r="AM125">
            <v>8.1979512832869084E-2</v>
          </cell>
          <cell r="AN125">
            <v>9.3872776962097726E-2</v>
          </cell>
          <cell r="AO125">
            <v>-1.4875996117497903E-2</v>
          </cell>
          <cell r="AP125">
            <v>0.1544746003828299</v>
          </cell>
          <cell r="AQ125">
            <v>-8.2948378611757967E-4</v>
          </cell>
          <cell r="AR125">
            <v>4.689752577790287E-2</v>
          </cell>
        </row>
        <row r="126">
          <cell r="A126">
            <v>39052</v>
          </cell>
          <cell r="B126">
            <v>70.45</v>
          </cell>
          <cell r="C126">
            <v>6.3164300202839758</v>
          </cell>
          <cell r="D126">
            <v>11.552388193373977</v>
          </cell>
          <cell r="E126">
            <v>91.5</v>
          </cell>
          <cell r="F126">
            <v>5.7027417665255067</v>
          </cell>
          <cell r="G126">
            <v>14.992363784427631</v>
          </cell>
          <cell r="H126">
            <v>81.5</v>
          </cell>
          <cell r="I126">
            <v>4.982358156372988</v>
          </cell>
          <cell r="J126">
            <v>14.893885807738808</v>
          </cell>
          <cell r="K126">
            <v>6.98</v>
          </cell>
          <cell r="L126">
            <v>0.31051460104640799</v>
          </cell>
          <cell r="M126">
            <v>22.617751734598336</v>
          </cell>
          <cell r="N126">
            <v>15</v>
          </cell>
          <cell r="O126">
            <v>1.0255044447172967</v>
          </cell>
          <cell r="P126">
            <v>12.644378478541496</v>
          </cell>
          <cell r="Q126">
            <v>44.05</v>
          </cell>
          <cell r="R126">
            <v>2.2174193548387096</v>
          </cell>
          <cell r="S126">
            <v>20.213454245631929</v>
          </cell>
          <cell r="T126">
            <v>16.15237037405203</v>
          </cell>
          <cell r="V126">
            <v>21.1</v>
          </cell>
          <cell r="W126">
            <v>1.2656509370586038</v>
          </cell>
          <cell r="X126">
            <v>15.464116177148449</v>
          </cell>
          <cell r="Y126">
            <v>106.3</v>
          </cell>
          <cell r="Z126">
            <v>6.3123272732122411</v>
          </cell>
          <cell r="AA126">
            <v>15.109096154381612</v>
          </cell>
          <cell r="AB126">
            <v>15.286606165765031</v>
          </cell>
          <cell r="AD126">
            <v>15.935929321980282</v>
          </cell>
          <cell r="AF126">
            <v>3.73</v>
          </cell>
          <cell r="AG126">
            <v>8.73</v>
          </cell>
          <cell r="AH126">
            <v>11.45475372279496</v>
          </cell>
          <cell r="AJ126">
            <v>0.71880048482616721</v>
          </cell>
          <cell r="AL126">
            <v>-3.4532776697138168E-2</v>
          </cell>
          <cell r="AM126">
            <v>7.0205740659684768E-2</v>
          </cell>
          <cell r="AN126">
            <v>9.8283971349077293E-2</v>
          </cell>
          <cell r="AO126">
            <v>-6.142856783266426E-3</v>
          </cell>
          <cell r="AP126">
            <v>0.15679452673900007</v>
          </cell>
          <cell r="AQ126">
            <v>-1.7217209342016315E-2</v>
          </cell>
          <cell r="AR126">
            <v>4.456523265422354E-2</v>
          </cell>
        </row>
        <row r="127">
          <cell r="A127">
            <v>39083</v>
          </cell>
          <cell r="B127">
            <v>76.45</v>
          </cell>
          <cell r="C127">
            <v>6.2982530313328455</v>
          </cell>
          <cell r="D127">
            <v>12.718143973393669</v>
          </cell>
          <cell r="E127">
            <v>98.5</v>
          </cell>
          <cell r="F127">
            <v>5.7361055339846603</v>
          </cell>
          <cell r="G127">
            <v>16.072089525741124</v>
          </cell>
          <cell r="H127">
            <v>88.05</v>
          </cell>
          <cell r="I127">
            <v>5.0231653185639713</v>
          </cell>
          <cell r="J127">
            <v>15.952452661891321</v>
          </cell>
          <cell r="K127">
            <v>6.54</v>
          </cell>
          <cell r="L127">
            <v>0.31035564715279623</v>
          </cell>
          <cell r="M127">
            <v>20.971858122391325</v>
          </cell>
          <cell r="N127">
            <v>16.82</v>
          </cell>
          <cell r="O127">
            <v>1.0389039017238126</v>
          </cell>
          <cell r="P127">
            <v>14.056547276995554</v>
          </cell>
          <cell r="Q127">
            <v>44.85</v>
          </cell>
          <cell r="R127">
            <v>2.2142378737361015</v>
          </cell>
          <cell r="S127">
            <v>20.486239246292023</v>
          </cell>
          <cell r="T127">
            <v>16.709555134450838</v>
          </cell>
          <cell r="V127">
            <v>20.399999999999999</v>
          </cell>
          <cell r="W127">
            <v>1.2738841205359037</v>
          </cell>
          <cell r="X127">
            <v>14.851542810528063</v>
          </cell>
          <cell r="Y127">
            <v>108.5</v>
          </cell>
          <cell r="Z127">
            <v>6.3725914134331756</v>
          </cell>
          <cell r="AA127">
            <v>15.341649348269753</v>
          </cell>
          <cell r="AB127">
            <v>15.096596079398907</v>
          </cell>
          <cell r="AD127">
            <v>16.306315370687855</v>
          </cell>
          <cell r="AF127">
            <v>4.1399999999999997</v>
          </cell>
          <cell r="AG127">
            <v>9.14</v>
          </cell>
          <cell r="AH127">
            <v>10.940919037199125</v>
          </cell>
          <cell r="AJ127">
            <v>0.67096206521716495</v>
          </cell>
          <cell r="AL127">
            <v>-4.5592928805540889E-2</v>
          </cell>
          <cell r="AM127">
            <v>6.8431674762119865E-2</v>
          </cell>
          <cell r="AN127">
            <v>9.8814607375305119E-2</v>
          </cell>
          <cell r="AO127">
            <v>4.8036065920822324E-3</v>
          </cell>
          <cell r="AP127">
            <v>0.15178642742811754</v>
          </cell>
          <cell r="AQ127">
            <v>-1.1274051342373137E-2</v>
          </cell>
          <cell r="AR127">
            <v>4.4494889334951791E-2</v>
          </cell>
        </row>
        <row r="128">
          <cell r="A128">
            <v>39114</v>
          </cell>
          <cell r="B128">
            <v>72.2</v>
          </cell>
          <cell r="C128">
            <v>6.2800760423817152</v>
          </cell>
          <cell r="D128">
            <v>12.18794080414261</v>
          </cell>
          <cell r="E128">
            <v>99</v>
          </cell>
          <cell r="F128">
            <v>5.7694693014438139</v>
          </cell>
          <cell r="G128">
            <v>16.086662043559155</v>
          </cell>
          <cell r="H128">
            <v>93.15</v>
          </cell>
          <cell r="I128">
            <v>5.0639724807549547</v>
          </cell>
          <cell r="J128">
            <v>16.732498669532585</v>
          </cell>
          <cell r="K128">
            <v>6.82</v>
          </cell>
          <cell r="L128">
            <v>0.31019669325918448</v>
          </cell>
          <cell r="M128">
            <v>21.644898484197899</v>
          </cell>
          <cell r="N128">
            <v>17.260000000000002</v>
          </cell>
          <cell r="O128">
            <v>1.0523033587303285</v>
          </cell>
          <cell r="P128">
            <v>14.30118615191156</v>
          </cell>
          <cell r="Q128">
            <v>47.9</v>
          </cell>
          <cell r="R128">
            <v>2.2110563926334934</v>
          </cell>
          <cell r="S128">
            <v>21.779584843108601</v>
          </cell>
          <cell r="T128">
            <v>17.122128499408735</v>
          </cell>
          <cell r="V128">
            <v>20.25</v>
          </cell>
          <cell r="W128">
            <v>1.2821173040132037</v>
          </cell>
          <cell r="X128">
            <v>14.644833550499989</v>
          </cell>
          <cell r="Y128">
            <v>112.9</v>
          </cell>
          <cell r="Z128">
            <v>6.4328555536541092</v>
          </cell>
          <cell r="AA128">
            <v>15.881264513578378</v>
          </cell>
          <cell r="AB128">
            <v>15.263049032039184</v>
          </cell>
          <cell r="AD128">
            <v>16.657358632566346</v>
          </cell>
          <cell r="AF128">
            <v>4.2359999999999998</v>
          </cell>
          <cell r="AG128">
            <v>9.2360000000000007</v>
          </cell>
          <cell r="AH128">
            <v>10.827197921177998</v>
          </cell>
          <cell r="AJ128">
            <v>0.64999488574437236</v>
          </cell>
          <cell r="AL128">
            <v>-5.6717105700049952E-2</v>
          </cell>
          <cell r="AM128">
            <v>6.6678127050533886E-2</v>
          </cell>
          <cell r="AN128">
            <v>9.9336691320940584E-2</v>
          </cell>
          <cell r="AO128">
            <v>1.5761288545917296E-2</v>
          </cell>
          <cell r="AP128">
            <v>0.14690586892729462</v>
          </cell>
          <cell r="AQ128">
            <v>-5.3137901653267372E-3</v>
          </cell>
          <cell r="AR128">
            <v>4.4441846663218286E-2</v>
          </cell>
        </row>
        <row r="129">
          <cell r="A129">
            <v>39142</v>
          </cell>
          <cell r="C129">
            <v>6.2618990534305849</v>
          </cell>
          <cell r="F129">
            <v>5.8028330689029675</v>
          </cell>
          <cell r="I129">
            <v>5.104779642945938</v>
          </cell>
          <cell r="L129">
            <v>0.31003773936557272</v>
          </cell>
          <cell r="O129">
            <v>1.0657028157368444</v>
          </cell>
          <cell r="R129">
            <v>2.2078749115308853</v>
          </cell>
          <cell r="W129">
            <v>1.2903504874905036</v>
          </cell>
          <cell r="Z129">
            <v>6.4931196938750428</v>
          </cell>
          <cell r="AL129">
            <v>-6.7905864932529258E-2</v>
          </cell>
          <cell r="AM129">
            <v>6.4944743612978639E-2</v>
          </cell>
          <cell r="AN129">
            <v>9.9850428279737224E-2</v>
          </cell>
          <cell r="AO129">
            <v>2.6730206333267947E-2</v>
          </cell>
          <cell r="AP129">
            <v>0.14214804038989826</v>
          </cell>
          <cell r="AQ129">
            <v>6.6364812460961708E-4</v>
          </cell>
          <cell r="AR129">
            <v>4.4405200301327073E-2</v>
          </cell>
        </row>
        <row r="130">
          <cell r="A130">
            <v>39173</v>
          </cell>
          <cell r="C130">
            <v>6.2437220644794547</v>
          </cell>
          <cell r="F130">
            <v>5.8361968363621211</v>
          </cell>
          <cell r="I130">
            <v>5.1455868051369213</v>
          </cell>
          <cell r="L130">
            <v>0.30987878547196096</v>
          </cell>
          <cell r="O130">
            <v>1.0791022727433603</v>
          </cell>
          <cell r="R130">
            <v>2.2046934304282773</v>
          </cell>
          <cell r="W130">
            <v>1.2985836709678036</v>
          </cell>
          <cell r="Z130">
            <v>6.5533838340959765</v>
          </cell>
          <cell r="AL130">
            <v>-7.9159770547517327E-2</v>
          </cell>
          <cell r="AM130">
            <v>6.3231178630335005E-2</v>
          </cell>
          <cell r="AN130">
            <v>0.1003560168394515</v>
          </cell>
          <cell r="AO130">
            <v>3.7710377244567495E-2</v>
          </cell>
          <cell r="AP130">
            <v>0.13750836991877913</v>
          </cell>
          <cell r="AQ130">
            <v>6.6583378896936107E-3</v>
          </cell>
          <cell r="AR130">
            <v>4.43840849958849E-2</v>
          </cell>
        </row>
        <row r="131">
          <cell r="A131">
            <v>39203</v>
          </cell>
          <cell r="C131">
            <v>6.2255450755283244</v>
          </cell>
          <cell r="F131">
            <v>5.8695606038212746</v>
          </cell>
          <cell r="I131">
            <v>5.1863939673279047</v>
          </cell>
          <cell r="L131">
            <v>0.3097198315783492</v>
          </cell>
          <cell r="O131">
            <v>1.0925017297498762</v>
          </cell>
          <cell r="R131">
            <v>2.2015119493256692</v>
          </cell>
          <cell r="W131">
            <v>1.3068168544451035</v>
          </cell>
          <cell r="Z131">
            <v>6.6136479743169101</v>
          </cell>
          <cell r="AL131">
            <v>-9.0479393177012146E-2</v>
          </cell>
          <cell r="AM131">
            <v>6.1537094146306259E-2</v>
          </cell>
          <cell r="AN131">
            <v>0.10085364933779117</v>
          </cell>
          <cell r="AO131">
            <v>4.8701818605743963E-2</v>
          </cell>
          <cell r="AP131">
            <v>0.13298250991277705</v>
          </cell>
          <cell r="AQ131">
            <v>1.2670353922036304E-2</v>
          </cell>
          <cell r="AR131">
            <v>4.4377672124607102E-2</v>
          </cell>
        </row>
        <row r="132">
          <cell r="A132">
            <v>39234</v>
          </cell>
          <cell r="C132">
            <v>6.2073680865771941</v>
          </cell>
          <cell r="F132">
            <v>5.9029243712804282</v>
          </cell>
          <cell r="I132">
            <v>5.227201129518888</v>
          </cell>
          <cell r="L132">
            <v>0.30956087768473745</v>
          </cell>
          <cell r="O132">
            <v>1.1059011867563922</v>
          </cell>
          <cell r="R132">
            <v>2.1983304682230611</v>
          </cell>
          <cell r="W132">
            <v>1.3150500379224035</v>
          </cell>
          <cell r="Z132">
            <v>6.6739121145378437</v>
          </cell>
          <cell r="AL132">
            <v>-0.10186531013692135</v>
          </cell>
          <cell r="AM132">
            <v>5.9862159845212926E-2</v>
          </cell>
          <cell r="AN132">
            <v>0.10134351210637749</v>
          </cell>
          <cell r="AO132">
            <v>5.9704547778312023E-2</v>
          </cell>
          <cell r="AP132">
            <v>0.1285663234785086</v>
          </cell>
          <cell r="AQ132">
            <v>1.8699771446713198E-2</v>
          </cell>
          <cell r="AR132">
            <v>4.4385167419700479E-2</v>
          </cell>
        </row>
        <row r="133">
          <cell r="A133">
            <v>39264</v>
          </cell>
          <cell r="C133">
            <v>6.1891910976260638</v>
          </cell>
          <cell r="F133">
            <v>5.9362881387395818</v>
          </cell>
          <cell r="I133">
            <v>5.2680082917098714</v>
          </cell>
          <cell r="L133">
            <v>0.30940192379112569</v>
          </cell>
          <cell r="O133">
            <v>1.1193006437629081</v>
          </cell>
          <cell r="R133">
            <v>2.195148987120453</v>
          </cell>
          <cell r="W133">
            <v>1.3232832213997034</v>
          </cell>
          <cell r="Z133">
            <v>6.7341762547587773</v>
          </cell>
          <cell r="AL133">
            <v>-0.11331810552521127</v>
          </cell>
          <cell r="AM133">
            <v>5.8206052837278088E-2</v>
          </cell>
          <cell r="AN133">
            <v>0.10182578570336731</v>
          </cell>
          <cell r="AO133">
            <v>7.0718582159464027E-2</v>
          </cell>
          <cell r="AP133">
            <v>0.12425587181816078</v>
          </cell>
          <cell r="AQ133">
            <v>2.4746666124901839E-2</v>
          </cell>
          <cell r="AR133">
            <v>4.4405808852993466E-2</v>
          </cell>
        </row>
        <row r="134">
          <cell r="A134">
            <v>39295</v>
          </cell>
          <cell r="C134">
            <v>6.1710141086749335</v>
          </cell>
          <cell r="F134">
            <v>5.9696519061987354</v>
          </cell>
          <cell r="I134">
            <v>5.3088154539008547</v>
          </cell>
          <cell r="L134">
            <v>0.30924296989751393</v>
          </cell>
          <cell r="O134">
            <v>1.132700100769424</v>
          </cell>
          <cell r="R134">
            <v>2.191967506017845</v>
          </cell>
          <cell r="W134">
            <v>1.3315164048770034</v>
          </cell>
          <cell r="Z134">
            <v>6.794440394979711</v>
          </cell>
          <cell r="AL134">
            <v>-0.12483837032179179</v>
          </cell>
          <cell r="AM134">
            <v>5.6568457451115828E-2</v>
          </cell>
          <cell r="AN134">
            <v>0.10230064513534654</v>
          </cell>
          <cell r="AO134">
            <v>8.1743939182161052E-2</v>
          </cell>
          <cell r="AP134">
            <v>0.12004740251247559</v>
          </cell>
          <cell r="AQ134">
            <v>3.0811114057046396E-2</v>
          </cell>
          <cell r="AR134">
            <v>4.4438864669392265E-2</v>
          </cell>
        </row>
        <row r="135">
          <cell r="A135">
            <v>39326</v>
          </cell>
          <cell r="C135">
            <v>6.1528371197238032</v>
          </cell>
          <cell r="F135">
            <v>6.003015673657889</v>
          </cell>
          <cell r="I135">
            <v>5.3496226160918381</v>
          </cell>
          <cell r="L135">
            <v>0.30908401600390217</v>
          </cell>
          <cell r="O135">
            <v>1.1460995577759399</v>
          </cell>
          <cell r="R135">
            <v>2.1887860249152369</v>
          </cell>
          <cell r="W135">
            <v>1.3397495883543034</v>
          </cell>
          <cell r="Z135">
            <v>6.8547045352006446</v>
          </cell>
          <cell r="AL135">
            <v>-0.13642670249017064</v>
          </cell>
          <cell r="AM135">
            <v>5.494906503313679E-2</v>
          </cell>
          <cell r="AN135">
            <v>0.10276826006906892</v>
          </cell>
          <cell r="AO135">
            <v>9.2780636315225928E-2</v>
          </cell>
          <cell r="AP135">
            <v>0.11593733862566014</v>
          </cell>
          <cell r="AQ135">
            <v>3.6893191786050439E-2</v>
          </cell>
          <cell r="AR135">
            <v>4.4483631556495262E-2</v>
          </cell>
        </row>
        <row r="136">
          <cell r="A136">
            <v>39356</v>
          </cell>
          <cell r="C136">
            <v>6.1346601307726729</v>
          </cell>
          <cell r="F136">
            <v>6.0363794411170426</v>
          </cell>
          <cell r="I136">
            <v>5.3904297782828214</v>
          </cell>
          <cell r="L136">
            <v>0.30892506211029042</v>
          </cell>
          <cell r="O136">
            <v>1.1594990147824558</v>
          </cell>
          <cell r="R136">
            <v>2.1856045438126288</v>
          </cell>
          <cell r="W136">
            <v>1.3479827718316033</v>
          </cell>
          <cell r="Z136">
            <v>6.9149686754215782</v>
          </cell>
          <cell r="AL136">
            <v>-0.14808370708091567</v>
          </cell>
          <cell r="AM136">
            <v>5.3347573753608657E-2</v>
          </cell>
          <cell r="AN136">
            <v>0.10322879503357618</v>
          </cell>
          <cell r="AO136">
            <v>0.10382869106343517</v>
          </cell>
          <cell r="AP136">
            <v>0.11192226856573617</v>
          </cell>
          <cell r="AQ136">
            <v>4.2992976300496366E-2</v>
          </cell>
          <cell r="AR136">
            <v>4.4539432939322811E-2</v>
          </cell>
        </row>
        <row r="137">
          <cell r="A137">
            <v>39387</v>
          </cell>
          <cell r="C137">
            <v>6.1164831418215426</v>
          </cell>
          <cell r="F137">
            <v>6.0697432085761962</v>
          </cell>
          <cell r="I137">
            <v>5.4312369404738048</v>
          </cell>
          <cell r="L137">
            <v>0.30876610821667866</v>
          </cell>
          <cell r="O137">
            <v>1.1728984717889717</v>
          </cell>
          <cell r="R137">
            <v>2.1824230627100207</v>
          </cell>
          <cell r="W137">
            <v>1.3562159553089033</v>
          </cell>
          <cell r="Z137">
            <v>6.9752328156425119</v>
          </cell>
          <cell r="AL137">
            <v>-0.15980999633696136</v>
          </cell>
          <cell r="AM137">
            <v>5.1763688419110609E-2</v>
          </cell>
          <cell r="AN137">
            <v>0.10368240961320696</v>
          </cell>
          <cell r="AO137">
            <v>0.1148881209676107</v>
          </cell>
          <cell r="AP137">
            <v>0.10799893663991322</v>
          </cell>
          <cell r="AQ137">
            <v>4.9110545037895692E-2</v>
          </cell>
          <cell r="AR137">
            <v>4.4605617390129304E-2</v>
          </cell>
        </row>
        <row r="138">
          <cell r="A138">
            <v>39417</v>
          </cell>
          <cell r="C138">
            <v>6.0983061528704097</v>
          </cell>
          <cell r="F138">
            <v>6.1031069760353489</v>
          </cell>
          <cell r="I138">
            <v>5.4720441026647926</v>
          </cell>
          <cell r="L138">
            <v>0.30860715432306679</v>
          </cell>
          <cell r="O138">
            <v>1.1862979287954865</v>
          </cell>
          <cell r="R138">
            <v>2.1792415816074127</v>
          </cell>
          <cell r="W138">
            <v>1.3644491387862037</v>
          </cell>
          <cell r="Z138">
            <v>7.0354969558634499</v>
          </cell>
          <cell r="AL138">
            <v>-0.17160618980079911</v>
          </cell>
          <cell r="AM138">
            <v>5.0197120291139541E-2</v>
          </cell>
          <cell r="AN138">
            <v>0.10412925863196909</v>
          </cell>
          <cell r="AO138">
            <v>0.12595894360471394</v>
          </cell>
          <cell r="AP138">
            <v>0.10416423425003951</v>
          </cell>
          <cell r="AQ138">
            <v>5.5245975887963095E-2</v>
          </cell>
          <cell r="AR138">
            <v>4.4681557144171012E-2</v>
          </cell>
        </row>
        <row r="139">
          <cell r="A139">
            <v>39448</v>
          </cell>
          <cell r="C139">
            <v>6.0110972292760048</v>
          </cell>
          <cell r="F139">
            <v>6.1286368422874942</v>
          </cell>
          <cell r="I139">
            <v>5.5195274272991197</v>
          </cell>
          <cell r="L139">
            <v>0.31184647358534934</v>
          </cell>
          <cell r="O139">
            <v>1.1965954134076022</v>
          </cell>
          <cell r="R139">
            <v>2.1892744422633736</v>
          </cell>
          <cell r="W139">
            <v>1.3735946669149219</v>
          </cell>
          <cell r="Z139">
            <v>7.0722513294984637</v>
          </cell>
        </row>
        <row r="140">
          <cell r="A140">
            <v>39479</v>
          </cell>
          <cell r="C140">
            <v>5.9238883056815999</v>
          </cell>
          <cell r="F140">
            <v>6.1541667085396394</v>
          </cell>
          <cell r="I140">
            <v>5.5670107519334469</v>
          </cell>
          <cell r="L140">
            <v>0.31508579284763188</v>
          </cell>
          <cell r="O140">
            <v>1.206892898019718</v>
          </cell>
          <cell r="R140">
            <v>2.1993073029193346</v>
          </cell>
          <cell r="W140">
            <v>1.3827401950436402</v>
          </cell>
          <cell r="Z140">
            <v>7.1090057031334775</v>
          </cell>
        </row>
        <row r="141">
          <cell r="A141">
            <v>39508</v>
          </cell>
          <cell r="C141">
            <v>5.8366793820871949</v>
          </cell>
          <cell r="F141">
            <v>6.1796965747917847</v>
          </cell>
          <cell r="I141">
            <v>5.614494076567774</v>
          </cell>
          <cell r="L141">
            <v>0.31832511210991443</v>
          </cell>
          <cell r="O141">
            <v>1.2171903826318338</v>
          </cell>
          <cell r="R141">
            <v>2.2093401635752956</v>
          </cell>
          <cell r="W141">
            <v>1.3918857231723585</v>
          </cell>
          <cell r="Z141">
            <v>7.1457600767684912</v>
          </cell>
        </row>
        <row r="142">
          <cell r="A142">
            <v>39539</v>
          </cell>
          <cell r="C142">
            <v>5.74947045849279</v>
          </cell>
          <cell r="F142">
            <v>6.20522644104393</v>
          </cell>
          <cell r="I142">
            <v>5.6619774012021011</v>
          </cell>
          <cell r="L142">
            <v>0.32156443137219698</v>
          </cell>
          <cell r="O142">
            <v>1.2274878672439495</v>
          </cell>
          <cell r="R142">
            <v>2.2193730242312566</v>
          </cell>
          <cell r="W142">
            <v>1.4010312513010768</v>
          </cell>
          <cell r="Z142">
            <v>7.182514450403505</v>
          </cell>
        </row>
        <row r="143">
          <cell r="A143">
            <v>39569</v>
          </cell>
          <cell r="C143">
            <v>5.6622615348983851</v>
          </cell>
          <cell r="F143">
            <v>6.2307563072960752</v>
          </cell>
          <cell r="I143">
            <v>5.7094607258364283</v>
          </cell>
          <cell r="L143">
            <v>0.32480375063447953</v>
          </cell>
          <cell r="O143">
            <v>1.2377853518560653</v>
          </cell>
          <cell r="R143">
            <v>2.2294058848872176</v>
          </cell>
          <cell r="W143">
            <v>1.410176779429795</v>
          </cell>
          <cell r="Z143">
            <v>7.2192688240385188</v>
          </cell>
        </row>
        <row r="144">
          <cell r="A144">
            <v>39600</v>
          </cell>
          <cell r="C144">
            <v>5.5750526113039802</v>
          </cell>
          <cell r="F144">
            <v>6.2562861735482205</v>
          </cell>
          <cell r="I144">
            <v>5.7569440504707554</v>
          </cell>
          <cell r="L144">
            <v>0.32804306989676207</v>
          </cell>
          <cell r="O144">
            <v>1.2480828364681811</v>
          </cell>
          <cell r="R144">
            <v>2.2394387455431786</v>
          </cell>
          <cell r="W144">
            <v>1.4193223075585133</v>
          </cell>
          <cell r="Z144">
            <v>7.2560231976735325</v>
          </cell>
        </row>
        <row r="145">
          <cell r="A145">
            <v>39630</v>
          </cell>
          <cell r="C145">
            <v>5.4878436877095753</v>
          </cell>
          <cell r="F145">
            <v>6.2818160398003657</v>
          </cell>
          <cell r="I145">
            <v>5.8044273751050826</v>
          </cell>
          <cell r="L145">
            <v>0.33128238915904462</v>
          </cell>
          <cell r="O145">
            <v>1.2583803210802968</v>
          </cell>
          <cell r="R145">
            <v>2.2494716061991396</v>
          </cell>
          <cell r="W145">
            <v>1.4284678356872316</v>
          </cell>
          <cell r="Z145">
            <v>7.2927775713085463</v>
          </cell>
        </row>
        <row r="146">
          <cell r="A146">
            <v>39661</v>
          </cell>
          <cell r="C146">
            <v>5.4006347641151704</v>
          </cell>
          <cell r="F146">
            <v>6.307345906052511</v>
          </cell>
          <cell r="I146">
            <v>5.8519106997394097</v>
          </cell>
          <cell r="L146">
            <v>0.33452170842132717</v>
          </cell>
          <cell r="O146">
            <v>1.2686778056924126</v>
          </cell>
          <cell r="R146">
            <v>2.2595044668551005</v>
          </cell>
          <cell r="W146">
            <v>1.4376133638159498</v>
          </cell>
          <cell r="Z146">
            <v>7.3295319449435601</v>
          </cell>
        </row>
        <row r="147">
          <cell r="A147">
            <v>39692</v>
          </cell>
          <cell r="C147">
            <v>5.3134258405207655</v>
          </cell>
          <cell r="F147">
            <v>6.3328757723046563</v>
          </cell>
          <cell r="I147">
            <v>5.8993940243737368</v>
          </cell>
          <cell r="L147">
            <v>0.33776102768360972</v>
          </cell>
          <cell r="O147">
            <v>1.2789752903045284</v>
          </cell>
          <cell r="R147">
            <v>2.2695373275110615</v>
          </cell>
          <cell r="W147">
            <v>1.4467588919446681</v>
          </cell>
          <cell r="Z147">
            <v>7.3662863185785739</v>
          </cell>
        </row>
        <row r="148">
          <cell r="A148">
            <v>39722</v>
          </cell>
          <cell r="C148">
            <v>5.2262169169263606</v>
          </cell>
          <cell r="F148">
            <v>6.3584056385568015</v>
          </cell>
          <cell r="I148">
            <v>5.946877349008064</v>
          </cell>
          <cell r="L148">
            <v>0.34100034694589226</v>
          </cell>
          <cell r="O148">
            <v>1.2892727749166442</v>
          </cell>
          <cell r="R148">
            <v>2.2795701881670225</v>
          </cell>
          <cell r="W148">
            <v>1.4559044200733864</v>
          </cell>
          <cell r="Z148">
            <v>7.4030406922135876</v>
          </cell>
        </row>
        <row r="149">
          <cell r="A149">
            <v>39753</v>
          </cell>
          <cell r="C149">
            <v>5.1390079933319557</v>
          </cell>
          <cell r="F149">
            <v>6.3839355048089468</v>
          </cell>
          <cell r="I149">
            <v>5.9943606736423911</v>
          </cell>
          <cell r="L149">
            <v>0.34423966620817481</v>
          </cell>
          <cell r="O149">
            <v>1.2995702595287599</v>
          </cell>
          <cell r="R149">
            <v>2.2896030488229835</v>
          </cell>
          <cell r="W149">
            <v>1.4650499482021047</v>
          </cell>
          <cell r="Z149">
            <v>7.4397950658486014</v>
          </cell>
        </row>
        <row r="150">
          <cell r="A150">
            <v>39783</v>
          </cell>
          <cell r="C150">
            <v>5.051799069737549</v>
          </cell>
          <cell r="F150">
            <v>6.4094653710610876</v>
          </cell>
          <cell r="I150">
            <v>6.0418439982767156</v>
          </cell>
          <cell r="L150">
            <v>0.34747898547045719</v>
          </cell>
          <cell r="O150">
            <v>1.3098677441408761</v>
          </cell>
          <cell r="R150">
            <v>2.2996359094789423</v>
          </cell>
          <cell r="W150">
            <v>1.4741954763308234</v>
          </cell>
          <cell r="Z150">
            <v>7.4765494394836116</v>
          </cell>
        </row>
        <row r="154">
          <cell r="A154" t="str">
            <v>Mid sized banks average, 2000-2005</v>
          </cell>
        </row>
        <row r="178">
          <cell r="A178" t="str">
            <v>Large sized banks average, 2000-2005</v>
          </cell>
        </row>
      </sheetData>
      <sheetData sheetId="35" refreshError="1">
        <row r="2">
          <cell r="T2" t="str">
            <v>(a)</v>
          </cell>
          <cell r="AB2" t="str">
            <v>(b)</v>
          </cell>
        </row>
        <row r="3">
          <cell r="B3" t="str">
            <v>Mid-sized banks</v>
          </cell>
          <cell r="V3" t="str">
            <v>Large-sized banks</v>
          </cell>
        </row>
        <row r="4">
          <cell r="B4" t="str">
            <v>DSF</v>
          </cell>
          <cell r="E4" t="str">
            <v>WHB</v>
          </cell>
          <cell r="H4" t="str">
            <v>WLB</v>
          </cell>
          <cell r="K4" t="str">
            <v>CIFH</v>
          </cell>
          <cell r="N4" t="str">
            <v>ICBCA</v>
          </cell>
          <cell r="Q4" t="str">
            <v>BEA</v>
          </cell>
          <cell r="T4" t="str">
            <v>Average</v>
          </cell>
          <cell r="V4" t="str">
            <v>BOCHK</v>
          </cell>
          <cell r="Y4" t="str">
            <v>HSB</v>
          </cell>
          <cell r="AB4" t="str">
            <v>Average</v>
          </cell>
        </row>
        <row r="5">
          <cell r="B5" t="str">
            <v>Price</v>
          </cell>
          <cell r="C5" t="str">
            <v>BPS</v>
          </cell>
          <cell r="D5" t="str">
            <v>PB Prospective</v>
          </cell>
          <cell r="E5" t="str">
            <v>Price</v>
          </cell>
          <cell r="F5" t="str">
            <v>BPS</v>
          </cell>
          <cell r="G5" t="str">
            <v>PB Prospective</v>
          </cell>
          <cell r="H5" t="str">
            <v>Price</v>
          </cell>
          <cell r="I5" t="str">
            <v>BPS</v>
          </cell>
          <cell r="J5" t="str">
            <v>PB Prospective</v>
          </cell>
          <cell r="K5" t="str">
            <v>Price</v>
          </cell>
          <cell r="L5" t="str">
            <v>BPS</v>
          </cell>
          <cell r="M5" t="str">
            <v>PB Prospective</v>
          </cell>
          <cell r="N5" t="str">
            <v>Price</v>
          </cell>
          <cell r="O5" t="str">
            <v>BPS</v>
          </cell>
          <cell r="P5" t="str">
            <v>PB Prospective</v>
          </cell>
          <cell r="Q5" t="str">
            <v>Price</v>
          </cell>
          <cell r="R5" t="str">
            <v>BPS</v>
          </cell>
          <cell r="S5" t="str">
            <v>PB Prospective</v>
          </cell>
          <cell r="T5">
            <v>1.2823241163913297</v>
          </cell>
          <cell r="V5" t="str">
            <v>Price</v>
          </cell>
          <cell r="W5" t="str">
            <v>BPS</v>
          </cell>
          <cell r="X5" t="str">
            <v>PB Prospective</v>
          </cell>
          <cell r="Y5" t="str">
            <v>Price</v>
          </cell>
          <cell r="Z5" t="str">
            <v>BPS</v>
          </cell>
          <cell r="AA5" t="str">
            <v>PB Prospective</v>
          </cell>
          <cell r="AB5">
            <v>2.6510760510977827</v>
          </cell>
        </row>
        <row r="6">
          <cell r="A6">
            <v>36495</v>
          </cell>
          <cell r="B6">
            <v>30.494499999999999</v>
          </cell>
          <cell r="C6">
            <v>16.895602980122217</v>
          </cell>
          <cell r="D6">
            <v>1.5550677860696518</v>
          </cell>
          <cell r="E6">
            <v>26.6</v>
          </cell>
          <cell r="F6">
            <v>16.518771331058019</v>
          </cell>
          <cell r="G6">
            <v>1.4389294119992884</v>
          </cell>
          <cell r="H6">
            <v>31.5</v>
          </cell>
          <cell r="I6">
            <v>26.33186069007219</v>
          </cell>
          <cell r="J6">
            <v>1.073694253967308</v>
          </cell>
          <cell r="K6">
            <v>2.8673320000000002</v>
          </cell>
          <cell r="L6">
            <v>1.9928079773435117</v>
          </cell>
          <cell r="M6">
            <v>1.3510258554701837</v>
          </cell>
          <cell r="N6">
            <v>6.5</v>
          </cell>
          <cell r="O6">
            <v>7.102300496930722</v>
          </cell>
          <cell r="P6">
            <v>1.1606885485404208</v>
          </cell>
          <cell r="Q6">
            <v>21.6</v>
          </cell>
          <cell r="R6">
            <v>10.791211947156807</v>
          </cell>
          <cell r="S6">
            <v>1.7657410296411857</v>
          </cell>
          <cell r="Y6">
            <v>88.75</v>
          </cell>
          <cell r="Z6">
            <v>20.699864002510722</v>
          </cell>
          <cell r="AA6">
            <v>3.6935857805255026</v>
          </cell>
        </row>
        <row r="7">
          <cell r="A7">
            <v>36526</v>
          </cell>
          <cell r="B7">
            <v>27.149940000000001</v>
          </cell>
          <cell r="C7">
            <v>17.121782406575445</v>
          </cell>
          <cell r="D7">
            <v>1.3707303950347669</v>
          </cell>
          <cell r="E7">
            <v>23</v>
          </cell>
          <cell r="F7">
            <v>16.682704209328783</v>
          </cell>
          <cell r="G7">
            <v>1.2325136516036526</v>
          </cell>
          <cell r="H7">
            <v>27.3</v>
          </cell>
          <cell r="I7">
            <v>26.582369037682611</v>
          </cell>
          <cell r="J7">
            <v>0.92671708896531679</v>
          </cell>
          <cell r="K7">
            <v>2.7227600000000001</v>
          </cell>
          <cell r="L7">
            <v>2.0036020526328637</v>
          </cell>
          <cell r="M7">
            <v>1.2709202464790972</v>
          </cell>
          <cell r="N7">
            <v>7.1</v>
          </cell>
          <cell r="O7">
            <v>6.9771191367463601</v>
          </cell>
          <cell r="P7">
            <v>1.2142508180182292</v>
          </cell>
          <cell r="Q7">
            <v>20.05</v>
          </cell>
          <cell r="R7">
            <v>10.911346320517149</v>
          </cell>
          <cell r="S7">
            <v>1.6334897119070728</v>
          </cell>
          <cell r="T7">
            <v>1.2747703186680226</v>
          </cell>
          <cell r="Y7">
            <v>75.75</v>
          </cell>
          <cell r="Z7">
            <v>20.977220420546082</v>
          </cell>
          <cell r="AA7">
            <v>3.1575139267921322</v>
          </cell>
        </row>
        <row r="8">
          <cell r="A8">
            <v>36557</v>
          </cell>
          <cell r="B8">
            <v>24.887440000000002</v>
          </cell>
          <cell r="C8">
            <v>17.347961833028673</v>
          </cell>
          <cell r="D8">
            <v>1.244118617442151</v>
          </cell>
          <cell r="E8">
            <v>18.100000000000001</v>
          </cell>
          <cell r="F8">
            <v>16.846637087599547</v>
          </cell>
          <cell r="G8">
            <v>0.96091895111081216</v>
          </cell>
          <cell r="H8">
            <v>27.9</v>
          </cell>
          <cell r="I8">
            <v>26.832877385293031</v>
          </cell>
          <cell r="J8">
            <v>0.94321454302822605</v>
          </cell>
          <cell r="K8">
            <v>2.313142</v>
          </cell>
          <cell r="L8">
            <v>2.0143961279222156</v>
          </cell>
          <cell r="M8">
            <v>1.0697256298764601</v>
          </cell>
          <cell r="N8">
            <v>7.35</v>
          </cell>
          <cell r="O8">
            <v>6.8519377765619982</v>
          </cell>
          <cell r="P8">
            <v>1.2060391452748682</v>
          </cell>
          <cell r="Q8">
            <v>18.3</v>
          </cell>
          <cell r="R8">
            <v>11.031480693877491</v>
          </cell>
          <cell r="S8">
            <v>1.4858906591956706</v>
          </cell>
          <cell r="T8">
            <v>1.151651257654698</v>
          </cell>
          <cell r="Y8">
            <v>70.25</v>
          </cell>
          <cell r="Z8">
            <v>21.254576838581443</v>
          </cell>
          <cell r="AA8">
            <v>2.9328702557905921</v>
          </cell>
        </row>
        <row r="9">
          <cell r="A9">
            <v>36586</v>
          </cell>
          <cell r="B9">
            <v>27.051570000000002</v>
          </cell>
          <cell r="C9">
            <v>17.574141259481902</v>
          </cell>
          <cell r="D9">
            <v>1.3391049694424206</v>
          </cell>
          <cell r="E9">
            <v>19.5</v>
          </cell>
          <cell r="F9">
            <v>17.01056996587031</v>
          </cell>
          <cell r="G9">
            <v>1.0257100272782138</v>
          </cell>
          <cell r="H9">
            <v>28.9</v>
          </cell>
          <cell r="I9">
            <v>27.083385732903452</v>
          </cell>
          <cell r="J9">
            <v>0.9730454802513856</v>
          </cell>
          <cell r="K9">
            <v>2.2890459999999999</v>
          </cell>
          <cell r="L9">
            <v>2.0251902032115674</v>
          </cell>
          <cell r="M9">
            <v>1.0488732564396832</v>
          </cell>
          <cell r="N9">
            <v>6.95</v>
          </cell>
          <cell r="O9">
            <v>6.7267564163776363</v>
          </cell>
          <cell r="P9">
            <v>1.09596692696626</v>
          </cell>
          <cell r="Q9">
            <v>17.3</v>
          </cell>
          <cell r="R9">
            <v>11.151615067237833</v>
          </cell>
          <cell r="S9">
            <v>1.3999758241485898</v>
          </cell>
          <cell r="T9">
            <v>1.1471127474210923</v>
          </cell>
          <cell r="Y9">
            <v>68</v>
          </cell>
          <cell r="Z9">
            <v>21.531933256616803</v>
          </cell>
          <cell r="AA9">
            <v>2.843415973141151</v>
          </cell>
        </row>
        <row r="10">
          <cell r="A10">
            <v>36617</v>
          </cell>
          <cell r="B10">
            <v>30.002649999999999</v>
          </cell>
          <cell r="C10">
            <v>17.80032068593513</v>
          </cell>
          <cell r="D10">
            <v>1.4708341835645762</v>
          </cell>
          <cell r="E10">
            <v>19.100000000000001</v>
          </cell>
          <cell r="F10">
            <v>17.174502844141074</v>
          </cell>
          <cell r="G10">
            <v>0.99550168597092059</v>
          </cell>
          <cell r="H10">
            <v>26.85</v>
          </cell>
          <cell r="I10">
            <v>27.333894080513872</v>
          </cell>
          <cell r="J10">
            <v>0.90035916843489028</v>
          </cell>
          <cell r="K10">
            <v>1.951713</v>
          </cell>
          <cell r="L10">
            <v>2.0359842785009192</v>
          </cell>
          <cell r="M10">
            <v>0.88617473981970318</v>
          </cell>
          <cell r="N10">
            <v>7.2</v>
          </cell>
          <cell r="O10">
            <v>6.6015750561932744</v>
          </cell>
          <cell r="P10">
            <v>1.0928074426835217</v>
          </cell>
          <cell r="Q10">
            <v>16.850000000000001</v>
          </cell>
          <cell r="R10">
            <v>11.271749440598175</v>
          </cell>
          <cell r="S10">
            <v>1.3589951561021547</v>
          </cell>
          <cell r="T10">
            <v>1.1174453960959612</v>
          </cell>
          <cell r="Y10">
            <v>71.75</v>
          </cell>
          <cell r="Z10">
            <v>21.809289674652163</v>
          </cell>
          <cell r="AA10">
            <v>3.0049651319872939</v>
          </cell>
        </row>
        <row r="11">
          <cell r="A11">
            <v>36647</v>
          </cell>
          <cell r="B11">
            <v>27.936900000000001</v>
          </cell>
          <cell r="C11">
            <v>18.026500112388359</v>
          </cell>
          <cell r="D11">
            <v>1.356453275719667</v>
          </cell>
          <cell r="E11">
            <v>15.45</v>
          </cell>
          <cell r="F11">
            <v>17.338435722411838</v>
          </cell>
          <cell r="G11">
            <v>0.79797985302928676</v>
          </cell>
          <cell r="H11">
            <v>22.15</v>
          </cell>
          <cell r="I11">
            <v>27.584402428124292</v>
          </cell>
          <cell r="J11">
            <v>0.7397561265739736</v>
          </cell>
          <cell r="K11">
            <v>1.7252179999999999</v>
          </cell>
          <cell r="L11">
            <v>2.0467783537902711</v>
          </cell>
          <cell r="M11">
            <v>0.77627962154929864</v>
          </cell>
          <cell r="N11">
            <v>7.3</v>
          </cell>
          <cell r="O11">
            <v>6.4763936960089126</v>
          </cell>
          <cell r="P11">
            <v>1.0679325641154804</v>
          </cell>
          <cell r="Q11">
            <v>13.7</v>
          </cell>
          <cell r="R11">
            <v>11.391883813958517</v>
          </cell>
          <cell r="S11">
            <v>1.1012527585310874</v>
          </cell>
          <cell r="T11">
            <v>0.97327569991979901</v>
          </cell>
          <cell r="Y11">
            <v>66</v>
          </cell>
          <cell r="Z11">
            <v>22.086646092687523</v>
          </cell>
          <cell r="AA11">
            <v>2.7685259474067219</v>
          </cell>
        </row>
        <row r="12">
          <cell r="A12">
            <v>36678</v>
          </cell>
          <cell r="B12">
            <v>30.887979999999999</v>
          </cell>
          <cell r="C12">
            <v>18.252679538841587</v>
          </cell>
          <cell r="D12">
            <v>1.4855198514810257</v>
          </cell>
          <cell r="E12">
            <v>19.399999999999999</v>
          </cell>
          <cell r="F12">
            <v>17.502368600682601</v>
          </cell>
          <cell r="G12">
            <v>0.99301429242141337</v>
          </cell>
          <cell r="H12">
            <v>25.8</v>
          </cell>
          <cell r="I12">
            <v>27.834910775734713</v>
          </cell>
          <cell r="J12">
            <v>0.85819298768131747</v>
          </cell>
          <cell r="K12">
            <v>2.0962839999999998</v>
          </cell>
          <cell r="L12">
            <v>2.0575724290796229</v>
          </cell>
          <cell r="M12">
            <v>0.93482506395439546</v>
          </cell>
          <cell r="N12">
            <v>7.5</v>
          </cell>
          <cell r="O12">
            <v>6.3512123358245507</v>
          </cell>
          <cell r="P12">
            <v>1.0589121845070004</v>
          </cell>
          <cell r="Q12">
            <v>18.2</v>
          </cell>
          <cell r="R12">
            <v>11.512018187318859</v>
          </cell>
          <cell r="S12">
            <v>1.4581127386397363</v>
          </cell>
          <cell r="T12">
            <v>1.1314295197808146</v>
          </cell>
          <cell r="Y12">
            <v>74</v>
          </cell>
          <cell r="Z12">
            <v>22.364002510722884</v>
          </cell>
          <cell r="AA12">
            <v>3.1090277777777775</v>
          </cell>
        </row>
        <row r="13">
          <cell r="A13">
            <v>36708</v>
          </cell>
          <cell r="B13">
            <v>34.724379999999996</v>
          </cell>
          <cell r="C13">
            <v>18.478858965294815</v>
          </cell>
          <cell r="D13">
            <v>1.6543402217858276</v>
          </cell>
          <cell r="E13">
            <v>22.5</v>
          </cell>
          <cell r="F13">
            <v>17.666301478953365</v>
          </cell>
          <cell r="G13">
            <v>1.1414621008394255</v>
          </cell>
          <cell r="H13">
            <v>28.5</v>
          </cell>
          <cell r="I13">
            <v>28.085419123345133</v>
          </cell>
          <cell r="J13">
            <v>0.94420772923607521</v>
          </cell>
          <cell r="K13">
            <v>2.5781890000000001</v>
          </cell>
          <cell r="L13">
            <v>2.0683665043689747</v>
          </cell>
          <cell r="M13">
            <v>1.1395558297272244</v>
          </cell>
          <cell r="N13">
            <v>7.65</v>
          </cell>
          <cell r="O13">
            <v>6.2260309756401888</v>
          </cell>
          <cell r="P13">
            <v>1.0436785640389137</v>
          </cell>
          <cell r="Q13">
            <v>17.7</v>
          </cell>
          <cell r="R13">
            <v>11.6321525606792</v>
          </cell>
          <cell r="S13">
            <v>1.4133543499779571</v>
          </cell>
          <cell r="T13">
            <v>1.2227664659342372</v>
          </cell>
          <cell r="Y13">
            <v>80.75</v>
          </cell>
          <cell r="Z13">
            <v>22.641358928758244</v>
          </cell>
          <cell r="AA13">
            <v>3.3980105726161169</v>
          </cell>
        </row>
        <row r="14">
          <cell r="A14">
            <v>36739</v>
          </cell>
          <cell r="B14">
            <v>35.708069999999999</v>
          </cell>
          <cell r="C14">
            <v>18.705038391748044</v>
          </cell>
          <cell r="D14">
            <v>1.6853744331470466</v>
          </cell>
          <cell r="E14">
            <v>25.7</v>
          </cell>
          <cell r="F14">
            <v>17.830234357224128</v>
          </cell>
          <cell r="G14">
            <v>1.2923244953393982</v>
          </cell>
          <cell r="H14">
            <v>29.95</v>
          </cell>
          <cell r="I14">
            <v>28.335927470955554</v>
          </cell>
          <cell r="J14">
            <v>0.98828889971602851</v>
          </cell>
          <cell r="K14">
            <v>2.7709510000000002</v>
          </cell>
          <cell r="L14">
            <v>2.0791605796583266</v>
          </cell>
          <cell r="M14">
            <v>1.2140157593806702</v>
          </cell>
          <cell r="N14">
            <v>7.7</v>
          </cell>
          <cell r="O14">
            <v>6.1008496154558269</v>
          </cell>
          <cell r="P14">
            <v>1.0162406244539015</v>
          </cell>
          <cell r="Q14">
            <v>18.2</v>
          </cell>
          <cell r="R14">
            <v>11.752286934039542</v>
          </cell>
          <cell r="S14">
            <v>1.448478423886435</v>
          </cell>
          <cell r="T14">
            <v>1.2741204393205801</v>
          </cell>
          <cell r="Y14">
            <v>83.75</v>
          </cell>
          <cell r="Z14">
            <v>22.918715346793604</v>
          </cell>
          <cell r="AA14">
            <v>3.5298594933825198</v>
          </cell>
        </row>
        <row r="15">
          <cell r="A15">
            <v>36770</v>
          </cell>
          <cell r="B15">
            <v>37.478720000000003</v>
          </cell>
          <cell r="C15">
            <v>18.931217818201272</v>
          </cell>
          <cell r="D15">
            <v>1.7526374151307669</v>
          </cell>
          <cell r="E15">
            <v>25.1</v>
          </cell>
          <cell r="F15">
            <v>17.994167235494892</v>
          </cell>
          <cell r="G15">
            <v>1.2511382848221586</v>
          </cell>
          <cell r="H15">
            <v>29.2</v>
          </cell>
          <cell r="I15">
            <v>28.586435818565974</v>
          </cell>
          <cell r="J15">
            <v>0.95971271837505667</v>
          </cell>
          <cell r="K15">
            <v>2.505903</v>
          </cell>
          <cell r="L15">
            <v>2.0899546549476784</v>
          </cell>
          <cell r="M15">
            <v>1.0883479353294181</v>
          </cell>
          <cell r="N15">
            <v>7.45</v>
          </cell>
          <cell r="O15">
            <v>5.9756682552714651</v>
          </cell>
          <cell r="P15">
            <v>0.95219247878336533</v>
          </cell>
          <cell r="Q15">
            <v>17.5</v>
          </cell>
          <cell r="R15">
            <v>11.872421307399884</v>
          </cell>
          <cell r="S15">
            <v>1.3881815889737621</v>
          </cell>
          <cell r="T15">
            <v>1.2320350702357545</v>
          </cell>
          <cell r="Y15">
            <v>84</v>
          </cell>
          <cell r="Z15">
            <v>23.196071764828964</v>
          </cell>
          <cell r="AA15">
            <v>3.5460380899806783</v>
          </cell>
        </row>
        <row r="16">
          <cell r="A16">
            <v>36800</v>
          </cell>
          <cell r="B16">
            <v>32.95373</v>
          </cell>
          <cell r="C16">
            <v>19.157397244654501</v>
          </cell>
          <cell r="D16">
            <v>1.5269546230259552</v>
          </cell>
          <cell r="E16">
            <v>23.8</v>
          </cell>
          <cell r="F16">
            <v>18.158100113765656</v>
          </cell>
          <cell r="G16">
            <v>1.1760743233638842</v>
          </cell>
          <cell r="H16">
            <v>29</v>
          </cell>
          <cell r="I16">
            <v>28.836944166176394</v>
          </cell>
          <cell r="J16">
            <v>0.94936793312833512</v>
          </cell>
          <cell r="K16">
            <v>2.2890459999999999</v>
          </cell>
          <cell r="L16">
            <v>2.1007487302370302</v>
          </cell>
          <cell r="M16">
            <v>0.98559585375191838</v>
          </cell>
          <cell r="N16">
            <v>6.1</v>
          </cell>
          <cell r="O16">
            <v>5.8504868950871032</v>
          </cell>
          <cell r="P16">
            <v>0.7557781989305512</v>
          </cell>
          <cell r="Q16">
            <v>17.649999999999999</v>
          </cell>
          <cell r="R16">
            <v>11.992555680760226</v>
          </cell>
          <cell r="S16">
            <v>1.3954852137865461</v>
          </cell>
          <cell r="T16">
            <v>1.131542690997865</v>
          </cell>
          <cell r="Y16">
            <v>91.75</v>
          </cell>
          <cell r="Z16">
            <v>23.473428182864325</v>
          </cell>
          <cell r="AA16">
            <v>3.8793842059478343</v>
          </cell>
        </row>
        <row r="17">
          <cell r="A17">
            <v>36831</v>
          </cell>
          <cell r="B17">
            <v>33.740679999999998</v>
          </cell>
          <cell r="C17">
            <v>19.383576671107729</v>
          </cell>
          <cell r="D17">
            <v>1.5492655149052359</v>
          </cell>
          <cell r="E17">
            <v>25.55</v>
          </cell>
          <cell r="F17">
            <v>18.322032992036419</v>
          </cell>
          <cell r="G17">
            <v>1.251720729690408</v>
          </cell>
          <cell r="H17">
            <v>28.8</v>
          </cell>
          <cell r="I17">
            <v>29.087452513786815</v>
          </cell>
          <cell r="J17">
            <v>0.93910469034762734</v>
          </cell>
          <cell r="K17">
            <v>2.1444749999999999</v>
          </cell>
          <cell r="L17">
            <v>2.1115428055263821</v>
          </cell>
          <cell r="M17">
            <v>0.9154580343676102</v>
          </cell>
          <cell r="N17">
            <v>6.3</v>
          </cell>
          <cell r="O17">
            <v>5.7253055349027413</v>
          </cell>
          <cell r="P17">
            <v>0.75737050143568063</v>
          </cell>
          <cell r="Q17">
            <v>16.95</v>
          </cell>
          <cell r="R17">
            <v>12.112690054120568</v>
          </cell>
          <cell r="S17">
            <v>1.335756228691902</v>
          </cell>
          <cell r="T17">
            <v>1.1247792832397441</v>
          </cell>
          <cell r="Y17">
            <v>91</v>
          </cell>
          <cell r="Z17">
            <v>23.750784600899685</v>
          </cell>
          <cell r="AA17">
            <v>3.8538235761041717</v>
          </cell>
        </row>
        <row r="18">
          <cell r="A18">
            <v>36861</v>
          </cell>
          <cell r="B18">
            <v>41.31512</v>
          </cell>
          <cell r="C18">
            <v>19.609756097560975</v>
          </cell>
          <cell r="D18">
            <v>1.8800400738416096</v>
          </cell>
          <cell r="E18">
            <v>28.2</v>
          </cell>
          <cell r="F18">
            <v>18.485965870307165</v>
          </cell>
          <cell r="G18">
            <v>1.3697973818577527</v>
          </cell>
          <cell r="H18">
            <v>31.6</v>
          </cell>
          <cell r="I18">
            <v>29.337960861397249</v>
          </cell>
          <cell r="J18">
            <v>1.0263614034268047</v>
          </cell>
          <cell r="K18">
            <v>2.5781890000000001</v>
          </cell>
          <cell r="L18">
            <v>2.1223368808157352</v>
          </cell>
          <cell r="M18">
            <v>1.0912820699481283</v>
          </cell>
          <cell r="N18">
            <v>6.7</v>
          </cell>
          <cell r="O18">
            <v>5.6001241747183812</v>
          </cell>
          <cell r="P18">
            <v>0.78222080580339037</v>
          </cell>
          <cell r="Q18">
            <v>20.149999999999999</v>
          </cell>
          <cell r="R18">
            <v>12.232824427480915</v>
          </cell>
          <cell r="S18">
            <v>1.5827567686068178</v>
          </cell>
          <cell r="T18">
            <v>1.2887430839140841</v>
          </cell>
          <cell r="Y18">
            <v>105</v>
          </cell>
          <cell r="Z18">
            <v>24.028141018935035</v>
          </cell>
          <cell r="AA18">
            <v>4.4538394976814359</v>
          </cell>
        </row>
        <row r="19">
          <cell r="A19">
            <v>36892</v>
          </cell>
          <cell r="B19">
            <v>41.511870000000002</v>
          </cell>
          <cell r="C19">
            <v>19.806914691864971</v>
          </cell>
          <cell r="D19">
            <v>1.8695394421048577</v>
          </cell>
          <cell r="E19">
            <v>30.3</v>
          </cell>
          <cell r="F19">
            <v>18.661050910125141</v>
          </cell>
          <cell r="G19">
            <v>1.4656127680225379</v>
          </cell>
          <cell r="H19">
            <v>33.799999999999997</v>
          </cell>
          <cell r="I19">
            <v>29.458828724611688</v>
          </cell>
          <cell r="J19">
            <v>1.0902196913819964</v>
          </cell>
          <cell r="K19">
            <v>2.8191410000000001</v>
          </cell>
          <cell r="L19">
            <v>2.1423531551590411</v>
          </cell>
          <cell r="M19">
            <v>1.1901263381566629</v>
          </cell>
          <cell r="N19">
            <v>6.7</v>
          </cell>
          <cell r="O19">
            <v>5.8472268617350931</v>
          </cell>
          <cell r="P19">
            <v>0.79037572607179163</v>
          </cell>
          <cell r="Q19">
            <v>21.35</v>
          </cell>
          <cell r="R19">
            <v>12.274335034894067</v>
          </cell>
          <cell r="S19">
            <v>1.6734922805422381</v>
          </cell>
          <cell r="T19">
            <v>1.3465610410466808</v>
          </cell>
          <cell r="Y19">
            <v>102.5</v>
          </cell>
          <cell r="Z19">
            <v>23.99039299787286</v>
          </cell>
          <cell r="AA19">
            <v>4.3599440061556143</v>
          </cell>
        </row>
        <row r="20">
          <cell r="A20">
            <v>36923</v>
          </cell>
          <cell r="B20">
            <v>39.741219999999998</v>
          </cell>
          <cell r="C20">
            <v>20.004073286168968</v>
          </cell>
          <cell r="D20">
            <v>1.7715517318236522</v>
          </cell>
          <cell r="E20">
            <v>28.55</v>
          </cell>
          <cell r="F20">
            <v>18.836135949943117</v>
          </cell>
          <cell r="G20">
            <v>1.3751807854933442</v>
          </cell>
          <cell r="H20">
            <v>33.1</v>
          </cell>
          <cell r="I20">
            <v>29.579696587826128</v>
          </cell>
          <cell r="J20">
            <v>1.060303529389691</v>
          </cell>
          <cell r="K20">
            <v>2.5299990000000001</v>
          </cell>
          <cell r="L20">
            <v>2.162369429502347</v>
          </cell>
          <cell r="M20">
            <v>1.0652551303334445</v>
          </cell>
          <cell r="N20">
            <v>6.45</v>
          </cell>
          <cell r="O20">
            <v>6.094329548751805</v>
          </cell>
          <cell r="P20">
            <v>0.76890014228303583</v>
          </cell>
          <cell r="Q20">
            <v>19.3</v>
          </cell>
          <cell r="R20">
            <v>12.315845642307218</v>
          </cell>
          <cell r="S20">
            <v>1.5096343344784002</v>
          </cell>
          <cell r="T20">
            <v>1.2584709423002611</v>
          </cell>
          <cell r="Y20">
            <v>92.75</v>
          </cell>
          <cell r="Z20">
            <v>23.952644976810685</v>
          </cell>
          <cell r="AA20">
            <v>3.956271962933076</v>
          </cell>
        </row>
        <row r="21">
          <cell r="A21">
            <v>36951</v>
          </cell>
          <cell r="B21">
            <v>37.872199999999999</v>
          </cell>
          <cell r="C21">
            <v>20.201231880472964</v>
          </cell>
          <cell r="D21">
            <v>1.671200725980331</v>
          </cell>
          <cell r="E21">
            <v>24.65</v>
          </cell>
          <cell r="F21">
            <v>19.011220989761092</v>
          </cell>
          <cell r="G21">
            <v>1.1823751621735554</v>
          </cell>
          <cell r="H21">
            <v>33.200000000000003</v>
          </cell>
          <cell r="I21">
            <v>29.700564451040567</v>
          </cell>
          <cell r="J21">
            <v>1.0562475215664231</v>
          </cell>
          <cell r="K21">
            <v>2.1444749999999999</v>
          </cell>
          <cell r="L21">
            <v>2.1823857038456529</v>
          </cell>
          <cell r="M21">
            <v>0.90056339240330163</v>
          </cell>
          <cell r="N21">
            <v>7.3</v>
          </cell>
          <cell r="O21">
            <v>6.3414322357685169</v>
          </cell>
          <cell r="P21">
            <v>0.87949368873090927</v>
          </cell>
          <cell r="Q21">
            <v>17.55</v>
          </cell>
          <cell r="R21">
            <v>12.35735624972037</v>
          </cell>
          <cell r="S21">
            <v>1.3698786801278473</v>
          </cell>
          <cell r="T21">
            <v>1.1766265284970612</v>
          </cell>
          <cell r="Y21">
            <v>90.5</v>
          </cell>
          <cell r="Z21">
            <v>23.91489695574851</v>
          </cell>
          <cell r="AA21">
            <v>3.87114449845338</v>
          </cell>
        </row>
        <row r="22">
          <cell r="A22">
            <v>36982</v>
          </cell>
          <cell r="B22">
            <v>41.80697</v>
          </cell>
          <cell r="C22">
            <v>20.39839047477696</v>
          </cell>
          <cell r="D22">
            <v>1.8264022549348515</v>
          </cell>
          <cell r="E22">
            <v>30.9</v>
          </cell>
          <cell r="F22">
            <v>19.186306029579068</v>
          </cell>
          <cell r="G22">
            <v>1.4760093258709124</v>
          </cell>
          <cell r="H22">
            <v>39.200000000000003</v>
          </cell>
          <cell r="I22">
            <v>29.821432314255006</v>
          </cell>
          <cell r="J22">
            <v>1.238680576073163</v>
          </cell>
          <cell r="K22">
            <v>2.313142</v>
          </cell>
          <cell r="L22">
            <v>2.2024019781889588</v>
          </cell>
          <cell r="M22">
            <v>0.9688545799609144</v>
          </cell>
          <cell r="N22">
            <v>6.7</v>
          </cell>
          <cell r="O22">
            <v>6.5885349227852288</v>
          </cell>
          <cell r="P22">
            <v>0.81589363940580106</v>
          </cell>
          <cell r="Q22">
            <v>17.7</v>
          </cell>
          <cell r="R22">
            <v>12.398866857133521</v>
          </cell>
          <cell r="S22">
            <v>1.3787028805589174</v>
          </cell>
          <cell r="T22">
            <v>1.2840905428007598</v>
          </cell>
          <cell r="Y22">
            <v>92</v>
          </cell>
          <cell r="Z22">
            <v>23.877148934686335</v>
          </cell>
          <cell r="AA22">
            <v>3.9463958236728338</v>
          </cell>
        </row>
        <row r="23">
          <cell r="A23">
            <v>37012</v>
          </cell>
          <cell r="B23">
            <v>40.92165</v>
          </cell>
          <cell r="C23">
            <v>20.595549069080956</v>
          </cell>
          <cell r="D23">
            <v>1.7700432654123017</v>
          </cell>
          <cell r="E23">
            <v>30.9</v>
          </cell>
          <cell r="F23">
            <v>19.361391069397044</v>
          </cell>
          <cell r="G23">
            <v>1.4699035634030702</v>
          </cell>
          <cell r="H23">
            <v>36.6</v>
          </cell>
          <cell r="I23">
            <v>29.942300177469445</v>
          </cell>
          <cell r="J23">
            <v>1.1487352520326373</v>
          </cell>
          <cell r="K23">
            <v>2.4336180000000001</v>
          </cell>
          <cell r="L23">
            <v>2.2224182525322647</v>
          </cell>
          <cell r="M23">
            <v>1.0166575289958915</v>
          </cell>
          <cell r="N23">
            <v>7.1</v>
          </cell>
          <cell r="O23">
            <v>6.8356376098019407</v>
          </cell>
          <cell r="P23">
            <v>0.87400974227342232</v>
          </cell>
          <cell r="Q23">
            <v>18.05</v>
          </cell>
          <cell r="R23">
            <v>12.440377464546673</v>
          </cell>
          <cell r="S23">
            <v>1.4030364253853205</v>
          </cell>
          <cell r="T23">
            <v>1.2803976295837736</v>
          </cell>
          <cell r="Y23">
            <v>86.5</v>
          </cell>
          <cell r="Z23">
            <v>23.839400913624161</v>
          </cell>
          <cell r="AA23">
            <v>3.7209547042378168</v>
          </cell>
        </row>
        <row r="24">
          <cell r="A24">
            <v>37043</v>
          </cell>
          <cell r="B24">
            <v>39.642850000000003</v>
          </cell>
          <cell r="C24">
            <v>20.792707663384952</v>
          </cell>
          <cell r="D24">
            <v>1.6979351859582372</v>
          </cell>
          <cell r="E24">
            <v>29.75</v>
          </cell>
          <cell r="F24">
            <v>19.53647610921502</v>
          </cell>
          <cell r="G24">
            <v>1.4093683239224544</v>
          </cell>
          <cell r="H24">
            <v>36.4</v>
          </cell>
          <cell r="I24">
            <v>30.063168040683884</v>
          </cell>
          <cell r="J24">
            <v>1.1348162442475207</v>
          </cell>
          <cell r="K24">
            <v>2.5781890000000001</v>
          </cell>
          <cell r="L24">
            <v>2.2424345268755705</v>
          </cell>
          <cell r="M24">
            <v>1.0742514456542336</v>
          </cell>
          <cell r="N24">
            <v>7.05</v>
          </cell>
          <cell r="O24">
            <v>7.0827402968186526</v>
          </cell>
          <cell r="P24">
            <v>0.87739998985270262</v>
          </cell>
          <cell r="Q24">
            <v>18.100000000000001</v>
          </cell>
          <cell r="R24">
            <v>12.481888071959824</v>
          </cell>
          <cell r="S24">
            <v>1.4039981096057377</v>
          </cell>
          <cell r="T24">
            <v>1.2662948832068144</v>
          </cell>
          <cell r="Y24">
            <v>80</v>
          </cell>
          <cell r="Z24">
            <v>23.801652892561986</v>
          </cell>
          <cell r="AA24">
            <v>3.4510971963671233</v>
          </cell>
        </row>
        <row r="25">
          <cell r="A25">
            <v>37073</v>
          </cell>
          <cell r="B25">
            <v>40.4298</v>
          </cell>
          <cell r="C25">
            <v>20.989866257688949</v>
          </cell>
          <cell r="D25">
            <v>1.7148454572285807</v>
          </cell>
          <cell r="E25">
            <v>27.1</v>
          </cell>
          <cell r="F25">
            <v>19.711561149032995</v>
          </cell>
          <cell r="G25">
            <v>1.2785607578154445</v>
          </cell>
          <cell r="H25">
            <v>34.1</v>
          </cell>
          <cell r="I25">
            <v>30.184035903898323</v>
          </cell>
          <cell r="J25">
            <v>1.0560470489096032</v>
          </cell>
          <cell r="K25">
            <v>2.4336180000000001</v>
          </cell>
          <cell r="L25">
            <v>2.2624508012188764</v>
          </cell>
          <cell r="M25">
            <v>1.011382573054602</v>
          </cell>
          <cell r="N25">
            <v>6.8</v>
          </cell>
          <cell r="O25">
            <v>7.3298429838353645</v>
          </cell>
          <cell r="P25">
            <v>0.85569805340082139</v>
          </cell>
          <cell r="Q25">
            <v>18.2</v>
          </cell>
          <cell r="R25">
            <v>12.523398679372976</v>
          </cell>
          <cell r="S25">
            <v>1.4088262053057008</v>
          </cell>
          <cell r="T25">
            <v>1.2208933492857923</v>
          </cell>
          <cell r="Y25">
            <v>87.5</v>
          </cell>
          <cell r="Z25">
            <v>23.763904871499811</v>
          </cell>
          <cell r="AA25">
            <v>3.785364216306526</v>
          </cell>
        </row>
        <row r="26">
          <cell r="A26">
            <v>37104</v>
          </cell>
          <cell r="B26">
            <v>37.872199999999999</v>
          </cell>
          <cell r="C26">
            <v>21.187024851992945</v>
          </cell>
          <cell r="D26">
            <v>1.590933186410626</v>
          </cell>
          <cell r="E26">
            <v>26.85</v>
          </cell>
          <cell r="F26">
            <v>19.886646188850971</v>
          </cell>
          <cell r="G26">
            <v>1.2615899588747064</v>
          </cell>
          <cell r="H26">
            <v>31.7</v>
          </cell>
          <cell r="I26">
            <v>30.304903767112762</v>
          </cell>
          <cell r="J26">
            <v>0.9752412276139879</v>
          </cell>
          <cell r="K26">
            <v>2.385427</v>
          </cell>
          <cell r="L26">
            <v>2.2824670755621823</v>
          </cell>
          <cell r="M26">
            <v>0.98878978736668333</v>
          </cell>
          <cell r="N26">
            <v>6.3</v>
          </cell>
          <cell r="O26">
            <v>7.5769456708520764</v>
          </cell>
          <cell r="P26">
            <v>0.80169471255222824</v>
          </cell>
          <cell r="Q26">
            <v>17.850000000000001</v>
          </cell>
          <cell r="R26">
            <v>12.564909286786127</v>
          </cell>
          <cell r="S26">
            <v>1.378872810504294</v>
          </cell>
          <cell r="T26">
            <v>1.1661869472204212</v>
          </cell>
          <cell r="Y26">
            <v>87.75</v>
          </cell>
          <cell r="Z26">
            <v>23.726156850437636</v>
          </cell>
          <cell r="AA26">
            <v>3.8069981618620408</v>
          </cell>
        </row>
        <row r="27">
          <cell r="A27">
            <v>37135</v>
          </cell>
          <cell r="B27">
            <v>34.134160000000001</v>
          </cell>
          <cell r="C27">
            <v>21.384183446296941</v>
          </cell>
          <cell r="D27">
            <v>1.4202628130952564</v>
          </cell>
          <cell r="E27">
            <v>24.4</v>
          </cell>
          <cell r="F27">
            <v>20.061731228668947</v>
          </cell>
          <cell r="G27">
            <v>1.1418074294783149</v>
          </cell>
          <cell r="H27">
            <v>26.4</v>
          </cell>
          <cell r="I27">
            <v>30.425771630327201</v>
          </cell>
          <cell r="J27">
            <v>0.80686251708298218</v>
          </cell>
          <cell r="K27">
            <v>1.8697889999999999</v>
          </cell>
          <cell r="L27">
            <v>2.3024833499054882</v>
          </cell>
          <cell r="M27">
            <v>0.77305097860895411</v>
          </cell>
          <cell r="N27">
            <v>7.55</v>
          </cell>
          <cell r="O27">
            <v>7.8240483578687883</v>
          </cell>
          <cell r="P27">
            <v>0.97168878505434142</v>
          </cell>
          <cell r="Q27">
            <v>15.55</v>
          </cell>
          <cell r="R27">
            <v>12.606419894199279</v>
          </cell>
          <cell r="S27">
            <v>1.1987212289000855</v>
          </cell>
          <cell r="T27">
            <v>1.0520656253699892</v>
          </cell>
          <cell r="Y27">
            <v>80.75</v>
          </cell>
          <cell r="Z27">
            <v>23.688408829375462</v>
          </cell>
          <cell r="AA27">
            <v>3.5133185027565523</v>
          </cell>
        </row>
        <row r="28">
          <cell r="A28">
            <v>37165</v>
          </cell>
          <cell r="B28">
            <v>33.248840000000001</v>
          </cell>
          <cell r="C28">
            <v>21.581342040600937</v>
          </cell>
          <cell r="D28">
            <v>1.3703875375219083</v>
          </cell>
          <cell r="E28">
            <v>23.45</v>
          </cell>
          <cell r="F28">
            <v>20.236816268486923</v>
          </cell>
          <cell r="G28">
            <v>1.0929044177939311</v>
          </cell>
          <cell r="H28">
            <v>27.25</v>
          </cell>
          <cell r="I28">
            <v>30.54663949354164</v>
          </cell>
          <cell r="J28">
            <v>0.82741543527829009</v>
          </cell>
          <cell r="K28">
            <v>2.0480939999999999</v>
          </cell>
          <cell r="L28">
            <v>2.3224996242487941</v>
          </cell>
          <cell r="M28">
            <v>0.84459013425252283</v>
          </cell>
          <cell r="N28">
            <v>6.7</v>
          </cell>
          <cell r="O28">
            <v>8.0711510448855002</v>
          </cell>
          <cell r="P28">
            <v>0.87221388722934379</v>
          </cell>
          <cell r="Q28">
            <v>15.55</v>
          </cell>
          <cell r="R28">
            <v>12.64793050161243</v>
          </cell>
          <cell r="S28">
            <v>1.1962497665106777</v>
          </cell>
          <cell r="T28">
            <v>1.0339601964311125</v>
          </cell>
          <cell r="Y28">
            <v>78.25</v>
          </cell>
          <cell r="Z28">
            <v>23.650660808313287</v>
          </cell>
          <cell r="AA28">
            <v>3.414305168301691</v>
          </cell>
        </row>
        <row r="29">
          <cell r="A29">
            <v>37196</v>
          </cell>
          <cell r="B29">
            <v>34.429270000000002</v>
          </cell>
          <cell r="C29">
            <v>21.778500634904933</v>
          </cell>
          <cell r="D29">
            <v>1.4057908190847999</v>
          </cell>
          <cell r="E29">
            <v>24</v>
          </cell>
          <cell r="F29">
            <v>20.411901308304898</v>
          </cell>
          <cell r="G29">
            <v>1.1140226117651799</v>
          </cell>
          <cell r="H29">
            <v>29.15</v>
          </cell>
          <cell r="I29">
            <v>30.667507356756079</v>
          </cell>
          <cell r="J29">
            <v>0.87937800813214417</v>
          </cell>
          <cell r="K29">
            <v>2.1685699999999999</v>
          </cell>
          <cell r="L29">
            <v>2.3425158985921</v>
          </cell>
          <cell r="M29">
            <v>0.89197570837867657</v>
          </cell>
          <cell r="N29">
            <v>7.25</v>
          </cell>
          <cell r="O29">
            <v>8.3182537319022121</v>
          </cell>
          <cell r="P29">
            <v>0.95479831570336482</v>
          </cell>
          <cell r="Q29">
            <v>16.45</v>
          </cell>
          <cell r="R29">
            <v>12.689441109025582</v>
          </cell>
          <cell r="S29">
            <v>1.2628823408990055</v>
          </cell>
          <cell r="T29">
            <v>1.0848079673271951</v>
          </cell>
          <cell r="Y29">
            <v>84.5</v>
          </cell>
          <cell r="Z29">
            <v>23.612912787251112</v>
          </cell>
          <cell r="AA29">
            <v>3.6976113680797287</v>
          </cell>
        </row>
        <row r="30">
          <cell r="A30">
            <v>37226</v>
          </cell>
          <cell r="B30">
            <v>36.298290000000001</v>
          </cell>
          <cell r="C30">
            <v>21.975659229208926</v>
          </cell>
          <cell r="D30">
            <v>1.4683950185832</v>
          </cell>
          <cell r="E30">
            <v>25</v>
          </cell>
          <cell r="F30">
            <v>20.586986348122867</v>
          </cell>
          <cell r="G30">
            <v>1.1557749538123927</v>
          </cell>
          <cell r="H30">
            <v>29.1</v>
          </cell>
          <cell r="I30">
            <v>30.788375219970522</v>
          </cell>
          <cell r="J30">
            <v>0.87222424362203765</v>
          </cell>
          <cell r="K30">
            <v>1.98</v>
          </cell>
          <cell r="L30">
            <v>2.3625321729354067</v>
          </cell>
          <cell r="M30">
            <v>0.81232739206320392</v>
          </cell>
          <cell r="N30">
            <v>7.35</v>
          </cell>
          <cell r="O30">
            <v>8.5653564189189204</v>
          </cell>
          <cell r="P30">
            <v>0.97936651988196954</v>
          </cell>
          <cell r="Q30">
            <v>16.8</v>
          </cell>
          <cell r="R30">
            <v>12.730951716438739</v>
          </cell>
          <cell r="S30">
            <v>1.2871039525272863</v>
          </cell>
          <cell r="T30">
            <v>1.0958653467483483</v>
          </cell>
          <cell r="Y30">
            <v>85.75</v>
          </cell>
          <cell r="Z30">
            <v>23.575164766188934</v>
          </cell>
          <cell r="AA30">
            <v>3.7631266642181616</v>
          </cell>
        </row>
        <row r="31">
          <cell r="A31">
            <v>37257</v>
          </cell>
          <cell r="B31">
            <v>32.461880000000001</v>
          </cell>
          <cell r="C31">
            <v>22.204329614604465</v>
          </cell>
          <cell r="D31">
            <v>1.3008415706641037</v>
          </cell>
          <cell r="E31">
            <v>24.5</v>
          </cell>
          <cell r="F31">
            <v>20.673946530147894</v>
          </cell>
          <cell r="G31">
            <v>1.127685124280926</v>
          </cell>
          <cell r="H31">
            <v>28.6</v>
          </cell>
          <cell r="I31">
            <v>31.002925618738427</v>
          </cell>
          <cell r="J31">
            <v>0.85227098862188821</v>
          </cell>
          <cell r="K31">
            <v>2.15</v>
          </cell>
          <cell r="L31">
            <v>2.3687745658720991</v>
          </cell>
          <cell r="M31">
            <v>0.88023893849499235</v>
          </cell>
          <cell r="N31">
            <v>7.1</v>
          </cell>
          <cell r="O31">
            <v>8.476980983840873</v>
          </cell>
          <cell r="P31">
            <v>0.94968533799437549</v>
          </cell>
          <cell r="Q31">
            <v>15.7</v>
          </cell>
          <cell r="R31">
            <v>12.75775230530628</v>
          </cell>
          <cell r="S31">
            <v>1.1978811206830937</v>
          </cell>
          <cell r="T31">
            <v>1.0514338467898965</v>
          </cell>
          <cell r="Y31">
            <v>85.25</v>
          </cell>
          <cell r="Z31">
            <v>23.50947623531053</v>
          </cell>
          <cell r="AA31">
            <v>3.769471422101013</v>
          </cell>
        </row>
        <row r="32">
          <cell r="A32">
            <v>37288</v>
          </cell>
          <cell r="B32">
            <v>31.970040000000001</v>
          </cell>
          <cell r="C32">
            <v>22.433000000000003</v>
          </cell>
          <cell r="D32">
            <v>1.2691892293216209</v>
          </cell>
          <cell r="E32">
            <v>23.75</v>
          </cell>
          <cell r="F32">
            <v>20.760906712172922</v>
          </cell>
          <cell r="G32">
            <v>1.0883842651533919</v>
          </cell>
          <cell r="H32">
            <v>29.25</v>
          </cell>
          <cell r="I32">
            <v>31.217476017506332</v>
          </cell>
          <cell r="J32">
            <v>0.86661984154503058</v>
          </cell>
          <cell r="K32">
            <v>2.35</v>
          </cell>
          <cell r="L32">
            <v>2.3750169588087915</v>
          </cell>
          <cell r="M32">
            <v>0.96012563199347412</v>
          </cell>
          <cell r="N32">
            <v>7.3</v>
          </cell>
          <cell r="O32">
            <v>8.3886055487628255</v>
          </cell>
          <cell r="P32">
            <v>0.98019867384176274</v>
          </cell>
          <cell r="Q32">
            <v>14.85</v>
          </cell>
          <cell r="R32">
            <v>12.784552894173821</v>
          </cell>
          <cell r="S32">
            <v>1.1283857598085016</v>
          </cell>
          <cell r="T32">
            <v>1.0488172336106303</v>
          </cell>
          <cell r="Y32">
            <v>85.5</v>
          </cell>
          <cell r="Z32">
            <v>23.443787704432125</v>
          </cell>
          <cell r="AA32">
            <v>3.8093280147284445</v>
          </cell>
        </row>
        <row r="33">
          <cell r="A33">
            <v>37316</v>
          </cell>
          <cell r="B33">
            <v>35.412959999999998</v>
          </cell>
          <cell r="C33">
            <v>22.661670385395542</v>
          </cell>
          <cell r="D33">
            <v>1.3928861788796265</v>
          </cell>
          <cell r="E33">
            <v>28.15</v>
          </cell>
          <cell r="F33">
            <v>20.847866894197949</v>
          </cell>
          <cell r="G33">
            <v>1.2844056771174817</v>
          </cell>
          <cell r="H33">
            <v>34.5</v>
          </cell>
          <cell r="I33">
            <v>31.432026416274237</v>
          </cell>
          <cell r="J33">
            <v>1.0163126917703669</v>
          </cell>
          <cell r="K33">
            <v>2.4750000000000001</v>
          </cell>
          <cell r="L33">
            <v>2.3812593517454839</v>
          </cell>
          <cell r="M33">
            <v>1.0091026799254545</v>
          </cell>
          <cell r="N33">
            <v>8</v>
          </cell>
          <cell r="O33">
            <v>8.300230113684778</v>
          </cell>
          <cell r="P33">
            <v>1.0783445532549452</v>
          </cell>
          <cell r="Q33">
            <v>15.55</v>
          </cell>
          <cell r="R33">
            <v>12.811353483041362</v>
          </cell>
          <cell r="S33">
            <v>1.1767545908772161</v>
          </cell>
          <cell r="T33">
            <v>1.1596343953041819</v>
          </cell>
          <cell r="Y33">
            <v>87.25</v>
          </cell>
          <cell r="Z33">
            <v>23.378099173553721</v>
          </cell>
          <cell r="AA33">
            <v>3.9171399552641009</v>
          </cell>
        </row>
        <row r="34">
          <cell r="A34">
            <v>37347</v>
          </cell>
          <cell r="B34">
            <v>39.151000000000003</v>
          </cell>
          <cell r="C34">
            <v>22.890340770791081</v>
          </cell>
          <cell r="D34">
            <v>1.5258207274126645</v>
          </cell>
          <cell r="E34">
            <v>28.3</v>
          </cell>
          <cell r="F34">
            <v>20.934827076222977</v>
          </cell>
          <cell r="G34">
            <v>1.2856526838688518</v>
          </cell>
          <cell r="H34">
            <v>35.4</v>
          </cell>
          <cell r="I34">
            <v>31.646576815042142</v>
          </cell>
          <cell r="J34">
            <v>1.0368865917607408</v>
          </cell>
          <cell r="K34">
            <v>2.6</v>
          </cell>
          <cell r="L34">
            <v>2.3875017446821762</v>
          </cell>
          <cell r="M34">
            <v>1.0578773539146356</v>
          </cell>
          <cell r="N34">
            <v>8</v>
          </cell>
          <cell r="O34">
            <v>8.2118546786067306</v>
          </cell>
          <cell r="P34">
            <v>1.0825310351043871</v>
          </cell>
          <cell r="Q34">
            <v>16.350000000000001</v>
          </cell>
          <cell r="R34">
            <v>12.838154071908903</v>
          </cell>
          <cell r="S34">
            <v>1.2322671184211549</v>
          </cell>
          <cell r="T34">
            <v>1.2035059184137391</v>
          </cell>
          <cell r="Y34">
            <v>89.25</v>
          </cell>
          <cell r="Z34">
            <v>23.312410642675317</v>
          </cell>
          <cell r="AA34">
            <v>4.0379308032720944</v>
          </cell>
        </row>
        <row r="35">
          <cell r="A35">
            <v>37377</v>
          </cell>
          <cell r="B35">
            <v>38.462409999999998</v>
          </cell>
          <cell r="C35">
            <v>23.11901115618662</v>
          </cell>
          <cell r="D35">
            <v>1.4853909323710843</v>
          </cell>
          <cell r="E35">
            <v>27.75</v>
          </cell>
          <cell r="F35">
            <v>21.021787258248004</v>
          </cell>
          <cell r="G35">
            <v>1.2552255787517934</v>
          </cell>
          <cell r="H35">
            <v>36</v>
          </cell>
          <cell r="I35">
            <v>31.861127213810047</v>
          </cell>
          <cell r="J35">
            <v>1.0484900758205102</v>
          </cell>
          <cell r="K35">
            <v>2.5</v>
          </cell>
          <cell r="L35">
            <v>2.3937441376188686</v>
          </cell>
          <cell r="M35">
            <v>1.0150925740307015</v>
          </cell>
          <cell r="N35">
            <v>7.75</v>
          </cell>
          <cell r="O35">
            <v>8.1234792435286831</v>
          </cell>
          <cell r="P35">
            <v>1.0527892080024446</v>
          </cell>
          <cell r="Q35">
            <v>16.95</v>
          </cell>
          <cell r="R35">
            <v>12.864954660776444</v>
          </cell>
          <cell r="S35">
            <v>1.2723177095007785</v>
          </cell>
          <cell r="T35">
            <v>1.1882176797462185</v>
          </cell>
          <cell r="Y35">
            <v>86.25</v>
          </cell>
          <cell r="Z35">
            <v>23.246722111796913</v>
          </cell>
          <cell r="AA35">
            <v>3.9326268550520429</v>
          </cell>
        </row>
        <row r="36">
          <cell r="A36">
            <v>37408</v>
          </cell>
          <cell r="B36">
            <v>37.38035</v>
          </cell>
          <cell r="C36">
            <v>23.347681541582158</v>
          </cell>
          <cell r="D36">
            <v>1.4306288552174471</v>
          </cell>
          <cell r="E36">
            <v>25.85</v>
          </cell>
          <cell r="F36">
            <v>21.108747440273032</v>
          </cell>
          <cell r="G36">
            <v>1.1642573766089759</v>
          </cell>
          <cell r="H36">
            <v>34.299999999999997</v>
          </cell>
          <cell r="I36">
            <v>32.075677612577955</v>
          </cell>
          <cell r="J36">
            <v>0.99335320091989776</v>
          </cell>
          <cell r="K36">
            <v>2.2749999999999999</v>
          </cell>
          <cell r="L36">
            <v>2.399986530555561</v>
          </cell>
          <cell r="M36">
            <v>0.92183365332479417</v>
          </cell>
          <cell r="N36">
            <v>7.35</v>
          </cell>
          <cell r="O36">
            <v>8.0351038084506357</v>
          </cell>
          <cell r="P36">
            <v>1.0023583462040389</v>
          </cell>
          <cell r="Q36">
            <v>15.7</v>
          </cell>
          <cell r="R36">
            <v>12.891755249643985</v>
          </cell>
          <cell r="S36">
            <v>1.173738641060893</v>
          </cell>
          <cell r="T36">
            <v>1.1143616788893411</v>
          </cell>
          <cell r="Y36">
            <v>83.5</v>
          </cell>
          <cell r="Z36">
            <v>23.181033580918509</v>
          </cell>
          <cell r="AA36">
            <v>3.837156420888169</v>
          </cell>
        </row>
        <row r="37">
          <cell r="A37">
            <v>37438</v>
          </cell>
          <cell r="B37">
            <v>34.724379999999996</v>
          </cell>
          <cell r="C37">
            <v>23.576351926977697</v>
          </cell>
          <cell r="D37">
            <v>1.3171418121903058</v>
          </cell>
          <cell r="E37">
            <v>24.75</v>
          </cell>
          <cell r="F37">
            <v>21.195707622298059</v>
          </cell>
          <cell r="G37">
            <v>1.1099446751985811</v>
          </cell>
          <cell r="H37">
            <v>31</v>
          </cell>
          <cell r="I37">
            <v>32.29022801134586</v>
          </cell>
          <cell r="J37">
            <v>0.89275602625726214</v>
          </cell>
          <cell r="K37">
            <v>2.2250000000000001</v>
          </cell>
          <cell r="L37">
            <v>2.4062289234922534</v>
          </cell>
          <cell r="M37">
            <v>0.89972238852986253</v>
          </cell>
          <cell r="N37">
            <v>6.75</v>
          </cell>
          <cell r="O37">
            <v>7.9467283733725882</v>
          </cell>
          <cell r="P37">
            <v>0.92414909672042334</v>
          </cell>
          <cell r="Q37">
            <v>15.05</v>
          </cell>
          <cell r="R37">
            <v>12.918555838511526</v>
          </cell>
          <cell r="S37">
            <v>1.1206272699563302</v>
          </cell>
          <cell r="T37">
            <v>1.0440568781421276</v>
          </cell>
          <cell r="V37">
            <v>8.4499999999999993</v>
          </cell>
          <cell r="W37">
            <v>0.44880101140032286</v>
          </cell>
          <cell r="X37">
            <v>1.5173862188832206</v>
          </cell>
          <cell r="Y37">
            <v>86.25</v>
          </cell>
          <cell r="Z37">
            <v>23.115345050040105</v>
          </cell>
          <cell r="AA37">
            <v>3.9949223410935053</v>
          </cell>
          <cell r="AB37">
            <v>2.2109786099776851</v>
          </cell>
        </row>
        <row r="38">
          <cell r="A38">
            <v>37469</v>
          </cell>
          <cell r="B38">
            <v>33.642319999999998</v>
          </cell>
          <cell r="C38">
            <v>23.805022312373236</v>
          </cell>
          <cell r="D38">
            <v>1.2648320124750081</v>
          </cell>
          <cell r="E38">
            <v>25.7</v>
          </cell>
          <cell r="F38">
            <v>21.282667804323086</v>
          </cell>
          <cell r="G38">
            <v>1.1476378995781518</v>
          </cell>
          <cell r="H38">
            <v>30.8</v>
          </cell>
          <cell r="I38">
            <v>32.504778410113765</v>
          </cell>
          <cell r="J38">
            <v>0.88205760622854867</v>
          </cell>
          <cell r="K38">
            <v>2.25</v>
          </cell>
          <cell r="L38">
            <v>2.4124713164289457</v>
          </cell>
          <cell r="M38">
            <v>0.90796731619263527</v>
          </cell>
          <cell r="N38">
            <v>6.5</v>
          </cell>
          <cell r="O38">
            <v>7.8583529382945407</v>
          </cell>
          <cell r="P38">
            <v>0.8934308139759527</v>
          </cell>
          <cell r="Q38">
            <v>14.85</v>
          </cell>
          <cell r="R38">
            <v>12.945356427379068</v>
          </cell>
          <cell r="S38">
            <v>1.1013137892302445</v>
          </cell>
          <cell r="T38">
            <v>1.0328732396134235</v>
          </cell>
          <cell r="V38">
            <v>8.4</v>
          </cell>
          <cell r="W38">
            <v>0.89760202280064572</v>
          </cell>
          <cell r="X38">
            <v>1.5013527326823053</v>
          </cell>
          <cell r="Y38">
            <v>83.75</v>
          </cell>
          <cell r="Z38">
            <v>23.049656519161701</v>
          </cell>
          <cell r="AA38">
            <v>3.910096787848202</v>
          </cell>
          <cell r="AB38">
            <v>2.1709211032535838</v>
          </cell>
        </row>
        <row r="39">
          <cell r="A39">
            <v>37500</v>
          </cell>
          <cell r="B39">
            <v>33.150469999999999</v>
          </cell>
          <cell r="C39">
            <v>24.033692697768775</v>
          </cell>
          <cell r="D39">
            <v>1.2354333672986177</v>
          </cell>
          <cell r="E39">
            <v>25.5</v>
          </cell>
          <cell r="F39">
            <v>21.369627986348114</v>
          </cell>
          <cell r="G39">
            <v>1.1338757131034705</v>
          </cell>
          <cell r="H39">
            <v>28.8</v>
          </cell>
          <cell r="I39">
            <v>32.71932880888167</v>
          </cell>
          <cell r="J39">
            <v>0.82021427005366554</v>
          </cell>
          <cell r="K39">
            <v>1.99</v>
          </cell>
          <cell r="L39">
            <v>2.4187137093656381</v>
          </cell>
          <cell r="M39">
            <v>0.8014045111122341</v>
          </cell>
          <cell r="N39">
            <v>6.4</v>
          </cell>
          <cell r="O39">
            <v>7.7699775032164933</v>
          </cell>
          <cell r="P39">
            <v>0.88316855602574862</v>
          </cell>
          <cell r="Q39">
            <v>13.7</v>
          </cell>
          <cell r="R39">
            <v>12.972157016246609</v>
          </cell>
          <cell r="S39">
            <v>1.011980329728114</v>
          </cell>
          <cell r="T39">
            <v>0.98101279122030827</v>
          </cell>
          <cell r="V39">
            <v>7.8</v>
          </cell>
          <cell r="W39">
            <v>1.3464030342009685</v>
          </cell>
          <cell r="X39">
            <v>1.3876232942403792</v>
          </cell>
          <cell r="Y39">
            <v>81.75</v>
          </cell>
          <cell r="Z39">
            <v>22.983967988283297</v>
          </cell>
          <cell r="AA39">
            <v>3.8474376411651412</v>
          </cell>
          <cell r="AB39">
            <v>2.0823470883778783</v>
          </cell>
        </row>
        <row r="40">
          <cell r="A40">
            <v>37530</v>
          </cell>
          <cell r="B40">
            <v>35.609699999999997</v>
          </cell>
          <cell r="C40">
            <v>24.262363083164313</v>
          </cell>
          <cell r="D40">
            <v>1.3155699263867306</v>
          </cell>
          <cell r="E40">
            <v>24.9</v>
          </cell>
          <cell r="F40">
            <v>21.456588168373141</v>
          </cell>
          <cell r="G40">
            <v>1.102518666741807</v>
          </cell>
          <cell r="H40">
            <v>28</v>
          </cell>
          <cell r="I40">
            <v>32.933879207649575</v>
          </cell>
          <cell r="J40">
            <v>0.79303942806110594</v>
          </cell>
          <cell r="K40">
            <v>2.0249999999999999</v>
          </cell>
          <cell r="L40">
            <v>2.4249561023023305</v>
          </cell>
          <cell r="M40">
            <v>0.81383536621761565</v>
          </cell>
          <cell r="N40">
            <v>5.75</v>
          </cell>
          <cell r="O40">
            <v>7.6816020681384458</v>
          </cell>
          <cell r="P40">
            <v>0.79662573183653473</v>
          </cell>
          <cell r="Q40">
            <v>13.6</v>
          </cell>
          <cell r="R40">
            <v>12.99895760511415</v>
          </cell>
          <cell r="S40">
            <v>1.0006084857433764</v>
          </cell>
          <cell r="T40">
            <v>0.97036626749786181</v>
          </cell>
          <cell r="V40">
            <v>7.95</v>
          </cell>
          <cell r="W40">
            <v>1.7952040456012914</v>
          </cell>
          <cell r="X40">
            <v>1.4077548946813079</v>
          </cell>
          <cell r="Y40">
            <v>84.25</v>
          </cell>
          <cell r="Z40">
            <v>22.918279457404893</v>
          </cell>
          <cell r="AA40">
            <v>3.9972655716820622</v>
          </cell>
          <cell r="AB40">
            <v>2.1352096507022487</v>
          </cell>
        </row>
        <row r="41">
          <cell r="A41">
            <v>37561</v>
          </cell>
          <cell r="B41">
            <v>35.904809999999998</v>
          </cell>
          <cell r="C41">
            <v>24.491033468559852</v>
          </cell>
          <cell r="D41">
            <v>1.3150641119959694</v>
          </cell>
          <cell r="E41">
            <v>24.1</v>
          </cell>
          <cell r="F41">
            <v>21.543548350398169</v>
          </cell>
          <cell r="G41">
            <v>1.0626071400403576</v>
          </cell>
          <cell r="H41">
            <v>28.05</v>
          </cell>
          <cell r="I41">
            <v>33.14842960641748</v>
          </cell>
          <cell r="J41">
            <v>0.79010479739194506</v>
          </cell>
          <cell r="K41">
            <v>2.25</v>
          </cell>
          <cell r="L41">
            <v>2.4311984952390229</v>
          </cell>
          <cell r="M41">
            <v>0.90241993952682698</v>
          </cell>
          <cell r="N41">
            <v>6.1</v>
          </cell>
          <cell r="O41">
            <v>7.5932266330603984</v>
          </cell>
          <cell r="P41">
            <v>0.84848866358028774</v>
          </cell>
          <cell r="Q41">
            <v>13.6</v>
          </cell>
          <cell r="R41">
            <v>13.025758193981691</v>
          </cell>
          <cell r="S41">
            <v>0.99665485179214575</v>
          </cell>
          <cell r="T41">
            <v>0.98588991738792198</v>
          </cell>
          <cell r="V41">
            <v>8.65</v>
          </cell>
          <cell r="W41">
            <v>2.2440050570016141</v>
          </cell>
          <cell r="X41">
            <v>1.5246434346746089</v>
          </cell>
          <cell r="Y41">
            <v>84.75</v>
          </cell>
          <cell r="Z41">
            <v>22.852590926526489</v>
          </cell>
          <cell r="AA41">
            <v>4.0538777978170017</v>
          </cell>
          <cell r="AB41">
            <v>2.1917253614279186</v>
          </cell>
        </row>
        <row r="42">
          <cell r="A42">
            <v>37591</v>
          </cell>
          <cell r="B42">
            <v>38.855890000000002</v>
          </cell>
          <cell r="C42">
            <v>24.719703853955373</v>
          </cell>
          <cell r="D42">
            <v>1.4110160408073071</v>
          </cell>
          <cell r="E42">
            <v>24.95</v>
          </cell>
          <cell r="F42">
            <v>21.630508532423207</v>
          </cell>
          <cell r="G42">
            <v>1.0954763513811596</v>
          </cell>
          <cell r="H42">
            <v>28.75</v>
          </cell>
          <cell r="I42">
            <v>33.362980005185399</v>
          </cell>
          <cell r="J42">
            <v>0.80541143623320222</v>
          </cell>
          <cell r="K42">
            <v>2.25</v>
          </cell>
          <cell r="L42">
            <v>2.4374408881757175</v>
          </cell>
          <cell r="M42">
            <v>0.90058584674151954</v>
          </cell>
          <cell r="N42">
            <v>6.1</v>
          </cell>
          <cell r="O42">
            <v>7.5048511979823456</v>
          </cell>
          <cell r="P42">
            <v>0.85188836039379401</v>
          </cell>
          <cell r="Q42">
            <v>13.35</v>
          </cell>
          <cell r="R42">
            <v>13.052558782849239</v>
          </cell>
          <cell r="S42">
            <v>0.97448358208955221</v>
          </cell>
          <cell r="T42">
            <v>1.0064769362744224</v>
          </cell>
          <cell r="V42">
            <v>8</v>
          </cell>
          <cell r="W42">
            <v>5.3856121368038741</v>
          </cell>
          <cell r="X42">
            <v>1.4036010023066328</v>
          </cell>
          <cell r="Y42">
            <v>83</v>
          </cell>
          <cell r="Z42">
            <v>22.786902395648081</v>
          </cell>
          <cell r="AA42">
            <v>4.0029111273681286</v>
          </cell>
          <cell r="AB42">
            <v>2.1269985705881043</v>
          </cell>
        </row>
        <row r="43">
          <cell r="A43">
            <v>37622</v>
          </cell>
          <cell r="B43">
            <v>37.970570000000002</v>
          </cell>
          <cell r="C43">
            <v>24.954522312373221</v>
          </cell>
          <cell r="D43">
            <v>1.3552570033147704</v>
          </cell>
          <cell r="E43">
            <v>25.75</v>
          </cell>
          <cell r="F43">
            <v>21.725922841823905</v>
          </cell>
          <cell r="G43">
            <v>1.1207143999639879</v>
          </cell>
          <cell r="H43">
            <v>29.15</v>
          </cell>
          <cell r="I43">
            <v>33.557401791002945</v>
          </cell>
          <cell r="J43">
            <v>0.80623818045778894</v>
          </cell>
          <cell r="K43">
            <v>2.15</v>
          </cell>
          <cell r="L43">
            <v>2.4425186230411589</v>
          </cell>
          <cell r="M43">
            <v>0.85745258466287932</v>
          </cell>
          <cell r="N43">
            <v>6.2</v>
          </cell>
          <cell r="O43">
            <v>7.4761604880563599</v>
          </cell>
          <cell r="P43">
            <v>0.85599498086291959</v>
          </cell>
          <cell r="Q43">
            <v>14.45</v>
          </cell>
          <cell r="R43">
            <v>13.106475867193772</v>
          </cell>
          <cell r="S43">
            <v>1.0494160835893831</v>
          </cell>
          <cell r="T43">
            <v>1.0075122054752883</v>
          </cell>
          <cell r="V43">
            <v>8.0500000000000007</v>
          </cell>
          <cell r="W43">
            <v>5.4117799132364812</v>
          </cell>
          <cell r="X43">
            <v>1.3891351946128352</v>
          </cell>
          <cell r="Y43">
            <v>83</v>
          </cell>
          <cell r="Z43">
            <v>22.615902988457648</v>
          </cell>
          <cell r="AA43">
            <v>4.0227418785795628</v>
          </cell>
          <cell r="AB43">
            <v>2.1537643855939272</v>
          </cell>
        </row>
        <row r="44">
          <cell r="A44">
            <v>37653</v>
          </cell>
          <cell r="B44">
            <v>37.183610000000002</v>
          </cell>
          <cell r="C44">
            <v>25.18934077079107</v>
          </cell>
          <cell r="D44">
            <v>1.3048268701214774</v>
          </cell>
          <cell r="E44">
            <v>26</v>
          </cell>
          <cell r="F44">
            <v>21.821337151224604</v>
          </cell>
          <cell r="G44">
            <v>1.1217847844369899</v>
          </cell>
          <cell r="H44">
            <v>30.7</v>
          </cell>
          <cell r="I44">
            <v>33.751823576820492</v>
          </cell>
          <cell r="J44">
            <v>0.83845198350229322</v>
          </cell>
          <cell r="K44">
            <v>2.0750000000000002</v>
          </cell>
          <cell r="L44">
            <v>2.4475963579066002</v>
          </cell>
          <cell r="M44">
            <v>0.82456419296193662</v>
          </cell>
          <cell r="N44">
            <v>6.4</v>
          </cell>
          <cell r="O44">
            <v>7.4474697781303743</v>
          </cell>
          <cell r="P44">
            <v>0.87366007542761548</v>
          </cell>
          <cell r="Q44">
            <v>14.55</v>
          </cell>
          <cell r="R44">
            <v>13.160392951538306</v>
          </cell>
          <cell r="S44">
            <v>1.0513339612956332</v>
          </cell>
          <cell r="T44">
            <v>1.0024369779576576</v>
          </cell>
          <cell r="V44">
            <v>8</v>
          </cell>
          <cell r="W44">
            <v>5.4379476896690884</v>
          </cell>
          <cell r="X44">
            <v>1.3581606956000463</v>
          </cell>
          <cell r="Y44">
            <v>85.25</v>
          </cell>
          <cell r="Z44">
            <v>22.444903581267216</v>
          </cell>
          <cell r="AA44">
            <v>4.1523632596039937</v>
          </cell>
          <cell r="AB44">
            <v>2.1872859721665576</v>
          </cell>
        </row>
        <row r="45">
          <cell r="A45">
            <v>37681</v>
          </cell>
          <cell r="B45">
            <v>35.904809999999998</v>
          </cell>
          <cell r="C45">
            <v>25.424159229208918</v>
          </cell>
          <cell r="D45">
            <v>1.2390928783635153</v>
          </cell>
          <cell r="E45">
            <v>26.75</v>
          </cell>
          <cell r="F45">
            <v>21.916751460625303</v>
          </cell>
          <cell r="G45">
            <v>1.1442241361099033</v>
          </cell>
          <cell r="H45">
            <v>30.4</v>
          </cell>
          <cell r="I45">
            <v>33.946245362638038</v>
          </cell>
          <cell r="J45">
            <v>0.81996786787919662</v>
          </cell>
          <cell r="K45">
            <v>1.98</v>
          </cell>
          <cell r="L45">
            <v>2.4526740927720416</v>
          </cell>
          <cell r="M45">
            <v>0.78399248280335887</v>
          </cell>
          <cell r="N45">
            <v>6.6</v>
          </cell>
          <cell r="O45">
            <v>7.4187790682043886</v>
          </cell>
          <cell r="P45">
            <v>0.89093185106277317</v>
          </cell>
          <cell r="Q45">
            <v>14.3</v>
          </cell>
          <cell r="R45">
            <v>13.214310035882839</v>
          </cell>
          <cell r="S45">
            <v>1.0280699839183642</v>
          </cell>
          <cell r="T45">
            <v>0.9843798666895186</v>
          </cell>
          <cell r="V45">
            <v>8.15</v>
          </cell>
          <cell r="W45">
            <v>5.4641154661016955</v>
          </cell>
          <cell r="X45">
            <v>1.3615861515914058</v>
          </cell>
          <cell r="Y45">
            <v>79.5</v>
          </cell>
          <cell r="Z45">
            <v>22.273904174076783</v>
          </cell>
          <cell r="AA45">
            <v>3.8916674668254192</v>
          </cell>
          <cell r="AB45">
            <v>2.0937745341117298</v>
          </cell>
        </row>
        <row r="46">
          <cell r="A46">
            <v>37712</v>
          </cell>
          <cell r="B46">
            <v>35.019489999999998</v>
          </cell>
          <cell r="C46">
            <v>25.658977687626766</v>
          </cell>
          <cell r="D46">
            <v>1.1888579917764217</v>
          </cell>
          <cell r="E46">
            <v>24.55</v>
          </cell>
          <cell r="F46">
            <v>22.012165770026002</v>
          </cell>
          <cell r="G46">
            <v>1.0411708957074051</v>
          </cell>
          <cell r="H46">
            <v>28.45</v>
          </cell>
          <cell r="I46">
            <v>34.140667148455584</v>
          </cell>
          <cell r="J46">
            <v>0.7579763850217015</v>
          </cell>
          <cell r="K46">
            <v>1.79</v>
          </cell>
          <cell r="L46">
            <v>2.457751827637483</v>
          </cell>
          <cell r="M46">
            <v>0.70622918070410623</v>
          </cell>
          <cell r="N46">
            <v>6.1</v>
          </cell>
          <cell r="O46">
            <v>7.3900883582784029</v>
          </cell>
          <cell r="P46">
            <v>0.81437090074865459</v>
          </cell>
          <cell r="Q46">
            <v>14.45</v>
          </cell>
          <cell r="R46">
            <v>13.268227120227372</v>
          </cell>
          <cell r="S46">
            <v>1.0336521905120621</v>
          </cell>
          <cell r="T46">
            <v>0.92370959074505865</v>
          </cell>
          <cell r="V46">
            <v>7.6</v>
          </cell>
          <cell r="W46">
            <v>5.4902832425343027</v>
          </cell>
          <cell r="X46">
            <v>1.2497917876399838</v>
          </cell>
          <cell r="Y46">
            <v>77.25</v>
          </cell>
          <cell r="Z46">
            <v>22.102904766886351</v>
          </cell>
          <cell r="AA46">
            <v>3.8005425551990952</v>
          </cell>
          <cell r="AB46">
            <v>2.0279955111170471</v>
          </cell>
        </row>
        <row r="47">
          <cell r="A47">
            <v>37742</v>
          </cell>
          <cell r="B47">
            <v>36.790140000000001</v>
          </cell>
          <cell r="C47">
            <v>25.893796146044615</v>
          </cell>
          <cell r="D47">
            <v>1.2289543288970648</v>
          </cell>
          <cell r="E47">
            <v>26.1</v>
          </cell>
          <cell r="F47">
            <v>22.1075800794267</v>
          </cell>
          <cell r="G47">
            <v>1.0975536919203366</v>
          </cell>
          <cell r="H47">
            <v>31.4</v>
          </cell>
          <cell r="I47">
            <v>34.335088934273131</v>
          </cell>
          <cell r="J47">
            <v>0.82645327991390827</v>
          </cell>
          <cell r="K47">
            <v>2.0249999999999999</v>
          </cell>
          <cell r="L47">
            <v>2.4628295625029244</v>
          </cell>
          <cell r="M47">
            <v>0.79610273341821014</v>
          </cell>
          <cell r="N47">
            <v>6.4</v>
          </cell>
          <cell r="O47">
            <v>7.3613976483524173</v>
          </cell>
          <cell r="P47">
            <v>0.84511711573542336</v>
          </cell>
          <cell r="Q47">
            <v>14.7</v>
          </cell>
          <cell r="R47">
            <v>13.322144204571906</v>
          </cell>
          <cell r="S47">
            <v>1.0462964360611813</v>
          </cell>
          <cell r="T47">
            <v>0.97341293099102089</v>
          </cell>
          <cell r="V47">
            <v>8</v>
          </cell>
          <cell r="W47">
            <v>5.5164510189669098</v>
          </cell>
          <cell r="X47">
            <v>1.2952613330236586</v>
          </cell>
          <cell r="Y47">
            <v>83</v>
          </cell>
          <cell r="Z47">
            <v>21.931905359695918</v>
          </cell>
          <cell r="AA47">
            <v>4.1040694704580298</v>
          </cell>
          <cell r="AB47">
            <v>2.1485424131809565</v>
          </cell>
        </row>
        <row r="48">
          <cell r="A48">
            <v>37773</v>
          </cell>
          <cell r="B48">
            <v>38.167299999999997</v>
          </cell>
          <cell r="C48">
            <v>26.128614604462463</v>
          </cell>
          <cell r="D48">
            <v>1.2548488571523075</v>
          </cell>
          <cell r="E48">
            <v>28.65</v>
          </cell>
          <cell r="F48">
            <v>22.202994388827399</v>
          </cell>
          <cell r="G48">
            <v>1.1946911515926559</v>
          </cell>
          <cell r="H48">
            <v>33</v>
          </cell>
          <cell r="I48">
            <v>34.529510720090677</v>
          </cell>
          <cell r="J48">
            <v>0.85818592965246243</v>
          </cell>
          <cell r="K48">
            <v>2.1749999999999998</v>
          </cell>
          <cell r="L48">
            <v>2.4679072973683658</v>
          </cell>
          <cell r="M48">
            <v>0.85204064216291509</v>
          </cell>
          <cell r="N48">
            <v>6.5</v>
          </cell>
          <cell r="O48">
            <v>7.3327069384264316</v>
          </cell>
          <cell r="P48">
            <v>0.8490754815482634</v>
          </cell>
          <cell r="Q48">
            <v>15.4</v>
          </cell>
          <cell r="R48">
            <v>13.376061288916439</v>
          </cell>
          <cell r="S48">
            <v>1.090686007726889</v>
          </cell>
          <cell r="T48">
            <v>1.0165880116392489</v>
          </cell>
          <cell r="V48">
            <v>7.85</v>
          </cell>
          <cell r="W48">
            <v>5.542618795399517</v>
          </cell>
          <cell r="X48">
            <v>1.251652930575559</v>
          </cell>
          <cell r="Y48">
            <v>82.5</v>
          </cell>
          <cell r="Z48">
            <v>21.760905952505485</v>
          </cell>
          <cell r="AA48">
            <v>4.1000688875313589</v>
          </cell>
          <cell r="AB48">
            <v>2.1474692752779356</v>
          </cell>
        </row>
        <row r="49">
          <cell r="A49">
            <v>37803</v>
          </cell>
          <cell r="B49">
            <v>37.872199999999999</v>
          </cell>
          <cell r="C49">
            <v>26.363433062880311</v>
          </cell>
          <cell r="D49">
            <v>1.2258130505522813</v>
          </cell>
          <cell r="E49">
            <v>31.1</v>
          </cell>
          <cell r="F49">
            <v>22.298408698228098</v>
          </cell>
          <cell r="G49">
            <v>1.2860790221155576</v>
          </cell>
          <cell r="H49">
            <v>33</v>
          </cell>
          <cell r="I49">
            <v>34.723932505908223</v>
          </cell>
          <cell r="J49">
            <v>0.84805145987945263</v>
          </cell>
          <cell r="K49">
            <v>2.375</v>
          </cell>
          <cell r="L49">
            <v>2.4729850322338072</v>
          </cell>
          <cell r="M49">
            <v>0.9271010839940097</v>
          </cell>
          <cell r="N49">
            <v>7.65</v>
          </cell>
          <cell r="O49">
            <v>7.304016228500446</v>
          </cell>
          <cell r="P49">
            <v>0.9886459771113818</v>
          </cell>
          <cell r="Q49">
            <v>16.350000000000001</v>
          </cell>
          <cell r="R49">
            <v>13.429978373260973</v>
          </cell>
          <cell r="S49">
            <v>1.1522562203350406</v>
          </cell>
          <cell r="T49">
            <v>1.071324468997954</v>
          </cell>
          <cell r="V49">
            <v>8.5</v>
          </cell>
          <cell r="W49">
            <v>5.5687865718321241</v>
          </cell>
          <cell r="X49">
            <v>1.3349974189507205</v>
          </cell>
          <cell r="Y49">
            <v>84</v>
          </cell>
          <cell r="Z49">
            <v>21.589906545315053</v>
          </cell>
          <cell r="AA49">
            <v>4.1959305604243209</v>
          </cell>
          <cell r="AB49">
            <v>2.2277280665700272</v>
          </cell>
        </row>
        <row r="50">
          <cell r="A50">
            <v>37834</v>
          </cell>
          <cell r="B50">
            <v>45.446640000000002</v>
          </cell>
          <cell r="C50">
            <v>26.59825152129816</v>
          </cell>
          <cell r="D50">
            <v>1.4484847618747381</v>
          </cell>
          <cell r="E50">
            <v>35.5</v>
          </cell>
          <cell r="F50">
            <v>22.393823007628797</v>
          </cell>
          <cell r="G50">
            <v>1.4559345405900352</v>
          </cell>
          <cell r="H50">
            <v>39.799999999999997</v>
          </cell>
          <cell r="I50">
            <v>34.91835429172577</v>
          </cell>
          <cell r="J50">
            <v>1.0108639856711763</v>
          </cell>
          <cell r="K50">
            <v>2.4500000000000002</v>
          </cell>
          <cell r="L50">
            <v>2.4780627670992486</v>
          </cell>
          <cell r="M50">
            <v>0.95300989276142078</v>
          </cell>
          <cell r="N50">
            <v>9</v>
          </cell>
          <cell r="O50">
            <v>7.2753255185744603</v>
          </cell>
          <cell r="P50">
            <v>1.1508471293730145</v>
          </cell>
          <cell r="Q50">
            <v>18.399999999999999</v>
          </cell>
          <cell r="R50">
            <v>13.483895457605506</v>
          </cell>
          <cell r="S50">
            <v>1.2903632320085225</v>
          </cell>
          <cell r="T50">
            <v>1.218250590379818</v>
          </cell>
          <cell r="V50">
            <v>10</v>
          </cell>
          <cell r="W50">
            <v>5.5949543482647313</v>
          </cell>
          <cell r="X50">
            <v>1.5474126365397101</v>
          </cell>
          <cell r="Y50">
            <v>86.5</v>
          </cell>
          <cell r="Z50">
            <v>21.41890713812462</v>
          </cell>
          <cell r="AA50">
            <v>4.3429840764052443</v>
          </cell>
          <cell r="AB50">
            <v>2.3935866483178256</v>
          </cell>
        </row>
        <row r="51">
          <cell r="A51">
            <v>37865</v>
          </cell>
          <cell r="B51">
            <v>46.627070000000003</v>
          </cell>
          <cell r="C51">
            <v>26.833069979716008</v>
          </cell>
          <cell r="D51">
            <v>1.463727594900792</v>
          </cell>
          <cell r="E51">
            <v>41</v>
          </cell>
          <cell r="F51">
            <v>22.489237317029495</v>
          </cell>
          <cell r="G51">
            <v>1.6677581761728211</v>
          </cell>
          <cell r="H51">
            <v>45.6</v>
          </cell>
          <cell r="I51">
            <v>35.112776077543316</v>
          </cell>
          <cell r="J51">
            <v>1.1448142964453107</v>
          </cell>
          <cell r="K51">
            <v>2.875</v>
          </cell>
          <cell r="L51">
            <v>2.4831405019646899</v>
          </cell>
          <cell r="M51">
            <v>1.1144033512314031</v>
          </cell>
          <cell r="N51">
            <v>9.3000000000000007</v>
          </cell>
          <cell r="O51">
            <v>7.2466348086484746</v>
          </cell>
          <cell r="P51">
            <v>1.1767985910812384</v>
          </cell>
          <cell r="Q51">
            <v>19.899999999999999</v>
          </cell>
          <cell r="R51">
            <v>13.537812541950039</v>
          </cell>
          <cell r="S51">
            <v>1.388738740169001</v>
          </cell>
          <cell r="T51">
            <v>1.3260401250000944</v>
          </cell>
          <cell r="V51">
            <v>11.2</v>
          </cell>
          <cell r="W51">
            <v>5.6211221246973384</v>
          </cell>
          <cell r="X51">
            <v>1.7079035823102033</v>
          </cell>
          <cell r="Y51">
            <v>95</v>
          </cell>
          <cell r="Z51">
            <v>21.247907730934187</v>
          </cell>
          <cell r="AA51">
            <v>4.7943561958437027</v>
          </cell>
          <cell r="AB51">
            <v>2.6303328394409689</v>
          </cell>
        </row>
        <row r="52">
          <cell r="A52">
            <v>37895</v>
          </cell>
          <cell r="B52">
            <v>53.365369999999999</v>
          </cell>
          <cell r="C52">
            <v>27.067888438133856</v>
          </cell>
          <cell r="D52">
            <v>1.6504035468404761</v>
          </cell>
          <cell r="E52">
            <v>47.9</v>
          </cell>
          <cell r="F52">
            <v>22.584651626430194</v>
          </cell>
          <cell r="G52">
            <v>1.9326333732515217</v>
          </cell>
          <cell r="H52">
            <v>48.9</v>
          </cell>
          <cell r="I52">
            <v>35.307197863360862</v>
          </cell>
          <cell r="J52">
            <v>1.2136610566785053</v>
          </cell>
          <cell r="K52">
            <v>3.4750000000000001</v>
          </cell>
          <cell r="L52">
            <v>2.4882182368301313</v>
          </cell>
          <cell r="M52">
            <v>1.3422640351004589</v>
          </cell>
          <cell r="N52">
            <v>10.45</v>
          </cell>
          <cell r="O52">
            <v>7.217944098722489</v>
          </cell>
          <cell r="P52">
            <v>1.3086600404572482</v>
          </cell>
          <cell r="Q52">
            <v>23.2</v>
          </cell>
          <cell r="R52">
            <v>13.591729626294573</v>
          </cell>
          <cell r="S52">
            <v>1.6111617401045661</v>
          </cell>
          <cell r="T52">
            <v>1.5097972987387962</v>
          </cell>
          <cell r="V52">
            <v>13.45</v>
          </cell>
          <cell r="W52">
            <v>5.6472899011299456</v>
          </cell>
          <cell r="X52">
            <v>2.0216157762924398</v>
          </cell>
          <cell r="Y52">
            <v>97</v>
          </cell>
          <cell r="Z52">
            <v>21.076908323743755</v>
          </cell>
          <cell r="AA52">
            <v>4.920673444748612</v>
          </cell>
          <cell r="AB52">
            <v>2.8511503203818727</v>
          </cell>
        </row>
        <row r="53">
          <cell r="A53">
            <v>37926</v>
          </cell>
          <cell r="B53">
            <v>56.562370000000001</v>
          </cell>
          <cell r="C53">
            <v>27.302706896551705</v>
          </cell>
          <cell r="D53">
            <v>1.723702507845644</v>
          </cell>
          <cell r="E53">
            <v>46.4</v>
          </cell>
          <cell r="F53">
            <v>22.680065935830893</v>
          </cell>
          <cell r="G53">
            <v>1.857056970709078</v>
          </cell>
          <cell r="H53">
            <v>50.25</v>
          </cell>
          <cell r="I53">
            <v>35.501619649178409</v>
          </cell>
          <cell r="J53">
            <v>1.2331033427715785</v>
          </cell>
          <cell r="K53">
            <v>3.55</v>
          </cell>
          <cell r="L53">
            <v>2.4932959716955727</v>
          </cell>
          <cell r="M53">
            <v>1.3664551869976642</v>
          </cell>
          <cell r="N53">
            <v>10.45</v>
          </cell>
          <cell r="O53">
            <v>7.1892533887965033</v>
          </cell>
          <cell r="P53">
            <v>1.2952825880360144</v>
          </cell>
          <cell r="Q53">
            <v>24.4</v>
          </cell>
          <cell r="R53">
            <v>13.645646710639106</v>
          </cell>
          <cell r="S53">
            <v>1.6863003321751149</v>
          </cell>
          <cell r="T53">
            <v>1.5269834880891826</v>
          </cell>
          <cell r="V53">
            <v>14.45</v>
          </cell>
          <cell r="W53">
            <v>5.6734576775625527</v>
          </cell>
          <cell r="X53">
            <v>2.1412352969344757</v>
          </cell>
          <cell r="Y53">
            <v>99.75</v>
          </cell>
          <cell r="Z53">
            <v>20.905908916553322</v>
          </cell>
          <cell r="AA53">
            <v>5.0865522552939932</v>
          </cell>
          <cell r="AB53">
            <v>2.971362628134528</v>
          </cell>
        </row>
        <row r="54">
          <cell r="A54">
            <v>37956</v>
          </cell>
          <cell r="B54">
            <v>56.808300000000003</v>
          </cell>
          <cell r="C54">
            <v>27.537525354969574</v>
          </cell>
          <cell r="D54">
            <v>1.7062529992931112</v>
          </cell>
          <cell r="E54">
            <v>46.2</v>
          </cell>
          <cell r="F54">
            <v>22.775480245231606</v>
          </cell>
          <cell r="G54">
            <v>1.8343009705311168</v>
          </cell>
          <cell r="H54">
            <v>50.75</v>
          </cell>
          <cell r="I54">
            <v>35.696041434995969</v>
          </cell>
          <cell r="J54">
            <v>1.2314861593763966</v>
          </cell>
          <cell r="K54">
            <v>4.2</v>
          </cell>
          <cell r="L54">
            <v>2.4983737065610145</v>
          </cell>
          <cell r="M54">
            <v>1.6110369480328235</v>
          </cell>
          <cell r="N54">
            <v>10.75</v>
          </cell>
          <cell r="O54">
            <v>7.1605626788705186</v>
          </cell>
          <cell r="P54">
            <v>1.3189847400045285</v>
          </cell>
          <cell r="Q54">
            <v>23.85</v>
          </cell>
          <cell r="R54">
            <v>13.699563794983643</v>
          </cell>
          <cell r="S54">
            <v>1.6403540312543219</v>
          </cell>
          <cell r="T54">
            <v>1.5570693080820497</v>
          </cell>
          <cell r="V54">
            <v>14.6</v>
          </cell>
          <cell r="W54">
            <v>5.6996254539951572</v>
          </cell>
          <cell r="X54">
            <v>2.133321540119959</v>
          </cell>
          <cell r="Y54">
            <v>102</v>
          </cell>
          <cell r="Z54">
            <v>20.734909509362904</v>
          </cell>
          <cell r="AA54">
            <v>5.2285392535392532</v>
          </cell>
          <cell r="AB54">
            <v>3.000738274971178</v>
          </cell>
        </row>
        <row r="55">
          <cell r="A55">
            <v>37987</v>
          </cell>
          <cell r="B55">
            <v>59.021610000000003</v>
          </cell>
          <cell r="C55">
            <v>28.017246844789781</v>
          </cell>
          <cell r="D55">
            <v>1.7584575584776305</v>
          </cell>
          <cell r="E55">
            <v>49.9</v>
          </cell>
          <cell r="F55">
            <v>22.976415758401451</v>
          </cell>
          <cell r="G55">
            <v>1.9610786717384008</v>
          </cell>
          <cell r="H55">
            <v>48.8</v>
          </cell>
          <cell r="I55">
            <v>36.155568796615881</v>
          </cell>
          <cell r="J55">
            <v>1.1783408745411525</v>
          </cell>
          <cell r="K55">
            <v>4.2</v>
          </cell>
          <cell r="L55">
            <v>2.5074272775622988</v>
          </cell>
          <cell r="M55">
            <v>1.5929591397762417</v>
          </cell>
          <cell r="N55">
            <v>12.1</v>
          </cell>
          <cell r="O55">
            <v>7.2430331235702399</v>
          </cell>
          <cell r="P55">
            <v>1.4693243129121205</v>
          </cell>
          <cell r="Q55">
            <v>23.9</v>
          </cell>
          <cell r="R55">
            <v>13.769562165062084</v>
          </cell>
          <cell r="S55">
            <v>1.6298838090119383</v>
          </cell>
          <cell r="T55">
            <v>1.598340727742914</v>
          </cell>
          <cell r="V55">
            <v>14.65</v>
          </cell>
          <cell r="W55">
            <v>5.7949723189063755</v>
          </cell>
          <cell r="X55">
            <v>2.1233214184124938</v>
          </cell>
          <cell r="Y55">
            <v>105.5</v>
          </cell>
          <cell r="Z55">
            <v>20.632693447710707</v>
          </cell>
          <cell r="AA55">
            <v>5.3881814984171648</v>
          </cell>
          <cell r="AB55">
            <v>3.0471289086138658</v>
          </cell>
        </row>
        <row r="56">
          <cell r="A56">
            <v>38018</v>
          </cell>
          <cell r="B56">
            <v>59.021610000000003</v>
          </cell>
          <cell r="C56">
            <v>28.496968334609988</v>
          </cell>
          <cell r="D56">
            <v>1.7444127341733169</v>
          </cell>
          <cell r="E56">
            <v>50.25</v>
          </cell>
          <cell r="F56">
            <v>23.177351271571297</v>
          </cell>
          <cell r="G56">
            <v>1.9549749768160511</v>
          </cell>
          <cell r="H56">
            <v>52</v>
          </cell>
          <cell r="I56">
            <v>36.615096158235794</v>
          </cell>
          <cell r="J56">
            <v>1.2494607361367784</v>
          </cell>
          <cell r="K56">
            <v>4.1500000000000004</v>
          </cell>
          <cell r="L56">
            <v>2.516480848563583</v>
          </cell>
          <cell r="M56">
            <v>1.5565291762145013</v>
          </cell>
          <cell r="N56">
            <v>12.35</v>
          </cell>
          <cell r="O56">
            <v>7.3255035682699612</v>
          </cell>
          <cell r="P56">
            <v>1.4843843588400047</v>
          </cell>
          <cell r="Q56">
            <v>25.3</v>
          </cell>
          <cell r="R56">
            <v>13.839560535140524</v>
          </cell>
          <cell r="S56">
            <v>1.7108813791232516</v>
          </cell>
          <cell r="T56">
            <v>1.6167738935506506</v>
          </cell>
          <cell r="V56">
            <v>15.9</v>
          </cell>
          <cell r="W56">
            <v>5.8903191838175939</v>
          </cell>
          <cell r="X56">
            <v>2.286010810810811</v>
          </cell>
          <cell r="Y56">
            <v>110.5</v>
          </cell>
          <cell r="Z56">
            <v>20.530477386058511</v>
          </cell>
          <cell r="AA56">
            <v>5.6229910654872288</v>
          </cell>
          <cell r="AB56">
            <v>3.2066277518070976</v>
          </cell>
        </row>
        <row r="57">
          <cell r="A57">
            <v>38047</v>
          </cell>
          <cell r="B57">
            <v>54.103140000000003</v>
          </cell>
          <cell r="C57">
            <v>28.976689824430196</v>
          </cell>
          <cell r="D57">
            <v>1.5863745375482403</v>
          </cell>
          <cell r="E57">
            <v>49.4</v>
          </cell>
          <cell r="F57">
            <v>23.378286784741142</v>
          </cell>
          <cell r="G57">
            <v>1.9027716426959129</v>
          </cell>
          <cell r="H57">
            <v>54.25</v>
          </cell>
          <cell r="I57">
            <v>37.074623519855706</v>
          </cell>
          <cell r="J57">
            <v>1.2971720258576203</v>
          </cell>
          <cell r="K57">
            <v>3.4249999999999998</v>
          </cell>
          <cell r="L57">
            <v>2.5255344195648672</v>
          </cell>
          <cell r="M57">
            <v>1.2705069616446503</v>
          </cell>
          <cell r="N57">
            <v>11.15</v>
          </cell>
          <cell r="O57">
            <v>7.4079740129696825</v>
          </cell>
          <cell r="P57">
            <v>1.3266201503055213</v>
          </cell>
          <cell r="Q57">
            <v>23.55</v>
          </cell>
          <cell r="R57">
            <v>13.909558905218965</v>
          </cell>
          <cell r="S57">
            <v>1.5792885982891254</v>
          </cell>
          <cell r="T57">
            <v>1.4937889860568452</v>
          </cell>
          <cell r="V57">
            <v>14.85</v>
          </cell>
          <cell r="W57">
            <v>5.9856660487288122</v>
          </cell>
          <cell r="X57">
            <v>2.1180615765457373</v>
          </cell>
          <cell r="Y57">
            <v>99.5</v>
          </cell>
          <cell r="Z57">
            <v>20.428261324406314</v>
          </cell>
          <cell r="AA57">
            <v>5.0448622916473296</v>
          </cell>
          <cell r="AB57">
            <v>2.9140708221607308</v>
          </cell>
        </row>
        <row r="58">
          <cell r="A58">
            <v>38078</v>
          </cell>
          <cell r="B58">
            <v>55.086829999999999</v>
          </cell>
          <cell r="C58">
            <v>29.456411314250403</v>
          </cell>
          <cell r="D58">
            <v>1.6025196818137499</v>
          </cell>
          <cell r="E58">
            <v>49.5</v>
          </cell>
          <cell r="F58">
            <v>23.579222297910988</v>
          </cell>
          <cell r="G58">
            <v>1.8878285670362718</v>
          </cell>
          <cell r="H58">
            <v>56.5</v>
          </cell>
          <cell r="I58">
            <v>37.534150881475618</v>
          </cell>
          <cell r="J58">
            <v>1.3444205876560764</v>
          </cell>
          <cell r="K58">
            <v>3.125</v>
          </cell>
          <cell r="L58">
            <v>2.5345879905661515</v>
          </cell>
          <cell r="M58">
            <v>1.1466374251834044</v>
          </cell>
          <cell r="N58">
            <v>9.35</v>
          </cell>
          <cell r="O58">
            <v>7.4904444576694038</v>
          </cell>
          <cell r="P58">
            <v>1.1013362354713518</v>
          </cell>
          <cell r="Q58">
            <v>22.8</v>
          </cell>
          <cell r="R58">
            <v>13.979557275297406</v>
          </cell>
          <cell r="S58">
            <v>1.5163753475861188</v>
          </cell>
          <cell r="T58">
            <v>1.4331863074578288</v>
          </cell>
          <cell r="V58">
            <v>13.3</v>
          </cell>
          <cell r="W58">
            <v>6.0810129136400306</v>
          </cell>
          <cell r="X58">
            <v>1.8820113227244135</v>
          </cell>
          <cell r="Y58">
            <v>99</v>
          </cell>
          <cell r="Z58">
            <v>20.326045262754118</v>
          </cell>
          <cell r="AA58">
            <v>5.0013617546023088</v>
          </cell>
          <cell r="AB58">
            <v>2.7999161416376137</v>
          </cell>
        </row>
        <row r="59">
          <cell r="A59">
            <v>38108</v>
          </cell>
          <cell r="B59">
            <v>51.152059999999999</v>
          </cell>
          <cell r="C59">
            <v>29.93613280407061</v>
          </cell>
          <cell r="D59">
            <v>1.4764471015936962</v>
          </cell>
          <cell r="E59">
            <v>44.9</v>
          </cell>
          <cell r="F59">
            <v>23.780157811080834</v>
          </cell>
          <cell r="G59">
            <v>1.6956785748739147</v>
          </cell>
          <cell r="H59">
            <v>53</v>
          </cell>
          <cell r="I59">
            <v>37.99367824309553</v>
          </cell>
          <cell r="J59">
            <v>1.2550518365428245</v>
          </cell>
          <cell r="K59">
            <v>3.0249999999999999</v>
          </cell>
          <cell r="L59">
            <v>2.5436415615674357</v>
          </cell>
          <cell r="M59">
            <v>1.0980251089239459</v>
          </cell>
          <cell r="N59">
            <v>9.9</v>
          </cell>
          <cell r="O59">
            <v>7.5729149023691251</v>
          </cell>
          <cell r="P59">
            <v>1.1545786201444215</v>
          </cell>
          <cell r="Q59">
            <v>22.75</v>
          </cell>
          <cell r="R59">
            <v>14.049555645375847</v>
          </cell>
          <cell r="S59">
            <v>1.5006662813381273</v>
          </cell>
          <cell r="T59">
            <v>1.3634079205694885</v>
          </cell>
          <cell r="V59">
            <v>13.55</v>
          </cell>
          <cell r="W59">
            <v>6.176359778551249</v>
          </cell>
          <cell r="X59">
            <v>1.9023718325382521</v>
          </cell>
          <cell r="Y59">
            <v>99.5</v>
          </cell>
          <cell r="Z59">
            <v>20.223829201101921</v>
          </cell>
          <cell r="AA59">
            <v>5.0085114599286484</v>
          </cell>
          <cell r="AB59">
            <v>2.8038498579350093</v>
          </cell>
        </row>
        <row r="60">
          <cell r="A60">
            <v>38139</v>
          </cell>
          <cell r="B60">
            <v>45.249899999999997</v>
          </cell>
          <cell r="C60">
            <v>30.415854293890817</v>
          </cell>
          <cell r="D60">
            <v>1.2959790575947863</v>
          </cell>
          <cell r="E60">
            <v>46.3</v>
          </cell>
          <cell r="F60">
            <v>23.981093324250679</v>
          </cell>
          <cell r="G60">
            <v>1.7316471559169908</v>
          </cell>
          <cell r="H60">
            <v>53.5</v>
          </cell>
          <cell r="I60">
            <v>38.453205604715443</v>
          </cell>
          <cell r="J60">
            <v>1.2608074828911142</v>
          </cell>
          <cell r="K60">
            <v>2.85</v>
          </cell>
          <cell r="L60">
            <v>2.5526951325687199</v>
          </cell>
          <cell r="M60">
            <v>1.0235113053283624</v>
          </cell>
          <cell r="N60">
            <v>10.1</v>
          </cell>
          <cell r="O60">
            <v>7.6553853470688464</v>
          </cell>
          <cell r="P60">
            <v>1.1663589826952661</v>
          </cell>
          <cell r="Q60">
            <v>22.3</v>
          </cell>
          <cell r="R60">
            <v>14.119554015454288</v>
          </cell>
          <cell r="S60">
            <v>1.4590411304894078</v>
          </cell>
          <cell r="T60">
            <v>1.3228908524859879</v>
          </cell>
          <cell r="V60">
            <v>13.3</v>
          </cell>
          <cell r="W60">
            <v>6.2717066434624673</v>
          </cell>
          <cell r="X60">
            <v>1.8527631708972088</v>
          </cell>
          <cell r="Y60">
            <v>100</v>
          </cell>
          <cell r="Z60">
            <v>20.121613139449725</v>
          </cell>
          <cell r="AA60">
            <v>5.0156098328829675</v>
          </cell>
          <cell r="AB60">
            <v>2.775804711423195</v>
          </cell>
        </row>
        <row r="61">
          <cell r="A61">
            <v>38169</v>
          </cell>
          <cell r="B61">
            <v>48</v>
          </cell>
          <cell r="C61">
            <v>30.895575783711024</v>
          </cell>
          <cell r="D61">
            <v>1.3641848129861178</v>
          </cell>
          <cell r="E61">
            <v>46.9</v>
          </cell>
          <cell r="F61">
            <v>24.182028837420525</v>
          </cell>
          <cell r="G61">
            <v>1.7372929784740574</v>
          </cell>
          <cell r="H61">
            <v>56</v>
          </cell>
          <cell r="I61">
            <v>38.912732966335355</v>
          </cell>
          <cell r="J61">
            <v>1.3134158162567207</v>
          </cell>
          <cell r="K61">
            <v>2.7749999999999999</v>
          </cell>
          <cell r="L61">
            <v>2.5617487035700042</v>
          </cell>
          <cell r="M61">
            <v>0.98609940010483033</v>
          </cell>
          <cell r="N61">
            <v>10.5</v>
          </cell>
          <cell r="O61">
            <v>7.7378557917685677</v>
          </cell>
          <cell r="P61">
            <v>1.2007827231201587</v>
          </cell>
          <cell r="Q61">
            <v>22.1</v>
          </cell>
          <cell r="R61">
            <v>14.189552385532728</v>
          </cell>
          <cell r="S61">
            <v>1.4343116193282166</v>
          </cell>
          <cell r="T61">
            <v>1.3393478917116834</v>
          </cell>
          <cell r="V61">
            <v>13.35</v>
          </cell>
          <cell r="W61">
            <v>6.3670535083736857</v>
          </cell>
          <cell r="X61">
            <v>1.8453889424569776</v>
          </cell>
          <cell r="Y61">
            <v>99.75</v>
          </cell>
          <cell r="Z61">
            <v>20.019397077797528</v>
          </cell>
          <cell r="AA61">
            <v>4.9851749062185515</v>
          </cell>
          <cell r="AB61">
            <v>2.754958489334582</v>
          </cell>
        </row>
        <row r="62">
          <cell r="A62">
            <v>38200</v>
          </cell>
          <cell r="B62">
            <v>56</v>
          </cell>
          <cell r="C62">
            <v>31.375297273531231</v>
          </cell>
          <cell r="D62">
            <v>1.5794185399283474</v>
          </cell>
          <cell r="E62">
            <v>51</v>
          </cell>
          <cell r="F62">
            <v>24.38296435059037</v>
          </cell>
          <cell r="G62">
            <v>1.8712508933110079</v>
          </cell>
          <cell r="H62">
            <v>56.75</v>
          </cell>
          <cell r="I62">
            <v>39.372260327955267</v>
          </cell>
          <cell r="J62">
            <v>1.3246746385194514</v>
          </cell>
          <cell r="K62">
            <v>3.2</v>
          </cell>
          <cell r="L62">
            <v>2.5708022745712884</v>
          </cell>
          <cell r="M62">
            <v>1.1252929922401569</v>
          </cell>
          <cell r="N62">
            <v>10.65</v>
          </cell>
          <cell r="O62">
            <v>7.8203262364682891</v>
          </cell>
          <cell r="P62">
            <v>1.2062294270116274</v>
          </cell>
          <cell r="Q62">
            <v>21.4</v>
          </cell>
          <cell r="R62">
            <v>14.259550755611169</v>
          </cell>
          <cell r="S62">
            <v>1.3777859479410679</v>
          </cell>
          <cell r="T62">
            <v>1.4141087398252763</v>
          </cell>
          <cell r="V62">
            <v>14</v>
          </cell>
          <cell r="W62">
            <v>6.462400373284904</v>
          </cell>
          <cell r="X62">
            <v>1.9204317816181433</v>
          </cell>
          <cell r="Y62">
            <v>104</v>
          </cell>
          <cell r="Z62">
            <v>19.917181016145332</v>
          </cell>
          <cell r="AA62">
            <v>5.1790504636543631</v>
          </cell>
          <cell r="AB62">
            <v>2.8257560644045245</v>
          </cell>
        </row>
        <row r="63">
          <cell r="A63">
            <v>38231</v>
          </cell>
          <cell r="B63">
            <v>55.75</v>
          </cell>
          <cell r="C63">
            <v>31.855018763351438</v>
          </cell>
          <cell r="D63">
            <v>1.5604740016219316</v>
          </cell>
          <cell r="E63">
            <v>51</v>
          </cell>
          <cell r="F63">
            <v>24.583899863760216</v>
          </cell>
          <cell r="G63">
            <v>1.8536712155061079</v>
          </cell>
          <cell r="H63">
            <v>57</v>
          </cell>
          <cell r="I63">
            <v>39.831787689575179</v>
          </cell>
          <cell r="J63">
            <v>1.324210966294125</v>
          </cell>
          <cell r="K63">
            <v>3.1749999999999998</v>
          </cell>
          <cell r="L63">
            <v>2.5798558455725726</v>
          </cell>
          <cell r="M63">
            <v>1.1050051611719751</v>
          </cell>
          <cell r="N63">
            <v>10.65</v>
          </cell>
          <cell r="O63">
            <v>7.9027966811680104</v>
          </cell>
          <cell r="P63">
            <v>1.1947450210478783</v>
          </cell>
          <cell r="Q63">
            <v>21.9</v>
          </cell>
          <cell r="R63">
            <v>14.32954912568961</v>
          </cell>
          <cell r="S63">
            <v>1.3988029603259517</v>
          </cell>
          <cell r="T63">
            <v>1.4061515543279948</v>
          </cell>
          <cell r="V63">
            <v>14.25</v>
          </cell>
          <cell r="W63">
            <v>6.5577472381961224</v>
          </cell>
          <cell r="X63">
            <v>1.939882123072268</v>
          </cell>
          <cell r="Y63">
            <v>104</v>
          </cell>
          <cell r="Z63">
            <v>19.814964954493135</v>
          </cell>
          <cell r="AA63">
            <v>5.1606566738044286</v>
          </cell>
          <cell r="AB63">
            <v>2.8331139190675496</v>
          </cell>
        </row>
        <row r="64">
          <cell r="A64">
            <v>38261</v>
          </cell>
          <cell r="B64">
            <v>56</v>
          </cell>
          <cell r="C64">
            <v>32.334740253171645</v>
          </cell>
          <cell r="D64">
            <v>1.5557041243116772</v>
          </cell>
          <cell r="E64">
            <v>53.25</v>
          </cell>
          <cell r="F64">
            <v>24.784835376930062</v>
          </cell>
          <cell r="G64">
            <v>1.9174372472330674</v>
          </cell>
          <cell r="H64">
            <v>60</v>
          </cell>
          <cell r="I64">
            <v>40.291315051195092</v>
          </cell>
          <cell r="J64">
            <v>1.3873379883171697</v>
          </cell>
          <cell r="K64">
            <v>3.1</v>
          </cell>
          <cell r="L64">
            <v>2.5889094165738569</v>
          </cell>
          <cell r="M64">
            <v>1.0679065748777652</v>
          </cell>
          <cell r="N64">
            <v>10.45</v>
          </cell>
          <cell r="O64">
            <v>7.9852671258677317</v>
          </cell>
          <cell r="P64">
            <v>1.1612523120852769</v>
          </cell>
          <cell r="Q64">
            <v>22.3</v>
          </cell>
          <cell r="R64">
            <v>14.399547495768051</v>
          </cell>
          <cell r="S64">
            <v>1.4131524604871168</v>
          </cell>
          <cell r="T64">
            <v>1.4171317845520122</v>
          </cell>
          <cell r="V64">
            <v>14.15</v>
          </cell>
          <cell r="W64">
            <v>6.6530941031073407</v>
          </cell>
          <cell r="X64">
            <v>1.9117521452166302</v>
          </cell>
          <cell r="Y64">
            <v>103.5</v>
          </cell>
          <cell r="Z64">
            <v>19.712748892840938</v>
          </cell>
          <cell r="AA64">
            <v>5.1176700318122679</v>
          </cell>
          <cell r="AB64">
            <v>2.8141915458386717</v>
          </cell>
        </row>
        <row r="65">
          <cell r="A65">
            <v>38292</v>
          </cell>
          <cell r="B65">
            <v>60.75</v>
          </cell>
          <cell r="C65">
            <v>32.814461742991853</v>
          </cell>
          <cell r="D65">
            <v>1.675085757893999</v>
          </cell>
          <cell r="E65">
            <v>55.25</v>
          </cell>
          <cell r="F65">
            <v>24.985770890099907</v>
          </cell>
          <cell r="G65">
            <v>1.9711082193394465</v>
          </cell>
          <cell r="H65">
            <v>61.25</v>
          </cell>
          <cell r="I65">
            <v>40.750842412815004</v>
          </cell>
          <cell r="J65">
            <v>1.4095986264318101</v>
          </cell>
          <cell r="K65">
            <v>3.4249999999999998</v>
          </cell>
          <cell r="L65">
            <v>2.5979629875751411</v>
          </cell>
          <cell r="M65">
            <v>1.1679607463309387</v>
          </cell>
          <cell r="N65">
            <v>11.1</v>
          </cell>
          <cell r="O65">
            <v>8.0677375705674539</v>
          </cell>
          <cell r="P65">
            <v>1.2219588756700372</v>
          </cell>
          <cell r="Q65">
            <v>24.45</v>
          </cell>
          <cell r="R65">
            <v>14.469545865846491</v>
          </cell>
          <cell r="S65">
            <v>1.5373105162555714</v>
          </cell>
          <cell r="T65">
            <v>1.497170456986967</v>
          </cell>
          <cell r="V65">
            <v>14.6</v>
          </cell>
          <cell r="W65">
            <v>6.7484409680185591</v>
          </cell>
          <cell r="X65">
            <v>1.9577955552173403</v>
          </cell>
          <cell r="Y65">
            <v>108</v>
          </cell>
          <cell r="Z65">
            <v>19.610532831188742</v>
          </cell>
          <cell r="AA65">
            <v>5.3213451485565333</v>
          </cell>
          <cell r="AB65">
            <v>2.9388170733431487</v>
          </cell>
        </row>
        <row r="66">
          <cell r="A66">
            <v>38322</v>
          </cell>
          <cell r="B66">
            <v>60.25</v>
          </cell>
          <cell r="C66">
            <v>33.294183232812067</v>
          </cell>
          <cell r="D66">
            <v>1.649011623803611</v>
          </cell>
          <cell r="E66">
            <v>54.5</v>
          </cell>
          <cell r="F66">
            <v>25.186706403269753</v>
          </cell>
          <cell r="G66">
            <v>1.9265853744736012</v>
          </cell>
          <cell r="H66">
            <v>63</v>
          </cell>
          <cell r="I66">
            <v>41.210369774434923</v>
          </cell>
          <cell r="J66">
            <v>1.443104643856681</v>
          </cell>
          <cell r="K66">
            <v>3.45</v>
          </cell>
          <cell r="L66">
            <v>2.6070165585764262</v>
          </cell>
          <cell r="M66">
            <v>1.1647348759158473</v>
          </cell>
          <cell r="N66">
            <v>11.1</v>
          </cell>
          <cell r="O66">
            <v>8.1502080152671752</v>
          </cell>
          <cell r="P66">
            <v>1.2106477866845853</v>
          </cell>
          <cell r="Q66">
            <v>24.15</v>
          </cell>
          <cell r="R66">
            <v>14.539544235924932</v>
          </cell>
          <cell r="S66">
            <v>1.5066933851175472</v>
          </cell>
          <cell r="T66">
            <v>1.4834629483086454</v>
          </cell>
          <cell r="V66">
            <v>14.85</v>
          </cell>
          <cell r="W66">
            <v>6.8437878329297819</v>
          </cell>
          <cell r="X66">
            <v>1.9765352804179519</v>
          </cell>
          <cell r="Y66">
            <v>108</v>
          </cell>
          <cell r="Z66">
            <v>19.508316769536563</v>
          </cell>
          <cell r="AA66">
            <v>5.3026452308798611</v>
          </cell>
          <cell r="AB66">
            <v>2.9286246321384533</v>
          </cell>
        </row>
        <row r="67">
          <cell r="A67">
            <v>38353</v>
          </cell>
          <cell r="B67">
            <v>56.75</v>
          </cell>
          <cell r="C67">
            <v>33.564421111816571</v>
          </cell>
          <cell r="D67">
            <v>1.5389734899620473</v>
          </cell>
          <cell r="E67">
            <v>49.8</v>
          </cell>
          <cell r="F67">
            <v>25.445180103746718</v>
          </cell>
          <cell r="G67">
            <v>1.7454413360581513</v>
          </cell>
          <cell r="H67">
            <v>54.75</v>
          </cell>
          <cell r="I67">
            <v>41.414162110775273</v>
          </cell>
          <cell r="J67">
            <v>1.2467668414555397</v>
          </cell>
          <cell r="K67">
            <v>3.15</v>
          </cell>
          <cell r="L67">
            <v>2.6366024684035283</v>
          </cell>
          <cell r="M67">
            <v>1.0646521917853762</v>
          </cell>
          <cell r="N67">
            <v>10.9</v>
          </cell>
          <cell r="O67">
            <v>8.2350777794035555</v>
          </cell>
          <cell r="P67">
            <v>1.1868270238874452</v>
          </cell>
          <cell r="Q67">
            <v>23.25</v>
          </cell>
          <cell r="R67">
            <v>14.66362195136386</v>
          </cell>
          <cell r="S67">
            <v>1.4388739121757845</v>
          </cell>
          <cell r="T67">
            <v>1.3702557992207238</v>
          </cell>
          <cell r="V67">
            <v>14.35</v>
          </cell>
          <cell r="W67">
            <v>6.8995677587772395</v>
          </cell>
          <cell r="X67">
            <v>1.9005240930549472</v>
          </cell>
          <cell r="Y67">
            <v>105.5</v>
          </cell>
          <cell r="Z67">
            <v>19.579889807162534</v>
          </cell>
          <cell r="AA67">
            <v>5.1577873044337545</v>
          </cell>
          <cell r="AB67">
            <v>2.8323951032214953</v>
          </cell>
        </row>
        <row r="68">
          <cell r="A68">
            <v>38384</v>
          </cell>
          <cell r="B68">
            <v>59</v>
          </cell>
          <cell r="C68">
            <v>33.834658990821083</v>
          </cell>
          <cell r="D68">
            <v>1.585449533504784</v>
          </cell>
          <cell r="E68">
            <v>52.25</v>
          </cell>
          <cell r="F68">
            <v>25.703653804223684</v>
          </cell>
          <cell r="G68">
            <v>1.8158412999014155</v>
          </cell>
          <cell r="H68">
            <v>61</v>
          </cell>
          <cell r="I68">
            <v>41.617954447115622</v>
          </cell>
          <cell r="J68">
            <v>1.3809875299147778</v>
          </cell>
          <cell r="K68">
            <v>3.25</v>
          </cell>
          <cell r="L68">
            <v>2.6661883782306304</v>
          </cell>
          <cell r="M68">
            <v>1.0996901253891005</v>
          </cell>
          <cell r="N68">
            <v>10.85</v>
          </cell>
          <cell r="O68">
            <v>8.3199475435399357</v>
          </cell>
          <cell r="P68">
            <v>1.1793915177667562</v>
          </cell>
          <cell r="Q68">
            <v>23.75</v>
          </cell>
          <cell r="R68">
            <v>14.787699666802787</v>
          </cell>
          <cell r="S68">
            <v>1.4580873377576797</v>
          </cell>
          <cell r="T68">
            <v>1.4199078907057523</v>
          </cell>
          <cell r="V68">
            <v>14.85</v>
          </cell>
          <cell r="W68">
            <v>6.9553476846246971</v>
          </cell>
          <cell r="X68">
            <v>1.9570501294083511</v>
          </cell>
          <cell r="Y68">
            <v>106.5</v>
          </cell>
          <cell r="Z68">
            <v>19.651462844788504</v>
          </cell>
          <cell r="AA68">
            <v>5.1845449415639271</v>
          </cell>
          <cell r="AB68">
            <v>2.8665608029099858</v>
          </cell>
        </row>
        <row r="69">
          <cell r="A69">
            <v>38412</v>
          </cell>
          <cell r="B69">
            <v>49.7</v>
          </cell>
          <cell r="C69">
            <v>34.104896869825595</v>
          </cell>
          <cell r="D69">
            <v>1.3235117683108344</v>
          </cell>
          <cell r="E69">
            <v>47.5</v>
          </cell>
          <cell r="F69">
            <v>25.96212750470065</v>
          </cell>
          <cell r="G69">
            <v>1.6369366716326312</v>
          </cell>
          <cell r="H69">
            <v>57.75</v>
          </cell>
          <cell r="I69">
            <v>41.821746783455971</v>
          </cell>
          <cell r="J69">
            <v>1.2998268253269094</v>
          </cell>
          <cell r="K69">
            <v>3</v>
          </cell>
          <cell r="L69">
            <v>2.6957742880577324</v>
          </cell>
          <cell r="M69">
            <v>1.0162452710549348</v>
          </cell>
          <cell r="N69">
            <v>10.5</v>
          </cell>
          <cell r="O69">
            <v>8.404817307676316</v>
          </cell>
          <cell r="P69">
            <v>1.1394260073435591</v>
          </cell>
          <cell r="Q69">
            <v>22.45</v>
          </cell>
          <cell r="R69">
            <v>14.911777382241715</v>
          </cell>
          <cell r="S69">
            <v>1.3673637887348198</v>
          </cell>
          <cell r="T69">
            <v>1.2972183887339479</v>
          </cell>
          <cell r="V69">
            <v>14.35</v>
          </cell>
          <cell r="W69">
            <v>7.0111276104721547</v>
          </cell>
          <cell r="X69">
            <v>1.8818801763238935</v>
          </cell>
          <cell r="Y69">
            <v>103.5</v>
          </cell>
          <cell r="Z69">
            <v>19.723035882414475</v>
          </cell>
          <cell r="AA69">
            <v>5.0171755660911419</v>
          </cell>
          <cell r="AB69">
            <v>2.7554731770499514</v>
          </cell>
        </row>
        <row r="70">
          <cell r="A70">
            <v>38443</v>
          </cell>
          <cell r="B70">
            <v>50.25</v>
          </cell>
          <cell r="C70">
            <v>34.375134748830106</v>
          </cell>
          <cell r="D70">
            <v>1.3262143378489131</v>
          </cell>
          <cell r="E70">
            <v>49.2</v>
          </cell>
          <cell r="F70">
            <v>26.220601205177616</v>
          </cell>
          <cell r="G70">
            <v>1.6814366945637385</v>
          </cell>
          <cell r="H70">
            <v>57</v>
          </cell>
          <cell r="I70">
            <v>42.025539119796321</v>
          </cell>
          <cell r="J70">
            <v>1.2755472757076136</v>
          </cell>
          <cell r="K70">
            <v>3.05</v>
          </cell>
          <cell r="L70">
            <v>2.7253601978848345</v>
          </cell>
          <cell r="M70">
            <v>1.0343511344291021</v>
          </cell>
          <cell r="N70">
            <v>9.8000000000000007</v>
          </cell>
          <cell r="O70">
            <v>8.4896870718126962</v>
          </cell>
          <cell r="P70">
            <v>1.0616777151494996</v>
          </cell>
          <cell r="Q70">
            <v>22.85</v>
          </cell>
          <cell r="R70">
            <v>15.035855097680642</v>
          </cell>
          <cell r="S70">
            <v>1.3807942292141515</v>
          </cell>
          <cell r="T70">
            <v>1.2933368978188364</v>
          </cell>
          <cell r="V70">
            <v>14.75</v>
          </cell>
          <cell r="W70">
            <v>7.0669075363196123</v>
          </cell>
          <cell r="X70">
            <v>1.9248952690610692</v>
          </cell>
          <cell r="Y70">
            <v>106.5</v>
          </cell>
          <cell r="Z70">
            <v>19.794608920040446</v>
          </cell>
          <cell r="AA70">
            <v>5.1408419245508732</v>
          </cell>
          <cell r="AB70">
            <v>2.8155104742753649</v>
          </cell>
        </row>
        <row r="71">
          <cell r="A71">
            <v>38473</v>
          </cell>
          <cell r="B71">
            <v>50.5</v>
          </cell>
          <cell r="C71">
            <v>34.645372627834618</v>
          </cell>
          <cell r="D71">
            <v>1.3210214376793687</v>
          </cell>
          <cell r="E71">
            <v>55.5</v>
          </cell>
          <cell r="F71">
            <v>26.479074905654581</v>
          </cell>
          <cell r="G71">
            <v>1.8811157629447144</v>
          </cell>
          <cell r="H71">
            <v>59</v>
          </cell>
          <cell r="I71">
            <v>42.22933145613667</v>
          </cell>
          <cell r="J71">
            <v>1.3127328592179868</v>
          </cell>
          <cell r="K71">
            <v>2.875</v>
          </cell>
          <cell r="L71">
            <v>2.7549461077119366</v>
          </cell>
          <cell r="M71">
            <v>0.97610701294600888</v>
          </cell>
          <cell r="N71">
            <v>9.65</v>
          </cell>
          <cell r="O71">
            <v>8.5745568359490765</v>
          </cell>
          <cell r="P71">
            <v>1.04367423378919</v>
          </cell>
          <cell r="Q71">
            <v>22.9</v>
          </cell>
          <cell r="R71">
            <v>15.159932813119569</v>
          </cell>
          <cell r="S71">
            <v>1.3730301379723977</v>
          </cell>
          <cell r="T71">
            <v>1.3179469074249444</v>
          </cell>
          <cell r="V71">
            <v>14.4</v>
          </cell>
          <cell r="W71">
            <v>7.1226874621670699</v>
          </cell>
          <cell r="X71">
            <v>1.8700918698904179</v>
          </cell>
          <cell r="Y71">
            <v>104.5</v>
          </cell>
          <cell r="Z71">
            <v>19.866181957666416</v>
          </cell>
          <cell r="AA71">
            <v>5.0231291094091173</v>
          </cell>
          <cell r="AB71">
            <v>2.7554170390906445</v>
          </cell>
        </row>
        <row r="72">
          <cell r="A72">
            <v>38504</v>
          </cell>
          <cell r="B72">
            <v>52</v>
          </cell>
          <cell r="C72">
            <v>34.91561050683913</v>
          </cell>
          <cell r="D72">
            <v>1.3483314248824358</v>
          </cell>
          <cell r="E72">
            <v>50.75</v>
          </cell>
          <cell r="F72">
            <v>26.737548606131547</v>
          </cell>
          <cell r="G72">
            <v>1.7060634828700108</v>
          </cell>
          <cell r="H72">
            <v>58.5</v>
          </cell>
          <cell r="I72">
            <v>42.433123792477019</v>
          </cell>
          <cell r="J72">
            <v>1.294187289424505</v>
          </cell>
          <cell r="K72">
            <v>3</v>
          </cell>
          <cell r="L72">
            <v>2.7845320175390387</v>
          </cell>
          <cell r="M72">
            <v>1.0197009494142564</v>
          </cell>
          <cell r="N72">
            <v>9.5500000000000007</v>
          </cell>
          <cell r="O72">
            <v>8.6594266000854567</v>
          </cell>
          <cell r="P72">
            <v>1.0311296239011185</v>
          </cell>
          <cell r="Q72">
            <v>22.95</v>
          </cell>
          <cell r="R72">
            <v>15.284010528558497</v>
          </cell>
          <cell r="S72">
            <v>1.3653861381004411</v>
          </cell>
          <cell r="T72">
            <v>1.2941331514321279</v>
          </cell>
          <cell r="V72">
            <v>14.7</v>
          </cell>
          <cell r="W72">
            <v>7.1784673880145276</v>
          </cell>
          <cell r="X72">
            <v>1.8998241177357449</v>
          </cell>
          <cell r="Y72">
            <v>106</v>
          </cell>
          <cell r="Z72">
            <v>19.937754995292387</v>
          </cell>
          <cell r="AA72">
            <v>5.0739358763257858</v>
          </cell>
          <cell r="AB72">
            <v>2.779715377387324</v>
          </cell>
        </row>
        <row r="73">
          <cell r="A73">
            <v>38534</v>
          </cell>
          <cell r="B73">
            <v>56.8</v>
          </cell>
          <cell r="C73">
            <v>35.185848385843641</v>
          </cell>
          <cell r="D73">
            <v>1.459989967684588</v>
          </cell>
          <cell r="E73">
            <v>55.55</v>
          </cell>
          <cell r="F73">
            <v>26.996022306608513</v>
          </cell>
          <cell r="G73">
            <v>1.8522892454284527</v>
          </cell>
          <cell r="H73">
            <v>63.1</v>
          </cell>
          <cell r="I73">
            <v>42.636916128817369</v>
          </cell>
          <cell r="J73">
            <v>1.3880389693653383</v>
          </cell>
          <cell r="K73">
            <v>3.2</v>
          </cell>
          <cell r="L73">
            <v>2.8141179273661407</v>
          </cell>
          <cell r="M73">
            <v>1.0889152754269362</v>
          </cell>
          <cell r="N73">
            <v>10.1</v>
          </cell>
          <cell r="O73">
            <v>8.744296364221837</v>
          </cell>
          <cell r="P73">
            <v>1.0886912387345449</v>
          </cell>
          <cell r="Q73">
            <v>23.65</v>
          </cell>
          <cell r="R73">
            <v>15.408088243997424</v>
          </cell>
          <cell r="S73">
            <v>1.3962337539246574</v>
          </cell>
          <cell r="T73">
            <v>1.3790264084274195</v>
          </cell>
          <cell r="V73">
            <v>15.7</v>
          </cell>
          <cell r="W73">
            <v>7.2342473138619852</v>
          </cell>
          <cell r="X73">
            <v>2.0193029225025407</v>
          </cell>
          <cell r="Y73">
            <v>107.5</v>
          </cell>
          <cell r="Z73">
            <v>20.009328032918358</v>
          </cell>
          <cell r="AA73">
            <v>5.12431971620786</v>
          </cell>
          <cell r="AB73">
            <v>2.8466187975450197</v>
          </cell>
        </row>
        <row r="74">
          <cell r="A74">
            <v>38565</v>
          </cell>
          <cell r="B74">
            <v>51</v>
          </cell>
          <cell r="C74">
            <v>35.456086264848153</v>
          </cell>
          <cell r="D74">
            <v>1.2996091313157367</v>
          </cell>
          <cell r="E74">
            <v>57.15</v>
          </cell>
          <cell r="F74">
            <v>27.254496007085478</v>
          </cell>
          <cell r="G74">
            <v>1.890319043852678</v>
          </cell>
          <cell r="H74">
            <v>65</v>
          </cell>
          <cell r="I74">
            <v>42.840708465157718</v>
          </cell>
          <cell r="J74">
            <v>1.4217742655624468</v>
          </cell>
          <cell r="K74">
            <v>3.3250000000000002</v>
          </cell>
          <cell r="L74">
            <v>2.8437038371932428</v>
          </cell>
          <cell r="M74">
            <v>1.1327364184046342</v>
          </cell>
          <cell r="N74">
            <v>10.3</v>
          </cell>
          <cell r="O74">
            <v>8.8291661283582172</v>
          </cell>
          <cell r="P74">
            <v>1.1083967760248956</v>
          </cell>
          <cell r="Q74">
            <v>22.7</v>
          </cell>
          <cell r="R74">
            <v>15.532165959436352</v>
          </cell>
          <cell r="S74">
            <v>1.329941727663752</v>
          </cell>
          <cell r="T74">
            <v>1.3637962271373574</v>
          </cell>
          <cell r="V74">
            <v>15.65</v>
          </cell>
          <cell r="W74">
            <v>7.2900272397094428</v>
          </cell>
          <cell r="X74">
            <v>2.0032353399277736</v>
          </cell>
          <cell r="Y74">
            <v>105</v>
          </cell>
          <cell r="Z74">
            <v>20.080901070544328</v>
          </cell>
          <cell r="AA74">
            <v>4.9844038370427786</v>
          </cell>
          <cell r="AB74">
            <v>2.7725269682114342</v>
          </cell>
        </row>
        <row r="75">
          <cell r="A75">
            <v>38596</v>
          </cell>
          <cell r="B75">
            <v>52</v>
          </cell>
          <cell r="C75">
            <v>35.726324143852665</v>
          </cell>
          <cell r="D75">
            <v>1.3137696350067121</v>
          </cell>
          <cell r="E75">
            <v>57.1</v>
          </cell>
          <cell r="F75">
            <v>27.512969707562444</v>
          </cell>
          <cell r="G75">
            <v>1.8736013512608707</v>
          </cell>
          <cell r="H75">
            <v>59.45</v>
          </cell>
          <cell r="I75">
            <v>43.044500801498067</v>
          </cell>
          <cell r="J75">
            <v>1.2930875904354733</v>
          </cell>
          <cell r="K75">
            <v>3.1</v>
          </cell>
          <cell r="L75">
            <v>2.8732897470203449</v>
          </cell>
          <cell r="M75">
            <v>1.0572862165840848</v>
          </cell>
          <cell r="N75">
            <v>9.8000000000000007</v>
          </cell>
          <cell r="O75">
            <v>8.9140358924945975</v>
          </cell>
          <cell r="P75">
            <v>1.0528342127253121</v>
          </cell>
          <cell r="Q75">
            <v>22.7</v>
          </cell>
          <cell r="R75">
            <v>15.656243674875279</v>
          </cell>
          <cell r="S75">
            <v>1.3198894911301682</v>
          </cell>
          <cell r="T75">
            <v>1.3184114161904368</v>
          </cell>
          <cell r="V75">
            <v>15.55</v>
          </cell>
          <cell r="W75">
            <v>7.3458071655569004</v>
          </cell>
          <cell r="X75">
            <v>1.9809512541393497</v>
          </cell>
          <cell r="Y75">
            <v>104.3</v>
          </cell>
          <cell r="Z75">
            <v>20.152474108170299</v>
          </cell>
          <cell r="AA75">
            <v>4.9307372533646996</v>
          </cell>
          <cell r="AB75">
            <v>2.7438593328780723</v>
          </cell>
        </row>
        <row r="76">
          <cell r="A76">
            <v>38626</v>
          </cell>
          <cell r="B76">
            <v>47.1</v>
          </cell>
          <cell r="C76">
            <v>35.996562022857177</v>
          </cell>
          <cell r="D76">
            <v>1.17989072897117</v>
          </cell>
          <cell r="E76">
            <v>52.95</v>
          </cell>
          <cell r="F76">
            <v>27.77144340803941</v>
          </cell>
          <cell r="G76">
            <v>1.7236809573375942</v>
          </cell>
          <cell r="H76">
            <v>55.5</v>
          </cell>
          <cell r="I76">
            <v>43.248293137838417</v>
          </cell>
          <cell r="J76">
            <v>1.2004428964318592</v>
          </cell>
          <cell r="K76">
            <v>2.8250000000000002</v>
          </cell>
          <cell r="L76">
            <v>2.902875656847447</v>
          </cell>
          <cell r="M76">
            <v>0.96459177253116379</v>
          </cell>
          <cell r="N76">
            <v>9.5500000000000007</v>
          </cell>
          <cell r="O76">
            <v>8.9989056566309777</v>
          </cell>
          <cell r="P76">
            <v>1.0242698162458872</v>
          </cell>
          <cell r="Q76">
            <v>22.65</v>
          </cell>
          <cell r="R76">
            <v>15.780321390314207</v>
          </cell>
          <cell r="S76">
            <v>1.3071026360966167</v>
          </cell>
          <cell r="T76">
            <v>1.2333298012690486</v>
          </cell>
          <cell r="V76">
            <v>14.45</v>
          </cell>
          <cell r="W76">
            <v>7.401587091404358</v>
          </cell>
          <cell r="X76">
            <v>1.8320902625956865</v>
          </cell>
          <cell r="Y76">
            <v>100.5</v>
          </cell>
          <cell r="Z76">
            <v>20.22404714579627</v>
          </cell>
          <cell r="AA76">
            <v>4.7315631782652758</v>
          </cell>
          <cell r="AB76">
            <v>2.6235853589858595</v>
          </cell>
        </row>
        <row r="77">
          <cell r="A77">
            <v>38657</v>
          </cell>
          <cell r="B77">
            <v>53.65</v>
          </cell>
          <cell r="C77">
            <v>36.266799901861688</v>
          </cell>
          <cell r="D77">
            <v>1.3326827774674239</v>
          </cell>
          <cell r="E77">
            <v>53.8</v>
          </cell>
          <cell r="F77">
            <v>28.029917108516376</v>
          </cell>
          <cell r="G77">
            <v>1.737601667675305</v>
          </cell>
          <cell r="H77">
            <v>58</v>
          </cell>
          <cell r="I77">
            <v>43.452085474178766</v>
          </cell>
          <cell r="J77">
            <v>1.2475628917177242</v>
          </cell>
          <cell r="K77">
            <v>2.9249999999999998</v>
          </cell>
          <cell r="L77">
            <v>2.932461566674549</v>
          </cell>
          <cell r="M77">
            <v>0.99987511345266933</v>
          </cell>
          <cell r="N77">
            <v>9.6</v>
          </cell>
          <cell r="O77">
            <v>9.083775420767358</v>
          </cell>
          <cell r="P77">
            <v>1.027922866934126</v>
          </cell>
          <cell r="Q77">
            <v>23.2</v>
          </cell>
          <cell r="R77">
            <v>15.904399105753134</v>
          </cell>
          <cell r="S77">
            <v>1.3288736201898259</v>
          </cell>
          <cell r="T77">
            <v>1.2790864895728458</v>
          </cell>
          <cell r="V77">
            <v>14.8</v>
          </cell>
          <cell r="W77">
            <v>7.4573670172518156</v>
          </cell>
          <cell r="X77">
            <v>1.8676097179828899</v>
          </cell>
          <cell r="Y77">
            <v>102.6</v>
          </cell>
          <cell r="Z77">
            <v>20.295620183422241</v>
          </cell>
          <cell r="AA77">
            <v>4.8106560916687089</v>
          </cell>
          <cell r="AB77">
            <v>2.6690464766138082</v>
          </cell>
        </row>
        <row r="78">
          <cell r="A78">
            <v>38687</v>
          </cell>
          <cell r="B78">
            <v>53.9</v>
          </cell>
          <cell r="C78">
            <v>36.537037780866164</v>
          </cell>
          <cell r="D78">
            <v>1.3277388168905158</v>
          </cell>
          <cell r="E78">
            <v>55.8</v>
          </cell>
          <cell r="F78">
            <v>28.288390808993334</v>
          </cell>
          <cell r="G78">
            <v>1.7881582293006335</v>
          </cell>
          <cell r="H78">
            <v>60</v>
          </cell>
          <cell r="I78">
            <v>43.655877810519137</v>
          </cell>
          <cell r="J78">
            <v>1.2834678126939527</v>
          </cell>
          <cell r="K78">
            <v>2.875</v>
          </cell>
          <cell r="L78">
            <v>2.962047476501652</v>
          </cell>
          <cell r="M78">
            <v>0.98390482324174411</v>
          </cell>
          <cell r="N78">
            <v>9.5</v>
          </cell>
          <cell r="O78">
            <v>9.1686451849037454</v>
          </cell>
          <cell r="P78">
            <v>1.0155291359940157</v>
          </cell>
          <cell r="Q78">
            <v>23.45</v>
          </cell>
          <cell r="R78">
            <v>16.028476821192054</v>
          </cell>
          <cell r="S78">
            <v>1.3332660846599662</v>
          </cell>
          <cell r="T78">
            <v>1.2886774837968047</v>
          </cell>
          <cell r="V78">
            <v>14.9</v>
          </cell>
          <cell r="W78">
            <v>7.5131469430992732</v>
          </cell>
          <cell r="X78">
            <v>1.8713961981012512</v>
          </cell>
          <cell r="Y78">
            <v>101.2</v>
          </cell>
          <cell r="Z78">
            <v>20.367193221048225</v>
          </cell>
          <cell r="AA78">
            <v>4.725666942041701</v>
          </cell>
          <cell r="AB78">
            <v>2.6434430749343059</v>
          </cell>
        </row>
        <row r="79">
          <cell r="A79">
            <v>38718</v>
          </cell>
          <cell r="B79">
            <v>54.25</v>
          </cell>
          <cell r="C79">
            <v>36.8752290862395</v>
          </cell>
          <cell r="D79">
            <v>1.3267311107854214</v>
          </cell>
          <cell r="E79">
            <v>56.1</v>
          </cell>
          <cell r="F79">
            <v>28.531465922805928</v>
          </cell>
          <cell r="G79">
            <v>1.7832320854263348</v>
          </cell>
          <cell r="H79">
            <v>61</v>
          </cell>
          <cell r="I79">
            <v>43.913583662589261</v>
          </cell>
          <cell r="J79">
            <v>1.2971362747722304</v>
          </cell>
          <cell r="K79">
            <v>3.125</v>
          </cell>
          <cell r="L79">
            <v>2.9587127367084873</v>
          </cell>
          <cell r="M79">
            <v>1.043146973251974</v>
          </cell>
          <cell r="N79">
            <v>10.050000000000001</v>
          </cell>
          <cell r="O79">
            <v>9.1841521810795239</v>
          </cell>
          <cell r="P79">
            <v>1.0698007858983261</v>
          </cell>
          <cell r="Q79">
            <v>24.15</v>
          </cell>
          <cell r="R79">
            <v>16.158469344157233</v>
          </cell>
          <cell r="S79">
            <v>1.3688668407920768</v>
          </cell>
          <cell r="T79">
            <v>1.3148190118210605</v>
          </cell>
          <cell r="V79">
            <v>15.55</v>
          </cell>
          <cell r="W79">
            <v>7.5505488472569011</v>
          </cell>
          <cell r="X79">
            <v>1.9433020081845358</v>
          </cell>
          <cell r="Y79">
            <v>103.5</v>
          </cell>
          <cell r="Z79">
            <v>20.454507674116329</v>
          </cell>
          <cell r="AA79">
            <v>4.8054108760746344</v>
          </cell>
          <cell r="AB79">
            <v>2.7058599083504156</v>
          </cell>
        </row>
        <row r="80">
          <cell r="A80">
            <v>38749</v>
          </cell>
          <cell r="B80">
            <v>54.3</v>
          </cell>
          <cell r="C80">
            <v>37.213420391612843</v>
          </cell>
          <cell r="D80">
            <v>1.3184535494476128</v>
          </cell>
          <cell r="E80">
            <v>59.85</v>
          </cell>
          <cell r="F80">
            <v>28.774541036618523</v>
          </cell>
          <cell r="G80">
            <v>1.887169172840244</v>
          </cell>
          <cell r="H80">
            <v>68.7</v>
          </cell>
          <cell r="I80">
            <v>44.171289514659392</v>
          </cell>
          <cell r="J80">
            <v>1.452277996759916</v>
          </cell>
          <cell r="K80">
            <v>3.5249999999999999</v>
          </cell>
          <cell r="L80">
            <v>2.9553779969153227</v>
          </cell>
          <cell r="M80">
            <v>1.1484123646415143</v>
          </cell>
          <cell r="N80">
            <v>10.65</v>
          </cell>
          <cell r="O80">
            <v>9.1996591772553025</v>
          </cell>
          <cell r="P80">
            <v>1.1289175425143771</v>
          </cell>
          <cell r="Q80">
            <v>26.65</v>
          </cell>
          <cell r="R80">
            <v>16.288461867122411</v>
          </cell>
          <cell r="S80">
            <v>1.5059668956728451</v>
          </cell>
          <cell r="T80">
            <v>1.4068662536460852</v>
          </cell>
          <cell r="V80">
            <v>15.65</v>
          </cell>
          <cell r="W80">
            <v>7.587950751414529</v>
          </cell>
          <cell r="X80">
            <v>1.9461013958085538</v>
          </cell>
          <cell r="Y80">
            <v>103.9</v>
          </cell>
          <cell r="Z80">
            <v>20.541822127184432</v>
          </cell>
          <cell r="AA80">
            <v>4.7965339960921716</v>
          </cell>
          <cell r="AB80">
            <v>2.7495340958578569</v>
          </cell>
        </row>
        <row r="81">
          <cell r="A81">
            <v>38777</v>
          </cell>
          <cell r="B81">
            <v>61.1</v>
          </cell>
          <cell r="C81">
            <v>37.551611696986186</v>
          </cell>
          <cell r="D81">
            <v>1.4730255382060462</v>
          </cell>
          <cell r="E81">
            <v>65.150000000000006</v>
          </cell>
          <cell r="F81">
            <v>29.017616150431117</v>
          </cell>
          <cell r="G81">
            <v>2.0379368587065603</v>
          </cell>
          <cell r="H81">
            <v>75</v>
          </cell>
          <cell r="I81">
            <v>44.428995366729524</v>
          </cell>
          <cell r="J81">
            <v>1.5761827440185228</v>
          </cell>
          <cell r="K81">
            <v>3.4750000000000001</v>
          </cell>
          <cell r="L81">
            <v>2.952043257122158</v>
          </cell>
          <cell r="M81">
            <v>1.1055727825499808</v>
          </cell>
          <cell r="N81">
            <v>11.2</v>
          </cell>
          <cell r="O81">
            <v>9.215166173431081</v>
          </cell>
          <cell r="P81">
            <v>1.1822628151768351</v>
          </cell>
          <cell r="Q81">
            <v>28.05</v>
          </cell>
          <cell r="R81">
            <v>16.418454390087589</v>
          </cell>
          <cell r="S81">
            <v>1.5802625808015085</v>
          </cell>
          <cell r="T81">
            <v>1.4925405532432423</v>
          </cell>
          <cell r="V81">
            <v>15.6</v>
          </cell>
          <cell r="W81">
            <v>7.6253526555721569</v>
          </cell>
          <cell r="X81">
            <v>1.9303124624073238</v>
          </cell>
          <cell r="Y81">
            <v>99.95</v>
          </cell>
          <cell r="Z81">
            <v>20.629136580252535</v>
          </cell>
          <cell r="AA81">
            <v>4.5880763996926461</v>
          </cell>
          <cell r="AB81">
            <v>2.6995504809671593</v>
          </cell>
        </row>
        <row r="82">
          <cell r="A82">
            <v>38808</v>
          </cell>
          <cell r="B82">
            <v>63.5</v>
          </cell>
          <cell r="C82">
            <v>37.889803002359528</v>
          </cell>
          <cell r="D82">
            <v>1.5200881281264516</v>
          </cell>
          <cell r="E82">
            <v>71.900000000000006</v>
          </cell>
          <cell r="F82">
            <v>29.260691264243711</v>
          </cell>
          <cell r="G82">
            <v>2.2313224301108048</v>
          </cell>
          <cell r="H82">
            <v>73.7</v>
          </cell>
          <cell r="I82">
            <v>44.686701218799655</v>
          </cell>
          <cell r="J82">
            <v>1.5398553859103934</v>
          </cell>
          <cell r="K82">
            <v>4.5750000000000002</v>
          </cell>
          <cell r="L82">
            <v>2.9487085173289933</v>
          </cell>
          <cell r="M82">
            <v>1.4221857939707203</v>
          </cell>
          <cell r="N82">
            <v>11.65</v>
          </cell>
          <cell r="O82">
            <v>9.2306731696068596</v>
          </cell>
          <cell r="P82">
            <v>1.2246525570998774</v>
          </cell>
          <cell r="Q82">
            <v>32.4</v>
          </cell>
          <cell r="R82">
            <v>16.548446913052768</v>
          </cell>
          <cell r="S82">
            <v>1.8197997082408384</v>
          </cell>
          <cell r="T82">
            <v>1.6263173339098476</v>
          </cell>
          <cell r="V82">
            <v>16</v>
          </cell>
          <cell r="W82">
            <v>7.6627545597297848</v>
          </cell>
          <cell r="X82">
            <v>1.9700872733155572</v>
          </cell>
          <cell r="Y82">
            <v>100.4</v>
          </cell>
          <cell r="Z82">
            <v>20.716451033320638</v>
          </cell>
          <cell r="AA82">
            <v>4.5828043963376937</v>
          </cell>
          <cell r="AB82">
            <v>2.7908971259646962</v>
          </cell>
        </row>
        <row r="83">
          <cell r="A83">
            <v>38838</v>
          </cell>
          <cell r="B83">
            <v>63</v>
          </cell>
          <cell r="C83">
            <v>38.227994307732871</v>
          </cell>
          <cell r="D83">
            <v>1.4975563494773185</v>
          </cell>
          <cell r="E83">
            <v>69.45</v>
          </cell>
          <cell r="F83">
            <v>29.503766378056305</v>
          </cell>
          <cell r="G83">
            <v>2.1384047292848445</v>
          </cell>
          <cell r="H83">
            <v>71.099999999999994</v>
          </cell>
          <cell r="I83">
            <v>44.944407070869786</v>
          </cell>
          <cell r="J83">
            <v>1.4769434901236067</v>
          </cell>
          <cell r="K83">
            <v>4.4000000000000004</v>
          </cell>
          <cell r="L83">
            <v>2.9453737775358286</v>
          </cell>
          <cell r="M83">
            <v>1.3371456413593692</v>
          </cell>
          <cell r="N83">
            <v>11.05</v>
          </cell>
          <cell r="O83">
            <v>9.2461801657826381</v>
          </cell>
          <cell r="P83">
            <v>1.1567718492313599</v>
          </cell>
          <cell r="Q83">
            <v>29.55</v>
          </cell>
          <cell r="R83">
            <v>16.678439436017946</v>
          </cell>
          <cell r="S83">
            <v>1.6547113378469631</v>
          </cell>
          <cell r="T83">
            <v>1.5435888995539104</v>
          </cell>
          <cell r="V83">
            <v>15</v>
          </cell>
          <cell r="W83">
            <v>7.7001564638874127</v>
          </cell>
          <cell r="X83">
            <v>1.8379330087554824</v>
          </cell>
          <cell r="Y83">
            <v>97.45</v>
          </cell>
          <cell r="Z83">
            <v>20.803765486388741</v>
          </cell>
          <cell r="AA83">
            <v>4.4232650484240388</v>
          </cell>
          <cell r="AB83">
            <v>2.6386364650088279</v>
          </cell>
        </row>
        <row r="84">
          <cell r="A84">
            <v>38869</v>
          </cell>
          <cell r="B84">
            <v>56.9</v>
          </cell>
          <cell r="C84">
            <v>38.566185613106214</v>
          </cell>
          <cell r="D84">
            <v>1.34314770823202</v>
          </cell>
          <cell r="E84">
            <v>68</v>
          </cell>
          <cell r="F84">
            <v>29.746841491868899</v>
          </cell>
          <cell r="G84">
            <v>2.0774828167653125</v>
          </cell>
          <cell r="H84">
            <v>67</v>
          </cell>
          <cell r="I84">
            <v>45.202112922939918</v>
          </cell>
          <cell r="J84">
            <v>1.3837748324034613</v>
          </cell>
          <cell r="K84">
            <v>4.375</v>
          </cell>
          <cell r="L84">
            <v>2.942039037742664</v>
          </cell>
          <cell r="M84">
            <v>1.3004177123229135</v>
          </cell>
          <cell r="N84">
            <v>11.45</v>
          </cell>
          <cell r="O84">
            <v>9.2616871619584167</v>
          </cell>
          <cell r="P84">
            <v>1.1937044890836177</v>
          </cell>
          <cell r="Q84">
            <v>31.95</v>
          </cell>
          <cell r="R84">
            <v>16.808431958983125</v>
          </cell>
          <cell r="S84">
            <v>1.7837162097947348</v>
          </cell>
          <cell r="T84">
            <v>1.51370729476701</v>
          </cell>
          <cell r="V84">
            <v>15.2</v>
          </cell>
          <cell r="W84">
            <v>7.7375583680450406</v>
          </cell>
          <cell r="X84">
            <v>1.8533835725735042</v>
          </cell>
          <cell r="Y84">
            <v>98.5</v>
          </cell>
          <cell r="Z84">
            <v>20.891079939456844</v>
          </cell>
          <cell r="AA84">
            <v>4.4460511602017094</v>
          </cell>
          <cell r="AB84">
            <v>2.6943836475233165</v>
          </cell>
        </row>
        <row r="85">
          <cell r="A85">
            <v>38899</v>
          </cell>
          <cell r="B85">
            <v>64.900000000000006</v>
          </cell>
          <cell r="C85">
            <v>38.904376918479556</v>
          </cell>
          <cell r="D85">
            <v>1.521409417601437</v>
          </cell>
          <cell r="E85">
            <v>71.25</v>
          </cell>
          <cell r="F85">
            <v>29.989916605681493</v>
          </cell>
          <cell r="G85">
            <v>2.1599838852250612</v>
          </cell>
          <cell r="H85">
            <v>68.8</v>
          </cell>
          <cell r="I85">
            <v>45.459818775010049</v>
          </cell>
          <cell r="J85">
            <v>1.4128295190488214</v>
          </cell>
          <cell r="K85">
            <v>4.3899999999999997</v>
          </cell>
          <cell r="L85">
            <v>2.9387042979494993</v>
          </cell>
          <cell r="M85">
            <v>1.2768993185310842</v>
          </cell>
          <cell r="N85">
            <v>13.16</v>
          </cell>
          <cell r="O85">
            <v>9.2771941581341952</v>
          </cell>
          <cell r="P85">
            <v>1.3663454593662243</v>
          </cell>
          <cell r="Q85">
            <v>32.1</v>
          </cell>
          <cell r="R85">
            <v>16.938424481948303</v>
          </cell>
          <cell r="S85">
            <v>1.7867097479911871</v>
          </cell>
          <cell r="T85">
            <v>1.587362891293969</v>
          </cell>
          <cell r="V85">
            <v>15.8</v>
          </cell>
          <cell r="W85">
            <v>7.7749602722026685</v>
          </cell>
          <cell r="X85">
            <v>1.9172218844139595</v>
          </cell>
          <cell r="Y85">
            <v>99.3</v>
          </cell>
          <cell r="Z85">
            <v>20.978394392524947</v>
          </cell>
          <cell r="AA85">
            <v>4.4573631770327866</v>
          </cell>
          <cell r="AB85">
            <v>2.7204316031459777</v>
          </cell>
        </row>
        <row r="86">
          <cell r="A86">
            <v>38930</v>
          </cell>
          <cell r="B86">
            <v>66.7</v>
          </cell>
          <cell r="C86">
            <v>39.242568223852899</v>
          </cell>
          <cell r="D86">
            <v>1.5528798383246956</v>
          </cell>
          <cell r="E86">
            <v>74.7</v>
          </cell>
          <cell r="F86">
            <v>30.232991719494088</v>
          </cell>
          <cell r="G86">
            <v>2.2472386669688333</v>
          </cell>
          <cell r="H86">
            <v>74.400000000000006</v>
          </cell>
          <cell r="I86">
            <v>45.717524627080181</v>
          </cell>
          <cell r="J86">
            <v>1.5191446964656168</v>
          </cell>
          <cell r="K86">
            <v>4.04</v>
          </cell>
          <cell r="L86">
            <v>2.9353695581563346</v>
          </cell>
          <cell r="M86">
            <v>1.1504308038020949</v>
          </cell>
          <cell r="N86">
            <v>12.96</v>
          </cell>
          <cell r="O86">
            <v>9.2927011543099738</v>
          </cell>
          <cell r="P86">
            <v>1.3400784980449079</v>
          </cell>
          <cell r="Q86">
            <v>34.6</v>
          </cell>
          <cell r="R86">
            <v>17.068417004913481</v>
          </cell>
          <cell r="S86">
            <v>1.9200965454769485</v>
          </cell>
          <cell r="T86">
            <v>1.6216448415138496</v>
          </cell>
          <cell r="V86">
            <v>17.059999999999999</v>
          </cell>
          <cell r="W86">
            <v>7.8123621763602964</v>
          </cell>
          <cell r="X86">
            <v>2.0601462603210283</v>
          </cell>
          <cell r="Y86">
            <v>98.5</v>
          </cell>
          <cell r="Z86">
            <v>21.065708845593051</v>
          </cell>
          <cell r="AA86">
            <v>4.3971253266319588</v>
          </cell>
          <cell r="AB86">
            <v>2.7924560441433122</v>
          </cell>
        </row>
        <row r="87">
          <cell r="A87">
            <v>38961</v>
          </cell>
          <cell r="B87">
            <v>70.150000000000006</v>
          </cell>
          <cell r="C87">
            <v>39.580759529226242</v>
          </cell>
          <cell r="D87">
            <v>1.6220742989052521</v>
          </cell>
          <cell r="E87">
            <v>76.099999999999994</v>
          </cell>
          <cell r="F87">
            <v>30.476066833306682</v>
          </cell>
          <cell r="G87">
            <v>2.2719650929755666</v>
          </cell>
          <cell r="H87">
            <v>76.75</v>
          </cell>
          <cell r="I87">
            <v>45.975230479150312</v>
          </cell>
          <cell r="J87">
            <v>1.5582728385813711</v>
          </cell>
          <cell r="K87">
            <v>4.4800000000000004</v>
          </cell>
          <cell r="L87">
            <v>2.9320348183631699</v>
          </cell>
          <cell r="M87">
            <v>1.249497930950531</v>
          </cell>
          <cell r="N87">
            <v>13.58</v>
          </cell>
          <cell r="O87">
            <v>9.3082081504857523</v>
          </cell>
          <cell r="P87">
            <v>1.3984691062999333</v>
          </cell>
          <cell r="Q87">
            <v>35.549999999999997</v>
          </cell>
          <cell r="R87">
            <v>17.19840952787866</v>
          </cell>
          <cell r="S87">
            <v>1.9669279753618292</v>
          </cell>
          <cell r="T87">
            <v>1.6778678738457471</v>
          </cell>
          <cell r="V87">
            <v>17.5</v>
          </cell>
          <cell r="W87">
            <v>7.8497640805179243</v>
          </cell>
          <cell r="X87">
            <v>2.1031530710285602</v>
          </cell>
          <cell r="Y87">
            <v>98.45</v>
          </cell>
          <cell r="Z87">
            <v>21.153023298661154</v>
          </cell>
          <cell r="AA87">
            <v>4.3708441679785697</v>
          </cell>
          <cell r="AB87">
            <v>2.8136417381229859</v>
          </cell>
        </row>
        <row r="88">
          <cell r="A88">
            <v>38991</v>
          </cell>
          <cell r="B88">
            <v>68.05</v>
          </cell>
          <cell r="C88">
            <v>39.918950834599585</v>
          </cell>
          <cell r="D88">
            <v>1.5628683864732318</v>
          </cell>
          <cell r="E88">
            <v>75.599999999999994</v>
          </cell>
          <cell r="F88">
            <v>30.719141947119276</v>
          </cell>
          <cell r="G88">
            <v>2.2400218498268236</v>
          </cell>
          <cell r="H88">
            <v>74</v>
          </cell>
          <cell r="I88">
            <v>46.232936331220444</v>
          </cell>
          <cell r="J88">
            <v>1.4939966197488475</v>
          </cell>
          <cell r="K88">
            <v>5.22</v>
          </cell>
          <cell r="L88">
            <v>2.9287000785700052</v>
          </cell>
          <cell r="M88">
            <v>1.4265599248934189</v>
          </cell>
          <cell r="N88">
            <v>13.48</v>
          </cell>
          <cell r="O88">
            <v>9.3237151466615309</v>
          </cell>
          <cell r="P88">
            <v>1.3825411620309624</v>
          </cell>
          <cell r="Q88">
            <v>37.15</v>
          </cell>
          <cell r="R88">
            <v>17.328402050843838</v>
          </cell>
          <cell r="S88">
            <v>2.0493372003476003</v>
          </cell>
          <cell r="T88">
            <v>1.6925541905534807</v>
          </cell>
          <cell r="V88">
            <v>17.399999999999999</v>
          </cell>
          <cell r="W88">
            <v>7.8871659846755522</v>
          </cell>
          <cell r="X88">
            <v>2.0811618776291314</v>
          </cell>
          <cell r="Y88">
            <v>99.1</v>
          </cell>
          <cell r="Z88">
            <v>21.240337751729257</v>
          </cell>
          <cell r="AA88">
            <v>4.3757575472390915</v>
          </cell>
          <cell r="AB88">
            <v>2.8354188750719409</v>
          </cell>
        </row>
        <row r="89">
          <cell r="A89">
            <v>39022</v>
          </cell>
          <cell r="B89">
            <v>70.7</v>
          </cell>
          <cell r="C89">
            <v>40.257142139972927</v>
          </cell>
          <cell r="D89">
            <v>1.6128158641044277</v>
          </cell>
          <cell r="E89">
            <v>82.1</v>
          </cell>
          <cell r="F89">
            <v>30.96221706093187</v>
          </cell>
          <cell r="G89">
            <v>2.4144141178444478</v>
          </cell>
          <cell r="H89">
            <v>74.849999999999994</v>
          </cell>
          <cell r="I89">
            <v>46.490642183290575</v>
          </cell>
          <cell r="J89">
            <v>1.5027135103774525</v>
          </cell>
          <cell r="K89">
            <v>6.03</v>
          </cell>
          <cell r="L89">
            <v>2.9253653387768406</v>
          </cell>
          <cell r="M89">
            <v>1.6153814546418765</v>
          </cell>
          <cell r="N89">
            <v>13.9</v>
          </cell>
          <cell r="O89">
            <v>9.3392221428373094</v>
          </cell>
          <cell r="P89">
            <v>1.4198589165197957</v>
          </cell>
          <cell r="Q89">
            <v>41.95</v>
          </cell>
          <cell r="R89">
            <v>17.458394573809016</v>
          </cell>
          <cell r="S89">
            <v>2.3072580478318958</v>
          </cell>
          <cell r="T89">
            <v>1.8120736518866492</v>
          </cell>
          <cell r="V89">
            <v>18.739999999999998</v>
          </cell>
          <cell r="W89">
            <v>7.9245678888331801</v>
          </cell>
          <cell r="X89">
            <v>2.2307960077472262</v>
          </cell>
          <cell r="Y89">
            <v>103.8</v>
          </cell>
          <cell r="Z89">
            <v>21.32765220479736</v>
          </cell>
          <cell r="AA89">
            <v>4.5584774034976103</v>
          </cell>
          <cell r="AB89">
            <v>3.0321771530255774</v>
          </cell>
        </row>
        <row r="90">
          <cell r="A90">
            <v>39052</v>
          </cell>
          <cell r="B90">
            <v>70.45</v>
          </cell>
          <cell r="C90">
            <v>40.595333445346235</v>
          </cell>
          <cell r="D90">
            <v>1.5963829719526199</v>
          </cell>
          <cell r="E90">
            <v>91.5</v>
          </cell>
          <cell r="F90">
            <v>31.205292174744475</v>
          </cell>
          <cell r="G90">
            <v>2.6708663765593896</v>
          </cell>
          <cell r="H90">
            <v>81.5</v>
          </cell>
          <cell r="I90">
            <v>46.748348035360671</v>
          </cell>
          <cell r="J90">
            <v>1.6271292273256723</v>
          </cell>
          <cell r="K90">
            <v>6.98</v>
          </cell>
          <cell r="L90">
            <v>2.9220305989836746</v>
          </cell>
          <cell r="M90">
            <v>1.8336685968588189</v>
          </cell>
          <cell r="N90">
            <v>15</v>
          </cell>
          <cell r="O90">
            <v>9.3547291390130844</v>
          </cell>
          <cell r="P90">
            <v>1.5260576929294443</v>
          </cell>
          <cell r="Q90">
            <v>44.05</v>
          </cell>
          <cell r="R90">
            <v>17.588387096774195</v>
          </cell>
          <cell r="S90">
            <v>2.4155917554960795</v>
          </cell>
          <cell r="T90">
            <v>1.9449494368536706</v>
          </cell>
          <cell r="V90">
            <v>21.1</v>
          </cell>
          <cell r="W90">
            <v>7.9619697929908062</v>
          </cell>
          <cell r="X90">
            <v>2.4998627812772685</v>
          </cell>
          <cell r="Y90">
            <v>106.3</v>
          </cell>
          <cell r="Z90">
            <v>21.414966657865449</v>
          </cell>
          <cell r="AA90">
            <v>4.6431348663221979</v>
          </cell>
          <cell r="AB90">
            <v>3.1861964676985153</v>
          </cell>
        </row>
        <row r="91">
          <cell r="A91">
            <v>39083</v>
          </cell>
          <cell r="C91">
            <v>40.88997352891208</v>
          </cell>
          <cell r="F91">
            <v>31.459730036535106</v>
          </cell>
          <cell r="I91">
            <v>47.026670355596409</v>
          </cell>
          <cell r="L91">
            <v>2.9957427669640095</v>
          </cell>
          <cell r="O91">
            <v>9.3942724033062674</v>
          </cell>
          <cell r="R91">
            <v>17.642329611860507</v>
          </cell>
          <cell r="W91">
            <v>8.001844249894571</v>
          </cell>
          <cell r="Z91">
            <v>21.538220699359925</v>
          </cell>
        </row>
        <row r="92">
          <cell r="A92">
            <v>39114</v>
          </cell>
          <cell r="C92">
            <v>41.184613612477925</v>
          </cell>
          <cell r="F92">
            <v>31.714167898325737</v>
          </cell>
          <cell r="I92">
            <v>47.304992675832146</v>
          </cell>
          <cell r="L92">
            <v>3.0694549349443445</v>
          </cell>
          <cell r="O92">
            <v>9.4338156675994504</v>
          </cell>
          <cell r="R92">
            <v>17.69627212694682</v>
          </cell>
          <cell r="W92">
            <v>8.0417187067983367</v>
          </cell>
          <cell r="Z92">
            <v>21.661474740854402</v>
          </cell>
        </row>
        <row r="93">
          <cell r="A93">
            <v>39142</v>
          </cell>
          <cell r="C93">
            <v>41.47925369604377</v>
          </cell>
          <cell r="F93">
            <v>31.968605760116368</v>
          </cell>
          <cell r="I93">
            <v>47.583314996067884</v>
          </cell>
          <cell r="L93">
            <v>3.1431671029246795</v>
          </cell>
          <cell r="O93">
            <v>9.4733589318926334</v>
          </cell>
          <cell r="R93">
            <v>17.750214642033132</v>
          </cell>
          <cell r="W93">
            <v>8.0815931637021023</v>
          </cell>
          <cell r="Z93">
            <v>21.784728782348878</v>
          </cell>
        </row>
        <row r="94">
          <cell r="A94">
            <v>39173</v>
          </cell>
          <cell r="C94">
            <v>41.773893779609615</v>
          </cell>
          <cell r="F94">
            <v>32.223043621907003</v>
          </cell>
          <cell r="I94">
            <v>47.861637316303622</v>
          </cell>
          <cell r="L94">
            <v>3.2168792709050145</v>
          </cell>
          <cell r="O94">
            <v>9.5129021961858165</v>
          </cell>
          <cell r="R94">
            <v>17.804157157119445</v>
          </cell>
          <cell r="W94">
            <v>8.121467620605868</v>
          </cell>
          <cell r="Z94">
            <v>21.907982823843355</v>
          </cell>
        </row>
        <row r="95">
          <cell r="A95">
            <v>39203</v>
          </cell>
          <cell r="C95">
            <v>42.06853386317546</v>
          </cell>
          <cell r="F95">
            <v>32.477481483697638</v>
          </cell>
          <cell r="I95">
            <v>48.139959636539359</v>
          </cell>
          <cell r="L95">
            <v>3.2905914388853494</v>
          </cell>
          <cell r="O95">
            <v>9.5524454604789995</v>
          </cell>
          <cell r="R95">
            <v>17.858099672205757</v>
          </cell>
          <cell r="W95">
            <v>8.1613420775096337</v>
          </cell>
          <cell r="Z95">
            <v>22.031236865337831</v>
          </cell>
        </row>
        <row r="96">
          <cell r="A96">
            <v>39234</v>
          </cell>
          <cell r="C96">
            <v>42.363173946741306</v>
          </cell>
          <cell r="F96">
            <v>32.731919345488272</v>
          </cell>
          <cell r="I96">
            <v>48.418281956775097</v>
          </cell>
          <cell r="L96">
            <v>3.3643036068656844</v>
          </cell>
          <cell r="O96">
            <v>9.5919887247721825</v>
          </cell>
          <cell r="R96">
            <v>17.912042187292069</v>
          </cell>
          <cell r="W96">
            <v>8.2012165344133994</v>
          </cell>
          <cell r="Z96">
            <v>22.154490906832308</v>
          </cell>
        </row>
        <row r="97">
          <cell r="A97">
            <v>39264</v>
          </cell>
          <cell r="C97">
            <v>42.657814030307151</v>
          </cell>
          <cell r="F97">
            <v>32.986357207278907</v>
          </cell>
          <cell r="I97">
            <v>48.696604277010834</v>
          </cell>
          <cell r="L97">
            <v>3.4380157748460194</v>
          </cell>
          <cell r="O97">
            <v>9.6315319890653655</v>
          </cell>
          <cell r="R97">
            <v>17.965984702378382</v>
          </cell>
          <cell r="W97">
            <v>8.241090991317165</v>
          </cell>
          <cell r="Z97">
            <v>22.277744948326784</v>
          </cell>
        </row>
        <row r="98">
          <cell r="A98">
            <v>39295</v>
          </cell>
          <cell r="C98">
            <v>42.952454113872996</v>
          </cell>
          <cell r="F98">
            <v>33.240795069069542</v>
          </cell>
          <cell r="I98">
            <v>48.974926597246572</v>
          </cell>
          <cell r="L98">
            <v>3.5117279428263544</v>
          </cell>
          <cell r="O98">
            <v>9.6710752533585485</v>
          </cell>
          <cell r="R98">
            <v>18.019927217464694</v>
          </cell>
          <cell r="W98">
            <v>8.2809654482209307</v>
          </cell>
          <cell r="Z98">
            <v>22.400998989821261</v>
          </cell>
        </row>
        <row r="99">
          <cell r="A99">
            <v>39326</v>
          </cell>
          <cell r="C99">
            <v>43.247094197438841</v>
          </cell>
          <cell r="F99">
            <v>33.495232930860176</v>
          </cell>
          <cell r="I99">
            <v>49.25324891748231</v>
          </cell>
          <cell r="L99">
            <v>3.5854401108066893</v>
          </cell>
          <cell r="O99">
            <v>9.7106185176517315</v>
          </cell>
          <cell r="R99">
            <v>18.073869732551007</v>
          </cell>
          <cell r="W99">
            <v>8.3208399051246964</v>
          </cell>
          <cell r="Z99">
            <v>22.524253031315737</v>
          </cell>
        </row>
        <row r="100">
          <cell r="A100">
            <v>39356</v>
          </cell>
          <cell r="C100">
            <v>43.541734281004686</v>
          </cell>
          <cell r="F100">
            <v>33.749670792650811</v>
          </cell>
          <cell r="I100">
            <v>49.531571237718047</v>
          </cell>
          <cell r="L100">
            <v>3.6591522787870243</v>
          </cell>
          <cell r="O100">
            <v>9.7501617819449145</v>
          </cell>
          <cell r="R100">
            <v>18.127812247637319</v>
          </cell>
          <cell r="W100">
            <v>8.3607143620284621</v>
          </cell>
          <cell r="Z100">
            <v>22.647507072810214</v>
          </cell>
        </row>
        <row r="101">
          <cell r="A101">
            <v>39387</v>
          </cell>
          <cell r="C101">
            <v>43.836374364570531</v>
          </cell>
          <cell r="F101">
            <v>34.004108654441445</v>
          </cell>
          <cell r="I101">
            <v>49.809893557953785</v>
          </cell>
          <cell r="L101">
            <v>3.7328644467673593</v>
          </cell>
          <cell r="O101">
            <v>9.7897050462380975</v>
          </cell>
          <cell r="R101">
            <v>18.181754762723632</v>
          </cell>
          <cell r="W101">
            <v>8.4005888189322278</v>
          </cell>
          <cell r="Z101">
            <v>22.77076111430469</v>
          </cell>
        </row>
        <row r="102">
          <cell r="A102">
            <v>39417</v>
          </cell>
          <cell r="C102">
            <v>44.131014448136405</v>
          </cell>
          <cell r="F102">
            <v>34.258546516232052</v>
          </cell>
          <cell r="I102">
            <v>50.08821587818953</v>
          </cell>
          <cell r="L102">
            <v>3.806576614747696</v>
          </cell>
          <cell r="O102">
            <v>9.8292483105312787</v>
          </cell>
          <cell r="R102">
            <v>18.235697277809944</v>
          </cell>
          <cell r="W102">
            <v>8.4404632758359899</v>
          </cell>
          <cell r="Z102">
            <v>22.894015155799181</v>
          </cell>
        </row>
        <row r="119">
          <cell r="A119" t="str">
            <v>Mid sized banks average, 2000-2005</v>
          </cell>
        </row>
        <row r="143">
          <cell r="A143" t="str">
            <v>Large sized banks average, 2000-2005</v>
          </cell>
        </row>
        <row r="155">
          <cell r="T155" t="str">
            <v xml:space="preserve"> </v>
          </cell>
        </row>
      </sheetData>
      <sheetData sheetId="36"/>
      <sheetData sheetId="37" refreshError="1"/>
      <sheetData sheetId="38" refreshError="1">
        <row r="1">
          <cell r="B1" t="str">
            <v>Current Provision/ Advances 07E (bps)</v>
          </cell>
          <cell r="C1" t="str">
            <v>Provision/Advances 07E if 50 bps increase (bps)</v>
          </cell>
          <cell r="D1" t="str">
            <v>Current Net Profit 07E (HK$mn)</v>
          </cell>
          <cell r="E1" t="str">
            <v>Net Profit 07E if 50 bps increase in prov cost (HK$mn)</v>
          </cell>
          <cell r="F1" t="str">
            <v>Var in Earnings 0E</v>
          </cell>
        </row>
        <row r="2">
          <cell r="A2" t="str">
            <v>HSB</v>
          </cell>
          <cell r="B2">
            <v>14.149325965137542</v>
          </cell>
          <cell r="C2">
            <v>64.149325965137535</v>
          </cell>
          <cell r="D2">
            <v>13450.463080219743</v>
          </cell>
          <cell r="E2">
            <v>12212</v>
          </cell>
          <cell r="F2">
            <v>-9.20758692718191E-2</v>
          </cell>
        </row>
        <row r="3">
          <cell r="A3" t="str">
            <v>BOCHK</v>
          </cell>
          <cell r="B3">
            <v>12.679501891480825</v>
          </cell>
          <cell r="C3">
            <v>62.679501891480825</v>
          </cell>
          <cell r="D3">
            <v>14426.047854558774</v>
          </cell>
          <cell r="E3">
            <v>12800</v>
          </cell>
          <cell r="F3">
            <v>-0.11271610013722</v>
          </cell>
        </row>
        <row r="4">
          <cell r="A4" t="str">
            <v>DSF</v>
          </cell>
          <cell r="B4">
            <v>54.424751086228383</v>
          </cell>
          <cell r="C4">
            <v>104.42475108622838</v>
          </cell>
          <cell r="D4">
            <v>1429.5856372052958</v>
          </cell>
          <cell r="E4">
            <v>1240</v>
          </cell>
          <cell r="F4">
            <v>-0.13261579598401518</v>
          </cell>
        </row>
        <row r="5">
          <cell r="A5" t="str">
            <v>CIFH</v>
          </cell>
          <cell r="B5">
            <v>26.786516862527179</v>
          </cell>
          <cell r="C5">
            <v>76.786516862527179</v>
          </cell>
          <cell r="D5">
            <v>1708.4492063324979</v>
          </cell>
          <cell r="E5">
            <v>1475</v>
          </cell>
          <cell r="F5">
            <v>-0.13664392565327699</v>
          </cell>
        </row>
        <row r="6">
          <cell r="A6" t="str">
            <v>WHB</v>
          </cell>
          <cell r="B6">
            <v>14.857451405981086</v>
          </cell>
          <cell r="C6">
            <v>64.857451405981081</v>
          </cell>
          <cell r="D6">
            <v>1794.130736137744</v>
          </cell>
          <cell r="E6">
            <v>1493</v>
          </cell>
          <cell r="F6">
            <v>-0.167842136624889</v>
          </cell>
        </row>
        <row r="7">
          <cell r="A7" t="str">
            <v>WLB</v>
          </cell>
          <cell r="B7">
            <v>29.584190958550064</v>
          </cell>
          <cell r="C7">
            <v>79.584190958550067</v>
          </cell>
          <cell r="D7">
            <v>1270.5550146065586</v>
          </cell>
          <cell r="E7">
            <v>1053</v>
          </cell>
          <cell r="F7">
            <v>-0.17122833100928492</v>
          </cell>
        </row>
        <row r="8">
          <cell r="A8" t="str">
            <v>ICBCA</v>
          </cell>
          <cell r="B8">
            <v>12.867372662445884</v>
          </cell>
          <cell r="C8">
            <v>62.867372662445888</v>
          </cell>
          <cell r="D8">
            <v>1330.1472293432985</v>
          </cell>
          <cell r="E8">
            <v>1036</v>
          </cell>
          <cell r="F8">
            <v>-0.22113885053801197</v>
          </cell>
        </row>
        <row r="9">
          <cell r="A9" t="str">
            <v>BEA</v>
          </cell>
          <cell r="B9">
            <v>23.331095454723638</v>
          </cell>
          <cell r="C9">
            <v>73.331095454723638</v>
          </cell>
          <cell r="D9">
            <v>3443</v>
          </cell>
          <cell r="E9">
            <v>2532</v>
          </cell>
          <cell r="F9">
            <v>-0.2645948300900377</v>
          </cell>
        </row>
        <row r="10">
          <cell r="D10">
            <v>38852.378758403909</v>
          </cell>
        </row>
        <row r="23">
          <cell r="J23" t="str">
            <v>ICBCA</v>
          </cell>
          <cell r="K23">
            <v>-0.26</v>
          </cell>
        </row>
        <row r="24">
          <cell r="J24" t="str">
            <v>BEA</v>
          </cell>
          <cell r="K24">
            <v>-0.22</v>
          </cell>
        </row>
        <row r="25">
          <cell r="J25" t="str">
            <v>CIFH</v>
          </cell>
          <cell r="K25">
            <v>-0.21</v>
          </cell>
        </row>
        <row r="26">
          <cell r="J26" t="str">
            <v>WHB</v>
          </cell>
          <cell r="K26">
            <v>-0.15</v>
          </cell>
        </row>
        <row r="27">
          <cell r="J27" t="str">
            <v>DSF</v>
          </cell>
          <cell r="K27">
            <v>-0.15</v>
          </cell>
        </row>
        <row r="28">
          <cell r="J28" t="str">
            <v>WLB</v>
          </cell>
          <cell r="K28">
            <v>-0.15</v>
          </cell>
        </row>
        <row r="29">
          <cell r="J29" t="str">
            <v>BOCHK</v>
          </cell>
          <cell r="K29">
            <v>-0.11</v>
          </cell>
        </row>
        <row r="30">
          <cell r="J30" t="str">
            <v>HSB</v>
          </cell>
          <cell r="K30">
            <v>-0.09</v>
          </cell>
        </row>
      </sheetData>
      <sheetData sheetId="39" refreshError="1">
        <row r="1">
          <cell r="A1" t="str">
            <v>Tier 1 Ratios</v>
          </cell>
          <cell r="B1" t="str">
            <v>2006E</v>
          </cell>
          <cell r="C1" t="str">
            <v>2007E</v>
          </cell>
        </row>
        <row r="2">
          <cell r="A2" t="str">
            <v>WLB</v>
          </cell>
          <cell r="B2">
            <v>0.150430554175843</v>
          </cell>
          <cell r="C2">
            <v>0.14359280171330469</v>
          </cell>
        </row>
        <row r="3">
          <cell r="A3" t="str">
            <v>BOCHK</v>
          </cell>
          <cell r="B3">
            <v>0.14890910018853165</v>
          </cell>
          <cell r="C3">
            <v>0.14662474699997124</v>
          </cell>
        </row>
        <row r="4">
          <cell r="A4" t="str">
            <v>CIFH</v>
          </cell>
          <cell r="B4">
            <v>0.11993098831785565</v>
          </cell>
          <cell r="C4">
            <v>0.13849367379127148</v>
          </cell>
        </row>
        <row r="5">
          <cell r="A5" t="str">
            <v>DSF</v>
          </cell>
          <cell r="B5">
            <v>0.11749626937645408</v>
          </cell>
          <cell r="C5">
            <v>0.12184260698387862</v>
          </cell>
        </row>
        <row r="6">
          <cell r="A6" t="str">
            <v>HSB</v>
          </cell>
          <cell r="B6">
            <v>0.10981315687160696</v>
          </cell>
          <cell r="C6">
            <v>0.10878519488411208</v>
          </cell>
        </row>
        <row r="7">
          <cell r="A7" t="str">
            <v>WHB</v>
          </cell>
          <cell r="B7">
            <v>0.10564639298587811</v>
          </cell>
          <cell r="C7">
            <v>0.1062158424881052</v>
          </cell>
        </row>
        <row r="8">
          <cell r="A8" t="str">
            <v>BEA</v>
          </cell>
          <cell r="B8">
            <v>0.10265910044009871</v>
          </cell>
          <cell r="C8">
            <v>8.9163488285907408E-2</v>
          </cell>
        </row>
        <row r="9">
          <cell r="A9" t="str">
            <v>ICBCA</v>
          </cell>
          <cell r="B9">
            <v>9.5317601968384638E-2</v>
          </cell>
          <cell r="C9">
            <v>9.2893238576925191E-2</v>
          </cell>
        </row>
      </sheetData>
      <sheetData sheetId="40" refreshError="1">
        <row r="1">
          <cell r="A1" t="str">
            <v>(HK$)</v>
          </cell>
          <cell r="B1">
            <v>1996</v>
          </cell>
          <cell r="C1">
            <v>1997</v>
          </cell>
          <cell r="D1">
            <v>1998</v>
          </cell>
          <cell r="E1">
            <v>1999</v>
          </cell>
          <cell r="F1">
            <v>2000</v>
          </cell>
          <cell r="G1">
            <v>2001</v>
          </cell>
          <cell r="H1">
            <v>2002</v>
          </cell>
          <cell r="I1">
            <v>2003</v>
          </cell>
          <cell r="J1">
            <v>2004</v>
          </cell>
          <cell r="K1">
            <v>2005</v>
          </cell>
          <cell r="N1" t="str">
            <v>EPS Std Dev 96-05</v>
          </cell>
          <cell r="O1" t="str">
            <v>EPS Ave 96-05</v>
          </cell>
          <cell r="P1" t="str">
            <v>EPS Coefficient Var</v>
          </cell>
        </row>
        <row r="2">
          <cell r="A2" t="str">
            <v>ICBCA</v>
          </cell>
          <cell r="C2">
            <v>1.196227569562043</v>
          </cell>
          <cell r="D2">
            <v>0.10978182912563038</v>
          </cell>
          <cell r="E2">
            <v>-1.5931306635486699</v>
          </cell>
          <cell r="F2">
            <v>0.33285991762615935</v>
          </cell>
          <cell r="G2">
            <v>0.5978841140529535</v>
          </cell>
          <cell r="H2">
            <v>0.76059083191850563</v>
          </cell>
          <cell r="I2">
            <v>0.77002688438632483</v>
          </cell>
          <cell r="J2">
            <v>0.80019306826835657</v>
          </cell>
          <cell r="K2">
            <v>0.91095506740029275</v>
          </cell>
          <cell r="N2">
            <v>0.8226152101066474</v>
          </cell>
          <cell r="O2">
            <v>0.43170984653239958</v>
          </cell>
          <cell r="P2">
            <v>1.9054816949719737</v>
          </cell>
        </row>
        <row r="3">
          <cell r="A3" t="str">
            <v>CIFH</v>
          </cell>
          <cell r="B3">
            <v>0.21256028365112567</v>
          </cell>
          <cell r="C3">
            <v>0.24544304339347123</v>
          </cell>
          <cell r="D3">
            <v>4.1796608240382317E-2</v>
          </cell>
          <cell r="E3">
            <v>4.034794954322795E-2</v>
          </cell>
          <cell r="F3">
            <v>0.19408889136531624</v>
          </cell>
          <cell r="G3">
            <v>0.23293488571878687</v>
          </cell>
          <cell r="H3">
            <v>0.19774927958368083</v>
          </cell>
          <cell r="I3">
            <v>0.22653739899230577</v>
          </cell>
          <cell r="J3">
            <v>0.29582202823398462</v>
          </cell>
          <cell r="K3">
            <v>0.34548345156938176</v>
          </cell>
          <cell r="N3">
            <v>9.7073178279316094E-2</v>
          </cell>
          <cell r="O3">
            <v>0.20327638202916631</v>
          </cell>
          <cell r="P3">
            <v>0.47754282770237383</v>
          </cell>
        </row>
        <row r="4">
          <cell r="A4" t="str">
            <v>BEA</v>
          </cell>
          <cell r="B4">
            <v>1.3975083590348332</v>
          </cell>
          <cell r="C4">
            <v>1.6595250726971307</v>
          </cell>
          <cell r="D4">
            <v>0.70805442374854477</v>
          </cell>
          <cell r="E4">
            <v>0.35310166570936241</v>
          </cell>
          <cell r="F4">
            <v>1.33</v>
          </cell>
          <cell r="G4">
            <v>1.1840636338264026</v>
          </cell>
          <cell r="H4">
            <v>0.97302904564315351</v>
          </cell>
          <cell r="I4">
            <v>1.4053980370774264</v>
          </cell>
          <cell r="J4">
            <v>1.7205093833780161</v>
          </cell>
          <cell r="K4">
            <v>1.8192052980132449</v>
          </cell>
          <cell r="N4">
            <v>0.4647974446572688</v>
          </cell>
          <cell r="O4">
            <v>1.2550394919128114</v>
          </cell>
          <cell r="P4">
            <v>0.37034487572089775</v>
          </cell>
        </row>
        <row r="5">
          <cell r="A5" t="str">
            <v>DSF</v>
          </cell>
          <cell r="B5">
            <v>2.6377791637943298</v>
          </cell>
          <cell r="C5">
            <v>2.9004187210967634</v>
          </cell>
          <cell r="D5">
            <v>1.0593242170996362</v>
          </cell>
          <cell r="E5">
            <v>2.4236678585781561</v>
          </cell>
          <cell r="F5">
            <v>3.2951219512195125</v>
          </cell>
          <cell r="G5">
            <v>3.5087221095334686</v>
          </cell>
          <cell r="H5">
            <v>3.363042596348885</v>
          </cell>
          <cell r="I5">
            <v>4.024340770791075</v>
          </cell>
          <cell r="J5">
            <v>4.6439325692909916</v>
          </cell>
          <cell r="K5">
            <v>4.0921907761023766</v>
          </cell>
          <cell r="N5">
            <v>1.0155559273279959</v>
          </cell>
          <cell r="O5">
            <v>3.1948540733855197</v>
          </cell>
          <cell r="P5">
            <v>0.31787239855115906</v>
          </cell>
        </row>
        <row r="6">
          <cell r="A6" t="str">
            <v>WHB</v>
          </cell>
          <cell r="B6">
            <v>2.1920563139931741</v>
          </cell>
          <cell r="C6">
            <v>2.4780716723549499</v>
          </cell>
          <cell r="D6">
            <v>1.7172593856655292</v>
          </cell>
          <cell r="E6">
            <v>2.3280307167235486</v>
          </cell>
          <cell r="F6">
            <v>3.078962457337886</v>
          </cell>
          <cell r="G6">
            <v>2.6563344709897612</v>
          </cell>
          <cell r="H6">
            <v>2.2818293515358361</v>
          </cell>
          <cell r="I6">
            <v>2.9847138964577646</v>
          </cell>
          <cell r="J6">
            <v>4.1262057220708446</v>
          </cell>
          <cell r="K6">
            <v>4.5880454316467079</v>
          </cell>
          <cell r="N6">
            <v>0.89484347123597208</v>
          </cell>
          <cell r="O6">
            <v>2.8431509418776004</v>
          </cell>
          <cell r="P6">
            <v>0.31473653334951773</v>
          </cell>
        </row>
        <row r="7">
          <cell r="A7" t="str">
            <v>WLB</v>
          </cell>
          <cell r="B7">
            <v>3.7116861455283048</v>
          </cell>
          <cell r="C7">
            <v>4.0447012836889753</v>
          </cell>
          <cell r="D7">
            <v>2.6120136261608873</v>
          </cell>
          <cell r="E7">
            <v>3.6849574185301526</v>
          </cell>
          <cell r="F7">
            <v>4.3527073924739286</v>
          </cell>
          <cell r="G7">
            <v>3.6438273449956111</v>
          </cell>
          <cell r="H7">
            <v>3.2713611513319676</v>
          </cell>
          <cell r="I7">
            <v>3.6987090755768328</v>
          </cell>
          <cell r="J7">
            <v>4.4511008647221111</v>
          </cell>
          <cell r="K7">
            <v>4.7758001845039111</v>
          </cell>
          <cell r="N7">
            <v>0.62198989338588084</v>
          </cell>
          <cell r="O7">
            <v>3.824686448751268</v>
          </cell>
          <cell r="P7">
            <v>0.16262506788993278</v>
          </cell>
        </row>
        <row r="8">
          <cell r="A8" t="str">
            <v>HSB</v>
          </cell>
          <cell r="B8">
            <v>4.3937668254296955</v>
          </cell>
          <cell r="C8">
            <v>4.8938950449508676</v>
          </cell>
          <cell r="D8">
            <v>3.5505806046657602</v>
          </cell>
          <cell r="E8">
            <v>4.3451197824040175</v>
          </cell>
          <cell r="F8">
            <v>5.2379956062349615</v>
          </cell>
          <cell r="G8">
            <v>5.290825400146459</v>
          </cell>
          <cell r="H8">
            <v>5.1888272831886182</v>
          </cell>
          <cell r="I8">
            <v>4.9895386546709908</v>
          </cell>
          <cell r="J8">
            <v>5.9441364159430901</v>
          </cell>
          <cell r="K8">
            <v>5.9326289360811799</v>
          </cell>
          <cell r="N8">
            <v>0.73342606713815695</v>
          </cell>
          <cell r="O8">
            <v>4.9767314553715645</v>
          </cell>
          <cell r="P8">
            <v>0.14737103533013499</v>
          </cell>
        </row>
        <row r="17">
          <cell r="A17" t="str">
            <v>*ICBCA</v>
          </cell>
          <cell r="N17">
            <v>0.88</v>
          </cell>
          <cell r="O17">
            <v>1.905</v>
          </cell>
        </row>
        <row r="18">
          <cell r="A18" t="str">
            <v>CIFH</v>
          </cell>
          <cell r="N18">
            <v>0.47754282770237383</v>
          </cell>
        </row>
        <row r="19">
          <cell r="A19" t="str">
            <v>BEA</v>
          </cell>
          <cell r="N19">
            <v>0.37034487572089775</v>
          </cell>
        </row>
        <row r="20">
          <cell r="A20" t="str">
            <v>DSF</v>
          </cell>
          <cell r="N20">
            <v>0.31787239855115906</v>
          </cell>
        </row>
        <row r="21">
          <cell r="A21" t="str">
            <v>WHB</v>
          </cell>
          <cell r="N21">
            <v>0.31473653334951773</v>
          </cell>
        </row>
        <row r="22">
          <cell r="A22" t="str">
            <v>WLB</v>
          </cell>
          <cell r="N22">
            <v>0.16262506788993278</v>
          </cell>
        </row>
        <row r="23">
          <cell r="A23" t="str">
            <v>HSB</v>
          </cell>
          <cell r="N23">
            <v>0.14737103533013499</v>
          </cell>
        </row>
      </sheetData>
      <sheetData sheetId="41"/>
      <sheetData sheetId="4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sc"/>
      <sheetName val="__FDSCACHE__"/>
      <sheetName val="Price"/>
      <sheetName val="Sheet3"/>
    </sheetNames>
    <sheetDataSet>
      <sheetData sheetId="0" refreshError="1"/>
      <sheetData sheetId="1" refreshError="1"/>
      <sheetData sheetId="2" refreshError="1">
        <row r="2">
          <cell r="C2" t="str">
            <v>LVLT</v>
          </cell>
        </row>
        <row r="3">
          <cell r="B3">
            <v>35713</v>
          </cell>
          <cell r="C3">
            <v>6.2</v>
          </cell>
          <cell r="E3" t="str">
            <v>Max</v>
          </cell>
          <cell r="F3">
            <v>130.1875</v>
          </cell>
        </row>
        <row r="4">
          <cell r="B4">
            <v>35714</v>
          </cell>
          <cell r="C4">
            <v>6.2</v>
          </cell>
          <cell r="E4" t="str">
            <v>Min</v>
          </cell>
          <cell r="F4">
            <v>1.62</v>
          </cell>
        </row>
        <row r="5">
          <cell r="B5">
            <v>35715</v>
          </cell>
          <cell r="C5">
            <v>6.2</v>
          </cell>
        </row>
        <row r="6">
          <cell r="B6">
            <v>35716</v>
          </cell>
          <cell r="C6">
            <v>6.2</v>
          </cell>
        </row>
        <row r="7">
          <cell r="B7">
            <v>35717</v>
          </cell>
          <cell r="C7">
            <v>6.2</v>
          </cell>
        </row>
        <row r="8">
          <cell r="B8">
            <v>35718</v>
          </cell>
          <cell r="C8">
            <v>6.2</v>
          </cell>
        </row>
        <row r="9">
          <cell r="B9">
            <v>35719</v>
          </cell>
          <cell r="C9">
            <v>6.2</v>
          </cell>
        </row>
        <row r="10">
          <cell r="B10">
            <v>35720</v>
          </cell>
          <cell r="C10">
            <v>6.2</v>
          </cell>
        </row>
        <row r="11">
          <cell r="B11">
            <v>35721</v>
          </cell>
          <cell r="C11">
            <v>6.2</v>
          </cell>
        </row>
        <row r="12">
          <cell r="B12">
            <v>35722</v>
          </cell>
          <cell r="C12">
            <v>6.2</v>
          </cell>
        </row>
        <row r="13">
          <cell r="B13">
            <v>35723</v>
          </cell>
          <cell r="C13">
            <v>7</v>
          </cell>
        </row>
        <row r="14">
          <cell r="B14">
            <v>35724</v>
          </cell>
          <cell r="C14">
            <v>7</v>
          </cell>
        </row>
        <row r="15">
          <cell r="B15">
            <v>35725</v>
          </cell>
          <cell r="C15">
            <v>7</v>
          </cell>
        </row>
        <row r="16">
          <cell r="B16">
            <v>35726</v>
          </cell>
          <cell r="C16">
            <v>7</v>
          </cell>
        </row>
        <row r="17">
          <cell r="B17">
            <v>35727</v>
          </cell>
          <cell r="C17">
            <v>7</v>
          </cell>
        </row>
        <row r="18">
          <cell r="B18">
            <v>35728</v>
          </cell>
          <cell r="C18">
            <v>7</v>
          </cell>
        </row>
        <row r="19">
          <cell r="B19">
            <v>35729</v>
          </cell>
          <cell r="C19">
            <v>7</v>
          </cell>
        </row>
        <row r="20">
          <cell r="B20">
            <v>35730</v>
          </cell>
          <cell r="C20">
            <v>7</v>
          </cell>
        </row>
        <row r="21">
          <cell r="B21">
            <v>35731</v>
          </cell>
          <cell r="C21">
            <v>7</v>
          </cell>
        </row>
        <row r="22">
          <cell r="B22">
            <v>35732</v>
          </cell>
          <cell r="C22">
            <v>7</v>
          </cell>
        </row>
        <row r="23">
          <cell r="B23">
            <v>35733</v>
          </cell>
          <cell r="C23">
            <v>7</v>
          </cell>
        </row>
        <row r="24">
          <cell r="B24">
            <v>35734</v>
          </cell>
          <cell r="C24">
            <v>7</v>
          </cell>
        </row>
        <row r="25">
          <cell r="B25">
            <v>35735</v>
          </cell>
          <cell r="C25">
            <v>7</v>
          </cell>
        </row>
        <row r="26">
          <cell r="B26">
            <v>35736</v>
          </cell>
          <cell r="C26">
            <v>7</v>
          </cell>
        </row>
        <row r="27">
          <cell r="B27">
            <v>35737</v>
          </cell>
          <cell r="C27">
            <v>7</v>
          </cell>
        </row>
        <row r="28">
          <cell r="B28">
            <v>35738</v>
          </cell>
          <cell r="C28">
            <v>7</v>
          </cell>
        </row>
        <row r="29">
          <cell r="B29">
            <v>35739</v>
          </cell>
          <cell r="C29">
            <v>7</v>
          </cell>
        </row>
        <row r="30">
          <cell r="B30">
            <v>35740</v>
          </cell>
          <cell r="C30">
            <v>7</v>
          </cell>
        </row>
        <row r="31">
          <cell r="B31">
            <v>35741</v>
          </cell>
          <cell r="C31">
            <v>7</v>
          </cell>
        </row>
        <row r="32">
          <cell r="B32">
            <v>35742</v>
          </cell>
          <cell r="C32">
            <v>7</v>
          </cell>
        </row>
        <row r="33">
          <cell r="B33">
            <v>35743</v>
          </cell>
          <cell r="C33">
            <v>7</v>
          </cell>
        </row>
        <row r="34">
          <cell r="B34">
            <v>35744</v>
          </cell>
          <cell r="C34">
            <v>7</v>
          </cell>
        </row>
        <row r="35">
          <cell r="B35">
            <v>35745</v>
          </cell>
          <cell r="C35">
            <v>7</v>
          </cell>
        </row>
        <row r="36">
          <cell r="B36">
            <v>35746</v>
          </cell>
          <cell r="C36">
            <v>7</v>
          </cell>
        </row>
        <row r="37">
          <cell r="B37">
            <v>35747</v>
          </cell>
          <cell r="C37">
            <v>7</v>
          </cell>
        </row>
        <row r="38">
          <cell r="B38">
            <v>35748</v>
          </cell>
          <cell r="C38">
            <v>10.225</v>
          </cell>
        </row>
        <row r="39">
          <cell r="B39">
            <v>35749</v>
          </cell>
          <cell r="C39">
            <v>10.225</v>
          </cell>
        </row>
        <row r="40">
          <cell r="B40">
            <v>35750</v>
          </cell>
          <cell r="C40">
            <v>10.225</v>
          </cell>
        </row>
        <row r="41">
          <cell r="B41">
            <v>35751</v>
          </cell>
          <cell r="C41">
            <v>10.225</v>
          </cell>
        </row>
        <row r="42">
          <cell r="B42">
            <v>35752</v>
          </cell>
          <cell r="C42">
            <v>7.5</v>
          </cell>
        </row>
        <row r="43">
          <cell r="B43">
            <v>35753</v>
          </cell>
          <cell r="C43">
            <v>10.3</v>
          </cell>
        </row>
        <row r="44">
          <cell r="B44">
            <v>35754</v>
          </cell>
          <cell r="C44">
            <v>10.2125</v>
          </cell>
        </row>
        <row r="45">
          <cell r="B45">
            <v>35755</v>
          </cell>
          <cell r="C45">
            <v>10.202</v>
          </cell>
        </row>
        <row r="46">
          <cell r="B46">
            <v>35756</v>
          </cell>
          <cell r="C46">
            <v>10.202</v>
          </cell>
        </row>
        <row r="47">
          <cell r="B47">
            <v>35757</v>
          </cell>
          <cell r="C47">
            <v>10.202</v>
          </cell>
        </row>
        <row r="48">
          <cell r="B48">
            <v>35758</v>
          </cell>
          <cell r="C48">
            <v>10.200000000000001</v>
          </cell>
        </row>
        <row r="49">
          <cell r="B49">
            <v>35759</v>
          </cell>
          <cell r="C49">
            <v>10.200000000000001</v>
          </cell>
        </row>
        <row r="50">
          <cell r="B50">
            <v>35760</v>
          </cell>
          <cell r="C50">
            <v>10.700000000000001</v>
          </cell>
        </row>
        <row r="51">
          <cell r="B51">
            <v>35761</v>
          </cell>
          <cell r="C51">
            <v>10.700000000000001</v>
          </cell>
        </row>
        <row r="52">
          <cell r="B52">
            <v>35762</v>
          </cell>
          <cell r="C52">
            <v>10.200000000000001</v>
          </cell>
        </row>
        <row r="53">
          <cell r="B53">
            <v>35763</v>
          </cell>
          <cell r="C53">
            <v>10.200000000000001</v>
          </cell>
        </row>
        <row r="54">
          <cell r="B54">
            <v>35764</v>
          </cell>
          <cell r="C54">
            <v>10.200000000000001</v>
          </cell>
        </row>
        <row r="55">
          <cell r="B55">
            <v>35765</v>
          </cell>
          <cell r="C55">
            <v>10.5</v>
          </cell>
        </row>
        <row r="56">
          <cell r="B56">
            <v>35766</v>
          </cell>
          <cell r="C56">
            <v>10.700000000000001</v>
          </cell>
        </row>
        <row r="57">
          <cell r="B57">
            <v>35767</v>
          </cell>
          <cell r="C57">
            <v>10.700000000000001</v>
          </cell>
        </row>
        <row r="58">
          <cell r="B58">
            <v>35768</v>
          </cell>
          <cell r="C58">
            <v>12</v>
          </cell>
        </row>
        <row r="59">
          <cell r="B59">
            <v>35769</v>
          </cell>
          <cell r="C59">
            <v>13.35</v>
          </cell>
        </row>
        <row r="60">
          <cell r="B60">
            <v>35770</v>
          </cell>
          <cell r="C60">
            <v>13.35</v>
          </cell>
        </row>
        <row r="61">
          <cell r="B61">
            <v>35771</v>
          </cell>
          <cell r="C61">
            <v>13.35</v>
          </cell>
        </row>
        <row r="62">
          <cell r="B62">
            <v>35772</v>
          </cell>
          <cell r="C62">
            <v>14</v>
          </cell>
        </row>
        <row r="63">
          <cell r="B63">
            <v>35773</v>
          </cell>
          <cell r="C63">
            <v>12.4</v>
          </cell>
        </row>
        <row r="64">
          <cell r="B64">
            <v>35774</v>
          </cell>
          <cell r="C64">
            <v>13.5</v>
          </cell>
        </row>
        <row r="65">
          <cell r="B65">
            <v>35775</v>
          </cell>
          <cell r="C65">
            <v>13</v>
          </cell>
        </row>
        <row r="66">
          <cell r="B66">
            <v>35776</v>
          </cell>
          <cell r="C66">
            <v>13.3</v>
          </cell>
        </row>
        <row r="67">
          <cell r="B67">
            <v>35777</v>
          </cell>
          <cell r="C67">
            <v>13.3</v>
          </cell>
        </row>
        <row r="68">
          <cell r="B68">
            <v>35778</v>
          </cell>
          <cell r="C68">
            <v>13.3</v>
          </cell>
        </row>
        <row r="69">
          <cell r="B69">
            <v>35779</v>
          </cell>
          <cell r="C69">
            <v>12.950000000000001</v>
          </cell>
        </row>
        <row r="70">
          <cell r="B70">
            <v>35780</v>
          </cell>
          <cell r="C70">
            <v>13</v>
          </cell>
        </row>
        <row r="71">
          <cell r="B71">
            <v>35781</v>
          </cell>
          <cell r="C71">
            <v>13</v>
          </cell>
        </row>
        <row r="72">
          <cell r="B72">
            <v>35782</v>
          </cell>
          <cell r="C72">
            <v>13.4</v>
          </cell>
        </row>
        <row r="73">
          <cell r="B73">
            <v>35783</v>
          </cell>
          <cell r="C73">
            <v>13.5</v>
          </cell>
        </row>
        <row r="74">
          <cell r="B74">
            <v>35784</v>
          </cell>
          <cell r="C74">
            <v>13.5</v>
          </cell>
        </row>
        <row r="75">
          <cell r="B75">
            <v>35785</v>
          </cell>
          <cell r="C75">
            <v>13.5</v>
          </cell>
        </row>
        <row r="76">
          <cell r="B76">
            <v>35786</v>
          </cell>
          <cell r="C76">
            <v>13.5</v>
          </cell>
        </row>
        <row r="77">
          <cell r="B77">
            <v>35787</v>
          </cell>
          <cell r="C77">
            <v>13.5</v>
          </cell>
        </row>
        <row r="78">
          <cell r="B78">
            <v>35788</v>
          </cell>
          <cell r="C78">
            <v>14</v>
          </cell>
        </row>
        <row r="79">
          <cell r="B79">
            <v>35789</v>
          </cell>
          <cell r="C79">
            <v>14</v>
          </cell>
        </row>
        <row r="80">
          <cell r="B80">
            <v>35790</v>
          </cell>
          <cell r="C80">
            <v>14</v>
          </cell>
        </row>
        <row r="81">
          <cell r="B81">
            <v>35791</v>
          </cell>
          <cell r="C81">
            <v>14</v>
          </cell>
        </row>
        <row r="82">
          <cell r="B82">
            <v>35792</v>
          </cell>
          <cell r="C82">
            <v>14</v>
          </cell>
        </row>
        <row r="83">
          <cell r="B83">
            <v>35793</v>
          </cell>
          <cell r="C83">
            <v>14</v>
          </cell>
        </row>
        <row r="84">
          <cell r="B84">
            <v>35794</v>
          </cell>
          <cell r="C84">
            <v>14.75</v>
          </cell>
        </row>
        <row r="85">
          <cell r="B85">
            <v>35795</v>
          </cell>
          <cell r="C85">
            <v>14.8</v>
          </cell>
        </row>
        <row r="86">
          <cell r="B86">
            <v>35796</v>
          </cell>
          <cell r="C86">
            <v>14.8</v>
          </cell>
        </row>
        <row r="87">
          <cell r="B87">
            <v>35797</v>
          </cell>
          <cell r="C87">
            <v>14.8</v>
          </cell>
        </row>
        <row r="88">
          <cell r="B88">
            <v>35798</v>
          </cell>
          <cell r="C88">
            <v>14.8</v>
          </cell>
        </row>
        <row r="89">
          <cell r="B89">
            <v>35799</v>
          </cell>
          <cell r="C89">
            <v>14.8</v>
          </cell>
        </row>
        <row r="90">
          <cell r="B90">
            <v>35800</v>
          </cell>
          <cell r="C90">
            <v>14.8</v>
          </cell>
        </row>
        <row r="91">
          <cell r="B91">
            <v>35801</v>
          </cell>
          <cell r="C91">
            <v>15</v>
          </cell>
        </row>
        <row r="92">
          <cell r="B92">
            <v>35802</v>
          </cell>
          <cell r="C92">
            <v>15</v>
          </cell>
        </row>
        <row r="93">
          <cell r="B93">
            <v>35803</v>
          </cell>
          <cell r="C93">
            <v>17.5</v>
          </cell>
        </row>
        <row r="94">
          <cell r="B94">
            <v>35804</v>
          </cell>
          <cell r="C94">
            <v>18.75</v>
          </cell>
        </row>
        <row r="95">
          <cell r="B95">
            <v>35805</v>
          </cell>
          <cell r="C95">
            <v>18.75</v>
          </cell>
        </row>
        <row r="96">
          <cell r="B96">
            <v>35806</v>
          </cell>
          <cell r="C96">
            <v>18.75</v>
          </cell>
        </row>
        <row r="97">
          <cell r="B97">
            <v>35807</v>
          </cell>
          <cell r="C97">
            <v>18.75</v>
          </cell>
        </row>
        <row r="98">
          <cell r="B98">
            <v>35808</v>
          </cell>
          <cell r="C98">
            <v>18.625</v>
          </cell>
        </row>
        <row r="99">
          <cell r="B99">
            <v>35809</v>
          </cell>
          <cell r="C99">
            <v>18.75</v>
          </cell>
        </row>
        <row r="100">
          <cell r="B100">
            <v>35810</v>
          </cell>
          <cell r="C100">
            <v>18.75</v>
          </cell>
        </row>
        <row r="101">
          <cell r="B101">
            <v>35811</v>
          </cell>
          <cell r="C101">
            <v>18.875</v>
          </cell>
        </row>
        <row r="102">
          <cell r="B102">
            <v>35812</v>
          </cell>
          <cell r="C102">
            <v>18.875</v>
          </cell>
        </row>
        <row r="103">
          <cell r="B103">
            <v>35813</v>
          </cell>
          <cell r="C103">
            <v>18.875</v>
          </cell>
        </row>
        <row r="104">
          <cell r="B104">
            <v>35814</v>
          </cell>
          <cell r="C104">
            <v>18.875</v>
          </cell>
        </row>
        <row r="105">
          <cell r="B105">
            <v>35815</v>
          </cell>
          <cell r="C105">
            <v>20</v>
          </cell>
        </row>
        <row r="106">
          <cell r="B106">
            <v>35816</v>
          </cell>
          <cell r="C106">
            <v>20.03125</v>
          </cell>
        </row>
        <row r="107">
          <cell r="B107">
            <v>35817</v>
          </cell>
          <cell r="C107">
            <v>21.25</v>
          </cell>
        </row>
        <row r="108">
          <cell r="B108">
            <v>35818</v>
          </cell>
          <cell r="C108">
            <v>21.625</v>
          </cell>
        </row>
        <row r="109">
          <cell r="B109">
            <v>35819</v>
          </cell>
          <cell r="C109">
            <v>21.625</v>
          </cell>
        </row>
        <row r="110">
          <cell r="B110">
            <v>35820</v>
          </cell>
          <cell r="C110">
            <v>21.625</v>
          </cell>
        </row>
        <row r="111">
          <cell r="B111">
            <v>35821</v>
          </cell>
          <cell r="C111">
            <v>21.375</v>
          </cell>
        </row>
        <row r="112">
          <cell r="B112">
            <v>35822</v>
          </cell>
          <cell r="C112">
            <v>21</v>
          </cell>
        </row>
        <row r="113">
          <cell r="B113">
            <v>35823</v>
          </cell>
          <cell r="C113">
            <v>20.125</v>
          </cell>
        </row>
        <row r="114">
          <cell r="B114">
            <v>35824</v>
          </cell>
          <cell r="C114">
            <v>20.03125</v>
          </cell>
        </row>
        <row r="115">
          <cell r="B115">
            <v>35825</v>
          </cell>
          <cell r="C115">
            <v>19.9375</v>
          </cell>
        </row>
        <row r="116">
          <cell r="B116">
            <v>35826</v>
          </cell>
          <cell r="C116">
            <v>19.9375</v>
          </cell>
        </row>
        <row r="117">
          <cell r="B117">
            <v>35827</v>
          </cell>
          <cell r="C117">
            <v>19.9375</v>
          </cell>
        </row>
        <row r="118">
          <cell r="B118">
            <v>35828</v>
          </cell>
          <cell r="C118">
            <v>19.34375</v>
          </cell>
        </row>
        <row r="119">
          <cell r="B119">
            <v>35829</v>
          </cell>
          <cell r="C119">
            <v>19.5</v>
          </cell>
        </row>
        <row r="120">
          <cell r="B120">
            <v>35830</v>
          </cell>
          <cell r="C120">
            <v>19.875</v>
          </cell>
        </row>
        <row r="121">
          <cell r="B121">
            <v>35831</v>
          </cell>
          <cell r="C121">
            <v>19.625</v>
          </cell>
        </row>
        <row r="122">
          <cell r="B122">
            <v>35832</v>
          </cell>
          <cell r="C122">
            <v>19.625</v>
          </cell>
        </row>
        <row r="123">
          <cell r="B123">
            <v>35833</v>
          </cell>
          <cell r="C123">
            <v>19.625</v>
          </cell>
        </row>
        <row r="124">
          <cell r="B124">
            <v>35834</v>
          </cell>
          <cell r="C124">
            <v>19.625</v>
          </cell>
        </row>
        <row r="125">
          <cell r="B125">
            <v>35835</v>
          </cell>
          <cell r="C125">
            <v>19.375</v>
          </cell>
        </row>
        <row r="126">
          <cell r="B126">
            <v>35836</v>
          </cell>
          <cell r="C126">
            <v>20</v>
          </cell>
        </row>
        <row r="127">
          <cell r="B127">
            <v>35837</v>
          </cell>
          <cell r="C127">
            <v>20</v>
          </cell>
        </row>
        <row r="128">
          <cell r="B128">
            <v>35838</v>
          </cell>
          <cell r="C128">
            <v>20.3125</v>
          </cell>
        </row>
        <row r="129">
          <cell r="B129">
            <v>35839</v>
          </cell>
          <cell r="C129">
            <v>19.96875</v>
          </cell>
        </row>
        <row r="130">
          <cell r="B130">
            <v>35840</v>
          </cell>
          <cell r="C130">
            <v>19.96875</v>
          </cell>
        </row>
        <row r="131">
          <cell r="B131">
            <v>35841</v>
          </cell>
          <cell r="C131">
            <v>19.96875</v>
          </cell>
        </row>
        <row r="132">
          <cell r="B132">
            <v>35842</v>
          </cell>
          <cell r="C132">
            <v>19.96875</v>
          </cell>
        </row>
        <row r="133">
          <cell r="B133">
            <v>35843</v>
          </cell>
          <cell r="C133">
            <v>20.0625</v>
          </cell>
        </row>
        <row r="134">
          <cell r="B134">
            <v>35844</v>
          </cell>
          <cell r="C134">
            <v>20.125</v>
          </cell>
        </row>
        <row r="135">
          <cell r="B135">
            <v>35845</v>
          </cell>
          <cell r="C135">
            <v>20.3125</v>
          </cell>
        </row>
        <row r="136">
          <cell r="B136">
            <v>35846</v>
          </cell>
          <cell r="C136">
            <v>21.4375</v>
          </cell>
        </row>
        <row r="137">
          <cell r="B137">
            <v>35847</v>
          </cell>
          <cell r="C137">
            <v>21.4375</v>
          </cell>
        </row>
        <row r="138">
          <cell r="B138">
            <v>35848</v>
          </cell>
          <cell r="C138">
            <v>21.4375</v>
          </cell>
        </row>
        <row r="139">
          <cell r="B139">
            <v>35849</v>
          </cell>
          <cell r="C139">
            <v>23</v>
          </cell>
        </row>
        <row r="140">
          <cell r="B140">
            <v>35850</v>
          </cell>
          <cell r="C140">
            <v>25</v>
          </cell>
        </row>
        <row r="141">
          <cell r="B141">
            <v>35851</v>
          </cell>
          <cell r="C141">
            <v>24.5625</v>
          </cell>
        </row>
        <row r="142">
          <cell r="B142">
            <v>35852</v>
          </cell>
          <cell r="C142">
            <v>23.9375</v>
          </cell>
        </row>
        <row r="143">
          <cell r="B143">
            <v>35853</v>
          </cell>
          <cell r="C143">
            <v>24.75</v>
          </cell>
        </row>
        <row r="144">
          <cell r="B144">
            <v>35854</v>
          </cell>
          <cell r="C144">
            <v>24.75</v>
          </cell>
        </row>
        <row r="145">
          <cell r="B145">
            <v>35855</v>
          </cell>
          <cell r="C145">
            <v>24.75</v>
          </cell>
        </row>
        <row r="146">
          <cell r="B146">
            <v>35856</v>
          </cell>
          <cell r="C146">
            <v>24.9375</v>
          </cell>
        </row>
        <row r="147">
          <cell r="B147">
            <v>35857</v>
          </cell>
          <cell r="C147">
            <v>28.1875</v>
          </cell>
        </row>
        <row r="148">
          <cell r="B148">
            <v>35858</v>
          </cell>
          <cell r="C148">
            <v>31.0625</v>
          </cell>
        </row>
        <row r="149">
          <cell r="B149">
            <v>35859</v>
          </cell>
          <cell r="C149">
            <v>32.1875</v>
          </cell>
        </row>
        <row r="150">
          <cell r="B150">
            <v>35860</v>
          </cell>
          <cell r="C150">
            <v>34</v>
          </cell>
        </row>
        <row r="151">
          <cell r="B151">
            <v>35861</v>
          </cell>
          <cell r="C151">
            <v>34</v>
          </cell>
        </row>
        <row r="152">
          <cell r="B152">
            <v>35862</v>
          </cell>
          <cell r="C152">
            <v>34</v>
          </cell>
        </row>
        <row r="153">
          <cell r="B153">
            <v>35863</v>
          </cell>
          <cell r="C153">
            <v>36.125</v>
          </cell>
        </row>
        <row r="154">
          <cell r="B154">
            <v>35864</v>
          </cell>
          <cell r="C154">
            <v>34.5625</v>
          </cell>
        </row>
        <row r="155">
          <cell r="B155">
            <v>35865</v>
          </cell>
          <cell r="C155">
            <v>32.375</v>
          </cell>
        </row>
        <row r="156">
          <cell r="B156">
            <v>35866</v>
          </cell>
          <cell r="C156">
            <v>30</v>
          </cell>
        </row>
        <row r="157">
          <cell r="B157">
            <v>35867</v>
          </cell>
          <cell r="C157">
            <v>31.625</v>
          </cell>
        </row>
        <row r="158">
          <cell r="B158">
            <v>35868</v>
          </cell>
          <cell r="C158">
            <v>31.625</v>
          </cell>
        </row>
        <row r="159">
          <cell r="B159">
            <v>35869</v>
          </cell>
          <cell r="C159">
            <v>31.625</v>
          </cell>
        </row>
        <row r="160">
          <cell r="B160">
            <v>35870</v>
          </cell>
          <cell r="C160">
            <v>32.625</v>
          </cell>
        </row>
        <row r="161">
          <cell r="B161">
            <v>35871</v>
          </cell>
          <cell r="C161">
            <v>32</v>
          </cell>
        </row>
        <row r="162">
          <cell r="B162">
            <v>35872</v>
          </cell>
          <cell r="C162">
            <v>33</v>
          </cell>
        </row>
        <row r="163">
          <cell r="B163">
            <v>35873</v>
          </cell>
          <cell r="C163">
            <v>34.9375</v>
          </cell>
        </row>
        <row r="164">
          <cell r="B164">
            <v>35874</v>
          </cell>
          <cell r="C164">
            <v>35</v>
          </cell>
        </row>
        <row r="165">
          <cell r="B165">
            <v>35875</v>
          </cell>
          <cell r="C165">
            <v>35</v>
          </cell>
        </row>
        <row r="166">
          <cell r="B166">
            <v>35876</v>
          </cell>
          <cell r="C166">
            <v>35</v>
          </cell>
        </row>
        <row r="167">
          <cell r="B167">
            <v>35877</v>
          </cell>
          <cell r="C167">
            <v>33.75</v>
          </cell>
        </row>
        <row r="168">
          <cell r="B168">
            <v>35878</v>
          </cell>
          <cell r="C168">
            <v>34.375</v>
          </cell>
        </row>
        <row r="169">
          <cell r="B169">
            <v>35879</v>
          </cell>
          <cell r="C169">
            <v>34.25</v>
          </cell>
        </row>
        <row r="170">
          <cell r="B170">
            <v>35880</v>
          </cell>
          <cell r="C170">
            <v>34.0625</v>
          </cell>
        </row>
        <row r="171">
          <cell r="B171">
            <v>35881</v>
          </cell>
          <cell r="C171">
            <v>35</v>
          </cell>
        </row>
        <row r="172">
          <cell r="B172">
            <v>35882</v>
          </cell>
          <cell r="C172">
            <v>35</v>
          </cell>
        </row>
        <row r="173">
          <cell r="B173">
            <v>35883</v>
          </cell>
          <cell r="C173">
            <v>35</v>
          </cell>
        </row>
        <row r="174">
          <cell r="B174">
            <v>35884</v>
          </cell>
          <cell r="C174">
            <v>35.0625</v>
          </cell>
        </row>
        <row r="175">
          <cell r="B175">
            <v>35885</v>
          </cell>
          <cell r="C175">
            <v>35.8125</v>
          </cell>
        </row>
        <row r="176">
          <cell r="B176">
            <v>35886</v>
          </cell>
          <cell r="C176">
            <v>37.125</v>
          </cell>
        </row>
        <row r="177">
          <cell r="B177">
            <v>35887</v>
          </cell>
          <cell r="C177">
            <v>34.9375</v>
          </cell>
        </row>
        <row r="178">
          <cell r="B178">
            <v>35888</v>
          </cell>
          <cell r="C178">
            <v>31.25</v>
          </cell>
        </row>
        <row r="179">
          <cell r="B179">
            <v>35889</v>
          </cell>
          <cell r="C179">
            <v>31.25</v>
          </cell>
        </row>
        <row r="180">
          <cell r="B180">
            <v>35890</v>
          </cell>
          <cell r="C180">
            <v>31.25</v>
          </cell>
        </row>
        <row r="181">
          <cell r="B181">
            <v>35891</v>
          </cell>
          <cell r="C181">
            <v>30.75</v>
          </cell>
        </row>
        <row r="182">
          <cell r="B182">
            <v>35892</v>
          </cell>
          <cell r="C182">
            <v>32.375</v>
          </cell>
        </row>
        <row r="183">
          <cell r="B183">
            <v>35893</v>
          </cell>
          <cell r="C183">
            <v>32.25</v>
          </cell>
        </row>
        <row r="184">
          <cell r="B184">
            <v>35894</v>
          </cell>
          <cell r="C184">
            <v>31.75</v>
          </cell>
        </row>
        <row r="185">
          <cell r="B185">
            <v>35895</v>
          </cell>
          <cell r="C185">
            <v>31.75</v>
          </cell>
        </row>
        <row r="186">
          <cell r="B186">
            <v>35896</v>
          </cell>
          <cell r="C186">
            <v>31.75</v>
          </cell>
        </row>
        <row r="187">
          <cell r="B187">
            <v>35897</v>
          </cell>
          <cell r="C187">
            <v>31.75</v>
          </cell>
        </row>
        <row r="188">
          <cell r="B188">
            <v>35898</v>
          </cell>
          <cell r="C188">
            <v>30.375</v>
          </cell>
        </row>
        <row r="189">
          <cell r="B189">
            <v>35899</v>
          </cell>
          <cell r="C189">
            <v>31.75</v>
          </cell>
        </row>
        <row r="190">
          <cell r="B190">
            <v>35900</v>
          </cell>
          <cell r="C190">
            <v>32.5</v>
          </cell>
        </row>
        <row r="191">
          <cell r="B191">
            <v>35901</v>
          </cell>
          <cell r="C191">
            <v>32.53125</v>
          </cell>
        </row>
        <row r="192">
          <cell r="B192">
            <v>35902</v>
          </cell>
          <cell r="C192">
            <v>33.5</v>
          </cell>
        </row>
        <row r="193">
          <cell r="B193">
            <v>35903</v>
          </cell>
          <cell r="C193">
            <v>33.5</v>
          </cell>
        </row>
        <row r="194">
          <cell r="B194">
            <v>35904</v>
          </cell>
          <cell r="C194">
            <v>33.5</v>
          </cell>
        </row>
        <row r="195">
          <cell r="B195">
            <v>35905</v>
          </cell>
          <cell r="C195">
            <v>34.375</v>
          </cell>
        </row>
        <row r="196">
          <cell r="B196">
            <v>35906</v>
          </cell>
          <cell r="C196">
            <v>34</v>
          </cell>
        </row>
        <row r="197">
          <cell r="B197">
            <v>35907</v>
          </cell>
          <cell r="C197">
            <v>33.3125</v>
          </cell>
        </row>
        <row r="198">
          <cell r="B198">
            <v>35908</v>
          </cell>
          <cell r="C198">
            <v>31.875</v>
          </cell>
        </row>
        <row r="199">
          <cell r="B199">
            <v>35909</v>
          </cell>
          <cell r="C199">
            <v>31.625</v>
          </cell>
        </row>
        <row r="200">
          <cell r="B200">
            <v>35910</v>
          </cell>
          <cell r="C200">
            <v>31.625</v>
          </cell>
        </row>
        <row r="201">
          <cell r="B201">
            <v>35911</v>
          </cell>
          <cell r="C201">
            <v>31.625</v>
          </cell>
        </row>
        <row r="202">
          <cell r="B202">
            <v>35912</v>
          </cell>
          <cell r="C202">
            <v>30.53125</v>
          </cell>
        </row>
        <row r="203">
          <cell r="B203">
            <v>35913</v>
          </cell>
          <cell r="C203">
            <v>30.125</v>
          </cell>
        </row>
        <row r="204">
          <cell r="B204">
            <v>35914</v>
          </cell>
          <cell r="C204">
            <v>30.53125</v>
          </cell>
        </row>
        <row r="205">
          <cell r="B205">
            <v>35915</v>
          </cell>
          <cell r="C205">
            <v>31</v>
          </cell>
        </row>
        <row r="206">
          <cell r="B206">
            <v>35916</v>
          </cell>
          <cell r="C206">
            <v>30.875</v>
          </cell>
        </row>
        <row r="207">
          <cell r="B207">
            <v>35917</v>
          </cell>
          <cell r="C207">
            <v>30.875</v>
          </cell>
        </row>
        <row r="208">
          <cell r="B208">
            <v>35918</v>
          </cell>
          <cell r="C208">
            <v>30.875</v>
          </cell>
        </row>
        <row r="209">
          <cell r="B209">
            <v>35919</v>
          </cell>
          <cell r="C209">
            <v>31.5625</v>
          </cell>
        </row>
        <row r="210">
          <cell r="B210">
            <v>35920</v>
          </cell>
          <cell r="C210">
            <v>31.25</v>
          </cell>
        </row>
        <row r="211">
          <cell r="B211">
            <v>35921</v>
          </cell>
          <cell r="C211">
            <v>30.75</v>
          </cell>
        </row>
        <row r="212">
          <cell r="B212">
            <v>35922</v>
          </cell>
          <cell r="C212">
            <v>29.90625</v>
          </cell>
        </row>
        <row r="213">
          <cell r="B213">
            <v>35923</v>
          </cell>
          <cell r="C213">
            <v>30.1875</v>
          </cell>
        </row>
        <row r="214">
          <cell r="B214">
            <v>35924</v>
          </cell>
          <cell r="C214">
            <v>30.1875</v>
          </cell>
        </row>
        <row r="215">
          <cell r="B215">
            <v>35925</v>
          </cell>
          <cell r="C215">
            <v>30.1875</v>
          </cell>
        </row>
        <row r="216">
          <cell r="B216">
            <v>35926</v>
          </cell>
          <cell r="C216">
            <v>29.90625</v>
          </cell>
        </row>
        <row r="217">
          <cell r="B217">
            <v>35927</v>
          </cell>
          <cell r="C217">
            <v>29.0625</v>
          </cell>
        </row>
        <row r="218">
          <cell r="B218">
            <v>35928</v>
          </cell>
          <cell r="C218">
            <v>28.125</v>
          </cell>
        </row>
        <row r="219">
          <cell r="B219">
            <v>35929</v>
          </cell>
          <cell r="C219">
            <v>26.3125</v>
          </cell>
        </row>
        <row r="220">
          <cell r="B220">
            <v>35930</v>
          </cell>
          <cell r="C220">
            <v>25.625</v>
          </cell>
        </row>
        <row r="221">
          <cell r="B221">
            <v>35931</v>
          </cell>
          <cell r="C221">
            <v>25.625</v>
          </cell>
        </row>
        <row r="222">
          <cell r="B222">
            <v>35932</v>
          </cell>
          <cell r="C222">
            <v>25.625</v>
          </cell>
        </row>
        <row r="223">
          <cell r="B223">
            <v>35933</v>
          </cell>
          <cell r="C223">
            <v>24</v>
          </cell>
        </row>
        <row r="224">
          <cell r="B224">
            <v>35934</v>
          </cell>
          <cell r="C224">
            <v>25</v>
          </cell>
        </row>
        <row r="225">
          <cell r="B225">
            <v>35935</v>
          </cell>
          <cell r="C225">
            <v>24.78125</v>
          </cell>
        </row>
        <row r="226">
          <cell r="B226">
            <v>35936</v>
          </cell>
          <cell r="C226">
            <v>25.09375</v>
          </cell>
        </row>
        <row r="227">
          <cell r="B227">
            <v>35937</v>
          </cell>
          <cell r="C227">
            <v>25.0625</v>
          </cell>
        </row>
        <row r="228">
          <cell r="B228">
            <v>35938</v>
          </cell>
          <cell r="C228">
            <v>25.0625</v>
          </cell>
        </row>
        <row r="229">
          <cell r="B229">
            <v>35939</v>
          </cell>
          <cell r="C229">
            <v>25.0625</v>
          </cell>
        </row>
        <row r="230">
          <cell r="B230">
            <v>35940</v>
          </cell>
          <cell r="C230">
            <v>25.0625</v>
          </cell>
        </row>
        <row r="231">
          <cell r="B231">
            <v>35941</v>
          </cell>
          <cell r="C231">
            <v>24.9375</v>
          </cell>
        </row>
        <row r="232">
          <cell r="B232">
            <v>35942</v>
          </cell>
          <cell r="C232">
            <v>24.6875</v>
          </cell>
        </row>
        <row r="233">
          <cell r="B233">
            <v>35943</v>
          </cell>
          <cell r="C233">
            <v>25.0625</v>
          </cell>
        </row>
        <row r="234">
          <cell r="B234">
            <v>35944</v>
          </cell>
          <cell r="C234">
            <v>25.03125</v>
          </cell>
        </row>
        <row r="235">
          <cell r="B235">
            <v>35945</v>
          </cell>
          <cell r="C235">
            <v>25.03125</v>
          </cell>
        </row>
        <row r="236">
          <cell r="B236">
            <v>35946</v>
          </cell>
          <cell r="C236">
            <v>25.03125</v>
          </cell>
        </row>
        <row r="237">
          <cell r="B237">
            <v>35947</v>
          </cell>
          <cell r="C237">
            <v>24.375</v>
          </cell>
        </row>
        <row r="238">
          <cell r="B238">
            <v>35948</v>
          </cell>
          <cell r="C238">
            <v>24.9375</v>
          </cell>
        </row>
        <row r="239">
          <cell r="B239">
            <v>35949</v>
          </cell>
          <cell r="C239">
            <v>25.5</v>
          </cell>
        </row>
        <row r="240">
          <cell r="B240">
            <v>35950</v>
          </cell>
          <cell r="C240">
            <v>26.4375</v>
          </cell>
        </row>
        <row r="241">
          <cell r="B241">
            <v>35951</v>
          </cell>
          <cell r="C241">
            <v>26.8125</v>
          </cell>
        </row>
        <row r="242">
          <cell r="B242">
            <v>35952</v>
          </cell>
          <cell r="C242">
            <v>26.8125</v>
          </cell>
        </row>
        <row r="243">
          <cell r="B243">
            <v>35953</v>
          </cell>
          <cell r="C243">
            <v>26.8125</v>
          </cell>
        </row>
        <row r="244">
          <cell r="B244">
            <v>35954</v>
          </cell>
          <cell r="C244">
            <v>28.4375</v>
          </cell>
        </row>
        <row r="245">
          <cell r="B245">
            <v>35955</v>
          </cell>
          <cell r="C245">
            <v>28.3125</v>
          </cell>
        </row>
        <row r="246">
          <cell r="B246">
            <v>35956</v>
          </cell>
          <cell r="C246">
            <v>27.9375</v>
          </cell>
        </row>
        <row r="247">
          <cell r="B247">
            <v>35957</v>
          </cell>
          <cell r="C247">
            <v>27.0625</v>
          </cell>
        </row>
        <row r="248">
          <cell r="B248">
            <v>35958</v>
          </cell>
          <cell r="C248">
            <v>27.125</v>
          </cell>
        </row>
        <row r="249">
          <cell r="B249">
            <v>35959</v>
          </cell>
          <cell r="C249">
            <v>27.125</v>
          </cell>
        </row>
        <row r="250">
          <cell r="B250">
            <v>35960</v>
          </cell>
          <cell r="C250">
            <v>27.125</v>
          </cell>
        </row>
        <row r="251">
          <cell r="B251">
            <v>35961</v>
          </cell>
          <cell r="C251">
            <v>26.9375</v>
          </cell>
        </row>
        <row r="252">
          <cell r="B252">
            <v>35962</v>
          </cell>
          <cell r="C252">
            <v>26.625</v>
          </cell>
        </row>
        <row r="253">
          <cell r="B253">
            <v>35963</v>
          </cell>
          <cell r="C253">
            <v>26.90625</v>
          </cell>
        </row>
        <row r="254">
          <cell r="B254">
            <v>35964</v>
          </cell>
          <cell r="C254">
            <v>27.8125</v>
          </cell>
        </row>
        <row r="255">
          <cell r="B255">
            <v>35965</v>
          </cell>
          <cell r="C255">
            <v>28.4375</v>
          </cell>
        </row>
        <row r="256">
          <cell r="B256">
            <v>35966</v>
          </cell>
          <cell r="C256">
            <v>28.4375</v>
          </cell>
        </row>
        <row r="257">
          <cell r="B257">
            <v>35967</v>
          </cell>
          <cell r="C257">
            <v>28.4375</v>
          </cell>
        </row>
        <row r="258">
          <cell r="B258">
            <v>35968</v>
          </cell>
          <cell r="C258">
            <v>29.375</v>
          </cell>
        </row>
        <row r="259">
          <cell r="B259">
            <v>35969</v>
          </cell>
          <cell r="C259">
            <v>30.875</v>
          </cell>
        </row>
        <row r="260">
          <cell r="B260">
            <v>35970</v>
          </cell>
          <cell r="C260">
            <v>31.8125</v>
          </cell>
        </row>
        <row r="261">
          <cell r="B261">
            <v>35971</v>
          </cell>
          <cell r="C261">
            <v>32.5</v>
          </cell>
        </row>
        <row r="262">
          <cell r="B262">
            <v>35972</v>
          </cell>
          <cell r="C262">
            <v>33.0625</v>
          </cell>
        </row>
        <row r="263">
          <cell r="B263">
            <v>35973</v>
          </cell>
          <cell r="C263">
            <v>33.0625</v>
          </cell>
        </row>
        <row r="264">
          <cell r="B264">
            <v>35974</v>
          </cell>
          <cell r="C264">
            <v>33.0625</v>
          </cell>
        </row>
        <row r="265">
          <cell r="B265">
            <v>35975</v>
          </cell>
          <cell r="C265">
            <v>34.4375</v>
          </cell>
        </row>
        <row r="266">
          <cell r="B266">
            <v>35976</v>
          </cell>
          <cell r="C266">
            <v>37</v>
          </cell>
        </row>
        <row r="267">
          <cell r="B267">
            <v>35977</v>
          </cell>
          <cell r="C267">
            <v>35.734375</v>
          </cell>
        </row>
        <row r="268">
          <cell r="B268">
            <v>35978</v>
          </cell>
          <cell r="C268">
            <v>34.03125</v>
          </cell>
        </row>
        <row r="269">
          <cell r="B269">
            <v>35979</v>
          </cell>
          <cell r="C269">
            <v>34.03125</v>
          </cell>
        </row>
        <row r="270">
          <cell r="B270">
            <v>35980</v>
          </cell>
          <cell r="C270">
            <v>34.03125</v>
          </cell>
        </row>
        <row r="271">
          <cell r="B271">
            <v>35981</v>
          </cell>
          <cell r="C271">
            <v>34.03125</v>
          </cell>
        </row>
        <row r="272">
          <cell r="B272">
            <v>35982</v>
          </cell>
          <cell r="C272">
            <v>34.671875</v>
          </cell>
        </row>
        <row r="273">
          <cell r="B273">
            <v>35983</v>
          </cell>
          <cell r="C273">
            <v>34.25</v>
          </cell>
        </row>
        <row r="274">
          <cell r="B274">
            <v>35984</v>
          </cell>
          <cell r="C274">
            <v>34.78125</v>
          </cell>
        </row>
        <row r="275">
          <cell r="B275">
            <v>35985</v>
          </cell>
          <cell r="C275">
            <v>34.875</v>
          </cell>
        </row>
        <row r="276">
          <cell r="B276">
            <v>35986</v>
          </cell>
          <cell r="C276">
            <v>34.8125</v>
          </cell>
        </row>
        <row r="277">
          <cell r="B277">
            <v>35987</v>
          </cell>
          <cell r="C277">
            <v>34.8125</v>
          </cell>
        </row>
        <row r="278">
          <cell r="B278">
            <v>35988</v>
          </cell>
          <cell r="C278">
            <v>34.8125</v>
          </cell>
        </row>
        <row r="279">
          <cell r="B279">
            <v>35989</v>
          </cell>
          <cell r="C279">
            <v>35.0625</v>
          </cell>
        </row>
        <row r="280">
          <cell r="B280">
            <v>35990</v>
          </cell>
          <cell r="C280">
            <v>34.96875</v>
          </cell>
        </row>
        <row r="281">
          <cell r="B281">
            <v>35991</v>
          </cell>
          <cell r="C281">
            <v>35.125</v>
          </cell>
        </row>
        <row r="282">
          <cell r="B282">
            <v>35992</v>
          </cell>
          <cell r="C282">
            <v>35.0625</v>
          </cell>
        </row>
        <row r="283">
          <cell r="B283">
            <v>35993</v>
          </cell>
          <cell r="C283">
            <v>35.875</v>
          </cell>
        </row>
        <row r="284">
          <cell r="B284">
            <v>35994</v>
          </cell>
          <cell r="C284">
            <v>35.875</v>
          </cell>
        </row>
        <row r="285">
          <cell r="B285">
            <v>35995</v>
          </cell>
          <cell r="C285">
            <v>35.875</v>
          </cell>
        </row>
        <row r="286">
          <cell r="B286">
            <v>35996</v>
          </cell>
          <cell r="C286">
            <v>38.375</v>
          </cell>
        </row>
        <row r="287">
          <cell r="B287">
            <v>35997</v>
          </cell>
          <cell r="C287">
            <v>41.625</v>
          </cell>
        </row>
        <row r="288">
          <cell r="B288">
            <v>35998</v>
          </cell>
          <cell r="C288">
            <v>40.5625</v>
          </cell>
        </row>
        <row r="289">
          <cell r="B289">
            <v>35999</v>
          </cell>
          <cell r="C289">
            <v>40.625</v>
          </cell>
        </row>
        <row r="290">
          <cell r="B290">
            <v>36000</v>
          </cell>
          <cell r="C290">
            <v>41.5</v>
          </cell>
        </row>
        <row r="291">
          <cell r="B291">
            <v>36001</v>
          </cell>
          <cell r="C291">
            <v>41.5</v>
          </cell>
        </row>
        <row r="292">
          <cell r="B292">
            <v>36002</v>
          </cell>
          <cell r="C292">
            <v>41.5</v>
          </cell>
        </row>
        <row r="293">
          <cell r="B293">
            <v>36003</v>
          </cell>
          <cell r="C293">
            <v>42.125</v>
          </cell>
        </row>
        <row r="294">
          <cell r="B294">
            <v>36004</v>
          </cell>
          <cell r="C294">
            <v>41</v>
          </cell>
        </row>
        <row r="295">
          <cell r="B295">
            <v>36005</v>
          </cell>
          <cell r="C295">
            <v>41.375</v>
          </cell>
        </row>
        <row r="296">
          <cell r="B296">
            <v>36006</v>
          </cell>
          <cell r="C296">
            <v>41.96875</v>
          </cell>
        </row>
        <row r="297">
          <cell r="B297">
            <v>36007</v>
          </cell>
          <cell r="C297">
            <v>41.25</v>
          </cell>
        </row>
        <row r="298">
          <cell r="B298">
            <v>36008</v>
          </cell>
          <cell r="C298">
            <v>41.25</v>
          </cell>
        </row>
        <row r="299">
          <cell r="B299">
            <v>36009</v>
          </cell>
          <cell r="C299">
            <v>41.25</v>
          </cell>
        </row>
        <row r="300">
          <cell r="B300">
            <v>36010</v>
          </cell>
          <cell r="C300">
            <v>39.3125</v>
          </cell>
        </row>
        <row r="301">
          <cell r="B301">
            <v>36011</v>
          </cell>
          <cell r="C301">
            <v>36.125</v>
          </cell>
        </row>
        <row r="302">
          <cell r="B302">
            <v>36012</v>
          </cell>
          <cell r="C302">
            <v>36.3125</v>
          </cell>
        </row>
        <row r="303">
          <cell r="B303">
            <v>36013</v>
          </cell>
          <cell r="C303">
            <v>38.25</v>
          </cell>
        </row>
        <row r="304">
          <cell r="B304">
            <v>36014</v>
          </cell>
          <cell r="C304">
            <v>39.75</v>
          </cell>
        </row>
        <row r="305">
          <cell r="B305">
            <v>36015</v>
          </cell>
          <cell r="C305">
            <v>39.75</v>
          </cell>
        </row>
        <row r="306">
          <cell r="B306">
            <v>36016</v>
          </cell>
          <cell r="C306">
            <v>39.75</v>
          </cell>
        </row>
        <row r="307">
          <cell r="B307">
            <v>36017</v>
          </cell>
          <cell r="C307">
            <v>39.3125</v>
          </cell>
        </row>
        <row r="308">
          <cell r="B308">
            <v>36018</v>
          </cell>
          <cell r="C308">
            <v>39.8125</v>
          </cell>
        </row>
        <row r="309">
          <cell r="B309">
            <v>36019</v>
          </cell>
          <cell r="C309">
            <v>40.5</v>
          </cell>
        </row>
        <row r="310">
          <cell r="B310">
            <v>36020</v>
          </cell>
          <cell r="C310">
            <v>40.5</v>
          </cell>
        </row>
        <row r="311">
          <cell r="B311">
            <v>36021</v>
          </cell>
          <cell r="C311">
            <v>40.375</v>
          </cell>
        </row>
        <row r="312">
          <cell r="B312">
            <v>36022</v>
          </cell>
          <cell r="C312">
            <v>40.375</v>
          </cell>
        </row>
        <row r="313">
          <cell r="B313">
            <v>36023</v>
          </cell>
          <cell r="C313">
            <v>40.375</v>
          </cell>
        </row>
        <row r="314">
          <cell r="B314">
            <v>36024</v>
          </cell>
          <cell r="C314">
            <v>39.125</v>
          </cell>
        </row>
        <row r="315">
          <cell r="B315">
            <v>36025</v>
          </cell>
          <cell r="C315">
            <v>39.5</v>
          </cell>
        </row>
        <row r="316">
          <cell r="B316">
            <v>36026</v>
          </cell>
          <cell r="C316">
            <v>39.875</v>
          </cell>
        </row>
        <row r="317">
          <cell r="B317">
            <v>36027</v>
          </cell>
          <cell r="C317">
            <v>40</v>
          </cell>
        </row>
        <row r="318">
          <cell r="B318">
            <v>36028</v>
          </cell>
          <cell r="C318">
            <v>39.125</v>
          </cell>
        </row>
        <row r="319">
          <cell r="B319">
            <v>36029</v>
          </cell>
          <cell r="C319">
            <v>39.125</v>
          </cell>
        </row>
        <row r="320">
          <cell r="B320">
            <v>36030</v>
          </cell>
          <cell r="C320">
            <v>39.125</v>
          </cell>
        </row>
        <row r="321">
          <cell r="B321">
            <v>36031</v>
          </cell>
          <cell r="C321">
            <v>38.75</v>
          </cell>
        </row>
        <row r="322">
          <cell r="B322">
            <v>36032</v>
          </cell>
          <cell r="C322">
            <v>38.8125</v>
          </cell>
        </row>
        <row r="323">
          <cell r="B323">
            <v>36033</v>
          </cell>
          <cell r="C323">
            <v>39</v>
          </cell>
        </row>
        <row r="324">
          <cell r="B324">
            <v>36034</v>
          </cell>
          <cell r="C324">
            <v>36.5</v>
          </cell>
        </row>
        <row r="325">
          <cell r="B325">
            <v>36035</v>
          </cell>
          <cell r="C325">
            <v>33.1875</v>
          </cell>
        </row>
        <row r="326">
          <cell r="B326">
            <v>36036</v>
          </cell>
          <cell r="C326">
            <v>33.1875</v>
          </cell>
        </row>
        <row r="327">
          <cell r="B327">
            <v>36037</v>
          </cell>
          <cell r="C327">
            <v>33.1875</v>
          </cell>
        </row>
        <row r="328">
          <cell r="B328">
            <v>36038</v>
          </cell>
          <cell r="C328">
            <v>29.78125</v>
          </cell>
        </row>
        <row r="329">
          <cell r="B329">
            <v>36039</v>
          </cell>
          <cell r="C329">
            <v>32.375</v>
          </cell>
        </row>
        <row r="330">
          <cell r="B330">
            <v>36040</v>
          </cell>
          <cell r="C330">
            <v>33</v>
          </cell>
        </row>
        <row r="331">
          <cell r="B331">
            <v>36041</v>
          </cell>
          <cell r="C331">
            <v>30.625</v>
          </cell>
        </row>
        <row r="332">
          <cell r="B332">
            <v>36042</v>
          </cell>
          <cell r="C332">
            <v>30.375</v>
          </cell>
        </row>
        <row r="333">
          <cell r="B333">
            <v>36043</v>
          </cell>
          <cell r="C333">
            <v>30.375</v>
          </cell>
        </row>
        <row r="334">
          <cell r="B334">
            <v>36044</v>
          </cell>
          <cell r="C334">
            <v>30.375</v>
          </cell>
        </row>
        <row r="335">
          <cell r="B335">
            <v>36045</v>
          </cell>
          <cell r="C335">
            <v>30.375</v>
          </cell>
        </row>
        <row r="336">
          <cell r="B336">
            <v>36046</v>
          </cell>
          <cell r="C336">
            <v>34.75</v>
          </cell>
        </row>
        <row r="337">
          <cell r="B337">
            <v>36047</v>
          </cell>
          <cell r="C337">
            <v>32.875</v>
          </cell>
        </row>
        <row r="338">
          <cell r="B338">
            <v>36048</v>
          </cell>
          <cell r="C338">
            <v>31</v>
          </cell>
        </row>
        <row r="339">
          <cell r="B339">
            <v>36049</v>
          </cell>
          <cell r="C339">
            <v>33.5625</v>
          </cell>
        </row>
        <row r="340">
          <cell r="B340">
            <v>36050</v>
          </cell>
          <cell r="C340">
            <v>33.5625</v>
          </cell>
        </row>
        <row r="341">
          <cell r="B341">
            <v>36051</v>
          </cell>
          <cell r="C341">
            <v>33.5625</v>
          </cell>
        </row>
        <row r="342">
          <cell r="B342">
            <v>36052</v>
          </cell>
          <cell r="C342">
            <v>32.4375</v>
          </cell>
        </row>
        <row r="343">
          <cell r="B343">
            <v>36053</v>
          </cell>
          <cell r="C343">
            <v>32.875</v>
          </cell>
        </row>
        <row r="344">
          <cell r="B344">
            <v>36054</v>
          </cell>
          <cell r="C344">
            <v>33.25</v>
          </cell>
        </row>
        <row r="345">
          <cell r="B345">
            <v>36055</v>
          </cell>
          <cell r="C345">
            <v>32.375</v>
          </cell>
        </row>
        <row r="346">
          <cell r="B346">
            <v>36056</v>
          </cell>
          <cell r="C346">
            <v>32.5625</v>
          </cell>
        </row>
        <row r="347">
          <cell r="B347">
            <v>36057</v>
          </cell>
          <cell r="C347">
            <v>32.5625</v>
          </cell>
        </row>
        <row r="348">
          <cell r="B348">
            <v>36058</v>
          </cell>
          <cell r="C348">
            <v>32.5625</v>
          </cell>
        </row>
        <row r="349">
          <cell r="B349">
            <v>36059</v>
          </cell>
          <cell r="C349">
            <v>32.25</v>
          </cell>
        </row>
        <row r="350">
          <cell r="B350">
            <v>36060</v>
          </cell>
          <cell r="C350">
            <v>31.875</v>
          </cell>
        </row>
        <row r="351">
          <cell r="B351">
            <v>36061</v>
          </cell>
          <cell r="C351">
            <v>34.5625</v>
          </cell>
        </row>
        <row r="352">
          <cell r="B352">
            <v>36062</v>
          </cell>
          <cell r="C352">
            <v>31.875</v>
          </cell>
        </row>
        <row r="353">
          <cell r="B353">
            <v>36063</v>
          </cell>
          <cell r="C353">
            <v>34.125</v>
          </cell>
        </row>
        <row r="354">
          <cell r="B354">
            <v>36064</v>
          </cell>
          <cell r="C354">
            <v>34.125</v>
          </cell>
        </row>
        <row r="355">
          <cell r="B355">
            <v>36065</v>
          </cell>
          <cell r="C355">
            <v>34.125</v>
          </cell>
        </row>
        <row r="356">
          <cell r="B356">
            <v>36066</v>
          </cell>
          <cell r="C356">
            <v>32.625</v>
          </cell>
        </row>
        <row r="357">
          <cell r="B357">
            <v>36067</v>
          </cell>
          <cell r="C357">
            <v>32</v>
          </cell>
        </row>
        <row r="358">
          <cell r="B358">
            <v>36068</v>
          </cell>
          <cell r="C358">
            <v>31.9375</v>
          </cell>
        </row>
        <row r="359">
          <cell r="B359">
            <v>36069</v>
          </cell>
          <cell r="C359">
            <v>30.0625</v>
          </cell>
        </row>
        <row r="360">
          <cell r="B360">
            <v>36070</v>
          </cell>
          <cell r="C360">
            <v>30</v>
          </cell>
        </row>
        <row r="361">
          <cell r="B361">
            <v>36071</v>
          </cell>
          <cell r="C361">
            <v>30</v>
          </cell>
        </row>
        <row r="362">
          <cell r="B362">
            <v>36072</v>
          </cell>
          <cell r="C362">
            <v>30</v>
          </cell>
        </row>
        <row r="363">
          <cell r="B363">
            <v>36073</v>
          </cell>
          <cell r="C363">
            <v>28.5625</v>
          </cell>
        </row>
        <row r="364">
          <cell r="B364">
            <v>36074</v>
          </cell>
          <cell r="C364">
            <v>25.125</v>
          </cell>
        </row>
        <row r="365">
          <cell r="B365">
            <v>36075</v>
          </cell>
          <cell r="C365">
            <v>24.9375</v>
          </cell>
        </row>
        <row r="366">
          <cell r="B366">
            <v>36076</v>
          </cell>
          <cell r="C366">
            <v>24</v>
          </cell>
        </row>
        <row r="367">
          <cell r="B367">
            <v>36077</v>
          </cell>
          <cell r="C367">
            <v>26.875</v>
          </cell>
        </row>
        <row r="368">
          <cell r="B368">
            <v>36078</v>
          </cell>
          <cell r="C368">
            <v>26.875</v>
          </cell>
        </row>
        <row r="369">
          <cell r="B369">
            <v>36079</v>
          </cell>
          <cell r="C369">
            <v>26.875</v>
          </cell>
        </row>
        <row r="370">
          <cell r="B370">
            <v>36080</v>
          </cell>
          <cell r="C370">
            <v>28.25</v>
          </cell>
        </row>
        <row r="371">
          <cell r="B371">
            <v>36081</v>
          </cell>
          <cell r="C371">
            <v>26.75</v>
          </cell>
        </row>
        <row r="372">
          <cell r="B372">
            <v>36082</v>
          </cell>
          <cell r="C372">
            <v>28</v>
          </cell>
        </row>
        <row r="373">
          <cell r="B373">
            <v>36083</v>
          </cell>
          <cell r="C373">
            <v>29</v>
          </cell>
        </row>
        <row r="374">
          <cell r="B374">
            <v>36084</v>
          </cell>
          <cell r="C374">
            <v>29.25</v>
          </cell>
        </row>
        <row r="375">
          <cell r="B375">
            <v>36085</v>
          </cell>
          <cell r="C375">
            <v>29.25</v>
          </cell>
        </row>
        <row r="376">
          <cell r="B376">
            <v>36086</v>
          </cell>
          <cell r="C376">
            <v>29.25</v>
          </cell>
        </row>
        <row r="377">
          <cell r="B377">
            <v>36087</v>
          </cell>
          <cell r="C377">
            <v>30.0625</v>
          </cell>
        </row>
        <row r="378">
          <cell r="B378">
            <v>36088</v>
          </cell>
          <cell r="C378">
            <v>29.25</v>
          </cell>
        </row>
        <row r="379">
          <cell r="B379">
            <v>36089</v>
          </cell>
          <cell r="C379">
            <v>31.625</v>
          </cell>
        </row>
        <row r="380">
          <cell r="B380">
            <v>36090</v>
          </cell>
          <cell r="C380">
            <v>30.375</v>
          </cell>
        </row>
        <row r="381">
          <cell r="B381">
            <v>36091</v>
          </cell>
          <cell r="C381">
            <v>31</v>
          </cell>
        </row>
        <row r="382">
          <cell r="B382">
            <v>36092</v>
          </cell>
          <cell r="C382">
            <v>31</v>
          </cell>
        </row>
        <row r="383">
          <cell r="B383">
            <v>36093</v>
          </cell>
          <cell r="C383">
            <v>31</v>
          </cell>
        </row>
        <row r="384">
          <cell r="B384">
            <v>36094</v>
          </cell>
          <cell r="C384">
            <v>32.5625</v>
          </cell>
        </row>
        <row r="385">
          <cell r="B385">
            <v>36095</v>
          </cell>
          <cell r="C385">
            <v>30.5</v>
          </cell>
        </row>
        <row r="386">
          <cell r="B386">
            <v>36096</v>
          </cell>
          <cell r="C386">
            <v>32.6875</v>
          </cell>
        </row>
        <row r="387">
          <cell r="B387">
            <v>36097</v>
          </cell>
          <cell r="C387">
            <v>32.6875</v>
          </cell>
        </row>
        <row r="388">
          <cell r="B388">
            <v>36098</v>
          </cell>
          <cell r="C388">
            <v>32.5625</v>
          </cell>
        </row>
        <row r="389">
          <cell r="B389">
            <v>36099</v>
          </cell>
          <cell r="C389">
            <v>32.5625</v>
          </cell>
        </row>
        <row r="390">
          <cell r="B390">
            <v>36100</v>
          </cell>
          <cell r="C390">
            <v>32.5625</v>
          </cell>
        </row>
        <row r="391">
          <cell r="B391">
            <v>36101</v>
          </cell>
          <cell r="C391">
            <v>34</v>
          </cell>
        </row>
        <row r="392">
          <cell r="B392">
            <v>36102</v>
          </cell>
          <cell r="C392">
            <v>33.75</v>
          </cell>
        </row>
        <row r="393">
          <cell r="B393">
            <v>36103</v>
          </cell>
          <cell r="C393">
            <v>34.5</v>
          </cell>
        </row>
        <row r="394">
          <cell r="B394">
            <v>36104</v>
          </cell>
          <cell r="C394">
            <v>34.75</v>
          </cell>
        </row>
        <row r="395">
          <cell r="B395">
            <v>36105</v>
          </cell>
          <cell r="C395">
            <v>34.9375</v>
          </cell>
        </row>
        <row r="396">
          <cell r="B396">
            <v>36106</v>
          </cell>
          <cell r="C396">
            <v>34.9375</v>
          </cell>
        </row>
        <row r="397">
          <cell r="B397">
            <v>36107</v>
          </cell>
          <cell r="C397">
            <v>34.9375</v>
          </cell>
        </row>
        <row r="398">
          <cell r="B398">
            <v>36108</v>
          </cell>
          <cell r="C398">
            <v>34.75</v>
          </cell>
        </row>
        <row r="399">
          <cell r="B399">
            <v>36109</v>
          </cell>
          <cell r="C399">
            <v>34.9375</v>
          </cell>
        </row>
        <row r="400">
          <cell r="B400">
            <v>36110</v>
          </cell>
          <cell r="C400">
            <v>34</v>
          </cell>
        </row>
        <row r="401">
          <cell r="B401">
            <v>36111</v>
          </cell>
          <cell r="C401">
            <v>35.6875</v>
          </cell>
        </row>
        <row r="402">
          <cell r="B402">
            <v>36112</v>
          </cell>
          <cell r="C402">
            <v>35.3125</v>
          </cell>
        </row>
        <row r="403">
          <cell r="B403">
            <v>36113</v>
          </cell>
          <cell r="C403">
            <v>35.3125</v>
          </cell>
        </row>
        <row r="404">
          <cell r="B404">
            <v>36114</v>
          </cell>
          <cell r="C404">
            <v>35.3125</v>
          </cell>
        </row>
        <row r="405">
          <cell r="B405">
            <v>36115</v>
          </cell>
          <cell r="C405">
            <v>36.125</v>
          </cell>
        </row>
        <row r="406">
          <cell r="B406">
            <v>36116</v>
          </cell>
          <cell r="C406">
            <v>35.9375</v>
          </cell>
        </row>
        <row r="407">
          <cell r="B407">
            <v>36117</v>
          </cell>
          <cell r="C407">
            <v>36.875</v>
          </cell>
        </row>
        <row r="408">
          <cell r="B408">
            <v>36118</v>
          </cell>
          <cell r="C408">
            <v>37.75</v>
          </cell>
        </row>
        <row r="409">
          <cell r="B409">
            <v>36119</v>
          </cell>
          <cell r="C409">
            <v>37.75</v>
          </cell>
        </row>
        <row r="410">
          <cell r="B410">
            <v>36120</v>
          </cell>
          <cell r="C410">
            <v>37.75</v>
          </cell>
        </row>
        <row r="411">
          <cell r="B411">
            <v>36121</v>
          </cell>
          <cell r="C411">
            <v>37.75</v>
          </cell>
        </row>
        <row r="412">
          <cell r="B412">
            <v>36122</v>
          </cell>
          <cell r="C412">
            <v>37</v>
          </cell>
        </row>
        <row r="413">
          <cell r="B413">
            <v>36123</v>
          </cell>
          <cell r="C413">
            <v>37.5</v>
          </cell>
        </row>
        <row r="414">
          <cell r="B414">
            <v>36124</v>
          </cell>
          <cell r="C414">
            <v>36.4375</v>
          </cell>
        </row>
        <row r="415">
          <cell r="B415">
            <v>36125</v>
          </cell>
          <cell r="C415">
            <v>36.4375</v>
          </cell>
        </row>
        <row r="416">
          <cell r="B416">
            <v>36126</v>
          </cell>
          <cell r="C416">
            <v>36.125</v>
          </cell>
        </row>
        <row r="417">
          <cell r="B417">
            <v>36127</v>
          </cell>
          <cell r="C417">
            <v>36.125</v>
          </cell>
        </row>
        <row r="418">
          <cell r="B418">
            <v>36128</v>
          </cell>
          <cell r="C418">
            <v>36.125</v>
          </cell>
        </row>
        <row r="419">
          <cell r="B419">
            <v>36129</v>
          </cell>
          <cell r="C419">
            <v>34.5</v>
          </cell>
        </row>
        <row r="420">
          <cell r="B420">
            <v>36130</v>
          </cell>
          <cell r="C420">
            <v>33.625</v>
          </cell>
        </row>
        <row r="421">
          <cell r="B421">
            <v>36131</v>
          </cell>
          <cell r="C421">
            <v>34</v>
          </cell>
        </row>
        <row r="422">
          <cell r="B422">
            <v>36132</v>
          </cell>
          <cell r="C422">
            <v>34.625</v>
          </cell>
        </row>
        <row r="423">
          <cell r="B423">
            <v>36133</v>
          </cell>
          <cell r="C423">
            <v>36.125</v>
          </cell>
        </row>
        <row r="424">
          <cell r="B424">
            <v>36134</v>
          </cell>
          <cell r="C424">
            <v>36.125</v>
          </cell>
        </row>
        <row r="425">
          <cell r="B425">
            <v>36135</v>
          </cell>
          <cell r="C425">
            <v>36.125</v>
          </cell>
        </row>
        <row r="426">
          <cell r="B426">
            <v>36136</v>
          </cell>
          <cell r="C426">
            <v>36.6875</v>
          </cell>
        </row>
        <row r="427">
          <cell r="B427">
            <v>36137</v>
          </cell>
          <cell r="C427">
            <v>35.9375</v>
          </cell>
        </row>
        <row r="428">
          <cell r="B428">
            <v>36138</v>
          </cell>
          <cell r="C428">
            <v>37</v>
          </cell>
        </row>
        <row r="429">
          <cell r="B429">
            <v>36139</v>
          </cell>
          <cell r="C429">
            <v>35</v>
          </cell>
        </row>
        <row r="430">
          <cell r="B430">
            <v>36140</v>
          </cell>
          <cell r="C430">
            <v>36</v>
          </cell>
        </row>
        <row r="431">
          <cell r="B431">
            <v>36141</v>
          </cell>
          <cell r="C431">
            <v>36</v>
          </cell>
        </row>
        <row r="432">
          <cell r="B432">
            <v>36142</v>
          </cell>
          <cell r="C432">
            <v>36</v>
          </cell>
        </row>
        <row r="433">
          <cell r="B433">
            <v>36143</v>
          </cell>
          <cell r="C433">
            <v>33.75</v>
          </cell>
        </row>
        <row r="434">
          <cell r="B434">
            <v>36144</v>
          </cell>
          <cell r="C434">
            <v>34.3125</v>
          </cell>
        </row>
        <row r="435">
          <cell r="B435">
            <v>36145</v>
          </cell>
          <cell r="C435">
            <v>33.8125</v>
          </cell>
        </row>
        <row r="436">
          <cell r="B436">
            <v>36146</v>
          </cell>
          <cell r="C436">
            <v>37.875</v>
          </cell>
        </row>
        <row r="437">
          <cell r="B437">
            <v>36147</v>
          </cell>
          <cell r="C437">
            <v>37.0625</v>
          </cell>
        </row>
        <row r="438">
          <cell r="B438">
            <v>36148</v>
          </cell>
          <cell r="C438">
            <v>37.0625</v>
          </cell>
        </row>
        <row r="439">
          <cell r="B439">
            <v>36149</v>
          </cell>
          <cell r="C439">
            <v>37.0625</v>
          </cell>
        </row>
        <row r="440">
          <cell r="B440">
            <v>36150</v>
          </cell>
          <cell r="C440">
            <v>39.125</v>
          </cell>
        </row>
        <row r="441">
          <cell r="B441">
            <v>36151</v>
          </cell>
          <cell r="C441">
            <v>38.75</v>
          </cell>
        </row>
        <row r="442">
          <cell r="B442">
            <v>36152</v>
          </cell>
          <cell r="C442">
            <v>40</v>
          </cell>
        </row>
        <row r="443">
          <cell r="B443">
            <v>36153</v>
          </cell>
          <cell r="C443">
            <v>39.5</v>
          </cell>
        </row>
        <row r="444">
          <cell r="B444">
            <v>36154</v>
          </cell>
          <cell r="C444">
            <v>39.5</v>
          </cell>
        </row>
        <row r="445">
          <cell r="B445">
            <v>36155</v>
          </cell>
          <cell r="C445">
            <v>39.5</v>
          </cell>
        </row>
        <row r="446">
          <cell r="B446">
            <v>36156</v>
          </cell>
          <cell r="C446">
            <v>39.5</v>
          </cell>
        </row>
        <row r="447">
          <cell r="B447">
            <v>36157</v>
          </cell>
          <cell r="C447">
            <v>41.5</v>
          </cell>
        </row>
        <row r="448">
          <cell r="B448">
            <v>36158</v>
          </cell>
          <cell r="C448">
            <v>41.8125</v>
          </cell>
        </row>
        <row r="449">
          <cell r="B449">
            <v>36159</v>
          </cell>
          <cell r="C449">
            <v>42.0625</v>
          </cell>
        </row>
        <row r="450">
          <cell r="B450">
            <v>36160</v>
          </cell>
          <cell r="C450">
            <v>43.125</v>
          </cell>
        </row>
        <row r="451">
          <cell r="B451">
            <v>36161</v>
          </cell>
          <cell r="C451">
            <v>43.125</v>
          </cell>
        </row>
        <row r="452">
          <cell r="B452">
            <v>36162</v>
          </cell>
          <cell r="C452">
            <v>43.125</v>
          </cell>
        </row>
        <row r="453">
          <cell r="B453">
            <v>36163</v>
          </cell>
          <cell r="C453">
            <v>43.125</v>
          </cell>
        </row>
        <row r="454">
          <cell r="B454">
            <v>36164</v>
          </cell>
          <cell r="C454">
            <v>41</v>
          </cell>
        </row>
        <row r="455">
          <cell r="B455">
            <v>36165</v>
          </cell>
          <cell r="C455">
            <v>41</v>
          </cell>
        </row>
        <row r="456">
          <cell r="B456">
            <v>36166</v>
          </cell>
          <cell r="C456">
            <v>41.875</v>
          </cell>
        </row>
        <row r="457">
          <cell r="B457">
            <v>36167</v>
          </cell>
          <cell r="C457">
            <v>41.75</v>
          </cell>
        </row>
        <row r="458">
          <cell r="B458">
            <v>36168</v>
          </cell>
          <cell r="C458">
            <v>42</v>
          </cell>
        </row>
        <row r="459">
          <cell r="B459">
            <v>36169</v>
          </cell>
          <cell r="C459">
            <v>42</v>
          </cell>
        </row>
        <row r="460">
          <cell r="B460">
            <v>36170</v>
          </cell>
          <cell r="C460">
            <v>42</v>
          </cell>
        </row>
        <row r="461">
          <cell r="B461">
            <v>36171</v>
          </cell>
          <cell r="C461">
            <v>41.9375</v>
          </cell>
        </row>
        <row r="462">
          <cell r="B462">
            <v>36172</v>
          </cell>
          <cell r="C462">
            <v>40.375</v>
          </cell>
        </row>
        <row r="463">
          <cell r="B463">
            <v>36173</v>
          </cell>
          <cell r="C463">
            <v>41.9375</v>
          </cell>
        </row>
        <row r="464">
          <cell r="B464">
            <v>36174</v>
          </cell>
          <cell r="C464">
            <v>39.75</v>
          </cell>
        </row>
        <row r="465">
          <cell r="B465">
            <v>36175</v>
          </cell>
          <cell r="C465">
            <v>41.4375</v>
          </cell>
        </row>
        <row r="466">
          <cell r="B466">
            <v>36176</v>
          </cell>
          <cell r="C466">
            <v>41.4375</v>
          </cell>
        </row>
        <row r="467">
          <cell r="B467">
            <v>36177</v>
          </cell>
          <cell r="C467">
            <v>41.4375</v>
          </cell>
        </row>
        <row r="468">
          <cell r="B468">
            <v>36178</v>
          </cell>
          <cell r="C468">
            <v>41.4375</v>
          </cell>
        </row>
        <row r="469">
          <cell r="B469">
            <v>36179</v>
          </cell>
          <cell r="C469">
            <v>40.9375</v>
          </cell>
        </row>
        <row r="470">
          <cell r="B470">
            <v>36180</v>
          </cell>
          <cell r="C470">
            <v>43</v>
          </cell>
        </row>
        <row r="471">
          <cell r="B471">
            <v>36181</v>
          </cell>
          <cell r="C471">
            <v>44.1875</v>
          </cell>
        </row>
        <row r="472">
          <cell r="B472">
            <v>36182</v>
          </cell>
          <cell r="C472">
            <v>45.9375</v>
          </cell>
        </row>
        <row r="473">
          <cell r="B473">
            <v>36183</v>
          </cell>
          <cell r="C473">
            <v>45.9375</v>
          </cell>
        </row>
        <row r="474">
          <cell r="B474">
            <v>36184</v>
          </cell>
          <cell r="C474">
            <v>45.9375</v>
          </cell>
        </row>
        <row r="475">
          <cell r="B475">
            <v>36185</v>
          </cell>
          <cell r="C475">
            <v>47.4375</v>
          </cell>
        </row>
        <row r="476">
          <cell r="B476">
            <v>36186</v>
          </cell>
          <cell r="C476">
            <v>50.375</v>
          </cell>
        </row>
        <row r="477">
          <cell r="B477">
            <v>36187</v>
          </cell>
          <cell r="C477">
            <v>48.375</v>
          </cell>
        </row>
        <row r="478">
          <cell r="B478">
            <v>36188</v>
          </cell>
          <cell r="C478">
            <v>51.875</v>
          </cell>
        </row>
        <row r="479">
          <cell r="B479">
            <v>36189</v>
          </cell>
          <cell r="C479">
            <v>52.375</v>
          </cell>
        </row>
        <row r="480">
          <cell r="B480">
            <v>36190</v>
          </cell>
          <cell r="C480">
            <v>52.375</v>
          </cell>
        </row>
        <row r="481">
          <cell r="B481">
            <v>36191</v>
          </cell>
          <cell r="C481">
            <v>52.375</v>
          </cell>
        </row>
        <row r="482">
          <cell r="B482">
            <v>36192</v>
          </cell>
          <cell r="C482">
            <v>55.375</v>
          </cell>
        </row>
        <row r="483">
          <cell r="B483">
            <v>36193</v>
          </cell>
          <cell r="C483">
            <v>56.375</v>
          </cell>
        </row>
        <row r="484">
          <cell r="B484">
            <v>36194</v>
          </cell>
          <cell r="C484">
            <v>59.375</v>
          </cell>
        </row>
        <row r="485">
          <cell r="B485">
            <v>36195</v>
          </cell>
          <cell r="C485">
            <v>57.75</v>
          </cell>
        </row>
        <row r="486">
          <cell r="B486">
            <v>36196</v>
          </cell>
          <cell r="C486">
            <v>55.6875</v>
          </cell>
        </row>
        <row r="487">
          <cell r="B487">
            <v>36197</v>
          </cell>
          <cell r="C487">
            <v>55.6875</v>
          </cell>
        </row>
        <row r="488">
          <cell r="B488">
            <v>36198</v>
          </cell>
          <cell r="C488">
            <v>55.6875</v>
          </cell>
        </row>
        <row r="489">
          <cell r="B489">
            <v>36199</v>
          </cell>
          <cell r="C489">
            <v>58.75</v>
          </cell>
        </row>
        <row r="490">
          <cell r="B490">
            <v>36200</v>
          </cell>
          <cell r="C490">
            <v>57.6875</v>
          </cell>
        </row>
        <row r="491">
          <cell r="B491">
            <v>36201</v>
          </cell>
          <cell r="C491">
            <v>56.8125</v>
          </cell>
        </row>
        <row r="492">
          <cell r="B492">
            <v>36202</v>
          </cell>
          <cell r="C492">
            <v>59.6875</v>
          </cell>
        </row>
        <row r="493">
          <cell r="B493">
            <v>36203</v>
          </cell>
          <cell r="C493">
            <v>56</v>
          </cell>
        </row>
        <row r="494">
          <cell r="B494">
            <v>36204</v>
          </cell>
          <cell r="C494">
            <v>56</v>
          </cell>
        </row>
        <row r="495">
          <cell r="B495">
            <v>36205</v>
          </cell>
          <cell r="C495">
            <v>56</v>
          </cell>
        </row>
        <row r="496">
          <cell r="B496">
            <v>36206</v>
          </cell>
          <cell r="C496">
            <v>56</v>
          </cell>
        </row>
        <row r="497">
          <cell r="B497">
            <v>36207</v>
          </cell>
          <cell r="C497">
            <v>55</v>
          </cell>
        </row>
        <row r="498">
          <cell r="B498">
            <v>36208</v>
          </cell>
          <cell r="C498">
            <v>51.75</v>
          </cell>
        </row>
        <row r="499">
          <cell r="B499">
            <v>36209</v>
          </cell>
          <cell r="C499">
            <v>54.6875</v>
          </cell>
        </row>
        <row r="500">
          <cell r="B500">
            <v>36210</v>
          </cell>
          <cell r="C500">
            <v>57</v>
          </cell>
        </row>
        <row r="501">
          <cell r="B501">
            <v>36211</v>
          </cell>
          <cell r="C501">
            <v>57</v>
          </cell>
        </row>
        <row r="502">
          <cell r="B502">
            <v>36212</v>
          </cell>
          <cell r="C502">
            <v>57</v>
          </cell>
        </row>
        <row r="503">
          <cell r="B503">
            <v>36213</v>
          </cell>
          <cell r="C503">
            <v>59.0625</v>
          </cell>
        </row>
        <row r="504">
          <cell r="B504">
            <v>36214</v>
          </cell>
          <cell r="C504">
            <v>59.0625</v>
          </cell>
        </row>
        <row r="505">
          <cell r="B505">
            <v>36215</v>
          </cell>
          <cell r="C505">
            <v>57.5625</v>
          </cell>
        </row>
        <row r="506">
          <cell r="B506">
            <v>36216</v>
          </cell>
          <cell r="C506">
            <v>56.75</v>
          </cell>
        </row>
        <row r="507">
          <cell r="B507">
            <v>36217</v>
          </cell>
          <cell r="C507">
            <v>56</v>
          </cell>
        </row>
        <row r="508">
          <cell r="B508">
            <v>36218</v>
          </cell>
          <cell r="C508">
            <v>56</v>
          </cell>
        </row>
        <row r="509">
          <cell r="B509">
            <v>36219</v>
          </cell>
          <cell r="C509">
            <v>56</v>
          </cell>
        </row>
        <row r="510">
          <cell r="B510">
            <v>36220</v>
          </cell>
          <cell r="C510">
            <v>55.125</v>
          </cell>
        </row>
        <row r="511">
          <cell r="B511">
            <v>36221</v>
          </cell>
          <cell r="C511">
            <v>52.8125</v>
          </cell>
        </row>
        <row r="512">
          <cell r="B512">
            <v>36222</v>
          </cell>
          <cell r="C512">
            <v>55</v>
          </cell>
        </row>
        <row r="513">
          <cell r="B513">
            <v>36223</v>
          </cell>
          <cell r="C513">
            <v>57.9375</v>
          </cell>
        </row>
        <row r="514">
          <cell r="B514">
            <v>36224</v>
          </cell>
          <cell r="C514">
            <v>59</v>
          </cell>
        </row>
        <row r="515">
          <cell r="B515">
            <v>36225</v>
          </cell>
          <cell r="C515">
            <v>59</v>
          </cell>
        </row>
        <row r="516">
          <cell r="B516">
            <v>36226</v>
          </cell>
          <cell r="C516">
            <v>59</v>
          </cell>
        </row>
        <row r="517">
          <cell r="B517">
            <v>36227</v>
          </cell>
          <cell r="C517">
            <v>60.4375</v>
          </cell>
        </row>
        <row r="518">
          <cell r="B518">
            <v>36228</v>
          </cell>
          <cell r="C518">
            <v>64.75</v>
          </cell>
        </row>
        <row r="519">
          <cell r="B519">
            <v>36229</v>
          </cell>
          <cell r="C519">
            <v>65.1875</v>
          </cell>
        </row>
        <row r="520">
          <cell r="B520">
            <v>36230</v>
          </cell>
          <cell r="C520">
            <v>65</v>
          </cell>
        </row>
        <row r="521">
          <cell r="B521">
            <v>36231</v>
          </cell>
          <cell r="C521">
            <v>66.125</v>
          </cell>
        </row>
        <row r="522">
          <cell r="B522">
            <v>36232</v>
          </cell>
          <cell r="C522">
            <v>66.125</v>
          </cell>
        </row>
        <row r="523">
          <cell r="B523">
            <v>36233</v>
          </cell>
          <cell r="C523">
            <v>66.125</v>
          </cell>
        </row>
        <row r="524">
          <cell r="B524">
            <v>36234</v>
          </cell>
          <cell r="C524">
            <v>68.5625</v>
          </cell>
        </row>
        <row r="525">
          <cell r="B525">
            <v>36235</v>
          </cell>
          <cell r="C525">
            <v>68.5625</v>
          </cell>
        </row>
        <row r="526">
          <cell r="B526">
            <v>36236</v>
          </cell>
          <cell r="C526">
            <v>69.125</v>
          </cell>
        </row>
        <row r="527">
          <cell r="B527">
            <v>36237</v>
          </cell>
          <cell r="C527">
            <v>68.0625</v>
          </cell>
        </row>
        <row r="528">
          <cell r="B528">
            <v>36238</v>
          </cell>
          <cell r="C528">
            <v>64.9375</v>
          </cell>
        </row>
        <row r="529">
          <cell r="B529">
            <v>36239</v>
          </cell>
          <cell r="C529">
            <v>64.9375</v>
          </cell>
        </row>
        <row r="530">
          <cell r="B530">
            <v>36240</v>
          </cell>
          <cell r="C530">
            <v>64.9375</v>
          </cell>
        </row>
        <row r="531">
          <cell r="B531">
            <v>36241</v>
          </cell>
          <cell r="C531">
            <v>64</v>
          </cell>
        </row>
        <row r="532">
          <cell r="B532">
            <v>36242</v>
          </cell>
          <cell r="C532">
            <v>61.75</v>
          </cell>
        </row>
        <row r="533">
          <cell r="B533">
            <v>36243</v>
          </cell>
          <cell r="C533">
            <v>65.75</v>
          </cell>
        </row>
        <row r="534">
          <cell r="B534">
            <v>36244</v>
          </cell>
          <cell r="C534">
            <v>66.5</v>
          </cell>
        </row>
        <row r="535">
          <cell r="B535">
            <v>36245</v>
          </cell>
          <cell r="C535">
            <v>64.5625</v>
          </cell>
        </row>
        <row r="536">
          <cell r="B536">
            <v>36246</v>
          </cell>
          <cell r="C536">
            <v>64.5625</v>
          </cell>
        </row>
        <row r="537">
          <cell r="B537">
            <v>36247</v>
          </cell>
          <cell r="C537">
            <v>64.5625</v>
          </cell>
        </row>
        <row r="538">
          <cell r="B538">
            <v>36248</v>
          </cell>
          <cell r="C538">
            <v>69</v>
          </cell>
        </row>
        <row r="539">
          <cell r="B539">
            <v>36249</v>
          </cell>
          <cell r="C539">
            <v>69</v>
          </cell>
        </row>
        <row r="540">
          <cell r="B540">
            <v>36250</v>
          </cell>
          <cell r="C540">
            <v>72.8125</v>
          </cell>
        </row>
        <row r="541">
          <cell r="B541">
            <v>36251</v>
          </cell>
          <cell r="C541">
            <v>72.25</v>
          </cell>
        </row>
        <row r="542">
          <cell r="B542">
            <v>36252</v>
          </cell>
          <cell r="C542">
            <v>72.25</v>
          </cell>
        </row>
        <row r="543">
          <cell r="B543">
            <v>36253</v>
          </cell>
          <cell r="C543">
            <v>72.25</v>
          </cell>
        </row>
        <row r="544">
          <cell r="B544">
            <v>36254</v>
          </cell>
          <cell r="C544">
            <v>72.25</v>
          </cell>
        </row>
        <row r="545">
          <cell r="B545">
            <v>36255</v>
          </cell>
          <cell r="C545">
            <v>77</v>
          </cell>
        </row>
        <row r="546">
          <cell r="B546">
            <v>36256</v>
          </cell>
          <cell r="C546">
            <v>81.1875</v>
          </cell>
        </row>
        <row r="547">
          <cell r="B547">
            <v>36257</v>
          </cell>
          <cell r="C547">
            <v>79</v>
          </cell>
        </row>
        <row r="548">
          <cell r="B548">
            <v>36258</v>
          </cell>
          <cell r="C548">
            <v>81.4375</v>
          </cell>
        </row>
        <row r="549">
          <cell r="B549">
            <v>36259</v>
          </cell>
          <cell r="C549">
            <v>84.75</v>
          </cell>
        </row>
        <row r="550">
          <cell r="B550">
            <v>36260</v>
          </cell>
          <cell r="C550">
            <v>84.75</v>
          </cell>
        </row>
        <row r="551">
          <cell r="B551">
            <v>36261</v>
          </cell>
          <cell r="C551">
            <v>84.75</v>
          </cell>
        </row>
        <row r="552">
          <cell r="B552">
            <v>36262</v>
          </cell>
          <cell r="C552">
            <v>90</v>
          </cell>
        </row>
        <row r="553">
          <cell r="B553">
            <v>36263</v>
          </cell>
          <cell r="C553">
            <v>93.0625</v>
          </cell>
        </row>
        <row r="554">
          <cell r="B554">
            <v>36264</v>
          </cell>
          <cell r="C554">
            <v>82.5</v>
          </cell>
        </row>
        <row r="555">
          <cell r="B555">
            <v>36265</v>
          </cell>
          <cell r="C555">
            <v>84.875</v>
          </cell>
        </row>
        <row r="556">
          <cell r="B556">
            <v>36266</v>
          </cell>
          <cell r="C556">
            <v>81.6875</v>
          </cell>
        </row>
        <row r="557">
          <cell r="B557">
            <v>36267</v>
          </cell>
          <cell r="C557">
            <v>81.6875</v>
          </cell>
        </row>
        <row r="558">
          <cell r="B558">
            <v>36268</v>
          </cell>
          <cell r="C558">
            <v>81.6875</v>
          </cell>
        </row>
        <row r="559">
          <cell r="B559">
            <v>36269</v>
          </cell>
          <cell r="C559">
            <v>76</v>
          </cell>
        </row>
        <row r="560">
          <cell r="B560">
            <v>36270</v>
          </cell>
          <cell r="C560">
            <v>83</v>
          </cell>
        </row>
        <row r="561">
          <cell r="B561">
            <v>36271</v>
          </cell>
          <cell r="C561">
            <v>89.125</v>
          </cell>
        </row>
        <row r="562">
          <cell r="B562">
            <v>36272</v>
          </cell>
          <cell r="C562">
            <v>89.125</v>
          </cell>
        </row>
        <row r="563">
          <cell r="B563">
            <v>36273</v>
          </cell>
          <cell r="C563">
            <v>87.5</v>
          </cell>
        </row>
        <row r="564">
          <cell r="B564">
            <v>36274</v>
          </cell>
          <cell r="C564">
            <v>87.5</v>
          </cell>
        </row>
        <row r="565">
          <cell r="B565">
            <v>36275</v>
          </cell>
          <cell r="C565">
            <v>87.5</v>
          </cell>
        </row>
        <row r="566">
          <cell r="B566">
            <v>36276</v>
          </cell>
          <cell r="C566">
            <v>90.6875</v>
          </cell>
        </row>
        <row r="567">
          <cell r="B567">
            <v>36277</v>
          </cell>
          <cell r="C567">
            <v>85.625</v>
          </cell>
        </row>
        <row r="568">
          <cell r="B568">
            <v>36278</v>
          </cell>
          <cell r="C568">
            <v>83.5</v>
          </cell>
        </row>
        <row r="569">
          <cell r="B569">
            <v>36279</v>
          </cell>
          <cell r="C569">
            <v>85</v>
          </cell>
        </row>
        <row r="570">
          <cell r="B570">
            <v>36280</v>
          </cell>
          <cell r="C570">
            <v>90.0625</v>
          </cell>
        </row>
        <row r="571">
          <cell r="B571">
            <v>36281</v>
          </cell>
          <cell r="C571">
            <v>90.0625</v>
          </cell>
        </row>
        <row r="572">
          <cell r="B572">
            <v>36282</v>
          </cell>
          <cell r="C572">
            <v>90.0625</v>
          </cell>
        </row>
        <row r="573">
          <cell r="B573">
            <v>36283</v>
          </cell>
          <cell r="C573">
            <v>86.5</v>
          </cell>
        </row>
        <row r="574">
          <cell r="B574">
            <v>36284</v>
          </cell>
          <cell r="C574">
            <v>86.125</v>
          </cell>
        </row>
        <row r="575">
          <cell r="B575">
            <v>36285</v>
          </cell>
          <cell r="C575">
            <v>86.3125</v>
          </cell>
        </row>
        <row r="576">
          <cell r="B576">
            <v>36286</v>
          </cell>
          <cell r="C576">
            <v>83.875</v>
          </cell>
        </row>
        <row r="577">
          <cell r="B577">
            <v>36287</v>
          </cell>
          <cell r="C577">
            <v>88.5</v>
          </cell>
        </row>
        <row r="578">
          <cell r="B578">
            <v>36288</v>
          </cell>
          <cell r="C578">
            <v>88.5</v>
          </cell>
        </row>
        <row r="579">
          <cell r="B579">
            <v>36289</v>
          </cell>
          <cell r="C579">
            <v>88.5</v>
          </cell>
        </row>
        <row r="580">
          <cell r="B580">
            <v>36290</v>
          </cell>
          <cell r="C580">
            <v>88.6875</v>
          </cell>
        </row>
        <row r="581">
          <cell r="B581">
            <v>36291</v>
          </cell>
          <cell r="C581">
            <v>88.5</v>
          </cell>
        </row>
        <row r="582">
          <cell r="B582">
            <v>36292</v>
          </cell>
          <cell r="C582">
            <v>93</v>
          </cell>
        </row>
        <row r="583">
          <cell r="B583">
            <v>36293</v>
          </cell>
          <cell r="C583">
            <v>87.125</v>
          </cell>
        </row>
        <row r="584">
          <cell r="B584">
            <v>36294</v>
          </cell>
          <cell r="C584">
            <v>84.5625</v>
          </cell>
        </row>
        <row r="585">
          <cell r="B585">
            <v>36295</v>
          </cell>
          <cell r="C585">
            <v>84.5625</v>
          </cell>
        </row>
        <row r="586">
          <cell r="B586">
            <v>36296</v>
          </cell>
          <cell r="C586">
            <v>84.5625</v>
          </cell>
        </row>
        <row r="587">
          <cell r="B587">
            <v>36297</v>
          </cell>
          <cell r="C587">
            <v>88.5</v>
          </cell>
        </row>
        <row r="588">
          <cell r="B588">
            <v>36298</v>
          </cell>
          <cell r="C588">
            <v>86</v>
          </cell>
        </row>
        <row r="589">
          <cell r="B589">
            <v>36299</v>
          </cell>
          <cell r="C589">
            <v>87.09375</v>
          </cell>
        </row>
        <row r="590">
          <cell r="B590">
            <v>36300</v>
          </cell>
          <cell r="C590">
            <v>84.25</v>
          </cell>
        </row>
        <row r="591">
          <cell r="B591">
            <v>36301</v>
          </cell>
          <cell r="C591">
            <v>82.75</v>
          </cell>
        </row>
        <row r="592">
          <cell r="B592">
            <v>36302</v>
          </cell>
          <cell r="C592">
            <v>82.75</v>
          </cell>
        </row>
        <row r="593">
          <cell r="B593">
            <v>36303</v>
          </cell>
          <cell r="C593">
            <v>82.75</v>
          </cell>
        </row>
        <row r="594">
          <cell r="B594">
            <v>36304</v>
          </cell>
          <cell r="C594">
            <v>79.75</v>
          </cell>
        </row>
        <row r="595">
          <cell r="B595">
            <v>36305</v>
          </cell>
          <cell r="C595">
            <v>72.75</v>
          </cell>
        </row>
        <row r="596">
          <cell r="B596">
            <v>36306</v>
          </cell>
          <cell r="C596">
            <v>75.9375</v>
          </cell>
        </row>
        <row r="597">
          <cell r="B597">
            <v>36307</v>
          </cell>
          <cell r="C597">
            <v>78</v>
          </cell>
        </row>
        <row r="598">
          <cell r="B598">
            <v>36308</v>
          </cell>
          <cell r="C598">
            <v>78.5</v>
          </cell>
        </row>
        <row r="599">
          <cell r="B599">
            <v>36309</v>
          </cell>
          <cell r="C599">
            <v>78.5</v>
          </cell>
        </row>
        <row r="600">
          <cell r="B600">
            <v>36310</v>
          </cell>
          <cell r="C600">
            <v>78.5</v>
          </cell>
        </row>
        <row r="601">
          <cell r="B601">
            <v>36311</v>
          </cell>
          <cell r="C601">
            <v>78.5</v>
          </cell>
        </row>
        <row r="602">
          <cell r="B602">
            <v>36312</v>
          </cell>
          <cell r="C602">
            <v>72.25</v>
          </cell>
        </row>
        <row r="603">
          <cell r="B603">
            <v>36313</v>
          </cell>
          <cell r="C603">
            <v>74.03125</v>
          </cell>
        </row>
        <row r="604">
          <cell r="B604">
            <v>36314</v>
          </cell>
          <cell r="C604">
            <v>69.5</v>
          </cell>
        </row>
        <row r="605">
          <cell r="B605">
            <v>36315</v>
          </cell>
          <cell r="C605">
            <v>69.375</v>
          </cell>
        </row>
        <row r="606">
          <cell r="B606">
            <v>36316</v>
          </cell>
          <cell r="C606">
            <v>69.375</v>
          </cell>
        </row>
        <row r="607">
          <cell r="B607">
            <v>36317</v>
          </cell>
          <cell r="C607">
            <v>69.375</v>
          </cell>
        </row>
        <row r="608">
          <cell r="B608">
            <v>36318</v>
          </cell>
          <cell r="C608">
            <v>75.75</v>
          </cell>
        </row>
        <row r="609">
          <cell r="B609">
            <v>36319</v>
          </cell>
          <cell r="C609">
            <v>72</v>
          </cell>
        </row>
        <row r="610">
          <cell r="B610">
            <v>36320</v>
          </cell>
          <cell r="C610">
            <v>77.53125</v>
          </cell>
        </row>
        <row r="611">
          <cell r="B611">
            <v>36321</v>
          </cell>
          <cell r="C611">
            <v>72.9375</v>
          </cell>
        </row>
        <row r="612">
          <cell r="B612">
            <v>36322</v>
          </cell>
          <cell r="C612">
            <v>71.5</v>
          </cell>
        </row>
        <row r="613">
          <cell r="B613">
            <v>36323</v>
          </cell>
          <cell r="C613">
            <v>71.5</v>
          </cell>
        </row>
        <row r="614">
          <cell r="B614">
            <v>36324</v>
          </cell>
          <cell r="C614">
            <v>71.5</v>
          </cell>
        </row>
        <row r="615">
          <cell r="B615">
            <v>36325</v>
          </cell>
          <cell r="C615">
            <v>68.71875</v>
          </cell>
        </row>
        <row r="616">
          <cell r="B616">
            <v>36326</v>
          </cell>
          <cell r="C616">
            <v>66.125</v>
          </cell>
        </row>
        <row r="617">
          <cell r="B617">
            <v>36327</v>
          </cell>
          <cell r="C617">
            <v>69.09375</v>
          </cell>
        </row>
        <row r="618">
          <cell r="B618">
            <v>36328</v>
          </cell>
          <cell r="C618">
            <v>72.375</v>
          </cell>
        </row>
        <row r="619">
          <cell r="B619">
            <v>36329</v>
          </cell>
          <cell r="C619">
            <v>76.0625</v>
          </cell>
        </row>
        <row r="620">
          <cell r="B620">
            <v>36330</v>
          </cell>
          <cell r="C620">
            <v>76.0625</v>
          </cell>
        </row>
        <row r="621">
          <cell r="B621">
            <v>36331</v>
          </cell>
          <cell r="C621">
            <v>76.0625</v>
          </cell>
        </row>
        <row r="622">
          <cell r="B622">
            <v>36332</v>
          </cell>
          <cell r="C622">
            <v>74.375</v>
          </cell>
        </row>
        <row r="623">
          <cell r="B623">
            <v>36333</v>
          </cell>
          <cell r="C623">
            <v>69.5625</v>
          </cell>
        </row>
        <row r="624">
          <cell r="B624">
            <v>36334</v>
          </cell>
          <cell r="C624">
            <v>70</v>
          </cell>
        </row>
        <row r="625">
          <cell r="B625">
            <v>36335</v>
          </cell>
          <cell r="C625">
            <v>67.625</v>
          </cell>
        </row>
        <row r="626">
          <cell r="B626">
            <v>36336</v>
          </cell>
          <cell r="C626">
            <v>66.6875</v>
          </cell>
        </row>
        <row r="627">
          <cell r="B627">
            <v>36337</v>
          </cell>
          <cell r="C627">
            <v>66.6875</v>
          </cell>
        </row>
        <row r="628">
          <cell r="B628">
            <v>36338</v>
          </cell>
          <cell r="C628">
            <v>66.6875</v>
          </cell>
        </row>
        <row r="629">
          <cell r="B629">
            <v>36339</v>
          </cell>
          <cell r="C629">
            <v>68.5</v>
          </cell>
        </row>
        <row r="630">
          <cell r="B630">
            <v>36340</v>
          </cell>
          <cell r="C630">
            <v>68.875</v>
          </cell>
        </row>
        <row r="631">
          <cell r="B631">
            <v>36341</v>
          </cell>
          <cell r="C631">
            <v>60.0625</v>
          </cell>
        </row>
        <row r="632">
          <cell r="B632">
            <v>36342</v>
          </cell>
          <cell r="C632">
            <v>65.5625</v>
          </cell>
        </row>
        <row r="633">
          <cell r="B633">
            <v>36343</v>
          </cell>
          <cell r="C633">
            <v>66.9375</v>
          </cell>
        </row>
        <row r="634">
          <cell r="B634">
            <v>36344</v>
          </cell>
          <cell r="C634">
            <v>66.9375</v>
          </cell>
        </row>
        <row r="635">
          <cell r="B635">
            <v>36345</v>
          </cell>
          <cell r="C635">
            <v>66.9375</v>
          </cell>
        </row>
        <row r="636">
          <cell r="B636">
            <v>36346</v>
          </cell>
          <cell r="C636">
            <v>66.9375</v>
          </cell>
        </row>
        <row r="637">
          <cell r="B637">
            <v>36347</v>
          </cell>
          <cell r="C637">
            <v>67.875</v>
          </cell>
        </row>
        <row r="638">
          <cell r="B638">
            <v>36348</v>
          </cell>
          <cell r="C638">
            <v>66.0625</v>
          </cell>
        </row>
        <row r="639">
          <cell r="B639">
            <v>36349</v>
          </cell>
          <cell r="C639">
            <v>65.4375</v>
          </cell>
        </row>
        <row r="640">
          <cell r="B640">
            <v>36350</v>
          </cell>
          <cell r="C640">
            <v>67.5</v>
          </cell>
        </row>
        <row r="641">
          <cell r="B641">
            <v>36351</v>
          </cell>
          <cell r="C641">
            <v>67.5</v>
          </cell>
        </row>
        <row r="642">
          <cell r="B642">
            <v>36352</v>
          </cell>
          <cell r="C642">
            <v>67.5</v>
          </cell>
        </row>
        <row r="643">
          <cell r="B643">
            <v>36353</v>
          </cell>
          <cell r="C643">
            <v>67</v>
          </cell>
        </row>
        <row r="644">
          <cell r="B644">
            <v>36354</v>
          </cell>
          <cell r="C644">
            <v>64.5</v>
          </cell>
        </row>
        <row r="645">
          <cell r="B645">
            <v>36355</v>
          </cell>
          <cell r="C645">
            <v>63.6875</v>
          </cell>
        </row>
        <row r="646">
          <cell r="B646">
            <v>36356</v>
          </cell>
          <cell r="C646">
            <v>66.75</v>
          </cell>
        </row>
        <row r="647">
          <cell r="B647">
            <v>36357</v>
          </cell>
          <cell r="C647">
            <v>67</v>
          </cell>
        </row>
        <row r="648">
          <cell r="B648">
            <v>36358</v>
          </cell>
          <cell r="C648">
            <v>67</v>
          </cell>
        </row>
        <row r="649">
          <cell r="B649">
            <v>36359</v>
          </cell>
          <cell r="C649">
            <v>67</v>
          </cell>
        </row>
        <row r="650">
          <cell r="B650">
            <v>36360</v>
          </cell>
          <cell r="C650">
            <v>64.125</v>
          </cell>
        </row>
        <row r="651">
          <cell r="B651">
            <v>36361</v>
          </cell>
          <cell r="C651">
            <v>63.5</v>
          </cell>
        </row>
        <row r="652">
          <cell r="B652">
            <v>36362</v>
          </cell>
          <cell r="C652">
            <v>63</v>
          </cell>
        </row>
        <row r="653">
          <cell r="B653">
            <v>36363</v>
          </cell>
          <cell r="C653">
            <v>60.3125</v>
          </cell>
        </row>
        <row r="654">
          <cell r="B654">
            <v>36364</v>
          </cell>
          <cell r="C654">
            <v>58.0625</v>
          </cell>
        </row>
        <row r="655">
          <cell r="B655">
            <v>36365</v>
          </cell>
          <cell r="C655">
            <v>58.0625</v>
          </cell>
        </row>
        <row r="656">
          <cell r="B656">
            <v>36366</v>
          </cell>
          <cell r="C656">
            <v>58.0625</v>
          </cell>
        </row>
        <row r="657">
          <cell r="B657">
            <v>36367</v>
          </cell>
          <cell r="C657">
            <v>54</v>
          </cell>
        </row>
        <row r="658">
          <cell r="B658">
            <v>36368</v>
          </cell>
          <cell r="C658">
            <v>55.4375</v>
          </cell>
        </row>
        <row r="659">
          <cell r="B659">
            <v>36369</v>
          </cell>
          <cell r="C659">
            <v>57.8125</v>
          </cell>
        </row>
        <row r="660">
          <cell r="B660">
            <v>36370</v>
          </cell>
          <cell r="C660">
            <v>53.75</v>
          </cell>
        </row>
        <row r="661">
          <cell r="B661">
            <v>36371</v>
          </cell>
          <cell r="C661">
            <v>53</v>
          </cell>
        </row>
        <row r="662">
          <cell r="B662">
            <v>36372</v>
          </cell>
          <cell r="C662">
            <v>53</v>
          </cell>
        </row>
        <row r="663">
          <cell r="B663">
            <v>36373</v>
          </cell>
          <cell r="C663">
            <v>53</v>
          </cell>
        </row>
        <row r="664">
          <cell r="B664">
            <v>36374</v>
          </cell>
          <cell r="C664">
            <v>53.1875</v>
          </cell>
        </row>
        <row r="665">
          <cell r="B665">
            <v>36375</v>
          </cell>
          <cell r="C665">
            <v>51.6875</v>
          </cell>
        </row>
        <row r="666">
          <cell r="B666">
            <v>36376</v>
          </cell>
          <cell r="C666">
            <v>52.9375</v>
          </cell>
        </row>
        <row r="667">
          <cell r="B667">
            <v>36377</v>
          </cell>
          <cell r="C667">
            <v>52.75</v>
          </cell>
        </row>
        <row r="668">
          <cell r="B668">
            <v>36378</v>
          </cell>
          <cell r="C668">
            <v>53.625</v>
          </cell>
        </row>
        <row r="669">
          <cell r="B669">
            <v>36379</v>
          </cell>
          <cell r="C669">
            <v>53.625</v>
          </cell>
        </row>
        <row r="670">
          <cell r="B670">
            <v>36380</v>
          </cell>
          <cell r="C670">
            <v>53.625</v>
          </cell>
        </row>
        <row r="671">
          <cell r="B671">
            <v>36381</v>
          </cell>
          <cell r="C671">
            <v>50.75</v>
          </cell>
        </row>
        <row r="672">
          <cell r="B672">
            <v>36382</v>
          </cell>
          <cell r="C672">
            <v>46.875</v>
          </cell>
        </row>
        <row r="673">
          <cell r="B673">
            <v>36383</v>
          </cell>
          <cell r="C673">
            <v>50.0625</v>
          </cell>
        </row>
        <row r="674">
          <cell r="B674">
            <v>36384</v>
          </cell>
          <cell r="C674">
            <v>50</v>
          </cell>
        </row>
        <row r="675">
          <cell r="B675">
            <v>36385</v>
          </cell>
          <cell r="C675">
            <v>54.5</v>
          </cell>
        </row>
        <row r="676">
          <cell r="B676">
            <v>36386</v>
          </cell>
          <cell r="C676">
            <v>54.5</v>
          </cell>
        </row>
        <row r="677">
          <cell r="B677">
            <v>36387</v>
          </cell>
          <cell r="C677">
            <v>54.5</v>
          </cell>
        </row>
        <row r="678">
          <cell r="B678">
            <v>36388</v>
          </cell>
          <cell r="C678">
            <v>59.875</v>
          </cell>
        </row>
        <row r="679">
          <cell r="B679">
            <v>36389</v>
          </cell>
          <cell r="C679">
            <v>63.375</v>
          </cell>
        </row>
        <row r="680">
          <cell r="B680">
            <v>36390</v>
          </cell>
          <cell r="C680">
            <v>62.5</v>
          </cell>
        </row>
        <row r="681">
          <cell r="B681">
            <v>36391</v>
          </cell>
          <cell r="C681">
            <v>60.875</v>
          </cell>
        </row>
        <row r="682">
          <cell r="B682">
            <v>36392</v>
          </cell>
          <cell r="C682">
            <v>61.625</v>
          </cell>
        </row>
        <row r="683">
          <cell r="B683">
            <v>36393</v>
          </cell>
          <cell r="C683">
            <v>61.625</v>
          </cell>
        </row>
        <row r="684">
          <cell r="B684">
            <v>36394</v>
          </cell>
          <cell r="C684">
            <v>61.625</v>
          </cell>
        </row>
        <row r="685">
          <cell r="B685">
            <v>36395</v>
          </cell>
          <cell r="C685">
            <v>64.5</v>
          </cell>
        </row>
        <row r="686">
          <cell r="B686">
            <v>36396</v>
          </cell>
          <cell r="C686">
            <v>63.1875</v>
          </cell>
        </row>
        <row r="687">
          <cell r="B687">
            <v>36397</v>
          </cell>
          <cell r="C687">
            <v>64.0625</v>
          </cell>
        </row>
        <row r="688">
          <cell r="B688">
            <v>36398</v>
          </cell>
          <cell r="C688">
            <v>61.3125</v>
          </cell>
        </row>
        <row r="689">
          <cell r="B689">
            <v>36399</v>
          </cell>
          <cell r="C689">
            <v>60.8125</v>
          </cell>
        </row>
        <row r="690">
          <cell r="B690">
            <v>36400</v>
          </cell>
          <cell r="C690">
            <v>60.8125</v>
          </cell>
        </row>
        <row r="691">
          <cell r="B691">
            <v>36401</v>
          </cell>
          <cell r="C691">
            <v>60.8125</v>
          </cell>
        </row>
        <row r="692">
          <cell r="B692">
            <v>36402</v>
          </cell>
          <cell r="C692">
            <v>58</v>
          </cell>
        </row>
        <row r="693">
          <cell r="B693">
            <v>36403</v>
          </cell>
          <cell r="C693">
            <v>59.75</v>
          </cell>
        </row>
        <row r="694">
          <cell r="B694">
            <v>36404</v>
          </cell>
          <cell r="C694">
            <v>60.09375</v>
          </cell>
        </row>
        <row r="695">
          <cell r="B695">
            <v>36405</v>
          </cell>
          <cell r="C695">
            <v>62.5</v>
          </cell>
        </row>
        <row r="696">
          <cell r="B696">
            <v>36406</v>
          </cell>
          <cell r="C696">
            <v>65.5</v>
          </cell>
        </row>
        <row r="697">
          <cell r="B697">
            <v>36407</v>
          </cell>
          <cell r="C697">
            <v>65.5</v>
          </cell>
        </row>
        <row r="698">
          <cell r="B698">
            <v>36408</v>
          </cell>
          <cell r="C698">
            <v>65.5</v>
          </cell>
        </row>
        <row r="699">
          <cell r="B699">
            <v>36409</v>
          </cell>
          <cell r="C699">
            <v>65.5</v>
          </cell>
        </row>
        <row r="700">
          <cell r="B700">
            <v>36410</v>
          </cell>
          <cell r="C700">
            <v>61.875</v>
          </cell>
        </row>
        <row r="701">
          <cell r="B701">
            <v>36411</v>
          </cell>
          <cell r="C701">
            <v>60.125</v>
          </cell>
        </row>
        <row r="702">
          <cell r="B702">
            <v>36412</v>
          </cell>
          <cell r="C702">
            <v>61.96875</v>
          </cell>
        </row>
        <row r="703">
          <cell r="B703">
            <v>36413</v>
          </cell>
          <cell r="C703">
            <v>60.5</v>
          </cell>
        </row>
        <row r="704">
          <cell r="B704">
            <v>36414</v>
          </cell>
          <cell r="C704">
            <v>60.5</v>
          </cell>
        </row>
        <row r="705">
          <cell r="B705">
            <v>36415</v>
          </cell>
          <cell r="C705">
            <v>60.5</v>
          </cell>
        </row>
        <row r="706">
          <cell r="B706">
            <v>36416</v>
          </cell>
          <cell r="C706">
            <v>57.375</v>
          </cell>
        </row>
        <row r="707">
          <cell r="B707">
            <v>36417</v>
          </cell>
          <cell r="C707">
            <v>53.875</v>
          </cell>
        </row>
        <row r="708">
          <cell r="B708">
            <v>36418</v>
          </cell>
          <cell r="C708">
            <v>54.8125</v>
          </cell>
        </row>
        <row r="709">
          <cell r="B709">
            <v>36419</v>
          </cell>
          <cell r="C709">
            <v>56.0625</v>
          </cell>
        </row>
        <row r="710">
          <cell r="B710">
            <v>36420</v>
          </cell>
          <cell r="C710">
            <v>56.75</v>
          </cell>
        </row>
        <row r="711">
          <cell r="B711">
            <v>36421</v>
          </cell>
          <cell r="C711">
            <v>56.75</v>
          </cell>
        </row>
        <row r="712">
          <cell r="B712">
            <v>36422</v>
          </cell>
          <cell r="C712">
            <v>56.75</v>
          </cell>
        </row>
        <row r="713">
          <cell r="B713">
            <v>36423</v>
          </cell>
          <cell r="C713">
            <v>57.125</v>
          </cell>
        </row>
        <row r="714">
          <cell r="B714">
            <v>36424</v>
          </cell>
          <cell r="C714">
            <v>55.8125</v>
          </cell>
        </row>
        <row r="715">
          <cell r="B715">
            <v>36425</v>
          </cell>
          <cell r="C715">
            <v>58</v>
          </cell>
        </row>
        <row r="716">
          <cell r="B716">
            <v>36426</v>
          </cell>
          <cell r="C716">
            <v>54.4375</v>
          </cell>
        </row>
        <row r="717">
          <cell r="B717">
            <v>36427</v>
          </cell>
          <cell r="C717">
            <v>52.96875</v>
          </cell>
        </row>
        <row r="718">
          <cell r="B718">
            <v>36428</v>
          </cell>
          <cell r="C718">
            <v>52.96875</v>
          </cell>
        </row>
        <row r="719">
          <cell r="B719">
            <v>36429</v>
          </cell>
          <cell r="C719">
            <v>52.96875</v>
          </cell>
        </row>
        <row r="720">
          <cell r="B720">
            <v>36430</v>
          </cell>
          <cell r="C720">
            <v>54.25</v>
          </cell>
        </row>
        <row r="721">
          <cell r="B721">
            <v>36431</v>
          </cell>
          <cell r="C721">
            <v>53.6875</v>
          </cell>
        </row>
        <row r="722">
          <cell r="B722">
            <v>36432</v>
          </cell>
          <cell r="C722">
            <v>52.375</v>
          </cell>
        </row>
        <row r="723">
          <cell r="B723">
            <v>36433</v>
          </cell>
          <cell r="C723">
            <v>52.21875</v>
          </cell>
        </row>
        <row r="724">
          <cell r="B724">
            <v>36434</v>
          </cell>
          <cell r="C724">
            <v>51.1875</v>
          </cell>
        </row>
        <row r="725">
          <cell r="B725">
            <v>36435</v>
          </cell>
          <cell r="C725">
            <v>51.1875</v>
          </cell>
        </row>
        <row r="726">
          <cell r="B726">
            <v>36436</v>
          </cell>
          <cell r="C726">
            <v>51.1875</v>
          </cell>
        </row>
        <row r="727">
          <cell r="B727">
            <v>36437</v>
          </cell>
          <cell r="C727">
            <v>52.25</v>
          </cell>
        </row>
        <row r="728">
          <cell r="B728">
            <v>36438</v>
          </cell>
          <cell r="C728">
            <v>56.6875</v>
          </cell>
        </row>
        <row r="729">
          <cell r="B729">
            <v>36439</v>
          </cell>
          <cell r="C729">
            <v>57.9375</v>
          </cell>
        </row>
        <row r="730">
          <cell r="B730">
            <v>36440</v>
          </cell>
          <cell r="C730">
            <v>62.5</v>
          </cell>
        </row>
        <row r="731">
          <cell r="B731">
            <v>36441</v>
          </cell>
          <cell r="C731">
            <v>62.375</v>
          </cell>
        </row>
        <row r="732">
          <cell r="B732">
            <v>36442</v>
          </cell>
          <cell r="C732">
            <v>62.375</v>
          </cell>
        </row>
        <row r="733">
          <cell r="B733">
            <v>36443</v>
          </cell>
          <cell r="C733">
            <v>62.375</v>
          </cell>
        </row>
        <row r="734">
          <cell r="B734">
            <v>36444</v>
          </cell>
          <cell r="C734">
            <v>63.96875</v>
          </cell>
        </row>
        <row r="735">
          <cell r="B735">
            <v>36445</v>
          </cell>
          <cell r="C735">
            <v>64.75</v>
          </cell>
        </row>
        <row r="736">
          <cell r="B736">
            <v>36446</v>
          </cell>
          <cell r="C736">
            <v>60.875</v>
          </cell>
        </row>
        <row r="737">
          <cell r="B737">
            <v>36447</v>
          </cell>
          <cell r="C737">
            <v>62.625</v>
          </cell>
        </row>
        <row r="738">
          <cell r="B738">
            <v>36448</v>
          </cell>
          <cell r="C738">
            <v>57.46875</v>
          </cell>
        </row>
        <row r="739">
          <cell r="B739">
            <v>36449</v>
          </cell>
          <cell r="C739">
            <v>57.46875</v>
          </cell>
        </row>
        <row r="740">
          <cell r="B740">
            <v>36450</v>
          </cell>
          <cell r="C740">
            <v>57.46875</v>
          </cell>
        </row>
        <row r="741">
          <cell r="B741">
            <v>36451</v>
          </cell>
          <cell r="C741">
            <v>54.5625</v>
          </cell>
        </row>
        <row r="742">
          <cell r="B742">
            <v>36452</v>
          </cell>
          <cell r="C742">
            <v>53.875</v>
          </cell>
        </row>
        <row r="743">
          <cell r="B743">
            <v>36453</v>
          </cell>
          <cell r="C743">
            <v>57.5</v>
          </cell>
        </row>
        <row r="744">
          <cell r="B744">
            <v>36454</v>
          </cell>
          <cell r="C744">
            <v>57.3125</v>
          </cell>
        </row>
        <row r="745">
          <cell r="B745">
            <v>36455</v>
          </cell>
          <cell r="C745">
            <v>62.375</v>
          </cell>
        </row>
        <row r="746">
          <cell r="B746">
            <v>36456</v>
          </cell>
          <cell r="C746">
            <v>62.375</v>
          </cell>
        </row>
        <row r="747">
          <cell r="B747">
            <v>36457</v>
          </cell>
          <cell r="C747">
            <v>62.375</v>
          </cell>
        </row>
        <row r="748">
          <cell r="B748">
            <v>36458</v>
          </cell>
          <cell r="C748">
            <v>64.65625</v>
          </cell>
        </row>
        <row r="749">
          <cell r="B749">
            <v>36459</v>
          </cell>
          <cell r="C749">
            <v>61.5625</v>
          </cell>
        </row>
        <row r="750">
          <cell r="B750">
            <v>36460</v>
          </cell>
          <cell r="C750">
            <v>63.0625</v>
          </cell>
        </row>
        <row r="751">
          <cell r="B751">
            <v>36461</v>
          </cell>
          <cell r="C751">
            <v>68.625</v>
          </cell>
        </row>
        <row r="752">
          <cell r="B752">
            <v>36462</v>
          </cell>
          <cell r="C752">
            <v>68.375</v>
          </cell>
        </row>
        <row r="753">
          <cell r="B753">
            <v>36463</v>
          </cell>
          <cell r="C753">
            <v>68.375</v>
          </cell>
        </row>
        <row r="754">
          <cell r="B754">
            <v>36464</v>
          </cell>
          <cell r="C754">
            <v>68.375</v>
          </cell>
        </row>
        <row r="755">
          <cell r="B755">
            <v>36465</v>
          </cell>
          <cell r="C755">
            <v>68.125</v>
          </cell>
        </row>
        <row r="756">
          <cell r="B756">
            <v>36466</v>
          </cell>
          <cell r="C756">
            <v>69.875</v>
          </cell>
        </row>
        <row r="757">
          <cell r="B757">
            <v>36467</v>
          </cell>
          <cell r="C757">
            <v>71.3125</v>
          </cell>
        </row>
        <row r="758">
          <cell r="B758">
            <v>36468</v>
          </cell>
          <cell r="C758">
            <v>69.0625</v>
          </cell>
        </row>
        <row r="759">
          <cell r="B759">
            <v>36469</v>
          </cell>
          <cell r="C759">
            <v>71.125</v>
          </cell>
        </row>
        <row r="760">
          <cell r="B760">
            <v>36470</v>
          </cell>
          <cell r="C760">
            <v>71.125</v>
          </cell>
        </row>
        <row r="761">
          <cell r="B761">
            <v>36471</v>
          </cell>
          <cell r="C761">
            <v>71.125</v>
          </cell>
        </row>
        <row r="762">
          <cell r="B762">
            <v>36472</v>
          </cell>
          <cell r="C762">
            <v>72.5625</v>
          </cell>
        </row>
        <row r="763">
          <cell r="B763">
            <v>36473</v>
          </cell>
          <cell r="C763">
            <v>73.4375</v>
          </cell>
        </row>
        <row r="764">
          <cell r="B764">
            <v>36474</v>
          </cell>
          <cell r="C764">
            <v>69.625</v>
          </cell>
        </row>
        <row r="765">
          <cell r="B765">
            <v>36475</v>
          </cell>
          <cell r="C765">
            <v>71</v>
          </cell>
        </row>
        <row r="766">
          <cell r="B766">
            <v>36476</v>
          </cell>
          <cell r="C766">
            <v>73.9375</v>
          </cell>
        </row>
        <row r="767">
          <cell r="B767">
            <v>36477</v>
          </cell>
          <cell r="C767">
            <v>73.9375</v>
          </cell>
        </row>
        <row r="768">
          <cell r="B768">
            <v>36478</v>
          </cell>
          <cell r="C768">
            <v>73.9375</v>
          </cell>
        </row>
        <row r="769">
          <cell r="B769">
            <v>36479</v>
          </cell>
          <cell r="C769">
            <v>74.5625</v>
          </cell>
        </row>
        <row r="770">
          <cell r="B770">
            <v>36480</v>
          </cell>
          <cell r="C770">
            <v>77.875</v>
          </cell>
        </row>
        <row r="771">
          <cell r="B771">
            <v>36481</v>
          </cell>
          <cell r="C771">
            <v>75</v>
          </cell>
        </row>
        <row r="772">
          <cell r="B772">
            <v>36482</v>
          </cell>
          <cell r="C772">
            <v>78.25</v>
          </cell>
        </row>
        <row r="773">
          <cell r="B773">
            <v>36483</v>
          </cell>
          <cell r="C773">
            <v>78.0625</v>
          </cell>
        </row>
        <row r="774">
          <cell r="B774">
            <v>36484</v>
          </cell>
          <cell r="C774">
            <v>78.0625</v>
          </cell>
        </row>
        <row r="775">
          <cell r="B775">
            <v>36485</v>
          </cell>
          <cell r="C775">
            <v>78.0625</v>
          </cell>
        </row>
        <row r="776">
          <cell r="B776">
            <v>36486</v>
          </cell>
          <cell r="C776">
            <v>76</v>
          </cell>
        </row>
        <row r="777">
          <cell r="B777">
            <v>36487</v>
          </cell>
          <cell r="C777">
            <v>74.75</v>
          </cell>
        </row>
        <row r="778">
          <cell r="B778">
            <v>36488</v>
          </cell>
          <cell r="C778">
            <v>75.5</v>
          </cell>
        </row>
        <row r="779">
          <cell r="B779">
            <v>36489</v>
          </cell>
          <cell r="C779">
            <v>75.5</v>
          </cell>
        </row>
        <row r="780">
          <cell r="B780">
            <v>36490</v>
          </cell>
          <cell r="C780">
            <v>74.3125</v>
          </cell>
        </row>
        <row r="781">
          <cell r="B781">
            <v>36491</v>
          </cell>
          <cell r="C781">
            <v>74.3125</v>
          </cell>
        </row>
        <row r="782">
          <cell r="B782">
            <v>36492</v>
          </cell>
          <cell r="C782">
            <v>74.3125</v>
          </cell>
        </row>
        <row r="783">
          <cell r="B783">
            <v>36493</v>
          </cell>
          <cell r="C783">
            <v>72.375</v>
          </cell>
        </row>
        <row r="784">
          <cell r="B784">
            <v>36494</v>
          </cell>
          <cell r="C784">
            <v>67.8125</v>
          </cell>
        </row>
        <row r="785">
          <cell r="B785">
            <v>36495</v>
          </cell>
          <cell r="C785">
            <v>68.5</v>
          </cell>
        </row>
        <row r="786">
          <cell r="B786">
            <v>36496</v>
          </cell>
          <cell r="C786">
            <v>68.3125</v>
          </cell>
        </row>
        <row r="787">
          <cell r="B787">
            <v>36497</v>
          </cell>
          <cell r="C787">
            <v>74</v>
          </cell>
        </row>
        <row r="788">
          <cell r="B788">
            <v>36498</v>
          </cell>
          <cell r="C788">
            <v>74</v>
          </cell>
        </row>
        <row r="789">
          <cell r="B789">
            <v>36499</v>
          </cell>
          <cell r="C789">
            <v>74</v>
          </cell>
        </row>
        <row r="790">
          <cell r="B790">
            <v>36500</v>
          </cell>
          <cell r="C790">
            <v>72</v>
          </cell>
        </row>
        <row r="791">
          <cell r="B791">
            <v>36501</v>
          </cell>
          <cell r="C791">
            <v>71.4375</v>
          </cell>
        </row>
        <row r="792">
          <cell r="B792">
            <v>36502</v>
          </cell>
          <cell r="C792">
            <v>68.125</v>
          </cell>
        </row>
        <row r="793">
          <cell r="B793">
            <v>36503</v>
          </cell>
          <cell r="C793">
            <v>67.0625</v>
          </cell>
        </row>
        <row r="794">
          <cell r="B794">
            <v>36504</v>
          </cell>
          <cell r="C794">
            <v>69.625</v>
          </cell>
        </row>
        <row r="795">
          <cell r="B795">
            <v>36505</v>
          </cell>
          <cell r="C795">
            <v>69.625</v>
          </cell>
        </row>
        <row r="796">
          <cell r="B796">
            <v>36506</v>
          </cell>
          <cell r="C796">
            <v>69.625</v>
          </cell>
        </row>
        <row r="797">
          <cell r="B797">
            <v>36507</v>
          </cell>
          <cell r="C797">
            <v>72.25</v>
          </cell>
        </row>
        <row r="798">
          <cell r="B798">
            <v>36508</v>
          </cell>
          <cell r="C798">
            <v>79.9375</v>
          </cell>
        </row>
        <row r="799">
          <cell r="B799">
            <v>36509</v>
          </cell>
          <cell r="C799">
            <v>77.375</v>
          </cell>
        </row>
        <row r="800">
          <cell r="B800">
            <v>36510</v>
          </cell>
          <cell r="C800">
            <v>77.5</v>
          </cell>
        </row>
        <row r="801">
          <cell r="B801">
            <v>36511</v>
          </cell>
          <cell r="C801">
            <v>76.625</v>
          </cell>
        </row>
        <row r="802">
          <cell r="B802">
            <v>36512</v>
          </cell>
          <cell r="C802">
            <v>76.625</v>
          </cell>
        </row>
        <row r="803">
          <cell r="B803">
            <v>36513</v>
          </cell>
          <cell r="C803">
            <v>76.625</v>
          </cell>
        </row>
        <row r="804">
          <cell r="B804">
            <v>36514</v>
          </cell>
          <cell r="C804">
            <v>77.75</v>
          </cell>
        </row>
        <row r="805">
          <cell r="B805">
            <v>36515</v>
          </cell>
          <cell r="C805">
            <v>83.8125</v>
          </cell>
        </row>
        <row r="806">
          <cell r="B806">
            <v>36516</v>
          </cell>
          <cell r="C806">
            <v>83.375</v>
          </cell>
        </row>
        <row r="807">
          <cell r="B807">
            <v>36517</v>
          </cell>
          <cell r="C807">
            <v>84.5625</v>
          </cell>
        </row>
        <row r="808">
          <cell r="B808">
            <v>36518</v>
          </cell>
          <cell r="C808">
            <v>84.5625</v>
          </cell>
        </row>
        <row r="809">
          <cell r="B809">
            <v>36519</v>
          </cell>
          <cell r="C809">
            <v>84.5625</v>
          </cell>
        </row>
        <row r="810">
          <cell r="B810">
            <v>36520</v>
          </cell>
          <cell r="C810">
            <v>84.5625</v>
          </cell>
        </row>
        <row r="811">
          <cell r="B811">
            <v>36521</v>
          </cell>
          <cell r="C811">
            <v>81.3125</v>
          </cell>
        </row>
        <row r="812">
          <cell r="B812">
            <v>36522</v>
          </cell>
          <cell r="C812">
            <v>82.875</v>
          </cell>
        </row>
        <row r="813">
          <cell r="B813">
            <v>36523</v>
          </cell>
          <cell r="C813">
            <v>83.625</v>
          </cell>
        </row>
        <row r="814">
          <cell r="B814">
            <v>36524</v>
          </cell>
          <cell r="C814">
            <v>81.375</v>
          </cell>
        </row>
        <row r="815">
          <cell r="B815">
            <v>36525</v>
          </cell>
          <cell r="C815">
            <v>81.875</v>
          </cell>
        </row>
        <row r="816">
          <cell r="B816">
            <v>36526</v>
          </cell>
          <cell r="C816">
            <v>81.875</v>
          </cell>
        </row>
        <row r="817">
          <cell r="B817">
            <v>36527</v>
          </cell>
          <cell r="C817">
            <v>81.875</v>
          </cell>
        </row>
        <row r="818">
          <cell r="B818">
            <v>36528</v>
          </cell>
          <cell r="C818">
            <v>85.0625</v>
          </cell>
        </row>
        <row r="819">
          <cell r="B819">
            <v>36529</v>
          </cell>
          <cell r="C819">
            <v>79.1875</v>
          </cell>
        </row>
        <row r="820">
          <cell r="B820">
            <v>36530</v>
          </cell>
          <cell r="C820">
            <v>76.9375</v>
          </cell>
        </row>
        <row r="821">
          <cell r="B821">
            <v>36531</v>
          </cell>
          <cell r="C821">
            <v>73.8125</v>
          </cell>
        </row>
        <row r="822">
          <cell r="B822">
            <v>36532</v>
          </cell>
          <cell r="C822">
            <v>75.875</v>
          </cell>
        </row>
        <row r="823">
          <cell r="B823">
            <v>36533</v>
          </cell>
          <cell r="C823">
            <v>75.875</v>
          </cell>
        </row>
        <row r="824">
          <cell r="B824">
            <v>36534</v>
          </cell>
          <cell r="C824">
            <v>75.875</v>
          </cell>
        </row>
        <row r="825">
          <cell r="B825">
            <v>36535</v>
          </cell>
          <cell r="C825">
            <v>79.9375</v>
          </cell>
        </row>
        <row r="826">
          <cell r="B826">
            <v>36536</v>
          </cell>
          <cell r="C826">
            <v>79.625</v>
          </cell>
        </row>
        <row r="827">
          <cell r="B827">
            <v>36537</v>
          </cell>
          <cell r="C827">
            <v>82.375</v>
          </cell>
        </row>
        <row r="828">
          <cell r="B828">
            <v>36538</v>
          </cell>
          <cell r="C828">
            <v>86.9375</v>
          </cell>
        </row>
        <row r="829">
          <cell r="B829">
            <v>36539</v>
          </cell>
          <cell r="C829">
            <v>86.75</v>
          </cell>
        </row>
        <row r="830">
          <cell r="B830">
            <v>36540</v>
          </cell>
          <cell r="C830">
            <v>86.75</v>
          </cell>
        </row>
        <row r="831">
          <cell r="B831">
            <v>36541</v>
          </cell>
          <cell r="C831">
            <v>86.75</v>
          </cell>
        </row>
        <row r="832">
          <cell r="B832">
            <v>36542</v>
          </cell>
          <cell r="C832">
            <v>86.75</v>
          </cell>
        </row>
        <row r="833">
          <cell r="B833">
            <v>36543</v>
          </cell>
          <cell r="C833">
            <v>92.0625</v>
          </cell>
        </row>
        <row r="834">
          <cell r="B834">
            <v>36544</v>
          </cell>
          <cell r="C834">
            <v>94.875</v>
          </cell>
        </row>
        <row r="835">
          <cell r="B835">
            <v>36545</v>
          </cell>
          <cell r="C835">
            <v>98.125</v>
          </cell>
        </row>
        <row r="836">
          <cell r="B836">
            <v>36546</v>
          </cell>
          <cell r="C836">
            <v>110.5</v>
          </cell>
        </row>
        <row r="837">
          <cell r="B837">
            <v>36547</v>
          </cell>
          <cell r="C837">
            <v>110.5</v>
          </cell>
        </row>
        <row r="838">
          <cell r="B838">
            <v>36548</v>
          </cell>
          <cell r="C838">
            <v>110.5</v>
          </cell>
        </row>
        <row r="839">
          <cell r="B839">
            <v>36549</v>
          </cell>
          <cell r="C839">
            <v>112.875</v>
          </cell>
        </row>
        <row r="840">
          <cell r="B840">
            <v>36550</v>
          </cell>
          <cell r="C840">
            <v>108.875</v>
          </cell>
        </row>
        <row r="841">
          <cell r="B841">
            <v>36551</v>
          </cell>
          <cell r="C841">
            <v>108.375</v>
          </cell>
        </row>
        <row r="842">
          <cell r="B842">
            <v>36552</v>
          </cell>
          <cell r="C842">
            <v>109.875</v>
          </cell>
        </row>
        <row r="843">
          <cell r="B843">
            <v>36553</v>
          </cell>
          <cell r="C843">
            <v>104.9375</v>
          </cell>
        </row>
        <row r="844">
          <cell r="B844">
            <v>36554</v>
          </cell>
          <cell r="C844">
            <v>104.9375</v>
          </cell>
        </row>
        <row r="845">
          <cell r="B845">
            <v>36555</v>
          </cell>
          <cell r="C845">
            <v>104.9375</v>
          </cell>
        </row>
        <row r="846">
          <cell r="B846">
            <v>36556</v>
          </cell>
          <cell r="C846">
            <v>117.9375</v>
          </cell>
        </row>
        <row r="847">
          <cell r="B847">
            <v>36557</v>
          </cell>
          <cell r="C847">
            <v>119.5625</v>
          </cell>
        </row>
        <row r="848">
          <cell r="B848">
            <v>36558</v>
          </cell>
          <cell r="C848">
            <v>111.125</v>
          </cell>
        </row>
        <row r="849">
          <cell r="B849">
            <v>36559</v>
          </cell>
          <cell r="C849">
            <v>108.375</v>
          </cell>
        </row>
        <row r="850">
          <cell r="B850">
            <v>36560</v>
          </cell>
          <cell r="C850">
            <v>116.1875</v>
          </cell>
        </row>
        <row r="851">
          <cell r="B851">
            <v>36561</v>
          </cell>
          <cell r="C851">
            <v>116.1875</v>
          </cell>
        </row>
        <row r="852">
          <cell r="B852">
            <v>36562</v>
          </cell>
          <cell r="C852">
            <v>116.1875</v>
          </cell>
        </row>
        <row r="853">
          <cell r="B853">
            <v>36563</v>
          </cell>
          <cell r="C853">
            <v>121.5</v>
          </cell>
        </row>
        <row r="854">
          <cell r="B854">
            <v>36564</v>
          </cell>
          <cell r="C854">
            <v>123.5</v>
          </cell>
        </row>
        <row r="855">
          <cell r="B855">
            <v>36565</v>
          </cell>
          <cell r="C855">
            <v>119.25</v>
          </cell>
        </row>
        <row r="856">
          <cell r="B856">
            <v>36566</v>
          </cell>
          <cell r="C856">
            <v>118.5</v>
          </cell>
        </row>
        <row r="857">
          <cell r="B857">
            <v>36567</v>
          </cell>
          <cell r="C857">
            <v>116.125</v>
          </cell>
        </row>
        <row r="858">
          <cell r="B858">
            <v>36568</v>
          </cell>
          <cell r="C858">
            <v>116.125</v>
          </cell>
        </row>
        <row r="859">
          <cell r="B859">
            <v>36569</v>
          </cell>
          <cell r="C859">
            <v>116.125</v>
          </cell>
        </row>
        <row r="860">
          <cell r="B860">
            <v>36570</v>
          </cell>
          <cell r="C860">
            <v>117.1875</v>
          </cell>
        </row>
        <row r="861">
          <cell r="B861">
            <v>36571</v>
          </cell>
          <cell r="C861">
            <v>115.8125</v>
          </cell>
        </row>
        <row r="862">
          <cell r="B862">
            <v>36572</v>
          </cell>
          <cell r="C862">
            <v>111.125</v>
          </cell>
        </row>
        <row r="863">
          <cell r="B863">
            <v>36573</v>
          </cell>
          <cell r="C863">
            <v>110.0625</v>
          </cell>
        </row>
        <row r="864">
          <cell r="B864">
            <v>36574</v>
          </cell>
          <cell r="C864">
            <v>106.8125</v>
          </cell>
        </row>
        <row r="865">
          <cell r="B865">
            <v>36575</v>
          </cell>
          <cell r="C865">
            <v>106.8125</v>
          </cell>
        </row>
        <row r="866">
          <cell r="B866">
            <v>36576</v>
          </cell>
          <cell r="C866">
            <v>106.8125</v>
          </cell>
        </row>
        <row r="867">
          <cell r="B867">
            <v>36577</v>
          </cell>
          <cell r="C867">
            <v>106.8125</v>
          </cell>
        </row>
        <row r="868">
          <cell r="B868">
            <v>36578</v>
          </cell>
          <cell r="C868">
            <v>103.5</v>
          </cell>
        </row>
        <row r="869">
          <cell r="B869">
            <v>36579</v>
          </cell>
          <cell r="C869">
            <v>108.9375</v>
          </cell>
        </row>
        <row r="870">
          <cell r="B870">
            <v>36580</v>
          </cell>
          <cell r="C870">
            <v>118.25</v>
          </cell>
        </row>
        <row r="871">
          <cell r="B871">
            <v>36581</v>
          </cell>
          <cell r="C871">
            <v>111.125</v>
          </cell>
        </row>
        <row r="872">
          <cell r="B872">
            <v>36582</v>
          </cell>
          <cell r="C872">
            <v>111.125</v>
          </cell>
        </row>
        <row r="873">
          <cell r="B873">
            <v>36583</v>
          </cell>
          <cell r="C873">
            <v>111.125</v>
          </cell>
        </row>
        <row r="874">
          <cell r="B874">
            <v>36584</v>
          </cell>
          <cell r="C874">
            <v>109.125</v>
          </cell>
        </row>
        <row r="875">
          <cell r="B875">
            <v>36585</v>
          </cell>
          <cell r="C875">
            <v>113.875</v>
          </cell>
        </row>
        <row r="876">
          <cell r="B876">
            <v>36586</v>
          </cell>
          <cell r="C876">
            <v>116.39063000000002</v>
          </cell>
        </row>
        <row r="877">
          <cell r="B877">
            <v>36587</v>
          </cell>
          <cell r="C877">
            <v>115.875</v>
          </cell>
        </row>
        <row r="878">
          <cell r="B878">
            <v>36588</v>
          </cell>
          <cell r="C878">
            <v>118.625</v>
          </cell>
        </row>
        <row r="879">
          <cell r="B879">
            <v>36589</v>
          </cell>
          <cell r="C879">
            <v>118.625</v>
          </cell>
        </row>
        <row r="880">
          <cell r="B880">
            <v>36590</v>
          </cell>
          <cell r="C880">
            <v>118.625</v>
          </cell>
        </row>
        <row r="881">
          <cell r="B881">
            <v>36591</v>
          </cell>
          <cell r="C881">
            <v>119.89063000000002</v>
          </cell>
        </row>
        <row r="882">
          <cell r="B882">
            <v>36592</v>
          </cell>
          <cell r="C882">
            <v>124.9375</v>
          </cell>
        </row>
        <row r="883">
          <cell r="B883">
            <v>36593</v>
          </cell>
          <cell r="C883">
            <v>125.375</v>
          </cell>
        </row>
        <row r="884">
          <cell r="B884">
            <v>36594</v>
          </cell>
          <cell r="C884">
            <v>128.375</v>
          </cell>
        </row>
        <row r="885">
          <cell r="B885">
            <v>36595</v>
          </cell>
          <cell r="C885">
            <v>130.1875</v>
          </cell>
        </row>
        <row r="886">
          <cell r="B886">
            <v>36596</v>
          </cell>
          <cell r="C886">
            <v>130.1875</v>
          </cell>
        </row>
        <row r="887">
          <cell r="B887">
            <v>36597</v>
          </cell>
          <cell r="C887">
            <v>130.1875</v>
          </cell>
        </row>
        <row r="888">
          <cell r="B888">
            <v>36598</v>
          </cell>
          <cell r="C888">
            <v>122.4375</v>
          </cell>
        </row>
        <row r="889">
          <cell r="B889">
            <v>36599</v>
          </cell>
          <cell r="C889">
            <v>114.625</v>
          </cell>
        </row>
        <row r="890">
          <cell r="B890">
            <v>36600</v>
          </cell>
          <cell r="C890">
            <v>109.125</v>
          </cell>
        </row>
        <row r="891">
          <cell r="B891">
            <v>36601</v>
          </cell>
          <cell r="C891">
            <v>112.25</v>
          </cell>
        </row>
        <row r="892">
          <cell r="B892">
            <v>36602</v>
          </cell>
          <cell r="C892">
            <v>110.75</v>
          </cell>
        </row>
        <row r="893">
          <cell r="B893">
            <v>36603</v>
          </cell>
          <cell r="C893">
            <v>110.75</v>
          </cell>
        </row>
        <row r="894">
          <cell r="B894">
            <v>36604</v>
          </cell>
          <cell r="C894">
            <v>110.75</v>
          </cell>
        </row>
        <row r="895">
          <cell r="B895">
            <v>36605</v>
          </cell>
          <cell r="C895">
            <v>102</v>
          </cell>
        </row>
        <row r="896">
          <cell r="B896">
            <v>36606</v>
          </cell>
          <cell r="C896">
            <v>105</v>
          </cell>
        </row>
        <row r="897">
          <cell r="B897">
            <v>36607</v>
          </cell>
          <cell r="C897">
            <v>106.625</v>
          </cell>
        </row>
        <row r="898">
          <cell r="B898">
            <v>36608</v>
          </cell>
          <cell r="C898">
            <v>110.875</v>
          </cell>
        </row>
        <row r="899">
          <cell r="B899">
            <v>36609</v>
          </cell>
          <cell r="C899">
            <v>114.875</v>
          </cell>
        </row>
        <row r="900">
          <cell r="B900">
            <v>36610</v>
          </cell>
          <cell r="C900">
            <v>114.875</v>
          </cell>
        </row>
        <row r="901">
          <cell r="B901">
            <v>36611</v>
          </cell>
          <cell r="C901">
            <v>114.875</v>
          </cell>
        </row>
        <row r="902">
          <cell r="B902">
            <v>36612</v>
          </cell>
          <cell r="C902">
            <v>113.625</v>
          </cell>
        </row>
        <row r="903">
          <cell r="B903">
            <v>36613</v>
          </cell>
          <cell r="C903">
            <v>105.9375</v>
          </cell>
        </row>
        <row r="904">
          <cell r="B904">
            <v>36614</v>
          </cell>
          <cell r="C904">
            <v>111.4375</v>
          </cell>
        </row>
        <row r="905">
          <cell r="B905">
            <v>36615</v>
          </cell>
          <cell r="C905">
            <v>102.125</v>
          </cell>
        </row>
        <row r="906">
          <cell r="B906">
            <v>36616</v>
          </cell>
          <cell r="C906">
            <v>105.75</v>
          </cell>
        </row>
        <row r="907">
          <cell r="B907">
            <v>36617</v>
          </cell>
          <cell r="C907">
            <v>105.75</v>
          </cell>
        </row>
        <row r="908">
          <cell r="B908">
            <v>36618</v>
          </cell>
          <cell r="C908">
            <v>105.75</v>
          </cell>
        </row>
        <row r="909">
          <cell r="B909">
            <v>36619</v>
          </cell>
          <cell r="C909">
            <v>98.5</v>
          </cell>
        </row>
        <row r="910">
          <cell r="B910">
            <v>36620</v>
          </cell>
          <cell r="C910">
            <v>94.8125</v>
          </cell>
        </row>
        <row r="911">
          <cell r="B911">
            <v>36621</v>
          </cell>
          <cell r="C911">
            <v>95</v>
          </cell>
        </row>
        <row r="912">
          <cell r="B912">
            <v>36622</v>
          </cell>
          <cell r="C912">
            <v>88.1875</v>
          </cell>
        </row>
        <row r="913">
          <cell r="B913">
            <v>36623</v>
          </cell>
          <cell r="C913">
            <v>90.125</v>
          </cell>
        </row>
        <row r="914">
          <cell r="B914">
            <v>36624</v>
          </cell>
          <cell r="C914">
            <v>90.125</v>
          </cell>
        </row>
        <row r="915">
          <cell r="B915">
            <v>36625</v>
          </cell>
          <cell r="C915">
            <v>90.125</v>
          </cell>
        </row>
        <row r="916">
          <cell r="B916">
            <v>36626</v>
          </cell>
          <cell r="C916">
            <v>86.375</v>
          </cell>
        </row>
        <row r="917">
          <cell r="B917">
            <v>36627</v>
          </cell>
          <cell r="C917">
            <v>81.875</v>
          </cell>
        </row>
        <row r="918">
          <cell r="B918">
            <v>36628</v>
          </cell>
          <cell r="C918">
            <v>69.3125</v>
          </cell>
        </row>
        <row r="919">
          <cell r="B919">
            <v>36629</v>
          </cell>
          <cell r="C919">
            <v>75.640630000000002</v>
          </cell>
        </row>
        <row r="920">
          <cell r="B920">
            <v>36630</v>
          </cell>
          <cell r="C920">
            <v>73.375</v>
          </cell>
        </row>
        <row r="921">
          <cell r="B921">
            <v>36631</v>
          </cell>
          <cell r="C921">
            <v>73.375</v>
          </cell>
        </row>
        <row r="922">
          <cell r="B922">
            <v>36632</v>
          </cell>
          <cell r="C922">
            <v>73.375</v>
          </cell>
        </row>
        <row r="923">
          <cell r="B923">
            <v>36633</v>
          </cell>
          <cell r="C923">
            <v>79.953130000000002</v>
          </cell>
        </row>
        <row r="924">
          <cell r="B924">
            <v>36634</v>
          </cell>
          <cell r="C924">
            <v>82.5</v>
          </cell>
        </row>
        <row r="925">
          <cell r="B925">
            <v>36635</v>
          </cell>
          <cell r="C925">
            <v>85.4375</v>
          </cell>
        </row>
        <row r="926">
          <cell r="B926">
            <v>36636</v>
          </cell>
          <cell r="C926">
            <v>83.375</v>
          </cell>
        </row>
        <row r="927">
          <cell r="B927">
            <v>36637</v>
          </cell>
          <cell r="C927">
            <v>83.375</v>
          </cell>
        </row>
        <row r="928">
          <cell r="B928">
            <v>36638</v>
          </cell>
          <cell r="C928">
            <v>83.375</v>
          </cell>
        </row>
        <row r="929">
          <cell r="B929">
            <v>36639</v>
          </cell>
          <cell r="C929">
            <v>83.375</v>
          </cell>
        </row>
        <row r="930">
          <cell r="B930">
            <v>36640</v>
          </cell>
          <cell r="C930">
            <v>78</v>
          </cell>
        </row>
        <row r="931">
          <cell r="B931">
            <v>36641</v>
          </cell>
          <cell r="C931">
            <v>84.5</v>
          </cell>
        </row>
        <row r="932">
          <cell r="B932">
            <v>36642</v>
          </cell>
          <cell r="C932">
            <v>83</v>
          </cell>
        </row>
        <row r="933">
          <cell r="B933">
            <v>36643</v>
          </cell>
          <cell r="C933">
            <v>84.1875</v>
          </cell>
        </row>
        <row r="934">
          <cell r="B934">
            <v>36644</v>
          </cell>
          <cell r="C934">
            <v>89</v>
          </cell>
        </row>
        <row r="935">
          <cell r="B935">
            <v>36645</v>
          </cell>
          <cell r="C935">
            <v>89</v>
          </cell>
        </row>
        <row r="936">
          <cell r="B936">
            <v>36646</v>
          </cell>
          <cell r="C936">
            <v>89</v>
          </cell>
        </row>
        <row r="937">
          <cell r="B937">
            <v>36647</v>
          </cell>
          <cell r="C937">
            <v>91.25</v>
          </cell>
        </row>
        <row r="938">
          <cell r="B938">
            <v>36648</v>
          </cell>
          <cell r="C938">
            <v>88.25</v>
          </cell>
        </row>
        <row r="939">
          <cell r="B939">
            <v>36649</v>
          </cell>
          <cell r="C939">
            <v>81.625</v>
          </cell>
        </row>
        <row r="940">
          <cell r="B940">
            <v>36650</v>
          </cell>
          <cell r="C940">
            <v>82.125</v>
          </cell>
        </row>
        <row r="941">
          <cell r="B941">
            <v>36651</v>
          </cell>
          <cell r="C941">
            <v>87.5</v>
          </cell>
        </row>
        <row r="942">
          <cell r="B942">
            <v>36652</v>
          </cell>
          <cell r="C942">
            <v>87.5</v>
          </cell>
        </row>
        <row r="943">
          <cell r="B943">
            <v>36653</v>
          </cell>
          <cell r="C943">
            <v>87.5</v>
          </cell>
        </row>
        <row r="944">
          <cell r="B944">
            <v>36654</v>
          </cell>
          <cell r="C944">
            <v>84.5</v>
          </cell>
        </row>
        <row r="945">
          <cell r="B945">
            <v>36655</v>
          </cell>
          <cell r="C945">
            <v>85</v>
          </cell>
        </row>
        <row r="946">
          <cell r="B946">
            <v>36656</v>
          </cell>
          <cell r="C946">
            <v>77.25</v>
          </cell>
        </row>
        <row r="947">
          <cell r="B947">
            <v>36657</v>
          </cell>
          <cell r="C947">
            <v>76.75</v>
          </cell>
        </row>
        <row r="948">
          <cell r="B948">
            <v>36658</v>
          </cell>
          <cell r="C948">
            <v>76</v>
          </cell>
        </row>
        <row r="949">
          <cell r="B949">
            <v>36659</v>
          </cell>
          <cell r="C949">
            <v>76</v>
          </cell>
        </row>
        <row r="950">
          <cell r="B950">
            <v>36660</v>
          </cell>
          <cell r="C950">
            <v>76</v>
          </cell>
        </row>
        <row r="951">
          <cell r="B951">
            <v>36661</v>
          </cell>
          <cell r="C951">
            <v>76.75</v>
          </cell>
        </row>
        <row r="952">
          <cell r="B952">
            <v>36662</v>
          </cell>
          <cell r="C952">
            <v>82.375</v>
          </cell>
        </row>
        <row r="953">
          <cell r="B953">
            <v>36663</v>
          </cell>
          <cell r="C953">
            <v>80.625</v>
          </cell>
        </row>
        <row r="954">
          <cell r="B954">
            <v>36664</v>
          </cell>
          <cell r="C954">
            <v>76.4375</v>
          </cell>
        </row>
        <row r="955">
          <cell r="B955">
            <v>36665</v>
          </cell>
          <cell r="C955">
            <v>69.8125</v>
          </cell>
        </row>
        <row r="956">
          <cell r="B956">
            <v>36666</v>
          </cell>
          <cell r="C956">
            <v>69.8125</v>
          </cell>
        </row>
        <row r="957">
          <cell r="B957">
            <v>36667</v>
          </cell>
          <cell r="C957">
            <v>69.8125</v>
          </cell>
        </row>
        <row r="958">
          <cell r="B958">
            <v>36668</v>
          </cell>
          <cell r="C958">
            <v>72.5625</v>
          </cell>
        </row>
        <row r="959">
          <cell r="B959">
            <v>36669</v>
          </cell>
          <cell r="C959">
            <v>66.5</v>
          </cell>
        </row>
        <row r="960">
          <cell r="B960">
            <v>36670</v>
          </cell>
          <cell r="C960">
            <v>70.0625</v>
          </cell>
        </row>
        <row r="961">
          <cell r="B961">
            <v>36671</v>
          </cell>
          <cell r="C961">
            <v>72.625</v>
          </cell>
        </row>
        <row r="962">
          <cell r="B962">
            <v>36672</v>
          </cell>
          <cell r="C962">
            <v>68.375</v>
          </cell>
        </row>
        <row r="963">
          <cell r="B963">
            <v>36673</v>
          </cell>
          <cell r="C963">
            <v>68.375</v>
          </cell>
        </row>
        <row r="964">
          <cell r="B964">
            <v>36674</v>
          </cell>
          <cell r="C964">
            <v>68.375</v>
          </cell>
        </row>
        <row r="965">
          <cell r="B965">
            <v>36675</v>
          </cell>
          <cell r="C965">
            <v>68.375</v>
          </cell>
        </row>
        <row r="966">
          <cell r="B966">
            <v>36676</v>
          </cell>
          <cell r="C966">
            <v>77.8125</v>
          </cell>
        </row>
        <row r="967">
          <cell r="B967">
            <v>36677</v>
          </cell>
          <cell r="C967">
            <v>76.3125</v>
          </cell>
        </row>
        <row r="968">
          <cell r="B968">
            <v>36678</v>
          </cell>
          <cell r="C968">
            <v>79.5</v>
          </cell>
        </row>
        <row r="969">
          <cell r="B969">
            <v>36679</v>
          </cell>
          <cell r="C969">
            <v>84.1875</v>
          </cell>
        </row>
        <row r="970">
          <cell r="B970">
            <v>36680</v>
          </cell>
          <cell r="C970">
            <v>84.1875</v>
          </cell>
        </row>
        <row r="971">
          <cell r="B971">
            <v>36681</v>
          </cell>
          <cell r="C971">
            <v>84.1875</v>
          </cell>
        </row>
        <row r="972">
          <cell r="B972">
            <v>36682</v>
          </cell>
          <cell r="C972">
            <v>86.25</v>
          </cell>
        </row>
        <row r="973">
          <cell r="B973">
            <v>36683</v>
          </cell>
          <cell r="C973">
            <v>82.25</v>
          </cell>
        </row>
        <row r="974">
          <cell r="B974">
            <v>36684</v>
          </cell>
          <cell r="C974">
            <v>84.5625</v>
          </cell>
        </row>
        <row r="975">
          <cell r="B975">
            <v>36685</v>
          </cell>
          <cell r="C975">
            <v>80.9375</v>
          </cell>
        </row>
        <row r="976">
          <cell r="B976">
            <v>36686</v>
          </cell>
          <cell r="C976">
            <v>84.5</v>
          </cell>
        </row>
        <row r="977">
          <cell r="B977">
            <v>36687</v>
          </cell>
          <cell r="C977">
            <v>84.5</v>
          </cell>
        </row>
        <row r="978">
          <cell r="B978">
            <v>36688</v>
          </cell>
          <cell r="C978">
            <v>84.5</v>
          </cell>
        </row>
        <row r="979">
          <cell r="B979">
            <v>36689</v>
          </cell>
          <cell r="C979">
            <v>80.0625</v>
          </cell>
        </row>
        <row r="980">
          <cell r="B980">
            <v>36690</v>
          </cell>
          <cell r="C980">
            <v>84.25</v>
          </cell>
        </row>
        <row r="981">
          <cell r="B981">
            <v>36691</v>
          </cell>
          <cell r="C981">
            <v>80.875</v>
          </cell>
        </row>
        <row r="982">
          <cell r="B982">
            <v>36692</v>
          </cell>
          <cell r="C982">
            <v>84.5625</v>
          </cell>
        </row>
        <row r="983">
          <cell r="B983">
            <v>36693</v>
          </cell>
          <cell r="C983">
            <v>87.5625</v>
          </cell>
        </row>
        <row r="984">
          <cell r="B984">
            <v>36694</v>
          </cell>
          <cell r="C984">
            <v>87.5625</v>
          </cell>
        </row>
        <row r="985">
          <cell r="B985">
            <v>36695</v>
          </cell>
          <cell r="C985">
            <v>87.5625</v>
          </cell>
        </row>
        <row r="986">
          <cell r="B986">
            <v>36696</v>
          </cell>
          <cell r="C986">
            <v>87.625</v>
          </cell>
        </row>
        <row r="987">
          <cell r="B987">
            <v>36697</v>
          </cell>
          <cell r="C987">
            <v>86.75</v>
          </cell>
        </row>
        <row r="988">
          <cell r="B988">
            <v>36698</v>
          </cell>
          <cell r="C988">
            <v>92.625</v>
          </cell>
        </row>
        <row r="989">
          <cell r="B989">
            <v>36699</v>
          </cell>
          <cell r="C989">
            <v>85.8125</v>
          </cell>
        </row>
        <row r="990">
          <cell r="B990">
            <v>36700</v>
          </cell>
          <cell r="C990">
            <v>88.6875</v>
          </cell>
        </row>
        <row r="991">
          <cell r="B991">
            <v>36701</v>
          </cell>
          <cell r="C991">
            <v>88.6875</v>
          </cell>
        </row>
        <row r="992">
          <cell r="B992">
            <v>36702</v>
          </cell>
          <cell r="C992">
            <v>88.6875</v>
          </cell>
        </row>
        <row r="993">
          <cell r="B993">
            <v>36703</v>
          </cell>
          <cell r="C993">
            <v>93.5625</v>
          </cell>
        </row>
        <row r="994">
          <cell r="B994">
            <v>36704</v>
          </cell>
          <cell r="C994">
            <v>89.375</v>
          </cell>
        </row>
        <row r="995">
          <cell r="B995">
            <v>36705</v>
          </cell>
          <cell r="C995">
            <v>91</v>
          </cell>
        </row>
        <row r="996">
          <cell r="B996">
            <v>36706</v>
          </cell>
          <cell r="C996">
            <v>86.8125</v>
          </cell>
        </row>
        <row r="997">
          <cell r="B997">
            <v>36707</v>
          </cell>
          <cell r="C997">
            <v>88</v>
          </cell>
        </row>
        <row r="998">
          <cell r="B998">
            <v>36708</v>
          </cell>
          <cell r="C998">
            <v>88</v>
          </cell>
        </row>
        <row r="999">
          <cell r="B999">
            <v>36709</v>
          </cell>
          <cell r="C999">
            <v>88</v>
          </cell>
        </row>
        <row r="1000">
          <cell r="B1000">
            <v>36710</v>
          </cell>
          <cell r="C1000">
            <v>89.125</v>
          </cell>
        </row>
        <row r="1001">
          <cell r="B1001">
            <v>36711</v>
          </cell>
          <cell r="C1001">
            <v>89.125</v>
          </cell>
        </row>
        <row r="1002">
          <cell r="B1002">
            <v>36712</v>
          </cell>
          <cell r="C1002">
            <v>87.625</v>
          </cell>
        </row>
        <row r="1003">
          <cell r="B1003">
            <v>36713</v>
          </cell>
          <cell r="C1003">
            <v>92.4375</v>
          </cell>
        </row>
        <row r="1004">
          <cell r="B1004">
            <v>36714</v>
          </cell>
          <cell r="C1004">
            <v>91.3125</v>
          </cell>
        </row>
        <row r="1005">
          <cell r="B1005">
            <v>36715</v>
          </cell>
          <cell r="C1005">
            <v>91.3125</v>
          </cell>
        </row>
        <row r="1006">
          <cell r="B1006">
            <v>36716</v>
          </cell>
          <cell r="C1006">
            <v>91.3125</v>
          </cell>
        </row>
        <row r="1007">
          <cell r="B1007">
            <v>36717</v>
          </cell>
          <cell r="C1007">
            <v>87.8125</v>
          </cell>
        </row>
        <row r="1008">
          <cell r="B1008">
            <v>36718</v>
          </cell>
          <cell r="C1008">
            <v>87.625</v>
          </cell>
        </row>
        <row r="1009">
          <cell r="B1009">
            <v>36719</v>
          </cell>
          <cell r="C1009">
            <v>90.25</v>
          </cell>
        </row>
        <row r="1010">
          <cell r="B1010">
            <v>36720</v>
          </cell>
          <cell r="C1010">
            <v>91</v>
          </cell>
        </row>
        <row r="1011">
          <cell r="B1011">
            <v>36721</v>
          </cell>
          <cell r="C1011">
            <v>88.4375</v>
          </cell>
        </row>
        <row r="1012">
          <cell r="B1012">
            <v>36722</v>
          </cell>
          <cell r="C1012">
            <v>88.4375</v>
          </cell>
        </row>
        <row r="1013">
          <cell r="B1013">
            <v>36723</v>
          </cell>
          <cell r="C1013">
            <v>88.4375</v>
          </cell>
        </row>
        <row r="1014">
          <cell r="B1014">
            <v>36724</v>
          </cell>
          <cell r="C1014">
            <v>84.25</v>
          </cell>
        </row>
        <row r="1015">
          <cell r="B1015">
            <v>36725</v>
          </cell>
          <cell r="C1015">
            <v>79.625</v>
          </cell>
        </row>
        <row r="1016">
          <cell r="B1016">
            <v>36726</v>
          </cell>
          <cell r="C1016">
            <v>80.75</v>
          </cell>
        </row>
        <row r="1017">
          <cell r="B1017">
            <v>36727</v>
          </cell>
          <cell r="C1017">
            <v>83</v>
          </cell>
        </row>
        <row r="1018">
          <cell r="B1018">
            <v>36728</v>
          </cell>
          <cell r="C1018">
            <v>79.5625</v>
          </cell>
        </row>
        <row r="1019">
          <cell r="B1019">
            <v>36729</v>
          </cell>
          <cell r="C1019">
            <v>79.5625</v>
          </cell>
        </row>
        <row r="1020">
          <cell r="B1020">
            <v>36730</v>
          </cell>
          <cell r="C1020">
            <v>79.5625</v>
          </cell>
        </row>
        <row r="1021">
          <cell r="B1021">
            <v>36731</v>
          </cell>
          <cell r="C1021">
            <v>73.25</v>
          </cell>
        </row>
        <row r="1022">
          <cell r="B1022">
            <v>36732</v>
          </cell>
          <cell r="C1022">
            <v>76.125</v>
          </cell>
        </row>
        <row r="1023">
          <cell r="B1023">
            <v>36733</v>
          </cell>
          <cell r="C1023">
            <v>76.4375</v>
          </cell>
        </row>
        <row r="1024">
          <cell r="B1024">
            <v>36734</v>
          </cell>
          <cell r="C1024">
            <v>69.75</v>
          </cell>
        </row>
        <row r="1025">
          <cell r="B1025">
            <v>36735</v>
          </cell>
          <cell r="C1025">
            <v>66.875</v>
          </cell>
        </row>
        <row r="1026">
          <cell r="B1026">
            <v>36736</v>
          </cell>
          <cell r="C1026">
            <v>66.875</v>
          </cell>
        </row>
        <row r="1027">
          <cell r="B1027">
            <v>36737</v>
          </cell>
          <cell r="C1027">
            <v>66.875</v>
          </cell>
        </row>
        <row r="1028">
          <cell r="B1028">
            <v>36738</v>
          </cell>
          <cell r="C1028">
            <v>68.4375</v>
          </cell>
        </row>
        <row r="1029">
          <cell r="B1029">
            <v>36739</v>
          </cell>
          <cell r="C1029">
            <v>66.5</v>
          </cell>
        </row>
        <row r="1030">
          <cell r="B1030">
            <v>36740</v>
          </cell>
          <cell r="C1030">
            <v>67.75</v>
          </cell>
        </row>
        <row r="1031">
          <cell r="B1031">
            <v>36741</v>
          </cell>
          <cell r="C1031">
            <v>67.375</v>
          </cell>
        </row>
        <row r="1032">
          <cell r="B1032">
            <v>36742</v>
          </cell>
          <cell r="C1032">
            <v>67.625</v>
          </cell>
        </row>
        <row r="1033">
          <cell r="B1033">
            <v>36743</v>
          </cell>
          <cell r="C1033">
            <v>67.625</v>
          </cell>
        </row>
        <row r="1034">
          <cell r="B1034">
            <v>36744</v>
          </cell>
          <cell r="C1034">
            <v>67.625</v>
          </cell>
        </row>
        <row r="1035">
          <cell r="B1035">
            <v>36745</v>
          </cell>
          <cell r="C1035">
            <v>65.75</v>
          </cell>
        </row>
        <row r="1036">
          <cell r="B1036">
            <v>36746</v>
          </cell>
          <cell r="C1036">
            <v>63.75</v>
          </cell>
        </row>
        <row r="1037">
          <cell r="B1037">
            <v>36747</v>
          </cell>
          <cell r="C1037">
            <v>63.5</v>
          </cell>
        </row>
        <row r="1038">
          <cell r="B1038">
            <v>36748</v>
          </cell>
          <cell r="C1038">
            <v>62.1875</v>
          </cell>
        </row>
        <row r="1039">
          <cell r="B1039">
            <v>36749</v>
          </cell>
          <cell r="C1039">
            <v>59.75</v>
          </cell>
        </row>
        <row r="1040">
          <cell r="B1040">
            <v>36750</v>
          </cell>
          <cell r="C1040">
            <v>59.75</v>
          </cell>
        </row>
        <row r="1041">
          <cell r="B1041">
            <v>36751</v>
          </cell>
          <cell r="C1041">
            <v>59.75</v>
          </cell>
        </row>
        <row r="1042">
          <cell r="B1042">
            <v>36752</v>
          </cell>
          <cell r="C1042">
            <v>61.9375</v>
          </cell>
        </row>
        <row r="1043">
          <cell r="B1043">
            <v>36753</v>
          </cell>
          <cell r="C1043">
            <v>61.8125</v>
          </cell>
        </row>
        <row r="1044">
          <cell r="B1044">
            <v>36754</v>
          </cell>
          <cell r="C1044">
            <v>59.625</v>
          </cell>
        </row>
        <row r="1045">
          <cell r="B1045">
            <v>36755</v>
          </cell>
          <cell r="C1045">
            <v>59.5</v>
          </cell>
        </row>
        <row r="1046">
          <cell r="B1046">
            <v>36756</v>
          </cell>
          <cell r="C1046">
            <v>60</v>
          </cell>
        </row>
        <row r="1047">
          <cell r="B1047">
            <v>36757</v>
          </cell>
          <cell r="C1047">
            <v>60</v>
          </cell>
        </row>
        <row r="1048">
          <cell r="B1048">
            <v>36758</v>
          </cell>
          <cell r="C1048">
            <v>60</v>
          </cell>
        </row>
        <row r="1049">
          <cell r="B1049">
            <v>36759</v>
          </cell>
          <cell r="C1049">
            <v>64.5</v>
          </cell>
        </row>
        <row r="1050">
          <cell r="B1050">
            <v>36760</v>
          </cell>
          <cell r="C1050">
            <v>67.3125</v>
          </cell>
        </row>
        <row r="1051">
          <cell r="B1051">
            <v>36761</v>
          </cell>
          <cell r="C1051">
            <v>69.75</v>
          </cell>
        </row>
        <row r="1052">
          <cell r="B1052">
            <v>36762</v>
          </cell>
          <cell r="C1052">
            <v>73.6875</v>
          </cell>
        </row>
        <row r="1053">
          <cell r="B1053">
            <v>36763</v>
          </cell>
          <cell r="C1053">
            <v>78.375</v>
          </cell>
        </row>
        <row r="1054">
          <cell r="B1054">
            <v>36764</v>
          </cell>
          <cell r="C1054">
            <v>78.375</v>
          </cell>
        </row>
        <row r="1055">
          <cell r="B1055">
            <v>36765</v>
          </cell>
          <cell r="C1055">
            <v>78.375</v>
          </cell>
        </row>
        <row r="1056">
          <cell r="B1056">
            <v>36766</v>
          </cell>
          <cell r="C1056">
            <v>82.6875</v>
          </cell>
        </row>
        <row r="1057">
          <cell r="B1057">
            <v>36767</v>
          </cell>
          <cell r="C1057">
            <v>81.0625</v>
          </cell>
        </row>
        <row r="1058">
          <cell r="B1058">
            <v>36768</v>
          </cell>
          <cell r="C1058">
            <v>83.75</v>
          </cell>
        </row>
        <row r="1059">
          <cell r="B1059">
            <v>36769</v>
          </cell>
          <cell r="C1059">
            <v>87.234380000000002</v>
          </cell>
        </row>
        <row r="1060">
          <cell r="B1060">
            <v>36770</v>
          </cell>
          <cell r="C1060">
            <v>86.0625</v>
          </cell>
        </row>
        <row r="1061">
          <cell r="B1061">
            <v>36771</v>
          </cell>
          <cell r="C1061">
            <v>86.0625</v>
          </cell>
        </row>
        <row r="1062">
          <cell r="B1062">
            <v>36772</v>
          </cell>
          <cell r="C1062">
            <v>86.0625</v>
          </cell>
        </row>
        <row r="1063">
          <cell r="B1063">
            <v>36773</v>
          </cell>
          <cell r="C1063">
            <v>86.0625</v>
          </cell>
        </row>
        <row r="1064">
          <cell r="B1064">
            <v>36774</v>
          </cell>
          <cell r="C1064">
            <v>81.25</v>
          </cell>
        </row>
        <row r="1065">
          <cell r="B1065">
            <v>36775</v>
          </cell>
          <cell r="C1065">
            <v>78.875</v>
          </cell>
        </row>
        <row r="1066">
          <cell r="B1066">
            <v>36776</v>
          </cell>
          <cell r="C1066">
            <v>79.9375</v>
          </cell>
        </row>
        <row r="1067">
          <cell r="B1067">
            <v>36777</v>
          </cell>
          <cell r="C1067">
            <v>79.3125</v>
          </cell>
        </row>
        <row r="1068">
          <cell r="B1068">
            <v>36778</v>
          </cell>
          <cell r="C1068">
            <v>79.3125</v>
          </cell>
        </row>
        <row r="1069">
          <cell r="B1069">
            <v>36779</v>
          </cell>
          <cell r="C1069">
            <v>79.3125</v>
          </cell>
        </row>
        <row r="1070">
          <cell r="B1070">
            <v>36780</v>
          </cell>
          <cell r="C1070">
            <v>77.75</v>
          </cell>
        </row>
        <row r="1071">
          <cell r="B1071">
            <v>36781</v>
          </cell>
          <cell r="C1071">
            <v>74.25</v>
          </cell>
        </row>
        <row r="1072">
          <cell r="B1072">
            <v>36782</v>
          </cell>
          <cell r="C1072">
            <v>77.875</v>
          </cell>
        </row>
        <row r="1073">
          <cell r="B1073">
            <v>36783</v>
          </cell>
          <cell r="C1073">
            <v>78.25</v>
          </cell>
        </row>
        <row r="1074">
          <cell r="B1074">
            <v>36784</v>
          </cell>
          <cell r="C1074">
            <v>74.5625</v>
          </cell>
        </row>
        <row r="1075">
          <cell r="B1075">
            <v>36785</v>
          </cell>
          <cell r="C1075">
            <v>74.5625</v>
          </cell>
        </row>
        <row r="1076">
          <cell r="B1076">
            <v>36786</v>
          </cell>
          <cell r="C1076">
            <v>74.5625</v>
          </cell>
        </row>
        <row r="1077">
          <cell r="B1077">
            <v>36787</v>
          </cell>
          <cell r="C1077">
            <v>69.875</v>
          </cell>
        </row>
        <row r="1078">
          <cell r="B1078">
            <v>36788</v>
          </cell>
          <cell r="C1078">
            <v>74</v>
          </cell>
        </row>
        <row r="1079">
          <cell r="B1079">
            <v>36789</v>
          </cell>
          <cell r="C1079">
            <v>71.625</v>
          </cell>
        </row>
        <row r="1080">
          <cell r="B1080">
            <v>36790</v>
          </cell>
          <cell r="C1080">
            <v>71.75</v>
          </cell>
        </row>
        <row r="1081">
          <cell r="B1081">
            <v>36791</v>
          </cell>
          <cell r="C1081">
            <v>72.875</v>
          </cell>
        </row>
        <row r="1082">
          <cell r="B1082">
            <v>36792</v>
          </cell>
          <cell r="C1082">
            <v>72.875</v>
          </cell>
        </row>
        <row r="1083">
          <cell r="B1083">
            <v>36793</v>
          </cell>
          <cell r="C1083">
            <v>72.875</v>
          </cell>
        </row>
        <row r="1084">
          <cell r="B1084">
            <v>36794</v>
          </cell>
          <cell r="C1084">
            <v>73.0625</v>
          </cell>
        </row>
        <row r="1085">
          <cell r="B1085">
            <v>36795</v>
          </cell>
          <cell r="C1085">
            <v>76.4375</v>
          </cell>
        </row>
        <row r="1086">
          <cell r="B1086">
            <v>36796</v>
          </cell>
          <cell r="C1086">
            <v>75.6875</v>
          </cell>
        </row>
        <row r="1087">
          <cell r="B1087">
            <v>36797</v>
          </cell>
          <cell r="C1087">
            <v>76.609380000000002</v>
          </cell>
        </row>
        <row r="1088">
          <cell r="B1088">
            <v>36798</v>
          </cell>
          <cell r="C1088">
            <v>77.125</v>
          </cell>
        </row>
        <row r="1089">
          <cell r="B1089">
            <v>36799</v>
          </cell>
          <cell r="C1089">
            <v>77.125</v>
          </cell>
        </row>
        <row r="1090">
          <cell r="B1090">
            <v>36800</v>
          </cell>
          <cell r="C1090">
            <v>77.125</v>
          </cell>
        </row>
        <row r="1091">
          <cell r="B1091">
            <v>36801</v>
          </cell>
          <cell r="C1091">
            <v>72.375</v>
          </cell>
        </row>
        <row r="1092">
          <cell r="B1092">
            <v>36802</v>
          </cell>
          <cell r="C1092">
            <v>68.875</v>
          </cell>
        </row>
        <row r="1093">
          <cell r="B1093">
            <v>36803</v>
          </cell>
          <cell r="C1093">
            <v>75.234380000000002</v>
          </cell>
        </row>
        <row r="1094">
          <cell r="B1094">
            <v>36804</v>
          </cell>
          <cell r="C1094">
            <v>73.0625</v>
          </cell>
        </row>
        <row r="1095">
          <cell r="B1095">
            <v>36805</v>
          </cell>
          <cell r="C1095">
            <v>68</v>
          </cell>
        </row>
        <row r="1096">
          <cell r="B1096">
            <v>36806</v>
          </cell>
          <cell r="C1096">
            <v>68</v>
          </cell>
        </row>
        <row r="1097">
          <cell r="B1097">
            <v>36807</v>
          </cell>
          <cell r="C1097">
            <v>68</v>
          </cell>
        </row>
        <row r="1098">
          <cell r="B1098">
            <v>36808</v>
          </cell>
          <cell r="C1098">
            <v>68.0625</v>
          </cell>
        </row>
        <row r="1099">
          <cell r="B1099">
            <v>36809</v>
          </cell>
          <cell r="C1099">
            <v>67.875</v>
          </cell>
        </row>
        <row r="1100">
          <cell r="B1100">
            <v>36810</v>
          </cell>
          <cell r="C1100">
            <v>60.25</v>
          </cell>
        </row>
        <row r="1101">
          <cell r="B1101">
            <v>36811</v>
          </cell>
          <cell r="C1101">
            <v>54.875</v>
          </cell>
        </row>
        <row r="1102">
          <cell r="B1102">
            <v>36812</v>
          </cell>
          <cell r="C1102">
            <v>60</v>
          </cell>
        </row>
        <row r="1103">
          <cell r="B1103">
            <v>36813</v>
          </cell>
          <cell r="C1103">
            <v>60</v>
          </cell>
        </row>
        <row r="1104">
          <cell r="B1104">
            <v>36814</v>
          </cell>
          <cell r="C1104">
            <v>60</v>
          </cell>
        </row>
        <row r="1105">
          <cell r="B1105">
            <v>36815</v>
          </cell>
          <cell r="C1105">
            <v>58.375</v>
          </cell>
        </row>
        <row r="1106">
          <cell r="B1106">
            <v>36816</v>
          </cell>
          <cell r="C1106">
            <v>56.125</v>
          </cell>
        </row>
        <row r="1107">
          <cell r="B1107">
            <v>36817</v>
          </cell>
          <cell r="C1107">
            <v>47</v>
          </cell>
        </row>
        <row r="1108">
          <cell r="B1108">
            <v>36818</v>
          </cell>
          <cell r="C1108">
            <v>48.5</v>
          </cell>
        </row>
        <row r="1109">
          <cell r="B1109">
            <v>36819</v>
          </cell>
          <cell r="C1109">
            <v>49.5625</v>
          </cell>
        </row>
        <row r="1110">
          <cell r="B1110">
            <v>36820</v>
          </cell>
          <cell r="C1110">
            <v>49.5625</v>
          </cell>
        </row>
        <row r="1111">
          <cell r="B1111">
            <v>36821</v>
          </cell>
          <cell r="C1111">
            <v>49.5625</v>
          </cell>
        </row>
        <row r="1112">
          <cell r="B1112">
            <v>36822</v>
          </cell>
          <cell r="C1112">
            <v>49.25</v>
          </cell>
        </row>
        <row r="1113">
          <cell r="B1113">
            <v>36823</v>
          </cell>
          <cell r="C1113">
            <v>50.5</v>
          </cell>
        </row>
        <row r="1114">
          <cell r="B1114">
            <v>36824</v>
          </cell>
          <cell r="C1114">
            <v>50.375</v>
          </cell>
        </row>
        <row r="1115">
          <cell r="B1115">
            <v>36825</v>
          </cell>
          <cell r="C1115">
            <v>46.75</v>
          </cell>
        </row>
        <row r="1116">
          <cell r="B1116">
            <v>36826</v>
          </cell>
          <cell r="C1116">
            <v>44.375</v>
          </cell>
        </row>
        <row r="1117">
          <cell r="B1117">
            <v>36827</v>
          </cell>
          <cell r="C1117">
            <v>44.375</v>
          </cell>
        </row>
        <row r="1118">
          <cell r="B1118">
            <v>36828</v>
          </cell>
          <cell r="C1118">
            <v>44.375</v>
          </cell>
        </row>
        <row r="1119">
          <cell r="B1119">
            <v>36829</v>
          </cell>
          <cell r="C1119">
            <v>43.1875</v>
          </cell>
        </row>
        <row r="1120">
          <cell r="B1120">
            <v>36830</v>
          </cell>
          <cell r="C1120">
            <v>47.6875</v>
          </cell>
        </row>
        <row r="1121">
          <cell r="B1121">
            <v>36831</v>
          </cell>
          <cell r="C1121">
            <v>42.5625</v>
          </cell>
        </row>
        <row r="1122">
          <cell r="B1122">
            <v>36832</v>
          </cell>
          <cell r="C1122">
            <v>41.6875</v>
          </cell>
        </row>
        <row r="1123">
          <cell r="B1123">
            <v>36833</v>
          </cell>
          <cell r="C1123">
            <v>39.8125</v>
          </cell>
        </row>
        <row r="1124">
          <cell r="B1124">
            <v>36834</v>
          </cell>
          <cell r="C1124">
            <v>39.8125</v>
          </cell>
        </row>
        <row r="1125">
          <cell r="B1125">
            <v>36835</v>
          </cell>
          <cell r="C1125">
            <v>39.8125</v>
          </cell>
        </row>
        <row r="1126">
          <cell r="B1126">
            <v>36836</v>
          </cell>
          <cell r="C1126">
            <v>35</v>
          </cell>
        </row>
        <row r="1127">
          <cell r="B1127">
            <v>36837</v>
          </cell>
          <cell r="C1127">
            <v>38</v>
          </cell>
        </row>
        <row r="1128">
          <cell r="B1128">
            <v>36838</v>
          </cell>
          <cell r="C1128">
            <v>39.5625</v>
          </cell>
        </row>
        <row r="1129">
          <cell r="B1129">
            <v>36839</v>
          </cell>
          <cell r="C1129">
            <v>38.375</v>
          </cell>
        </row>
        <row r="1130">
          <cell r="B1130">
            <v>36840</v>
          </cell>
          <cell r="C1130">
            <v>36.0625</v>
          </cell>
        </row>
        <row r="1131">
          <cell r="B1131">
            <v>36841</v>
          </cell>
          <cell r="C1131">
            <v>36.0625</v>
          </cell>
        </row>
        <row r="1132">
          <cell r="B1132">
            <v>36842</v>
          </cell>
          <cell r="C1132">
            <v>36.0625</v>
          </cell>
        </row>
        <row r="1133">
          <cell r="B1133">
            <v>36843</v>
          </cell>
          <cell r="C1133">
            <v>30.25</v>
          </cell>
        </row>
        <row r="1134">
          <cell r="B1134">
            <v>36844</v>
          </cell>
          <cell r="C1134">
            <v>34.5</v>
          </cell>
        </row>
        <row r="1135">
          <cell r="B1135">
            <v>36845</v>
          </cell>
          <cell r="C1135">
            <v>35.625</v>
          </cell>
        </row>
        <row r="1136">
          <cell r="B1136">
            <v>36846</v>
          </cell>
          <cell r="C1136">
            <v>33.5</v>
          </cell>
        </row>
        <row r="1137">
          <cell r="B1137">
            <v>36847</v>
          </cell>
          <cell r="C1137">
            <v>32.875</v>
          </cell>
        </row>
        <row r="1138">
          <cell r="B1138">
            <v>36848</v>
          </cell>
          <cell r="C1138">
            <v>32.875</v>
          </cell>
        </row>
        <row r="1139">
          <cell r="B1139">
            <v>36849</v>
          </cell>
          <cell r="C1139">
            <v>32.875</v>
          </cell>
        </row>
        <row r="1140">
          <cell r="B1140">
            <v>36850</v>
          </cell>
          <cell r="C1140">
            <v>33.5</v>
          </cell>
        </row>
        <row r="1141">
          <cell r="B1141">
            <v>36851</v>
          </cell>
          <cell r="C1141">
            <v>32.75</v>
          </cell>
        </row>
        <row r="1142">
          <cell r="B1142">
            <v>36852</v>
          </cell>
          <cell r="C1142">
            <v>30.75</v>
          </cell>
        </row>
        <row r="1143">
          <cell r="B1143">
            <v>36853</v>
          </cell>
          <cell r="C1143">
            <v>30.75</v>
          </cell>
        </row>
        <row r="1144">
          <cell r="B1144">
            <v>36854</v>
          </cell>
          <cell r="C1144">
            <v>33.5</v>
          </cell>
        </row>
        <row r="1145">
          <cell r="B1145">
            <v>36855</v>
          </cell>
          <cell r="C1145">
            <v>33.5</v>
          </cell>
        </row>
        <row r="1146">
          <cell r="B1146">
            <v>36856</v>
          </cell>
          <cell r="C1146">
            <v>33.5</v>
          </cell>
        </row>
        <row r="1147">
          <cell r="B1147">
            <v>36857</v>
          </cell>
          <cell r="C1147">
            <v>35</v>
          </cell>
        </row>
        <row r="1148">
          <cell r="B1148">
            <v>36858</v>
          </cell>
          <cell r="C1148">
            <v>31.21875</v>
          </cell>
        </row>
        <row r="1149">
          <cell r="B1149">
            <v>36859</v>
          </cell>
          <cell r="C1149">
            <v>30.3125</v>
          </cell>
        </row>
        <row r="1150">
          <cell r="B1150">
            <v>36860</v>
          </cell>
          <cell r="C1150">
            <v>26.875</v>
          </cell>
        </row>
        <row r="1151">
          <cell r="B1151">
            <v>36861</v>
          </cell>
          <cell r="C1151">
            <v>28.3125</v>
          </cell>
        </row>
        <row r="1152">
          <cell r="B1152">
            <v>36862</v>
          </cell>
          <cell r="C1152">
            <v>28.3125</v>
          </cell>
        </row>
        <row r="1153">
          <cell r="B1153">
            <v>36863</v>
          </cell>
          <cell r="C1153">
            <v>28.3125</v>
          </cell>
        </row>
        <row r="1154">
          <cell r="B1154">
            <v>36864</v>
          </cell>
          <cell r="C1154">
            <v>27.25</v>
          </cell>
        </row>
        <row r="1155">
          <cell r="B1155">
            <v>36865</v>
          </cell>
          <cell r="C1155">
            <v>30.3125</v>
          </cell>
        </row>
        <row r="1156">
          <cell r="B1156">
            <v>36866</v>
          </cell>
          <cell r="C1156">
            <v>31.0625</v>
          </cell>
        </row>
        <row r="1157">
          <cell r="B1157">
            <v>36867</v>
          </cell>
          <cell r="C1157">
            <v>30</v>
          </cell>
        </row>
        <row r="1158">
          <cell r="B1158">
            <v>36868</v>
          </cell>
          <cell r="C1158">
            <v>34.9375</v>
          </cell>
        </row>
        <row r="1159">
          <cell r="B1159">
            <v>36869</v>
          </cell>
          <cell r="C1159">
            <v>34.9375</v>
          </cell>
        </row>
        <row r="1160">
          <cell r="B1160">
            <v>36870</v>
          </cell>
          <cell r="C1160">
            <v>34.9375</v>
          </cell>
        </row>
        <row r="1161">
          <cell r="B1161">
            <v>36871</v>
          </cell>
          <cell r="C1161">
            <v>39.8125</v>
          </cell>
        </row>
        <row r="1162">
          <cell r="B1162">
            <v>36872</v>
          </cell>
          <cell r="C1162">
            <v>38.3125</v>
          </cell>
        </row>
        <row r="1163">
          <cell r="B1163">
            <v>36873</v>
          </cell>
          <cell r="C1163">
            <v>41</v>
          </cell>
        </row>
        <row r="1164">
          <cell r="B1164">
            <v>36874</v>
          </cell>
          <cell r="C1164">
            <v>36.25</v>
          </cell>
        </row>
        <row r="1165">
          <cell r="B1165">
            <v>36875</v>
          </cell>
          <cell r="C1165">
            <v>34.75</v>
          </cell>
        </row>
        <row r="1166">
          <cell r="B1166">
            <v>36876</v>
          </cell>
          <cell r="C1166">
            <v>34.75</v>
          </cell>
        </row>
        <row r="1167">
          <cell r="B1167">
            <v>36877</v>
          </cell>
          <cell r="C1167">
            <v>34.75</v>
          </cell>
        </row>
        <row r="1168">
          <cell r="B1168">
            <v>36878</v>
          </cell>
          <cell r="C1168">
            <v>36</v>
          </cell>
        </row>
        <row r="1169">
          <cell r="B1169">
            <v>36879</v>
          </cell>
          <cell r="C1169">
            <v>33.25</v>
          </cell>
        </row>
        <row r="1170">
          <cell r="B1170">
            <v>36880</v>
          </cell>
          <cell r="C1170">
            <v>29</v>
          </cell>
        </row>
        <row r="1171">
          <cell r="B1171">
            <v>36881</v>
          </cell>
          <cell r="C1171">
            <v>28.875</v>
          </cell>
        </row>
        <row r="1172">
          <cell r="B1172">
            <v>36882</v>
          </cell>
          <cell r="C1172">
            <v>32.8125</v>
          </cell>
        </row>
        <row r="1173">
          <cell r="B1173">
            <v>36883</v>
          </cell>
          <cell r="C1173">
            <v>32.8125</v>
          </cell>
        </row>
        <row r="1174">
          <cell r="B1174">
            <v>36884</v>
          </cell>
          <cell r="C1174">
            <v>32.8125</v>
          </cell>
        </row>
        <row r="1175">
          <cell r="B1175">
            <v>36885</v>
          </cell>
          <cell r="C1175">
            <v>32.8125</v>
          </cell>
        </row>
        <row r="1176">
          <cell r="B1176">
            <v>36886</v>
          </cell>
          <cell r="C1176">
            <v>31</v>
          </cell>
        </row>
        <row r="1177">
          <cell r="B1177">
            <v>36887</v>
          </cell>
          <cell r="C1177">
            <v>32.8125</v>
          </cell>
        </row>
        <row r="1178">
          <cell r="B1178">
            <v>36888</v>
          </cell>
          <cell r="C1178">
            <v>34.125</v>
          </cell>
        </row>
        <row r="1179">
          <cell r="B1179">
            <v>36889</v>
          </cell>
          <cell r="C1179">
            <v>32.8125</v>
          </cell>
        </row>
        <row r="1180">
          <cell r="B1180">
            <v>36890</v>
          </cell>
          <cell r="C1180">
            <v>32.8125</v>
          </cell>
        </row>
        <row r="1181">
          <cell r="B1181">
            <v>36891</v>
          </cell>
          <cell r="C1181">
            <v>32.8125</v>
          </cell>
        </row>
        <row r="1182">
          <cell r="B1182">
            <v>36892</v>
          </cell>
          <cell r="C1182">
            <v>32.8125</v>
          </cell>
        </row>
        <row r="1183">
          <cell r="B1183">
            <v>36893</v>
          </cell>
          <cell r="C1183">
            <v>30.8125</v>
          </cell>
        </row>
        <row r="1184">
          <cell r="B1184">
            <v>36894</v>
          </cell>
          <cell r="C1184">
            <v>38.0625</v>
          </cell>
        </row>
        <row r="1185">
          <cell r="B1185">
            <v>36895</v>
          </cell>
          <cell r="C1185">
            <v>35.875</v>
          </cell>
        </row>
        <row r="1186">
          <cell r="B1186">
            <v>36896</v>
          </cell>
          <cell r="C1186">
            <v>33.9375</v>
          </cell>
        </row>
        <row r="1187">
          <cell r="B1187">
            <v>36897</v>
          </cell>
          <cell r="C1187">
            <v>33.9375</v>
          </cell>
        </row>
        <row r="1188">
          <cell r="B1188">
            <v>36898</v>
          </cell>
          <cell r="C1188">
            <v>33.9375</v>
          </cell>
        </row>
        <row r="1189">
          <cell r="B1189">
            <v>36899</v>
          </cell>
          <cell r="C1189">
            <v>34.375</v>
          </cell>
        </row>
        <row r="1190">
          <cell r="B1190">
            <v>36900</v>
          </cell>
          <cell r="C1190">
            <v>38.0625</v>
          </cell>
        </row>
        <row r="1191">
          <cell r="B1191">
            <v>36901</v>
          </cell>
          <cell r="C1191">
            <v>44.625</v>
          </cell>
        </row>
        <row r="1192">
          <cell r="B1192">
            <v>36902</v>
          </cell>
          <cell r="C1192">
            <v>47.5</v>
          </cell>
        </row>
        <row r="1193">
          <cell r="B1193">
            <v>36903</v>
          </cell>
          <cell r="C1193">
            <v>45.125</v>
          </cell>
        </row>
        <row r="1194">
          <cell r="B1194">
            <v>36904</v>
          </cell>
          <cell r="C1194">
            <v>45.125</v>
          </cell>
        </row>
        <row r="1195">
          <cell r="B1195">
            <v>36905</v>
          </cell>
          <cell r="C1195">
            <v>45.125</v>
          </cell>
        </row>
        <row r="1196">
          <cell r="B1196">
            <v>36906</v>
          </cell>
          <cell r="C1196">
            <v>45.125</v>
          </cell>
        </row>
        <row r="1197">
          <cell r="B1197">
            <v>36907</v>
          </cell>
          <cell r="C1197">
            <v>46.5625</v>
          </cell>
        </row>
        <row r="1198">
          <cell r="B1198">
            <v>36908</v>
          </cell>
          <cell r="C1198">
            <v>47</v>
          </cell>
        </row>
        <row r="1199">
          <cell r="B1199">
            <v>36909</v>
          </cell>
          <cell r="C1199">
            <v>45.296875</v>
          </cell>
        </row>
        <row r="1200">
          <cell r="B1200">
            <v>36910</v>
          </cell>
          <cell r="C1200">
            <v>43.5625</v>
          </cell>
        </row>
        <row r="1201">
          <cell r="B1201">
            <v>36911</v>
          </cell>
          <cell r="C1201">
            <v>43.5625</v>
          </cell>
        </row>
        <row r="1202">
          <cell r="B1202">
            <v>36912</v>
          </cell>
          <cell r="C1202">
            <v>43.5625</v>
          </cell>
        </row>
        <row r="1203">
          <cell r="B1203">
            <v>36913</v>
          </cell>
          <cell r="C1203">
            <v>44.5</v>
          </cell>
        </row>
        <row r="1204">
          <cell r="B1204">
            <v>36914</v>
          </cell>
          <cell r="C1204">
            <v>46.375</v>
          </cell>
        </row>
        <row r="1205">
          <cell r="B1205">
            <v>36915</v>
          </cell>
          <cell r="C1205">
            <v>49.6875</v>
          </cell>
        </row>
        <row r="1206">
          <cell r="B1206">
            <v>36916</v>
          </cell>
          <cell r="C1206">
            <v>46.25</v>
          </cell>
        </row>
        <row r="1207">
          <cell r="B1207">
            <v>36917</v>
          </cell>
          <cell r="C1207">
            <v>46.375</v>
          </cell>
        </row>
        <row r="1208">
          <cell r="B1208">
            <v>36918</v>
          </cell>
          <cell r="C1208">
            <v>46.375</v>
          </cell>
        </row>
        <row r="1209">
          <cell r="B1209">
            <v>36919</v>
          </cell>
          <cell r="C1209">
            <v>46.375</v>
          </cell>
        </row>
        <row r="1210">
          <cell r="B1210">
            <v>36920</v>
          </cell>
          <cell r="C1210">
            <v>40.0625</v>
          </cell>
        </row>
        <row r="1211">
          <cell r="B1211">
            <v>36921</v>
          </cell>
          <cell r="C1211">
            <v>41</v>
          </cell>
        </row>
        <row r="1212">
          <cell r="B1212">
            <v>36922</v>
          </cell>
          <cell r="C1212">
            <v>40.6875</v>
          </cell>
        </row>
        <row r="1213">
          <cell r="B1213">
            <v>36923</v>
          </cell>
          <cell r="C1213">
            <v>39.375</v>
          </cell>
        </row>
        <row r="1214">
          <cell r="B1214">
            <v>36924</v>
          </cell>
          <cell r="C1214">
            <v>37.75</v>
          </cell>
        </row>
        <row r="1215">
          <cell r="B1215">
            <v>36925</v>
          </cell>
          <cell r="C1215">
            <v>37.75</v>
          </cell>
        </row>
        <row r="1216">
          <cell r="B1216">
            <v>36926</v>
          </cell>
          <cell r="C1216">
            <v>37.75</v>
          </cell>
        </row>
        <row r="1217">
          <cell r="B1217">
            <v>36927</v>
          </cell>
          <cell r="C1217">
            <v>37.625</v>
          </cell>
        </row>
        <row r="1218">
          <cell r="B1218">
            <v>36928</v>
          </cell>
          <cell r="C1218">
            <v>38.1875</v>
          </cell>
        </row>
        <row r="1219">
          <cell r="B1219">
            <v>36929</v>
          </cell>
          <cell r="C1219">
            <v>37.25</v>
          </cell>
        </row>
        <row r="1220">
          <cell r="B1220">
            <v>36930</v>
          </cell>
          <cell r="C1220">
            <v>36.5625</v>
          </cell>
        </row>
        <row r="1221">
          <cell r="B1221">
            <v>36931</v>
          </cell>
          <cell r="C1221">
            <v>34.0625</v>
          </cell>
        </row>
        <row r="1222">
          <cell r="B1222">
            <v>36932</v>
          </cell>
          <cell r="C1222">
            <v>34.0625</v>
          </cell>
        </row>
        <row r="1223">
          <cell r="B1223">
            <v>36933</v>
          </cell>
          <cell r="C1223">
            <v>34.0625</v>
          </cell>
        </row>
        <row r="1224">
          <cell r="B1224">
            <v>36934</v>
          </cell>
          <cell r="C1224">
            <v>33.125</v>
          </cell>
        </row>
        <row r="1225">
          <cell r="B1225">
            <v>36935</v>
          </cell>
          <cell r="C1225">
            <v>31.4375</v>
          </cell>
        </row>
        <row r="1226">
          <cell r="B1226">
            <v>36936</v>
          </cell>
          <cell r="C1226">
            <v>31</v>
          </cell>
        </row>
        <row r="1227">
          <cell r="B1227">
            <v>36937</v>
          </cell>
          <cell r="C1227">
            <v>33.875</v>
          </cell>
        </row>
        <row r="1228">
          <cell r="B1228">
            <v>36938</v>
          </cell>
          <cell r="C1228">
            <v>30.75</v>
          </cell>
        </row>
        <row r="1229">
          <cell r="B1229">
            <v>36939</v>
          </cell>
          <cell r="C1229">
            <v>30.75</v>
          </cell>
        </row>
        <row r="1230">
          <cell r="B1230">
            <v>36940</v>
          </cell>
          <cell r="C1230">
            <v>30.75</v>
          </cell>
        </row>
        <row r="1231">
          <cell r="B1231">
            <v>36941</v>
          </cell>
          <cell r="C1231">
            <v>30.75</v>
          </cell>
        </row>
        <row r="1232">
          <cell r="B1232">
            <v>36942</v>
          </cell>
          <cell r="C1232">
            <v>28.1875</v>
          </cell>
        </row>
        <row r="1233">
          <cell r="B1233">
            <v>36943</v>
          </cell>
          <cell r="C1233">
            <v>28.0625</v>
          </cell>
        </row>
        <row r="1234">
          <cell r="B1234">
            <v>36944</v>
          </cell>
          <cell r="C1234">
            <v>27.4375</v>
          </cell>
        </row>
        <row r="1235">
          <cell r="B1235">
            <v>36945</v>
          </cell>
          <cell r="C1235">
            <v>28.625</v>
          </cell>
        </row>
        <row r="1236">
          <cell r="B1236">
            <v>36946</v>
          </cell>
          <cell r="C1236">
            <v>28.625</v>
          </cell>
        </row>
        <row r="1237">
          <cell r="B1237">
            <v>36947</v>
          </cell>
          <cell r="C1237">
            <v>28.625</v>
          </cell>
        </row>
        <row r="1238">
          <cell r="B1238">
            <v>36948</v>
          </cell>
          <cell r="C1238">
            <v>28.75</v>
          </cell>
        </row>
        <row r="1239">
          <cell r="B1239">
            <v>36949</v>
          </cell>
          <cell r="C1239">
            <v>26.5625</v>
          </cell>
        </row>
        <row r="1240">
          <cell r="B1240">
            <v>36950</v>
          </cell>
          <cell r="C1240">
            <v>25.3125</v>
          </cell>
        </row>
        <row r="1241">
          <cell r="B1241">
            <v>36951</v>
          </cell>
          <cell r="C1241">
            <v>24.9375</v>
          </cell>
        </row>
        <row r="1242">
          <cell r="B1242">
            <v>36952</v>
          </cell>
          <cell r="C1242">
            <v>23.25</v>
          </cell>
        </row>
        <row r="1243">
          <cell r="B1243">
            <v>36953</v>
          </cell>
          <cell r="C1243">
            <v>23.25</v>
          </cell>
        </row>
        <row r="1244">
          <cell r="B1244">
            <v>36954</v>
          </cell>
          <cell r="C1244">
            <v>23.25</v>
          </cell>
        </row>
        <row r="1245">
          <cell r="B1245">
            <v>36955</v>
          </cell>
          <cell r="C1245">
            <v>23.875</v>
          </cell>
        </row>
        <row r="1246">
          <cell r="B1246">
            <v>36956</v>
          </cell>
          <cell r="C1246">
            <v>23.875</v>
          </cell>
        </row>
        <row r="1247">
          <cell r="B1247">
            <v>36957</v>
          </cell>
          <cell r="C1247">
            <v>24.8125</v>
          </cell>
        </row>
        <row r="1248">
          <cell r="B1248">
            <v>36958</v>
          </cell>
          <cell r="C1248">
            <v>22.6875</v>
          </cell>
        </row>
        <row r="1249">
          <cell r="B1249">
            <v>36959</v>
          </cell>
          <cell r="C1249">
            <v>21.875</v>
          </cell>
        </row>
        <row r="1250">
          <cell r="B1250">
            <v>36960</v>
          </cell>
          <cell r="C1250">
            <v>21.875</v>
          </cell>
        </row>
        <row r="1251">
          <cell r="B1251">
            <v>36961</v>
          </cell>
          <cell r="C1251">
            <v>21.875</v>
          </cell>
        </row>
        <row r="1252">
          <cell r="B1252">
            <v>36962</v>
          </cell>
          <cell r="C1252">
            <v>19.625</v>
          </cell>
        </row>
        <row r="1253">
          <cell r="B1253">
            <v>36963</v>
          </cell>
          <cell r="C1253">
            <v>18.9375</v>
          </cell>
        </row>
        <row r="1254">
          <cell r="B1254">
            <v>36964</v>
          </cell>
          <cell r="C1254">
            <v>16.1875</v>
          </cell>
        </row>
        <row r="1255">
          <cell r="B1255">
            <v>36965</v>
          </cell>
          <cell r="C1255">
            <v>17.5625</v>
          </cell>
        </row>
        <row r="1256">
          <cell r="B1256">
            <v>36966</v>
          </cell>
          <cell r="C1256">
            <v>17.1875</v>
          </cell>
        </row>
        <row r="1257">
          <cell r="B1257">
            <v>36967</v>
          </cell>
          <cell r="C1257">
            <v>17.1875</v>
          </cell>
        </row>
        <row r="1258">
          <cell r="B1258">
            <v>36968</v>
          </cell>
          <cell r="C1258">
            <v>17.1875</v>
          </cell>
        </row>
        <row r="1259">
          <cell r="B1259">
            <v>36969</v>
          </cell>
          <cell r="C1259">
            <v>18.5625</v>
          </cell>
        </row>
        <row r="1260">
          <cell r="B1260">
            <v>36970</v>
          </cell>
          <cell r="C1260">
            <v>17.875</v>
          </cell>
        </row>
        <row r="1261">
          <cell r="B1261">
            <v>36971</v>
          </cell>
          <cell r="C1261">
            <v>15.5</v>
          </cell>
        </row>
        <row r="1262">
          <cell r="B1262">
            <v>36972</v>
          </cell>
          <cell r="C1262">
            <v>15.5625</v>
          </cell>
        </row>
        <row r="1263">
          <cell r="B1263">
            <v>36973</v>
          </cell>
          <cell r="C1263">
            <v>16.0625</v>
          </cell>
        </row>
        <row r="1264">
          <cell r="B1264">
            <v>36974</v>
          </cell>
          <cell r="C1264">
            <v>16.0625</v>
          </cell>
        </row>
        <row r="1265">
          <cell r="B1265">
            <v>36975</v>
          </cell>
          <cell r="C1265">
            <v>16.0625</v>
          </cell>
        </row>
        <row r="1266">
          <cell r="B1266">
            <v>36976</v>
          </cell>
          <cell r="C1266">
            <v>16.1875</v>
          </cell>
        </row>
        <row r="1267">
          <cell r="B1267">
            <v>36977</v>
          </cell>
          <cell r="C1267">
            <v>18</v>
          </cell>
        </row>
        <row r="1268">
          <cell r="B1268">
            <v>36978</v>
          </cell>
          <cell r="C1268">
            <v>16.6875</v>
          </cell>
        </row>
        <row r="1269">
          <cell r="B1269">
            <v>36979</v>
          </cell>
          <cell r="C1269">
            <v>17.125</v>
          </cell>
        </row>
        <row r="1270">
          <cell r="B1270">
            <v>36980</v>
          </cell>
          <cell r="C1270">
            <v>17.375</v>
          </cell>
        </row>
        <row r="1271">
          <cell r="B1271">
            <v>36981</v>
          </cell>
          <cell r="C1271">
            <v>17.375</v>
          </cell>
        </row>
        <row r="1272">
          <cell r="B1272">
            <v>36982</v>
          </cell>
          <cell r="C1272">
            <v>17.375</v>
          </cell>
        </row>
        <row r="1273">
          <cell r="B1273">
            <v>36983</v>
          </cell>
          <cell r="C1273">
            <v>15.0625</v>
          </cell>
        </row>
        <row r="1274">
          <cell r="B1274">
            <v>36984</v>
          </cell>
          <cell r="C1274">
            <v>12.0625</v>
          </cell>
        </row>
        <row r="1275">
          <cell r="B1275">
            <v>36985</v>
          </cell>
          <cell r="C1275">
            <v>9.65625</v>
          </cell>
        </row>
        <row r="1276">
          <cell r="B1276">
            <v>36986</v>
          </cell>
          <cell r="C1276">
            <v>11.9375</v>
          </cell>
        </row>
        <row r="1277">
          <cell r="B1277">
            <v>36987</v>
          </cell>
          <cell r="C1277">
            <v>10.75</v>
          </cell>
        </row>
        <row r="1278">
          <cell r="B1278">
            <v>36988</v>
          </cell>
          <cell r="C1278">
            <v>10.75</v>
          </cell>
        </row>
        <row r="1279">
          <cell r="B1279">
            <v>36989</v>
          </cell>
          <cell r="C1279">
            <v>10.75</v>
          </cell>
        </row>
        <row r="1280">
          <cell r="B1280">
            <v>36990</v>
          </cell>
          <cell r="C1280">
            <v>12</v>
          </cell>
        </row>
        <row r="1281">
          <cell r="B1281">
            <v>36991</v>
          </cell>
          <cell r="C1281">
            <v>13.450000000000001</v>
          </cell>
        </row>
        <row r="1282">
          <cell r="B1282">
            <v>36992</v>
          </cell>
          <cell r="C1282">
            <v>13.94</v>
          </cell>
        </row>
        <row r="1283">
          <cell r="B1283">
            <v>36993</v>
          </cell>
          <cell r="C1283">
            <v>15.16</v>
          </cell>
        </row>
        <row r="1284">
          <cell r="B1284">
            <v>36994</v>
          </cell>
          <cell r="C1284">
            <v>15.16</v>
          </cell>
        </row>
        <row r="1285">
          <cell r="B1285">
            <v>36995</v>
          </cell>
          <cell r="C1285">
            <v>15.16</v>
          </cell>
        </row>
        <row r="1286">
          <cell r="B1286">
            <v>36996</v>
          </cell>
          <cell r="C1286">
            <v>15.16</v>
          </cell>
        </row>
        <row r="1287">
          <cell r="B1287">
            <v>36997</v>
          </cell>
          <cell r="C1287">
            <v>14.69</v>
          </cell>
        </row>
        <row r="1288">
          <cell r="B1288">
            <v>36998</v>
          </cell>
          <cell r="C1288">
            <v>14.9</v>
          </cell>
        </row>
        <row r="1289">
          <cell r="B1289">
            <v>36999</v>
          </cell>
          <cell r="C1289">
            <v>13.06</v>
          </cell>
        </row>
        <row r="1290">
          <cell r="B1290">
            <v>37000</v>
          </cell>
          <cell r="C1290">
            <v>14.43</v>
          </cell>
        </row>
        <row r="1291">
          <cell r="B1291">
            <v>37001</v>
          </cell>
          <cell r="C1291">
            <v>15.27</v>
          </cell>
        </row>
        <row r="1292">
          <cell r="B1292">
            <v>37002</v>
          </cell>
          <cell r="C1292">
            <v>15.27</v>
          </cell>
        </row>
        <row r="1293">
          <cell r="B1293">
            <v>37003</v>
          </cell>
          <cell r="C1293">
            <v>15.27</v>
          </cell>
        </row>
        <row r="1294">
          <cell r="B1294">
            <v>37004</v>
          </cell>
          <cell r="C1294">
            <v>14.15</v>
          </cell>
        </row>
        <row r="1295">
          <cell r="B1295">
            <v>37005</v>
          </cell>
          <cell r="C1295">
            <v>13.950000000000001</v>
          </cell>
        </row>
        <row r="1296">
          <cell r="B1296">
            <v>37006</v>
          </cell>
          <cell r="C1296">
            <v>13.06</v>
          </cell>
        </row>
        <row r="1297">
          <cell r="B1297">
            <v>37007</v>
          </cell>
          <cell r="C1297">
            <v>13.040000000000001</v>
          </cell>
        </row>
        <row r="1298">
          <cell r="B1298">
            <v>37008</v>
          </cell>
          <cell r="C1298">
            <v>13.15</v>
          </cell>
        </row>
        <row r="1299">
          <cell r="B1299">
            <v>37009</v>
          </cell>
          <cell r="C1299">
            <v>13.15</v>
          </cell>
        </row>
        <row r="1300">
          <cell r="B1300">
            <v>37010</v>
          </cell>
          <cell r="C1300">
            <v>13.15</v>
          </cell>
        </row>
        <row r="1301">
          <cell r="B1301">
            <v>37011</v>
          </cell>
          <cell r="C1301">
            <v>14.23</v>
          </cell>
        </row>
        <row r="1302">
          <cell r="B1302">
            <v>37012</v>
          </cell>
          <cell r="C1302">
            <v>15.85</v>
          </cell>
        </row>
        <row r="1303">
          <cell r="B1303">
            <v>37013</v>
          </cell>
          <cell r="C1303">
            <v>18.440000000000001</v>
          </cell>
        </row>
        <row r="1304">
          <cell r="B1304">
            <v>37014</v>
          </cell>
          <cell r="C1304">
            <v>16.559999999999999</v>
          </cell>
        </row>
        <row r="1305">
          <cell r="B1305">
            <v>37015</v>
          </cell>
          <cell r="C1305">
            <v>16.71</v>
          </cell>
        </row>
        <row r="1306">
          <cell r="B1306">
            <v>37016</v>
          </cell>
          <cell r="C1306">
            <v>16.71</v>
          </cell>
        </row>
        <row r="1307">
          <cell r="B1307">
            <v>37017</v>
          </cell>
          <cell r="C1307">
            <v>16.71</v>
          </cell>
        </row>
        <row r="1308">
          <cell r="B1308">
            <v>37018</v>
          </cell>
          <cell r="C1308">
            <v>16.2</v>
          </cell>
        </row>
        <row r="1309">
          <cell r="B1309">
            <v>37019</v>
          </cell>
          <cell r="C1309">
            <v>15.8</v>
          </cell>
        </row>
        <row r="1310">
          <cell r="B1310">
            <v>37020</v>
          </cell>
          <cell r="C1310">
            <v>15.49</v>
          </cell>
        </row>
        <row r="1311">
          <cell r="B1311">
            <v>37021</v>
          </cell>
          <cell r="C1311">
            <v>15.96</v>
          </cell>
        </row>
        <row r="1312">
          <cell r="B1312">
            <v>37022</v>
          </cell>
          <cell r="C1312">
            <v>14.32</v>
          </cell>
        </row>
        <row r="1313">
          <cell r="B1313">
            <v>37023</v>
          </cell>
          <cell r="C1313">
            <v>14.32</v>
          </cell>
        </row>
        <row r="1314">
          <cell r="B1314">
            <v>37024</v>
          </cell>
          <cell r="C1314">
            <v>14.32</v>
          </cell>
        </row>
        <row r="1315">
          <cell r="B1315">
            <v>37025</v>
          </cell>
          <cell r="C1315">
            <v>13.96</v>
          </cell>
        </row>
        <row r="1316">
          <cell r="B1316">
            <v>37026</v>
          </cell>
          <cell r="C1316">
            <v>13.540000000000001</v>
          </cell>
        </row>
        <row r="1317">
          <cell r="B1317">
            <v>37027</v>
          </cell>
          <cell r="C1317">
            <v>13.75</v>
          </cell>
        </row>
        <row r="1318">
          <cell r="B1318">
            <v>37028</v>
          </cell>
          <cell r="C1318">
            <v>14.23</v>
          </cell>
        </row>
        <row r="1319">
          <cell r="B1319">
            <v>37029</v>
          </cell>
          <cell r="C1319">
            <v>13.75</v>
          </cell>
        </row>
        <row r="1320">
          <cell r="B1320">
            <v>37030</v>
          </cell>
          <cell r="C1320">
            <v>13.75</v>
          </cell>
        </row>
        <row r="1321">
          <cell r="B1321">
            <v>37031</v>
          </cell>
          <cell r="C1321">
            <v>13.75</v>
          </cell>
        </row>
        <row r="1322">
          <cell r="B1322">
            <v>37032</v>
          </cell>
          <cell r="C1322">
            <v>14.05</v>
          </cell>
        </row>
        <row r="1323">
          <cell r="B1323">
            <v>37033</v>
          </cell>
          <cell r="C1323">
            <v>14.09</v>
          </cell>
        </row>
        <row r="1324">
          <cell r="B1324">
            <v>37034</v>
          </cell>
          <cell r="C1324">
            <v>13.01</v>
          </cell>
        </row>
        <row r="1325">
          <cell r="B1325">
            <v>37035</v>
          </cell>
          <cell r="C1325">
            <v>13.9</v>
          </cell>
        </row>
        <row r="1326">
          <cell r="B1326">
            <v>37036</v>
          </cell>
          <cell r="C1326">
            <v>13.39</v>
          </cell>
        </row>
        <row r="1327">
          <cell r="B1327">
            <v>37037</v>
          </cell>
          <cell r="C1327">
            <v>13.39</v>
          </cell>
        </row>
        <row r="1328">
          <cell r="B1328">
            <v>37038</v>
          </cell>
          <cell r="C1328">
            <v>13.39</v>
          </cell>
        </row>
        <row r="1329">
          <cell r="B1329">
            <v>37039</v>
          </cell>
          <cell r="C1329">
            <v>13.39</v>
          </cell>
        </row>
        <row r="1330">
          <cell r="B1330">
            <v>37040</v>
          </cell>
          <cell r="C1330">
            <v>12.34</v>
          </cell>
        </row>
        <row r="1331">
          <cell r="B1331">
            <v>37041</v>
          </cell>
          <cell r="C1331">
            <v>11.69</v>
          </cell>
        </row>
        <row r="1332">
          <cell r="B1332">
            <v>37042</v>
          </cell>
          <cell r="C1332">
            <v>11.200000000000001</v>
          </cell>
        </row>
        <row r="1333">
          <cell r="B1333">
            <v>37043</v>
          </cell>
          <cell r="C1333">
            <v>11.28</v>
          </cell>
        </row>
        <row r="1334">
          <cell r="B1334">
            <v>37044</v>
          </cell>
          <cell r="C1334">
            <v>11.28</v>
          </cell>
        </row>
        <row r="1335">
          <cell r="B1335">
            <v>37045</v>
          </cell>
          <cell r="C1335">
            <v>11.28</v>
          </cell>
        </row>
        <row r="1336">
          <cell r="B1336">
            <v>37046</v>
          </cell>
          <cell r="C1336">
            <v>10.15</v>
          </cell>
        </row>
        <row r="1337">
          <cell r="B1337">
            <v>37047</v>
          </cell>
          <cell r="C1337">
            <v>10.88</v>
          </cell>
        </row>
        <row r="1338">
          <cell r="B1338">
            <v>37048</v>
          </cell>
          <cell r="C1338">
            <v>10.76</v>
          </cell>
        </row>
        <row r="1339">
          <cell r="B1339">
            <v>37049</v>
          </cell>
          <cell r="C1339">
            <v>10.46</v>
          </cell>
        </row>
        <row r="1340">
          <cell r="B1340">
            <v>37050</v>
          </cell>
          <cell r="C1340">
            <v>9.2900000000000009</v>
          </cell>
        </row>
        <row r="1341">
          <cell r="B1341">
            <v>37051</v>
          </cell>
          <cell r="C1341">
            <v>9.2900000000000009</v>
          </cell>
        </row>
        <row r="1342">
          <cell r="B1342">
            <v>37052</v>
          </cell>
          <cell r="C1342">
            <v>9.2900000000000009</v>
          </cell>
        </row>
        <row r="1343">
          <cell r="B1343">
            <v>37053</v>
          </cell>
          <cell r="C1343">
            <v>8.81</v>
          </cell>
        </row>
        <row r="1344">
          <cell r="B1344">
            <v>37054</v>
          </cell>
          <cell r="C1344">
            <v>8.06</v>
          </cell>
        </row>
        <row r="1345">
          <cell r="B1345">
            <v>37055</v>
          </cell>
          <cell r="C1345">
            <v>8.4499999999999993</v>
          </cell>
        </row>
        <row r="1346">
          <cell r="B1346">
            <v>37056</v>
          </cell>
          <cell r="C1346">
            <v>7.96</v>
          </cell>
        </row>
        <row r="1347">
          <cell r="B1347">
            <v>37057</v>
          </cell>
          <cell r="C1347">
            <v>7.62</v>
          </cell>
        </row>
        <row r="1348">
          <cell r="B1348">
            <v>37058</v>
          </cell>
          <cell r="C1348">
            <v>7.62</v>
          </cell>
        </row>
        <row r="1349">
          <cell r="B1349">
            <v>37059</v>
          </cell>
          <cell r="C1349">
            <v>7.62</v>
          </cell>
        </row>
        <row r="1350">
          <cell r="B1350">
            <v>37060</v>
          </cell>
          <cell r="C1350">
            <v>5.97</v>
          </cell>
        </row>
        <row r="1351">
          <cell r="B1351">
            <v>37061</v>
          </cell>
          <cell r="C1351">
            <v>5.19</v>
          </cell>
        </row>
        <row r="1352">
          <cell r="B1352">
            <v>37062</v>
          </cell>
          <cell r="C1352">
            <v>4.53</v>
          </cell>
        </row>
        <row r="1353">
          <cell r="B1353">
            <v>37063</v>
          </cell>
          <cell r="C1353">
            <v>5</v>
          </cell>
        </row>
        <row r="1354">
          <cell r="B1354">
            <v>37064</v>
          </cell>
          <cell r="C1354">
            <v>5.25</v>
          </cell>
        </row>
        <row r="1355">
          <cell r="B1355">
            <v>37065</v>
          </cell>
          <cell r="C1355">
            <v>5.25</v>
          </cell>
        </row>
        <row r="1356">
          <cell r="B1356">
            <v>37066</v>
          </cell>
          <cell r="C1356">
            <v>5.25</v>
          </cell>
        </row>
        <row r="1357">
          <cell r="B1357">
            <v>37067</v>
          </cell>
          <cell r="C1357">
            <v>4.7</v>
          </cell>
        </row>
        <row r="1358">
          <cell r="B1358">
            <v>37068</v>
          </cell>
          <cell r="C1358">
            <v>5.2</v>
          </cell>
        </row>
        <row r="1359">
          <cell r="B1359">
            <v>37069</v>
          </cell>
          <cell r="C1359">
            <v>5.23</v>
          </cell>
        </row>
        <row r="1360">
          <cell r="B1360">
            <v>37070</v>
          </cell>
          <cell r="C1360">
            <v>5.25</v>
          </cell>
        </row>
        <row r="1361">
          <cell r="B1361">
            <v>37071</v>
          </cell>
          <cell r="C1361">
            <v>5.49</v>
          </cell>
        </row>
        <row r="1362">
          <cell r="B1362">
            <v>37072</v>
          </cell>
          <cell r="C1362">
            <v>5.49</v>
          </cell>
        </row>
        <row r="1363">
          <cell r="B1363">
            <v>37073</v>
          </cell>
          <cell r="C1363">
            <v>5.49</v>
          </cell>
        </row>
        <row r="1364">
          <cell r="B1364">
            <v>37074</v>
          </cell>
          <cell r="C1364">
            <v>5.48</v>
          </cell>
        </row>
        <row r="1365">
          <cell r="B1365">
            <v>37075</v>
          </cell>
          <cell r="C1365">
            <v>5.32</v>
          </cell>
        </row>
        <row r="1366">
          <cell r="B1366">
            <v>37076</v>
          </cell>
          <cell r="C1366">
            <v>5.32</v>
          </cell>
        </row>
        <row r="1367">
          <cell r="B1367">
            <v>37077</v>
          </cell>
          <cell r="C1367">
            <v>4.8000000000000007</v>
          </cell>
        </row>
        <row r="1368">
          <cell r="B1368">
            <v>37078</v>
          </cell>
          <cell r="C1368">
            <v>4.51</v>
          </cell>
        </row>
        <row r="1369">
          <cell r="B1369">
            <v>37079</v>
          </cell>
          <cell r="C1369">
            <v>4.51</v>
          </cell>
        </row>
        <row r="1370">
          <cell r="B1370">
            <v>37080</v>
          </cell>
          <cell r="C1370">
            <v>4.51</v>
          </cell>
        </row>
        <row r="1371">
          <cell r="B1371">
            <v>37081</v>
          </cell>
          <cell r="C1371">
            <v>4.62</v>
          </cell>
        </row>
        <row r="1372">
          <cell r="B1372">
            <v>37082</v>
          </cell>
          <cell r="C1372">
            <v>4.29</v>
          </cell>
        </row>
        <row r="1373">
          <cell r="B1373">
            <v>37083</v>
          </cell>
          <cell r="C1373">
            <v>4</v>
          </cell>
        </row>
        <row r="1374">
          <cell r="B1374">
            <v>37084</v>
          </cell>
          <cell r="C1374">
            <v>3.94</v>
          </cell>
        </row>
        <row r="1375">
          <cell r="B1375">
            <v>37085</v>
          </cell>
          <cell r="C1375">
            <v>3.65</v>
          </cell>
        </row>
        <row r="1376">
          <cell r="B1376">
            <v>37086</v>
          </cell>
          <cell r="C1376">
            <v>3.65</v>
          </cell>
        </row>
        <row r="1377">
          <cell r="B1377">
            <v>37087</v>
          </cell>
          <cell r="C1377">
            <v>3.65</v>
          </cell>
        </row>
        <row r="1378">
          <cell r="B1378">
            <v>37088</v>
          </cell>
          <cell r="C1378">
            <v>4.1399999999999997</v>
          </cell>
        </row>
        <row r="1379">
          <cell r="B1379">
            <v>37089</v>
          </cell>
          <cell r="C1379">
            <v>4.01</v>
          </cell>
        </row>
        <row r="1380">
          <cell r="B1380">
            <v>37090</v>
          </cell>
          <cell r="C1380">
            <v>3.81</v>
          </cell>
        </row>
        <row r="1381">
          <cell r="B1381">
            <v>37091</v>
          </cell>
          <cell r="C1381">
            <v>4.01</v>
          </cell>
        </row>
        <row r="1382">
          <cell r="B1382">
            <v>37092</v>
          </cell>
          <cell r="C1382">
            <v>4.4400000000000004</v>
          </cell>
        </row>
        <row r="1383">
          <cell r="B1383">
            <v>37093</v>
          </cell>
          <cell r="C1383">
            <v>4.4400000000000004</v>
          </cell>
        </row>
        <row r="1384">
          <cell r="B1384">
            <v>37094</v>
          </cell>
          <cell r="C1384">
            <v>4.4400000000000004</v>
          </cell>
        </row>
        <row r="1385">
          <cell r="B1385">
            <v>37095</v>
          </cell>
          <cell r="C1385">
            <v>5.01</v>
          </cell>
        </row>
        <row r="1386">
          <cell r="B1386">
            <v>37096</v>
          </cell>
          <cell r="C1386">
            <v>4.8600000000000003</v>
          </cell>
        </row>
        <row r="1387">
          <cell r="B1387">
            <v>37097</v>
          </cell>
          <cell r="C1387">
            <v>5.18</v>
          </cell>
        </row>
        <row r="1388">
          <cell r="B1388">
            <v>37098</v>
          </cell>
          <cell r="C1388">
            <v>5.07</v>
          </cell>
        </row>
        <row r="1389">
          <cell r="B1389">
            <v>37099</v>
          </cell>
          <cell r="C1389">
            <v>4.5</v>
          </cell>
        </row>
        <row r="1390">
          <cell r="B1390">
            <v>37100</v>
          </cell>
          <cell r="C1390">
            <v>4.5</v>
          </cell>
        </row>
        <row r="1391">
          <cell r="B1391">
            <v>37101</v>
          </cell>
          <cell r="C1391">
            <v>4.5</v>
          </cell>
        </row>
        <row r="1392">
          <cell r="B1392">
            <v>37102</v>
          </cell>
          <cell r="C1392">
            <v>4.1900000000000004</v>
          </cell>
        </row>
        <row r="1393">
          <cell r="B1393">
            <v>37103</v>
          </cell>
          <cell r="C1393">
            <v>4.47</v>
          </cell>
        </row>
        <row r="1394">
          <cell r="B1394">
            <v>37104</v>
          </cell>
          <cell r="C1394">
            <v>4.58</v>
          </cell>
        </row>
        <row r="1395">
          <cell r="B1395">
            <v>37105</v>
          </cell>
          <cell r="C1395">
            <v>4.7</v>
          </cell>
        </row>
        <row r="1396">
          <cell r="B1396">
            <v>37106</v>
          </cell>
          <cell r="C1396">
            <v>4.62</v>
          </cell>
        </row>
        <row r="1397">
          <cell r="B1397">
            <v>37107</v>
          </cell>
          <cell r="C1397">
            <v>4.62</v>
          </cell>
        </row>
        <row r="1398">
          <cell r="B1398">
            <v>37108</v>
          </cell>
          <cell r="C1398">
            <v>4.62</v>
          </cell>
        </row>
        <row r="1399">
          <cell r="B1399">
            <v>37109</v>
          </cell>
          <cell r="C1399">
            <v>4.6100000000000003</v>
          </cell>
        </row>
        <row r="1400">
          <cell r="B1400">
            <v>37110</v>
          </cell>
          <cell r="C1400">
            <v>4.38</v>
          </cell>
        </row>
        <row r="1401">
          <cell r="B1401">
            <v>37111</v>
          </cell>
          <cell r="C1401">
            <v>4.29</v>
          </cell>
        </row>
        <row r="1402">
          <cell r="B1402">
            <v>37112</v>
          </cell>
          <cell r="C1402">
            <v>4.3899999999999997</v>
          </cell>
        </row>
        <row r="1403">
          <cell r="B1403">
            <v>37113</v>
          </cell>
          <cell r="C1403">
            <v>4.32</v>
          </cell>
        </row>
        <row r="1404">
          <cell r="B1404">
            <v>37114</v>
          </cell>
          <cell r="C1404">
            <v>4.32</v>
          </cell>
        </row>
        <row r="1405">
          <cell r="B1405">
            <v>37115</v>
          </cell>
          <cell r="C1405">
            <v>4.32</v>
          </cell>
        </row>
        <row r="1406">
          <cell r="B1406">
            <v>37116</v>
          </cell>
          <cell r="C1406">
            <v>4.3500000000000005</v>
          </cell>
        </row>
        <row r="1407">
          <cell r="B1407">
            <v>37117</v>
          </cell>
          <cell r="C1407">
            <v>4.3</v>
          </cell>
        </row>
        <row r="1408">
          <cell r="B1408">
            <v>37118</v>
          </cell>
          <cell r="C1408">
            <v>4.1500000000000004</v>
          </cell>
        </row>
        <row r="1409">
          <cell r="B1409">
            <v>37119</v>
          </cell>
          <cell r="C1409">
            <v>4.04</v>
          </cell>
        </row>
        <row r="1410">
          <cell r="B1410">
            <v>37120</v>
          </cell>
          <cell r="C1410">
            <v>3.7600000000000002</v>
          </cell>
        </row>
        <row r="1411">
          <cell r="B1411">
            <v>37121</v>
          </cell>
          <cell r="C1411">
            <v>3.7600000000000002</v>
          </cell>
        </row>
        <row r="1412">
          <cell r="B1412">
            <v>37122</v>
          </cell>
          <cell r="C1412">
            <v>3.7600000000000002</v>
          </cell>
        </row>
        <row r="1413">
          <cell r="B1413">
            <v>37123</v>
          </cell>
          <cell r="C1413">
            <v>3.79</v>
          </cell>
        </row>
        <row r="1414">
          <cell r="B1414">
            <v>37124</v>
          </cell>
          <cell r="C1414">
            <v>3.72</v>
          </cell>
        </row>
        <row r="1415">
          <cell r="B1415">
            <v>37125</v>
          </cell>
          <cell r="C1415">
            <v>3.6</v>
          </cell>
        </row>
        <row r="1416">
          <cell r="B1416">
            <v>37126</v>
          </cell>
          <cell r="C1416">
            <v>3.65</v>
          </cell>
        </row>
        <row r="1417">
          <cell r="B1417">
            <v>37127</v>
          </cell>
          <cell r="C1417">
            <v>3.69</v>
          </cell>
        </row>
        <row r="1418">
          <cell r="B1418">
            <v>37128</v>
          </cell>
          <cell r="C1418">
            <v>3.69</v>
          </cell>
        </row>
        <row r="1419">
          <cell r="B1419">
            <v>37129</v>
          </cell>
          <cell r="C1419">
            <v>3.69</v>
          </cell>
        </row>
        <row r="1420">
          <cell r="B1420">
            <v>37130</v>
          </cell>
          <cell r="C1420">
            <v>3.92</v>
          </cell>
        </row>
        <row r="1421">
          <cell r="B1421">
            <v>37131</v>
          </cell>
          <cell r="C1421">
            <v>4.01</v>
          </cell>
        </row>
        <row r="1422">
          <cell r="B1422">
            <v>37132</v>
          </cell>
          <cell r="C1422">
            <v>3.85</v>
          </cell>
        </row>
        <row r="1423">
          <cell r="B1423">
            <v>37133</v>
          </cell>
          <cell r="C1423">
            <v>3.54</v>
          </cell>
        </row>
        <row r="1424">
          <cell r="B1424">
            <v>37134</v>
          </cell>
          <cell r="C1424">
            <v>3.8200000000000003</v>
          </cell>
        </row>
        <row r="1425">
          <cell r="B1425">
            <v>37135</v>
          </cell>
          <cell r="C1425">
            <v>3.8200000000000003</v>
          </cell>
        </row>
        <row r="1426">
          <cell r="B1426">
            <v>37136</v>
          </cell>
          <cell r="C1426">
            <v>3.8200000000000003</v>
          </cell>
        </row>
        <row r="1427">
          <cell r="B1427">
            <v>37137</v>
          </cell>
          <cell r="C1427">
            <v>3.8200000000000003</v>
          </cell>
        </row>
        <row r="1428">
          <cell r="B1428">
            <v>37138</v>
          </cell>
          <cell r="C1428">
            <v>3.59</v>
          </cell>
        </row>
        <row r="1429">
          <cell r="B1429">
            <v>37139</v>
          </cell>
          <cell r="C1429">
            <v>3.3200000000000003</v>
          </cell>
        </row>
        <row r="1430">
          <cell r="B1430">
            <v>37140</v>
          </cell>
          <cell r="C1430">
            <v>3.14</v>
          </cell>
        </row>
        <row r="1431">
          <cell r="B1431">
            <v>37141</v>
          </cell>
          <cell r="C1431">
            <v>3.18</v>
          </cell>
        </row>
        <row r="1432">
          <cell r="B1432">
            <v>37142</v>
          </cell>
          <cell r="C1432">
            <v>3.18</v>
          </cell>
        </row>
        <row r="1433">
          <cell r="B1433">
            <v>37143</v>
          </cell>
          <cell r="C1433">
            <v>3.18</v>
          </cell>
        </row>
        <row r="1434">
          <cell r="B1434">
            <v>37144</v>
          </cell>
          <cell r="C1434">
            <v>3.8200000000000003</v>
          </cell>
        </row>
        <row r="1435">
          <cell r="B1435">
            <v>37145</v>
          </cell>
          <cell r="C1435">
            <v>3.8200000000000003</v>
          </cell>
        </row>
        <row r="1436">
          <cell r="B1436">
            <v>37146</v>
          </cell>
          <cell r="C1436">
            <v>3.8200000000000003</v>
          </cell>
        </row>
        <row r="1437">
          <cell r="B1437">
            <v>37147</v>
          </cell>
          <cell r="C1437">
            <v>3.8200000000000003</v>
          </cell>
        </row>
        <row r="1438">
          <cell r="B1438">
            <v>37148</v>
          </cell>
          <cell r="C1438">
            <v>3.8200000000000003</v>
          </cell>
        </row>
        <row r="1439">
          <cell r="B1439">
            <v>37149</v>
          </cell>
          <cell r="C1439">
            <v>3.8200000000000003</v>
          </cell>
        </row>
        <row r="1440">
          <cell r="B1440">
            <v>37150</v>
          </cell>
          <cell r="C1440">
            <v>3.8200000000000003</v>
          </cell>
        </row>
        <row r="1441">
          <cell r="B1441">
            <v>37151</v>
          </cell>
          <cell r="C1441">
            <v>3.71</v>
          </cell>
        </row>
        <row r="1442">
          <cell r="B1442">
            <v>37152</v>
          </cell>
          <cell r="C1442">
            <v>3.56</v>
          </cell>
        </row>
        <row r="1443">
          <cell r="B1443">
            <v>37153</v>
          </cell>
          <cell r="C1443">
            <v>3.7600000000000002</v>
          </cell>
        </row>
        <row r="1444">
          <cell r="B1444">
            <v>37154</v>
          </cell>
          <cell r="C1444">
            <v>3.61</v>
          </cell>
        </row>
        <row r="1445">
          <cell r="B1445">
            <v>37155</v>
          </cell>
          <cell r="C1445">
            <v>3.8000000000000003</v>
          </cell>
        </row>
        <row r="1446">
          <cell r="B1446">
            <v>37156</v>
          </cell>
          <cell r="C1446">
            <v>3.8000000000000003</v>
          </cell>
        </row>
        <row r="1447">
          <cell r="B1447">
            <v>37157</v>
          </cell>
          <cell r="C1447">
            <v>3.8000000000000003</v>
          </cell>
        </row>
        <row r="1448">
          <cell r="B1448">
            <v>37158</v>
          </cell>
          <cell r="C1448">
            <v>4.1000000000000005</v>
          </cell>
        </row>
        <row r="1449">
          <cell r="B1449">
            <v>37159</v>
          </cell>
          <cell r="C1449">
            <v>3.99</v>
          </cell>
        </row>
        <row r="1450">
          <cell r="B1450">
            <v>37160</v>
          </cell>
          <cell r="C1450">
            <v>3.79</v>
          </cell>
        </row>
        <row r="1451">
          <cell r="B1451">
            <v>37161</v>
          </cell>
          <cell r="C1451">
            <v>3.8000000000000003</v>
          </cell>
        </row>
        <row r="1452">
          <cell r="B1452">
            <v>37162</v>
          </cell>
          <cell r="C1452">
            <v>3.7800000000000002</v>
          </cell>
        </row>
        <row r="1453">
          <cell r="B1453">
            <v>37163</v>
          </cell>
          <cell r="C1453">
            <v>3.7800000000000002</v>
          </cell>
        </row>
        <row r="1454">
          <cell r="B1454">
            <v>37164</v>
          </cell>
          <cell r="C1454">
            <v>3.7800000000000002</v>
          </cell>
        </row>
        <row r="1455">
          <cell r="B1455">
            <v>37165</v>
          </cell>
          <cell r="C1455">
            <v>3.62</v>
          </cell>
        </row>
        <row r="1456">
          <cell r="B1456">
            <v>37166</v>
          </cell>
          <cell r="C1456">
            <v>3.5700000000000003</v>
          </cell>
        </row>
        <row r="1457">
          <cell r="B1457">
            <v>37167</v>
          </cell>
          <cell r="C1457">
            <v>3.47</v>
          </cell>
        </row>
        <row r="1458">
          <cell r="B1458">
            <v>37168</v>
          </cell>
          <cell r="C1458">
            <v>3.0500000000000003</v>
          </cell>
        </row>
        <row r="1459">
          <cell r="B1459">
            <v>37169</v>
          </cell>
          <cell r="C1459">
            <v>1.98</v>
          </cell>
        </row>
        <row r="1460">
          <cell r="B1460">
            <v>37170</v>
          </cell>
          <cell r="C1460">
            <v>1.98</v>
          </cell>
        </row>
        <row r="1461">
          <cell r="B1461">
            <v>37171</v>
          </cell>
          <cell r="C1461">
            <v>1.98</v>
          </cell>
        </row>
        <row r="1462">
          <cell r="B1462">
            <v>37172</v>
          </cell>
          <cell r="C1462">
            <v>2.4500000000000002</v>
          </cell>
        </row>
        <row r="1463">
          <cell r="B1463">
            <v>37173</v>
          </cell>
          <cell r="C1463">
            <v>2.0499999999999998</v>
          </cell>
        </row>
        <row r="1464">
          <cell r="B1464">
            <v>37174</v>
          </cell>
          <cell r="C1464">
            <v>2.35</v>
          </cell>
        </row>
        <row r="1465">
          <cell r="B1465">
            <v>37175</v>
          </cell>
          <cell r="C1465">
            <v>2.65</v>
          </cell>
        </row>
        <row r="1466">
          <cell r="B1466">
            <v>37176</v>
          </cell>
          <cell r="C1466">
            <v>2.94</v>
          </cell>
        </row>
        <row r="1467">
          <cell r="B1467">
            <v>37177</v>
          </cell>
          <cell r="C1467">
            <v>2.94</v>
          </cell>
        </row>
        <row r="1468">
          <cell r="B1468">
            <v>37178</v>
          </cell>
          <cell r="C1468">
            <v>2.94</v>
          </cell>
        </row>
        <row r="1469">
          <cell r="B1469">
            <v>37179</v>
          </cell>
          <cell r="C1469">
            <v>3.31</v>
          </cell>
        </row>
        <row r="1470">
          <cell r="B1470">
            <v>37180</v>
          </cell>
          <cell r="C1470">
            <v>3.31</v>
          </cell>
        </row>
        <row r="1471">
          <cell r="B1471">
            <v>37181</v>
          </cell>
          <cell r="C1471">
            <v>3.14</v>
          </cell>
        </row>
        <row r="1472">
          <cell r="B1472">
            <v>37182</v>
          </cell>
          <cell r="C1472">
            <v>2.89</v>
          </cell>
        </row>
        <row r="1473">
          <cell r="B1473">
            <v>37183</v>
          </cell>
          <cell r="C1473">
            <v>2.96</v>
          </cell>
        </row>
        <row r="1474">
          <cell r="B1474">
            <v>37184</v>
          </cell>
          <cell r="C1474">
            <v>2.96</v>
          </cell>
        </row>
        <row r="1475">
          <cell r="B1475">
            <v>37185</v>
          </cell>
          <cell r="C1475">
            <v>2.96</v>
          </cell>
        </row>
        <row r="1476">
          <cell r="B1476">
            <v>37186</v>
          </cell>
          <cell r="C1476">
            <v>3.16</v>
          </cell>
        </row>
        <row r="1477">
          <cell r="B1477">
            <v>37187</v>
          </cell>
          <cell r="C1477">
            <v>3.15</v>
          </cell>
        </row>
        <row r="1478">
          <cell r="B1478">
            <v>37188</v>
          </cell>
          <cell r="C1478">
            <v>3</v>
          </cell>
        </row>
        <row r="1479">
          <cell r="B1479">
            <v>37189</v>
          </cell>
          <cell r="C1479">
            <v>3.0500000000000003</v>
          </cell>
        </row>
        <row r="1480">
          <cell r="B1480">
            <v>37190</v>
          </cell>
          <cell r="C1480">
            <v>3.67</v>
          </cell>
        </row>
        <row r="1481">
          <cell r="B1481">
            <v>37191</v>
          </cell>
          <cell r="C1481">
            <v>3.67</v>
          </cell>
        </row>
        <row r="1482">
          <cell r="B1482">
            <v>37192</v>
          </cell>
          <cell r="C1482">
            <v>3.67</v>
          </cell>
        </row>
        <row r="1483">
          <cell r="B1483">
            <v>37193</v>
          </cell>
          <cell r="C1483">
            <v>3.56</v>
          </cell>
        </row>
        <row r="1484">
          <cell r="B1484">
            <v>37194</v>
          </cell>
          <cell r="C1484">
            <v>3.29</v>
          </cell>
        </row>
        <row r="1485">
          <cell r="B1485">
            <v>37195</v>
          </cell>
          <cell r="C1485">
            <v>3.44</v>
          </cell>
        </row>
        <row r="1486">
          <cell r="B1486">
            <v>37196</v>
          </cell>
          <cell r="C1486">
            <v>3.5</v>
          </cell>
        </row>
        <row r="1487">
          <cell r="B1487">
            <v>37197</v>
          </cell>
          <cell r="C1487">
            <v>3.47</v>
          </cell>
        </row>
        <row r="1488">
          <cell r="B1488">
            <v>37198</v>
          </cell>
          <cell r="C1488">
            <v>3.47</v>
          </cell>
        </row>
        <row r="1489">
          <cell r="B1489">
            <v>37199</v>
          </cell>
          <cell r="C1489">
            <v>3.47</v>
          </cell>
        </row>
        <row r="1490">
          <cell r="B1490">
            <v>37200</v>
          </cell>
          <cell r="C1490">
            <v>3.7800000000000002</v>
          </cell>
        </row>
        <row r="1491">
          <cell r="B1491">
            <v>37201</v>
          </cell>
          <cell r="C1491">
            <v>3.89</v>
          </cell>
        </row>
        <row r="1492">
          <cell r="B1492">
            <v>37202</v>
          </cell>
          <cell r="C1492">
            <v>3.88</v>
          </cell>
        </row>
        <row r="1493">
          <cell r="B1493">
            <v>37203</v>
          </cell>
          <cell r="C1493">
            <v>4.5200000000000005</v>
          </cell>
        </row>
        <row r="1494">
          <cell r="B1494">
            <v>37204</v>
          </cell>
          <cell r="C1494">
            <v>4.97</v>
          </cell>
        </row>
        <row r="1495">
          <cell r="B1495">
            <v>37205</v>
          </cell>
          <cell r="C1495">
            <v>4.97</v>
          </cell>
        </row>
        <row r="1496">
          <cell r="B1496">
            <v>37206</v>
          </cell>
          <cell r="C1496">
            <v>4.97</v>
          </cell>
        </row>
        <row r="1497">
          <cell r="B1497">
            <v>37207</v>
          </cell>
          <cell r="C1497">
            <v>4.9800000000000004</v>
          </cell>
        </row>
        <row r="1498">
          <cell r="B1498">
            <v>37208</v>
          </cell>
          <cell r="C1498">
            <v>5.49</v>
          </cell>
        </row>
        <row r="1499">
          <cell r="B1499">
            <v>37209</v>
          </cell>
          <cell r="C1499">
            <v>7.32</v>
          </cell>
        </row>
        <row r="1500">
          <cell r="B1500">
            <v>37210</v>
          </cell>
          <cell r="C1500">
            <v>6.88</v>
          </cell>
        </row>
        <row r="1501">
          <cell r="B1501">
            <v>37211</v>
          </cell>
          <cell r="C1501">
            <v>6.82</v>
          </cell>
        </row>
        <row r="1502">
          <cell r="B1502">
            <v>37212</v>
          </cell>
          <cell r="C1502">
            <v>6.82</v>
          </cell>
        </row>
        <row r="1503">
          <cell r="B1503">
            <v>37213</v>
          </cell>
          <cell r="C1503">
            <v>6.82</v>
          </cell>
        </row>
        <row r="1504">
          <cell r="B1504">
            <v>37214</v>
          </cell>
          <cell r="C1504">
            <v>6.45</v>
          </cell>
        </row>
        <row r="1505">
          <cell r="B1505">
            <v>37215</v>
          </cell>
          <cell r="C1505">
            <v>6.51</v>
          </cell>
        </row>
        <row r="1506">
          <cell r="B1506">
            <v>37216</v>
          </cell>
          <cell r="C1506">
            <v>6.23</v>
          </cell>
        </row>
        <row r="1507">
          <cell r="B1507">
            <v>37217</v>
          </cell>
          <cell r="C1507">
            <v>6.23</v>
          </cell>
        </row>
        <row r="1508">
          <cell r="B1508">
            <v>37218</v>
          </cell>
          <cell r="C1508">
            <v>6.0600000000000005</v>
          </cell>
        </row>
        <row r="1509">
          <cell r="B1509">
            <v>37219</v>
          </cell>
          <cell r="C1509">
            <v>6.0600000000000005</v>
          </cell>
        </row>
        <row r="1510">
          <cell r="B1510">
            <v>37220</v>
          </cell>
          <cell r="C1510">
            <v>6.0600000000000005</v>
          </cell>
        </row>
        <row r="1511">
          <cell r="B1511">
            <v>37221</v>
          </cell>
          <cell r="C1511">
            <v>5.7</v>
          </cell>
        </row>
        <row r="1512">
          <cell r="B1512">
            <v>37222</v>
          </cell>
          <cell r="C1512">
            <v>6.54</v>
          </cell>
        </row>
        <row r="1513">
          <cell r="B1513">
            <v>37223</v>
          </cell>
          <cell r="C1513">
            <v>6.13</v>
          </cell>
        </row>
        <row r="1514">
          <cell r="B1514">
            <v>37224</v>
          </cell>
          <cell r="C1514">
            <v>5.54</v>
          </cell>
        </row>
        <row r="1515">
          <cell r="B1515">
            <v>37225</v>
          </cell>
          <cell r="C1515">
            <v>5.58</v>
          </cell>
        </row>
        <row r="1516">
          <cell r="B1516">
            <v>37226</v>
          </cell>
          <cell r="C1516">
            <v>5.58</v>
          </cell>
        </row>
        <row r="1517">
          <cell r="B1517">
            <v>37227</v>
          </cell>
          <cell r="C1517">
            <v>5.58</v>
          </cell>
        </row>
        <row r="1518">
          <cell r="B1518">
            <v>37228</v>
          </cell>
          <cell r="C1518">
            <v>5.26</v>
          </cell>
        </row>
        <row r="1519">
          <cell r="B1519">
            <v>37229</v>
          </cell>
          <cell r="C1519">
            <v>5.59</v>
          </cell>
        </row>
        <row r="1520">
          <cell r="B1520">
            <v>37230</v>
          </cell>
          <cell r="C1520">
            <v>6.2</v>
          </cell>
        </row>
        <row r="1521">
          <cell r="B1521">
            <v>37231</v>
          </cell>
          <cell r="C1521">
            <v>6.34</v>
          </cell>
        </row>
        <row r="1522">
          <cell r="B1522">
            <v>37232</v>
          </cell>
          <cell r="C1522">
            <v>6.4</v>
          </cell>
        </row>
        <row r="1523">
          <cell r="B1523">
            <v>37233</v>
          </cell>
          <cell r="C1523">
            <v>6.4</v>
          </cell>
        </row>
        <row r="1524">
          <cell r="B1524">
            <v>37234</v>
          </cell>
          <cell r="C1524">
            <v>6.4</v>
          </cell>
        </row>
        <row r="1525">
          <cell r="B1525">
            <v>37235</v>
          </cell>
          <cell r="C1525">
            <v>6.65</v>
          </cell>
        </row>
        <row r="1526">
          <cell r="B1526">
            <v>37236</v>
          </cell>
          <cell r="C1526">
            <v>6.59</v>
          </cell>
        </row>
        <row r="1527">
          <cell r="B1527">
            <v>37237</v>
          </cell>
          <cell r="C1527">
            <v>6.82</v>
          </cell>
        </row>
        <row r="1528">
          <cell r="B1528">
            <v>37238</v>
          </cell>
          <cell r="C1528">
            <v>6.19</v>
          </cell>
        </row>
        <row r="1529">
          <cell r="B1529">
            <v>37239</v>
          </cell>
          <cell r="C1529">
            <v>5.7700000000000005</v>
          </cell>
        </row>
        <row r="1530">
          <cell r="B1530">
            <v>37240</v>
          </cell>
          <cell r="C1530">
            <v>5.7700000000000005</v>
          </cell>
        </row>
        <row r="1531">
          <cell r="B1531">
            <v>37241</v>
          </cell>
          <cell r="C1531">
            <v>5.7700000000000005</v>
          </cell>
        </row>
        <row r="1532">
          <cell r="B1532">
            <v>37242</v>
          </cell>
          <cell r="C1532">
            <v>5.6000000000000005</v>
          </cell>
        </row>
        <row r="1533">
          <cell r="B1533">
            <v>37243</v>
          </cell>
          <cell r="C1533">
            <v>5.65</v>
          </cell>
        </row>
        <row r="1534">
          <cell r="B1534">
            <v>37244</v>
          </cell>
          <cell r="C1534">
            <v>5.45</v>
          </cell>
        </row>
        <row r="1535">
          <cell r="B1535">
            <v>37245</v>
          </cell>
          <cell r="C1535">
            <v>5.07</v>
          </cell>
        </row>
        <row r="1536">
          <cell r="B1536">
            <v>37246</v>
          </cell>
          <cell r="C1536">
            <v>4.9000000000000004</v>
          </cell>
        </row>
        <row r="1537">
          <cell r="B1537">
            <v>37247</v>
          </cell>
          <cell r="C1537">
            <v>4.9000000000000004</v>
          </cell>
        </row>
        <row r="1538">
          <cell r="B1538">
            <v>37248</v>
          </cell>
          <cell r="C1538">
            <v>4.9000000000000004</v>
          </cell>
        </row>
        <row r="1539">
          <cell r="B1539">
            <v>37249</v>
          </cell>
          <cell r="C1539">
            <v>5.05</v>
          </cell>
        </row>
        <row r="1540">
          <cell r="B1540">
            <v>37250</v>
          </cell>
          <cell r="C1540">
            <v>5.05</v>
          </cell>
        </row>
        <row r="1541">
          <cell r="B1541">
            <v>37251</v>
          </cell>
          <cell r="C1541">
            <v>5.12</v>
          </cell>
        </row>
        <row r="1542">
          <cell r="B1542">
            <v>37252</v>
          </cell>
          <cell r="C1542">
            <v>5</v>
          </cell>
        </row>
        <row r="1543">
          <cell r="B1543">
            <v>37253</v>
          </cell>
          <cell r="C1543">
            <v>4.8000000000000007</v>
          </cell>
        </row>
        <row r="1544">
          <cell r="B1544">
            <v>37254</v>
          </cell>
          <cell r="C1544">
            <v>4.8000000000000007</v>
          </cell>
        </row>
        <row r="1545">
          <cell r="B1545">
            <v>37255</v>
          </cell>
          <cell r="C1545">
            <v>4.8000000000000007</v>
          </cell>
        </row>
        <row r="1546">
          <cell r="B1546">
            <v>37256</v>
          </cell>
          <cell r="C1546">
            <v>5</v>
          </cell>
        </row>
        <row r="1547">
          <cell r="B1547">
            <v>37257</v>
          </cell>
          <cell r="C1547">
            <v>5</v>
          </cell>
        </row>
        <row r="1548">
          <cell r="B1548">
            <v>37258</v>
          </cell>
          <cell r="C1548">
            <v>5.5</v>
          </cell>
        </row>
        <row r="1549">
          <cell r="B1549">
            <v>37259</v>
          </cell>
          <cell r="C1549">
            <v>5.8500000000000005</v>
          </cell>
        </row>
        <row r="1550">
          <cell r="B1550">
            <v>37260</v>
          </cell>
          <cell r="C1550">
            <v>5.7700000000000005</v>
          </cell>
        </row>
        <row r="1551">
          <cell r="B1551">
            <v>37261</v>
          </cell>
          <cell r="C1551">
            <v>5.7700000000000005</v>
          </cell>
        </row>
        <row r="1552">
          <cell r="B1552">
            <v>37262</v>
          </cell>
          <cell r="C1552">
            <v>5.7700000000000005</v>
          </cell>
        </row>
        <row r="1553">
          <cell r="B1553">
            <v>37263</v>
          </cell>
          <cell r="C1553">
            <v>5.45</v>
          </cell>
        </row>
        <row r="1554">
          <cell r="B1554">
            <v>37264</v>
          </cell>
          <cell r="C1554">
            <v>5.47</v>
          </cell>
        </row>
        <row r="1555">
          <cell r="B1555">
            <v>37265</v>
          </cell>
          <cell r="C1555">
            <v>5.25</v>
          </cell>
        </row>
        <row r="1556">
          <cell r="B1556">
            <v>37266</v>
          </cell>
          <cell r="C1556">
            <v>5.1000000000000005</v>
          </cell>
        </row>
        <row r="1557">
          <cell r="B1557">
            <v>37267</v>
          </cell>
          <cell r="C1557">
            <v>4.66</v>
          </cell>
        </row>
        <row r="1558">
          <cell r="B1558">
            <v>37268</v>
          </cell>
          <cell r="C1558">
            <v>4.66</v>
          </cell>
        </row>
        <row r="1559">
          <cell r="B1559">
            <v>37269</v>
          </cell>
          <cell r="C1559">
            <v>4.66</v>
          </cell>
        </row>
        <row r="1560">
          <cell r="B1560">
            <v>37270</v>
          </cell>
          <cell r="C1560">
            <v>4.43</v>
          </cell>
        </row>
        <row r="1561">
          <cell r="B1561">
            <v>37271</v>
          </cell>
          <cell r="C1561">
            <v>4.08</v>
          </cell>
        </row>
        <row r="1562">
          <cell r="B1562">
            <v>37272</v>
          </cell>
          <cell r="C1562">
            <v>4.04</v>
          </cell>
        </row>
        <row r="1563">
          <cell r="B1563">
            <v>37273</v>
          </cell>
          <cell r="C1563">
            <v>4.1500000000000004</v>
          </cell>
        </row>
        <row r="1564">
          <cell r="B1564">
            <v>37274</v>
          </cell>
          <cell r="C1564">
            <v>3.97</v>
          </cell>
        </row>
        <row r="1565">
          <cell r="B1565">
            <v>37275</v>
          </cell>
          <cell r="C1565">
            <v>3.97</v>
          </cell>
        </row>
        <row r="1566">
          <cell r="B1566">
            <v>37276</v>
          </cell>
          <cell r="C1566">
            <v>3.97</v>
          </cell>
        </row>
        <row r="1567">
          <cell r="B1567">
            <v>37277</v>
          </cell>
          <cell r="C1567">
            <v>3.97</v>
          </cell>
        </row>
        <row r="1568">
          <cell r="B1568">
            <v>37278</v>
          </cell>
          <cell r="C1568">
            <v>3.89</v>
          </cell>
        </row>
        <row r="1569">
          <cell r="B1569">
            <v>37279</v>
          </cell>
          <cell r="C1569">
            <v>4.1900000000000004</v>
          </cell>
        </row>
        <row r="1570">
          <cell r="B1570">
            <v>37280</v>
          </cell>
          <cell r="C1570">
            <v>4.51</v>
          </cell>
        </row>
        <row r="1571">
          <cell r="B1571">
            <v>37281</v>
          </cell>
          <cell r="C1571">
            <v>4.37</v>
          </cell>
        </row>
        <row r="1572">
          <cell r="B1572">
            <v>37282</v>
          </cell>
          <cell r="C1572">
            <v>4.37</v>
          </cell>
        </row>
        <row r="1573">
          <cell r="B1573">
            <v>37283</v>
          </cell>
          <cell r="C1573">
            <v>4.37</v>
          </cell>
        </row>
        <row r="1574">
          <cell r="B1574">
            <v>37284</v>
          </cell>
          <cell r="C1574">
            <v>4.67</v>
          </cell>
        </row>
        <row r="1575">
          <cell r="B1575">
            <v>37285</v>
          </cell>
          <cell r="C1575">
            <v>3.95</v>
          </cell>
        </row>
        <row r="1576">
          <cell r="B1576">
            <v>37286</v>
          </cell>
          <cell r="C1576">
            <v>3</v>
          </cell>
        </row>
        <row r="1577">
          <cell r="B1577">
            <v>37287</v>
          </cell>
          <cell r="C1577">
            <v>3</v>
          </cell>
        </row>
        <row r="1578">
          <cell r="B1578">
            <v>37288</v>
          </cell>
          <cell r="C1578">
            <v>3.0100000000000002</v>
          </cell>
        </row>
        <row r="1579">
          <cell r="B1579">
            <v>37289</v>
          </cell>
          <cell r="C1579">
            <v>3.0100000000000002</v>
          </cell>
        </row>
        <row r="1580">
          <cell r="B1580">
            <v>37290</v>
          </cell>
          <cell r="C1580">
            <v>3.0100000000000002</v>
          </cell>
        </row>
        <row r="1581">
          <cell r="B1581">
            <v>37291</v>
          </cell>
          <cell r="C1581">
            <v>2.54</v>
          </cell>
        </row>
        <row r="1582">
          <cell r="B1582">
            <v>37292</v>
          </cell>
          <cell r="C1582">
            <v>2.46</v>
          </cell>
        </row>
        <row r="1583">
          <cell r="B1583">
            <v>37293</v>
          </cell>
          <cell r="C1583">
            <v>2.2400000000000002</v>
          </cell>
        </row>
        <row r="1584">
          <cell r="B1584">
            <v>37294</v>
          </cell>
          <cell r="C1584">
            <v>2.33</v>
          </cell>
        </row>
        <row r="1585">
          <cell r="B1585">
            <v>37295</v>
          </cell>
          <cell r="C1585">
            <v>2.3000000000000003</v>
          </cell>
        </row>
        <row r="1586">
          <cell r="B1586">
            <v>37296</v>
          </cell>
          <cell r="C1586">
            <v>2.3000000000000003</v>
          </cell>
        </row>
        <row r="1587">
          <cell r="B1587">
            <v>37297</v>
          </cell>
          <cell r="C1587">
            <v>2.3000000000000003</v>
          </cell>
        </row>
        <row r="1588">
          <cell r="B1588">
            <v>37298</v>
          </cell>
          <cell r="C1588">
            <v>2.2400000000000002</v>
          </cell>
        </row>
        <row r="1589">
          <cell r="B1589">
            <v>37299</v>
          </cell>
          <cell r="C1589">
            <v>2.2200000000000002</v>
          </cell>
        </row>
        <row r="1590">
          <cell r="B1590">
            <v>37300</v>
          </cell>
          <cell r="C1590">
            <v>2.33</v>
          </cell>
        </row>
        <row r="1591">
          <cell r="B1591">
            <v>37301</v>
          </cell>
          <cell r="C1591">
            <v>2.4500000000000002</v>
          </cell>
        </row>
        <row r="1592">
          <cell r="B1592">
            <v>37302</v>
          </cell>
          <cell r="C1592">
            <v>2.4000000000000004</v>
          </cell>
        </row>
        <row r="1593">
          <cell r="B1593">
            <v>37303</v>
          </cell>
          <cell r="C1593">
            <v>2.4000000000000004</v>
          </cell>
        </row>
        <row r="1594">
          <cell r="B1594">
            <v>37304</v>
          </cell>
          <cell r="C1594">
            <v>2.4000000000000004</v>
          </cell>
        </row>
        <row r="1595">
          <cell r="B1595">
            <v>37305</v>
          </cell>
          <cell r="C1595">
            <v>2.4000000000000004</v>
          </cell>
        </row>
        <row r="1596">
          <cell r="B1596">
            <v>37306</v>
          </cell>
          <cell r="C1596">
            <v>2.35</v>
          </cell>
        </row>
        <row r="1597">
          <cell r="B1597">
            <v>37307</v>
          </cell>
          <cell r="C1597">
            <v>2.41</v>
          </cell>
        </row>
        <row r="1598">
          <cell r="B1598">
            <v>37308</v>
          </cell>
          <cell r="C1598">
            <v>2.4700000000000002</v>
          </cell>
        </row>
        <row r="1599">
          <cell r="B1599">
            <v>37309</v>
          </cell>
          <cell r="C1599">
            <v>2.4500000000000002</v>
          </cell>
        </row>
        <row r="1600">
          <cell r="B1600">
            <v>37310</v>
          </cell>
          <cell r="C1600">
            <v>2.4500000000000002</v>
          </cell>
        </row>
        <row r="1601">
          <cell r="B1601">
            <v>37311</v>
          </cell>
          <cell r="C1601">
            <v>2.4500000000000002</v>
          </cell>
        </row>
        <row r="1602">
          <cell r="B1602">
            <v>37312</v>
          </cell>
          <cell r="C1602">
            <v>3.0100000000000002</v>
          </cell>
        </row>
        <row r="1603">
          <cell r="B1603">
            <v>37313</v>
          </cell>
          <cell r="C1603">
            <v>3.16</v>
          </cell>
        </row>
        <row r="1604">
          <cell r="B1604">
            <v>37314</v>
          </cell>
          <cell r="C1604">
            <v>3.14</v>
          </cell>
        </row>
        <row r="1605">
          <cell r="B1605">
            <v>37315</v>
          </cell>
          <cell r="C1605">
            <v>3.02</v>
          </cell>
        </row>
        <row r="1606">
          <cell r="B1606">
            <v>37316</v>
          </cell>
          <cell r="C1606">
            <v>2.99</v>
          </cell>
        </row>
        <row r="1607">
          <cell r="B1607">
            <v>37317</v>
          </cell>
          <cell r="C1607">
            <v>2.99</v>
          </cell>
        </row>
        <row r="1608">
          <cell r="B1608">
            <v>37318</v>
          </cell>
          <cell r="C1608">
            <v>2.99</v>
          </cell>
        </row>
        <row r="1609">
          <cell r="B1609">
            <v>37319</v>
          </cell>
          <cell r="C1609">
            <v>3.25</v>
          </cell>
        </row>
        <row r="1610">
          <cell r="B1610">
            <v>37320</v>
          </cell>
          <cell r="C1610">
            <v>4.07</v>
          </cell>
        </row>
        <row r="1611">
          <cell r="B1611">
            <v>37321</v>
          </cell>
          <cell r="C1611">
            <v>4.9000000000000004</v>
          </cell>
        </row>
        <row r="1612">
          <cell r="B1612">
            <v>37322</v>
          </cell>
          <cell r="C1612">
            <v>4.37</v>
          </cell>
        </row>
        <row r="1613">
          <cell r="B1613">
            <v>37323</v>
          </cell>
          <cell r="C1613">
            <v>4.2</v>
          </cell>
        </row>
        <row r="1614">
          <cell r="B1614">
            <v>37324</v>
          </cell>
          <cell r="C1614">
            <v>4.2</v>
          </cell>
        </row>
        <row r="1615">
          <cell r="B1615">
            <v>37325</v>
          </cell>
          <cell r="C1615">
            <v>4.2</v>
          </cell>
        </row>
        <row r="1616">
          <cell r="B1616">
            <v>37326</v>
          </cell>
          <cell r="C1616">
            <v>4.5</v>
          </cell>
        </row>
        <row r="1617">
          <cell r="B1617">
            <v>37327</v>
          </cell>
          <cell r="C1617">
            <v>4.17</v>
          </cell>
        </row>
        <row r="1618">
          <cell r="B1618">
            <v>37328</v>
          </cell>
          <cell r="C1618">
            <v>3.95</v>
          </cell>
        </row>
        <row r="1619">
          <cell r="B1619">
            <v>37329</v>
          </cell>
          <cell r="C1619">
            <v>4</v>
          </cell>
        </row>
        <row r="1620">
          <cell r="B1620">
            <v>37330</v>
          </cell>
          <cell r="C1620">
            <v>3.94</v>
          </cell>
        </row>
        <row r="1621">
          <cell r="B1621">
            <v>37331</v>
          </cell>
          <cell r="C1621">
            <v>3.94</v>
          </cell>
        </row>
        <row r="1622">
          <cell r="B1622">
            <v>37332</v>
          </cell>
          <cell r="C1622">
            <v>3.94</v>
          </cell>
        </row>
        <row r="1623">
          <cell r="B1623">
            <v>37333</v>
          </cell>
          <cell r="C1623">
            <v>3.65</v>
          </cell>
        </row>
        <row r="1624">
          <cell r="B1624">
            <v>37334</v>
          </cell>
          <cell r="C1624">
            <v>3.65</v>
          </cell>
        </row>
        <row r="1625">
          <cell r="B1625">
            <v>37335</v>
          </cell>
          <cell r="C1625">
            <v>3.43</v>
          </cell>
        </row>
        <row r="1626">
          <cell r="B1626">
            <v>37336</v>
          </cell>
          <cell r="C1626">
            <v>3.49</v>
          </cell>
        </row>
        <row r="1627">
          <cell r="B1627">
            <v>37337</v>
          </cell>
          <cell r="C1627">
            <v>3.6</v>
          </cell>
        </row>
        <row r="1628">
          <cell r="B1628">
            <v>37338</v>
          </cell>
          <cell r="C1628">
            <v>3.6</v>
          </cell>
        </row>
        <row r="1629">
          <cell r="B1629">
            <v>37339</v>
          </cell>
          <cell r="C1629">
            <v>3.6</v>
          </cell>
        </row>
        <row r="1630">
          <cell r="B1630">
            <v>37340</v>
          </cell>
          <cell r="C1630">
            <v>3.56</v>
          </cell>
        </row>
        <row r="1631">
          <cell r="B1631">
            <v>37341</v>
          </cell>
          <cell r="C1631">
            <v>3.65</v>
          </cell>
        </row>
        <row r="1632">
          <cell r="B1632">
            <v>37342</v>
          </cell>
          <cell r="C1632">
            <v>3.7600000000000002</v>
          </cell>
        </row>
        <row r="1633">
          <cell r="B1633">
            <v>37343</v>
          </cell>
          <cell r="C1633">
            <v>3.56</v>
          </cell>
        </row>
        <row r="1634">
          <cell r="B1634">
            <v>37344</v>
          </cell>
          <cell r="C1634">
            <v>3.56</v>
          </cell>
        </row>
        <row r="1635">
          <cell r="B1635">
            <v>37345</v>
          </cell>
          <cell r="C1635">
            <v>3.56</v>
          </cell>
        </row>
        <row r="1636">
          <cell r="B1636">
            <v>37346</v>
          </cell>
          <cell r="C1636">
            <v>3.56</v>
          </cell>
        </row>
        <row r="1637">
          <cell r="B1637">
            <v>37347</v>
          </cell>
          <cell r="C1637">
            <v>3.43</v>
          </cell>
        </row>
        <row r="1638">
          <cell r="B1638">
            <v>37348</v>
          </cell>
          <cell r="C1638">
            <v>3.36</v>
          </cell>
        </row>
        <row r="1639">
          <cell r="B1639">
            <v>37349</v>
          </cell>
          <cell r="C1639">
            <v>3.6</v>
          </cell>
        </row>
        <row r="1640">
          <cell r="B1640">
            <v>37350</v>
          </cell>
          <cell r="C1640">
            <v>3.79</v>
          </cell>
        </row>
        <row r="1641">
          <cell r="B1641">
            <v>37351</v>
          </cell>
          <cell r="C1641">
            <v>3.85</v>
          </cell>
        </row>
        <row r="1642">
          <cell r="B1642">
            <v>37352</v>
          </cell>
          <cell r="C1642">
            <v>3.85</v>
          </cell>
        </row>
        <row r="1643">
          <cell r="B1643">
            <v>37353</v>
          </cell>
          <cell r="C1643">
            <v>3.85</v>
          </cell>
        </row>
        <row r="1644">
          <cell r="B1644">
            <v>37354</v>
          </cell>
          <cell r="C1644">
            <v>3.81</v>
          </cell>
        </row>
        <row r="1645">
          <cell r="B1645">
            <v>37355</v>
          </cell>
          <cell r="C1645">
            <v>4.04</v>
          </cell>
        </row>
        <row r="1646">
          <cell r="B1646">
            <v>37356</v>
          </cell>
          <cell r="C1646">
            <v>4.1500000000000004</v>
          </cell>
        </row>
        <row r="1647">
          <cell r="B1647">
            <v>37357</v>
          </cell>
          <cell r="C1647">
            <v>4.03</v>
          </cell>
        </row>
        <row r="1648">
          <cell r="B1648">
            <v>37358</v>
          </cell>
          <cell r="C1648">
            <v>4</v>
          </cell>
        </row>
        <row r="1649">
          <cell r="B1649">
            <v>37359</v>
          </cell>
          <cell r="C1649">
            <v>4</v>
          </cell>
        </row>
        <row r="1650">
          <cell r="B1650">
            <v>37360</v>
          </cell>
          <cell r="C1650">
            <v>4</v>
          </cell>
        </row>
        <row r="1651">
          <cell r="B1651">
            <v>37361</v>
          </cell>
          <cell r="C1651">
            <v>4.1100000000000003</v>
          </cell>
        </row>
        <row r="1652">
          <cell r="B1652">
            <v>37362</v>
          </cell>
          <cell r="C1652">
            <v>4.49</v>
          </cell>
        </row>
        <row r="1653">
          <cell r="B1653">
            <v>37363</v>
          </cell>
          <cell r="C1653">
            <v>4.45</v>
          </cell>
        </row>
        <row r="1654">
          <cell r="B1654">
            <v>37364</v>
          </cell>
          <cell r="C1654">
            <v>4.5600000000000005</v>
          </cell>
        </row>
        <row r="1655">
          <cell r="B1655">
            <v>37365</v>
          </cell>
          <cell r="C1655">
            <v>4.66</v>
          </cell>
        </row>
        <row r="1656">
          <cell r="B1656">
            <v>37366</v>
          </cell>
          <cell r="C1656">
            <v>4.66</v>
          </cell>
        </row>
        <row r="1657">
          <cell r="B1657">
            <v>37367</v>
          </cell>
          <cell r="C1657">
            <v>4.66</v>
          </cell>
        </row>
        <row r="1658">
          <cell r="B1658">
            <v>37368</v>
          </cell>
          <cell r="C1658">
            <v>4.49</v>
          </cell>
        </row>
        <row r="1659">
          <cell r="B1659">
            <v>37369</v>
          </cell>
          <cell r="C1659">
            <v>4.55</v>
          </cell>
        </row>
        <row r="1660">
          <cell r="B1660">
            <v>37370</v>
          </cell>
          <cell r="C1660">
            <v>4.41</v>
          </cell>
        </row>
        <row r="1661">
          <cell r="B1661">
            <v>37371</v>
          </cell>
          <cell r="C1661">
            <v>4.5200000000000005</v>
          </cell>
        </row>
        <row r="1662">
          <cell r="B1662">
            <v>37372</v>
          </cell>
          <cell r="C1662">
            <v>4.5</v>
          </cell>
        </row>
        <row r="1663">
          <cell r="B1663">
            <v>37373</v>
          </cell>
          <cell r="C1663">
            <v>4.5</v>
          </cell>
        </row>
        <row r="1664">
          <cell r="B1664">
            <v>37374</v>
          </cell>
          <cell r="C1664">
            <v>4.5</v>
          </cell>
        </row>
        <row r="1665">
          <cell r="B1665">
            <v>37375</v>
          </cell>
          <cell r="C1665">
            <v>4.3</v>
          </cell>
        </row>
        <row r="1666">
          <cell r="B1666">
            <v>37376</v>
          </cell>
          <cell r="C1666">
            <v>4.08</v>
          </cell>
        </row>
        <row r="1667">
          <cell r="B1667">
            <v>37377</v>
          </cell>
          <cell r="C1667">
            <v>3.62</v>
          </cell>
        </row>
        <row r="1668">
          <cell r="B1668">
            <v>37378</v>
          </cell>
          <cell r="C1668">
            <v>3.92</v>
          </cell>
        </row>
        <row r="1669">
          <cell r="B1669">
            <v>37379</v>
          </cell>
          <cell r="C1669">
            <v>3.9000000000000004</v>
          </cell>
        </row>
        <row r="1670">
          <cell r="B1670">
            <v>37380</v>
          </cell>
          <cell r="C1670">
            <v>3.9000000000000004</v>
          </cell>
        </row>
        <row r="1671">
          <cell r="B1671">
            <v>37381</v>
          </cell>
          <cell r="C1671">
            <v>3.9000000000000004</v>
          </cell>
        </row>
        <row r="1672">
          <cell r="B1672">
            <v>37382</v>
          </cell>
          <cell r="C1672">
            <v>4.04</v>
          </cell>
        </row>
        <row r="1673">
          <cell r="B1673">
            <v>37383</v>
          </cell>
          <cell r="C1673">
            <v>4.12</v>
          </cell>
        </row>
        <row r="1674">
          <cell r="B1674">
            <v>37384</v>
          </cell>
          <cell r="C1674">
            <v>4.47</v>
          </cell>
        </row>
        <row r="1675">
          <cell r="B1675">
            <v>37385</v>
          </cell>
          <cell r="C1675">
            <v>4.3600000000000003</v>
          </cell>
        </row>
        <row r="1676">
          <cell r="B1676">
            <v>37386</v>
          </cell>
          <cell r="C1676">
            <v>4.26</v>
          </cell>
        </row>
        <row r="1677">
          <cell r="B1677">
            <v>37387</v>
          </cell>
          <cell r="C1677">
            <v>4.26</v>
          </cell>
        </row>
        <row r="1678">
          <cell r="B1678">
            <v>37388</v>
          </cell>
          <cell r="C1678">
            <v>4.26</v>
          </cell>
        </row>
        <row r="1679">
          <cell r="B1679">
            <v>37389</v>
          </cell>
          <cell r="C1679">
            <v>4.32</v>
          </cell>
        </row>
        <row r="1680">
          <cell r="B1680">
            <v>37390</v>
          </cell>
          <cell r="C1680">
            <v>4.4400000000000004</v>
          </cell>
        </row>
        <row r="1681">
          <cell r="B1681">
            <v>37391</v>
          </cell>
          <cell r="C1681">
            <v>4.6500000000000004</v>
          </cell>
        </row>
        <row r="1682">
          <cell r="B1682">
            <v>37392</v>
          </cell>
          <cell r="C1682">
            <v>4.82</v>
          </cell>
        </row>
        <row r="1683">
          <cell r="B1683">
            <v>37393</v>
          </cell>
          <cell r="C1683">
            <v>4.95</v>
          </cell>
        </row>
        <row r="1684">
          <cell r="B1684">
            <v>37394</v>
          </cell>
          <cell r="C1684">
            <v>4.95</v>
          </cell>
        </row>
        <row r="1685">
          <cell r="B1685">
            <v>37395</v>
          </cell>
          <cell r="C1685">
            <v>4.95</v>
          </cell>
        </row>
        <row r="1686">
          <cell r="B1686">
            <v>37396</v>
          </cell>
          <cell r="C1686">
            <v>5.46</v>
          </cell>
        </row>
        <row r="1687">
          <cell r="B1687">
            <v>37397</v>
          </cell>
          <cell r="C1687">
            <v>5.49</v>
          </cell>
        </row>
        <row r="1688">
          <cell r="B1688">
            <v>37398</v>
          </cell>
          <cell r="C1688">
            <v>5.4</v>
          </cell>
        </row>
        <row r="1689">
          <cell r="B1689">
            <v>37399</v>
          </cell>
          <cell r="C1689">
            <v>5.07</v>
          </cell>
        </row>
        <row r="1690">
          <cell r="B1690">
            <v>37400</v>
          </cell>
          <cell r="C1690">
            <v>4.8000000000000007</v>
          </cell>
        </row>
        <row r="1691">
          <cell r="B1691">
            <v>37401</v>
          </cell>
          <cell r="C1691">
            <v>4.8000000000000007</v>
          </cell>
        </row>
        <row r="1692">
          <cell r="B1692">
            <v>37402</v>
          </cell>
          <cell r="C1692">
            <v>4.8000000000000007</v>
          </cell>
        </row>
        <row r="1693">
          <cell r="B1693">
            <v>37403</v>
          </cell>
          <cell r="C1693">
            <v>4.8000000000000007</v>
          </cell>
        </row>
        <row r="1694">
          <cell r="B1694">
            <v>37404</v>
          </cell>
          <cell r="C1694">
            <v>4.7</v>
          </cell>
        </row>
        <row r="1695">
          <cell r="B1695">
            <v>37405</v>
          </cell>
          <cell r="C1695">
            <v>4.6500000000000004</v>
          </cell>
        </row>
        <row r="1696">
          <cell r="B1696">
            <v>37406</v>
          </cell>
          <cell r="C1696">
            <v>4.58</v>
          </cell>
        </row>
        <row r="1697">
          <cell r="B1697">
            <v>37407</v>
          </cell>
          <cell r="C1697">
            <v>4.5</v>
          </cell>
        </row>
        <row r="1698">
          <cell r="B1698">
            <v>37408</v>
          </cell>
          <cell r="C1698">
            <v>4.5</v>
          </cell>
        </row>
        <row r="1699">
          <cell r="B1699">
            <v>37409</v>
          </cell>
          <cell r="C1699">
            <v>4.5</v>
          </cell>
        </row>
        <row r="1700">
          <cell r="B1700">
            <v>37410</v>
          </cell>
          <cell r="C1700">
            <v>4.3899999999999997</v>
          </cell>
        </row>
        <row r="1701">
          <cell r="B1701">
            <v>37411</v>
          </cell>
          <cell r="C1701">
            <v>4.0600000000000005</v>
          </cell>
        </row>
        <row r="1702">
          <cell r="B1702">
            <v>37412</v>
          </cell>
          <cell r="C1702">
            <v>4.1399999999999997</v>
          </cell>
        </row>
        <row r="1703">
          <cell r="B1703">
            <v>37413</v>
          </cell>
          <cell r="C1703">
            <v>4.05</v>
          </cell>
        </row>
        <row r="1704">
          <cell r="B1704">
            <v>37414</v>
          </cell>
          <cell r="C1704">
            <v>3.8200000000000003</v>
          </cell>
        </row>
        <row r="1705">
          <cell r="B1705">
            <v>37415</v>
          </cell>
          <cell r="C1705">
            <v>3.8200000000000003</v>
          </cell>
        </row>
        <row r="1706">
          <cell r="B1706">
            <v>37416</v>
          </cell>
          <cell r="C1706">
            <v>3.8200000000000003</v>
          </cell>
        </row>
        <row r="1707">
          <cell r="B1707">
            <v>37417</v>
          </cell>
          <cell r="C1707">
            <v>3.86</v>
          </cell>
        </row>
        <row r="1708">
          <cell r="B1708">
            <v>37418</v>
          </cell>
          <cell r="C1708">
            <v>3.96</v>
          </cell>
        </row>
        <row r="1709">
          <cell r="B1709">
            <v>37419</v>
          </cell>
          <cell r="C1709">
            <v>3.75</v>
          </cell>
        </row>
        <row r="1710">
          <cell r="B1710">
            <v>37420</v>
          </cell>
          <cell r="C1710">
            <v>4</v>
          </cell>
        </row>
        <row r="1711">
          <cell r="B1711">
            <v>37421</v>
          </cell>
          <cell r="C1711">
            <v>3.84</v>
          </cell>
        </row>
        <row r="1712">
          <cell r="B1712">
            <v>37422</v>
          </cell>
          <cell r="C1712">
            <v>3.84</v>
          </cell>
        </row>
        <row r="1713">
          <cell r="B1713">
            <v>37423</v>
          </cell>
          <cell r="C1713">
            <v>3.84</v>
          </cell>
        </row>
        <row r="1714">
          <cell r="B1714">
            <v>37424</v>
          </cell>
          <cell r="C1714">
            <v>4.03</v>
          </cell>
        </row>
        <row r="1715">
          <cell r="B1715">
            <v>37425</v>
          </cell>
          <cell r="C1715">
            <v>4.17</v>
          </cell>
        </row>
        <row r="1716">
          <cell r="B1716">
            <v>37426</v>
          </cell>
          <cell r="C1716">
            <v>4.17</v>
          </cell>
        </row>
        <row r="1717">
          <cell r="B1717">
            <v>37427</v>
          </cell>
          <cell r="C1717">
            <v>4</v>
          </cell>
        </row>
        <row r="1718">
          <cell r="B1718">
            <v>37428</v>
          </cell>
          <cell r="C1718">
            <v>4.29</v>
          </cell>
        </row>
        <row r="1719">
          <cell r="B1719">
            <v>37429</v>
          </cell>
          <cell r="C1719">
            <v>4.29</v>
          </cell>
        </row>
        <row r="1720">
          <cell r="B1720">
            <v>37430</v>
          </cell>
          <cell r="C1720">
            <v>4.29</v>
          </cell>
        </row>
        <row r="1721">
          <cell r="B1721">
            <v>37431</v>
          </cell>
          <cell r="C1721">
            <v>4.01</v>
          </cell>
        </row>
        <row r="1722">
          <cell r="B1722">
            <v>37432</v>
          </cell>
          <cell r="C1722">
            <v>3.86</v>
          </cell>
        </row>
        <row r="1723">
          <cell r="B1723">
            <v>37433</v>
          </cell>
          <cell r="C1723">
            <v>3.2800000000000002</v>
          </cell>
        </row>
        <row r="1724">
          <cell r="B1724">
            <v>37434</v>
          </cell>
          <cell r="C1724">
            <v>3.43</v>
          </cell>
        </row>
        <row r="1725">
          <cell r="B1725">
            <v>37435</v>
          </cell>
          <cell r="C1725">
            <v>2.95</v>
          </cell>
        </row>
        <row r="1726">
          <cell r="B1726">
            <v>37436</v>
          </cell>
          <cell r="C1726">
            <v>2.95</v>
          </cell>
        </row>
        <row r="1727">
          <cell r="B1727">
            <v>37437</v>
          </cell>
          <cell r="C1727">
            <v>2.95</v>
          </cell>
        </row>
        <row r="1728">
          <cell r="B1728">
            <v>37438</v>
          </cell>
          <cell r="C1728">
            <v>2.89</v>
          </cell>
        </row>
        <row r="1729">
          <cell r="B1729">
            <v>37439</v>
          </cell>
          <cell r="C1729">
            <v>2.61</v>
          </cell>
        </row>
        <row r="1730">
          <cell r="B1730">
            <v>37440</v>
          </cell>
          <cell r="C1730">
            <v>2.57</v>
          </cell>
        </row>
        <row r="1731">
          <cell r="B1731">
            <v>37441</v>
          </cell>
          <cell r="C1731">
            <v>2.57</v>
          </cell>
        </row>
        <row r="1732">
          <cell r="B1732">
            <v>37442</v>
          </cell>
          <cell r="C1732">
            <v>2.89</v>
          </cell>
        </row>
        <row r="1733">
          <cell r="B1733">
            <v>37443</v>
          </cell>
          <cell r="C1733">
            <v>2.89</v>
          </cell>
        </row>
        <row r="1734">
          <cell r="B1734">
            <v>37444</v>
          </cell>
          <cell r="C1734">
            <v>2.89</v>
          </cell>
        </row>
        <row r="1735">
          <cell r="B1735">
            <v>37445</v>
          </cell>
          <cell r="C1735">
            <v>4.3600000000000003</v>
          </cell>
        </row>
        <row r="1736">
          <cell r="B1736">
            <v>37446</v>
          </cell>
          <cell r="C1736">
            <v>4.45</v>
          </cell>
        </row>
        <row r="1737">
          <cell r="B1737">
            <v>37447</v>
          </cell>
          <cell r="C1737">
            <v>4.7</v>
          </cell>
        </row>
        <row r="1738">
          <cell r="B1738">
            <v>37448</v>
          </cell>
          <cell r="C1738">
            <v>5.59</v>
          </cell>
        </row>
        <row r="1739">
          <cell r="B1739">
            <v>37449</v>
          </cell>
          <cell r="C1739">
            <v>5.5600000000000005</v>
          </cell>
        </row>
        <row r="1740">
          <cell r="B1740">
            <v>37450</v>
          </cell>
          <cell r="C1740">
            <v>5.5600000000000005</v>
          </cell>
        </row>
        <row r="1741">
          <cell r="B1741">
            <v>37451</v>
          </cell>
          <cell r="C1741">
            <v>5.5600000000000005</v>
          </cell>
        </row>
        <row r="1742">
          <cell r="B1742">
            <v>37452</v>
          </cell>
          <cell r="C1742">
            <v>5.45</v>
          </cell>
        </row>
        <row r="1743">
          <cell r="B1743">
            <v>37453</v>
          </cell>
          <cell r="C1743">
            <v>5.41</v>
          </cell>
        </row>
        <row r="1744">
          <cell r="B1744">
            <v>37454</v>
          </cell>
          <cell r="C1744">
            <v>5.72</v>
          </cell>
        </row>
        <row r="1745">
          <cell r="B1745">
            <v>37455</v>
          </cell>
          <cell r="C1745">
            <v>5.7700000000000005</v>
          </cell>
        </row>
        <row r="1746">
          <cell r="B1746">
            <v>37456</v>
          </cell>
          <cell r="C1746">
            <v>5.75</v>
          </cell>
        </row>
        <row r="1747">
          <cell r="B1747">
            <v>37457</v>
          </cell>
          <cell r="C1747">
            <v>5.75</v>
          </cell>
        </row>
        <row r="1748">
          <cell r="B1748">
            <v>37458</v>
          </cell>
          <cell r="C1748">
            <v>5.75</v>
          </cell>
        </row>
        <row r="1749">
          <cell r="B1749">
            <v>37459</v>
          </cell>
          <cell r="C1749">
            <v>5.78</v>
          </cell>
        </row>
        <row r="1750">
          <cell r="B1750">
            <v>37460</v>
          </cell>
          <cell r="C1750">
            <v>5.5</v>
          </cell>
        </row>
        <row r="1751">
          <cell r="B1751">
            <v>37461</v>
          </cell>
          <cell r="C1751">
            <v>5.89</v>
          </cell>
        </row>
        <row r="1752">
          <cell r="B1752">
            <v>37462</v>
          </cell>
          <cell r="C1752">
            <v>5.7</v>
          </cell>
        </row>
        <row r="1753">
          <cell r="B1753">
            <v>37463</v>
          </cell>
          <cell r="C1753">
            <v>5.71</v>
          </cell>
        </row>
        <row r="1754">
          <cell r="B1754">
            <v>37464</v>
          </cell>
          <cell r="C1754">
            <v>5.71</v>
          </cell>
        </row>
        <row r="1755">
          <cell r="B1755">
            <v>37465</v>
          </cell>
          <cell r="C1755">
            <v>5.71</v>
          </cell>
        </row>
        <row r="1756">
          <cell r="B1756">
            <v>37466</v>
          </cell>
          <cell r="C1756">
            <v>6.03</v>
          </cell>
        </row>
        <row r="1757">
          <cell r="B1757">
            <v>37467</v>
          </cell>
          <cell r="C1757">
            <v>6.5600000000000005</v>
          </cell>
        </row>
        <row r="1758">
          <cell r="B1758">
            <v>37468</v>
          </cell>
          <cell r="C1758">
            <v>7.0600000000000005</v>
          </cell>
        </row>
        <row r="1759">
          <cell r="B1759">
            <v>37469</v>
          </cell>
          <cell r="C1759">
            <v>6.34</v>
          </cell>
        </row>
        <row r="1760">
          <cell r="B1760">
            <v>37470</v>
          </cell>
          <cell r="C1760">
            <v>6.98</v>
          </cell>
        </row>
        <row r="1761">
          <cell r="B1761">
            <v>37471</v>
          </cell>
          <cell r="C1761">
            <v>6.98</v>
          </cell>
        </row>
        <row r="1762">
          <cell r="B1762">
            <v>37472</v>
          </cell>
          <cell r="C1762">
            <v>6.98</v>
          </cell>
        </row>
        <row r="1763">
          <cell r="B1763">
            <v>37473</v>
          </cell>
          <cell r="C1763">
            <v>6.92</v>
          </cell>
        </row>
        <row r="1764">
          <cell r="B1764">
            <v>37474</v>
          </cell>
          <cell r="C1764">
            <v>6</v>
          </cell>
        </row>
        <row r="1765">
          <cell r="B1765">
            <v>37475</v>
          </cell>
          <cell r="C1765">
            <v>5.55</v>
          </cell>
        </row>
        <row r="1766">
          <cell r="B1766">
            <v>37476</v>
          </cell>
          <cell r="C1766">
            <v>5.8023000000000007</v>
          </cell>
        </row>
        <row r="1767">
          <cell r="B1767">
            <v>37477</v>
          </cell>
          <cell r="C1767">
            <v>5.95</v>
          </cell>
        </row>
        <row r="1768">
          <cell r="B1768">
            <v>37478</v>
          </cell>
          <cell r="C1768">
            <v>5.95</v>
          </cell>
        </row>
        <row r="1769">
          <cell r="B1769">
            <v>37479</v>
          </cell>
          <cell r="C1769">
            <v>5.95</v>
          </cell>
        </row>
        <row r="1770">
          <cell r="B1770">
            <v>37480</v>
          </cell>
          <cell r="C1770">
            <v>5.7</v>
          </cell>
        </row>
        <row r="1771">
          <cell r="B1771">
            <v>37481</v>
          </cell>
          <cell r="C1771">
            <v>5.65</v>
          </cell>
        </row>
        <row r="1772">
          <cell r="B1772">
            <v>37482</v>
          </cell>
          <cell r="C1772">
            <v>5.7</v>
          </cell>
        </row>
        <row r="1773">
          <cell r="B1773">
            <v>37483</v>
          </cell>
          <cell r="C1773">
            <v>5.4</v>
          </cell>
        </row>
        <row r="1774">
          <cell r="B1774">
            <v>37484</v>
          </cell>
          <cell r="C1774">
            <v>5.4790000000000001</v>
          </cell>
        </row>
        <row r="1775">
          <cell r="B1775">
            <v>37485</v>
          </cell>
          <cell r="C1775">
            <v>5.4790000000000001</v>
          </cell>
        </row>
        <row r="1776">
          <cell r="B1776">
            <v>37486</v>
          </cell>
          <cell r="C1776">
            <v>5.4790000000000001</v>
          </cell>
        </row>
        <row r="1777">
          <cell r="B1777">
            <v>37487</v>
          </cell>
          <cell r="C1777">
            <v>5.76</v>
          </cell>
        </row>
        <row r="1778">
          <cell r="B1778">
            <v>37488</v>
          </cell>
          <cell r="C1778">
            <v>5.75</v>
          </cell>
        </row>
        <row r="1779">
          <cell r="B1779">
            <v>37489</v>
          </cell>
          <cell r="C1779">
            <v>5.7010000000000005</v>
          </cell>
        </row>
        <row r="1780">
          <cell r="B1780">
            <v>37490</v>
          </cell>
          <cell r="C1780">
            <v>5.57</v>
          </cell>
        </row>
        <row r="1781">
          <cell r="B1781">
            <v>37491</v>
          </cell>
          <cell r="C1781">
            <v>5.41</v>
          </cell>
        </row>
        <row r="1782">
          <cell r="B1782">
            <v>37492</v>
          </cell>
          <cell r="C1782">
            <v>5.41</v>
          </cell>
        </row>
        <row r="1783">
          <cell r="B1783">
            <v>37493</v>
          </cell>
          <cell r="C1783">
            <v>5.41</v>
          </cell>
        </row>
        <row r="1784">
          <cell r="B1784">
            <v>37494</v>
          </cell>
          <cell r="C1784">
            <v>5.8000000000000007</v>
          </cell>
        </row>
        <row r="1785">
          <cell r="B1785">
            <v>37495</v>
          </cell>
          <cell r="C1785">
            <v>5.54</v>
          </cell>
        </row>
        <row r="1786">
          <cell r="B1786">
            <v>37496</v>
          </cell>
          <cell r="C1786">
            <v>5.61</v>
          </cell>
        </row>
        <row r="1787">
          <cell r="B1787">
            <v>37497</v>
          </cell>
          <cell r="C1787">
            <v>5.47</v>
          </cell>
        </row>
        <row r="1788">
          <cell r="B1788">
            <v>37498</v>
          </cell>
          <cell r="C1788">
            <v>5.18</v>
          </cell>
        </row>
        <row r="1789">
          <cell r="B1789">
            <v>37499</v>
          </cell>
          <cell r="C1789">
            <v>5.18</v>
          </cell>
        </row>
        <row r="1790">
          <cell r="B1790">
            <v>37500</v>
          </cell>
          <cell r="C1790">
            <v>5.18</v>
          </cell>
        </row>
        <row r="1791">
          <cell r="B1791">
            <v>37501</v>
          </cell>
          <cell r="C1791">
            <v>5.18</v>
          </cell>
        </row>
        <row r="1792">
          <cell r="B1792">
            <v>37502</v>
          </cell>
          <cell r="C1792">
            <v>5</v>
          </cell>
        </row>
        <row r="1793">
          <cell r="B1793">
            <v>37503</v>
          </cell>
          <cell r="C1793">
            <v>4.8000000000000007</v>
          </cell>
        </row>
        <row r="1794">
          <cell r="B1794">
            <v>37504</v>
          </cell>
          <cell r="C1794">
            <v>4.4800000000000004</v>
          </cell>
        </row>
        <row r="1795">
          <cell r="B1795">
            <v>37505</v>
          </cell>
          <cell r="C1795">
            <v>4.3</v>
          </cell>
        </row>
        <row r="1796">
          <cell r="B1796">
            <v>37506</v>
          </cell>
          <cell r="C1796">
            <v>4.3</v>
          </cell>
        </row>
        <row r="1797">
          <cell r="B1797">
            <v>37507</v>
          </cell>
          <cell r="C1797">
            <v>4.3</v>
          </cell>
        </row>
        <row r="1798">
          <cell r="B1798">
            <v>37508</v>
          </cell>
          <cell r="C1798">
            <v>4.34</v>
          </cell>
        </row>
        <row r="1799">
          <cell r="B1799">
            <v>37509</v>
          </cell>
          <cell r="C1799">
            <v>4.45</v>
          </cell>
        </row>
        <row r="1800">
          <cell r="B1800">
            <v>37510</v>
          </cell>
          <cell r="C1800">
            <v>4.59</v>
          </cell>
        </row>
        <row r="1801">
          <cell r="B1801">
            <v>37511</v>
          </cell>
          <cell r="C1801">
            <v>4.5</v>
          </cell>
        </row>
        <row r="1802">
          <cell r="B1802">
            <v>37512</v>
          </cell>
          <cell r="C1802">
            <v>4.51</v>
          </cell>
        </row>
        <row r="1803">
          <cell r="B1803">
            <v>37513</v>
          </cell>
          <cell r="C1803">
            <v>4.51</v>
          </cell>
        </row>
        <row r="1804">
          <cell r="B1804">
            <v>37514</v>
          </cell>
          <cell r="C1804">
            <v>4.51</v>
          </cell>
        </row>
        <row r="1805">
          <cell r="B1805">
            <v>37515</v>
          </cell>
          <cell r="C1805">
            <v>4.55</v>
          </cell>
        </row>
        <row r="1806">
          <cell r="B1806">
            <v>37516</v>
          </cell>
          <cell r="C1806">
            <v>4.46</v>
          </cell>
        </row>
        <row r="1807">
          <cell r="B1807">
            <v>37517</v>
          </cell>
          <cell r="C1807">
            <v>4.4000000000000004</v>
          </cell>
        </row>
        <row r="1808">
          <cell r="B1808">
            <v>37518</v>
          </cell>
          <cell r="C1808">
            <v>4.1399999999999997</v>
          </cell>
        </row>
        <row r="1809">
          <cell r="B1809">
            <v>37519</v>
          </cell>
          <cell r="C1809">
            <v>3.99</v>
          </cell>
        </row>
        <row r="1810">
          <cell r="B1810">
            <v>37520</v>
          </cell>
          <cell r="C1810">
            <v>3.99</v>
          </cell>
        </row>
        <row r="1811">
          <cell r="B1811">
            <v>37521</v>
          </cell>
          <cell r="C1811">
            <v>3.99</v>
          </cell>
        </row>
        <row r="1812">
          <cell r="B1812">
            <v>37522</v>
          </cell>
          <cell r="C1812">
            <v>3.85</v>
          </cell>
        </row>
        <row r="1813">
          <cell r="B1813">
            <v>37523</v>
          </cell>
          <cell r="C1813">
            <v>3.7</v>
          </cell>
        </row>
        <row r="1814">
          <cell r="B1814">
            <v>37524</v>
          </cell>
          <cell r="C1814">
            <v>3.69</v>
          </cell>
        </row>
        <row r="1815">
          <cell r="B1815">
            <v>37525</v>
          </cell>
          <cell r="C1815">
            <v>3.7800000000000002</v>
          </cell>
        </row>
        <row r="1816">
          <cell r="B1816">
            <v>37526</v>
          </cell>
          <cell r="C1816">
            <v>3.8000000000000003</v>
          </cell>
        </row>
        <row r="1817">
          <cell r="B1817">
            <v>37527</v>
          </cell>
          <cell r="C1817">
            <v>3.8000000000000003</v>
          </cell>
        </row>
        <row r="1818">
          <cell r="B1818">
            <v>37528</v>
          </cell>
          <cell r="C1818">
            <v>3.8000000000000003</v>
          </cell>
        </row>
        <row r="1819">
          <cell r="B1819">
            <v>37529</v>
          </cell>
          <cell r="C1819">
            <v>3.89</v>
          </cell>
        </row>
        <row r="1820">
          <cell r="B1820">
            <v>37530</v>
          </cell>
          <cell r="C1820">
            <v>4.6000000000000005</v>
          </cell>
        </row>
        <row r="1821">
          <cell r="B1821">
            <v>37531</v>
          </cell>
          <cell r="C1821">
            <v>5.15</v>
          </cell>
        </row>
        <row r="1822">
          <cell r="B1822">
            <v>37532</v>
          </cell>
          <cell r="C1822">
            <v>4.6900000000000004</v>
          </cell>
        </row>
        <row r="1823">
          <cell r="B1823">
            <v>37533</v>
          </cell>
          <cell r="C1823">
            <v>4.45</v>
          </cell>
        </row>
        <row r="1824">
          <cell r="B1824">
            <v>37534</v>
          </cell>
          <cell r="C1824">
            <v>4.45</v>
          </cell>
        </row>
        <row r="1825">
          <cell r="B1825">
            <v>37535</v>
          </cell>
          <cell r="C1825">
            <v>4.45</v>
          </cell>
        </row>
        <row r="1826">
          <cell r="B1826">
            <v>37536</v>
          </cell>
          <cell r="C1826">
            <v>4.12</v>
          </cell>
        </row>
        <row r="1827">
          <cell r="B1827">
            <v>37537</v>
          </cell>
          <cell r="C1827">
            <v>4.04</v>
          </cell>
        </row>
        <row r="1828">
          <cell r="B1828">
            <v>37538</v>
          </cell>
          <cell r="C1828">
            <v>4.07</v>
          </cell>
        </row>
        <row r="1829">
          <cell r="B1829">
            <v>37539</v>
          </cell>
          <cell r="C1829">
            <v>4.43</v>
          </cell>
        </row>
        <row r="1830">
          <cell r="B1830">
            <v>37540</v>
          </cell>
          <cell r="C1830">
            <v>4.33</v>
          </cell>
        </row>
        <row r="1831">
          <cell r="B1831">
            <v>37541</v>
          </cell>
          <cell r="C1831">
            <v>4.33</v>
          </cell>
        </row>
        <row r="1832">
          <cell r="B1832">
            <v>37542</v>
          </cell>
          <cell r="C1832">
            <v>4.33</v>
          </cell>
        </row>
        <row r="1833">
          <cell r="B1833">
            <v>37543</v>
          </cell>
          <cell r="C1833">
            <v>4.66</v>
          </cell>
        </row>
        <row r="1834">
          <cell r="B1834">
            <v>37544</v>
          </cell>
          <cell r="C1834">
            <v>4.79</v>
          </cell>
        </row>
        <row r="1835">
          <cell r="B1835">
            <v>37545</v>
          </cell>
          <cell r="C1835">
            <v>4.5200000000000005</v>
          </cell>
        </row>
        <row r="1836">
          <cell r="B1836">
            <v>37546</v>
          </cell>
          <cell r="C1836">
            <v>4.99</v>
          </cell>
        </row>
        <row r="1837">
          <cell r="B1837">
            <v>37547</v>
          </cell>
          <cell r="C1837">
            <v>5.08</v>
          </cell>
        </row>
        <row r="1838">
          <cell r="B1838">
            <v>37548</v>
          </cell>
          <cell r="C1838">
            <v>5.08</v>
          </cell>
        </row>
        <row r="1839">
          <cell r="B1839">
            <v>37549</v>
          </cell>
          <cell r="C1839">
            <v>5.08</v>
          </cell>
        </row>
        <row r="1840">
          <cell r="B1840">
            <v>37550</v>
          </cell>
          <cell r="C1840">
            <v>5.23</v>
          </cell>
        </row>
        <row r="1841">
          <cell r="B1841">
            <v>37551</v>
          </cell>
          <cell r="C1841">
            <v>4.8100000000000005</v>
          </cell>
        </row>
        <row r="1842">
          <cell r="B1842">
            <v>37552</v>
          </cell>
          <cell r="C1842">
            <v>5.2510000000000003</v>
          </cell>
        </row>
        <row r="1843">
          <cell r="B1843">
            <v>37553</v>
          </cell>
          <cell r="C1843">
            <v>5.5289999999999999</v>
          </cell>
        </row>
        <row r="1844">
          <cell r="B1844">
            <v>37554</v>
          </cell>
          <cell r="C1844">
            <v>5.1000000000000005</v>
          </cell>
        </row>
        <row r="1845">
          <cell r="B1845">
            <v>37555</v>
          </cell>
          <cell r="C1845">
            <v>5.1000000000000005</v>
          </cell>
        </row>
        <row r="1846">
          <cell r="B1846">
            <v>37556</v>
          </cell>
          <cell r="C1846">
            <v>5.1000000000000005</v>
          </cell>
        </row>
        <row r="1847">
          <cell r="B1847">
            <v>37557</v>
          </cell>
          <cell r="C1847">
            <v>5.2</v>
          </cell>
        </row>
        <row r="1848">
          <cell r="B1848">
            <v>37558</v>
          </cell>
          <cell r="C1848">
            <v>5.07</v>
          </cell>
        </row>
        <row r="1849">
          <cell r="B1849">
            <v>37559</v>
          </cell>
          <cell r="C1849">
            <v>4.9800000000000004</v>
          </cell>
        </row>
        <row r="1850">
          <cell r="B1850">
            <v>37560</v>
          </cell>
          <cell r="C1850">
            <v>4.7590000000000003</v>
          </cell>
        </row>
        <row r="1851">
          <cell r="B1851">
            <v>37561</v>
          </cell>
          <cell r="C1851">
            <v>4.8899999999999997</v>
          </cell>
        </row>
        <row r="1852">
          <cell r="B1852">
            <v>37562</v>
          </cell>
          <cell r="C1852">
            <v>4.8899999999999997</v>
          </cell>
        </row>
        <row r="1853">
          <cell r="B1853">
            <v>37563</v>
          </cell>
          <cell r="C1853">
            <v>4.8899999999999997</v>
          </cell>
        </row>
        <row r="1854">
          <cell r="B1854">
            <v>37564</v>
          </cell>
          <cell r="C1854">
            <v>5.2700000000000005</v>
          </cell>
        </row>
        <row r="1855">
          <cell r="B1855">
            <v>37565</v>
          </cell>
          <cell r="C1855">
            <v>5.73</v>
          </cell>
        </row>
        <row r="1856">
          <cell r="B1856">
            <v>37566</v>
          </cell>
          <cell r="C1856">
            <v>5.51</v>
          </cell>
        </row>
        <row r="1857">
          <cell r="B1857">
            <v>37567</v>
          </cell>
          <cell r="C1857">
            <v>5.2</v>
          </cell>
        </row>
        <row r="1858">
          <cell r="B1858">
            <v>37568</v>
          </cell>
          <cell r="C1858">
            <v>5.1000000000000005</v>
          </cell>
        </row>
        <row r="1859">
          <cell r="B1859">
            <v>37569</v>
          </cell>
          <cell r="C1859">
            <v>5.1000000000000005</v>
          </cell>
        </row>
        <row r="1860">
          <cell r="B1860">
            <v>37570</v>
          </cell>
          <cell r="C1860">
            <v>5.1000000000000005</v>
          </cell>
        </row>
        <row r="1861">
          <cell r="B1861">
            <v>37571</v>
          </cell>
          <cell r="C1861">
            <v>4.9400000000000004</v>
          </cell>
        </row>
        <row r="1862">
          <cell r="B1862">
            <v>37572</v>
          </cell>
          <cell r="C1862">
            <v>5.01</v>
          </cell>
        </row>
        <row r="1863">
          <cell r="B1863">
            <v>37573</v>
          </cell>
          <cell r="C1863">
            <v>4.9000000000000004</v>
          </cell>
        </row>
        <row r="1864">
          <cell r="B1864">
            <v>37574</v>
          </cell>
          <cell r="C1864">
            <v>4.899</v>
          </cell>
        </row>
        <row r="1865">
          <cell r="B1865">
            <v>37575</v>
          </cell>
          <cell r="C1865">
            <v>4.74</v>
          </cell>
        </row>
        <row r="1866">
          <cell r="B1866">
            <v>37576</v>
          </cell>
          <cell r="C1866">
            <v>4.74</v>
          </cell>
        </row>
        <row r="1867">
          <cell r="B1867">
            <v>37577</v>
          </cell>
          <cell r="C1867">
            <v>4.74</v>
          </cell>
        </row>
        <row r="1868">
          <cell r="B1868">
            <v>37578</v>
          </cell>
          <cell r="C1868">
            <v>4.59</v>
          </cell>
        </row>
        <row r="1869">
          <cell r="B1869">
            <v>37579</v>
          </cell>
          <cell r="C1869">
            <v>4.6500000000000004</v>
          </cell>
        </row>
        <row r="1870">
          <cell r="B1870">
            <v>37580</v>
          </cell>
          <cell r="C1870">
            <v>4.8260000000000005</v>
          </cell>
        </row>
        <row r="1871">
          <cell r="B1871">
            <v>37581</v>
          </cell>
          <cell r="C1871">
            <v>4.8600000000000003</v>
          </cell>
        </row>
        <row r="1872">
          <cell r="B1872">
            <v>37582</v>
          </cell>
          <cell r="C1872">
            <v>4.7700000000000005</v>
          </cell>
        </row>
        <row r="1873">
          <cell r="B1873">
            <v>37583</v>
          </cell>
          <cell r="C1873">
            <v>4.7700000000000005</v>
          </cell>
        </row>
        <row r="1874">
          <cell r="B1874">
            <v>37584</v>
          </cell>
          <cell r="C1874">
            <v>4.7700000000000005</v>
          </cell>
        </row>
        <row r="1875">
          <cell r="B1875">
            <v>37585</v>
          </cell>
          <cell r="C1875">
            <v>5.25</v>
          </cell>
        </row>
        <row r="1876">
          <cell r="B1876">
            <v>37586</v>
          </cell>
          <cell r="C1876">
            <v>5.19</v>
          </cell>
        </row>
        <row r="1877">
          <cell r="B1877">
            <v>37587</v>
          </cell>
          <cell r="C1877">
            <v>5.6000000000000005</v>
          </cell>
        </row>
        <row r="1878">
          <cell r="B1878">
            <v>37588</v>
          </cell>
          <cell r="C1878">
            <v>5.6000000000000005</v>
          </cell>
        </row>
        <row r="1879">
          <cell r="B1879">
            <v>37589</v>
          </cell>
          <cell r="C1879">
            <v>6.1000000000000005</v>
          </cell>
        </row>
        <row r="1880">
          <cell r="B1880">
            <v>37590</v>
          </cell>
          <cell r="C1880">
            <v>6.1000000000000005</v>
          </cell>
        </row>
        <row r="1881">
          <cell r="B1881">
            <v>37591</v>
          </cell>
          <cell r="C1881">
            <v>6.1000000000000005</v>
          </cell>
        </row>
        <row r="1882">
          <cell r="B1882">
            <v>37592</v>
          </cell>
          <cell r="C1882">
            <v>5.71</v>
          </cell>
        </row>
        <row r="1883">
          <cell r="B1883">
            <v>37593</v>
          </cell>
          <cell r="C1883">
            <v>5.38</v>
          </cell>
        </row>
        <row r="1884">
          <cell r="B1884">
            <v>37594</v>
          </cell>
          <cell r="C1884">
            <v>5.2</v>
          </cell>
        </row>
        <row r="1885">
          <cell r="B1885">
            <v>37595</v>
          </cell>
          <cell r="C1885">
            <v>5.34</v>
          </cell>
        </row>
        <row r="1886">
          <cell r="B1886">
            <v>37596</v>
          </cell>
          <cell r="C1886">
            <v>5.3000000000000007</v>
          </cell>
        </row>
        <row r="1887">
          <cell r="B1887">
            <v>37597</v>
          </cell>
          <cell r="C1887">
            <v>5.3000000000000007</v>
          </cell>
        </row>
        <row r="1888">
          <cell r="B1888">
            <v>37598</v>
          </cell>
          <cell r="C1888">
            <v>5.3000000000000007</v>
          </cell>
        </row>
        <row r="1889">
          <cell r="B1889">
            <v>37599</v>
          </cell>
          <cell r="C1889">
            <v>4.92</v>
          </cell>
        </row>
        <row r="1890">
          <cell r="B1890">
            <v>37600</v>
          </cell>
          <cell r="C1890">
            <v>5.3000000000000007</v>
          </cell>
        </row>
        <row r="1891">
          <cell r="B1891">
            <v>37601</v>
          </cell>
          <cell r="C1891">
            <v>5.08</v>
          </cell>
        </row>
        <row r="1892">
          <cell r="B1892">
            <v>37602</v>
          </cell>
          <cell r="C1892">
            <v>4.96</v>
          </cell>
        </row>
        <row r="1893">
          <cell r="B1893">
            <v>37603</v>
          </cell>
          <cell r="C1893">
            <v>4.99</v>
          </cell>
        </row>
        <row r="1894">
          <cell r="B1894">
            <v>37604</v>
          </cell>
          <cell r="C1894">
            <v>4.99</v>
          </cell>
        </row>
        <row r="1895">
          <cell r="B1895">
            <v>37605</v>
          </cell>
          <cell r="C1895">
            <v>4.99</v>
          </cell>
        </row>
        <row r="1896">
          <cell r="B1896">
            <v>37606</v>
          </cell>
          <cell r="C1896">
            <v>4.99</v>
          </cell>
        </row>
        <row r="1897">
          <cell r="B1897">
            <v>37607</v>
          </cell>
          <cell r="C1897">
            <v>5.07</v>
          </cell>
        </row>
        <row r="1898">
          <cell r="B1898">
            <v>37608</v>
          </cell>
          <cell r="C1898">
            <v>5.1000000000000005</v>
          </cell>
        </row>
        <row r="1899">
          <cell r="B1899">
            <v>37609</v>
          </cell>
          <cell r="C1899">
            <v>5.0200000000000005</v>
          </cell>
        </row>
        <row r="1900">
          <cell r="B1900">
            <v>37610</v>
          </cell>
          <cell r="C1900">
            <v>5.1290000000000004</v>
          </cell>
        </row>
        <row r="1901">
          <cell r="B1901">
            <v>37611</v>
          </cell>
          <cell r="C1901">
            <v>5.1290000000000004</v>
          </cell>
        </row>
        <row r="1902">
          <cell r="B1902">
            <v>37612</v>
          </cell>
          <cell r="C1902">
            <v>5.1290000000000004</v>
          </cell>
        </row>
        <row r="1903">
          <cell r="B1903">
            <v>37613</v>
          </cell>
          <cell r="C1903">
            <v>5.0510000000000002</v>
          </cell>
        </row>
        <row r="1904">
          <cell r="B1904">
            <v>37614</v>
          </cell>
          <cell r="C1904">
            <v>5.01</v>
          </cell>
        </row>
        <row r="1905">
          <cell r="B1905">
            <v>37615</v>
          </cell>
          <cell r="C1905">
            <v>5.01</v>
          </cell>
        </row>
        <row r="1906">
          <cell r="B1906">
            <v>37616</v>
          </cell>
          <cell r="C1906">
            <v>4.9400000000000004</v>
          </cell>
        </row>
        <row r="1907">
          <cell r="B1907">
            <v>37617</v>
          </cell>
          <cell r="C1907">
            <v>4.82</v>
          </cell>
        </row>
        <row r="1908">
          <cell r="B1908">
            <v>37618</v>
          </cell>
          <cell r="C1908">
            <v>4.82</v>
          </cell>
        </row>
        <row r="1909">
          <cell r="B1909">
            <v>37619</v>
          </cell>
          <cell r="C1909">
            <v>4.82</v>
          </cell>
        </row>
        <row r="1910">
          <cell r="B1910">
            <v>37620</v>
          </cell>
          <cell r="C1910">
            <v>4.75</v>
          </cell>
        </row>
        <row r="1911">
          <cell r="B1911">
            <v>37621</v>
          </cell>
          <cell r="C1911">
            <v>4.9000000000000004</v>
          </cell>
        </row>
        <row r="1912">
          <cell r="B1912">
            <v>37622</v>
          </cell>
          <cell r="C1912">
            <v>4.9000000000000004</v>
          </cell>
        </row>
        <row r="1913">
          <cell r="B1913">
            <v>37623</v>
          </cell>
          <cell r="C1913">
            <v>4.8600000000000003</v>
          </cell>
        </row>
        <row r="1914">
          <cell r="B1914">
            <v>37624</v>
          </cell>
          <cell r="C1914">
            <v>4.7</v>
          </cell>
        </row>
        <row r="1915">
          <cell r="B1915">
            <v>37625</v>
          </cell>
          <cell r="C1915">
            <v>4.7</v>
          </cell>
        </row>
        <row r="1916">
          <cell r="B1916">
            <v>37626</v>
          </cell>
          <cell r="C1916">
            <v>4.7</v>
          </cell>
        </row>
        <row r="1917">
          <cell r="B1917">
            <v>37627</v>
          </cell>
          <cell r="C1917">
            <v>4.88</v>
          </cell>
        </row>
        <row r="1918">
          <cell r="B1918">
            <v>37628</v>
          </cell>
          <cell r="C1918">
            <v>4.9400000000000004</v>
          </cell>
        </row>
        <row r="1919">
          <cell r="B1919">
            <v>37629</v>
          </cell>
          <cell r="C1919">
            <v>4.7</v>
          </cell>
        </row>
        <row r="1920">
          <cell r="B1920">
            <v>37630</v>
          </cell>
          <cell r="C1920">
            <v>4.92</v>
          </cell>
        </row>
        <row r="1921">
          <cell r="B1921">
            <v>37631</v>
          </cell>
          <cell r="C1921">
            <v>5</v>
          </cell>
        </row>
        <row r="1922">
          <cell r="B1922">
            <v>37632</v>
          </cell>
          <cell r="C1922">
            <v>5</v>
          </cell>
        </row>
        <row r="1923">
          <cell r="B1923">
            <v>37633</v>
          </cell>
          <cell r="C1923">
            <v>5</v>
          </cell>
        </row>
        <row r="1924">
          <cell r="B1924">
            <v>37634</v>
          </cell>
          <cell r="C1924">
            <v>5.33</v>
          </cell>
        </row>
        <row r="1925">
          <cell r="B1925">
            <v>37635</v>
          </cell>
          <cell r="C1925">
            <v>5.3100000000000005</v>
          </cell>
        </row>
        <row r="1926">
          <cell r="B1926">
            <v>37636</v>
          </cell>
          <cell r="C1926">
            <v>5.26</v>
          </cell>
        </row>
        <row r="1927">
          <cell r="B1927">
            <v>37637</v>
          </cell>
          <cell r="C1927">
            <v>5.24</v>
          </cell>
        </row>
        <row r="1928">
          <cell r="B1928">
            <v>37638</v>
          </cell>
          <cell r="C1928">
            <v>5.2</v>
          </cell>
        </row>
        <row r="1929">
          <cell r="B1929">
            <v>37639</v>
          </cell>
          <cell r="C1929">
            <v>5.2</v>
          </cell>
        </row>
        <row r="1930">
          <cell r="B1930">
            <v>37640</v>
          </cell>
          <cell r="C1930">
            <v>5.2</v>
          </cell>
        </row>
        <row r="1931">
          <cell r="B1931">
            <v>37641</v>
          </cell>
          <cell r="C1931">
            <v>5.2</v>
          </cell>
        </row>
        <row r="1932">
          <cell r="B1932">
            <v>37642</v>
          </cell>
          <cell r="C1932">
            <v>5.19</v>
          </cell>
        </row>
        <row r="1933">
          <cell r="B1933">
            <v>37643</v>
          </cell>
          <cell r="C1933">
            <v>5.23</v>
          </cell>
        </row>
        <row r="1934">
          <cell r="B1934">
            <v>37644</v>
          </cell>
          <cell r="C1934">
            <v>5.23</v>
          </cell>
        </row>
        <row r="1935">
          <cell r="B1935">
            <v>37645</v>
          </cell>
          <cell r="C1935">
            <v>5</v>
          </cell>
        </row>
        <row r="1936">
          <cell r="B1936">
            <v>37646</v>
          </cell>
          <cell r="C1936">
            <v>5</v>
          </cell>
        </row>
        <row r="1937">
          <cell r="B1937">
            <v>37647</v>
          </cell>
          <cell r="C1937">
            <v>5</v>
          </cell>
        </row>
        <row r="1938">
          <cell r="B1938">
            <v>37648</v>
          </cell>
          <cell r="C1938">
            <v>4.79</v>
          </cell>
        </row>
        <row r="1939">
          <cell r="B1939">
            <v>37649</v>
          </cell>
          <cell r="C1939">
            <v>4.8899999999999997</v>
          </cell>
        </row>
        <row r="1940">
          <cell r="B1940">
            <v>37650</v>
          </cell>
          <cell r="C1940">
            <v>4.8100000000000005</v>
          </cell>
        </row>
        <row r="1941">
          <cell r="B1941">
            <v>37651</v>
          </cell>
          <cell r="C1941">
            <v>4.75</v>
          </cell>
        </row>
        <row r="1942">
          <cell r="B1942">
            <v>37652</v>
          </cell>
          <cell r="C1942">
            <v>5.05</v>
          </cell>
        </row>
        <row r="1943">
          <cell r="B1943">
            <v>37653</v>
          </cell>
          <cell r="C1943">
            <v>5.05</v>
          </cell>
        </row>
        <row r="1944">
          <cell r="B1944">
            <v>37654</v>
          </cell>
          <cell r="C1944">
            <v>5.05</v>
          </cell>
        </row>
        <row r="1945">
          <cell r="B1945">
            <v>37655</v>
          </cell>
          <cell r="C1945">
            <v>4.95</v>
          </cell>
        </row>
        <row r="1946">
          <cell r="B1946">
            <v>37656</v>
          </cell>
          <cell r="C1946">
            <v>5.1000000000000005</v>
          </cell>
        </row>
        <row r="1947">
          <cell r="B1947">
            <v>37657</v>
          </cell>
          <cell r="C1947">
            <v>4.99</v>
          </cell>
        </row>
        <row r="1948">
          <cell r="B1948">
            <v>37658</v>
          </cell>
          <cell r="C1948">
            <v>5.0600000000000005</v>
          </cell>
        </row>
        <row r="1949">
          <cell r="B1949">
            <v>37659</v>
          </cell>
          <cell r="C1949">
            <v>5.12</v>
          </cell>
        </row>
        <row r="1950">
          <cell r="B1950">
            <v>37660</v>
          </cell>
          <cell r="C1950">
            <v>5.12</v>
          </cell>
        </row>
        <row r="1951">
          <cell r="B1951">
            <v>37661</v>
          </cell>
          <cell r="C1951">
            <v>5.12</v>
          </cell>
        </row>
        <row r="1952">
          <cell r="B1952">
            <v>37662</v>
          </cell>
          <cell r="C1952">
            <v>5.2</v>
          </cell>
        </row>
        <row r="1953">
          <cell r="B1953">
            <v>37663</v>
          </cell>
          <cell r="C1953">
            <v>5.29</v>
          </cell>
        </row>
        <row r="1954">
          <cell r="B1954">
            <v>37664</v>
          </cell>
          <cell r="C1954">
            <v>5.1000000000000005</v>
          </cell>
        </row>
        <row r="1955">
          <cell r="B1955">
            <v>37665</v>
          </cell>
          <cell r="C1955">
            <v>5</v>
          </cell>
        </row>
        <row r="1956">
          <cell r="B1956">
            <v>37666</v>
          </cell>
          <cell r="C1956">
            <v>4.95</v>
          </cell>
        </row>
        <row r="1957">
          <cell r="B1957">
            <v>37667</v>
          </cell>
          <cell r="C1957">
            <v>4.95</v>
          </cell>
        </row>
        <row r="1958">
          <cell r="B1958">
            <v>37668</v>
          </cell>
          <cell r="C1958">
            <v>4.95</v>
          </cell>
        </row>
        <row r="1959">
          <cell r="B1959">
            <v>37669</v>
          </cell>
          <cell r="C1959">
            <v>4.95</v>
          </cell>
        </row>
        <row r="1960">
          <cell r="B1960">
            <v>37670</v>
          </cell>
          <cell r="C1960">
            <v>5.0200000000000005</v>
          </cell>
        </row>
        <row r="1961">
          <cell r="B1961">
            <v>37671</v>
          </cell>
          <cell r="C1961">
            <v>5.08</v>
          </cell>
        </row>
        <row r="1962">
          <cell r="B1962">
            <v>37672</v>
          </cell>
          <cell r="C1962">
            <v>5.08</v>
          </cell>
        </row>
        <row r="1963">
          <cell r="B1963">
            <v>37673</v>
          </cell>
          <cell r="C1963">
            <v>5.14</v>
          </cell>
        </row>
        <row r="1964">
          <cell r="B1964">
            <v>37674</v>
          </cell>
          <cell r="C1964">
            <v>5.14</v>
          </cell>
        </row>
        <row r="1965">
          <cell r="B1965">
            <v>37675</v>
          </cell>
          <cell r="C1965">
            <v>5.14</v>
          </cell>
        </row>
        <row r="1966">
          <cell r="B1966">
            <v>37676</v>
          </cell>
          <cell r="C1966">
            <v>5.09</v>
          </cell>
        </row>
        <row r="1967">
          <cell r="B1967">
            <v>37677</v>
          </cell>
          <cell r="C1967">
            <v>5.0200000000000005</v>
          </cell>
        </row>
        <row r="1968">
          <cell r="B1968">
            <v>37678</v>
          </cell>
          <cell r="C1968">
            <v>4.91</v>
          </cell>
        </row>
        <row r="1969">
          <cell r="B1969">
            <v>37679</v>
          </cell>
          <cell r="C1969">
            <v>4.95</v>
          </cell>
        </row>
        <row r="1970">
          <cell r="B1970">
            <v>37680</v>
          </cell>
          <cell r="C1970">
            <v>4.9400000000000004</v>
          </cell>
        </row>
        <row r="1971">
          <cell r="B1971">
            <v>37681</v>
          </cell>
          <cell r="C1971">
            <v>4.9400000000000004</v>
          </cell>
        </row>
        <row r="1972">
          <cell r="B1972">
            <v>37682</v>
          </cell>
          <cell r="C1972">
            <v>4.9400000000000004</v>
          </cell>
        </row>
        <row r="1973">
          <cell r="B1973">
            <v>37683</v>
          </cell>
          <cell r="C1973">
            <v>4.9000000000000004</v>
          </cell>
        </row>
        <row r="1974">
          <cell r="B1974">
            <v>37684</v>
          </cell>
          <cell r="C1974">
            <v>4.8000000000000007</v>
          </cell>
        </row>
        <row r="1975">
          <cell r="B1975">
            <v>37685</v>
          </cell>
          <cell r="C1975">
            <v>4.79</v>
          </cell>
        </row>
        <row r="1976">
          <cell r="B1976">
            <v>37686</v>
          </cell>
          <cell r="C1976">
            <v>4.6900000000000004</v>
          </cell>
        </row>
        <row r="1977">
          <cell r="B1977">
            <v>37687</v>
          </cell>
          <cell r="C1977">
            <v>4.6100000000000003</v>
          </cell>
        </row>
        <row r="1978">
          <cell r="B1978">
            <v>37688</v>
          </cell>
          <cell r="C1978">
            <v>4.6100000000000003</v>
          </cell>
        </row>
        <row r="1979">
          <cell r="B1979">
            <v>37689</v>
          </cell>
          <cell r="C1979">
            <v>4.6100000000000003</v>
          </cell>
        </row>
        <row r="1980">
          <cell r="B1980">
            <v>37690</v>
          </cell>
          <cell r="C1980">
            <v>4.71</v>
          </cell>
        </row>
        <row r="1981">
          <cell r="B1981">
            <v>37691</v>
          </cell>
          <cell r="C1981">
            <v>4.71</v>
          </cell>
        </row>
        <row r="1982">
          <cell r="B1982">
            <v>37692</v>
          </cell>
          <cell r="C1982">
            <v>4.6900000000000004</v>
          </cell>
        </row>
        <row r="1983">
          <cell r="B1983">
            <v>37693</v>
          </cell>
          <cell r="C1983">
            <v>4.76</v>
          </cell>
        </row>
        <row r="1984">
          <cell r="B1984">
            <v>37694</v>
          </cell>
          <cell r="C1984">
            <v>4.8000000000000007</v>
          </cell>
        </row>
        <row r="1985">
          <cell r="B1985">
            <v>37695</v>
          </cell>
          <cell r="C1985">
            <v>4.8000000000000007</v>
          </cell>
        </row>
        <row r="1986">
          <cell r="B1986">
            <v>37696</v>
          </cell>
          <cell r="C1986">
            <v>4.8000000000000007</v>
          </cell>
        </row>
        <row r="1987">
          <cell r="B1987">
            <v>37697</v>
          </cell>
          <cell r="C1987">
            <v>4.88</v>
          </cell>
        </row>
        <row r="1988">
          <cell r="B1988">
            <v>37698</v>
          </cell>
          <cell r="C1988">
            <v>4.95</v>
          </cell>
        </row>
        <row r="1989">
          <cell r="B1989">
            <v>37699</v>
          </cell>
          <cell r="C1989">
            <v>4.8600000000000003</v>
          </cell>
        </row>
        <row r="1990">
          <cell r="B1990">
            <v>37700</v>
          </cell>
          <cell r="C1990">
            <v>4.99</v>
          </cell>
        </row>
        <row r="1991">
          <cell r="B1991">
            <v>37701</v>
          </cell>
          <cell r="C1991">
            <v>4.9870000000000001</v>
          </cell>
        </row>
        <row r="1992">
          <cell r="B1992">
            <v>37702</v>
          </cell>
          <cell r="C1992">
            <v>4.9870000000000001</v>
          </cell>
        </row>
        <row r="1993">
          <cell r="B1993">
            <v>37703</v>
          </cell>
          <cell r="C1993">
            <v>4.9870000000000001</v>
          </cell>
        </row>
        <row r="1994">
          <cell r="B1994">
            <v>37704</v>
          </cell>
          <cell r="C1994">
            <v>4.95</v>
          </cell>
        </row>
        <row r="1995">
          <cell r="B1995">
            <v>37705</v>
          </cell>
          <cell r="C1995">
            <v>5.04</v>
          </cell>
        </row>
        <row r="1996">
          <cell r="B1996">
            <v>37706</v>
          </cell>
          <cell r="C1996">
            <v>5.16</v>
          </cell>
        </row>
        <row r="1997">
          <cell r="B1997">
            <v>37707</v>
          </cell>
          <cell r="C1997">
            <v>5.15</v>
          </cell>
        </row>
        <row r="1998">
          <cell r="B1998">
            <v>37708</v>
          </cell>
          <cell r="C1998">
            <v>5.07</v>
          </cell>
        </row>
        <row r="1999">
          <cell r="B1999">
            <v>37709</v>
          </cell>
          <cell r="C1999">
            <v>5.07</v>
          </cell>
        </row>
        <row r="2000">
          <cell r="B2000">
            <v>37710</v>
          </cell>
          <cell r="C2000">
            <v>5.07</v>
          </cell>
        </row>
        <row r="2001">
          <cell r="B2001">
            <v>37711</v>
          </cell>
          <cell r="C2001">
            <v>5.16</v>
          </cell>
        </row>
        <row r="2002">
          <cell r="B2002">
            <v>37712</v>
          </cell>
          <cell r="C2002">
            <v>5.22</v>
          </cell>
        </row>
        <row r="2003">
          <cell r="B2003">
            <v>37713</v>
          </cell>
          <cell r="C2003">
            <v>5.33</v>
          </cell>
        </row>
        <row r="2004">
          <cell r="B2004">
            <v>37714</v>
          </cell>
          <cell r="C2004">
            <v>5.43</v>
          </cell>
        </row>
        <row r="2005">
          <cell r="B2005">
            <v>37715</v>
          </cell>
          <cell r="C2005">
            <v>5.42</v>
          </cell>
        </row>
        <row r="2006">
          <cell r="B2006">
            <v>37716</v>
          </cell>
          <cell r="C2006">
            <v>5.42</v>
          </cell>
        </row>
        <row r="2007">
          <cell r="B2007">
            <v>37717</v>
          </cell>
          <cell r="C2007">
            <v>5.42</v>
          </cell>
        </row>
        <row r="2008">
          <cell r="B2008">
            <v>37718</v>
          </cell>
          <cell r="C2008">
            <v>5.75</v>
          </cell>
        </row>
        <row r="2009">
          <cell r="B2009">
            <v>37719</v>
          </cell>
          <cell r="C2009">
            <v>5.76</v>
          </cell>
        </row>
        <row r="2010">
          <cell r="B2010">
            <v>37720</v>
          </cell>
          <cell r="C2010">
            <v>5.8000000000000007</v>
          </cell>
        </row>
        <row r="2011">
          <cell r="B2011">
            <v>37721</v>
          </cell>
          <cell r="C2011">
            <v>5.8100000000000005</v>
          </cell>
        </row>
        <row r="2012">
          <cell r="B2012">
            <v>37722</v>
          </cell>
          <cell r="C2012">
            <v>5.78</v>
          </cell>
        </row>
        <row r="2013">
          <cell r="B2013">
            <v>37723</v>
          </cell>
          <cell r="C2013">
            <v>5.78</v>
          </cell>
        </row>
        <row r="2014">
          <cell r="B2014">
            <v>37724</v>
          </cell>
          <cell r="C2014">
            <v>5.78</v>
          </cell>
        </row>
        <row r="2015">
          <cell r="B2015">
            <v>37725</v>
          </cell>
          <cell r="C2015">
            <v>6.13</v>
          </cell>
        </row>
        <row r="2016">
          <cell r="B2016">
            <v>37726</v>
          </cell>
          <cell r="C2016">
            <v>6.08</v>
          </cell>
        </row>
        <row r="2017">
          <cell r="B2017">
            <v>37727</v>
          </cell>
          <cell r="C2017">
            <v>6.03</v>
          </cell>
        </row>
        <row r="2018">
          <cell r="B2018">
            <v>37728</v>
          </cell>
          <cell r="C2018">
            <v>5.8000000000000007</v>
          </cell>
        </row>
        <row r="2019">
          <cell r="B2019">
            <v>37729</v>
          </cell>
          <cell r="C2019">
            <v>5.8000000000000007</v>
          </cell>
        </row>
        <row r="2020">
          <cell r="B2020">
            <v>37730</v>
          </cell>
          <cell r="C2020">
            <v>5.8000000000000007</v>
          </cell>
        </row>
        <row r="2021">
          <cell r="B2021">
            <v>37731</v>
          </cell>
          <cell r="C2021">
            <v>5.8000000000000007</v>
          </cell>
        </row>
        <row r="2022">
          <cell r="B2022">
            <v>37732</v>
          </cell>
          <cell r="C2022">
            <v>5.9</v>
          </cell>
        </row>
        <row r="2023">
          <cell r="B2023">
            <v>37733</v>
          </cell>
          <cell r="C2023">
            <v>5.88</v>
          </cell>
        </row>
        <row r="2024">
          <cell r="B2024">
            <v>37734</v>
          </cell>
          <cell r="C2024">
            <v>6.26</v>
          </cell>
        </row>
        <row r="2025">
          <cell r="B2025">
            <v>37735</v>
          </cell>
          <cell r="C2025">
            <v>5.84</v>
          </cell>
        </row>
        <row r="2026">
          <cell r="B2026">
            <v>37736</v>
          </cell>
          <cell r="C2026">
            <v>5.66</v>
          </cell>
        </row>
        <row r="2027">
          <cell r="B2027">
            <v>37737</v>
          </cell>
          <cell r="C2027">
            <v>5.66</v>
          </cell>
        </row>
        <row r="2028">
          <cell r="B2028">
            <v>37738</v>
          </cell>
          <cell r="C2028">
            <v>5.66</v>
          </cell>
        </row>
        <row r="2029">
          <cell r="B2029">
            <v>37739</v>
          </cell>
          <cell r="C2029">
            <v>5.51</v>
          </cell>
        </row>
        <row r="2030">
          <cell r="B2030">
            <v>37740</v>
          </cell>
          <cell r="C2030">
            <v>5.7</v>
          </cell>
        </row>
        <row r="2031">
          <cell r="B2031">
            <v>37741</v>
          </cell>
          <cell r="C2031">
            <v>5.7</v>
          </cell>
        </row>
        <row r="2032">
          <cell r="B2032">
            <v>37742</v>
          </cell>
          <cell r="C2032">
            <v>5.5600000000000005</v>
          </cell>
        </row>
        <row r="2033">
          <cell r="B2033">
            <v>37743</v>
          </cell>
          <cell r="C2033">
            <v>5.7</v>
          </cell>
        </row>
        <row r="2034">
          <cell r="B2034">
            <v>37744</v>
          </cell>
          <cell r="C2034">
            <v>5.7</v>
          </cell>
        </row>
        <row r="2035">
          <cell r="B2035">
            <v>37745</v>
          </cell>
          <cell r="C2035">
            <v>5.7</v>
          </cell>
        </row>
        <row r="2036">
          <cell r="B2036">
            <v>37746</v>
          </cell>
          <cell r="C2036">
            <v>5.8500000000000005</v>
          </cell>
        </row>
        <row r="2037">
          <cell r="B2037">
            <v>37747</v>
          </cell>
          <cell r="C2037">
            <v>6.11</v>
          </cell>
        </row>
        <row r="2038">
          <cell r="B2038">
            <v>37748</v>
          </cell>
          <cell r="C2038">
            <v>6.1000000000000005</v>
          </cell>
        </row>
        <row r="2039">
          <cell r="B2039">
            <v>37749</v>
          </cell>
          <cell r="C2039">
            <v>5.9710000000000001</v>
          </cell>
        </row>
        <row r="2040">
          <cell r="B2040">
            <v>37750</v>
          </cell>
          <cell r="C2040">
            <v>5.97</v>
          </cell>
        </row>
        <row r="2041">
          <cell r="B2041">
            <v>37751</v>
          </cell>
          <cell r="C2041">
            <v>5.97</v>
          </cell>
        </row>
        <row r="2042">
          <cell r="B2042">
            <v>37752</v>
          </cell>
          <cell r="C2042">
            <v>5.97</v>
          </cell>
        </row>
        <row r="2043">
          <cell r="B2043">
            <v>37753</v>
          </cell>
          <cell r="C2043">
            <v>6.11</v>
          </cell>
        </row>
        <row r="2044">
          <cell r="B2044">
            <v>37754</v>
          </cell>
          <cell r="C2044">
            <v>6.1400000000000006</v>
          </cell>
        </row>
        <row r="2045">
          <cell r="B2045">
            <v>37755</v>
          </cell>
          <cell r="C2045">
            <v>6.41</v>
          </cell>
        </row>
        <row r="2046">
          <cell r="B2046">
            <v>37756</v>
          </cell>
          <cell r="C2046">
            <v>7</v>
          </cell>
        </row>
        <row r="2047">
          <cell r="B2047">
            <v>37757</v>
          </cell>
          <cell r="C2047">
            <v>7.46</v>
          </cell>
        </row>
        <row r="2048">
          <cell r="B2048">
            <v>37758</v>
          </cell>
          <cell r="C2048">
            <v>7.46</v>
          </cell>
        </row>
        <row r="2049">
          <cell r="B2049">
            <v>37759</v>
          </cell>
          <cell r="C2049">
            <v>7.46</v>
          </cell>
        </row>
        <row r="2050">
          <cell r="B2050">
            <v>37760</v>
          </cell>
          <cell r="C2050">
            <v>7.19</v>
          </cell>
        </row>
        <row r="2051">
          <cell r="B2051">
            <v>37761</v>
          </cell>
          <cell r="C2051">
            <v>6.83</v>
          </cell>
        </row>
        <row r="2052">
          <cell r="B2052">
            <v>37762</v>
          </cell>
          <cell r="C2052">
            <v>6.54</v>
          </cell>
        </row>
        <row r="2053">
          <cell r="B2053">
            <v>37763</v>
          </cell>
          <cell r="C2053">
            <v>6.87</v>
          </cell>
        </row>
        <row r="2054">
          <cell r="B2054">
            <v>37764</v>
          </cell>
          <cell r="C2054">
            <v>6.92</v>
          </cell>
        </row>
        <row r="2055">
          <cell r="B2055">
            <v>37765</v>
          </cell>
          <cell r="C2055">
            <v>6.92</v>
          </cell>
        </row>
        <row r="2056">
          <cell r="B2056">
            <v>37766</v>
          </cell>
          <cell r="C2056">
            <v>6.92</v>
          </cell>
        </row>
        <row r="2057">
          <cell r="B2057">
            <v>37767</v>
          </cell>
          <cell r="C2057">
            <v>6.92</v>
          </cell>
        </row>
        <row r="2058">
          <cell r="B2058">
            <v>37768</v>
          </cell>
          <cell r="C2058">
            <v>7.07</v>
          </cell>
        </row>
        <row r="2059">
          <cell r="B2059">
            <v>37769</v>
          </cell>
          <cell r="C2059">
            <v>7</v>
          </cell>
        </row>
        <row r="2060">
          <cell r="B2060">
            <v>37770</v>
          </cell>
          <cell r="C2060">
            <v>7.17</v>
          </cell>
        </row>
        <row r="2061">
          <cell r="B2061">
            <v>37771</v>
          </cell>
          <cell r="C2061">
            <v>6.95</v>
          </cell>
        </row>
        <row r="2062">
          <cell r="B2062">
            <v>37772</v>
          </cell>
          <cell r="C2062">
            <v>6.95</v>
          </cell>
        </row>
        <row r="2063">
          <cell r="B2063">
            <v>37773</v>
          </cell>
          <cell r="C2063">
            <v>6.95</v>
          </cell>
        </row>
        <row r="2064">
          <cell r="B2064">
            <v>37774</v>
          </cell>
          <cell r="C2064">
            <v>7.0200000000000005</v>
          </cell>
        </row>
        <row r="2065">
          <cell r="B2065">
            <v>37775</v>
          </cell>
          <cell r="C2065">
            <v>6.99</v>
          </cell>
        </row>
        <row r="2066">
          <cell r="B2066">
            <v>37776</v>
          </cell>
          <cell r="C2066">
            <v>6.84</v>
          </cell>
        </row>
        <row r="2067">
          <cell r="B2067">
            <v>37777</v>
          </cell>
          <cell r="C2067">
            <v>6.79</v>
          </cell>
        </row>
        <row r="2068">
          <cell r="B2068">
            <v>37778</v>
          </cell>
          <cell r="C2068">
            <v>6.53</v>
          </cell>
        </row>
        <row r="2069">
          <cell r="B2069">
            <v>37779</v>
          </cell>
          <cell r="C2069">
            <v>6.53</v>
          </cell>
        </row>
        <row r="2070">
          <cell r="B2070">
            <v>37780</v>
          </cell>
          <cell r="C2070">
            <v>6.53</v>
          </cell>
        </row>
        <row r="2071">
          <cell r="B2071">
            <v>37781</v>
          </cell>
          <cell r="C2071">
            <v>6.54</v>
          </cell>
        </row>
        <row r="2072">
          <cell r="B2072">
            <v>37782</v>
          </cell>
          <cell r="C2072">
            <v>6.75</v>
          </cell>
        </row>
        <row r="2073">
          <cell r="B2073">
            <v>37783</v>
          </cell>
          <cell r="C2073">
            <v>6.95</v>
          </cell>
        </row>
        <row r="2074">
          <cell r="B2074">
            <v>37784</v>
          </cell>
          <cell r="C2074">
            <v>6.75</v>
          </cell>
        </row>
        <row r="2075">
          <cell r="B2075">
            <v>37785</v>
          </cell>
          <cell r="C2075">
            <v>6.71</v>
          </cell>
        </row>
        <row r="2076">
          <cell r="B2076">
            <v>37786</v>
          </cell>
          <cell r="C2076">
            <v>6.71</v>
          </cell>
        </row>
        <row r="2077">
          <cell r="B2077">
            <v>37787</v>
          </cell>
          <cell r="C2077">
            <v>6.71</v>
          </cell>
        </row>
        <row r="2078">
          <cell r="B2078">
            <v>37788</v>
          </cell>
          <cell r="C2078">
            <v>6.6000000000000005</v>
          </cell>
        </row>
        <row r="2079">
          <cell r="B2079">
            <v>37789</v>
          </cell>
          <cell r="C2079">
            <v>6.8900000000000006</v>
          </cell>
        </row>
        <row r="2080">
          <cell r="B2080">
            <v>37790</v>
          </cell>
          <cell r="C2080">
            <v>7.05</v>
          </cell>
        </row>
        <row r="2081">
          <cell r="B2081">
            <v>37791</v>
          </cell>
          <cell r="C2081">
            <v>7.4</v>
          </cell>
        </row>
        <row r="2082">
          <cell r="B2082">
            <v>37792</v>
          </cell>
          <cell r="C2082">
            <v>7.1000000000000005</v>
          </cell>
        </row>
        <row r="2083">
          <cell r="B2083">
            <v>37793</v>
          </cell>
          <cell r="C2083">
            <v>7.1000000000000005</v>
          </cell>
        </row>
        <row r="2084">
          <cell r="B2084">
            <v>37794</v>
          </cell>
          <cell r="C2084">
            <v>7.1000000000000005</v>
          </cell>
        </row>
        <row r="2085">
          <cell r="B2085">
            <v>37795</v>
          </cell>
          <cell r="C2085">
            <v>6.84</v>
          </cell>
        </row>
        <row r="2086">
          <cell r="B2086">
            <v>37796</v>
          </cell>
          <cell r="C2086">
            <v>6.82</v>
          </cell>
        </row>
        <row r="2087">
          <cell r="B2087">
            <v>37797</v>
          </cell>
          <cell r="C2087">
            <v>6.8100000000000005</v>
          </cell>
        </row>
        <row r="2088">
          <cell r="B2088">
            <v>37798</v>
          </cell>
          <cell r="C2088">
            <v>6.83</v>
          </cell>
        </row>
        <row r="2089">
          <cell r="B2089">
            <v>37799</v>
          </cell>
          <cell r="C2089">
            <v>6.74</v>
          </cell>
        </row>
        <row r="2090">
          <cell r="B2090">
            <v>37800</v>
          </cell>
          <cell r="C2090">
            <v>6.74</v>
          </cell>
        </row>
        <row r="2091">
          <cell r="B2091">
            <v>37801</v>
          </cell>
          <cell r="C2091">
            <v>6.74</v>
          </cell>
        </row>
        <row r="2092">
          <cell r="B2092">
            <v>37802</v>
          </cell>
          <cell r="C2092">
            <v>6.7</v>
          </cell>
        </row>
        <row r="2093">
          <cell r="B2093">
            <v>37803</v>
          </cell>
          <cell r="C2093">
            <v>6.03</v>
          </cell>
        </row>
        <row r="2094">
          <cell r="B2094">
            <v>37804</v>
          </cell>
          <cell r="C2094">
            <v>5.89</v>
          </cell>
        </row>
        <row r="2095">
          <cell r="B2095">
            <v>37805</v>
          </cell>
          <cell r="C2095">
            <v>5.94</v>
          </cell>
        </row>
        <row r="2096">
          <cell r="B2096">
            <v>37806</v>
          </cell>
          <cell r="C2096">
            <v>5.94</v>
          </cell>
        </row>
        <row r="2097">
          <cell r="B2097">
            <v>37807</v>
          </cell>
          <cell r="C2097">
            <v>5.94</v>
          </cell>
        </row>
        <row r="2098">
          <cell r="B2098">
            <v>37808</v>
          </cell>
          <cell r="C2098">
            <v>5.94</v>
          </cell>
        </row>
        <row r="2099">
          <cell r="B2099">
            <v>37809</v>
          </cell>
          <cell r="C2099">
            <v>6.15</v>
          </cell>
        </row>
        <row r="2100">
          <cell r="B2100">
            <v>37810</v>
          </cell>
          <cell r="C2100">
            <v>6.0600000000000005</v>
          </cell>
        </row>
        <row r="2101">
          <cell r="B2101">
            <v>37811</v>
          </cell>
          <cell r="C2101">
            <v>6.03</v>
          </cell>
        </row>
        <row r="2102">
          <cell r="B2102">
            <v>37812</v>
          </cell>
          <cell r="C2102">
            <v>6</v>
          </cell>
        </row>
        <row r="2103">
          <cell r="B2103">
            <v>37813</v>
          </cell>
          <cell r="C2103">
            <v>5.99</v>
          </cell>
        </row>
        <row r="2104">
          <cell r="B2104">
            <v>37814</v>
          </cell>
          <cell r="C2104">
            <v>5.99</v>
          </cell>
        </row>
        <row r="2105">
          <cell r="B2105">
            <v>37815</v>
          </cell>
          <cell r="C2105">
            <v>5.99</v>
          </cell>
        </row>
        <row r="2106">
          <cell r="B2106">
            <v>37816</v>
          </cell>
          <cell r="C2106">
            <v>5.83</v>
          </cell>
        </row>
        <row r="2107">
          <cell r="B2107">
            <v>37817</v>
          </cell>
          <cell r="C2107">
            <v>5.62</v>
          </cell>
        </row>
        <row r="2108">
          <cell r="B2108">
            <v>37818</v>
          </cell>
          <cell r="C2108">
            <v>5.49</v>
          </cell>
        </row>
        <row r="2109">
          <cell r="B2109">
            <v>37819</v>
          </cell>
          <cell r="C2109">
            <v>5.32</v>
          </cell>
        </row>
        <row r="2110">
          <cell r="B2110">
            <v>37820</v>
          </cell>
          <cell r="C2110">
            <v>5.2700000000000005</v>
          </cell>
        </row>
        <row r="2111">
          <cell r="B2111">
            <v>37821</v>
          </cell>
          <cell r="C2111">
            <v>5.2700000000000005</v>
          </cell>
        </row>
        <row r="2112">
          <cell r="B2112">
            <v>37822</v>
          </cell>
          <cell r="C2112">
            <v>5.2700000000000005</v>
          </cell>
        </row>
        <row r="2113">
          <cell r="B2113">
            <v>37823</v>
          </cell>
          <cell r="C2113">
            <v>5.19</v>
          </cell>
        </row>
        <row r="2114">
          <cell r="B2114">
            <v>37824</v>
          </cell>
          <cell r="C2114">
            <v>5.16</v>
          </cell>
        </row>
        <row r="2115">
          <cell r="B2115">
            <v>37825</v>
          </cell>
          <cell r="C2115">
            <v>5.34</v>
          </cell>
        </row>
        <row r="2116">
          <cell r="B2116">
            <v>37826</v>
          </cell>
          <cell r="C2116">
            <v>5.15</v>
          </cell>
        </row>
        <row r="2117">
          <cell r="B2117">
            <v>37827</v>
          </cell>
          <cell r="C2117">
            <v>4.8000000000000007</v>
          </cell>
        </row>
        <row r="2118">
          <cell r="B2118">
            <v>37828</v>
          </cell>
          <cell r="C2118">
            <v>4.8000000000000007</v>
          </cell>
        </row>
        <row r="2119">
          <cell r="B2119">
            <v>37829</v>
          </cell>
          <cell r="C2119">
            <v>4.8000000000000007</v>
          </cell>
        </row>
        <row r="2120">
          <cell r="B2120">
            <v>37830</v>
          </cell>
          <cell r="C2120">
            <v>4.68</v>
          </cell>
        </row>
        <row r="2121">
          <cell r="B2121">
            <v>37831</v>
          </cell>
          <cell r="C2121">
            <v>4.7</v>
          </cell>
        </row>
        <row r="2122">
          <cell r="B2122">
            <v>37832</v>
          </cell>
          <cell r="C2122">
            <v>4.54</v>
          </cell>
        </row>
        <row r="2123">
          <cell r="B2123">
            <v>37833</v>
          </cell>
          <cell r="C2123">
            <v>4.5600000000000005</v>
          </cell>
        </row>
        <row r="2124">
          <cell r="B2124">
            <v>37834</v>
          </cell>
          <cell r="C2124">
            <v>4.6100000000000003</v>
          </cell>
        </row>
        <row r="2125">
          <cell r="B2125">
            <v>37835</v>
          </cell>
          <cell r="C2125">
            <v>4.6100000000000003</v>
          </cell>
        </row>
        <row r="2126">
          <cell r="B2126">
            <v>37836</v>
          </cell>
          <cell r="C2126">
            <v>4.6100000000000003</v>
          </cell>
        </row>
        <row r="2127">
          <cell r="B2127">
            <v>37837</v>
          </cell>
          <cell r="C2127">
            <v>4.6000000000000005</v>
          </cell>
        </row>
        <row r="2128">
          <cell r="B2128">
            <v>37838</v>
          </cell>
          <cell r="C2128">
            <v>4.55</v>
          </cell>
        </row>
        <row r="2129">
          <cell r="B2129">
            <v>37839</v>
          </cell>
          <cell r="C2129">
            <v>4.5600000000000005</v>
          </cell>
        </row>
        <row r="2130">
          <cell r="B2130">
            <v>37840</v>
          </cell>
          <cell r="C2130">
            <v>4.74</v>
          </cell>
        </row>
        <row r="2131">
          <cell r="B2131">
            <v>37841</v>
          </cell>
          <cell r="C2131">
            <v>4.79</v>
          </cell>
        </row>
        <row r="2132">
          <cell r="B2132">
            <v>37842</v>
          </cell>
          <cell r="C2132">
            <v>4.79</v>
          </cell>
        </row>
        <row r="2133">
          <cell r="B2133">
            <v>37843</v>
          </cell>
          <cell r="C2133">
            <v>4.79</v>
          </cell>
        </row>
        <row r="2134">
          <cell r="B2134">
            <v>37844</v>
          </cell>
          <cell r="C2134">
            <v>4.7300000000000004</v>
          </cell>
        </row>
        <row r="2135">
          <cell r="B2135">
            <v>37845</v>
          </cell>
          <cell r="C2135">
            <v>4.71</v>
          </cell>
        </row>
        <row r="2136">
          <cell r="B2136">
            <v>37846</v>
          </cell>
          <cell r="C2136">
            <v>4.75</v>
          </cell>
        </row>
        <row r="2137">
          <cell r="B2137">
            <v>37847</v>
          </cell>
          <cell r="C2137">
            <v>4.75</v>
          </cell>
        </row>
        <row r="2138">
          <cell r="B2138">
            <v>37848</v>
          </cell>
          <cell r="C2138">
            <v>4.72</v>
          </cell>
        </row>
        <row r="2139">
          <cell r="B2139">
            <v>37849</v>
          </cell>
          <cell r="C2139">
            <v>4.72</v>
          </cell>
        </row>
        <row r="2140">
          <cell r="B2140">
            <v>37850</v>
          </cell>
          <cell r="C2140">
            <v>4.72</v>
          </cell>
        </row>
        <row r="2141">
          <cell r="B2141">
            <v>37851</v>
          </cell>
          <cell r="C2141">
            <v>4.72</v>
          </cell>
        </row>
        <row r="2142">
          <cell r="B2142">
            <v>37852</v>
          </cell>
          <cell r="C2142">
            <v>4.71</v>
          </cell>
        </row>
        <row r="2143">
          <cell r="B2143">
            <v>37853</v>
          </cell>
          <cell r="C2143">
            <v>4.6900000000000004</v>
          </cell>
        </row>
        <row r="2144">
          <cell r="B2144">
            <v>37854</v>
          </cell>
          <cell r="C2144">
            <v>4.6100000000000003</v>
          </cell>
        </row>
        <row r="2145">
          <cell r="B2145">
            <v>37855</v>
          </cell>
          <cell r="C2145">
            <v>4.54</v>
          </cell>
        </row>
        <row r="2146">
          <cell r="B2146">
            <v>37856</v>
          </cell>
          <cell r="C2146">
            <v>4.54</v>
          </cell>
        </row>
        <row r="2147">
          <cell r="B2147">
            <v>37857</v>
          </cell>
          <cell r="C2147">
            <v>4.54</v>
          </cell>
        </row>
        <row r="2148">
          <cell r="B2148">
            <v>37858</v>
          </cell>
          <cell r="C2148">
            <v>4.45</v>
          </cell>
        </row>
        <row r="2149">
          <cell r="B2149">
            <v>37859</v>
          </cell>
          <cell r="C2149">
            <v>4.49</v>
          </cell>
        </row>
        <row r="2150">
          <cell r="B2150">
            <v>37860</v>
          </cell>
          <cell r="C2150">
            <v>4.51</v>
          </cell>
        </row>
        <row r="2151">
          <cell r="B2151">
            <v>37861</v>
          </cell>
          <cell r="C2151">
            <v>4.45</v>
          </cell>
        </row>
        <row r="2152">
          <cell r="B2152">
            <v>37862</v>
          </cell>
          <cell r="C2152">
            <v>4.9800000000000004</v>
          </cell>
        </row>
        <row r="2153">
          <cell r="B2153">
            <v>37863</v>
          </cell>
          <cell r="C2153">
            <v>4.9800000000000004</v>
          </cell>
        </row>
        <row r="2154">
          <cell r="B2154">
            <v>37864</v>
          </cell>
          <cell r="C2154">
            <v>4.9800000000000004</v>
          </cell>
        </row>
        <row r="2155">
          <cell r="B2155">
            <v>37865</v>
          </cell>
          <cell r="C2155">
            <v>4.9800000000000004</v>
          </cell>
        </row>
        <row r="2156">
          <cell r="B2156">
            <v>37866</v>
          </cell>
          <cell r="C2156">
            <v>5.1000000000000005</v>
          </cell>
        </row>
        <row r="2157">
          <cell r="B2157">
            <v>37867</v>
          </cell>
          <cell r="C2157">
            <v>5.2700000000000005</v>
          </cell>
        </row>
        <row r="2158">
          <cell r="B2158">
            <v>37868</v>
          </cell>
          <cell r="C2158">
            <v>5.3000000000000007</v>
          </cell>
        </row>
        <row r="2159">
          <cell r="B2159">
            <v>37869</v>
          </cell>
          <cell r="C2159">
            <v>5.335</v>
          </cell>
        </row>
        <row r="2160">
          <cell r="B2160">
            <v>37870</v>
          </cell>
          <cell r="C2160">
            <v>5.335</v>
          </cell>
        </row>
        <row r="2161">
          <cell r="B2161">
            <v>37871</v>
          </cell>
          <cell r="C2161">
            <v>5.335</v>
          </cell>
        </row>
        <row r="2162">
          <cell r="B2162">
            <v>37872</v>
          </cell>
          <cell r="C2162">
            <v>5.24</v>
          </cell>
        </row>
        <row r="2163">
          <cell r="B2163">
            <v>37873</v>
          </cell>
          <cell r="C2163">
            <v>5.14</v>
          </cell>
        </row>
        <row r="2164">
          <cell r="B2164">
            <v>37874</v>
          </cell>
          <cell r="C2164">
            <v>4.76</v>
          </cell>
        </row>
        <row r="2165">
          <cell r="B2165">
            <v>37875</v>
          </cell>
          <cell r="C2165">
            <v>4.93</v>
          </cell>
        </row>
        <row r="2166">
          <cell r="B2166">
            <v>37876</v>
          </cell>
          <cell r="C2166">
            <v>4.8600000000000003</v>
          </cell>
        </row>
        <row r="2167">
          <cell r="B2167">
            <v>37877</v>
          </cell>
          <cell r="C2167">
            <v>4.8600000000000003</v>
          </cell>
        </row>
        <row r="2168">
          <cell r="B2168">
            <v>37878</v>
          </cell>
          <cell r="C2168">
            <v>4.8600000000000003</v>
          </cell>
        </row>
        <row r="2169">
          <cell r="B2169">
            <v>37879</v>
          </cell>
          <cell r="C2169">
            <v>4.8500000000000005</v>
          </cell>
        </row>
        <row r="2170">
          <cell r="B2170">
            <v>37880</v>
          </cell>
          <cell r="C2170">
            <v>4.93</v>
          </cell>
        </row>
        <row r="2171">
          <cell r="B2171">
            <v>37881</v>
          </cell>
          <cell r="C2171">
            <v>4.99</v>
          </cell>
        </row>
        <row r="2172">
          <cell r="B2172">
            <v>37882</v>
          </cell>
          <cell r="C2172">
            <v>4.93</v>
          </cell>
        </row>
        <row r="2173">
          <cell r="B2173">
            <v>37883</v>
          </cell>
          <cell r="C2173">
            <v>4.78</v>
          </cell>
        </row>
        <row r="2174">
          <cell r="B2174">
            <v>37884</v>
          </cell>
          <cell r="C2174">
            <v>4.78</v>
          </cell>
        </row>
        <row r="2175">
          <cell r="B2175">
            <v>37885</v>
          </cell>
          <cell r="C2175">
            <v>4.78</v>
          </cell>
        </row>
        <row r="2176">
          <cell r="B2176">
            <v>37886</v>
          </cell>
          <cell r="C2176">
            <v>4.76</v>
          </cell>
        </row>
        <row r="2177">
          <cell r="B2177">
            <v>37887</v>
          </cell>
          <cell r="C2177">
            <v>4.79</v>
          </cell>
        </row>
        <row r="2178">
          <cell r="B2178">
            <v>37888</v>
          </cell>
          <cell r="C2178">
            <v>5.3100000000000005</v>
          </cell>
        </row>
        <row r="2179">
          <cell r="B2179">
            <v>37889</v>
          </cell>
          <cell r="C2179">
            <v>5.45</v>
          </cell>
        </row>
        <row r="2180">
          <cell r="B2180">
            <v>37890</v>
          </cell>
          <cell r="C2180">
            <v>5.4009999999999998</v>
          </cell>
        </row>
        <row r="2181">
          <cell r="B2181">
            <v>37891</v>
          </cell>
          <cell r="C2181">
            <v>5.4009999999999998</v>
          </cell>
        </row>
        <row r="2182">
          <cell r="B2182">
            <v>37892</v>
          </cell>
          <cell r="C2182">
            <v>5.4009999999999998</v>
          </cell>
        </row>
        <row r="2183">
          <cell r="B2183">
            <v>37893</v>
          </cell>
          <cell r="C2183">
            <v>5.36</v>
          </cell>
        </row>
        <row r="2184">
          <cell r="B2184">
            <v>37894</v>
          </cell>
          <cell r="C2184">
            <v>5.42</v>
          </cell>
        </row>
        <row r="2185">
          <cell r="B2185">
            <v>37895</v>
          </cell>
          <cell r="C2185">
            <v>5.29</v>
          </cell>
        </row>
        <row r="2186">
          <cell r="B2186">
            <v>37896</v>
          </cell>
          <cell r="C2186">
            <v>5.15</v>
          </cell>
        </row>
        <row r="2187">
          <cell r="B2187">
            <v>37897</v>
          </cell>
          <cell r="C2187">
            <v>5.2</v>
          </cell>
        </row>
        <row r="2188">
          <cell r="B2188">
            <v>37898</v>
          </cell>
          <cell r="C2188">
            <v>5.2</v>
          </cell>
        </row>
        <row r="2189">
          <cell r="B2189">
            <v>37899</v>
          </cell>
          <cell r="C2189">
            <v>5.2</v>
          </cell>
        </row>
        <row r="2190">
          <cell r="B2190">
            <v>37900</v>
          </cell>
          <cell r="C2190">
            <v>5.33</v>
          </cell>
        </row>
        <row r="2191">
          <cell r="B2191">
            <v>37901</v>
          </cell>
          <cell r="C2191">
            <v>5.44</v>
          </cell>
        </row>
        <row r="2192">
          <cell r="B2192">
            <v>37902</v>
          </cell>
          <cell r="C2192">
            <v>5.46</v>
          </cell>
        </row>
        <row r="2193">
          <cell r="B2193">
            <v>37903</v>
          </cell>
          <cell r="C2193">
            <v>5.36</v>
          </cell>
        </row>
        <row r="2194">
          <cell r="B2194">
            <v>37904</v>
          </cell>
          <cell r="C2194">
            <v>5.38</v>
          </cell>
        </row>
        <row r="2195">
          <cell r="B2195">
            <v>37905</v>
          </cell>
          <cell r="C2195">
            <v>5.38</v>
          </cell>
        </row>
        <row r="2196">
          <cell r="B2196">
            <v>37906</v>
          </cell>
          <cell r="C2196">
            <v>5.38</v>
          </cell>
        </row>
        <row r="2197">
          <cell r="B2197">
            <v>37907</v>
          </cell>
          <cell r="C2197">
            <v>5.3000000000000007</v>
          </cell>
        </row>
        <row r="2198">
          <cell r="B2198">
            <v>37908</v>
          </cell>
          <cell r="C2198">
            <v>5.78</v>
          </cell>
        </row>
        <row r="2199">
          <cell r="B2199">
            <v>37909</v>
          </cell>
          <cell r="C2199">
            <v>5.54</v>
          </cell>
        </row>
        <row r="2200">
          <cell r="B2200">
            <v>37910</v>
          </cell>
          <cell r="C2200">
            <v>5.5200000000000005</v>
          </cell>
        </row>
        <row r="2201">
          <cell r="B2201">
            <v>37911</v>
          </cell>
          <cell r="C2201">
            <v>5.36</v>
          </cell>
        </row>
        <row r="2202">
          <cell r="B2202">
            <v>37912</v>
          </cell>
          <cell r="C2202">
            <v>5.36</v>
          </cell>
        </row>
        <row r="2203">
          <cell r="B2203">
            <v>37913</v>
          </cell>
          <cell r="C2203">
            <v>5.36</v>
          </cell>
        </row>
        <row r="2204">
          <cell r="B2204">
            <v>37914</v>
          </cell>
          <cell r="C2204">
            <v>5.3000000000000007</v>
          </cell>
        </row>
        <row r="2205">
          <cell r="B2205">
            <v>37915</v>
          </cell>
          <cell r="C2205">
            <v>5.3000000000000007</v>
          </cell>
        </row>
        <row r="2206">
          <cell r="B2206">
            <v>37916</v>
          </cell>
          <cell r="C2206">
            <v>5.19</v>
          </cell>
        </row>
        <row r="2207">
          <cell r="B2207">
            <v>37917</v>
          </cell>
          <cell r="C2207">
            <v>5.33</v>
          </cell>
        </row>
        <row r="2208">
          <cell r="B2208">
            <v>37918</v>
          </cell>
          <cell r="C2208">
            <v>5.08</v>
          </cell>
        </row>
        <row r="2209">
          <cell r="B2209">
            <v>37919</v>
          </cell>
          <cell r="C2209">
            <v>5.08</v>
          </cell>
        </row>
        <row r="2210">
          <cell r="B2210">
            <v>37920</v>
          </cell>
          <cell r="C2210">
            <v>5.08</v>
          </cell>
        </row>
        <row r="2211">
          <cell r="B2211">
            <v>37921</v>
          </cell>
          <cell r="C2211">
            <v>5.14</v>
          </cell>
        </row>
        <row r="2212">
          <cell r="B2212">
            <v>37922</v>
          </cell>
          <cell r="C2212">
            <v>5.1989999999999998</v>
          </cell>
        </row>
        <row r="2213">
          <cell r="B2213">
            <v>37923</v>
          </cell>
          <cell r="C2213">
            <v>5.3100000000000005</v>
          </cell>
        </row>
        <row r="2214">
          <cell r="B2214">
            <v>37924</v>
          </cell>
          <cell r="C2214">
            <v>5.48</v>
          </cell>
        </row>
        <row r="2215">
          <cell r="B2215">
            <v>37925</v>
          </cell>
          <cell r="C2215">
            <v>5.39</v>
          </cell>
        </row>
        <row r="2216">
          <cell r="B2216">
            <v>37926</v>
          </cell>
          <cell r="C2216">
            <v>5.39</v>
          </cell>
        </row>
        <row r="2217">
          <cell r="B2217">
            <v>37927</v>
          </cell>
          <cell r="C2217">
            <v>5.39</v>
          </cell>
        </row>
        <row r="2218">
          <cell r="B2218">
            <v>37928</v>
          </cell>
          <cell r="C2218">
            <v>5.53</v>
          </cell>
        </row>
        <row r="2219">
          <cell r="B2219">
            <v>37929</v>
          </cell>
          <cell r="C2219">
            <v>5.6000000000000005</v>
          </cell>
        </row>
        <row r="2220">
          <cell r="B2220">
            <v>37930</v>
          </cell>
          <cell r="C2220">
            <v>5.57</v>
          </cell>
        </row>
        <row r="2221">
          <cell r="B2221">
            <v>37931</v>
          </cell>
          <cell r="C2221">
            <v>5.42</v>
          </cell>
        </row>
        <row r="2222">
          <cell r="B2222">
            <v>37932</v>
          </cell>
          <cell r="C2222">
            <v>5.41</v>
          </cell>
        </row>
        <row r="2223">
          <cell r="B2223">
            <v>37933</v>
          </cell>
          <cell r="C2223">
            <v>5.41</v>
          </cell>
        </row>
        <row r="2224">
          <cell r="B2224">
            <v>37934</v>
          </cell>
          <cell r="C2224">
            <v>5.41</v>
          </cell>
        </row>
        <row r="2225">
          <cell r="B2225">
            <v>37935</v>
          </cell>
          <cell r="C2225">
            <v>5.33</v>
          </cell>
        </row>
        <row r="2226">
          <cell r="B2226">
            <v>37936</v>
          </cell>
          <cell r="C2226">
            <v>5.5200000000000005</v>
          </cell>
        </row>
        <row r="2227">
          <cell r="B2227">
            <v>37937</v>
          </cell>
          <cell r="C2227">
            <v>5.63</v>
          </cell>
        </row>
        <row r="2228">
          <cell r="B2228">
            <v>37938</v>
          </cell>
          <cell r="C2228">
            <v>5.26</v>
          </cell>
        </row>
        <row r="2229">
          <cell r="B2229">
            <v>37939</v>
          </cell>
          <cell r="C2229">
            <v>5.0200000000000005</v>
          </cell>
        </row>
        <row r="2230">
          <cell r="B2230">
            <v>37940</v>
          </cell>
          <cell r="C2230">
            <v>5.0200000000000005</v>
          </cell>
        </row>
        <row r="2231">
          <cell r="B2231">
            <v>37941</v>
          </cell>
          <cell r="C2231">
            <v>5.0200000000000005</v>
          </cell>
        </row>
        <row r="2232">
          <cell r="B2232">
            <v>37942</v>
          </cell>
          <cell r="C2232">
            <v>5.08</v>
          </cell>
        </row>
        <row r="2233">
          <cell r="B2233">
            <v>37943</v>
          </cell>
          <cell r="C2233">
            <v>5</v>
          </cell>
        </row>
        <row r="2234">
          <cell r="B2234">
            <v>37944</v>
          </cell>
          <cell r="C2234">
            <v>5.0640000000000001</v>
          </cell>
        </row>
        <row r="2235">
          <cell r="B2235">
            <v>37945</v>
          </cell>
          <cell r="C2235">
            <v>5.0200000000000005</v>
          </cell>
        </row>
        <row r="2236">
          <cell r="B2236">
            <v>37946</v>
          </cell>
          <cell r="C2236">
            <v>5.0229999999999997</v>
          </cell>
        </row>
        <row r="2237">
          <cell r="B2237">
            <v>37947</v>
          </cell>
          <cell r="C2237">
            <v>5.0229999999999997</v>
          </cell>
        </row>
        <row r="2238">
          <cell r="B2238">
            <v>37948</v>
          </cell>
          <cell r="C2238">
            <v>5.0229999999999997</v>
          </cell>
        </row>
        <row r="2239">
          <cell r="B2239">
            <v>37949</v>
          </cell>
          <cell r="C2239">
            <v>5.2</v>
          </cell>
        </row>
        <row r="2240">
          <cell r="B2240">
            <v>37950</v>
          </cell>
          <cell r="C2240">
            <v>5.42</v>
          </cell>
        </row>
        <row r="2241">
          <cell r="B2241">
            <v>37951</v>
          </cell>
          <cell r="C2241">
            <v>5.38</v>
          </cell>
        </row>
        <row r="2242">
          <cell r="B2242">
            <v>37952</v>
          </cell>
          <cell r="C2242">
            <v>5.38</v>
          </cell>
        </row>
        <row r="2243">
          <cell r="B2243">
            <v>37953</v>
          </cell>
          <cell r="C2243">
            <v>5.48</v>
          </cell>
        </row>
        <row r="2244">
          <cell r="B2244">
            <v>37954</v>
          </cell>
          <cell r="C2244">
            <v>5.48</v>
          </cell>
        </row>
        <row r="2245">
          <cell r="B2245">
            <v>37955</v>
          </cell>
          <cell r="C2245">
            <v>5.48</v>
          </cell>
        </row>
        <row r="2246">
          <cell r="B2246">
            <v>37956</v>
          </cell>
          <cell r="C2246">
            <v>5.43</v>
          </cell>
        </row>
        <row r="2247">
          <cell r="B2247">
            <v>37957</v>
          </cell>
          <cell r="C2247">
            <v>5.45</v>
          </cell>
        </row>
        <row r="2248">
          <cell r="B2248">
            <v>37958</v>
          </cell>
          <cell r="C2248">
            <v>5.45</v>
          </cell>
        </row>
        <row r="2249">
          <cell r="B2249">
            <v>37959</v>
          </cell>
          <cell r="C2249">
            <v>5.41</v>
          </cell>
        </row>
        <row r="2250">
          <cell r="B2250">
            <v>37960</v>
          </cell>
          <cell r="C2250">
            <v>5.44</v>
          </cell>
        </row>
        <row r="2251">
          <cell r="B2251">
            <v>37961</v>
          </cell>
          <cell r="C2251">
            <v>5.44</v>
          </cell>
        </row>
        <row r="2252">
          <cell r="B2252">
            <v>37962</v>
          </cell>
          <cell r="C2252">
            <v>5.44</v>
          </cell>
        </row>
        <row r="2253">
          <cell r="B2253">
            <v>37963</v>
          </cell>
          <cell r="C2253">
            <v>5.37</v>
          </cell>
        </row>
        <row r="2254">
          <cell r="B2254">
            <v>37964</v>
          </cell>
          <cell r="C2254">
            <v>5.16</v>
          </cell>
        </row>
        <row r="2255">
          <cell r="B2255">
            <v>37965</v>
          </cell>
          <cell r="C2255">
            <v>5.15</v>
          </cell>
        </row>
        <row r="2256">
          <cell r="B2256">
            <v>37966</v>
          </cell>
          <cell r="C2256">
            <v>5.44</v>
          </cell>
        </row>
        <row r="2257">
          <cell r="B2257">
            <v>37967</v>
          </cell>
          <cell r="C2257">
            <v>5.46</v>
          </cell>
        </row>
        <row r="2258">
          <cell r="B2258">
            <v>37968</v>
          </cell>
          <cell r="C2258">
            <v>5.46</v>
          </cell>
        </row>
        <row r="2259">
          <cell r="B2259">
            <v>37969</v>
          </cell>
          <cell r="C2259">
            <v>5.46</v>
          </cell>
        </row>
        <row r="2260">
          <cell r="B2260">
            <v>37970</v>
          </cell>
          <cell r="C2260">
            <v>5.38</v>
          </cell>
        </row>
        <row r="2261">
          <cell r="B2261">
            <v>37971</v>
          </cell>
          <cell r="C2261">
            <v>5.3100000000000005</v>
          </cell>
        </row>
        <row r="2262">
          <cell r="B2262">
            <v>37972</v>
          </cell>
          <cell r="C2262">
            <v>5.39</v>
          </cell>
        </row>
        <row r="2263">
          <cell r="B2263">
            <v>37973</v>
          </cell>
          <cell r="C2263">
            <v>5.33</v>
          </cell>
        </row>
        <row r="2264">
          <cell r="B2264">
            <v>37974</v>
          </cell>
          <cell r="C2264">
            <v>5.4</v>
          </cell>
        </row>
        <row r="2265">
          <cell r="B2265">
            <v>37975</v>
          </cell>
          <cell r="C2265">
            <v>5.4</v>
          </cell>
        </row>
        <row r="2266">
          <cell r="B2266">
            <v>37976</v>
          </cell>
          <cell r="C2266">
            <v>5.4</v>
          </cell>
        </row>
        <row r="2267">
          <cell r="B2267">
            <v>37977</v>
          </cell>
          <cell r="C2267">
            <v>5.45</v>
          </cell>
        </row>
        <row r="2268">
          <cell r="B2268">
            <v>37978</v>
          </cell>
          <cell r="C2268">
            <v>5.55</v>
          </cell>
        </row>
        <row r="2269">
          <cell r="B2269">
            <v>37979</v>
          </cell>
          <cell r="C2269">
            <v>5.5600000000000005</v>
          </cell>
        </row>
        <row r="2270">
          <cell r="B2270">
            <v>37980</v>
          </cell>
          <cell r="C2270">
            <v>5.5600000000000005</v>
          </cell>
        </row>
        <row r="2271">
          <cell r="B2271">
            <v>37981</v>
          </cell>
          <cell r="C2271">
            <v>5.58</v>
          </cell>
        </row>
        <row r="2272">
          <cell r="B2272">
            <v>37982</v>
          </cell>
          <cell r="C2272">
            <v>5.58</v>
          </cell>
        </row>
        <row r="2273">
          <cell r="B2273">
            <v>37983</v>
          </cell>
          <cell r="C2273">
            <v>5.58</v>
          </cell>
        </row>
        <row r="2274">
          <cell r="B2274">
            <v>37984</v>
          </cell>
          <cell r="C2274">
            <v>5.62</v>
          </cell>
        </row>
        <row r="2275">
          <cell r="B2275">
            <v>37985</v>
          </cell>
          <cell r="C2275">
            <v>5.63</v>
          </cell>
        </row>
        <row r="2276">
          <cell r="B2276">
            <v>37986</v>
          </cell>
          <cell r="C2276">
            <v>5.7</v>
          </cell>
        </row>
        <row r="2277">
          <cell r="B2277">
            <v>37987</v>
          </cell>
          <cell r="C2277">
            <v>5.7</v>
          </cell>
        </row>
        <row r="2278">
          <cell r="B2278">
            <v>37988</v>
          </cell>
          <cell r="C2278">
            <v>5.7</v>
          </cell>
        </row>
        <row r="2279">
          <cell r="B2279">
            <v>37989</v>
          </cell>
          <cell r="C2279">
            <v>5.7</v>
          </cell>
        </row>
        <row r="2280">
          <cell r="B2280">
            <v>37990</v>
          </cell>
          <cell r="C2280">
            <v>5.7</v>
          </cell>
        </row>
        <row r="2281">
          <cell r="B2281">
            <v>37991</v>
          </cell>
          <cell r="C2281">
            <v>6.16</v>
          </cell>
        </row>
        <row r="2282">
          <cell r="B2282">
            <v>37992</v>
          </cell>
          <cell r="C2282">
            <v>6.43</v>
          </cell>
        </row>
        <row r="2283">
          <cell r="B2283">
            <v>37993</v>
          </cell>
          <cell r="C2283">
            <v>6.32</v>
          </cell>
        </row>
        <row r="2284">
          <cell r="B2284">
            <v>37994</v>
          </cell>
          <cell r="C2284">
            <v>6.49</v>
          </cell>
        </row>
        <row r="2285">
          <cell r="B2285">
            <v>37995</v>
          </cell>
          <cell r="C2285">
            <v>6.61</v>
          </cell>
        </row>
        <row r="2286">
          <cell r="B2286">
            <v>37996</v>
          </cell>
          <cell r="C2286">
            <v>6.61</v>
          </cell>
        </row>
        <row r="2287">
          <cell r="B2287">
            <v>37997</v>
          </cell>
          <cell r="C2287">
            <v>6.61</v>
          </cell>
        </row>
        <row r="2288">
          <cell r="B2288">
            <v>37998</v>
          </cell>
          <cell r="C2288">
            <v>6.8100000000000005</v>
          </cell>
        </row>
        <row r="2289">
          <cell r="B2289">
            <v>37999</v>
          </cell>
          <cell r="C2289">
            <v>6.82</v>
          </cell>
        </row>
        <row r="2290">
          <cell r="B2290">
            <v>38000</v>
          </cell>
          <cell r="C2290">
            <v>6.7549999999999999</v>
          </cell>
        </row>
        <row r="2291">
          <cell r="B2291">
            <v>38001</v>
          </cell>
          <cell r="C2291">
            <v>6.4320000000000004</v>
          </cell>
        </row>
        <row r="2292">
          <cell r="B2292">
            <v>38002</v>
          </cell>
          <cell r="C2292">
            <v>6.75</v>
          </cell>
        </row>
        <row r="2293">
          <cell r="B2293">
            <v>38003</v>
          </cell>
          <cell r="C2293">
            <v>6.75</v>
          </cell>
        </row>
        <row r="2294">
          <cell r="B2294">
            <v>38004</v>
          </cell>
          <cell r="C2294">
            <v>6.75</v>
          </cell>
        </row>
        <row r="2295">
          <cell r="B2295">
            <v>38005</v>
          </cell>
          <cell r="C2295">
            <v>6.75</v>
          </cell>
        </row>
        <row r="2296">
          <cell r="B2296">
            <v>38006</v>
          </cell>
          <cell r="C2296">
            <v>6.69</v>
          </cell>
        </row>
        <row r="2297">
          <cell r="B2297">
            <v>38007</v>
          </cell>
          <cell r="C2297">
            <v>6.5540000000000003</v>
          </cell>
        </row>
        <row r="2298">
          <cell r="B2298">
            <v>38008</v>
          </cell>
          <cell r="C2298">
            <v>6.5</v>
          </cell>
        </row>
        <row r="2299">
          <cell r="B2299">
            <v>38009</v>
          </cell>
          <cell r="C2299">
            <v>6.48</v>
          </cell>
        </row>
        <row r="2300">
          <cell r="B2300">
            <v>38010</v>
          </cell>
          <cell r="C2300">
            <v>6.48</v>
          </cell>
        </row>
        <row r="2301">
          <cell r="B2301">
            <v>38011</v>
          </cell>
          <cell r="C2301">
            <v>6.48</v>
          </cell>
        </row>
        <row r="2302">
          <cell r="B2302">
            <v>38012</v>
          </cell>
          <cell r="C2302">
            <v>6.54</v>
          </cell>
        </row>
        <row r="2303">
          <cell r="B2303">
            <v>38013</v>
          </cell>
          <cell r="C2303">
            <v>6.5</v>
          </cell>
        </row>
        <row r="2304">
          <cell r="B2304">
            <v>38014</v>
          </cell>
          <cell r="C2304">
            <v>6.25</v>
          </cell>
        </row>
        <row r="2305">
          <cell r="B2305">
            <v>38015</v>
          </cell>
          <cell r="C2305">
            <v>6.05</v>
          </cell>
        </row>
        <row r="2306">
          <cell r="B2306">
            <v>38016</v>
          </cell>
          <cell r="C2306">
            <v>6</v>
          </cell>
        </row>
        <row r="2307">
          <cell r="B2307">
            <v>38017</v>
          </cell>
          <cell r="C2307">
            <v>6</v>
          </cell>
        </row>
        <row r="2308">
          <cell r="B2308">
            <v>38018</v>
          </cell>
          <cell r="C2308">
            <v>6</v>
          </cell>
        </row>
        <row r="2309">
          <cell r="B2309">
            <v>38019</v>
          </cell>
          <cell r="C2309">
            <v>6</v>
          </cell>
        </row>
        <row r="2310">
          <cell r="B2310">
            <v>38020</v>
          </cell>
          <cell r="C2310">
            <v>5.97</v>
          </cell>
        </row>
        <row r="2311">
          <cell r="B2311">
            <v>38021</v>
          </cell>
          <cell r="C2311">
            <v>5.61</v>
          </cell>
        </row>
        <row r="2312">
          <cell r="B2312">
            <v>38022</v>
          </cell>
          <cell r="C2312">
            <v>4.91</v>
          </cell>
        </row>
        <row r="2313">
          <cell r="B2313">
            <v>38023</v>
          </cell>
          <cell r="C2313">
            <v>5.14</v>
          </cell>
        </row>
        <row r="2314">
          <cell r="B2314">
            <v>38024</v>
          </cell>
          <cell r="C2314">
            <v>5.14</v>
          </cell>
        </row>
        <row r="2315">
          <cell r="B2315">
            <v>38025</v>
          </cell>
          <cell r="C2315">
            <v>5.14</v>
          </cell>
        </row>
        <row r="2316">
          <cell r="B2316">
            <v>38026</v>
          </cell>
          <cell r="C2316">
            <v>4.99</v>
          </cell>
        </row>
        <row r="2317">
          <cell r="B2317">
            <v>38027</v>
          </cell>
          <cell r="C2317">
            <v>4.99</v>
          </cell>
        </row>
        <row r="2318">
          <cell r="B2318">
            <v>38028</v>
          </cell>
          <cell r="C2318">
            <v>5.03</v>
          </cell>
        </row>
        <row r="2319">
          <cell r="B2319">
            <v>38029</v>
          </cell>
          <cell r="C2319">
            <v>4.99</v>
          </cell>
        </row>
        <row r="2320">
          <cell r="B2320">
            <v>38030</v>
          </cell>
          <cell r="C2320">
            <v>4.8000000000000007</v>
          </cell>
        </row>
        <row r="2321">
          <cell r="B2321">
            <v>38031</v>
          </cell>
          <cell r="C2321">
            <v>4.8000000000000007</v>
          </cell>
        </row>
        <row r="2322">
          <cell r="B2322">
            <v>38032</v>
          </cell>
          <cell r="C2322">
            <v>4.8000000000000007</v>
          </cell>
        </row>
        <row r="2323">
          <cell r="B2323">
            <v>38033</v>
          </cell>
          <cell r="C2323">
            <v>4.8000000000000007</v>
          </cell>
        </row>
        <row r="2324">
          <cell r="B2324">
            <v>38034</v>
          </cell>
          <cell r="C2324">
            <v>4.82</v>
          </cell>
        </row>
        <row r="2325">
          <cell r="B2325">
            <v>38035</v>
          </cell>
          <cell r="C2325">
            <v>4.8000000000000007</v>
          </cell>
        </row>
        <row r="2326">
          <cell r="B2326">
            <v>38036</v>
          </cell>
          <cell r="C2326">
            <v>4.57</v>
          </cell>
        </row>
        <row r="2327">
          <cell r="B2327">
            <v>38037</v>
          </cell>
          <cell r="C2327">
            <v>4.58</v>
          </cell>
        </row>
        <row r="2328">
          <cell r="B2328">
            <v>38038</v>
          </cell>
          <cell r="C2328">
            <v>4.58</v>
          </cell>
        </row>
        <row r="2329">
          <cell r="B2329">
            <v>38039</v>
          </cell>
          <cell r="C2329">
            <v>4.58</v>
          </cell>
        </row>
        <row r="2330">
          <cell r="B2330">
            <v>38040</v>
          </cell>
          <cell r="C2330">
            <v>4.42</v>
          </cell>
        </row>
        <row r="2331">
          <cell r="B2331">
            <v>38041</v>
          </cell>
          <cell r="C2331">
            <v>4.4000000000000004</v>
          </cell>
        </row>
        <row r="2332">
          <cell r="B2332">
            <v>38042</v>
          </cell>
          <cell r="C2332">
            <v>4.45</v>
          </cell>
        </row>
        <row r="2333">
          <cell r="B2333">
            <v>38043</v>
          </cell>
          <cell r="C2333">
            <v>4.33</v>
          </cell>
        </row>
        <row r="2334">
          <cell r="B2334">
            <v>38044</v>
          </cell>
          <cell r="C2334">
            <v>4.3</v>
          </cell>
        </row>
        <row r="2335">
          <cell r="B2335">
            <v>38045</v>
          </cell>
          <cell r="C2335">
            <v>4.3</v>
          </cell>
        </row>
        <row r="2336">
          <cell r="B2336">
            <v>38046</v>
          </cell>
          <cell r="C2336">
            <v>4.3</v>
          </cell>
        </row>
        <row r="2337">
          <cell r="B2337">
            <v>38047</v>
          </cell>
          <cell r="C2337">
            <v>4.4800000000000004</v>
          </cell>
        </row>
        <row r="2338">
          <cell r="B2338">
            <v>38048</v>
          </cell>
          <cell r="C2338">
            <v>4.57</v>
          </cell>
        </row>
        <row r="2339">
          <cell r="B2339">
            <v>38049</v>
          </cell>
          <cell r="C2339">
            <v>4.46</v>
          </cell>
        </row>
        <row r="2340">
          <cell r="B2340">
            <v>38050</v>
          </cell>
          <cell r="C2340">
            <v>4.5600000000000005</v>
          </cell>
        </row>
        <row r="2341">
          <cell r="B2341">
            <v>38051</v>
          </cell>
          <cell r="C2341">
            <v>4.41</v>
          </cell>
        </row>
        <row r="2342">
          <cell r="B2342">
            <v>38052</v>
          </cell>
          <cell r="C2342">
            <v>4.41</v>
          </cell>
        </row>
        <row r="2343">
          <cell r="B2343">
            <v>38053</v>
          </cell>
          <cell r="C2343">
            <v>4.41</v>
          </cell>
        </row>
        <row r="2344">
          <cell r="B2344">
            <v>38054</v>
          </cell>
          <cell r="C2344">
            <v>4.3</v>
          </cell>
        </row>
        <row r="2345">
          <cell r="B2345">
            <v>38055</v>
          </cell>
          <cell r="C2345">
            <v>4.3600000000000003</v>
          </cell>
        </row>
        <row r="2346">
          <cell r="B2346">
            <v>38056</v>
          </cell>
          <cell r="C2346">
            <v>4.17</v>
          </cell>
        </row>
        <row r="2347">
          <cell r="B2347">
            <v>38057</v>
          </cell>
          <cell r="C2347">
            <v>4.1399999999999997</v>
          </cell>
        </row>
        <row r="2348">
          <cell r="B2348">
            <v>38058</v>
          </cell>
          <cell r="C2348">
            <v>4.2</v>
          </cell>
        </row>
        <row r="2349">
          <cell r="B2349">
            <v>38059</v>
          </cell>
          <cell r="C2349">
            <v>4.2</v>
          </cell>
        </row>
        <row r="2350">
          <cell r="B2350">
            <v>38060</v>
          </cell>
          <cell r="C2350">
            <v>4.2</v>
          </cell>
        </row>
        <row r="2351">
          <cell r="B2351">
            <v>38061</v>
          </cell>
          <cell r="C2351">
            <v>4</v>
          </cell>
        </row>
        <row r="2352">
          <cell r="B2352">
            <v>38062</v>
          </cell>
          <cell r="C2352">
            <v>4.0200000000000005</v>
          </cell>
        </row>
        <row r="2353">
          <cell r="B2353">
            <v>38063</v>
          </cell>
          <cell r="C2353">
            <v>4.01</v>
          </cell>
        </row>
        <row r="2354">
          <cell r="B2354">
            <v>38064</v>
          </cell>
          <cell r="C2354">
            <v>3.92</v>
          </cell>
        </row>
        <row r="2355">
          <cell r="B2355">
            <v>38065</v>
          </cell>
          <cell r="C2355">
            <v>3.85</v>
          </cell>
        </row>
        <row r="2356">
          <cell r="B2356">
            <v>38066</v>
          </cell>
          <cell r="C2356">
            <v>3.85</v>
          </cell>
        </row>
        <row r="2357">
          <cell r="B2357">
            <v>38067</v>
          </cell>
          <cell r="C2357">
            <v>3.85</v>
          </cell>
        </row>
        <row r="2358">
          <cell r="B2358">
            <v>38068</v>
          </cell>
          <cell r="C2358">
            <v>3.75</v>
          </cell>
        </row>
        <row r="2359">
          <cell r="B2359">
            <v>38069</v>
          </cell>
          <cell r="C2359">
            <v>3.86</v>
          </cell>
        </row>
        <row r="2360">
          <cell r="B2360">
            <v>38070</v>
          </cell>
          <cell r="C2360">
            <v>3.79</v>
          </cell>
        </row>
        <row r="2361">
          <cell r="B2361">
            <v>38071</v>
          </cell>
          <cell r="C2361">
            <v>3.86</v>
          </cell>
        </row>
        <row r="2362">
          <cell r="B2362">
            <v>38072</v>
          </cell>
          <cell r="C2362">
            <v>3.96</v>
          </cell>
        </row>
        <row r="2363">
          <cell r="B2363">
            <v>38073</v>
          </cell>
          <cell r="C2363">
            <v>3.96</v>
          </cell>
        </row>
        <row r="2364">
          <cell r="B2364">
            <v>38074</v>
          </cell>
          <cell r="C2364">
            <v>3.96</v>
          </cell>
        </row>
        <row r="2365">
          <cell r="B2365">
            <v>38075</v>
          </cell>
          <cell r="C2365">
            <v>4.1100000000000003</v>
          </cell>
        </row>
        <row r="2366">
          <cell r="B2366">
            <v>38076</v>
          </cell>
          <cell r="C2366">
            <v>4.04</v>
          </cell>
        </row>
        <row r="2367">
          <cell r="B2367">
            <v>38077</v>
          </cell>
          <cell r="C2367">
            <v>4</v>
          </cell>
        </row>
        <row r="2368">
          <cell r="B2368">
            <v>38078</v>
          </cell>
          <cell r="C2368">
            <v>4</v>
          </cell>
        </row>
        <row r="2369">
          <cell r="B2369">
            <v>38079</v>
          </cell>
          <cell r="C2369">
            <v>4.12</v>
          </cell>
        </row>
        <row r="2370">
          <cell r="B2370">
            <v>38080</v>
          </cell>
          <cell r="C2370">
            <v>4.12</v>
          </cell>
        </row>
        <row r="2371">
          <cell r="B2371">
            <v>38081</v>
          </cell>
          <cell r="C2371">
            <v>4.12</v>
          </cell>
        </row>
        <row r="2372">
          <cell r="B2372">
            <v>38082</v>
          </cell>
          <cell r="C2372">
            <v>4.2300000000000004</v>
          </cell>
        </row>
        <row r="2373">
          <cell r="B2373">
            <v>38083</v>
          </cell>
          <cell r="C2373">
            <v>4.12</v>
          </cell>
        </row>
        <row r="2374">
          <cell r="B2374">
            <v>38084</v>
          </cell>
          <cell r="C2374">
            <v>4.04</v>
          </cell>
        </row>
        <row r="2375">
          <cell r="B2375">
            <v>38085</v>
          </cell>
          <cell r="C2375">
            <v>4</v>
          </cell>
        </row>
        <row r="2376">
          <cell r="B2376">
            <v>38086</v>
          </cell>
          <cell r="C2376">
            <v>4</v>
          </cell>
        </row>
        <row r="2377">
          <cell r="B2377">
            <v>38087</v>
          </cell>
          <cell r="C2377">
            <v>4</v>
          </cell>
        </row>
        <row r="2378">
          <cell r="B2378">
            <v>38088</v>
          </cell>
          <cell r="C2378">
            <v>4</v>
          </cell>
        </row>
        <row r="2379">
          <cell r="B2379">
            <v>38089</v>
          </cell>
          <cell r="C2379">
            <v>4</v>
          </cell>
        </row>
        <row r="2380">
          <cell r="B2380">
            <v>38090</v>
          </cell>
          <cell r="C2380">
            <v>3.86</v>
          </cell>
        </row>
        <row r="2381">
          <cell r="B2381">
            <v>38091</v>
          </cell>
          <cell r="C2381">
            <v>4</v>
          </cell>
        </row>
        <row r="2382">
          <cell r="B2382">
            <v>38092</v>
          </cell>
          <cell r="C2382">
            <v>3.86</v>
          </cell>
        </row>
        <row r="2383">
          <cell r="B2383">
            <v>38093</v>
          </cell>
          <cell r="C2383">
            <v>3.63</v>
          </cell>
        </row>
        <row r="2384">
          <cell r="B2384">
            <v>38094</v>
          </cell>
          <cell r="C2384">
            <v>3.63</v>
          </cell>
        </row>
        <row r="2385">
          <cell r="B2385">
            <v>38095</v>
          </cell>
          <cell r="C2385">
            <v>3.63</v>
          </cell>
        </row>
        <row r="2386">
          <cell r="B2386">
            <v>38096</v>
          </cell>
          <cell r="C2386">
            <v>3.74</v>
          </cell>
        </row>
        <row r="2387">
          <cell r="B2387">
            <v>38097</v>
          </cell>
          <cell r="C2387">
            <v>3.49</v>
          </cell>
        </row>
        <row r="2388">
          <cell r="B2388">
            <v>38098</v>
          </cell>
          <cell r="C2388">
            <v>3.41</v>
          </cell>
        </row>
        <row r="2389">
          <cell r="B2389">
            <v>38099</v>
          </cell>
          <cell r="C2389">
            <v>3.48</v>
          </cell>
        </row>
        <row r="2390">
          <cell r="B2390">
            <v>38100</v>
          </cell>
          <cell r="C2390">
            <v>3.46</v>
          </cell>
        </row>
        <row r="2391">
          <cell r="B2391">
            <v>38101</v>
          </cell>
          <cell r="C2391">
            <v>3.46</v>
          </cell>
        </row>
        <row r="2392">
          <cell r="B2392">
            <v>38102</v>
          </cell>
          <cell r="C2392">
            <v>3.46</v>
          </cell>
        </row>
        <row r="2393">
          <cell r="B2393">
            <v>38103</v>
          </cell>
          <cell r="C2393">
            <v>3.37</v>
          </cell>
        </row>
        <row r="2394">
          <cell r="B2394">
            <v>38104</v>
          </cell>
          <cell r="C2394">
            <v>3.24</v>
          </cell>
        </row>
        <row r="2395">
          <cell r="B2395">
            <v>38105</v>
          </cell>
          <cell r="C2395">
            <v>3.31</v>
          </cell>
        </row>
        <row r="2396">
          <cell r="B2396">
            <v>38106</v>
          </cell>
          <cell r="C2396">
            <v>2.95</v>
          </cell>
        </row>
        <row r="2397">
          <cell r="B2397">
            <v>38107</v>
          </cell>
          <cell r="C2397">
            <v>2.87</v>
          </cell>
        </row>
        <row r="2398">
          <cell r="B2398">
            <v>38108</v>
          </cell>
          <cell r="C2398">
            <v>2.87</v>
          </cell>
        </row>
        <row r="2399">
          <cell r="B2399">
            <v>38109</v>
          </cell>
          <cell r="C2399">
            <v>2.87</v>
          </cell>
        </row>
        <row r="2400">
          <cell r="B2400">
            <v>38110</v>
          </cell>
          <cell r="C2400">
            <v>2.89</v>
          </cell>
        </row>
        <row r="2401">
          <cell r="B2401">
            <v>38111</v>
          </cell>
          <cell r="C2401">
            <v>2.83</v>
          </cell>
        </row>
        <row r="2402">
          <cell r="B2402">
            <v>38112</v>
          </cell>
          <cell r="C2402">
            <v>3.04</v>
          </cell>
        </row>
        <row r="2403">
          <cell r="B2403">
            <v>38113</v>
          </cell>
          <cell r="C2403">
            <v>3.0100000000000002</v>
          </cell>
        </row>
        <row r="2404">
          <cell r="B2404">
            <v>38114</v>
          </cell>
          <cell r="C2404">
            <v>2.93</v>
          </cell>
        </row>
        <row r="2405">
          <cell r="B2405">
            <v>38115</v>
          </cell>
          <cell r="C2405">
            <v>2.93</v>
          </cell>
        </row>
        <row r="2406">
          <cell r="B2406">
            <v>38116</v>
          </cell>
          <cell r="C2406">
            <v>2.93</v>
          </cell>
        </row>
        <row r="2407">
          <cell r="B2407">
            <v>38117</v>
          </cell>
          <cell r="C2407">
            <v>2.88</v>
          </cell>
        </row>
        <row r="2408">
          <cell r="B2408">
            <v>38118</v>
          </cell>
          <cell r="C2408">
            <v>3</v>
          </cell>
        </row>
        <row r="2409">
          <cell r="B2409">
            <v>38119</v>
          </cell>
          <cell r="C2409">
            <v>3.0100000000000002</v>
          </cell>
        </row>
        <row r="2410">
          <cell r="B2410">
            <v>38120</v>
          </cell>
          <cell r="C2410">
            <v>3.36</v>
          </cell>
        </row>
        <row r="2411">
          <cell r="B2411">
            <v>38121</v>
          </cell>
          <cell r="C2411">
            <v>3.4000000000000004</v>
          </cell>
        </row>
        <row r="2412">
          <cell r="B2412">
            <v>38122</v>
          </cell>
          <cell r="C2412">
            <v>3.4000000000000004</v>
          </cell>
        </row>
        <row r="2413">
          <cell r="B2413">
            <v>38123</v>
          </cell>
          <cell r="C2413">
            <v>3.4000000000000004</v>
          </cell>
        </row>
        <row r="2414">
          <cell r="B2414">
            <v>38124</v>
          </cell>
          <cell r="C2414">
            <v>3.5500000000000003</v>
          </cell>
        </row>
        <row r="2415">
          <cell r="B2415">
            <v>38125</v>
          </cell>
          <cell r="C2415">
            <v>3.5</v>
          </cell>
        </row>
        <row r="2416">
          <cell r="B2416">
            <v>38126</v>
          </cell>
          <cell r="C2416">
            <v>3.43</v>
          </cell>
        </row>
        <row r="2417">
          <cell r="B2417">
            <v>38127</v>
          </cell>
          <cell r="C2417">
            <v>3.2800000000000002</v>
          </cell>
        </row>
        <row r="2418">
          <cell r="B2418">
            <v>38128</v>
          </cell>
          <cell r="C2418">
            <v>3.31</v>
          </cell>
        </row>
        <row r="2419">
          <cell r="B2419">
            <v>38129</v>
          </cell>
          <cell r="C2419">
            <v>3.31</v>
          </cell>
        </row>
        <row r="2420">
          <cell r="B2420">
            <v>38130</v>
          </cell>
          <cell r="C2420">
            <v>3.31</v>
          </cell>
        </row>
        <row r="2421">
          <cell r="B2421">
            <v>38131</v>
          </cell>
          <cell r="C2421">
            <v>2.98</v>
          </cell>
        </row>
        <row r="2422">
          <cell r="B2422">
            <v>38132</v>
          </cell>
          <cell r="C2422">
            <v>3.22</v>
          </cell>
        </row>
        <row r="2423">
          <cell r="B2423">
            <v>38133</v>
          </cell>
          <cell r="C2423">
            <v>3.34</v>
          </cell>
        </row>
        <row r="2424">
          <cell r="B2424">
            <v>38134</v>
          </cell>
          <cell r="C2424">
            <v>3.59</v>
          </cell>
        </row>
        <row r="2425">
          <cell r="B2425">
            <v>38135</v>
          </cell>
          <cell r="C2425">
            <v>3.84</v>
          </cell>
        </row>
        <row r="2426">
          <cell r="B2426">
            <v>38136</v>
          </cell>
          <cell r="C2426">
            <v>3.84</v>
          </cell>
        </row>
        <row r="2427">
          <cell r="B2427">
            <v>38137</v>
          </cell>
          <cell r="C2427">
            <v>3.84</v>
          </cell>
        </row>
        <row r="2428">
          <cell r="B2428">
            <v>38138</v>
          </cell>
          <cell r="C2428">
            <v>3.84</v>
          </cell>
        </row>
        <row r="2429">
          <cell r="B2429">
            <v>38139</v>
          </cell>
          <cell r="C2429">
            <v>3.7</v>
          </cell>
        </row>
        <row r="2430">
          <cell r="B2430">
            <v>38140</v>
          </cell>
          <cell r="C2430">
            <v>3.7</v>
          </cell>
        </row>
        <row r="2431">
          <cell r="B2431">
            <v>38141</v>
          </cell>
          <cell r="C2431">
            <v>3.5</v>
          </cell>
        </row>
        <row r="2432">
          <cell r="B2432">
            <v>38142</v>
          </cell>
          <cell r="C2432">
            <v>3.54</v>
          </cell>
        </row>
        <row r="2433">
          <cell r="B2433">
            <v>38143</v>
          </cell>
          <cell r="C2433">
            <v>3.54</v>
          </cell>
        </row>
        <row r="2434">
          <cell r="B2434">
            <v>38144</v>
          </cell>
          <cell r="C2434">
            <v>3.54</v>
          </cell>
        </row>
        <row r="2435">
          <cell r="B2435">
            <v>38145</v>
          </cell>
          <cell r="C2435">
            <v>3.67</v>
          </cell>
        </row>
        <row r="2436">
          <cell r="B2436">
            <v>38146</v>
          </cell>
          <cell r="C2436">
            <v>3.58</v>
          </cell>
        </row>
        <row r="2437">
          <cell r="B2437">
            <v>38147</v>
          </cell>
          <cell r="C2437">
            <v>3.6</v>
          </cell>
        </row>
        <row r="2438">
          <cell r="B2438">
            <v>38148</v>
          </cell>
          <cell r="C2438">
            <v>3.5700000000000003</v>
          </cell>
        </row>
        <row r="2439">
          <cell r="B2439">
            <v>38149</v>
          </cell>
          <cell r="C2439">
            <v>3.5700000000000003</v>
          </cell>
        </row>
        <row r="2440">
          <cell r="B2440">
            <v>38150</v>
          </cell>
          <cell r="C2440">
            <v>3.5700000000000003</v>
          </cell>
        </row>
        <row r="2441">
          <cell r="B2441">
            <v>38151</v>
          </cell>
          <cell r="C2441">
            <v>3.5700000000000003</v>
          </cell>
        </row>
        <row r="2442">
          <cell r="B2442">
            <v>38152</v>
          </cell>
          <cell r="C2442">
            <v>3.61</v>
          </cell>
        </row>
        <row r="2443">
          <cell r="B2443">
            <v>38153</v>
          </cell>
          <cell r="C2443">
            <v>3.58</v>
          </cell>
        </row>
        <row r="2444">
          <cell r="B2444">
            <v>38154</v>
          </cell>
          <cell r="C2444">
            <v>3.65</v>
          </cell>
        </row>
        <row r="2445">
          <cell r="B2445">
            <v>38155</v>
          </cell>
          <cell r="C2445">
            <v>3.5100000000000002</v>
          </cell>
        </row>
        <row r="2446">
          <cell r="B2446">
            <v>38156</v>
          </cell>
          <cell r="C2446">
            <v>3.5</v>
          </cell>
        </row>
        <row r="2447">
          <cell r="B2447">
            <v>38157</v>
          </cell>
          <cell r="C2447">
            <v>3.5</v>
          </cell>
        </row>
        <row r="2448">
          <cell r="B2448">
            <v>38158</v>
          </cell>
          <cell r="C2448">
            <v>3.5</v>
          </cell>
        </row>
        <row r="2449">
          <cell r="B2449">
            <v>38159</v>
          </cell>
          <cell r="C2449">
            <v>3.46</v>
          </cell>
        </row>
        <row r="2450">
          <cell r="B2450">
            <v>38160</v>
          </cell>
          <cell r="C2450">
            <v>3.56</v>
          </cell>
        </row>
        <row r="2451">
          <cell r="B2451">
            <v>38161</v>
          </cell>
          <cell r="C2451">
            <v>3.64</v>
          </cell>
        </row>
        <row r="2452">
          <cell r="B2452">
            <v>38162</v>
          </cell>
          <cell r="C2452">
            <v>3.52</v>
          </cell>
        </row>
        <row r="2453">
          <cell r="B2453">
            <v>38163</v>
          </cell>
          <cell r="C2453">
            <v>3.7600000000000002</v>
          </cell>
        </row>
        <row r="2454">
          <cell r="B2454">
            <v>38164</v>
          </cell>
          <cell r="C2454">
            <v>3.7600000000000002</v>
          </cell>
        </row>
        <row r="2455">
          <cell r="B2455">
            <v>38165</v>
          </cell>
          <cell r="C2455">
            <v>3.7600000000000002</v>
          </cell>
        </row>
        <row r="2456">
          <cell r="B2456">
            <v>38166</v>
          </cell>
          <cell r="C2456">
            <v>3.58</v>
          </cell>
        </row>
        <row r="2457">
          <cell r="B2457">
            <v>38167</v>
          </cell>
          <cell r="C2457">
            <v>3.5100000000000002</v>
          </cell>
        </row>
        <row r="2458">
          <cell r="B2458">
            <v>38168</v>
          </cell>
          <cell r="C2458">
            <v>3.5100000000000002</v>
          </cell>
        </row>
        <row r="2459">
          <cell r="B2459">
            <v>38169</v>
          </cell>
          <cell r="C2459">
            <v>3.34</v>
          </cell>
        </row>
        <row r="2460">
          <cell r="B2460">
            <v>38170</v>
          </cell>
          <cell r="C2460">
            <v>3.21</v>
          </cell>
        </row>
        <row r="2461">
          <cell r="B2461">
            <v>38171</v>
          </cell>
          <cell r="C2461">
            <v>3.21</v>
          </cell>
        </row>
        <row r="2462">
          <cell r="B2462">
            <v>38172</v>
          </cell>
          <cell r="C2462">
            <v>3.21</v>
          </cell>
        </row>
        <row r="2463">
          <cell r="B2463">
            <v>38173</v>
          </cell>
          <cell r="C2463">
            <v>3.21</v>
          </cell>
        </row>
        <row r="2464">
          <cell r="B2464">
            <v>38174</v>
          </cell>
          <cell r="C2464">
            <v>3.1</v>
          </cell>
        </row>
        <row r="2465">
          <cell r="B2465">
            <v>38175</v>
          </cell>
          <cell r="C2465">
            <v>3.17</v>
          </cell>
        </row>
        <row r="2466">
          <cell r="B2466">
            <v>38176</v>
          </cell>
          <cell r="C2466">
            <v>3.13</v>
          </cell>
        </row>
        <row r="2467">
          <cell r="B2467">
            <v>38177</v>
          </cell>
          <cell r="C2467">
            <v>3.13</v>
          </cell>
        </row>
        <row r="2468">
          <cell r="B2468">
            <v>38178</v>
          </cell>
          <cell r="C2468">
            <v>3.13</v>
          </cell>
        </row>
        <row r="2469">
          <cell r="B2469">
            <v>38179</v>
          </cell>
          <cell r="C2469">
            <v>3.13</v>
          </cell>
        </row>
        <row r="2470">
          <cell r="B2470">
            <v>38180</v>
          </cell>
          <cell r="C2470">
            <v>3.16</v>
          </cell>
        </row>
        <row r="2471">
          <cell r="B2471">
            <v>38181</v>
          </cell>
          <cell r="C2471">
            <v>3.06</v>
          </cell>
        </row>
        <row r="2472">
          <cell r="B2472">
            <v>38182</v>
          </cell>
          <cell r="C2472">
            <v>3.0300000000000002</v>
          </cell>
        </row>
        <row r="2473">
          <cell r="B2473">
            <v>38183</v>
          </cell>
          <cell r="C2473">
            <v>3.0500000000000003</v>
          </cell>
        </row>
        <row r="2474">
          <cell r="B2474">
            <v>38184</v>
          </cell>
          <cell r="C2474">
            <v>3.1</v>
          </cell>
        </row>
        <row r="2475">
          <cell r="B2475">
            <v>38185</v>
          </cell>
          <cell r="C2475">
            <v>3.1</v>
          </cell>
        </row>
        <row r="2476">
          <cell r="B2476">
            <v>38186</v>
          </cell>
          <cell r="C2476">
            <v>3.1</v>
          </cell>
        </row>
        <row r="2477">
          <cell r="B2477">
            <v>38187</v>
          </cell>
          <cell r="C2477">
            <v>3.08</v>
          </cell>
        </row>
        <row r="2478">
          <cell r="B2478">
            <v>38188</v>
          </cell>
          <cell r="C2478">
            <v>3.12</v>
          </cell>
        </row>
        <row r="2479">
          <cell r="B2479">
            <v>38189</v>
          </cell>
          <cell r="C2479">
            <v>3.16</v>
          </cell>
        </row>
        <row r="2480">
          <cell r="B2480">
            <v>38190</v>
          </cell>
          <cell r="C2480">
            <v>3.15</v>
          </cell>
        </row>
        <row r="2481">
          <cell r="B2481">
            <v>38191</v>
          </cell>
          <cell r="C2481">
            <v>3.1</v>
          </cell>
        </row>
        <row r="2482">
          <cell r="B2482">
            <v>38192</v>
          </cell>
          <cell r="C2482">
            <v>3.1</v>
          </cell>
        </row>
        <row r="2483">
          <cell r="B2483">
            <v>38193</v>
          </cell>
          <cell r="C2483">
            <v>3.1</v>
          </cell>
        </row>
        <row r="2484">
          <cell r="B2484">
            <v>38194</v>
          </cell>
          <cell r="C2484">
            <v>3.0500000000000003</v>
          </cell>
        </row>
        <row r="2485">
          <cell r="B2485">
            <v>38195</v>
          </cell>
          <cell r="C2485">
            <v>3.13</v>
          </cell>
        </row>
        <row r="2486">
          <cell r="B2486">
            <v>38196</v>
          </cell>
          <cell r="C2486">
            <v>2.98</v>
          </cell>
        </row>
        <row r="2487">
          <cell r="B2487">
            <v>38197</v>
          </cell>
          <cell r="C2487">
            <v>3</v>
          </cell>
        </row>
        <row r="2488">
          <cell r="B2488">
            <v>38198</v>
          </cell>
          <cell r="C2488">
            <v>3.0300000000000002</v>
          </cell>
        </row>
        <row r="2489">
          <cell r="B2489">
            <v>38199</v>
          </cell>
          <cell r="C2489">
            <v>3.0300000000000002</v>
          </cell>
        </row>
        <row r="2490">
          <cell r="B2490">
            <v>38200</v>
          </cell>
          <cell r="C2490">
            <v>3.0300000000000002</v>
          </cell>
        </row>
        <row r="2491">
          <cell r="B2491">
            <v>38201</v>
          </cell>
          <cell r="C2491">
            <v>2.92</v>
          </cell>
        </row>
        <row r="2492">
          <cell r="B2492">
            <v>38202</v>
          </cell>
          <cell r="C2492">
            <v>2.9000000000000004</v>
          </cell>
        </row>
        <row r="2493">
          <cell r="B2493">
            <v>38203</v>
          </cell>
          <cell r="C2493">
            <v>2.99</v>
          </cell>
        </row>
        <row r="2494">
          <cell r="B2494">
            <v>38204</v>
          </cell>
          <cell r="C2494">
            <v>2.9000000000000004</v>
          </cell>
        </row>
        <row r="2495">
          <cell r="B2495">
            <v>38205</v>
          </cell>
          <cell r="C2495">
            <v>2.7800000000000002</v>
          </cell>
        </row>
        <row r="2496">
          <cell r="B2496">
            <v>38206</v>
          </cell>
          <cell r="C2496">
            <v>2.7800000000000002</v>
          </cell>
        </row>
        <row r="2497">
          <cell r="B2497">
            <v>38207</v>
          </cell>
          <cell r="C2497">
            <v>2.7800000000000002</v>
          </cell>
        </row>
        <row r="2498">
          <cell r="B2498">
            <v>38208</v>
          </cell>
          <cell r="C2498">
            <v>2.7800000000000002</v>
          </cell>
        </row>
        <row r="2499">
          <cell r="B2499">
            <v>38209</v>
          </cell>
          <cell r="C2499">
            <v>2.7600000000000002</v>
          </cell>
        </row>
        <row r="2500">
          <cell r="B2500">
            <v>38210</v>
          </cell>
          <cell r="C2500">
            <v>2.66</v>
          </cell>
        </row>
        <row r="2501">
          <cell r="B2501">
            <v>38211</v>
          </cell>
          <cell r="C2501">
            <v>2.61</v>
          </cell>
        </row>
        <row r="2502">
          <cell r="B2502">
            <v>38212</v>
          </cell>
          <cell r="C2502">
            <v>2.54</v>
          </cell>
        </row>
        <row r="2503">
          <cell r="B2503">
            <v>38213</v>
          </cell>
          <cell r="C2503">
            <v>2.54</v>
          </cell>
        </row>
        <row r="2504">
          <cell r="B2504">
            <v>38214</v>
          </cell>
          <cell r="C2504">
            <v>2.54</v>
          </cell>
        </row>
        <row r="2505">
          <cell r="B2505">
            <v>38215</v>
          </cell>
          <cell r="C2505">
            <v>2.5100000000000002</v>
          </cell>
        </row>
        <row r="2506">
          <cell r="B2506">
            <v>38216</v>
          </cell>
          <cell r="C2506">
            <v>2.5500000000000003</v>
          </cell>
        </row>
        <row r="2507">
          <cell r="B2507">
            <v>38217</v>
          </cell>
          <cell r="C2507">
            <v>2.54</v>
          </cell>
        </row>
        <row r="2508">
          <cell r="B2508">
            <v>38218</v>
          </cell>
          <cell r="C2508">
            <v>2.5</v>
          </cell>
        </row>
        <row r="2509">
          <cell r="B2509">
            <v>38219</v>
          </cell>
          <cell r="C2509">
            <v>2.5500000000000003</v>
          </cell>
        </row>
        <row r="2510">
          <cell r="B2510">
            <v>38220</v>
          </cell>
          <cell r="C2510">
            <v>2.5500000000000003</v>
          </cell>
        </row>
        <row r="2511">
          <cell r="B2511">
            <v>38221</v>
          </cell>
          <cell r="C2511">
            <v>2.5500000000000003</v>
          </cell>
        </row>
        <row r="2512">
          <cell r="B2512">
            <v>38222</v>
          </cell>
          <cell r="C2512">
            <v>2.7</v>
          </cell>
        </row>
        <row r="2513">
          <cell r="B2513">
            <v>38223</v>
          </cell>
          <cell r="C2513">
            <v>2.65</v>
          </cell>
        </row>
        <row r="2514">
          <cell r="B2514">
            <v>38224</v>
          </cell>
          <cell r="C2514">
            <v>2.7</v>
          </cell>
        </row>
        <row r="2515">
          <cell r="B2515">
            <v>38225</v>
          </cell>
          <cell r="C2515">
            <v>2.7</v>
          </cell>
        </row>
        <row r="2516">
          <cell r="B2516">
            <v>38226</v>
          </cell>
          <cell r="C2516">
            <v>2.69</v>
          </cell>
        </row>
        <row r="2517">
          <cell r="B2517">
            <v>38227</v>
          </cell>
          <cell r="C2517">
            <v>2.69</v>
          </cell>
        </row>
        <row r="2518">
          <cell r="B2518">
            <v>38228</v>
          </cell>
          <cell r="C2518">
            <v>2.69</v>
          </cell>
        </row>
        <row r="2519">
          <cell r="B2519">
            <v>38229</v>
          </cell>
          <cell r="C2519">
            <v>2.63</v>
          </cell>
        </row>
        <row r="2520">
          <cell r="B2520">
            <v>38230</v>
          </cell>
          <cell r="C2520">
            <v>2.62</v>
          </cell>
        </row>
        <row r="2521">
          <cell r="B2521">
            <v>38231</v>
          </cell>
          <cell r="C2521">
            <v>2.7</v>
          </cell>
        </row>
        <row r="2522">
          <cell r="B2522">
            <v>38232</v>
          </cell>
          <cell r="C2522">
            <v>2.83</v>
          </cell>
        </row>
        <row r="2523">
          <cell r="B2523">
            <v>38233</v>
          </cell>
          <cell r="C2523">
            <v>2.7600000000000002</v>
          </cell>
        </row>
        <row r="2524">
          <cell r="B2524">
            <v>38234</v>
          </cell>
          <cell r="C2524">
            <v>2.7600000000000002</v>
          </cell>
        </row>
        <row r="2525">
          <cell r="B2525">
            <v>38235</v>
          </cell>
          <cell r="C2525">
            <v>2.7600000000000002</v>
          </cell>
        </row>
        <row r="2526">
          <cell r="B2526">
            <v>38236</v>
          </cell>
          <cell r="C2526">
            <v>2.7600000000000002</v>
          </cell>
        </row>
        <row r="2527">
          <cell r="B2527">
            <v>38237</v>
          </cell>
          <cell r="C2527">
            <v>2.97</v>
          </cell>
        </row>
        <row r="2528">
          <cell r="B2528">
            <v>38238</v>
          </cell>
          <cell r="C2528">
            <v>2.87</v>
          </cell>
        </row>
        <row r="2529">
          <cell r="B2529">
            <v>38239</v>
          </cell>
          <cell r="C2529">
            <v>2.9000000000000004</v>
          </cell>
        </row>
        <row r="2530">
          <cell r="B2530">
            <v>38240</v>
          </cell>
          <cell r="C2530">
            <v>2.88</v>
          </cell>
        </row>
        <row r="2531">
          <cell r="B2531">
            <v>38241</v>
          </cell>
          <cell r="C2531">
            <v>2.88</v>
          </cell>
        </row>
        <row r="2532">
          <cell r="B2532">
            <v>38242</v>
          </cell>
          <cell r="C2532">
            <v>2.88</v>
          </cell>
        </row>
        <row r="2533">
          <cell r="B2533">
            <v>38243</v>
          </cell>
          <cell r="C2533">
            <v>2.93</v>
          </cell>
        </row>
        <row r="2534">
          <cell r="B2534">
            <v>38244</v>
          </cell>
          <cell r="C2534">
            <v>2.9000000000000004</v>
          </cell>
        </row>
        <row r="2535">
          <cell r="B2535">
            <v>38245</v>
          </cell>
          <cell r="C2535">
            <v>2.82</v>
          </cell>
        </row>
        <row r="2536">
          <cell r="B2536">
            <v>38246</v>
          </cell>
          <cell r="C2536">
            <v>2.84</v>
          </cell>
        </row>
        <row r="2537">
          <cell r="B2537">
            <v>38247</v>
          </cell>
          <cell r="C2537">
            <v>2.81</v>
          </cell>
        </row>
        <row r="2538">
          <cell r="B2538">
            <v>38248</v>
          </cell>
          <cell r="C2538">
            <v>2.81</v>
          </cell>
        </row>
        <row r="2539">
          <cell r="B2539">
            <v>38249</v>
          </cell>
          <cell r="C2539">
            <v>2.81</v>
          </cell>
        </row>
        <row r="2540">
          <cell r="B2540">
            <v>38250</v>
          </cell>
          <cell r="C2540">
            <v>2.69</v>
          </cell>
        </row>
        <row r="2541">
          <cell r="B2541">
            <v>38251</v>
          </cell>
          <cell r="C2541">
            <v>2.68</v>
          </cell>
        </row>
        <row r="2542">
          <cell r="B2542">
            <v>38252</v>
          </cell>
          <cell r="C2542">
            <v>2.58</v>
          </cell>
        </row>
        <row r="2543">
          <cell r="B2543">
            <v>38253</v>
          </cell>
          <cell r="C2543">
            <v>2.5</v>
          </cell>
        </row>
        <row r="2544">
          <cell r="B2544">
            <v>38254</v>
          </cell>
          <cell r="C2544">
            <v>2.6</v>
          </cell>
        </row>
        <row r="2545">
          <cell r="B2545">
            <v>38255</v>
          </cell>
          <cell r="C2545">
            <v>2.6</v>
          </cell>
        </row>
        <row r="2546">
          <cell r="B2546">
            <v>38256</v>
          </cell>
          <cell r="C2546">
            <v>2.6</v>
          </cell>
        </row>
        <row r="2547">
          <cell r="B2547">
            <v>38257</v>
          </cell>
          <cell r="C2547">
            <v>2.62</v>
          </cell>
        </row>
        <row r="2548">
          <cell r="B2548">
            <v>38258</v>
          </cell>
          <cell r="C2548">
            <v>2.6</v>
          </cell>
        </row>
        <row r="2549">
          <cell r="B2549">
            <v>38259</v>
          </cell>
          <cell r="C2549">
            <v>2.5500000000000003</v>
          </cell>
        </row>
        <row r="2550">
          <cell r="B2550">
            <v>38260</v>
          </cell>
          <cell r="C2550">
            <v>2.59</v>
          </cell>
        </row>
        <row r="2551">
          <cell r="B2551">
            <v>38261</v>
          </cell>
          <cell r="C2551">
            <v>2.61</v>
          </cell>
        </row>
        <row r="2552">
          <cell r="B2552">
            <v>38262</v>
          </cell>
          <cell r="C2552">
            <v>2.61</v>
          </cell>
        </row>
        <row r="2553">
          <cell r="B2553">
            <v>38263</v>
          </cell>
          <cell r="C2553">
            <v>2.61</v>
          </cell>
        </row>
        <row r="2554">
          <cell r="B2554">
            <v>38264</v>
          </cell>
          <cell r="C2554">
            <v>2.62</v>
          </cell>
        </row>
        <row r="2555">
          <cell r="B2555">
            <v>38265</v>
          </cell>
          <cell r="C2555">
            <v>2.68</v>
          </cell>
        </row>
        <row r="2556">
          <cell r="B2556">
            <v>38266</v>
          </cell>
          <cell r="C2556">
            <v>2.85</v>
          </cell>
        </row>
        <row r="2557">
          <cell r="B2557">
            <v>38267</v>
          </cell>
          <cell r="C2557">
            <v>2.8000000000000003</v>
          </cell>
        </row>
        <row r="2558">
          <cell r="B2558">
            <v>38268</v>
          </cell>
          <cell r="C2558">
            <v>2.72</v>
          </cell>
        </row>
        <row r="2559">
          <cell r="B2559">
            <v>38269</v>
          </cell>
          <cell r="C2559">
            <v>2.72</v>
          </cell>
        </row>
        <row r="2560">
          <cell r="B2560">
            <v>38270</v>
          </cell>
          <cell r="C2560">
            <v>2.72</v>
          </cell>
        </row>
        <row r="2561">
          <cell r="B2561">
            <v>38271</v>
          </cell>
          <cell r="C2561">
            <v>2.98</v>
          </cell>
        </row>
        <row r="2562">
          <cell r="B2562">
            <v>38272</v>
          </cell>
          <cell r="C2562">
            <v>3.3000000000000003</v>
          </cell>
        </row>
        <row r="2563">
          <cell r="B2563">
            <v>38273</v>
          </cell>
          <cell r="C2563">
            <v>3.19</v>
          </cell>
        </row>
        <row r="2564">
          <cell r="B2564">
            <v>38274</v>
          </cell>
          <cell r="C2564">
            <v>3.0300000000000002</v>
          </cell>
        </row>
        <row r="2565">
          <cell r="B2565">
            <v>38275</v>
          </cell>
          <cell r="C2565">
            <v>3.0300000000000002</v>
          </cell>
        </row>
        <row r="2566">
          <cell r="B2566">
            <v>38276</v>
          </cell>
          <cell r="C2566">
            <v>3.0300000000000002</v>
          </cell>
        </row>
        <row r="2567">
          <cell r="B2567">
            <v>38277</v>
          </cell>
          <cell r="C2567">
            <v>3.0300000000000002</v>
          </cell>
        </row>
        <row r="2568">
          <cell r="B2568">
            <v>38278</v>
          </cell>
          <cell r="C2568">
            <v>3.3000000000000003</v>
          </cell>
        </row>
        <row r="2569">
          <cell r="B2569">
            <v>38279</v>
          </cell>
          <cell r="C2569">
            <v>3.44</v>
          </cell>
        </row>
        <row r="2570">
          <cell r="B2570">
            <v>38280</v>
          </cell>
          <cell r="C2570">
            <v>3.58</v>
          </cell>
        </row>
        <row r="2571">
          <cell r="B2571">
            <v>38281</v>
          </cell>
          <cell r="C2571">
            <v>3.68</v>
          </cell>
        </row>
        <row r="2572">
          <cell r="B2572">
            <v>38282</v>
          </cell>
          <cell r="C2572">
            <v>3.61</v>
          </cell>
        </row>
        <row r="2573">
          <cell r="B2573">
            <v>38283</v>
          </cell>
          <cell r="C2573">
            <v>3.61</v>
          </cell>
        </row>
        <row r="2574">
          <cell r="B2574">
            <v>38284</v>
          </cell>
          <cell r="C2574">
            <v>3.61</v>
          </cell>
        </row>
        <row r="2575">
          <cell r="B2575">
            <v>38285</v>
          </cell>
          <cell r="C2575">
            <v>3.64</v>
          </cell>
        </row>
        <row r="2576">
          <cell r="B2576">
            <v>38286</v>
          </cell>
          <cell r="C2576">
            <v>3.93</v>
          </cell>
        </row>
        <row r="2577">
          <cell r="B2577">
            <v>38287</v>
          </cell>
          <cell r="C2577">
            <v>3.34</v>
          </cell>
        </row>
        <row r="2578">
          <cell r="B2578">
            <v>38288</v>
          </cell>
          <cell r="C2578">
            <v>3.23</v>
          </cell>
        </row>
        <row r="2579">
          <cell r="B2579">
            <v>38289</v>
          </cell>
          <cell r="C2579">
            <v>3.36</v>
          </cell>
        </row>
        <row r="2580">
          <cell r="B2580">
            <v>38290</v>
          </cell>
          <cell r="C2580">
            <v>3.36</v>
          </cell>
        </row>
        <row r="2581">
          <cell r="B2581">
            <v>38291</v>
          </cell>
          <cell r="C2581">
            <v>3.36</v>
          </cell>
        </row>
        <row r="2582">
          <cell r="B2582">
            <v>38292</v>
          </cell>
          <cell r="C2582">
            <v>3.41</v>
          </cell>
        </row>
        <row r="2583">
          <cell r="B2583">
            <v>38293</v>
          </cell>
          <cell r="C2583">
            <v>3.36</v>
          </cell>
        </row>
        <row r="2584">
          <cell r="B2584">
            <v>38294</v>
          </cell>
          <cell r="C2584">
            <v>3.19</v>
          </cell>
        </row>
        <row r="2585">
          <cell r="B2585">
            <v>38295</v>
          </cell>
          <cell r="C2585">
            <v>3.17</v>
          </cell>
        </row>
        <row r="2586">
          <cell r="B2586">
            <v>38296</v>
          </cell>
          <cell r="C2586">
            <v>3.21</v>
          </cell>
        </row>
        <row r="2587">
          <cell r="B2587">
            <v>38297</v>
          </cell>
          <cell r="C2587">
            <v>3.21</v>
          </cell>
        </row>
        <row r="2588">
          <cell r="B2588">
            <v>38298</v>
          </cell>
          <cell r="C2588">
            <v>3.21</v>
          </cell>
        </row>
        <row r="2589">
          <cell r="B2589">
            <v>38299</v>
          </cell>
          <cell r="C2589">
            <v>3.29</v>
          </cell>
        </row>
        <row r="2590">
          <cell r="B2590">
            <v>38300</v>
          </cell>
          <cell r="C2590">
            <v>3.24</v>
          </cell>
        </row>
        <row r="2591">
          <cell r="B2591">
            <v>38301</v>
          </cell>
          <cell r="C2591">
            <v>3.27</v>
          </cell>
        </row>
        <row r="2592">
          <cell r="B2592">
            <v>38302</v>
          </cell>
          <cell r="C2592">
            <v>3.23</v>
          </cell>
        </row>
        <row r="2593">
          <cell r="B2593">
            <v>38303</v>
          </cell>
          <cell r="C2593">
            <v>3.2800000000000002</v>
          </cell>
        </row>
        <row r="2594">
          <cell r="B2594">
            <v>38304</v>
          </cell>
          <cell r="C2594">
            <v>3.2800000000000002</v>
          </cell>
        </row>
        <row r="2595">
          <cell r="B2595">
            <v>38305</v>
          </cell>
          <cell r="C2595">
            <v>3.2800000000000002</v>
          </cell>
        </row>
        <row r="2596">
          <cell r="B2596">
            <v>38306</v>
          </cell>
          <cell r="C2596">
            <v>3.2</v>
          </cell>
        </row>
        <row r="2597">
          <cell r="B2597">
            <v>38307</v>
          </cell>
          <cell r="C2597">
            <v>3.23</v>
          </cell>
        </row>
        <row r="2598">
          <cell r="B2598">
            <v>38308</v>
          </cell>
          <cell r="C2598">
            <v>3.3200000000000003</v>
          </cell>
        </row>
        <row r="2599">
          <cell r="B2599">
            <v>38309</v>
          </cell>
          <cell r="C2599">
            <v>3.45</v>
          </cell>
        </row>
        <row r="2600">
          <cell r="B2600">
            <v>38310</v>
          </cell>
          <cell r="C2600">
            <v>3.45</v>
          </cell>
        </row>
        <row r="2601">
          <cell r="B2601">
            <v>38311</v>
          </cell>
          <cell r="C2601">
            <v>3.45</v>
          </cell>
        </row>
        <row r="2602">
          <cell r="B2602">
            <v>38312</v>
          </cell>
          <cell r="C2602">
            <v>3.45</v>
          </cell>
        </row>
        <row r="2603">
          <cell r="B2603">
            <v>38313</v>
          </cell>
          <cell r="C2603">
            <v>3.36</v>
          </cell>
        </row>
        <row r="2604">
          <cell r="B2604">
            <v>38314</v>
          </cell>
          <cell r="C2604">
            <v>3.3200000000000003</v>
          </cell>
        </row>
        <row r="2605">
          <cell r="B2605">
            <v>38315</v>
          </cell>
          <cell r="C2605">
            <v>3.43</v>
          </cell>
        </row>
        <row r="2606">
          <cell r="B2606">
            <v>38316</v>
          </cell>
          <cell r="C2606">
            <v>3.43</v>
          </cell>
        </row>
        <row r="2607">
          <cell r="B2607">
            <v>38317</v>
          </cell>
          <cell r="C2607">
            <v>3.45</v>
          </cell>
        </row>
        <row r="2608">
          <cell r="B2608">
            <v>38318</v>
          </cell>
          <cell r="C2608">
            <v>3.45</v>
          </cell>
        </row>
        <row r="2609">
          <cell r="B2609">
            <v>38319</v>
          </cell>
          <cell r="C2609">
            <v>3.45</v>
          </cell>
        </row>
        <row r="2610">
          <cell r="B2610">
            <v>38320</v>
          </cell>
          <cell r="C2610">
            <v>3.48</v>
          </cell>
        </row>
        <row r="2611">
          <cell r="B2611">
            <v>38321</v>
          </cell>
          <cell r="C2611">
            <v>3.45</v>
          </cell>
        </row>
        <row r="2612">
          <cell r="B2612">
            <v>38322</v>
          </cell>
          <cell r="C2612">
            <v>3.56</v>
          </cell>
        </row>
        <row r="2613">
          <cell r="B2613">
            <v>38323</v>
          </cell>
          <cell r="C2613">
            <v>3.64</v>
          </cell>
        </row>
        <row r="2614">
          <cell r="B2614">
            <v>38324</v>
          </cell>
          <cell r="C2614">
            <v>3.56</v>
          </cell>
        </row>
        <row r="2615">
          <cell r="B2615">
            <v>38325</v>
          </cell>
          <cell r="C2615">
            <v>3.56</v>
          </cell>
        </row>
        <row r="2616">
          <cell r="B2616">
            <v>38326</v>
          </cell>
          <cell r="C2616">
            <v>3.56</v>
          </cell>
        </row>
        <row r="2617">
          <cell r="B2617">
            <v>38327</v>
          </cell>
          <cell r="C2617">
            <v>3.5</v>
          </cell>
        </row>
        <row r="2618">
          <cell r="B2618">
            <v>38328</v>
          </cell>
          <cell r="C2618">
            <v>3.46</v>
          </cell>
        </row>
        <row r="2619">
          <cell r="B2619">
            <v>38329</v>
          </cell>
          <cell r="C2619">
            <v>3.42</v>
          </cell>
        </row>
        <row r="2620">
          <cell r="B2620">
            <v>38330</v>
          </cell>
          <cell r="C2620">
            <v>3.45</v>
          </cell>
        </row>
        <row r="2621">
          <cell r="B2621">
            <v>38331</v>
          </cell>
          <cell r="C2621">
            <v>3.37</v>
          </cell>
        </row>
        <row r="2622">
          <cell r="B2622">
            <v>38332</v>
          </cell>
          <cell r="C2622">
            <v>3.37</v>
          </cell>
        </row>
        <row r="2623">
          <cell r="B2623">
            <v>38333</v>
          </cell>
          <cell r="C2623">
            <v>3.37</v>
          </cell>
        </row>
        <row r="2624">
          <cell r="B2624">
            <v>38334</v>
          </cell>
          <cell r="C2624">
            <v>3.37</v>
          </cell>
        </row>
        <row r="2625">
          <cell r="B2625">
            <v>38335</v>
          </cell>
          <cell r="C2625">
            <v>3.35</v>
          </cell>
        </row>
        <row r="2626">
          <cell r="B2626">
            <v>38336</v>
          </cell>
          <cell r="C2626">
            <v>3.42</v>
          </cell>
        </row>
        <row r="2627">
          <cell r="B2627">
            <v>38337</v>
          </cell>
          <cell r="C2627">
            <v>3.42</v>
          </cell>
        </row>
        <row r="2628">
          <cell r="B2628">
            <v>38338</v>
          </cell>
          <cell r="C2628">
            <v>3.3610000000000002</v>
          </cell>
        </row>
        <row r="2629">
          <cell r="B2629">
            <v>38339</v>
          </cell>
          <cell r="C2629">
            <v>3.3610000000000002</v>
          </cell>
        </row>
        <row r="2630">
          <cell r="B2630">
            <v>38340</v>
          </cell>
          <cell r="C2630">
            <v>3.3610000000000002</v>
          </cell>
        </row>
        <row r="2631">
          <cell r="B2631">
            <v>38341</v>
          </cell>
          <cell r="C2631">
            <v>3.3200000000000003</v>
          </cell>
        </row>
        <row r="2632">
          <cell r="B2632">
            <v>38342</v>
          </cell>
          <cell r="C2632">
            <v>3.34</v>
          </cell>
        </row>
        <row r="2633">
          <cell r="B2633">
            <v>38343</v>
          </cell>
          <cell r="C2633">
            <v>3.4000000000000004</v>
          </cell>
        </row>
        <row r="2634">
          <cell r="B2634">
            <v>38344</v>
          </cell>
          <cell r="C2634">
            <v>3.4000000000000004</v>
          </cell>
        </row>
        <row r="2635">
          <cell r="B2635">
            <v>38345</v>
          </cell>
          <cell r="C2635">
            <v>3.4000000000000004</v>
          </cell>
        </row>
        <row r="2636">
          <cell r="B2636">
            <v>38346</v>
          </cell>
          <cell r="C2636">
            <v>3.4000000000000004</v>
          </cell>
        </row>
        <row r="2637">
          <cell r="B2637">
            <v>38347</v>
          </cell>
          <cell r="C2637">
            <v>3.4000000000000004</v>
          </cell>
        </row>
        <row r="2638">
          <cell r="B2638">
            <v>38348</v>
          </cell>
          <cell r="C2638">
            <v>3.45</v>
          </cell>
        </row>
        <row r="2639">
          <cell r="B2639">
            <v>38349</v>
          </cell>
          <cell r="C2639">
            <v>3.47</v>
          </cell>
        </row>
        <row r="2640">
          <cell r="B2640">
            <v>38350</v>
          </cell>
          <cell r="C2640">
            <v>3.45</v>
          </cell>
        </row>
        <row r="2641">
          <cell r="B2641">
            <v>38351</v>
          </cell>
          <cell r="C2641">
            <v>3.41</v>
          </cell>
        </row>
        <row r="2642">
          <cell r="B2642">
            <v>38352</v>
          </cell>
          <cell r="C2642">
            <v>3.39</v>
          </cell>
        </row>
        <row r="2643">
          <cell r="B2643">
            <v>38353</v>
          </cell>
          <cell r="C2643">
            <v>3.39</v>
          </cell>
        </row>
        <row r="2644">
          <cell r="B2644">
            <v>38354</v>
          </cell>
          <cell r="C2644">
            <v>3.39</v>
          </cell>
        </row>
        <row r="2645">
          <cell r="B2645">
            <v>38355</v>
          </cell>
          <cell r="C2645">
            <v>3.34</v>
          </cell>
        </row>
        <row r="2646">
          <cell r="B2646">
            <v>38356</v>
          </cell>
          <cell r="C2646">
            <v>3.22</v>
          </cell>
        </row>
        <row r="2647">
          <cell r="B2647">
            <v>38357</v>
          </cell>
          <cell r="C2647">
            <v>3.17</v>
          </cell>
        </row>
        <row r="2648">
          <cell r="B2648">
            <v>38358</v>
          </cell>
          <cell r="C2648">
            <v>3.08</v>
          </cell>
        </row>
        <row r="2649">
          <cell r="B2649">
            <v>38359</v>
          </cell>
          <cell r="C2649">
            <v>3</v>
          </cell>
        </row>
        <row r="2650">
          <cell r="B2650">
            <v>38360</v>
          </cell>
          <cell r="C2650">
            <v>3</v>
          </cell>
        </row>
        <row r="2651">
          <cell r="B2651">
            <v>38361</v>
          </cell>
          <cell r="C2651">
            <v>3</v>
          </cell>
        </row>
        <row r="2652">
          <cell r="B2652">
            <v>38362</v>
          </cell>
          <cell r="C2652">
            <v>2.97</v>
          </cell>
        </row>
        <row r="2653">
          <cell r="B2653">
            <v>38363</v>
          </cell>
          <cell r="C2653">
            <v>2.9000000000000004</v>
          </cell>
        </row>
        <row r="2654">
          <cell r="B2654">
            <v>38364</v>
          </cell>
          <cell r="C2654">
            <v>2.93</v>
          </cell>
        </row>
        <row r="2655">
          <cell r="B2655">
            <v>38365</v>
          </cell>
          <cell r="C2655">
            <v>2.81</v>
          </cell>
        </row>
        <row r="2656">
          <cell r="B2656">
            <v>38366</v>
          </cell>
          <cell r="C2656">
            <v>2.77</v>
          </cell>
        </row>
        <row r="2657">
          <cell r="B2657">
            <v>38367</v>
          </cell>
          <cell r="C2657">
            <v>2.77</v>
          </cell>
        </row>
        <row r="2658">
          <cell r="B2658">
            <v>38368</v>
          </cell>
          <cell r="C2658">
            <v>2.77</v>
          </cell>
        </row>
        <row r="2659">
          <cell r="B2659">
            <v>38369</v>
          </cell>
          <cell r="C2659">
            <v>2.77</v>
          </cell>
        </row>
        <row r="2660">
          <cell r="B2660">
            <v>38370</v>
          </cell>
          <cell r="C2660">
            <v>2.96</v>
          </cell>
        </row>
        <row r="2661">
          <cell r="B2661">
            <v>38371</v>
          </cell>
          <cell r="C2661">
            <v>2.8000000000000003</v>
          </cell>
        </row>
        <row r="2662">
          <cell r="B2662">
            <v>38372</v>
          </cell>
          <cell r="C2662">
            <v>2.68</v>
          </cell>
        </row>
        <row r="2663">
          <cell r="B2663">
            <v>38373</v>
          </cell>
          <cell r="C2663">
            <v>2.67</v>
          </cell>
        </row>
        <row r="2664">
          <cell r="B2664">
            <v>38374</v>
          </cell>
          <cell r="C2664">
            <v>2.67</v>
          </cell>
        </row>
        <row r="2665">
          <cell r="B2665">
            <v>38375</v>
          </cell>
          <cell r="C2665">
            <v>2.67</v>
          </cell>
        </row>
        <row r="2666">
          <cell r="B2666">
            <v>38376</v>
          </cell>
          <cell r="C2666">
            <v>2.65</v>
          </cell>
        </row>
        <row r="2667">
          <cell r="B2667">
            <v>38377</v>
          </cell>
          <cell r="C2667">
            <v>2.7800000000000002</v>
          </cell>
        </row>
        <row r="2668">
          <cell r="B2668">
            <v>38378</v>
          </cell>
          <cell r="C2668">
            <v>2.74</v>
          </cell>
        </row>
        <row r="2669">
          <cell r="B2669">
            <v>38379</v>
          </cell>
          <cell r="C2669">
            <v>2.72</v>
          </cell>
        </row>
        <row r="2670">
          <cell r="B2670">
            <v>38380</v>
          </cell>
          <cell r="C2670">
            <v>2.71</v>
          </cell>
        </row>
        <row r="2671">
          <cell r="B2671">
            <v>38381</v>
          </cell>
          <cell r="C2671">
            <v>2.71</v>
          </cell>
        </row>
        <row r="2672">
          <cell r="B2672">
            <v>38382</v>
          </cell>
          <cell r="C2672">
            <v>2.71</v>
          </cell>
        </row>
        <row r="2673">
          <cell r="B2673">
            <v>38383</v>
          </cell>
          <cell r="C2673">
            <v>2.74</v>
          </cell>
        </row>
        <row r="2674">
          <cell r="B2674">
            <v>38384</v>
          </cell>
          <cell r="C2674">
            <v>2.81</v>
          </cell>
        </row>
        <row r="2675">
          <cell r="B2675">
            <v>38385</v>
          </cell>
          <cell r="C2675">
            <v>2.84</v>
          </cell>
        </row>
        <row r="2676">
          <cell r="B2676">
            <v>38386</v>
          </cell>
          <cell r="C2676">
            <v>2.94</v>
          </cell>
        </row>
        <row r="2677">
          <cell r="B2677">
            <v>38387</v>
          </cell>
          <cell r="C2677">
            <v>3.11</v>
          </cell>
        </row>
        <row r="2678">
          <cell r="B2678">
            <v>38388</v>
          </cell>
          <cell r="C2678">
            <v>3.11</v>
          </cell>
        </row>
        <row r="2679">
          <cell r="B2679">
            <v>38389</v>
          </cell>
          <cell r="C2679">
            <v>3.11</v>
          </cell>
        </row>
        <row r="2680">
          <cell r="B2680">
            <v>38390</v>
          </cell>
          <cell r="C2680">
            <v>2.99</v>
          </cell>
        </row>
        <row r="2681">
          <cell r="B2681">
            <v>38391</v>
          </cell>
          <cell r="C2681">
            <v>2.64</v>
          </cell>
        </row>
        <row r="2682">
          <cell r="B2682">
            <v>38392</v>
          </cell>
          <cell r="C2682">
            <v>2.2600000000000002</v>
          </cell>
        </row>
        <row r="2683">
          <cell r="B2683">
            <v>38393</v>
          </cell>
          <cell r="C2683">
            <v>1.9000000000000001</v>
          </cell>
        </row>
        <row r="2684">
          <cell r="B2684">
            <v>38394</v>
          </cell>
          <cell r="C2684">
            <v>2.02</v>
          </cell>
        </row>
        <row r="2685">
          <cell r="B2685">
            <v>38395</v>
          </cell>
          <cell r="C2685">
            <v>2.02</v>
          </cell>
        </row>
        <row r="2686">
          <cell r="B2686">
            <v>38396</v>
          </cell>
          <cell r="C2686">
            <v>2.02</v>
          </cell>
        </row>
        <row r="2687">
          <cell r="B2687">
            <v>38397</v>
          </cell>
          <cell r="C2687">
            <v>2.09</v>
          </cell>
        </row>
        <row r="2688">
          <cell r="B2688">
            <v>38398</v>
          </cell>
          <cell r="C2688">
            <v>2.06</v>
          </cell>
        </row>
        <row r="2689">
          <cell r="B2689">
            <v>38399</v>
          </cell>
          <cell r="C2689">
            <v>2.0300000000000002</v>
          </cell>
        </row>
        <row r="2690">
          <cell r="B2690">
            <v>38400</v>
          </cell>
          <cell r="C2690">
            <v>1.92</v>
          </cell>
        </row>
        <row r="2691">
          <cell r="B2691">
            <v>38401</v>
          </cell>
          <cell r="C2691">
            <v>1.93</v>
          </cell>
        </row>
        <row r="2692">
          <cell r="B2692">
            <v>38402</v>
          </cell>
          <cell r="C2692">
            <v>1.93</v>
          </cell>
        </row>
        <row r="2693">
          <cell r="B2693">
            <v>38403</v>
          </cell>
          <cell r="C2693">
            <v>1.93</v>
          </cell>
        </row>
        <row r="2694">
          <cell r="B2694">
            <v>38404</v>
          </cell>
          <cell r="C2694">
            <v>1.93</v>
          </cell>
        </row>
        <row r="2695">
          <cell r="B2695">
            <v>38405</v>
          </cell>
          <cell r="C2695">
            <v>2.2800000000000002</v>
          </cell>
        </row>
        <row r="2696">
          <cell r="B2696">
            <v>38406</v>
          </cell>
          <cell r="C2696">
            <v>2.36</v>
          </cell>
        </row>
        <row r="2697">
          <cell r="B2697">
            <v>38407</v>
          </cell>
          <cell r="C2697">
            <v>2.44</v>
          </cell>
        </row>
        <row r="2698">
          <cell r="B2698">
            <v>38408</v>
          </cell>
          <cell r="C2698">
            <v>2.35</v>
          </cell>
        </row>
        <row r="2699">
          <cell r="B2699">
            <v>38409</v>
          </cell>
          <cell r="C2699">
            <v>2.35</v>
          </cell>
        </row>
        <row r="2700">
          <cell r="B2700">
            <v>38410</v>
          </cell>
          <cell r="C2700">
            <v>2.35</v>
          </cell>
        </row>
        <row r="2701">
          <cell r="B2701">
            <v>38411</v>
          </cell>
          <cell r="C2701">
            <v>2.33</v>
          </cell>
        </row>
        <row r="2702">
          <cell r="B2702">
            <v>38412</v>
          </cell>
          <cell r="C2702">
            <v>2.31</v>
          </cell>
        </row>
        <row r="2703">
          <cell r="B2703">
            <v>38413</v>
          </cell>
          <cell r="C2703">
            <v>2.41</v>
          </cell>
        </row>
        <row r="2704">
          <cell r="B2704">
            <v>38414</v>
          </cell>
          <cell r="C2704">
            <v>2.38</v>
          </cell>
        </row>
        <row r="2705">
          <cell r="B2705">
            <v>38415</v>
          </cell>
          <cell r="C2705">
            <v>2.35</v>
          </cell>
        </row>
        <row r="2706">
          <cell r="B2706">
            <v>38416</v>
          </cell>
          <cell r="C2706">
            <v>2.35</v>
          </cell>
        </row>
        <row r="2707">
          <cell r="B2707">
            <v>38417</v>
          </cell>
          <cell r="C2707">
            <v>2.35</v>
          </cell>
        </row>
        <row r="2708">
          <cell r="B2708">
            <v>38418</v>
          </cell>
          <cell r="C2708">
            <v>2.4000000000000004</v>
          </cell>
        </row>
        <row r="2709">
          <cell r="B2709">
            <v>38419</v>
          </cell>
          <cell r="C2709">
            <v>2.39</v>
          </cell>
        </row>
        <row r="2710">
          <cell r="B2710">
            <v>38420</v>
          </cell>
          <cell r="C2710">
            <v>2.39</v>
          </cell>
        </row>
        <row r="2711">
          <cell r="B2711">
            <v>38421</v>
          </cell>
          <cell r="C2711">
            <v>2.4500000000000002</v>
          </cell>
        </row>
        <row r="2712">
          <cell r="B2712">
            <v>38422</v>
          </cell>
          <cell r="C2712">
            <v>2.44</v>
          </cell>
        </row>
        <row r="2713">
          <cell r="B2713">
            <v>38423</v>
          </cell>
          <cell r="C2713">
            <v>2.44</v>
          </cell>
        </row>
        <row r="2714">
          <cell r="B2714">
            <v>38424</v>
          </cell>
          <cell r="C2714">
            <v>2.44</v>
          </cell>
        </row>
        <row r="2715">
          <cell r="B2715">
            <v>38425</v>
          </cell>
          <cell r="C2715">
            <v>2.4300000000000002</v>
          </cell>
        </row>
        <row r="2716">
          <cell r="B2716">
            <v>38426</v>
          </cell>
          <cell r="C2716">
            <v>2.34</v>
          </cell>
        </row>
        <row r="2717">
          <cell r="B2717">
            <v>38427</v>
          </cell>
          <cell r="C2717">
            <v>2.34</v>
          </cell>
        </row>
        <row r="2718">
          <cell r="B2718">
            <v>38428</v>
          </cell>
          <cell r="C2718">
            <v>2.25</v>
          </cell>
        </row>
        <row r="2719">
          <cell r="B2719">
            <v>38429</v>
          </cell>
          <cell r="C2719">
            <v>2.21</v>
          </cell>
        </row>
        <row r="2720">
          <cell r="B2720">
            <v>38430</v>
          </cell>
          <cell r="C2720">
            <v>2.21</v>
          </cell>
        </row>
        <row r="2721">
          <cell r="B2721">
            <v>38431</v>
          </cell>
          <cell r="C2721">
            <v>2.21</v>
          </cell>
        </row>
        <row r="2722">
          <cell r="B2722">
            <v>38432</v>
          </cell>
          <cell r="C2722">
            <v>2.19</v>
          </cell>
        </row>
        <row r="2723">
          <cell r="B2723">
            <v>38433</v>
          </cell>
          <cell r="C2723">
            <v>2.15</v>
          </cell>
        </row>
        <row r="2724">
          <cell r="B2724">
            <v>38434</v>
          </cell>
          <cell r="C2724">
            <v>2.1</v>
          </cell>
        </row>
        <row r="2725">
          <cell r="B2725">
            <v>38435</v>
          </cell>
          <cell r="C2725">
            <v>2.0499999999999998</v>
          </cell>
        </row>
        <row r="2726">
          <cell r="B2726">
            <v>38436</v>
          </cell>
          <cell r="C2726">
            <v>2.0499999999999998</v>
          </cell>
        </row>
        <row r="2727">
          <cell r="B2727">
            <v>38437</v>
          </cell>
          <cell r="C2727">
            <v>2.0499999999999998</v>
          </cell>
        </row>
        <row r="2728">
          <cell r="B2728">
            <v>38438</v>
          </cell>
          <cell r="C2728">
            <v>2.0499999999999998</v>
          </cell>
        </row>
        <row r="2729">
          <cell r="B2729">
            <v>38439</v>
          </cell>
          <cell r="C2729">
            <v>2.0100000000000002</v>
          </cell>
        </row>
        <row r="2730">
          <cell r="B2730">
            <v>38440</v>
          </cell>
          <cell r="C2730">
            <v>2.13</v>
          </cell>
        </row>
        <row r="2731">
          <cell r="B2731">
            <v>38441</v>
          </cell>
          <cell r="C2731">
            <v>2.13</v>
          </cell>
        </row>
        <row r="2732">
          <cell r="B2732">
            <v>38442</v>
          </cell>
          <cell r="C2732">
            <v>2.06</v>
          </cell>
        </row>
        <row r="2733">
          <cell r="B2733">
            <v>38443</v>
          </cell>
          <cell r="C2733">
            <v>2.02</v>
          </cell>
        </row>
        <row r="2734">
          <cell r="B2734">
            <v>38444</v>
          </cell>
          <cell r="C2734">
            <v>2.02</v>
          </cell>
        </row>
        <row r="2735">
          <cell r="B2735">
            <v>38445</v>
          </cell>
          <cell r="C2735">
            <v>2.02</v>
          </cell>
        </row>
        <row r="2736">
          <cell r="B2736">
            <v>38446</v>
          </cell>
          <cell r="C2736">
            <v>2.13</v>
          </cell>
        </row>
        <row r="2737">
          <cell r="B2737">
            <v>38447</v>
          </cell>
          <cell r="C2737">
            <v>2.0699999999999998</v>
          </cell>
        </row>
        <row r="2738">
          <cell r="B2738">
            <v>38448</v>
          </cell>
          <cell r="C2738">
            <v>2.06</v>
          </cell>
        </row>
        <row r="2739">
          <cell r="B2739">
            <v>38449</v>
          </cell>
          <cell r="C2739">
            <v>2.09</v>
          </cell>
        </row>
        <row r="2740">
          <cell r="B2740">
            <v>38450</v>
          </cell>
          <cell r="C2740">
            <v>2.0499999999999998</v>
          </cell>
        </row>
        <row r="2741">
          <cell r="B2741">
            <v>38451</v>
          </cell>
          <cell r="C2741">
            <v>2.0499999999999998</v>
          </cell>
        </row>
        <row r="2742">
          <cell r="B2742">
            <v>38452</v>
          </cell>
          <cell r="C2742">
            <v>2.0499999999999998</v>
          </cell>
        </row>
        <row r="2743">
          <cell r="B2743">
            <v>38453</v>
          </cell>
          <cell r="C2743">
            <v>2.04</v>
          </cell>
        </row>
        <row r="2744">
          <cell r="B2744">
            <v>38454</v>
          </cell>
          <cell r="C2744">
            <v>2.1</v>
          </cell>
        </row>
        <row r="2745">
          <cell r="B2745">
            <v>38455</v>
          </cell>
          <cell r="C2745">
            <v>2.02</v>
          </cell>
        </row>
        <row r="2746">
          <cell r="B2746">
            <v>38456</v>
          </cell>
          <cell r="C2746">
            <v>2.02</v>
          </cell>
        </row>
        <row r="2747">
          <cell r="B2747">
            <v>38457</v>
          </cell>
          <cell r="C2747">
            <v>2.0499999999999998</v>
          </cell>
        </row>
        <row r="2748">
          <cell r="B2748">
            <v>38458</v>
          </cell>
          <cell r="C2748">
            <v>2.0499999999999998</v>
          </cell>
        </row>
        <row r="2749">
          <cell r="B2749">
            <v>38459</v>
          </cell>
          <cell r="C2749">
            <v>2.0499999999999998</v>
          </cell>
        </row>
        <row r="2750">
          <cell r="B2750">
            <v>38460</v>
          </cell>
          <cell r="C2750">
            <v>2.04</v>
          </cell>
        </row>
        <row r="2751">
          <cell r="B2751">
            <v>38461</v>
          </cell>
          <cell r="C2751">
            <v>2</v>
          </cell>
        </row>
        <row r="2752">
          <cell r="B2752">
            <v>38462</v>
          </cell>
          <cell r="C2752">
            <v>1.9100000000000001</v>
          </cell>
        </row>
        <row r="2753">
          <cell r="B2753">
            <v>38463</v>
          </cell>
          <cell r="C2753">
            <v>1.9100000000000001</v>
          </cell>
        </row>
        <row r="2754">
          <cell r="B2754">
            <v>38464</v>
          </cell>
          <cell r="C2754">
            <v>1.74</v>
          </cell>
        </row>
        <row r="2755">
          <cell r="B2755">
            <v>38465</v>
          </cell>
          <cell r="C2755">
            <v>1.74</v>
          </cell>
        </row>
        <row r="2756">
          <cell r="B2756">
            <v>38466</v>
          </cell>
          <cell r="C2756">
            <v>1.74</v>
          </cell>
        </row>
        <row r="2757">
          <cell r="B2757">
            <v>38467</v>
          </cell>
          <cell r="C2757">
            <v>1.81</v>
          </cell>
        </row>
        <row r="2758">
          <cell r="B2758">
            <v>38468</v>
          </cell>
          <cell r="C2758">
            <v>1.79</v>
          </cell>
        </row>
        <row r="2759">
          <cell r="B2759">
            <v>38469</v>
          </cell>
          <cell r="C2759">
            <v>1.8</v>
          </cell>
        </row>
        <row r="2760">
          <cell r="B2760">
            <v>38470</v>
          </cell>
          <cell r="C2760">
            <v>1.79</v>
          </cell>
        </row>
        <row r="2761">
          <cell r="B2761">
            <v>38471</v>
          </cell>
          <cell r="C2761">
            <v>1.81</v>
          </cell>
        </row>
        <row r="2762">
          <cell r="B2762">
            <v>38472</v>
          </cell>
          <cell r="C2762">
            <v>1.81</v>
          </cell>
        </row>
        <row r="2763">
          <cell r="B2763">
            <v>38473</v>
          </cell>
          <cell r="C2763">
            <v>1.81</v>
          </cell>
        </row>
        <row r="2764">
          <cell r="B2764">
            <v>38474</v>
          </cell>
          <cell r="C2764">
            <v>1.86</v>
          </cell>
        </row>
        <row r="2765">
          <cell r="B2765">
            <v>38475</v>
          </cell>
          <cell r="C2765">
            <v>1.85</v>
          </cell>
        </row>
        <row r="2766">
          <cell r="B2766">
            <v>38476</v>
          </cell>
          <cell r="C2766">
            <v>1.84</v>
          </cell>
        </row>
        <row r="2767">
          <cell r="B2767">
            <v>38477</v>
          </cell>
          <cell r="C2767">
            <v>1.81</v>
          </cell>
        </row>
        <row r="2768">
          <cell r="B2768">
            <v>38478</v>
          </cell>
          <cell r="C2768">
            <v>1.78</v>
          </cell>
        </row>
        <row r="2769">
          <cell r="B2769">
            <v>38479</v>
          </cell>
          <cell r="C2769">
            <v>1.78</v>
          </cell>
        </row>
        <row r="2770">
          <cell r="B2770">
            <v>38480</v>
          </cell>
          <cell r="C2770">
            <v>1.78</v>
          </cell>
        </row>
        <row r="2771">
          <cell r="B2771">
            <v>38481</v>
          </cell>
          <cell r="C2771">
            <v>1.74</v>
          </cell>
        </row>
        <row r="2772">
          <cell r="B2772">
            <v>38482</v>
          </cell>
          <cell r="C2772">
            <v>1.68</v>
          </cell>
        </row>
        <row r="2773">
          <cell r="B2773">
            <v>38483</v>
          </cell>
          <cell r="C2773">
            <v>1.7000000000000002</v>
          </cell>
        </row>
        <row r="2774">
          <cell r="B2774">
            <v>38484</v>
          </cell>
          <cell r="C2774">
            <v>1.6400000000000001</v>
          </cell>
        </row>
        <row r="2775">
          <cell r="B2775">
            <v>38485</v>
          </cell>
          <cell r="C2775">
            <v>1.62</v>
          </cell>
        </row>
        <row r="2776">
          <cell r="B2776">
            <v>38486</v>
          </cell>
          <cell r="C2776">
            <v>1.62</v>
          </cell>
        </row>
        <row r="2777">
          <cell r="B2777">
            <v>38487</v>
          </cell>
          <cell r="C2777">
            <v>1.62</v>
          </cell>
        </row>
        <row r="2778">
          <cell r="B2778">
            <v>38488</v>
          </cell>
          <cell r="C2778">
            <v>1.7000000000000002</v>
          </cell>
        </row>
        <row r="2779">
          <cell r="B2779">
            <v>38489</v>
          </cell>
          <cell r="C2779">
            <v>1.6600000000000001</v>
          </cell>
        </row>
        <row r="2780">
          <cell r="B2780">
            <v>38490</v>
          </cell>
          <cell r="C2780">
            <v>1.74</v>
          </cell>
        </row>
        <row r="2781">
          <cell r="B2781">
            <v>38491</v>
          </cell>
          <cell r="C2781">
            <v>2.0499999999999998</v>
          </cell>
        </row>
        <row r="2782">
          <cell r="B2782">
            <v>38492</v>
          </cell>
          <cell r="C2782">
            <v>2.04</v>
          </cell>
        </row>
        <row r="2783">
          <cell r="B2783">
            <v>38493</v>
          </cell>
          <cell r="C2783">
            <v>2.04</v>
          </cell>
        </row>
        <row r="2784">
          <cell r="B2784">
            <v>38494</v>
          </cell>
          <cell r="C2784">
            <v>2.04</v>
          </cell>
        </row>
        <row r="2785">
          <cell r="B2785">
            <v>38495</v>
          </cell>
          <cell r="C2785">
            <v>1.8800000000000001</v>
          </cell>
        </row>
        <row r="2786">
          <cell r="B2786">
            <v>38496</v>
          </cell>
          <cell r="C2786">
            <v>1.86</v>
          </cell>
        </row>
        <row r="2787">
          <cell r="B2787">
            <v>38497</v>
          </cell>
          <cell r="C2787">
            <v>1.93</v>
          </cell>
        </row>
        <row r="2788">
          <cell r="B2788">
            <v>38498</v>
          </cell>
          <cell r="C2788">
            <v>2.0100000000000002</v>
          </cell>
        </row>
        <row r="2789">
          <cell r="B2789">
            <v>38499</v>
          </cell>
          <cell r="C2789">
            <v>2.23</v>
          </cell>
        </row>
        <row r="2790">
          <cell r="B2790">
            <v>38500</v>
          </cell>
          <cell r="C2790">
            <v>2.23</v>
          </cell>
        </row>
        <row r="2791">
          <cell r="B2791">
            <v>38501</v>
          </cell>
          <cell r="C2791">
            <v>2.23</v>
          </cell>
        </row>
        <row r="2792">
          <cell r="B2792">
            <v>38502</v>
          </cell>
          <cell r="C2792">
            <v>2.23</v>
          </cell>
        </row>
        <row r="2793">
          <cell r="B2793">
            <v>38503</v>
          </cell>
          <cell r="C2793">
            <v>2.08</v>
          </cell>
        </row>
        <row r="2794">
          <cell r="B2794">
            <v>38504</v>
          </cell>
          <cell r="C2794">
            <v>2.13</v>
          </cell>
        </row>
        <row r="2795">
          <cell r="B2795">
            <v>38505</v>
          </cell>
          <cell r="C2795">
            <v>2.2200000000000002</v>
          </cell>
        </row>
        <row r="2796">
          <cell r="B2796">
            <v>38506</v>
          </cell>
          <cell r="C2796">
            <v>2.2400000000000002</v>
          </cell>
        </row>
        <row r="2797">
          <cell r="B2797">
            <v>38507</v>
          </cell>
          <cell r="C2797">
            <v>2.2400000000000002</v>
          </cell>
        </row>
        <row r="2798">
          <cell r="B2798">
            <v>38508</v>
          </cell>
          <cell r="C2798">
            <v>2.2400000000000002</v>
          </cell>
        </row>
        <row r="2799">
          <cell r="B2799">
            <v>38509</v>
          </cell>
          <cell r="C2799">
            <v>2.31</v>
          </cell>
        </row>
        <row r="2800">
          <cell r="B2800">
            <v>38510</v>
          </cell>
          <cell r="C2800">
            <v>2.23</v>
          </cell>
        </row>
        <row r="2801">
          <cell r="B2801">
            <v>38511</v>
          </cell>
          <cell r="C2801">
            <v>2.2800000000000002</v>
          </cell>
        </row>
        <row r="2802">
          <cell r="B2802">
            <v>38512</v>
          </cell>
          <cell r="C2802">
            <v>2.2600000000000002</v>
          </cell>
        </row>
        <row r="2803">
          <cell r="B2803">
            <v>38513</v>
          </cell>
          <cell r="C2803">
            <v>2.2400000000000002</v>
          </cell>
        </row>
        <row r="2804">
          <cell r="B2804">
            <v>38514</v>
          </cell>
          <cell r="C2804">
            <v>2.2400000000000002</v>
          </cell>
        </row>
        <row r="2805">
          <cell r="B2805">
            <v>38515</v>
          </cell>
          <cell r="C2805">
            <v>2.2400000000000002</v>
          </cell>
        </row>
        <row r="2806">
          <cell r="B2806">
            <v>38516</v>
          </cell>
          <cell r="C2806">
            <v>2.3000000000000003</v>
          </cell>
        </row>
        <row r="2807">
          <cell r="B2807">
            <v>38517</v>
          </cell>
          <cell r="C2807">
            <v>2.44</v>
          </cell>
        </row>
        <row r="2808">
          <cell r="B2808">
            <v>38518</v>
          </cell>
          <cell r="C2808">
            <v>2.36</v>
          </cell>
        </row>
        <row r="2809">
          <cell r="B2809">
            <v>38519</v>
          </cell>
          <cell r="C2809">
            <v>2.25</v>
          </cell>
        </row>
        <row r="2810">
          <cell r="B2810">
            <v>38520</v>
          </cell>
          <cell r="C2810">
            <v>2.2600000000000002</v>
          </cell>
        </row>
        <row r="2811">
          <cell r="B2811">
            <v>38521</v>
          </cell>
          <cell r="C2811">
            <v>2.2600000000000002</v>
          </cell>
        </row>
        <row r="2812">
          <cell r="B2812">
            <v>38522</v>
          </cell>
          <cell r="C2812">
            <v>2.2600000000000002</v>
          </cell>
        </row>
        <row r="2813">
          <cell r="B2813">
            <v>38523</v>
          </cell>
          <cell r="C2813">
            <v>2.15</v>
          </cell>
        </row>
        <row r="2814">
          <cell r="B2814">
            <v>38524</v>
          </cell>
          <cell r="C2814">
            <v>2.12</v>
          </cell>
        </row>
        <row r="2815">
          <cell r="B2815">
            <v>38525</v>
          </cell>
          <cell r="C2815">
            <v>2.17</v>
          </cell>
        </row>
        <row r="2816">
          <cell r="B2816">
            <v>38526</v>
          </cell>
          <cell r="C2816">
            <v>2.14</v>
          </cell>
        </row>
        <row r="2817">
          <cell r="B2817">
            <v>38527</v>
          </cell>
          <cell r="C2817">
            <v>2.04</v>
          </cell>
        </row>
        <row r="2818">
          <cell r="B2818">
            <v>38528</v>
          </cell>
          <cell r="C2818">
            <v>2.04</v>
          </cell>
        </row>
        <row r="2819">
          <cell r="B2819">
            <v>38529</v>
          </cell>
          <cell r="C2819">
            <v>2.04</v>
          </cell>
        </row>
        <row r="2820">
          <cell r="B2820">
            <v>38530</v>
          </cell>
          <cell r="C2820">
            <v>2.11</v>
          </cell>
        </row>
        <row r="2821">
          <cell r="B2821">
            <v>38531</v>
          </cell>
          <cell r="C2821">
            <v>2.13</v>
          </cell>
        </row>
        <row r="2822">
          <cell r="B2822">
            <v>38532</v>
          </cell>
          <cell r="C2822">
            <v>2.1</v>
          </cell>
        </row>
        <row r="2823">
          <cell r="B2823">
            <v>38533</v>
          </cell>
          <cell r="C2823">
            <v>2.0300000000000002</v>
          </cell>
        </row>
        <row r="2824">
          <cell r="B2824">
            <v>38534</v>
          </cell>
          <cell r="C2824">
            <v>2</v>
          </cell>
        </row>
        <row r="2825">
          <cell r="B2825">
            <v>38535</v>
          </cell>
          <cell r="C2825">
            <v>2</v>
          </cell>
        </row>
        <row r="2826">
          <cell r="B2826">
            <v>38536</v>
          </cell>
          <cell r="C2826">
            <v>2</v>
          </cell>
        </row>
        <row r="2827">
          <cell r="B2827">
            <v>38537</v>
          </cell>
          <cell r="C2827">
            <v>2</v>
          </cell>
        </row>
        <row r="2828">
          <cell r="B2828">
            <v>38538</v>
          </cell>
          <cell r="C2828">
            <v>2.0699999999999998</v>
          </cell>
        </row>
        <row r="2829">
          <cell r="B2829">
            <v>38539</v>
          </cell>
          <cell r="C2829">
            <v>1.99</v>
          </cell>
        </row>
        <row r="2830">
          <cell r="B2830">
            <v>38540</v>
          </cell>
          <cell r="C2830">
            <v>2.0699999999999998</v>
          </cell>
        </row>
        <row r="2831">
          <cell r="B2831">
            <v>38541</v>
          </cell>
          <cell r="C2831">
            <v>2.15</v>
          </cell>
        </row>
        <row r="2832">
          <cell r="B2832">
            <v>38542</v>
          </cell>
          <cell r="C2832">
            <v>2.15</v>
          </cell>
        </row>
        <row r="2833">
          <cell r="B2833">
            <v>38543</v>
          </cell>
          <cell r="C2833">
            <v>2.15</v>
          </cell>
        </row>
        <row r="2834">
          <cell r="B2834">
            <v>38544</v>
          </cell>
          <cell r="C2834">
            <v>2.1800000000000002</v>
          </cell>
        </row>
        <row r="2835">
          <cell r="B2835">
            <v>38545</v>
          </cell>
          <cell r="C2835">
            <v>2.19</v>
          </cell>
        </row>
        <row r="2836">
          <cell r="B2836">
            <v>38546</v>
          </cell>
          <cell r="C2836">
            <v>2.2600000000000002</v>
          </cell>
        </row>
        <row r="2837">
          <cell r="B2837">
            <v>38547</v>
          </cell>
          <cell r="C2837">
            <v>2.2200000000000002</v>
          </cell>
        </row>
        <row r="2838">
          <cell r="B2838">
            <v>38548</v>
          </cell>
          <cell r="C2838">
            <v>2.1800000000000002</v>
          </cell>
        </row>
        <row r="2839">
          <cell r="B2839">
            <v>38549</v>
          </cell>
          <cell r="C2839">
            <v>2.1800000000000002</v>
          </cell>
        </row>
        <row r="2840">
          <cell r="B2840">
            <v>38550</v>
          </cell>
          <cell r="C2840">
            <v>2.1800000000000002</v>
          </cell>
        </row>
        <row r="2841">
          <cell r="B2841">
            <v>38551</v>
          </cell>
          <cell r="C2841">
            <v>2.15</v>
          </cell>
        </row>
        <row r="2842">
          <cell r="B2842">
            <v>38552</v>
          </cell>
          <cell r="C2842">
            <v>2.1800000000000002</v>
          </cell>
        </row>
        <row r="2843">
          <cell r="B2843">
            <v>38553</v>
          </cell>
          <cell r="C2843">
            <v>2.21</v>
          </cell>
        </row>
        <row r="2844">
          <cell r="B2844">
            <v>38554</v>
          </cell>
          <cell r="C2844">
            <v>2.0699999999999998</v>
          </cell>
        </row>
        <row r="2845">
          <cell r="B2845">
            <v>38555</v>
          </cell>
          <cell r="C2845">
            <v>2.1</v>
          </cell>
        </row>
        <row r="2846">
          <cell r="B2846">
            <v>38556</v>
          </cell>
          <cell r="C2846">
            <v>2.1</v>
          </cell>
        </row>
        <row r="2847">
          <cell r="B2847">
            <v>38557</v>
          </cell>
          <cell r="C2847">
            <v>2.1</v>
          </cell>
        </row>
        <row r="2848">
          <cell r="B2848">
            <v>38558</v>
          </cell>
          <cell r="C2848">
            <v>2.0699999999999998</v>
          </cell>
        </row>
        <row r="2849">
          <cell r="B2849">
            <v>38559</v>
          </cell>
          <cell r="C2849">
            <v>2.0699999999999998</v>
          </cell>
        </row>
        <row r="2850">
          <cell r="B2850">
            <v>38560</v>
          </cell>
          <cell r="C2850">
            <v>2.09</v>
          </cell>
        </row>
        <row r="2851">
          <cell r="B2851">
            <v>38561</v>
          </cell>
          <cell r="C2851">
            <v>2.06</v>
          </cell>
        </row>
        <row r="2852">
          <cell r="B2852">
            <v>38562</v>
          </cell>
          <cell r="C2852">
            <v>2.0499999999999998</v>
          </cell>
        </row>
        <row r="2853">
          <cell r="B2853">
            <v>38563</v>
          </cell>
          <cell r="C2853">
            <v>2.0499999999999998</v>
          </cell>
        </row>
        <row r="2854">
          <cell r="B2854">
            <v>38564</v>
          </cell>
          <cell r="C2854">
            <v>2.0499999999999998</v>
          </cell>
        </row>
        <row r="2855">
          <cell r="B2855">
            <v>38565</v>
          </cell>
          <cell r="C2855">
            <v>2.04</v>
          </cell>
        </row>
        <row r="2856">
          <cell r="B2856">
            <v>38566</v>
          </cell>
          <cell r="C2856">
            <v>2.08</v>
          </cell>
        </row>
        <row r="2857">
          <cell r="B2857">
            <v>38567</v>
          </cell>
          <cell r="C2857">
            <v>2.0300000000000002</v>
          </cell>
        </row>
        <row r="2858">
          <cell r="B2858">
            <v>38568</v>
          </cell>
          <cell r="C2858">
            <v>2</v>
          </cell>
        </row>
        <row r="2859">
          <cell r="B2859">
            <v>38569</v>
          </cell>
          <cell r="C2859">
            <v>2</v>
          </cell>
        </row>
        <row r="2860">
          <cell r="B2860">
            <v>38570</v>
          </cell>
          <cell r="C2860">
            <v>2</v>
          </cell>
        </row>
        <row r="2861">
          <cell r="B2861">
            <v>38571</v>
          </cell>
          <cell r="C2861">
            <v>2</v>
          </cell>
        </row>
        <row r="2862">
          <cell r="B2862">
            <v>38572</v>
          </cell>
          <cell r="C2862">
            <v>2.0100000000000002</v>
          </cell>
        </row>
        <row r="2863">
          <cell r="B2863">
            <v>38573</v>
          </cell>
          <cell r="C2863">
            <v>2.0499999999999998</v>
          </cell>
        </row>
        <row r="2864">
          <cell r="B2864">
            <v>38574</v>
          </cell>
          <cell r="C2864">
            <v>2.0100000000000002</v>
          </cell>
        </row>
        <row r="2865">
          <cell r="B2865">
            <v>38575</v>
          </cell>
          <cell r="C2865">
            <v>2.0100000000000002</v>
          </cell>
        </row>
        <row r="2866">
          <cell r="B2866">
            <v>38576</v>
          </cell>
          <cell r="C2866">
            <v>1.96</v>
          </cell>
        </row>
        <row r="2867">
          <cell r="B2867">
            <v>38577</v>
          </cell>
          <cell r="C2867">
            <v>1.96</v>
          </cell>
        </row>
        <row r="2868">
          <cell r="B2868">
            <v>38578</v>
          </cell>
          <cell r="C2868">
            <v>1.96</v>
          </cell>
        </row>
        <row r="2869">
          <cell r="B2869">
            <v>38579</v>
          </cell>
          <cell r="C2869">
            <v>2</v>
          </cell>
        </row>
        <row r="2870">
          <cell r="B2870">
            <v>38580</v>
          </cell>
          <cell r="C2870">
            <v>1.92</v>
          </cell>
        </row>
        <row r="2871">
          <cell r="B2871">
            <v>38581</v>
          </cell>
          <cell r="C2871">
            <v>1.92</v>
          </cell>
        </row>
        <row r="2872">
          <cell r="B2872">
            <v>38582</v>
          </cell>
          <cell r="C2872">
            <v>1.9000000000000001</v>
          </cell>
        </row>
        <row r="2873">
          <cell r="B2873">
            <v>38583</v>
          </cell>
          <cell r="C2873">
            <v>1.93</v>
          </cell>
        </row>
        <row r="2874">
          <cell r="B2874">
            <v>38584</v>
          </cell>
          <cell r="C2874">
            <v>1.93</v>
          </cell>
        </row>
        <row r="2875">
          <cell r="B2875">
            <v>38585</v>
          </cell>
          <cell r="C2875">
            <v>1.93</v>
          </cell>
        </row>
        <row r="2876">
          <cell r="B2876">
            <v>38586</v>
          </cell>
          <cell r="C2876">
            <v>1.93</v>
          </cell>
        </row>
        <row r="2877">
          <cell r="B2877">
            <v>38587</v>
          </cell>
          <cell r="C2877">
            <v>1.9000000000000001</v>
          </cell>
        </row>
        <row r="2878">
          <cell r="B2878">
            <v>38588</v>
          </cell>
          <cell r="C2878">
            <v>1.97</v>
          </cell>
        </row>
        <row r="2879">
          <cell r="B2879">
            <v>38589</v>
          </cell>
          <cell r="C2879">
            <v>2.0699999999999998</v>
          </cell>
        </row>
        <row r="2880">
          <cell r="B2880">
            <v>38590</v>
          </cell>
          <cell r="C2880">
            <v>2.09</v>
          </cell>
        </row>
        <row r="2881">
          <cell r="B2881">
            <v>38591</v>
          </cell>
          <cell r="C2881">
            <v>2.09</v>
          </cell>
        </row>
        <row r="2882">
          <cell r="B2882">
            <v>38592</v>
          </cell>
          <cell r="C2882">
            <v>2.09</v>
          </cell>
        </row>
        <row r="2883">
          <cell r="B2883">
            <v>38593</v>
          </cell>
          <cell r="C2883">
            <v>2.0699999999999998</v>
          </cell>
        </row>
        <row r="2884">
          <cell r="B2884">
            <v>38594</v>
          </cell>
          <cell r="C2884">
            <v>1.99</v>
          </cell>
        </row>
        <row r="2885">
          <cell r="B2885">
            <v>38595</v>
          </cell>
          <cell r="C2885">
            <v>1.97</v>
          </cell>
        </row>
        <row r="2886">
          <cell r="B2886">
            <v>38596</v>
          </cell>
          <cell r="C2886">
            <v>1.97</v>
          </cell>
        </row>
        <row r="2887">
          <cell r="B2887">
            <v>38597</v>
          </cell>
          <cell r="C2887">
            <v>1.96</v>
          </cell>
        </row>
        <row r="2888">
          <cell r="B2888">
            <v>38598</v>
          </cell>
          <cell r="C2888">
            <v>1.96</v>
          </cell>
        </row>
        <row r="2889">
          <cell r="B2889">
            <v>38599</v>
          </cell>
          <cell r="C2889">
            <v>1.96</v>
          </cell>
        </row>
        <row r="2890">
          <cell r="B2890">
            <v>38600</v>
          </cell>
          <cell r="C2890">
            <v>1.96</v>
          </cell>
        </row>
        <row r="2891">
          <cell r="B2891">
            <v>38601</v>
          </cell>
          <cell r="C2891">
            <v>2.0699999999999998</v>
          </cell>
        </row>
        <row r="2892">
          <cell r="B2892">
            <v>38602</v>
          </cell>
          <cell r="C2892">
            <v>2.09</v>
          </cell>
        </row>
        <row r="2893">
          <cell r="B2893">
            <v>38603</v>
          </cell>
          <cell r="C2893">
            <v>2.06</v>
          </cell>
        </row>
        <row r="2894">
          <cell r="B2894">
            <v>38604</v>
          </cell>
          <cell r="C2894">
            <v>2.1</v>
          </cell>
        </row>
        <row r="2895">
          <cell r="B2895">
            <v>38605</v>
          </cell>
          <cell r="C2895">
            <v>2.1</v>
          </cell>
        </row>
        <row r="2896">
          <cell r="B2896">
            <v>38606</v>
          </cell>
          <cell r="C2896">
            <v>2.1</v>
          </cell>
        </row>
        <row r="2897">
          <cell r="B2897">
            <v>38607</v>
          </cell>
          <cell r="C2897">
            <v>2.1800000000000002</v>
          </cell>
        </row>
        <row r="2898">
          <cell r="B2898">
            <v>38608</v>
          </cell>
          <cell r="C2898">
            <v>2.13</v>
          </cell>
        </row>
        <row r="2899">
          <cell r="B2899">
            <v>38609</v>
          </cell>
          <cell r="C2899">
            <v>2.0499999999999998</v>
          </cell>
        </row>
        <row r="2900">
          <cell r="B2900">
            <v>38610</v>
          </cell>
          <cell r="C2900">
            <v>2.09</v>
          </cell>
        </row>
        <row r="2901">
          <cell r="B2901">
            <v>38611</v>
          </cell>
          <cell r="C2901">
            <v>2.12</v>
          </cell>
        </row>
        <row r="2902">
          <cell r="B2902">
            <v>38612</v>
          </cell>
          <cell r="C2902">
            <v>2.12</v>
          </cell>
        </row>
        <row r="2903">
          <cell r="B2903">
            <v>38613</v>
          </cell>
          <cell r="C2903">
            <v>2.12</v>
          </cell>
        </row>
        <row r="2904">
          <cell r="B2904">
            <v>38614</v>
          </cell>
          <cell r="C2904">
            <v>2.1800000000000002</v>
          </cell>
        </row>
        <row r="2905">
          <cell r="B2905">
            <v>38615</v>
          </cell>
          <cell r="C2905">
            <v>2.15</v>
          </cell>
        </row>
        <row r="2906">
          <cell r="B2906">
            <v>38616</v>
          </cell>
          <cell r="C2906">
            <v>2.21</v>
          </cell>
        </row>
        <row r="2907">
          <cell r="B2907">
            <v>38617</v>
          </cell>
          <cell r="C2907">
            <v>2.34</v>
          </cell>
        </row>
        <row r="2908">
          <cell r="B2908">
            <v>38618</v>
          </cell>
          <cell r="C2908">
            <v>2.3199999999999998</v>
          </cell>
        </row>
        <row r="2909">
          <cell r="B2909">
            <v>38619</v>
          </cell>
          <cell r="C2909">
            <v>2.3199999999999998</v>
          </cell>
        </row>
        <row r="2910">
          <cell r="B2910">
            <v>38620</v>
          </cell>
          <cell r="C2910">
            <v>2.3199999999999998</v>
          </cell>
        </row>
        <row r="2911">
          <cell r="B2911">
            <v>38621</v>
          </cell>
          <cell r="C2911">
            <v>2.35</v>
          </cell>
        </row>
        <row r="2912">
          <cell r="B2912">
            <v>38622</v>
          </cell>
          <cell r="C2912">
            <v>2.3000000000000003</v>
          </cell>
        </row>
        <row r="2913">
          <cell r="B2913">
            <v>38623</v>
          </cell>
          <cell r="C2913">
            <v>2.3000000000000003</v>
          </cell>
        </row>
        <row r="2914">
          <cell r="B2914">
            <v>38624</v>
          </cell>
          <cell r="C2914">
            <v>2.34</v>
          </cell>
        </row>
        <row r="2915">
          <cell r="B2915">
            <v>38625</v>
          </cell>
          <cell r="C2915">
            <v>2.3199999999999998</v>
          </cell>
        </row>
        <row r="2916">
          <cell r="B2916">
            <v>38626</v>
          </cell>
          <cell r="C2916">
            <v>2.3199999999999998</v>
          </cell>
        </row>
        <row r="2917">
          <cell r="B2917">
            <v>38627</v>
          </cell>
          <cell r="C2917">
            <v>2.3199999999999998</v>
          </cell>
        </row>
        <row r="2918">
          <cell r="B2918">
            <v>38628</v>
          </cell>
          <cell r="C2918">
            <v>2.29</v>
          </cell>
        </row>
        <row r="2919">
          <cell r="B2919">
            <v>38629</v>
          </cell>
          <cell r="C2919">
            <v>2.3199999999999998</v>
          </cell>
        </row>
        <row r="2920">
          <cell r="B2920">
            <v>38630</v>
          </cell>
          <cell r="C2920">
            <v>2.27</v>
          </cell>
        </row>
        <row r="2921">
          <cell r="B2921">
            <v>38631</v>
          </cell>
          <cell r="C2921">
            <v>2.21</v>
          </cell>
        </row>
        <row r="2922">
          <cell r="B2922">
            <v>38632</v>
          </cell>
          <cell r="C2922">
            <v>2.2000000000000002</v>
          </cell>
        </row>
        <row r="2923">
          <cell r="B2923">
            <v>38633</v>
          </cell>
          <cell r="C2923">
            <v>2.2000000000000002</v>
          </cell>
        </row>
        <row r="2924">
          <cell r="B2924">
            <v>38634</v>
          </cell>
          <cell r="C2924">
            <v>2.2000000000000002</v>
          </cell>
        </row>
        <row r="2925">
          <cell r="B2925">
            <v>38635</v>
          </cell>
          <cell r="C2925">
            <v>2.15</v>
          </cell>
        </row>
        <row r="2926">
          <cell r="B2926">
            <v>38636</v>
          </cell>
          <cell r="C2926">
            <v>2.1</v>
          </cell>
        </row>
        <row r="2927">
          <cell r="B2927">
            <v>38637</v>
          </cell>
          <cell r="C2927">
            <v>2.09</v>
          </cell>
        </row>
        <row r="2928">
          <cell r="B2928">
            <v>38638</v>
          </cell>
          <cell r="C2928">
            <v>2.06</v>
          </cell>
        </row>
        <row r="2929">
          <cell r="B2929">
            <v>38639</v>
          </cell>
          <cell r="C2929">
            <v>2.16</v>
          </cell>
        </row>
        <row r="2930">
          <cell r="B2930">
            <v>38640</v>
          </cell>
          <cell r="C2930">
            <v>2.16</v>
          </cell>
        </row>
        <row r="2931">
          <cell r="B2931">
            <v>38641</v>
          </cell>
          <cell r="C2931">
            <v>2.16</v>
          </cell>
        </row>
        <row r="2932">
          <cell r="B2932">
            <v>38642</v>
          </cell>
          <cell r="C2932">
            <v>2.1800000000000002</v>
          </cell>
        </row>
        <row r="2933">
          <cell r="B2933">
            <v>38643</v>
          </cell>
          <cell r="C2933">
            <v>2.14</v>
          </cell>
        </row>
        <row r="2934">
          <cell r="B2934">
            <v>38644</v>
          </cell>
          <cell r="C2934">
            <v>2.25</v>
          </cell>
        </row>
        <row r="2935">
          <cell r="B2935">
            <v>38645</v>
          </cell>
          <cell r="C2935">
            <v>2.4000000000000004</v>
          </cell>
        </row>
        <row r="2936">
          <cell r="B2936">
            <v>38646</v>
          </cell>
          <cell r="C2936">
            <v>2.4700000000000002</v>
          </cell>
        </row>
        <row r="2937">
          <cell r="B2937">
            <v>38647</v>
          </cell>
          <cell r="C2937">
            <v>2.4700000000000002</v>
          </cell>
        </row>
        <row r="2938">
          <cell r="B2938">
            <v>38648</v>
          </cell>
          <cell r="C2938">
            <v>2.4700000000000002</v>
          </cell>
        </row>
        <row r="2939">
          <cell r="B2939">
            <v>38649</v>
          </cell>
          <cell r="C2939">
            <v>2.54</v>
          </cell>
        </row>
        <row r="2940">
          <cell r="B2940">
            <v>38650</v>
          </cell>
          <cell r="C2940">
            <v>2.67</v>
          </cell>
        </row>
        <row r="2941">
          <cell r="B2941">
            <v>38651</v>
          </cell>
          <cell r="C2941">
            <v>2.67</v>
          </cell>
        </row>
        <row r="2942">
          <cell r="B2942">
            <v>38652</v>
          </cell>
          <cell r="C2942">
            <v>2.54</v>
          </cell>
        </row>
        <row r="2943">
          <cell r="B2943">
            <v>38653</v>
          </cell>
          <cell r="C2943">
            <v>2.7</v>
          </cell>
        </row>
        <row r="2944">
          <cell r="B2944">
            <v>38654</v>
          </cell>
          <cell r="C2944">
            <v>2.7</v>
          </cell>
        </row>
        <row r="2945">
          <cell r="B2945">
            <v>38655</v>
          </cell>
          <cell r="C2945">
            <v>2.7</v>
          </cell>
        </row>
        <row r="2946">
          <cell r="B2946">
            <v>38656</v>
          </cell>
          <cell r="C2946">
            <v>2.88</v>
          </cell>
        </row>
        <row r="2947">
          <cell r="B2947">
            <v>38657</v>
          </cell>
          <cell r="C2947">
            <v>2.77</v>
          </cell>
        </row>
        <row r="2948">
          <cell r="B2948">
            <v>38658</v>
          </cell>
          <cell r="C2948">
            <v>2.77</v>
          </cell>
        </row>
        <row r="2949">
          <cell r="B2949">
            <v>38659</v>
          </cell>
          <cell r="C2949">
            <v>2.91</v>
          </cell>
        </row>
        <row r="2950">
          <cell r="B2950">
            <v>38660</v>
          </cell>
          <cell r="C2950">
            <v>2.92</v>
          </cell>
        </row>
        <row r="2951">
          <cell r="B2951">
            <v>38661</v>
          </cell>
          <cell r="C2951">
            <v>2.92</v>
          </cell>
        </row>
        <row r="2952">
          <cell r="B2952">
            <v>38662</v>
          </cell>
          <cell r="C2952">
            <v>2.92</v>
          </cell>
        </row>
        <row r="2953">
          <cell r="B2953">
            <v>38663</v>
          </cell>
          <cell r="C2953">
            <v>3.0500000000000003</v>
          </cell>
        </row>
        <row r="2954">
          <cell r="B2954">
            <v>38664</v>
          </cell>
          <cell r="C2954">
            <v>3.0100000000000002</v>
          </cell>
        </row>
        <row r="2955">
          <cell r="B2955">
            <v>38665</v>
          </cell>
          <cell r="C2955">
            <v>3.0700000000000003</v>
          </cell>
        </row>
        <row r="2956">
          <cell r="B2956">
            <v>38666</v>
          </cell>
          <cell r="C2956">
            <v>3.17</v>
          </cell>
        </row>
        <row r="2957">
          <cell r="B2957">
            <v>38667</v>
          </cell>
          <cell r="C2957">
            <v>3.24</v>
          </cell>
        </row>
        <row r="2958">
          <cell r="B2958">
            <v>38668</v>
          </cell>
          <cell r="C2958">
            <v>3.24</v>
          </cell>
        </row>
        <row r="2959">
          <cell r="B2959">
            <v>38669</v>
          </cell>
          <cell r="C2959">
            <v>3.24</v>
          </cell>
        </row>
        <row r="2960">
          <cell r="B2960">
            <v>38670</v>
          </cell>
          <cell r="C2960">
            <v>3.7</v>
          </cell>
        </row>
        <row r="2961">
          <cell r="B2961">
            <v>38671</v>
          </cell>
          <cell r="C2961">
            <v>3.62</v>
          </cell>
        </row>
        <row r="2962">
          <cell r="B2962">
            <v>38672</v>
          </cell>
          <cell r="C2962">
            <v>3.62</v>
          </cell>
        </row>
        <row r="2963">
          <cell r="B2963">
            <v>38673</v>
          </cell>
          <cell r="C2963">
            <v>3.7</v>
          </cell>
        </row>
        <row r="2964">
          <cell r="B2964">
            <v>38674</v>
          </cell>
          <cell r="C2964">
            <v>3.9000000000000004</v>
          </cell>
        </row>
        <row r="2965">
          <cell r="B2965">
            <v>38675</v>
          </cell>
          <cell r="C2965">
            <v>3.9000000000000004</v>
          </cell>
        </row>
        <row r="2966">
          <cell r="B2966">
            <v>38676</v>
          </cell>
          <cell r="C2966">
            <v>3.9000000000000004</v>
          </cell>
        </row>
        <row r="2967">
          <cell r="B2967">
            <v>38677</v>
          </cell>
          <cell r="C2967">
            <v>3.8000000000000003</v>
          </cell>
        </row>
        <row r="2968">
          <cell r="B2968">
            <v>38678</v>
          </cell>
          <cell r="C2968">
            <v>3.67</v>
          </cell>
        </row>
        <row r="2969">
          <cell r="B2969">
            <v>38679</v>
          </cell>
          <cell r="C2969">
            <v>3.58</v>
          </cell>
        </row>
        <row r="2970">
          <cell r="B2970">
            <v>38680</v>
          </cell>
          <cell r="C2970">
            <v>3.58</v>
          </cell>
        </row>
        <row r="2971">
          <cell r="B2971">
            <v>38681</v>
          </cell>
          <cell r="C2971">
            <v>3.48</v>
          </cell>
        </row>
        <row r="2972">
          <cell r="B2972">
            <v>38682</v>
          </cell>
          <cell r="C2972">
            <v>3.48</v>
          </cell>
        </row>
        <row r="2973">
          <cell r="B2973">
            <v>38683</v>
          </cell>
          <cell r="C2973">
            <v>3.48</v>
          </cell>
        </row>
        <row r="2974">
          <cell r="B2974">
            <v>38684</v>
          </cell>
          <cell r="C2974">
            <v>3.3643000000000001</v>
          </cell>
        </row>
        <row r="2975">
          <cell r="B2975">
            <v>38685</v>
          </cell>
          <cell r="C2975">
            <v>3.5049999999999999</v>
          </cell>
        </row>
        <row r="2976">
          <cell r="B2976">
            <v>38686</v>
          </cell>
          <cell r="C2976">
            <v>3.4000000000000004</v>
          </cell>
        </row>
        <row r="2977">
          <cell r="B2977">
            <v>38687</v>
          </cell>
          <cell r="C2977">
            <v>3.48</v>
          </cell>
        </row>
        <row r="2978">
          <cell r="B2978">
            <v>38688</v>
          </cell>
          <cell r="C2978">
            <v>3.22</v>
          </cell>
        </row>
        <row r="2979">
          <cell r="B2979">
            <v>38689</v>
          </cell>
          <cell r="C2979">
            <v>3.22</v>
          </cell>
        </row>
        <row r="2980">
          <cell r="B2980">
            <v>38690</v>
          </cell>
          <cell r="C2980">
            <v>3.22</v>
          </cell>
        </row>
        <row r="2981">
          <cell r="B2981">
            <v>38691</v>
          </cell>
          <cell r="C2981">
            <v>3.0300000000000002</v>
          </cell>
        </row>
        <row r="2982">
          <cell r="B2982">
            <v>38692</v>
          </cell>
          <cell r="C2982">
            <v>3.0300000000000002</v>
          </cell>
        </row>
        <row r="2983">
          <cell r="B2983">
            <v>38693</v>
          </cell>
          <cell r="C2983">
            <v>2.97</v>
          </cell>
        </row>
        <row r="2984">
          <cell r="B2984">
            <v>38694</v>
          </cell>
          <cell r="C2984">
            <v>2.95</v>
          </cell>
        </row>
        <row r="2985">
          <cell r="B2985">
            <v>38695</v>
          </cell>
          <cell r="C2985">
            <v>2.99</v>
          </cell>
        </row>
        <row r="2986">
          <cell r="B2986">
            <v>38696</v>
          </cell>
          <cell r="C2986">
            <v>2.99</v>
          </cell>
        </row>
        <row r="2987">
          <cell r="B2987">
            <v>38697</v>
          </cell>
          <cell r="C2987">
            <v>2.99</v>
          </cell>
        </row>
        <row r="2988">
          <cell r="B2988">
            <v>38698</v>
          </cell>
          <cell r="C2988">
            <v>3.2</v>
          </cell>
        </row>
        <row r="2989">
          <cell r="B2989">
            <v>38699</v>
          </cell>
          <cell r="C2989">
            <v>3.14</v>
          </cell>
        </row>
        <row r="2990">
          <cell r="B2990">
            <v>38700</v>
          </cell>
          <cell r="C2990">
            <v>3.0500000000000003</v>
          </cell>
        </row>
        <row r="2991">
          <cell r="B2991">
            <v>38701</v>
          </cell>
          <cell r="C2991">
            <v>3.0100000000000002</v>
          </cell>
        </row>
        <row r="2992">
          <cell r="B2992">
            <v>38702</v>
          </cell>
          <cell r="C2992">
            <v>2.99</v>
          </cell>
        </row>
        <row r="2993">
          <cell r="B2993">
            <v>38703</v>
          </cell>
          <cell r="C2993">
            <v>2.99</v>
          </cell>
        </row>
        <row r="2994">
          <cell r="B2994">
            <v>38704</v>
          </cell>
          <cell r="C2994">
            <v>2.99</v>
          </cell>
        </row>
        <row r="2995">
          <cell r="B2995">
            <v>38705</v>
          </cell>
          <cell r="C2995">
            <v>2.9000000000000004</v>
          </cell>
        </row>
        <row r="2996">
          <cell r="B2996">
            <v>38706</v>
          </cell>
          <cell r="C2996">
            <v>2.88</v>
          </cell>
        </row>
        <row r="2997">
          <cell r="B2997">
            <v>38707</v>
          </cell>
          <cell r="C2997">
            <v>2.92</v>
          </cell>
        </row>
        <row r="2998">
          <cell r="B2998">
            <v>38708</v>
          </cell>
          <cell r="C2998">
            <v>2.95</v>
          </cell>
        </row>
        <row r="2999">
          <cell r="B2999">
            <v>38709</v>
          </cell>
          <cell r="C2999">
            <v>2.95</v>
          </cell>
        </row>
        <row r="3000">
          <cell r="B3000">
            <v>38710</v>
          </cell>
          <cell r="C3000">
            <v>2.95</v>
          </cell>
        </row>
        <row r="3001">
          <cell r="B3001">
            <v>38711</v>
          </cell>
          <cell r="C3001">
            <v>2.95</v>
          </cell>
        </row>
        <row r="3002">
          <cell r="B3002">
            <v>38712</v>
          </cell>
          <cell r="C3002">
            <v>2.95</v>
          </cell>
        </row>
        <row r="3003">
          <cell r="B3003">
            <v>38713</v>
          </cell>
          <cell r="C3003">
            <v>2.84</v>
          </cell>
        </row>
        <row r="3004">
          <cell r="B3004">
            <v>38714</v>
          </cell>
          <cell r="C3004">
            <v>2.91</v>
          </cell>
        </row>
        <row r="3005">
          <cell r="B3005">
            <v>38715</v>
          </cell>
          <cell r="C3005">
            <v>2.9000000000000004</v>
          </cell>
        </row>
        <row r="3006">
          <cell r="B3006">
            <v>38716</v>
          </cell>
          <cell r="C3006">
            <v>2.87</v>
          </cell>
        </row>
        <row r="3007">
          <cell r="B3007">
            <v>38717</v>
          </cell>
          <cell r="C3007">
            <v>2.87</v>
          </cell>
        </row>
        <row r="3008">
          <cell r="B3008">
            <v>38718</v>
          </cell>
          <cell r="C3008">
            <v>2.87</v>
          </cell>
        </row>
        <row r="3009">
          <cell r="B3009">
            <v>38719</v>
          </cell>
          <cell r="C3009">
            <v>2.87</v>
          </cell>
        </row>
        <row r="3010">
          <cell r="B3010">
            <v>38720</v>
          </cell>
          <cell r="C3010">
            <v>2.92</v>
          </cell>
        </row>
        <row r="3011">
          <cell r="B3011">
            <v>38721</v>
          </cell>
          <cell r="C3011">
            <v>2.85</v>
          </cell>
        </row>
        <row r="3012">
          <cell r="B3012">
            <v>38722</v>
          </cell>
          <cell r="C3012">
            <v>2.75</v>
          </cell>
        </row>
        <row r="3013">
          <cell r="B3013">
            <v>38723</v>
          </cell>
          <cell r="C3013">
            <v>2.75</v>
          </cell>
        </row>
        <row r="3014">
          <cell r="B3014">
            <v>38724</v>
          </cell>
          <cell r="C3014">
            <v>2.75</v>
          </cell>
        </row>
        <row r="3015">
          <cell r="B3015">
            <v>38725</v>
          </cell>
          <cell r="C3015">
            <v>2.75</v>
          </cell>
        </row>
        <row r="3016">
          <cell r="B3016">
            <v>38726</v>
          </cell>
          <cell r="C3016">
            <v>2.73</v>
          </cell>
        </row>
        <row r="3017">
          <cell r="B3017">
            <v>38727</v>
          </cell>
          <cell r="C3017">
            <v>2.88</v>
          </cell>
        </row>
        <row r="3018">
          <cell r="B3018">
            <v>38728</v>
          </cell>
          <cell r="C3018">
            <v>3.23</v>
          </cell>
        </row>
        <row r="3019">
          <cell r="B3019">
            <v>38729</v>
          </cell>
          <cell r="C3019">
            <v>3.31</v>
          </cell>
        </row>
        <row r="3020">
          <cell r="B3020">
            <v>38730</v>
          </cell>
          <cell r="C3020">
            <v>3.35</v>
          </cell>
        </row>
        <row r="3021">
          <cell r="B3021">
            <v>38731</v>
          </cell>
          <cell r="C3021">
            <v>3.35</v>
          </cell>
        </row>
        <row r="3022">
          <cell r="B3022">
            <v>38732</v>
          </cell>
          <cell r="C3022">
            <v>3.35</v>
          </cell>
        </row>
        <row r="3023">
          <cell r="B3023">
            <v>38733</v>
          </cell>
          <cell r="C3023">
            <v>3.35</v>
          </cell>
        </row>
        <row r="3024">
          <cell r="B3024">
            <v>38734</v>
          </cell>
          <cell r="C3024">
            <v>3.33</v>
          </cell>
        </row>
        <row r="3025">
          <cell r="B3025">
            <v>38735</v>
          </cell>
          <cell r="C3025">
            <v>3.38</v>
          </cell>
        </row>
        <row r="3026">
          <cell r="B3026">
            <v>38736</v>
          </cell>
          <cell r="C3026">
            <v>3.46</v>
          </cell>
        </row>
        <row r="3027">
          <cell r="B3027">
            <v>38737</v>
          </cell>
          <cell r="C3027">
            <v>3.41</v>
          </cell>
        </row>
        <row r="3028">
          <cell r="B3028">
            <v>38738</v>
          </cell>
          <cell r="C3028">
            <v>3.41</v>
          </cell>
        </row>
        <row r="3029">
          <cell r="B3029">
            <v>38739</v>
          </cell>
          <cell r="C3029">
            <v>3.41</v>
          </cell>
        </row>
        <row r="3030">
          <cell r="B3030">
            <v>38740</v>
          </cell>
          <cell r="C3030">
            <v>3.39</v>
          </cell>
        </row>
        <row r="3031">
          <cell r="B3031">
            <v>38741</v>
          </cell>
          <cell r="C3031">
            <v>3.5</v>
          </cell>
        </row>
        <row r="3032">
          <cell r="B3032">
            <v>38742</v>
          </cell>
          <cell r="C3032">
            <v>3.5</v>
          </cell>
        </row>
        <row r="3033">
          <cell r="B3033">
            <v>38743</v>
          </cell>
          <cell r="C3033">
            <v>3.64</v>
          </cell>
        </row>
        <row r="3034">
          <cell r="B3034">
            <v>38744</v>
          </cell>
          <cell r="C3034">
            <v>3.62</v>
          </cell>
        </row>
        <row r="3035">
          <cell r="B3035">
            <v>38745</v>
          </cell>
          <cell r="C3035">
            <v>3.62</v>
          </cell>
        </row>
        <row r="3036">
          <cell r="B3036">
            <v>38746</v>
          </cell>
          <cell r="C3036">
            <v>3.62</v>
          </cell>
        </row>
        <row r="3037">
          <cell r="B3037">
            <v>38747</v>
          </cell>
          <cell r="C3037">
            <v>3.73</v>
          </cell>
        </row>
        <row r="3038">
          <cell r="B3038">
            <v>38748</v>
          </cell>
          <cell r="C3038">
            <v>3.75</v>
          </cell>
        </row>
        <row r="3039">
          <cell r="B3039">
            <v>38749</v>
          </cell>
          <cell r="C3039">
            <v>3.72</v>
          </cell>
        </row>
        <row r="3040">
          <cell r="B3040">
            <v>38750</v>
          </cell>
          <cell r="C3040">
            <v>3.5</v>
          </cell>
        </row>
        <row r="3041">
          <cell r="B3041">
            <v>38751</v>
          </cell>
          <cell r="C3041">
            <v>3.7</v>
          </cell>
        </row>
        <row r="3042">
          <cell r="B3042">
            <v>38752</v>
          </cell>
          <cell r="C3042">
            <v>3.7</v>
          </cell>
        </row>
        <row r="3043">
          <cell r="B3043">
            <v>38753</v>
          </cell>
          <cell r="C3043">
            <v>3.7</v>
          </cell>
        </row>
        <row r="3044">
          <cell r="B3044">
            <v>38754</v>
          </cell>
          <cell r="C3044">
            <v>3.64</v>
          </cell>
        </row>
        <row r="3045">
          <cell r="B3045">
            <v>38755</v>
          </cell>
          <cell r="C3045">
            <v>3.5100000000000002</v>
          </cell>
        </row>
        <row r="3046">
          <cell r="B3046">
            <v>38756</v>
          </cell>
          <cell r="C3046">
            <v>3.41</v>
          </cell>
        </row>
        <row r="3047">
          <cell r="B3047">
            <v>38757</v>
          </cell>
          <cell r="C3047">
            <v>3.36</v>
          </cell>
        </row>
        <row r="3048">
          <cell r="B3048">
            <v>38758</v>
          </cell>
          <cell r="C3048">
            <v>3.49</v>
          </cell>
        </row>
        <row r="3049">
          <cell r="B3049">
            <v>38759</v>
          </cell>
          <cell r="C3049">
            <v>3.49</v>
          </cell>
        </row>
        <row r="3050">
          <cell r="B3050">
            <v>38760</v>
          </cell>
          <cell r="C3050">
            <v>3.49</v>
          </cell>
        </row>
        <row r="3051">
          <cell r="B3051">
            <v>38761</v>
          </cell>
          <cell r="C3051">
            <v>3.35</v>
          </cell>
        </row>
        <row r="3052">
          <cell r="B3052">
            <v>38762</v>
          </cell>
          <cell r="C3052">
            <v>3.39</v>
          </cell>
        </row>
        <row r="3053">
          <cell r="B3053">
            <v>38763</v>
          </cell>
          <cell r="C3053">
            <v>3.34</v>
          </cell>
        </row>
        <row r="3054">
          <cell r="B3054">
            <v>38764</v>
          </cell>
          <cell r="C3054">
            <v>3.47</v>
          </cell>
        </row>
        <row r="3055">
          <cell r="B3055">
            <v>38765</v>
          </cell>
          <cell r="C3055">
            <v>3.58</v>
          </cell>
        </row>
        <row r="3056">
          <cell r="B3056">
            <v>38766</v>
          </cell>
          <cell r="C3056">
            <v>3.58</v>
          </cell>
        </row>
        <row r="3057">
          <cell r="B3057">
            <v>38767</v>
          </cell>
          <cell r="C3057">
            <v>3.58</v>
          </cell>
        </row>
        <row r="3058">
          <cell r="B3058">
            <v>38768</v>
          </cell>
          <cell r="C3058">
            <v>3.58</v>
          </cell>
        </row>
        <row r="3059">
          <cell r="B3059">
            <v>38769</v>
          </cell>
          <cell r="C3059">
            <v>3.42</v>
          </cell>
        </row>
        <row r="3060">
          <cell r="B3060">
            <v>38770</v>
          </cell>
          <cell r="C3060">
            <v>3.39</v>
          </cell>
        </row>
        <row r="3061">
          <cell r="B3061">
            <v>38771</v>
          </cell>
          <cell r="C3061">
            <v>3.3200000000000003</v>
          </cell>
        </row>
        <row r="3062">
          <cell r="B3062">
            <v>38772</v>
          </cell>
          <cell r="C3062">
            <v>3.37</v>
          </cell>
        </row>
        <row r="3063">
          <cell r="B3063">
            <v>38773</v>
          </cell>
          <cell r="C3063">
            <v>3.37</v>
          </cell>
        </row>
        <row r="3064">
          <cell r="B3064">
            <v>38774</v>
          </cell>
          <cell r="C3064">
            <v>3.37</v>
          </cell>
        </row>
        <row r="3065">
          <cell r="B3065">
            <v>38775</v>
          </cell>
          <cell r="C3065">
            <v>3.38</v>
          </cell>
        </row>
        <row r="3066">
          <cell r="B3066">
            <v>38776</v>
          </cell>
          <cell r="C3066">
            <v>3.4000000000000004</v>
          </cell>
        </row>
        <row r="3067">
          <cell r="B3067">
            <v>38777</v>
          </cell>
          <cell r="C3067">
            <v>3.5100000000000002</v>
          </cell>
        </row>
        <row r="3068">
          <cell r="B3068">
            <v>38778</v>
          </cell>
          <cell r="C3068">
            <v>3.5500000000000003</v>
          </cell>
        </row>
        <row r="3069">
          <cell r="B3069">
            <v>38779</v>
          </cell>
          <cell r="C3069">
            <v>3.74</v>
          </cell>
        </row>
        <row r="3070">
          <cell r="B3070">
            <v>38780</v>
          </cell>
          <cell r="C3070">
            <v>3.74</v>
          </cell>
        </row>
        <row r="3071">
          <cell r="B3071">
            <v>38781</v>
          </cell>
          <cell r="C3071">
            <v>3.74</v>
          </cell>
        </row>
        <row r="3072">
          <cell r="B3072">
            <v>38782</v>
          </cell>
          <cell r="C3072">
            <v>3.63</v>
          </cell>
        </row>
        <row r="3073">
          <cell r="B3073">
            <v>38783</v>
          </cell>
          <cell r="C3073">
            <v>3.43</v>
          </cell>
        </row>
        <row r="3074">
          <cell r="B3074">
            <v>38784</v>
          </cell>
          <cell r="C3074">
            <v>3.42</v>
          </cell>
        </row>
        <row r="3075">
          <cell r="B3075">
            <v>38785</v>
          </cell>
          <cell r="C3075">
            <v>3.37</v>
          </cell>
        </row>
        <row r="3076">
          <cell r="B3076">
            <v>38786</v>
          </cell>
          <cell r="C3076">
            <v>3.4000000000000004</v>
          </cell>
        </row>
        <row r="3077">
          <cell r="B3077">
            <v>38787</v>
          </cell>
          <cell r="C3077">
            <v>3.4000000000000004</v>
          </cell>
        </row>
        <row r="3078">
          <cell r="B3078">
            <v>38788</v>
          </cell>
          <cell r="C3078">
            <v>3.4000000000000004</v>
          </cell>
        </row>
        <row r="3079">
          <cell r="B3079">
            <v>38789</v>
          </cell>
          <cell r="C3079">
            <v>3.33</v>
          </cell>
        </row>
        <row r="3080">
          <cell r="B3080">
            <v>38790</v>
          </cell>
          <cell r="C3080">
            <v>3.41</v>
          </cell>
        </row>
        <row r="3081">
          <cell r="B3081">
            <v>38791</v>
          </cell>
          <cell r="C3081">
            <v>3.38</v>
          </cell>
        </row>
        <row r="3082">
          <cell r="B3082">
            <v>38792</v>
          </cell>
          <cell r="C3082">
            <v>3.38</v>
          </cell>
        </row>
        <row r="3083">
          <cell r="B3083">
            <v>38793</v>
          </cell>
          <cell r="C3083">
            <v>3.36</v>
          </cell>
        </row>
        <row r="3084">
          <cell r="B3084">
            <v>38794</v>
          </cell>
          <cell r="C3084">
            <v>3.36</v>
          </cell>
        </row>
        <row r="3085">
          <cell r="B3085">
            <v>38795</v>
          </cell>
          <cell r="C3085">
            <v>3.36</v>
          </cell>
        </row>
        <row r="3086">
          <cell r="B3086">
            <v>38796</v>
          </cell>
          <cell r="C3086">
            <v>3.73</v>
          </cell>
        </row>
        <row r="3087">
          <cell r="B3087">
            <v>38797</v>
          </cell>
          <cell r="C3087">
            <v>3.5500000000000003</v>
          </cell>
        </row>
        <row r="3088">
          <cell r="B3088">
            <v>38798</v>
          </cell>
          <cell r="C3088">
            <v>3.44</v>
          </cell>
        </row>
        <row r="3089">
          <cell r="B3089">
            <v>38799</v>
          </cell>
          <cell r="C3089">
            <v>4.01</v>
          </cell>
        </row>
        <row r="3090">
          <cell r="B3090">
            <v>38800</v>
          </cell>
          <cell r="C3090">
            <v>4.24</v>
          </cell>
        </row>
        <row r="3091">
          <cell r="B3091">
            <v>38801</v>
          </cell>
          <cell r="C3091">
            <v>4.24</v>
          </cell>
        </row>
        <row r="3092">
          <cell r="B3092">
            <v>38802</v>
          </cell>
          <cell r="C3092">
            <v>4.24</v>
          </cell>
        </row>
        <row r="3093">
          <cell r="B3093">
            <v>38803</v>
          </cell>
          <cell r="C3093">
            <v>4.47</v>
          </cell>
        </row>
        <row r="3094">
          <cell r="B3094">
            <v>38804</v>
          </cell>
          <cell r="C3094">
            <v>5.18</v>
          </cell>
        </row>
        <row r="3095">
          <cell r="B3095">
            <v>38805</v>
          </cell>
          <cell r="C3095">
            <v>5.6000000000000005</v>
          </cell>
        </row>
        <row r="3096">
          <cell r="B3096">
            <v>38806</v>
          </cell>
          <cell r="C3096">
            <v>5.15</v>
          </cell>
        </row>
        <row r="3097">
          <cell r="B3097">
            <v>38807</v>
          </cell>
          <cell r="C3097">
            <v>5.18</v>
          </cell>
        </row>
        <row r="3098">
          <cell r="B3098">
            <v>38808</v>
          </cell>
          <cell r="C3098">
            <v>5.18</v>
          </cell>
        </row>
        <row r="3099">
          <cell r="B3099">
            <v>38809</v>
          </cell>
          <cell r="C3099">
            <v>5.18</v>
          </cell>
        </row>
        <row r="3100">
          <cell r="B3100">
            <v>38810</v>
          </cell>
          <cell r="C3100">
            <v>4.87</v>
          </cell>
        </row>
        <row r="3101">
          <cell r="B3101">
            <v>38811</v>
          </cell>
          <cell r="C3101">
            <v>4.97</v>
          </cell>
        </row>
        <row r="3102">
          <cell r="B3102">
            <v>38812</v>
          </cell>
          <cell r="C3102">
            <v>4.9000000000000004</v>
          </cell>
        </row>
        <row r="3103">
          <cell r="B3103">
            <v>38813</v>
          </cell>
          <cell r="C3103">
            <v>5.17</v>
          </cell>
        </row>
        <row r="3104">
          <cell r="B3104">
            <v>38814</v>
          </cell>
          <cell r="C3104">
            <v>5.0600000000000005</v>
          </cell>
        </row>
        <row r="3105">
          <cell r="B3105">
            <v>38815</v>
          </cell>
          <cell r="C3105">
            <v>5.0600000000000005</v>
          </cell>
        </row>
        <row r="3106">
          <cell r="B3106">
            <v>38816</v>
          </cell>
          <cell r="C3106">
            <v>5.0600000000000005</v>
          </cell>
        </row>
        <row r="3107">
          <cell r="B3107">
            <v>38817</v>
          </cell>
          <cell r="C3107">
            <v>4.7700000000000005</v>
          </cell>
        </row>
        <row r="3108">
          <cell r="B3108">
            <v>38818</v>
          </cell>
          <cell r="C3108">
            <v>4.8600000000000003</v>
          </cell>
        </row>
        <row r="3109">
          <cell r="B3109">
            <v>38819</v>
          </cell>
          <cell r="C3109">
            <v>4.91</v>
          </cell>
        </row>
        <row r="3110">
          <cell r="B3110">
            <v>38820</v>
          </cell>
          <cell r="C3110">
            <v>4.83</v>
          </cell>
        </row>
        <row r="3111">
          <cell r="B3111">
            <v>38821</v>
          </cell>
          <cell r="C3111">
            <v>4.83</v>
          </cell>
        </row>
        <row r="3112">
          <cell r="B3112">
            <v>38822</v>
          </cell>
          <cell r="C3112">
            <v>4.83</v>
          </cell>
        </row>
        <row r="3113">
          <cell r="B3113">
            <v>38823</v>
          </cell>
          <cell r="C3113">
            <v>4.83</v>
          </cell>
        </row>
        <row r="3114">
          <cell r="B3114">
            <v>38824</v>
          </cell>
          <cell r="C3114">
            <v>4.8899999999999997</v>
          </cell>
        </row>
        <row r="3115">
          <cell r="B3115">
            <v>38825</v>
          </cell>
          <cell r="C3115">
            <v>5.04</v>
          </cell>
        </row>
        <row r="3116">
          <cell r="B3116">
            <v>38826</v>
          </cell>
          <cell r="C3116">
            <v>5.22</v>
          </cell>
        </row>
        <row r="3117">
          <cell r="B3117">
            <v>38827</v>
          </cell>
          <cell r="C3117">
            <v>5.13</v>
          </cell>
        </row>
        <row r="3118">
          <cell r="B3118">
            <v>38828</v>
          </cell>
          <cell r="C3118">
            <v>4.97</v>
          </cell>
        </row>
        <row r="3119">
          <cell r="B3119">
            <v>38829</v>
          </cell>
          <cell r="C3119">
            <v>4.97</v>
          </cell>
        </row>
        <row r="3120">
          <cell r="B3120">
            <v>38830</v>
          </cell>
          <cell r="C3120">
            <v>4.97</v>
          </cell>
        </row>
        <row r="3121">
          <cell r="B3121">
            <v>38831</v>
          </cell>
          <cell r="C3121">
            <v>4.92</v>
          </cell>
        </row>
        <row r="3122">
          <cell r="B3122">
            <v>38832</v>
          </cell>
          <cell r="C3122">
            <v>5.32</v>
          </cell>
        </row>
        <row r="3123">
          <cell r="B3123">
            <v>38833</v>
          </cell>
          <cell r="C3123">
            <v>5.25</v>
          </cell>
        </row>
        <row r="3124">
          <cell r="B3124">
            <v>38834</v>
          </cell>
          <cell r="C3124">
            <v>5.37</v>
          </cell>
        </row>
        <row r="3125">
          <cell r="B3125">
            <v>38835</v>
          </cell>
          <cell r="C3125">
            <v>5.4</v>
          </cell>
        </row>
        <row r="3126">
          <cell r="B3126">
            <v>38836</v>
          </cell>
          <cell r="C3126">
            <v>5.4</v>
          </cell>
        </row>
        <row r="3127">
          <cell r="B3127">
            <v>38837</v>
          </cell>
          <cell r="C3127">
            <v>5.4</v>
          </cell>
        </row>
        <row r="3128">
          <cell r="B3128">
            <v>38838</v>
          </cell>
          <cell r="C3128">
            <v>5.72</v>
          </cell>
        </row>
        <row r="3129">
          <cell r="B3129">
            <v>38839</v>
          </cell>
          <cell r="C3129">
            <v>5.68</v>
          </cell>
        </row>
        <row r="3130">
          <cell r="B3130">
            <v>38840</v>
          </cell>
          <cell r="C3130">
            <v>5.68</v>
          </cell>
        </row>
        <row r="3131">
          <cell r="B3131">
            <v>38841</v>
          </cell>
          <cell r="C3131">
            <v>5.58</v>
          </cell>
        </row>
        <row r="3132">
          <cell r="B3132">
            <v>38842</v>
          </cell>
          <cell r="C3132">
            <v>5.55</v>
          </cell>
        </row>
        <row r="3133">
          <cell r="B3133">
            <v>38843</v>
          </cell>
          <cell r="C3133">
            <v>5.55</v>
          </cell>
        </row>
        <row r="3134">
          <cell r="B3134">
            <v>38844</v>
          </cell>
          <cell r="C3134">
            <v>5.55</v>
          </cell>
        </row>
        <row r="3135">
          <cell r="B3135">
            <v>38845</v>
          </cell>
          <cell r="C3135">
            <v>5.48</v>
          </cell>
        </row>
        <row r="3136">
          <cell r="B3136">
            <v>38846</v>
          </cell>
          <cell r="C3136">
            <v>5.4</v>
          </cell>
        </row>
        <row r="3137">
          <cell r="B3137">
            <v>38847</v>
          </cell>
          <cell r="C3137">
            <v>5.32</v>
          </cell>
        </row>
        <row r="3138">
          <cell r="B3138">
            <v>38848</v>
          </cell>
          <cell r="C3138">
            <v>5.2</v>
          </cell>
        </row>
        <row r="3139">
          <cell r="B3139">
            <v>38849</v>
          </cell>
          <cell r="C3139">
            <v>5.01</v>
          </cell>
        </row>
        <row r="3140">
          <cell r="B3140">
            <v>38850</v>
          </cell>
          <cell r="C3140">
            <v>5.01</v>
          </cell>
        </row>
        <row r="3141">
          <cell r="B3141">
            <v>38851</v>
          </cell>
          <cell r="C3141">
            <v>5.01</v>
          </cell>
        </row>
        <row r="3142">
          <cell r="B3142">
            <v>38852</v>
          </cell>
          <cell r="C3142">
            <v>4.84</v>
          </cell>
        </row>
        <row r="3143">
          <cell r="B3143">
            <v>38853</v>
          </cell>
          <cell r="C3143">
            <v>4.9000000000000004</v>
          </cell>
        </row>
        <row r="3144">
          <cell r="B3144">
            <v>38854</v>
          </cell>
          <cell r="C3144">
            <v>4.7300000000000004</v>
          </cell>
        </row>
        <row r="3145">
          <cell r="B3145">
            <v>38855</v>
          </cell>
          <cell r="C3145">
            <v>4.5600000000000005</v>
          </cell>
        </row>
        <row r="3146">
          <cell r="B3146">
            <v>38856</v>
          </cell>
          <cell r="C3146">
            <v>4.78</v>
          </cell>
        </row>
        <row r="3147">
          <cell r="B3147">
            <v>38857</v>
          </cell>
          <cell r="C3147">
            <v>4.78</v>
          </cell>
        </row>
        <row r="3148">
          <cell r="B3148">
            <v>38858</v>
          </cell>
          <cell r="C3148">
            <v>4.78</v>
          </cell>
        </row>
        <row r="3149">
          <cell r="B3149">
            <v>38859</v>
          </cell>
          <cell r="C3149">
            <v>4.84</v>
          </cell>
        </row>
        <row r="3150">
          <cell r="B3150">
            <v>38860</v>
          </cell>
          <cell r="C3150">
            <v>4.91</v>
          </cell>
        </row>
        <row r="3151">
          <cell r="B3151">
            <v>38861</v>
          </cell>
          <cell r="C3151">
            <v>4.8600000000000003</v>
          </cell>
        </row>
        <row r="3152">
          <cell r="B3152">
            <v>38862</v>
          </cell>
          <cell r="C3152">
            <v>5.05</v>
          </cell>
        </row>
        <row r="3153">
          <cell r="B3153">
            <v>38863</v>
          </cell>
          <cell r="C3153">
            <v>5.28</v>
          </cell>
        </row>
        <row r="3154">
          <cell r="B3154">
            <v>38864</v>
          </cell>
          <cell r="C3154">
            <v>5.28</v>
          </cell>
        </row>
        <row r="3155">
          <cell r="B3155">
            <v>38865</v>
          </cell>
          <cell r="C3155">
            <v>5.28</v>
          </cell>
        </row>
        <row r="3156">
          <cell r="B3156">
            <v>38866</v>
          </cell>
          <cell r="C3156">
            <v>5.28</v>
          </cell>
        </row>
        <row r="3157">
          <cell r="B3157">
            <v>38867</v>
          </cell>
          <cell r="C3157">
            <v>4.8899999999999997</v>
          </cell>
        </row>
      </sheetData>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MCO"/>
      <sheetName val="MIS Revenue Driver"/>
      <sheetName val="MIS Revenue Driver(base)"/>
      <sheetName val="Key Stats"/>
      <sheetName val="Linking Tab (MHFI)"/>
      <sheetName val="Variance"/>
      <sheetName val="Guidance"/>
      <sheetName val="DCF"/>
      <sheetName val="MW-Cache"/>
      <sheetName val="MW Valuation"/>
      <sheetName val="mwareDates"/>
      <sheetName val="MWA RR"/>
      <sheetName val="Rates"/>
      <sheetName val="mwareSettings"/>
    </sheetNames>
    <sheetDataSet>
      <sheetData sheetId="0" refreshError="1"/>
      <sheetData sheetId="1" refreshError="1">
        <row r="1">
          <cell r="C1">
            <v>1998</v>
          </cell>
          <cell r="D1">
            <v>1999</v>
          </cell>
          <cell r="E1">
            <v>2000</v>
          </cell>
          <cell r="F1">
            <v>2001</v>
          </cell>
          <cell r="G1">
            <v>2002</v>
          </cell>
          <cell r="H1">
            <v>2003</v>
          </cell>
          <cell r="I1">
            <v>2004</v>
          </cell>
          <cell r="J1" t="str">
            <v>1Q05</v>
          </cell>
          <cell r="K1" t="str">
            <v>2Q05</v>
          </cell>
          <cell r="L1" t="str">
            <v>3Q05</v>
          </cell>
          <cell r="M1" t="str">
            <v>4Q05</v>
          </cell>
          <cell r="N1">
            <v>2005</v>
          </cell>
          <cell r="O1" t="str">
            <v>1Q06</v>
          </cell>
          <cell r="P1" t="str">
            <v>2Q06</v>
          </cell>
          <cell r="Q1" t="str">
            <v>3Q06</v>
          </cell>
          <cell r="R1" t="str">
            <v>4Q06</v>
          </cell>
          <cell r="S1">
            <v>2006</v>
          </cell>
          <cell r="T1" t="str">
            <v>1Q07</v>
          </cell>
          <cell r="U1" t="str">
            <v>2Q07</v>
          </cell>
          <cell r="V1" t="str">
            <v>3Q07</v>
          </cell>
          <cell r="W1" t="str">
            <v>4Q07</v>
          </cell>
          <cell r="X1">
            <v>2007</v>
          </cell>
          <cell r="Y1" t="str">
            <v>1Q08</v>
          </cell>
          <cell r="Z1" t="str">
            <v>2Q08</v>
          </cell>
          <cell r="AA1" t="str">
            <v>3Q08</v>
          </cell>
          <cell r="AB1" t="str">
            <v>4Q08</v>
          </cell>
          <cell r="AC1">
            <v>2008</v>
          </cell>
          <cell r="AD1" t="str">
            <v>1Q09</v>
          </cell>
          <cell r="AE1" t="str">
            <v>2Q09</v>
          </cell>
          <cell r="AF1" t="str">
            <v>3Q09</v>
          </cell>
          <cell r="AG1" t="str">
            <v>4Q09</v>
          </cell>
          <cell r="AH1">
            <v>2009</v>
          </cell>
          <cell r="AI1" t="str">
            <v>1Q10</v>
          </cell>
          <cell r="AJ1" t="str">
            <v>2Q10</v>
          </cell>
          <cell r="AK1" t="str">
            <v>3Q10</v>
          </cell>
          <cell r="AL1" t="str">
            <v>4Q10</v>
          </cell>
          <cell r="AM1">
            <v>2010</v>
          </cell>
          <cell r="AN1" t="str">
            <v>1Q11</v>
          </cell>
          <cell r="AO1" t="str">
            <v>2Q11</v>
          </cell>
          <cell r="AP1" t="str">
            <v>3Q11</v>
          </cell>
          <cell r="AQ1" t="str">
            <v>4Q11</v>
          </cell>
          <cell r="AR1">
            <v>2011</v>
          </cell>
          <cell r="AS1" t="str">
            <v>1Q12</v>
          </cell>
          <cell r="AT1" t="str">
            <v>2Q12</v>
          </cell>
          <cell r="AU1" t="str">
            <v>3Q12</v>
          </cell>
          <cell r="AV1" t="str">
            <v>4Q12</v>
          </cell>
          <cell r="AW1">
            <v>2012</v>
          </cell>
          <cell r="AX1" t="str">
            <v>1Q13</v>
          </cell>
          <cell r="AY1" t="str">
            <v>2Q13</v>
          </cell>
          <cell r="AZ1" t="str">
            <v>3Q13</v>
          </cell>
          <cell r="BA1" t="str">
            <v>4Q13</v>
          </cell>
          <cell r="BB1">
            <v>2013</v>
          </cell>
          <cell r="BC1" t="str">
            <v>1Q14</v>
          </cell>
          <cell r="BD1" t="str">
            <v>2Q14</v>
          </cell>
          <cell r="BE1" t="str">
            <v>3Q14E</v>
          </cell>
          <cell r="BF1" t="str">
            <v>4Q14E</v>
          </cell>
          <cell r="BG1" t="str">
            <v>2014E</v>
          </cell>
          <cell r="BH1" t="str">
            <v>1Q15E</v>
          </cell>
          <cell r="BI1" t="str">
            <v>2Q15E</v>
          </cell>
          <cell r="BJ1" t="str">
            <v>3Q15E</v>
          </cell>
          <cell r="BK1" t="str">
            <v>4Q15E</v>
          </cell>
          <cell r="BL1" t="str">
            <v>2015E</v>
          </cell>
          <cell r="BM1" t="str">
            <v>1Q16E</v>
          </cell>
          <cell r="BN1" t="str">
            <v>2Q16E</v>
          </cell>
          <cell r="BO1" t="str">
            <v>3Q16E</v>
          </cell>
          <cell r="BP1" t="str">
            <v>4Q16E</v>
          </cell>
          <cell r="BQ1" t="str">
            <v>2016E</v>
          </cell>
          <cell r="BR1" t="str">
            <v>2017E</v>
          </cell>
          <cell r="BS1" t="str">
            <v>2018E</v>
          </cell>
          <cell r="BT1" t="str">
            <v>2019E</v>
          </cell>
          <cell r="BU1" t="str">
            <v>2020E</v>
          </cell>
          <cell r="DA1" t="str">
            <v>ElementName</v>
          </cell>
          <cell r="DB1" t="str">
            <v>ScaleOverride</v>
          </cell>
          <cell r="DC1" t="str">
            <v>UnitOverride</v>
          </cell>
          <cell r="DD1" t="str">
            <v>ReverseSign</v>
          </cell>
          <cell r="DE1" t="str">
            <v>IsDrivingAssumption</v>
          </cell>
          <cell r="DF1" t="str">
            <v>SegmentID</v>
          </cell>
        </row>
        <row r="3">
          <cell r="A3">
            <v>2</v>
          </cell>
        </row>
        <row r="4">
          <cell r="CW4">
            <v>0.21560000000000007</v>
          </cell>
        </row>
        <row r="5">
          <cell r="CW5">
            <v>67</v>
          </cell>
        </row>
        <row r="6">
          <cell r="CW6">
            <v>310.76066790352496</v>
          </cell>
        </row>
        <row r="7">
          <cell r="CW7">
            <v>15.566625600049628</v>
          </cell>
        </row>
        <row r="8">
          <cell r="A8" t="str">
            <v>Moody's Corporation</v>
          </cell>
          <cell r="BZ8" t="str">
            <v>Moody's Corporation</v>
          </cell>
        </row>
        <row r="9">
          <cell r="A9" t="str">
            <v>Quarterly Income Statement</v>
          </cell>
          <cell r="BZ9" t="str">
            <v>Annual Income Statement</v>
          </cell>
        </row>
        <row r="10">
          <cell r="A10" t="str">
            <v>(Values in millions, except per-share amounts)</v>
          </cell>
          <cell r="BV10" t="str">
            <v>CAGR</v>
          </cell>
          <cell r="BZ10" t="str">
            <v>(Values in millions, except per-share amounts)</v>
          </cell>
        </row>
        <row r="11">
          <cell r="A11" t="str">
            <v>Fiscal Year Ending December 31</v>
          </cell>
          <cell r="C11">
            <v>1998</v>
          </cell>
          <cell r="D11">
            <v>1999</v>
          </cell>
          <cell r="E11">
            <v>2000</v>
          </cell>
          <cell r="F11">
            <v>2001</v>
          </cell>
          <cell r="G11">
            <v>2002</v>
          </cell>
          <cell r="H11">
            <v>2003</v>
          </cell>
          <cell r="I11">
            <v>2004</v>
          </cell>
          <cell r="J11" t="str">
            <v>1Q05</v>
          </cell>
          <cell r="K11" t="str">
            <v>2Q05</v>
          </cell>
          <cell r="L11" t="str">
            <v>3Q05</v>
          </cell>
          <cell r="M11" t="str">
            <v>4Q05</v>
          </cell>
          <cell r="N11">
            <v>2005</v>
          </cell>
          <cell r="O11" t="str">
            <v>1Q06</v>
          </cell>
          <cell r="P11" t="str">
            <v>2Q06</v>
          </cell>
          <cell r="Q11" t="str">
            <v>3Q06</v>
          </cell>
          <cell r="R11" t="str">
            <v>4Q06</v>
          </cell>
          <cell r="S11">
            <v>2006</v>
          </cell>
          <cell r="T11" t="str">
            <v>1Q07</v>
          </cell>
          <cell r="U11" t="str">
            <v>2Q07</v>
          </cell>
          <cell r="V11" t="str">
            <v>3Q07</v>
          </cell>
          <cell r="W11" t="str">
            <v>4Q07</v>
          </cell>
          <cell r="X11">
            <v>2007</v>
          </cell>
          <cell r="Y11" t="str">
            <v>1Q08</v>
          </cell>
          <cell r="Z11" t="str">
            <v>2Q08</v>
          </cell>
          <cell r="AA11" t="str">
            <v>3Q08</v>
          </cell>
          <cell r="AB11" t="str">
            <v>4Q08</v>
          </cell>
          <cell r="AC11">
            <v>2008</v>
          </cell>
          <cell r="AD11" t="str">
            <v>1Q09</v>
          </cell>
          <cell r="AE11" t="str">
            <v>2Q09</v>
          </cell>
          <cell r="AF11" t="str">
            <v>3Q09</v>
          </cell>
          <cell r="AG11" t="str">
            <v>4Q09</v>
          </cell>
          <cell r="AH11">
            <v>2009</v>
          </cell>
          <cell r="AI11" t="str">
            <v>1Q10</v>
          </cell>
          <cell r="AJ11" t="str">
            <v>2Q10</v>
          </cell>
          <cell r="AK11" t="str">
            <v>3Q10</v>
          </cell>
          <cell r="AL11" t="str">
            <v>4Q10</v>
          </cell>
          <cell r="AM11">
            <v>2010</v>
          </cell>
          <cell r="AN11" t="str">
            <v>1Q11</v>
          </cell>
          <cell r="AO11" t="str">
            <v>2Q11</v>
          </cell>
          <cell r="AP11" t="str">
            <v>3Q11</v>
          </cell>
          <cell r="AQ11" t="str">
            <v>4Q11</v>
          </cell>
          <cell r="AR11">
            <v>2011</v>
          </cell>
          <cell r="AS11" t="str">
            <v>1Q12</v>
          </cell>
          <cell r="AT11" t="str">
            <v>2Q12</v>
          </cell>
          <cell r="AU11" t="str">
            <v>3Q12</v>
          </cell>
          <cell r="AV11" t="str">
            <v>4Q12</v>
          </cell>
          <cell r="AW11">
            <v>2012</v>
          </cell>
          <cell r="AX11" t="str">
            <v>1Q13</v>
          </cell>
          <cell r="AY11" t="str">
            <v>2Q13</v>
          </cell>
          <cell r="AZ11" t="str">
            <v>3Q13</v>
          </cell>
          <cell r="BA11" t="str">
            <v>4Q13</v>
          </cell>
          <cell r="BB11">
            <v>2013</v>
          </cell>
          <cell r="BC11" t="str">
            <v>1Q14</v>
          </cell>
          <cell r="BD11" t="str">
            <v>2Q14</v>
          </cell>
          <cell r="BE11" t="str">
            <v>3Q14E</v>
          </cell>
          <cell r="BF11" t="str">
            <v>4Q14E</v>
          </cell>
          <cell r="BG11" t="str">
            <v>2014E</v>
          </cell>
          <cell r="BH11" t="str">
            <v>1Q15E</v>
          </cell>
          <cell r="BI11" t="str">
            <v>2Q15E</v>
          </cell>
          <cell r="BJ11" t="str">
            <v>3Q15E</v>
          </cell>
          <cell r="BK11" t="str">
            <v>4Q15E</v>
          </cell>
          <cell r="BL11" t="str">
            <v>2015E</v>
          </cell>
          <cell r="BM11" t="str">
            <v>1Q16E</v>
          </cell>
          <cell r="BN11" t="str">
            <v>2Q16E</v>
          </cell>
          <cell r="BO11" t="str">
            <v>3Q16E</v>
          </cell>
          <cell r="BP11" t="str">
            <v>4Q16E</v>
          </cell>
          <cell r="BQ11" t="str">
            <v>2016E</v>
          </cell>
          <cell r="BR11" t="str">
            <v>2017E</v>
          </cell>
          <cell r="BS11" t="str">
            <v>2018E</v>
          </cell>
          <cell r="BT11" t="str">
            <v>2019E</v>
          </cell>
          <cell r="BU11" t="str">
            <v>2020E</v>
          </cell>
          <cell r="BV11" t="str">
            <v>11-16E</v>
          </cell>
          <cell r="BZ11" t="str">
            <v>Fiscal Year Ending December 31</v>
          </cell>
          <cell r="CA11">
            <v>1998</v>
          </cell>
          <cell r="CB11">
            <v>1999</v>
          </cell>
          <cell r="CC11">
            <v>2000</v>
          </cell>
          <cell r="CD11">
            <v>2001</v>
          </cell>
          <cell r="CE11">
            <v>2002</v>
          </cell>
          <cell r="CF11">
            <v>2003</v>
          </cell>
          <cell r="CG11">
            <v>2004</v>
          </cell>
          <cell r="CH11">
            <v>2005</v>
          </cell>
          <cell r="CI11">
            <v>2006</v>
          </cell>
          <cell r="CJ11">
            <v>2007</v>
          </cell>
          <cell r="CK11">
            <v>2008</v>
          </cell>
          <cell r="CL11">
            <v>2009</v>
          </cell>
          <cell r="CM11">
            <v>2010</v>
          </cell>
          <cell r="CN11">
            <v>2011</v>
          </cell>
          <cell r="CO11">
            <v>2012</v>
          </cell>
          <cell r="CP11">
            <v>2013</v>
          </cell>
          <cell r="CQ11" t="str">
            <v>2014E</v>
          </cell>
          <cell r="CR11" t="str">
            <v>2015E</v>
          </cell>
          <cell r="CS11" t="str">
            <v>2016E</v>
          </cell>
          <cell r="CT11" t="str">
            <v>2017E</v>
          </cell>
          <cell r="CU11" t="str">
            <v>2018E</v>
          </cell>
          <cell r="CV11" t="str">
            <v>2019E</v>
          </cell>
          <cell r="CW11" t="str">
            <v>2020E</v>
          </cell>
          <cell r="CY11" t="str">
            <v>NTM</v>
          </cell>
        </row>
        <row r="13">
          <cell r="A13" t="str">
            <v xml:space="preserve">Total MIS </v>
          </cell>
          <cell r="C13">
            <v>441.50000000000006</v>
          </cell>
          <cell r="D13">
            <v>502.2</v>
          </cell>
          <cell r="E13">
            <v>519.6</v>
          </cell>
          <cell r="F13">
            <v>694.40000000000009</v>
          </cell>
          <cell r="G13">
            <v>848.2</v>
          </cell>
          <cell r="H13">
            <v>1007.8000000000002</v>
          </cell>
          <cell r="I13">
            <v>1143.8000000000002</v>
          </cell>
          <cell r="J13">
            <v>308.39999999999998</v>
          </cell>
          <cell r="K13">
            <v>363.8</v>
          </cell>
          <cell r="L13">
            <v>332.49999999999994</v>
          </cell>
          <cell r="M13">
            <v>380.29999999999995</v>
          </cell>
          <cell r="N13">
            <v>1384.9999999999998</v>
          </cell>
          <cell r="O13">
            <v>347.70000000000005</v>
          </cell>
          <cell r="P13">
            <v>414.59999999999997</v>
          </cell>
          <cell r="Q13">
            <v>394.90000000000003</v>
          </cell>
          <cell r="R13">
            <v>482.6</v>
          </cell>
          <cell r="S13">
            <v>1639.8</v>
          </cell>
          <cell r="T13">
            <v>485.5</v>
          </cell>
          <cell r="U13">
            <v>543.59999999999991</v>
          </cell>
          <cell r="V13">
            <v>418.9</v>
          </cell>
          <cell r="W13">
            <v>387.40000000000003</v>
          </cell>
          <cell r="X13">
            <v>1835.3999999999999</v>
          </cell>
          <cell r="Y13">
            <v>314.2</v>
          </cell>
          <cell r="Z13">
            <v>371.5</v>
          </cell>
          <cell r="AA13">
            <v>312.60000000000002</v>
          </cell>
          <cell r="AB13">
            <v>270</v>
          </cell>
          <cell r="AC13">
            <v>1268.3</v>
          </cell>
          <cell r="AD13">
            <v>284.89999999999998</v>
          </cell>
          <cell r="AE13">
            <v>324.69999999999993</v>
          </cell>
          <cell r="AF13">
            <v>319.8</v>
          </cell>
          <cell r="AG13">
            <v>348.29999999999995</v>
          </cell>
          <cell r="AH13">
            <v>1277.7</v>
          </cell>
          <cell r="AI13">
            <v>350.8</v>
          </cell>
          <cell r="AJ13">
            <v>344.1</v>
          </cell>
          <cell r="AK13">
            <v>373.70000000000005</v>
          </cell>
          <cell r="AL13">
            <v>397.70000000000005</v>
          </cell>
          <cell r="AM13">
            <v>1466.3</v>
          </cell>
          <cell r="AN13">
            <v>428.6</v>
          </cell>
          <cell r="AO13">
            <v>454.2</v>
          </cell>
          <cell r="AP13">
            <v>368.20000000000005</v>
          </cell>
          <cell r="AQ13">
            <v>383.7000000000001</v>
          </cell>
          <cell r="AR13">
            <v>1634.6999999999998</v>
          </cell>
          <cell r="AS13">
            <v>469.80000000000007</v>
          </cell>
          <cell r="AT13">
            <v>458.7</v>
          </cell>
          <cell r="AU13">
            <v>491.29999999999995</v>
          </cell>
          <cell r="AV13">
            <v>538.50000000000011</v>
          </cell>
          <cell r="AW13">
            <v>1958.3000000000002</v>
          </cell>
          <cell r="AX13">
            <v>540.1</v>
          </cell>
          <cell r="AY13">
            <v>556.29999999999995</v>
          </cell>
          <cell r="AZ13">
            <v>497.7</v>
          </cell>
          <cell r="BA13">
            <v>543.90000000000009</v>
          </cell>
          <cell r="BB13">
            <v>2138</v>
          </cell>
          <cell r="BC13">
            <v>547.30000000000007</v>
          </cell>
          <cell r="BD13">
            <v>643.6</v>
          </cell>
          <cell r="BE13">
            <v>486.21007000000003</v>
          </cell>
          <cell r="BF13">
            <v>533.03077905454552</v>
          </cell>
          <cell r="BG13">
            <v>2210.1408490545455</v>
          </cell>
          <cell r="BH13">
            <v>535.8348966960001</v>
          </cell>
          <cell r="BI13">
            <v>626.15923975399994</v>
          </cell>
          <cell r="BJ13">
            <v>495.24262170399999</v>
          </cell>
          <cell r="BK13">
            <v>542.56782341521216</v>
          </cell>
          <cell r="BL13">
            <v>2199.8045815692126</v>
          </cell>
          <cell r="BM13">
            <v>545.41096944397998</v>
          </cell>
          <cell r="BN13">
            <v>636.63618696456012</v>
          </cell>
          <cell r="BO13">
            <v>504.39433989031005</v>
          </cell>
          <cell r="BP13">
            <v>552.23188935115229</v>
          </cell>
          <cell r="BQ13">
            <v>2238.6733856500023</v>
          </cell>
          <cell r="BR13">
            <v>2264.5255572413112</v>
          </cell>
          <cell r="BS13">
            <v>2290.8113759454645</v>
          </cell>
          <cell r="BT13">
            <v>2317.5446006059497</v>
          </cell>
          <cell r="BU13">
            <v>2344.7396021038207</v>
          </cell>
          <cell r="BZ13" t="str">
            <v xml:space="preserve">Total MIS </v>
          </cell>
          <cell r="CA13">
            <v>441.50000000000006</v>
          </cell>
          <cell r="CB13">
            <v>502.2</v>
          </cell>
          <cell r="CC13">
            <v>519.6</v>
          </cell>
          <cell r="CD13">
            <v>694.40000000000009</v>
          </cell>
          <cell r="CE13">
            <v>848.2</v>
          </cell>
          <cell r="CF13">
            <v>1007.8000000000002</v>
          </cell>
          <cell r="CG13">
            <v>1143.8000000000002</v>
          </cell>
          <cell r="CH13">
            <v>1384.9999999999998</v>
          </cell>
          <cell r="CI13">
            <v>1639.8</v>
          </cell>
          <cell r="CJ13">
            <v>1835.3999999999999</v>
          </cell>
          <cell r="CK13">
            <v>1268.3</v>
          </cell>
          <cell r="CL13">
            <v>1277.7</v>
          </cell>
          <cell r="CM13">
            <v>1466.3</v>
          </cell>
          <cell r="CN13">
            <v>1634.6999999999998</v>
          </cell>
          <cell r="CO13">
            <v>1958.3000000000002</v>
          </cell>
          <cell r="CP13">
            <v>2138</v>
          </cell>
          <cell r="CQ13">
            <v>2210.1408490545455</v>
          </cell>
          <cell r="CR13">
            <v>2199.8045815692126</v>
          </cell>
          <cell r="CS13">
            <v>2238.6733856500023</v>
          </cell>
          <cell r="CT13">
            <v>2264.5255572413112</v>
          </cell>
          <cell r="CU13">
            <v>2290.8113759454645</v>
          </cell>
          <cell r="CV13">
            <v>2317.5446006059497</v>
          </cell>
          <cell r="CW13">
            <v>2344.7396021038207</v>
          </cell>
          <cell r="CY13">
            <v>2181.2349855045454</v>
          </cell>
        </row>
        <row r="15">
          <cell r="A15" t="str">
            <v xml:space="preserve">Research, data and analytics </v>
          </cell>
          <cell r="AD15">
            <v>102</v>
          </cell>
          <cell r="AE15">
            <v>102.3</v>
          </cell>
          <cell r="AF15">
            <v>103.4</v>
          </cell>
          <cell r="AG15">
            <v>105.9</v>
          </cell>
          <cell r="AH15">
            <v>413.6</v>
          </cell>
          <cell r="AI15">
            <v>104.6</v>
          </cell>
          <cell r="AJ15">
            <v>105.2</v>
          </cell>
          <cell r="AK15">
            <v>106</v>
          </cell>
          <cell r="AL15">
            <v>109.19999999999999</v>
          </cell>
          <cell r="AM15">
            <v>425</v>
          </cell>
          <cell r="AN15">
            <v>109.6</v>
          </cell>
          <cell r="AO15">
            <v>111</v>
          </cell>
          <cell r="AP15">
            <v>115.3</v>
          </cell>
          <cell r="AQ15">
            <v>115.40000000000005</v>
          </cell>
          <cell r="AR15">
            <v>451.3</v>
          </cell>
          <cell r="AS15">
            <v>119.5</v>
          </cell>
          <cell r="AT15">
            <v>121.4</v>
          </cell>
          <cell r="AU15">
            <v>123.8</v>
          </cell>
          <cell r="AV15">
            <v>128.5</v>
          </cell>
          <cell r="AW15">
            <v>493.2</v>
          </cell>
          <cell r="AX15">
            <v>129.6</v>
          </cell>
          <cell r="AY15">
            <v>130.30000000000001</v>
          </cell>
          <cell r="AZ15">
            <v>133.69999999999999</v>
          </cell>
          <cell r="BA15">
            <v>138.39999999999998</v>
          </cell>
          <cell r="BB15">
            <v>532</v>
          </cell>
          <cell r="BC15">
            <v>140.9</v>
          </cell>
          <cell r="BD15">
            <v>144.69999999999999</v>
          </cell>
          <cell r="BE15">
            <v>144.06174999999996</v>
          </cell>
          <cell r="BF15">
            <v>149.12599999999995</v>
          </cell>
          <cell r="BG15">
            <v>578.78774999999996</v>
          </cell>
          <cell r="BH15">
            <v>151.81975</v>
          </cell>
          <cell r="BI15">
            <v>155.91424999999998</v>
          </cell>
          <cell r="BJ15">
            <v>155.22653562499994</v>
          </cell>
          <cell r="BK15">
            <v>160.68326499999992</v>
          </cell>
          <cell r="BL15">
            <v>623.64380062499981</v>
          </cell>
          <cell r="BM15">
            <v>163.58578062499998</v>
          </cell>
          <cell r="BN15">
            <v>167.99760437499995</v>
          </cell>
          <cell r="BO15">
            <v>167.25659213593741</v>
          </cell>
          <cell r="BP15">
            <v>173.1362180374999</v>
          </cell>
          <cell r="BQ15">
            <v>671.97619517343719</v>
          </cell>
          <cell r="BR15">
            <v>719.01452883557783</v>
          </cell>
          <cell r="BS15">
            <v>769.34554585406829</v>
          </cell>
          <cell r="BT15">
            <v>823.19973406385316</v>
          </cell>
          <cell r="BU15">
            <v>880.8237154483229</v>
          </cell>
          <cell r="BZ15" t="str">
            <v xml:space="preserve">Research, data and analytics </v>
          </cell>
          <cell r="CA15">
            <v>0</v>
          </cell>
          <cell r="CB15">
            <v>0</v>
          </cell>
          <cell r="CC15">
            <v>0</v>
          </cell>
          <cell r="CD15">
            <v>0</v>
          </cell>
          <cell r="CE15">
            <v>0</v>
          </cell>
          <cell r="CF15">
            <v>0</v>
          </cell>
          <cell r="CG15">
            <v>0</v>
          </cell>
          <cell r="CH15">
            <v>0</v>
          </cell>
          <cell r="CI15">
            <v>0</v>
          </cell>
          <cell r="CJ15">
            <v>0</v>
          </cell>
          <cell r="CK15">
            <v>0</v>
          </cell>
          <cell r="CL15">
            <v>413.6</v>
          </cell>
          <cell r="CM15">
            <v>425</v>
          </cell>
          <cell r="CN15">
            <v>451.3</v>
          </cell>
          <cell r="CO15">
            <v>493.2</v>
          </cell>
          <cell r="CP15">
            <v>532</v>
          </cell>
          <cell r="CQ15">
            <v>578.78774999999996</v>
          </cell>
          <cell r="CR15">
            <v>623.64380062499981</v>
          </cell>
          <cell r="CS15">
            <v>671.97619517343719</v>
          </cell>
          <cell r="CT15">
            <v>719.01452883557783</v>
          </cell>
          <cell r="CU15">
            <v>769.34554585406829</v>
          </cell>
          <cell r="CV15">
            <v>823.19973406385316</v>
          </cell>
          <cell r="CW15">
            <v>880.8237154483229</v>
          </cell>
          <cell r="CY15">
            <v>600.92174999999997</v>
          </cell>
        </row>
        <row r="16">
          <cell r="A16" t="str">
            <v>Other MA</v>
          </cell>
          <cell r="AH16">
            <v>165.89999999999998</v>
          </cell>
          <cell r="AI16">
            <v>38.800000000000011</v>
          </cell>
          <cell r="AJ16">
            <v>46.399999999999991</v>
          </cell>
          <cell r="AK16">
            <v>51.400000000000006</v>
          </cell>
          <cell r="AL16">
            <v>74.699999999999989</v>
          </cell>
          <cell r="AM16">
            <v>211.29999999999995</v>
          </cell>
          <cell r="AN16">
            <v>57.5</v>
          </cell>
          <cell r="AO16">
            <v>58.799999999999983</v>
          </cell>
          <cell r="AP16">
            <v>67.199999999999974</v>
          </cell>
          <cell r="AQ16">
            <v>87.600000000000009</v>
          </cell>
          <cell r="AR16">
            <v>271.09999999999997</v>
          </cell>
          <cell r="AS16">
            <v>77.599999999999994</v>
          </cell>
          <cell r="AT16">
            <v>81.100000000000023</v>
          </cell>
          <cell r="AU16">
            <v>94.3</v>
          </cell>
          <cell r="AV16">
            <v>109.10000000000002</v>
          </cell>
          <cell r="AW16">
            <v>362.09999999999997</v>
          </cell>
          <cell r="AX16">
            <v>83.800000000000011</v>
          </cell>
          <cell r="AY16">
            <v>91.1</v>
          </cell>
          <cell r="AZ16">
            <v>96.699999999999989</v>
          </cell>
          <cell r="BA16">
            <v>121.10000000000002</v>
          </cell>
          <cell r="BB16">
            <v>392.70000000000005</v>
          </cell>
          <cell r="BC16">
            <v>103.80000000000001</v>
          </cell>
          <cell r="BD16">
            <v>110.4</v>
          </cell>
          <cell r="BE16">
            <v>108.98000000000002</v>
          </cell>
          <cell r="BF16">
            <v>136.38700000000003</v>
          </cell>
          <cell r="BG16">
            <v>459.56700000000001</v>
          </cell>
          <cell r="BH16">
            <v>117.16900000000004</v>
          </cell>
          <cell r="BI16">
            <v>124.54500000000002</v>
          </cell>
          <cell r="BJ16">
            <v>122.82914</v>
          </cell>
          <cell r="BK16">
            <v>153.61507000000003</v>
          </cell>
          <cell r="BL16">
            <v>518.15821000000005</v>
          </cell>
          <cell r="BM16">
            <v>132.27109000000002</v>
          </cell>
          <cell r="BN16">
            <v>140.51397000000006</v>
          </cell>
          <cell r="BO16">
            <v>138.4492274000001</v>
          </cell>
          <cell r="BP16">
            <v>173.03220610000008</v>
          </cell>
          <cell r="BQ16">
            <v>584.26649350000025</v>
          </cell>
          <cell r="BR16">
            <v>652.94668678900018</v>
          </cell>
          <cell r="BS16">
            <v>729.73261382527028</v>
          </cell>
          <cell r="BT16">
            <v>815.58525587001759</v>
          </cell>
          <cell r="BU16">
            <v>911.58011034667607</v>
          </cell>
        </row>
        <row r="17">
          <cell r="C17" t="str">
            <v xml:space="preserve">______ </v>
          </cell>
          <cell r="D17" t="str">
            <v xml:space="preserve">______ </v>
          </cell>
          <cell r="E17" t="str">
            <v xml:space="preserve">______ </v>
          </cell>
          <cell r="F17" t="str">
            <v xml:space="preserve">______ </v>
          </cell>
          <cell r="G17" t="str">
            <v xml:space="preserve">______ </v>
          </cell>
          <cell r="H17" t="str">
            <v xml:space="preserve">______ </v>
          </cell>
          <cell r="I17" t="str">
            <v xml:space="preserve">______ </v>
          </cell>
          <cell r="J17" t="str">
            <v xml:space="preserve">______ </v>
          </cell>
          <cell r="K17" t="str">
            <v xml:space="preserve">______ </v>
          </cell>
          <cell r="L17" t="str">
            <v xml:space="preserve">______ </v>
          </cell>
          <cell r="M17" t="str">
            <v xml:space="preserve">______ </v>
          </cell>
          <cell r="N17" t="str">
            <v xml:space="preserve">______ </v>
          </cell>
          <cell r="O17" t="str">
            <v xml:space="preserve">______ </v>
          </cell>
          <cell r="P17" t="str">
            <v xml:space="preserve">______ </v>
          </cell>
          <cell r="Q17" t="str">
            <v xml:space="preserve">______ </v>
          </cell>
          <cell r="R17" t="str">
            <v xml:space="preserve">______ </v>
          </cell>
          <cell r="S17" t="str">
            <v xml:space="preserve">______ </v>
          </cell>
          <cell r="T17" t="str">
            <v xml:space="preserve">______ </v>
          </cell>
          <cell r="U17" t="str">
            <v xml:space="preserve">______ </v>
          </cell>
          <cell r="V17" t="str">
            <v xml:space="preserve">______ </v>
          </cell>
          <cell r="W17" t="str">
            <v xml:space="preserve">______ </v>
          </cell>
          <cell r="X17" t="str">
            <v xml:space="preserve">______ </v>
          </cell>
          <cell r="Y17" t="str">
            <v xml:space="preserve">______ </v>
          </cell>
          <cell r="Z17" t="str">
            <v xml:space="preserve">______ </v>
          </cell>
          <cell r="AA17" t="str">
            <v xml:space="preserve">______ </v>
          </cell>
          <cell r="AB17" t="str">
            <v xml:space="preserve">______ </v>
          </cell>
          <cell r="AC17" t="str">
            <v xml:space="preserve">______ </v>
          </cell>
          <cell r="AD17" t="str">
            <v xml:space="preserve">______ </v>
          </cell>
          <cell r="AE17" t="str">
            <v xml:space="preserve">______ </v>
          </cell>
          <cell r="AF17" t="str">
            <v xml:space="preserve">______ </v>
          </cell>
          <cell r="AG17" t="str">
            <v xml:space="preserve">______ </v>
          </cell>
          <cell r="AH17" t="str">
            <v xml:space="preserve">______ </v>
          </cell>
          <cell r="AI17" t="str">
            <v xml:space="preserve">______ </v>
          </cell>
          <cell r="AJ17" t="str">
            <v xml:space="preserve">______ </v>
          </cell>
          <cell r="AK17" t="str">
            <v xml:space="preserve">______ </v>
          </cell>
          <cell r="AL17" t="str">
            <v xml:space="preserve">______ </v>
          </cell>
          <cell r="AM17" t="str">
            <v xml:space="preserve">______ </v>
          </cell>
          <cell r="AN17" t="str">
            <v xml:space="preserve">______ </v>
          </cell>
          <cell r="AO17" t="str">
            <v xml:space="preserve">______ </v>
          </cell>
          <cell r="AP17" t="str">
            <v xml:space="preserve">______ </v>
          </cell>
          <cell r="AQ17" t="str">
            <v xml:space="preserve">______ </v>
          </cell>
          <cell r="AR17" t="str">
            <v xml:space="preserve">______ </v>
          </cell>
          <cell r="AS17" t="str">
            <v xml:space="preserve">______ </v>
          </cell>
          <cell r="AT17" t="str">
            <v xml:space="preserve">______ </v>
          </cell>
          <cell r="AU17" t="str">
            <v xml:space="preserve">______ </v>
          </cell>
          <cell r="AV17" t="str">
            <v xml:space="preserve">______ </v>
          </cell>
          <cell r="AW17" t="str">
            <v xml:space="preserve">______ </v>
          </cell>
          <cell r="AX17" t="str">
            <v xml:space="preserve">______ </v>
          </cell>
          <cell r="AY17" t="str">
            <v xml:space="preserve">______ </v>
          </cell>
          <cell r="AZ17" t="str">
            <v xml:space="preserve">______ </v>
          </cell>
          <cell r="BA17" t="str">
            <v xml:space="preserve">______ </v>
          </cell>
          <cell r="BB17" t="str">
            <v xml:space="preserve">______ </v>
          </cell>
          <cell r="BC17" t="str">
            <v xml:space="preserve">______ </v>
          </cell>
          <cell r="BD17" t="str">
            <v xml:space="preserve">______ </v>
          </cell>
          <cell r="BE17" t="str">
            <v xml:space="preserve">______ </v>
          </cell>
          <cell r="BF17" t="str">
            <v xml:space="preserve">______ </v>
          </cell>
          <cell r="BG17" t="str">
            <v xml:space="preserve">______ </v>
          </cell>
          <cell r="BH17" t="str">
            <v xml:space="preserve">______ </v>
          </cell>
          <cell r="BI17" t="str">
            <v xml:space="preserve">______ </v>
          </cell>
          <cell r="BJ17" t="str">
            <v xml:space="preserve">______ </v>
          </cell>
          <cell r="BK17" t="str">
            <v xml:space="preserve">______ </v>
          </cell>
          <cell r="BL17" t="str">
            <v xml:space="preserve">______ </v>
          </cell>
          <cell r="BM17" t="str">
            <v xml:space="preserve">______ </v>
          </cell>
          <cell r="BN17" t="str">
            <v xml:space="preserve">______ </v>
          </cell>
          <cell r="BO17" t="str">
            <v xml:space="preserve">______ </v>
          </cell>
          <cell r="BP17" t="str">
            <v xml:space="preserve">______ </v>
          </cell>
          <cell r="BQ17" t="str">
            <v xml:space="preserve">______ </v>
          </cell>
          <cell r="BR17" t="str">
            <v xml:space="preserve">______ </v>
          </cell>
          <cell r="BS17" t="str">
            <v xml:space="preserve">______ </v>
          </cell>
          <cell r="BT17" t="str">
            <v xml:space="preserve">______ </v>
          </cell>
          <cell r="BU17" t="str">
            <v xml:space="preserve">______ </v>
          </cell>
          <cell r="CA17" t="str">
            <v xml:space="preserve">______ </v>
          </cell>
          <cell r="CB17" t="str">
            <v xml:space="preserve">______ </v>
          </cell>
          <cell r="CC17" t="str">
            <v xml:space="preserve">______ </v>
          </cell>
          <cell r="CD17" t="str">
            <v xml:space="preserve">______ </v>
          </cell>
          <cell r="CE17" t="str">
            <v xml:space="preserve">______ </v>
          </cell>
          <cell r="CF17" t="str">
            <v xml:space="preserve">______ </v>
          </cell>
          <cell r="CG17" t="str">
            <v xml:space="preserve">______ </v>
          </cell>
          <cell r="CH17" t="str">
            <v xml:space="preserve">______ </v>
          </cell>
          <cell r="CI17" t="str">
            <v xml:space="preserve">______ </v>
          </cell>
          <cell r="CJ17" t="str">
            <v xml:space="preserve">______ </v>
          </cell>
          <cell r="CK17" t="str">
            <v xml:space="preserve">______ </v>
          </cell>
          <cell r="CL17" t="str">
            <v xml:space="preserve">______ </v>
          </cell>
          <cell r="CM17" t="str">
            <v xml:space="preserve">______ </v>
          </cell>
          <cell r="CN17" t="str">
            <v xml:space="preserve">______ </v>
          </cell>
          <cell r="CO17" t="str">
            <v xml:space="preserve">______ </v>
          </cell>
          <cell r="CP17" t="str">
            <v xml:space="preserve">______ </v>
          </cell>
          <cell r="CQ17" t="str">
            <v xml:space="preserve">______ </v>
          </cell>
          <cell r="CR17" t="str">
            <v xml:space="preserve">______ </v>
          </cell>
          <cell r="CS17" t="str">
            <v xml:space="preserve">______ </v>
          </cell>
          <cell r="CT17" t="str">
            <v xml:space="preserve">______ </v>
          </cell>
          <cell r="CU17" t="str">
            <v xml:space="preserve">______ </v>
          </cell>
          <cell r="CV17" t="str">
            <v xml:space="preserve">______ </v>
          </cell>
          <cell r="CW17" t="str">
            <v xml:space="preserve">______ </v>
          </cell>
        </row>
        <row r="18">
          <cell r="A18" t="str">
            <v>Total MA</v>
          </cell>
          <cell r="C18">
            <v>72.400000000000006</v>
          </cell>
          <cell r="D18">
            <v>62</v>
          </cell>
          <cell r="E18">
            <v>82.7</v>
          </cell>
          <cell r="F18">
            <v>102.3</v>
          </cell>
          <cell r="G18">
            <v>175.1</v>
          </cell>
          <cell r="H18">
            <v>238.8</v>
          </cell>
          <cell r="I18">
            <v>294.5</v>
          </cell>
          <cell r="J18">
            <v>82.1</v>
          </cell>
          <cell r="K18">
            <v>83</v>
          </cell>
          <cell r="L18">
            <v>88.6</v>
          </cell>
          <cell r="M18">
            <v>92.9</v>
          </cell>
          <cell r="N18">
            <v>346.6</v>
          </cell>
          <cell r="O18">
            <v>92.5</v>
          </cell>
          <cell r="P18">
            <v>96.8</v>
          </cell>
          <cell r="Q18">
            <v>100.6</v>
          </cell>
          <cell r="R18">
            <v>107.4</v>
          </cell>
          <cell r="S18">
            <v>397.29999999999995</v>
          </cell>
          <cell r="T18">
            <v>110.6</v>
          </cell>
          <cell r="U18">
            <v>115.89999999999999</v>
          </cell>
          <cell r="V18">
            <v>120.3</v>
          </cell>
          <cell r="W18">
            <v>132.29999999999998</v>
          </cell>
          <cell r="X18">
            <v>479.1</v>
          </cell>
          <cell r="Y18">
            <v>132.5</v>
          </cell>
          <cell r="Z18">
            <v>131.79999999999998</v>
          </cell>
          <cell r="AA18">
            <v>136.60000000000002</v>
          </cell>
          <cell r="AB18">
            <v>149.79999999999998</v>
          </cell>
          <cell r="AC18">
            <v>550.69999999999993</v>
          </cell>
          <cell r="AD18">
            <v>138.69999999999999</v>
          </cell>
          <cell r="AE18">
            <v>140.4</v>
          </cell>
          <cell r="AF18">
            <v>146.5</v>
          </cell>
          <cell r="AG18">
            <v>153.9</v>
          </cell>
          <cell r="AH18">
            <v>579.5</v>
          </cell>
          <cell r="AI18">
            <v>143.4</v>
          </cell>
          <cell r="AJ18">
            <v>151.6</v>
          </cell>
          <cell r="AK18">
            <v>157.4</v>
          </cell>
          <cell r="AL18">
            <v>183.89999999999998</v>
          </cell>
          <cell r="AM18">
            <v>636.29999999999995</v>
          </cell>
          <cell r="AN18">
            <v>167.1</v>
          </cell>
          <cell r="AO18">
            <v>169.79999999999998</v>
          </cell>
          <cell r="AP18">
            <v>182.49999999999997</v>
          </cell>
          <cell r="AQ18">
            <v>203.00000000000006</v>
          </cell>
          <cell r="AR18">
            <v>722.4</v>
          </cell>
          <cell r="AS18">
            <v>197.1</v>
          </cell>
          <cell r="AT18">
            <v>202.50000000000003</v>
          </cell>
          <cell r="AU18">
            <v>218.1</v>
          </cell>
          <cell r="AV18">
            <v>237.60000000000002</v>
          </cell>
          <cell r="AW18">
            <v>855.3</v>
          </cell>
          <cell r="AX18">
            <v>213.4</v>
          </cell>
          <cell r="AY18">
            <v>221.4</v>
          </cell>
          <cell r="AZ18">
            <v>230.39999999999998</v>
          </cell>
          <cell r="BA18">
            <v>259.5</v>
          </cell>
          <cell r="BB18">
            <v>924.7</v>
          </cell>
          <cell r="BC18">
            <v>244.70000000000002</v>
          </cell>
          <cell r="BD18">
            <v>255.1</v>
          </cell>
          <cell r="BE18">
            <v>253.04174999999998</v>
          </cell>
          <cell r="BF18">
            <v>285.51299999999998</v>
          </cell>
          <cell r="BG18">
            <v>1038.35475</v>
          </cell>
          <cell r="BH18">
            <v>268.98875000000004</v>
          </cell>
          <cell r="BI18">
            <v>280.45925</v>
          </cell>
          <cell r="BJ18">
            <v>278.05567562499994</v>
          </cell>
          <cell r="BK18">
            <v>314.29833499999995</v>
          </cell>
          <cell r="BL18">
            <v>1141.8020106249999</v>
          </cell>
          <cell r="BM18">
            <v>295.856870625</v>
          </cell>
          <cell r="BN18">
            <v>308.51157437500001</v>
          </cell>
          <cell r="BO18">
            <v>305.70581953593751</v>
          </cell>
          <cell r="BP18">
            <v>346.16842413749998</v>
          </cell>
          <cell r="BQ18">
            <v>1256.2426886734374</v>
          </cell>
          <cell r="BR18">
            <v>1371.961215624578</v>
          </cell>
          <cell r="BS18">
            <v>1499.0781596793386</v>
          </cell>
          <cell r="BT18">
            <v>1638.7849899338707</v>
          </cell>
          <cell r="BU18">
            <v>1792.403825794999</v>
          </cell>
          <cell r="BZ18" t="str">
            <v>Total MA</v>
          </cell>
          <cell r="CA18">
            <v>72.400000000000006</v>
          </cell>
          <cell r="CB18">
            <v>62</v>
          </cell>
          <cell r="CC18">
            <v>82.7</v>
          </cell>
          <cell r="CD18">
            <v>102.3</v>
          </cell>
          <cell r="CE18">
            <v>175.1</v>
          </cell>
          <cell r="CF18">
            <v>238.8</v>
          </cell>
          <cell r="CG18">
            <v>294.5</v>
          </cell>
          <cell r="CH18">
            <v>346.6</v>
          </cell>
          <cell r="CI18">
            <v>397.29999999999995</v>
          </cell>
          <cell r="CJ18">
            <v>479.1</v>
          </cell>
          <cell r="CK18">
            <v>550.69999999999993</v>
          </cell>
          <cell r="CL18">
            <v>579.5</v>
          </cell>
          <cell r="CM18">
            <v>636.29999999999995</v>
          </cell>
          <cell r="CN18">
            <v>722.4</v>
          </cell>
          <cell r="CO18">
            <v>855.3</v>
          </cell>
          <cell r="CP18">
            <v>924.7</v>
          </cell>
          <cell r="CQ18">
            <v>1038.35475</v>
          </cell>
          <cell r="CR18">
            <v>1141.8020106249999</v>
          </cell>
          <cell r="CS18">
            <v>1256.2426886734374</v>
          </cell>
          <cell r="CT18">
            <v>1371.961215624578</v>
          </cell>
          <cell r="CU18">
            <v>1499.0781596793386</v>
          </cell>
          <cell r="CV18">
            <v>1638.7849899338707</v>
          </cell>
          <cell r="CW18">
            <v>1792.403825794999</v>
          </cell>
          <cell r="CY18">
            <v>1088.0027500000001</v>
          </cell>
        </row>
        <row r="19">
          <cell r="A19" t="str">
            <v xml:space="preserve">Eliminations </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-13.1</v>
          </cell>
          <cell r="U19">
            <v>-13.4</v>
          </cell>
          <cell r="V19">
            <v>-14.2</v>
          </cell>
          <cell r="W19">
            <v>-14.799999999999999</v>
          </cell>
          <cell r="X19">
            <v>-55.5</v>
          </cell>
          <cell r="Y19">
            <v>-16</v>
          </cell>
          <cell r="Z19">
            <v>-15.7</v>
          </cell>
          <cell r="AA19">
            <v>-15.8</v>
          </cell>
          <cell r="AB19">
            <v>-16.100000000000001</v>
          </cell>
          <cell r="AC19">
            <v>-63.6</v>
          </cell>
          <cell r="AD19">
            <v>-14.7</v>
          </cell>
          <cell r="AE19">
            <v>-14.4</v>
          </cell>
          <cell r="AF19">
            <v>-14.5</v>
          </cell>
          <cell r="AG19">
            <v>-16.399999999999999</v>
          </cell>
          <cell r="AH19">
            <v>-60</v>
          </cell>
          <cell r="AI19">
            <v>-17.600000000000001</v>
          </cell>
          <cell r="AJ19">
            <v>-17.899999999999999</v>
          </cell>
          <cell r="AK19">
            <v>-17.8</v>
          </cell>
          <cell r="AL19">
            <v>-17.299999999999994</v>
          </cell>
          <cell r="AM19">
            <v>-70.599999999999994</v>
          </cell>
          <cell r="AN19">
            <v>-18.600000000000001</v>
          </cell>
          <cell r="AO19">
            <v>-18.8</v>
          </cell>
          <cell r="AP19">
            <v>-19.399999999999999</v>
          </cell>
          <cell r="AQ19">
            <v>-19.600000000000001</v>
          </cell>
          <cell r="AR19">
            <v>-76.400000000000006</v>
          </cell>
          <cell r="AS19">
            <v>-20.100000000000001</v>
          </cell>
          <cell r="AT19">
            <v>-20.399999999999999</v>
          </cell>
          <cell r="AU19">
            <v>-20.9</v>
          </cell>
          <cell r="AV19">
            <v>-21.9</v>
          </cell>
          <cell r="AW19">
            <v>-83.3</v>
          </cell>
          <cell r="AX19">
            <v>-21.7</v>
          </cell>
          <cell r="AY19">
            <v>-21.7</v>
          </cell>
          <cell r="AZ19">
            <v>-22.6</v>
          </cell>
          <cell r="BA19">
            <v>-24.199999999999992</v>
          </cell>
          <cell r="BB19">
            <v>-90.199999999999989</v>
          </cell>
          <cell r="BC19">
            <v>-24.8</v>
          </cell>
          <cell r="BD19">
            <v>-25.2</v>
          </cell>
          <cell r="BE19">
            <v>-24.03</v>
          </cell>
          <cell r="BF19">
            <v>-25.719999999999995</v>
          </cell>
          <cell r="BG19">
            <v>-99.75</v>
          </cell>
          <cell r="BH19">
            <v>-26.369999999999997</v>
          </cell>
          <cell r="BI19">
            <v>-26.79</v>
          </cell>
          <cell r="BJ19">
            <v>-25.576500000000003</v>
          </cell>
          <cell r="BK19">
            <v>-27.362499999999994</v>
          </cell>
          <cell r="BL19">
            <v>-106.099</v>
          </cell>
          <cell r="BM19">
            <v>-28.067999999999998</v>
          </cell>
          <cell r="BN19">
            <v>-28.509</v>
          </cell>
          <cell r="BO19">
            <v>-27.252075000000005</v>
          </cell>
          <cell r="BP19">
            <v>-29.140599999999996</v>
          </cell>
          <cell r="BQ19">
            <v>-112.969675</v>
          </cell>
          <cell r="BR19">
            <v>-120.41874250000001</v>
          </cell>
          <cell r="BS19">
            <v>-128.51035093750002</v>
          </cell>
          <cell r="BT19">
            <v>-137.31714049375003</v>
          </cell>
          <cell r="BU19">
            <v>-146.92146032921877</v>
          </cell>
          <cell r="BZ19" t="str">
            <v xml:space="preserve">Eliminations </v>
          </cell>
          <cell r="CA19">
            <v>0</v>
          </cell>
          <cell r="CB19">
            <v>0</v>
          </cell>
          <cell r="CC19">
            <v>0</v>
          </cell>
          <cell r="CD19">
            <v>0</v>
          </cell>
          <cell r="CE19">
            <v>0</v>
          </cell>
          <cell r="CF19">
            <v>0</v>
          </cell>
          <cell r="CG19">
            <v>0</v>
          </cell>
          <cell r="CH19">
            <v>0</v>
          </cell>
          <cell r="CI19">
            <v>0</v>
          </cell>
          <cell r="CJ19">
            <v>-55.5</v>
          </cell>
          <cell r="CK19">
            <v>-63.6</v>
          </cell>
          <cell r="CL19">
            <v>-60</v>
          </cell>
          <cell r="CM19">
            <v>-70.599999999999994</v>
          </cell>
          <cell r="CN19">
            <v>-76.400000000000006</v>
          </cell>
          <cell r="CO19">
            <v>-83.3</v>
          </cell>
          <cell r="CP19">
            <v>-90.199999999999989</v>
          </cell>
          <cell r="CQ19">
            <v>-99.75</v>
          </cell>
          <cell r="CR19">
            <v>-106.099</v>
          </cell>
          <cell r="CS19">
            <v>-112.969675</v>
          </cell>
          <cell r="CT19">
            <v>-120.41874250000001</v>
          </cell>
          <cell r="CU19">
            <v>-128.51035093750002</v>
          </cell>
          <cell r="CV19">
            <v>-137.31714049375003</v>
          </cell>
          <cell r="CW19">
            <v>-146.92146032921877</v>
          </cell>
          <cell r="CY19">
            <v>-102.91</v>
          </cell>
        </row>
        <row r="20">
          <cell r="C20" t="str">
            <v xml:space="preserve">______ </v>
          </cell>
          <cell r="D20" t="str">
            <v xml:space="preserve">______ </v>
          </cell>
          <cell r="E20" t="str">
            <v xml:space="preserve">______ </v>
          </cell>
          <cell r="F20" t="str">
            <v xml:space="preserve">______ </v>
          </cell>
          <cell r="G20" t="str">
            <v xml:space="preserve">______ </v>
          </cell>
          <cell r="H20" t="str">
            <v xml:space="preserve">______ </v>
          </cell>
          <cell r="I20" t="str">
            <v xml:space="preserve">______ </v>
          </cell>
          <cell r="J20" t="str">
            <v xml:space="preserve">______ </v>
          </cell>
          <cell r="K20" t="str">
            <v xml:space="preserve">______ </v>
          </cell>
          <cell r="L20" t="str">
            <v xml:space="preserve">______ </v>
          </cell>
          <cell r="M20" t="str">
            <v xml:space="preserve">______ </v>
          </cell>
          <cell r="N20" t="str">
            <v xml:space="preserve">______ </v>
          </cell>
          <cell r="O20" t="str">
            <v xml:space="preserve">______ </v>
          </cell>
          <cell r="P20" t="str">
            <v xml:space="preserve">______ </v>
          </cell>
          <cell r="Q20" t="str">
            <v xml:space="preserve">______ </v>
          </cell>
          <cell r="R20" t="str">
            <v xml:space="preserve">______ </v>
          </cell>
          <cell r="S20" t="str">
            <v xml:space="preserve">______ </v>
          </cell>
          <cell r="T20" t="str">
            <v xml:space="preserve">______ </v>
          </cell>
          <cell r="U20" t="str">
            <v xml:space="preserve">______ </v>
          </cell>
          <cell r="V20" t="str">
            <v xml:space="preserve">______ </v>
          </cell>
          <cell r="W20" t="str">
            <v xml:space="preserve">______ </v>
          </cell>
          <cell r="X20" t="str">
            <v xml:space="preserve">______ </v>
          </cell>
          <cell r="Y20" t="str">
            <v xml:space="preserve">______ </v>
          </cell>
          <cell r="Z20" t="str">
            <v xml:space="preserve">______ </v>
          </cell>
          <cell r="AA20" t="str">
            <v xml:space="preserve">______ </v>
          </cell>
          <cell r="AB20" t="str">
            <v xml:space="preserve">______ </v>
          </cell>
          <cell r="AC20" t="str">
            <v xml:space="preserve">______ </v>
          </cell>
          <cell r="AD20" t="str">
            <v xml:space="preserve">______ </v>
          </cell>
          <cell r="AE20" t="str">
            <v xml:space="preserve">______ </v>
          </cell>
          <cell r="AF20" t="str">
            <v xml:space="preserve">______ </v>
          </cell>
          <cell r="AG20" t="str">
            <v xml:space="preserve">______ </v>
          </cell>
          <cell r="AH20" t="str">
            <v xml:space="preserve">______ </v>
          </cell>
          <cell r="AI20" t="str">
            <v xml:space="preserve">______ </v>
          </cell>
          <cell r="AJ20" t="str">
            <v xml:space="preserve">______ </v>
          </cell>
          <cell r="AK20" t="str">
            <v xml:space="preserve">______ </v>
          </cell>
          <cell r="AL20" t="str">
            <v xml:space="preserve">______ </v>
          </cell>
          <cell r="AM20" t="str">
            <v xml:space="preserve">______ </v>
          </cell>
          <cell r="AN20" t="str">
            <v xml:space="preserve">______ </v>
          </cell>
          <cell r="AO20" t="str">
            <v xml:space="preserve">______ </v>
          </cell>
          <cell r="AP20" t="str">
            <v xml:space="preserve">______ </v>
          </cell>
          <cell r="AQ20" t="str">
            <v xml:space="preserve">______ </v>
          </cell>
          <cell r="AR20" t="str">
            <v xml:space="preserve">______ </v>
          </cell>
          <cell r="AS20" t="str">
            <v xml:space="preserve">______ </v>
          </cell>
          <cell r="AT20" t="str">
            <v xml:space="preserve">______ </v>
          </cell>
          <cell r="AU20" t="str">
            <v xml:space="preserve">______ </v>
          </cell>
          <cell r="AV20" t="str">
            <v xml:space="preserve">______ </v>
          </cell>
          <cell r="AW20" t="str">
            <v xml:space="preserve">______ </v>
          </cell>
          <cell r="AX20" t="str">
            <v xml:space="preserve">______ </v>
          </cell>
          <cell r="AY20" t="str">
            <v xml:space="preserve">______ </v>
          </cell>
          <cell r="AZ20" t="str">
            <v xml:space="preserve">______ </v>
          </cell>
          <cell r="BA20" t="str">
            <v xml:space="preserve">______ </v>
          </cell>
          <cell r="BB20" t="str">
            <v xml:space="preserve">______ </v>
          </cell>
          <cell r="BC20" t="str">
            <v xml:space="preserve">______ </v>
          </cell>
          <cell r="BD20" t="str">
            <v xml:space="preserve">______ </v>
          </cell>
          <cell r="BE20" t="str">
            <v xml:space="preserve">______ </v>
          </cell>
          <cell r="BF20" t="str">
            <v xml:space="preserve">______ </v>
          </cell>
          <cell r="BG20" t="str">
            <v xml:space="preserve">______ </v>
          </cell>
          <cell r="BH20" t="str">
            <v xml:space="preserve">______ </v>
          </cell>
          <cell r="BI20" t="str">
            <v xml:space="preserve">______ </v>
          </cell>
          <cell r="BJ20" t="str">
            <v xml:space="preserve">______ </v>
          </cell>
          <cell r="BK20" t="str">
            <v xml:space="preserve">______ </v>
          </cell>
          <cell r="BL20" t="str">
            <v xml:space="preserve">______ </v>
          </cell>
          <cell r="BM20" t="str">
            <v xml:space="preserve">______ </v>
          </cell>
          <cell r="BN20" t="str">
            <v xml:space="preserve">______ </v>
          </cell>
          <cell r="BO20" t="str">
            <v xml:space="preserve">______ </v>
          </cell>
          <cell r="BP20" t="str">
            <v xml:space="preserve">______ </v>
          </cell>
          <cell r="BQ20" t="str">
            <v xml:space="preserve">______ </v>
          </cell>
          <cell r="BR20" t="str">
            <v xml:space="preserve">______ </v>
          </cell>
          <cell r="BS20" t="str">
            <v xml:space="preserve">______ </v>
          </cell>
          <cell r="BT20" t="str">
            <v xml:space="preserve">______ </v>
          </cell>
          <cell r="BU20" t="str">
            <v xml:space="preserve">______ </v>
          </cell>
          <cell r="CA20" t="str">
            <v xml:space="preserve">______ </v>
          </cell>
          <cell r="CB20" t="str">
            <v xml:space="preserve">______ </v>
          </cell>
          <cell r="CC20" t="str">
            <v xml:space="preserve">______ </v>
          </cell>
          <cell r="CD20" t="str">
            <v xml:space="preserve">______ </v>
          </cell>
          <cell r="CE20" t="str">
            <v xml:space="preserve">______ </v>
          </cell>
          <cell r="CF20" t="str">
            <v xml:space="preserve">______ </v>
          </cell>
          <cell r="CG20" t="str">
            <v xml:space="preserve">______ </v>
          </cell>
          <cell r="CH20" t="str">
            <v xml:space="preserve">______ </v>
          </cell>
          <cell r="CI20" t="str">
            <v xml:space="preserve">______ </v>
          </cell>
          <cell r="CJ20" t="str">
            <v xml:space="preserve">______ </v>
          </cell>
          <cell r="CK20" t="str">
            <v xml:space="preserve">______ </v>
          </cell>
          <cell r="CL20" t="str">
            <v xml:space="preserve">______ </v>
          </cell>
          <cell r="CM20" t="str">
            <v xml:space="preserve">______ </v>
          </cell>
          <cell r="CN20" t="str">
            <v xml:space="preserve">______ </v>
          </cell>
          <cell r="CO20" t="str">
            <v xml:space="preserve">______ </v>
          </cell>
          <cell r="CP20" t="str">
            <v xml:space="preserve">______ </v>
          </cell>
          <cell r="CQ20" t="str">
            <v xml:space="preserve">______ </v>
          </cell>
          <cell r="CR20" t="str">
            <v xml:space="preserve">______ </v>
          </cell>
          <cell r="CS20" t="str">
            <v xml:space="preserve">______ </v>
          </cell>
          <cell r="CT20" t="str">
            <v xml:space="preserve">______ </v>
          </cell>
          <cell r="CU20" t="str">
            <v xml:space="preserve">______ </v>
          </cell>
          <cell r="CV20" t="str">
            <v xml:space="preserve">______ </v>
          </cell>
          <cell r="CW20" t="str">
            <v xml:space="preserve">______ </v>
          </cell>
          <cell r="CY20" t="str">
            <v xml:space="preserve">______ </v>
          </cell>
        </row>
        <row r="21">
          <cell r="A21" t="str">
            <v xml:space="preserve"> Revenues, net </v>
          </cell>
          <cell r="C21">
            <v>513.90000000000009</v>
          </cell>
          <cell r="D21">
            <v>564.20000000000005</v>
          </cell>
          <cell r="E21">
            <v>602.30000000000007</v>
          </cell>
          <cell r="F21">
            <v>796.7</v>
          </cell>
          <cell r="G21">
            <v>1023.3000000000001</v>
          </cell>
          <cell r="H21">
            <v>1246.6000000000001</v>
          </cell>
          <cell r="I21">
            <v>1438.3000000000002</v>
          </cell>
          <cell r="J21">
            <v>390.5</v>
          </cell>
          <cell r="K21">
            <v>446.8</v>
          </cell>
          <cell r="L21">
            <v>421.09999999999991</v>
          </cell>
          <cell r="M21">
            <v>473.19999999999993</v>
          </cell>
          <cell r="N21">
            <v>1731.6</v>
          </cell>
          <cell r="O21">
            <v>440.20000000000005</v>
          </cell>
          <cell r="P21">
            <v>511.4</v>
          </cell>
          <cell r="Q21">
            <v>495.5</v>
          </cell>
          <cell r="R21">
            <v>590</v>
          </cell>
          <cell r="S21">
            <v>2037.1</v>
          </cell>
          <cell r="T21">
            <v>583</v>
          </cell>
          <cell r="U21">
            <v>646.09999999999991</v>
          </cell>
          <cell r="V21">
            <v>525</v>
          </cell>
          <cell r="W21">
            <v>504.90000000000003</v>
          </cell>
          <cell r="X21">
            <v>2259</v>
          </cell>
          <cell r="Y21">
            <v>430.7</v>
          </cell>
          <cell r="Z21">
            <v>487.59999999999997</v>
          </cell>
          <cell r="AA21">
            <v>433.40000000000003</v>
          </cell>
          <cell r="AB21">
            <v>403.7</v>
          </cell>
          <cell r="AC21">
            <v>1755.3999999999999</v>
          </cell>
          <cell r="AD21">
            <v>408.9</v>
          </cell>
          <cell r="AE21">
            <v>450.69999999999993</v>
          </cell>
          <cell r="AF21">
            <v>451.8</v>
          </cell>
          <cell r="AG21">
            <v>485.79999999999995</v>
          </cell>
          <cell r="AH21">
            <v>1797.2</v>
          </cell>
          <cell r="AI21">
            <v>476.6</v>
          </cell>
          <cell r="AJ21">
            <v>477.8</v>
          </cell>
          <cell r="AK21">
            <v>513.30000000000007</v>
          </cell>
          <cell r="AL21">
            <v>564.30000000000007</v>
          </cell>
          <cell r="AM21">
            <v>2032</v>
          </cell>
          <cell r="AN21">
            <v>577.1</v>
          </cell>
          <cell r="AO21">
            <v>605.19999999999993</v>
          </cell>
          <cell r="AP21">
            <v>531.29999999999995</v>
          </cell>
          <cell r="AQ21">
            <v>567.10000000000014</v>
          </cell>
          <cell r="AR21">
            <v>2280.6999999999998</v>
          </cell>
          <cell r="AS21">
            <v>646.80000000000007</v>
          </cell>
          <cell r="AT21">
            <v>640.79999999999995</v>
          </cell>
          <cell r="AU21">
            <v>688.5</v>
          </cell>
          <cell r="AV21">
            <v>754.20000000000016</v>
          </cell>
          <cell r="AW21">
            <v>2730.3</v>
          </cell>
          <cell r="AX21">
            <v>731.80000000000007</v>
          </cell>
          <cell r="AY21">
            <v>756</v>
          </cell>
          <cell r="AZ21">
            <v>705.5</v>
          </cell>
          <cell r="BA21">
            <v>779.2</v>
          </cell>
          <cell r="BB21">
            <v>2972.5</v>
          </cell>
          <cell r="BC21">
            <v>767.2</v>
          </cell>
          <cell r="BD21">
            <v>873.5</v>
          </cell>
          <cell r="BE21">
            <v>715.22181999999998</v>
          </cell>
          <cell r="BF21">
            <v>792.82377905454553</v>
          </cell>
          <cell r="BG21">
            <v>3148.7455990545454</v>
          </cell>
          <cell r="BH21">
            <v>778.45364669600008</v>
          </cell>
          <cell r="BI21">
            <v>879.82848975399997</v>
          </cell>
          <cell r="BJ21">
            <v>747.72179732899986</v>
          </cell>
          <cell r="BK21">
            <v>829.50365841521216</v>
          </cell>
          <cell r="BL21">
            <v>3235.5075921942125</v>
          </cell>
          <cell r="BM21">
            <v>813.19984006897994</v>
          </cell>
          <cell r="BN21">
            <v>916.63876133956012</v>
          </cell>
          <cell r="BO21">
            <v>782.84808442624762</v>
          </cell>
          <cell r="BP21">
            <v>869.25971348865232</v>
          </cell>
          <cell r="BQ21">
            <v>3381.9463993234394</v>
          </cell>
          <cell r="BR21">
            <v>3516.0680303658892</v>
          </cell>
          <cell r="BS21">
            <v>3661.3791846873028</v>
          </cell>
          <cell r="BT21">
            <v>3819.0124500460706</v>
          </cell>
          <cell r="BU21">
            <v>3990.221967569601</v>
          </cell>
          <cell r="BV21">
            <v>8.1981191980152968E-2</v>
          </cell>
          <cell r="BZ21" t="str">
            <v xml:space="preserve"> Revenues, net </v>
          </cell>
          <cell r="CA21">
            <v>513.90000000000009</v>
          </cell>
          <cell r="CB21">
            <v>564.20000000000005</v>
          </cell>
          <cell r="CC21">
            <v>602.30000000000007</v>
          </cell>
          <cell r="CD21">
            <v>796.7</v>
          </cell>
          <cell r="CE21">
            <v>1023.3000000000001</v>
          </cell>
          <cell r="CF21">
            <v>1246.6000000000001</v>
          </cell>
          <cell r="CG21">
            <v>1438.3000000000002</v>
          </cell>
          <cell r="CH21">
            <v>1731.6</v>
          </cell>
          <cell r="CI21">
            <v>2037.1</v>
          </cell>
          <cell r="CJ21">
            <v>2259</v>
          </cell>
          <cell r="CK21">
            <v>1755.3999999999999</v>
          </cell>
          <cell r="CL21">
            <v>1797.2</v>
          </cell>
          <cell r="CM21">
            <v>2032</v>
          </cell>
          <cell r="CN21">
            <v>2280.6999999999998</v>
          </cell>
          <cell r="CO21">
            <v>2730.3</v>
          </cell>
          <cell r="CP21">
            <v>2972.5</v>
          </cell>
          <cell r="CQ21">
            <v>3148.7455990545454</v>
          </cell>
          <cell r="CR21">
            <v>3235.5075921942125</v>
          </cell>
          <cell r="CS21">
            <v>3381.9463993234394</v>
          </cell>
          <cell r="CT21">
            <v>3516.0680303658892</v>
          </cell>
          <cell r="CU21">
            <v>3661.3791846873028</v>
          </cell>
          <cell r="CV21">
            <v>3819.0124500460706</v>
          </cell>
          <cell r="CW21">
            <v>3990.221967569601</v>
          </cell>
          <cell r="CY21">
            <v>3166.3277355045457</v>
          </cell>
          <cell r="DA21" t="str">
            <v>mstag:revenueNet</v>
          </cell>
          <cell r="DB21">
            <v>6</v>
          </cell>
          <cell r="DC21" t="str">
            <v>ISO4217:USD</v>
          </cell>
          <cell r="DD21" t="b">
            <v>0</v>
          </cell>
        </row>
        <row r="22">
          <cell r="A22" t="str">
            <v>Annual Growth</v>
          </cell>
          <cell r="D22">
            <v>9.7878964779139821E-2</v>
          </cell>
          <cell r="E22">
            <v>6.7529244948599798E-2</v>
          </cell>
          <cell r="F22">
            <v>0.32276274281919304</v>
          </cell>
          <cell r="G22">
            <v>0.28442324588929324</v>
          </cell>
          <cell r="H22">
            <v>0.21821557705462724</v>
          </cell>
          <cell r="I22">
            <v>0.15377827691320389</v>
          </cell>
          <cell r="J22" t="str">
            <v>NM</v>
          </cell>
          <cell r="K22" t="str">
            <v>NM</v>
          </cell>
          <cell r="L22" t="str">
            <v>NM</v>
          </cell>
          <cell r="M22" t="str">
            <v>NM</v>
          </cell>
          <cell r="N22">
            <v>0.20392129597441411</v>
          </cell>
          <cell r="O22">
            <v>0.12727272727272743</v>
          </cell>
          <cell r="P22">
            <v>0.14458370635631157</v>
          </cell>
          <cell r="Q22">
            <v>0.17668012348610818</v>
          </cell>
          <cell r="R22">
            <v>0.24683009298393932</v>
          </cell>
          <cell r="S22">
            <v>0.17642642642642636</v>
          </cell>
          <cell r="T22">
            <v>0.32439800090867776</v>
          </cell>
          <cell r="U22">
            <v>0.2633946030504497</v>
          </cell>
          <cell r="V22">
            <v>5.953582240161448E-2</v>
          </cell>
          <cell r="W22">
            <v>-0.14423728813559311</v>
          </cell>
          <cell r="X22">
            <v>0.10892936036522505</v>
          </cell>
          <cell r="Y22">
            <v>-0.26123499142367068</v>
          </cell>
          <cell r="Z22">
            <v>-0.24531806221947061</v>
          </cell>
          <cell r="AA22">
            <v>-0.17447619047619045</v>
          </cell>
          <cell r="AB22">
            <v>-0.20043572984749458</v>
          </cell>
          <cell r="AC22">
            <v>-0.22293050022133698</v>
          </cell>
          <cell r="AD22">
            <v>-5.0615277455305363E-2</v>
          </cell>
          <cell r="AE22">
            <v>-7.5676784249384843E-2</v>
          </cell>
          <cell r="AF22">
            <v>4.2455006922011984E-2</v>
          </cell>
          <cell r="AG22">
            <v>0.20336883824622243</v>
          </cell>
          <cell r="AH22">
            <v>2.3812236527287256E-2</v>
          </cell>
          <cell r="AI22">
            <v>0.16556615309366607</v>
          </cell>
          <cell r="AJ22">
            <v>6.0128688706456712E-2</v>
          </cell>
          <cell r="AK22">
            <v>0.13612217795484738</v>
          </cell>
          <cell r="AL22">
            <v>0.16158913132976549</v>
          </cell>
          <cell r="AM22">
            <v>0.13064767415980416</v>
          </cell>
          <cell r="AN22">
            <v>0.2108686529584558</v>
          </cell>
          <cell r="AO22">
            <v>0.26663876098786088</v>
          </cell>
          <cell r="AP22">
            <v>3.5067212156633332E-2</v>
          </cell>
          <cell r="AQ22">
            <v>4.961899698741945E-3</v>
          </cell>
          <cell r="AR22">
            <v>0.12239173228346445</v>
          </cell>
          <cell r="AS22">
            <v>0.12077629526945088</v>
          </cell>
          <cell r="AT22">
            <v>5.8823529411764719E-2</v>
          </cell>
          <cell r="AU22">
            <v>0.29587803500846999</v>
          </cell>
          <cell r="AV22">
            <v>0.32992417563040033</v>
          </cell>
          <cell r="AW22">
            <v>0.1971324593326611</v>
          </cell>
          <cell r="AX22">
            <v>0.13141620284477429</v>
          </cell>
          <cell r="AY22">
            <v>0.1797752808988764</v>
          </cell>
          <cell r="AZ22">
            <v>2.4691358024691468E-2</v>
          </cell>
          <cell r="BA22">
            <v>3.3147706178732195E-2</v>
          </cell>
          <cell r="BB22">
            <v>8.8708200564040496E-2</v>
          </cell>
          <cell r="BC22">
            <v>4.8373872642798466E-2</v>
          </cell>
          <cell r="BD22">
            <v>0.15542328042328046</v>
          </cell>
          <cell r="BE22">
            <v>1.378004252303322E-2</v>
          </cell>
          <cell r="BF22">
            <v>1.7484316035094372E-2</v>
          </cell>
          <cell r="BG22">
            <v>5.9292043416163231E-2</v>
          </cell>
          <cell r="BH22">
            <v>1.4668465453597568E-2</v>
          </cell>
          <cell r="BI22">
            <v>7.2449796840297065E-3</v>
          </cell>
          <cell r="BJ22">
            <v>4.5440416413749629E-2</v>
          </cell>
          <cell r="BK22">
            <v>4.6264857752384758E-2</v>
          </cell>
          <cell r="BL22">
            <v>2.7554462693244686E-2</v>
          </cell>
          <cell r="BM22">
            <v>4.4634890619953405E-2</v>
          </cell>
          <cell r="BN22">
            <v>4.1838008218911371E-2</v>
          </cell>
          <cell r="BO22">
            <v>4.6977749241396083E-2</v>
          </cell>
          <cell r="BP22">
            <v>4.792752228410313E-2</v>
          </cell>
          <cell r="BQ22">
            <v>4.5259917634721702E-2</v>
          </cell>
          <cell r="BR22">
            <v>3.9658118493327121E-2</v>
          </cell>
          <cell r="BS22">
            <v>4.1327742542652812E-2</v>
          </cell>
          <cell r="BT22">
            <v>4.3052974687250334E-2</v>
          </cell>
          <cell r="BU22">
            <v>4.4830835134215041E-2</v>
          </cell>
          <cell r="BZ22" t="str">
            <v>Annual Growth</v>
          </cell>
          <cell r="CA22">
            <v>0</v>
          </cell>
          <cell r="CB22">
            <v>9.7878964779139821E-2</v>
          </cell>
          <cell r="CC22">
            <v>6.7529244948599798E-2</v>
          </cell>
          <cell r="CD22">
            <v>0.32276274281919304</v>
          </cell>
          <cell r="CE22">
            <v>0.28442324588929324</v>
          </cell>
          <cell r="CF22">
            <v>0.21821557705462724</v>
          </cell>
          <cell r="CG22">
            <v>0.15377827691320389</v>
          </cell>
          <cell r="CH22">
            <v>0.20392129597441411</v>
          </cell>
          <cell r="CI22">
            <v>0.17642642642642636</v>
          </cell>
          <cell r="CJ22">
            <v>0.10892936036522505</v>
          </cell>
          <cell r="CK22">
            <v>-0.22293050022133698</v>
          </cell>
          <cell r="CL22">
            <v>2.3812236527287256E-2</v>
          </cell>
          <cell r="CM22">
            <v>0.13064767415980416</v>
          </cell>
          <cell r="CN22">
            <v>0.12239173228346445</v>
          </cell>
          <cell r="CO22">
            <v>0.1971324593326611</v>
          </cell>
          <cell r="CP22">
            <v>8.8708200564040496E-2</v>
          </cell>
          <cell r="CQ22">
            <v>5.9292043416163231E-2</v>
          </cell>
          <cell r="CR22">
            <v>2.7554462693244686E-2</v>
          </cell>
          <cell r="CS22">
            <v>4.5259917634721702E-2</v>
          </cell>
          <cell r="CT22">
            <v>3.9658118493327121E-2</v>
          </cell>
          <cell r="CU22">
            <v>4.1327742542652812E-2</v>
          </cell>
          <cell r="CV22">
            <v>4.3052974687250334E-2</v>
          </cell>
          <cell r="CW22">
            <v>4.4830835134215041E-2</v>
          </cell>
        </row>
        <row r="24">
          <cell r="A24" t="str">
            <v>Total Operating &amp; SG&amp;A</v>
          </cell>
          <cell r="C24">
            <v>273</v>
          </cell>
          <cell r="D24">
            <v>280.8</v>
          </cell>
          <cell r="E24">
            <v>297.2</v>
          </cell>
          <cell r="F24">
            <v>381.2</v>
          </cell>
          <cell r="G24">
            <v>460.6</v>
          </cell>
          <cell r="H24">
            <v>550.9</v>
          </cell>
          <cell r="I24">
            <v>617.79999999999995</v>
          </cell>
          <cell r="J24">
            <v>169.4</v>
          </cell>
          <cell r="K24">
            <v>185.3</v>
          </cell>
          <cell r="L24">
            <v>180.4</v>
          </cell>
          <cell r="M24">
            <v>221.7</v>
          </cell>
          <cell r="N24">
            <v>756.8</v>
          </cell>
          <cell r="O24">
            <v>192.5</v>
          </cell>
          <cell r="P24">
            <v>213</v>
          </cell>
          <cell r="Q24">
            <v>216.9</v>
          </cell>
          <cell r="R24">
            <v>276.3</v>
          </cell>
          <cell r="S24">
            <v>898.7</v>
          </cell>
          <cell r="T24">
            <v>268</v>
          </cell>
          <cell r="U24">
            <v>273.3</v>
          </cell>
          <cell r="V24">
            <v>262.90000000000003</v>
          </cell>
          <cell r="W24">
            <v>230.89999999999998</v>
          </cell>
          <cell r="X24">
            <v>1035.0999999999999</v>
          </cell>
          <cell r="Y24">
            <v>219.60000000000002</v>
          </cell>
          <cell r="Z24">
            <v>237.3</v>
          </cell>
          <cell r="AA24">
            <v>230.79999999999998</v>
          </cell>
          <cell r="AB24">
            <v>246.9</v>
          </cell>
          <cell r="AC24">
            <v>934.6</v>
          </cell>
          <cell r="AD24">
            <v>232.60000000000002</v>
          </cell>
          <cell r="AE24">
            <v>244.70000000000002</v>
          </cell>
          <cell r="AF24">
            <v>259.39999999999998</v>
          </cell>
          <cell r="AG24">
            <v>291.40000000000003</v>
          </cell>
          <cell r="AH24">
            <v>1028.1000000000001</v>
          </cell>
          <cell r="AI24">
            <v>264.7</v>
          </cell>
          <cell r="AJ24">
            <v>271.80000000000007</v>
          </cell>
          <cell r="AK24">
            <v>305.90000000000003</v>
          </cell>
          <cell r="AL24">
            <v>350.40000000000003</v>
          </cell>
          <cell r="AM24">
            <v>1192.8000000000002</v>
          </cell>
          <cell r="AN24">
            <v>309.29999999999995</v>
          </cell>
          <cell r="AO24">
            <v>313.39999999999998</v>
          </cell>
          <cell r="AP24">
            <v>316</v>
          </cell>
          <cell r="AQ24">
            <v>374.4</v>
          </cell>
          <cell r="AR24">
            <v>1313.1</v>
          </cell>
          <cell r="AS24">
            <v>354.29999999999995</v>
          </cell>
          <cell r="AT24">
            <v>340.20000000000005</v>
          </cell>
          <cell r="AU24">
            <v>394.70000000000005</v>
          </cell>
          <cell r="AV24">
            <v>458</v>
          </cell>
          <cell r="AW24">
            <v>1547.2</v>
          </cell>
          <cell r="AX24">
            <v>380.32537313432834</v>
          </cell>
          <cell r="AY24">
            <v>382.09999999999997</v>
          </cell>
          <cell r="AZ24">
            <v>390.59999999999997</v>
          </cell>
          <cell r="BA24">
            <v>444.00000000000006</v>
          </cell>
          <cell r="BB24">
            <v>1597.0253731343282</v>
          </cell>
          <cell r="BC24">
            <v>411.09999999999997</v>
          </cell>
          <cell r="BD24">
            <v>439.5</v>
          </cell>
          <cell r="BE24">
            <v>406.0185808</v>
          </cell>
          <cell r="BF24">
            <v>451.88393573672732</v>
          </cell>
          <cell r="BG24">
            <v>1708.5025165367274</v>
          </cell>
          <cell r="BH24">
            <v>440.08257188104005</v>
          </cell>
          <cell r="BI24">
            <v>492.61613897945989</v>
          </cell>
          <cell r="BJ24">
            <v>427.85858675870998</v>
          </cell>
          <cell r="BK24">
            <v>476.73387140345386</v>
          </cell>
          <cell r="BL24">
            <v>1837.2911690226636</v>
          </cell>
          <cell r="BM24">
            <v>463.4428829613002</v>
          </cell>
          <cell r="BN24">
            <v>517.29450498888446</v>
          </cell>
          <cell r="BO24">
            <v>451.62616275449255</v>
          </cell>
          <cell r="BP24">
            <v>503.84869127828955</v>
          </cell>
          <cell r="BQ24">
            <v>1936.2122419829668</v>
          </cell>
          <cell r="BR24">
            <v>2010.9629481273432</v>
          </cell>
          <cell r="BS24">
            <v>2092.3895729564683</v>
          </cell>
          <cell r="BT24">
            <v>2181.1337923149422</v>
          </cell>
          <cell r="BU24">
            <v>2277.900176096286</v>
          </cell>
          <cell r="BZ24" t="str">
            <v>Total Operating &amp; SG&amp;A</v>
          </cell>
          <cell r="CA24">
            <v>273</v>
          </cell>
          <cell r="CB24">
            <v>280.8</v>
          </cell>
          <cell r="CC24">
            <v>297.2</v>
          </cell>
          <cell r="CD24">
            <v>381.2</v>
          </cell>
          <cell r="CE24">
            <v>460.6</v>
          </cell>
          <cell r="CF24">
            <v>550.9</v>
          </cell>
          <cell r="CG24">
            <v>617.79999999999995</v>
          </cell>
          <cell r="CH24">
            <v>756.8</v>
          </cell>
          <cell r="CI24">
            <v>898.7</v>
          </cell>
          <cell r="CJ24">
            <v>1035.0999999999999</v>
          </cell>
          <cell r="CK24">
            <v>934.6</v>
          </cell>
          <cell r="CL24">
            <v>1028.1000000000001</v>
          </cell>
          <cell r="CM24">
            <v>1192.8000000000002</v>
          </cell>
          <cell r="CN24">
            <v>1313.1</v>
          </cell>
          <cell r="CO24">
            <v>1547.2</v>
          </cell>
          <cell r="CP24">
            <v>1597.0253731343282</v>
          </cell>
          <cell r="CQ24">
            <v>1708.5025165367274</v>
          </cell>
          <cell r="CR24">
            <v>1837.2911690226636</v>
          </cell>
          <cell r="CS24">
            <v>1936.2122419829668</v>
          </cell>
          <cell r="CT24">
            <v>2010.9629481273432</v>
          </cell>
          <cell r="CU24">
            <v>2092.3895729564683</v>
          </cell>
          <cell r="CV24">
            <v>2181.1337923149422</v>
          </cell>
          <cell r="CW24">
            <v>2277.900176096286</v>
          </cell>
          <cell r="CY24">
            <v>1790.6012273972271</v>
          </cell>
          <cell r="DA24" t="str">
            <v>mstag:sellingGeneralAndAdministrativeExpenses</v>
          </cell>
          <cell r="DB24">
            <v>6</v>
          </cell>
          <cell r="DC24" t="str">
            <v>ISO4217:USD</v>
          </cell>
          <cell r="DD24" t="b">
            <v>0</v>
          </cell>
        </row>
        <row r="25">
          <cell r="A25" t="str">
            <v>% of Total Revenue</v>
          </cell>
          <cell r="C25">
            <v>0.53123175715119664</v>
          </cell>
          <cell r="D25">
            <v>0.49769585253456217</v>
          </cell>
          <cell r="E25">
            <v>0.49344180640876634</v>
          </cell>
          <cell r="F25">
            <v>0.47847370402912009</v>
          </cell>
          <cell r="G25">
            <v>0.45011238151079841</v>
          </cell>
          <cell r="H25">
            <v>0.44192202791593127</v>
          </cell>
          <cell r="I25">
            <v>0.42953486755197101</v>
          </cell>
          <cell r="J25">
            <v>0.43380281690140848</v>
          </cell>
          <cell r="K25">
            <v>0.41472694717994629</v>
          </cell>
          <cell r="L25">
            <v>0.42840180479696044</v>
          </cell>
          <cell r="M25">
            <v>0.4685122569737955</v>
          </cell>
          <cell r="N25">
            <v>0.43705243705243707</v>
          </cell>
          <cell r="O25">
            <v>0.43730122671512944</v>
          </cell>
          <cell r="P25">
            <v>0.4165037152913571</v>
          </cell>
          <cell r="Q25">
            <v>0.4377396569122099</v>
          </cell>
          <cell r="R25">
            <v>0.46830508474576271</v>
          </cell>
          <cell r="S25">
            <v>0.44116636394875069</v>
          </cell>
          <cell r="T25">
            <v>0.45969125214408235</v>
          </cell>
          <cell r="U25">
            <v>0.42299953567559206</v>
          </cell>
          <cell r="V25">
            <v>0.50076190476190485</v>
          </cell>
          <cell r="W25">
            <v>0.45731828084769255</v>
          </cell>
          <cell r="X25">
            <v>0.45821159805223544</v>
          </cell>
          <cell r="Y25">
            <v>0.50986765730206651</v>
          </cell>
          <cell r="Z25">
            <v>0.48666940114848239</v>
          </cell>
          <cell r="AA25">
            <v>0.53253345639132432</v>
          </cell>
          <cell r="AB25">
            <v>0.61159276690611841</v>
          </cell>
          <cell r="AC25">
            <v>0.53241426455508722</v>
          </cell>
          <cell r="AD25">
            <v>0.56884323795549041</v>
          </cell>
          <cell r="AE25">
            <v>0.54293321499889069</v>
          </cell>
          <cell r="AF25">
            <v>0.57414785303231508</v>
          </cell>
          <cell r="AG25">
            <v>0.59983532317826282</v>
          </cell>
          <cell r="AH25">
            <v>0.57205653238370802</v>
          </cell>
          <cell r="AI25">
            <v>0.55539236256819136</v>
          </cell>
          <cell r="AJ25">
            <v>0.56885726245290935</v>
          </cell>
          <cell r="AK25">
            <v>0.59594778881745569</v>
          </cell>
          <cell r="AL25">
            <v>0.62094630515683147</v>
          </cell>
          <cell r="AM25">
            <v>0.58700787401574817</v>
          </cell>
          <cell r="AN25">
            <v>0.53595564027031706</v>
          </cell>
          <cell r="AO25">
            <v>0.5178453403833444</v>
          </cell>
          <cell r="AP25">
            <v>0.59476755128929049</v>
          </cell>
          <cell r="AQ25">
            <v>0.66020102274731063</v>
          </cell>
          <cell r="AR25">
            <v>0.57574428903406849</v>
          </cell>
          <cell r="AS25">
            <v>0.54777365491651198</v>
          </cell>
          <cell r="AT25">
            <v>0.53089887640449451</v>
          </cell>
          <cell r="AU25">
            <v>0.57327523602033414</v>
          </cell>
          <cell r="AV25">
            <v>0.60726597719437803</v>
          </cell>
          <cell r="AW25">
            <v>0.56667765447020468</v>
          </cell>
          <cell r="AX25">
            <v>0.51971217974081485</v>
          </cell>
          <cell r="AY25">
            <v>0.50542328042328033</v>
          </cell>
          <cell r="AZ25">
            <v>0.55364989369241668</v>
          </cell>
          <cell r="BA25">
            <v>0.56981519507186862</v>
          </cell>
          <cell r="BB25">
            <v>0.53726673612593046</v>
          </cell>
          <cell r="BC25">
            <v>0.53584462982273195</v>
          </cell>
          <cell r="BD25">
            <v>0.50314825414997133</v>
          </cell>
          <cell r="BE25">
            <v>0.56768203855972965</v>
          </cell>
          <cell r="BF25">
            <v>0.56996768724016555</v>
          </cell>
          <cell r="BG25">
            <v>0.54259782595638373</v>
          </cell>
          <cell r="BH25">
            <v>0.56532919300832829</v>
          </cell>
          <cell r="BI25">
            <v>0.55990019045325001</v>
          </cell>
          <cell r="BJ25">
            <v>0.5722162818940143</v>
          </cell>
          <cell r="BK25">
            <v>0.57472184307693841</v>
          </cell>
          <cell r="BL25">
            <v>0.56785252906072592</v>
          </cell>
          <cell r="BM25">
            <v>0.56990036166508407</v>
          </cell>
          <cell r="BN25">
            <v>0.56433845785979986</v>
          </cell>
          <cell r="BO25">
            <v>0.57690140876501106</v>
          </cell>
          <cell r="BP25">
            <v>0.57962963595329098</v>
          </cell>
          <cell r="BQ25">
            <v>0.57251417183025355</v>
          </cell>
          <cell r="BR25">
            <v>0.57193516472378336</v>
          </cell>
          <cell r="BS25">
            <v>0.57147579297640194</v>
          </cell>
          <cell r="BT25">
            <v>0.57112508033029064</v>
          </cell>
          <cell r="BU25">
            <v>0.57087054169162654</v>
          </cell>
          <cell r="BZ25" t="str">
            <v>% of Total Revenue</v>
          </cell>
          <cell r="CA25">
            <v>0.53123175715119664</v>
          </cell>
          <cell r="CB25">
            <v>0.49769585253456217</v>
          </cell>
          <cell r="CC25">
            <v>0.49344180640876634</v>
          </cell>
          <cell r="CD25">
            <v>0.47847370402912009</v>
          </cell>
          <cell r="CE25">
            <v>0.45011238151079841</v>
          </cell>
          <cell r="CF25">
            <v>0.44192202791593127</v>
          </cell>
          <cell r="CG25">
            <v>0.42953486755197101</v>
          </cell>
          <cell r="CH25">
            <v>0.43705243705243707</v>
          </cell>
          <cell r="CI25">
            <v>0.44116636394875069</v>
          </cell>
          <cell r="CJ25">
            <v>0.45821159805223544</v>
          </cell>
          <cell r="CK25">
            <v>0.53241426455508722</v>
          </cell>
          <cell r="CL25">
            <v>0.57205653238370802</v>
          </cell>
          <cell r="CM25">
            <v>0.58700787401574817</v>
          </cell>
          <cell r="CN25">
            <v>0.57574428903406849</v>
          </cell>
          <cell r="CO25">
            <v>0.56667765447020468</v>
          </cell>
          <cell r="CP25">
            <v>0.53726673612593046</v>
          </cell>
          <cell r="CQ25">
            <v>0.54259782595638373</v>
          </cell>
          <cell r="CR25">
            <v>0.56785252906072592</v>
          </cell>
          <cell r="CS25">
            <v>0.57251417183025355</v>
          </cell>
          <cell r="CT25">
            <v>0.57193516472378336</v>
          </cell>
          <cell r="CU25">
            <v>0.57147579297640194</v>
          </cell>
          <cell r="CV25">
            <v>0.57112508033029064</v>
          </cell>
          <cell r="CW25">
            <v>0.57087054169162654</v>
          </cell>
          <cell r="CY25">
            <v>0.56551354659813813</v>
          </cell>
        </row>
        <row r="27">
          <cell r="A27" t="str">
            <v>EBITDA</v>
          </cell>
          <cell r="C27">
            <v>240.90000000000009</v>
          </cell>
          <cell r="D27">
            <v>283.40000000000003</v>
          </cell>
          <cell r="E27">
            <v>305.10000000000008</v>
          </cell>
          <cell r="F27">
            <v>415.50000000000006</v>
          </cell>
          <cell r="G27">
            <v>562.70000000000005</v>
          </cell>
          <cell r="H27">
            <v>695.70000000000016</v>
          </cell>
          <cell r="I27">
            <v>820.50000000000023</v>
          </cell>
          <cell r="J27">
            <v>221.1</v>
          </cell>
          <cell r="K27">
            <v>261.5</v>
          </cell>
          <cell r="L27">
            <v>240.6999999999999</v>
          </cell>
          <cell r="M27">
            <v>251.49999999999994</v>
          </cell>
          <cell r="N27">
            <v>974.8</v>
          </cell>
          <cell r="O27">
            <v>247.70000000000005</v>
          </cell>
          <cell r="P27">
            <v>298.39999999999998</v>
          </cell>
          <cell r="Q27">
            <v>278.60000000000002</v>
          </cell>
          <cell r="R27">
            <v>313.7</v>
          </cell>
          <cell r="S27">
            <v>1138.3999999999999</v>
          </cell>
          <cell r="T27">
            <v>315</v>
          </cell>
          <cell r="U27">
            <v>372.7999999999999</v>
          </cell>
          <cell r="V27">
            <v>262.09999999999997</v>
          </cell>
          <cell r="W27">
            <v>274.00000000000006</v>
          </cell>
          <cell r="X27">
            <v>1223.9000000000001</v>
          </cell>
          <cell r="Y27">
            <v>211.09999999999997</v>
          </cell>
          <cell r="Z27">
            <v>250.29999999999995</v>
          </cell>
          <cell r="AA27">
            <v>202.60000000000005</v>
          </cell>
          <cell r="AB27">
            <v>156.79999999999998</v>
          </cell>
          <cell r="AC27">
            <v>820.79999999999984</v>
          </cell>
          <cell r="AD27">
            <v>176.29999999999995</v>
          </cell>
          <cell r="AE27">
            <v>205.99999999999991</v>
          </cell>
          <cell r="AF27">
            <v>192.40000000000003</v>
          </cell>
          <cell r="AG27">
            <v>194.39999999999992</v>
          </cell>
          <cell r="AH27">
            <v>769.09999999999991</v>
          </cell>
          <cell r="AI27">
            <v>211.90000000000003</v>
          </cell>
          <cell r="AJ27">
            <v>205.99999999999994</v>
          </cell>
          <cell r="AK27">
            <v>207.40000000000003</v>
          </cell>
          <cell r="AL27">
            <v>213.90000000000003</v>
          </cell>
          <cell r="AM27">
            <v>839.19999999999982</v>
          </cell>
          <cell r="AN27">
            <v>267.80000000000007</v>
          </cell>
          <cell r="AO27">
            <v>291.79999999999995</v>
          </cell>
          <cell r="AP27">
            <v>215.29999999999995</v>
          </cell>
          <cell r="AQ27">
            <v>192.70000000000016</v>
          </cell>
          <cell r="AR27">
            <v>967.59999999999991</v>
          </cell>
          <cell r="AS27">
            <v>292.50000000000011</v>
          </cell>
          <cell r="AT27">
            <v>300.59999999999991</v>
          </cell>
          <cell r="AU27">
            <v>293.79999999999995</v>
          </cell>
          <cell r="AV27">
            <v>296.20000000000016</v>
          </cell>
          <cell r="AW27">
            <v>1183.1000000000001</v>
          </cell>
          <cell r="AX27">
            <v>351.47462686567172</v>
          </cell>
          <cell r="AY27">
            <v>373.90000000000003</v>
          </cell>
          <cell r="AZ27">
            <v>314.90000000000003</v>
          </cell>
          <cell r="BA27">
            <v>335.2</v>
          </cell>
          <cell r="BB27">
            <v>1375.4746268656718</v>
          </cell>
          <cell r="BC27">
            <v>356.10000000000008</v>
          </cell>
          <cell r="BD27">
            <v>434</v>
          </cell>
          <cell r="BE27">
            <v>309.20323919999998</v>
          </cell>
          <cell r="BF27">
            <v>340.9398433178182</v>
          </cell>
          <cell r="BG27">
            <v>1440.243082517818</v>
          </cell>
          <cell r="BH27">
            <v>338.37107481496002</v>
          </cell>
          <cell r="BI27">
            <v>387.21235077454008</v>
          </cell>
          <cell r="BJ27">
            <v>319.86321057028988</v>
          </cell>
          <cell r="BK27">
            <v>352.7697870117583</v>
          </cell>
          <cell r="BL27">
            <v>1398.216423171549</v>
          </cell>
          <cell r="BM27">
            <v>349.75695710767974</v>
          </cell>
          <cell r="BN27">
            <v>399.34425635067566</v>
          </cell>
          <cell r="BO27">
            <v>331.22192167175507</v>
          </cell>
          <cell r="BP27">
            <v>365.41102221036277</v>
          </cell>
          <cell r="BQ27">
            <v>1445.7341573404726</v>
          </cell>
          <cell r="BR27">
            <v>1505.1050822385459</v>
          </cell>
          <cell r="BS27">
            <v>1568.9896117308344</v>
          </cell>
          <cell r="BT27">
            <v>1637.8786577311284</v>
          </cell>
          <cell r="BU27">
            <v>1712.321791473315</v>
          </cell>
          <cell r="BV27">
            <v>8.3623753640912568E-2</v>
          </cell>
          <cell r="BZ27" t="str">
            <v>EBITDA</v>
          </cell>
          <cell r="CA27">
            <v>240.90000000000009</v>
          </cell>
          <cell r="CB27">
            <v>283.40000000000003</v>
          </cell>
          <cell r="CC27">
            <v>305.10000000000008</v>
          </cell>
          <cell r="CD27">
            <v>415.50000000000006</v>
          </cell>
          <cell r="CE27">
            <v>562.70000000000005</v>
          </cell>
          <cell r="CF27">
            <v>695.70000000000016</v>
          </cell>
          <cell r="CG27">
            <v>820.50000000000023</v>
          </cell>
          <cell r="CH27">
            <v>974.8</v>
          </cell>
          <cell r="CI27">
            <v>1138.3999999999999</v>
          </cell>
          <cell r="CJ27">
            <v>1223.9000000000001</v>
          </cell>
          <cell r="CK27">
            <v>820.79999999999984</v>
          </cell>
          <cell r="CL27">
            <v>769.09999999999991</v>
          </cell>
          <cell r="CM27">
            <v>839.19999999999982</v>
          </cell>
          <cell r="CN27">
            <v>967.59999999999991</v>
          </cell>
          <cell r="CO27">
            <v>1183.1000000000001</v>
          </cell>
          <cell r="CP27">
            <v>1375.4746268656718</v>
          </cell>
          <cell r="CQ27">
            <v>1440.243082517818</v>
          </cell>
          <cell r="CR27">
            <v>1398.216423171549</v>
          </cell>
          <cell r="CS27">
            <v>1445.7341573404726</v>
          </cell>
          <cell r="CT27">
            <v>1505.1050822385459</v>
          </cell>
          <cell r="CU27">
            <v>1568.9896117308344</v>
          </cell>
          <cell r="CV27">
            <v>1637.8786577311284</v>
          </cell>
          <cell r="CW27">
            <v>1712.321791473315</v>
          </cell>
          <cell r="CY27">
            <v>1375.7265081073183</v>
          </cell>
        </row>
        <row r="28">
          <cell r="A28" t="str">
            <v>EBITDA Margin</v>
          </cell>
          <cell r="C28">
            <v>0.46876824284880336</v>
          </cell>
          <cell r="D28">
            <v>0.50230414746543783</v>
          </cell>
          <cell r="E28">
            <v>0.50655819359123366</v>
          </cell>
          <cell r="F28">
            <v>0.52152629597087996</v>
          </cell>
          <cell r="G28">
            <v>0.54988761848920165</v>
          </cell>
          <cell r="H28">
            <v>0.55807797208406873</v>
          </cell>
          <cell r="I28">
            <v>0.57046513244802899</v>
          </cell>
          <cell r="J28">
            <v>0.56619718309859157</v>
          </cell>
          <cell r="K28">
            <v>0.58527305282005371</v>
          </cell>
          <cell r="L28">
            <v>0.57159819520303956</v>
          </cell>
          <cell r="M28">
            <v>0.5314877430262045</v>
          </cell>
          <cell r="N28">
            <v>0.56294756294756298</v>
          </cell>
          <cell r="O28">
            <v>0.56269877328487061</v>
          </cell>
          <cell r="P28">
            <v>0.5834962847086429</v>
          </cell>
          <cell r="Q28">
            <v>0.56226034308779016</v>
          </cell>
          <cell r="R28">
            <v>0.53169491525423729</v>
          </cell>
          <cell r="S28">
            <v>0.55883363605124925</v>
          </cell>
          <cell r="T28">
            <v>0.54030874785591765</v>
          </cell>
          <cell r="U28">
            <v>0.57700046432440788</v>
          </cell>
          <cell r="V28">
            <v>0.49923809523809515</v>
          </cell>
          <cell r="W28">
            <v>0.54268171915230745</v>
          </cell>
          <cell r="X28">
            <v>0.54178840194776456</v>
          </cell>
          <cell r="Y28">
            <v>0.49013234269793354</v>
          </cell>
          <cell r="Z28">
            <v>0.51333059885151755</v>
          </cell>
          <cell r="AA28">
            <v>0.46746654360867568</v>
          </cell>
          <cell r="AB28">
            <v>0.38840723309388159</v>
          </cell>
          <cell r="AC28">
            <v>0.46758573544491278</v>
          </cell>
          <cell r="AD28">
            <v>0.43115676204450959</v>
          </cell>
          <cell r="AE28">
            <v>0.45706678500110925</v>
          </cell>
          <cell r="AF28">
            <v>0.42585214696768486</v>
          </cell>
          <cell r="AG28">
            <v>0.40016467682173723</v>
          </cell>
          <cell r="AH28">
            <v>0.42794346761629193</v>
          </cell>
          <cell r="AI28">
            <v>0.4446076374318087</v>
          </cell>
          <cell r="AJ28">
            <v>0.4311427375470907</v>
          </cell>
          <cell r="AK28">
            <v>0.40405221118254431</v>
          </cell>
          <cell r="AL28">
            <v>0.37905369484316853</v>
          </cell>
          <cell r="AM28">
            <v>0.41299212598425189</v>
          </cell>
          <cell r="AN28">
            <v>0.464044359729683</v>
          </cell>
          <cell r="AO28">
            <v>0.48215465961665566</v>
          </cell>
          <cell r="AP28">
            <v>0.40523244871070951</v>
          </cell>
          <cell r="AQ28">
            <v>0.33979897725268932</v>
          </cell>
          <cell r="AR28">
            <v>0.42425571096593151</v>
          </cell>
          <cell r="AS28">
            <v>0.45222634508348808</v>
          </cell>
          <cell r="AT28">
            <v>0.46910112359550549</v>
          </cell>
          <cell r="AU28">
            <v>0.42672476397966586</v>
          </cell>
          <cell r="AV28">
            <v>0.39273402280562197</v>
          </cell>
          <cell r="AW28">
            <v>0.43332234552979526</v>
          </cell>
          <cell r="AX28">
            <v>0.48028782025918515</v>
          </cell>
          <cell r="AY28">
            <v>0.49457671957671961</v>
          </cell>
          <cell r="AZ28">
            <v>0.44635010630758332</v>
          </cell>
          <cell r="BA28">
            <v>0.43018480492813138</v>
          </cell>
          <cell r="BB28">
            <v>0.46273326387406954</v>
          </cell>
          <cell r="BC28">
            <v>0.46415537017726805</v>
          </cell>
          <cell r="BD28">
            <v>0.49685174585002861</v>
          </cell>
          <cell r="BE28">
            <v>0.43231796144027035</v>
          </cell>
          <cell r="BF28">
            <v>0.43003231275983445</v>
          </cell>
          <cell r="BG28">
            <v>0.45740217404361627</v>
          </cell>
          <cell r="BH28">
            <v>0.43467080699167165</v>
          </cell>
          <cell r="BI28">
            <v>0.44009980954674999</v>
          </cell>
          <cell r="BJ28">
            <v>0.42778371810598576</v>
          </cell>
          <cell r="BK28">
            <v>0.42527815692306159</v>
          </cell>
          <cell r="BL28">
            <v>0.43214747093927403</v>
          </cell>
          <cell r="BM28">
            <v>0.43009963833491593</v>
          </cell>
          <cell r="BN28">
            <v>0.4356615421402002</v>
          </cell>
          <cell r="BO28">
            <v>0.42309859123498894</v>
          </cell>
          <cell r="BP28">
            <v>0.42037036404670902</v>
          </cell>
          <cell r="BQ28">
            <v>0.42748582816974645</v>
          </cell>
          <cell r="BR28">
            <v>0.42806483527621669</v>
          </cell>
          <cell r="BS28">
            <v>0.42852420702359806</v>
          </cell>
          <cell r="BT28">
            <v>0.42887491966970936</v>
          </cell>
          <cell r="BU28">
            <v>0.42912945830837346</v>
          </cell>
          <cell r="BZ28" t="str">
            <v>EBITDA Margin</v>
          </cell>
          <cell r="CA28">
            <v>0.46876824284880336</v>
          </cell>
          <cell r="CB28">
            <v>0.50230414746543783</v>
          </cell>
          <cell r="CC28">
            <v>0.50655819359123366</v>
          </cell>
          <cell r="CD28">
            <v>0.52152629597087996</v>
          </cell>
          <cell r="CE28">
            <v>0.54988761848920165</v>
          </cell>
          <cell r="CF28">
            <v>0.55807797208406873</v>
          </cell>
          <cell r="CG28">
            <v>0.57046513244802899</v>
          </cell>
          <cell r="CH28">
            <v>0.56294756294756298</v>
          </cell>
          <cell r="CI28">
            <v>0.55883363605124925</v>
          </cell>
          <cell r="CJ28">
            <v>0.54178840194776456</v>
          </cell>
          <cell r="CK28">
            <v>0.46758573544491278</v>
          </cell>
          <cell r="CL28">
            <v>0.42794346761629193</v>
          </cell>
          <cell r="CM28">
            <v>0.41299212598425189</v>
          </cell>
          <cell r="CN28">
            <v>0.42425571096593151</v>
          </cell>
          <cell r="CO28">
            <v>0.43332234552979526</v>
          </cell>
          <cell r="CP28">
            <v>0.46273326387406954</v>
          </cell>
          <cell r="CQ28">
            <v>0.45740217404361627</v>
          </cell>
          <cell r="CR28">
            <v>0.43214747093927403</v>
          </cell>
          <cell r="CS28">
            <v>0.42748582816974645</v>
          </cell>
          <cell r="CT28">
            <v>0.42806483527621669</v>
          </cell>
          <cell r="CU28">
            <v>0.42852420702359806</v>
          </cell>
          <cell r="CV28">
            <v>0.42887491966970936</v>
          </cell>
          <cell r="CW28">
            <v>0.42912945830837346</v>
          </cell>
          <cell r="CY28">
            <v>0.43448645340186176</v>
          </cell>
        </row>
        <row r="29">
          <cell r="A29" t="str">
            <v>Year-over-Year Growth</v>
          </cell>
          <cell r="D29">
            <v>0.17642175176421726</v>
          </cell>
          <cell r="E29">
            <v>7.6570218772053833E-2</v>
          </cell>
          <cell r="F29">
            <v>0.36184857423795469</v>
          </cell>
          <cell r="G29">
            <v>0.3542719614921781</v>
          </cell>
          <cell r="H29">
            <v>0.23636040518926626</v>
          </cell>
          <cell r="I29">
            <v>0.17938766709788712</v>
          </cell>
          <cell r="J29" t="str">
            <v>NM</v>
          </cell>
          <cell r="K29" t="str">
            <v>NM</v>
          </cell>
          <cell r="L29" t="str">
            <v>NM</v>
          </cell>
          <cell r="M29" t="str">
            <v>NM</v>
          </cell>
          <cell r="N29">
            <v>0.18805606337598979</v>
          </cell>
          <cell r="O29">
            <v>0.12030755314337438</v>
          </cell>
          <cell r="P29">
            <v>0.14110898661567872</v>
          </cell>
          <cell r="Q29">
            <v>0.15745741587037854</v>
          </cell>
          <cell r="R29">
            <v>0.24731610337972199</v>
          </cell>
          <cell r="S29">
            <v>0.16782929831760351</v>
          </cell>
          <cell r="T29">
            <v>0.27169963665724639</v>
          </cell>
          <cell r="U29">
            <v>0.24932975871313645</v>
          </cell>
          <cell r="V29">
            <v>-5.9224694903087016E-2</v>
          </cell>
          <cell r="W29">
            <v>-0.12655403251514163</v>
          </cell>
          <cell r="X29">
            <v>7.5105411103303155E-2</v>
          </cell>
          <cell r="Y29">
            <v>-0.32984126984126994</v>
          </cell>
          <cell r="Z29">
            <v>-0.32859442060085831</v>
          </cell>
          <cell r="AA29">
            <v>-0.22701259061426904</v>
          </cell>
          <cell r="AB29">
            <v>-0.42773722627737243</v>
          </cell>
          <cell r="AC29">
            <v>-0.32935697360895511</v>
          </cell>
          <cell r="AD29">
            <v>-0.16485078162008537</v>
          </cell>
          <cell r="AE29">
            <v>-0.17698761486216563</v>
          </cell>
          <cell r="AF29">
            <v>-5.0345508390918114E-2</v>
          </cell>
          <cell r="AG29">
            <v>0.23979591836734659</v>
          </cell>
          <cell r="AH29">
            <v>-6.2987329434697759E-2</v>
          </cell>
          <cell r="AI29">
            <v>0.20192853091321661</v>
          </cell>
          <cell r="AJ29">
            <v>0</v>
          </cell>
          <cell r="AK29">
            <v>7.7962577962577884E-2</v>
          </cell>
          <cell r="AL29">
            <v>0.1003086419753092</v>
          </cell>
          <cell r="AM29">
            <v>9.1145494734104604E-2</v>
          </cell>
          <cell r="AN29">
            <v>0.26380368098159512</v>
          </cell>
          <cell r="AO29">
            <v>0.41650485436893225</v>
          </cell>
          <cell r="AP29">
            <v>3.8090646094502967E-2</v>
          </cell>
          <cell r="AQ29">
            <v>-9.9111734455352374E-2</v>
          </cell>
          <cell r="AR29">
            <v>0.15300285986653961</v>
          </cell>
          <cell r="AS29">
            <v>9.2233009708738045E-2</v>
          </cell>
          <cell r="AT29">
            <v>3.0157642220699055E-2</v>
          </cell>
          <cell r="AU29">
            <v>0.36460752438457966</v>
          </cell>
          <cell r="AV29">
            <v>0.53710430721328439</v>
          </cell>
          <cell r="AW29">
            <v>0.22271599834642442</v>
          </cell>
          <cell r="AX29">
            <v>0.20162265595101392</v>
          </cell>
          <cell r="AY29">
            <v>0.24384564204923542</v>
          </cell>
          <cell r="AZ29">
            <v>7.1817562968005788E-2</v>
          </cell>
          <cell r="BA29">
            <v>0.13166779203240986</v>
          </cell>
          <cell r="BB29">
            <v>0.16260216961006813</v>
          </cell>
          <cell r="BC29">
            <v>1.3159906237260488E-2</v>
          </cell>
          <cell r="BD29">
            <v>0.16073816528483542</v>
          </cell>
          <cell r="BE29">
            <v>-1.8090697999365024E-2</v>
          </cell>
          <cell r="BF29">
            <v>1.7123637582989959E-2</v>
          </cell>
          <cell r="BG29">
            <v>4.7088077371325809E-2</v>
          </cell>
          <cell r="BH29">
            <v>-4.978636670890213E-2</v>
          </cell>
          <cell r="BI29">
            <v>-0.10780564337663578</v>
          </cell>
          <cell r="BJ29">
            <v>3.4475613508675895E-2</v>
          </cell>
          <cell r="BK29">
            <v>3.4698038160686284E-2</v>
          </cell>
          <cell r="BL29">
            <v>-2.9180254261522598E-2</v>
          </cell>
          <cell r="BM29">
            <v>3.3649100470381832E-2</v>
          </cell>
          <cell r="BN29">
            <v>3.1331401366377243E-2</v>
          </cell>
          <cell r="BO29">
            <v>3.5511152036564519E-2</v>
          </cell>
          <cell r="BP29">
            <v>3.5834234291110434E-2</v>
          </cell>
          <cell r="BQ29">
            <v>3.3984534426465984E-2</v>
          </cell>
          <cell r="BR29">
            <v>4.1066280821150603E-2</v>
          </cell>
          <cell r="BS29">
            <v>4.2445228739293572E-2</v>
          </cell>
          <cell r="BT29">
            <v>4.3906629773220018E-2</v>
          </cell>
          <cell r="BU29">
            <v>4.5450945581835045E-2</v>
          </cell>
          <cell r="BZ29" t="str">
            <v>Year-over-Year Growth</v>
          </cell>
          <cell r="CA29">
            <v>0</v>
          </cell>
          <cell r="CB29">
            <v>0.17642175176421726</v>
          </cell>
          <cell r="CC29">
            <v>7.6570218772053833E-2</v>
          </cell>
          <cell r="CD29">
            <v>0.36184857423795469</v>
          </cell>
          <cell r="CE29">
            <v>0.3542719614921781</v>
          </cell>
          <cell r="CF29">
            <v>0.23636040518926626</v>
          </cell>
          <cell r="CG29">
            <v>0.17938766709788712</v>
          </cell>
          <cell r="CH29">
            <v>0.18805606337598979</v>
          </cell>
          <cell r="CI29">
            <v>0.16782929831760351</v>
          </cell>
          <cell r="CJ29">
            <v>7.5105411103303155E-2</v>
          </cell>
          <cell r="CK29">
            <v>-0.32935697360895511</v>
          </cell>
          <cell r="CL29">
            <v>-6.2987329434697759E-2</v>
          </cell>
          <cell r="CM29">
            <v>9.1145494734104604E-2</v>
          </cell>
          <cell r="CN29">
            <v>0.15300285986653961</v>
          </cell>
          <cell r="CO29">
            <v>0.22271599834642442</v>
          </cell>
          <cell r="CP29">
            <v>0.16260216961006813</v>
          </cell>
          <cell r="CQ29">
            <v>4.7088077371325809E-2</v>
          </cell>
          <cell r="CR29">
            <v>-2.9180254261522598E-2</v>
          </cell>
          <cell r="CS29">
            <v>3.3984534426465984E-2</v>
          </cell>
          <cell r="CT29">
            <v>4.1066280821150603E-2</v>
          </cell>
          <cell r="CU29">
            <v>4.2445228739293572E-2</v>
          </cell>
          <cell r="CV29">
            <v>4.3906629773220018E-2</v>
          </cell>
          <cell r="CW29">
            <v>4.5450945581835045E-2</v>
          </cell>
        </row>
        <row r="31">
          <cell r="A31" t="str">
            <v>Depreciation &amp; Amortization</v>
          </cell>
          <cell r="C31">
            <v>15.4</v>
          </cell>
          <cell r="D31">
            <v>13</v>
          </cell>
          <cell r="E31">
            <v>16.600000000000001</v>
          </cell>
          <cell r="F31">
            <v>17</v>
          </cell>
          <cell r="G31">
            <v>24.6</v>
          </cell>
          <cell r="H31">
            <v>32.6</v>
          </cell>
          <cell r="I31">
            <v>34.1</v>
          </cell>
          <cell r="J31">
            <v>8.6</v>
          </cell>
          <cell r="K31">
            <v>8.6999999999999993</v>
          </cell>
          <cell r="L31">
            <v>8.8000000000000007</v>
          </cell>
          <cell r="M31">
            <v>9.1000000000000032</v>
          </cell>
          <cell r="N31">
            <v>35.200000000000003</v>
          </cell>
          <cell r="O31">
            <v>9.4</v>
          </cell>
          <cell r="P31">
            <v>9.3000000000000007</v>
          </cell>
          <cell r="Q31">
            <v>9.8000000000000007</v>
          </cell>
          <cell r="R31">
            <v>10.999999999999998</v>
          </cell>
          <cell r="S31">
            <v>39.5</v>
          </cell>
          <cell r="T31">
            <v>10.3</v>
          </cell>
          <cell r="U31">
            <v>9.1</v>
          </cell>
          <cell r="V31">
            <v>11.6</v>
          </cell>
          <cell r="W31">
            <v>11.899999999999995</v>
          </cell>
          <cell r="X31">
            <v>42.899999999999991</v>
          </cell>
          <cell r="Y31">
            <v>12.5</v>
          </cell>
          <cell r="Z31">
            <v>16.8</v>
          </cell>
          <cell r="AA31">
            <v>14.6</v>
          </cell>
          <cell r="AB31">
            <v>31.199999999999989</v>
          </cell>
          <cell r="AC31">
            <v>75.099999999999994</v>
          </cell>
          <cell r="AD31">
            <v>15.6</v>
          </cell>
          <cell r="AE31">
            <v>15.7</v>
          </cell>
          <cell r="AF31">
            <v>16.2</v>
          </cell>
          <cell r="AG31">
            <v>16.599999999999998</v>
          </cell>
          <cell r="AH31">
            <v>64.099999999999994</v>
          </cell>
          <cell r="AI31">
            <v>15.8</v>
          </cell>
          <cell r="AJ31">
            <v>15.2</v>
          </cell>
          <cell r="AK31">
            <v>18.100000000000001</v>
          </cell>
          <cell r="AL31">
            <v>17.199999999999996</v>
          </cell>
          <cell r="AM31">
            <v>66.3</v>
          </cell>
          <cell r="AN31">
            <v>17.7</v>
          </cell>
          <cell r="AO31">
            <v>21.8</v>
          </cell>
          <cell r="AP31">
            <v>19</v>
          </cell>
          <cell r="AQ31">
            <v>20.700000000000003</v>
          </cell>
          <cell r="AR31">
            <v>79.2</v>
          </cell>
          <cell r="AS31">
            <v>23.5</v>
          </cell>
          <cell r="AT31">
            <v>22.1</v>
          </cell>
          <cell r="AU31">
            <v>24.1</v>
          </cell>
          <cell r="AV31">
            <v>23.799999999999997</v>
          </cell>
          <cell r="AW31">
            <v>93.5</v>
          </cell>
          <cell r="AX31">
            <v>23.6</v>
          </cell>
          <cell r="AY31">
            <v>23.1</v>
          </cell>
          <cell r="AZ31">
            <v>23.4</v>
          </cell>
          <cell r="BA31">
            <v>23.300000000000011</v>
          </cell>
          <cell r="BB31">
            <v>93.4</v>
          </cell>
          <cell r="BC31">
            <v>23.1</v>
          </cell>
          <cell r="BD31">
            <v>22.3</v>
          </cell>
          <cell r="BE31">
            <v>18.259240510589581</v>
          </cell>
          <cell r="BF31">
            <v>20.240378102938024</v>
          </cell>
          <cell r="BG31">
            <v>83.899618613527608</v>
          </cell>
          <cell r="BH31">
            <v>19.873516109125131</v>
          </cell>
          <cell r="BI31">
            <v>22.461563046953863</v>
          </cell>
          <cell r="BJ31">
            <v>19.088948002789579</v>
          </cell>
          <cell r="BK31">
            <v>21.176796316724936</v>
          </cell>
          <cell r="BL31">
            <v>82.600823475593501</v>
          </cell>
          <cell r="BM31">
            <v>20.760568326889814</v>
          </cell>
          <cell r="BN31">
            <v>23.401310106321912</v>
          </cell>
          <cell r="BO31">
            <v>19.985703815346678</v>
          </cell>
          <cell r="BP31">
            <v>22.191747694100684</v>
          </cell>
          <cell r="BQ31">
            <v>86.339329942659091</v>
          </cell>
          <cell r="BR31">
            <v>105.48204091097666</v>
          </cell>
          <cell r="BS31">
            <v>109.84137554061908</v>
          </cell>
          <cell r="BT31">
            <v>114.57037350138212</v>
          </cell>
          <cell r="BU31">
            <v>119.70665902708802</v>
          </cell>
          <cell r="BZ31" t="str">
            <v>Depreciation &amp; Amortization</v>
          </cell>
          <cell r="CA31">
            <v>15.4</v>
          </cell>
          <cell r="CB31">
            <v>13</v>
          </cell>
          <cell r="CC31">
            <v>16.600000000000001</v>
          </cell>
          <cell r="CD31">
            <v>17</v>
          </cell>
          <cell r="CE31">
            <v>24.6</v>
          </cell>
          <cell r="CF31">
            <v>32.6</v>
          </cell>
          <cell r="CG31">
            <v>34.1</v>
          </cell>
          <cell r="CH31">
            <v>35.200000000000003</v>
          </cell>
          <cell r="CI31">
            <v>39.5</v>
          </cell>
          <cell r="CJ31">
            <v>42.899999999999991</v>
          </cell>
          <cell r="CK31">
            <v>75.099999999999994</v>
          </cell>
          <cell r="CL31">
            <v>64.099999999999994</v>
          </cell>
          <cell r="CM31">
            <v>66.3</v>
          </cell>
          <cell r="CN31">
            <v>79.2</v>
          </cell>
          <cell r="CO31">
            <v>93.5</v>
          </cell>
          <cell r="CP31">
            <v>93.4</v>
          </cell>
          <cell r="CQ31">
            <v>83.899618613527608</v>
          </cell>
          <cell r="CR31">
            <v>82.600823475593501</v>
          </cell>
          <cell r="CS31">
            <v>86.339329942659091</v>
          </cell>
          <cell r="CT31">
            <v>105.48204091097666</v>
          </cell>
          <cell r="CU31">
            <v>109.84137554061908</v>
          </cell>
          <cell r="CV31">
            <v>114.57037350138212</v>
          </cell>
          <cell r="CW31">
            <v>119.70665902708802</v>
          </cell>
          <cell r="CY31">
            <v>80.834697769606606</v>
          </cell>
        </row>
        <row r="32">
          <cell r="A32" t="str">
            <v>Depreciation</v>
          </cell>
          <cell r="C32">
            <v>15.4</v>
          </cell>
          <cell r="D32">
            <v>13</v>
          </cell>
          <cell r="E32">
            <v>15.700000000000001</v>
          </cell>
          <cell r="F32">
            <v>16</v>
          </cell>
          <cell r="G32">
            <v>19.3</v>
          </cell>
          <cell r="H32">
            <v>25.6</v>
          </cell>
          <cell r="I32">
            <v>27.200000000000003</v>
          </cell>
          <cell r="J32">
            <v>7</v>
          </cell>
          <cell r="K32">
            <v>7</v>
          </cell>
          <cell r="L32">
            <v>7.3000000000000007</v>
          </cell>
          <cell r="M32">
            <v>7.1000000000000032</v>
          </cell>
          <cell r="N32">
            <v>28.400000000000006</v>
          </cell>
          <cell r="O32">
            <v>6.9</v>
          </cell>
          <cell r="P32">
            <v>6.8000000000000007</v>
          </cell>
          <cell r="Q32">
            <v>7.3000000000000007</v>
          </cell>
          <cell r="R32">
            <v>8.5999999999999979</v>
          </cell>
          <cell r="S32">
            <v>29.599999999999998</v>
          </cell>
          <cell r="T32">
            <v>7.8000000000000007</v>
          </cell>
          <cell r="U32">
            <v>6.8</v>
          </cell>
          <cell r="V32">
            <v>8.8000000000000007</v>
          </cell>
          <cell r="W32">
            <v>9.7999999999999954</v>
          </cell>
          <cell r="X32">
            <v>33.199999999999996</v>
          </cell>
          <cell r="Y32">
            <v>9.8000000000000007</v>
          </cell>
          <cell r="Z32">
            <v>14.100000000000001</v>
          </cell>
          <cell r="AA32">
            <v>11.6</v>
          </cell>
          <cell r="AB32">
            <v>11.399999999999991</v>
          </cell>
          <cell r="AC32">
            <v>46.899999999999991</v>
          </cell>
          <cell r="AD32">
            <v>11.6</v>
          </cell>
          <cell r="AE32">
            <v>11.5</v>
          </cell>
          <cell r="AF32">
            <v>11.999999999999998</v>
          </cell>
          <cell r="AG32">
            <v>12.6</v>
          </cell>
          <cell r="AH32">
            <v>47.7</v>
          </cell>
          <cell r="AI32">
            <v>11</v>
          </cell>
          <cell r="AJ32">
            <v>12.099999999999998</v>
          </cell>
          <cell r="AK32">
            <v>13.900000000000002</v>
          </cell>
          <cell r="AL32">
            <v>12.899999999999999</v>
          </cell>
          <cell r="AM32">
            <v>49.9</v>
          </cell>
          <cell r="AN32">
            <v>12.899999999999999</v>
          </cell>
          <cell r="AO32">
            <v>17</v>
          </cell>
          <cell r="AP32">
            <v>14</v>
          </cell>
          <cell r="AQ32">
            <v>14.800000000000004</v>
          </cell>
          <cell r="AR32">
            <v>58.7</v>
          </cell>
          <cell r="AS32">
            <v>16.2</v>
          </cell>
          <cell r="AT32">
            <v>15</v>
          </cell>
          <cell r="AU32">
            <v>16.000000000000004</v>
          </cell>
          <cell r="AV32">
            <v>16.199999999999996</v>
          </cell>
          <cell r="AW32">
            <v>63.4</v>
          </cell>
          <cell r="AX32">
            <v>16.3</v>
          </cell>
          <cell r="AY32">
            <v>16.400000000000002</v>
          </cell>
          <cell r="AZ32">
            <v>16.399999999999999</v>
          </cell>
          <cell r="BA32">
            <v>16.300000000000011</v>
          </cell>
          <cell r="BB32">
            <v>65.400000000000006</v>
          </cell>
          <cell r="BC32">
            <v>15.8</v>
          </cell>
          <cell r="BD32">
            <v>16</v>
          </cell>
          <cell r="BE32">
            <v>12.109240510589581</v>
          </cell>
          <cell r="BF32">
            <v>14.090378102938024</v>
          </cell>
          <cell r="BG32">
            <v>57.999618613527609</v>
          </cell>
          <cell r="BH32">
            <v>13.82351610912513</v>
          </cell>
          <cell r="BI32">
            <v>16.411563046953862</v>
          </cell>
          <cell r="BJ32">
            <v>13.038948002789578</v>
          </cell>
          <cell r="BK32">
            <v>15.126796316724935</v>
          </cell>
          <cell r="BL32">
            <v>58.400823475593505</v>
          </cell>
          <cell r="BM32">
            <v>14.885568326889814</v>
          </cell>
          <cell r="BN32">
            <v>17.526310106321912</v>
          </cell>
          <cell r="BO32">
            <v>14.110703815346678</v>
          </cell>
          <cell r="BP32">
            <v>16.316747694100684</v>
          </cell>
          <cell r="BQ32">
            <v>62.839329942659091</v>
          </cell>
          <cell r="BR32">
            <v>85.582040910976673</v>
          </cell>
          <cell r="BS32">
            <v>94.741375540619089</v>
          </cell>
          <cell r="BT32">
            <v>99.470373501382127</v>
          </cell>
          <cell r="BU32">
            <v>104.60665902708803</v>
          </cell>
          <cell r="BZ32" t="str">
            <v>Depreciation</v>
          </cell>
          <cell r="CA32">
            <v>15.4</v>
          </cell>
          <cell r="CB32">
            <v>13</v>
          </cell>
          <cell r="CC32">
            <v>15.700000000000001</v>
          </cell>
          <cell r="CD32">
            <v>16</v>
          </cell>
          <cell r="CE32">
            <v>19.3</v>
          </cell>
          <cell r="CF32">
            <v>25.6</v>
          </cell>
          <cell r="CG32">
            <v>27.200000000000003</v>
          </cell>
          <cell r="CH32">
            <v>28.400000000000006</v>
          </cell>
          <cell r="CI32">
            <v>29.599999999999998</v>
          </cell>
          <cell r="CJ32">
            <v>33.199999999999996</v>
          </cell>
          <cell r="CK32">
            <v>46.899999999999991</v>
          </cell>
          <cell r="CL32">
            <v>47.7</v>
          </cell>
          <cell r="CM32">
            <v>49.9</v>
          </cell>
          <cell r="CN32">
            <v>58.7</v>
          </cell>
          <cell r="CO32">
            <v>63.4</v>
          </cell>
          <cell r="CP32">
            <v>65.400000000000006</v>
          </cell>
          <cell r="CQ32">
            <v>57.999618613527609</v>
          </cell>
          <cell r="CR32">
            <v>58.400823475593505</v>
          </cell>
          <cell r="CS32">
            <v>62.839329942659091</v>
          </cell>
          <cell r="CT32">
            <v>85.582040910976673</v>
          </cell>
          <cell r="CU32">
            <v>94.741375540619089</v>
          </cell>
          <cell r="CV32">
            <v>99.470373501382127</v>
          </cell>
          <cell r="CW32">
            <v>104.60665902708803</v>
          </cell>
          <cell r="CY32">
            <v>56.434697769606601</v>
          </cell>
          <cell r="DA32" t="str">
            <v>mstag:depreciationInIncomeStatement</v>
          </cell>
          <cell r="DB32">
            <v>6</v>
          </cell>
          <cell r="DC32" t="str">
            <v>ISO4217:USD</v>
          </cell>
          <cell r="DD32" t="b">
            <v>0</v>
          </cell>
        </row>
        <row r="33">
          <cell r="A33" t="str">
            <v>Amortization</v>
          </cell>
          <cell r="C33">
            <v>0</v>
          </cell>
          <cell r="D33">
            <v>0</v>
          </cell>
          <cell r="E33">
            <v>0.9</v>
          </cell>
          <cell r="F33">
            <v>1</v>
          </cell>
          <cell r="G33">
            <v>5.3</v>
          </cell>
          <cell r="H33">
            <v>7</v>
          </cell>
          <cell r="I33">
            <v>6.9</v>
          </cell>
          <cell r="J33">
            <v>1.6</v>
          </cell>
          <cell r="K33">
            <v>1.6999999999999997</v>
          </cell>
          <cell r="L33">
            <v>1.5</v>
          </cell>
          <cell r="M33">
            <v>2</v>
          </cell>
          <cell r="N33">
            <v>6.8</v>
          </cell>
          <cell r="O33">
            <v>2.5</v>
          </cell>
          <cell r="P33">
            <v>2.5</v>
          </cell>
          <cell r="Q33">
            <v>2.5</v>
          </cell>
          <cell r="R33">
            <v>2.4000000000000004</v>
          </cell>
          <cell r="S33">
            <v>9.9</v>
          </cell>
          <cell r="T33">
            <v>2.5</v>
          </cell>
          <cell r="U33">
            <v>2.2999999999999998</v>
          </cell>
          <cell r="V33">
            <v>2.8</v>
          </cell>
          <cell r="W33">
            <v>2.0999999999999996</v>
          </cell>
          <cell r="X33">
            <v>9.6999999999999993</v>
          </cell>
          <cell r="Y33">
            <v>2.7</v>
          </cell>
          <cell r="Z33">
            <v>2.7</v>
          </cell>
          <cell r="AA33">
            <v>3</v>
          </cell>
          <cell r="AB33">
            <v>19.799999999999997</v>
          </cell>
          <cell r="AC33">
            <v>28.199999999999996</v>
          </cell>
          <cell r="AD33">
            <v>4</v>
          </cell>
          <cell r="AE33">
            <v>4.1999999999999993</v>
          </cell>
          <cell r="AF33">
            <v>4.2000000000000011</v>
          </cell>
          <cell r="AG33">
            <v>3.9999999999999982</v>
          </cell>
          <cell r="AH33">
            <v>16.399999999999999</v>
          </cell>
          <cell r="AI33">
            <v>4.8</v>
          </cell>
          <cell r="AJ33">
            <v>3.1000000000000005</v>
          </cell>
          <cell r="AK33">
            <v>4.1999999999999993</v>
          </cell>
          <cell r="AL33">
            <v>4.2999999999999972</v>
          </cell>
          <cell r="AM33">
            <v>16.399999999999999</v>
          </cell>
          <cell r="AN33">
            <v>4.8</v>
          </cell>
          <cell r="AO33">
            <v>4.8</v>
          </cell>
          <cell r="AP33">
            <v>5.0000000000000009</v>
          </cell>
          <cell r="AQ33">
            <v>5.8999999999999977</v>
          </cell>
          <cell r="AR33">
            <v>20.5</v>
          </cell>
          <cell r="AS33">
            <v>7.3</v>
          </cell>
          <cell r="AT33">
            <v>7.1000000000000005</v>
          </cell>
          <cell r="AU33">
            <v>8.0999999999999979</v>
          </cell>
          <cell r="AV33">
            <v>7.6000000000000014</v>
          </cell>
          <cell r="AW33">
            <v>30.1</v>
          </cell>
          <cell r="AX33">
            <v>7.3</v>
          </cell>
          <cell r="AY33">
            <v>6.7</v>
          </cell>
          <cell r="AZ33">
            <v>6.9999999999999991</v>
          </cell>
          <cell r="BA33">
            <v>7.0000000000000009</v>
          </cell>
          <cell r="BB33">
            <v>28</v>
          </cell>
          <cell r="BC33">
            <v>7.3</v>
          </cell>
          <cell r="BD33">
            <v>6.3</v>
          </cell>
          <cell r="BE33">
            <v>6.15</v>
          </cell>
          <cell r="BF33">
            <v>6.15</v>
          </cell>
          <cell r="BG33">
            <v>25.9</v>
          </cell>
          <cell r="BH33">
            <v>6.05</v>
          </cell>
          <cell r="BI33">
            <v>6.05</v>
          </cell>
          <cell r="BJ33">
            <v>6.05</v>
          </cell>
          <cell r="BK33">
            <v>6.05</v>
          </cell>
          <cell r="BL33">
            <v>24.2</v>
          </cell>
          <cell r="BM33">
            <v>5.875</v>
          </cell>
          <cell r="BN33">
            <v>5.875</v>
          </cell>
          <cell r="BO33">
            <v>5.875</v>
          </cell>
          <cell r="BP33">
            <v>5.875</v>
          </cell>
          <cell r="BQ33">
            <v>23.5</v>
          </cell>
          <cell r="BR33">
            <v>19.899999999999999</v>
          </cell>
          <cell r="BS33">
            <v>15.1</v>
          </cell>
          <cell r="BT33">
            <v>15.1</v>
          </cell>
          <cell r="BU33">
            <v>15.1</v>
          </cell>
          <cell r="BZ33" t="str">
            <v>Amortization</v>
          </cell>
          <cell r="CA33">
            <v>0</v>
          </cell>
          <cell r="CB33">
            <v>0</v>
          </cell>
          <cell r="CC33">
            <v>0.9</v>
          </cell>
          <cell r="CD33">
            <v>1</v>
          </cell>
          <cell r="CE33">
            <v>5.3</v>
          </cell>
          <cell r="CF33">
            <v>7</v>
          </cell>
          <cell r="CG33">
            <v>6.9</v>
          </cell>
          <cell r="CH33">
            <v>6.8</v>
          </cell>
          <cell r="CI33">
            <v>9.9</v>
          </cell>
          <cell r="CJ33">
            <v>9.6999999999999993</v>
          </cell>
          <cell r="CK33">
            <v>28.199999999999996</v>
          </cell>
          <cell r="CL33">
            <v>16.399999999999999</v>
          </cell>
          <cell r="CM33">
            <v>16.399999999999999</v>
          </cell>
          <cell r="CN33">
            <v>20.5</v>
          </cell>
          <cell r="CO33">
            <v>30.1</v>
          </cell>
          <cell r="CP33">
            <v>28</v>
          </cell>
          <cell r="CQ33">
            <v>25.9</v>
          </cell>
          <cell r="CR33">
            <v>24.2</v>
          </cell>
          <cell r="CS33">
            <v>23.5</v>
          </cell>
          <cell r="CT33">
            <v>19.899999999999999</v>
          </cell>
          <cell r="CU33">
            <v>15.1</v>
          </cell>
          <cell r="CV33">
            <v>15.1</v>
          </cell>
          <cell r="CW33">
            <v>15.1</v>
          </cell>
          <cell r="CY33">
            <v>24.400000000000002</v>
          </cell>
          <cell r="DA33" t="str">
            <v>mstag:amortizationOfOtherIntangiblesInIncomeStatement</v>
          </cell>
          <cell r="DB33">
            <v>6</v>
          </cell>
          <cell r="DC33" t="str">
            <v>ISO4217:USD</v>
          </cell>
          <cell r="DD33" t="b">
            <v>0</v>
          </cell>
        </row>
        <row r="34">
          <cell r="A34" t="str">
            <v>% of Total Revenue</v>
          </cell>
          <cell r="C34">
            <v>2.9966919634170069E-2</v>
          </cell>
          <cell r="D34">
            <v>2.3041474654377878E-2</v>
          </cell>
          <cell r="E34">
            <v>2.7561016104931096E-2</v>
          </cell>
          <cell r="F34">
            <v>2.1338019329735156E-2</v>
          </cell>
          <cell r="G34">
            <v>2.4039871005570215E-2</v>
          </cell>
          <cell r="H34">
            <v>2.6151131076528156E-2</v>
          </cell>
          <cell r="I34">
            <v>2.3708544809844953E-2</v>
          </cell>
          <cell r="J34">
            <v>2.2023047375160049E-2</v>
          </cell>
          <cell r="K34">
            <v>1.9471799462846908E-2</v>
          </cell>
          <cell r="L34">
            <v>2.0897649014485875E-2</v>
          </cell>
          <cell r="M34">
            <v>1.9230769230769239E-2</v>
          </cell>
          <cell r="N34">
            <v>2.0328020328020332E-2</v>
          </cell>
          <cell r="O34">
            <v>2.1353930031803723E-2</v>
          </cell>
          <cell r="P34">
            <v>1.8185373484552212E-2</v>
          </cell>
          <cell r="Q34">
            <v>1.9778002018163474E-2</v>
          </cell>
          <cell r="R34">
            <v>1.8644067796610167E-2</v>
          </cell>
          <cell r="S34">
            <v>1.9390309754062147E-2</v>
          </cell>
          <cell r="T34">
            <v>1.7667238421955403E-2</v>
          </cell>
          <cell r="U34">
            <v>1.4084507042253523E-2</v>
          </cell>
          <cell r="V34">
            <v>2.2095238095238095E-2</v>
          </cell>
          <cell r="W34">
            <v>2.3569023569023559E-2</v>
          </cell>
          <cell r="X34">
            <v>1.8990703851261618E-2</v>
          </cell>
          <cell r="Y34">
            <v>2.9022521476665893E-2</v>
          </cell>
          <cell r="Z34">
            <v>3.4454470877768664E-2</v>
          </cell>
          <cell r="AA34">
            <v>3.3687125057683433E-2</v>
          </cell>
          <cell r="AB34">
            <v>7.7285112707456E-2</v>
          </cell>
          <cell r="AC34">
            <v>4.2782271846872506E-2</v>
          </cell>
          <cell r="AD34">
            <v>3.815113719735877E-2</v>
          </cell>
          <cell r="AE34">
            <v>3.4834701575327275E-2</v>
          </cell>
          <cell r="AF34">
            <v>3.5856573705179279E-2</v>
          </cell>
          <cell r="AG34">
            <v>3.4170440510498147E-2</v>
          </cell>
          <cell r="AH34">
            <v>3.5666592477186732E-2</v>
          </cell>
          <cell r="AI34">
            <v>3.3151489718841798E-2</v>
          </cell>
          <cell r="AJ34">
            <v>3.1812473838426114E-2</v>
          </cell>
          <cell r="AK34">
            <v>3.5262030001948177E-2</v>
          </cell>
          <cell r="AL34">
            <v>3.0480241006556785E-2</v>
          </cell>
          <cell r="AM34">
            <v>3.2627952755905514E-2</v>
          </cell>
          <cell r="AN34">
            <v>3.0670594351065672E-2</v>
          </cell>
          <cell r="AO34">
            <v>3.6021150033046935E-2</v>
          </cell>
          <cell r="AP34">
            <v>3.5761340109166199E-2</v>
          </cell>
          <cell r="AQ34">
            <v>3.6501498853817663E-2</v>
          </cell>
          <cell r="AR34">
            <v>3.4726180558600432E-2</v>
          </cell>
          <cell r="AS34">
            <v>3.633271490414347E-2</v>
          </cell>
          <cell r="AT34">
            <v>3.4488139825218485E-2</v>
          </cell>
          <cell r="AU34">
            <v>3.5003631082062454E-2</v>
          </cell>
          <cell r="AV34">
            <v>3.1556616282153262E-2</v>
          </cell>
          <cell r="AW34">
            <v>3.4245321026993368E-2</v>
          </cell>
          <cell r="AX34">
            <v>3.2249248428532384E-2</v>
          </cell>
          <cell r="AY34">
            <v>3.0555555555555558E-2</v>
          </cell>
          <cell r="AZ34">
            <v>3.3167965981573351E-2</v>
          </cell>
          <cell r="BA34">
            <v>2.9902464065708432E-2</v>
          </cell>
          <cell r="BB34">
            <v>3.1421362489486966E-2</v>
          </cell>
          <cell r="BC34">
            <v>3.0109489051094892E-2</v>
          </cell>
          <cell r="BD34">
            <v>2.5529479107040641E-2</v>
          </cell>
          <cell r="BE34">
            <v>2.5529479107040641E-2</v>
          </cell>
          <cell r="BF34">
            <v>2.5529479107040641E-2</v>
          </cell>
          <cell r="BG34">
            <v>2.6645410362374031E-2</v>
          </cell>
          <cell r="BH34">
            <v>2.5529479107040641E-2</v>
          </cell>
          <cell r="BI34">
            <v>2.5529479107040641E-2</v>
          </cell>
          <cell r="BJ34">
            <v>2.5529479107040641E-2</v>
          </cell>
          <cell r="BK34">
            <v>2.5529479107040641E-2</v>
          </cell>
          <cell r="BL34">
            <v>2.5529479107040634E-2</v>
          </cell>
          <cell r="BM34">
            <v>2.5529479107040641E-2</v>
          </cell>
          <cell r="BN34">
            <v>2.5529479107040641E-2</v>
          </cell>
          <cell r="BO34">
            <v>2.5529479107040641E-2</v>
          </cell>
          <cell r="BP34">
            <v>2.5529479107040641E-2</v>
          </cell>
          <cell r="BQ34">
            <v>2.5529479107040648E-2</v>
          </cell>
          <cell r="BR34">
            <v>0.03</v>
          </cell>
          <cell r="BS34">
            <v>0.03</v>
          </cell>
          <cell r="BT34">
            <v>0.03</v>
          </cell>
          <cell r="BU34">
            <v>0.03</v>
          </cell>
          <cell r="BZ34" t="str">
            <v>% of Total Revenue</v>
          </cell>
          <cell r="CA34">
            <v>2.9966919634170069E-2</v>
          </cell>
          <cell r="CB34">
            <v>2.3041474654377878E-2</v>
          </cell>
          <cell r="CC34">
            <v>2.7561016104931096E-2</v>
          </cell>
          <cell r="CD34">
            <v>2.1338019329735156E-2</v>
          </cell>
          <cell r="CE34">
            <v>2.4039871005570215E-2</v>
          </cell>
          <cell r="CF34">
            <v>2.6151131076528156E-2</v>
          </cell>
          <cell r="CG34">
            <v>2.3708544809844953E-2</v>
          </cell>
          <cell r="CH34">
            <v>2.0328020328020332E-2</v>
          </cell>
          <cell r="CI34">
            <v>1.9390309754062147E-2</v>
          </cell>
          <cell r="CJ34">
            <v>1.8990703851261618E-2</v>
          </cell>
          <cell r="CK34">
            <v>4.2782271846872506E-2</v>
          </cell>
          <cell r="CL34">
            <v>3.5666592477186732E-2</v>
          </cell>
          <cell r="CM34">
            <v>3.2627952755905514E-2</v>
          </cell>
          <cell r="CN34">
            <v>3.4726180558600432E-2</v>
          </cell>
          <cell r="CO34">
            <v>3.4245321026993368E-2</v>
          </cell>
          <cell r="CP34">
            <v>3.1421362489486966E-2</v>
          </cell>
          <cell r="CQ34">
            <v>2.6645410362374031E-2</v>
          </cell>
          <cell r="CR34">
            <v>2.5529479107040634E-2</v>
          </cell>
          <cell r="CS34">
            <v>2.5529479107040648E-2</v>
          </cell>
          <cell r="CT34">
            <v>0.03</v>
          </cell>
          <cell r="CU34">
            <v>0.03</v>
          </cell>
          <cell r="CV34">
            <v>0.03</v>
          </cell>
          <cell r="CW34">
            <v>0.03</v>
          </cell>
          <cell r="CY34">
            <v>2.5529479107040641E-2</v>
          </cell>
        </row>
        <row r="35">
          <cell r="C35" t="str">
            <v xml:space="preserve">______ </v>
          </cell>
          <cell r="D35" t="str">
            <v xml:space="preserve">______ </v>
          </cell>
          <cell r="E35" t="str">
            <v xml:space="preserve">______ </v>
          </cell>
          <cell r="F35" t="str">
            <v xml:space="preserve">______ </v>
          </cell>
          <cell r="G35" t="str">
            <v xml:space="preserve">______ </v>
          </cell>
          <cell r="H35" t="str">
            <v xml:space="preserve">______ </v>
          </cell>
          <cell r="I35" t="str">
            <v xml:space="preserve">______ </v>
          </cell>
          <cell r="J35" t="str">
            <v xml:space="preserve">______ </v>
          </cell>
          <cell r="K35" t="str">
            <v xml:space="preserve">______ </v>
          </cell>
          <cell r="L35" t="str">
            <v xml:space="preserve">______ </v>
          </cell>
          <cell r="M35" t="str">
            <v xml:space="preserve">______ </v>
          </cell>
          <cell r="N35" t="str">
            <v xml:space="preserve">______ </v>
          </cell>
          <cell r="O35" t="str">
            <v xml:space="preserve">______ </v>
          </cell>
          <cell r="P35" t="str">
            <v xml:space="preserve">______ </v>
          </cell>
          <cell r="Q35" t="str">
            <v xml:space="preserve">______ </v>
          </cell>
          <cell r="R35" t="str">
            <v xml:space="preserve">______ </v>
          </cell>
          <cell r="S35" t="str">
            <v xml:space="preserve">______ </v>
          </cell>
          <cell r="T35" t="str">
            <v xml:space="preserve">______ </v>
          </cell>
          <cell r="U35" t="str">
            <v xml:space="preserve">______ </v>
          </cell>
          <cell r="V35" t="str">
            <v xml:space="preserve">______ </v>
          </cell>
          <cell r="W35" t="str">
            <v xml:space="preserve">______ </v>
          </cell>
          <cell r="X35" t="str">
            <v xml:space="preserve">______ </v>
          </cell>
          <cell r="Y35" t="str">
            <v xml:space="preserve">______ </v>
          </cell>
          <cell r="Z35" t="str">
            <v xml:space="preserve">______ </v>
          </cell>
          <cell r="AA35" t="str">
            <v xml:space="preserve">______ </v>
          </cell>
          <cell r="AB35" t="str">
            <v xml:space="preserve">______ </v>
          </cell>
          <cell r="AC35" t="str">
            <v xml:space="preserve">______ </v>
          </cell>
          <cell r="AD35" t="str">
            <v xml:space="preserve">______ </v>
          </cell>
          <cell r="AE35" t="str">
            <v xml:space="preserve">______ </v>
          </cell>
          <cell r="AF35" t="str">
            <v xml:space="preserve">______ </v>
          </cell>
          <cell r="AG35" t="str">
            <v xml:space="preserve">______ </v>
          </cell>
          <cell r="AH35" t="str">
            <v xml:space="preserve">______ </v>
          </cell>
          <cell r="AI35" t="str">
            <v xml:space="preserve">______ </v>
          </cell>
          <cell r="AJ35" t="str">
            <v xml:space="preserve">______ </v>
          </cell>
          <cell r="AK35" t="str">
            <v xml:space="preserve">______ </v>
          </cell>
          <cell r="AL35" t="str">
            <v xml:space="preserve">______ </v>
          </cell>
          <cell r="AM35" t="str">
            <v xml:space="preserve">______ </v>
          </cell>
          <cell r="AN35" t="str">
            <v xml:space="preserve">______ </v>
          </cell>
          <cell r="AO35" t="str">
            <v xml:space="preserve">______ </v>
          </cell>
          <cell r="AP35" t="str">
            <v xml:space="preserve">______ </v>
          </cell>
          <cell r="AQ35" t="str">
            <v xml:space="preserve">______ </v>
          </cell>
          <cell r="AR35" t="str">
            <v xml:space="preserve">______ </v>
          </cell>
          <cell r="AS35" t="str">
            <v xml:space="preserve">______ </v>
          </cell>
          <cell r="AT35" t="str">
            <v xml:space="preserve">______ </v>
          </cell>
          <cell r="AU35" t="str">
            <v xml:space="preserve">______ </v>
          </cell>
          <cell r="AV35" t="str">
            <v xml:space="preserve">______ </v>
          </cell>
          <cell r="AW35" t="str">
            <v xml:space="preserve">______ </v>
          </cell>
          <cell r="AX35" t="str">
            <v xml:space="preserve">______ </v>
          </cell>
          <cell r="AY35" t="str">
            <v xml:space="preserve">______ </v>
          </cell>
          <cell r="AZ35" t="str">
            <v xml:space="preserve">______ </v>
          </cell>
          <cell r="BA35" t="str">
            <v xml:space="preserve">______ </v>
          </cell>
          <cell r="BB35" t="str">
            <v xml:space="preserve">______ </v>
          </cell>
          <cell r="BC35" t="str">
            <v xml:space="preserve">______ </v>
          </cell>
          <cell r="BD35" t="str">
            <v xml:space="preserve">______ </v>
          </cell>
          <cell r="BE35" t="str">
            <v xml:space="preserve">______ </v>
          </cell>
          <cell r="BF35" t="str">
            <v xml:space="preserve">______ </v>
          </cell>
          <cell r="BG35" t="str">
            <v xml:space="preserve">______ </v>
          </cell>
          <cell r="BH35" t="str">
            <v xml:space="preserve">______ </v>
          </cell>
          <cell r="BI35" t="str">
            <v xml:space="preserve">______ </v>
          </cell>
          <cell r="BJ35" t="str">
            <v xml:space="preserve">______ </v>
          </cell>
          <cell r="BK35" t="str">
            <v xml:space="preserve">______ </v>
          </cell>
          <cell r="BL35" t="str">
            <v xml:space="preserve">______ </v>
          </cell>
          <cell r="BM35" t="str">
            <v xml:space="preserve">______ </v>
          </cell>
          <cell r="BN35" t="str">
            <v xml:space="preserve">______ </v>
          </cell>
          <cell r="BO35" t="str">
            <v xml:space="preserve">______ </v>
          </cell>
          <cell r="BP35" t="str">
            <v xml:space="preserve">______ </v>
          </cell>
          <cell r="BQ35" t="str">
            <v xml:space="preserve">______ </v>
          </cell>
          <cell r="BR35" t="str">
            <v xml:space="preserve">______ </v>
          </cell>
          <cell r="BS35" t="str">
            <v xml:space="preserve">______ </v>
          </cell>
          <cell r="BT35" t="str">
            <v xml:space="preserve">______ </v>
          </cell>
          <cell r="BU35" t="str">
            <v xml:space="preserve">______ </v>
          </cell>
          <cell r="CA35" t="str">
            <v xml:space="preserve">______ </v>
          </cell>
          <cell r="CB35" t="str">
            <v xml:space="preserve">______ </v>
          </cell>
          <cell r="CC35" t="str">
            <v xml:space="preserve">______ </v>
          </cell>
          <cell r="CD35" t="str">
            <v xml:space="preserve">______ </v>
          </cell>
          <cell r="CE35" t="str">
            <v xml:space="preserve">______ </v>
          </cell>
          <cell r="CF35" t="str">
            <v xml:space="preserve">______ </v>
          </cell>
          <cell r="CG35" t="str">
            <v xml:space="preserve">______ </v>
          </cell>
          <cell r="CH35" t="str">
            <v xml:space="preserve">______ </v>
          </cell>
          <cell r="CI35" t="str">
            <v xml:space="preserve">______ </v>
          </cell>
          <cell r="CJ35" t="str">
            <v xml:space="preserve">______ </v>
          </cell>
          <cell r="CK35" t="str">
            <v xml:space="preserve">______ </v>
          </cell>
          <cell r="CL35" t="str">
            <v xml:space="preserve">______ </v>
          </cell>
          <cell r="CM35" t="str">
            <v xml:space="preserve">______ </v>
          </cell>
          <cell r="CN35" t="str">
            <v xml:space="preserve">______ </v>
          </cell>
          <cell r="CO35" t="str">
            <v xml:space="preserve">______ </v>
          </cell>
          <cell r="CP35" t="str">
            <v xml:space="preserve">______ </v>
          </cell>
          <cell r="CQ35" t="str">
            <v xml:space="preserve">______ </v>
          </cell>
          <cell r="CR35" t="str">
            <v xml:space="preserve">______ </v>
          </cell>
          <cell r="CS35" t="str">
            <v xml:space="preserve">______ </v>
          </cell>
          <cell r="CT35" t="str">
            <v xml:space="preserve">______ </v>
          </cell>
          <cell r="CU35" t="str">
            <v xml:space="preserve">______ </v>
          </cell>
          <cell r="CV35" t="str">
            <v xml:space="preserve">______ </v>
          </cell>
          <cell r="CW35" t="str">
            <v xml:space="preserve">______ </v>
          </cell>
          <cell r="CY35" t="str">
            <v xml:space="preserve">______ </v>
          </cell>
        </row>
        <row r="36">
          <cell r="A36" t="str">
            <v>Total Operating Expenses</v>
          </cell>
          <cell r="C36">
            <v>288.39999999999998</v>
          </cell>
          <cell r="D36">
            <v>293.8</v>
          </cell>
          <cell r="E36">
            <v>313.8</v>
          </cell>
          <cell r="F36">
            <v>398.2</v>
          </cell>
          <cell r="G36">
            <v>485.20000000000005</v>
          </cell>
          <cell r="H36">
            <v>583.5</v>
          </cell>
          <cell r="I36">
            <v>651.9</v>
          </cell>
          <cell r="J36">
            <v>178</v>
          </cell>
          <cell r="K36">
            <v>194</v>
          </cell>
          <cell r="L36">
            <v>189.20000000000002</v>
          </cell>
          <cell r="M36">
            <v>230.79999999999998</v>
          </cell>
          <cell r="N36">
            <v>792</v>
          </cell>
          <cell r="O36">
            <v>201.9</v>
          </cell>
          <cell r="P36">
            <v>222.3</v>
          </cell>
          <cell r="Q36">
            <v>226.70000000000002</v>
          </cell>
          <cell r="R36">
            <v>287.3</v>
          </cell>
          <cell r="S36">
            <v>938.2</v>
          </cell>
          <cell r="T36">
            <v>278.3</v>
          </cell>
          <cell r="U36">
            <v>282.40000000000003</v>
          </cell>
          <cell r="V36">
            <v>274.50000000000006</v>
          </cell>
          <cell r="W36">
            <v>242.79999999999998</v>
          </cell>
          <cell r="X36">
            <v>1078</v>
          </cell>
          <cell r="Y36">
            <v>232.10000000000002</v>
          </cell>
          <cell r="Z36">
            <v>254.10000000000002</v>
          </cell>
          <cell r="AA36">
            <v>245.39999999999998</v>
          </cell>
          <cell r="AB36">
            <v>278.10000000000002</v>
          </cell>
          <cell r="AC36">
            <v>1009.7</v>
          </cell>
          <cell r="AD36">
            <v>248.20000000000002</v>
          </cell>
          <cell r="AE36">
            <v>260.40000000000003</v>
          </cell>
          <cell r="AF36">
            <v>275.59999999999997</v>
          </cell>
          <cell r="AG36">
            <v>308.00000000000006</v>
          </cell>
          <cell r="AH36">
            <v>1092.2</v>
          </cell>
          <cell r="AI36">
            <v>280.5</v>
          </cell>
          <cell r="AJ36">
            <v>287.00000000000006</v>
          </cell>
          <cell r="AK36">
            <v>324.00000000000006</v>
          </cell>
          <cell r="AL36">
            <v>367.6</v>
          </cell>
          <cell r="AM36">
            <v>1259.1000000000001</v>
          </cell>
          <cell r="AN36">
            <v>326.99999999999994</v>
          </cell>
          <cell r="AO36">
            <v>335.2</v>
          </cell>
          <cell r="AP36">
            <v>335</v>
          </cell>
          <cell r="AQ36">
            <v>395.09999999999997</v>
          </cell>
          <cell r="AR36">
            <v>1392.3</v>
          </cell>
          <cell r="AS36">
            <v>377.79999999999995</v>
          </cell>
          <cell r="AT36">
            <v>362.30000000000007</v>
          </cell>
          <cell r="AU36">
            <v>418.80000000000007</v>
          </cell>
          <cell r="AV36">
            <v>481.8</v>
          </cell>
          <cell r="AW36">
            <v>1640.7</v>
          </cell>
          <cell r="AX36">
            <v>403.92537313432837</v>
          </cell>
          <cell r="AY36">
            <v>405.2</v>
          </cell>
          <cell r="AZ36">
            <v>413.99999999999994</v>
          </cell>
          <cell r="BA36">
            <v>467.30000000000007</v>
          </cell>
          <cell r="BB36">
            <v>1690.4253731343283</v>
          </cell>
          <cell r="BC36">
            <v>434.2</v>
          </cell>
          <cell r="BD36">
            <v>461.8</v>
          </cell>
          <cell r="BE36">
            <v>424.27782131058956</v>
          </cell>
          <cell r="BF36">
            <v>472.12431383966532</v>
          </cell>
          <cell r="BG36">
            <v>1792.4021351502549</v>
          </cell>
          <cell r="BH36">
            <v>459.9560879901652</v>
          </cell>
          <cell r="BI36">
            <v>515.0777020264137</v>
          </cell>
          <cell r="BJ36">
            <v>446.94753476149958</v>
          </cell>
          <cell r="BK36">
            <v>497.91066772017882</v>
          </cell>
          <cell r="BL36">
            <v>1919.891992498257</v>
          </cell>
          <cell r="BM36">
            <v>484.20345128819002</v>
          </cell>
          <cell r="BN36">
            <v>540.6958150952064</v>
          </cell>
          <cell r="BO36">
            <v>471.61186656983921</v>
          </cell>
          <cell r="BP36">
            <v>526.04043897239023</v>
          </cell>
          <cell r="BQ36">
            <v>2022.5515719256259</v>
          </cell>
          <cell r="BR36">
            <v>2116.4449890383198</v>
          </cell>
          <cell r="BS36">
            <v>2202.2309484970874</v>
          </cell>
          <cell r="BT36">
            <v>2295.7041658163243</v>
          </cell>
          <cell r="BU36">
            <v>2397.6068351233739</v>
          </cell>
          <cell r="BZ36" t="str">
            <v>Total Operating Expenses</v>
          </cell>
          <cell r="CA36">
            <v>288.39999999999998</v>
          </cell>
          <cell r="CB36">
            <v>293.8</v>
          </cell>
          <cell r="CC36">
            <v>313.8</v>
          </cell>
          <cell r="CD36">
            <v>398.2</v>
          </cell>
          <cell r="CE36">
            <v>485.20000000000005</v>
          </cell>
          <cell r="CF36">
            <v>583.5</v>
          </cell>
          <cell r="CG36">
            <v>651.9</v>
          </cell>
          <cell r="CH36">
            <v>792</v>
          </cell>
          <cell r="CI36">
            <v>938.2</v>
          </cell>
          <cell r="CJ36">
            <v>1078</v>
          </cell>
          <cell r="CK36">
            <v>1009.7</v>
          </cell>
          <cell r="CL36">
            <v>1092.2</v>
          </cell>
          <cell r="CM36">
            <v>1259.1000000000001</v>
          </cell>
          <cell r="CN36">
            <v>1392.3</v>
          </cell>
          <cell r="CO36">
            <v>1640.7</v>
          </cell>
          <cell r="CP36">
            <v>1690.4253731343283</v>
          </cell>
          <cell r="CQ36">
            <v>1792.4021351502549</v>
          </cell>
          <cell r="CR36">
            <v>1919.891992498257</v>
          </cell>
          <cell r="CS36">
            <v>2022.5515719256259</v>
          </cell>
          <cell r="CT36">
            <v>2116.4449890383198</v>
          </cell>
          <cell r="CU36">
            <v>2202.2309484970874</v>
          </cell>
          <cell r="CV36">
            <v>2295.7041658163243</v>
          </cell>
          <cell r="CW36">
            <v>2397.6068351233739</v>
          </cell>
          <cell r="CY36">
            <v>1871.4359251668338</v>
          </cell>
        </row>
        <row r="37">
          <cell r="A37" t="str">
            <v>Annual Growth</v>
          </cell>
          <cell r="D37">
            <v>1.8723994452150006E-2</v>
          </cell>
          <cell r="E37">
            <v>6.8073519400952964E-2</v>
          </cell>
          <cell r="F37">
            <v>0.2689611217335881</v>
          </cell>
          <cell r="G37">
            <v>0.21848317428427944</v>
          </cell>
          <cell r="H37">
            <v>0.20259686727122816</v>
          </cell>
          <cell r="I37">
            <v>0.11722365038560412</v>
          </cell>
          <cell r="J37" t="str">
            <v>NM</v>
          </cell>
          <cell r="K37" t="str">
            <v>NM</v>
          </cell>
          <cell r="L37" t="str">
            <v>NM</v>
          </cell>
          <cell r="M37" t="str">
            <v>NM</v>
          </cell>
          <cell r="N37">
            <v>0.21491026231017041</v>
          </cell>
          <cell r="O37">
            <v>0.13426966292134845</v>
          </cell>
          <cell r="P37">
            <v>0.14587628865979396</v>
          </cell>
          <cell r="Q37">
            <v>0.19820295983086678</v>
          </cell>
          <cell r="R37">
            <v>0.24480069324090126</v>
          </cell>
          <cell r="S37">
            <v>0.18459595959595965</v>
          </cell>
          <cell r="T37">
            <v>0.37840515106488359</v>
          </cell>
          <cell r="U37">
            <v>0.27035537561853351</v>
          </cell>
          <cell r="V37">
            <v>0.21085134539038397</v>
          </cell>
          <cell r="W37">
            <v>-0.15489035851026811</v>
          </cell>
          <cell r="X37">
            <v>0.14900874014069498</v>
          </cell>
          <cell r="Y37">
            <v>-0.16600790513833985</v>
          </cell>
          <cell r="Z37">
            <v>-0.10021246458923516</v>
          </cell>
          <cell r="AA37">
            <v>-0.10601092896174891</v>
          </cell>
          <cell r="AB37">
            <v>0.1453871499176278</v>
          </cell>
          <cell r="AC37">
            <v>-6.3358070500927566E-2</v>
          </cell>
          <cell r="AD37">
            <v>6.936665230504091E-2</v>
          </cell>
          <cell r="AE37">
            <v>2.4793388429752206E-2</v>
          </cell>
          <cell r="AF37">
            <v>0.12306438467807657</v>
          </cell>
          <cell r="AG37">
            <v>0.10751528227256402</v>
          </cell>
          <cell r="AH37">
            <v>8.1707437852827525E-2</v>
          </cell>
          <cell r="AI37">
            <v>0.13013698630136972</v>
          </cell>
          <cell r="AJ37">
            <v>0.10215053763440873</v>
          </cell>
          <cell r="AK37">
            <v>0.17561683599419475</v>
          </cell>
          <cell r="AL37">
            <v>0.1935064935064934</v>
          </cell>
          <cell r="AM37">
            <v>0.15281084050540206</v>
          </cell>
          <cell r="AN37">
            <v>0.16577540106951849</v>
          </cell>
          <cell r="AO37">
            <v>0.16794425087107978</v>
          </cell>
          <cell r="AP37">
            <v>3.3950617283950546E-2</v>
          </cell>
          <cell r="AQ37">
            <v>7.4809575625679914E-2</v>
          </cell>
          <cell r="AR37">
            <v>0.10578984989278051</v>
          </cell>
          <cell r="AS37">
            <v>0.15535168195718652</v>
          </cell>
          <cell r="AT37">
            <v>8.084725536992865E-2</v>
          </cell>
          <cell r="AU37">
            <v>0.25014925373134345</v>
          </cell>
          <cell r="AV37">
            <v>0.21943811693242221</v>
          </cell>
          <cell r="AW37">
            <v>0.17840982546864903</v>
          </cell>
          <cell r="AX37">
            <v>6.9151331747825395E-2</v>
          </cell>
          <cell r="AY37">
            <v>0.11841015732818083</v>
          </cell>
          <cell r="AZ37">
            <v>-1.1461318051576241E-2</v>
          </cell>
          <cell r="BA37">
            <v>-3.0095475300954688E-2</v>
          </cell>
          <cell r="BB37">
            <v>3.0307413381074122E-2</v>
          </cell>
          <cell r="BC37">
            <v>7.4951040165539551E-2</v>
          </cell>
          <cell r="BD37">
            <v>0.13968410661401776</v>
          </cell>
          <cell r="BE37">
            <v>2.482565533958847E-2</v>
          </cell>
          <cell r="BF37">
            <v>1.0323804493184818E-2</v>
          </cell>
          <cell r="BG37">
            <v>6.0326095216403974E-2</v>
          </cell>
          <cell r="BH37">
            <v>5.9318489152844878E-2</v>
          </cell>
          <cell r="BI37">
            <v>0.11536964492510537</v>
          </cell>
          <cell r="BJ37">
            <v>5.3431295043619098E-2</v>
          </cell>
          <cell r="BK37">
            <v>5.4617720639718259E-2</v>
          </cell>
          <cell r="BL37">
            <v>7.1127932090593537E-2</v>
          </cell>
          <cell r="BM37">
            <v>5.2716691725892106E-2</v>
          </cell>
          <cell r="BN37">
            <v>4.9736404756032249E-2</v>
          </cell>
          <cell r="BO37">
            <v>5.5183953126626051E-2</v>
          </cell>
          <cell r="BP37">
            <v>5.6495618744244469E-2</v>
          </cell>
          <cell r="BQ37">
            <v>5.3471538934741547E-2</v>
          </cell>
          <cell r="BR37">
            <v>4.6423249926477839E-2</v>
          </cell>
          <cell r="BS37">
            <v>4.0533044753384928E-2</v>
          </cell>
          <cell r="BT37">
            <v>4.244478417807529E-2</v>
          </cell>
          <cell r="BU37">
            <v>4.4388415033787432E-2</v>
          </cell>
          <cell r="BZ37" t="str">
            <v>Annual Growth</v>
          </cell>
          <cell r="CA37">
            <v>0</v>
          </cell>
          <cell r="CB37">
            <v>1.8723994452150006E-2</v>
          </cell>
          <cell r="CC37">
            <v>6.8073519400952964E-2</v>
          </cell>
          <cell r="CD37">
            <v>0.2689611217335881</v>
          </cell>
          <cell r="CE37">
            <v>0.21848317428427944</v>
          </cell>
          <cell r="CF37">
            <v>0.20259686727122816</v>
          </cell>
          <cell r="CG37">
            <v>0.11722365038560412</v>
          </cell>
          <cell r="CH37">
            <v>0.21491026231017041</v>
          </cell>
          <cell r="CI37">
            <v>0.18459595959595965</v>
          </cell>
          <cell r="CJ37">
            <v>0.14900874014069498</v>
          </cell>
          <cell r="CK37">
            <v>-6.3358070500927566E-2</v>
          </cell>
          <cell r="CL37">
            <v>8.1707437852827525E-2</v>
          </cell>
          <cell r="CM37">
            <v>0.15281084050540206</v>
          </cell>
          <cell r="CN37">
            <v>0.10578984989278051</v>
          </cell>
          <cell r="CO37">
            <v>0.17840982546864903</v>
          </cell>
          <cell r="CP37">
            <v>3.0307413381074122E-2</v>
          </cell>
          <cell r="CQ37">
            <v>6.0326095216403974E-2</v>
          </cell>
          <cell r="CR37">
            <v>7.1127932090593537E-2</v>
          </cell>
          <cell r="CS37">
            <v>5.3471538934741547E-2</v>
          </cell>
          <cell r="CT37">
            <v>4.6423249926477839E-2</v>
          </cell>
          <cell r="CU37">
            <v>4.0533044753384928E-2</v>
          </cell>
          <cell r="CV37">
            <v>4.244478417807529E-2</v>
          </cell>
          <cell r="CW37">
            <v>4.4388415033787432E-2</v>
          </cell>
        </row>
        <row r="39">
          <cell r="A39" t="str">
            <v>Income from Operations</v>
          </cell>
          <cell r="C39">
            <v>225.50000000000011</v>
          </cell>
          <cell r="D39">
            <v>270.40000000000003</v>
          </cell>
          <cell r="E39">
            <v>288.50000000000006</v>
          </cell>
          <cell r="F39">
            <v>398.50000000000006</v>
          </cell>
          <cell r="G39">
            <v>538.1</v>
          </cell>
          <cell r="H39">
            <v>663.10000000000014</v>
          </cell>
          <cell r="I39">
            <v>786.4000000000002</v>
          </cell>
          <cell r="J39">
            <v>212.5</v>
          </cell>
          <cell r="K39">
            <v>252.8</v>
          </cell>
          <cell r="L39">
            <v>231.89999999999989</v>
          </cell>
          <cell r="M39">
            <v>242.39999999999995</v>
          </cell>
          <cell r="N39">
            <v>939.59999999999991</v>
          </cell>
          <cell r="O39">
            <v>238.30000000000004</v>
          </cell>
          <cell r="P39">
            <v>289.09999999999997</v>
          </cell>
          <cell r="Q39">
            <v>268.79999999999995</v>
          </cell>
          <cell r="R39">
            <v>302.7</v>
          </cell>
          <cell r="S39">
            <v>1098.8999999999999</v>
          </cell>
          <cell r="T39">
            <v>304.7</v>
          </cell>
          <cell r="U39">
            <v>363.69999999999987</v>
          </cell>
          <cell r="V39">
            <v>250.49999999999994</v>
          </cell>
          <cell r="W39">
            <v>262.10000000000002</v>
          </cell>
          <cell r="X39">
            <v>1181</v>
          </cell>
          <cell r="Y39">
            <v>198.59999999999997</v>
          </cell>
          <cell r="Z39">
            <v>233.49999999999994</v>
          </cell>
          <cell r="AA39">
            <v>188.00000000000006</v>
          </cell>
          <cell r="AB39">
            <v>125.59999999999997</v>
          </cell>
          <cell r="AC39">
            <v>745.69999999999982</v>
          </cell>
          <cell r="AD39">
            <v>160.69999999999996</v>
          </cell>
          <cell r="AE39">
            <v>190.2999999999999</v>
          </cell>
          <cell r="AF39">
            <v>176.20000000000005</v>
          </cell>
          <cell r="AG39">
            <v>177.7999999999999</v>
          </cell>
          <cell r="AH39">
            <v>705</v>
          </cell>
          <cell r="AI39">
            <v>196.10000000000002</v>
          </cell>
          <cell r="AJ39">
            <v>190.79999999999995</v>
          </cell>
          <cell r="AK39">
            <v>189.3</v>
          </cell>
          <cell r="AL39">
            <v>196.70000000000005</v>
          </cell>
          <cell r="AM39">
            <v>772.89999999999986</v>
          </cell>
          <cell r="AN39">
            <v>250.10000000000008</v>
          </cell>
          <cell r="AO39">
            <v>269.99999999999994</v>
          </cell>
          <cell r="AP39">
            <v>196.29999999999995</v>
          </cell>
          <cell r="AQ39">
            <v>172.00000000000017</v>
          </cell>
          <cell r="AR39">
            <v>888.39999999999986</v>
          </cell>
          <cell r="AS39">
            <v>269.00000000000011</v>
          </cell>
          <cell r="AT39">
            <v>278.49999999999989</v>
          </cell>
          <cell r="AU39">
            <v>269.69999999999993</v>
          </cell>
          <cell r="AV39">
            <v>272.40000000000015</v>
          </cell>
          <cell r="AW39">
            <v>1089.6000000000001</v>
          </cell>
          <cell r="AX39">
            <v>327.8746268656717</v>
          </cell>
          <cell r="AY39">
            <v>350.8</v>
          </cell>
          <cell r="AZ39">
            <v>291.50000000000006</v>
          </cell>
          <cell r="BA39">
            <v>311.89999999999998</v>
          </cell>
          <cell r="BB39">
            <v>1282.0746268656717</v>
          </cell>
          <cell r="BC39">
            <v>333.00000000000006</v>
          </cell>
          <cell r="BD39">
            <v>411.7</v>
          </cell>
          <cell r="BE39">
            <v>290.94399868941042</v>
          </cell>
          <cell r="BF39">
            <v>320.69946521488021</v>
          </cell>
          <cell r="BG39">
            <v>1356.3434639042905</v>
          </cell>
          <cell r="BH39">
            <v>318.49755870583488</v>
          </cell>
          <cell r="BI39">
            <v>364.75078772758627</v>
          </cell>
          <cell r="BJ39">
            <v>300.77426256750027</v>
          </cell>
          <cell r="BK39">
            <v>331.59299069503334</v>
          </cell>
          <cell r="BL39">
            <v>1315.6155996959556</v>
          </cell>
          <cell r="BM39">
            <v>328.99638878078991</v>
          </cell>
          <cell r="BN39">
            <v>375.94294624435372</v>
          </cell>
          <cell r="BO39">
            <v>311.23621785640842</v>
          </cell>
          <cell r="BP39">
            <v>343.21927451626209</v>
          </cell>
          <cell r="BQ39">
            <v>1359.3948273978135</v>
          </cell>
          <cell r="BR39">
            <v>1399.6230413275694</v>
          </cell>
          <cell r="BS39">
            <v>1459.1482361902154</v>
          </cell>
          <cell r="BT39">
            <v>1523.3082842297463</v>
          </cell>
          <cell r="BU39">
            <v>1592.6151324462271</v>
          </cell>
          <cell r="BZ39" t="str">
            <v>Income from Operations</v>
          </cell>
          <cell r="CA39">
            <v>225.50000000000011</v>
          </cell>
          <cell r="CB39">
            <v>270.40000000000003</v>
          </cell>
          <cell r="CC39">
            <v>288.50000000000006</v>
          </cell>
          <cell r="CD39">
            <v>398.50000000000006</v>
          </cell>
          <cell r="CE39">
            <v>538.1</v>
          </cell>
          <cell r="CF39">
            <v>663.10000000000014</v>
          </cell>
          <cell r="CG39">
            <v>786.4000000000002</v>
          </cell>
          <cell r="CH39">
            <v>939.59999999999991</v>
          </cell>
          <cell r="CI39">
            <v>1098.8999999999999</v>
          </cell>
          <cell r="CJ39">
            <v>1181</v>
          </cell>
          <cell r="CK39">
            <v>745.69999999999982</v>
          </cell>
          <cell r="CL39">
            <v>705</v>
          </cell>
          <cell r="CM39">
            <v>772.89999999999986</v>
          </cell>
          <cell r="CN39">
            <v>888.39999999999986</v>
          </cell>
          <cell r="CO39">
            <v>1089.6000000000001</v>
          </cell>
          <cell r="CP39">
            <v>1282.0746268656717</v>
          </cell>
          <cell r="CQ39">
            <v>1356.3434639042905</v>
          </cell>
          <cell r="CR39">
            <v>1315.6155996959556</v>
          </cell>
          <cell r="CS39">
            <v>1359.3948273978135</v>
          </cell>
          <cell r="CT39">
            <v>1399.6230413275694</v>
          </cell>
          <cell r="CU39">
            <v>1459.1482361902154</v>
          </cell>
          <cell r="CV39">
            <v>1523.3082842297463</v>
          </cell>
          <cell r="CW39">
            <v>1592.6151324462271</v>
          </cell>
          <cell r="CY39">
            <v>1294.8918103377118</v>
          </cell>
        </row>
        <row r="40">
          <cell r="A40" t="str">
            <v>Operating Margin</v>
          </cell>
          <cell r="C40">
            <v>0.43880132321463333</v>
          </cell>
          <cell r="D40">
            <v>0.47926267281105994</v>
          </cell>
          <cell r="E40">
            <v>0.47899717748630255</v>
          </cell>
          <cell r="F40">
            <v>0.50018827664114474</v>
          </cell>
          <cell r="G40">
            <v>0.52584774748363139</v>
          </cell>
          <cell r="H40">
            <v>0.53192684100754051</v>
          </cell>
          <cell r="I40">
            <v>0.54675658763818402</v>
          </cell>
          <cell r="J40">
            <v>0.54417413572343154</v>
          </cell>
          <cell r="K40">
            <v>0.56580125335720677</v>
          </cell>
          <cell r="L40">
            <v>0.55070054618855369</v>
          </cell>
          <cell r="M40">
            <v>0.51225697379543533</v>
          </cell>
          <cell r="N40">
            <v>0.54261954261954259</v>
          </cell>
          <cell r="O40">
            <v>0.54134484325306687</v>
          </cell>
          <cell r="P40">
            <v>0.56531091122409072</v>
          </cell>
          <cell r="Q40">
            <v>0.54248234106962656</v>
          </cell>
          <cell r="R40">
            <v>0.51305084745762708</v>
          </cell>
          <cell r="S40">
            <v>0.53944332629718716</v>
          </cell>
          <cell r="T40">
            <v>0.52264150943396226</v>
          </cell>
          <cell r="U40">
            <v>0.56291595728215438</v>
          </cell>
          <cell r="V40">
            <v>0.47714285714285704</v>
          </cell>
          <cell r="W40">
            <v>0.51911269558328388</v>
          </cell>
          <cell r="X40">
            <v>0.52279769809650289</v>
          </cell>
          <cell r="Y40">
            <v>0.46110982122126765</v>
          </cell>
          <cell r="Z40">
            <v>0.4788761279737489</v>
          </cell>
          <cell r="AA40">
            <v>0.43377941855099228</v>
          </cell>
          <cell r="AB40">
            <v>0.3111221203864255</v>
          </cell>
          <cell r="AC40">
            <v>0.42480346359804028</v>
          </cell>
          <cell r="AD40">
            <v>0.39300562484715079</v>
          </cell>
          <cell r="AE40">
            <v>0.42223208342578195</v>
          </cell>
          <cell r="AF40">
            <v>0.38999557326250561</v>
          </cell>
          <cell r="AG40">
            <v>0.36599423631123901</v>
          </cell>
          <cell r="AH40">
            <v>0.39227687513910525</v>
          </cell>
          <cell r="AI40">
            <v>0.4114561477129669</v>
          </cell>
          <cell r="AJ40">
            <v>0.39933026370866459</v>
          </cell>
          <cell r="AK40">
            <v>0.36879018118059609</v>
          </cell>
          <cell r="AL40">
            <v>0.34857345383661176</v>
          </cell>
          <cell r="AM40">
            <v>0.38036417322834637</v>
          </cell>
          <cell r="AN40">
            <v>0.43337376537861733</v>
          </cell>
          <cell r="AO40">
            <v>0.4461335095836087</v>
          </cell>
          <cell r="AP40">
            <v>0.36947110860154331</v>
          </cell>
          <cell r="AQ40">
            <v>0.30329747839887167</v>
          </cell>
          <cell r="AR40">
            <v>0.38952953040733107</v>
          </cell>
          <cell r="AS40">
            <v>0.41589363017934461</v>
          </cell>
          <cell r="AT40">
            <v>0.43461298377028701</v>
          </cell>
          <cell r="AU40">
            <v>0.39172113289760341</v>
          </cell>
          <cell r="AV40">
            <v>0.36117740652346869</v>
          </cell>
          <cell r="AW40">
            <v>0.39907702450280191</v>
          </cell>
          <cell r="AX40">
            <v>0.44803857183065271</v>
          </cell>
          <cell r="AY40">
            <v>0.46402116402116406</v>
          </cell>
          <cell r="AZ40">
            <v>0.41318214032601003</v>
          </cell>
          <cell r="BA40">
            <v>0.40028234086242293</v>
          </cell>
          <cell r="BB40">
            <v>0.43131190138458259</v>
          </cell>
          <cell r="BC40">
            <v>0.43404588112617315</v>
          </cell>
          <cell r="BD40">
            <v>0.47132226674298794</v>
          </cell>
          <cell r="BE40">
            <v>0.40678848233322973</v>
          </cell>
          <cell r="BF40">
            <v>0.40450283365279383</v>
          </cell>
          <cell r="BG40">
            <v>0.43075676368124227</v>
          </cell>
          <cell r="BH40">
            <v>0.40914132788463103</v>
          </cell>
          <cell r="BI40">
            <v>0.41457033043970942</v>
          </cell>
          <cell r="BJ40">
            <v>0.40225423899894508</v>
          </cell>
          <cell r="BK40">
            <v>0.39974867781602097</v>
          </cell>
          <cell r="BL40">
            <v>0.40661799183223341</v>
          </cell>
          <cell r="BM40">
            <v>0.40457015922787526</v>
          </cell>
          <cell r="BN40">
            <v>0.41013206303315952</v>
          </cell>
          <cell r="BO40">
            <v>0.39756911212794832</v>
          </cell>
          <cell r="BP40">
            <v>0.3948408849396684</v>
          </cell>
          <cell r="BQ40">
            <v>0.40195634906270583</v>
          </cell>
          <cell r="BR40">
            <v>0.39806483527621672</v>
          </cell>
          <cell r="BS40">
            <v>0.39852420702359809</v>
          </cell>
          <cell r="BT40">
            <v>0.39887491966970934</v>
          </cell>
          <cell r="BU40">
            <v>0.39912945830837349</v>
          </cell>
          <cell r="BZ40" t="str">
            <v>Operating Margin</v>
          </cell>
          <cell r="CA40">
            <v>0.43880132321463333</v>
          </cell>
          <cell r="CB40">
            <v>0.47926267281105994</v>
          </cell>
          <cell r="CC40">
            <v>0.47899717748630255</v>
          </cell>
          <cell r="CD40">
            <v>0.50018827664114474</v>
          </cell>
          <cell r="CE40">
            <v>0.52584774748363139</v>
          </cell>
          <cell r="CF40">
            <v>0.53192684100754051</v>
          </cell>
          <cell r="CG40">
            <v>0.54675658763818402</v>
          </cell>
          <cell r="CH40">
            <v>0.54261954261954259</v>
          </cell>
          <cell r="CI40">
            <v>0.53944332629718716</v>
          </cell>
          <cell r="CJ40">
            <v>0.52279769809650289</v>
          </cell>
          <cell r="CK40">
            <v>0.42480346359804028</v>
          </cell>
          <cell r="CL40">
            <v>0.39227687513910525</v>
          </cell>
          <cell r="CM40">
            <v>0.38036417322834637</v>
          </cell>
          <cell r="CN40">
            <v>0.38952953040733107</v>
          </cell>
          <cell r="CO40">
            <v>0.39907702450280191</v>
          </cell>
          <cell r="CP40">
            <v>0.43131190138458259</v>
          </cell>
          <cell r="CQ40">
            <v>0.43075676368124227</v>
          </cell>
          <cell r="CR40">
            <v>0.40661799183223341</v>
          </cell>
          <cell r="CS40">
            <v>0.40195634906270583</v>
          </cell>
          <cell r="CT40">
            <v>0.39806483527621672</v>
          </cell>
          <cell r="CU40">
            <v>0.39852420702359809</v>
          </cell>
          <cell r="CV40">
            <v>0.39887491966970934</v>
          </cell>
          <cell r="CW40">
            <v>0.39912945830837349</v>
          </cell>
          <cell r="CY40">
            <v>0.4089569742948212</v>
          </cell>
        </row>
        <row r="42">
          <cell r="A42" t="str">
            <v>Interest income</v>
          </cell>
          <cell r="C42">
            <v>0</v>
          </cell>
          <cell r="D42">
            <v>0</v>
          </cell>
          <cell r="E42">
            <v>2.2000000000000002</v>
          </cell>
          <cell r="F42">
            <v>6.5</v>
          </cell>
          <cell r="G42">
            <v>2.2999999999999998</v>
          </cell>
          <cell r="H42">
            <v>1.7</v>
          </cell>
          <cell r="I42">
            <v>6.8</v>
          </cell>
          <cell r="J42">
            <v>4.5</v>
          </cell>
          <cell r="K42">
            <v>6.2</v>
          </cell>
          <cell r="L42">
            <v>8.6</v>
          </cell>
          <cell r="M42">
            <v>6.6999999999999993</v>
          </cell>
          <cell r="N42">
            <v>25.999999999999996</v>
          </cell>
          <cell r="O42">
            <v>6.3</v>
          </cell>
          <cell r="P42">
            <v>4.7</v>
          </cell>
          <cell r="Q42">
            <v>2.7</v>
          </cell>
          <cell r="R42">
            <v>4.5000000000000009</v>
          </cell>
          <cell r="S42">
            <v>18.2</v>
          </cell>
          <cell r="T42">
            <v>5.4</v>
          </cell>
          <cell r="U42">
            <v>3.2</v>
          </cell>
          <cell r="V42">
            <v>5.2</v>
          </cell>
          <cell r="W42">
            <v>5.5000000000000018</v>
          </cell>
          <cell r="X42">
            <v>19.300000000000004</v>
          </cell>
          <cell r="Y42">
            <v>7</v>
          </cell>
          <cell r="Z42">
            <v>3.2</v>
          </cell>
          <cell r="AA42">
            <v>5.0999999999999996</v>
          </cell>
          <cell r="AB42">
            <v>2.8000000000000007</v>
          </cell>
          <cell r="AC42">
            <v>18.100000000000001</v>
          </cell>
          <cell r="AD42">
            <v>0.8</v>
          </cell>
          <cell r="AE42">
            <v>0.6</v>
          </cell>
          <cell r="AF42">
            <v>0.6</v>
          </cell>
          <cell r="AG42">
            <v>0.50000000000000011</v>
          </cell>
          <cell r="AH42">
            <v>2.5</v>
          </cell>
          <cell r="AI42">
            <v>0.6</v>
          </cell>
          <cell r="AJ42">
            <v>0.5</v>
          </cell>
          <cell r="AK42">
            <v>0.8</v>
          </cell>
          <cell r="AL42">
            <v>3.1</v>
          </cell>
          <cell r="AM42">
            <v>5</v>
          </cell>
          <cell r="AN42">
            <v>1</v>
          </cell>
          <cell r="AO42">
            <v>1.3</v>
          </cell>
          <cell r="AP42">
            <v>1.6</v>
          </cell>
          <cell r="AQ42">
            <v>1.4</v>
          </cell>
          <cell r="AR42">
            <v>5.3</v>
          </cell>
          <cell r="AS42">
            <v>1.3</v>
          </cell>
          <cell r="AT42">
            <v>1.2</v>
          </cell>
          <cell r="AU42">
            <v>1.2</v>
          </cell>
          <cell r="AV42">
            <v>1.5000000000000002</v>
          </cell>
          <cell r="AW42">
            <v>5.2</v>
          </cell>
          <cell r="AX42">
            <v>1.2</v>
          </cell>
          <cell r="AY42">
            <v>1.2</v>
          </cell>
          <cell r="AZ42">
            <v>1.6</v>
          </cell>
          <cell r="BA42">
            <v>1.4999999999999996</v>
          </cell>
          <cell r="BB42">
            <v>5.5</v>
          </cell>
          <cell r="BC42">
            <v>1.6</v>
          </cell>
          <cell r="BD42">
            <v>1.7</v>
          </cell>
          <cell r="BE42">
            <v>4.8982500000000009</v>
          </cell>
          <cell r="BF42">
            <v>4.6527590332854212</v>
          </cell>
          <cell r="BG42">
            <v>12.851009033285422</v>
          </cell>
          <cell r="BH42">
            <v>4.6575589935007802</v>
          </cell>
          <cell r="BI42">
            <v>4.3736101375529257</v>
          </cell>
          <cell r="BJ42">
            <v>4.6058783394489708</v>
          </cell>
          <cell r="BK42">
            <v>4.6321660003372003</v>
          </cell>
          <cell r="BL42">
            <v>18.269213470839876</v>
          </cell>
          <cell r="BM42">
            <v>5.0216215957158763</v>
          </cell>
          <cell r="BN42">
            <v>4.4096573309905986</v>
          </cell>
          <cell r="BO42">
            <v>4.3429564109694621</v>
          </cell>
          <cell r="BP42">
            <v>4.0655484594365792</v>
          </cell>
          <cell r="BQ42">
            <v>17.839783797112517</v>
          </cell>
          <cell r="BR42">
            <v>16.694711222349891</v>
          </cell>
          <cell r="BS42">
            <v>13.773575701188147</v>
          </cell>
          <cell r="BT42">
            <v>11.394477257731847</v>
          </cell>
          <cell r="BU42">
            <v>9.6066012532438592</v>
          </cell>
          <cell r="BZ42" t="str">
            <v>Interest income</v>
          </cell>
          <cell r="CA42">
            <v>0</v>
          </cell>
          <cell r="CB42">
            <v>0</v>
          </cell>
          <cell r="CC42">
            <v>2.2000000000000002</v>
          </cell>
          <cell r="CD42">
            <v>6.5</v>
          </cell>
          <cell r="CE42">
            <v>2.2999999999999998</v>
          </cell>
          <cell r="CF42">
            <v>1.7</v>
          </cell>
          <cell r="CG42">
            <v>6.8</v>
          </cell>
          <cell r="CH42">
            <v>25.999999999999996</v>
          </cell>
          <cell r="CI42">
            <v>18.2</v>
          </cell>
          <cell r="CJ42">
            <v>19.300000000000004</v>
          </cell>
          <cell r="CK42">
            <v>18.100000000000001</v>
          </cell>
          <cell r="CL42">
            <v>2.5</v>
          </cell>
          <cell r="CM42">
            <v>5</v>
          </cell>
          <cell r="CN42">
            <v>5.3</v>
          </cell>
          <cell r="CO42">
            <v>5.2</v>
          </cell>
          <cell r="CP42">
            <v>5.5</v>
          </cell>
          <cell r="CQ42">
            <v>12.851009033285422</v>
          </cell>
          <cell r="CR42">
            <v>18.269213470839876</v>
          </cell>
          <cell r="CS42">
            <v>17.839783797112517</v>
          </cell>
          <cell r="CT42">
            <v>16.694711222349891</v>
          </cell>
          <cell r="CU42">
            <v>13.773575701188147</v>
          </cell>
          <cell r="CV42">
            <v>11.394477257731847</v>
          </cell>
          <cell r="CW42">
            <v>9.6066012532438592</v>
          </cell>
          <cell r="CY42">
            <v>18.582178164339126</v>
          </cell>
          <cell r="DA42" t="str">
            <v>mstag:interestIncome</v>
          </cell>
          <cell r="DB42">
            <v>6</v>
          </cell>
          <cell r="DC42" t="str">
            <v>ISO4217:USD</v>
          </cell>
          <cell r="DD42" t="b">
            <v>0</v>
          </cell>
        </row>
        <row r="43">
          <cell r="A43" t="str">
            <v xml:space="preserve">Interest expense </v>
          </cell>
          <cell r="C43">
            <v>0</v>
          </cell>
          <cell r="D43">
            <v>0</v>
          </cell>
          <cell r="E43">
            <v>-5.8000000000000007</v>
          </cell>
          <cell r="F43">
            <v>-23</v>
          </cell>
          <cell r="G43">
            <v>-23.5</v>
          </cell>
          <cell r="H43">
            <v>-23.5</v>
          </cell>
          <cell r="I43">
            <v>-23</v>
          </cell>
          <cell r="J43">
            <v>-5.7</v>
          </cell>
          <cell r="K43">
            <v>-5.8</v>
          </cell>
          <cell r="L43">
            <v>-5.7</v>
          </cell>
          <cell r="M43">
            <v>-3.8000000000000007</v>
          </cell>
          <cell r="N43">
            <v>-21</v>
          </cell>
          <cell r="O43">
            <v>-3.8</v>
          </cell>
          <cell r="P43">
            <v>-3.8</v>
          </cell>
          <cell r="Q43">
            <v>-3.8000000000000003</v>
          </cell>
          <cell r="R43">
            <v>-3.7999999999999989</v>
          </cell>
          <cell r="S43">
            <v>-15.2</v>
          </cell>
          <cell r="T43">
            <v>-7.5</v>
          </cell>
          <cell r="U43">
            <v>-11.899999999999999</v>
          </cell>
          <cell r="V43">
            <v>-16.399999999999999</v>
          </cell>
          <cell r="W43">
            <v>-25.300000000000004</v>
          </cell>
          <cell r="X43">
            <v>-61.1</v>
          </cell>
          <cell r="Y43">
            <v>-18.5</v>
          </cell>
          <cell r="Z43">
            <v>-24.3</v>
          </cell>
          <cell r="AA43">
            <v>-17.7</v>
          </cell>
          <cell r="AB43">
            <v>-12.100000000000001</v>
          </cell>
          <cell r="AC43">
            <v>-72.599999999999994</v>
          </cell>
          <cell r="AD43">
            <v>-4.0999999999999996</v>
          </cell>
          <cell r="AE43">
            <v>-13.2</v>
          </cell>
          <cell r="AF43">
            <v>-12.1</v>
          </cell>
          <cell r="AG43">
            <v>-12.999999999999998</v>
          </cell>
          <cell r="AH43">
            <v>-42.4</v>
          </cell>
          <cell r="AI43">
            <v>-13.9</v>
          </cell>
          <cell r="AJ43">
            <v>-12</v>
          </cell>
          <cell r="AK43">
            <v>-13.600000000000001</v>
          </cell>
          <cell r="AL43">
            <v>-20.500000000000004</v>
          </cell>
          <cell r="AM43">
            <v>-60</v>
          </cell>
          <cell r="AN43">
            <v>-19.2</v>
          </cell>
          <cell r="AO43">
            <v>-16.3</v>
          </cell>
          <cell r="AP43">
            <v>-14.5</v>
          </cell>
          <cell r="AQ43">
            <v>-18.299999999999997</v>
          </cell>
          <cell r="AR43">
            <v>-68.3</v>
          </cell>
          <cell r="AS43">
            <v>-11.600000000000001</v>
          </cell>
          <cell r="AT43">
            <v>-17.8</v>
          </cell>
          <cell r="AU43">
            <v>-20.900000000000002</v>
          </cell>
          <cell r="AV43">
            <v>-23.5</v>
          </cell>
          <cell r="AW43">
            <v>-73.800000000000011</v>
          </cell>
          <cell r="AX43">
            <v>-23.2</v>
          </cell>
          <cell r="AY43">
            <v>-22.9</v>
          </cell>
          <cell r="AZ43">
            <v>-26</v>
          </cell>
          <cell r="BA43">
            <v>-25.199999999999996</v>
          </cell>
          <cell r="BB43">
            <v>-97.299999999999983</v>
          </cell>
          <cell r="BC43">
            <v>-25.400000000000002</v>
          </cell>
          <cell r="BD43">
            <v>-27.7</v>
          </cell>
          <cell r="BE43">
            <v>-26.306250000000002</v>
          </cell>
          <cell r="BF43">
            <v>-26.306250000000002</v>
          </cell>
          <cell r="BG43">
            <v>-105.71250000000001</v>
          </cell>
          <cell r="BH43">
            <v>-26.306250000000002</v>
          </cell>
          <cell r="BI43">
            <v>-26.306250000000002</v>
          </cell>
          <cell r="BJ43">
            <v>-26.306250000000002</v>
          </cell>
          <cell r="BK43">
            <v>-26.306250000000002</v>
          </cell>
          <cell r="BL43">
            <v>-105.22500000000001</v>
          </cell>
          <cell r="BM43">
            <v>-26.306250000000002</v>
          </cell>
          <cell r="BN43">
            <v>-26.306250000000002</v>
          </cell>
          <cell r="BO43">
            <v>-26.306250000000002</v>
          </cell>
          <cell r="BP43">
            <v>-26.306250000000002</v>
          </cell>
          <cell r="BQ43">
            <v>-105.22500000000001</v>
          </cell>
          <cell r="BR43">
            <v>-105.22500000000001</v>
          </cell>
          <cell r="BS43">
            <v>-105.22500000000001</v>
          </cell>
          <cell r="BT43">
            <v>-105.22500000000001</v>
          </cell>
          <cell r="BU43">
            <v>-105.22500000000001</v>
          </cell>
          <cell r="BZ43" t="str">
            <v xml:space="preserve">Interest expense </v>
          </cell>
          <cell r="CA43">
            <v>0</v>
          </cell>
          <cell r="CB43">
            <v>0</v>
          </cell>
          <cell r="CC43">
            <v>-5.8000000000000007</v>
          </cell>
          <cell r="CD43">
            <v>-23</v>
          </cell>
          <cell r="CE43">
            <v>-23.5</v>
          </cell>
          <cell r="CF43">
            <v>-23.5</v>
          </cell>
          <cell r="CG43">
            <v>-23</v>
          </cell>
          <cell r="CH43">
            <v>-21</v>
          </cell>
          <cell r="CI43">
            <v>-15.2</v>
          </cell>
          <cell r="CJ43">
            <v>-61.1</v>
          </cell>
          <cell r="CK43">
            <v>-72.599999999999994</v>
          </cell>
          <cell r="CL43">
            <v>-42.4</v>
          </cell>
          <cell r="CM43">
            <v>-60</v>
          </cell>
          <cell r="CN43">
            <v>-68.3</v>
          </cell>
          <cell r="CO43">
            <v>-73.800000000000011</v>
          </cell>
          <cell r="CP43">
            <v>-97.299999999999983</v>
          </cell>
          <cell r="CQ43">
            <v>-105.71250000000001</v>
          </cell>
          <cell r="CR43">
            <v>-105.22500000000001</v>
          </cell>
          <cell r="CS43">
            <v>-105.22500000000001</v>
          </cell>
          <cell r="CT43">
            <v>-105.22500000000001</v>
          </cell>
          <cell r="CU43">
            <v>-105.22500000000001</v>
          </cell>
          <cell r="CV43">
            <v>-105.22500000000001</v>
          </cell>
          <cell r="CW43">
            <v>-105.22500000000001</v>
          </cell>
          <cell r="CY43">
            <v>-105.22500000000001</v>
          </cell>
          <cell r="DA43" t="str">
            <v>mstag:interestExpense</v>
          </cell>
          <cell r="DB43">
            <v>6</v>
          </cell>
          <cell r="DC43" t="str">
            <v>ISO4217:USD</v>
          </cell>
          <cell r="DD43" t="b">
            <v>1</v>
          </cell>
        </row>
        <row r="44">
          <cell r="A44" t="str">
            <v>Other income/ (expense), net</v>
          </cell>
          <cell r="C44">
            <v>-0.2</v>
          </cell>
          <cell r="D44">
            <v>-0.7</v>
          </cell>
          <cell r="E44">
            <v>-0.9</v>
          </cell>
          <cell r="F44">
            <v>-0.1</v>
          </cell>
          <cell r="G44">
            <v>0.5</v>
          </cell>
          <cell r="H44">
            <v>1.5</v>
          </cell>
          <cell r="I44">
            <v>1.1000000000000001</v>
          </cell>
          <cell r="J44">
            <v>-4</v>
          </cell>
          <cell r="K44">
            <v>-4.3000000000000007</v>
          </cell>
          <cell r="L44">
            <v>-0.19999999999999929</v>
          </cell>
          <cell r="M44">
            <v>-1.4000000000000004</v>
          </cell>
          <cell r="N44">
            <v>-9.9</v>
          </cell>
          <cell r="O44">
            <v>0.89999999999999991</v>
          </cell>
          <cell r="P44">
            <v>-0.2000000000000004</v>
          </cell>
          <cell r="Q44">
            <v>-2</v>
          </cell>
          <cell r="R44">
            <v>-0.69999999999999951</v>
          </cell>
          <cell r="S44">
            <v>-2</v>
          </cell>
          <cell r="T44">
            <v>-1.2</v>
          </cell>
          <cell r="U44">
            <v>-5.4</v>
          </cell>
          <cell r="V44">
            <v>2.2000000000000002</v>
          </cell>
          <cell r="W44">
            <v>0</v>
          </cell>
          <cell r="X44">
            <v>-4.4000000000000004</v>
          </cell>
          <cell r="Y44">
            <v>8.9</v>
          </cell>
          <cell r="Z44">
            <v>2.5</v>
          </cell>
          <cell r="AA44">
            <v>2.1000000000000005</v>
          </cell>
          <cell r="AB44">
            <v>5.2999999999999989</v>
          </cell>
          <cell r="AC44">
            <v>18.799999999999997</v>
          </cell>
          <cell r="AD44">
            <v>-4</v>
          </cell>
          <cell r="AE44">
            <v>-6.5</v>
          </cell>
          <cell r="AF44">
            <v>1.7</v>
          </cell>
          <cell r="AG44">
            <v>0.89999999999999969</v>
          </cell>
          <cell r="AH44">
            <v>-7.9000000000000012</v>
          </cell>
          <cell r="AI44">
            <v>-1</v>
          </cell>
          <cell r="AJ44">
            <v>-3.6</v>
          </cell>
          <cell r="AK44">
            <v>5.3</v>
          </cell>
          <cell r="AL44">
            <v>-6.6</v>
          </cell>
          <cell r="AM44">
            <v>-5.8999999999999995</v>
          </cell>
          <cell r="AN44">
            <v>3.3</v>
          </cell>
          <cell r="AO44">
            <v>1.7999999999999989</v>
          </cell>
          <cell r="AP44">
            <v>1.6</v>
          </cell>
          <cell r="AQ44">
            <v>0.4000000000000008</v>
          </cell>
          <cell r="AR44">
            <v>7.1</v>
          </cell>
          <cell r="AS44">
            <v>-0.1</v>
          </cell>
          <cell r="AT44">
            <v>2.7</v>
          </cell>
          <cell r="AU44">
            <v>-2.8000000000000007</v>
          </cell>
          <cell r="AV44">
            <v>-2.1999999999999993</v>
          </cell>
          <cell r="AW44">
            <v>-2.4</v>
          </cell>
          <cell r="AX44">
            <v>8.8000000000000007</v>
          </cell>
          <cell r="AY44">
            <v>7.7</v>
          </cell>
          <cell r="AZ44">
            <v>-3.6</v>
          </cell>
          <cell r="BA44">
            <v>-5.6</v>
          </cell>
          <cell r="BB44">
            <v>7.3000000000000007</v>
          </cell>
          <cell r="BC44">
            <v>2.4</v>
          </cell>
          <cell r="BD44">
            <v>-3.3</v>
          </cell>
          <cell r="BE44">
            <v>0</v>
          </cell>
          <cell r="BF44">
            <v>0</v>
          </cell>
          <cell r="BG44">
            <v>-0.89999999999999991</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Z44" t="str">
            <v>Other income/ (expense), net</v>
          </cell>
          <cell r="CA44">
            <v>-0.2</v>
          </cell>
          <cell r="CB44">
            <v>-0.7</v>
          </cell>
          <cell r="CC44">
            <v>-0.9</v>
          </cell>
          <cell r="CD44">
            <v>-0.1</v>
          </cell>
          <cell r="CE44">
            <v>0.5</v>
          </cell>
          <cell r="CF44">
            <v>1.5</v>
          </cell>
          <cell r="CG44">
            <v>1.1000000000000001</v>
          </cell>
          <cell r="CH44">
            <v>-9.9</v>
          </cell>
          <cell r="CI44">
            <v>-2</v>
          </cell>
          <cell r="CJ44">
            <v>-4.4000000000000004</v>
          </cell>
          <cell r="CK44">
            <v>18.799999999999997</v>
          </cell>
          <cell r="CL44">
            <v>-7.9000000000000012</v>
          </cell>
          <cell r="CM44">
            <v>-5.8999999999999995</v>
          </cell>
          <cell r="CN44">
            <v>7.1</v>
          </cell>
          <cell r="CO44">
            <v>-2.4</v>
          </cell>
          <cell r="CP44">
            <v>7.3000000000000007</v>
          </cell>
          <cell r="CQ44">
            <v>-0.89999999999999991</v>
          </cell>
          <cell r="CR44">
            <v>0</v>
          </cell>
          <cell r="CS44">
            <v>0</v>
          </cell>
          <cell r="CT44">
            <v>0</v>
          </cell>
          <cell r="CU44">
            <v>0</v>
          </cell>
          <cell r="CV44">
            <v>0</v>
          </cell>
          <cell r="CW44">
            <v>0</v>
          </cell>
          <cell r="CY44">
            <v>0</v>
          </cell>
          <cell r="DA44" t="str">
            <v>mstag:otherInterestIncomeExpense</v>
          </cell>
          <cell r="DB44">
            <v>6</v>
          </cell>
          <cell r="DC44" t="str">
            <v>ISO4217:USD</v>
          </cell>
          <cell r="DD44" t="b">
            <v>0</v>
          </cell>
        </row>
        <row r="45">
          <cell r="C45" t="str">
            <v xml:space="preserve">______ </v>
          </cell>
          <cell r="D45" t="str">
            <v xml:space="preserve">______ </v>
          </cell>
          <cell r="E45" t="str">
            <v xml:space="preserve">______ </v>
          </cell>
          <cell r="F45" t="str">
            <v xml:space="preserve">______ </v>
          </cell>
          <cell r="G45" t="str">
            <v xml:space="preserve">______ </v>
          </cell>
          <cell r="H45" t="str">
            <v xml:space="preserve">______ </v>
          </cell>
          <cell r="I45" t="str">
            <v xml:space="preserve">______ </v>
          </cell>
          <cell r="J45" t="str">
            <v xml:space="preserve">______ </v>
          </cell>
          <cell r="K45" t="str">
            <v xml:space="preserve">______ </v>
          </cell>
          <cell r="L45" t="str">
            <v xml:space="preserve">______ </v>
          </cell>
          <cell r="M45" t="str">
            <v xml:space="preserve">______ </v>
          </cell>
          <cell r="N45" t="str">
            <v xml:space="preserve">______ </v>
          </cell>
          <cell r="O45" t="str">
            <v xml:space="preserve">______ </v>
          </cell>
          <cell r="P45" t="str">
            <v xml:space="preserve">______ </v>
          </cell>
          <cell r="Q45" t="str">
            <v xml:space="preserve">______ </v>
          </cell>
          <cell r="R45" t="str">
            <v xml:space="preserve">______ </v>
          </cell>
          <cell r="S45" t="str">
            <v xml:space="preserve">______ </v>
          </cell>
          <cell r="T45" t="str">
            <v xml:space="preserve">______ </v>
          </cell>
          <cell r="U45" t="str">
            <v xml:space="preserve">______ </v>
          </cell>
          <cell r="V45" t="str">
            <v xml:space="preserve">______ </v>
          </cell>
          <cell r="W45" t="str">
            <v xml:space="preserve">______ </v>
          </cell>
          <cell r="X45" t="str">
            <v xml:space="preserve">______ </v>
          </cell>
          <cell r="Y45" t="str">
            <v xml:space="preserve">______ </v>
          </cell>
          <cell r="Z45" t="str">
            <v xml:space="preserve">______ </v>
          </cell>
          <cell r="AA45" t="str">
            <v xml:space="preserve">______ </v>
          </cell>
          <cell r="AB45" t="str">
            <v xml:space="preserve">______ </v>
          </cell>
          <cell r="AC45" t="str">
            <v xml:space="preserve">______ </v>
          </cell>
          <cell r="AD45" t="str">
            <v xml:space="preserve">______ </v>
          </cell>
          <cell r="AE45" t="str">
            <v xml:space="preserve">______ </v>
          </cell>
          <cell r="AF45" t="str">
            <v xml:space="preserve">______ </v>
          </cell>
          <cell r="AG45" t="str">
            <v xml:space="preserve">______ </v>
          </cell>
          <cell r="AH45" t="str">
            <v xml:space="preserve">______ </v>
          </cell>
          <cell r="AI45" t="str">
            <v xml:space="preserve">______ </v>
          </cell>
          <cell r="AJ45" t="str">
            <v xml:space="preserve">______ </v>
          </cell>
          <cell r="AK45" t="str">
            <v xml:space="preserve">______ </v>
          </cell>
          <cell r="AL45" t="str">
            <v xml:space="preserve">______ </v>
          </cell>
          <cell r="AM45" t="str">
            <v xml:space="preserve">______ </v>
          </cell>
          <cell r="AN45" t="str">
            <v xml:space="preserve">______ </v>
          </cell>
          <cell r="AO45" t="str">
            <v xml:space="preserve">______ </v>
          </cell>
          <cell r="AP45" t="str">
            <v xml:space="preserve">______ </v>
          </cell>
          <cell r="AQ45" t="str">
            <v xml:space="preserve">______ </v>
          </cell>
          <cell r="AR45" t="str">
            <v xml:space="preserve">______ </v>
          </cell>
          <cell r="AS45" t="str">
            <v xml:space="preserve">______ </v>
          </cell>
          <cell r="AT45" t="str">
            <v xml:space="preserve">______ </v>
          </cell>
          <cell r="AU45" t="str">
            <v xml:space="preserve">______ </v>
          </cell>
          <cell r="AV45" t="str">
            <v xml:space="preserve">______ </v>
          </cell>
          <cell r="AW45" t="str">
            <v xml:space="preserve">______ </v>
          </cell>
          <cell r="AX45" t="str">
            <v xml:space="preserve">______ </v>
          </cell>
          <cell r="AY45" t="str">
            <v xml:space="preserve">______ </v>
          </cell>
          <cell r="AZ45" t="str">
            <v xml:space="preserve">______ </v>
          </cell>
          <cell r="BA45" t="str">
            <v xml:space="preserve">______ </v>
          </cell>
          <cell r="BB45" t="str">
            <v xml:space="preserve">______ </v>
          </cell>
          <cell r="BC45" t="str">
            <v xml:space="preserve">______ </v>
          </cell>
          <cell r="BD45" t="str">
            <v xml:space="preserve">______ </v>
          </cell>
          <cell r="BE45" t="str">
            <v xml:space="preserve">______ </v>
          </cell>
          <cell r="BF45" t="str">
            <v xml:space="preserve">______ </v>
          </cell>
          <cell r="BG45" t="str">
            <v xml:space="preserve">______ </v>
          </cell>
          <cell r="BH45" t="str">
            <v xml:space="preserve">______ </v>
          </cell>
          <cell r="BI45" t="str">
            <v xml:space="preserve">______ </v>
          </cell>
          <cell r="BJ45" t="str">
            <v xml:space="preserve">______ </v>
          </cell>
          <cell r="BK45" t="str">
            <v xml:space="preserve">______ </v>
          </cell>
          <cell r="BL45" t="str">
            <v xml:space="preserve">______ </v>
          </cell>
          <cell r="BM45" t="str">
            <v xml:space="preserve">______ </v>
          </cell>
          <cell r="BN45" t="str">
            <v xml:space="preserve">______ </v>
          </cell>
          <cell r="BO45" t="str">
            <v xml:space="preserve">______ </v>
          </cell>
          <cell r="BP45" t="str">
            <v xml:space="preserve">______ </v>
          </cell>
          <cell r="BQ45" t="str">
            <v xml:space="preserve">______ </v>
          </cell>
          <cell r="BR45" t="str">
            <v xml:space="preserve">______ </v>
          </cell>
          <cell r="BS45" t="str">
            <v xml:space="preserve">______ </v>
          </cell>
          <cell r="BT45" t="str">
            <v xml:space="preserve">______ </v>
          </cell>
          <cell r="BU45" t="str">
            <v xml:space="preserve">______ </v>
          </cell>
          <cell r="CA45" t="str">
            <v xml:space="preserve">______ </v>
          </cell>
          <cell r="CB45" t="str">
            <v xml:space="preserve">______ </v>
          </cell>
          <cell r="CC45" t="str">
            <v xml:space="preserve">______ </v>
          </cell>
          <cell r="CD45" t="str">
            <v xml:space="preserve">______ </v>
          </cell>
          <cell r="CE45" t="str">
            <v xml:space="preserve">______ </v>
          </cell>
          <cell r="CF45" t="str">
            <v xml:space="preserve">______ </v>
          </cell>
          <cell r="CG45" t="str">
            <v xml:space="preserve">______ </v>
          </cell>
          <cell r="CH45" t="str">
            <v xml:space="preserve">______ </v>
          </cell>
          <cell r="CI45" t="str">
            <v xml:space="preserve">______ </v>
          </cell>
          <cell r="CJ45" t="str">
            <v xml:space="preserve">______ </v>
          </cell>
          <cell r="CK45" t="str">
            <v xml:space="preserve">______ </v>
          </cell>
          <cell r="CL45" t="str">
            <v xml:space="preserve">______ </v>
          </cell>
          <cell r="CM45" t="str">
            <v xml:space="preserve">______ </v>
          </cell>
          <cell r="CN45" t="str">
            <v xml:space="preserve">______ </v>
          </cell>
          <cell r="CO45" t="str">
            <v xml:space="preserve">______ </v>
          </cell>
          <cell r="CP45" t="str">
            <v xml:space="preserve">______ </v>
          </cell>
          <cell r="CQ45" t="str">
            <v xml:space="preserve">______ </v>
          </cell>
          <cell r="CR45" t="str">
            <v xml:space="preserve">______ </v>
          </cell>
          <cell r="CS45" t="str">
            <v xml:space="preserve">______ </v>
          </cell>
          <cell r="CT45" t="str">
            <v xml:space="preserve">______ </v>
          </cell>
          <cell r="CU45" t="str">
            <v xml:space="preserve">______ </v>
          </cell>
          <cell r="CV45" t="str">
            <v xml:space="preserve">______ </v>
          </cell>
          <cell r="CW45" t="str">
            <v xml:space="preserve">______ </v>
          </cell>
          <cell r="CY45" t="str">
            <v xml:space="preserve">______ </v>
          </cell>
        </row>
        <row r="46">
          <cell r="A46" t="str">
            <v>Pretax Income</v>
          </cell>
          <cell r="C46">
            <v>225.30000000000013</v>
          </cell>
          <cell r="D46">
            <v>269.70000000000005</v>
          </cell>
          <cell r="E46">
            <v>284.00000000000006</v>
          </cell>
          <cell r="F46">
            <v>381.90000000000003</v>
          </cell>
          <cell r="G46">
            <v>517.4</v>
          </cell>
          <cell r="H46">
            <v>642.80000000000018</v>
          </cell>
          <cell r="I46">
            <v>771.30000000000018</v>
          </cell>
          <cell r="J46">
            <v>207.3</v>
          </cell>
          <cell r="K46">
            <v>248.89999999999998</v>
          </cell>
          <cell r="L46">
            <v>234.59999999999991</v>
          </cell>
          <cell r="M46">
            <v>243.89999999999992</v>
          </cell>
          <cell r="N46">
            <v>934.69999999999993</v>
          </cell>
          <cell r="O46">
            <v>241.70000000000005</v>
          </cell>
          <cell r="P46">
            <v>289.79999999999995</v>
          </cell>
          <cell r="Q46">
            <v>265.69999999999993</v>
          </cell>
          <cell r="R46">
            <v>302.7</v>
          </cell>
          <cell r="S46">
            <v>1099.8999999999999</v>
          </cell>
          <cell r="T46">
            <v>301.39999999999998</v>
          </cell>
          <cell r="U46">
            <v>349.59999999999991</v>
          </cell>
          <cell r="V46">
            <v>241.49999999999991</v>
          </cell>
          <cell r="W46">
            <v>242.3</v>
          </cell>
          <cell r="X46">
            <v>1134.8</v>
          </cell>
          <cell r="Y46">
            <v>195.99999999999997</v>
          </cell>
          <cell r="Z46">
            <v>214.89999999999992</v>
          </cell>
          <cell r="AA46">
            <v>177.50000000000006</v>
          </cell>
          <cell r="AB46">
            <v>121.6</v>
          </cell>
          <cell r="AC46">
            <v>709.99999999999977</v>
          </cell>
          <cell r="AD46">
            <v>153.39999999999998</v>
          </cell>
          <cell r="AE46">
            <v>171.1999999999999</v>
          </cell>
          <cell r="AF46">
            <v>166.40000000000003</v>
          </cell>
          <cell r="AG46">
            <v>166.1999999999999</v>
          </cell>
          <cell r="AH46">
            <v>657.2</v>
          </cell>
          <cell r="AI46">
            <v>181.8</v>
          </cell>
          <cell r="AJ46">
            <v>175.69999999999996</v>
          </cell>
          <cell r="AK46">
            <v>181.80000000000004</v>
          </cell>
          <cell r="AL46">
            <v>172.70000000000005</v>
          </cell>
          <cell r="AM46">
            <v>711.99999999999989</v>
          </cell>
          <cell r="AN46">
            <v>235.2000000000001</v>
          </cell>
          <cell r="AO46">
            <v>256.79999999999995</v>
          </cell>
          <cell r="AP46">
            <v>184.99999999999994</v>
          </cell>
          <cell r="AQ46">
            <v>155.50000000000017</v>
          </cell>
          <cell r="AR46">
            <v>832.49999999999989</v>
          </cell>
          <cell r="AS46">
            <v>258.60000000000008</v>
          </cell>
          <cell r="AT46">
            <v>264.59999999999985</v>
          </cell>
          <cell r="AU46">
            <v>247.1999999999999</v>
          </cell>
          <cell r="AV46">
            <v>248.20000000000016</v>
          </cell>
          <cell r="AW46">
            <v>1018.6000000000001</v>
          </cell>
          <cell r="AX46">
            <v>314.67462686567171</v>
          </cell>
          <cell r="AY46">
            <v>336.8</v>
          </cell>
          <cell r="AZ46">
            <v>263.50000000000006</v>
          </cell>
          <cell r="BA46">
            <v>282.59999999999997</v>
          </cell>
          <cell r="BB46">
            <v>1197.5746268656717</v>
          </cell>
          <cell r="BC46">
            <v>311.60000000000008</v>
          </cell>
          <cell r="BD46">
            <v>382.4</v>
          </cell>
          <cell r="BE46">
            <v>269.53599868941046</v>
          </cell>
          <cell r="BF46">
            <v>299.04597424816563</v>
          </cell>
          <cell r="BG46">
            <v>1262.5819729375758</v>
          </cell>
          <cell r="BH46">
            <v>296.8488676993357</v>
          </cell>
          <cell r="BI46">
            <v>342.81814786513922</v>
          </cell>
          <cell r="BJ46">
            <v>279.07389090694926</v>
          </cell>
          <cell r="BK46">
            <v>309.91890669537054</v>
          </cell>
          <cell r="BL46">
            <v>1228.6598131667956</v>
          </cell>
          <cell r="BM46">
            <v>307.71176037650582</v>
          </cell>
          <cell r="BN46">
            <v>354.04635357534437</v>
          </cell>
          <cell r="BO46">
            <v>289.2729242673779</v>
          </cell>
          <cell r="BP46">
            <v>320.97857297569868</v>
          </cell>
          <cell r="BQ46">
            <v>1272.009611194926</v>
          </cell>
          <cell r="BR46">
            <v>1311.0927525499194</v>
          </cell>
          <cell r="BS46">
            <v>1367.6968118914035</v>
          </cell>
          <cell r="BT46">
            <v>1429.4777614874781</v>
          </cell>
          <cell r="BU46">
            <v>1496.996733699471</v>
          </cell>
          <cell r="BZ46" t="str">
            <v>Pretax Income</v>
          </cell>
          <cell r="CA46">
            <v>225.30000000000013</v>
          </cell>
          <cell r="CB46">
            <v>269.70000000000005</v>
          </cell>
          <cell r="CC46">
            <v>284.00000000000006</v>
          </cell>
          <cell r="CD46">
            <v>381.90000000000003</v>
          </cell>
          <cell r="CE46">
            <v>517.4</v>
          </cell>
          <cell r="CF46">
            <v>642.80000000000018</v>
          </cell>
          <cell r="CG46">
            <v>771.30000000000018</v>
          </cell>
          <cell r="CH46">
            <v>934.69999999999993</v>
          </cell>
          <cell r="CI46">
            <v>1099.8999999999999</v>
          </cell>
          <cell r="CJ46">
            <v>1134.8</v>
          </cell>
          <cell r="CK46">
            <v>709.99999999999977</v>
          </cell>
          <cell r="CL46">
            <v>657.2</v>
          </cell>
          <cell r="CM46">
            <v>711.99999999999989</v>
          </cell>
          <cell r="CN46">
            <v>832.49999999999989</v>
          </cell>
          <cell r="CO46">
            <v>1018.6000000000001</v>
          </cell>
          <cell r="CP46">
            <v>1197.5746268656717</v>
          </cell>
          <cell r="CQ46">
            <v>1262.5819729375758</v>
          </cell>
          <cell r="CR46">
            <v>1228.6598131667956</v>
          </cell>
          <cell r="CS46">
            <v>1272.009611194926</v>
          </cell>
          <cell r="CT46">
            <v>1311.0927525499194</v>
          </cell>
          <cell r="CU46">
            <v>1367.6968118914035</v>
          </cell>
          <cell r="CV46">
            <v>1429.4777614874781</v>
          </cell>
          <cell r="CW46">
            <v>1496.996733699471</v>
          </cell>
          <cell r="CY46">
            <v>1208.2489885020511</v>
          </cell>
        </row>
        <row r="47">
          <cell r="A47" t="str">
            <v>Income Tax Benefit (Expense)- Reported</v>
          </cell>
          <cell r="C47">
            <v>-95.9</v>
          </cell>
          <cell r="D47">
            <v>-123.3</v>
          </cell>
          <cell r="E47">
            <v>-125.5</v>
          </cell>
          <cell r="F47">
            <v>-169.7</v>
          </cell>
          <cell r="G47">
            <v>-228.5</v>
          </cell>
          <cell r="H47">
            <v>-292.5</v>
          </cell>
          <cell r="I47">
            <v>-346.2</v>
          </cell>
          <cell r="J47">
            <v>-88.6</v>
          </cell>
          <cell r="K47">
            <v>-103.5</v>
          </cell>
          <cell r="L47">
            <v>-88</v>
          </cell>
          <cell r="M47">
            <v>-93.799999999999983</v>
          </cell>
          <cell r="N47">
            <v>-373.9</v>
          </cell>
          <cell r="O47">
            <v>-95.5</v>
          </cell>
          <cell r="P47">
            <v>-117.7</v>
          </cell>
          <cell r="Q47">
            <v>-108.7</v>
          </cell>
          <cell r="R47">
            <v>-184.70000000000005</v>
          </cell>
          <cell r="S47">
            <v>-506.6</v>
          </cell>
          <cell r="T47">
            <v>-126</v>
          </cell>
          <cell r="U47">
            <v>-119.6</v>
          </cell>
          <cell r="V47">
            <v>-104.6</v>
          </cell>
          <cell r="W47">
            <v>-65.000000000000028</v>
          </cell>
          <cell r="X47">
            <v>-415.20000000000005</v>
          </cell>
          <cell r="Y47">
            <v>-75.5</v>
          </cell>
          <cell r="Z47">
            <v>-86.2</v>
          </cell>
          <cell r="AA47">
            <v>-70.900000000000006</v>
          </cell>
          <cell r="AB47">
            <v>-35.59999999999998</v>
          </cell>
          <cell r="AC47">
            <v>-268.2</v>
          </cell>
          <cell r="AD47">
            <v>-50.5</v>
          </cell>
          <cell r="AE47">
            <v>-63.6</v>
          </cell>
          <cell r="AF47">
            <v>-61</v>
          </cell>
          <cell r="AG47">
            <v>-64</v>
          </cell>
          <cell r="AH47">
            <v>-239.1</v>
          </cell>
          <cell r="AI47">
            <v>-67.8</v>
          </cell>
          <cell r="AJ47">
            <v>-55.3</v>
          </cell>
          <cell r="AK47">
            <v>-44.2</v>
          </cell>
          <cell r="AL47">
            <v>-33.699999999999989</v>
          </cell>
          <cell r="AM47">
            <v>-201</v>
          </cell>
          <cell r="AN47">
            <v>-78.099999999999994</v>
          </cell>
          <cell r="AO47">
            <v>-73.5</v>
          </cell>
          <cell r="AP47">
            <v>-52.7</v>
          </cell>
          <cell r="AQ47">
            <v>-57.500000000000014</v>
          </cell>
          <cell r="AR47">
            <v>-261.8</v>
          </cell>
          <cell r="AS47">
            <v>-83.1</v>
          </cell>
          <cell r="AT47">
            <v>-88.9</v>
          </cell>
          <cell r="AU47">
            <v>-77.900000000000006</v>
          </cell>
          <cell r="AV47">
            <v>-74.400000000000006</v>
          </cell>
          <cell r="AW47">
            <v>-324.3</v>
          </cell>
          <cell r="AX47">
            <v>-76.099999999999994</v>
          </cell>
          <cell r="AY47">
            <v>-108.4</v>
          </cell>
          <cell r="AZ47">
            <v>-76.7</v>
          </cell>
          <cell r="BA47">
            <v>-92.199999999999946</v>
          </cell>
          <cell r="BB47">
            <v>-353.39999999999992</v>
          </cell>
          <cell r="BC47">
            <v>-89.9</v>
          </cell>
          <cell r="BD47">
            <v>-160.80000000000001</v>
          </cell>
          <cell r="BE47">
            <v>-88.946879567505462</v>
          </cell>
          <cell r="BF47">
            <v>-98.685171501894658</v>
          </cell>
          <cell r="BG47">
            <v>-438.33205106940017</v>
          </cell>
          <cell r="BH47">
            <v>-97.960126340780789</v>
          </cell>
          <cell r="BI47">
            <v>-113.12998879549595</v>
          </cell>
          <cell r="BJ47">
            <v>-92.094383999293257</v>
          </cell>
          <cell r="BK47">
            <v>-102.27323920947228</v>
          </cell>
          <cell r="BL47">
            <v>-405.45773834504223</v>
          </cell>
          <cell r="BM47">
            <v>-101.54488092424693</v>
          </cell>
          <cell r="BN47">
            <v>-116.83529667986365</v>
          </cell>
          <cell r="BO47">
            <v>-95.460065008234707</v>
          </cell>
          <cell r="BP47">
            <v>-105.92292908198057</v>
          </cell>
          <cell r="BQ47">
            <v>-419.76317169432582</v>
          </cell>
          <cell r="BR47">
            <v>-432.66060834147345</v>
          </cell>
          <cell r="BS47">
            <v>-451.3399479241632</v>
          </cell>
          <cell r="BT47">
            <v>-471.72766129086779</v>
          </cell>
          <cell r="BU47">
            <v>-494.00892212082545</v>
          </cell>
          <cell r="BZ47" t="str">
            <v>Income Tax Benefit (Expense)- Reported</v>
          </cell>
          <cell r="CA47">
            <v>-95.9</v>
          </cell>
          <cell r="CB47">
            <v>-123.3</v>
          </cell>
          <cell r="CC47">
            <v>-125.5</v>
          </cell>
          <cell r="CD47">
            <v>-169.7</v>
          </cell>
          <cell r="CE47">
            <v>-228.5</v>
          </cell>
          <cell r="CF47">
            <v>-292.5</v>
          </cell>
          <cell r="CG47">
            <v>-346.2</v>
          </cell>
          <cell r="CH47">
            <v>-373.9</v>
          </cell>
          <cell r="CI47">
            <v>-506.6</v>
          </cell>
          <cell r="CJ47">
            <v>-415.20000000000005</v>
          </cell>
          <cell r="CK47">
            <v>-268.2</v>
          </cell>
          <cell r="CL47">
            <v>-239.1</v>
          </cell>
          <cell r="CM47">
            <v>-201</v>
          </cell>
          <cell r="CN47">
            <v>-261.8</v>
          </cell>
          <cell r="CO47">
            <v>-324.3</v>
          </cell>
          <cell r="CP47">
            <v>-353.39999999999992</v>
          </cell>
          <cell r="CQ47">
            <v>-438.33205106940017</v>
          </cell>
          <cell r="CR47">
            <v>-405.45773834504223</v>
          </cell>
          <cell r="CS47">
            <v>-419.76317169432582</v>
          </cell>
          <cell r="CT47">
            <v>-432.66060834147345</v>
          </cell>
          <cell r="CU47">
            <v>-451.3399479241632</v>
          </cell>
          <cell r="CV47">
            <v>-471.72766129086779</v>
          </cell>
          <cell r="CW47">
            <v>-494.00892212082545</v>
          </cell>
          <cell r="CY47">
            <v>-398.72216620567684</v>
          </cell>
        </row>
        <row r="48">
          <cell r="A48" t="str">
            <v>Income Tax Benefit (Expense)- Extraordinary income (expenses)</v>
          </cell>
          <cell r="C48">
            <v>5.5439999999999996</v>
          </cell>
          <cell r="D48">
            <v>4.057199999999999</v>
          </cell>
          <cell r="E48">
            <v>0</v>
          </cell>
          <cell r="F48">
            <v>0</v>
          </cell>
          <cell r="G48">
            <v>0</v>
          </cell>
          <cell r="H48">
            <v>-6.5167999999999999</v>
          </cell>
          <cell r="I48">
            <v>-30</v>
          </cell>
          <cell r="J48">
            <v>-2.7</v>
          </cell>
          <cell r="K48">
            <v>0</v>
          </cell>
          <cell r="L48">
            <v>-11.5</v>
          </cell>
          <cell r="M48">
            <v>5.3999999999999995</v>
          </cell>
          <cell r="N48">
            <v>-8.8000000000000007</v>
          </cell>
          <cell r="O48">
            <v>-0.9</v>
          </cell>
          <cell r="P48">
            <v>-1.5</v>
          </cell>
          <cell r="Q48">
            <v>0</v>
          </cell>
          <cell r="R48">
            <v>66.5</v>
          </cell>
          <cell r="S48">
            <v>64.099999999999994</v>
          </cell>
          <cell r="T48">
            <v>0</v>
          </cell>
          <cell r="U48">
            <v>-20.399999999999999</v>
          </cell>
          <cell r="V48">
            <v>0</v>
          </cell>
          <cell r="W48">
            <v>-20</v>
          </cell>
          <cell r="X48">
            <v>-40.4</v>
          </cell>
          <cell r="Y48">
            <v>0.3</v>
          </cell>
          <cell r="Z48">
            <v>1</v>
          </cell>
          <cell r="AA48">
            <v>2.5</v>
          </cell>
          <cell r="AB48">
            <v>-0.3</v>
          </cell>
          <cell r="AC48">
            <v>3.5</v>
          </cell>
          <cell r="AD48">
            <v>-4.5</v>
          </cell>
          <cell r="AE48">
            <v>-2.9</v>
          </cell>
          <cell r="AF48">
            <v>-1.4</v>
          </cell>
          <cell r="AG48">
            <v>0.50000000000000089</v>
          </cell>
          <cell r="AH48">
            <v>-8.3000000000000007</v>
          </cell>
          <cell r="AI48">
            <v>0.2</v>
          </cell>
          <cell r="AJ48">
            <v>-2.2000000000000002</v>
          </cell>
          <cell r="AK48">
            <v>-16.599000000000004</v>
          </cell>
          <cell r="AL48">
            <v>-18.795999999999999</v>
          </cell>
          <cell r="AM48">
            <v>-37.395000000000003</v>
          </cell>
          <cell r="AN48">
            <v>0</v>
          </cell>
          <cell r="AO48">
            <v>0.3</v>
          </cell>
          <cell r="AP48">
            <v>0</v>
          </cell>
          <cell r="AQ48">
            <v>0</v>
          </cell>
          <cell r="AR48">
            <v>0.3</v>
          </cell>
          <cell r="AS48">
            <v>0</v>
          </cell>
          <cell r="AT48">
            <v>0</v>
          </cell>
          <cell r="AU48">
            <v>3.6340000000000039</v>
          </cell>
          <cell r="AV48">
            <v>-3.6560000000000006</v>
          </cell>
          <cell r="AW48">
            <v>-2.1999999999996689E-2</v>
          </cell>
          <cell r="AX48">
            <v>-15.666626865671645</v>
          </cell>
          <cell r="AY48">
            <v>0</v>
          </cell>
          <cell r="AZ48">
            <v>0</v>
          </cell>
          <cell r="BA48">
            <v>-0.51000000000000156</v>
          </cell>
          <cell r="BB48">
            <v>-16.176626865671647</v>
          </cell>
          <cell r="BC48">
            <v>0</v>
          </cell>
          <cell r="BD48">
            <v>24.299999999999997</v>
          </cell>
          <cell r="BE48">
            <v>0</v>
          </cell>
          <cell r="BF48">
            <v>0</v>
          </cell>
          <cell r="BG48">
            <v>24.299999999999997</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Z48" t="str">
            <v>Income Tax Benefit (Expense)- Extraordinary income (expenses)</v>
          </cell>
          <cell r="CA48">
            <v>5.5439999999999996</v>
          </cell>
          <cell r="CB48">
            <v>4.057199999999999</v>
          </cell>
          <cell r="CC48">
            <v>0</v>
          </cell>
          <cell r="CD48">
            <v>0</v>
          </cell>
          <cell r="CE48">
            <v>0</v>
          </cell>
          <cell r="CF48">
            <v>-6.5167999999999999</v>
          </cell>
          <cell r="CG48">
            <v>-30</v>
          </cell>
          <cell r="CH48">
            <v>-8.8000000000000007</v>
          </cell>
          <cell r="CI48">
            <v>64.099999999999994</v>
          </cell>
          <cell r="CJ48">
            <v>-40.4</v>
          </cell>
          <cell r="CK48">
            <v>3.5</v>
          </cell>
          <cell r="CL48">
            <v>-8.3000000000000007</v>
          </cell>
          <cell r="CM48">
            <v>-37.395000000000003</v>
          </cell>
          <cell r="CN48">
            <v>0.3</v>
          </cell>
          <cell r="CO48">
            <v>-2.1999999999996689E-2</v>
          </cell>
          <cell r="CP48">
            <v>-16.176626865671647</v>
          </cell>
          <cell r="CQ48">
            <v>24.299999999999997</v>
          </cell>
          <cell r="CR48">
            <v>0</v>
          </cell>
          <cell r="CS48">
            <v>0</v>
          </cell>
          <cell r="CT48">
            <v>0</v>
          </cell>
          <cell r="CU48">
            <v>0</v>
          </cell>
          <cell r="CV48">
            <v>0</v>
          </cell>
          <cell r="CW48">
            <v>0</v>
          </cell>
          <cell r="CY48">
            <v>0</v>
          </cell>
        </row>
        <row r="49">
          <cell r="A49" t="str">
            <v>Income Tax Benefit (Expense)</v>
          </cell>
          <cell r="C49">
            <v>-90.356000000000009</v>
          </cell>
          <cell r="D49">
            <v>-119.2428</v>
          </cell>
          <cell r="E49">
            <v>-125.5</v>
          </cell>
          <cell r="F49">
            <v>-169.7</v>
          </cell>
          <cell r="G49">
            <v>-228.5</v>
          </cell>
          <cell r="H49">
            <v>-299.01679999999999</v>
          </cell>
          <cell r="I49">
            <v>-376.2</v>
          </cell>
          <cell r="J49">
            <v>-91.3</v>
          </cell>
          <cell r="K49">
            <v>-103.5</v>
          </cell>
          <cell r="L49">
            <v>-99.5</v>
          </cell>
          <cell r="M49">
            <v>-88.399999999999977</v>
          </cell>
          <cell r="N49">
            <v>-382.7</v>
          </cell>
          <cell r="O49">
            <v>-96.4</v>
          </cell>
          <cell r="P49">
            <v>-119.2</v>
          </cell>
          <cell r="Q49">
            <v>-108.7</v>
          </cell>
          <cell r="R49">
            <v>-118.20000000000005</v>
          </cell>
          <cell r="S49">
            <v>-442.5</v>
          </cell>
          <cell r="T49">
            <v>-126</v>
          </cell>
          <cell r="U49">
            <v>-140</v>
          </cell>
          <cell r="V49">
            <v>-104.6</v>
          </cell>
          <cell r="W49">
            <v>-85.000000000000028</v>
          </cell>
          <cell r="X49">
            <v>-455.6</v>
          </cell>
          <cell r="Y49">
            <v>-75.2</v>
          </cell>
          <cell r="Z49">
            <v>-85.2</v>
          </cell>
          <cell r="AA49">
            <v>-68.400000000000006</v>
          </cell>
          <cell r="AB49">
            <v>-35.899999999999977</v>
          </cell>
          <cell r="AC49">
            <v>-264.7</v>
          </cell>
          <cell r="AD49">
            <v>-55</v>
          </cell>
          <cell r="AE49">
            <v>-66.5</v>
          </cell>
          <cell r="AF49">
            <v>-62.4</v>
          </cell>
          <cell r="AG49">
            <v>-63.5</v>
          </cell>
          <cell r="AH49">
            <v>-247.4</v>
          </cell>
          <cell r="AI49">
            <v>-67.599999999999994</v>
          </cell>
          <cell r="AJ49">
            <v>-57.5</v>
          </cell>
          <cell r="AK49">
            <v>-60.799000000000007</v>
          </cell>
          <cell r="AL49">
            <v>-52.495999999999988</v>
          </cell>
          <cell r="AM49">
            <v>-238.39500000000001</v>
          </cell>
          <cell r="AN49">
            <v>-78.099999999999994</v>
          </cell>
          <cell r="AO49">
            <v>-73.2</v>
          </cell>
          <cell r="AP49">
            <v>-52.7</v>
          </cell>
          <cell r="AQ49">
            <v>-57.500000000000014</v>
          </cell>
          <cell r="AR49">
            <v>-261.5</v>
          </cell>
          <cell r="AS49">
            <v>-83.1</v>
          </cell>
          <cell r="AT49">
            <v>-88.9</v>
          </cell>
          <cell r="AU49">
            <v>-74.266000000000005</v>
          </cell>
          <cell r="AV49">
            <v>-78.056000000000012</v>
          </cell>
          <cell r="AW49">
            <v>-324.322</v>
          </cell>
          <cell r="AX49">
            <v>-91.76662686567164</v>
          </cell>
          <cell r="AY49">
            <v>-108.4</v>
          </cell>
          <cell r="AZ49">
            <v>-76.7</v>
          </cell>
          <cell r="BA49">
            <v>-92.709999999999951</v>
          </cell>
          <cell r="BB49">
            <v>-369.57662686567159</v>
          </cell>
          <cell r="BC49">
            <v>-89.9</v>
          </cell>
          <cell r="BD49">
            <v>-136.5</v>
          </cell>
          <cell r="BE49">
            <v>-88.946879567505462</v>
          </cell>
          <cell r="BF49">
            <v>-98.685171501894658</v>
          </cell>
          <cell r="BG49">
            <v>-414.03205106940015</v>
          </cell>
          <cell r="BH49">
            <v>-97.960126340780789</v>
          </cell>
          <cell r="BI49">
            <v>-113.12998879549595</v>
          </cell>
          <cell r="BJ49">
            <v>-92.094383999293257</v>
          </cell>
          <cell r="BK49">
            <v>-102.27323920947228</v>
          </cell>
          <cell r="BL49">
            <v>-405.45773834504223</v>
          </cell>
          <cell r="BM49">
            <v>-101.54488092424693</v>
          </cell>
          <cell r="BN49">
            <v>-116.83529667986365</v>
          </cell>
          <cell r="BO49">
            <v>-95.460065008234707</v>
          </cell>
          <cell r="BP49">
            <v>-105.92292908198057</v>
          </cell>
          <cell r="BQ49">
            <v>-419.76317169432582</v>
          </cell>
          <cell r="BR49">
            <v>-432.66060834147345</v>
          </cell>
          <cell r="BS49">
            <v>-451.3399479241632</v>
          </cell>
          <cell r="BT49">
            <v>-471.72766129086779</v>
          </cell>
          <cell r="BU49">
            <v>-494.00892212082545</v>
          </cell>
          <cell r="BZ49" t="str">
            <v>Income Tax Benefit (Expense)</v>
          </cell>
          <cell r="CA49">
            <v>-90.356000000000009</v>
          </cell>
          <cell r="CB49">
            <v>-119.2428</v>
          </cell>
          <cell r="CC49">
            <v>-125.5</v>
          </cell>
          <cell r="CD49">
            <v>-169.7</v>
          </cell>
          <cell r="CE49">
            <v>-228.5</v>
          </cell>
          <cell r="CF49">
            <v>-299.01679999999999</v>
          </cell>
          <cell r="CG49">
            <v>-376.2</v>
          </cell>
          <cell r="CH49">
            <v>-382.7</v>
          </cell>
          <cell r="CI49">
            <v>-442.5</v>
          </cell>
          <cell r="CJ49">
            <v>-455.6</v>
          </cell>
          <cell r="CK49">
            <v>-264.7</v>
          </cell>
          <cell r="CL49">
            <v>-247.4</v>
          </cell>
          <cell r="CM49">
            <v>-238.39500000000001</v>
          </cell>
          <cell r="CN49">
            <v>-261.5</v>
          </cell>
          <cell r="CO49">
            <v>-324.322</v>
          </cell>
          <cell r="CP49">
            <v>-369.57662686567159</v>
          </cell>
          <cell r="CQ49">
            <v>-414.03205106940015</v>
          </cell>
          <cell r="CR49">
            <v>-405.45773834504223</v>
          </cell>
          <cell r="CS49">
            <v>-419.76317169432582</v>
          </cell>
          <cell r="CT49">
            <v>-432.66060834147345</v>
          </cell>
          <cell r="CU49">
            <v>-451.3399479241632</v>
          </cell>
          <cell r="CV49">
            <v>-471.72766129086779</v>
          </cell>
          <cell r="CW49">
            <v>-494.00892212082545</v>
          </cell>
          <cell r="CY49">
            <v>-398.72216620567684</v>
          </cell>
          <cell r="DA49" t="str">
            <v>mstag:taxExpenseIncome</v>
          </cell>
          <cell r="DB49">
            <v>6</v>
          </cell>
          <cell r="DC49" t="str">
            <v>ISO4217:USD</v>
          </cell>
          <cell r="DD49" t="b">
            <v>1</v>
          </cell>
        </row>
        <row r="50">
          <cell r="C50" t="str">
            <v xml:space="preserve">______ </v>
          </cell>
          <cell r="D50" t="str">
            <v xml:space="preserve">______ </v>
          </cell>
          <cell r="E50" t="str">
            <v xml:space="preserve">______ </v>
          </cell>
          <cell r="F50" t="str">
            <v xml:space="preserve">______ </v>
          </cell>
          <cell r="G50" t="str">
            <v xml:space="preserve">______ </v>
          </cell>
          <cell r="H50" t="str">
            <v xml:space="preserve">______ </v>
          </cell>
          <cell r="I50" t="str">
            <v xml:space="preserve">______ </v>
          </cell>
          <cell r="J50" t="str">
            <v xml:space="preserve">______ </v>
          </cell>
          <cell r="K50" t="str">
            <v xml:space="preserve">______ </v>
          </cell>
          <cell r="L50" t="str">
            <v xml:space="preserve">______ </v>
          </cell>
          <cell r="M50" t="str">
            <v xml:space="preserve">______ </v>
          </cell>
          <cell r="N50" t="str">
            <v xml:space="preserve">______ </v>
          </cell>
          <cell r="O50" t="str">
            <v xml:space="preserve">______ </v>
          </cell>
          <cell r="P50" t="str">
            <v xml:space="preserve">______ </v>
          </cell>
          <cell r="Q50" t="str">
            <v xml:space="preserve">______ </v>
          </cell>
          <cell r="R50" t="str">
            <v xml:space="preserve">______ </v>
          </cell>
          <cell r="S50" t="str">
            <v xml:space="preserve">______ </v>
          </cell>
          <cell r="T50" t="str">
            <v xml:space="preserve">______ </v>
          </cell>
          <cell r="U50" t="str">
            <v xml:space="preserve">______ </v>
          </cell>
          <cell r="V50" t="str">
            <v xml:space="preserve">______ </v>
          </cell>
          <cell r="W50" t="str">
            <v xml:space="preserve">______ </v>
          </cell>
          <cell r="X50" t="str">
            <v xml:space="preserve">______ </v>
          </cell>
          <cell r="Y50" t="str">
            <v xml:space="preserve">______ </v>
          </cell>
          <cell r="Z50" t="str">
            <v xml:space="preserve">______ </v>
          </cell>
          <cell r="AA50" t="str">
            <v xml:space="preserve">______ </v>
          </cell>
          <cell r="AB50" t="str">
            <v xml:space="preserve">______ </v>
          </cell>
          <cell r="AC50" t="str">
            <v xml:space="preserve">______ </v>
          </cell>
          <cell r="AD50" t="str">
            <v xml:space="preserve">______ </v>
          </cell>
          <cell r="AE50" t="str">
            <v xml:space="preserve">______ </v>
          </cell>
          <cell r="AF50" t="str">
            <v xml:space="preserve">______ </v>
          </cell>
          <cell r="AG50" t="str">
            <v xml:space="preserve">______ </v>
          </cell>
          <cell r="AH50" t="str">
            <v xml:space="preserve">______ </v>
          </cell>
          <cell r="AI50" t="str">
            <v xml:space="preserve">______ </v>
          </cell>
          <cell r="AJ50" t="str">
            <v xml:space="preserve">______ </v>
          </cell>
          <cell r="AK50" t="str">
            <v xml:space="preserve">______ </v>
          </cell>
          <cell r="AL50" t="str">
            <v xml:space="preserve">______ </v>
          </cell>
          <cell r="AM50" t="str">
            <v xml:space="preserve">______ </v>
          </cell>
          <cell r="AN50" t="str">
            <v xml:space="preserve">______ </v>
          </cell>
          <cell r="AO50" t="str">
            <v xml:space="preserve">______ </v>
          </cell>
          <cell r="AP50" t="str">
            <v xml:space="preserve">______ </v>
          </cell>
          <cell r="AQ50" t="str">
            <v xml:space="preserve">______ </v>
          </cell>
          <cell r="AR50" t="str">
            <v xml:space="preserve">______ </v>
          </cell>
          <cell r="AS50" t="str">
            <v xml:space="preserve">______ </v>
          </cell>
          <cell r="AT50" t="str">
            <v xml:space="preserve">______ </v>
          </cell>
          <cell r="AU50" t="str">
            <v xml:space="preserve">______ </v>
          </cell>
          <cell r="AV50" t="str">
            <v xml:space="preserve">______ </v>
          </cell>
          <cell r="AW50" t="str">
            <v xml:space="preserve">______ </v>
          </cell>
          <cell r="AX50" t="str">
            <v xml:space="preserve">______ </v>
          </cell>
          <cell r="AY50" t="str">
            <v xml:space="preserve">______ </v>
          </cell>
          <cell r="AZ50" t="str">
            <v xml:space="preserve">______ </v>
          </cell>
          <cell r="BA50" t="str">
            <v xml:space="preserve">______ </v>
          </cell>
          <cell r="BB50" t="str">
            <v xml:space="preserve">______ </v>
          </cell>
          <cell r="BC50" t="str">
            <v xml:space="preserve">______ </v>
          </cell>
          <cell r="BD50" t="str">
            <v xml:space="preserve">______ </v>
          </cell>
          <cell r="BE50" t="str">
            <v xml:space="preserve">______ </v>
          </cell>
          <cell r="BF50" t="str">
            <v xml:space="preserve">______ </v>
          </cell>
          <cell r="BG50" t="str">
            <v xml:space="preserve">______ </v>
          </cell>
          <cell r="BH50" t="str">
            <v xml:space="preserve">______ </v>
          </cell>
          <cell r="BI50" t="str">
            <v xml:space="preserve">______ </v>
          </cell>
          <cell r="BJ50" t="str">
            <v xml:space="preserve">______ </v>
          </cell>
          <cell r="BK50" t="str">
            <v xml:space="preserve">______ </v>
          </cell>
          <cell r="BL50" t="str">
            <v xml:space="preserve">______ </v>
          </cell>
          <cell r="BM50" t="str">
            <v xml:space="preserve">______ </v>
          </cell>
          <cell r="BN50" t="str">
            <v xml:space="preserve">______ </v>
          </cell>
          <cell r="BO50" t="str">
            <v xml:space="preserve">______ </v>
          </cell>
          <cell r="BP50" t="str">
            <v xml:space="preserve">______ </v>
          </cell>
          <cell r="BQ50" t="str">
            <v xml:space="preserve">______ </v>
          </cell>
          <cell r="BR50" t="str">
            <v xml:space="preserve">______ </v>
          </cell>
          <cell r="BS50" t="str">
            <v xml:space="preserve">______ </v>
          </cell>
          <cell r="BT50" t="str">
            <v xml:space="preserve">______ </v>
          </cell>
          <cell r="BU50" t="str">
            <v xml:space="preserve">______ </v>
          </cell>
          <cell r="CA50" t="str">
            <v xml:space="preserve">______ </v>
          </cell>
          <cell r="CB50" t="str">
            <v xml:space="preserve">______ </v>
          </cell>
          <cell r="CC50" t="str">
            <v xml:space="preserve">______ </v>
          </cell>
          <cell r="CD50" t="str">
            <v xml:space="preserve">______ </v>
          </cell>
          <cell r="CE50" t="str">
            <v xml:space="preserve">______ </v>
          </cell>
          <cell r="CF50" t="str">
            <v xml:space="preserve">______ </v>
          </cell>
          <cell r="CG50" t="str">
            <v xml:space="preserve">______ </v>
          </cell>
          <cell r="CH50" t="str">
            <v xml:space="preserve">______ </v>
          </cell>
          <cell r="CI50" t="str">
            <v xml:space="preserve">______ </v>
          </cell>
          <cell r="CJ50" t="str">
            <v xml:space="preserve">______ </v>
          </cell>
          <cell r="CK50" t="str">
            <v xml:space="preserve">______ </v>
          </cell>
          <cell r="CL50" t="str">
            <v xml:space="preserve">______ </v>
          </cell>
          <cell r="CM50" t="str">
            <v xml:space="preserve">______ </v>
          </cell>
          <cell r="CN50" t="str">
            <v xml:space="preserve">______ </v>
          </cell>
          <cell r="CO50" t="str">
            <v xml:space="preserve">______ </v>
          </cell>
          <cell r="CP50" t="str">
            <v xml:space="preserve">______ </v>
          </cell>
          <cell r="CQ50" t="str">
            <v xml:space="preserve">______ </v>
          </cell>
          <cell r="CR50" t="str">
            <v xml:space="preserve">______ </v>
          </cell>
          <cell r="CS50" t="str">
            <v xml:space="preserve">______ </v>
          </cell>
          <cell r="CT50" t="str">
            <v xml:space="preserve">______ </v>
          </cell>
          <cell r="CU50" t="str">
            <v xml:space="preserve">______ </v>
          </cell>
          <cell r="CV50" t="str">
            <v xml:space="preserve">______ </v>
          </cell>
          <cell r="CW50" t="str">
            <v xml:space="preserve">______ </v>
          </cell>
          <cell r="CY50" t="str">
            <v xml:space="preserve">______ </v>
          </cell>
        </row>
        <row r="51">
          <cell r="A51" t="str">
            <v>Net Income, recurring</v>
          </cell>
          <cell r="C51">
            <v>134.94400000000013</v>
          </cell>
          <cell r="D51">
            <v>150.45720000000006</v>
          </cell>
          <cell r="E51">
            <v>158.50000000000006</v>
          </cell>
          <cell r="F51">
            <v>212.20000000000005</v>
          </cell>
          <cell r="G51">
            <v>288.89999999999998</v>
          </cell>
          <cell r="H51">
            <v>343.78320000000019</v>
          </cell>
          <cell r="I51">
            <v>395.10000000000019</v>
          </cell>
          <cell r="J51">
            <v>116.00000000000001</v>
          </cell>
          <cell r="K51">
            <v>145.39999999999998</v>
          </cell>
          <cell r="L51">
            <v>135.09999999999991</v>
          </cell>
          <cell r="M51">
            <v>155.49999999999994</v>
          </cell>
          <cell r="N51">
            <v>552</v>
          </cell>
          <cell r="O51">
            <v>145.30000000000004</v>
          </cell>
          <cell r="P51">
            <v>170.59999999999997</v>
          </cell>
          <cell r="Q51">
            <v>156.99999999999994</v>
          </cell>
          <cell r="R51">
            <v>184.49999999999994</v>
          </cell>
          <cell r="S51">
            <v>657.39999999999986</v>
          </cell>
          <cell r="T51">
            <v>175.39999999999998</v>
          </cell>
          <cell r="U51">
            <v>209.59999999999991</v>
          </cell>
          <cell r="V51">
            <v>136.89999999999992</v>
          </cell>
          <cell r="W51">
            <v>157.29999999999998</v>
          </cell>
          <cell r="X51">
            <v>679.19999999999993</v>
          </cell>
          <cell r="Y51">
            <v>120.79999999999997</v>
          </cell>
          <cell r="Z51">
            <v>129.69999999999993</v>
          </cell>
          <cell r="AA51">
            <v>109.10000000000005</v>
          </cell>
          <cell r="AB51">
            <v>85.700000000000017</v>
          </cell>
          <cell r="AC51">
            <v>445.29999999999978</v>
          </cell>
          <cell r="AD51">
            <v>98.399999999999977</v>
          </cell>
          <cell r="AE51">
            <v>104.6999999999999</v>
          </cell>
          <cell r="AF51">
            <v>104.00000000000003</v>
          </cell>
          <cell r="AG51">
            <v>102.6999999999999</v>
          </cell>
          <cell r="AH51">
            <v>409.80000000000007</v>
          </cell>
          <cell r="AI51">
            <v>114.20000000000002</v>
          </cell>
          <cell r="AJ51">
            <v>118.19999999999996</v>
          </cell>
          <cell r="AK51">
            <v>121.00100000000003</v>
          </cell>
          <cell r="AL51">
            <v>120.20400000000006</v>
          </cell>
          <cell r="AM51">
            <v>473.6049999999999</v>
          </cell>
          <cell r="AN51">
            <v>157.10000000000011</v>
          </cell>
          <cell r="AO51">
            <v>183.59999999999997</v>
          </cell>
          <cell r="AP51">
            <v>132.29999999999995</v>
          </cell>
          <cell r="AQ51">
            <v>98.000000000000156</v>
          </cell>
          <cell r="AR51">
            <v>570.99999999999989</v>
          </cell>
          <cell r="AS51">
            <v>175.50000000000009</v>
          </cell>
          <cell r="AT51">
            <v>175.69999999999985</v>
          </cell>
          <cell r="AU51">
            <v>172.93399999999991</v>
          </cell>
          <cell r="AV51">
            <v>170.14400000000015</v>
          </cell>
          <cell r="AW51">
            <v>694.27800000000013</v>
          </cell>
          <cell r="AX51">
            <v>222.90800000000007</v>
          </cell>
          <cell r="AY51">
            <v>228.4</v>
          </cell>
          <cell r="AZ51">
            <v>186.80000000000007</v>
          </cell>
          <cell r="BA51">
            <v>189.89000000000001</v>
          </cell>
          <cell r="BB51">
            <v>827.99800000000005</v>
          </cell>
          <cell r="BC51">
            <v>221.70000000000007</v>
          </cell>
          <cell r="BD51">
            <v>245.89999999999998</v>
          </cell>
          <cell r="BE51">
            <v>180.58911912190501</v>
          </cell>
          <cell r="BF51">
            <v>200.36080274627096</v>
          </cell>
          <cell r="BG51">
            <v>848.5499218681756</v>
          </cell>
          <cell r="BH51">
            <v>198.88874135855491</v>
          </cell>
          <cell r="BI51">
            <v>229.68815906964329</v>
          </cell>
          <cell r="BJ51">
            <v>186.979506907656</v>
          </cell>
          <cell r="BK51">
            <v>207.64566748589826</v>
          </cell>
          <cell r="BL51">
            <v>823.2020748217534</v>
          </cell>
          <cell r="BM51">
            <v>206.16687945225891</v>
          </cell>
          <cell r="BN51">
            <v>237.21105689548074</v>
          </cell>
          <cell r="BO51">
            <v>193.81285925914318</v>
          </cell>
          <cell r="BP51">
            <v>215.05564389371813</v>
          </cell>
          <cell r="BQ51">
            <v>852.24643950060022</v>
          </cell>
          <cell r="BR51">
            <v>878.43214420844595</v>
          </cell>
          <cell r="BS51">
            <v>916.35686396724032</v>
          </cell>
          <cell r="BT51">
            <v>957.75010019661033</v>
          </cell>
          <cell r="BU51">
            <v>1002.9878115786455</v>
          </cell>
          <cell r="BZ51" t="str">
            <v>Net Income, recurring</v>
          </cell>
          <cell r="CA51">
            <v>134.94400000000013</v>
          </cell>
          <cell r="CB51">
            <v>150.45720000000006</v>
          </cell>
          <cell r="CC51">
            <v>158.50000000000006</v>
          </cell>
          <cell r="CD51">
            <v>212.20000000000005</v>
          </cell>
          <cell r="CE51">
            <v>288.89999999999998</v>
          </cell>
          <cell r="CF51">
            <v>343.78320000000019</v>
          </cell>
          <cell r="CG51">
            <v>395.10000000000019</v>
          </cell>
          <cell r="CH51">
            <v>552</v>
          </cell>
          <cell r="CI51">
            <v>657.39999999999986</v>
          </cell>
          <cell r="CJ51">
            <v>679.19999999999993</v>
          </cell>
          <cell r="CK51">
            <v>445.29999999999978</v>
          </cell>
          <cell r="CL51">
            <v>409.80000000000007</v>
          </cell>
          <cell r="CM51">
            <v>473.6049999999999</v>
          </cell>
          <cell r="CN51">
            <v>570.99999999999989</v>
          </cell>
          <cell r="CO51">
            <v>694.27800000000013</v>
          </cell>
          <cell r="CP51">
            <v>827.99800000000005</v>
          </cell>
          <cell r="CQ51">
            <v>848.5499218681756</v>
          </cell>
          <cell r="CR51">
            <v>823.2020748217534</v>
          </cell>
          <cell r="CS51">
            <v>852.24643950060022</v>
          </cell>
          <cell r="CT51">
            <v>878.43214420844595</v>
          </cell>
          <cell r="CU51">
            <v>916.35686396724032</v>
          </cell>
          <cell r="CV51">
            <v>957.75010019661033</v>
          </cell>
          <cell r="CW51">
            <v>1002.9878115786455</v>
          </cell>
          <cell r="CY51">
            <v>809.52682229637412</v>
          </cell>
        </row>
        <row r="52">
          <cell r="A52" t="str">
            <v>Extraordinary (charges) / gains</v>
          </cell>
          <cell r="C52">
            <v>7.056</v>
          </cell>
          <cell r="D52">
            <v>5.1428000000000003</v>
          </cell>
          <cell r="E52">
            <v>0</v>
          </cell>
          <cell r="F52">
            <v>0</v>
          </cell>
          <cell r="G52">
            <v>0</v>
          </cell>
          <cell r="H52">
            <v>20.116799999999998</v>
          </cell>
          <cell r="I52">
            <v>30</v>
          </cell>
          <cell r="J52">
            <v>2.7</v>
          </cell>
          <cell r="K52">
            <v>0</v>
          </cell>
          <cell r="L52">
            <v>11.5</v>
          </cell>
          <cell r="M52">
            <v>-5.3999999999999995</v>
          </cell>
          <cell r="N52">
            <v>8.8000000000000007</v>
          </cell>
          <cell r="O52">
            <v>0.9</v>
          </cell>
          <cell r="P52">
            <v>1.5</v>
          </cell>
          <cell r="Q52">
            <v>0</v>
          </cell>
          <cell r="R52">
            <v>94.1</v>
          </cell>
          <cell r="S52">
            <v>96.5</v>
          </cell>
          <cell r="T52">
            <v>0</v>
          </cell>
          <cell r="U52">
            <v>52.3</v>
          </cell>
          <cell r="V52">
            <v>0</v>
          </cell>
          <cell r="W52">
            <v>-30</v>
          </cell>
          <cell r="X52">
            <v>22.299999999999997</v>
          </cell>
          <cell r="Y52">
            <v>0.39999999999999997</v>
          </cell>
          <cell r="Z52">
            <v>7.8999999999999986</v>
          </cell>
          <cell r="AA52">
            <v>3.8999999999999995</v>
          </cell>
          <cell r="AB52">
            <v>0.10000000000000359</v>
          </cell>
          <cell r="AC52">
            <v>12.300000000000002</v>
          </cell>
          <cell r="AD52">
            <v>-7.3</v>
          </cell>
          <cell r="AE52">
            <v>6.3</v>
          </cell>
          <cell r="AF52">
            <v>-2.2999999999999998</v>
          </cell>
          <cell r="AG52">
            <v>0.59999999999999876</v>
          </cell>
          <cell r="AH52">
            <v>-2.7000000000000011</v>
          </cell>
          <cell r="AI52">
            <v>0.5</v>
          </cell>
          <cell r="AJ52">
            <v>4.3999999999999995</v>
          </cell>
          <cell r="AK52">
            <v>16.199000000000002</v>
          </cell>
          <cell r="AL52">
            <v>18.696000000000002</v>
          </cell>
          <cell r="AM52">
            <v>39.795000000000002</v>
          </cell>
          <cell r="AN52">
            <v>0</v>
          </cell>
          <cell r="AO52">
            <v>7.1</v>
          </cell>
          <cell r="AP52">
            <v>-0.2</v>
          </cell>
          <cell r="AQ52">
            <v>0.10000000000000037</v>
          </cell>
          <cell r="AR52">
            <v>7</v>
          </cell>
          <cell r="AS52">
            <v>0</v>
          </cell>
          <cell r="AT52">
            <v>0</v>
          </cell>
          <cell r="AU52">
            <v>13.565999999999999</v>
          </cell>
          <cell r="AV52">
            <v>-8.1440000000000001</v>
          </cell>
          <cell r="AW52">
            <v>5.4219999999999988</v>
          </cell>
          <cell r="AX52">
            <v>-31.808</v>
          </cell>
          <cell r="AY52">
            <v>0</v>
          </cell>
          <cell r="AZ52">
            <v>0</v>
          </cell>
          <cell r="BA52">
            <v>19.71</v>
          </cell>
          <cell r="BB52">
            <v>-12.097999999999999</v>
          </cell>
          <cell r="BC52">
            <v>0</v>
          </cell>
          <cell r="BD52">
            <v>78.5</v>
          </cell>
          <cell r="BE52">
            <v>0</v>
          </cell>
          <cell r="BF52">
            <v>0</v>
          </cell>
          <cell r="BG52">
            <v>78.5</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Z52" t="str">
            <v>Extraordinary (charges) / gains</v>
          </cell>
          <cell r="CA52">
            <v>7.056</v>
          </cell>
          <cell r="CB52">
            <v>5.1428000000000003</v>
          </cell>
          <cell r="CC52">
            <v>0</v>
          </cell>
          <cell r="CD52">
            <v>0</v>
          </cell>
          <cell r="CE52">
            <v>0</v>
          </cell>
          <cell r="CF52">
            <v>20.116799999999998</v>
          </cell>
          <cell r="CG52">
            <v>30</v>
          </cell>
          <cell r="CH52">
            <v>8.8000000000000007</v>
          </cell>
          <cell r="CI52">
            <v>96.5</v>
          </cell>
          <cell r="CJ52">
            <v>22.299999999999997</v>
          </cell>
          <cell r="CK52">
            <v>12.300000000000002</v>
          </cell>
          <cell r="CL52">
            <v>-2.7000000000000011</v>
          </cell>
          <cell r="CM52">
            <v>39.795000000000002</v>
          </cell>
          <cell r="CN52">
            <v>7</v>
          </cell>
          <cell r="CO52">
            <v>5.4219999999999988</v>
          </cell>
          <cell r="CP52">
            <v>-12.097999999999999</v>
          </cell>
          <cell r="CQ52">
            <v>78.5</v>
          </cell>
          <cell r="CR52">
            <v>0</v>
          </cell>
          <cell r="CS52">
            <v>0</v>
          </cell>
          <cell r="CT52">
            <v>0</v>
          </cell>
          <cell r="CU52">
            <v>0</v>
          </cell>
          <cell r="CV52">
            <v>0</v>
          </cell>
          <cell r="CW52">
            <v>0</v>
          </cell>
          <cell r="CY52">
            <v>0</v>
          </cell>
          <cell r="DA52" t="str">
            <v>mstag:incomeLossFromExtraordinaryItemsNetOfTax</v>
          </cell>
          <cell r="DB52">
            <v>6</v>
          </cell>
          <cell r="DC52" t="str">
            <v>ISO4217:USD</v>
          </cell>
          <cell r="DD52" t="b">
            <v>0</v>
          </cell>
        </row>
        <row r="53">
          <cell r="C53" t="str">
            <v xml:space="preserve">______ </v>
          </cell>
          <cell r="D53" t="str">
            <v xml:space="preserve">______ </v>
          </cell>
          <cell r="E53" t="str">
            <v xml:space="preserve">______ </v>
          </cell>
          <cell r="F53" t="str">
            <v xml:space="preserve">______ </v>
          </cell>
          <cell r="G53" t="str">
            <v xml:space="preserve">______ </v>
          </cell>
          <cell r="H53" t="str">
            <v xml:space="preserve">______ </v>
          </cell>
          <cell r="I53" t="str">
            <v xml:space="preserve">______ </v>
          </cell>
          <cell r="J53" t="str">
            <v xml:space="preserve">______ </v>
          </cell>
          <cell r="K53" t="str">
            <v xml:space="preserve">______ </v>
          </cell>
          <cell r="L53" t="str">
            <v xml:space="preserve">______ </v>
          </cell>
          <cell r="M53" t="str">
            <v xml:space="preserve">______ </v>
          </cell>
          <cell r="N53" t="str">
            <v xml:space="preserve">______ </v>
          </cell>
          <cell r="O53" t="str">
            <v xml:space="preserve">______ </v>
          </cell>
          <cell r="P53" t="str">
            <v xml:space="preserve">______ </v>
          </cell>
          <cell r="Q53" t="str">
            <v xml:space="preserve">______ </v>
          </cell>
          <cell r="R53" t="str">
            <v xml:space="preserve">______ </v>
          </cell>
          <cell r="S53" t="str">
            <v xml:space="preserve">______ </v>
          </cell>
          <cell r="T53" t="str">
            <v xml:space="preserve">______ </v>
          </cell>
          <cell r="U53" t="str">
            <v xml:space="preserve">______ </v>
          </cell>
          <cell r="V53" t="str">
            <v xml:space="preserve">______ </v>
          </cell>
          <cell r="W53" t="str">
            <v xml:space="preserve">______ </v>
          </cell>
          <cell r="X53" t="str">
            <v xml:space="preserve">______ </v>
          </cell>
          <cell r="Y53" t="str">
            <v xml:space="preserve">______ </v>
          </cell>
          <cell r="Z53" t="str">
            <v xml:space="preserve">______ </v>
          </cell>
          <cell r="AA53" t="str">
            <v xml:space="preserve">______ </v>
          </cell>
          <cell r="AB53" t="str">
            <v xml:space="preserve">______ </v>
          </cell>
          <cell r="AC53" t="str">
            <v xml:space="preserve">______ </v>
          </cell>
          <cell r="AD53" t="str">
            <v xml:space="preserve">______ </v>
          </cell>
          <cell r="AE53" t="str">
            <v xml:space="preserve">______ </v>
          </cell>
          <cell r="AF53" t="str">
            <v xml:space="preserve">______ </v>
          </cell>
          <cell r="AG53" t="str">
            <v xml:space="preserve">______ </v>
          </cell>
          <cell r="AH53" t="str">
            <v xml:space="preserve">______ </v>
          </cell>
          <cell r="AI53" t="str">
            <v xml:space="preserve">______ </v>
          </cell>
          <cell r="AJ53" t="str">
            <v xml:space="preserve">______ </v>
          </cell>
          <cell r="AK53" t="str">
            <v xml:space="preserve">______ </v>
          </cell>
          <cell r="AL53" t="str">
            <v xml:space="preserve">______ </v>
          </cell>
          <cell r="AM53" t="str">
            <v xml:space="preserve">______ </v>
          </cell>
          <cell r="AN53" t="str">
            <v xml:space="preserve">______ </v>
          </cell>
          <cell r="AO53" t="str">
            <v xml:space="preserve">______ </v>
          </cell>
          <cell r="AP53" t="str">
            <v xml:space="preserve">______ </v>
          </cell>
          <cell r="AQ53" t="str">
            <v xml:space="preserve">______ </v>
          </cell>
          <cell r="AR53" t="str">
            <v xml:space="preserve">______ </v>
          </cell>
          <cell r="AS53" t="str">
            <v xml:space="preserve">______ </v>
          </cell>
          <cell r="AT53" t="str">
            <v xml:space="preserve">______ </v>
          </cell>
          <cell r="AU53" t="str">
            <v xml:space="preserve">______ </v>
          </cell>
          <cell r="AV53" t="str">
            <v xml:space="preserve">______ </v>
          </cell>
          <cell r="AW53" t="str">
            <v xml:space="preserve">______ </v>
          </cell>
          <cell r="AX53" t="str">
            <v xml:space="preserve">______ </v>
          </cell>
          <cell r="AY53" t="str">
            <v xml:space="preserve">______ </v>
          </cell>
          <cell r="AZ53" t="str">
            <v xml:space="preserve">______ </v>
          </cell>
          <cell r="BA53" t="str">
            <v xml:space="preserve">______ </v>
          </cell>
          <cell r="BB53" t="str">
            <v xml:space="preserve">______ </v>
          </cell>
          <cell r="BC53" t="str">
            <v xml:space="preserve">______ </v>
          </cell>
          <cell r="BD53" t="str">
            <v xml:space="preserve">______ </v>
          </cell>
          <cell r="BE53" t="str">
            <v xml:space="preserve">______ </v>
          </cell>
          <cell r="BF53" t="str">
            <v xml:space="preserve">______ </v>
          </cell>
          <cell r="BG53" t="str">
            <v xml:space="preserve">______ </v>
          </cell>
          <cell r="BH53" t="str">
            <v xml:space="preserve">______ </v>
          </cell>
          <cell r="BI53" t="str">
            <v xml:space="preserve">______ </v>
          </cell>
          <cell r="BJ53" t="str">
            <v xml:space="preserve">______ </v>
          </cell>
          <cell r="BK53" t="str">
            <v xml:space="preserve">______ </v>
          </cell>
          <cell r="BL53" t="str">
            <v xml:space="preserve">______ </v>
          </cell>
          <cell r="BM53" t="str">
            <v xml:space="preserve">______ </v>
          </cell>
          <cell r="BN53" t="str">
            <v xml:space="preserve">______ </v>
          </cell>
          <cell r="BO53" t="str">
            <v xml:space="preserve">______ </v>
          </cell>
          <cell r="BP53" t="str">
            <v xml:space="preserve">______ </v>
          </cell>
          <cell r="BQ53" t="str">
            <v xml:space="preserve">______ </v>
          </cell>
          <cell r="BR53" t="str">
            <v xml:space="preserve">______ </v>
          </cell>
          <cell r="BS53" t="str">
            <v xml:space="preserve">______ </v>
          </cell>
          <cell r="BT53" t="str">
            <v xml:space="preserve">______ </v>
          </cell>
          <cell r="BU53" t="str">
            <v xml:space="preserve">______ </v>
          </cell>
          <cell r="CA53" t="str">
            <v xml:space="preserve">______ </v>
          </cell>
          <cell r="CB53" t="str">
            <v xml:space="preserve">______ </v>
          </cell>
          <cell r="CC53" t="str">
            <v xml:space="preserve">______ </v>
          </cell>
          <cell r="CD53" t="str">
            <v xml:space="preserve">______ </v>
          </cell>
          <cell r="CE53" t="str">
            <v xml:space="preserve">______ </v>
          </cell>
          <cell r="CF53" t="str">
            <v xml:space="preserve">______ </v>
          </cell>
          <cell r="CG53" t="str">
            <v xml:space="preserve">______ </v>
          </cell>
          <cell r="CH53" t="str">
            <v xml:space="preserve">______ </v>
          </cell>
          <cell r="CI53" t="str">
            <v xml:space="preserve">______ </v>
          </cell>
          <cell r="CJ53" t="str">
            <v xml:space="preserve">______ </v>
          </cell>
          <cell r="CK53" t="str">
            <v xml:space="preserve">______ </v>
          </cell>
          <cell r="CL53" t="str">
            <v xml:space="preserve">______ </v>
          </cell>
          <cell r="CM53" t="str">
            <v xml:space="preserve">______ </v>
          </cell>
          <cell r="CN53" t="str">
            <v xml:space="preserve">______ </v>
          </cell>
          <cell r="CO53" t="str">
            <v xml:space="preserve">______ </v>
          </cell>
          <cell r="CP53" t="str">
            <v xml:space="preserve">______ </v>
          </cell>
          <cell r="CQ53" t="str">
            <v xml:space="preserve">______ </v>
          </cell>
          <cell r="CR53" t="str">
            <v xml:space="preserve">______ </v>
          </cell>
          <cell r="CS53" t="str">
            <v xml:space="preserve">______ </v>
          </cell>
          <cell r="CT53" t="str">
            <v xml:space="preserve">______ </v>
          </cell>
          <cell r="CU53" t="str">
            <v xml:space="preserve">______ </v>
          </cell>
          <cell r="CV53" t="str">
            <v xml:space="preserve">______ </v>
          </cell>
          <cell r="CW53" t="str">
            <v xml:space="preserve">______ </v>
          </cell>
          <cell r="CY53" t="str">
            <v xml:space="preserve">______ </v>
          </cell>
        </row>
        <row r="54">
          <cell r="A54" t="str">
            <v>Net Income</v>
          </cell>
          <cell r="C54">
            <v>142.00000000000014</v>
          </cell>
          <cell r="D54">
            <v>155.60000000000005</v>
          </cell>
          <cell r="E54">
            <v>158.50000000000006</v>
          </cell>
          <cell r="F54">
            <v>212.20000000000005</v>
          </cell>
          <cell r="G54">
            <v>288.89999999999998</v>
          </cell>
          <cell r="H54">
            <v>363.9000000000002</v>
          </cell>
          <cell r="I54">
            <v>425.10000000000019</v>
          </cell>
          <cell r="J54">
            <v>118.70000000000002</v>
          </cell>
          <cell r="K54">
            <v>145.39999999999998</v>
          </cell>
          <cell r="L54">
            <v>146.59999999999991</v>
          </cell>
          <cell r="M54">
            <v>150.09999999999994</v>
          </cell>
          <cell r="N54">
            <v>560.79999999999995</v>
          </cell>
          <cell r="O54">
            <v>146.20000000000005</v>
          </cell>
          <cell r="P54">
            <v>172.09999999999997</v>
          </cell>
          <cell r="Q54">
            <v>156.99999999999994</v>
          </cell>
          <cell r="R54">
            <v>278.59999999999991</v>
          </cell>
          <cell r="S54">
            <v>753.89999999999986</v>
          </cell>
          <cell r="T54">
            <v>175.39999999999998</v>
          </cell>
          <cell r="U54">
            <v>261.89999999999992</v>
          </cell>
          <cell r="V54">
            <v>136.89999999999992</v>
          </cell>
          <cell r="W54">
            <v>127.29999999999998</v>
          </cell>
          <cell r="X54">
            <v>701.49999999999989</v>
          </cell>
          <cell r="Y54">
            <v>121.19999999999997</v>
          </cell>
          <cell r="Z54">
            <v>137.59999999999994</v>
          </cell>
          <cell r="AA54">
            <v>113.00000000000006</v>
          </cell>
          <cell r="AB54">
            <v>85.800000000000026</v>
          </cell>
          <cell r="AC54">
            <v>457.5999999999998</v>
          </cell>
          <cell r="AD54">
            <v>91.09999999999998</v>
          </cell>
          <cell r="AE54">
            <v>110.9999999999999</v>
          </cell>
          <cell r="AF54">
            <v>101.70000000000003</v>
          </cell>
          <cell r="AG54">
            <v>103.2999999999999</v>
          </cell>
          <cell r="AH54">
            <v>407.10000000000008</v>
          </cell>
          <cell r="AI54">
            <v>114.70000000000002</v>
          </cell>
          <cell r="AJ54">
            <v>122.59999999999997</v>
          </cell>
          <cell r="AK54">
            <v>137.20000000000005</v>
          </cell>
          <cell r="AL54">
            <v>138.90000000000006</v>
          </cell>
          <cell r="AM54">
            <v>513.39999999999986</v>
          </cell>
          <cell r="AN54">
            <v>157.10000000000011</v>
          </cell>
          <cell r="AO54">
            <v>190.69999999999996</v>
          </cell>
          <cell r="AP54">
            <v>132.09999999999997</v>
          </cell>
          <cell r="AQ54">
            <v>98.100000000000151</v>
          </cell>
          <cell r="AR54">
            <v>577.99999999999989</v>
          </cell>
          <cell r="AS54">
            <v>175.50000000000009</v>
          </cell>
          <cell r="AT54">
            <v>175.69999999999985</v>
          </cell>
          <cell r="AU54">
            <v>186.49999999999991</v>
          </cell>
          <cell r="AV54">
            <v>162.00000000000014</v>
          </cell>
          <cell r="AW54">
            <v>699.70000000000016</v>
          </cell>
          <cell r="AX54">
            <v>191.10000000000008</v>
          </cell>
          <cell r="AY54">
            <v>228.4</v>
          </cell>
          <cell r="AZ54">
            <v>186.80000000000007</v>
          </cell>
          <cell r="BA54">
            <v>209.60000000000002</v>
          </cell>
          <cell r="BB54">
            <v>815.90000000000009</v>
          </cell>
          <cell r="BC54">
            <v>221.70000000000007</v>
          </cell>
          <cell r="BD54">
            <v>324.39999999999998</v>
          </cell>
          <cell r="BE54">
            <v>180.58911912190501</v>
          </cell>
          <cell r="BF54">
            <v>200.36080274627096</v>
          </cell>
          <cell r="BG54">
            <v>927.0499218681756</v>
          </cell>
          <cell r="BH54">
            <v>198.88874135855491</v>
          </cell>
          <cell r="BI54">
            <v>229.68815906964329</v>
          </cell>
          <cell r="BJ54">
            <v>186.979506907656</v>
          </cell>
          <cell r="BK54">
            <v>207.64566748589826</v>
          </cell>
          <cell r="BL54">
            <v>823.2020748217534</v>
          </cell>
          <cell r="BM54">
            <v>206.16687945225891</v>
          </cell>
          <cell r="BN54">
            <v>237.21105689548074</v>
          </cell>
          <cell r="BO54">
            <v>193.81285925914318</v>
          </cell>
          <cell r="BP54">
            <v>215.05564389371813</v>
          </cell>
          <cell r="BQ54">
            <v>852.24643950060022</v>
          </cell>
          <cell r="BR54">
            <v>878.43214420844595</v>
          </cell>
          <cell r="BS54">
            <v>916.35686396724032</v>
          </cell>
          <cell r="BT54">
            <v>957.75010019661033</v>
          </cell>
          <cell r="BU54">
            <v>1002.9878115786455</v>
          </cell>
          <cell r="BZ54" t="str">
            <v>Net Income</v>
          </cell>
          <cell r="CA54">
            <v>142.00000000000014</v>
          </cell>
          <cell r="CB54">
            <v>155.60000000000005</v>
          </cell>
          <cell r="CC54">
            <v>158.50000000000006</v>
          </cell>
          <cell r="CD54">
            <v>212.20000000000005</v>
          </cell>
          <cell r="CE54">
            <v>288.89999999999998</v>
          </cell>
          <cell r="CF54">
            <v>363.9000000000002</v>
          </cell>
          <cell r="CG54">
            <v>425.10000000000019</v>
          </cell>
          <cell r="CH54">
            <v>560.79999999999995</v>
          </cell>
          <cell r="CI54">
            <v>753.89999999999986</v>
          </cell>
          <cell r="CJ54">
            <v>701.49999999999989</v>
          </cell>
          <cell r="CK54">
            <v>457.5999999999998</v>
          </cell>
          <cell r="CL54">
            <v>407.10000000000008</v>
          </cell>
          <cell r="CM54">
            <v>513.39999999999986</v>
          </cell>
          <cell r="CN54">
            <v>577.99999999999989</v>
          </cell>
          <cell r="CO54">
            <v>699.70000000000016</v>
          </cell>
          <cell r="CP54">
            <v>815.90000000000009</v>
          </cell>
          <cell r="CQ54">
            <v>927.0499218681756</v>
          </cell>
          <cell r="CR54">
            <v>823.2020748217534</v>
          </cell>
          <cell r="CS54">
            <v>852.24643950060022</v>
          </cell>
          <cell r="CT54">
            <v>878.43214420844595</v>
          </cell>
          <cell r="CU54">
            <v>916.35686396724032</v>
          </cell>
          <cell r="CV54">
            <v>957.75010019661033</v>
          </cell>
          <cell r="CW54">
            <v>1002.9878115786455</v>
          </cell>
          <cell r="CY54">
            <v>809.52682229637412</v>
          </cell>
          <cell r="DA54" t="str">
            <v>mstag:netIncomeAsReported</v>
          </cell>
          <cell r="DB54">
            <v>6</v>
          </cell>
          <cell r="DC54" t="str">
            <v>ISO4217:USD</v>
          </cell>
          <cell r="DD54" t="b">
            <v>0</v>
          </cell>
        </row>
        <row r="55">
          <cell r="A55" t="str">
            <v>Net income attributable to noncontrolling interests</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0.5</v>
          </cell>
          <cell r="Z55">
            <v>2.4</v>
          </cell>
          <cell r="AA55">
            <v>0</v>
          </cell>
          <cell r="AB55">
            <v>-2.9</v>
          </cell>
          <cell r="AC55">
            <v>0</v>
          </cell>
          <cell r="AD55">
            <v>0.9</v>
          </cell>
          <cell r="AE55">
            <v>1.7</v>
          </cell>
          <cell r="AF55">
            <v>1.1000000000000001</v>
          </cell>
          <cell r="AG55">
            <v>1.399999999999999</v>
          </cell>
          <cell r="AH55">
            <v>5.0999999999999996</v>
          </cell>
          <cell r="AI55">
            <v>1.3</v>
          </cell>
          <cell r="AJ55">
            <v>1.6</v>
          </cell>
          <cell r="AK55">
            <v>1.2</v>
          </cell>
          <cell r="AL55">
            <v>1.4999999999999998</v>
          </cell>
          <cell r="AM55">
            <v>5.6000000000000005</v>
          </cell>
          <cell r="AN55">
            <v>1.6</v>
          </cell>
          <cell r="AO55">
            <v>1.7</v>
          </cell>
          <cell r="AP55">
            <v>1.4</v>
          </cell>
          <cell r="AQ55">
            <v>1.9</v>
          </cell>
          <cell r="AR55">
            <v>6.6</v>
          </cell>
          <cell r="AS55">
            <v>2</v>
          </cell>
          <cell r="AT55">
            <v>3.2</v>
          </cell>
          <cell r="AU55">
            <v>2.6</v>
          </cell>
          <cell r="AV55">
            <v>1.899999999999999</v>
          </cell>
          <cell r="AW55">
            <v>9.6999999999999993</v>
          </cell>
          <cell r="AX55">
            <v>2.7</v>
          </cell>
          <cell r="AY55">
            <v>2.9</v>
          </cell>
          <cell r="AZ55">
            <v>2.9</v>
          </cell>
          <cell r="BA55">
            <v>2.9</v>
          </cell>
          <cell r="BB55">
            <v>11.4</v>
          </cell>
          <cell r="BC55">
            <v>3.7</v>
          </cell>
          <cell r="BD55">
            <v>5.2</v>
          </cell>
          <cell r="BE55">
            <v>5</v>
          </cell>
          <cell r="BF55">
            <v>5</v>
          </cell>
          <cell r="BG55">
            <v>18.899999999999999</v>
          </cell>
          <cell r="BH55">
            <v>4.9632647362273694</v>
          </cell>
          <cell r="BI55">
            <v>5</v>
          </cell>
          <cell r="BJ55">
            <v>5</v>
          </cell>
          <cell r="BK55">
            <v>5</v>
          </cell>
          <cell r="BL55">
            <v>19.963264736227369</v>
          </cell>
          <cell r="BM55">
            <v>4.9908161840568424</v>
          </cell>
          <cell r="BN55">
            <v>4.9908161840568424</v>
          </cell>
          <cell r="BO55">
            <v>4.9908161840568424</v>
          </cell>
          <cell r="BP55">
            <v>4.9908161840568424</v>
          </cell>
          <cell r="BQ55">
            <v>19.963264736227369</v>
          </cell>
          <cell r="BR55">
            <v>19.963264736227369</v>
          </cell>
          <cell r="BS55">
            <v>19.963264736227369</v>
          </cell>
          <cell r="BT55">
            <v>19.963264736227369</v>
          </cell>
          <cell r="BU55">
            <v>19.963264736227369</v>
          </cell>
          <cell r="BZ55" t="str">
            <v>Net income attributable to noncontrolling interests</v>
          </cell>
          <cell r="CA55">
            <v>0</v>
          </cell>
          <cell r="CB55">
            <v>0</v>
          </cell>
          <cell r="CC55">
            <v>0</v>
          </cell>
          <cell r="CD55">
            <v>0</v>
          </cell>
          <cell r="CE55">
            <v>0</v>
          </cell>
          <cell r="CF55">
            <v>0</v>
          </cell>
          <cell r="CG55">
            <v>0</v>
          </cell>
          <cell r="CH55">
            <v>0</v>
          </cell>
          <cell r="CI55">
            <v>0</v>
          </cell>
          <cell r="CJ55">
            <v>0</v>
          </cell>
          <cell r="CK55">
            <v>0</v>
          </cell>
          <cell r="CL55">
            <v>5.0999999999999996</v>
          </cell>
          <cell r="CM55">
            <v>5.6000000000000005</v>
          </cell>
          <cell r="CN55">
            <v>6.6</v>
          </cell>
          <cell r="CO55">
            <v>9.6999999999999993</v>
          </cell>
          <cell r="CP55">
            <v>11.4</v>
          </cell>
          <cell r="CQ55">
            <v>18.899999999999999</v>
          </cell>
          <cell r="CR55">
            <v>19.963264736227369</v>
          </cell>
          <cell r="CS55">
            <v>19.963264736227369</v>
          </cell>
          <cell r="CT55">
            <v>19.963264736227369</v>
          </cell>
          <cell r="CU55">
            <v>19.963264736227369</v>
          </cell>
          <cell r="CV55">
            <v>19.963264736227369</v>
          </cell>
          <cell r="CW55">
            <v>19.963264736227369</v>
          </cell>
          <cell r="CY55">
            <v>19.963264736227369</v>
          </cell>
          <cell r="DA55" t="str">
            <v>mstag:netIncomeAttributableToNoncontrollingInterest</v>
          </cell>
          <cell r="DB55">
            <v>6</v>
          </cell>
          <cell r="DC55" t="str">
            <v>ISO4217:USD</v>
          </cell>
          <cell r="DD55" t="b">
            <v>0</v>
          </cell>
        </row>
        <row r="56">
          <cell r="C56" t="str">
            <v xml:space="preserve">______ </v>
          </cell>
          <cell r="D56" t="str">
            <v xml:space="preserve">______ </v>
          </cell>
          <cell r="E56" t="str">
            <v xml:space="preserve">______ </v>
          </cell>
          <cell r="F56" t="str">
            <v xml:space="preserve">______ </v>
          </cell>
          <cell r="G56" t="str">
            <v xml:space="preserve">______ </v>
          </cell>
          <cell r="H56" t="str">
            <v xml:space="preserve">______ </v>
          </cell>
          <cell r="I56" t="str">
            <v xml:space="preserve">______ </v>
          </cell>
          <cell r="J56" t="str">
            <v xml:space="preserve">______ </v>
          </cell>
          <cell r="K56" t="str">
            <v xml:space="preserve">______ </v>
          </cell>
          <cell r="L56" t="str">
            <v xml:space="preserve">______ </v>
          </cell>
          <cell r="M56" t="str">
            <v xml:space="preserve">______ </v>
          </cell>
          <cell r="N56" t="str">
            <v xml:space="preserve">______ </v>
          </cell>
          <cell r="O56" t="str">
            <v xml:space="preserve">______ </v>
          </cell>
          <cell r="P56" t="str">
            <v xml:space="preserve">______ </v>
          </cell>
          <cell r="Q56" t="str">
            <v xml:space="preserve">______ </v>
          </cell>
          <cell r="R56" t="str">
            <v xml:space="preserve">______ </v>
          </cell>
          <cell r="S56" t="str">
            <v xml:space="preserve">______ </v>
          </cell>
          <cell r="T56" t="str">
            <v xml:space="preserve">______ </v>
          </cell>
          <cell r="U56" t="str">
            <v xml:space="preserve">______ </v>
          </cell>
          <cell r="V56" t="str">
            <v xml:space="preserve">______ </v>
          </cell>
          <cell r="W56" t="str">
            <v xml:space="preserve">______ </v>
          </cell>
          <cell r="X56" t="str">
            <v xml:space="preserve">______ </v>
          </cell>
          <cell r="Y56" t="str">
            <v xml:space="preserve">______ </v>
          </cell>
          <cell r="Z56" t="str">
            <v xml:space="preserve">______ </v>
          </cell>
          <cell r="AA56" t="str">
            <v xml:space="preserve">______ </v>
          </cell>
          <cell r="AB56" t="str">
            <v xml:space="preserve">______ </v>
          </cell>
          <cell r="AC56" t="str">
            <v xml:space="preserve">______ </v>
          </cell>
          <cell r="AD56" t="str">
            <v xml:space="preserve">______ </v>
          </cell>
          <cell r="AE56" t="str">
            <v xml:space="preserve">______ </v>
          </cell>
          <cell r="AF56" t="str">
            <v xml:space="preserve">______ </v>
          </cell>
          <cell r="AG56" t="str">
            <v xml:space="preserve">______ </v>
          </cell>
          <cell r="AH56" t="str">
            <v xml:space="preserve">______ </v>
          </cell>
          <cell r="AI56" t="str">
            <v xml:space="preserve">______ </v>
          </cell>
          <cell r="AJ56" t="str">
            <v xml:space="preserve">______ </v>
          </cell>
          <cell r="AK56" t="str">
            <v xml:space="preserve">______ </v>
          </cell>
          <cell r="AL56" t="str">
            <v xml:space="preserve">______ </v>
          </cell>
          <cell r="AM56" t="str">
            <v xml:space="preserve">______ </v>
          </cell>
          <cell r="AN56" t="str">
            <v xml:space="preserve">______ </v>
          </cell>
          <cell r="AO56" t="str">
            <v xml:space="preserve">______ </v>
          </cell>
          <cell r="AP56" t="str">
            <v xml:space="preserve">______ </v>
          </cell>
          <cell r="AQ56" t="str">
            <v xml:space="preserve">______ </v>
          </cell>
          <cell r="AR56" t="str">
            <v xml:space="preserve">______ </v>
          </cell>
          <cell r="AS56" t="str">
            <v xml:space="preserve">______ </v>
          </cell>
          <cell r="AT56" t="str">
            <v xml:space="preserve">______ </v>
          </cell>
          <cell r="AU56" t="str">
            <v xml:space="preserve">______ </v>
          </cell>
          <cell r="AV56" t="str">
            <v xml:space="preserve">______ </v>
          </cell>
          <cell r="AW56" t="str">
            <v xml:space="preserve">______ </v>
          </cell>
          <cell r="AX56" t="str">
            <v xml:space="preserve">______ </v>
          </cell>
          <cell r="AY56" t="str">
            <v xml:space="preserve">______ </v>
          </cell>
          <cell r="AZ56" t="str">
            <v xml:space="preserve">______ </v>
          </cell>
          <cell r="BA56" t="str">
            <v xml:space="preserve">______ </v>
          </cell>
          <cell r="BB56" t="str">
            <v xml:space="preserve">______ </v>
          </cell>
          <cell r="BC56" t="str">
            <v xml:space="preserve">______ </v>
          </cell>
          <cell r="BD56" t="str">
            <v xml:space="preserve">______ </v>
          </cell>
          <cell r="BE56" t="str">
            <v xml:space="preserve">______ </v>
          </cell>
          <cell r="BF56" t="str">
            <v xml:space="preserve">______ </v>
          </cell>
          <cell r="BG56" t="str">
            <v xml:space="preserve">______ </v>
          </cell>
          <cell r="BH56" t="str">
            <v xml:space="preserve">______ </v>
          </cell>
          <cell r="BI56" t="str">
            <v xml:space="preserve">______ </v>
          </cell>
          <cell r="BJ56" t="str">
            <v xml:space="preserve">______ </v>
          </cell>
          <cell r="BK56" t="str">
            <v xml:space="preserve">______ </v>
          </cell>
          <cell r="BL56" t="str">
            <v xml:space="preserve">______ </v>
          </cell>
          <cell r="BM56" t="str">
            <v xml:space="preserve">______ </v>
          </cell>
          <cell r="BN56" t="str">
            <v xml:space="preserve">______ </v>
          </cell>
          <cell r="BO56" t="str">
            <v xml:space="preserve">______ </v>
          </cell>
          <cell r="BP56" t="str">
            <v xml:space="preserve">______ </v>
          </cell>
          <cell r="BQ56" t="str">
            <v xml:space="preserve">______ </v>
          </cell>
          <cell r="BR56" t="str">
            <v xml:space="preserve">______ </v>
          </cell>
          <cell r="BS56" t="str">
            <v xml:space="preserve">______ </v>
          </cell>
          <cell r="BT56" t="str">
            <v xml:space="preserve">______ </v>
          </cell>
          <cell r="BU56" t="str">
            <v xml:space="preserve">______ </v>
          </cell>
          <cell r="CA56" t="str">
            <v xml:space="preserve">______ </v>
          </cell>
          <cell r="CB56" t="str">
            <v xml:space="preserve">______ </v>
          </cell>
          <cell r="CC56" t="str">
            <v xml:space="preserve">______ </v>
          </cell>
          <cell r="CD56" t="str">
            <v xml:space="preserve">______ </v>
          </cell>
          <cell r="CE56" t="str">
            <v xml:space="preserve">______ </v>
          </cell>
          <cell r="CF56" t="str">
            <v xml:space="preserve">______ </v>
          </cell>
          <cell r="CG56" t="str">
            <v xml:space="preserve">______ </v>
          </cell>
          <cell r="CH56" t="str">
            <v xml:space="preserve">______ </v>
          </cell>
          <cell r="CI56" t="str">
            <v xml:space="preserve">______ </v>
          </cell>
          <cell r="CJ56" t="str">
            <v xml:space="preserve">______ </v>
          </cell>
          <cell r="CK56" t="str">
            <v xml:space="preserve">______ </v>
          </cell>
          <cell r="CL56" t="str">
            <v xml:space="preserve">______ </v>
          </cell>
          <cell r="CM56" t="str">
            <v xml:space="preserve">______ </v>
          </cell>
          <cell r="CN56" t="str">
            <v xml:space="preserve">______ </v>
          </cell>
          <cell r="CO56" t="str">
            <v xml:space="preserve">______ </v>
          </cell>
          <cell r="CP56" t="str">
            <v xml:space="preserve">______ </v>
          </cell>
          <cell r="CQ56" t="str">
            <v xml:space="preserve">______ </v>
          </cell>
          <cell r="CR56" t="str">
            <v xml:space="preserve">______ </v>
          </cell>
          <cell r="CS56" t="str">
            <v xml:space="preserve">______ </v>
          </cell>
          <cell r="CT56" t="str">
            <v xml:space="preserve">______ </v>
          </cell>
          <cell r="CU56" t="str">
            <v xml:space="preserve">______ </v>
          </cell>
          <cell r="CV56" t="str">
            <v xml:space="preserve">______ </v>
          </cell>
          <cell r="CW56" t="str">
            <v xml:space="preserve">______ </v>
          </cell>
          <cell r="CY56" t="str">
            <v xml:space="preserve">______ </v>
          </cell>
        </row>
        <row r="57">
          <cell r="A57" t="str">
            <v>Net Income attributable to common shareholder's</v>
          </cell>
          <cell r="C57">
            <v>142.00000000000014</v>
          </cell>
          <cell r="D57">
            <v>155.60000000000005</v>
          </cell>
          <cell r="E57">
            <v>158.50000000000006</v>
          </cell>
          <cell r="F57">
            <v>212.20000000000005</v>
          </cell>
          <cell r="G57">
            <v>288.89999999999998</v>
          </cell>
          <cell r="H57">
            <v>363.9000000000002</v>
          </cell>
          <cell r="I57">
            <v>425.10000000000019</v>
          </cell>
          <cell r="J57">
            <v>118.70000000000002</v>
          </cell>
          <cell r="K57">
            <v>145.39999999999998</v>
          </cell>
          <cell r="L57">
            <v>146.59999999999991</v>
          </cell>
          <cell r="M57">
            <v>150.09999999999994</v>
          </cell>
          <cell r="N57">
            <v>560.79999999999995</v>
          </cell>
          <cell r="O57">
            <v>146.20000000000005</v>
          </cell>
          <cell r="P57">
            <v>172.09999999999997</v>
          </cell>
          <cell r="Q57">
            <v>156.99999999999994</v>
          </cell>
          <cell r="R57">
            <v>278.59999999999991</v>
          </cell>
          <cell r="S57">
            <v>753.89999999999986</v>
          </cell>
          <cell r="T57">
            <v>175.39999999999998</v>
          </cell>
          <cell r="U57">
            <v>261.89999999999992</v>
          </cell>
          <cell r="V57">
            <v>136.89999999999992</v>
          </cell>
          <cell r="W57">
            <v>127.29999999999998</v>
          </cell>
          <cell r="X57">
            <v>701.49999999999989</v>
          </cell>
          <cell r="Y57">
            <v>120.69999999999997</v>
          </cell>
          <cell r="Z57">
            <v>135.19999999999993</v>
          </cell>
          <cell r="AA57">
            <v>113.00000000000006</v>
          </cell>
          <cell r="AB57">
            <v>88.700000000000031</v>
          </cell>
          <cell r="AC57">
            <v>457.5999999999998</v>
          </cell>
          <cell r="AD57">
            <v>90.199999999999974</v>
          </cell>
          <cell r="AE57">
            <v>109.2999999999999</v>
          </cell>
          <cell r="AF57">
            <v>100.60000000000004</v>
          </cell>
          <cell r="AG57">
            <v>101.89999999999989</v>
          </cell>
          <cell r="AH57">
            <v>402.00000000000006</v>
          </cell>
          <cell r="AI57">
            <v>113.40000000000002</v>
          </cell>
          <cell r="AJ57">
            <v>120.99999999999997</v>
          </cell>
          <cell r="AK57">
            <v>136.00000000000006</v>
          </cell>
          <cell r="AL57">
            <v>137.40000000000006</v>
          </cell>
          <cell r="AM57">
            <v>507.79999999999984</v>
          </cell>
          <cell r="AN57">
            <v>155.50000000000011</v>
          </cell>
          <cell r="AO57">
            <v>188.99999999999997</v>
          </cell>
          <cell r="AP57">
            <v>130.69999999999996</v>
          </cell>
          <cell r="AQ57">
            <v>96.200000000000145</v>
          </cell>
          <cell r="AR57">
            <v>571.39999999999986</v>
          </cell>
          <cell r="AS57">
            <v>173.50000000000009</v>
          </cell>
          <cell r="AT57">
            <v>172.49999999999986</v>
          </cell>
          <cell r="AU57">
            <v>183.89999999999992</v>
          </cell>
          <cell r="AV57">
            <v>160.10000000000014</v>
          </cell>
          <cell r="AW57">
            <v>690.00000000000011</v>
          </cell>
          <cell r="AX57">
            <v>188.40000000000009</v>
          </cell>
          <cell r="AY57">
            <v>225.5</v>
          </cell>
          <cell r="AZ57">
            <v>183.90000000000006</v>
          </cell>
          <cell r="BA57">
            <v>206.70000000000002</v>
          </cell>
          <cell r="BB57">
            <v>804.50000000000011</v>
          </cell>
          <cell r="BC57">
            <v>218.00000000000009</v>
          </cell>
          <cell r="BD57">
            <v>319.2</v>
          </cell>
          <cell r="BE57">
            <v>175.58911912190501</v>
          </cell>
          <cell r="BF57">
            <v>195.36080274627096</v>
          </cell>
          <cell r="BG57">
            <v>908.14992186817562</v>
          </cell>
          <cell r="BH57">
            <v>193.92547662232755</v>
          </cell>
          <cell r="BI57">
            <v>224.68815906964329</v>
          </cell>
          <cell r="BJ57">
            <v>181.979506907656</v>
          </cell>
          <cell r="BK57">
            <v>202.64566748589826</v>
          </cell>
          <cell r="BL57">
            <v>803.23881008552598</v>
          </cell>
          <cell r="BM57">
            <v>201.17606326820206</v>
          </cell>
          <cell r="BN57">
            <v>232.22024071142388</v>
          </cell>
          <cell r="BO57">
            <v>188.82204307508633</v>
          </cell>
          <cell r="BP57">
            <v>210.06482770966127</v>
          </cell>
          <cell r="BQ57">
            <v>832.2831747643728</v>
          </cell>
          <cell r="BR57">
            <v>858.46887947221853</v>
          </cell>
          <cell r="BS57">
            <v>896.3935992310129</v>
          </cell>
          <cell r="BT57">
            <v>937.78683546038292</v>
          </cell>
          <cell r="BU57">
            <v>983.02454684241809</v>
          </cell>
          <cell r="BV57">
            <v>7.8117699223841708E-2</v>
          </cell>
          <cell r="BZ57" t="str">
            <v>Net Income attributable to common shareholder's</v>
          </cell>
          <cell r="CA57">
            <v>142.00000000000014</v>
          </cell>
          <cell r="CB57">
            <v>155.60000000000005</v>
          </cell>
          <cell r="CC57">
            <v>158.50000000000006</v>
          </cell>
          <cell r="CD57">
            <v>212.20000000000005</v>
          </cell>
          <cell r="CE57">
            <v>288.89999999999998</v>
          </cell>
          <cell r="CF57">
            <v>363.9000000000002</v>
          </cell>
          <cell r="CG57">
            <v>425.10000000000019</v>
          </cell>
          <cell r="CH57">
            <v>560.79999999999995</v>
          </cell>
          <cell r="CI57">
            <v>753.89999999999986</v>
          </cell>
          <cell r="CJ57">
            <v>701.49999999999989</v>
          </cell>
          <cell r="CK57">
            <v>457.5999999999998</v>
          </cell>
          <cell r="CL57">
            <v>402.00000000000006</v>
          </cell>
          <cell r="CM57">
            <v>507.79999999999984</v>
          </cell>
          <cell r="CN57">
            <v>571.39999999999986</v>
          </cell>
          <cell r="CO57">
            <v>690.00000000000011</v>
          </cell>
          <cell r="CP57">
            <v>804.50000000000011</v>
          </cell>
          <cell r="CQ57">
            <v>908.14992186817562</v>
          </cell>
          <cell r="CR57">
            <v>803.23881008552598</v>
          </cell>
          <cell r="CS57">
            <v>832.2831747643728</v>
          </cell>
          <cell r="CT57">
            <v>858.46887947221853</v>
          </cell>
          <cell r="CU57">
            <v>896.3935992310129</v>
          </cell>
          <cell r="CV57">
            <v>937.78683546038292</v>
          </cell>
          <cell r="CW57">
            <v>983.02454684241809</v>
          </cell>
          <cell r="CY57">
            <v>789.56355756014682</v>
          </cell>
        </row>
        <row r="59">
          <cell r="A59" t="str">
            <v>Basic Shares Outstanding</v>
          </cell>
          <cell r="C59" t="str">
            <v>ND</v>
          </cell>
          <cell r="D59">
            <v>321.64761799999997</v>
          </cell>
          <cell r="E59">
            <v>320.82173999999998</v>
          </cell>
          <cell r="F59">
            <v>308.81593599999997</v>
          </cell>
          <cell r="G59">
            <v>297.78062</v>
          </cell>
          <cell r="H59">
            <v>297.34327199999996</v>
          </cell>
          <cell r="I59">
            <v>297.82404199999996</v>
          </cell>
          <cell r="J59">
            <v>300.123696</v>
          </cell>
          <cell r="K59">
            <v>300.87962999999996</v>
          </cell>
          <cell r="L59">
            <v>295.42625199999998</v>
          </cell>
          <cell r="M59">
            <v>290.29753799999997</v>
          </cell>
          <cell r="N59">
            <v>290.29753799999997</v>
          </cell>
          <cell r="O59">
            <v>290.76254299999999</v>
          </cell>
          <cell r="P59">
            <v>281.90692799999999</v>
          </cell>
          <cell r="Q59">
            <v>279.80279899999999</v>
          </cell>
          <cell r="R59">
            <v>278.60545999999999</v>
          </cell>
          <cell r="S59">
            <v>278.60545999999999</v>
          </cell>
          <cell r="T59">
            <v>273.79648999999995</v>
          </cell>
          <cell r="U59">
            <v>266.94727699999999</v>
          </cell>
          <cell r="V59">
            <v>258.38325099999997</v>
          </cell>
          <cell r="W59">
            <v>251.40684599999997</v>
          </cell>
          <cell r="X59">
            <v>251.40684599999997</v>
          </cell>
          <cell r="Y59">
            <v>244.73289</v>
          </cell>
          <cell r="Z59">
            <v>243.65401599999998</v>
          </cell>
          <cell r="AA59">
            <v>239.80548899999997</v>
          </cell>
          <cell r="AB59">
            <v>235.14473499999997</v>
          </cell>
          <cell r="AC59">
            <v>235.14473499999997</v>
          </cell>
          <cell r="AD59">
            <v>235.67959399999998</v>
          </cell>
          <cell r="AE59">
            <v>236.31723199999999</v>
          </cell>
          <cell r="AF59">
            <v>236.46282499999998</v>
          </cell>
          <cell r="AG59">
            <v>236.857439</v>
          </cell>
          <cell r="AH59">
            <v>236.857439</v>
          </cell>
          <cell r="AI59">
            <v>236.962717</v>
          </cell>
          <cell r="AJ59">
            <v>234.25005699999997</v>
          </cell>
          <cell r="AK59">
            <v>234.21171099999998</v>
          </cell>
          <cell r="AL59">
            <v>230.78569099999999</v>
          </cell>
          <cell r="AM59">
            <v>230.78569099999999</v>
          </cell>
          <cell r="AN59">
            <v>227.76000899999997</v>
          </cell>
          <cell r="AO59">
            <v>228.69151299999999</v>
          </cell>
          <cell r="AP59">
            <v>222.03876699999998</v>
          </cell>
          <cell r="AQ59">
            <v>222.44003999999998</v>
          </cell>
          <cell r="AR59">
            <v>222.44003999999998</v>
          </cell>
          <cell r="AS59">
            <v>224.69152799999998</v>
          </cell>
          <cell r="AT59">
            <v>222.283232</v>
          </cell>
          <cell r="AU59">
            <v>222.5</v>
          </cell>
          <cell r="AV59">
            <v>223.25201799999996</v>
          </cell>
          <cell r="AW59">
            <v>223.25201799999996</v>
          </cell>
          <cell r="AX59">
            <v>222.906137</v>
          </cell>
          <cell r="AY59">
            <v>220.43206999999998</v>
          </cell>
          <cell r="AZ59">
            <v>215.12183799999997</v>
          </cell>
          <cell r="BA59">
            <v>213.96065099999998</v>
          </cell>
          <cell r="BB59">
            <v>213.96065099999998</v>
          </cell>
          <cell r="BC59">
            <v>213.68345799999997</v>
          </cell>
          <cell r="BD59">
            <v>211.20884699999999</v>
          </cell>
          <cell r="BE59">
            <v>208.11753220425678</v>
          </cell>
          <cell r="BF59">
            <v>205.02621740851356</v>
          </cell>
          <cell r="BG59">
            <v>205.02621740851356</v>
          </cell>
          <cell r="BH59">
            <v>203.59584780100698</v>
          </cell>
          <cell r="BI59">
            <v>202.16547819350041</v>
          </cell>
          <cell r="BJ59">
            <v>200.73510858599383</v>
          </cell>
          <cell r="BK59">
            <v>199.30473897848725</v>
          </cell>
          <cell r="BL59">
            <v>199.30473897848725</v>
          </cell>
          <cell r="BM59">
            <v>196.4439997634741</v>
          </cell>
          <cell r="BN59">
            <v>193.58326054846094</v>
          </cell>
          <cell r="BO59">
            <v>190.72252133344779</v>
          </cell>
          <cell r="BP59">
            <v>187.86178211843463</v>
          </cell>
          <cell r="BQ59">
            <v>187.86178211843463</v>
          </cell>
          <cell r="BR59">
            <v>176.41882525838199</v>
          </cell>
          <cell r="BS59">
            <v>164.97586839832934</v>
          </cell>
          <cell r="BT59">
            <v>153.53291153827669</v>
          </cell>
          <cell r="BU59">
            <v>142.08995467822405</v>
          </cell>
          <cell r="BZ59" t="str">
            <v>Basic Shares Outstanding</v>
          </cell>
          <cell r="CA59" t="str">
            <v>ND</v>
          </cell>
          <cell r="CB59">
            <v>321.64761799999997</v>
          </cell>
          <cell r="CC59">
            <v>320.82173999999998</v>
          </cell>
          <cell r="CD59">
            <v>308.81593599999997</v>
          </cell>
          <cell r="CE59">
            <v>297.78062</v>
          </cell>
          <cell r="CF59">
            <v>297.34327199999996</v>
          </cell>
          <cell r="CG59">
            <v>297.82404199999996</v>
          </cell>
          <cell r="CH59">
            <v>290.29753799999997</v>
          </cell>
          <cell r="CI59">
            <v>278.60545999999999</v>
          </cell>
          <cell r="CJ59">
            <v>251.40684599999997</v>
          </cell>
          <cell r="CK59">
            <v>235.14473499999997</v>
          </cell>
          <cell r="CL59">
            <v>236.857439</v>
          </cell>
          <cell r="CM59">
            <v>230.78569099999999</v>
          </cell>
          <cell r="CN59">
            <v>222.44003999999998</v>
          </cell>
          <cell r="CO59">
            <v>223.25201799999996</v>
          </cell>
          <cell r="CP59">
            <v>213.96065099999998</v>
          </cell>
          <cell r="CQ59">
            <v>205.02621740851356</v>
          </cell>
          <cell r="CR59">
            <v>199.30473897848725</v>
          </cell>
          <cell r="CS59">
            <v>187.86178211843463</v>
          </cell>
          <cell r="CT59">
            <v>176.41882525838199</v>
          </cell>
          <cell r="CU59">
            <v>164.97586839832934</v>
          </cell>
          <cell r="CV59">
            <v>153.53291153827669</v>
          </cell>
          <cell r="CW59">
            <v>142.08995467822405</v>
          </cell>
          <cell r="CY59">
            <v>202.16547819350041</v>
          </cell>
          <cell r="DA59" t="str">
            <v>mstag:periodEndBasicSharesOutstanding</v>
          </cell>
          <cell r="DB59">
            <v>6</v>
          </cell>
          <cell r="DC59" t="str">
            <v>ms_eqr_gcim_Decimal:ms_eqr_gcim_decimal</v>
          </cell>
          <cell r="DD59" t="b">
            <v>0</v>
          </cell>
        </row>
        <row r="60">
          <cell r="A60" t="str">
            <v>Average Basic Shares Outstanding</v>
          </cell>
          <cell r="C60">
            <v>339</v>
          </cell>
          <cell r="D60">
            <v>324.60000000000002</v>
          </cell>
          <cell r="E60">
            <v>323.39999999999998</v>
          </cell>
          <cell r="F60">
            <v>315.2</v>
          </cell>
          <cell r="G60">
            <v>307.8</v>
          </cell>
          <cell r="H60">
            <v>297.8</v>
          </cell>
          <cell r="I60">
            <v>297</v>
          </cell>
          <cell r="J60">
            <v>299</v>
          </cell>
          <cell r="K60">
            <v>300.39999999999998</v>
          </cell>
          <cell r="L60">
            <v>299.60000000000002</v>
          </cell>
          <cell r="M60">
            <v>292</v>
          </cell>
          <cell r="N60">
            <v>297.7</v>
          </cell>
          <cell r="O60">
            <v>290.5</v>
          </cell>
          <cell r="P60">
            <v>286.39999999999998</v>
          </cell>
          <cell r="Q60">
            <v>280.7</v>
          </cell>
          <cell r="R60">
            <v>279.10000000000002</v>
          </cell>
          <cell r="S60">
            <v>284.2</v>
          </cell>
          <cell r="T60">
            <v>277.7</v>
          </cell>
          <cell r="U60">
            <v>269.60000000000002</v>
          </cell>
          <cell r="V60">
            <v>262.2</v>
          </cell>
          <cell r="W60">
            <v>256.2</v>
          </cell>
          <cell r="X60">
            <v>266.39999999999998</v>
          </cell>
          <cell r="Y60">
            <v>247.4</v>
          </cell>
          <cell r="Z60">
            <v>244.6</v>
          </cell>
          <cell r="AA60">
            <v>241.3</v>
          </cell>
          <cell r="AB60">
            <v>236.2</v>
          </cell>
          <cell r="AC60">
            <v>242.4</v>
          </cell>
          <cell r="AD60">
            <v>235.4</v>
          </cell>
          <cell r="AE60">
            <v>236.1</v>
          </cell>
          <cell r="AF60">
            <v>236.4</v>
          </cell>
          <cell r="AG60">
            <v>236.6</v>
          </cell>
          <cell r="AH60">
            <v>236.1</v>
          </cell>
          <cell r="AI60">
            <v>236.9</v>
          </cell>
          <cell r="AJ60">
            <v>235.3</v>
          </cell>
          <cell r="AK60">
            <v>234.3</v>
          </cell>
          <cell r="AL60">
            <v>233.4</v>
          </cell>
          <cell r="AM60">
            <v>235</v>
          </cell>
          <cell r="AN60">
            <v>228.9</v>
          </cell>
          <cell r="AO60">
            <v>228.2</v>
          </cell>
          <cell r="AP60">
            <v>226</v>
          </cell>
          <cell r="AQ60">
            <v>222.2</v>
          </cell>
          <cell r="AR60">
            <v>226.3</v>
          </cell>
          <cell r="AS60">
            <v>223.4</v>
          </cell>
          <cell r="AT60">
            <v>223.9</v>
          </cell>
          <cell r="AU60">
            <v>222.716768</v>
          </cell>
          <cell r="AV60">
            <v>223</v>
          </cell>
          <cell r="AW60">
            <v>223.2</v>
          </cell>
          <cell r="AX60">
            <v>223.3</v>
          </cell>
          <cell r="AY60">
            <v>222.3</v>
          </cell>
          <cell r="AZ60">
            <v>217.8</v>
          </cell>
          <cell r="BA60">
            <v>214.3</v>
          </cell>
          <cell r="BB60">
            <v>219.4</v>
          </cell>
          <cell r="BC60">
            <v>214</v>
          </cell>
          <cell r="BD60">
            <v>212</v>
          </cell>
          <cell r="BE60">
            <v>209.6631896021284</v>
          </cell>
          <cell r="BF60">
            <v>206.57187480638515</v>
          </cell>
          <cell r="BG60">
            <v>210.55876610212837</v>
          </cell>
          <cell r="BH60">
            <v>204.31103260476027</v>
          </cell>
          <cell r="BI60">
            <v>202.88066299725369</v>
          </cell>
          <cell r="BJ60">
            <v>201.45029338974712</v>
          </cell>
          <cell r="BK60">
            <v>200.01992378224054</v>
          </cell>
          <cell r="BL60">
            <v>202.16547819350041</v>
          </cell>
          <cell r="BM60">
            <v>197.87436937098067</v>
          </cell>
          <cell r="BN60">
            <v>195.01363015596752</v>
          </cell>
          <cell r="BO60">
            <v>192.15289094095436</v>
          </cell>
          <cell r="BP60">
            <v>189.29215172594121</v>
          </cell>
          <cell r="BQ60">
            <v>193.58326054846094</v>
          </cell>
          <cell r="BR60">
            <v>182.14030368840832</v>
          </cell>
          <cell r="BS60">
            <v>170.69734682835565</v>
          </cell>
          <cell r="BT60">
            <v>159.25438996830303</v>
          </cell>
          <cell r="BU60">
            <v>147.81143310825036</v>
          </cell>
          <cell r="BZ60" t="str">
            <v>Average Basic Shares Outstanding</v>
          </cell>
          <cell r="CA60">
            <v>339</v>
          </cell>
          <cell r="CB60">
            <v>324.60000000000002</v>
          </cell>
          <cell r="CC60">
            <v>323.39999999999998</v>
          </cell>
          <cell r="CD60">
            <v>315.2</v>
          </cell>
          <cell r="CE60">
            <v>307.8</v>
          </cell>
          <cell r="CF60">
            <v>297.8</v>
          </cell>
          <cell r="CG60">
            <v>297</v>
          </cell>
          <cell r="CH60">
            <v>297.7</v>
          </cell>
          <cell r="CI60">
            <v>284.2</v>
          </cell>
          <cell r="CJ60">
            <v>266.39999999999998</v>
          </cell>
          <cell r="CK60">
            <v>242.4</v>
          </cell>
          <cell r="CL60">
            <v>236.1</v>
          </cell>
          <cell r="CM60">
            <v>235</v>
          </cell>
          <cell r="CN60">
            <v>226.3</v>
          </cell>
          <cell r="CO60">
            <v>223.2</v>
          </cell>
          <cell r="CP60">
            <v>219.4</v>
          </cell>
          <cell r="CQ60">
            <v>210.55876610212837</v>
          </cell>
          <cell r="CR60">
            <v>202.16547819350041</v>
          </cell>
          <cell r="CS60">
            <v>193.58326054846094</v>
          </cell>
          <cell r="CT60">
            <v>182.14030368840832</v>
          </cell>
          <cell r="CU60">
            <v>170.69734682835565</v>
          </cell>
          <cell r="CV60">
            <v>159.25438996830303</v>
          </cell>
          <cell r="CW60">
            <v>147.81143310825036</v>
          </cell>
          <cell r="CY60">
            <v>202.88066299725369</v>
          </cell>
          <cell r="DA60" t="str">
            <v>mstag:averageBasicSharesOutstanding</v>
          </cell>
          <cell r="DB60">
            <v>6</v>
          </cell>
          <cell r="DC60" t="str">
            <v>ms_eqr_gcim_Decimal:ms_eqr_gcim_decimal</v>
          </cell>
          <cell r="DD60" t="b">
            <v>0</v>
          </cell>
        </row>
        <row r="61">
          <cell r="A61" t="str">
            <v>Diluted Shares Outstanding</v>
          </cell>
          <cell r="C61">
            <v>343.4</v>
          </cell>
          <cell r="D61">
            <v>328.6</v>
          </cell>
          <cell r="E61">
            <v>326</v>
          </cell>
          <cell r="F61">
            <v>320.39999999999998</v>
          </cell>
          <cell r="G61">
            <v>315</v>
          </cell>
          <cell r="H61">
            <v>304.60000000000002</v>
          </cell>
          <cell r="I61">
            <v>304.7</v>
          </cell>
          <cell r="J61">
            <v>306.10000000000002</v>
          </cell>
          <cell r="K61">
            <v>307.7</v>
          </cell>
          <cell r="L61">
            <v>307.7</v>
          </cell>
          <cell r="M61">
            <v>300.89999999999998</v>
          </cell>
          <cell r="N61">
            <v>305.60000000000002</v>
          </cell>
          <cell r="O61">
            <v>299.5</v>
          </cell>
          <cell r="P61">
            <v>293.7</v>
          </cell>
          <cell r="Q61">
            <v>287.89999999999998</v>
          </cell>
          <cell r="R61">
            <v>286.7</v>
          </cell>
          <cell r="S61">
            <v>291.89999999999998</v>
          </cell>
          <cell r="T61">
            <v>284.89999999999998</v>
          </cell>
          <cell r="U61">
            <v>276</v>
          </cell>
          <cell r="V61">
            <v>267.60000000000002</v>
          </cell>
          <cell r="W61">
            <v>260.60000000000002</v>
          </cell>
          <cell r="X61">
            <v>272.2</v>
          </cell>
          <cell r="Y61">
            <v>251</v>
          </cell>
          <cell r="Z61">
            <v>248.1</v>
          </cell>
          <cell r="AA61">
            <v>244.6</v>
          </cell>
          <cell r="AB61">
            <v>237.8</v>
          </cell>
          <cell r="AC61">
            <v>245.3</v>
          </cell>
          <cell r="AD61">
            <v>236.5</v>
          </cell>
          <cell r="AE61">
            <v>238.1</v>
          </cell>
          <cell r="AF61">
            <v>238.2</v>
          </cell>
          <cell r="AG61">
            <v>238.5</v>
          </cell>
          <cell r="AH61">
            <v>237.8</v>
          </cell>
          <cell r="AI61">
            <v>239.1</v>
          </cell>
          <cell r="AJ61">
            <v>236.5</v>
          </cell>
          <cell r="AK61">
            <v>235.7</v>
          </cell>
          <cell r="AL61">
            <v>235.3</v>
          </cell>
          <cell r="AM61">
            <v>236.6</v>
          </cell>
          <cell r="AN61">
            <v>231.4</v>
          </cell>
          <cell r="AO61">
            <v>231.5</v>
          </cell>
          <cell r="AP61">
            <v>229</v>
          </cell>
          <cell r="AQ61">
            <v>225.7</v>
          </cell>
          <cell r="AR61">
            <v>229.4</v>
          </cell>
          <cell r="AS61">
            <v>227.4</v>
          </cell>
          <cell r="AT61">
            <v>227.2</v>
          </cell>
          <cell r="AU61">
            <v>226.1</v>
          </cell>
          <cell r="AV61">
            <v>227.3</v>
          </cell>
          <cell r="AW61">
            <v>226.6</v>
          </cell>
          <cell r="AX61">
            <v>227.2</v>
          </cell>
          <cell r="AY61">
            <v>226.2</v>
          </cell>
          <cell r="AZ61">
            <v>222</v>
          </cell>
          <cell r="BA61">
            <v>219</v>
          </cell>
          <cell r="BB61">
            <v>223.5</v>
          </cell>
          <cell r="BC61">
            <v>218.5</v>
          </cell>
          <cell r="BD61">
            <v>215.7</v>
          </cell>
          <cell r="BE61">
            <v>213.32240564707121</v>
          </cell>
          <cell r="BF61">
            <v>210.17713865913808</v>
          </cell>
          <cell r="BG61">
            <v>214.42488607655233</v>
          </cell>
          <cell r="BH61">
            <v>207.87683836248482</v>
          </cell>
          <cell r="BI61">
            <v>206.42150475711139</v>
          </cell>
          <cell r="BJ61">
            <v>204.96617115173797</v>
          </cell>
          <cell r="BK61">
            <v>203.51083754636454</v>
          </cell>
          <cell r="BL61">
            <v>205.69383795442468</v>
          </cell>
          <cell r="BM61">
            <v>201.32783713830437</v>
          </cell>
          <cell r="BN61">
            <v>198.41716992755752</v>
          </cell>
          <cell r="BO61">
            <v>195.50650271681064</v>
          </cell>
          <cell r="BP61">
            <v>192.59583550606379</v>
          </cell>
          <cell r="BQ61">
            <v>196.96183632218407</v>
          </cell>
          <cell r="BR61">
            <v>185.31916747919655</v>
          </cell>
          <cell r="BS61">
            <v>173.676498636209</v>
          </cell>
          <cell r="BT61">
            <v>162.03382979322149</v>
          </cell>
          <cell r="BU61">
            <v>150.39116095023394</v>
          </cell>
          <cell r="BZ61" t="str">
            <v>Diluted Shares Outstanding</v>
          </cell>
          <cell r="CA61">
            <v>343.4</v>
          </cell>
          <cell r="CB61">
            <v>328.6</v>
          </cell>
          <cell r="CC61">
            <v>326</v>
          </cell>
          <cell r="CD61">
            <v>320.39999999999998</v>
          </cell>
          <cell r="CE61">
            <v>315</v>
          </cell>
          <cell r="CF61">
            <v>304.60000000000002</v>
          </cell>
          <cell r="CG61">
            <v>304.7</v>
          </cell>
          <cell r="CH61">
            <v>305.60000000000002</v>
          </cell>
          <cell r="CI61">
            <v>291.89999999999998</v>
          </cell>
          <cell r="CJ61">
            <v>272.2</v>
          </cell>
          <cell r="CK61">
            <v>245.3</v>
          </cell>
          <cell r="CL61">
            <v>237.8</v>
          </cell>
          <cell r="CM61">
            <v>236.6</v>
          </cell>
          <cell r="CN61">
            <v>229.4</v>
          </cell>
          <cell r="CO61">
            <v>226.6</v>
          </cell>
          <cell r="CP61">
            <v>223.5</v>
          </cell>
          <cell r="CQ61">
            <v>214.42488607655233</v>
          </cell>
          <cell r="CR61">
            <v>205.69383795442468</v>
          </cell>
          <cell r="CS61">
            <v>196.96183632218407</v>
          </cell>
          <cell r="CT61">
            <v>185.31916747919655</v>
          </cell>
          <cell r="CU61">
            <v>173.676498636209</v>
          </cell>
          <cell r="CV61">
            <v>162.03382979322149</v>
          </cell>
          <cell r="CW61">
            <v>150.39116095023394</v>
          </cell>
          <cell r="CY61">
            <v>206.42150475711139</v>
          </cell>
        </row>
        <row r="62">
          <cell r="A62" t="str">
            <v>Common Dividends</v>
          </cell>
          <cell r="C62">
            <v>0</v>
          </cell>
          <cell r="D62">
            <v>0</v>
          </cell>
          <cell r="E62">
            <v>2.2499999999999999E-2</v>
          </cell>
          <cell r="F62">
            <v>0.09</v>
          </cell>
          <cell r="G62">
            <v>0.09</v>
          </cell>
          <cell r="H62">
            <v>0.11</v>
          </cell>
          <cell r="I62">
            <v>0.15</v>
          </cell>
          <cell r="J62">
            <v>5.5E-2</v>
          </cell>
          <cell r="K62">
            <v>5.5E-2</v>
          </cell>
          <cell r="L62">
            <v>5.5E-2</v>
          </cell>
          <cell r="M62">
            <v>7.0000000000000007E-2</v>
          </cell>
          <cell r="N62">
            <v>0.23500000000000001</v>
          </cell>
          <cell r="O62">
            <v>7.0000000000000007E-2</v>
          </cell>
          <cell r="P62">
            <v>7.0000000000000007E-2</v>
          </cell>
          <cell r="Q62">
            <v>7.0000000000000007E-2</v>
          </cell>
          <cell r="R62">
            <v>0.08</v>
          </cell>
          <cell r="S62">
            <v>0.29000000000000004</v>
          </cell>
          <cell r="T62">
            <v>0</v>
          </cell>
          <cell r="U62">
            <v>0.08</v>
          </cell>
          <cell r="V62">
            <v>0.08</v>
          </cell>
          <cell r="W62">
            <v>0.18</v>
          </cell>
          <cell r="X62">
            <v>0.33999999999999997</v>
          </cell>
          <cell r="Y62">
            <v>0</v>
          </cell>
          <cell r="Z62">
            <v>0.1</v>
          </cell>
          <cell r="AA62">
            <v>0.1</v>
          </cell>
          <cell r="AB62">
            <v>0.2</v>
          </cell>
          <cell r="AC62">
            <v>0.4</v>
          </cell>
          <cell r="AD62">
            <v>0.1</v>
          </cell>
          <cell r="AE62">
            <v>0.1</v>
          </cell>
          <cell r="AF62">
            <v>0.1</v>
          </cell>
          <cell r="AG62">
            <v>0.1</v>
          </cell>
          <cell r="AH62">
            <v>0.40500000000000003</v>
          </cell>
          <cell r="AI62">
            <v>0.105</v>
          </cell>
          <cell r="AJ62">
            <v>0.105</v>
          </cell>
          <cell r="AK62">
            <v>0.105</v>
          </cell>
          <cell r="AL62">
            <v>0.105</v>
          </cell>
          <cell r="AM62">
            <v>0.43</v>
          </cell>
          <cell r="AN62">
            <v>0.115</v>
          </cell>
          <cell r="AO62">
            <v>0.14000000000000001</v>
          </cell>
          <cell r="AP62">
            <v>0.14000000000000001</v>
          </cell>
          <cell r="AQ62">
            <v>0.14000000000000001</v>
          </cell>
          <cell r="AR62">
            <v>0.57999999999999996</v>
          </cell>
          <cell r="AS62">
            <v>0</v>
          </cell>
          <cell r="AT62">
            <v>0.16</v>
          </cell>
          <cell r="AU62">
            <v>0.16</v>
          </cell>
          <cell r="AV62">
            <v>0.36</v>
          </cell>
          <cell r="AW62">
            <v>0.68</v>
          </cell>
          <cell r="AX62">
            <v>0.2</v>
          </cell>
          <cell r="AY62">
            <v>0.2</v>
          </cell>
          <cell r="AZ62">
            <v>0.25</v>
          </cell>
          <cell r="BA62">
            <v>0.25</v>
          </cell>
          <cell r="BB62">
            <v>0.9</v>
          </cell>
          <cell r="BC62">
            <v>0.28000000000000003</v>
          </cell>
          <cell r="BD62">
            <v>0.28000000000000003</v>
          </cell>
          <cell r="BE62">
            <v>0.28000000000000003</v>
          </cell>
          <cell r="BF62">
            <v>0.28000000000000003</v>
          </cell>
          <cell r="BG62">
            <v>1.1200000000000001</v>
          </cell>
          <cell r="BH62">
            <v>0.32</v>
          </cell>
          <cell r="BI62">
            <v>0.32</v>
          </cell>
          <cell r="BJ62">
            <v>0.32</v>
          </cell>
          <cell r="BK62">
            <v>0.32</v>
          </cell>
          <cell r="BL62">
            <v>1.28</v>
          </cell>
          <cell r="BM62">
            <v>0.36</v>
          </cell>
          <cell r="BN62">
            <v>0.36</v>
          </cell>
          <cell r="BO62">
            <v>0.36</v>
          </cell>
          <cell r="BP62">
            <v>0.36</v>
          </cell>
          <cell r="BQ62">
            <v>1.44</v>
          </cell>
          <cell r="BR62">
            <v>1.48</v>
          </cell>
          <cell r="BS62">
            <v>1.52</v>
          </cell>
          <cell r="BT62">
            <v>1.56</v>
          </cell>
          <cell r="BU62">
            <v>1.6</v>
          </cell>
          <cell r="BZ62" t="str">
            <v>Common Dividends</v>
          </cell>
          <cell r="CA62">
            <v>0</v>
          </cell>
          <cell r="CB62">
            <v>0</v>
          </cell>
          <cell r="CC62">
            <v>2.2499999999999999E-2</v>
          </cell>
          <cell r="CD62">
            <v>0.09</v>
          </cell>
          <cell r="CE62">
            <v>0.09</v>
          </cell>
          <cell r="CF62">
            <v>0.11</v>
          </cell>
          <cell r="CG62">
            <v>0.15</v>
          </cell>
          <cell r="CH62">
            <v>0.23500000000000001</v>
          </cell>
          <cell r="CI62">
            <v>0.29000000000000004</v>
          </cell>
          <cell r="CJ62">
            <v>0.33999999999999997</v>
          </cell>
          <cell r="CK62">
            <v>0.4</v>
          </cell>
          <cell r="CL62">
            <v>0.40500000000000003</v>
          </cell>
          <cell r="CM62">
            <v>0.43</v>
          </cell>
          <cell r="CN62">
            <v>0.57999999999999996</v>
          </cell>
          <cell r="CO62">
            <v>0.68</v>
          </cell>
          <cell r="CP62">
            <v>0.9</v>
          </cell>
          <cell r="CQ62">
            <v>1.1200000000000001</v>
          </cell>
          <cell r="CR62">
            <v>1.28</v>
          </cell>
          <cell r="CS62">
            <v>1.44</v>
          </cell>
          <cell r="CT62">
            <v>1.48</v>
          </cell>
          <cell r="CU62">
            <v>1.52</v>
          </cell>
          <cell r="CV62">
            <v>1.56</v>
          </cell>
          <cell r="CW62">
            <v>1.6</v>
          </cell>
          <cell r="CY62">
            <v>1.2000000000000002</v>
          </cell>
          <cell r="DA62" t="str">
            <v>mstag:dividendsPerShare</v>
          </cell>
          <cell r="DB62">
            <v>0</v>
          </cell>
          <cell r="DC62" t="str">
            <v>ISO4217:USD</v>
          </cell>
          <cell r="DD62" t="b">
            <v>0</v>
          </cell>
        </row>
        <row r="63">
          <cell r="A63" t="str">
            <v>Avg. Diluted Shares Outstanding</v>
          </cell>
          <cell r="C63">
            <v>343.4</v>
          </cell>
          <cell r="D63">
            <v>328.6</v>
          </cell>
          <cell r="E63">
            <v>326</v>
          </cell>
          <cell r="F63">
            <v>320.39999999999998</v>
          </cell>
          <cell r="G63">
            <v>315</v>
          </cell>
          <cell r="H63">
            <v>304.60000000000002</v>
          </cell>
          <cell r="I63">
            <v>304.7</v>
          </cell>
          <cell r="J63">
            <v>306.10000000000002</v>
          </cell>
          <cell r="K63">
            <v>307.7</v>
          </cell>
          <cell r="L63">
            <v>307.7</v>
          </cell>
          <cell r="M63">
            <v>300.89999999999998</v>
          </cell>
          <cell r="N63">
            <v>305.60000000000002</v>
          </cell>
          <cell r="O63">
            <v>299.5</v>
          </cell>
          <cell r="P63">
            <v>293.7</v>
          </cell>
          <cell r="Q63">
            <v>287.89999999999998</v>
          </cell>
          <cell r="R63">
            <v>286.7</v>
          </cell>
          <cell r="S63">
            <v>291.89999999999998</v>
          </cell>
          <cell r="T63">
            <v>284.89999999999998</v>
          </cell>
          <cell r="U63">
            <v>276</v>
          </cell>
          <cell r="V63">
            <v>267.60000000000002</v>
          </cell>
          <cell r="W63">
            <v>260.60000000000002</v>
          </cell>
          <cell r="X63">
            <v>272.2</v>
          </cell>
          <cell r="Y63">
            <v>251</v>
          </cell>
          <cell r="Z63">
            <v>248.1</v>
          </cell>
          <cell r="AA63">
            <v>244.6</v>
          </cell>
          <cell r="AB63">
            <v>237.8</v>
          </cell>
          <cell r="AC63">
            <v>245.3</v>
          </cell>
          <cell r="AD63">
            <v>236.5</v>
          </cell>
          <cell r="AE63">
            <v>238.1</v>
          </cell>
          <cell r="AF63">
            <v>238.2</v>
          </cell>
          <cell r="AG63">
            <v>238.5</v>
          </cell>
          <cell r="AH63">
            <v>237.8</v>
          </cell>
          <cell r="AI63">
            <v>239.1</v>
          </cell>
          <cell r="AJ63">
            <v>236.5</v>
          </cell>
          <cell r="AK63">
            <v>235.7</v>
          </cell>
          <cell r="AL63">
            <v>235.3</v>
          </cell>
          <cell r="AM63">
            <v>236.6</v>
          </cell>
          <cell r="AN63">
            <v>231.4</v>
          </cell>
          <cell r="AO63">
            <v>231.5</v>
          </cell>
          <cell r="AP63">
            <v>229</v>
          </cell>
          <cell r="AQ63">
            <v>225.7</v>
          </cell>
          <cell r="AR63">
            <v>229.4</v>
          </cell>
          <cell r="AS63">
            <v>227.4</v>
          </cell>
          <cell r="AT63">
            <v>227.2</v>
          </cell>
          <cell r="AU63">
            <v>226.1</v>
          </cell>
          <cell r="AV63">
            <v>227.3</v>
          </cell>
          <cell r="AW63">
            <v>226.6</v>
          </cell>
          <cell r="AX63">
            <v>227.2</v>
          </cell>
          <cell r="AY63">
            <v>226.2</v>
          </cell>
          <cell r="AZ63">
            <v>222</v>
          </cell>
          <cell r="BA63">
            <v>219</v>
          </cell>
          <cell r="BB63">
            <v>223.5</v>
          </cell>
          <cell r="BC63">
            <v>218.5</v>
          </cell>
          <cell r="BD63">
            <v>215.7</v>
          </cell>
          <cell r="BE63">
            <v>213.32240564707121</v>
          </cell>
          <cell r="BF63">
            <v>210.17713865913808</v>
          </cell>
          <cell r="BG63">
            <v>214.42488607655233</v>
          </cell>
          <cell r="BH63">
            <v>207.87683836248482</v>
          </cell>
          <cell r="BI63">
            <v>206.42150475711139</v>
          </cell>
          <cell r="BJ63">
            <v>204.96617115173797</v>
          </cell>
          <cell r="BK63">
            <v>203.51083754636454</v>
          </cell>
          <cell r="BL63">
            <v>205.69383795442468</v>
          </cell>
          <cell r="BM63">
            <v>201.32783713830437</v>
          </cell>
          <cell r="BN63">
            <v>198.41716992755752</v>
          </cell>
          <cell r="BO63">
            <v>195.50650271681064</v>
          </cell>
          <cell r="BP63">
            <v>192.59583550606379</v>
          </cell>
          <cell r="BQ63">
            <v>196.96183632218407</v>
          </cell>
          <cell r="BR63">
            <v>185.31916747919655</v>
          </cell>
          <cell r="BS63">
            <v>173.676498636209</v>
          </cell>
          <cell r="BT63">
            <v>162.03382979322149</v>
          </cell>
          <cell r="BU63">
            <v>150.39116095023394</v>
          </cell>
          <cell r="BZ63" t="str">
            <v>Avg. Diluted Shares Outstanding</v>
          </cell>
          <cell r="CA63">
            <v>343.4</v>
          </cell>
          <cell r="CB63">
            <v>328.6</v>
          </cell>
          <cell r="CC63">
            <v>326</v>
          </cell>
          <cell r="CD63">
            <v>320.39999999999998</v>
          </cell>
          <cell r="CE63">
            <v>315</v>
          </cell>
          <cell r="CF63">
            <v>304.60000000000002</v>
          </cell>
          <cell r="CG63">
            <v>304.7</v>
          </cell>
          <cell r="CH63">
            <v>305.60000000000002</v>
          </cell>
          <cell r="CI63">
            <v>291.89999999999998</v>
          </cell>
          <cell r="CJ63">
            <v>272.2</v>
          </cell>
          <cell r="CK63">
            <v>245.3</v>
          </cell>
          <cell r="CL63">
            <v>237.8</v>
          </cell>
          <cell r="CM63">
            <v>236.6</v>
          </cell>
          <cell r="CN63">
            <v>229.4</v>
          </cell>
          <cell r="CO63">
            <v>226.6</v>
          </cell>
          <cell r="CP63">
            <v>223.5</v>
          </cell>
          <cell r="CQ63">
            <v>214.42488607655233</v>
          </cell>
          <cell r="CR63">
            <v>205.69383795442468</v>
          </cell>
          <cell r="CS63">
            <v>196.96183632218407</v>
          </cell>
          <cell r="CT63">
            <v>185.31916747919655</v>
          </cell>
          <cell r="CU63">
            <v>173.676498636209</v>
          </cell>
          <cell r="CV63">
            <v>162.03382979322149</v>
          </cell>
          <cell r="CW63">
            <v>150.39116095023394</v>
          </cell>
          <cell r="CY63">
            <v>206.42150475711139</v>
          </cell>
          <cell r="DA63" t="str">
            <v>mstag:averageDilutedSharesOutstanding</v>
          </cell>
          <cell r="DB63">
            <v>6</v>
          </cell>
          <cell r="DC63" t="str">
            <v>ms_eqr_gcim_Decimal:ms_eqr_gcim_decimal</v>
          </cell>
          <cell r="DD63" t="b">
            <v>0</v>
          </cell>
        </row>
        <row r="64">
          <cell r="A64" t="str">
            <v>Reported Net Income (Loss) per Share</v>
          </cell>
          <cell r="C64">
            <v>0.41351193942923747</v>
          </cell>
          <cell r="D64">
            <v>0.47352404138770554</v>
          </cell>
          <cell r="E64">
            <v>0.4861963190184051</v>
          </cell>
          <cell r="F64">
            <v>0.6622971285892636</v>
          </cell>
          <cell r="G64">
            <v>0.91714285714285704</v>
          </cell>
          <cell r="H64">
            <v>1.1946815495732113</v>
          </cell>
          <cell r="I64">
            <v>1.3951427633738109</v>
          </cell>
          <cell r="J64">
            <v>0.38778177066318198</v>
          </cell>
          <cell r="K64">
            <v>0.4725381865453363</v>
          </cell>
          <cell r="L64">
            <v>0.47643808904777352</v>
          </cell>
          <cell r="M64">
            <v>0.49883682286473896</v>
          </cell>
          <cell r="N64">
            <v>1.8350785340314133</v>
          </cell>
          <cell r="O64">
            <v>0.48814691151919881</v>
          </cell>
          <cell r="P64">
            <v>0.58597208035410275</v>
          </cell>
          <cell r="Q64">
            <v>0.54532823897186511</v>
          </cell>
          <cell r="R64">
            <v>0.97174747122427596</v>
          </cell>
          <cell r="S64">
            <v>2.5827338129496402</v>
          </cell>
          <cell r="T64">
            <v>0.61565461565461566</v>
          </cell>
          <cell r="U64">
            <v>0.94891304347826055</v>
          </cell>
          <cell r="V64">
            <v>0.51158445440956613</v>
          </cell>
          <cell r="W64">
            <v>0.48848810437452023</v>
          </cell>
          <cell r="X64">
            <v>2.5771491550330636</v>
          </cell>
          <cell r="Y64">
            <v>0.48087649402390426</v>
          </cell>
          <cell r="Z64">
            <v>0.55461507456670678</v>
          </cell>
          <cell r="AA64">
            <v>0.46197874080130852</v>
          </cell>
          <cell r="AB64">
            <v>0.36080740117746013</v>
          </cell>
          <cell r="AC64">
            <v>1.8654708520179364</v>
          </cell>
          <cell r="AD64">
            <v>0.38139534883720921</v>
          </cell>
          <cell r="AE64">
            <v>0.45905081898361993</v>
          </cell>
          <cell r="AF64">
            <v>0.42233417296389608</v>
          </cell>
          <cell r="AG64">
            <v>0.42725366876310228</v>
          </cell>
          <cell r="AH64">
            <v>1.6904962153069809</v>
          </cell>
          <cell r="AI64">
            <v>0.47427854454203272</v>
          </cell>
          <cell r="AJ64">
            <v>0.5116279069767441</v>
          </cell>
          <cell r="AK64">
            <v>0.57700466694951236</v>
          </cell>
          <cell r="AL64">
            <v>0.58393540161495983</v>
          </cell>
          <cell r="AM64">
            <v>2.1462383770076072</v>
          </cell>
          <cell r="AN64">
            <v>0.67199654278306009</v>
          </cell>
          <cell r="AO64">
            <v>0.81641468682505391</v>
          </cell>
          <cell r="AP64">
            <v>0.57074235807860241</v>
          </cell>
          <cell r="AQ64">
            <v>0.42622950819672195</v>
          </cell>
          <cell r="AR64">
            <v>2.4908456843940709</v>
          </cell>
          <cell r="AS64">
            <v>0.76297273526825016</v>
          </cell>
          <cell r="AT64">
            <v>0.75924295774647832</v>
          </cell>
          <cell r="AU64">
            <v>0.81335692171605456</v>
          </cell>
          <cell r="AV64">
            <v>0.70435547734271942</v>
          </cell>
          <cell r="AW64">
            <v>3.0450132391879969</v>
          </cell>
          <cell r="AX64">
            <v>0.82922535211267645</v>
          </cell>
          <cell r="AY64">
            <v>0.99690539345711759</v>
          </cell>
          <cell r="AZ64">
            <v>0.82837837837837869</v>
          </cell>
          <cell r="BA64">
            <v>0.94383561643835623</v>
          </cell>
          <cell r="BB64">
            <v>3.5995525727069357</v>
          </cell>
          <cell r="BC64">
            <v>0.99771167048054954</v>
          </cell>
          <cell r="BD64">
            <v>1.4798331015299027</v>
          </cell>
          <cell r="BE64">
            <v>0.82311615879865152</v>
          </cell>
          <cell r="BF64">
            <v>0.92950548281611156</v>
          </cell>
          <cell r="BG64">
            <v>4.2352822868888218</v>
          </cell>
          <cell r="BH64">
            <v>0.93288640596010219</v>
          </cell>
          <cell r="BI64">
            <v>1.0884920121768591</v>
          </cell>
          <cell r="BJ64">
            <v>0.88785142389636207</v>
          </cell>
          <cell r="BK64">
            <v>0.99574877647354199</v>
          </cell>
          <cell r="BL64">
            <v>3.9050212591370803</v>
          </cell>
          <cell r="BM64">
            <v>0.99924613569459819</v>
          </cell>
          <cell r="BN64">
            <v>1.1703636373616655</v>
          </cell>
          <cell r="BO64">
            <v>0.96580952782216822</v>
          </cell>
          <cell r="BP64">
            <v>1.0907028553223701</v>
          </cell>
          <cell r="BQ64">
            <v>4.2256062915810233</v>
          </cell>
          <cell r="BR64">
            <v>4.6323804016041032</v>
          </cell>
          <cell r="BS64">
            <v>5.1612832264003741</v>
          </cell>
          <cell r="BT64">
            <v>5.7875990258153749</v>
          </cell>
          <cell r="BU64">
            <v>6.5364516147841396</v>
          </cell>
          <cell r="BV64">
            <v>0.11149737558883199</v>
          </cell>
          <cell r="BZ64" t="str">
            <v>Reported Net Income (Loss) per Share</v>
          </cell>
          <cell r="CA64">
            <v>0.41351193942923747</v>
          </cell>
          <cell r="CB64">
            <v>0.47352404138770554</v>
          </cell>
          <cell r="CC64">
            <v>0.4861963190184051</v>
          </cell>
          <cell r="CD64">
            <v>0.6622971285892636</v>
          </cell>
          <cell r="CE64">
            <v>0.91714285714285704</v>
          </cell>
          <cell r="CF64">
            <v>1.1946815495732113</v>
          </cell>
          <cell r="CG64">
            <v>1.3951427633738109</v>
          </cell>
          <cell r="CH64">
            <v>1.8350785340314133</v>
          </cell>
          <cell r="CI64">
            <v>2.5827338129496402</v>
          </cell>
          <cell r="CJ64">
            <v>2.5771491550330636</v>
          </cell>
          <cell r="CK64">
            <v>1.8654708520179364</v>
          </cell>
          <cell r="CL64">
            <v>1.6904962153069809</v>
          </cell>
          <cell r="CM64">
            <v>2.1462383770076072</v>
          </cell>
          <cell r="CN64">
            <v>2.4908456843940709</v>
          </cell>
          <cell r="CO64">
            <v>3.0450132391879969</v>
          </cell>
          <cell r="CP64">
            <v>3.5995525727069357</v>
          </cell>
          <cell r="CQ64">
            <v>4.2352822868888218</v>
          </cell>
          <cell r="CR64">
            <v>3.9050212591370803</v>
          </cell>
          <cell r="CS64">
            <v>4.2256062915810233</v>
          </cell>
          <cell r="CT64">
            <v>4.6323804016041032</v>
          </cell>
          <cell r="CU64">
            <v>5.1612832264003741</v>
          </cell>
          <cell r="CV64">
            <v>5.7875990258153749</v>
          </cell>
          <cell r="CW64">
            <v>6.5364516147841396</v>
          </cell>
          <cell r="CY64">
            <v>3.7740000597517245</v>
          </cell>
        </row>
        <row r="65">
          <cell r="A65" t="str">
            <v>Recur. Net Inc. / Share Avail. to Com.</v>
          </cell>
          <cell r="C65">
            <v>0.39296447291788045</v>
          </cell>
          <cell r="D65">
            <v>0.45787340231284251</v>
          </cell>
          <cell r="E65">
            <v>0.4861963190184051</v>
          </cell>
          <cell r="F65">
            <v>0.6622971285892636</v>
          </cell>
          <cell r="G65">
            <v>0.91714285714285704</v>
          </cell>
          <cell r="H65">
            <v>1.1286382140512152</v>
          </cell>
          <cell r="I65">
            <v>1.2966852641942901</v>
          </cell>
          <cell r="J65">
            <v>0.37896112381574648</v>
          </cell>
          <cell r="K65">
            <v>0.4725381865453363</v>
          </cell>
          <cell r="L65">
            <v>0.43906402339941475</v>
          </cell>
          <cell r="M65">
            <v>0.51678298438019266</v>
          </cell>
          <cell r="N65">
            <v>1.8062827225130889</v>
          </cell>
          <cell r="O65">
            <v>0.48514190317195338</v>
          </cell>
          <cell r="P65">
            <v>0.58086482805583917</v>
          </cell>
          <cell r="Q65">
            <v>0.54532823897186511</v>
          </cell>
          <cell r="R65">
            <v>0.64352982211370757</v>
          </cell>
          <cell r="S65">
            <v>2.2521411442274748</v>
          </cell>
          <cell r="T65">
            <v>0.61565461565461566</v>
          </cell>
          <cell r="U65">
            <v>0.75942028985507215</v>
          </cell>
          <cell r="V65">
            <v>0.51158445440956613</v>
          </cell>
          <cell r="W65">
            <v>0.60360706062931679</v>
          </cell>
          <cell r="X65">
            <v>2.4952240999265243</v>
          </cell>
          <cell r="Y65">
            <v>0.4792828685258963</v>
          </cell>
          <cell r="Z65">
            <v>0.51309955663039064</v>
          </cell>
          <cell r="AA65">
            <v>0.44603434178250229</v>
          </cell>
          <cell r="AB65">
            <v>0.37258200168208588</v>
          </cell>
          <cell r="AC65">
            <v>1.8153281695882584</v>
          </cell>
          <cell r="AD65">
            <v>0.41226215644820285</v>
          </cell>
          <cell r="AE65">
            <v>0.43259134817303613</v>
          </cell>
          <cell r="AF65">
            <v>0.43198992443324952</v>
          </cell>
          <cell r="AG65">
            <v>0.42473794549266203</v>
          </cell>
          <cell r="AH65">
            <v>1.7018502943650127</v>
          </cell>
          <cell r="AI65">
            <v>0.47218736930154759</v>
          </cell>
          <cell r="AJ65">
            <v>0.49302325581395334</v>
          </cell>
          <cell r="AK65">
            <v>0.50827747136190082</v>
          </cell>
          <cell r="AL65">
            <v>0.5044793880152999</v>
          </cell>
          <cell r="AM65">
            <v>1.9780431107354179</v>
          </cell>
          <cell r="AN65">
            <v>0.67199654278306009</v>
          </cell>
          <cell r="AO65">
            <v>0.78574514038876875</v>
          </cell>
          <cell r="AP65">
            <v>0.57161572052401721</v>
          </cell>
          <cell r="AQ65">
            <v>0.42578644217988548</v>
          </cell>
          <cell r="AR65">
            <v>2.4603312990409756</v>
          </cell>
          <cell r="AS65">
            <v>0.76297273526825016</v>
          </cell>
          <cell r="AT65">
            <v>0.75924295774647832</v>
          </cell>
          <cell r="AU65">
            <v>0.75335692171605451</v>
          </cell>
          <cell r="AV65">
            <v>0.74018477782666137</v>
          </cell>
          <cell r="AW65">
            <v>3.0210856134157109</v>
          </cell>
          <cell r="AX65">
            <v>0.96922535211267646</v>
          </cell>
          <cell r="AY65">
            <v>0.99690539345711759</v>
          </cell>
          <cell r="AZ65">
            <v>0.82837837837837869</v>
          </cell>
          <cell r="BA65">
            <v>0.85383561643835626</v>
          </cell>
          <cell r="BB65">
            <v>3.653682326621924</v>
          </cell>
          <cell r="BC65">
            <v>0.99771167048054954</v>
          </cell>
          <cell r="BD65">
            <v>1.1159017153453872</v>
          </cell>
          <cell r="BE65">
            <v>0.82311615879865152</v>
          </cell>
          <cell r="BF65">
            <v>0.92950548281611156</v>
          </cell>
          <cell r="BG65">
            <v>3.8691867210412338</v>
          </cell>
          <cell r="BH65">
            <v>0.93288640596010219</v>
          </cell>
          <cell r="BI65">
            <v>1.0884920121768591</v>
          </cell>
          <cell r="BJ65">
            <v>0.88785142389636207</v>
          </cell>
          <cell r="BK65">
            <v>0.99574877647354199</v>
          </cell>
          <cell r="BL65">
            <v>3.9050212591370803</v>
          </cell>
          <cell r="BM65">
            <v>0.99924613569459819</v>
          </cell>
          <cell r="BN65">
            <v>1.1703636373616655</v>
          </cell>
          <cell r="BO65">
            <v>0.96580952782216822</v>
          </cell>
          <cell r="BP65">
            <v>1.0907028553223701</v>
          </cell>
          <cell r="BQ65">
            <v>4.2256062915810233</v>
          </cell>
          <cell r="BR65">
            <v>4.6323804016041032</v>
          </cell>
          <cell r="BS65">
            <v>5.1612832264003741</v>
          </cell>
          <cell r="BT65">
            <v>5.7875990258153749</v>
          </cell>
          <cell r="BU65">
            <v>6.5364516147841396</v>
          </cell>
          <cell r="BV65">
            <v>0.11424087922668025</v>
          </cell>
          <cell r="BZ65" t="str">
            <v>Recur. Net Inc. / Share Avail. to Com.</v>
          </cell>
          <cell r="CA65">
            <v>0.39296447291788045</v>
          </cell>
          <cell r="CB65">
            <v>0.45787340231284251</v>
          </cell>
          <cell r="CC65">
            <v>0.4861963190184051</v>
          </cell>
          <cell r="CD65">
            <v>0.6622971285892636</v>
          </cell>
          <cell r="CE65">
            <v>0.91714285714285704</v>
          </cell>
          <cell r="CF65">
            <v>1.1286382140512152</v>
          </cell>
          <cell r="CG65">
            <v>1.2966852641942901</v>
          </cell>
          <cell r="CH65">
            <v>1.8062827225130889</v>
          </cell>
          <cell r="CI65">
            <v>2.2521411442274748</v>
          </cell>
          <cell r="CJ65">
            <v>2.4952240999265243</v>
          </cell>
          <cell r="CK65">
            <v>1.8153281695882584</v>
          </cell>
          <cell r="CL65">
            <v>1.7018502943650127</v>
          </cell>
          <cell r="CM65">
            <v>1.9780431107354179</v>
          </cell>
          <cell r="CN65">
            <v>2.4603312990409756</v>
          </cell>
          <cell r="CO65">
            <v>3.0210856134157109</v>
          </cell>
          <cell r="CP65">
            <v>3.653682326621924</v>
          </cell>
          <cell r="CQ65">
            <v>3.8691867210412338</v>
          </cell>
          <cell r="CR65">
            <v>3.9050212591370803</v>
          </cell>
          <cell r="CS65">
            <v>4.2256062915810233</v>
          </cell>
          <cell r="CT65">
            <v>4.6323804016041032</v>
          </cell>
          <cell r="CU65">
            <v>5.1612832264003741</v>
          </cell>
          <cell r="CV65">
            <v>5.7875990258153749</v>
          </cell>
          <cell r="CW65">
            <v>6.5364516147841396</v>
          </cell>
          <cell r="CY65">
            <v>3.7740000597517245</v>
          </cell>
        </row>
        <row r="68">
          <cell r="A68" t="str">
            <v>Quarterly Cash Flow Statement</v>
          </cell>
        </row>
        <row r="69">
          <cell r="A69" t="str">
            <v>(Values in millions, except per-share amounts)</v>
          </cell>
        </row>
        <row r="70">
          <cell r="A70" t="str">
            <v>Fiscal Year Ending December 31</v>
          </cell>
          <cell r="C70">
            <v>1998</v>
          </cell>
          <cell r="D70">
            <v>1999</v>
          </cell>
          <cell r="E70">
            <v>2000</v>
          </cell>
          <cell r="F70">
            <v>2001</v>
          </cell>
          <cell r="G70">
            <v>2002</v>
          </cell>
          <cell r="H70">
            <v>2003</v>
          </cell>
          <cell r="I70">
            <v>2004</v>
          </cell>
          <cell r="J70" t="str">
            <v>1Q05</v>
          </cell>
          <cell r="K70" t="str">
            <v>2Q05</v>
          </cell>
          <cell r="L70" t="str">
            <v>3Q05</v>
          </cell>
          <cell r="M70" t="str">
            <v>4Q05</v>
          </cell>
          <cell r="N70">
            <v>2005</v>
          </cell>
          <cell r="O70" t="str">
            <v>1Q06</v>
          </cell>
          <cell r="P70" t="str">
            <v>2Q06</v>
          </cell>
          <cell r="Q70" t="str">
            <v>3Q06</v>
          </cell>
          <cell r="R70" t="str">
            <v>4Q06</v>
          </cell>
          <cell r="S70">
            <v>2006</v>
          </cell>
          <cell r="T70" t="str">
            <v>1Q07</v>
          </cell>
          <cell r="U70" t="str">
            <v>2Q07</v>
          </cell>
          <cell r="V70" t="str">
            <v>3Q07</v>
          </cell>
          <cell r="W70" t="str">
            <v>4Q07</v>
          </cell>
          <cell r="X70">
            <v>2007</v>
          </cell>
          <cell r="Y70" t="str">
            <v>1Q08</v>
          </cell>
          <cell r="Z70" t="str">
            <v>2Q08</v>
          </cell>
          <cell r="AA70" t="str">
            <v>3Q08</v>
          </cell>
          <cell r="AB70" t="str">
            <v>4Q08</v>
          </cell>
          <cell r="AC70">
            <v>2008</v>
          </cell>
          <cell r="AD70" t="str">
            <v>1Q09</v>
          </cell>
          <cell r="AE70" t="str">
            <v>2Q09</v>
          </cell>
          <cell r="AF70" t="str">
            <v>3Q09</v>
          </cell>
          <cell r="AG70" t="str">
            <v>4Q09</v>
          </cell>
          <cell r="AH70">
            <v>2009</v>
          </cell>
          <cell r="AI70" t="str">
            <v>1Q10</v>
          </cell>
          <cell r="AJ70" t="str">
            <v>2Q10</v>
          </cell>
          <cell r="AK70" t="str">
            <v>3Q10</v>
          </cell>
          <cell r="AL70" t="str">
            <v>4Q10</v>
          </cell>
          <cell r="AM70">
            <v>2010</v>
          </cell>
          <cell r="AN70" t="str">
            <v>1Q11</v>
          </cell>
          <cell r="AO70" t="str">
            <v>2Q11</v>
          </cell>
          <cell r="AP70" t="str">
            <v>3Q11</v>
          </cell>
          <cell r="AQ70" t="str">
            <v>4Q11</v>
          </cell>
          <cell r="AR70">
            <v>2011</v>
          </cell>
          <cell r="AS70" t="str">
            <v>1Q12</v>
          </cell>
          <cell r="AT70" t="str">
            <v>2Q12</v>
          </cell>
          <cell r="AU70" t="str">
            <v>3Q12</v>
          </cell>
          <cell r="AV70" t="str">
            <v>4Q12</v>
          </cell>
          <cell r="AW70">
            <v>2012</v>
          </cell>
          <cell r="AX70" t="str">
            <v>1Q13</v>
          </cell>
          <cell r="AY70" t="str">
            <v>2Q13</v>
          </cell>
          <cell r="AZ70" t="str">
            <v>3Q13</v>
          </cell>
          <cell r="BA70" t="str">
            <v>4Q13</v>
          </cell>
          <cell r="BB70">
            <v>2013</v>
          </cell>
          <cell r="BC70" t="str">
            <v>1Q14</v>
          </cell>
          <cell r="BD70" t="str">
            <v>2Q14</v>
          </cell>
          <cell r="BE70" t="str">
            <v>3Q14E</v>
          </cell>
          <cell r="BF70" t="str">
            <v>4Q14E</v>
          </cell>
          <cell r="BG70" t="str">
            <v>2014E</v>
          </cell>
          <cell r="BH70" t="str">
            <v>1Q15E</v>
          </cell>
          <cell r="BI70" t="str">
            <v>2Q15E</v>
          </cell>
          <cell r="BJ70" t="str">
            <v>3Q15E</v>
          </cell>
          <cell r="BK70" t="str">
            <v>4Q15E</v>
          </cell>
          <cell r="BL70" t="str">
            <v>2015E</v>
          </cell>
          <cell r="BM70" t="str">
            <v>1Q16E</v>
          </cell>
          <cell r="BN70" t="str">
            <v>2Q16E</v>
          </cell>
          <cell r="BO70" t="str">
            <v>3Q16E</v>
          </cell>
          <cell r="BP70" t="str">
            <v>4Q16E</v>
          </cell>
          <cell r="BQ70" t="str">
            <v>2016E</v>
          </cell>
          <cell r="BR70" t="str">
            <v>2017E</v>
          </cell>
          <cell r="BS70" t="str">
            <v>2018E</v>
          </cell>
          <cell r="BT70" t="str">
            <v>2019E</v>
          </cell>
          <cell r="BU70" t="str">
            <v>2020E</v>
          </cell>
          <cell r="BZ70" t="str">
            <v>Fiscal Year Ending December 31</v>
          </cell>
          <cell r="CA70">
            <v>1998</v>
          </cell>
          <cell r="CB70">
            <v>1999</v>
          </cell>
          <cell r="CC70">
            <v>2000</v>
          </cell>
          <cell r="CD70">
            <v>2001</v>
          </cell>
          <cell r="CE70">
            <v>2002</v>
          </cell>
          <cell r="CF70">
            <v>2003</v>
          </cell>
          <cell r="CG70">
            <v>2004</v>
          </cell>
          <cell r="CH70">
            <v>2005</v>
          </cell>
          <cell r="CI70">
            <v>2006</v>
          </cell>
          <cell r="CJ70">
            <v>2007</v>
          </cell>
          <cell r="CK70">
            <v>2008</v>
          </cell>
          <cell r="CL70">
            <v>2009</v>
          </cell>
          <cell r="CM70">
            <v>2010</v>
          </cell>
          <cell r="CN70">
            <v>2011</v>
          </cell>
          <cell r="CO70">
            <v>2012</v>
          </cell>
          <cell r="CP70">
            <v>2013</v>
          </cell>
          <cell r="CQ70" t="str">
            <v>2014E</v>
          </cell>
          <cell r="CR70" t="str">
            <v>2015E</v>
          </cell>
          <cell r="CS70" t="str">
            <v>2016E</v>
          </cell>
          <cell r="CT70" t="str">
            <v>2017E</v>
          </cell>
          <cell r="CU70" t="str">
            <v>2018E</v>
          </cell>
          <cell r="CV70" t="str">
            <v>2019E</v>
          </cell>
          <cell r="CW70" t="str">
            <v>2020E</v>
          </cell>
          <cell r="CY70" t="str">
            <v>NTM</v>
          </cell>
        </row>
        <row r="71">
          <cell r="A71" t="str">
            <v>Cash Flows From Operations</v>
          </cell>
          <cell r="BZ71" t="str">
            <v>Cash Flows From Operations</v>
          </cell>
        </row>
        <row r="72">
          <cell r="A72" t="str">
            <v>Net income</v>
          </cell>
          <cell r="C72">
            <v>142.00000000000014</v>
          </cell>
          <cell r="D72">
            <v>155.60000000000005</v>
          </cell>
          <cell r="E72">
            <v>158.50000000000006</v>
          </cell>
          <cell r="F72">
            <v>212.20000000000005</v>
          </cell>
          <cell r="G72">
            <v>288.89999999999998</v>
          </cell>
          <cell r="H72">
            <v>363.9000000000002</v>
          </cell>
          <cell r="I72">
            <v>425.10000000000019</v>
          </cell>
          <cell r="J72">
            <v>118.70000000000002</v>
          </cell>
          <cell r="K72">
            <v>145.39999999999998</v>
          </cell>
          <cell r="L72">
            <v>146.59999999999991</v>
          </cell>
          <cell r="M72">
            <v>150.09999999999994</v>
          </cell>
          <cell r="N72">
            <v>560.79999999999984</v>
          </cell>
          <cell r="O72">
            <v>146.20000000000005</v>
          </cell>
          <cell r="P72">
            <v>172.09999999999997</v>
          </cell>
          <cell r="Q72">
            <v>156.99999999999994</v>
          </cell>
          <cell r="R72">
            <v>278.59999999999991</v>
          </cell>
          <cell r="S72">
            <v>753.89999999999986</v>
          </cell>
          <cell r="T72">
            <v>175.39999999999998</v>
          </cell>
          <cell r="U72">
            <v>261.89999999999992</v>
          </cell>
          <cell r="V72">
            <v>136.89999999999992</v>
          </cell>
          <cell r="W72">
            <v>127.29999999999998</v>
          </cell>
          <cell r="X72">
            <v>701.49999999999977</v>
          </cell>
          <cell r="Y72">
            <v>120.69999999999997</v>
          </cell>
          <cell r="Z72">
            <v>135.19999999999993</v>
          </cell>
          <cell r="AA72">
            <v>113.00000000000006</v>
          </cell>
          <cell r="AB72">
            <v>88.700000000000031</v>
          </cell>
          <cell r="AC72">
            <v>457.6</v>
          </cell>
          <cell r="AD72">
            <v>90.199999999999974</v>
          </cell>
          <cell r="AE72">
            <v>109.2999999999999</v>
          </cell>
          <cell r="AF72">
            <v>100.60000000000004</v>
          </cell>
          <cell r="AG72">
            <v>101.89999999999989</v>
          </cell>
          <cell r="AH72">
            <v>401.99999999999977</v>
          </cell>
          <cell r="AI72">
            <v>113.40000000000002</v>
          </cell>
          <cell r="AJ72">
            <v>120.99999999999997</v>
          </cell>
          <cell r="AK72">
            <v>136.00000000000006</v>
          </cell>
          <cell r="AL72">
            <v>137.40000000000006</v>
          </cell>
          <cell r="AM72">
            <v>507.80000000000007</v>
          </cell>
          <cell r="AN72">
            <v>155.50000000000011</v>
          </cell>
          <cell r="AO72">
            <v>188.99999999999997</v>
          </cell>
          <cell r="AP72">
            <v>130.69999999999996</v>
          </cell>
          <cell r="AQ72">
            <v>96.200000000000145</v>
          </cell>
          <cell r="AR72">
            <v>571.4000000000002</v>
          </cell>
          <cell r="AS72">
            <v>173.50000000000009</v>
          </cell>
          <cell r="AT72">
            <v>172.49999999999986</v>
          </cell>
          <cell r="AU72">
            <v>183.89999999999992</v>
          </cell>
          <cell r="AV72">
            <v>160.10000000000014</v>
          </cell>
          <cell r="AW72">
            <v>690</v>
          </cell>
          <cell r="AX72">
            <v>188.40000000000009</v>
          </cell>
          <cell r="AY72">
            <v>225.5</v>
          </cell>
          <cell r="AZ72">
            <v>183.90000000000006</v>
          </cell>
          <cell r="BA72">
            <v>206.70000000000002</v>
          </cell>
          <cell r="BB72">
            <v>804.50000000000023</v>
          </cell>
          <cell r="BC72">
            <v>218.00000000000009</v>
          </cell>
          <cell r="BD72">
            <v>319.2</v>
          </cell>
          <cell r="BE72">
            <v>175.58911912190501</v>
          </cell>
          <cell r="BF72">
            <v>195.36080274627096</v>
          </cell>
          <cell r="BG72">
            <v>908.14992186817608</v>
          </cell>
          <cell r="BH72">
            <v>193.92547662232755</v>
          </cell>
          <cell r="BI72">
            <v>224.68815906964329</v>
          </cell>
          <cell r="BJ72">
            <v>181.979506907656</v>
          </cell>
          <cell r="BK72">
            <v>202.64566748589826</v>
          </cell>
          <cell r="BL72">
            <v>803.23881008552507</v>
          </cell>
          <cell r="BM72">
            <v>201.17606326820206</v>
          </cell>
          <cell r="BN72">
            <v>232.22024071142388</v>
          </cell>
          <cell r="BO72">
            <v>188.82204307508633</v>
          </cell>
          <cell r="BP72">
            <v>210.06482770966127</v>
          </cell>
          <cell r="BQ72">
            <v>832.28317476437348</v>
          </cell>
          <cell r="BR72">
            <v>858.46887947221853</v>
          </cell>
          <cell r="BS72">
            <v>896.3935992310129</v>
          </cell>
          <cell r="BT72">
            <v>937.78683546038292</v>
          </cell>
          <cell r="BU72">
            <v>983.02454684241809</v>
          </cell>
          <cell r="BZ72" t="str">
            <v>Net income</v>
          </cell>
          <cell r="CA72">
            <v>142.00000000000014</v>
          </cell>
          <cell r="CB72">
            <v>155.60000000000005</v>
          </cell>
          <cell r="CC72">
            <v>158.50000000000006</v>
          </cell>
          <cell r="CD72">
            <v>212.20000000000005</v>
          </cell>
          <cell r="CE72">
            <v>288.89999999999998</v>
          </cell>
          <cell r="CF72">
            <v>363.9000000000002</v>
          </cell>
          <cell r="CG72">
            <v>425.10000000000019</v>
          </cell>
          <cell r="CH72">
            <v>560.79999999999984</v>
          </cell>
          <cell r="CI72">
            <v>753.89999999999986</v>
          </cell>
          <cell r="CJ72">
            <v>701.49999999999977</v>
          </cell>
          <cell r="CK72">
            <v>457.6</v>
          </cell>
          <cell r="CL72">
            <v>401.99999999999977</v>
          </cell>
          <cell r="CM72">
            <v>507.80000000000007</v>
          </cell>
          <cell r="CN72">
            <v>571.4000000000002</v>
          </cell>
          <cell r="CO72">
            <v>690</v>
          </cell>
          <cell r="CP72">
            <v>804.50000000000023</v>
          </cell>
          <cell r="CQ72">
            <v>908.14992186817608</v>
          </cell>
          <cell r="CR72">
            <v>803.23881008552507</v>
          </cell>
          <cell r="CS72">
            <v>832.28317476437348</v>
          </cell>
          <cell r="CT72">
            <v>858.46887947221853</v>
          </cell>
          <cell r="CU72">
            <v>896.3935992310129</v>
          </cell>
          <cell r="CV72">
            <v>937.78683546038292</v>
          </cell>
          <cell r="CW72">
            <v>983.02454684241809</v>
          </cell>
          <cell r="CY72">
            <v>789.56355756014682</v>
          </cell>
          <cell r="DA72" t="str">
            <v>mstag:netIncomeReported</v>
          </cell>
          <cell r="DB72">
            <v>6</v>
          </cell>
          <cell r="DC72" t="str">
            <v>ISO4217:USD</v>
          </cell>
          <cell r="DD72" t="b">
            <v>0</v>
          </cell>
        </row>
        <row r="73">
          <cell r="A73" t="str">
            <v>Depreciation and amortization</v>
          </cell>
          <cell r="C73">
            <v>15.4</v>
          </cell>
          <cell r="D73">
            <v>13</v>
          </cell>
          <cell r="E73">
            <v>16.600000000000001</v>
          </cell>
          <cell r="F73">
            <v>17</v>
          </cell>
          <cell r="G73">
            <v>24.6</v>
          </cell>
          <cell r="H73">
            <v>32.6</v>
          </cell>
          <cell r="I73">
            <v>34.1</v>
          </cell>
          <cell r="J73">
            <v>8.6</v>
          </cell>
          <cell r="K73">
            <v>8.7000000000000011</v>
          </cell>
          <cell r="L73">
            <v>8.8000000000000007</v>
          </cell>
          <cell r="M73">
            <v>9.1</v>
          </cell>
          <cell r="N73">
            <v>35.200000000000003</v>
          </cell>
          <cell r="O73">
            <v>9.4</v>
          </cell>
          <cell r="P73">
            <v>9.2999999999999989</v>
          </cell>
          <cell r="Q73">
            <v>9.8000000000000007</v>
          </cell>
          <cell r="R73">
            <v>11.000000000000002</v>
          </cell>
          <cell r="S73">
            <v>39.5</v>
          </cell>
          <cell r="T73">
            <v>10.3</v>
          </cell>
          <cell r="U73">
            <v>9.0999999999999979</v>
          </cell>
          <cell r="V73">
            <v>11.600000000000001</v>
          </cell>
          <cell r="W73">
            <v>11.899999999999997</v>
          </cell>
          <cell r="X73">
            <v>42.899999999999991</v>
          </cell>
          <cell r="Y73">
            <v>12.5</v>
          </cell>
          <cell r="Z73">
            <v>16.8</v>
          </cell>
          <cell r="AA73">
            <v>14.599999999999998</v>
          </cell>
          <cell r="AB73">
            <v>31.199999999999996</v>
          </cell>
          <cell r="AC73">
            <v>75.099999999999994</v>
          </cell>
          <cell r="AD73">
            <v>15.6</v>
          </cell>
          <cell r="AE73">
            <v>15.700000000000003</v>
          </cell>
          <cell r="AF73">
            <v>16.199999999999996</v>
          </cell>
          <cell r="AG73">
            <v>16.599999999999994</v>
          </cell>
          <cell r="AH73">
            <v>64.099999999999994</v>
          </cell>
          <cell r="AI73">
            <v>15.8</v>
          </cell>
          <cell r="AJ73">
            <v>15.2</v>
          </cell>
          <cell r="AK73">
            <v>18.100000000000001</v>
          </cell>
          <cell r="AL73">
            <v>17.2</v>
          </cell>
          <cell r="AM73">
            <v>66.3</v>
          </cell>
          <cell r="AN73">
            <v>17.7</v>
          </cell>
          <cell r="AO73">
            <v>21.800000000000004</v>
          </cell>
          <cell r="AP73">
            <v>18.999999999999996</v>
          </cell>
          <cell r="AQ73">
            <v>20.70000000000001</v>
          </cell>
          <cell r="AR73">
            <v>79.200000000000017</v>
          </cell>
          <cell r="AS73">
            <v>23.5</v>
          </cell>
          <cell r="AT73">
            <v>22.1</v>
          </cell>
          <cell r="AU73">
            <v>24.099999999999998</v>
          </cell>
          <cell r="AV73">
            <v>23.8</v>
          </cell>
          <cell r="AW73">
            <v>93.5</v>
          </cell>
          <cell r="AX73">
            <v>23.6</v>
          </cell>
          <cell r="AY73">
            <v>23.1</v>
          </cell>
          <cell r="AZ73">
            <v>23.399999999999991</v>
          </cell>
          <cell r="BA73">
            <v>23.300000000000015</v>
          </cell>
          <cell r="BB73">
            <v>93.4</v>
          </cell>
          <cell r="BC73">
            <v>23.1</v>
          </cell>
          <cell r="BD73">
            <v>22.299999999999997</v>
          </cell>
          <cell r="BE73">
            <v>18.259240510589581</v>
          </cell>
          <cell r="BF73">
            <v>20.240378102938024</v>
          </cell>
          <cell r="BG73">
            <v>83.899618613527608</v>
          </cell>
          <cell r="BH73">
            <v>19.873516109125131</v>
          </cell>
          <cell r="BI73">
            <v>22.461563046953863</v>
          </cell>
          <cell r="BJ73">
            <v>19.088948002789579</v>
          </cell>
          <cell r="BK73">
            <v>21.176796316724936</v>
          </cell>
          <cell r="BL73">
            <v>82.600823475593501</v>
          </cell>
          <cell r="BM73">
            <v>20.760568326889814</v>
          </cell>
          <cell r="BN73">
            <v>23.401310106321912</v>
          </cell>
          <cell r="BO73">
            <v>19.985703815346678</v>
          </cell>
          <cell r="BP73">
            <v>22.191747694100684</v>
          </cell>
          <cell r="BQ73">
            <v>86.339329942659091</v>
          </cell>
          <cell r="BR73">
            <v>105.48204091097668</v>
          </cell>
          <cell r="BS73">
            <v>109.84137554061908</v>
          </cell>
          <cell r="BT73">
            <v>114.57037350138212</v>
          </cell>
          <cell r="BU73">
            <v>119.70665902708802</v>
          </cell>
          <cell r="BZ73" t="str">
            <v>Depreciation and amortization</v>
          </cell>
          <cell r="CA73">
            <v>15.4</v>
          </cell>
          <cell r="CB73">
            <v>13</v>
          </cell>
          <cell r="CC73">
            <v>16.600000000000001</v>
          </cell>
          <cell r="CD73">
            <v>17</v>
          </cell>
          <cell r="CE73">
            <v>24.6</v>
          </cell>
          <cell r="CF73">
            <v>32.6</v>
          </cell>
          <cell r="CG73">
            <v>34.1</v>
          </cell>
          <cell r="CH73">
            <v>35.200000000000003</v>
          </cell>
          <cell r="CI73">
            <v>39.5</v>
          </cell>
          <cell r="CJ73">
            <v>42.899999999999991</v>
          </cell>
          <cell r="CK73">
            <v>75.099999999999994</v>
          </cell>
          <cell r="CL73">
            <v>64.099999999999994</v>
          </cell>
          <cell r="CM73">
            <v>66.3</v>
          </cell>
          <cell r="CN73">
            <v>79.200000000000017</v>
          </cell>
          <cell r="CO73">
            <v>93.5</v>
          </cell>
          <cell r="CP73">
            <v>93.4</v>
          </cell>
          <cell r="CQ73">
            <v>83.899618613527608</v>
          </cell>
          <cell r="CR73">
            <v>82.600823475593501</v>
          </cell>
          <cell r="CS73">
            <v>86.339329942659091</v>
          </cell>
          <cell r="CT73">
            <v>105.48204091097668</v>
          </cell>
          <cell r="CU73">
            <v>109.84137554061908</v>
          </cell>
          <cell r="CV73">
            <v>114.57037350138212</v>
          </cell>
          <cell r="CW73">
            <v>119.70665902708802</v>
          </cell>
          <cell r="CY73">
            <v>80.834697769606606</v>
          </cell>
        </row>
        <row r="74">
          <cell r="A74" t="str">
            <v xml:space="preserve">Depreciation </v>
          </cell>
          <cell r="C74">
            <v>15.4</v>
          </cell>
          <cell r="D74">
            <v>13</v>
          </cell>
          <cell r="E74">
            <v>15.700000000000001</v>
          </cell>
          <cell r="F74">
            <v>16</v>
          </cell>
          <cell r="G74">
            <v>19.3</v>
          </cell>
          <cell r="H74">
            <v>25.6</v>
          </cell>
          <cell r="I74">
            <v>27.200000000000003</v>
          </cell>
          <cell r="J74">
            <v>7</v>
          </cell>
          <cell r="K74">
            <v>7.0000000000000018</v>
          </cell>
          <cell r="L74">
            <v>7.3000000000000007</v>
          </cell>
          <cell r="M74">
            <v>7.1</v>
          </cell>
          <cell r="N74">
            <v>28.400000000000006</v>
          </cell>
          <cell r="O74">
            <v>6.9</v>
          </cell>
          <cell r="P74">
            <v>6.7999999999999989</v>
          </cell>
          <cell r="Q74">
            <v>7.3000000000000007</v>
          </cell>
          <cell r="R74">
            <v>8.6000000000000014</v>
          </cell>
          <cell r="S74">
            <v>29.6</v>
          </cell>
          <cell r="T74">
            <v>7.8000000000000007</v>
          </cell>
          <cell r="U74">
            <v>6.7999999999999972</v>
          </cell>
          <cell r="V74">
            <v>8.8000000000000007</v>
          </cell>
          <cell r="W74">
            <v>9.7999999999999972</v>
          </cell>
          <cell r="X74">
            <v>33.199999999999996</v>
          </cell>
          <cell r="Y74">
            <v>9.8000000000000007</v>
          </cell>
          <cell r="Z74">
            <v>14.100000000000001</v>
          </cell>
          <cell r="AA74">
            <v>11.599999999999998</v>
          </cell>
          <cell r="AB74">
            <v>11.399999999999999</v>
          </cell>
          <cell r="AC74">
            <v>46.9</v>
          </cell>
          <cell r="AD74">
            <v>11.6</v>
          </cell>
          <cell r="AE74">
            <v>11.500000000000004</v>
          </cell>
          <cell r="AF74">
            <v>11.999999999999995</v>
          </cell>
          <cell r="AG74">
            <v>12.599999999999996</v>
          </cell>
          <cell r="AH74">
            <v>47.699999999999989</v>
          </cell>
          <cell r="AI74">
            <v>11</v>
          </cell>
          <cell r="AJ74">
            <v>12.099999999999998</v>
          </cell>
          <cell r="AK74">
            <v>13.900000000000002</v>
          </cell>
          <cell r="AL74">
            <v>12.900000000000002</v>
          </cell>
          <cell r="AM74">
            <v>49.900000000000006</v>
          </cell>
          <cell r="AN74">
            <v>12.899999999999999</v>
          </cell>
          <cell r="AO74">
            <v>17.000000000000004</v>
          </cell>
          <cell r="AP74">
            <v>13.999999999999996</v>
          </cell>
          <cell r="AQ74">
            <v>14.800000000000011</v>
          </cell>
          <cell r="AR74">
            <v>58.70000000000001</v>
          </cell>
          <cell r="AS74">
            <v>16.2</v>
          </cell>
          <cell r="AT74">
            <v>15</v>
          </cell>
          <cell r="AU74">
            <v>16</v>
          </cell>
          <cell r="AV74">
            <v>16.2</v>
          </cell>
          <cell r="AW74">
            <v>63.400000000000006</v>
          </cell>
          <cell r="AX74">
            <v>16.3</v>
          </cell>
          <cell r="AY74">
            <v>16.400000000000002</v>
          </cell>
          <cell r="AZ74">
            <v>16.399999999999991</v>
          </cell>
          <cell r="BA74">
            <v>16.300000000000015</v>
          </cell>
          <cell r="BB74">
            <v>65.400000000000006</v>
          </cell>
          <cell r="BC74">
            <v>15.8</v>
          </cell>
          <cell r="BD74">
            <v>15.999999999999996</v>
          </cell>
          <cell r="BE74">
            <v>12.109240510589581</v>
          </cell>
          <cell r="BF74">
            <v>14.090378102938024</v>
          </cell>
          <cell r="BG74">
            <v>57.999618613527602</v>
          </cell>
          <cell r="BH74">
            <v>13.82351610912513</v>
          </cell>
          <cell r="BI74">
            <v>16.411563046953862</v>
          </cell>
          <cell r="BJ74">
            <v>13.038948002789578</v>
          </cell>
          <cell r="BK74">
            <v>15.126796316724935</v>
          </cell>
          <cell r="BL74">
            <v>58.400823475593505</v>
          </cell>
          <cell r="BM74">
            <v>14.885568326889814</v>
          </cell>
          <cell r="BN74">
            <v>17.526310106321912</v>
          </cell>
          <cell r="BO74">
            <v>14.110703815346678</v>
          </cell>
          <cell r="BP74">
            <v>16.316747694100684</v>
          </cell>
          <cell r="BQ74">
            <v>62.839329942659091</v>
          </cell>
          <cell r="BR74">
            <v>85.582040910976673</v>
          </cell>
          <cell r="BS74">
            <v>94.741375540619089</v>
          </cell>
          <cell r="BT74">
            <v>99.470373501382127</v>
          </cell>
          <cell r="BU74">
            <v>104.60665902708803</v>
          </cell>
          <cell r="CY74">
            <v>56.434697769606601</v>
          </cell>
          <cell r="DA74" t="str">
            <v>mstag:depreciation</v>
          </cell>
          <cell r="DB74">
            <v>6</v>
          </cell>
          <cell r="DC74" t="str">
            <v>ISO4217:USD</v>
          </cell>
          <cell r="DD74" t="b">
            <v>0</v>
          </cell>
        </row>
        <row r="75">
          <cell r="A75" t="str">
            <v>Amortization</v>
          </cell>
          <cell r="C75">
            <v>0</v>
          </cell>
          <cell r="D75">
            <v>0</v>
          </cell>
          <cell r="E75">
            <v>0.9</v>
          </cell>
          <cell r="F75">
            <v>1</v>
          </cell>
          <cell r="G75">
            <v>5.3</v>
          </cell>
          <cell r="H75">
            <v>7</v>
          </cell>
          <cell r="I75">
            <v>6.9</v>
          </cell>
          <cell r="J75">
            <v>1.6</v>
          </cell>
          <cell r="K75">
            <v>1.6999999999999997</v>
          </cell>
          <cell r="L75">
            <v>1.5</v>
          </cell>
          <cell r="M75">
            <v>2</v>
          </cell>
          <cell r="N75">
            <v>6.8</v>
          </cell>
          <cell r="O75">
            <v>2.5</v>
          </cell>
          <cell r="P75">
            <v>2.5</v>
          </cell>
          <cell r="Q75">
            <v>2.5</v>
          </cell>
          <cell r="R75">
            <v>2.4000000000000004</v>
          </cell>
          <cell r="S75">
            <v>9.9</v>
          </cell>
          <cell r="T75">
            <v>2.5</v>
          </cell>
          <cell r="U75">
            <v>2.2999999999999998</v>
          </cell>
          <cell r="V75">
            <v>2.8</v>
          </cell>
          <cell r="W75">
            <v>2.0999999999999996</v>
          </cell>
          <cell r="X75">
            <v>9.6999999999999993</v>
          </cell>
          <cell r="Y75">
            <v>2.7</v>
          </cell>
          <cell r="Z75">
            <v>2.7</v>
          </cell>
          <cell r="AA75">
            <v>3</v>
          </cell>
          <cell r="AB75">
            <v>19.799999999999997</v>
          </cell>
          <cell r="AC75">
            <v>28.199999999999996</v>
          </cell>
          <cell r="AD75">
            <v>4</v>
          </cell>
          <cell r="AE75">
            <v>4.1999999999999993</v>
          </cell>
          <cell r="AF75">
            <v>4.2000000000000011</v>
          </cell>
          <cell r="AG75">
            <v>3.9999999999999982</v>
          </cell>
          <cell r="AH75">
            <v>16.399999999999999</v>
          </cell>
          <cell r="AI75">
            <v>4.8</v>
          </cell>
          <cell r="AJ75">
            <v>3.1000000000000005</v>
          </cell>
          <cell r="AK75">
            <v>4.1999999999999993</v>
          </cell>
          <cell r="AL75">
            <v>4.2999999999999972</v>
          </cell>
          <cell r="AM75">
            <v>16.399999999999999</v>
          </cell>
          <cell r="AN75">
            <v>4.8</v>
          </cell>
          <cell r="AO75">
            <v>4.8</v>
          </cell>
          <cell r="AP75">
            <v>5.0000000000000009</v>
          </cell>
          <cell r="AQ75">
            <v>5.8999999999999977</v>
          </cell>
          <cell r="AR75">
            <v>20.5</v>
          </cell>
          <cell r="AS75">
            <v>7.3</v>
          </cell>
          <cell r="AT75">
            <v>7.1000000000000005</v>
          </cell>
          <cell r="AU75">
            <v>8.0999999999999979</v>
          </cell>
          <cell r="AV75">
            <v>7.6000000000000014</v>
          </cell>
          <cell r="AW75">
            <v>30.1</v>
          </cell>
          <cell r="AX75">
            <v>7.3</v>
          </cell>
          <cell r="AY75">
            <v>6.7</v>
          </cell>
          <cell r="AZ75">
            <v>6.9999999999999991</v>
          </cell>
          <cell r="BA75">
            <v>7.0000000000000009</v>
          </cell>
          <cell r="BB75">
            <v>28</v>
          </cell>
          <cell r="BC75">
            <v>7.3</v>
          </cell>
          <cell r="BD75">
            <v>6.3</v>
          </cell>
          <cell r="BE75">
            <v>6.15</v>
          </cell>
          <cell r="BF75">
            <v>6.15</v>
          </cell>
          <cell r="BG75">
            <v>25.9</v>
          </cell>
          <cell r="BH75">
            <v>6.05</v>
          </cell>
          <cell r="BI75">
            <v>6.05</v>
          </cell>
          <cell r="BJ75">
            <v>6.05</v>
          </cell>
          <cell r="BK75">
            <v>6.05</v>
          </cell>
          <cell r="BL75">
            <v>24.2</v>
          </cell>
          <cell r="BM75">
            <v>5.875</v>
          </cell>
          <cell r="BN75">
            <v>5.875</v>
          </cell>
          <cell r="BO75">
            <v>5.875</v>
          </cell>
          <cell r="BP75">
            <v>5.875</v>
          </cell>
          <cell r="BQ75">
            <v>23.5</v>
          </cell>
          <cell r="BR75">
            <v>19.899999999999999</v>
          </cell>
          <cell r="BS75">
            <v>15.1</v>
          </cell>
          <cell r="BT75">
            <v>15.1</v>
          </cell>
          <cell r="BU75">
            <v>15.1</v>
          </cell>
          <cell r="CY75">
            <v>24.400000000000002</v>
          </cell>
          <cell r="DA75" t="str">
            <v>mstag:amortizationOfOtherIntangibles</v>
          </cell>
          <cell r="DB75">
            <v>6</v>
          </cell>
          <cell r="DC75" t="str">
            <v>ISO4217:USD</v>
          </cell>
          <cell r="DD75" t="b">
            <v>0</v>
          </cell>
        </row>
        <row r="76">
          <cell r="A76" t="str">
            <v>Stock-based compensation expense</v>
          </cell>
          <cell r="C76">
            <v>0</v>
          </cell>
          <cell r="D76">
            <v>0</v>
          </cell>
          <cell r="E76">
            <v>0</v>
          </cell>
          <cell r="F76">
            <v>0</v>
          </cell>
          <cell r="G76">
            <v>0</v>
          </cell>
          <cell r="H76">
            <v>10.8</v>
          </cell>
          <cell r="I76">
            <v>27.8</v>
          </cell>
          <cell r="J76">
            <v>16.899999999999999</v>
          </cell>
          <cell r="K76">
            <v>12.3</v>
          </cell>
          <cell r="L76">
            <v>13.3</v>
          </cell>
          <cell r="M76">
            <v>12.299999999999997</v>
          </cell>
          <cell r="N76">
            <v>54.8</v>
          </cell>
          <cell r="O76">
            <v>13.9</v>
          </cell>
          <cell r="P76">
            <v>20.700000000000003</v>
          </cell>
          <cell r="Q76">
            <v>20</v>
          </cell>
          <cell r="R76">
            <v>22.499999999999993</v>
          </cell>
          <cell r="S76">
            <v>77.099999999999994</v>
          </cell>
          <cell r="T76">
            <v>21.2</v>
          </cell>
          <cell r="U76">
            <v>26.500000000000004</v>
          </cell>
          <cell r="V76">
            <v>23.5</v>
          </cell>
          <cell r="W76">
            <v>19</v>
          </cell>
          <cell r="X76">
            <v>90.2</v>
          </cell>
          <cell r="Y76">
            <v>11.2</v>
          </cell>
          <cell r="Z76">
            <v>18</v>
          </cell>
          <cell r="AA76">
            <v>17.099999999999998</v>
          </cell>
          <cell r="AB76">
            <v>16.900000000000006</v>
          </cell>
          <cell r="AC76">
            <v>63.2</v>
          </cell>
          <cell r="AD76">
            <v>14.5</v>
          </cell>
          <cell r="AE76">
            <v>16.100000000000001</v>
          </cell>
          <cell r="AF76">
            <v>13.799999999999997</v>
          </cell>
          <cell r="AG76">
            <v>13</v>
          </cell>
          <cell r="AH76">
            <v>57.4</v>
          </cell>
          <cell r="AI76">
            <v>14.8</v>
          </cell>
          <cell r="AJ76">
            <v>12.899999999999999</v>
          </cell>
          <cell r="AK76">
            <v>13.599999999999998</v>
          </cell>
          <cell r="AL76">
            <v>15.3</v>
          </cell>
          <cell r="AM76">
            <v>56.599999999999994</v>
          </cell>
          <cell r="AN76">
            <v>16</v>
          </cell>
          <cell r="AO76">
            <v>14.3</v>
          </cell>
          <cell r="AP76">
            <v>12.900000000000002</v>
          </cell>
          <cell r="AQ76">
            <v>13.5</v>
          </cell>
          <cell r="AR76">
            <v>56.7</v>
          </cell>
          <cell r="AS76">
            <v>15</v>
          </cell>
          <cell r="AT76">
            <v>14.899999999999999</v>
          </cell>
          <cell r="AU76">
            <v>16.399999999999999</v>
          </cell>
          <cell r="AV76">
            <v>18.200000000000003</v>
          </cell>
          <cell r="AW76">
            <v>64.5</v>
          </cell>
          <cell r="AX76">
            <v>17.2</v>
          </cell>
          <cell r="AY76">
            <v>16.099999999999998</v>
          </cell>
          <cell r="AZ76">
            <v>16</v>
          </cell>
          <cell r="BA76">
            <v>17.8</v>
          </cell>
          <cell r="BB76">
            <v>67.099999999999994</v>
          </cell>
          <cell r="BC76">
            <v>20.3</v>
          </cell>
          <cell r="BD76">
            <v>20.3</v>
          </cell>
          <cell r="BE76">
            <v>16.621640464796794</v>
          </cell>
          <cell r="BF76">
            <v>18.425097555589321</v>
          </cell>
          <cell r="BG76">
            <v>75.64673802038611</v>
          </cell>
          <cell r="BH76">
            <v>18.091137982746194</v>
          </cell>
          <cell r="BI76">
            <v>20.447073087585803</v>
          </cell>
          <cell r="BJ76">
            <v>17.37693472899679</v>
          </cell>
          <cell r="BK76">
            <v>19.277532073072475</v>
          </cell>
          <cell r="BL76">
            <v>75.192677872401262</v>
          </cell>
          <cell r="BM76">
            <v>18.898633947796558</v>
          </cell>
          <cell r="BN76">
            <v>21.302537899476896</v>
          </cell>
          <cell r="BO76">
            <v>18.193264011279709</v>
          </cell>
          <cell r="BP76">
            <v>20.201456421087169</v>
          </cell>
          <cell r="BQ76">
            <v>78.595892279640339</v>
          </cell>
          <cell r="BR76">
            <v>81.712857488755091</v>
          </cell>
          <cell r="BS76">
            <v>85.089865425474827</v>
          </cell>
          <cell r="BT76">
            <v>88.753237247779339</v>
          </cell>
          <cell r="BU76">
            <v>92.732118994462425</v>
          </cell>
          <cell r="BZ76" t="str">
            <v>Stock-based compensation expense</v>
          </cell>
          <cell r="CA76">
            <v>0</v>
          </cell>
          <cell r="CB76">
            <v>0</v>
          </cell>
          <cell r="CC76">
            <v>0</v>
          </cell>
          <cell r="CD76">
            <v>0</v>
          </cell>
          <cell r="CE76">
            <v>0</v>
          </cell>
          <cell r="CF76">
            <v>10.8</v>
          </cell>
          <cell r="CG76">
            <v>27.8</v>
          </cell>
          <cell r="CH76">
            <v>54.8</v>
          </cell>
          <cell r="CI76">
            <v>77.099999999999994</v>
          </cell>
          <cell r="CJ76">
            <v>90.2</v>
          </cell>
          <cell r="CK76">
            <v>63.2</v>
          </cell>
          <cell r="CL76">
            <v>57.4</v>
          </cell>
          <cell r="CM76">
            <v>56.599999999999994</v>
          </cell>
          <cell r="CN76">
            <v>56.7</v>
          </cell>
          <cell r="CO76">
            <v>64.5</v>
          </cell>
          <cell r="CP76">
            <v>67.099999999999994</v>
          </cell>
          <cell r="CQ76">
            <v>75.64673802038611</v>
          </cell>
          <cell r="CR76">
            <v>75.192677872401262</v>
          </cell>
          <cell r="CS76">
            <v>78.595892279640339</v>
          </cell>
          <cell r="CT76">
            <v>81.712857488755091</v>
          </cell>
          <cell r="CU76">
            <v>85.089865425474827</v>
          </cell>
          <cell r="CV76">
            <v>88.753237247779339</v>
          </cell>
          <cell r="CW76">
            <v>92.732118994462425</v>
          </cell>
          <cell r="CY76">
            <v>73.584949090718112</v>
          </cell>
          <cell r="DA76" t="str">
            <v>mstag:stockBasedCompensationChargePreTax</v>
          </cell>
          <cell r="DB76">
            <v>6</v>
          </cell>
          <cell r="DC76" t="str">
            <v>ISO4217:USD</v>
          </cell>
          <cell r="DD76" t="b">
            <v>0</v>
          </cell>
        </row>
        <row r="77">
          <cell r="A77" t="str">
            <v>Excess tax benefits from stock-based compensation plans</v>
          </cell>
          <cell r="C77">
            <v>0</v>
          </cell>
          <cell r="D77">
            <v>0</v>
          </cell>
          <cell r="E77">
            <v>0</v>
          </cell>
          <cell r="F77">
            <v>15.1</v>
          </cell>
          <cell r="G77">
            <v>27.5</v>
          </cell>
          <cell r="H77">
            <v>33.299999999999997</v>
          </cell>
          <cell r="I77">
            <v>55.9</v>
          </cell>
          <cell r="J77">
            <v>21.7</v>
          </cell>
          <cell r="K77">
            <v>11.7</v>
          </cell>
          <cell r="L77">
            <v>10.399999999999999</v>
          </cell>
          <cell r="M77">
            <v>26.400000000000006</v>
          </cell>
          <cell r="N77">
            <v>70.2</v>
          </cell>
          <cell r="O77">
            <v>-61.5</v>
          </cell>
          <cell r="P77">
            <v>-12.799999999999997</v>
          </cell>
          <cell r="Q77">
            <v>-11</v>
          </cell>
          <cell r="R77">
            <v>-17.900000000000006</v>
          </cell>
          <cell r="S77">
            <v>-103.2</v>
          </cell>
          <cell r="T77">
            <v>-29.7</v>
          </cell>
          <cell r="U77">
            <v>-13.099999999999998</v>
          </cell>
          <cell r="V77">
            <v>-4.5</v>
          </cell>
          <cell r="W77">
            <v>-4.9000000000000057</v>
          </cell>
          <cell r="X77">
            <v>-52.2</v>
          </cell>
          <cell r="Y77">
            <v>-1.7</v>
          </cell>
          <cell r="Z77">
            <v>-3.8</v>
          </cell>
          <cell r="AA77">
            <v>-1.9000000000000004</v>
          </cell>
          <cell r="AB77">
            <v>-9.9999999999999645E-2</v>
          </cell>
          <cell r="AC77">
            <v>-7.5</v>
          </cell>
          <cell r="AD77">
            <v>-0.4</v>
          </cell>
          <cell r="AE77">
            <v>-2.5</v>
          </cell>
          <cell r="AF77">
            <v>-0.30000000000000027</v>
          </cell>
          <cell r="AG77">
            <v>-1.7999999999999994</v>
          </cell>
          <cell r="AH77">
            <v>-5</v>
          </cell>
          <cell r="AI77">
            <v>-3</v>
          </cell>
          <cell r="AJ77">
            <v>-0.29999999999999982</v>
          </cell>
          <cell r="AK77">
            <v>-2.8</v>
          </cell>
          <cell r="AL77">
            <v>-0.90000000000000036</v>
          </cell>
          <cell r="AM77">
            <v>-7</v>
          </cell>
          <cell r="AN77">
            <v>-2.8</v>
          </cell>
          <cell r="AO77">
            <v>-3.1000000000000005</v>
          </cell>
          <cell r="AP77">
            <v>-9.9999999999999645E-2</v>
          </cell>
          <cell r="AQ77">
            <v>-1.4000000000000004</v>
          </cell>
          <cell r="AR77">
            <v>-7.4</v>
          </cell>
          <cell r="AS77">
            <v>-8.6</v>
          </cell>
          <cell r="AT77">
            <v>-0.59999999999999964</v>
          </cell>
          <cell r="AU77">
            <v>-2.6000000000000014</v>
          </cell>
          <cell r="AV77">
            <v>-3.8999999999999986</v>
          </cell>
          <cell r="AW77">
            <v>-15.7</v>
          </cell>
          <cell r="AX77">
            <v>-16.100000000000001</v>
          </cell>
          <cell r="AY77">
            <v>-10.899999999999999</v>
          </cell>
          <cell r="AZ77">
            <v>-5.3999999999999986</v>
          </cell>
          <cell r="BA77">
            <v>-6.3999999999999986</v>
          </cell>
          <cell r="BB77">
            <v>-38.799999999999997</v>
          </cell>
          <cell r="BC77">
            <v>-38.799999999999997</v>
          </cell>
          <cell r="BD77">
            <v>-6.4000000000000057</v>
          </cell>
          <cell r="BE77">
            <v>0</v>
          </cell>
          <cell r="BF77">
            <v>0</v>
          </cell>
          <cell r="BG77">
            <v>-45.2</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Z77" t="str">
            <v>Excess tax benefits from stock-based compensation plans</v>
          </cell>
          <cell r="CA77">
            <v>0</v>
          </cell>
          <cell r="CB77">
            <v>0</v>
          </cell>
          <cell r="CC77">
            <v>0</v>
          </cell>
          <cell r="CD77">
            <v>15.1</v>
          </cell>
          <cell r="CE77">
            <v>27.5</v>
          </cell>
          <cell r="CF77">
            <v>33.299999999999997</v>
          </cell>
          <cell r="CG77">
            <v>55.9</v>
          </cell>
          <cell r="CH77">
            <v>70.2</v>
          </cell>
          <cell r="CI77">
            <v>-103.2</v>
          </cell>
          <cell r="CJ77">
            <v>-52.2</v>
          </cell>
          <cell r="CK77">
            <v>-7.5</v>
          </cell>
          <cell r="CL77">
            <v>-5</v>
          </cell>
          <cell r="CM77">
            <v>-7</v>
          </cell>
          <cell r="CN77">
            <v>-7.4</v>
          </cell>
          <cell r="CO77">
            <v>-15.7</v>
          </cell>
          <cell r="CP77">
            <v>-38.799999999999997</v>
          </cell>
          <cell r="CQ77">
            <v>-45.2</v>
          </cell>
          <cell r="CR77">
            <v>0</v>
          </cell>
          <cell r="CS77">
            <v>0</v>
          </cell>
          <cell r="CT77">
            <v>0</v>
          </cell>
          <cell r="CU77">
            <v>0</v>
          </cell>
          <cell r="CV77">
            <v>0</v>
          </cell>
          <cell r="CW77">
            <v>0</v>
          </cell>
          <cell r="CY77">
            <v>0</v>
          </cell>
          <cell r="DA77" t="str">
            <v>mstag:taxBenefitFromExerciseOfEsosCashFlowStatement</v>
          </cell>
          <cell r="DB77">
            <v>6</v>
          </cell>
          <cell r="DC77" t="str">
            <v>ISO4217:USD</v>
          </cell>
          <cell r="DD77" t="b">
            <v>0</v>
          </cell>
        </row>
        <row r="78">
          <cell r="A78" t="str">
            <v xml:space="preserve">Deferred income tax </v>
          </cell>
          <cell r="C78">
            <v>-6.8</v>
          </cell>
          <cell r="D78">
            <v>7.3</v>
          </cell>
          <cell r="E78">
            <v>-2.2999999999999998</v>
          </cell>
          <cell r="F78">
            <v>-0.8</v>
          </cell>
          <cell r="G78">
            <v>-3.6</v>
          </cell>
          <cell r="H78">
            <v>-0.4</v>
          </cell>
          <cell r="I78">
            <v>-9.6</v>
          </cell>
          <cell r="J78">
            <v>0</v>
          </cell>
          <cell r="K78">
            <v>0</v>
          </cell>
          <cell r="L78">
            <v>0</v>
          </cell>
          <cell r="M78">
            <v>-20.2</v>
          </cell>
          <cell r="N78">
            <v>-20.2</v>
          </cell>
          <cell r="O78">
            <v>0</v>
          </cell>
          <cell r="P78">
            <v>0</v>
          </cell>
          <cell r="Q78">
            <v>0</v>
          </cell>
          <cell r="R78">
            <v>-27.2</v>
          </cell>
          <cell r="S78">
            <v>-27.2</v>
          </cell>
          <cell r="T78">
            <v>0</v>
          </cell>
          <cell r="U78">
            <v>0</v>
          </cell>
          <cell r="V78">
            <v>0</v>
          </cell>
          <cell r="W78">
            <v>-76.400000000000006</v>
          </cell>
          <cell r="X78">
            <v>-76.400000000000006</v>
          </cell>
          <cell r="Y78">
            <v>0</v>
          </cell>
          <cell r="Z78">
            <v>0</v>
          </cell>
          <cell r="AA78">
            <v>0</v>
          </cell>
          <cell r="AB78">
            <v>-17.3</v>
          </cell>
          <cell r="AC78">
            <v>-17.3</v>
          </cell>
          <cell r="AD78">
            <v>0</v>
          </cell>
          <cell r="AE78">
            <v>0</v>
          </cell>
          <cell r="AF78">
            <v>0</v>
          </cell>
          <cell r="AG78">
            <v>16.5</v>
          </cell>
          <cell r="AH78">
            <v>16.5</v>
          </cell>
          <cell r="AI78">
            <v>0</v>
          </cell>
          <cell r="AJ78">
            <v>0</v>
          </cell>
          <cell r="AK78">
            <v>0</v>
          </cell>
          <cell r="AL78">
            <v>-10.6</v>
          </cell>
          <cell r="AM78">
            <v>-10.6</v>
          </cell>
          <cell r="AN78">
            <v>0</v>
          </cell>
          <cell r="AO78">
            <v>5.8</v>
          </cell>
          <cell r="AP78">
            <v>-5.8</v>
          </cell>
          <cell r="AQ78">
            <v>10.3</v>
          </cell>
          <cell r="AR78">
            <v>10.3</v>
          </cell>
          <cell r="AS78">
            <v>0</v>
          </cell>
          <cell r="AT78">
            <v>47.5</v>
          </cell>
          <cell r="AU78">
            <v>-17.7</v>
          </cell>
          <cell r="AV78">
            <v>6.3000000000000007</v>
          </cell>
          <cell r="AW78">
            <v>36.1</v>
          </cell>
          <cell r="AX78">
            <v>13.1</v>
          </cell>
          <cell r="AY78">
            <v>-2.2999999999999989</v>
          </cell>
          <cell r="AZ78">
            <v>-23.8</v>
          </cell>
          <cell r="BA78">
            <v>-14.2</v>
          </cell>
          <cell r="BB78">
            <v>-27.2</v>
          </cell>
          <cell r="BC78">
            <v>27.9</v>
          </cell>
          <cell r="BD78">
            <v>18.300000000000004</v>
          </cell>
          <cell r="BE78">
            <v>0</v>
          </cell>
          <cell r="BF78">
            <v>0</v>
          </cell>
          <cell r="BG78">
            <v>46.2</v>
          </cell>
          <cell r="BH78">
            <v>0</v>
          </cell>
          <cell r="BI78">
            <v>0</v>
          </cell>
          <cell r="BJ78">
            <v>0</v>
          </cell>
          <cell r="BK78">
            <v>0</v>
          </cell>
          <cell r="BL78">
            <v>0</v>
          </cell>
          <cell r="BM78">
            <v>0</v>
          </cell>
          <cell r="BN78">
            <v>0</v>
          </cell>
          <cell r="BO78">
            <v>0</v>
          </cell>
          <cell r="BP78">
            <v>0</v>
          </cell>
          <cell r="BQ78">
            <v>0</v>
          </cell>
          <cell r="BR78">
            <v>0</v>
          </cell>
          <cell r="BS78">
            <v>0</v>
          </cell>
          <cell r="BT78">
            <v>0</v>
          </cell>
          <cell r="BU78">
            <v>0</v>
          </cell>
          <cell r="BZ78" t="str">
            <v xml:space="preserve">Deferred income tax </v>
          </cell>
          <cell r="CA78">
            <v>-6.8</v>
          </cell>
          <cell r="CB78">
            <v>7.3</v>
          </cell>
          <cell r="CC78">
            <v>-2.2999999999999998</v>
          </cell>
          <cell r="CD78">
            <v>-0.8</v>
          </cell>
          <cell r="CE78">
            <v>-3.6</v>
          </cell>
          <cell r="CF78">
            <v>-0.4</v>
          </cell>
          <cell r="CG78">
            <v>-9.6</v>
          </cell>
          <cell r="CH78">
            <v>-20.2</v>
          </cell>
          <cell r="CI78">
            <v>-27.2</v>
          </cell>
          <cell r="CJ78">
            <v>-76.400000000000006</v>
          </cell>
          <cell r="CK78">
            <v>-17.3</v>
          </cell>
          <cell r="CL78">
            <v>16.5</v>
          </cell>
          <cell r="CM78">
            <v>-10.6</v>
          </cell>
          <cell r="CN78">
            <v>10.3</v>
          </cell>
          <cell r="CO78">
            <v>36.1</v>
          </cell>
          <cell r="CP78">
            <v>-27.2</v>
          </cell>
          <cell r="CQ78">
            <v>46.2</v>
          </cell>
          <cell r="CR78">
            <v>0</v>
          </cell>
          <cell r="CS78">
            <v>0</v>
          </cell>
          <cell r="CT78">
            <v>0</v>
          </cell>
          <cell r="CU78">
            <v>0</v>
          </cell>
          <cell r="CV78">
            <v>0</v>
          </cell>
          <cell r="CW78">
            <v>0</v>
          </cell>
          <cell r="CY78">
            <v>0</v>
          </cell>
          <cell r="DA78" t="str">
            <v>mstag:deferredTax</v>
          </cell>
          <cell r="DB78">
            <v>6</v>
          </cell>
          <cell r="DC78" t="str">
            <v>ISO4217:USD</v>
          </cell>
          <cell r="DD78" t="b">
            <v>0</v>
          </cell>
        </row>
        <row r="79">
          <cell r="A79" t="str">
            <v>Other</v>
          </cell>
          <cell r="C79">
            <v>-12.299999999999999</v>
          </cell>
          <cell r="D79">
            <v>-9.1999999999999993</v>
          </cell>
          <cell r="E79">
            <v>0.3</v>
          </cell>
          <cell r="F79">
            <v>4</v>
          </cell>
          <cell r="G79">
            <v>2.4000000000000004</v>
          </cell>
          <cell r="H79">
            <v>0.6</v>
          </cell>
          <cell r="I79">
            <v>1.6</v>
          </cell>
          <cell r="J79">
            <v>0</v>
          </cell>
          <cell r="K79">
            <v>0</v>
          </cell>
          <cell r="L79">
            <v>0</v>
          </cell>
          <cell r="M79">
            <v>2.2000000000000002</v>
          </cell>
          <cell r="N79">
            <v>2.2000000000000002</v>
          </cell>
          <cell r="O79">
            <v>0</v>
          </cell>
          <cell r="P79">
            <v>0</v>
          </cell>
          <cell r="Q79">
            <v>0</v>
          </cell>
          <cell r="R79">
            <v>-159.4</v>
          </cell>
          <cell r="S79">
            <v>-159.4</v>
          </cell>
          <cell r="T79">
            <v>0</v>
          </cell>
          <cell r="U79">
            <v>-52.3</v>
          </cell>
          <cell r="V79">
            <v>0</v>
          </cell>
          <cell r="W79">
            <v>7</v>
          </cell>
          <cell r="X79">
            <v>-45.3</v>
          </cell>
          <cell r="Y79">
            <v>0</v>
          </cell>
          <cell r="Z79">
            <v>-4.9000000000000004</v>
          </cell>
          <cell r="AA79">
            <v>-2.8999999999999995</v>
          </cell>
          <cell r="AB79">
            <v>0</v>
          </cell>
          <cell r="AC79">
            <v>-7.8</v>
          </cell>
          <cell r="AD79">
            <v>0.9</v>
          </cell>
          <cell r="AE79">
            <v>1.7000000000000002</v>
          </cell>
          <cell r="AF79">
            <v>1.0999999999999996</v>
          </cell>
          <cell r="AG79">
            <v>1.3999999999999995</v>
          </cell>
          <cell r="AH79">
            <v>5.0999999999999996</v>
          </cell>
          <cell r="AI79">
            <v>1.3</v>
          </cell>
          <cell r="AJ79">
            <v>1.6000000000000003</v>
          </cell>
          <cell r="AK79">
            <v>1.1999999999999995</v>
          </cell>
          <cell r="AL79">
            <v>1.4999999999999998</v>
          </cell>
          <cell r="AM79">
            <v>5.6</v>
          </cell>
          <cell r="AN79">
            <v>1.6</v>
          </cell>
          <cell r="AO79">
            <v>-4.7</v>
          </cell>
          <cell r="AP79">
            <v>1.4000000000000004</v>
          </cell>
          <cell r="AQ79">
            <v>1.8999999999999995</v>
          </cell>
          <cell r="AR79">
            <v>0.19999999999999973</v>
          </cell>
          <cell r="AS79">
            <v>2</v>
          </cell>
          <cell r="AT79">
            <v>3.2</v>
          </cell>
          <cell r="AU79">
            <v>-10.200000000000001</v>
          </cell>
          <cell r="AV79">
            <v>14.099999999999998</v>
          </cell>
          <cell r="AW79">
            <v>9.0999999999999979</v>
          </cell>
          <cell r="AX79">
            <v>2.7</v>
          </cell>
          <cell r="AY79">
            <v>2.8999999999999995</v>
          </cell>
          <cell r="AZ79">
            <v>2.9000000000000004</v>
          </cell>
          <cell r="BA79">
            <v>-16.299999999999997</v>
          </cell>
          <cell r="BB79">
            <v>-7.7999999999999972</v>
          </cell>
          <cell r="BC79">
            <v>3.7</v>
          </cell>
          <cell r="BD79">
            <v>-97.6</v>
          </cell>
          <cell r="BE79">
            <v>0</v>
          </cell>
          <cell r="BF79">
            <v>0</v>
          </cell>
          <cell r="BG79">
            <v>-93.899999999999991</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Z79" t="str">
            <v>Other</v>
          </cell>
          <cell r="CA79">
            <v>-12.299999999999999</v>
          </cell>
          <cell r="CB79">
            <v>-9.1999999999999993</v>
          </cell>
          <cell r="CC79">
            <v>0.3</v>
          </cell>
          <cell r="CD79">
            <v>4</v>
          </cell>
          <cell r="CE79">
            <v>2.4000000000000004</v>
          </cell>
          <cell r="CF79">
            <v>0.6</v>
          </cell>
          <cell r="CG79">
            <v>1.6</v>
          </cell>
          <cell r="CH79">
            <v>2.2000000000000002</v>
          </cell>
          <cell r="CI79">
            <v>-159.4</v>
          </cell>
          <cell r="CJ79">
            <v>-45.3</v>
          </cell>
          <cell r="CK79">
            <v>-7.8</v>
          </cell>
          <cell r="CL79">
            <v>5.0999999999999996</v>
          </cell>
          <cell r="CM79">
            <v>5.6</v>
          </cell>
          <cell r="CN79">
            <v>0.19999999999999973</v>
          </cell>
          <cell r="CO79">
            <v>9.0999999999999979</v>
          </cell>
          <cell r="CP79">
            <v>-7.7999999999999972</v>
          </cell>
          <cell r="CQ79">
            <v>-93.899999999999991</v>
          </cell>
          <cell r="CR79">
            <v>0</v>
          </cell>
          <cell r="CS79">
            <v>0</v>
          </cell>
          <cell r="CT79">
            <v>0</v>
          </cell>
          <cell r="CU79">
            <v>0</v>
          </cell>
          <cell r="CV79">
            <v>0</v>
          </cell>
          <cell r="CW79">
            <v>0</v>
          </cell>
          <cell r="CY79">
            <v>0</v>
          </cell>
          <cell r="DA79" t="str">
            <v>mstag:otherCashFlow</v>
          </cell>
          <cell r="DB79">
            <v>6</v>
          </cell>
          <cell r="DC79" t="str">
            <v>ISO4217:USD</v>
          </cell>
          <cell r="DD79" t="b">
            <v>0</v>
          </cell>
        </row>
        <row r="80">
          <cell r="A80" t="str">
            <v>Net Changes in Op Assets and Liabilities</v>
          </cell>
          <cell r="BZ80" t="str">
            <v>Net Changes in Op Assets and Liabilities</v>
          </cell>
        </row>
        <row r="81">
          <cell r="A81" t="str">
            <v>Accounts receivable</v>
          </cell>
          <cell r="C81">
            <v>-4</v>
          </cell>
          <cell r="D81">
            <v>13.7</v>
          </cell>
          <cell r="E81">
            <v>-14.6</v>
          </cell>
          <cell r="F81">
            <v>-47.6</v>
          </cell>
          <cell r="G81">
            <v>-16.600000000000001</v>
          </cell>
          <cell r="H81">
            <v>-91.8</v>
          </cell>
          <cell r="I81">
            <v>-93</v>
          </cell>
          <cell r="J81">
            <v>-4.5999999999999996</v>
          </cell>
          <cell r="K81">
            <v>-5</v>
          </cell>
          <cell r="L81">
            <v>42</v>
          </cell>
          <cell r="M81">
            <v>-85.5</v>
          </cell>
          <cell r="N81">
            <v>-53.1</v>
          </cell>
          <cell r="O81">
            <v>-0.5</v>
          </cell>
          <cell r="P81">
            <v>3.1</v>
          </cell>
          <cell r="Q81">
            <v>65.5</v>
          </cell>
          <cell r="R81">
            <v>-110.5</v>
          </cell>
          <cell r="S81">
            <v>-42.400000000000006</v>
          </cell>
          <cell r="T81">
            <v>-23.9</v>
          </cell>
          <cell r="U81">
            <v>17</v>
          </cell>
          <cell r="V81">
            <v>94.1</v>
          </cell>
          <cell r="W81">
            <v>-50.499999999999986</v>
          </cell>
          <cell r="X81">
            <v>36.700000000000003</v>
          </cell>
          <cell r="Y81">
            <v>42.1</v>
          </cell>
          <cell r="Z81">
            <v>-10</v>
          </cell>
          <cell r="AA81">
            <v>57.300000000000004</v>
          </cell>
          <cell r="AB81">
            <v>-63.2</v>
          </cell>
          <cell r="AC81">
            <v>26.200000000000003</v>
          </cell>
          <cell r="AD81">
            <v>16</v>
          </cell>
          <cell r="AE81">
            <v>-9.9999999999999645E-2</v>
          </cell>
          <cell r="AF81">
            <v>35.4</v>
          </cell>
          <cell r="AG81">
            <v>-66.199999999999989</v>
          </cell>
          <cell r="AH81">
            <v>-14.899999999999991</v>
          </cell>
          <cell r="AI81">
            <v>13.5</v>
          </cell>
          <cell r="AJ81">
            <v>32.299999999999997</v>
          </cell>
          <cell r="AK81">
            <v>-14.699999999999996</v>
          </cell>
          <cell r="AL81">
            <v>-85.5</v>
          </cell>
          <cell r="AM81">
            <v>-54.4</v>
          </cell>
          <cell r="AN81">
            <v>-2</v>
          </cell>
          <cell r="AO81">
            <v>13.2</v>
          </cell>
          <cell r="AP81">
            <v>86.3</v>
          </cell>
          <cell r="AQ81">
            <v>-80.399999999999991</v>
          </cell>
          <cell r="AR81">
            <v>17.100000000000009</v>
          </cell>
          <cell r="AS81">
            <v>-96</v>
          </cell>
          <cell r="AT81">
            <v>55.5</v>
          </cell>
          <cell r="AU81">
            <v>-16.5</v>
          </cell>
          <cell r="AV81">
            <v>-71.199999999999989</v>
          </cell>
          <cell r="AW81">
            <v>-128.19999999999999</v>
          </cell>
          <cell r="AX81">
            <v>-25</v>
          </cell>
          <cell r="AY81">
            <v>27.4</v>
          </cell>
          <cell r="AZ81">
            <v>24.400000000000002</v>
          </cell>
          <cell r="BA81">
            <v>-93.800000000000011</v>
          </cell>
          <cell r="BB81">
            <v>-67.000000000000014</v>
          </cell>
          <cell r="BC81">
            <v>-42.8</v>
          </cell>
          <cell r="BD81">
            <v>-3</v>
          </cell>
          <cell r="BE81">
            <v>158.14221482636424</v>
          </cell>
          <cell r="BF81">
            <v>-106.17982701792687</v>
          </cell>
          <cell r="BG81">
            <v>6.1623878084373729</v>
          </cell>
          <cell r="BH81">
            <v>-42.386248466646862</v>
          </cell>
          <cell r="BI81">
            <v>-15.070007436190167</v>
          </cell>
          <cell r="BJ81">
            <v>136.36466324852017</v>
          </cell>
          <cell r="BK81">
            <v>-111.58701649888485</v>
          </cell>
          <cell r="BL81">
            <v>-32.678609153201705</v>
          </cell>
          <cell r="BM81">
            <v>-43.126846938473705</v>
          </cell>
          <cell r="BN81">
            <v>-13.60641394204913</v>
          </cell>
          <cell r="BO81">
            <v>138.84506552742948</v>
          </cell>
          <cell r="BP81">
            <v>-117.5310210637216</v>
          </cell>
          <cell r="BQ81">
            <v>-35.419216416814947</v>
          </cell>
          <cell r="BR81">
            <v>-30.712652356180342</v>
          </cell>
          <cell r="BS81">
            <v>-33.274952977095268</v>
          </cell>
          <cell r="BT81">
            <v>-36.096606051570234</v>
          </cell>
          <cell r="BU81">
            <v>-39.205446212515085</v>
          </cell>
          <cell r="BZ81" t="str">
            <v>Accounts receivable</v>
          </cell>
          <cell r="CA81">
            <v>-4</v>
          </cell>
          <cell r="CB81">
            <v>13.7</v>
          </cell>
          <cell r="CC81">
            <v>-14.6</v>
          </cell>
          <cell r="CD81">
            <v>-47.6</v>
          </cell>
          <cell r="CE81">
            <v>-16.600000000000001</v>
          </cell>
          <cell r="CF81">
            <v>-91.8</v>
          </cell>
          <cell r="CG81">
            <v>-93</v>
          </cell>
          <cell r="CH81">
            <v>-53.1</v>
          </cell>
          <cell r="CI81">
            <v>-42.400000000000006</v>
          </cell>
          <cell r="CJ81">
            <v>36.700000000000003</v>
          </cell>
          <cell r="CK81">
            <v>26.200000000000003</v>
          </cell>
          <cell r="CL81">
            <v>-14.899999999999991</v>
          </cell>
          <cell r="CM81">
            <v>-54.4</v>
          </cell>
          <cell r="CN81">
            <v>17.100000000000009</v>
          </cell>
          <cell r="CO81">
            <v>-128.19999999999999</v>
          </cell>
          <cell r="CP81">
            <v>-67.000000000000014</v>
          </cell>
          <cell r="CQ81">
            <v>6.1623878084373729</v>
          </cell>
          <cell r="CR81">
            <v>-32.678609153201705</v>
          </cell>
          <cell r="CS81">
            <v>-35.419216416814947</v>
          </cell>
          <cell r="CT81">
            <v>-30.712652356180342</v>
          </cell>
          <cell r="CU81">
            <v>-33.274952977095268</v>
          </cell>
          <cell r="CV81">
            <v>-36.096606051570234</v>
          </cell>
          <cell r="CW81">
            <v>-39.205446212515085</v>
          </cell>
          <cell r="CY81">
            <v>-5.4938680943996587</v>
          </cell>
          <cell r="DA81" t="str">
            <v>mstag:netDecreaseInTradeReceivables</v>
          </cell>
          <cell r="DB81">
            <v>6</v>
          </cell>
          <cell r="DC81" t="str">
            <v>ISO4217:USD</v>
          </cell>
          <cell r="DD81" t="b">
            <v>0</v>
          </cell>
        </row>
        <row r="82">
          <cell r="A82" t="str">
            <v xml:space="preserve">Other current assets </v>
          </cell>
          <cell r="C82">
            <v>-28.5</v>
          </cell>
          <cell r="D82">
            <v>-4.5999999999999996</v>
          </cell>
          <cell r="E82">
            <v>28.3</v>
          </cell>
          <cell r="F82">
            <v>-3.7</v>
          </cell>
          <cell r="G82">
            <v>0.3</v>
          </cell>
          <cell r="H82">
            <v>-11.8</v>
          </cell>
          <cell r="I82">
            <v>-11.1</v>
          </cell>
          <cell r="J82">
            <v>-8.6999999999999993</v>
          </cell>
          <cell r="K82">
            <v>7.8999999999999995</v>
          </cell>
          <cell r="L82">
            <v>8.3999999999999986</v>
          </cell>
          <cell r="M82">
            <v>-6.5999999999999979</v>
          </cell>
          <cell r="N82">
            <v>1.0000000000000009</v>
          </cell>
          <cell r="O82">
            <v>14.6</v>
          </cell>
          <cell r="P82">
            <v>10.500000000000002</v>
          </cell>
          <cell r="Q82">
            <v>-1.5</v>
          </cell>
          <cell r="R82">
            <v>-14.700000000000001</v>
          </cell>
          <cell r="S82">
            <v>8.9</v>
          </cell>
          <cell r="T82">
            <v>-4.5999999999999996</v>
          </cell>
          <cell r="U82">
            <v>7.8999999999999995</v>
          </cell>
          <cell r="V82">
            <v>-1</v>
          </cell>
          <cell r="W82">
            <v>-60.599999999999994</v>
          </cell>
          <cell r="X82">
            <v>-58.3</v>
          </cell>
          <cell r="Y82">
            <v>6.6</v>
          </cell>
          <cell r="Z82">
            <v>-6</v>
          </cell>
          <cell r="AA82">
            <v>-19.200000000000003</v>
          </cell>
          <cell r="AB82">
            <v>-4.5</v>
          </cell>
          <cell r="AC82">
            <v>-23.1</v>
          </cell>
          <cell r="AD82">
            <v>26.9</v>
          </cell>
          <cell r="AE82">
            <v>15.700000000000003</v>
          </cell>
          <cell r="AF82">
            <v>2.5</v>
          </cell>
          <cell r="AG82">
            <v>10.199999999999996</v>
          </cell>
          <cell r="AH82">
            <v>55.3</v>
          </cell>
          <cell r="AI82">
            <v>6.6</v>
          </cell>
          <cell r="AJ82">
            <v>-0.59999999999999964</v>
          </cell>
          <cell r="AK82">
            <v>-7.1</v>
          </cell>
          <cell r="AL82">
            <v>-72.400000000000006</v>
          </cell>
          <cell r="AM82">
            <v>-73.5</v>
          </cell>
          <cell r="AN82">
            <v>63.5</v>
          </cell>
          <cell r="AO82">
            <v>8.0999999999999943</v>
          </cell>
          <cell r="AP82">
            <v>9</v>
          </cell>
          <cell r="AQ82">
            <v>-27.099999999999994</v>
          </cell>
          <cell r="AR82">
            <v>53.5</v>
          </cell>
          <cell r="AS82">
            <v>50.8</v>
          </cell>
          <cell r="AT82">
            <v>-83.199999999999989</v>
          </cell>
          <cell r="AU82">
            <v>41.29999999999999</v>
          </cell>
          <cell r="AV82">
            <v>-22.999999999999993</v>
          </cell>
          <cell r="AW82">
            <v>-14.099999999999994</v>
          </cell>
          <cell r="AX82">
            <v>12</v>
          </cell>
          <cell r="AY82">
            <v>-68.599999999999994</v>
          </cell>
          <cell r="AZ82">
            <v>49.599999999999994</v>
          </cell>
          <cell r="BA82">
            <v>-14.700000000000003</v>
          </cell>
          <cell r="BB82">
            <v>-21.700000000000003</v>
          </cell>
          <cell r="BC82">
            <v>-5</v>
          </cell>
          <cell r="BD82">
            <v>-51.1</v>
          </cell>
          <cell r="BE82">
            <v>0</v>
          </cell>
          <cell r="BF82">
            <v>0</v>
          </cell>
          <cell r="BG82">
            <v>-56.1</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Z82" t="str">
            <v xml:space="preserve">Other current assets </v>
          </cell>
          <cell r="CA82">
            <v>-28.5</v>
          </cell>
          <cell r="CB82">
            <v>-4.5999999999999996</v>
          </cell>
          <cell r="CC82">
            <v>28.3</v>
          </cell>
          <cell r="CD82">
            <v>-3.7</v>
          </cell>
          <cell r="CE82">
            <v>0.3</v>
          </cell>
          <cell r="CF82">
            <v>-11.8</v>
          </cell>
          <cell r="CG82">
            <v>-11.1</v>
          </cell>
          <cell r="CH82">
            <v>1.0000000000000009</v>
          </cell>
          <cell r="CI82">
            <v>8.9</v>
          </cell>
          <cell r="CJ82">
            <v>-58.3</v>
          </cell>
          <cell r="CK82">
            <v>-23.1</v>
          </cell>
          <cell r="CL82">
            <v>55.3</v>
          </cell>
          <cell r="CM82">
            <v>-73.5</v>
          </cell>
          <cell r="CN82">
            <v>53.5</v>
          </cell>
          <cell r="CO82">
            <v>-14.099999999999994</v>
          </cell>
          <cell r="CP82">
            <v>-21.700000000000003</v>
          </cell>
          <cell r="CQ82">
            <v>-56.1</v>
          </cell>
          <cell r="CR82">
            <v>0</v>
          </cell>
          <cell r="CS82">
            <v>0</v>
          </cell>
          <cell r="CT82">
            <v>0</v>
          </cell>
          <cell r="CU82">
            <v>0</v>
          </cell>
          <cell r="CV82">
            <v>0</v>
          </cell>
          <cell r="CW82">
            <v>0</v>
          </cell>
          <cell r="CY82">
            <v>0</v>
          </cell>
          <cell r="DA82" t="str">
            <v>mstag:netDecreaseInOtherAssets</v>
          </cell>
          <cell r="DB82">
            <v>6</v>
          </cell>
          <cell r="DC82" t="str">
            <v>ISO4217:USD</v>
          </cell>
          <cell r="DD82" t="b">
            <v>0</v>
          </cell>
        </row>
        <row r="83">
          <cell r="A83" t="str">
            <v xml:space="preserve">Pre paid pension costs </v>
          </cell>
          <cell r="C83">
            <v>-1.5</v>
          </cell>
          <cell r="D83">
            <v>-1.9</v>
          </cell>
          <cell r="E83">
            <v>-4.0999999999999996</v>
          </cell>
          <cell r="F83">
            <v>-3.4</v>
          </cell>
          <cell r="G83">
            <v>-2.1</v>
          </cell>
          <cell r="H83">
            <v>0</v>
          </cell>
          <cell r="I83">
            <v>0</v>
          </cell>
          <cell r="J83">
            <v>0.7</v>
          </cell>
          <cell r="K83">
            <v>1</v>
          </cell>
          <cell r="L83">
            <v>0.8</v>
          </cell>
          <cell r="M83">
            <v>-9.1999999999999993</v>
          </cell>
          <cell r="N83">
            <v>-6.6999999999999993</v>
          </cell>
          <cell r="O83">
            <v>1</v>
          </cell>
          <cell r="P83">
            <v>1.2999999999999998</v>
          </cell>
          <cell r="Q83">
            <v>-2.2999999999999998</v>
          </cell>
          <cell r="R83">
            <v>-40</v>
          </cell>
          <cell r="S83">
            <v>-40</v>
          </cell>
          <cell r="U83">
            <v>0</v>
          </cell>
          <cell r="V83">
            <v>0</v>
          </cell>
          <cell r="W83">
            <v>15.5</v>
          </cell>
          <cell r="X83">
            <v>15.5</v>
          </cell>
          <cell r="Y83">
            <v>0</v>
          </cell>
          <cell r="Z83">
            <v>0</v>
          </cell>
          <cell r="AA83">
            <v>0</v>
          </cell>
          <cell r="AB83">
            <v>26</v>
          </cell>
          <cell r="AC83">
            <v>26</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Z83" t="str">
            <v xml:space="preserve">Pre paid pension costs </v>
          </cell>
          <cell r="CA83">
            <v>-1.5</v>
          </cell>
          <cell r="CB83">
            <v>-1.9</v>
          </cell>
          <cell r="CC83">
            <v>-4.0999999999999996</v>
          </cell>
          <cell r="CD83">
            <v>-3.4</v>
          </cell>
          <cell r="CE83">
            <v>-2.1</v>
          </cell>
          <cell r="CF83">
            <v>0</v>
          </cell>
          <cell r="CG83">
            <v>0</v>
          </cell>
          <cell r="CH83">
            <v>-6.6999999999999993</v>
          </cell>
          <cell r="CI83">
            <v>-40</v>
          </cell>
          <cell r="CJ83">
            <v>15.5</v>
          </cell>
          <cell r="CK83">
            <v>26</v>
          </cell>
          <cell r="CL83">
            <v>0</v>
          </cell>
          <cell r="CM83">
            <v>0</v>
          </cell>
          <cell r="CN83">
            <v>0</v>
          </cell>
          <cell r="CO83">
            <v>0</v>
          </cell>
          <cell r="CP83">
            <v>0</v>
          </cell>
          <cell r="CQ83">
            <v>0</v>
          </cell>
          <cell r="CR83">
            <v>0</v>
          </cell>
          <cell r="CS83">
            <v>0</v>
          </cell>
          <cell r="CT83">
            <v>0</v>
          </cell>
          <cell r="CU83">
            <v>0</v>
          </cell>
          <cell r="CV83">
            <v>0</v>
          </cell>
          <cell r="CW83">
            <v>0</v>
          </cell>
          <cell r="CY83">
            <v>0</v>
          </cell>
          <cell r="DA83" t="str">
            <v>mstag:netDecreaseInPrepaidExpenses</v>
          </cell>
          <cell r="DB83">
            <v>6</v>
          </cell>
          <cell r="DC83" t="str">
            <v>ISO4217:USD</v>
          </cell>
          <cell r="DD83" t="b">
            <v>0</v>
          </cell>
        </row>
        <row r="84">
          <cell r="A84" t="str">
            <v>Other  assets</v>
          </cell>
          <cell r="C84">
            <v>-0.4</v>
          </cell>
          <cell r="D84">
            <v>-2</v>
          </cell>
          <cell r="E84">
            <v>0.9</v>
          </cell>
          <cell r="F84">
            <v>-2.9</v>
          </cell>
          <cell r="G84">
            <v>-2.9</v>
          </cell>
          <cell r="H84">
            <v>-0.6</v>
          </cell>
          <cell r="I84">
            <v>22.9</v>
          </cell>
          <cell r="J84">
            <v>-4.2</v>
          </cell>
          <cell r="K84">
            <v>-2.2999999999999998</v>
          </cell>
          <cell r="L84">
            <v>-5.4</v>
          </cell>
          <cell r="M84">
            <v>11.9</v>
          </cell>
          <cell r="N84">
            <v>0</v>
          </cell>
          <cell r="O84">
            <v>-33.700000000000003</v>
          </cell>
          <cell r="P84">
            <v>-16.799999999999997</v>
          </cell>
          <cell r="Q84">
            <v>-9.7999999999999972</v>
          </cell>
          <cell r="R84">
            <v>60.3</v>
          </cell>
          <cell r="S84">
            <v>0</v>
          </cell>
          <cell r="T84">
            <v>0.3</v>
          </cell>
          <cell r="U84">
            <v>-9.8000000000000007</v>
          </cell>
          <cell r="V84">
            <v>-13.5</v>
          </cell>
          <cell r="W84">
            <v>23</v>
          </cell>
          <cell r="X84">
            <v>0</v>
          </cell>
          <cell r="Y84">
            <v>31.3</v>
          </cell>
          <cell r="Z84">
            <v>-3.4000000000000021</v>
          </cell>
          <cell r="AA84">
            <v>-13.499999999999998</v>
          </cell>
          <cell r="AB84">
            <v>-14.400000000000002</v>
          </cell>
          <cell r="AC84">
            <v>0</v>
          </cell>
          <cell r="AD84">
            <v>-8</v>
          </cell>
          <cell r="AE84">
            <v>5.3</v>
          </cell>
          <cell r="AF84">
            <v>12.099999999999998</v>
          </cell>
          <cell r="AG84">
            <v>-16.799999999999997</v>
          </cell>
          <cell r="AH84">
            <v>-7.3999999999999986</v>
          </cell>
          <cell r="AI84">
            <v>-12.5</v>
          </cell>
          <cell r="AJ84">
            <v>-10.7</v>
          </cell>
          <cell r="AK84">
            <v>-23.000000000000004</v>
          </cell>
          <cell r="AL84">
            <v>49.900000000000006</v>
          </cell>
          <cell r="AM84">
            <v>3.7000000000000028</v>
          </cell>
          <cell r="AN84">
            <v>16.399999999999999</v>
          </cell>
          <cell r="AO84">
            <v>-17.7</v>
          </cell>
          <cell r="AP84">
            <v>25.5</v>
          </cell>
          <cell r="AQ84">
            <v>-16.7</v>
          </cell>
          <cell r="AR84">
            <v>7.5</v>
          </cell>
          <cell r="AS84">
            <v>-4.9000000000000004</v>
          </cell>
          <cell r="AT84">
            <v>1.7000000000000002</v>
          </cell>
          <cell r="AU84">
            <v>5.7</v>
          </cell>
          <cell r="AV84">
            <v>2.6000000000000005</v>
          </cell>
          <cell r="AW84">
            <v>5.1000000000000005</v>
          </cell>
          <cell r="AX84">
            <v>-2</v>
          </cell>
          <cell r="AY84">
            <v>1.2</v>
          </cell>
          <cell r="AZ84">
            <v>-5.2</v>
          </cell>
          <cell r="BA84">
            <v>5.3</v>
          </cell>
          <cell r="BB84">
            <v>-0.70000000000000018</v>
          </cell>
          <cell r="BC84">
            <v>-1.8</v>
          </cell>
          <cell r="BD84">
            <v>5.0999999999999996</v>
          </cell>
          <cell r="BE84">
            <v>52.206054007087175</v>
          </cell>
          <cell r="BF84">
            <v>-18.866045834621232</v>
          </cell>
          <cell r="BG84">
            <v>36.64000817246594</v>
          </cell>
          <cell r="BH84">
            <v>5.89633341018056</v>
          </cell>
          <cell r="BI84">
            <v>-40.304251588072475</v>
          </cell>
          <cell r="BJ84">
            <v>48.948311466527201</v>
          </cell>
          <cell r="BK84">
            <v>-19.817362585774305</v>
          </cell>
          <cell r="BL84">
            <v>-5.2769692971390185</v>
          </cell>
          <cell r="BM84">
            <v>6.3454296448069982</v>
          </cell>
          <cell r="BN84">
            <v>-41.687980164611488</v>
          </cell>
          <cell r="BO84">
            <v>50.484706360813988</v>
          </cell>
          <cell r="BP84">
            <v>-20.861680704629421</v>
          </cell>
          <cell r="BQ84">
            <v>-5.7195248636199238</v>
          </cell>
          <cell r="BR84">
            <v>-4.9595049396828159</v>
          </cell>
          <cell r="BS84">
            <v>-5.3732673994992695</v>
          </cell>
          <cell r="BT84">
            <v>-5.8289103116983938</v>
          </cell>
          <cell r="BU84">
            <v>-6.3309284362185565</v>
          </cell>
          <cell r="BZ84" t="str">
            <v>Other  assets</v>
          </cell>
          <cell r="CA84">
            <v>-0.4</v>
          </cell>
          <cell r="CB84">
            <v>-2</v>
          </cell>
          <cell r="CC84">
            <v>0.9</v>
          </cell>
          <cell r="CD84">
            <v>-2.9</v>
          </cell>
          <cell r="CE84">
            <v>-2.9</v>
          </cell>
          <cell r="CF84">
            <v>-0.6</v>
          </cell>
          <cell r="CG84">
            <v>22.9</v>
          </cell>
          <cell r="CH84">
            <v>0</v>
          </cell>
          <cell r="CI84">
            <v>0</v>
          </cell>
          <cell r="CJ84">
            <v>0</v>
          </cell>
          <cell r="CK84">
            <v>0</v>
          </cell>
          <cell r="CL84">
            <v>-7.3999999999999986</v>
          </cell>
          <cell r="CM84">
            <v>3.7000000000000028</v>
          </cell>
          <cell r="CN84">
            <v>7.5</v>
          </cell>
          <cell r="CO84">
            <v>5.1000000000000005</v>
          </cell>
          <cell r="CP84">
            <v>-0.70000000000000018</v>
          </cell>
          <cell r="CQ84">
            <v>36.64000817246594</v>
          </cell>
          <cell r="CR84">
            <v>-5.2769692971390185</v>
          </cell>
          <cell r="CS84">
            <v>-5.7195248636199238</v>
          </cell>
          <cell r="CT84">
            <v>-4.9595049396828159</v>
          </cell>
          <cell r="CU84">
            <v>-5.3732673994992695</v>
          </cell>
          <cell r="CV84">
            <v>-5.8289103116983938</v>
          </cell>
          <cell r="CW84">
            <v>-6.3309284362185565</v>
          </cell>
          <cell r="CY84">
            <v>-1.067910005425972</v>
          </cell>
          <cell r="DA84" t="str">
            <v>mstag:netDecreaseInOtherAssets</v>
          </cell>
          <cell r="DB84">
            <v>6</v>
          </cell>
          <cell r="DC84" t="str">
            <v>ISO4217:USD</v>
          </cell>
          <cell r="DD84" t="b">
            <v>0</v>
          </cell>
        </row>
        <row r="85">
          <cell r="A85" t="str">
            <v>Accounts payable and accrued liabilities</v>
          </cell>
          <cell r="C85">
            <v>56.8</v>
          </cell>
          <cell r="D85">
            <v>20.7</v>
          </cell>
          <cell r="E85">
            <v>-138.6</v>
          </cell>
          <cell r="F85">
            <v>101.6</v>
          </cell>
          <cell r="G85">
            <v>-66.8</v>
          </cell>
          <cell r="H85">
            <v>41.5</v>
          </cell>
          <cell r="I85">
            <v>42.2</v>
          </cell>
          <cell r="J85">
            <v>-33.5</v>
          </cell>
          <cell r="K85">
            <v>6.3999999999999986</v>
          </cell>
          <cell r="L85">
            <v>-7.5</v>
          </cell>
          <cell r="M85">
            <v>18.600000000000001</v>
          </cell>
          <cell r="N85">
            <v>-16</v>
          </cell>
          <cell r="O85">
            <v>4.4000000000000004</v>
          </cell>
          <cell r="P85">
            <v>-5.3000000000000007</v>
          </cell>
          <cell r="Q85">
            <v>43.5</v>
          </cell>
          <cell r="R85">
            <v>98.800000000000011</v>
          </cell>
          <cell r="S85">
            <v>141.4</v>
          </cell>
          <cell r="T85">
            <v>-37.299999999999997</v>
          </cell>
          <cell r="U85">
            <v>11.399999999999999</v>
          </cell>
          <cell r="V85">
            <v>41.7</v>
          </cell>
          <cell r="W85">
            <v>71.199999999999989</v>
          </cell>
          <cell r="X85">
            <v>87</v>
          </cell>
          <cell r="Y85">
            <v>-90.7</v>
          </cell>
          <cell r="Z85">
            <v>-64.09999999999998</v>
          </cell>
          <cell r="AA85">
            <v>7.1999999999999886</v>
          </cell>
          <cell r="AB85">
            <v>-0.60000000000002274</v>
          </cell>
          <cell r="AC85">
            <v>-148.20000000000002</v>
          </cell>
          <cell r="AD85">
            <v>-24.6</v>
          </cell>
          <cell r="AE85">
            <v>22.800000000000004</v>
          </cell>
          <cell r="AF85">
            <v>16.699999999999996</v>
          </cell>
          <cell r="AG85">
            <v>38.099999999999994</v>
          </cell>
          <cell r="AH85">
            <v>52.999999999999993</v>
          </cell>
          <cell r="AI85">
            <v>-48</v>
          </cell>
          <cell r="AJ85">
            <v>-11.299999999999997</v>
          </cell>
          <cell r="AK85">
            <v>79.3</v>
          </cell>
          <cell r="AL85">
            <v>58.3</v>
          </cell>
          <cell r="AM85">
            <v>78.3</v>
          </cell>
          <cell r="AN85">
            <v>-108.19999999999999</v>
          </cell>
          <cell r="AO85">
            <v>29.999999999999986</v>
          </cell>
          <cell r="AP85">
            <v>7.4000000000000057</v>
          </cell>
          <cell r="AQ85">
            <v>94.7</v>
          </cell>
          <cell r="AR85">
            <v>23.900000000000006</v>
          </cell>
          <cell r="AS85">
            <v>-105.7</v>
          </cell>
          <cell r="AT85">
            <v>-10.099999999999994</v>
          </cell>
          <cell r="AU85">
            <v>67.3</v>
          </cell>
          <cell r="AV85">
            <v>150.19999999999999</v>
          </cell>
          <cell r="AW85">
            <v>101.69999999999999</v>
          </cell>
          <cell r="AX85">
            <v>-139.6</v>
          </cell>
          <cell r="AY85">
            <v>-28.800000000000011</v>
          </cell>
          <cell r="AZ85">
            <v>29.800000000000011</v>
          </cell>
          <cell r="BA85">
            <v>135.69999999999999</v>
          </cell>
          <cell r="BB85">
            <v>-2.9000000000000057</v>
          </cell>
          <cell r="BC85">
            <v>-131.80000000000001</v>
          </cell>
          <cell r="BD85">
            <v>105.20000000000002</v>
          </cell>
          <cell r="BE85">
            <v>-79.561703911111124</v>
          </cell>
          <cell r="BF85">
            <v>197.23074212850372</v>
          </cell>
          <cell r="BG85">
            <v>91.069038217392603</v>
          </cell>
          <cell r="BH85">
            <v>-214.04482158971837</v>
          </cell>
          <cell r="BI85">
            <v>148.44047659724339</v>
          </cell>
          <cell r="BJ85">
            <v>-112.73305864793832</v>
          </cell>
          <cell r="BK85">
            <v>208.4987332142847</v>
          </cell>
          <cell r="BL85">
            <v>30.161329573871399</v>
          </cell>
          <cell r="BM85">
            <v>-226.45436040349909</v>
          </cell>
          <cell r="BN85">
            <v>154.87853811669788</v>
          </cell>
          <cell r="BO85">
            <v>-116.36207137557636</v>
          </cell>
          <cell r="BP85">
            <v>220.84820093838886</v>
          </cell>
          <cell r="BQ85">
            <v>32.910307276011281</v>
          </cell>
          <cell r="BR85">
            <v>23.609548739589968</v>
          </cell>
          <cell r="BS85">
            <v>25.718096413570152</v>
          </cell>
          <cell r="BT85">
            <v>28.029313438912254</v>
          </cell>
          <cell r="BU85">
            <v>30.563064512419601</v>
          </cell>
          <cell r="BZ85" t="str">
            <v>Accounts payable and accrued liabilities</v>
          </cell>
          <cell r="CA85">
            <v>56.8</v>
          </cell>
          <cell r="CB85">
            <v>20.7</v>
          </cell>
          <cell r="CC85">
            <v>-138.6</v>
          </cell>
          <cell r="CD85">
            <v>101.6</v>
          </cell>
          <cell r="CE85">
            <v>-66.8</v>
          </cell>
          <cell r="CF85">
            <v>41.5</v>
          </cell>
          <cell r="CG85">
            <v>42.2</v>
          </cell>
          <cell r="CH85">
            <v>-16</v>
          </cell>
          <cell r="CI85">
            <v>141.4</v>
          </cell>
          <cell r="CJ85">
            <v>87</v>
          </cell>
          <cell r="CK85">
            <v>-148.20000000000002</v>
          </cell>
          <cell r="CL85">
            <v>52.999999999999993</v>
          </cell>
          <cell r="CM85">
            <v>78.3</v>
          </cell>
          <cell r="CN85">
            <v>23.900000000000006</v>
          </cell>
          <cell r="CO85">
            <v>101.69999999999999</v>
          </cell>
          <cell r="CP85">
            <v>-2.9000000000000057</v>
          </cell>
          <cell r="CQ85">
            <v>91.069038217392603</v>
          </cell>
          <cell r="CR85">
            <v>30.161329573871399</v>
          </cell>
          <cell r="CS85">
            <v>32.910307276011281</v>
          </cell>
          <cell r="CT85">
            <v>23.609548739589968</v>
          </cell>
          <cell r="CU85">
            <v>25.718096413570152</v>
          </cell>
          <cell r="CV85">
            <v>28.029313438912254</v>
          </cell>
          <cell r="CW85">
            <v>30.563064512419601</v>
          </cell>
          <cell r="CY85">
            <v>52.064693224917619</v>
          </cell>
          <cell r="DA85" t="str">
            <v>mstag:netIncreaseInTradeAndOtherPayables</v>
          </cell>
          <cell r="DB85">
            <v>6</v>
          </cell>
          <cell r="DC85" t="str">
            <v>ISO4217:USD</v>
          </cell>
          <cell r="DD85" t="b">
            <v>0</v>
          </cell>
        </row>
        <row r="86">
          <cell r="A86" t="str">
            <v>Deferred revenue</v>
          </cell>
          <cell r="C86">
            <v>20.9</v>
          </cell>
          <cell r="D86">
            <v>14.3</v>
          </cell>
          <cell r="E86">
            <v>16.2</v>
          </cell>
          <cell r="F86">
            <v>24.8</v>
          </cell>
          <cell r="G86">
            <v>34.9</v>
          </cell>
          <cell r="H86">
            <v>56.8</v>
          </cell>
          <cell r="I86">
            <v>65.099999999999994</v>
          </cell>
          <cell r="J86">
            <v>33.4</v>
          </cell>
          <cell r="K86">
            <v>0.30000000000000426</v>
          </cell>
          <cell r="L86">
            <v>-24.400000000000002</v>
          </cell>
          <cell r="M86">
            <v>42.900000000000006</v>
          </cell>
          <cell r="N86">
            <v>52.2</v>
          </cell>
          <cell r="O86">
            <v>50.9</v>
          </cell>
          <cell r="P86">
            <v>-4.5</v>
          </cell>
          <cell r="Q86">
            <v>-27.299999999999997</v>
          </cell>
          <cell r="R86">
            <v>61.1</v>
          </cell>
          <cell r="S86">
            <v>80.2</v>
          </cell>
          <cell r="T86">
            <v>54</v>
          </cell>
          <cell r="U86">
            <v>-6.8999999999999986</v>
          </cell>
          <cell r="V86">
            <v>-25.900000000000002</v>
          </cell>
          <cell r="W86">
            <v>58</v>
          </cell>
          <cell r="X86">
            <v>79.2</v>
          </cell>
          <cell r="Y86">
            <v>36.299999999999997</v>
          </cell>
          <cell r="Z86">
            <v>-28.9</v>
          </cell>
          <cell r="AA86">
            <v>-38.099999999999994</v>
          </cell>
          <cell r="AB86">
            <v>39.700000000000003</v>
          </cell>
          <cell r="AC86">
            <v>9.0000000000000071</v>
          </cell>
          <cell r="AD86">
            <v>41.9</v>
          </cell>
          <cell r="AE86">
            <v>-26.4</v>
          </cell>
          <cell r="AF86">
            <v>-38.300000000000004</v>
          </cell>
          <cell r="AG86">
            <v>40.700000000000003</v>
          </cell>
          <cell r="AH86">
            <v>17.899999999999999</v>
          </cell>
          <cell r="AI86">
            <v>44.2</v>
          </cell>
          <cell r="AJ86">
            <v>-32.1</v>
          </cell>
          <cell r="AK86">
            <v>-42.800000000000004</v>
          </cell>
          <cell r="AL86">
            <v>50.300000000000004</v>
          </cell>
          <cell r="AM86">
            <v>19.600000000000001</v>
          </cell>
          <cell r="AN86">
            <v>41.4</v>
          </cell>
          <cell r="AO86">
            <v>-20.9</v>
          </cell>
          <cell r="AP86">
            <v>-46.800000000000004</v>
          </cell>
          <cell r="AQ86">
            <v>35.100000000000009</v>
          </cell>
          <cell r="AR86">
            <v>8.8000000000000043</v>
          </cell>
          <cell r="AS86">
            <v>84.2</v>
          </cell>
          <cell r="AT86">
            <v>-38.6</v>
          </cell>
          <cell r="AU86">
            <v>-48.300000000000004</v>
          </cell>
          <cell r="AV86">
            <v>23.6</v>
          </cell>
          <cell r="AW86">
            <v>20.9</v>
          </cell>
          <cell r="AX86">
            <v>97.1</v>
          </cell>
          <cell r="AY86">
            <v>-37.499999999999993</v>
          </cell>
          <cell r="AZ86">
            <v>-34</v>
          </cell>
          <cell r="BA86">
            <v>40.5</v>
          </cell>
          <cell r="BB86">
            <v>66.099999999999994</v>
          </cell>
          <cell r="BC86">
            <v>114</v>
          </cell>
          <cell r="BD86">
            <v>-51.8</v>
          </cell>
          <cell r="BE86">
            <v>-93.99282221686758</v>
          </cell>
          <cell r="BF86">
            <v>41.855436932268063</v>
          </cell>
          <cell r="BG86">
            <v>10.062614715400485</v>
          </cell>
          <cell r="BH86">
            <v>114.08866692028779</v>
          </cell>
          <cell r="BI86">
            <v>-57.162350064544626</v>
          </cell>
          <cell r="BJ86">
            <v>-73.016711519960609</v>
          </cell>
          <cell r="BK86">
            <v>44.259336924770437</v>
          </cell>
          <cell r="BL86">
            <v>28.168942260552996</v>
          </cell>
          <cell r="BM86">
            <v>118.18857603909898</v>
          </cell>
          <cell r="BN86">
            <v>-61.575918652775044</v>
          </cell>
          <cell r="BO86">
            <v>-73.02488960026426</v>
          </cell>
          <cell r="BP86">
            <v>46.943576356582312</v>
          </cell>
          <cell r="BQ86">
            <v>30.531344142641984</v>
          </cell>
          <cell r="BR86">
            <v>26.474288634310497</v>
          </cell>
          <cell r="BS86">
            <v>28.682990293134267</v>
          </cell>
          <cell r="BT86">
            <v>31.115253617487284</v>
          </cell>
          <cell r="BU86">
            <v>33.795072044899158</v>
          </cell>
          <cell r="BZ86" t="str">
            <v>Deferred revenue</v>
          </cell>
          <cell r="CA86">
            <v>20.9</v>
          </cell>
          <cell r="CB86">
            <v>14.3</v>
          </cell>
          <cell r="CC86">
            <v>16.2</v>
          </cell>
          <cell r="CD86">
            <v>24.8</v>
          </cell>
          <cell r="CE86">
            <v>34.9</v>
          </cell>
          <cell r="CF86">
            <v>56.8</v>
          </cell>
          <cell r="CG86">
            <v>65.099999999999994</v>
          </cell>
          <cell r="CH86">
            <v>52.2</v>
          </cell>
          <cell r="CI86">
            <v>80.2</v>
          </cell>
          <cell r="CJ86">
            <v>79.2</v>
          </cell>
          <cell r="CK86">
            <v>9.0000000000000071</v>
          </cell>
          <cell r="CL86">
            <v>17.899999999999999</v>
          </cell>
          <cell r="CM86">
            <v>19.600000000000001</v>
          </cell>
          <cell r="CN86">
            <v>8.8000000000000043</v>
          </cell>
          <cell r="CO86">
            <v>20.9</v>
          </cell>
          <cell r="CP86">
            <v>66.099999999999994</v>
          </cell>
          <cell r="CQ86">
            <v>10.062614715400485</v>
          </cell>
          <cell r="CR86">
            <v>28.168942260552996</v>
          </cell>
          <cell r="CS86">
            <v>30.531344142641984</v>
          </cell>
          <cell r="CT86">
            <v>26.474288634310497</v>
          </cell>
          <cell r="CU86">
            <v>28.682990293134267</v>
          </cell>
          <cell r="CV86">
            <v>31.115253617487284</v>
          </cell>
          <cell r="CW86">
            <v>33.795072044899158</v>
          </cell>
          <cell r="CY86">
            <v>4.7889315711436495</v>
          </cell>
          <cell r="DA86" t="str">
            <v>mstag:netIncreaseInDeferredRevenue</v>
          </cell>
          <cell r="DB86">
            <v>6</v>
          </cell>
          <cell r="DC86" t="str">
            <v>ISO4217:USD</v>
          </cell>
          <cell r="DD86" t="b">
            <v>0</v>
          </cell>
        </row>
        <row r="87">
          <cell r="A87" t="str">
            <v>Unrecognized tax benefits</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8.9</v>
          </cell>
          <cell r="S87">
            <v>8.9</v>
          </cell>
          <cell r="T87">
            <v>0</v>
          </cell>
          <cell r="U87">
            <v>0</v>
          </cell>
          <cell r="V87">
            <v>0</v>
          </cell>
          <cell r="W87">
            <v>91.9</v>
          </cell>
          <cell r="X87">
            <v>91.9</v>
          </cell>
          <cell r="Y87">
            <v>0</v>
          </cell>
          <cell r="Z87">
            <v>19.3</v>
          </cell>
          <cell r="AA87">
            <v>-19.3</v>
          </cell>
          <cell r="AB87">
            <v>30.8</v>
          </cell>
          <cell r="AC87">
            <v>30.8</v>
          </cell>
          <cell r="AD87">
            <v>13.7</v>
          </cell>
          <cell r="AE87">
            <v>-9.8999999999999986</v>
          </cell>
          <cell r="AF87">
            <v>-30.6</v>
          </cell>
          <cell r="AG87">
            <v>5.7999999999999972</v>
          </cell>
          <cell r="AH87">
            <v>-21.000000000000004</v>
          </cell>
          <cell r="AI87">
            <v>8.6999999999999993</v>
          </cell>
          <cell r="AJ87">
            <v>-1.7999999999999989</v>
          </cell>
          <cell r="AK87">
            <v>14.9</v>
          </cell>
          <cell r="AL87">
            <v>8.9999999999999982</v>
          </cell>
          <cell r="AM87">
            <v>30.799999999999997</v>
          </cell>
          <cell r="AN87">
            <v>12.2</v>
          </cell>
          <cell r="AO87">
            <v>-5.7999999999999989</v>
          </cell>
          <cell r="AP87">
            <v>-6.5</v>
          </cell>
          <cell r="AQ87">
            <v>4</v>
          </cell>
          <cell r="AR87">
            <v>3.9000000000000004</v>
          </cell>
          <cell r="AS87">
            <v>-83</v>
          </cell>
          <cell r="AT87">
            <v>9.0999999999999943</v>
          </cell>
          <cell r="AU87">
            <v>12.400000000000006</v>
          </cell>
          <cell r="AV87">
            <v>12.299999999999997</v>
          </cell>
          <cell r="AW87">
            <v>-49.2</v>
          </cell>
          <cell r="AX87">
            <v>10.7</v>
          </cell>
          <cell r="AY87">
            <v>23.8</v>
          </cell>
          <cell r="AZ87">
            <v>10.299999999999997</v>
          </cell>
          <cell r="BA87">
            <v>-13.899999999999999</v>
          </cell>
          <cell r="BB87">
            <v>30.9</v>
          </cell>
          <cell r="BC87">
            <v>-5.5</v>
          </cell>
          <cell r="BD87">
            <v>11.3</v>
          </cell>
          <cell r="BE87">
            <v>0</v>
          </cell>
          <cell r="BF87">
            <v>0</v>
          </cell>
          <cell r="BG87">
            <v>5.8000000000000007</v>
          </cell>
          <cell r="BH87">
            <v>0</v>
          </cell>
          <cell r="BI87">
            <v>0</v>
          </cell>
          <cell r="BJ87">
            <v>0</v>
          </cell>
          <cell r="BK87">
            <v>0</v>
          </cell>
          <cell r="BL87">
            <v>0</v>
          </cell>
          <cell r="BM87">
            <v>0</v>
          </cell>
          <cell r="BN87">
            <v>0</v>
          </cell>
          <cell r="BO87">
            <v>0</v>
          </cell>
          <cell r="BP87">
            <v>0</v>
          </cell>
          <cell r="BQ87">
            <v>0</v>
          </cell>
          <cell r="BR87">
            <v>0</v>
          </cell>
          <cell r="BS87">
            <v>0</v>
          </cell>
          <cell r="BT87">
            <v>0</v>
          </cell>
          <cell r="BU87">
            <v>0</v>
          </cell>
          <cell r="BZ87" t="str">
            <v>Unrecognized tax benefits</v>
          </cell>
          <cell r="CA87">
            <v>0</v>
          </cell>
          <cell r="CB87">
            <v>0</v>
          </cell>
          <cell r="CC87">
            <v>0</v>
          </cell>
          <cell r="CD87">
            <v>0</v>
          </cell>
          <cell r="CE87">
            <v>0</v>
          </cell>
          <cell r="CF87">
            <v>0</v>
          </cell>
          <cell r="CG87">
            <v>0</v>
          </cell>
          <cell r="CH87">
            <v>0</v>
          </cell>
          <cell r="CI87">
            <v>8.9</v>
          </cell>
          <cell r="CJ87">
            <v>91.9</v>
          </cell>
          <cell r="CK87">
            <v>30.8</v>
          </cell>
          <cell r="CL87">
            <v>-21.000000000000004</v>
          </cell>
          <cell r="CM87">
            <v>30.799999999999997</v>
          </cell>
          <cell r="CN87">
            <v>3.9000000000000004</v>
          </cell>
          <cell r="CO87">
            <v>-49.2</v>
          </cell>
          <cell r="CP87">
            <v>30.9</v>
          </cell>
          <cell r="CQ87">
            <v>5.8000000000000007</v>
          </cell>
          <cell r="CR87">
            <v>0</v>
          </cell>
          <cell r="CS87">
            <v>0</v>
          </cell>
          <cell r="CT87">
            <v>0</v>
          </cell>
          <cell r="CU87">
            <v>0</v>
          </cell>
          <cell r="CV87">
            <v>0</v>
          </cell>
          <cell r="CW87">
            <v>0</v>
          </cell>
          <cell r="CY87">
            <v>0</v>
          </cell>
          <cell r="DA87" t="str">
            <v>mstag:netIncreaseInOtherLiabilitiesOperating</v>
          </cell>
          <cell r="DB87">
            <v>6</v>
          </cell>
          <cell r="DC87" t="str">
            <v>ISO4217:USD</v>
          </cell>
          <cell r="DD87" t="b">
            <v>0</v>
          </cell>
        </row>
        <row r="88">
          <cell r="A88" t="str">
            <v>Other liabilities</v>
          </cell>
          <cell r="C88">
            <v>-14</v>
          </cell>
          <cell r="D88">
            <v>-9.1999999999999993</v>
          </cell>
          <cell r="E88">
            <v>6.4</v>
          </cell>
          <cell r="F88">
            <v>5.0999999999999996</v>
          </cell>
          <cell r="G88">
            <v>48.2</v>
          </cell>
          <cell r="H88">
            <v>33.5</v>
          </cell>
          <cell r="I88">
            <v>-34.799999999999997</v>
          </cell>
          <cell r="J88">
            <v>4.5</v>
          </cell>
          <cell r="K88">
            <v>5.6999999999999993</v>
          </cell>
          <cell r="L88">
            <v>7.6999999999999993</v>
          </cell>
          <cell r="M88">
            <v>9.6000000000000014</v>
          </cell>
          <cell r="N88">
            <v>27.5</v>
          </cell>
          <cell r="O88">
            <v>-4.5999999999999996</v>
          </cell>
          <cell r="P88">
            <v>4.8999999999999995</v>
          </cell>
          <cell r="Q88">
            <v>2.7</v>
          </cell>
          <cell r="R88">
            <v>11.8</v>
          </cell>
          <cell r="S88">
            <v>14.8</v>
          </cell>
          <cell r="T88">
            <v>19.600000000000001</v>
          </cell>
          <cell r="U88">
            <v>39.5</v>
          </cell>
          <cell r="V88">
            <v>30.199999999999996</v>
          </cell>
          <cell r="W88">
            <v>-17.999999999999986</v>
          </cell>
          <cell r="X88">
            <v>71.300000000000011</v>
          </cell>
          <cell r="Y88">
            <v>16.600000000000001</v>
          </cell>
          <cell r="Z88">
            <v>-4.4000000000000021</v>
          </cell>
          <cell r="AA88">
            <v>37.400000000000006</v>
          </cell>
          <cell r="AB88">
            <v>1.1000000000000014</v>
          </cell>
          <cell r="AC88">
            <v>50.70000000000001</v>
          </cell>
          <cell r="AD88">
            <v>8.3000000000000007</v>
          </cell>
          <cell r="AE88">
            <v>-18.200000000000003</v>
          </cell>
          <cell r="AF88">
            <v>2.9000000000000021</v>
          </cell>
          <cell r="AG88">
            <v>27.8</v>
          </cell>
          <cell r="AH88">
            <v>20.8</v>
          </cell>
          <cell r="AI88">
            <v>9.3000000000000007</v>
          </cell>
          <cell r="AJ88">
            <v>13.7</v>
          </cell>
          <cell r="AK88">
            <v>-2</v>
          </cell>
          <cell r="AL88">
            <v>9.1000000000000014</v>
          </cell>
          <cell r="AM88">
            <v>30.1</v>
          </cell>
          <cell r="AN88">
            <v>-10.4</v>
          </cell>
          <cell r="AO88">
            <v>15</v>
          </cell>
          <cell r="AP88">
            <v>-12.6</v>
          </cell>
          <cell r="AQ88">
            <v>-13.799999999999999</v>
          </cell>
          <cell r="AR88">
            <v>-21.799999999999997</v>
          </cell>
          <cell r="AS88">
            <v>11.2</v>
          </cell>
          <cell r="AT88">
            <v>-20.5</v>
          </cell>
          <cell r="AU88">
            <v>4.7000000000000011</v>
          </cell>
          <cell r="AV88">
            <v>14.000000000000002</v>
          </cell>
          <cell r="AW88">
            <v>9.4000000000000021</v>
          </cell>
          <cell r="AX88">
            <v>20.5</v>
          </cell>
          <cell r="AY88">
            <v>-5.4</v>
          </cell>
          <cell r="AZ88">
            <v>12.500000000000002</v>
          </cell>
          <cell r="BA88">
            <v>3.2999999999999972</v>
          </cell>
          <cell r="BB88">
            <v>30.9</v>
          </cell>
          <cell r="BC88">
            <v>-4.0999999999999996</v>
          </cell>
          <cell r="BD88">
            <v>-11</v>
          </cell>
          <cell r="BE88">
            <v>0</v>
          </cell>
          <cell r="BF88">
            <v>0</v>
          </cell>
          <cell r="BG88">
            <v>-15.1</v>
          </cell>
          <cell r="BH88">
            <v>0</v>
          </cell>
          <cell r="BI88">
            <v>0</v>
          </cell>
          <cell r="BJ88">
            <v>0</v>
          </cell>
          <cell r="BK88">
            <v>0</v>
          </cell>
          <cell r="BL88">
            <v>0</v>
          </cell>
          <cell r="BM88">
            <v>0</v>
          </cell>
          <cell r="BN88">
            <v>0</v>
          </cell>
          <cell r="BO88">
            <v>0</v>
          </cell>
          <cell r="BP88">
            <v>0</v>
          </cell>
          <cell r="BQ88">
            <v>0</v>
          </cell>
          <cell r="BR88">
            <v>0</v>
          </cell>
          <cell r="BS88">
            <v>0</v>
          </cell>
          <cell r="BT88">
            <v>0</v>
          </cell>
          <cell r="BU88">
            <v>0</v>
          </cell>
          <cell r="BZ88" t="str">
            <v>Other liabilities</v>
          </cell>
          <cell r="CA88">
            <v>-14</v>
          </cell>
          <cell r="CB88">
            <v>-9.1999999999999993</v>
          </cell>
          <cell r="CC88">
            <v>6.4</v>
          </cell>
          <cell r="CD88">
            <v>5.0999999999999996</v>
          </cell>
          <cell r="CE88">
            <v>48.2</v>
          </cell>
          <cell r="CF88">
            <v>33.5</v>
          </cell>
          <cell r="CG88">
            <v>-34.799999999999997</v>
          </cell>
          <cell r="CH88">
            <v>27.5</v>
          </cell>
          <cell r="CI88">
            <v>14.8</v>
          </cell>
          <cell r="CJ88">
            <v>71.300000000000011</v>
          </cell>
          <cell r="CK88">
            <v>50.70000000000001</v>
          </cell>
          <cell r="CL88">
            <v>20.8</v>
          </cell>
          <cell r="CM88">
            <v>30.1</v>
          </cell>
          <cell r="CN88">
            <v>-21.799999999999997</v>
          </cell>
          <cell r="CO88">
            <v>9.4000000000000021</v>
          </cell>
          <cell r="CP88">
            <v>30.9</v>
          </cell>
          <cell r="CQ88">
            <v>-15.1</v>
          </cell>
          <cell r="CR88">
            <v>0</v>
          </cell>
          <cell r="CS88">
            <v>0</v>
          </cell>
          <cell r="CT88">
            <v>0</v>
          </cell>
          <cell r="CU88">
            <v>0</v>
          </cell>
          <cell r="CV88">
            <v>0</v>
          </cell>
          <cell r="CW88">
            <v>0</v>
          </cell>
          <cell r="CY88">
            <v>0</v>
          </cell>
          <cell r="DA88" t="str">
            <v>mstag:netIncreaseInOtherLiabilitiesOperating</v>
          </cell>
          <cell r="DB88">
            <v>6</v>
          </cell>
          <cell r="DC88" t="str">
            <v>ISO4217:USD</v>
          </cell>
          <cell r="DD88" t="b">
            <v>0</v>
          </cell>
        </row>
        <row r="89">
          <cell r="C89" t="str">
            <v xml:space="preserve">______ </v>
          </cell>
          <cell r="D89" t="str">
            <v xml:space="preserve">______ </v>
          </cell>
          <cell r="E89" t="str">
            <v xml:space="preserve">______ </v>
          </cell>
          <cell r="F89" t="str">
            <v xml:space="preserve">______ </v>
          </cell>
          <cell r="G89" t="str">
            <v xml:space="preserve">______ </v>
          </cell>
          <cell r="H89" t="str">
            <v xml:space="preserve">______ </v>
          </cell>
          <cell r="I89" t="str">
            <v xml:space="preserve">______ </v>
          </cell>
          <cell r="J89" t="str">
            <v xml:space="preserve">______ </v>
          </cell>
          <cell r="K89" t="str">
            <v xml:space="preserve">______ </v>
          </cell>
          <cell r="L89" t="str">
            <v xml:space="preserve">______ </v>
          </cell>
          <cell r="M89" t="str">
            <v xml:space="preserve">______ </v>
          </cell>
          <cell r="N89" t="str">
            <v xml:space="preserve">______ </v>
          </cell>
          <cell r="O89" t="str">
            <v xml:space="preserve">______ </v>
          </cell>
          <cell r="P89" t="str">
            <v xml:space="preserve">______ </v>
          </cell>
          <cell r="Q89" t="str">
            <v xml:space="preserve">______ </v>
          </cell>
          <cell r="R89" t="str">
            <v xml:space="preserve">______ </v>
          </cell>
          <cell r="S89" t="str">
            <v xml:space="preserve">______ </v>
          </cell>
          <cell r="T89" t="str">
            <v xml:space="preserve">______ </v>
          </cell>
          <cell r="U89" t="str">
            <v xml:space="preserve">______ </v>
          </cell>
          <cell r="V89" t="str">
            <v xml:space="preserve">______ </v>
          </cell>
          <cell r="W89" t="str">
            <v xml:space="preserve">______ </v>
          </cell>
          <cell r="X89" t="str">
            <v xml:space="preserve">______ </v>
          </cell>
          <cell r="Y89" t="str">
            <v xml:space="preserve">______ </v>
          </cell>
          <cell r="Z89" t="str">
            <v xml:space="preserve">______ </v>
          </cell>
          <cell r="AA89" t="str">
            <v xml:space="preserve">______ </v>
          </cell>
          <cell r="AB89" t="str">
            <v xml:space="preserve">______ </v>
          </cell>
          <cell r="AC89" t="str">
            <v xml:space="preserve">______ </v>
          </cell>
          <cell r="AD89" t="str">
            <v xml:space="preserve">______ </v>
          </cell>
          <cell r="AE89" t="str">
            <v xml:space="preserve">______ </v>
          </cell>
          <cell r="AF89" t="str">
            <v xml:space="preserve">______ </v>
          </cell>
          <cell r="AG89" t="str">
            <v xml:space="preserve">______ </v>
          </cell>
          <cell r="AH89" t="str">
            <v xml:space="preserve">______ </v>
          </cell>
          <cell r="AI89" t="str">
            <v xml:space="preserve">______ </v>
          </cell>
          <cell r="AJ89" t="str">
            <v xml:space="preserve">______ </v>
          </cell>
          <cell r="AK89" t="str">
            <v xml:space="preserve">______ </v>
          </cell>
          <cell r="AL89" t="str">
            <v xml:space="preserve">______ </v>
          </cell>
          <cell r="AM89" t="str">
            <v xml:space="preserve">______ </v>
          </cell>
          <cell r="AN89" t="str">
            <v xml:space="preserve">______ </v>
          </cell>
          <cell r="AO89" t="str">
            <v xml:space="preserve">______ </v>
          </cell>
          <cell r="AP89" t="str">
            <v xml:space="preserve">______ </v>
          </cell>
          <cell r="AQ89" t="str">
            <v xml:space="preserve">______ </v>
          </cell>
          <cell r="AR89" t="str">
            <v xml:space="preserve">______ </v>
          </cell>
          <cell r="AS89" t="str">
            <v xml:space="preserve">______ </v>
          </cell>
          <cell r="AT89" t="str">
            <v xml:space="preserve">______ </v>
          </cell>
          <cell r="AU89" t="str">
            <v xml:space="preserve">______ </v>
          </cell>
          <cell r="AV89" t="str">
            <v xml:space="preserve">______ </v>
          </cell>
          <cell r="AW89" t="str">
            <v xml:space="preserve">______ </v>
          </cell>
          <cell r="AX89" t="str">
            <v xml:space="preserve">______ </v>
          </cell>
          <cell r="AY89" t="str">
            <v xml:space="preserve">______ </v>
          </cell>
          <cell r="AZ89" t="str">
            <v xml:space="preserve">______ </v>
          </cell>
          <cell r="BA89" t="str">
            <v xml:space="preserve">______ </v>
          </cell>
          <cell r="BB89" t="str">
            <v xml:space="preserve">______ </v>
          </cell>
          <cell r="BC89" t="str">
            <v xml:space="preserve">______ </v>
          </cell>
          <cell r="BD89" t="str">
            <v xml:space="preserve">______ </v>
          </cell>
          <cell r="BE89" t="str">
            <v xml:space="preserve">______ </v>
          </cell>
          <cell r="BF89" t="str">
            <v xml:space="preserve">______ </v>
          </cell>
          <cell r="BG89" t="str">
            <v xml:space="preserve">______ </v>
          </cell>
          <cell r="BH89" t="str">
            <v xml:space="preserve">______ </v>
          </cell>
          <cell r="BI89" t="str">
            <v xml:space="preserve">______ </v>
          </cell>
          <cell r="BJ89" t="str">
            <v xml:space="preserve">______ </v>
          </cell>
          <cell r="BK89" t="str">
            <v xml:space="preserve">______ </v>
          </cell>
          <cell r="BL89" t="str">
            <v xml:space="preserve">______ </v>
          </cell>
          <cell r="BM89" t="str">
            <v xml:space="preserve">______ </v>
          </cell>
          <cell r="BN89" t="str">
            <v xml:space="preserve">______ </v>
          </cell>
          <cell r="BO89" t="str">
            <v xml:space="preserve">______ </v>
          </cell>
          <cell r="BP89" t="str">
            <v xml:space="preserve">______ </v>
          </cell>
          <cell r="BQ89" t="str">
            <v xml:space="preserve">______ </v>
          </cell>
          <cell r="BR89" t="str">
            <v xml:space="preserve">______ </v>
          </cell>
          <cell r="BS89" t="str">
            <v xml:space="preserve">______ </v>
          </cell>
          <cell r="BT89" t="str">
            <v xml:space="preserve">______ </v>
          </cell>
          <cell r="BU89" t="str">
            <v xml:space="preserve">______ </v>
          </cell>
        </row>
        <row r="90">
          <cell r="A90" t="str">
            <v>Cash From Operating Activities</v>
          </cell>
          <cell r="C90">
            <v>167.60000000000014</v>
          </cell>
          <cell r="D90">
            <v>197.70000000000005</v>
          </cell>
          <cell r="E90">
            <v>67.600000000000065</v>
          </cell>
          <cell r="F90">
            <v>321.40000000000003</v>
          </cell>
          <cell r="G90">
            <v>334.8</v>
          </cell>
          <cell r="H90">
            <v>468.40000000000026</v>
          </cell>
          <cell r="I90">
            <v>526.20000000000027</v>
          </cell>
          <cell r="J90">
            <v>153.5</v>
          </cell>
          <cell r="K90">
            <v>192.09999999999997</v>
          </cell>
          <cell r="L90">
            <v>200.6999999999999</v>
          </cell>
          <cell r="M90">
            <v>161.59999999999994</v>
          </cell>
          <cell r="N90">
            <v>707.89999999999986</v>
          </cell>
          <cell r="O90">
            <v>140.10000000000005</v>
          </cell>
          <cell r="P90">
            <v>182.5</v>
          </cell>
          <cell r="Q90">
            <v>246.59999999999997</v>
          </cell>
          <cell r="R90">
            <v>183.2999999999999</v>
          </cell>
          <cell r="S90">
            <v>752.49999999999989</v>
          </cell>
          <cell r="T90">
            <v>185.29999999999998</v>
          </cell>
          <cell r="U90">
            <v>291.19999999999993</v>
          </cell>
          <cell r="V90">
            <v>293.09999999999991</v>
          </cell>
          <cell r="W90">
            <v>214.39999999999998</v>
          </cell>
          <cell r="X90">
            <v>983.99999999999977</v>
          </cell>
          <cell r="Y90">
            <v>184.89999999999998</v>
          </cell>
          <cell r="Z90">
            <v>63.799999999999969</v>
          </cell>
          <cell r="AA90">
            <v>151.70000000000005</v>
          </cell>
          <cell r="AB90">
            <v>134.30000000000001</v>
          </cell>
          <cell r="AC90">
            <v>534.70000000000005</v>
          </cell>
          <cell r="AD90">
            <v>194.99999999999994</v>
          </cell>
          <cell r="AE90">
            <v>129.49999999999989</v>
          </cell>
          <cell r="AF90">
            <v>132.10000000000002</v>
          </cell>
          <cell r="AG90">
            <v>187.19999999999987</v>
          </cell>
          <cell r="AH90">
            <v>643.79999999999984</v>
          </cell>
          <cell r="AI90">
            <v>164.10000000000002</v>
          </cell>
          <cell r="AJ90">
            <v>139.89999999999995</v>
          </cell>
          <cell r="AK90">
            <v>170.70000000000005</v>
          </cell>
          <cell r="AL90">
            <v>178.60000000000008</v>
          </cell>
          <cell r="AM90">
            <v>653.30000000000007</v>
          </cell>
          <cell r="AN90">
            <v>200.90000000000012</v>
          </cell>
          <cell r="AO90">
            <v>244.99999999999997</v>
          </cell>
          <cell r="AP90">
            <v>220.39999999999995</v>
          </cell>
          <cell r="AQ90">
            <v>137.00000000000017</v>
          </cell>
          <cell r="AR90">
            <v>803.3000000000003</v>
          </cell>
          <cell r="AS90">
            <v>62.000000000000057</v>
          </cell>
          <cell r="AT90">
            <v>173.49999999999986</v>
          </cell>
          <cell r="AU90">
            <v>260.49999999999989</v>
          </cell>
          <cell r="AV90">
            <v>327.10000000000014</v>
          </cell>
          <cell r="AW90">
            <v>823.1</v>
          </cell>
          <cell r="AX90">
            <v>202.60000000000008</v>
          </cell>
          <cell r="AY90">
            <v>166.5</v>
          </cell>
          <cell r="AZ90">
            <v>284.40000000000009</v>
          </cell>
          <cell r="BA90">
            <v>273.3</v>
          </cell>
          <cell r="BB90">
            <v>926.80000000000018</v>
          </cell>
          <cell r="BC90">
            <v>177.20000000000007</v>
          </cell>
          <cell r="BD90">
            <v>280.80000000000007</v>
          </cell>
          <cell r="BE90">
            <v>247.26374280276411</v>
          </cell>
          <cell r="BF90">
            <v>348.06658461302197</v>
          </cell>
          <cell r="BG90">
            <v>1053.3303274157863</v>
          </cell>
          <cell r="BH90">
            <v>95.44406098830197</v>
          </cell>
          <cell r="BI90">
            <v>303.50066271261909</v>
          </cell>
          <cell r="BJ90">
            <v>218.00859418659081</v>
          </cell>
          <cell r="BK90">
            <v>364.45368693009164</v>
          </cell>
          <cell r="BL90">
            <v>981.40700481760359</v>
          </cell>
          <cell r="BM90">
            <v>95.788063884821582</v>
          </cell>
          <cell r="BN90">
            <v>314.93231407448491</v>
          </cell>
          <cell r="BO90">
            <v>226.94382181411558</v>
          </cell>
          <cell r="BP90">
            <v>381.85710735146927</v>
          </cell>
          <cell r="BQ90">
            <v>1019.5213071248913</v>
          </cell>
          <cell r="BR90">
            <v>1060.0754579499876</v>
          </cell>
          <cell r="BS90">
            <v>1107.0777065272166</v>
          </cell>
          <cell r="BT90">
            <v>1158.3294969026754</v>
          </cell>
          <cell r="BU90">
            <v>1214.2850867725535</v>
          </cell>
          <cell r="BZ90" t="str">
            <v>Cash From Operating Activities</v>
          </cell>
          <cell r="CA90">
            <v>167.60000000000014</v>
          </cell>
          <cell r="CB90">
            <v>197.70000000000005</v>
          </cell>
          <cell r="CC90">
            <v>67.600000000000065</v>
          </cell>
          <cell r="CD90">
            <v>321.40000000000003</v>
          </cell>
          <cell r="CE90">
            <v>334.8</v>
          </cell>
          <cell r="CF90">
            <v>468.40000000000026</v>
          </cell>
          <cell r="CG90">
            <v>526.20000000000027</v>
          </cell>
          <cell r="CH90">
            <v>707.89999999999986</v>
          </cell>
          <cell r="CI90">
            <v>752.49999999999989</v>
          </cell>
          <cell r="CJ90">
            <v>983.99999999999977</v>
          </cell>
          <cell r="CK90">
            <v>534.70000000000005</v>
          </cell>
          <cell r="CL90">
            <v>643.79999999999984</v>
          </cell>
          <cell r="CM90">
            <v>653.30000000000007</v>
          </cell>
          <cell r="CN90">
            <v>803.3000000000003</v>
          </cell>
          <cell r="CO90">
            <v>823.1</v>
          </cell>
          <cell r="CP90">
            <v>926.80000000000018</v>
          </cell>
          <cell r="CQ90">
            <v>1053.3303274157863</v>
          </cell>
          <cell r="CR90">
            <v>981.40700481760359</v>
          </cell>
          <cell r="CS90">
            <v>1019.5213071248913</v>
          </cell>
          <cell r="CT90">
            <v>1060.0754579499876</v>
          </cell>
          <cell r="CU90">
            <v>1107.0777065272166</v>
          </cell>
          <cell r="CV90">
            <v>1158.3294969026754</v>
          </cell>
          <cell r="CW90">
            <v>1214.2850867725535</v>
          </cell>
          <cell r="CY90">
            <v>994.27505111670712</v>
          </cell>
        </row>
        <row r="92">
          <cell r="A92" t="str">
            <v>Cash From Investing Activities</v>
          </cell>
          <cell r="BZ92" t="str">
            <v>Cash From Investing Activities</v>
          </cell>
        </row>
        <row r="93">
          <cell r="A93" t="str">
            <v>Capital additions</v>
          </cell>
          <cell r="C93">
            <v>-12.4</v>
          </cell>
          <cell r="D93">
            <v>-12.9</v>
          </cell>
          <cell r="E93">
            <v>-14.4</v>
          </cell>
          <cell r="F93">
            <v>-14.8</v>
          </cell>
          <cell r="G93">
            <v>-18.100000000000001</v>
          </cell>
          <cell r="H93">
            <v>-17.899999999999999</v>
          </cell>
          <cell r="I93">
            <v>-21.3</v>
          </cell>
          <cell r="J93">
            <v>-5.5</v>
          </cell>
          <cell r="K93">
            <v>-6.1999999999999993</v>
          </cell>
          <cell r="L93">
            <v>-6.9000000000000021</v>
          </cell>
          <cell r="M93">
            <v>-12.7</v>
          </cell>
          <cell r="N93">
            <v>-31.3</v>
          </cell>
          <cell r="O93">
            <v>-6.7</v>
          </cell>
          <cell r="P93">
            <v>-6.2</v>
          </cell>
          <cell r="Q93">
            <v>-8.2999999999999989</v>
          </cell>
          <cell r="R93">
            <v>-9.9000000000000021</v>
          </cell>
          <cell r="S93">
            <v>-31.1</v>
          </cell>
          <cell r="T93">
            <v>-33.1</v>
          </cell>
          <cell r="U93">
            <v>-60.199999999999996</v>
          </cell>
          <cell r="V93">
            <v>-52.500000000000014</v>
          </cell>
          <cell r="W93">
            <v>-36</v>
          </cell>
          <cell r="X93">
            <v>-181.8</v>
          </cell>
          <cell r="Y93">
            <v>-19.100000000000001</v>
          </cell>
          <cell r="Z93">
            <v>-24.9</v>
          </cell>
          <cell r="AA93">
            <v>-21.400000000000006</v>
          </cell>
          <cell r="AB93">
            <v>-19</v>
          </cell>
          <cell r="AC93">
            <v>-84.4</v>
          </cell>
          <cell r="AD93">
            <v>-12.4</v>
          </cell>
          <cell r="AE93">
            <v>-22.4</v>
          </cell>
          <cell r="AF93">
            <v>-29.5</v>
          </cell>
          <cell r="AG93">
            <v>-26.4</v>
          </cell>
          <cell r="AH93">
            <v>-90.699999999999989</v>
          </cell>
          <cell r="AI93">
            <v>-16.2</v>
          </cell>
          <cell r="AJ93">
            <v>-19.099999999999998</v>
          </cell>
          <cell r="AK93">
            <v>-19.300000000000008</v>
          </cell>
          <cell r="AL93">
            <v>-24.399999999999995</v>
          </cell>
          <cell r="AM93">
            <v>-79</v>
          </cell>
          <cell r="AN93">
            <v>-19.600000000000001</v>
          </cell>
          <cell r="AO93">
            <v>-16</v>
          </cell>
          <cell r="AP93">
            <v>-18</v>
          </cell>
          <cell r="AQ93">
            <v>-14.100000000000001</v>
          </cell>
          <cell r="AR93">
            <v>-67.7</v>
          </cell>
          <cell r="AS93">
            <v>-15.3</v>
          </cell>
          <cell r="AT93">
            <v>-6.5999999999999979</v>
          </cell>
          <cell r="AU93">
            <v>-13.300000000000004</v>
          </cell>
          <cell r="AV93">
            <v>-9.7999999999999972</v>
          </cell>
          <cell r="AW93">
            <v>-45</v>
          </cell>
          <cell r="AX93">
            <v>-8.6</v>
          </cell>
          <cell r="AY93">
            <v>-9.5000000000000018</v>
          </cell>
          <cell r="AZ93">
            <v>-12.899999999999999</v>
          </cell>
          <cell r="BA93">
            <v>-11.299999999999999</v>
          </cell>
          <cell r="BB93">
            <v>-42.3</v>
          </cell>
          <cell r="BC93">
            <v>-19.100000000000001</v>
          </cell>
          <cell r="BD93">
            <v>-19.699999999999996</v>
          </cell>
          <cell r="BE93">
            <v>-14.3044364</v>
          </cell>
          <cell r="BF93">
            <v>-15.85647558109091</v>
          </cell>
          <cell r="BG93">
            <v>-68.960911981090902</v>
          </cell>
          <cell r="BH93">
            <v>-15.569072933920001</v>
          </cell>
          <cell r="BI93">
            <v>-17.596569795080001</v>
          </cell>
          <cell r="BJ93">
            <v>-14.954435946579997</v>
          </cell>
          <cell r="BK93">
            <v>-16.590073168304244</v>
          </cell>
          <cell r="BL93">
            <v>-64.710151843884233</v>
          </cell>
          <cell r="BM93">
            <v>-16.263996801379598</v>
          </cell>
          <cell r="BN93">
            <v>-18.332775226791203</v>
          </cell>
          <cell r="BO93">
            <v>-15.656961688524953</v>
          </cell>
          <cell r="BP93">
            <v>-17.385194269773049</v>
          </cell>
          <cell r="BQ93">
            <v>-67.638927986468801</v>
          </cell>
          <cell r="BR93">
            <v>-70.3213606073178</v>
          </cell>
          <cell r="BS93">
            <v>-73.22758369374607</v>
          </cell>
          <cell r="BT93">
            <v>-76.380249000921424</v>
          </cell>
          <cell r="BU93">
            <v>-79.804439351392034</v>
          </cell>
          <cell r="BZ93" t="str">
            <v>Capital additions</v>
          </cell>
          <cell r="CA93">
            <v>-12.4</v>
          </cell>
          <cell r="CB93">
            <v>-12.9</v>
          </cell>
          <cell r="CC93">
            <v>-14.4</v>
          </cell>
          <cell r="CD93">
            <v>-14.8</v>
          </cell>
          <cell r="CE93">
            <v>-18.100000000000001</v>
          </cell>
          <cell r="CF93">
            <v>-17.899999999999999</v>
          </cell>
          <cell r="CG93">
            <v>-21.3</v>
          </cell>
          <cell r="CH93">
            <v>-31.3</v>
          </cell>
          <cell r="CI93">
            <v>-31.1</v>
          </cell>
          <cell r="CJ93">
            <v>-181.8</v>
          </cell>
          <cell r="CK93">
            <v>-84.4</v>
          </cell>
          <cell r="CL93">
            <v>-90.699999999999989</v>
          </cell>
          <cell r="CM93">
            <v>-79</v>
          </cell>
          <cell r="CN93">
            <v>-67.7</v>
          </cell>
          <cell r="CO93">
            <v>-45</v>
          </cell>
          <cell r="CP93">
            <v>-42.3</v>
          </cell>
          <cell r="CQ93">
            <v>-68.960911981090902</v>
          </cell>
          <cell r="CR93">
            <v>-64.710151843884233</v>
          </cell>
          <cell r="CS93">
            <v>-67.638927986468801</v>
          </cell>
          <cell r="CT93">
            <v>-70.3213606073178</v>
          </cell>
          <cell r="CU93">
            <v>-73.22758369374607</v>
          </cell>
          <cell r="CV93">
            <v>-76.380249000921424</v>
          </cell>
          <cell r="CW93">
            <v>-79.804439351392034</v>
          </cell>
          <cell r="CY93">
            <v>-63.326554710090917</v>
          </cell>
          <cell r="DA93" t="str">
            <v>mstag:capitalExpenditures</v>
          </cell>
          <cell r="DB93">
            <v>6</v>
          </cell>
          <cell r="DC93" t="str">
            <v>ISO4217:USD</v>
          </cell>
          <cell r="DD93" t="b">
            <v>1</v>
          </cell>
        </row>
        <row r="94">
          <cell r="A94" t="str">
            <v>Purchases of short-term investments</v>
          </cell>
          <cell r="C94">
            <v>0</v>
          </cell>
          <cell r="D94">
            <v>0</v>
          </cell>
          <cell r="E94">
            <v>0</v>
          </cell>
          <cell r="F94">
            <v>0</v>
          </cell>
          <cell r="G94">
            <v>0</v>
          </cell>
          <cell r="H94">
            <v>0</v>
          </cell>
          <cell r="I94">
            <v>-22.2</v>
          </cell>
          <cell r="J94">
            <v>0</v>
          </cell>
          <cell r="K94">
            <v>-13</v>
          </cell>
          <cell r="L94">
            <v>-127.69999999999999</v>
          </cell>
          <cell r="M94">
            <v>-183.7</v>
          </cell>
          <cell r="N94">
            <v>-324.39999999999998</v>
          </cell>
          <cell r="O94">
            <v>-229.1</v>
          </cell>
          <cell r="P94">
            <v>-109.70000000000002</v>
          </cell>
          <cell r="Q94">
            <v>-8.6999999999999886</v>
          </cell>
          <cell r="R94">
            <v>-66.5</v>
          </cell>
          <cell r="S94">
            <v>-414</v>
          </cell>
          <cell r="T94">
            <v>-172.4</v>
          </cell>
          <cell r="U94">
            <v>-5.2999999999999829</v>
          </cell>
          <cell r="V94">
            <v>9.9999999999994316E-2</v>
          </cell>
          <cell r="W94">
            <v>-13.800000000000011</v>
          </cell>
          <cell r="X94">
            <v>-191.4</v>
          </cell>
          <cell r="Y94">
            <v>0</v>
          </cell>
          <cell r="Z94">
            <v>-6.1</v>
          </cell>
          <cell r="AA94">
            <v>-0.80000000000000071</v>
          </cell>
          <cell r="AB94">
            <v>-3.4000000000000004</v>
          </cell>
          <cell r="AC94">
            <v>-10.3</v>
          </cell>
          <cell r="AD94">
            <v>-0.3</v>
          </cell>
          <cell r="AE94">
            <v>-1.9999999999999998</v>
          </cell>
          <cell r="AF94">
            <v>-8.3999999999999986</v>
          </cell>
          <cell r="AG94">
            <v>-6.9000000000000021</v>
          </cell>
          <cell r="AH94">
            <v>-17.600000000000001</v>
          </cell>
          <cell r="AI94">
            <v>-7.3</v>
          </cell>
          <cell r="AJ94">
            <v>-7.0000000000000009</v>
          </cell>
          <cell r="AK94">
            <v>-9.6999999999999993</v>
          </cell>
          <cell r="AL94">
            <v>-2.1999999999999993</v>
          </cell>
          <cell r="AM94">
            <v>-26.2</v>
          </cell>
          <cell r="AN94">
            <v>-5.7</v>
          </cell>
          <cell r="AO94">
            <v>-10.900000000000002</v>
          </cell>
          <cell r="AP94">
            <v>-12.299999999999997</v>
          </cell>
          <cell r="AQ94">
            <v>-14.399999999999995</v>
          </cell>
          <cell r="AR94">
            <v>-43.3</v>
          </cell>
          <cell r="AS94">
            <v>-13</v>
          </cell>
          <cell r="AT94">
            <v>-11.7</v>
          </cell>
          <cell r="AU94">
            <v>-23.099999999999998</v>
          </cell>
          <cell r="AV94">
            <v>-8.4000000000000057</v>
          </cell>
          <cell r="AW94">
            <v>-56.2</v>
          </cell>
          <cell r="AX94">
            <v>-5.6</v>
          </cell>
          <cell r="AY94">
            <v>-11.9</v>
          </cell>
          <cell r="AZ94">
            <v>-197.7</v>
          </cell>
          <cell r="BA94">
            <v>-10.700000000000019</v>
          </cell>
          <cell r="BB94">
            <v>-225.9</v>
          </cell>
          <cell r="BC94">
            <v>-4.3</v>
          </cell>
          <cell r="BD94">
            <v>-35.5</v>
          </cell>
          <cell r="BE94">
            <v>0</v>
          </cell>
          <cell r="BF94">
            <v>0</v>
          </cell>
          <cell r="BG94">
            <v>-39.799999999999997</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Z94" t="str">
            <v>Purchases of short-term investments</v>
          </cell>
          <cell r="CA94">
            <v>0</v>
          </cell>
          <cell r="CB94">
            <v>0</v>
          </cell>
          <cell r="CC94">
            <v>0</v>
          </cell>
          <cell r="CD94">
            <v>0</v>
          </cell>
          <cell r="CE94">
            <v>0</v>
          </cell>
          <cell r="CF94">
            <v>0</v>
          </cell>
          <cell r="CG94">
            <v>-22.2</v>
          </cell>
          <cell r="CH94">
            <v>-324.39999999999998</v>
          </cell>
          <cell r="CI94">
            <v>-414</v>
          </cell>
          <cell r="CJ94">
            <v>-191.4</v>
          </cell>
          <cell r="CK94">
            <v>-10.3</v>
          </cell>
          <cell r="CL94">
            <v>-17.600000000000001</v>
          </cell>
          <cell r="CM94">
            <v>-26.2</v>
          </cell>
          <cell r="CN94">
            <v>-43.3</v>
          </cell>
          <cell r="CO94">
            <v>-56.2</v>
          </cell>
          <cell r="CP94">
            <v>-225.9</v>
          </cell>
          <cell r="CQ94">
            <v>-39.799999999999997</v>
          </cell>
          <cell r="CR94">
            <v>0</v>
          </cell>
          <cell r="CS94">
            <v>0</v>
          </cell>
          <cell r="CT94">
            <v>0</v>
          </cell>
          <cell r="CU94">
            <v>0</v>
          </cell>
          <cell r="CV94">
            <v>0</v>
          </cell>
          <cell r="CW94">
            <v>0</v>
          </cell>
          <cell r="CY94">
            <v>0</v>
          </cell>
          <cell r="DA94" t="str">
            <v>mstag:proceedsFromSaleOfFundsUsedTopurchaseSecuritiesAndOtherInvestments</v>
          </cell>
          <cell r="DB94">
            <v>6</v>
          </cell>
          <cell r="DC94" t="str">
            <v>ISO4217:USD</v>
          </cell>
          <cell r="DD94" t="b">
            <v>0</v>
          </cell>
        </row>
        <row r="95">
          <cell r="A95" t="str">
            <v>Sales and maturities of short-term investments</v>
          </cell>
          <cell r="C95">
            <v>0</v>
          </cell>
          <cell r="D95">
            <v>0</v>
          </cell>
          <cell r="E95">
            <v>0</v>
          </cell>
          <cell r="F95">
            <v>0</v>
          </cell>
          <cell r="G95">
            <v>0</v>
          </cell>
          <cell r="H95">
            <v>0</v>
          </cell>
          <cell r="I95">
            <v>15.7</v>
          </cell>
          <cell r="J95">
            <v>3</v>
          </cell>
          <cell r="K95">
            <v>6.1</v>
          </cell>
          <cell r="L95">
            <v>54.999999999999993</v>
          </cell>
          <cell r="M95">
            <v>171.4</v>
          </cell>
          <cell r="N95">
            <v>235.5</v>
          </cell>
          <cell r="O95">
            <v>215.4</v>
          </cell>
          <cell r="P95">
            <v>213.70000000000002</v>
          </cell>
          <cell r="Q95">
            <v>2.7999999999999545</v>
          </cell>
          <cell r="R95">
            <v>4.6000000000000227</v>
          </cell>
          <cell r="S95">
            <v>436.5</v>
          </cell>
          <cell r="T95">
            <v>237.3</v>
          </cell>
          <cell r="U95">
            <v>2.3999999999999773</v>
          </cell>
          <cell r="V95">
            <v>8.8000000000000114</v>
          </cell>
          <cell r="W95">
            <v>4.4000000000000057</v>
          </cell>
          <cell r="X95">
            <v>252.9</v>
          </cell>
          <cell r="Y95">
            <v>4</v>
          </cell>
          <cell r="Z95">
            <v>2.9000000000000004</v>
          </cell>
          <cell r="AA95">
            <v>4.1999999999999993</v>
          </cell>
          <cell r="AB95">
            <v>4.8000000000000007</v>
          </cell>
          <cell r="AC95">
            <v>15.9</v>
          </cell>
          <cell r="AD95">
            <v>0</v>
          </cell>
          <cell r="AE95">
            <v>4.4000000000000004</v>
          </cell>
          <cell r="AF95">
            <v>7.1</v>
          </cell>
          <cell r="AG95">
            <v>3.9000000000000004</v>
          </cell>
          <cell r="AH95">
            <v>15.4</v>
          </cell>
          <cell r="AI95">
            <v>9.9</v>
          </cell>
          <cell r="AJ95">
            <v>6.4</v>
          </cell>
          <cell r="AK95">
            <v>7.3000000000000007</v>
          </cell>
          <cell r="AL95">
            <v>1.3999999999999986</v>
          </cell>
          <cell r="AM95">
            <v>25</v>
          </cell>
          <cell r="AN95">
            <v>12</v>
          </cell>
          <cell r="AO95">
            <v>6.8999999999999986</v>
          </cell>
          <cell r="AP95">
            <v>8.4000000000000021</v>
          </cell>
          <cell r="AQ95">
            <v>13.599999999999998</v>
          </cell>
          <cell r="AR95">
            <v>40.9</v>
          </cell>
          <cell r="AS95">
            <v>14.7</v>
          </cell>
          <cell r="AT95">
            <v>9.5</v>
          </cell>
          <cell r="AU95">
            <v>16.2</v>
          </cell>
          <cell r="AV95">
            <v>14.099999999999998</v>
          </cell>
          <cell r="AW95">
            <v>54.5</v>
          </cell>
          <cell r="AX95">
            <v>11.4</v>
          </cell>
          <cell r="AY95">
            <v>5.2000000000000011</v>
          </cell>
          <cell r="AZ95">
            <v>6.7999999999999972</v>
          </cell>
          <cell r="BA95">
            <v>33.6</v>
          </cell>
          <cell r="BB95">
            <v>57</v>
          </cell>
          <cell r="BC95">
            <v>13.8</v>
          </cell>
          <cell r="BD95">
            <v>31.900000000000002</v>
          </cell>
          <cell r="BE95">
            <v>0</v>
          </cell>
          <cell r="BF95">
            <v>0</v>
          </cell>
          <cell r="BG95">
            <v>45.7</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Z95" t="str">
            <v>Sales and maturities of short-term investments</v>
          </cell>
          <cell r="CA95">
            <v>0</v>
          </cell>
          <cell r="CB95">
            <v>0</v>
          </cell>
          <cell r="CC95">
            <v>0</v>
          </cell>
          <cell r="CD95">
            <v>0</v>
          </cell>
          <cell r="CE95">
            <v>0</v>
          </cell>
          <cell r="CF95">
            <v>0</v>
          </cell>
          <cell r="CG95">
            <v>15.7</v>
          </cell>
          <cell r="CH95">
            <v>235.5</v>
          </cell>
          <cell r="CI95">
            <v>436.5</v>
          </cell>
          <cell r="CJ95">
            <v>252.9</v>
          </cell>
          <cell r="CK95">
            <v>15.9</v>
          </cell>
          <cell r="CL95">
            <v>15.4</v>
          </cell>
          <cell r="CM95">
            <v>25</v>
          </cell>
          <cell r="CN95">
            <v>40.9</v>
          </cell>
          <cell r="CO95">
            <v>54.5</v>
          </cell>
          <cell r="CP95">
            <v>57</v>
          </cell>
          <cell r="CQ95">
            <v>45.7</v>
          </cell>
          <cell r="CR95">
            <v>0</v>
          </cell>
          <cell r="CS95">
            <v>0</v>
          </cell>
          <cell r="CT95">
            <v>0</v>
          </cell>
          <cell r="CU95">
            <v>0</v>
          </cell>
          <cell r="CV95">
            <v>0</v>
          </cell>
          <cell r="CW95">
            <v>0</v>
          </cell>
          <cell r="CY95">
            <v>0</v>
          </cell>
          <cell r="DA95" t="str">
            <v>mstag:proceedsFromSaleOfFundsUsedTopurchaseSecuritiesAndOtherInvestments</v>
          </cell>
          <cell r="DB95">
            <v>6</v>
          </cell>
          <cell r="DC95" t="str">
            <v>ISO4217:USD</v>
          </cell>
          <cell r="DD95" t="b">
            <v>0</v>
          </cell>
        </row>
        <row r="96">
          <cell r="A96" t="str">
            <v>Cash paid for acquisitions, net of cash acquired</v>
          </cell>
          <cell r="C96">
            <v>-1.5</v>
          </cell>
          <cell r="D96">
            <v>0</v>
          </cell>
          <cell r="E96">
            <v>-17.399999999999999</v>
          </cell>
          <cell r="F96">
            <v>-15.2</v>
          </cell>
          <cell r="G96">
            <v>-205.7</v>
          </cell>
          <cell r="H96">
            <v>0.8</v>
          </cell>
          <cell r="I96">
            <v>-3.5</v>
          </cell>
          <cell r="J96">
            <v>0</v>
          </cell>
          <cell r="K96">
            <v>-3.9</v>
          </cell>
          <cell r="L96">
            <v>0</v>
          </cell>
          <cell r="M96">
            <v>-26.3</v>
          </cell>
          <cell r="N96">
            <v>-30.2</v>
          </cell>
          <cell r="O96">
            <v>-2</v>
          </cell>
          <cell r="P96">
            <v>0</v>
          </cell>
          <cell r="Q96">
            <v>-12.7</v>
          </cell>
          <cell r="R96">
            <v>-24.500000000000004</v>
          </cell>
          <cell r="S96">
            <v>-39.200000000000003</v>
          </cell>
          <cell r="T96">
            <v>-3.4</v>
          </cell>
          <cell r="U96">
            <v>-1.6999999999999997</v>
          </cell>
          <cell r="V96">
            <v>0.79999999999999982</v>
          </cell>
          <cell r="W96">
            <v>-0.10000000000000053</v>
          </cell>
          <cell r="X96">
            <v>-4.4000000000000004</v>
          </cell>
          <cell r="Y96">
            <v>-38.5</v>
          </cell>
          <cell r="Z96">
            <v>-0.10000000000000142</v>
          </cell>
          <cell r="AA96">
            <v>-0.60000000000000142</v>
          </cell>
          <cell r="AB96">
            <v>-202.2</v>
          </cell>
          <cell r="AC96">
            <v>-241.39999999999998</v>
          </cell>
          <cell r="AD96">
            <v>-0.9</v>
          </cell>
          <cell r="AE96">
            <v>0</v>
          </cell>
          <cell r="AF96">
            <v>0</v>
          </cell>
          <cell r="AG96">
            <v>0</v>
          </cell>
          <cell r="AH96">
            <v>-0.9</v>
          </cell>
          <cell r="AI96">
            <v>0</v>
          </cell>
          <cell r="AJ96">
            <v>0</v>
          </cell>
          <cell r="AK96">
            <v>0</v>
          </cell>
          <cell r="AL96">
            <v>-148.6</v>
          </cell>
          <cell r="AM96">
            <v>-148.6</v>
          </cell>
          <cell r="AN96">
            <v>0</v>
          </cell>
          <cell r="AO96">
            <v>-7.1</v>
          </cell>
          <cell r="AP96">
            <v>-3</v>
          </cell>
          <cell r="AQ96">
            <v>-187.4</v>
          </cell>
          <cell r="AR96">
            <v>-197.5</v>
          </cell>
          <cell r="AS96">
            <v>0</v>
          </cell>
          <cell r="AT96">
            <v>-3.5</v>
          </cell>
          <cell r="AU96">
            <v>0</v>
          </cell>
          <cell r="AV96">
            <v>0</v>
          </cell>
          <cell r="AW96">
            <v>-3.5</v>
          </cell>
          <cell r="AX96">
            <v>0</v>
          </cell>
          <cell r="AY96">
            <v>0</v>
          </cell>
          <cell r="AZ96">
            <v>0</v>
          </cell>
          <cell r="BA96">
            <v>-50.7</v>
          </cell>
          <cell r="BB96">
            <v>-50.7</v>
          </cell>
          <cell r="BC96">
            <v>-72.599999999999994</v>
          </cell>
          <cell r="BD96">
            <v>-7.9000000000000057</v>
          </cell>
          <cell r="BE96">
            <v>0</v>
          </cell>
          <cell r="BF96">
            <v>0</v>
          </cell>
          <cell r="BG96">
            <v>-80.5</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Z96" t="str">
            <v>Cash paid for acquisitions, net of cash acquired</v>
          </cell>
          <cell r="CA96">
            <v>-1.5</v>
          </cell>
          <cell r="CB96">
            <v>0</v>
          </cell>
          <cell r="CC96">
            <v>-17.399999999999999</v>
          </cell>
          <cell r="CD96">
            <v>-15.2</v>
          </cell>
          <cell r="CE96">
            <v>-205.7</v>
          </cell>
          <cell r="CF96">
            <v>0.8</v>
          </cell>
          <cell r="CG96">
            <v>-3.5</v>
          </cell>
          <cell r="CH96">
            <v>-30.2</v>
          </cell>
          <cell r="CI96">
            <v>-39.200000000000003</v>
          </cell>
          <cell r="CJ96">
            <v>-4.4000000000000004</v>
          </cell>
          <cell r="CK96">
            <v>-241.39999999999998</v>
          </cell>
          <cell r="CL96">
            <v>-0.9</v>
          </cell>
          <cell r="CM96">
            <v>-148.6</v>
          </cell>
          <cell r="CN96">
            <v>-197.5</v>
          </cell>
          <cell r="CO96">
            <v>-3.5</v>
          </cell>
          <cell r="CP96">
            <v>-50.7</v>
          </cell>
          <cell r="CQ96">
            <v>-80.5</v>
          </cell>
          <cell r="CR96">
            <v>0</v>
          </cell>
          <cell r="CS96">
            <v>0</v>
          </cell>
          <cell r="CT96">
            <v>0</v>
          </cell>
          <cell r="CU96">
            <v>0</v>
          </cell>
          <cell r="CV96">
            <v>0</v>
          </cell>
          <cell r="CW96">
            <v>0</v>
          </cell>
          <cell r="CY96">
            <v>0</v>
          </cell>
          <cell r="DA96" t="str">
            <v>mstag:netDisposalsAcquisitions</v>
          </cell>
          <cell r="DB96">
            <v>6</v>
          </cell>
          <cell r="DC96" t="str">
            <v>ISO4217:USD</v>
          </cell>
          <cell r="DD96" t="b">
            <v>0</v>
          </cell>
        </row>
        <row r="97">
          <cell r="A97" t="str">
            <v xml:space="preserve">Net proceeds from sale of building </v>
          </cell>
          <cell r="C97">
            <v>26.5</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163.9</v>
          </cell>
          <cell r="S97">
            <v>163.9</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Z97" t="str">
            <v xml:space="preserve">Net proceeds from sale of building </v>
          </cell>
          <cell r="CA97">
            <v>26.5</v>
          </cell>
          <cell r="CB97">
            <v>0</v>
          </cell>
          <cell r="CC97">
            <v>0</v>
          </cell>
          <cell r="CD97">
            <v>0</v>
          </cell>
          <cell r="CE97">
            <v>0</v>
          </cell>
          <cell r="CF97">
            <v>0</v>
          </cell>
          <cell r="CG97">
            <v>0</v>
          </cell>
          <cell r="CH97">
            <v>0</v>
          </cell>
          <cell r="CI97">
            <v>163.9</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Y97">
            <v>0</v>
          </cell>
          <cell r="DA97" t="str">
            <v>mstag:proceedsFromSaleOfppeAndIntangibleAssetsOnetime</v>
          </cell>
          <cell r="DB97">
            <v>6</v>
          </cell>
          <cell r="DC97" t="str">
            <v>ISO4217:USD</v>
          </cell>
          <cell r="DD97" t="b">
            <v>0</v>
          </cell>
        </row>
        <row r="98">
          <cell r="A98" t="str">
            <v>Insurance recovery</v>
          </cell>
          <cell r="C98">
            <v>0.5</v>
          </cell>
          <cell r="D98">
            <v>0.9</v>
          </cell>
          <cell r="E98">
            <v>-1.8</v>
          </cell>
          <cell r="F98">
            <v>0</v>
          </cell>
          <cell r="G98">
            <v>0.2</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0.9</v>
          </cell>
          <cell r="Z98">
            <v>0</v>
          </cell>
          <cell r="AA98">
            <v>0</v>
          </cell>
          <cell r="AB98">
            <v>0</v>
          </cell>
          <cell r="AC98">
            <v>0.9</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0</v>
          </cell>
          <cell r="BU98">
            <v>0</v>
          </cell>
          <cell r="BZ98" t="str">
            <v>Insurance recovery</v>
          </cell>
          <cell r="CA98">
            <v>0.5</v>
          </cell>
          <cell r="CB98">
            <v>0.9</v>
          </cell>
          <cell r="CC98">
            <v>-1.8</v>
          </cell>
          <cell r="CD98">
            <v>0</v>
          </cell>
          <cell r="CE98">
            <v>0.2</v>
          </cell>
          <cell r="CF98">
            <v>0</v>
          </cell>
          <cell r="CG98">
            <v>0</v>
          </cell>
          <cell r="CH98">
            <v>0</v>
          </cell>
          <cell r="CI98">
            <v>0</v>
          </cell>
          <cell r="CJ98">
            <v>0</v>
          </cell>
          <cell r="CK98">
            <v>0.9</v>
          </cell>
          <cell r="CL98">
            <v>0</v>
          </cell>
          <cell r="CM98">
            <v>0</v>
          </cell>
          <cell r="CN98">
            <v>0</v>
          </cell>
          <cell r="CO98">
            <v>0</v>
          </cell>
          <cell r="CP98">
            <v>0</v>
          </cell>
          <cell r="CQ98">
            <v>0</v>
          </cell>
          <cell r="CR98">
            <v>0</v>
          </cell>
          <cell r="CS98">
            <v>0</v>
          </cell>
          <cell r="CT98">
            <v>0</v>
          </cell>
          <cell r="CU98">
            <v>0</v>
          </cell>
          <cell r="CV98">
            <v>0</v>
          </cell>
          <cell r="CW98">
            <v>0</v>
          </cell>
          <cell r="CY98">
            <v>0</v>
          </cell>
          <cell r="DA98" t="str">
            <v>mstag:netDecreaseInInvestmentsNonOperating</v>
          </cell>
          <cell r="DB98">
            <v>6</v>
          </cell>
          <cell r="DC98" t="str">
            <v>ISO4217:USD</v>
          </cell>
          <cell r="DD98" t="b">
            <v>0</v>
          </cell>
        </row>
        <row r="99">
          <cell r="C99" t="str">
            <v xml:space="preserve">______ </v>
          </cell>
          <cell r="D99" t="str">
            <v xml:space="preserve">______ </v>
          </cell>
          <cell r="E99" t="str">
            <v xml:space="preserve">______ </v>
          </cell>
          <cell r="F99" t="str">
            <v xml:space="preserve">______ </v>
          </cell>
          <cell r="G99" t="str">
            <v xml:space="preserve">______ </v>
          </cell>
          <cell r="H99" t="str">
            <v xml:space="preserve">______ </v>
          </cell>
          <cell r="I99" t="str">
            <v xml:space="preserve">______ </v>
          </cell>
          <cell r="J99" t="str">
            <v xml:space="preserve">______ </v>
          </cell>
          <cell r="K99" t="str">
            <v xml:space="preserve">______ </v>
          </cell>
          <cell r="L99" t="str">
            <v xml:space="preserve">______ </v>
          </cell>
          <cell r="M99" t="str">
            <v xml:space="preserve">______ </v>
          </cell>
          <cell r="N99" t="str">
            <v xml:space="preserve">______ </v>
          </cell>
          <cell r="O99" t="str">
            <v xml:space="preserve">______ </v>
          </cell>
          <cell r="P99" t="str">
            <v xml:space="preserve">______ </v>
          </cell>
          <cell r="Q99" t="str">
            <v xml:space="preserve">______ </v>
          </cell>
          <cell r="R99" t="str">
            <v xml:space="preserve">______ </v>
          </cell>
          <cell r="S99" t="str">
            <v xml:space="preserve">______ </v>
          </cell>
          <cell r="T99" t="str">
            <v xml:space="preserve">______ </v>
          </cell>
          <cell r="U99" t="str">
            <v xml:space="preserve">______ </v>
          </cell>
          <cell r="V99" t="str">
            <v xml:space="preserve">______ </v>
          </cell>
          <cell r="W99" t="str">
            <v xml:space="preserve">______ </v>
          </cell>
          <cell r="X99" t="str">
            <v xml:space="preserve">______ </v>
          </cell>
          <cell r="Y99" t="str">
            <v xml:space="preserve">______ </v>
          </cell>
          <cell r="Z99" t="str">
            <v xml:space="preserve">______ </v>
          </cell>
          <cell r="AA99" t="str">
            <v xml:space="preserve">______ </v>
          </cell>
          <cell r="AB99" t="str">
            <v xml:space="preserve">______ </v>
          </cell>
          <cell r="AC99" t="str">
            <v xml:space="preserve">______ </v>
          </cell>
          <cell r="AD99" t="str">
            <v xml:space="preserve">______ </v>
          </cell>
          <cell r="AE99" t="str">
            <v xml:space="preserve">______ </v>
          </cell>
          <cell r="AF99" t="str">
            <v xml:space="preserve">______ </v>
          </cell>
          <cell r="AG99" t="str">
            <v xml:space="preserve">______ </v>
          </cell>
          <cell r="AH99" t="str">
            <v xml:space="preserve">______ </v>
          </cell>
          <cell r="AI99" t="str">
            <v xml:space="preserve">______ </v>
          </cell>
          <cell r="AJ99" t="str">
            <v xml:space="preserve">______ </v>
          </cell>
          <cell r="AK99" t="str">
            <v xml:space="preserve">______ </v>
          </cell>
          <cell r="AL99" t="str">
            <v xml:space="preserve">______ </v>
          </cell>
          <cell r="AM99" t="str">
            <v xml:space="preserve">______ </v>
          </cell>
          <cell r="AN99" t="str">
            <v xml:space="preserve">______ </v>
          </cell>
          <cell r="AO99" t="str">
            <v xml:space="preserve">______ </v>
          </cell>
          <cell r="AP99" t="str">
            <v xml:space="preserve">______ </v>
          </cell>
          <cell r="AQ99" t="str">
            <v xml:space="preserve">______ </v>
          </cell>
          <cell r="AR99" t="str">
            <v xml:space="preserve">______ </v>
          </cell>
          <cell r="AS99" t="str">
            <v xml:space="preserve">______ </v>
          </cell>
          <cell r="AT99" t="str">
            <v xml:space="preserve">______ </v>
          </cell>
          <cell r="AU99" t="str">
            <v xml:space="preserve">______ </v>
          </cell>
          <cell r="AV99" t="str">
            <v xml:space="preserve">______ </v>
          </cell>
          <cell r="AW99" t="str">
            <v xml:space="preserve">______ </v>
          </cell>
          <cell r="AX99" t="str">
            <v xml:space="preserve">______ </v>
          </cell>
          <cell r="AY99" t="str">
            <v xml:space="preserve">______ </v>
          </cell>
          <cell r="AZ99" t="str">
            <v xml:space="preserve">______ </v>
          </cell>
          <cell r="BA99" t="str">
            <v xml:space="preserve">______ </v>
          </cell>
          <cell r="BB99" t="str">
            <v xml:space="preserve">______ </v>
          </cell>
          <cell r="BC99" t="str">
            <v xml:space="preserve">______ </v>
          </cell>
          <cell r="BD99" t="str">
            <v xml:space="preserve">______ </v>
          </cell>
          <cell r="BE99" t="str">
            <v xml:space="preserve">______ </v>
          </cell>
          <cell r="BF99" t="str">
            <v xml:space="preserve">______ </v>
          </cell>
          <cell r="BG99" t="str">
            <v xml:space="preserve">______ </v>
          </cell>
          <cell r="BH99" t="str">
            <v xml:space="preserve">______ </v>
          </cell>
          <cell r="BI99" t="str">
            <v xml:space="preserve">______ </v>
          </cell>
          <cell r="BJ99" t="str">
            <v xml:space="preserve">______ </v>
          </cell>
          <cell r="BK99" t="str">
            <v xml:space="preserve">______ </v>
          </cell>
          <cell r="BL99" t="str">
            <v xml:space="preserve">______ </v>
          </cell>
          <cell r="BM99" t="str">
            <v xml:space="preserve">______ </v>
          </cell>
          <cell r="BN99" t="str">
            <v xml:space="preserve">______ </v>
          </cell>
          <cell r="BO99" t="str">
            <v xml:space="preserve">______ </v>
          </cell>
          <cell r="BP99" t="str">
            <v xml:space="preserve">______ </v>
          </cell>
          <cell r="BQ99" t="str">
            <v xml:space="preserve">______ </v>
          </cell>
          <cell r="BR99" t="str">
            <v xml:space="preserve">______ </v>
          </cell>
          <cell r="BS99" t="str">
            <v xml:space="preserve">______ </v>
          </cell>
          <cell r="BT99" t="str">
            <v xml:space="preserve">______ </v>
          </cell>
          <cell r="BU99" t="str">
            <v xml:space="preserve">______ </v>
          </cell>
          <cell r="CA99" t="str">
            <v xml:space="preserve">______ </v>
          </cell>
          <cell r="CB99" t="str">
            <v xml:space="preserve">______ </v>
          </cell>
          <cell r="CC99" t="str">
            <v xml:space="preserve">______ </v>
          </cell>
          <cell r="CD99" t="str">
            <v xml:space="preserve">______ </v>
          </cell>
          <cell r="CE99" t="str">
            <v xml:space="preserve">______ </v>
          </cell>
          <cell r="CF99" t="str">
            <v xml:space="preserve">______ </v>
          </cell>
          <cell r="CG99" t="str">
            <v xml:space="preserve">______ </v>
          </cell>
          <cell r="CH99" t="str">
            <v xml:space="preserve">______ </v>
          </cell>
          <cell r="CI99" t="str">
            <v xml:space="preserve">______ </v>
          </cell>
          <cell r="CJ99" t="str">
            <v xml:space="preserve">______ </v>
          </cell>
          <cell r="CK99" t="str">
            <v xml:space="preserve">______ </v>
          </cell>
          <cell r="CL99" t="str">
            <v xml:space="preserve">______ </v>
          </cell>
          <cell r="CM99" t="str">
            <v xml:space="preserve">______ </v>
          </cell>
          <cell r="CN99" t="str">
            <v xml:space="preserve">______ </v>
          </cell>
          <cell r="CO99" t="str">
            <v xml:space="preserve">______ </v>
          </cell>
          <cell r="CP99" t="str">
            <v xml:space="preserve">______ </v>
          </cell>
          <cell r="CQ99" t="str">
            <v xml:space="preserve">______ </v>
          </cell>
          <cell r="CR99" t="str">
            <v xml:space="preserve">______ </v>
          </cell>
          <cell r="CS99" t="str">
            <v xml:space="preserve">______ </v>
          </cell>
          <cell r="CT99" t="str">
            <v xml:space="preserve">______ </v>
          </cell>
          <cell r="CU99" t="str">
            <v xml:space="preserve">______ </v>
          </cell>
          <cell r="CV99" t="str">
            <v xml:space="preserve">______ </v>
          </cell>
          <cell r="CW99" t="str">
            <v xml:space="preserve">______ </v>
          </cell>
        </row>
        <row r="100">
          <cell r="A100" t="str">
            <v>Cash Used in Investing Activities</v>
          </cell>
          <cell r="C100">
            <v>13.1</v>
          </cell>
          <cell r="D100">
            <v>-12</v>
          </cell>
          <cell r="E100">
            <v>-33.599999999999994</v>
          </cell>
          <cell r="F100">
            <v>-30</v>
          </cell>
          <cell r="G100">
            <v>-223.6</v>
          </cell>
          <cell r="H100">
            <v>-17.099999999999998</v>
          </cell>
          <cell r="I100">
            <v>-31.3</v>
          </cell>
          <cell r="J100">
            <v>-2.5</v>
          </cell>
          <cell r="K100">
            <v>-17</v>
          </cell>
          <cell r="L100">
            <v>-79.599999999999994</v>
          </cell>
          <cell r="M100">
            <v>-51.299999999999969</v>
          </cell>
          <cell r="N100">
            <v>-150.39999999999998</v>
          </cell>
          <cell r="O100">
            <v>-22.399999999999977</v>
          </cell>
          <cell r="P100">
            <v>97.8</v>
          </cell>
          <cell r="Q100">
            <v>-26.900000000000031</v>
          </cell>
          <cell r="R100">
            <v>67.600000000000023</v>
          </cell>
          <cell r="S100">
            <v>116.09999999999998</v>
          </cell>
          <cell r="T100">
            <v>28.400000000000013</v>
          </cell>
          <cell r="U100">
            <v>-64.8</v>
          </cell>
          <cell r="V100">
            <v>-42.800000000000011</v>
          </cell>
          <cell r="W100">
            <v>-45.500000000000007</v>
          </cell>
          <cell r="X100">
            <v>-124.70000000000005</v>
          </cell>
          <cell r="Y100">
            <v>-52.7</v>
          </cell>
          <cell r="Z100">
            <v>-28.200000000000003</v>
          </cell>
          <cell r="AA100">
            <v>-18.600000000000009</v>
          </cell>
          <cell r="AB100">
            <v>-219.79999999999998</v>
          </cell>
          <cell r="AC100">
            <v>-319.3</v>
          </cell>
          <cell r="AD100">
            <v>-13.600000000000001</v>
          </cell>
          <cell r="AE100">
            <v>-20</v>
          </cell>
          <cell r="AF100">
            <v>-30.799999999999997</v>
          </cell>
          <cell r="AG100">
            <v>-29.4</v>
          </cell>
          <cell r="AH100">
            <v>-93.799999999999983</v>
          </cell>
          <cell r="AI100">
            <v>-13.6</v>
          </cell>
          <cell r="AJ100">
            <v>-19.699999999999996</v>
          </cell>
          <cell r="AK100">
            <v>-21.700000000000006</v>
          </cell>
          <cell r="AL100">
            <v>-173.79999999999998</v>
          </cell>
          <cell r="AM100">
            <v>-228.8</v>
          </cell>
          <cell r="AN100">
            <v>-13.3</v>
          </cell>
          <cell r="AO100">
            <v>-27.1</v>
          </cell>
          <cell r="AP100">
            <v>-24.899999999999995</v>
          </cell>
          <cell r="AQ100">
            <v>-202.3</v>
          </cell>
          <cell r="AR100">
            <v>-267.60000000000002</v>
          </cell>
          <cell r="AS100">
            <v>-13.600000000000001</v>
          </cell>
          <cell r="AT100">
            <v>-12.299999999999997</v>
          </cell>
          <cell r="AU100">
            <v>-20.200000000000006</v>
          </cell>
          <cell r="AV100">
            <v>-4.100000000000005</v>
          </cell>
          <cell r="AW100">
            <v>-50.2</v>
          </cell>
          <cell r="AX100">
            <v>-2.7999999999999989</v>
          </cell>
          <cell r="AY100">
            <v>-16.200000000000003</v>
          </cell>
          <cell r="AZ100">
            <v>-203.8</v>
          </cell>
          <cell r="BA100">
            <v>-39.100000000000023</v>
          </cell>
          <cell r="BB100">
            <v>-261.89999999999998</v>
          </cell>
          <cell r="BC100">
            <v>-82.199999999999989</v>
          </cell>
          <cell r="BD100">
            <v>-31.2</v>
          </cell>
          <cell r="BE100">
            <v>-14.3044364</v>
          </cell>
          <cell r="BF100">
            <v>-15.85647558109091</v>
          </cell>
          <cell r="BG100">
            <v>-143.5609119810909</v>
          </cell>
          <cell r="BH100">
            <v>-15.569072933920001</v>
          </cell>
          <cell r="BI100">
            <v>-17.596569795080001</v>
          </cell>
          <cell r="BJ100">
            <v>-14.954435946579997</v>
          </cell>
          <cell r="BK100">
            <v>-16.590073168304244</v>
          </cell>
          <cell r="BL100">
            <v>-64.710151843884233</v>
          </cell>
          <cell r="BM100">
            <v>-16.263996801379598</v>
          </cell>
          <cell r="BN100">
            <v>-18.332775226791203</v>
          </cell>
          <cell r="BO100">
            <v>-15.656961688524953</v>
          </cell>
          <cell r="BP100">
            <v>-17.385194269773049</v>
          </cell>
          <cell r="BQ100">
            <v>-67.638927986468801</v>
          </cell>
          <cell r="BR100">
            <v>-70.3213606073178</v>
          </cell>
          <cell r="BS100">
            <v>-73.22758369374607</v>
          </cell>
          <cell r="BT100">
            <v>-76.380249000921424</v>
          </cell>
          <cell r="BU100">
            <v>-79.804439351392034</v>
          </cell>
          <cell r="BZ100" t="str">
            <v>Cash Used in Investing Activities</v>
          </cell>
          <cell r="CA100">
            <v>13.1</v>
          </cell>
          <cell r="CB100">
            <v>-12</v>
          </cell>
          <cell r="CC100">
            <v>-33.599999999999994</v>
          </cell>
          <cell r="CD100">
            <v>-30</v>
          </cell>
          <cell r="CE100">
            <v>-223.6</v>
          </cell>
          <cell r="CF100">
            <v>-17.099999999999998</v>
          </cell>
          <cell r="CG100">
            <v>-31.3</v>
          </cell>
          <cell r="CH100">
            <v>-150.39999999999998</v>
          </cell>
          <cell r="CI100">
            <v>116.09999999999998</v>
          </cell>
          <cell r="CJ100">
            <v>-124.70000000000005</v>
          </cell>
          <cell r="CK100">
            <v>-319.3</v>
          </cell>
          <cell r="CL100">
            <v>-93.799999999999983</v>
          </cell>
          <cell r="CM100">
            <v>-228.8</v>
          </cell>
          <cell r="CN100">
            <v>-267.60000000000002</v>
          </cell>
          <cell r="CO100">
            <v>-50.2</v>
          </cell>
          <cell r="CP100">
            <v>-261.89999999999998</v>
          </cell>
          <cell r="CQ100">
            <v>-143.5609119810909</v>
          </cell>
          <cell r="CR100">
            <v>-64.710151843884233</v>
          </cell>
          <cell r="CS100">
            <v>-67.638927986468801</v>
          </cell>
          <cell r="CT100">
            <v>-70.3213606073178</v>
          </cell>
          <cell r="CU100">
            <v>-73.22758369374607</v>
          </cell>
          <cell r="CV100">
            <v>-76.380249000921424</v>
          </cell>
          <cell r="CW100">
            <v>-79.804439351392034</v>
          </cell>
          <cell r="CY100">
            <v>-63.326554710090917</v>
          </cell>
        </row>
        <row r="102">
          <cell r="A102" t="str">
            <v>Cash From Financing Activities</v>
          </cell>
          <cell r="BZ102" t="str">
            <v>Cash From Financing Activities</v>
          </cell>
        </row>
        <row r="103">
          <cell r="A103" t="str">
            <v>Borrowings under revolving credit facilities</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80</v>
          </cell>
          <cell r="U103">
            <v>330</v>
          </cell>
          <cell r="V103">
            <v>590</v>
          </cell>
          <cell r="W103">
            <v>0</v>
          </cell>
          <cell r="X103">
            <v>1000</v>
          </cell>
          <cell r="Y103">
            <v>0</v>
          </cell>
          <cell r="Z103">
            <v>425</v>
          </cell>
          <cell r="AA103">
            <v>1890.1999999999998</v>
          </cell>
          <cell r="AB103">
            <v>1951</v>
          </cell>
          <cell r="AC103">
            <v>4266.2</v>
          </cell>
          <cell r="AD103">
            <v>1464</v>
          </cell>
          <cell r="AE103">
            <v>768</v>
          </cell>
          <cell r="AF103">
            <v>180</v>
          </cell>
          <cell r="AG103">
            <v>0</v>
          </cell>
          <cell r="AH103">
            <v>2412</v>
          </cell>
          <cell r="AI103">
            <v>0</v>
          </cell>
          <cell r="AJ103">
            <v>0</v>
          </cell>
          <cell r="AK103">
            <v>0</v>
          </cell>
          <cell r="AL103">
            <v>250</v>
          </cell>
          <cell r="AM103">
            <v>250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Z103" t="str">
            <v>Borrowings under revolving credit facilities</v>
          </cell>
          <cell r="CA103">
            <v>0</v>
          </cell>
          <cell r="CB103">
            <v>0</v>
          </cell>
          <cell r="CC103">
            <v>0</v>
          </cell>
          <cell r="CD103">
            <v>0</v>
          </cell>
          <cell r="CE103">
            <v>0</v>
          </cell>
          <cell r="CF103">
            <v>0</v>
          </cell>
          <cell r="CG103">
            <v>0</v>
          </cell>
          <cell r="CH103">
            <v>0</v>
          </cell>
          <cell r="CI103">
            <v>0</v>
          </cell>
          <cell r="CJ103">
            <v>1000</v>
          </cell>
          <cell r="CK103">
            <v>4266.2</v>
          </cell>
          <cell r="CL103">
            <v>2412</v>
          </cell>
          <cell r="CM103">
            <v>250</v>
          </cell>
          <cell r="CN103">
            <v>0</v>
          </cell>
          <cell r="CO103">
            <v>0</v>
          </cell>
          <cell r="CP103">
            <v>0</v>
          </cell>
          <cell r="CQ103">
            <v>0</v>
          </cell>
          <cell r="CR103">
            <v>0</v>
          </cell>
          <cell r="CS103">
            <v>0</v>
          </cell>
          <cell r="CT103">
            <v>0</v>
          </cell>
          <cell r="CU103">
            <v>0</v>
          </cell>
          <cell r="CV103">
            <v>0</v>
          </cell>
          <cell r="CW103">
            <v>0</v>
          </cell>
          <cell r="CY103">
            <v>0</v>
          </cell>
          <cell r="DA103" t="str">
            <v>mstag:proceedsFromIssuanceAndCashUsedToRepayShortTermBorrowings</v>
          </cell>
          <cell r="DB103">
            <v>6</v>
          </cell>
          <cell r="DC103" t="str">
            <v>ISO4217:USD</v>
          </cell>
          <cell r="DD103" t="b">
            <v>0</v>
          </cell>
        </row>
        <row r="104">
          <cell r="A104" t="str">
            <v>Repayments of borrowings under revolving credit facilities</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-600</v>
          </cell>
          <cell r="W104">
            <v>-400</v>
          </cell>
          <cell r="X104">
            <v>-1000</v>
          </cell>
          <cell r="Y104">
            <v>0</v>
          </cell>
          <cell r="Z104">
            <v>0</v>
          </cell>
          <cell r="AA104">
            <v>-1721.2</v>
          </cell>
          <cell r="AB104">
            <v>-1931.9999999999998</v>
          </cell>
          <cell r="AC104">
            <v>-3653.2</v>
          </cell>
          <cell r="AD104">
            <v>-1609</v>
          </cell>
          <cell r="AE104">
            <v>-1026</v>
          </cell>
          <cell r="AF104">
            <v>-390</v>
          </cell>
          <cell r="AG104">
            <v>0</v>
          </cell>
          <cell r="AH104">
            <v>-3025</v>
          </cell>
          <cell r="AI104">
            <v>0</v>
          </cell>
          <cell r="AJ104">
            <v>0</v>
          </cell>
          <cell r="AK104">
            <v>0</v>
          </cell>
          <cell r="AL104">
            <v>-250</v>
          </cell>
          <cell r="AM104">
            <v>-250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Z104" t="str">
            <v>Repayments of borrowings under revolving credit facilities</v>
          </cell>
          <cell r="CA104">
            <v>0</v>
          </cell>
          <cell r="CB104">
            <v>0</v>
          </cell>
          <cell r="CC104">
            <v>0</v>
          </cell>
          <cell r="CD104">
            <v>0</v>
          </cell>
          <cell r="CE104">
            <v>0</v>
          </cell>
          <cell r="CF104">
            <v>0</v>
          </cell>
          <cell r="CG104">
            <v>0</v>
          </cell>
          <cell r="CH104">
            <v>0</v>
          </cell>
          <cell r="CI104">
            <v>0</v>
          </cell>
          <cell r="CJ104">
            <v>-1000</v>
          </cell>
          <cell r="CK104">
            <v>-3653.2</v>
          </cell>
          <cell r="CL104">
            <v>-3025</v>
          </cell>
          <cell r="CM104">
            <v>-250</v>
          </cell>
          <cell r="CN104">
            <v>0</v>
          </cell>
          <cell r="CO104">
            <v>0</v>
          </cell>
          <cell r="CP104">
            <v>0</v>
          </cell>
          <cell r="CQ104">
            <v>0</v>
          </cell>
          <cell r="CR104">
            <v>0</v>
          </cell>
          <cell r="CS104">
            <v>0</v>
          </cell>
          <cell r="CT104">
            <v>0</v>
          </cell>
          <cell r="CU104">
            <v>0</v>
          </cell>
          <cell r="CV104">
            <v>0</v>
          </cell>
          <cell r="CW104">
            <v>0</v>
          </cell>
          <cell r="CY104">
            <v>0</v>
          </cell>
          <cell r="DA104" t="str">
            <v>mstag:proceedsFromIssuanceAndCashUsedToRepayShortTermBorrowings</v>
          </cell>
          <cell r="DB104">
            <v>6</v>
          </cell>
          <cell r="DC104" t="str">
            <v>ISO4217:USD</v>
          </cell>
          <cell r="DD104" t="b">
            <v>0</v>
          </cell>
        </row>
        <row r="105">
          <cell r="A105" t="str">
            <v>Issuance of commercial paper</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6684.1</v>
          </cell>
          <cell r="X105">
            <v>6684.1</v>
          </cell>
          <cell r="Y105">
            <v>4988.8999999999996</v>
          </cell>
          <cell r="Z105">
            <v>2666.8</v>
          </cell>
          <cell r="AA105">
            <v>3224.5000000000009</v>
          </cell>
          <cell r="AB105">
            <v>642.5</v>
          </cell>
          <cell r="AC105">
            <v>11522.7</v>
          </cell>
          <cell r="AD105">
            <v>2359.8000000000002</v>
          </cell>
          <cell r="AE105">
            <v>2653.8</v>
          </cell>
          <cell r="AF105">
            <v>2689.3999999999996</v>
          </cell>
          <cell r="AG105">
            <v>3372.5000000000009</v>
          </cell>
          <cell r="AH105">
            <v>11075.5</v>
          </cell>
          <cell r="AI105">
            <v>788.3</v>
          </cell>
          <cell r="AJ105">
            <v>1121.6000000000001</v>
          </cell>
          <cell r="AK105">
            <v>322.90000000000009</v>
          </cell>
          <cell r="AL105">
            <v>0</v>
          </cell>
          <cell r="AM105">
            <v>2232.8000000000002</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Z105" t="str">
            <v>Issuance of commercial paper</v>
          </cell>
          <cell r="CA105">
            <v>0</v>
          </cell>
          <cell r="CB105">
            <v>0</v>
          </cell>
          <cell r="CC105">
            <v>0</v>
          </cell>
          <cell r="CD105">
            <v>0</v>
          </cell>
          <cell r="CE105">
            <v>0</v>
          </cell>
          <cell r="CF105">
            <v>0</v>
          </cell>
          <cell r="CG105">
            <v>0</v>
          </cell>
          <cell r="CH105">
            <v>0</v>
          </cell>
          <cell r="CI105">
            <v>0</v>
          </cell>
          <cell r="CJ105">
            <v>6684.1</v>
          </cell>
          <cell r="CK105">
            <v>11522.7</v>
          </cell>
          <cell r="CL105">
            <v>11075.5</v>
          </cell>
          <cell r="CM105">
            <v>2232.8000000000002</v>
          </cell>
          <cell r="CN105">
            <v>0</v>
          </cell>
          <cell r="CO105">
            <v>0</v>
          </cell>
          <cell r="CP105">
            <v>0</v>
          </cell>
          <cell r="CQ105">
            <v>0</v>
          </cell>
          <cell r="CR105">
            <v>0</v>
          </cell>
          <cell r="CS105">
            <v>0</v>
          </cell>
          <cell r="CT105">
            <v>0</v>
          </cell>
          <cell r="CU105">
            <v>0</v>
          </cell>
          <cell r="CV105">
            <v>0</v>
          </cell>
          <cell r="CW105">
            <v>0</v>
          </cell>
          <cell r="CY105">
            <v>0</v>
          </cell>
          <cell r="DA105" t="str">
            <v>mstag:proceedsFromIssuanceAndCashUsedToRepayShortTermBorrowings</v>
          </cell>
          <cell r="DB105">
            <v>6</v>
          </cell>
          <cell r="DC105" t="str">
            <v>ISO4217:USD</v>
          </cell>
          <cell r="DD105" t="b">
            <v>0</v>
          </cell>
        </row>
        <row r="106">
          <cell r="A106" t="str">
            <v>Repayments of commercial paper</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-6136.7</v>
          </cell>
          <cell r="X106">
            <v>-6136.7</v>
          </cell>
          <cell r="Y106">
            <v>-4942.7</v>
          </cell>
          <cell r="Z106">
            <v>-3162.8</v>
          </cell>
          <cell r="AA106">
            <v>-3271.6000000000004</v>
          </cell>
          <cell r="AB106">
            <v>-592.29999999999927</v>
          </cell>
          <cell r="AC106">
            <v>-11969.4</v>
          </cell>
          <cell r="AD106">
            <v>-2272</v>
          </cell>
          <cell r="AE106">
            <v>-2475.8999999999996</v>
          </cell>
          <cell r="AF106">
            <v>-2528.7000000000007</v>
          </cell>
          <cell r="AG106">
            <v>-3459.8999999999996</v>
          </cell>
          <cell r="AH106">
            <v>-10736.5</v>
          </cell>
          <cell r="AI106">
            <v>-860</v>
          </cell>
          <cell r="AJ106">
            <v>-1137.0999999999999</v>
          </cell>
          <cell r="AK106">
            <v>-664.40000000000009</v>
          </cell>
          <cell r="AL106">
            <v>-14.900000000000091</v>
          </cell>
          <cell r="AM106">
            <v>-2676.4</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0</v>
          </cell>
          <cell r="BU106">
            <v>0</v>
          </cell>
          <cell r="BZ106" t="str">
            <v>Repayments of commercial paper</v>
          </cell>
          <cell r="CA106">
            <v>0</v>
          </cell>
          <cell r="CB106">
            <v>0</v>
          </cell>
          <cell r="CC106">
            <v>0</v>
          </cell>
          <cell r="CD106">
            <v>0</v>
          </cell>
          <cell r="CE106">
            <v>0</v>
          </cell>
          <cell r="CF106">
            <v>0</v>
          </cell>
          <cell r="CG106">
            <v>0</v>
          </cell>
          <cell r="CH106">
            <v>0</v>
          </cell>
          <cell r="CI106">
            <v>0</v>
          </cell>
          <cell r="CJ106">
            <v>-6136.7</v>
          </cell>
          <cell r="CK106">
            <v>-11969.4</v>
          </cell>
          <cell r="CL106">
            <v>-10736.5</v>
          </cell>
          <cell r="CM106">
            <v>-2676.4</v>
          </cell>
          <cell r="CN106">
            <v>0</v>
          </cell>
          <cell r="CO106">
            <v>0</v>
          </cell>
          <cell r="CP106">
            <v>0</v>
          </cell>
          <cell r="CQ106">
            <v>0</v>
          </cell>
          <cell r="CR106">
            <v>0</v>
          </cell>
          <cell r="CS106">
            <v>0</v>
          </cell>
          <cell r="CT106">
            <v>0</v>
          </cell>
          <cell r="CU106">
            <v>0</v>
          </cell>
          <cell r="CV106">
            <v>0</v>
          </cell>
          <cell r="CW106">
            <v>0</v>
          </cell>
          <cell r="CY106">
            <v>0</v>
          </cell>
          <cell r="DA106" t="str">
            <v>mstag:proceedsFromIssuanceAndCashUsedToRepayShortTermBorrowings</v>
          </cell>
          <cell r="DB106">
            <v>6</v>
          </cell>
          <cell r="DC106" t="str">
            <v>ISO4217:USD</v>
          </cell>
          <cell r="DD106" t="b">
            <v>0</v>
          </cell>
        </row>
        <row r="107">
          <cell r="A107" t="str">
            <v xml:space="preserve">Proceeds from issuance of notes </v>
          </cell>
          <cell r="C107">
            <v>0</v>
          </cell>
          <cell r="D107">
            <v>0</v>
          </cell>
          <cell r="E107">
            <v>300</v>
          </cell>
          <cell r="F107">
            <v>0</v>
          </cell>
          <cell r="G107">
            <v>107.1</v>
          </cell>
          <cell r="H107">
            <v>-107.1</v>
          </cell>
          <cell r="I107">
            <v>0</v>
          </cell>
          <cell r="J107">
            <v>0</v>
          </cell>
          <cell r="K107">
            <v>0</v>
          </cell>
          <cell r="L107">
            <v>0</v>
          </cell>
          <cell r="M107">
            <v>0</v>
          </cell>
          <cell r="N107">
            <v>0</v>
          </cell>
          <cell r="O107">
            <v>0</v>
          </cell>
          <cell r="P107">
            <v>0</v>
          </cell>
          <cell r="Q107">
            <v>0</v>
          </cell>
          <cell r="R107">
            <v>0</v>
          </cell>
          <cell r="S107">
            <v>0</v>
          </cell>
          <cell r="T107">
            <v>0</v>
          </cell>
          <cell r="U107">
            <v>0</v>
          </cell>
          <cell r="V107">
            <v>300</v>
          </cell>
          <cell r="W107">
            <v>0</v>
          </cell>
          <cell r="X107">
            <v>300</v>
          </cell>
          <cell r="Y107">
            <v>0</v>
          </cell>
          <cell r="Z107">
            <v>150</v>
          </cell>
          <cell r="AA107">
            <v>0</v>
          </cell>
          <cell r="AB107">
            <v>0</v>
          </cell>
          <cell r="AC107">
            <v>150</v>
          </cell>
          <cell r="AD107">
            <v>0</v>
          </cell>
          <cell r="AE107">
            <v>0</v>
          </cell>
          <cell r="AF107">
            <v>0</v>
          </cell>
          <cell r="AG107">
            <v>0</v>
          </cell>
          <cell r="AH107">
            <v>0</v>
          </cell>
          <cell r="AI107">
            <v>0</v>
          </cell>
          <cell r="AJ107">
            <v>0</v>
          </cell>
          <cell r="AK107">
            <v>496.9</v>
          </cell>
          <cell r="AL107">
            <v>0</v>
          </cell>
          <cell r="AM107">
            <v>496.9</v>
          </cell>
          <cell r="AN107">
            <v>0</v>
          </cell>
          <cell r="AO107">
            <v>0</v>
          </cell>
          <cell r="AP107">
            <v>0</v>
          </cell>
          <cell r="AQ107">
            <v>0</v>
          </cell>
          <cell r="AR107">
            <v>0</v>
          </cell>
          <cell r="AS107">
            <v>0</v>
          </cell>
          <cell r="AT107">
            <v>0</v>
          </cell>
          <cell r="AU107">
            <v>496.1</v>
          </cell>
          <cell r="AV107">
            <v>0</v>
          </cell>
          <cell r="AW107">
            <v>496.1</v>
          </cell>
          <cell r="AX107">
            <v>0</v>
          </cell>
          <cell r="AY107">
            <v>0</v>
          </cell>
          <cell r="AZ107">
            <v>497.2</v>
          </cell>
          <cell r="BA107">
            <v>0</v>
          </cell>
          <cell r="BB107">
            <v>497.2</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0</v>
          </cell>
          <cell r="BZ107" t="str">
            <v xml:space="preserve">Proceeds from issuance of notes </v>
          </cell>
          <cell r="CA107">
            <v>0</v>
          </cell>
          <cell r="CB107">
            <v>0</v>
          </cell>
          <cell r="CC107">
            <v>300</v>
          </cell>
          <cell r="CD107">
            <v>0</v>
          </cell>
          <cell r="CE107">
            <v>107.1</v>
          </cell>
          <cell r="CF107">
            <v>-107.1</v>
          </cell>
          <cell r="CG107">
            <v>0</v>
          </cell>
          <cell r="CH107">
            <v>0</v>
          </cell>
          <cell r="CI107">
            <v>0</v>
          </cell>
          <cell r="CJ107">
            <v>300</v>
          </cell>
          <cell r="CK107">
            <v>150</v>
          </cell>
          <cell r="CL107">
            <v>0</v>
          </cell>
          <cell r="CM107">
            <v>496.9</v>
          </cell>
          <cell r="CN107">
            <v>0</v>
          </cell>
          <cell r="CO107">
            <v>496.1</v>
          </cell>
          <cell r="CP107">
            <v>497.2</v>
          </cell>
          <cell r="CQ107">
            <v>0</v>
          </cell>
          <cell r="CR107">
            <v>0</v>
          </cell>
          <cell r="CS107">
            <v>0</v>
          </cell>
          <cell r="CT107">
            <v>0</v>
          </cell>
          <cell r="CU107">
            <v>0</v>
          </cell>
          <cell r="CV107">
            <v>0</v>
          </cell>
          <cell r="CW107">
            <v>0</v>
          </cell>
          <cell r="CY107">
            <v>0</v>
          </cell>
          <cell r="DA107" t="str">
            <v>mstag:proceedsFromIssuanceAndCashUsedToRepayShortTermBorrowings</v>
          </cell>
          <cell r="DB107">
            <v>6</v>
          </cell>
          <cell r="DC107" t="str">
            <v>ISO4217:USD</v>
          </cell>
          <cell r="DD107" t="b">
            <v>0</v>
          </cell>
        </row>
        <row r="108">
          <cell r="A108" t="str">
            <v>Repayments of notes</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-1.9</v>
          </cell>
          <cell r="AL108">
            <v>-1.9</v>
          </cell>
          <cell r="AM108">
            <v>-3.8</v>
          </cell>
          <cell r="AN108">
            <v>-1.9</v>
          </cell>
          <cell r="AO108">
            <v>-1.9</v>
          </cell>
          <cell r="AP108">
            <v>-3.6999999999999997</v>
          </cell>
          <cell r="AQ108">
            <v>-3.8000000000000003</v>
          </cell>
          <cell r="AR108">
            <v>-11.3</v>
          </cell>
          <cell r="AS108">
            <v>-3.8</v>
          </cell>
          <cell r="AT108">
            <v>-3.7</v>
          </cell>
          <cell r="AU108">
            <v>-31.9</v>
          </cell>
          <cell r="AV108">
            <v>-31.9</v>
          </cell>
          <cell r="AW108">
            <v>-71.3</v>
          </cell>
          <cell r="AX108">
            <v>-31.9</v>
          </cell>
          <cell r="AY108">
            <v>-31.9</v>
          </cell>
          <cell r="AZ108">
            <v>0</v>
          </cell>
          <cell r="BA108">
            <v>0</v>
          </cell>
          <cell r="BB108">
            <v>-63.8</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Z108" t="str">
            <v>Repayments of notes</v>
          </cell>
          <cell r="CA108">
            <v>0</v>
          </cell>
          <cell r="CB108">
            <v>0</v>
          </cell>
          <cell r="CC108">
            <v>0</v>
          </cell>
          <cell r="CD108">
            <v>0</v>
          </cell>
          <cell r="CE108">
            <v>0</v>
          </cell>
          <cell r="CF108">
            <v>0</v>
          </cell>
          <cell r="CG108">
            <v>0</v>
          </cell>
          <cell r="CH108">
            <v>0</v>
          </cell>
          <cell r="CI108">
            <v>0</v>
          </cell>
          <cell r="CJ108">
            <v>0</v>
          </cell>
          <cell r="CK108">
            <v>0</v>
          </cell>
          <cell r="CL108">
            <v>0</v>
          </cell>
          <cell r="CM108">
            <v>-3.8</v>
          </cell>
          <cell r="CN108">
            <v>-11.3</v>
          </cell>
          <cell r="CO108">
            <v>-71.3</v>
          </cell>
          <cell r="CP108">
            <v>-63.8</v>
          </cell>
          <cell r="CQ108">
            <v>0</v>
          </cell>
          <cell r="CR108">
            <v>0</v>
          </cell>
          <cell r="CS108">
            <v>0</v>
          </cell>
          <cell r="CT108">
            <v>0</v>
          </cell>
          <cell r="CU108">
            <v>0</v>
          </cell>
          <cell r="CV108">
            <v>0</v>
          </cell>
          <cell r="CW108">
            <v>0</v>
          </cell>
          <cell r="CY108">
            <v>0</v>
          </cell>
          <cell r="DA108" t="str">
            <v>mstag:proceedsFromIssuanceAndCashUsedToRepayShortTermBorrowings</v>
          </cell>
          <cell r="DB108">
            <v>6</v>
          </cell>
          <cell r="DC108" t="str">
            <v>ISO4217:USD</v>
          </cell>
          <cell r="DD108" t="b">
            <v>0</v>
          </cell>
        </row>
        <row r="109">
          <cell r="A109" t="str">
            <v>Net proceeds from stock-based compensation plans</v>
          </cell>
          <cell r="C109">
            <v>0</v>
          </cell>
          <cell r="D109">
            <v>0</v>
          </cell>
          <cell r="E109">
            <v>12.7</v>
          </cell>
          <cell r="F109">
            <v>47.8</v>
          </cell>
          <cell r="G109">
            <v>54</v>
          </cell>
          <cell r="H109">
            <v>79</v>
          </cell>
          <cell r="I109">
            <v>105</v>
          </cell>
          <cell r="J109">
            <v>32.9</v>
          </cell>
          <cell r="K109">
            <v>19.600000000000001</v>
          </cell>
          <cell r="L109">
            <v>14</v>
          </cell>
          <cell r="M109">
            <v>22.599999999999994</v>
          </cell>
          <cell r="N109">
            <v>89.1</v>
          </cell>
          <cell r="O109">
            <v>51.1</v>
          </cell>
          <cell r="P109">
            <v>19.399999999999999</v>
          </cell>
          <cell r="Q109">
            <v>15.5</v>
          </cell>
          <cell r="R109">
            <v>19.299999999999997</v>
          </cell>
          <cell r="S109">
            <v>105.3</v>
          </cell>
          <cell r="T109">
            <v>21.5</v>
          </cell>
          <cell r="U109">
            <v>19.899999999999999</v>
          </cell>
          <cell r="V109">
            <v>11.399999999999999</v>
          </cell>
          <cell r="W109">
            <v>13.100000000000009</v>
          </cell>
          <cell r="X109">
            <v>65.900000000000006</v>
          </cell>
          <cell r="Y109">
            <v>3.7</v>
          </cell>
          <cell r="Z109">
            <v>12.8</v>
          </cell>
          <cell r="AA109">
            <v>5.8000000000000007</v>
          </cell>
          <cell r="AB109">
            <v>1.1999999999999993</v>
          </cell>
          <cell r="AC109">
            <v>23.5</v>
          </cell>
          <cell r="AD109">
            <v>1.3</v>
          </cell>
          <cell r="AE109">
            <v>11.1</v>
          </cell>
          <cell r="AF109">
            <v>2.1999999999999993</v>
          </cell>
          <cell r="AG109">
            <v>5.2000000000000011</v>
          </cell>
          <cell r="AH109">
            <v>19.8</v>
          </cell>
          <cell r="AI109">
            <v>12.5</v>
          </cell>
          <cell r="AJ109">
            <v>1.8000000000000007</v>
          </cell>
          <cell r="AK109">
            <v>11.7</v>
          </cell>
          <cell r="AL109">
            <v>8.7000000000000028</v>
          </cell>
          <cell r="AM109">
            <v>34.700000000000003</v>
          </cell>
          <cell r="AN109">
            <v>11.9</v>
          </cell>
          <cell r="AO109">
            <v>23.200000000000003</v>
          </cell>
          <cell r="AP109">
            <v>2.5</v>
          </cell>
          <cell r="AQ109">
            <v>8.7999999999999972</v>
          </cell>
          <cell r="AR109">
            <v>46.4</v>
          </cell>
          <cell r="AS109">
            <v>27.6</v>
          </cell>
          <cell r="AT109">
            <v>7.2999999999999972</v>
          </cell>
          <cell r="AU109">
            <v>37.000000000000007</v>
          </cell>
          <cell r="AV109">
            <v>44.79999999999999</v>
          </cell>
          <cell r="AW109">
            <v>116.69999999999999</v>
          </cell>
          <cell r="AX109">
            <v>1.7</v>
          </cell>
          <cell r="AY109">
            <v>59.099999999999994</v>
          </cell>
          <cell r="AZ109">
            <v>35.799999999999997</v>
          </cell>
          <cell r="BA109">
            <v>39.400000000000006</v>
          </cell>
          <cell r="BB109">
            <v>136</v>
          </cell>
          <cell r="BC109">
            <v>6</v>
          </cell>
          <cell r="BD109">
            <v>34.200000000000003</v>
          </cell>
          <cell r="BE109">
            <v>0</v>
          </cell>
          <cell r="BF109">
            <v>0</v>
          </cell>
          <cell r="BG109">
            <v>40.200000000000003</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Z109" t="str">
            <v>Net proceeds from stock-based compensation plans</v>
          </cell>
          <cell r="CA109">
            <v>0</v>
          </cell>
          <cell r="CB109">
            <v>0</v>
          </cell>
          <cell r="CC109">
            <v>12.7</v>
          </cell>
          <cell r="CD109">
            <v>47.8</v>
          </cell>
          <cell r="CE109">
            <v>54</v>
          </cell>
          <cell r="CF109">
            <v>79</v>
          </cell>
          <cell r="CG109">
            <v>105</v>
          </cell>
          <cell r="CH109">
            <v>89.1</v>
          </cell>
          <cell r="CI109">
            <v>105.3</v>
          </cell>
          <cell r="CJ109">
            <v>65.900000000000006</v>
          </cell>
          <cell r="CK109">
            <v>23.5</v>
          </cell>
          <cell r="CL109">
            <v>19.8</v>
          </cell>
          <cell r="CM109">
            <v>34.700000000000003</v>
          </cell>
          <cell r="CN109">
            <v>46.4</v>
          </cell>
          <cell r="CO109">
            <v>116.69999999999999</v>
          </cell>
          <cell r="CP109">
            <v>136</v>
          </cell>
          <cell r="CQ109">
            <v>40.200000000000003</v>
          </cell>
          <cell r="CR109">
            <v>0</v>
          </cell>
          <cell r="CS109">
            <v>0</v>
          </cell>
          <cell r="CT109">
            <v>0</v>
          </cell>
          <cell r="CU109">
            <v>0</v>
          </cell>
          <cell r="CV109">
            <v>0</v>
          </cell>
          <cell r="CW109">
            <v>0</v>
          </cell>
          <cell r="CY109">
            <v>0</v>
          </cell>
          <cell r="DA109" t="str">
            <v>mstag:proceedsFromExerciseOfStockOptions</v>
          </cell>
          <cell r="DB109">
            <v>6</v>
          </cell>
          <cell r="DC109" t="str">
            <v>ISO4217:USD</v>
          </cell>
          <cell r="DD109" t="b">
            <v>0</v>
          </cell>
        </row>
        <row r="110">
          <cell r="A110" t="str">
            <v>Cost of treasury shares repurchased</v>
          </cell>
          <cell r="C110">
            <v>0</v>
          </cell>
          <cell r="D110">
            <v>0</v>
          </cell>
          <cell r="E110">
            <v>-71.8</v>
          </cell>
          <cell r="F110">
            <v>-267.60000000000002</v>
          </cell>
          <cell r="G110">
            <v>-369.9</v>
          </cell>
          <cell r="H110">
            <v>-171.7</v>
          </cell>
          <cell r="I110">
            <v>-221.3</v>
          </cell>
          <cell r="J110">
            <v>0</v>
          </cell>
          <cell r="K110">
            <v>-19.2</v>
          </cell>
          <cell r="L110">
            <v>-309</v>
          </cell>
          <cell r="M110">
            <v>-363.50000000000006</v>
          </cell>
          <cell r="N110">
            <v>-691.7</v>
          </cell>
          <cell r="O110">
            <v>-201.8</v>
          </cell>
          <cell r="P110">
            <v>-574</v>
          </cell>
          <cell r="Q110">
            <v>-168.20000000000005</v>
          </cell>
          <cell r="R110">
            <v>-149.59999999999991</v>
          </cell>
          <cell r="S110">
            <v>-1093.5999999999999</v>
          </cell>
          <cell r="T110">
            <v>-442.6</v>
          </cell>
          <cell r="U110">
            <v>-500</v>
          </cell>
          <cell r="V110">
            <v>-484.4</v>
          </cell>
          <cell r="W110">
            <v>-311.40000000000009</v>
          </cell>
          <cell r="X110">
            <v>-1738.4</v>
          </cell>
          <cell r="Y110">
            <v>-264.5</v>
          </cell>
          <cell r="Z110">
            <v>-63.399999999999977</v>
          </cell>
          <cell r="AA110">
            <v>-145</v>
          </cell>
          <cell r="AB110">
            <v>-120</v>
          </cell>
          <cell r="AC110">
            <v>-592.9</v>
          </cell>
          <cell r="AD110">
            <v>0</v>
          </cell>
          <cell r="AE110">
            <v>0</v>
          </cell>
          <cell r="AF110">
            <v>0</v>
          </cell>
          <cell r="AG110">
            <v>0</v>
          </cell>
          <cell r="AH110">
            <v>0</v>
          </cell>
          <cell r="AI110">
            <v>-29.9</v>
          </cell>
          <cell r="AJ110">
            <v>-70</v>
          </cell>
          <cell r="AK110">
            <v>-19.699999999999989</v>
          </cell>
          <cell r="AL110">
            <v>-104</v>
          </cell>
          <cell r="AM110">
            <v>-223.6</v>
          </cell>
          <cell r="AN110">
            <v>-127.6</v>
          </cell>
          <cell r="AO110">
            <v>0</v>
          </cell>
          <cell r="AP110">
            <v>-206.20000000000002</v>
          </cell>
          <cell r="AQ110">
            <v>0</v>
          </cell>
          <cell r="AR110">
            <v>-333.8</v>
          </cell>
          <cell r="AS110">
            <v>0</v>
          </cell>
          <cell r="AT110">
            <v>-100</v>
          </cell>
          <cell r="AU110">
            <v>-25.099999999999994</v>
          </cell>
          <cell r="AV110">
            <v>-71.400000000000006</v>
          </cell>
          <cell r="AW110">
            <v>-196.5</v>
          </cell>
          <cell r="AX110">
            <v>-91.3</v>
          </cell>
          <cell r="AY110">
            <v>-259.09999999999997</v>
          </cell>
          <cell r="AZ110">
            <v>-397.20000000000005</v>
          </cell>
          <cell r="BA110">
            <v>-145.5</v>
          </cell>
          <cell r="BB110">
            <v>-893.1</v>
          </cell>
          <cell r="BC110">
            <v>-201.6</v>
          </cell>
          <cell r="BD110">
            <v>-258.10000000000002</v>
          </cell>
          <cell r="BE110">
            <v>-270.14999999999998</v>
          </cell>
          <cell r="BF110">
            <v>-270.14999999999998</v>
          </cell>
          <cell r="BG110">
            <v>-1000</v>
          </cell>
          <cell r="BH110">
            <v>-125</v>
          </cell>
          <cell r="BI110">
            <v>-125</v>
          </cell>
          <cell r="BJ110">
            <v>-125</v>
          </cell>
          <cell r="BK110">
            <v>-125</v>
          </cell>
          <cell r="BL110">
            <v>-500</v>
          </cell>
          <cell r="BM110">
            <v>-250</v>
          </cell>
          <cell r="BN110">
            <v>-250</v>
          </cell>
          <cell r="BO110">
            <v>-250</v>
          </cell>
          <cell r="BP110">
            <v>-250</v>
          </cell>
          <cell r="BQ110">
            <v>-1000</v>
          </cell>
          <cell r="BR110">
            <v>-1000</v>
          </cell>
          <cell r="BS110">
            <v>-1000</v>
          </cell>
          <cell r="BT110">
            <v>-1000</v>
          </cell>
          <cell r="BU110">
            <v>-1000</v>
          </cell>
          <cell r="BZ110" t="str">
            <v>Cost of treasury shares repurchased</v>
          </cell>
          <cell r="CA110">
            <v>0</v>
          </cell>
          <cell r="CB110">
            <v>0</v>
          </cell>
          <cell r="CC110">
            <v>-71.8</v>
          </cell>
          <cell r="CD110">
            <v>-267.60000000000002</v>
          </cell>
          <cell r="CE110">
            <v>-369.9</v>
          </cell>
          <cell r="CF110">
            <v>-171.7</v>
          </cell>
          <cell r="CG110">
            <v>-221.3</v>
          </cell>
          <cell r="CH110">
            <v>-691.7</v>
          </cell>
          <cell r="CI110">
            <v>-1093.5999999999999</v>
          </cell>
          <cell r="CJ110">
            <v>-1738.4</v>
          </cell>
          <cell r="CK110">
            <v>-592.9</v>
          </cell>
          <cell r="CL110">
            <v>0</v>
          </cell>
          <cell r="CM110">
            <v>-223.6</v>
          </cell>
          <cell r="CN110">
            <v>-333.8</v>
          </cell>
          <cell r="CO110">
            <v>-196.5</v>
          </cell>
          <cell r="CP110">
            <v>-893.1</v>
          </cell>
          <cell r="CQ110">
            <v>-1000</v>
          </cell>
          <cell r="CR110">
            <v>-500</v>
          </cell>
          <cell r="CS110">
            <v>-1000</v>
          </cell>
          <cell r="CT110">
            <v>-1000</v>
          </cell>
          <cell r="CU110">
            <v>-1000</v>
          </cell>
          <cell r="CV110">
            <v>-1000</v>
          </cell>
          <cell r="CW110">
            <v>-1000</v>
          </cell>
          <cell r="CY110">
            <v>-790.3</v>
          </cell>
          <cell r="DA110" t="str">
            <v>mstag:fundsUsedToRepurchaseCommonStock</v>
          </cell>
          <cell r="DB110">
            <v>6</v>
          </cell>
          <cell r="DC110" t="str">
            <v>ISO4217:USD</v>
          </cell>
          <cell r="DD110" t="b">
            <v>1</v>
          </cell>
        </row>
        <row r="111">
          <cell r="A111" t="str">
            <v>Excess tax benefits from stock-based compensation plans</v>
          </cell>
          <cell r="C111">
            <v>0</v>
          </cell>
          <cell r="D111">
            <v>0</v>
          </cell>
          <cell r="E111">
            <v>0</v>
          </cell>
          <cell r="F111">
            <v>0</v>
          </cell>
          <cell r="G111">
            <v>0</v>
          </cell>
          <cell r="H111">
            <v>0</v>
          </cell>
          <cell r="I111">
            <v>0</v>
          </cell>
          <cell r="J111">
            <v>0</v>
          </cell>
          <cell r="K111">
            <v>0</v>
          </cell>
          <cell r="L111">
            <v>0</v>
          </cell>
          <cell r="M111">
            <v>0</v>
          </cell>
          <cell r="N111">
            <v>0</v>
          </cell>
          <cell r="O111">
            <v>61.5</v>
          </cell>
          <cell r="P111">
            <v>12.799999999999997</v>
          </cell>
          <cell r="Q111">
            <v>11</v>
          </cell>
          <cell r="R111">
            <v>17.900000000000006</v>
          </cell>
          <cell r="S111">
            <v>103.2</v>
          </cell>
          <cell r="T111">
            <v>29.7</v>
          </cell>
          <cell r="U111">
            <v>13.099999999999998</v>
          </cell>
          <cell r="V111">
            <v>4.5</v>
          </cell>
          <cell r="W111">
            <v>4.9000000000000057</v>
          </cell>
          <cell r="X111">
            <v>52.2</v>
          </cell>
          <cell r="Y111">
            <v>1.7</v>
          </cell>
          <cell r="Z111">
            <v>3.8</v>
          </cell>
          <cell r="AA111">
            <v>1.9000000000000004</v>
          </cell>
          <cell r="AB111">
            <v>9.9999999999999645E-2</v>
          </cell>
          <cell r="AC111">
            <v>7.5</v>
          </cell>
          <cell r="AD111">
            <v>0.4</v>
          </cell>
          <cell r="AE111">
            <v>2.5</v>
          </cell>
          <cell r="AF111">
            <v>0.30000000000000027</v>
          </cell>
          <cell r="AG111">
            <v>1.7999999999999994</v>
          </cell>
          <cell r="AH111">
            <v>5</v>
          </cell>
          <cell r="AI111">
            <v>3</v>
          </cell>
          <cell r="AJ111">
            <v>0.29999999999999982</v>
          </cell>
          <cell r="AK111">
            <v>2.8</v>
          </cell>
          <cell r="AL111">
            <v>0.90000000000000036</v>
          </cell>
          <cell r="AM111">
            <v>7</v>
          </cell>
          <cell r="AN111">
            <v>2.8</v>
          </cell>
          <cell r="AO111">
            <v>3.1000000000000005</v>
          </cell>
          <cell r="AP111">
            <v>9.9999999999999645E-2</v>
          </cell>
          <cell r="AQ111">
            <v>1.4000000000000004</v>
          </cell>
          <cell r="AR111">
            <v>7.4</v>
          </cell>
          <cell r="AS111">
            <v>8.6</v>
          </cell>
          <cell r="AT111">
            <v>0.59999999999999964</v>
          </cell>
          <cell r="AU111">
            <v>2.6000000000000014</v>
          </cell>
          <cell r="AV111">
            <v>3.8999999999999986</v>
          </cell>
          <cell r="AW111">
            <v>15.7</v>
          </cell>
          <cell r="AX111">
            <v>16.100000000000001</v>
          </cell>
          <cell r="AY111">
            <v>10.899999999999999</v>
          </cell>
          <cell r="AZ111">
            <v>5.3999999999999986</v>
          </cell>
          <cell r="BA111">
            <v>6.3999999999999986</v>
          </cell>
          <cell r="BB111">
            <v>38.799999999999997</v>
          </cell>
          <cell r="BC111">
            <v>38.799999999999997</v>
          </cell>
          <cell r="BD111">
            <v>6.4000000000000057</v>
          </cell>
          <cell r="BE111">
            <v>0</v>
          </cell>
          <cell r="BF111">
            <v>0</v>
          </cell>
          <cell r="BG111">
            <v>45.2</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Z111" t="str">
            <v>Excess tax benefits from stock-based compensation plans</v>
          </cell>
          <cell r="CA111">
            <v>0</v>
          </cell>
          <cell r="CB111">
            <v>0</v>
          </cell>
          <cell r="CC111">
            <v>0</v>
          </cell>
          <cell r="CD111">
            <v>0</v>
          </cell>
          <cell r="CE111">
            <v>0</v>
          </cell>
          <cell r="CF111">
            <v>0</v>
          </cell>
          <cell r="CG111">
            <v>0</v>
          </cell>
          <cell r="CH111">
            <v>0</v>
          </cell>
          <cell r="CI111">
            <v>103.2</v>
          </cell>
          <cell r="CJ111">
            <v>52.2</v>
          </cell>
          <cell r="CK111">
            <v>7.5</v>
          </cell>
          <cell r="CL111">
            <v>5</v>
          </cell>
          <cell r="CM111">
            <v>7</v>
          </cell>
          <cell r="CN111">
            <v>7.4</v>
          </cell>
          <cell r="CO111">
            <v>15.7</v>
          </cell>
          <cell r="CP111">
            <v>38.799999999999997</v>
          </cell>
          <cell r="CQ111">
            <v>45.2</v>
          </cell>
          <cell r="CR111">
            <v>0</v>
          </cell>
          <cell r="CS111">
            <v>0</v>
          </cell>
          <cell r="CT111">
            <v>0</v>
          </cell>
          <cell r="CU111">
            <v>0</v>
          </cell>
          <cell r="CV111">
            <v>0</v>
          </cell>
          <cell r="CW111">
            <v>0</v>
          </cell>
          <cell r="CY111">
            <v>0</v>
          </cell>
          <cell r="DA111" t="str">
            <v>mstag:taxBenefitFromExerciseOfEsosCashFlowStatement</v>
          </cell>
          <cell r="DB111">
            <v>6</v>
          </cell>
          <cell r="DC111" t="str">
            <v>ISO4217:USD</v>
          </cell>
          <cell r="DD111" t="b">
            <v>0</v>
          </cell>
        </row>
        <row r="112">
          <cell r="A112" t="str">
            <v>Payment of dividends</v>
          </cell>
          <cell r="C112">
            <v>0</v>
          </cell>
          <cell r="D112">
            <v>0</v>
          </cell>
          <cell r="E112">
            <v>-7.2</v>
          </cell>
          <cell r="F112">
            <v>-28.3</v>
          </cell>
          <cell r="G112">
            <v>-27.8</v>
          </cell>
          <cell r="H112">
            <v>-26.8</v>
          </cell>
          <cell r="I112">
            <v>-44.7</v>
          </cell>
          <cell r="J112">
            <v>-11.2</v>
          </cell>
          <cell r="K112">
            <v>-16.600000000000001</v>
          </cell>
          <cell r="L112">
            <v>-16.599999999999998</v>
          </cell>
          <cell r="M112">
            <v>-15.899999999999991</v>
          </cell>
          <cell r="N112">
            <v>-60.29999999999999</v>
          </cell>
          <cell r="O112">
            <v>-20.399999999999999</v>
          </cell>
          <cell r="P112">
            <v>-19.899999999999999</v>
          </cell>
          <cell r="Q112">
            <v>-19.600000000000001</v>
          </cell>
          <cell r="R112">
            <v>-19.600000000000001</v>
          </cell>
          <cell r="S112">
            <v>-79.5</v>
          </cell>
          <cell r="T112">
            <v>-22.3</v>
          </cell>
          <cell r="U112">
            <v>-21.599999999999998</v>
          </cell>
          <cell r="V112">
            <v>-20.800000000000004</v>
          </cell>
          <cell r="W112">
            <v>-20.5</v>
          </cell>
          <cell r="X112">
            <v>-85.2</v>
          </cell>
          <cell r="Y112">
            <v>-24.7</v>
          </cell>
          <cell r="Z112">
            <v>-24.500000000000004</v>
          </cell>
          <cell r="AA112">
            <v>-24.099999999999994</v>
          </cell>
          <cell r="AB112">
            <v>-23.5</v>
          </cell>
          <cell r="AC112">
            <v>-96.8</v>
          </cell>
          <cell r="AD112">
            <v>-23.5</v>
          </cell>
          <cell r="AE112">
            <v>-23.700000000000003</v>
          </cell>
          <cell r="AF112">
            <v>-23.599999999999994</v>
          </cell>
          <cell r="AG112">
            <v>-23.700000000000003</v>
          </cell>
          <cell r="AH112">
            <v>-94.5</v>
          </cell>
          <cell r="AI112">
            <v>-24.9</v>
          </cell>
          <cell r="AJ112">
            <v>-24.6</v>
          </cell>
          <cell r="AK112">
            <v>-24.599999999999994</v>
          </cell>
          <cell r="AL112">
            <v>-24.499999999999993</v>
          </cell>
          <cell r="AM112">
            <v>-98.6</v>
          </cell>
          <cell r="AN112">
            <v>-26.3</v>
          </cell>
          <cell r="AO112">
            <v>-31.900000000000002</v>
          </cell>
          <cell r="AP112">
            <v>-31.700000000000006</v>
          </cell>
          <cell r="AQ112">
            <v>-31.099999999999991</v>
          </cell>
          <cell r="AR112">
            <v>-121</v>
          </cell>
          <cell r="AS112">
            <v>-35.700000000000003</v>
          </cell>
          <cell r="AT112">
            <v>-35.899999999999991</v>
          </cell>
          <cell r="AU112">
            <v>-35.700000000000003</v>
          </cell>
          <cell r="AV112">
            <v>-35.700000000000003</v>
          </cell>
          <cell r="AW112">
            <v>-143</v>
          </cell>
          <cell r="AX112">
            <v>-44.5</v>
          </cell>
          <cell r="AY112">
            <v>-44.599999999999994</v>
          </cell>
          <cell r="AZ112">
            <v>-54.599999999999994</v>
          </cell>
          <cell r="BA112">
            <v>-53.600000000000023</v>
          </cell>
          <cell r="BB112">
            <v>-197.3</v>
          </cell>
          <cell r="BC112">
            <v>-59.9</v>
          </cell>
          <cell r="BD112">
            <v>-59.300000000000004</v>
          </cell>
          <cell r="BE112">
            <v>-58.705693088595957</v>
          </cell>
          <cell r="BF112">
            <v>-57.840124945787849</v>
          </cell>
          <cell r="BG112">
            <v>-235.74581803438383</v>
          </cell>
          <cell r="BH112">
            <v>-65.379530433523286</v>
          </cell>
          <cell r="BI112">
            <v>-64.921812159121188</v>
          </cell>
          <cell r="BJ112">
            <v>-64.464093884719077</v>
          </cell>
          <cell r="BK112">
            <v>-64.006375610316979</v>
          </cell>
          <cell r="BL112">
            <v>-258.77181208768053</v>
          </cell>
          <cell r="BM112">
            <v>-71.234772973553035</v>
          </cell>
          <cell r="BN112">
            <v>-70.204906856148298</v>
          </cell>
          <cell r="BO112">
            <v>-69.175040738743576</v>
          </cell>
          <cell r="BP112">
            <v>-68.145174621338839</v>
          </cell>
          <cell r="BQ112">
            <v>-278.75989518978372</v>
          </cell>
          <cell r="BR112">
            <v>-269.5676494588443</v>
          </cell>
          <cell r="BS112">
            <v>-259.4599671791006</v>
          </cell>
          <cell r="BT112">
            <v>-248.43684835055274</v>
          </cell>
          <cell r="BU112">
            <v>-236.49829297320059</v>
          </cell>
          <cell r="BZ112" t="str">
            <v>Payment of dividends</v>
          </cell>
          <cell r="CA112">
            <v>0</v>
          </cell>
          <cell r="CB112">
            <v>0</v>
          </cell>
          <cell r="CC112">
            <v>-7.2</v>
          </cell>
          <cell r="CD112">
            <v>-28.3</v>
          </cell>
          <cell r="CE112">
            <v>-27.8</v>
          </cell>
          <cell r="CF112">
            <v>-26.8</v>
          </cell>
          <cell r="CG112">
            <v>-44.7</v>
          </cell>
          <cell r="CH112">
            <v>-60.29999999999999</v>
          </cell>
          <cell r="CI112">
            <v>-79.5</v>
          </cell>
          <cell r="CJ112">
            <v>-85.2</v>
          </cell>
          <cell r="CK112">
            <v>-96.8</v>
          </cell>
          <cell r="CL112">
            <v>-94.5</v>
          </cell>
          <cell r="CM112">
            <v>-98.6</v>
          </cell>
          <cell r="CN112">
            <v>-121</v>
          </cell>
          <cell r="CO112">
            <v>-143</v>
          </cell>
          <cell r="CP112">
            <v>-197.3</v>
          </cell>
          <cell r="CQ112">
            <v>-235.74581803438383</v>
          </cell>
          <cell r="CR112">
            <v>-258.77181208768053</v>
          </cell>
          <cell r="CS112">
            <v>-278.75989518978372</v>
          </cell>
          <cell r="CT112">
            <v>-269.5676494588443</v>
          </cell>
          <cell r="CU112">
            <v>-259.4599671791006</v>
          </cell>
          <cell r="CV112">
            <v>-248.43684835055274</v>
          </cell>
          <cell r="CW112">
            <v>-236.49829297320059</v>
          </cell>
          <cell r="CY112">
            <v>-246.8471606270283</v>
          </cell>
          <cell r="DA112" t="str">
            <v>mstag:cashDividendsPaidcommon</v>
          </cell>
          <cell r="DB112">
            <v>6</v>
          </cell>
          <cell r="DC112" t="str">
            <v>ISO4217:USD</v>
          </cell>
          <cell r="DD112" t="b">
            <v>1</v>
          </cell>
        </row>
        <row r="113">
          <cell r="A113" t="str">
            <v>Payment of dividends to noncontrolling interests</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-2</v>
          </cell>
          <cell r="AA113">
            <v>2</v>
          </cell>
          <cell r="AB113">
            <v>0</v>
          </cell>
          <cell r="AC113">
            <v>0</v>
          </cell>
          <cell r="AD113">
            <v>-2.9</v>
          </cell>
          <cell r="AE113">
            <v>0</v>
          </cell>
          <cell r="AF113">
            <v>0</v>
          </cell>
          <cell r="AG113">
            <v>-0.80000000000000027</v>
          </cell>
          <cell r="AH113">
            <v>-3.7</v>
          </cell>
          <cell r="AI113">
            <v>-0.6</v>
          </cell>
          <cell r="AJ113">
            <v>-3.4999999999999996</v>
          </cell>
          <cell r="AK113">
            <v>-0.30000000000000071</v>
          </cell>
          <cell r="AL113">
            <v>-0.39999999999999991</v>
          </cell>
          <cell r="AM113">
            <v>-4.8000000000000007</v>
          </cell>
          <cell r="AN113">
            <v>-4</v>
          </cell>
          <cell r="AO113">
            <v>-0.5</v>
          </cell>
          <cell r="AP113">
            <v>-0.29999999999999982</v>
          </cell>
          <cell r="AQ113">
            <v>-0.29999999999999982</v>
          </cell>
          <cell r="AR113">
            <v>-5.0999999999999996</v>
          </cell>
          <cell r="AS113">
            <v>-3.7</v>
          </cell>
          <cell r="AT113">
            <v>-0.79999999999999982</v>
          </cell>
          <cell r="AU113">
            <v>-2.2999999999999998</v>
          </cell>
          <cell r="AV113">
            <v>-1.5000000000000009</v>
          </cell>
          <cell r="AW113">
            <v>-8.3000000000000007</v>
          </cell>
          <cell r="AX113">
            <v>-6.1</v>
          </cell>
          <cell r="AY113">
            <v>-2.0999999999999996</v>
          </cell>
          <cell r="AZ113">
            <v>-1.7000000000000011</v>
          </cell>
          <cell r="BA113">
            <v>-2.2999999999999989</v>
          </cell>
          <cell r="BB113">
            <v>-12.2</v>
          </cell>
          <cell r="BC113">
            <v>-5.4</v>
          </cell>
          <cell r="BD113">
            <v>-2.2999999999999998</v>
          </cell>
          <cell r="BE113">
            <v>-2.2999999999999998</v>
          </cell>
          <cell r="BF113">
            <v>-2.2999999999999998</v>
          </cell>
          <cell r="BG113">
            <v>-12.3</v>
          </cell>
          <cell r="BH113">
            <v>-3.0750000000000002</v>
          </cell>
          <cell r="BI113">
            <v>-3.0750000000000002</v>
          </cell>
          <cell r="BJ113">
            <v>-3.0750000000000002</v>
          </cell>
          <cell r="BK113">
            <v>-3.0749999999999993</v>
          </cell>
          <cell r="BL113">
            <v>-12.3</v>
          </cell>
          <cell r="BM113">
            <v>-3.0750000000000002</v>
          </cell>
          <cell r="BN113">
            <v>-3.0750000000000002</v>
          </cell>
          <cell r="BO113">
            <v>-3.0750000000000002</v>
          </cell>
          <cell r="BP113">
            <v>-3.0749999999999993</v>
          </cell>
          <cell r="BQ113">
            <v>-12.3</v>
          </cell>
          <cell r="BR113">
            <v>-12.3</v>
          </cell>
          <cell r="BS113">
            <v>-12.3</v>
          </cell>
          <cell r="BT113">
            <v>-12.3</v>
          </cell>
          <cell r="BU113">
            <v>-12.3</v>
          </cell>
          <cell r="BZ113" t="str">
            <v>Payment of dividends to noncontrolling interests</v>
          </cell>
          <cell r="CA113">
            <v>0</v>
          </cell>
          <cell r="CB113">
            <v>0</v>
          </cell>
          <cell r="CC113">
            <v>0</v>
          </cell>
          <cell r="CD113">
            <v>0</v>
          </cell>
          <cell r="CE113">
            <v>0</v>
          </cell>
          <cell r="CF113">
            <v>0</v>
          </cell>
          <cell r="CG113">
            <v>0</v>
          </cell>
          <cell r="CH113">
            <v>0</v>
          </cell>
          <cell r="CI113">
            <v>0</v>
          </cell>
          <cell r="CJ113">
            <v>0</v>
          </cell>
          <cell r="CK113">
            <v>0</v>
          </cell>
          <cell r="CL113">
            <v>-3.7</v>
          </cell>
          <cell r="CM113">
            <v>-4.8000000000000007</v>
          </cell>
          <cell r="CN113">
            <v>-5.0999999999999996</v>
          </cell>
          <cell r="CO113">
            <v>-8.3000000000000007</v>
          </cell>
          <cell r="CP113">
            <v>-12.2</v>
          </cell>
          <cell r="CQ113">
            <v>-12.3</v>
          </cell>
          <cell r="CR113">
            <v>-12.3</v>
          </cell>
          <cell r="CS113">
            <v>-12.3</v>
          </cell>
          <cell r="CT113">
            <v>-12.3</v>
          </cell>
          <cell r="CU113">
            <v>-12.3</v>
          </cell>
          <cell r="CV113">
            <v>-12.3</v>
          </cell>
          <cell r="CW113">
            <v>-12.3</v>
          </cell>
          <cell r="CY113">
            <v>-10.75</v>
          </cell>
          <cell r="DA113" t="str">
            <v>mstag:netIncreaseInMinorityInterestsInShareholdersEquity</v>
          </cell>
          <cell r="DB113">
            <v>6</v>
          </cell>
          <cell r="DC113" t="str">
            <v>ISO4217:USD</v>
          </cell>
          <cell r="DD113" t="b">
            <v>0</v>
          </cell>
        </row>
        <row r="114">
          <cell r="A114" t="str">
            <v xml:space="preserve">Debt issuance costs and related fees </v>
          </cell>
          <cell r="C114">
            <v>0</v>
          </cell>
          <cell r="D114">
            <v>0</v>
          </cell>
          <cell r="E114">
            <v>0</v>
          </cell>
          <cell r="F114">
            <v>0</v>
          </cell>
          <cell r="G114">
            <v>0</v>
          </cell>
          <cell r="H114">
            <v>0</v>
          </cell>
          <cell r="I114">
            <v>0</v>
          </cell>
          <cell r="J114">
            <v>0</v>
          </cell>
          <cell r="K114">
            <v>0</v>
          </cell>
          <cell r="L114">
            <v>-2</v>
          </cell>
          <cell r="M114">
            <v>-0.29999999999999982</v>
          </cell>
          <cell r="N114">
            <v>-2.2999999999999998</v>
          </cell>
          <cell r="O114">
            <v>0</v>
          </cell>
          <cell r="P114">
            <v>0</v>
          </cell>
          <cell r="Q114">
            <v>0</v>
          </cell>
          <cell r="R114">
            <v>0</v>
          </cell>
          <cell r="S114">
            <v>0</v>
          </cell>
          <cell r="T114">
            <v>0</v>
          </cell>
          <cell r="U114">
            <v>0</v>
          </cell>
          <cell r="V114">
            <v>0</v>
          </cell>
          <cell r="W114">
            <v>-1.4</v>
          </cell>
          <cell r="X114">
            <v>-1.4</v>
          </cell>
          <cell r="Y114">
            <v>0</v>
          </cell>
          <cell r="Z114">
            <v>-0.7</v>
          </cell>
          <cell r="AA114">
            <v>0</v>
          </cell>
          <cell r="AB114">
            <v>0</v>
          </cell>
          <cell r="AC114">
            <v>-0.7</v>
          </cell>
          <cell r="AD114">
            <v>0</v>
          </cell>
          <cell r="AE114">
            <v>0</v>
          </cell>
          <cell r="AF114">
            <v>0</v>
          </cell>
          <cell r="AG114">
            <v>0</v>
          </cell>
          <cell r="AH114">
            <v>0</v>
          </cell>
          <cell r="AI114">
            <v>0</v>
          </cell>
          <cell r="AJ114">
            <v>0</v>
          </cell>
          <cell r="AK114">
            <v>-4</v>
          </cell>
          <cell r="AL114">
            <v>-0.29999999999999982</v>
          </cell>
          <cell r="AM114">
            <v>-4.3</v>
          </cell>
          <cell r="AN114">
            <v>0</v>
          </cell>
          <cell r="AO114">
            <v>0</v>
          </cell>
          <cell r="AP114">
            <v>0</v>
          </cell>
          <cell r="AQ114">
            <v>0</v>
          </cell>
          <cell r="AR114">
            <v>0</v>
          </cell>
          <cell r="AS114">
            <v>0</v>
          </cell>
          <cell r="AT114">
            <v>-2.5</v>
          </cell>
          <cell r="AU114">
            <v>-3.8</v>
          </cell>
          <cell r="AV114">
            <v>0</v>
          </cell>
          <cell r="AW114">
            <v>-6.3</v>
          </cell>
          <cell r="AX114">
            <v>0</v>
          </cell>
          <cell r="AY114">
            <v>0</v>
          </cell>
          <cell r="AZ114">
            <v>-4.0999999999999996</v>
          </cell>
          <cell r="BA114">
            <v>0</v>
          </cell>
          <cell r="BB114">
            <v>-4.0999999999999996</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Z114" t="str">
            <v xml:space="preserve">Debt issuance costs and related fees </v>
          </cell>
          <cell r="CA114">
            <v>0</v>
          </cell>
          <cell r="CB114">
            <v>0</v>
          </cell>
          <cell r="CC114">
            <v>0</v>
          </cell>
          <cell r="CD114">
            <v>0</v>
          </cell>
          <cell r="CE114">
            <v>0</v>
          </cell>
          <cell r="CF114">
            <v>0</v>
          </cell>
          <cell r="CG114">
            <v>0</v>
          </cell>
          <cell r="CH114">
            <v>-2.2999999999999998</v>
          </cell>
          <cell r="CI114">
            <v>0</v>
          </cell>
          <cell r="CJ114">
            <v>-1.4</v>
          </cell>
          <cell r="CK114">
            <v>-0.7</v>
          </cell>
          <cell r="CL114">
            <v>0</v>
          </cell>
          <cell r="CM114">
            <v>-4.3</v>
          </cell>
          <cell r="CN114">
            <v>0</v>
          </cell>
          <cell r="CO114">
            <v>-6.3</v>
          </cell>
          <cell r="CP114">
            <v>-4.0999999999999996</v>
          </cell>
          <cell r="CQ114">
            <v>0</v>
          </cell>
          <cell r="CR114">
            <v>0</v>
          </cell>
          <cell r="CS114">
            <v>0</v>
          </cell>
          <cell r="CT114">
            <v>0</v>
          </cell>
          <cell r="CU114">
            <v>0</v>
          </cell>
          <cell r="CV114">
            <v>0</v>
          </cell>
          <cell r="CW114">
            <v>0</v>
          </cell>
          <cell r="CY114">
            <v>0</v>
          </cell>
          <cell r="DA114" t="str">
            <v>mstag:otherCashFlowsFromUsedInFinancingActivities</v>
          </cell>
          <cell r="DB114">
            <v>6</v>
          </cell>
          <cell r="DC114" t="str">
            <v>ISO4217:USD</v>
          </cell>
          <cell r="DD114" t="b">
            <v>0</v>
          </cell>
        </row>
        <row r="115">
          <cell r="A115" t="str">
            <v>Payments under capital lease obligations</v>
          </cell>
          <cell r="C115">
            <v>-182</v>
          </cell>
          <cell r="D115">
            <v>-186.4</v>
          </cell>
          <cell r="E115">
            <v>-152.1</v>
          </cell>
          <cell r="F115">
            <v>0</v>
          </cell>
          <cell r="G115">
            <v>0</v>
          </cell>
          <cell r="H115">
            <v>-1.1000000000000001</v>
          </cell>
          <cell r="I115">
            <v>-1.3</v>
          </cell>
          <cell r="J115">
            <v>-0.3</v>
          </cell>
          <cell r="K115">
            <v>-0.3</v>
          </cell>
          <cell r="L115">
            <v>-0.30000000000000004</v>
          </cell>
          <cell r="M115">
            <v>-0.39999999999999991</v>
          </cell>
          <cell r="N115">
            <v>-1.2999999999999998</v>
          </cell>
          <cell r="O115">
            <v>0</v>
          </cell>
          <cell r="P115">
            <v>0</v>
          </cell>
          <cell r="Q115">
            <v>0</v>
          </cell>
          <cell r="R115">
            <v>-0.6</v>
          </cell>
          <cell r="S115">
            <v>-0.6</v>
          </cell>
          <cell r="T115">
            <v>-0.4</v>
          </cell>
          <cell r="U115">
            <v>-0.5</v>
          </cell>
          <cell r="V115">
            <v>-0.70000000000000007</v>
          </cell>
          <cell r="W115">
            <v>-0.39999999999999991</v>
          </cell>
          <cell r="X115">
            <v>-2</v>
          </cell>
          <cell r="Y115">
            <v>-0.5</v>
          </cell>
          <cell r="Z115">
            <v>-0.4</v>
          </cell>
          <cell r="AA115">
            <v>-0.4</v>
          </cell>
          <cell r="AB115">
            <v>-0.39999999999999991</v>
          </cell>
          <cell r="AC115">
            <v>-1.7</v>
          </cell>
          <cell r="AD115">
            <v>-0.4</v>
          </cell>
          <cell r="AE115">
            <v>-0.4</v>
          </cell>
          <cell r="AF115">
            <v>-0.30000000000000004</v>
          </cell>
          <cell r="AG115">
            <v>-0.29999999999999982</v>
          </cell>
          <cell r="AH115">
            <v>-1.4</v>
          </cell>
          <cell r="AI115">
            <v>-0.3</v>
          </cell>
          <cell r="AJ115">
            <v>-0.39999999999999997</v>
          </cell>
          <cell r="AK115">
            <v>-0.3</v>
          </cell>
          <cell r="AL115">
            <v>-0.19999999999999996</v>
          </cell>
          <cell r="AM115">
            <v>-1.2</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Z115" t="str">
            <v>Payments under capital lease obligations</v>
          </cell>
          <cell r="CA115">
            <v>-182</v>
          </cell>
          <cell r="CB115">
            <v>-186.4</v>
          </cell>
          <cell r="CC115">
            <v>-152.1</v>
          </cell>
          <cell r="CD115">
            <v>0</v>
          </cell>
          <cell r="CE115">
            <v>0</v>
          </cell>
          <cell r="CF115">
            <v>-1.1000000000000001</v>
          </cell>
          <cell r="CG115">
            <v>-1.3</v>
          </cell>
          <cell r="CH115">
            <v>-1.2999999999999998</v>
          </cell>
          <cell r="CI115">
            <v>-0.6</v>
          </cell>
          <cell r="CJ115">
            <v>-2</v>
          </cell>
          <cell r="CK115">
            <v>-1.7</v>
          </cell>
          <cell r="CL115">
            <v>-1.4</v>
          </cell>
          <cell r="CM115">
            <v>-1.2</v>
          </cell>
          <cell r="CN115">
            <v>0</v>
          </cell>
          <cell r="CO115">
            <v>0</v>
          </cell>
          <cell r="CP115">
            <v>0</v>
          </cell>
          <cell r="CQ115">
            <v>0</v>
          </cell>
          <cell r="CR115">
            <v>0</v>
          </cell>
          <cell r="CS115">
            <v>0</v>
          </cell>
          <cell r="CT115">
            <v>0</v>
          </cell>
          <cell r="CU115">
            <v>0</v>
          </cell>
          <cell r="CV115">
            <v>0</v>
          </cell>
          <cell r="CW115">
            <v>0</v>
          </cell>
          <cell r="CY115">
            <v>0</v>
          </cell>
          <cell r="DA115" t="str">
            <v>mstag:proceedsFromIssuanceAndCashUsedToRepayLongTermDebt</v>
          </cell>
          <cell r="DB115">
            <v>6</v>
          </cell>
          <cell r="DC115" t="str">
            <v>ISO4217:USD</v>
          </cell>
          <cell r="DD115" t="b">
            <v>0</v>
          </cell>
        </row>
        <row r="116">
          <cell r="A116" t="str">
            <v>Others</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-0.3</v>
          </cell>
          <cell r="AR116">
            <v>-0.3</v>
          </cell>
          <cell r="AS116">
            <v>0</v>
          </cell>
          <cell r="AT116">
            <v>-0.5</v>
          </cell>
          <cell r="AU116">
            <v>0</v>
          </cell>
          <cell r="AV116">
            <v>0</v>
          </cell>
          <cell r="AW116">
            <v>-0.5</v>
          </cell>
          <cell r="AX116">
            <v>0</v>
          </cell>
          <cell r="AY116">
            <v>-2.5</v>
          </cell>
          <cell r="AZ116">
            <v>2.2000000000000002</v>
          </cell>
          <cell r="BA116">
            <v>0</v>
          </cell>
          <cell r="BB116">
            <v>-0.29999999999999982</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Z116" t="str">
            <v>Others</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-0.3</v>
          </cell>
          <cell r="CO116">
            <v>-0.5</v>
          </cell>
          <cell r="CP116">
            <v>-0.29999999999999982</v>
          </cell>
          <cell r="CQ116">
            <v>0</v>
          </cell>
          <cell r="CR116">
            <v>0</v>
          </cell>
          <cell r="CS116">
            <v>0</v>
          </cell>
          <cell r="CT116">
            <v>0</v>
          </cell>
          <cell r="CU116">
            <v>0</v>
          </cell>
          <cell r="CV116">
            <v>0</v>
          </cell>
          <cell r="CW116">
            <v>0</v>
          </cell>
          <cell r="CY116">
            <v>0</v>
          </cell>
          <cell r="DA116" t="str">
            <v>mstag:otherCashFlowsFromUsedInFinancingActivities</v>
          </cell>
          <cell r="DB116">
            <v>6</v>
          </cell>
          <cell r="DC116" t="str">
            <v>ISO4217:USD</v>
          </cell>
          <cell r="DD116" t="b">
            <v>0</v>
          </cell>
        </row>
        <row r="117">
          <cell r="C117" t="str">
            <v xml:space="preserve">______ </v>
          </cell>
          <cell r="D117" t="str">
            <v xml:space="preserve">______ </v>
          </cell>
          <cell r="E117" t="str">
            <v xml:space="preserve">______ </v>
          </cell>
          <cell r="F117" t="str">
            <v xml:space="preserve">______ </v>
          </cell>
          <cell r="G117" t="str">
            <v xml:space="preserve">______ </v>
          </cell>
          <cell r="H117" t="str">
            <v xml:space="preserve">______ </v>
          </cell>
          <cell r="I117" t="str">
            <v xml:space="preserve">______ </v>
          </cell>
          <cell r="J117" t="str">
            <v xml:space="preserve">______ </v>
          </cell>
          <cell r="K117" t="str">
            <v xml:space="preserve">______ </v>
          </cell>
          <cell r="L117" t="str">
            <v xml:space="preserve">______ </v>
          </cell>
          <cell r="M117" t="str">
            <v xml:space="preserve">______ </v>
          </cell>
          <cell r="N117" t="str">
            <v xml:space="preserve">______ </v>
          </cell>
          <cell r="O117" t="str">
            <v xml:space="preserve">______ </v>
          </cell>
          <cell r="P117" t="str">
            <v xml:space="preserve">______ </v>
          </cell>
          <cell r="Q117" t="str">
            <v xml:space="preserve">______ </v>
          </cell>
          <cell r="R117" t="str">
            <v xml:space="preserve">______ </v>
          </cell>
          <cell r="S117" t="str">
            <v xml:space="preserve">______ </v>
          </cell>
          <cell r="T117" t="str">
            <v xml:space="preserve">______ </v>
          </cell>
          <cell r="U117" t="str">
            <v xml:space="preserve">______ </v>
          </cell>
          <cell r="V117" t="str">
            <v xml:space="preserve">______ </v>
          </cell>
          <cell r="W117" t="str">
            <v xml:space="preserve">______ </v>
          </cell>
          <cell r="X117" t="str">
            <v xml:space="preserve">______ </v>
          </cell>
          <cell r="Y117" t="str">
            <v xml:space="preserve">______ </v>
          </cell>
          <cell r="Z117" t="str">
            <v xml:space="preserve">______ </v>
          </cell>
          <cell r="AA117" t="str">
            <v xml:space="preserve">______ </v>
          </cell>
          <cell r="AB117" t="str">
            <v xml:space="preserve">______ </v>
          </cell>
          <cell r="AC117" t="str">
            <v xml:space="preserve">______ </v>
          </cell>
          <cell r="AD117" t="str">
            <v xml:space="preserve">______ </v>
          </cell>
          <cell r="AE117" t="str">
            <v xml:space="preserve">______ </v>
          </cell>
          <cell r="AF117" t="str">
            <v xml:space="preserve">______ </v>
          </cell>
          <cell r="AG117" t="str">
            <v xml:space="preserve">______ </v>
          </cell>
          <cell r="AH117" t="str">
            <v xml:space="preserve">______ </v>
          </cell>
          <cell r="AI117" t="str">
            <v xml:space="preserve">______ </v>
          </cell>
          <cell r="AJ117" t="str">
            <v xml:space="preserve">______ </v>
          </cell>
          <cell r="AK117" t="str">
            <v xml:space="preserve">______ </v>
          </cell>
          <cell r="AL117" t="str">
            <v xml:space="preserve">______ </v>
          </cell>
          <cell r="AM117" t="str">
            <v xml:space="preserve">______ </v>
          </cell>
          <cell r="AN117" t="str">
            <v xml:space="preserve">______ </v>
          </cell>
          <cell r="AO117" t="str">
            <v xml:space="preserve">______ </v>
          </cell>
          <cell r="AP117" t="str">
            <v xml:space="preserve">______ </v>
          </cell>
          <cell r="AQ117" t="str">
            <v xml:space="preserve">______ </v>
          </cell>
          <cell r="AR117" t="str">
            <v xml:space="preserve">______ </v>
          </cell>
          <cell r="AS117" t="str">
            <v xml:space="preserve">______ </v>
          </cell>
          <cell r="AT117" t="str">
            <v xml:space="preserve">______ </v>
          </cell>
          <cell r="AU117" t="str">
            <v xml:space="preserve">______ </v>
          </cell>
          <cell r="AV117" t="str">
            <v xml:space="preserve">______ </v>
          </cell>
          <cell r="AW117" t="str">
            <v xml:space="preserve">______ </v>
          </cell>
          <cell r="AX117" t="str">
            <v xml:space="preserve">______ </v>
          </cell>
          <cell r="AY117" t="str">
            <v xml:space="preserve">______ </v>
          </cell>
          <cell r="AZ117" t="str">
            <v xml:space="preserve">______ </v>
          </cell>
          <cell r="BA117" t="str">
            <v xml:space="preserve">______ </v>
          </cell>
          <cell r="BB117" t="str">
            <v xml:space="preserve">______ </v>
          </cell>
          <cell r="BC117" t="str">
            <v xml:space="preserve">______ </v>
          </cell>
          <cell r="BD117" t="str">
            <v xml:space="preserve">______ </v>
          </cell>
          <cell r="BE117" t="str">
            <v xml:space="preserve">______ </v>
          </cell>
          <cell r="BF117" t="str">
            <v xml:space="preserve">______ </v>
          </cell>
          <cell r="BG117" t="str">
            <v xml:space="preserve">______ </v>
          </cell>
          <cell r="BH117" t="str">
            <v xml:space="preserve">______ </v>
          </cell>
          <cell r="BI117" t="str">
            <v xml:space="preserve">______ </v>
          </cell>
          <cell r="BJ117" t="str">
            <v xml:space="preserve">______ </v>
          </cell>
          <cell r="BK117" t="str">
            <v xml:space="preserve">______ </v>
          </cell>
          <cell r="BL117" t="str">
            <v xml:space="preserve">______ </v>
          </cell>
          <cell r="BM117" t="str">
            <v xml:space="preserve">______ </v>
          </cell>
          <cell r="BN117" t="str">
            <v xml:space="preserve">______ </v>
          </cell>
          <cell r="BO117" t="str">
            <v xml:space="preserve">______ </v>
          </cell>
          <cell r="BP117" t="str">
            <v xml:space="preserve">______ </v>
          </cell>
          <cell r="BQ117" t="str">
            <v xml:space="preserve">______ </v>
          </cell>
          <cell r="BR117" t="str">
            <v xml:space="preserve">______ </v>
          </cell>
          <cell r="BS117" t="str">
            <v xml:space="preserve">______ </v>
          </cell>
          <cell r="BT117" t="str">
            <v xml:space="preserve">______ </v>
          </cell>
          <cell r="BU117" t="str">
            <v xml:space="preserve">______ </v>
          </cell>
          <cell r="CA117" t="str">
            <v xml:space="preserve">______ </v>
          </cell>
          <cell r="CB117" t="str">
            <v xml:space="preserve">______ </v>
          </cell>
          <cell r="CC117" t="str">
            <v xml:space="preserve">______ </v>
          </cell>
          <cell r="CD117" t="str">
            <v xml:space="preserve">______ </v>
          </cell>
          <cell r="CE117" t="str">
            <v xml:space="preserve">______ </v>
          </cell>
          <cell r="CF117" t="str">
            <v xml:space="preserve">______ </v>
          </cell>
          <cell r="CG117" t="str">
            <v xml:space="preserve">______ </v>
          </cell>
          <cell r="CH117" t="str">
            <v xml:space="preserve">______ </v>
          </cell>
          <cell r="CI117" t="str">
            <v xml:space="preserve">______ </v>
          </cell>
          <cell r="CJ117" t="str">
            <v xml:space="preserve">______ </v>
          </cell>
          <cell r="CK117" t="str">
            <v xml:space="preserve">______ </v>
          </cell>
          <cell r="CL117" t="str">
            <v xml:space="preserve">______ </v>
          </cell>
          <cell r="CM117" t="str">
            <v xml:space="preserve">______ </v>
          </cell>
          <cell r="CN117" t="str">
            <v xml:space="preserve">______ </v>
          </cell>
          <cell r="CO117" t="str">
            <v xml:space="preserve">______ </v>
          </cell>
          <cell r="CP117" t="str">
            <v xml:space="preserve">______ </v>
          </cell>
          <cell r="CQ117" t="str">
            <v xml:space="preserve">______ </v>
          </cell>
          <cell r="CR117" t="str">
            <v xml:space="preserve">______ </v>
          </cell>
          <cell r="CS117" t="str">
            <v xml:space="preserve">______ </v>
          </cell>
          <cell r="CT117" t="str">
            <v xml:space="preserve">______ </v>
          </cell>
          <cell r="CU117" t="str">
            <v xml:space="preserve">______ </v>
          </cell>
          <cell r="CV117" t="str">
            <v xml:space="preserve">______ </v>
          </cell>
          <cell r="CW117" t="str">
            <v xml:space="preserve">______ </v>
          </cell>
        </row>
        <row r="118">
          <cell r="A118" t="str">
            <v>Cash From Financing Activity</v>
          </cell>
          <cell r="C118">
            <v>-182</v>
          </cell>
          <cell r="D118">
            <v>-186.4</v>
          </cell>
          <cell r="E118">
            <v>81.599999999999994</v>
          </cell>
          <cell r="F118">
            <v>-248.10000000000002</v>
          </cell>
          <cell r="G118">
            <v>-236.6</v>
          </cell>
          <cell r="H118">
            <v>-227.7</v>
          </cell>
          <cell r="I118">
            <v>-162.30000000000001</v>
          </cell>
          <cell r="J118">
            <v>21.4</v>
          </cell>
          <cell r="K118">
            <v>-16.5</v>
          </cell>
          <cell r="L118">
            <v>-313.90000000000003</v>
          </cell>
          <cell r="M118">
            <v>-357.50000000000006</v>
          </cell>
          <cell r="N118">
            <v>-666.49999999999989</v>
          </cell>
          <cell r="O118">
            <v>-109.60000000000002</v>
          </cell>
          <cell r="P118">
            <v>-561.70000000000005</v>
          </cell>
          <cell r="Q118">
            <v>-161.30000000000004</v>
          </cell>
          <cell r="R118">
            <v>-132.59999999999988</v>
          </cell>
          <cell r="S118">
            <v>-965.19999999999993</v>
          </cell>
          <cell r="T118">
            <v>-334.1</v>
          </cell>
          <cell r="U118">
            <v>-159.10000000000002</v>
          </cell>
          <cell r="V118">
            <v>-200</v>
          </cell>
          <cell r="W118">
            <v>-168.29999999999953</v>
          </cell>
          <cell r="X118">
            <v>-861.49999999999955</v>
          </cell>
          <cell r="Y118">
            <v>-238.10000000000019</v>
          </cell>
          <cell r="Z118">
            <v>4.600000000000013</v>
          </cell>
          <cell r="AA118">
            <v>-37.899999999999451</v>
          </cell>
          <cell r="AB118">
            <v>-73.399999999999039</v>
          </cell>
          <cell r="AC118">
            <v>-344.79999999999887</v>
          </cell>
          <cell r="AD118">
            <v>-82.299999999999841</v>
          </cell>
          <cell r="AE118">
            <v>-90.599999999999469</v>
          </cell>
          <cell r="AF118">
            <v>-70.700000000001083</v>
          </cell>
          <cell r="AG118">
            <v>-105.19999999999872</v>
          </cell>
          <cell r="AH118">
            <v>-348.79999999999995</v>
          </cell>
          <cell r="AI118">
            <v>-111.90000000000005</v>
          </cell>
          <cell r="AJ118">
            <v>-111.89999999999978</v>
          </cell>
          <cell r="AK118">
            <v>119.1</v>
          </cell>
          <cell r="AL118">
            <v>-136.60000000000008</v>
          </cell>
          <cell r="AM118">
            <v>-241.29999999999993</v>
          </cell>
          <cell r="AN118">
            <v>-145.1</v>
          </cell>
          <cell r="AO118">
            <v>-7.9999999999999964</v>
          </cell>
          <cell r="AP118">
            <v>-239.30000000000004</v>
          </cell>
          <cell r="AQ118">
            <v>-25.299999999999997</v>
          </cell>
          <cell r="AR118">
            <v>-417.7000000000001</v>
          </cell>
          <cell r="AS118">
            <v>-7.0000000000000044</v>
          </cell>
          <cell r="AT118">
            <v>-135.5</v>
          </cell>
          <cell r="AU118">
            <v>436.90000000000003</v>
          </cell>
          <cell r="AV118">
            <v>-91.800000000000011</v>
          </cell>
          <cell r="AW118">
            <v>202.59999999999997</v>
          </cell>
          <cell r="AX118">
            <v>-156</v>
          </cell>
          <cell r="AY118">
            <v>-270.2</v>
          </cell>
          <cell r="AZ118">
            <v>82.999999999999972</v>
          </cell>
          <cell r="BA118">
            <v>-155.60000000000002</v>
          </cell>
          <cell r="BB118">
            <v>-498.80000000000007</v>
          </cell>
          <cell r="BC118">
            <v>-222.10000000000002</v>
          </cell>
          <cell r="BD118">
            <v>-279.10000000000002</v>
          </cell>
          <cell r="BE118">
            <v>-331.15569308859597</v>
          </cell>
          <cell r="BF118">
            <v>-330.29012494578785</v>
          </cell>
          <cell r="BG118">
            <v>-1162.6458180343836</v>
          </cell>
          <cell r="BH118">
            <v>-193.45453043352327</v>
          </cell>
          <cell r="BI118">
            <v>-192.99681215912119</v>
          </cell>
          <cell r="BJ118">
            <v>-192.53909388471908</v>
          </cell>
          <cell r="BK118">
            <v>-192.08137561031697</v>
          </cell>
          <cell r="BL118">
            <v>-771.07181208768043</v>
          </cell>
          <cell r="BM118">
            <v>-324.30977297355304</v>
          </cell>
          <cell r="BN118">
            <v>-323.27990685614827</v>
          </cell>
          <cell r="BO118">
            <v>-322.25004073874356</v>
          </cell>
          <cell r="BP118">
            <v>-321.2201746213388</v>
          </cell>
          <cell r="BQ118">
            <v>-1291.0598951897837</v>
          </cell>
          <cell r="BR118">
            <v>-1281.8676494588442</v>
          </cell>
          <cell r="BS118">
            <v>-1271.7599671791006</v>
          </cell>
          <cell r="BT118">
            <v>-1260.7368483505527</v>
          </cell>
          <cell r="BU118">
            <v>-1248.7982929732004</v>
          </cell>
          <cell r="BZ118" t="str">
            <v>Cash From Financing Activity</v>
          </cell>
          <cell r="CA118">
            <v>-182</v>
          </cell>
          <cell r="CB118">
            <v>-186.4</v>
          </cell>
          <cell r="CC118">
            <v>81.599999999999994</v>
          </cell>
          <cell r="CD118">
            <v>-248.10000000000002</v>
          </cell>
          <cell r="CE118">
            <v>-236.6</v>
          </cell>
          <cell r="CF118">
            <v>-227.7</v>
          </cell>
          <cell r="CG118">
            <v>-162.30000000000001</v>
          </cell>
          <cell r="CH118">
            <v>-666.49999999999989</v>
          </cell>
          <cell r="CI118">
            <v>-965.19999999999993</v>
          </cell>
          <cell r="CJ118">
            <v>-861.49999999999955</v>
          </cell>
          <cell r="CK118">
            <v>-344.79999999999887</v>
          </cell>
          <cell r="CL118">
            <v>-348.79999999999995</v>
          </cell>
          <cell r="CM118">
            <v>-241.29999999999993</v>
          </cell>
          <cell r="CN118">
            <v>-417.7000000000001</v>
          </cell>
          <cell r="CO118">
            <v>202.59999999999997</v>
          </cell>
          <cell r="CP118">
            <v>-498.80000000000007</v>
          </cell>
          <cell r="CQ118">
            <v>-1162.6458180343836</v>
          </cell>
          <cell r="CR118">
            <v>-771.07181208768043</v>
          </cell>
          <cell r="CS118">
            <v>-1291.0598951897837</v>
          </cell>
          <cell r="CT118">
            <v>-1281.8676494588442</v>
          </cell>
          <cell r="CU118">
            <v>-1271.7599671791006</v>
          </cell>
          <cell r="CV118">
            <v>-1260.7368483505527</v>
          </cell>
          <cell r="CW118">
            <v>-1248.7982929732004</v>
          </cell>
          <cell r="CY118">
            <v>-1047.8971606270284</v>
          </cell>
        </row>
        <row r="120">
          <cell r="A120" t="str">
            <v>Effect of Exchange Rate Changes on Cash</v>
          </cell>
          <cell r="C120">
            <v>0.1</v>
          </cell>
          <cell r="D120">
            <v>0.1</v>
          </cell>
          <cell r="E120">
            <v>0.1</v>
          </cell>
          <cell r="F120">
            <v>0.8</v>
          </cell>
          <cell r="G120">
            <v>2.1</v>
          </cell>
          <cell r="H120">
            <v>5.6</v>
          </cell>
          <cell r="I120">
            <v>4.4000000000000004</v>
          </cell>
          <cell r="J120">
            <v>-1.5</v>
          </cell>
          <cell r="K120">
            <v>-4.8</v>
          </cell>
          <cell r="L120">
            <v>-1.2999999999999998</v>
          </cell>
          <cell r="M120">
            <v>-3.5</v>
          </cell>
          <cell r="N120">
            <v>-11.1</v>
          </cell>
          <cell r="O120">
            <v>1.8</v>
          </cell>
          <cell r="P120">
            <v>8.6999999999999993</v>
          </cell>
          <cell r="Q120">
            <v>0</v>
          </cell>
          <cell r="R120">
            <v>8.1999999999999993</v>
          </cell>
          <cell r="S120">
            <v>18.7</v>
          </cell>
          <cell r="T120">
            <v>1.8</v>
          </cell>
          <cell r="U120">
            <v>4.8</v>
          </cell>
          <cell r="V120">
            <v>9.2000000000000011</v>
          </cell>
          <cell r="W120">
            <v>4.5999999999999979</v>
          </cell>
          <cell r="X120">
            <v>20.399999999999999</v>
          </cell>
          <cell r="Y120">
            <v>19.3</v>
          </cell>
          <cell r="Z120">
            <v>0.19999999999999929</v>
          </cell>
          <cell r="AA120">
            <v>-36.700000000000003</v>
          </cell>
          <cell r="AB120">
            <v>-33.799999999999997</v>
          </cell>
          <cell r="AC120">
            <v>-51</v>
          </cell>
          <cell r="AD120">
            <v>-3.3</v>
          </cell>
          <cell r="AE120">
            <v>32.199999999999996</v>
          </cell>
          <cell r="AF120">
            <v>-0.69999999999999574</v>
          </cell>
          <cell r="AG120">
            <v>-1.3999999999999986</v>
          </cell>
          <cell r="AH120">
            <v>26.8</v>
          </cell>
          <cell r="AI120">
            <v>-16.100000000000001</v>
          </cell>
          <cell r="AJ120">
            <v>-18.799999999999997</v>
          </cell>
          <cell r="AK120">
            <v>39.700000000000003</v>
          </cell>
          <cell r="AL120">
            <v>-2.3000000000000043</v>
          </cell>
          <cell r="AM120">
            <v>2.5</v>
          </cell>
          <cell r="AN120">
            <v>17.399999999999999</v>
          </cell>
          <cell r="AO120">
            <v>9.1000000000000014</v>
          </cell>
          <cell r="AP120">
            <v>-40.5</v>
          </cell>
          <cell r="AQ120">
            <v>-3.6000000000000014</v>
          </cell>
          <cell r="AR120">
            <v>-17.600000000000001</v>
          </cell>
          <cell r="AS120">
            <v>13.3</v>
          </cell>
          <cell r="AT120">
            <v>-16.3</v>
          </cell>
          <cell r="AU120">
            <v>17.2</v>
          </cell>
          <cell r="AV120">
            <v>5.6999999999999993</v>
          </cell>
          <cell r="AW120">
            <v>19.899999999999999</v>
          </cell>
          <cell r="AX120">
            <v>-41.2</v>
          </cell>
          <cell r="AY120">
            <v>-5.0999999999999943</v>
          </cell>
          <cell r="AZ120">
            <v>38.5</v>
          </cell>
          <cell r="BA120">
            <v>5.7999999999999972</v>
          </cell>
          <cell r="BB120">
            <v>-2</v>
          </cell>
          <cell r="BC120">
            <v>-0.2</v>
          </cell>
          <cell r="BD120">
            <v>14.6</v>
          </cell>
          <cell r="BE120">
            <v>0</v>
          </cell>
          <cell r="BF120">
            <v>0</v>
          </cell>
          <cell r="BG120">
            <v>14.4</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Z120" t="str">
            <v>Effect of Exchange Rate Changes on Cash</v>
          </cell>
          <cell r="CA120">
            <v>0.1</v>
          </cell>
          <cell r="CB120">
            <v>0.1</v>
          </cell>
          <cell r="CC120">
            <v>0.1</v>
          </cell>
          <cell r="CD120">
            <v>0.8</v>
          </cell>
          <cell r="CE120">
            <v>2.1</v>
          </cell>
          <cell r="CF120">
            <v>5.6</v>
          </cell>
          <cell r="CG120">
            <v>4.4000000000000004</v>
          </cell>
          <cell r="CH120">
            <v>-11.1</v>
          </cell>
          <cell r="CI120">
            <v>18.7</v>
          </cell>
          <cell r="CJ120">
            <v>20.399999999999999</v>
          </cell>
          <cell r="CK120">
            <v>-51</v>
          </cell>
          <cell r="CL120">
            <v>26.8</v>
          </cell>
          <cell r="CM120">
            <v>2.5</v>
          </cell>
          <cell r="CN120">
            <v>-17.600000000000001</v>
          </cell>
          <cell r="CO120">
            <v>19.899999999999999</v>
          </cell>
          <cell r="CP120">
            <v>-2</v>
          </cell>
          <cell r="CQ120">
            <v>14.4</v>
          </cell>
          <cell r="CR120">
            <v>0</v>
          </cell>
          <cell r="CS120">
            <v>0</v>
          </cell>
          <cell r="CT120">
            <v>0</v>
          </cell>
          <cell r="CU120">
            <v>0</v>
          </cell>
          <cell r="CV120">
            <v>0</v>
          </cell>
          <cell r="CW120">
            <v>0</v>
          </cell>
          <cell r="CY120">
            <v>0</v>
          </cell>
          <cell r="DA120" t="str">
            <v>mstag:effectOfForeignExchangeRatesOnCash</v>
          </cell>
          <cell r="DB120">
            <v>6</v>
          </cell>
          <cell r="DC120" t="str">
            <v>ISO4217:USD</v>
          </cell>
          <cell r="DD120" t="b">
            <v>0</v>
          </cell>
        </row>
        <row r="122">
          <cell r="A122" t="str">
            <v>Net increase (decrease) in Cash</v>
          </cell>
          <cell r="C122">
            <v>-1.1999999999998692</v>
          </cell>
          <cell r="D122">
            <v>-0.59999999999996023</v>
          </cell>
          <cell r="E122">
            <v>115.70000000000006</v>
          </cell>
          <cell r="F122">
            <v>44.100000000000009</v>
          </cell>
          <cell r="G122">
            <v>-123.29999999999998</v>
          </cell>
          <cell r="H122">
            <v>229.20000000000024</v>
          </cell>
          <cell r="I122">
            <v>337.00000000000023</v>
          </cell>
          <cell r="J122">
            <v>170.9</v>
          </cell>
          <cell r="K122">
            <v>153.79999999999995</v>
          </cell>
          <cell r="L122">
            <v>-194.10000000000014</v>
          </cell>
          <cell r="M122">
            <v>-250.7000000000001</v>
          </cell>
          <cell r="N122">
            <v>-120.1</v>
          </cell>
          <cell r="O122">
            <v>9.9000000000000519</v>
          </cell>
          <cell r="P122">
            <v>-272.70000000000005</v>
          </cell>
          <cell r="Q122">
            <v>58.399999999999892</v>
          </cell>
          <cell r="R122">
            <v>126.50000000000004</v>
          </cell>
          <cell r="S122">
            <v>-77.90000000000002</v>
          </cell>
          <cell r="T122">
            <v>-118.60000000000004</v>
          </cell>
          <cell r="U122">
            <v>72.099999999999895</v>
          </cell>
          <cell r="V122">
            <v>59.499999999999901</v>
          </cell>
          <cell r="W122">
            <v>5.2000000000004469</v>
          </cell>
          <cell r="X122">
            <v>18.20000000000018</v>
          </cell>
          <cell r="Y122">
            <v>-86.600000000000207</v>
          </cell>
          <cell r="Z122">
            <v>40.399999999999977</v>
          </cell>
          <cell r="AA122">
            <v>58.500000000000568</v>
          </cell>
          <cell r="AB122">
            <v>-192.69999999999902</v>
          </cell>
          <cell r="AC122">
            <v>-180.39999999999884</v>
          </cell>
          <cell r="AD122">
            <v>95.800000000000111</v>
          </cell>
          <cell r="AE122">
            <v>51.100000000000414</v>
          </cell>
          <cell r="AF122">
            <v>29.899999999998947</v>
          </cell>
          <cell r="AG122">
            <v>51.200000000001147</v>
          </cell>
          <cell r="AH122">
            <v>227.99999999999994</v>
          </cell>
          <cell r="AI122">
            <v>22.499999999999979</v>
          </cell>
          <cell r="AJ122">
            <v>-10.499999999999815</v>
          </cell>
          <cell r="AK122">
            <v>307.8</v>
          </cell>
          <cell r="AL122">
            <v>-134.1</v>
          </cell>
          <cell r="AM122">
            <v>185.70000000000013</v>
          </cell>
          <cell r="AN122">
            <v>59.900000000000112</v>
          </cell>
          <cell r="AO122">
            <v>218.99999999999997</v>
          </cell>
          <cell r="AP122">
            <v>-84.300000000000097</v>
          </cell>
          <cell r="AQ122">
            <v>-94.199999999999847</v>
          </cell>
          <cell r="AR122">
            <v>100.40000000000018</v>
          </cell>
          <cell r="AS122">
            <v>54.700000000000045</v>
          </cell>
          <cell r="AT122">
            <v>9.3999999999998742</v>
          </cell>
          <cell r="AU122">
            <v>694.4</v>
          </cell>
          <cell r="AV122">
            <v>236.90000000000009</v>
          </cell>
          <cell r="AW122">
            <v>995.4</v>
          </cell>
          <cell r="AX122">
            <v>2.6000000000000654</v>
          </cell>
          <cell r="AY122">
            <v>-124.99999999999997</v>
          </cell>
          <cell r="AZ122">
            <v>202.10000000000005</v>
          </cell>
          <cell r="BA122">
            <v>84.399999999999963</v>
          </cell>
          <cell r="BB122">
            <v>164.10000000000014</v>
          </cell>
          <cell r="BC122">
            <v>-127.29999999999994</v>
          </cell>
          <cell r="BD122">
            <v>-14.899999999999944</v>
          </cell>
          <cell r="BE122">
            <v>-98.19638668583184</v>
          </cell>
          <cell r="BF122">
            <v>1.9199840861431881</v>
          </cell>
          <cell r="BG122">
            <v>-238.47640259968816</v>
          </cell>
          <cell r="BH122">
            <v>-113.5795423791413</v>
          </cell>
          <cell r="BI122">
            <v>92.907280758417869</v>
          </cell>
          <cell r="BJ122">
            <v>10.515064355291742</v>
          </cell>
          <cell r="BK122">
            <v>155.78223815147044</v>
          </cell>
          <cell r="BL122">
            <v>145.62504088603896</v>
          </cell>
          <cell r="BM122">
            <v>-244.78570589011105</v>
          </cell>
          <cell r="BN122">
            <v>-26.680368008454593</v>
          </cell>
          <cell r="BO122">
            <v>-110.96318061315293</v>
          </cell>
          <cell r="BP122">
            <v>43.251738460357444</v>
          </cell>
          <cell r="BQ122">
            <v>-339.17751605136118</v>
          </cell>
          <cell r="BR122">
            <v>-292.11355211617445</v>
          </cell>
          <cell r="BS122">
            <v>-237.90984434563006</v>
          </cell>
          <cell r="BT122">
            <v>-178.78760044879868</v>
          </cell>
          <cell r="BU122">
            <v>-114.31764555203904</v>
          </cell>
          <cell r="BZ122" t="str">
            <v>Net increase (decrease) in Cash</v>
          </cell>
          <cell r="CA122">
            <v>-1.1999999999998692</v>
          </cell>
          <cell r="CB122">
            <v>-0.59999999999996023</v>
          </cell>
          <cell r="CC122">
            <v>115.70000000000006</v>
          </cell>
          <cell r="CD122">
            <v>44.100000000000009</v>
          </cell>
          <cell r="CE122">
            <v>-123.29999999999998</v>
          </cell>
          <cell r="CF122">
            <v>229.20000000000024</v>
          </cell>
          <cell r="CG122">
            <v>337.00000000000023</v>
          </cell>
          <cell r="CH122">
            <v>-120.1</v>
          </cell>
          <cell r="CI122">
            <v>-77.90000000000002</v>
          </cell>
          <cell r="CJ122">
            <v>18.20000000000018</v>
          </cell>
          <cell r="CK122">
            <v>-180.39999999999884</v>
          </cell>
          <cell r="CL122">
            <v>227.99999999999994</v>
          </cell>
          <cell r="CM122">
            <v>185.70000000000013</v>
          </cell>
          <cell r="CN122">
            <v>100.40000000000018</v>
          </cell>
          <cell r="CO122">
            <v>995.4</v>
          </cell>
          <cell r="CP122">
            <v>164.10000000000014</v>
          </cell>
          <cell r="CQ122">
            <v>-238.47640259968816</v>
          </cell>
          <cell r="CR122">
            <v>145.62504088603896</v>
          </cell>
          <cell r="CS122">
            <v>-339.17751605136118</v>
          </cell>
          <cell r="CT122">
            <v>-292.11355211617445</v>
          </cell>
          <cell r="CU122">
            <v>-237.90984434563006</v>
          </cell>
          <cell r="CV122">
            <v>-178.78760044879868</v>
          </cell>
          <cell r="CW122">
            <v>-114.31764555203904</v>
          </cell>
          <cell r="CY122">
            <v>-116.94866422041207</v>
          </cell>
        </row>
        <row r="123">
          <cell r="A123" t="str">
            <v>Cash &amp; Equivalents - Beginning</v>
          </cell>
          <cell r="C123">
            <v>5.2</v>
          </cell>
          <cell r="D123">
            <v>4.0000000000001315</v>
          </cell>
          <cell r="E123">
            <v>3.4000000000001713</v>
          </cell>
          <cell r="F123">
            <v>119.10000000000024</v>
          </cell>
          <cell r="G123">
            <v>163.20000000000024</v>
          </cell>
          <cell r="H123">
            <v>39.900000000000261</v>
          </cell>
          <cell r="I123">
            <v>269.10000000000048</v>
          </cell>
          <cell r="J123">
            <v>606.1000000000007</v>
          </cell>
          <cell r="K123">
            <v>777.00000000000068</v>
          </cell>
          <cell r="L123">
            <v>930.80000000000064</v>
          </cell>
          <cell r="M123">
            <v>736.7000000000005</v>
          </cell>
          <cell r="N123">
            <v>606.1000000000007</v>
          </cell>
          <cell r="O123">
            <v>486.0000000000004</v>
          </cell>
          <cell r="P123">
            <v>495.90000000000043</v>
          </cell>
          <cell r="Q123">
            <v>223.20000000000039</v>
          </cell>
          <cell r="R123">
            <v>281.60000000000025</v>
          </cell>
          <cell r="S123">
            <v>486.0000000000004</v>
          </cell>
          <cell r="T123">
            <v>408.10000000000031</v>
          </cell>
          <cell r="U123">
            <v>289.50000000000028</v>
          </cell>
          <cell r="V123">
            <v>361.60000000000019</v>
          </cell>
          <cell r="W123">
            <v>421.10000000000008</v>
          </cell>
          <cell r="X123">
            <v>408.10000000000031</v>
          </cell>
          <cell r="Y123">
            <v>426.30000000000052</v>
          </cell>
          <cell r="Z123">
            <v>339.70000000000033</v>
          </cell>
          <cell r="AA123">
            <v>380.10000000000031</v>
          </cell>
          <cell r="AB123">
            <v>438.60000000000088</v>
          </cell>
          <cell r="AC123">
            <v>426.30000000000052</v>
          </cell>
          <cell r="AD123">
            <v>245.90000000000185</v>
          </cell>
          <cell r="AE123">
            <v>341.70000000000198</v>
          </cell>
          <cell r="AF123">
            <v>392.8000000000024</v>
          </cell>
          <cell r="AG123">
            <v>422.70000000000135</v>
          </cell>
          <cell r="AH123">
            <v>245.90000000000185</v>
          </cell>
          <cell r="AI123">
            <v>473.90000000000248</v>
          </cell>
          <cell r="AJ123">
            <v>496.40000000000248</v>
          </cell>
          <cell r="AK123">
            <v>485.90000000000265</v>
          </cell>
          <cell r="AL123">
            <v>793.70000000000266</v>
          </cell>
          <cell r="AM123">
            <v>473.90000000000248</v>
          </cell>
          <cell r="AN123">
            <v>659.60000000000264</v>
          </cell>
          <cell r="AO123">
            <v>719.50000000000273</v>
          </cell>
          <cell r="AP123">
            <v>938.50000000000273</v>
          </cell>
          <cell r="AQ123">
            <v>854.20000000000266</v>
          </cell>
          <cell r="AR123">
            <v>659.60000000000264</v>
          </cell>
          <cell r="AS123">
            <v>760.00000000000284</v>
          </cell>
          <cell r="AT123">
            <v>814.70000000000289</v>
          </cell>
          <cell r="AU123">
            <v>824.10000000000275</v>
          </cell>
          <cell r="AV123">
            <v>1518.5000000000027</v>
          </cell>
          <cell r="AW123">
            <v>760.00000000000284</v>
          </cell>
          <cell r="AX123">
            <v>1755.4000000000028</v>
          </cell>
          <cell r="AY123">
            <v>1758.000000000003</v>
          </cell>
          <cell r="AZ123">
            <v>1633.000000000003</v>
          </cell>
          <cell r="BA123">
            <v>1835.1000000000031</v>
          </cell>
          <cell r="BB123">
            <v>1755.4000000000028</v>
          </cell>
          <cell r="BC123">
            <v>1919.5</v>
          </cell>
          <cell r="BD123">
            <v>1792.2</v>
          </cell>
          <cell r="BE123">
            <v>1777.3000000000002</v>
          </cell>
          <cell r="BF123">
            <v>1679.1036133141683</v>
          </cell>
          <cell r="BG123">
            <v>1919.5</v>
          </cell>
          <cell r="BH123">
            <v>1681.0235974003115</v>
          </cell>
          <cell r="BI123">
            <v>1567.4440550211702</v>
          </cell>
          <cell r="BJ123">
            <v>1660.3513357795882</v>
          </cell>
          <cell r="BK123">
            <v>1670.86640013488</v>
          </cell>
          <cell r="BL123">
            <v>1681.0235974003115</v>
          </cell>
          <cell r="BM123">
            <v>1826.6486382863504</v>
          </cell>
          <cell r="BN123">
            <v>1581.8629323962393</v>
          </cell>
          <cell r="BO123">
            <v>1555.1825643877846</v>
          </cell>
          <cell r="BP123">
            <v>1444.2193837746318</v>
          </cell>
          <cell r="BQ123">
            <v>1826.6486382863504</v>
          </cell>
          <cell r="BR123">
            <v>1487.4711222349893</v>
          </cell>
          <cell r="BS123">
            <v>1195.3575701188147</v>
          </cell>
          <cell r="BT123">
            <v>957.44772577318463</v>
          </cell>
          <cell r="BU123">
            <v>778.66012532438594</v>
          </cell>
          <cell r="BZ123" t="str">
            <v>Cash &amp; Equivalents - Beginning</v>
          </cell>
          <cell r="CA123">
            <v>5.2</v>
          </cell>
          <cell r="CB123">
            <v>4.0000000000001315</v>
          </cell>
          <cell r="CC123">
            <v>3.4000000000001713</v>
          </cell>
          <cell r="CD123">
            <v>119.10000000000024</v>
          </cell>
          <cell r="CE123">
            <v>163.20000000000024</v>
          </cell>
          <cell r="CF123">
            <v>39.900000000000261</v>
          </cell>
          <cell r="CG123">
            <v>269.10000000000048</v>
          </cell>
          <cell r="CH123">
            <v>606.1000000000007</v>
          </cell>
          <cell r="CI123">
            <v>486.0000000000004</v>
          </cell>
          <cell r="CJ123">
            <v>408.10000000000031</v>
          </cell>
          <cell r="CK123">
            <v>426.30000000000052</v>
          </cell>
          <cell r="CL123">
            <v>245.90000000000185</v>
          </cell>
          <cell r="CM123">
            <v>473.90000000000248</v>
          </cell>
          <cell r="CN123">
            <v>659.60000000000264</v>
          </cell>
          <cell r="CO123">
            <v>760.00000000000284</v>
          </cell>
          <cell r="CP123">
            <v>1755.4000000000028</v>
          </cell>
          <cell r="CQ123">
            <v>1919.5</v>
          </cell>
          <cell r="CR123">
            <v>1681.0235974003115</v>
          </cell>
          <cell r="CS123">
            <v>1826.6486382863504</v>
          </cell>
          <cell r="CT123">
            <v>1487.4711222349893</v>
          </cell>
          <cell r="CU123">
            <v>1195.3575701188147</v>
          </cell>
          <cell r="CV123">
            <v>957.44772577318463</v>
          </cell>
          <cell r="CW123">
            <v>778.66012532438594</v>
          </cell>
          <cell r="CY123">
            <v>1567.4440550211702</v>
          </cell>
        </row>
        <row r="125">
          <cell r="A125" t="str">
            <v>Cash &amp; Equivalents - End</v>
          </cell>
          <cell r="C125">
            <v>4.0000000000001315</v>
          </cell>
          <cell r="D125">
            <v>3.4000000000001713</v>
          </cell>
          <cell r="E125">
            <v>119.10000000000024</v>
          </cell>
          <cell r="F125">
            <v>163.20000000000024</v>
          </cell>
          <cell r="G125">
            <v>39.900000000000261</v>
          </cell>
          <cell r="H125">
            <v>269.10000000000048</v>
          </cell>
          <cell r="I125">
            <v>606.1000000000007</v>
          </cell>
          <cell r="J125">
            <v>777.00000000000068</v>
          </cell>
          <cell r="K125">
            <v>930.80000000000064</v>
          </cell>
          <cell r="L125">
            <v>736.7000000000005</v>
          </cell>
          <cell r="M125">
            <v>486.0000000000004</v>
          </cell>
          <cell r="N125">
            <v>486.00000000000068</v>
          </cell>
          <cell r="O125">
            <v>495.90000000000043</v>
          </cell>
          <cell r="P125">
            <v>223.20000000000039</v>
          </cell>
          <cell r="Q125">
            <v>281.60000000000025</v>
          </cell>
          <cell r="R125">
            <v>408.10000000000031</v>
          </cell>
          <cell r="S125">
            <v>408.10000000000036</v>
          </cell>
          <cell r="T125">
            <v>289.50000000000028</v>
          </cell>
          <cell r="U125">
            <v>361.60000000000019</v>
          </cell>
          <cell r="V125">
            <v>421.10000000000008</v>
          </cell>
          <cell r="W125">
            <v>426.30000000000052</v>
          </cell>
          <cell r="X125">
            <v>426.30000000000047</v>
          </cell>
          <cell r="Y125">
            <v>339.70000000000033</v>
          </cell>
          <cell r="Z125">
            <v>380.10000000000031</v>
          </cell>
          <cell r="AA125">
            <v>438.60000000000088</v>
          </cell>
          <cell r="AB125">
            <v>245.90000000000185</v>
          </cell>
          <cell r="AC125">
            <v>245.90000000000168</v>
          </cell>
          <cell r="AD125">
            <v>341.70000000000198</v>
          </cell>
          <cell r="AE125">
            <v>392.8000000000024</v>
          </cell>
          <cell r="AF125">
            <v>422.70000000000135</v>
          </cell>
          <cell r="AG125">
            <v>473.90000000000248</v>
          </cell>
          <cell r="AH125">
            <v>473.9000000000018</v>
          </cell>
          <cell r="AI125">
            <v>496.40000000000248</v>
          </cell>
          <cell r="AJ125">
            <v>485.90000000000265</v>
          </cell>
          <cell r="AK125">
            <v>793.70000000000266</v>
          </cell>
          <cell r="AL125">
            <v>659.60000000000264</v>
          </cell>
          <cell r="AM125">
            <v>659.60000000000264</v>
          </cell>
          <cell r="AN125">
            <v>719.50000000000273</v>
          </cell>
          <cell r="AO125">
            <v>938.50000000000273</v>
          </cell>
          <cell r="AP125">
            <v>854.20000000000266</v>
          </cell>
          <cell r="AQ125">
            <v>760.00000000000284</v>
          </cell>
          <cell r="AR125">
            <v>760.00000000000284</v>
          </cell>
          <cell r="AS125">
            <v>814.70000000000289</v>
          </cell>
          <cell r="AT125">
            <v>824.10000000000275</v>
          </cell>
          <cell r="AU125">
            <v>1518.5000000000027</v>
          </cell>
          <cell r="AV125">
            <v>1755.4000000000028</v>
          </cell>
          <cell r="AW125">
            <v>1755.4000000000028</v>
          </cell>
          <cell r="AX125">
            <v>1758.000000000003</v>
          </cell>
          <cell r="AY125">
            <v>1633.000000000003</v>
          </cell>
          <cell r="AZ125">
            <v>1835.1000000000031</v>
          </cell>
          <cell r="BA125">
            <v>1919.5</v>
          </cell>
          <cell r="BB125">
            <v>1919.500000000003</v>
          </cell>
          <cell r="BC125">
            <v>1792.2</v>
          </cell>
          <cell r="BD125">
            <v>1777.3000000000002</v>
          </cell>
          <cell r="BE125">
            <v>1679.1036133141683</v>
          </cell>
          <cell r="BF125">
            <v>1681.0235974003115</v>
          </cell>
          <cell r="BG125">
            <v>1681.0235974003119</v>
          </cell>
          <cell r="BH125">
            <v>1567.4440550211702</v>
          </cell>
          <cell r="BI125">
            <v>1660.3513357795882</v>
          </cell>
          <cell r="BJ125">
            <v>1670.86640013488</v>
          </cell>
          <cell r="BK125">
            <v>1826.6486382863504</v>
          </cell>
          <cell r="BL125">
            <v>1826.6486382863504</v>
          </cell>
          <cell r="BM125">
            <v>1581.8629323962393</v>
          </cell>
          <cell r="BN125">
            <v>1555.1825643877846</v>
          </cell>
          <cell r="BO125">
            <v>1444.2193837746318</v>
          </cell>
          <cell r="BP125">
            <v>1487.4711222349893</v>
          </cell>
          <cell r="BQ125">
            <v>1487.4711222349893</v>
          </cell>
          <cell r="BR125">
            <v>1195.3575701188147</v>
          </cell>
          <cell r="BS125">
            <v>957.44772577318463</v>
          </cell>
          <cell r="BT125">
            <v>778.66012532438594</v>
          </cell>
          <cell r="BU125">
            <v>664.34247977234691</v>
          </cell>
          <cell r="BZ125" t="str">
            <v>Cash &amp; Equivalents - End</v>
          </cell>
          <cell r="CA125">
            <v>4.0000000000001315</v>
          </cell>
          <cell r="CB125">
            <v>3.4000000000001713</v>
          </cell>
          <cell r="CC125">
            <v>119.10000000000024</v>
          </cell>
          <cell r="CD125">
            <v>163.20000000000024</v>
          </cell>
          <cell r="CE125">
            <v>39.900000000000261</v>
          </cell>
          <cell r="CF125">
            <v>269.10000000000048</v>
          </cell>
          <cell r="CG125">
            <v>606.1000000000007</v>
          </cell>
          <cell r="CH125">
            <v>486.00000000000068</v>
          </cell>
          <cell r="CI125">
            <v>408.10000000000036</v>
          </cell>
          <cell r="CJ125">
            <v>426.30000000000047</v>
          </cell>
          <cell r="CK125">
            <v>245.90000000000168</v>
          </cell>
          <cell r="CL125">
            <v>473.9000000000018</v>
          </cell>
          <cell r="CM125">
            <v>659.60000000000264</v>
          </cell>
          <cell r="CN125">
            <v>760.00000000000284</v>
          </cell>
          <cell r="CO125">
            <v>1755.4000000000028</v>
          </cell>
          <cell r="CP125">
            <v>1919.500000000003</v>
          </cell>
          <cell r="CQ125">
            <v>1681.0235974003119</v>
          </cell>
          <cell r="CR125">
            <v>1826.6486382863504</v>
          </cell>
          <cell r="CS125">
            <v>1487.4711222349893</v>
          </cell>
          <cell r="CT125">
            <v>1195.3575701188147</v>
          </cell>
          <cell r="CU125">
            <v>957.44772577318463</v>
          </cell>
          <cell r="CV125">
            <v>778.66012532438594</v>
          </cell>
          <cell r="CW125">
            <v>664.34247977234691</v>
          </cell>
          <cell r="CY125">
            <v>1660.3513357795882</v>
          </cell>
        </row>
        <row r="128">
          <cell r="A128" t="str">
            <v>Quarterly Balance Sheet</v>
          </cell>
        </row>
        <row r="129">
          <cell r="A129" t="str">
            <v>(Values in millions, except per-share amounts)</v>
          </cell>
        </row>
        <row r="130">
          <cell r="A130" t="str">
            <v>Fiscal Year Ending December 31</v>
          </cell>
          <cell r="C130">
            <v>1998</v>
          </cell>
          <cell r="D130">
            <v>1999</v>
          </cell>
          <cell r="E130">
            <v>2000</v>
          </cell>
          <cell r="F130">
            <v>2001</v>
          </cell>
          <cell r="G130">
            <v>2002</v>
          </cell>
          <cell r="H130">
            <v>2003</v>
          </cell>
          <cell r="I130">
            <v>2004</v>
          </cell>
          <cell r="J130" t="str">
            <v>1Q05</v>
          </cell>
          <cell r="K130" t="str">
            <v>2Q05</v>
          </cell>
          <cell r="L130" t="str">
            <v>3Q05</v>
          </cell>
          <cell r="M130" t="str">
            <v>4Q05</v>
          </cell>
          <cell r="N130">
            <v>2005</v>
          </cell>
          <cell r="O130" t="str">
            <v>1Q06</v>
          </cell>
          <cell r="P130" t="str">
            <v>2Q06</v>
          </cell>
          <cell r="Q130" t="str">
            <v>3Q06</v>
          </cell>
          <cell r="R130" t="str">
            <v>4Q06</v>
          </cell>
          <cell r="S130">
            <v>2006</v>
          </cell>
          <cell r="T130" t="str">
            <v>1Q07</v>
          </cell>
          <cell r="U130" t="str">
            <v>2Q07</v>
          </cell>
          <cell r="V130" t="str">
            <v>3Q07</v>
          </cell>
          <cell r="W130" t="str">
            <v>4Q07</v>
          </cell>
          <cell r="X130">
            <v>2007</v>
          </cell>
          <cell r="Y130" t="str">
            <v>1Q08</v>
          </cell>
          <cell r="Z130" t="str">
            <v>2Q08</v>
          </cell>
          <cell r="AA130" t="str">
            <v>3Q08</v>
          </cell>
          <cell r="AB130" t="str">
            <v>4Q08</v>
          </cell>
          <cell r="AC130">
            <v>2008</v>
          </cell>
          <cell r="AD130" t="str">
            <v>1Q09</v>
          </cell>
          <cell r="AE130" t="str">
            <v>2Q09</v>
          </cell>
          <cell r="AF130" t="str">
            <v>3Q09</v>
          </cell>
          <cell r="AG130" t="str">
            <v>4Q09</v>
          </cell>
          <cell r="AH130">
            <v>2009</v>
          </cell>
          <cell r="AI130" t="str">
            <v>1Q10</v>
          </cell>
          <cell r="AJ130" t="str">
            <v>2Q10</v>
          </cell>
          <cell r="AK130" t="str">
            <v>3Q10</v>
          </cell>
          <cell r="AL130" t="str">
            <v>4Q10</v>
          </cell>
          <cell r="AM130">
            <v>2010</v>
          </cell>
          <cell r="AN130" t="str">
            <v>1Q11</v>
          </cell>
          <cell r="AO130" t="str">
            <v>2Q11</v>
          </cell>
          <cell r="AP130" t="str">
            <v>3Q11</v>
          </cell>
          <cell r="AQ130" t="str">
            <v>4Q11</v>
          </cell>
          <cell r="AR130">
            <v>2011</v>
          </cell>
          <cell r="AS130" t="str">
            <v>1Q12</v>
          </cell>
          <cell r="AT130" t="str">
            <v>2Q12</v>
          </cell>
          <cell r="AU130" t="str">
            <v>3Q12</v>
          </cell>
          <cell r="AV130" t="str">
            <v>4Q12</v>
          </cell>
          <cell r="AW130">
            <v>2012</v>
          </cell>
          <cell r="AX130" t="str">
            <v>1Q13</v>
          </cell>
          <cell r="AY130" t="str">
            <v>2Q13</v>
          </cell>
          <cell r="AZ130" t="str">
            <v>3Q13</v>
          </cell>
          <cell r="BA130" t="str">
            <v>4Q13</v>
          </cell>
          <cell r="BB130">
            <v>2013</v>
          </cell>
          <cell r="BC130" t="str">
            <v>1Q14</v>
          </cell>
          <cell r="BD130" t="str">
            <v>2Q14</v>
          </cell>
          <cell r="BE130" t="str">
            <v>3Q14E</v>
          </cell>
          <cell r="BF130" t="str">
            <v>4Q14E</v>
          </cell>
          <cell r="BG130" t="str">
            <v>2014E</v>
          </cell>
          <cell r="BH130" t="str">
            <v>1Q15E</v>
          </cell>
          <cell r="BI130" t="str">
            <v>2Q15E</v>
          </cell>
          <cell r="BJ130" t="str">
            <v>3Q15E</v>
          </cell>
          <cell r="BK130" t="str">
            <v>4Q15E</v>
          </cell>
          <cell r="BL130" t="str">
            <v>2015E</v>
          </cell>
          <cell r="BM130" t="str">
            <v>1Q16E</v>
          </cell>
          <cell r="BN130" t="str">
            <v>2Q16E</v>
          </cell>
          <cell r="BO130" t="str">
            <v>3Q16E</v>
          </cell>
          <cell r="BP130" t="str">
            <v>4Q16E</v>
          </cell>
          <cell r="BQ130" t="str">
            <v>2016E</v>
          </cell>
          <cell r="BR130" t="str">
            <v>2017E</v>
          </cell>
          <cell r="BS130" t="str">
            <v>2018E</v>
          </cell>
          <cell r="BT130" t="str">
            <v>2019E</v>
          </cell>
          <cell r="BU130" t="str">
            <v>2020E</v>
          </cell>
          <cell r="BZ130" t="str">
            <v>Fiscal Year Ending December 31</v>
          </cell>
          <cell r="CA130">
            <v>1998</v>
          </cell>
          <cell r="CB130">
            <v>1999</v>
          </cell>
          <cell r="CC130">
            <v>2000</v>
          </cell>
          <cell r="CD130">
            <v>2001</v>
          </cell>
          <cell r="CE130">
            <v>2002</v>
          </cell>
          <cell r="CF130">
            <v>2003</v>
          </cell>
          <cell r="CG130">
            <v>2004</v>
          </cell>
          <cell r="CH130">
            <v>2005</v>
          </cell>
          <cell r="CI130">
            <v>2006</v>
          </cell>
          <cell r="CJ130">
            <v>2007</v>
          </cell>
          <cell r="CK130">
            <v>2008</v>
          </cell>
          <cell r="CL130">
            <v>2009</v>
          </cell>
          <cell r="CM130">
            <v>2010</v>
          </cell>
          <cell r="CN130">
            <v>2011</v>
          </cell>
          <cell r="CO130">
            <v>2012</v>
          </cell>
          <cell r="CP130">
            <v>2013</v>
          </cell>
          <cell r="CQ130" t="str">
            <v>2014E</v>
          </cell>
          <cell r="CR130" t="str">
            <v>2015E</v>
          </cell>
          <cell r="CS130" t="str">
            <v>2016E</v>
          </cell>
          <cell r="CT130" t="str">
            <v>2017E</v>
          </cell>
          <cell r="CU130" t="str">
            <v>2018E</v>
          </cell>
          <cell r="CV130" t="str">
            <v>2019E</v>
          </cell>
          <cell r="CW130" t="str">
            <v>2020E</v>
          </cell>
          <cell r="CY130" t="str">
            <v>NTM</v>
          </cell>
        </row>
        <row r="131">
          <cell r="A131" t="str">
            <v>ASSETS</v>
          </cell>
          <cell r="BZ131" t="str">
            <v>ASSETS</v>
          </cell>
        </row>
        <row r="132">
          <cell r="A132" t="str">
            <v>Current Assets</v>
          </cell>
          <cell r="BZ132" t="str">
            <v>Current Assets</v>
          </cell>
        </row>
        <row r="133">
          <cell r="A133" t="str">
            <v xml:space="preserve">Cash and Cash Equivalents </v>
          </cell>
          <cell r="D133">
            <v>3.4000000000001713</v>
          </cell>
          <cell r="E133">
            <v>119.10000000000024</v>
          </cell>
          <cell r="F133">
            <v>163.20000000000024</v>
          </cell>
          <cell r="G133">
            <v>39.900000000000261</v>
          </cell>
          <cell r="H133">
            <v>269.10000000000048</v>
          </cell>
          <cell r="I133">
            <v>606.1000000000007</v>
          </cell>
          <cell r="J133">
            <v>777.00000000000068</v>
          </cell>
          <cell r="K133">
            <v>930.80000000000064</v>
          </cell>
          <cell r="L133">
            <v>736.7000000000005</v>
          </cell>
          <cell r="M133">
            <v>486.0000000000004</v>
          </cell>
          <cell r="N133">
            <v>486.00000000000068</v>
          </cell>
          <cell r="O133">
            <v>495.90000000000043</v>
          </cell>
          <cell r="P133">
            <v>223.20000000000039</v>
          </cell>
          <cell r="Q133">
            <v>281.60000000000025</v>
          </cell>
          <cell r="R133">
            <v>408.10000000000031</v>
          </cell>
          <cell r="S133">
            <v>408.10000000000036</v>
          </cell>
          <cell r="T133">
            <v>289.50000000000028</v>
          </cell>
          <cell r="U133">
            <v>361.60000000000019</v>
          </cell>
          <cell r="V133">
            <v>421.10000000000008</v>
          </cell>
          <cell r="W133">
            <v>426.30000000000052</v>
          </cell>
          <cell r="X133">
            <v>426.30000000000047</v>
          </cell>
          <cell r="Y133">
            <v>339.70000000000033</v>
          </cell>
          <cell r="Z133">
            <v>380.10000000000031</v>
          </cell>
          <cell r="AA133">
            <v>438.60000000000088</v>
          </cell>
          <cell r="AB133">
            <v>245.90000000000185</v>
          </cell>
          <cell r="AC133">
            <v>245.90000000000168</v>
          </cell>
          <cell r="AD133">
            <v>341.70000000000198</v>
          </cell>
          <cell r="AE133">
            <v>392.8000000000024</v>
          </cell>
          <cell r="AF133">
            <v>422.70000000000135</v>
          </cell>
          <cell r="AG133">
            <v>473.90000000000248</v>
          </cell>
          <cell r="AH133">
            <v>473.9000000000018</v>
          </cell>
          <cell r="AI133">
            <v>496.40000000000248</v>
          </cell>
          <cell r="AJ133">
            <v>485.90000000000265</v>
          </cell>
          <cell r="AK133">
            <v>793.70000000000266</v>
          </cell>
          <cell r="AL133">
            <v>659.60000000000264</v>
          </cell>
          <cell r="AM133">
            <v>659.60000000000264</v>
          </cell>
          <cell r="AN133">
            <v>719.50000000000273</v>
          </cell>
          <cell r="AO133">
            <v>938.50000000000273</v>
          </cell>
          <cell r="AP133">
            <v>854.20000000000266</v>
          </cell>
          <cell r="AQ133">
            <v>760.00000000000284</v>
          </cell>
          <cell r="AR133">
            <v>760.00000000000284</v>
          </cell>
          <cell r="AS133">
            <v>814.70000000000289</v>
          </cell>
          <cell r="AT133">
            <v>824.10000000000275</v>
          </cell>
          <cell r="AU133">
            <v>1518.5000000000027</v>
          </cell>
          <cell r="AV133">
            <v>1755.4000000000028</v>
          </cell>
          <cell r="AW133">
            <v>1755.4000000000028</v>
          </cell>
          <cell r="AX133">
            <v>1758.000000000003</v>
          </cell>
          <cell r="AY133">
            <v>1633.000000000003</v>
          </cell>
          <cell r="AZ133">
            <v>1835.1000000000031</v>
          </cell>
          <cell r="BA133">
            <v>1919.5</v>
          </cell>
          <cell r="BB133">
            <v>1919.500000000003</v>
          </cell>
          <cell r="BC133">
            <v>1792.2</v>
          </cell>
          <cell r="BD133">
            <v>1777.3000000000002</v>
          </cell>
          <cell r="BE133">
            <v>1679.1036133141683</v>
          </cell>
          <cell r="BF133">
            <v>1681.0235974003115</v>
          </cell>
          <cell r="BG133">
            <v>1681.0235974003119</v>
          </cell>
          <cell r="BH133">
            <v>1567.4440550211702</v>
          </cell>
          <cell r="BI133">
            <v>1660.3513357795882</v>
          </cell>
          <cell r="BJ133">
            <v>1670.86640013488</v>
          </cell>
          <cell r="BK133">
            <v>1826.6486382863504</v>
          </cell>
          <cell r="BL133">
            <v>1826.6486382863504</v>
          </cell>
          <cell r="BM133">
            <v>1581.8629323962393</v>
          </cell>
          <cell r="BN133">
            <v>1555.1825643877846</v>
          </cell>
          <cell r="BO133">
            <v>1444.2193837746318</v>
          </cell>
          <cell r="BP133">
            <v>1487.4711222349893</v>
          </cell>
          <cell r="BQ133">
            <v>1487.4711222349893</v>
          </cell>
          <cell r="BR133">
            <v>1195.3575701188147</v>
          </cell>
          <cell r="BS133">
            <v>957.44772577318463</v>
          </cell>
          <cell r="BT133">
            <v>778.66012532438594</v>
          </cell>
          <cell r="BU133">
            <v>664.34247977234691</v>
          </cell>
          <cell r="BZ133" t="str">
            <v xml:space="preserve">Cash and Cash Equivalents </v>
          </cell>
          <cell r="CB133">
            <v>3.4000000000001713</v>
          </cell>
          <cell r="CC133">
            <v>119.10000000000024</v>
          </cell>
          <cell r="CD133">
            <v>163.20000000000024</v>
          </cell>
          <cell r="CE133">
            <v>39.900000000000261</v>
          </cell>
          <cell r="CF133">
            <v>269.10000000000048</v>
          </cell>
          <cell r="CG133">
            <v>606.1000000000007</v>
          </cell>
          <cell r="CH133">
            <v>486.00000000000068</v>
          </cell>
          <cell r="CI133">
            <v>408.10000000000036</v>
          </cell>
          <cell r="CJ133">
            <v>426.30000000000047</v>
          </cell>
          <cell r="CK133">
            <v>245.90000000000168</v>
          </cell>
          <cell r="CL133">
            <v>473.9000000000018</v>
          </cell>
          <cell r="CM133">
            <v>659.60000000000264</v>
          </cell>
          <cell r="CN133">
            <v>760.00000000000284</v>
          </cell>
          <cell r="CO133">
            <v>1755.4000000000028</v>
          </cell>
          <cell r="CP133">
            <v>1919.500000000003</v>
          </cell>
          <cell r="CQ133">
            <v>1681.0235974003119</v>
          </cell>
          <cell r="CR133">
            <v>1826.6486382863504</v>
          </cell>
          <cell r="CS133">
            <v>1487.4711222349893</v>
          </cell>
          <cell r="CT133">
            <v>1195.3575701188147</v>
          </cell>
          <cell r="CU133">
            <v>957.44772577318463</v>
          </cell>
          <cell r="CV133">
            <v>778.66012532438594</v>
          </cell>
          <cell r="CW133">
            <v>664.34247977234691</v>
          </cell>
          <cell r="CY133">
            <v>1660.3513357795882</v>
          </cell>
          <cell r="DA133" t="str">
            <v>mstag:cashAndCashEquivalents</v>
          </cell>
          <cell r="DB133">
            <v>6</v>
          </cell>
          <cell r="DC133" t="str">
            <v>ISO4217:USD</v>
          </cell>
          <cell r="DD133" t="b">
            <v>0</v>
          </cell>
        </row>
        <row r="134">
          <cell r="A134" t="str">
            <v>Short-term investments</v>
          </cell>
          <cell r="D134">
            <v>0</v>
          </cell>
          <cell r="E134">
            <v>0</v>
          </cell>
          <cell r="F134">
            <v>0</v>
          </cell>
          <cell r="G134">
            <v>0</v>
          </cell>
          <cell r="H134">
            <v>0</v>
          </cell>
          <cell r="I134">
            <v>7.3</v>
          </cell>
          <cell r="J134">
            <v>0</v>
          </cell>
          <cell r="K134">
            <v>0</v>
          </cell>
          <cell r="L134">
            <v>81.7</v>
          </cell>
          <cell r="M134">
            <v>94.5</v>
          </cell>
          <cell r="N134">
            <v>94.5</v>
          </cell>
          <cell r="O134">
            <v>109.1</v>
          </cell>
          <cell r="P134">
            <v>7.1</v>
          </cell>
          <cell r="Q134">
            <v>13</v>
          </cell>
          <cell r="R134">
            <v>75.400000000000006</v>
          </cell>
          <cell r="S134">
            <v>75.400000000000006</v>
          </cell>
          <cell r="T134">
            <v>10.3</v>
          </cell>
          <cell r="U134">
            <v>13.4</v>
          </cell>
          <cell r="V134">
            <v>4.5999999999999996</v>
          </cell>
          <cell r="W134">
            <v>14.7</v>
          </cell>
          <cell r="X134">
            <v>14.7</v>
          </cell>
          <cell r="Y134">
            <v>9.9</v>
          </cell>
          <cell r="Z134">
            <v>12.7</v>
          </cell>
          <cell r="AA134">
            <v>7.2</v>
          </cell>
          <cell r="AB134">
            <v>7.1</v>
          </cell>
          <cell r="AC134">
            <v>7.1</v>
          </cell>
          <cell r="AD134">
            <v>6.8</v>
          </cell>
          <cell r="AE134">
            <v>4.9000000000000004</v>
          </cell>
          <cell r="AF134">
            <v>6.8</v>
          </cell>
          <cell r="AG134">
            <v>10</v>
          </cell>
          <cell r="AH134">
            <v>10</v>
          </cell>
          <cell r="AI134">
            <v>7.5</v>
          </cell>
          <cell r="AJ134">
            <v>7.7</v>
          </cell>
          <cell r="AK134">
            <v>10.8</v>
          </cell>
          <cell r="AL134">
            <v>12.7</v>
          </cell>
          <cell r="AM134">
            <v>12.7</v>
          </cell>
          <cell r="AN134">
            <v>6.7</v>
          </cell>
          <cell r="AO134">
            <v>11</v>
          </cell>
          <cell r="AP134">
            <v>13.3</v>
          </cell>
          <cell r="AQ134">
            <v>14.8</v>
          </cell>
          <cell r="AR134">
            <v>14.8</v>
          </cell>
          <cell r="AS134">
            <v>13.3</v>
          </cell>
          <cell r="AT134">
            <v>15.4</v>
          </cell>
          <cell r="AU134">
            <v>22.7</v>
          </cell>
          <cell r="AV134">
            <v>17.899999999999999</v>
          </cell>
          <cell r="AW134">
            <v>17.899999999999999</v>
          </cell>
          <cell r="AX134">
            <v>11.6</v>
          </cell>
          <cell r="AY134">
            <v>17.899999999999999</v>
          </cell>
          <cell r="AZ134">
            <v>209.6</v>
          </cell>
          <cell r="BA134">
            <v>186.8</v>
          </cell>
          <cell r="BB134">
            <v>186.8</v>
          </cell>
          <cell r="BC134">
            <v>252.70000000000002</v>
          </cell>
          <cell r="BD134">
            <v>182</v>
          </cell>
          <cell r="BE134">
            <v>182</v>
          </cell>
          <cell r="BF134">
            <v>182</v>
          </cell>
          <cell r="BG134">
            <v>182</v>
          </cell>
          <cell r="BH134">
            <v>182</v>
          </cell>
          <cell r="BI134">
            <v>182</v>
          </cell>
          <cell r="BJ134">
            <v>182</v>
          </cell>
          <cell r="BK134">
            <v>182</v>
          </cell>
          <cell r="BL134">
            <v>182</v>
          </cell>
          <cell r="BM134">
            <v>182</v>
          </cell>
          <cell r="BN134">
            <v>182</v>
          </cell>
          <cell r="BO134">
            <v>182</v>
          </cell>
          <cell r="BP134">
            <v>182</v>
          </cell>
          <cell r="BQ134">
            <v>182</v>
          </cell>
          <cell r="BR134">
            <v>182</v>
          </cell>
          <cell r="BS134">
            <v>182</v>
          </cell>
          <cell r="BT134">
            <v>182</v>
          </cell>
          <cell r="BU134">
            <v>182</v>
          </cell>
          <cell r="BZ134" t="str">
            <v>Short-term investments</v>
          </cell>
          <cell r="CB134">
            <v>0</v>
          </cell>
          <cell r="CC134">
            <v>0</v>
          </cell>
          <cell r="CD134">
            <v>0</v>
          </cell>
          <cell r="CE134">
            <v>0</v>
          </cell>
          <cell r="CF134">
            <v>0</v>
          </cell>
          <cell r="CG134">
            <v>7.3</v>
          </cell>
          <cell r="CH134">
            <v>94.5</v>
          </cell>
          <cell r="CI134">
            <v>75.400000000000006</v>
          </cell>
          <cell r="CJ134">
            <v>14.7</v>
          </cell>
          <cell r="CK134">
            <v>7.1</v>
          </cell>
          <cell r="CL134">
            <v>10</v>
          </cell>
          <cell r="CM134">
            <v>12.7</v>
          </cell>
          <cell r="CN134">
            <v>14.8</v>
          </cell>
          <cell r="CO134">
            <v>17.899999999999999</v>
          </cell>
          <cell r="CP134">
            <v>186.8</v>
          </cell>
          <cell r="CQ134">
            <v>182</v>
          </cell>
          <cell r="CR134">
            <v>182</v>
          </cell>
          <cell r="CS134">
            <v>182</v>
          </cell>
          <cell r="CT134">
            <v>182</v>
          </cell>
          <cell r="CU134">
            <v>182</v>
          </cell>
          <cell r="CV134">
            <v>182</v>
          </cell>
          <cell r="CW134">
            <v>182</v>
          </cell>
          <cell r="CY134">
            <v>182</v>
          </cell>
          <cell r="DA134" t="str">
            <v>mstag:shortTermInvestments</v>
          </cell>
          <cell r="DB134">
            <v>6</v>
          </cell>
          <cell r="DC134" t="str">
            <v>ISO4217:USD</v>
          </cell>
          <cell r="DD134" t="b">
            <v>0</v>
          </cell>
        </row>
        <row r="135">
          <cell r="A135" t="str">
            <v>Accounts Receivable, Net</v>
          </cell>
          <cell r="D135">
            <v>84.4</v>
          </cell>
          <cell r="E135">
            <v>101</v>
          </cell>
          <cell r="F135">
            <v>148.4</v>
          </cell>
          <cell r="G135">
            <v>178.1</v>
          </cell>
          <cell r="H135">
            <v>270.3</v>
          </cell>
          <cell r="I135">
            <v>371.7</v>
          </cell>
          <cell r="J135">
            <v>364.6</v>
          </cell>
          <cell r="K135">
            <v>379.4</v>
          </cell>
          <cell r="L135">
            <v>336.8</v>
          </cell>
          <cell r="M135">
            <v>421.8</v>
          </cell>
          <cell r="N135">
            <v>421.8</v>
          </cell>
          <cell r="O135">
            <v>422.8</v>
          </cell>
          <cell r="P135">
            <v>424.6</v>
          </cell>
          <cell r="Q135">
            <v>359.6</v>
          </cell>
          <cell r="R135">
            <v>475.4</v>
          </cell>
          <cell r="S135">
            <v>475.4</v>
          </cell>
          <cell r="T135">
            <v>499.3</v>
          </cell>
          <cell r="U135">
            <v>484</v>
          </cell>
          <cell r="V135">
            <v>393.1</v>
          </cell>
          <cell r="W135">
            <v>443.6</v>
          </cell>
          <cell r="X135">
            <v>443.6</v>
          </cell>
          <cell r="Y135">
            <v>405.4</v>
          </cell>
          <cell r="Z135">
            <v>415.2</v>
          </cell>
          <cell r="AA135">
            <v>348.7</v>
          </cell>
          <cell r="AB135">
            <v>421.8</v>
          </cell>
          <cell r="AC135">
            <v>421.8</v>
          </cell>
          <cell r="AD135">
            <v>403.6</v>
          </cell>
          <cell r="AE135">
            <v>407.6</v>
          </cell>
          <cell r="AF135">
            <v>378.9</v>
          </cell>
          <cell r="AG135">
            <v>444.9</v>
          </cell>
          <cell r="AH135">
            <v>444.9</v>
          </cell>
          <cell r="AI135">
            <v>427</v>
          </cell>
          <cell r="AJ135">
            <v>389.1</v>
          </cell>
          <cell r="AK135">
            <v>410.6</v>
          </cell>
          <cell r="AL135">
            <v>497.5</v>
          </cell>
          <cell r="AM135">
            <v>497.5</v>
          </cell>
          <cell r="AN135">
            <v>503.4</v>
          </cell>
          <cell r="AO135">
            <v>492.6</v>
          </cell>
          <cell r="AP135">
            <v>400.5</v>
          </cell>
          <cell r="AQ135">
            <v>489.8</v>
          </cell>
          <cell r="AR135">
            <v>489.8</v>
          </cell>
          <cell r="AS135">
            <v>589.20000000000005</v>
          </cell>
          <cell r="AT135">
            <v>530.5</v>
          </cell>
          <cell r="AU135">
            <v>549.6</v>
          </cell>
          <cell r="AV135">
            <v>621.79999999999995</v>
          </cell>
          <cell r="AW135">
            <v>621.79999999999995</v>
          </cell>
          <cell r="AX135">
            <v>637.20000000000005</v>
          </cell>
          <cell r="AY135">
            <v>607.70000000000005</v>
          </cell>
          <cell r="AZ135">
            <v>592</v>
          </cell>
          <cell r="BA135">
            <v>694.2</v>
          </cell>
          <cell r="BB135">
            <v>694.2</v>
          </cell>
          <cell r="BC135">
            <v>737.9</v>
          </cell>
          <cell r="BD135">
            <v>758.3</v>
          </cell>
          <cell r="BE135">
            <v>600.15778517363572</v>
          </cell>
          <cell r="BF135">
            <v>706.33761219156258</v>
          </cell>
          <cell r="BG135">
            <v>706.33761219156258</v>
          </cell>
          <cell r="BH135">
            <v>748.72386065820945</v>
          </cell>
          <cell r="BI135">
            <v>763.79386809439961</v>
          </cell>
          <cell r="BJ135">
            <v>627.42920484587944</v>
          </cell>
          <cell r="BK135">
            <v>739.01622134476429</v>
          </cell>
          <cell r="BL135">
            <v>739.01622134476429</v>
          </cell>
          <cell r="BM135">
            <v>782.14306828323799</v>
          </cell>
          <cell r="BN135">
            <v>795.74948222528712</v>
          </cell>
          <cell r="BO135">
            <v>656.90441669785764</v>
          </cell>
          <cell r="BP135">
            <v>774.43543776157924</v>
          </cell>
          <cell r="BQ135">
            <v>774.43543776157924</v>
          </cell>
          <cell r="BR135">
            <v>805.14809011775958</v>
          </cell>
          <cell r="BS135">
            <v>838.42304309485485</v>
          </cell>
          <cell r="BT135">
            <v>874.51964914642508</v>
          </cell>
          <cell r="BU135">
            <v>913.72509535894017</v>
          </cell>
          <cell r="BZ135" t="str">
            <v>Accounts Receivable, Net</v>
          </cell>
          <cell r="CB135">
            <v>84.4</v>
          </cell>
          <cell r="CC135">
            <v>101</v>
          </cell>
          <cell r="CD135">
            <v>148.4</v>
          </cell>
          <cell r="CE135">
            <v>178.1</v>
          </cell>
          <cell r="CF135">
            <v>270.3</v>
          </cell>
          <cell r="CG135">
            <v>371.7</v>
          </cell>
          <cell r="CH135">
            <v>421.8</v>
          </cell>
          <cell r="CI135">
            <v>475.4</v>
          </cell>
          <cell r="CJ135">
            <v>443.6</v>
          </cell>
          <cell r="CK135">
            <v>421.8</v>
          </cell>
          <cell r="CL135">
            <v>444.9</v>
          </cell>
          <cell r="CM135">
            <v>497.5</v>
          </cell>
          <cell r="CN135">
            <v>489.8</v>
          </cell>
          <cell r="CO135">
            <v>621.79999999999995</v>
          </cell>
          <cell r="CP135">
            <v>694.2</v>
          </cell>
          <cell r="CQ135">
            <v>706.33761219156258</v>
          </cell>
          <cell r="CR135">
            <v>739.01622134476429</v>
          </cell>
          <cell r="CS135">
            <v>774.43543776157924</v>
          </cell>
          <cell r="CT135">
            <v>805.14809011775958</v>
          </cell>
          <cell r="CU135">
            <v>838.42304309485485</v>
          </cell>
          <cell r="CV135">
            <v>874.51964914642508</v>
          </cell>
          <cell r="CW135">
            <v>913.72509535894017</v>
          </cell>
          <cell r="CY135">
            <v>763.79386809439961</v>
          </cell>
          <cell r="DA135" t="str">
            <v>mstag:tradeReceivablesCurrent</v>
          </cell>
          <cell r="DB135">
            <v>6</v>
          </cell>
          <cell r="DC135" t="str">
            <v>ISO4217:USD</v>
          </cell>
          <cell r="DD135" t="b">
            <v>0</v>
          </cell>
        </row>
        <row r="136">
          <cell r="A136" t="str">
            <v>Deferred Tax Assets, Net</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13.1</v>
          </cell>
          <cell r="X136">
            <v>13.1</v>
          </cell>
          <cell r="Y136">
            <v>28.9</v>
          </cell>
          <cell r="Z136">
            <v>34.299999999999997</v>
          </cell>
          <cell r="AA136">
            <v>29.1</v>
          </cell>
          <cell r="AB136">
            <v>26.5</v>
          </cell>
          <cell r="AC136">
            <v>26.5</v>
          </cell>
          <cell r="AD136">
            <v>31.6</v>
          </cell>
          <cell r="AE136">
            <v>31.2</v>
          </cell>
          <cell r="AF136">
            <v>26.1</v>
          </cell>
          <cell r="AG136">
            <v>32.299999999999997</v>
          </cell>
          <cell r="AH136">
            <v>32.299999999999997</v>
          </cell>
          <cell r="AI136">
            <v>38.6</v>
          </cell>
          <cell r="AJ136">
            <v>42.5</v>
          </cell>
          <cell r="AK136">
            <v>47.1</v>
          </cell>
          <cell r="AL136">
            <v>45.3</v>
          </cell>
          <cell r="AM136">
            <v>45.3</v>
          </cell>
          <cell r="AN136">
            <v>42.2</v>
          </cell>
          <cell r="AO136">
            <v>44.3</v>
          </cell>
          <cell r="AP136">
            <v>42.2</v>
          </cell>
          <cell r="AQ136">
            <v>82.2</v>
          </cell>
          <cell r="AR136">
            <v>82.2</v>
          </cell>
          <cell r="AS136">
            <v>41.4</v>
          </cell>
          <cell r="AT136">
            <v>39.6</v>
          </cell>
          <cell r="AU136">
            <v>46.1</v>
          </cell>
          <cell r="AV136">
            <v>38.700000000000003</v>
          </cell>
          <cell r="AW136">
            <v>38.700000000000003</v>
          </cell>
          <cell r="AX136">
            <v>32.1</v>
          </cell>
          <cell r="AY136">
            <v>36.5</v>
          </cell>
          <cell r="AZ136">
            <v>46.7</v>
          </cell>
          <cell r="BA136">
            <v>53.9</v>
          </cell>
          <cell r="BB136">
            <v>53.9</v>
          </cell>
          <cell r="BC136">
            <v>43.4</v>
          </cell>
          <cell r="BD136">
            <v>49.7</v>
          </cell>
          <cell r="BE136">
            <v>49.7</v>
          </cell>
          <cell r="BF136">
            <v>49.7</v>
          </cell>
          <cell r="BG136">
            <v>49.7</v>
          </cell>
          <cell r="BH136">
            <v>49.7</v>
          </cell>
          <cell r="BI136">
            <v>49.7</v>
          </cell>
          <cell r="BJ136">
            <v>49.7</v>
          </cell>
          <cell r="BK136">
            <v>49.7</v>
          </cell>
          <cell r="BL136">
            <v>49.7</v>
          </cell>
          <cell r="BM136">
            <v>49.7</v>
          </cell>
          <cell r="BN136">
            <v>49.7</v>
          </cell>
          <cell r="BO136">
            <v>49.7</v>
          </cell>
          <cell r="BP136">
            <v>49.7</v>
          </cell>
          <cell r="BQ136">
            <v>49.7</v>
          </cell>
          <cell r="BR136">
            <v>49.7</v>
          </cell>
          <cell r="BS136">
            <v>49.7</v>
          </cell>
          <cell r="BT136">
            <v>49.7</v>
          </cell>
          <cell r="BU136">
            <v>49.7</v>
          </cell>
          <cell r="BZ136" t="str">
            <v>Deferred Tax Assets, Net</v>
          </cell>
          <cell r="CB136">
            <v>0</v>
          </cell>
          <cell r="CC136">
            <v>0</v>
          </cell>
          <cell r="CD136">
            <v>0</v>
          </cell>
          <cell r="CE136">
            <v>0</v>
          </cell>
          <cell r="CF136">
            <v>0</v>
          </cell>
          <cell r="CG136">
            <v>0</v>
          </cell>
          <cell r="CH136">
            <v>0</v>
          </cell>
          <cell r="CI136">
            <v>0</v>
          </cell>
          <cell r="CJ136">
            <v>13.1</v>
          </cell>
          <cell r="CK136">
            <v>26.5</v>
          </cell>
          <cell r="CL136">
            <v>32.299999999999997</v>
          </cell>
          <cell r="CM136">
            <v>45.3</v>
          </cell>
          <cell r="CN136">
            <v>82.2</v>
          </cell>
          <cell r="CO136">
            <v>38.700000000000003</v>
          </cell>
          <cell r="CP136">
            <v>53.9</v>
          </cell>
          <cell r="CQ136">
            <v>49.7</v>
          </cell>
          <cell r="CR136">
            <v>49.7</v>
          </cell>
          <cell r="CS136">
            <v>49.7</v>
          </cell>
          <cell r="CT136">
            <v>49.7</v>
          </cell>
          <cell r="CU136">
            <v>49.7</v>
          </cell>
          <cell r="CV136">
            <v>49.7</v>
          </cell>
          <cell r="CW136">
            <v>49.7</v>
          </cell>
          <cell r="CY136">
            <v>49.7</v>
          </cell>
          <cell r="DA136" t="str">
            <v>mstag:deferredTaxAssetsCurrent</v>
          </cell>
          <cell r="DB136">
            <v>6</v>
          </cell>
          <cell r="DC136" t="str">
            <v>ISO4217:USD</v>
          </cell>
          <cell r="DD136" t="b">
            <v>0</v>
          </cell>
        </row>
        <row r="137">
          <cell r="A137" t="str">
            <v>Other Current Assets</v>
          </cell>
          <cell r="D137">
            <v>84.9</v>
          </cell>
          <cell r="E137">
            <v>57.5</v>
          </cell>
          <cell r="F137">
            <v>59.6</v>
          </cell>
          <cell r="G137">
            <v>27.8</v>
          </cell>
          <cell r="H137">
            <v>40.5</v>
          </cell>
          <cell r="I137">
            <v>50.8</v>
          </cell>
          <cell r="J137">
            <v>63.7</v>
          </cell>
          <cell r="K137">
            <v>60.5</v>
          </cell>
          <cell r="L137">
            <v>42.8</v>
          </cell>
          <cell r="M137">
            <v>49.5</v>
          </cell>
          <cell r="N137">
            <v>49.5</v>
          </cell>
          <cell r="O137">
            <v>35</v>
          </cell>
          <cell r="P137">
            <v>24.9</v>
          </cell>
          <cell r="Q137">
            <v>26</v>
          </cell>
          <cell r="R137">
            <v>43</v>
          </cell>
          <cell r="S137">
            <v>43</v>
          </cell>
          <cell r="T137">
            <v>80</v>
          </cell>
          <cell r="U137">
            <v>59</v>
          </cell>
          <cell r="V137">
            <v>51.8</v>
          </cell>
          <cell r="W137">
            <v>91.4</v>
          </cell>
          <cell r="X137">
            <v>91.4</v>
          </cell>
          <cell r="Y137">
            <v>68.599999999999994</v>
          </cell>
          <cell r="Z137">
            <v>70.5</v>
          </cell>
          <cell r="AA137">
            <v>94.2</v>
          </cell>
          <cell r="AB137">
            <v>107.8</v>
          </cell>
          <cell r="AC137">
            <v>107.8</v>
          </cell>
          <cell r="AD137">
            <v>72.400000000000006</v>
          </cell>
          <cell r="AE137">
            <v>64.099999999999994</v>
          </cell>
          <cell r="AF137">
            <v>62</v>
          </cell>
          <cell r="AG137">
            <v>51.8</v>
          </cell>
          <cell r="AH137">
            <v>51.8</v>
          </cell>
          <cell r="AI137">
            <v>38.5</v>
          </cell>
          <cell r="AJ137">
            <v>34.799999999999997</v>
          </cell>
          <cell r="AK137">
            <v>39.200000000000003</v>
          </cell>
          <cell r="AL137">
            <v>127.9</v>
          </cell>
          <cell r="AM137">
            <v>127.9</v>
          </cell>
          <cell r="AN137">
            <v>67.8</v>
          </cell>
          <cell r="AO137">
            <v>56.7</v>
          </cell>
          <cell r="AP137">
            <v>49.8</v>
          </cell>
          <cell r="AQ137">
            <v>77.599999999999994</v>
          </cell>
          <cell r="AR137">
            <v>77.599999999999994</v>
          </cell>
          <cell r="AS137">
            <v>68</v>
          </cell>
          <cell r="AT137">
            <v>109.8</v>
          </cell>
          <cell r="AU137">
            <v>68.900000000000006</v>
          </cell>
          <cell r="AV137">
            <v>91.9</v>
          </cell>
          <cell r="AW137">
            <v>91.9</v>
          </cell>
          <cell r="AX137">
            <v>81.400000000000006</v>
          </cell>
          <cell r="AY137">
            <v>147.6</v>
          </cell>
          <cell r="AZ137">
            <v>98.8</v>
          </cell>
          <cell r="BA137">
            <v>114.4</v>
          </cell>
          <cell r="BB137">
            <v>114.4</v>
          </cell>
          <cell r="BC137">
            <v>119.6</v>
          </cell>
          <cell r="BD137">
            <v>177</v>
          </cell>
          <cell r="BE137">
            <v>177</v>
          </cell>
          <cell r="BF137">
            <v>177</v>
          </cell>
          <cell r="BG137">
            <v>177</v>
          </cell>
          <cell r="BH137">
            <v>177</v>
          </cell>
          <cell r="BI137">
            <v>177</v>
          </cell>
          <cell r="BJ137">
            <v>177</v>
          </cell>
          <cell r="BK137">
            <v>177</v>
          </cell>
          <cell r="BL137">
            <v>177</v>
          </cell>
          <cell r="BM137">
            <v>177</v>
          </cell>
          <cell r="BN137">
            <v>177</v>
          </cell>
          <cell r="BO137">
            <v>177</v>
          </cell>
          <cell r="BP137">
            <v>177</v>
          </cell>
          <cell r="BQ137">
            <v>177</v>
          </cell>
          <cell r="BR137">
            <v>177</v>
          </cell>
          <cell r="BS137">
            <v>177</v>
          </cell>
          <cell r="BT137">
            <v>177</v>
          </cell>
          <cell r="BU137">
            <v>177</v>
          </cell>
          <cell r="BZ137" t="str">
            <v>Other Current Assets</v>
          </cell>
          <cell r="CB137">
            <v>84.9</v>
          </cell>
          <cell r="CC137">
            <v>57.5</v>
          </cell>
          <cell r="CD137">
            <v>59.6</v>
          </cell>
          <cell r="CE137">
            <v>27.8</v>
          </cell>
          <cell r="CF137">
            <v>40.5</v>
          </cell>
          <cell r="CG137">
            <v>50.8</v>
          </cell>
          <cell r="CH137">
            <v>49.5</v>
          </cell>
          <cell r="CI137">
            <v>43</v>
          </cell>
          <cell r="CJ137">
            <v>91.4</v>
          </cell>
          <cell r="CK137">
            <v>107.8</v>
          </cell>
          <cell r="CL137">
            <v>51.8</v>
          </cell>
          <cell r="CM137">
            <v>127.9</v>
          </cell>
          <cell r="CN137">
            <v>77.599999999999994</v>
          </cell>
          <cell r="CO137">
            <v>91.9</v>
          </cell>
          <cell r="CP137">
            <v>114.4</v>
          </cell>
          <cell r="CQ137">
            <v>177</v>
          </cell>
          <cell r="CR137">
            <v>177</v>
          </cell>
          <cell r="CS137">
            <v>177</v>
          </cell>
          <cell r="CT137">
            <v>177</v>
          </cell>
          <cell r="CU137">
            <v>177</v>
          </cell>
          <cell r="CV137">
            <v>177</v>
          </cell>
          <cell r="CW137">
            <v>177</v>
          </cell>
          <cell r="CY137">
            <v>177</v>
          </cell>
          <cell r="DA137" t="str">
            <v>mstag:otherAssetsOperatingCurrent</v>
          </cell>
          <cell r="DB137">
            <v>6</v>
          </cell>
          <cell r="DC137" t="str">
            <v>ISO4217:USD</v>
          </cell>
          <cell r="DD137" t="b">
            <v>0</v>
          </cell>
        </row>
        <row r="138">
          <cell r="C138" t="str">
            <v xml:space="preserve">______ </v>
          </cell>
          <cell r="D138" t="str">
            <v xml:space="preserve">______ </v>
          </cell>
          <cell r="E138" t="str">
            <v xml:space="preserve">______ </v>
          </cell>
          <cell r="F138" t="str">
            <v xml:space="preserve">______ </v>
          </cell>
          <cell r="G138" t="str">
            <v xml:space="preserve">______ </v>
          </cell>
          <cell r="H138" t="str">
            <v xml:space="preserve">______ </v>
          </cell>
          <cell r="I138" t="str">
            <v xml:space="preserve">______ </v>
          </cell>
          <cell r="J138" t="str">
            <v xml:space="preserve">______ </v>
          </cell>
          <cell r="K138" t="str">
            <v xml:space="preserve">______ </v>
          </cell>
          <cell r="L138" t="str">
            <v xml:space="preserve">______ </v>
          </cell>
          <cell r="M138" t="str">
            <v xml:space="preserve">______ </v>
          </cell>
          <cell r="N138" t="str">
            <v xml:space="preserve">______ </v>
          </cell>
          <cell r="O138" t="str">
            <v xml:space="preserve">______ </v>
          </cell>
          <cell r="P138" t="str">
            <v xml:space="preserve">______ </v>
          </cell>
          <cell r="Q138" t="str">
            <v xml:space="preserve">______ </v>
          </cell>
          <cell r="R138" t="str">
            <v xml:space="preserve">______ </v>
          </cell>
          <cell r="S138" t="str">
            <v xml:space="preserve">______ </v>
          </cell>
          <cell r="T138" t="str">
            <v xml:space="preserve">______ </v>
          </cell>
          <cell r="U138" t="str">
            <v xml:space="preserve">______ </v>
          </cell>
          <cell r="V138" t="str">
            <v xml:space="preserve">______ </v>
          </cell>
          <cell r="W138" t="str">
            <v xml:space="preserve">______ </v>
          </cell>
          <cell r="X138" t="str">
            <v xml:space="preserve">______ </v>
          </cell>
          <cell r="Y138" t="str">
            <v xml:space="preserve">______ </v>
          </cell>
          <cell r="Z138" t="str">
            <v xml:space="preserve">______ </v>
          </cell>
          <cell r="AA138" t="str">
            <v xml:space="preserve">______ </v>
          </cell>
          <cell r="AB138" t="str">
            <v xml:space="preserve">______ </v>
          </cell>
          <cell r="AC138" t="str">
            <v xml:space="preserve">______ </v>
          </cell>
          <cell r="AD138" t="str">
            <v xml:space="preserve">______ </v>
          </cell>
          <cell r="AE138" t="str">
            <v xml:space="preserve">______ </v>
          </cell>
          <cell r="AF138" t="str">
            <v xml:space="preserve">______ </v>
          </cell>
          <cell r="AG138" t="str">
            <v xml:space="preserve">______ </v>
          </cell>
          <cell r="AH138" t="str">
            <v xml:space="preserve">______ </v>
          </cell>
          <cell r="AI138" t="str">
            <v xml:space="preserve">______ </v>
          </cell>
          <cell r="AJ138" t="str">
            <v xml:space="preserve">______ </v>
          </cell>
          <cell r="AK138" t="str">
            <v xml:space="preserve">______ </v>
          </cell>
          <cell r="AL138" t="str">
            <v xml:space="preserve">______ </v>
          </cell>
          <cell r="AM138" t="str">
            <v xml:space="preserve">______ </v>
          </cell>
          <cell r="AN138" t="str">
            <v xml:space="preserve">______ </v>
          </cell>
          <cell r="AO138" t="str">
            <v xml:space="preserve">______ </v>
          </cell>
          <cell r="AP138" t="str">
            <v xml:space="preserve">______ </v>
          </cell>
          <cell r="AQ138" t="str">
            <v xml:space="preserve">______ </v>
          </cell>
          <cell r="AR138" t="str">
            <v xml:space="preserve">______ </v>
          </cell>
          <cell r="AS138" t="str">
            <v xml:space="preserve">______ </v>
          </cell>
          <cell r="AT138" t="str">
            <v xml:space="preserve">______ </v>
          </cell>
          <cell r="AU138" t="str">
            <v xml:space="preserve">______ </v>
          </cell>
          <cell r="AV138" t="str">
            <v xml:space="preserve">______ </v>
          </cell>
          <cell r="AW138" t="str">
            <v xml:space="preserve">______ </v>
          </cell>
          <cell r="AX138" t="str">
            <v xml:space="preserve">______ </v>
          </cell>
          <cell r="AY138" t="str">
            <v xml:space="preserve">______ </v>
          </cell>
          <cell r="AZ138" t="str">
            <v xml:space="preserve">______ </v>
          </cell>
          <cell r="BA138" t="str">
            <v xml:space="preserve">______ </v>
          </cell>
          <cell r="BB138" t="str">
            <v xml:space="preserve">______ </v>
          </cell>
          <cell r="BC138" t="str">
            <v xml:space="preserve">______ </v>
          </cell>
          <cell r="BD138" t="str">
            <v xml:space="preserve">______ </v>
          </cell>
          <cell r="BE138" t="str">
            <v xml:space="preserve">______ </v>
          </cell>
          <cell r="BF138" t="str">
            <v xml:space="preserve">______ </v>
          </cell>
          <cell r="BG138" t="str">
            <v xml:space="preserve">______ </v>
          </cell>
          <cell r="BH138" t="str">
            <v xml:space="preserve">______ </v>
          </cell>
          <cell r="BI138" t="str">
            <v xml:space="preserve">______ </v>
          </cell>
          <cell r="BJ138" t="str">
            <v xml:space="preserve">______ </v>
          </cell>
          <cell r="BK138" t="str">
            <v xml:space="preserve">______ </v>
          </cell>
          <cell r="BL138" t="str">
            <v xml:space="preserve">______ </v>
          </cell>
          <cell r="BM138" t="str">
            <v xml:space="preserve">______ </v>
          </cell>
          <cell r="BN138" t="str">
            <v xml:space="preserve">______ </v>
          </cell>
          <cell r="BO138" t="str">
            <v xml:space="preserve">______ </v>
          </cell>
          <cell r="BP138" t="str">
            <v xml:space="preserve">______ </v>
          </cell>
          <cell r="BQ138" t="str">
            <v xml:space="preserve">______ </v>
          </cell>
          <cell r="BR138" t="str">
            <v xml:space="preserve">______ </v>
          </cell>
          <cell r="BS138" t="str">
            <v xml:space="preserve">______ </v>
          </cell>
          <cell r="BT138" t="str">
            <v xml:space="preserve">______ </v>
          </cell>
          <cell r="BU138" t="str">
            <v xml:space="preserve">______ </v>
          </cell>
          <cell r="CB138" t="str">
            <v xml:space="preserve">______ </v>
          </cell>
          <cell r="CC138" t="str">
            <v xml:space="preserve">______ </v>
          </cell>
          <cell r="CD138" t="str">
            <v xml:space="preserve">______ </v>
          </cell>
          <cell r="CE138" t="str">
            <v xml:space="preserve">______ </v>
          </cell>
          <cell r="CF138" t="str">
            <v xml:space="preserve">______ </v>
          </cell>
          <cell r="CG138" t="str">
            <v xml:space="preserve">______ </v>
          </cell>
          <cell r="CH138" t="str">
            <v xml:space="preserve">______ </v>
          </cell>
          <cell r="CI138" t="str">
            <v xml:space="preserve">______ </v>
          </cell>
          <cell r="CJ138" t="str">
            <v xml:space="preserve">______ </v>
          </cell>
          <cell r="CK138" t="str">
            <v xml:space="preserve">______ </v>
          </cell>
          <cell r="CL138" t="str">
            <v xml:space="preserve">______ </v>
          </cell>
          <cell r="CM138" t="str">
            <v xml:space="preserve">______ </v>
          </cell>
          <cell r="CN138" t="str">
            <v xml:space="preserve">______ </v>
          </cell>
          <cell r="CO138" t="str">
            <v xml:space="preserve">______ </v>
          </cell>
          <cell r="CP138" t="str">
            <v xml:space="preserve">______ </v>
          </cell>
          <cell r="CQ138" t="str">
            <v xml:space="preserve">______ </v>
          </cell>
          <cell r="CR138" t="str">
            <v xml:space="preserve">______ </v>
          </cell>
          <cell r="CS138" t="str">
            <v xml:space="preserve">______ </v>
          </cell>
          <cell r="CT138" t="str">
            <v xml:space="preserve">______ </v>
          </cell>
          <cell r="CU138" t="str">
            <v xml:space="preserve">______ </v>
          </cell>
          <cell r="CV138" t="str">
            <v xml:space="preserve">______ </v>
          </cell>
          <cell r="CW138" t="str">
            <v xml:space="preserve">______ </v>
          </cell>
          <cell r="CY138" t="str">
            <v xml:space="preserve">______ </v>
          </cell>
        </row>
        <row r="139">
          <cell r="A139" t="str">
            <v xml:space="preserve">Total Current Assets </v>
          </cell>
          <cell r="D139">
            <v>172.70000000000019</v>
          </cell>
          <cell r="E139">
            <v>277.60000000000025</v>
          </cell>
          <cell r="F139">
            <v>371.20000000000027</v>
          </cell>
          <cell r="G139">
            <v>245.80000000000027</v>
          </cell>
          <cell r="H139">
            <v>579.90000000000055</v>
          </cell>
          <cell r="I139">
            <v>1035.9000000000005</v>
          </cell>
          <cell r="J139">
            <v>1205.3000000000009</v>
          </cell>
          <cell r="K139">
            <v>1370.7000000000007</v>
          </cell>
          <cell r="L139">
            <v>1198.0000000000005</v>
          </cell>
          <cell r="M139">
            <v>1051.8000000000004</v>
          </cell>
          <cell r="N139">
            <v>1051.8000000000006</v>
          </cell>
          <cell r="O139">
            <v>1062.8000000000004</v>
          </cell>
          <cell r="P139">
            <v>679.80000000000041</v>
          </cell>
          <cell r="Q139">
            <v>680.20000000000027</v>
          </cell>
          <cell r="R139">
            <v>1001.9000000000003</v>
          </cell>
          <cell r="S139">
            <v>1001.9000000000003</v>
          </cell>
          <cell r="T139">
            <v>879.10000000000036</v>
          </cell>
          <cell r="U139">
            <v>918.00000000000023</v>
          </cell>
          <cell r="V139">
            <v>870.60000000000014</v>
          </cell>
          <cell r="W139">
            <v>989.10000000000059</v>
          </cell>
          <cell r="X139">
            <v>989.10000000000048</v>
          </cell>
          <cell r="Y139">
            <v>852.50000000000023</v>
          </cell>
          <cell r="Z139">
            <v>912.80000000000018</v>
          </cell>
          <cell r="AA139">
            <v>917.80000000000098</v>
          </cell>
          <cell r="AB139">
            <v>809.10000000000184</v>
          </cell>
          <cell r="AC139">
            <v>809.10000000000161</v>
          </cell>
          <cell r="AD139">
            <v>856.10000000000196</v>
          </cell>
          <cell r="AE139">
            <v>900.60000000000252</v>
          </cell>
          <cell r="AF139">
            <v>896.50000000000136</v>
          </cell>
          <cell r="AG139">
            <v>1012.9000000000024</v>
          </cell>
          <cell r="AH139">
            <v>1012.9000000000017</v>
          </cell>
          <cell r="AI139">
            <v>1008.0000000000025</v>
          </cell>
          <cell r="AJ139">
            <v>960.00000000000261</v>
          </cell>
          <cell r="AK139">
            <v>1301.4000000000026</v>
          </cell>
          <cell r="AL139">
            <v>1343.0000000000027</v>
          </cell>
          <cell r="AM139">
            <v>1343.0000000000027</v>
          </cell>
          <cell r="AN139">
            <v>1339.6000000000026</v>
          </cell>
          <cell r="AO139">
            <v>1543.1000000000026</v>
          </cell>
          <cell r="AP139">
            <v>1360.0000000000027</v>
          </cell>
          <cell r="AQ139">
            <v>1424.4000000000028</v>
          </cell>
          <cell r="AR139">
            <v>1424.4000000000028</v>
          </cell>
          <cell r="AS139">
            <v>1526.6000000000031</v>
          </cell>
          <cell r="AT139">
            <v>1519.4000000000026</v>
          </cell>
          <cell r="AU139">
            <v>2205.8000000000029</v>
          </cell>
          <cell r="AV139">
            <v>2525.700000000003</v>
          </cell>
          <cell r="AW139">
            <v>2525.700000000003</v>
          </cell>
          <cell r="AX139">
            <v>2520.3000000000029</v>
          </cell>
          <cell r="AY139">
            <v>2442.700000000003</v>
          </cell>
          <cell r="AZ139">
            <v>2782.200000000003</v>
          </cell>
          <cell r="BA139">
            <v>2968.8</v>
          </cell>
          <cell r="BB139">
            <v>2968.8000000000029</v>
          </cell>
          <cell r="BC139">
            <v>2945.8</v>
          </cell>
          <cell r="BD139">
            <v>2944.3</v>
          </cell>
          <cell r="BE139">
            <v>2687.9613984878038</v>
          </cell>
          <cell r="BF139">
            <v>2796.0612095918741</v>
          </cell>
          <cell r="BG139">
            <v>2796.0612095918741</v>
          </cell>
          <cell r="BH139">
            <v>2724.8679156793796</v>
          </cell>
          <cell r="BI139">
            <v>2832.8452038739879</v>
          </cell>
          <cell r="BJ139">
            <v>2706.9956049807593</v>
          </cell>
          <cell r="BK139">
            <v>2974.3648596311145</v>
          </cell>
          <cell r="BL139">
            <v>2974.3648596311145</v>
          </cell>
          <cell r="BM139">
            <v>2772.7060006794773</v>
          </cell>
          <cell r="BN139">
            <v>2759.6320466130715</v>
          </cell>
          <cell r="BO139">
            <v>2509.823800472489</v>
          </cell>
          <cell r="BP139">
            <v>2670.6065599965682</v>
          </cell>
          <cell r="BQ139">
            <v>2670.6065599965682</v>
          </cell>
          <cell r="BR139">
            <v>2409.2056602365742</v>
          </cell>
          <cell r="BS139">
            <v>2204.5707688680395</v>
          </cell>
          <cell r="BT139">
            <v>2061.8797744708108</v>
          </cell>
          <cell r="BU139">
            <v>1986.767575131287</v>
          </cell>
          <cell r="BZ139" t="str">
            <v xml:space="preserve">Total Current Assets </v>
          </cell>
          <cell r="CB139">
            <v>172.70000000000019</v>
          </cell>
          <cell r="CC139">
            <v>277.60000000000025</v>
          </cell>
          <cell r="CD139">
            <v>371.20000000000027</v>
          </cell>
          <cell r="CE139">
            <v>245.80000000000027</v>
          </cell>
          <cell r="CF139">
            <v>579.90000000000055</v>
          </cell>
          <cell r="CG139">
            <v>1035.9000000000005</v>
          </cell>
          <cell r="CH139">
            <v>1051.8000000000006</v>
          </cell>
          <cell r="CI139">
            <v>1001.9000000000003</v>
          </cell>
          <cell r="CJ139">
            <v>989.10000000000048</v>
          </cell>
          <cell r="CK139">
            <v>809.10000000000161</v>
          </cell>
          <cell r="CL139">
            <v>1012.9000000000017</v>
          </cell>
          <cell r="CM139">
            <v>1343.0000000000027</v>
          </cell>
          <cell r="CN139">
            <v>1424.4000000000028</v>
          </cell>
          <cell r="CO139">
            <v>2525.700000000003</v>
          </cell>
          <cell r="CP139">
            <v>2968.8000000000029</v>
          </cell>
          <cell r="CQ139">
            <v>2796.0612095918741</v>
          </cell>
          <cell r="CR139">
            <v>2974.3648596311145</v>
          </cell>
          <cell r="CS139">
            <v>2670.6065599965682</v>
          </cell>
          <cell r="CT139">
            <v>2409.2056602365742</v>
          </cell>
          <cell r="CU139">
            <v>2204.5707688680395</v>
          </cell>
          <cell r="CV139">
            <v>2061.8797744708108</v>
          </cell>
          <cell r="CW139">
            <v>1986.767575131287</v>
          </cell>
          <cell r="CY139">
            <v>2832.8452038739879</v>
          </cell>
        </row>
        <row r="141">
          <cell r="A141" t="str">
            <v xml:space="preserve">Property and Equipment, Net </v>
          </cell>
          <cell r="D141">
            <v>43.3</v>
          </cell>
          <cell r="E141">
            <v>43.4</v>
          </cell>
          <cell r="F141">
            <v>42.9</v>
          </cell>
          <cell r="G141">
            <v>50.6</v>
          </cell>
          <cell r="H141">
            <v>46.8</v>
          </cell>
          <cell r="I141">
            <v>45.2</v>
          </cell>
          <cell r="J141">
            <v>44.8</v>
          </cell>
          <cell r="K141">
            <v>45.7</v>
          </cell>
          <cell r="L141">
            <v>47.2</v>
          </cell>
          <cell r="M141">
            <v>55.4</v>
          </cell>
          <cell r="N141">
            <v>55.4</v>
          </cell>
          <cell r="O141">
            <v>58.3</v>
          </cell>
          <cell r="P141">
            <v>60</v>
          </cell>
          <cell r="Q141">
            <v>62.8</v>
          </cell>
          <cell r="R141">
            <v>62</v>
          </cell>
          <cell r="S141">
            <v>62</v>
          </cell>
          <cell r="T141">
            <v>118.2</v>
          </cell>
          <cell r="U141">
            <v>162.80000000000001</v>
          </cell>
          <cell r="V141">
            <v>218.4</v>
          </cell>
          <cell r="W141">
            <v>214.6</v>
          </cell>
          <cell r="X141">
            <v>214.6</v>
          </cell>
          <cell r="Y141">
            <v>230.2</v>
          </cell>
          <cell r="Z141">
            <v>235.7</v>
          </cell>
          <cell r="AA141">
            <v>242.1</v>
          </cell>
          <cell r="AB141">
            <v>247.7</v>
          </cell>
          <cell r="AC141">
            <v>247.7</v>
          </cell>
          <cell r="AD141">
            <v>248.4</v>
          </cell>
          <cell r="AE141">
            <v>267.60000000000002</v>
          </cell>
          <cell r="AF141">
            <v>278.60000000000002</v>
          </cell>
          <cell r="AG141">
            <v>293</v>
          </cell>
          <cell r="AH141">
            <v>293</v>
          </cell>
          <cell r="AI141">
            <v>292.7</v>
          </cell>
          <cell r="AJ141">
            <v>298.3</v>
          </cell>
          <cell r="AK141">
            <v>307.5</v>
          </cell>
          <cell r="AL141">
            <v>319.3</v>
          </cell>
          <cell r="AM141">
            <v>319.3</v>
          </cell>
          <cell r="AN141">
            <v>324.60000000000002</v>
          </cell>
          <cell r="AO141">
            <v>325.2</v>
          </cell>
          <cell r="AP141">
            <v>323.7</v>
          </cell>
          <cell r="AQ141">
            <v>326.8</v>
          </cell>
          <cell r="AR141">
            <v>326.8</v>
          </cell>
          <cell r="AS141">
            <v>324.8</v>
          </cell>
          <cell r="AT141">
            <v>317.39999999999998</v>
          </cell>
          <cell r="AU141">
            <v>315.60000000000002</v>
          </cell>
          <cell r="AV141">
            <v>307.10000000000002</v>
          </cell>
          <cell r="AW141">
            <v>307.10000000000002</v>
          </cell>
          <cell r="AX141">
            <v>296.10000000000002</v>
          </cell>
          <cell r="AY141">
            <v>287.39999999999998</v>
          </cell>
          <cell r="AZ141">
            <v>284.3</v>
          </cell>
          <cell r="BA141">
            <v>278.7</v>
          </cell>
          <cell r="BB141">
            <v>278.7</v>
          </cell>
          <cell r="BC141">
            <v>282.3</v>
          </cell>
          <cell r="BD141">
            <v>298.3</v>
          </cell>
          <cell r="BE141">
            <v>300.49519588941041</v>
          </cell>
          <cell r="BF141">
            <v>302.26129336756333</v>
          </cell>
          <cell r="BG141">
            <v>302.26129336756333</v>
          </cell>
          <cell r="BH141">
            <v>304.00685019235817</v>
          </cell>
          <cell r="BI141">
            <v>305.19185694048434</v>
          </cell>
          <cell r="BJ141">
            <v>307.10734488427477</v>
          </cell>
          <cell r="BK141">
            <v>308.57062173585405</v>
          </cell>
          <cell r="BL141">
            <v>308.57062173585405</v>
          </cell>
          <cell r="BM141">
            <v>309.94905021034384</v>
          </cell>
          <cell r="BN141">
            <v>310.75551533081318</v>
          </cell>
          <cell r="BO141">
            <v>312.3017732039915</v>
          </cell>
          <cell r="BP141">
            <v>313.37021977966384</v>
          </cell>
          <cell r="BQ141">
            <v>313.37021977966384</v>
          </cell>
          <cell r="BR141">
            <v>298.10953947600495</v>
          </cell>
          <cell r="BS141">
            <v>276.59574762913189</v>
          </cell>
          <cell r="BT141">
            <v>253.50562312867117</v>
          </cell>
          <cell r="BU141">
            <v>228.70340345297518</v>
          </cell>
          <cell r="BZ141" t="str">
            <v xml:space="preserve">Property and Equipment, Net </v>
          </cell>
          <cell r="CB141">
            <v>43.3</v>
          </cell>
          <cell r="CC141">
            <v>43.4</v>
          </cell>
          <cell r="CD141">
            <v>42.9</v>
          </cell>
          <cell r="CE141">
            <v>50.6</v>
          </cell>
          <cell r="CF141">
            <v>46.8</v>
          </cell>
          <cell r="CG141">
            <v>45.2</v>
          </cell>
          <cell r="CH141">
            <v>55.4</v>
          </cell>
          <cell r="CI141">
            <v>62</v>
          </cell>
          <cell r="CJ141">
            <v>214.6</v>
          </cell>
          <cell r="CK141">
            <v>247.7</v>
          </cell>
          <cell r="CL141">
            <v>293</v>
          </cell>
          <cell r="CM141">
            <v>319.3</v>
          </cell>
          <cell r="CN141">
            <v>326.8</v>
          </cell>
          <cell r="CO141">
            <v>307.10000000000002</v>
          </cell>
          <cell r="CP141">
            <v>278.7</v>
          </cell>
          <cell r="CQ141">
            <v>302.26129336756333</v>
          </cell>
          <cell r="CR141">
            <v>308.57062173585405</v>
          </cell>
          <cell r="CS141">
            <v>313.37021977966384</v>
          </cell>
          <cell r="CT141">
            <v>298.10953947600495</v>
          </cell>
          <cell r="CU141">
            <v>276.59574762913189</v>
          </cell>
          <cell r="CV141">
            <v>253.50562312867117</v>
          </cell>
          <cell r="CW141">
            <v>228.70340345297518</v>
          </cell>
          <cell r="CY141">
            <v>305.19185694048434</v>
          </cell>
          <cell r="DA141" t="str">
            <v>mstag:propertyPlantAndEquipmentNet</v>
          </cell>
          <cell r="DB141">
            <v>6</v>
          </cell>
          <cell r="DC141" t="str">
            <v>ISO4217:USD</v>
          </cell>
          <cell r="DD141" t="b">
            <v>0</v>
          </cell>
        </row>
        <row r="142">
          <cell r="A142" t="str">
            <v>Goodwill</v>
          </cell>
          <cell r="D142">
            <v>0</v>
          </cell>
          <cell r="E142">
            <v>0</v>
          </cell>
          <cell r="F142">
            <v>6</v>
          </cell>
          <cell r="G142">
            <v>126.3</v>
          </cell>
          <cell r="H142">
            <v>126.4</v>
          </cell>
          <cell r="I142">
            <v>131.69999999999999</v>
          </cell>
          <cell r="J142">
            <v>131.80000000000001</v>
          </cell>
          <cell r="K142">
            <v>131.69999999999999</v>
          </cell>
          <cell r="L142">
            <v>131.6</v>
          </cell>
          <cell r="M142">
            <v>152.1</v>
          </cell>
          <cell r="N142">
            <v>152.1</v>
          </cell>
          <cell r="O142">
            <v>153.69999999999999</v>
          </cell>
          <cell r="P142">
            <v>154</v>
          </cell>
          <cell r="Q142">
            <v>154</v>
          </cell>
          <cell r="R142">
            <v>176.1</v>
          </cell>
          <cell r="S142">
            <v>176.1</v>
          </cell>
          <cell r="T142">
            <v>178.3</v>
          </cell>
          <cell r="U142">
            <v>179.8</v>
          </cell>
          <cell r="V142">
            <v>179.7</v>
          </cell>
          <cell r="W142">
            <v>179.9</v>
          </cell>
          <cell r="X142">
            <v>179.9</v>
          </cell>
          <cell r="Y142">
            <v>206</v>
          </cell>
          <cell r="Z142">
            <v>205.8</v>
          </cell>
          <cell r="AA142">
            <v>202.8</v>
          </cell>
          <cell r="AB142">
            <v>338</v>
          </cell>
          <cell r="AC142">
            <v>338</v>
          </cell>
          <cell r="AD142">
            <v>333.8</v>
          </cell>
          <cell r="AE142">
            <v>344.6</v>
          </cell>
          <cell r="AF142">
            <v>350.4</v>
          </cell>
          <cell r="AG142">
            <v>349.2</v>
          </cell>
          <cell r="AH142">
            <v>349.2</v>
          </cell>
          <cell r="AI142">
            <v>347.3</v>
          </cell>
          <cell r="AJ142">
            <v>345.1</v>
          </cell>
          <cell r="AK142">
            <v>355.2</v>
          </cell>
          <cell r="AL142">
            <v>465.5</v>
          </cell>
          <cell r="AM142">
            <v>465.5</v>
          </cell>
          <cell r="AN142">
            <v>463.3</v>
          </cell>
          <cell r="AO142">
            <v>470.4</v>
          </cell>
          <cell r="AP142">
            <v>451.1</v>
          </cell>
          <cell r="AQ142">
            <v>642.9</v>
          </cell>
          <cell r="AR142">
            <v>642.9</v>
          </cell>
          <cell r="AS142">
            <v>656.3</v>
          </cell>
          <cell r="AT142">
            <v>638.1</v>
          </cell>
          <cell r="AU142">
            <v>646.29999999999995</v>
          </cell>
          <cell r="AV142">
            <v>637.1</v>
          </cell>
          <cell r="AW142">
            <v>637.1</v>
          </cell>
          <cell r="AX142">
            <v>623.79999999999995</v>
          </cell>
          <cell r="AY142">
            <v>619.79999999999995</v>
          </cell>
          <cell r="AZ142">
            <v>630.79999999999995</v>
          </cell>
          <cell r="BA142">
            <v>665.2</v>
          </cell>
          <cell r="BB142">
            <v>665.2</v>
          </cell>
          <cell r="BC142">
            <v>656.6</v>
          </cell>
          <cell r="BD142">
            <v>955.2</v>
          </cell>
          <cell r="BE142">
            <v>955.2</v>
          </cell>
          <cell r="BF142">
            <v>955.2</v>
          </cell>
          <cell r="BG142">
            <v>955.2</v>
          </cell>
          <cell r="BH142">
            <v>955.2</v>
          </cell>
          <cell r="BI142">
            <v>955.2</v>
          </cell>
          <cell r="BJ142">
            <v>955.2</v>
          </cell>
          <cell r="BK142">
            <v>955.2</v>
          </cell>
          <cell r="BL142">
            <v>955.2</v>
          </cell>
          <cell r="BM142">
            <v>955.2</v>
          </cell>
          <cell r="BN142">
            <v>955.2</v>
          </cell>
          <cell r="BO142">
            <v>955.2</v>
          </cell>
          <cell r="BP142">
            <v>955.2</v>
          </cell>
          <cell r="BQ142">
            <v>955.2</v>
          </cell>
          <cell r="BR142">
            <v>955.2</v>
          </cell>
          <cell r="BS142">
            <v>955.2</v>
          </cell>
          <cell r="BT142">
            <v>955.2</v>
          </cell>
          <cell r="BU142">
            <v>955.2</v>
          </cell>
          <cell r="BZ142" t="str">
            <v>Goodwill</v>
          </cell>
          <cell r="CB142">
            <v>0</v>
          </cell>
          <cell r="CC142">
            <v>0</v>
          </cell>
          <cell r="CD142">
            <v>6</v>
          </cell>
          <cell r="CE142">
            <v>126.3</v>
          </cell>
          <cell r="CF142">
            <v>126.4</v>
          </cell>
          <cell r="CG142">
            <v>131.69999999999999</v>
          </cell>
          <cell r="CH142">
            <v>152.1</v>
          </cell>
          <cell r="CI142">
            <v>176.1</v>
          </cell>
          <cell r="CJ142">
            <v>179.9</v>
          </cell>
          <cell r="CK142">
            <v>338</v>
          </cell>
          <cell r="CL142">
            <v>349.2</v>
          </cell>
          <cell r="CM142">
            <v>465.5</v>
          </cell>
          <cell r="CN142">
            <v>642.9</v>
          </cell>
          <cell r="CO142">
            <v>637.1</v>
          </cell>
          <cell r="CP142">
            <v>665.2</v>
          </cell>
          <cell r="CQ142">
            <v>955.2</v>
          </cell>
          <cell r="CR142">
            <v>955.2</v>
          </cell>
          <cell r="CS142">
            <v>955.2</v>
          </cell>
          <cell r="CT142">
            <v>955.2</v>
          </cell>
          <cell r="CU142">
            <v>955.2</v>
          </cell>
          <cell r="CV142">
            <v>955.2</v>
          </cell>
          <cell r="CW142">
            <v>955.2</v>
          </cell>
          <cell r="CY142">
            <v>955.2</v>
          </cell>
          <cell r="DA142" t="str">
            <v>mstag:goodwill</v>
          </cell>
          <cell r="DB142">
            <v>6</v>
          </cell>
          <cell r="DC142" t="str">
            <v>ISO4217:USD</v>
          </cell>
          <cell r="DD142" t="b">
            <v>0</v>
          </cell>
        </row>
        <row r="143">
          <cell r="A143" t="str">
            <v>Intangible assets, net</v>
          </cell>
          <cell r="D143">
            <v>2.2000000000000002</v>
          </cell>
          <cell r="E143">
            <v>13.7</v>
          </cell>
          <cell r="F143">
            <v>4.3</v>
          </cell>
          <cell r="G143">
            <v>84.4</v>
          </cell>
          <cell r="H143">
            <v>77.400000000000006</v>
          </cell>
          <cell r="I143">
            <v>70.7</v>
          </cell>
          <cell r="J143">
            <v>69.099999999999994</v>
          </cell>
          <cell r="K143">
            <v>67.400000000000006</v>
          </cell>
          <cell r="L143">
            <v>65.900000000000006</v>
          </cell>
          <cell r="M143">
            <v>70.8</v>
          </cell>
          <cell r="N143">
            <v>70.8</v>
          </cell>
          <cell r="O143">
            <v>69.099999999999994</v>
          </cell>
          <cell r="P143">
            <v>66.599999999999994</v>
          </cell>
          <cell r="Q143">
            <v>64.099999999999994</v>
          </cell>
          <cell r="R143">
            <v>65.7</v>
          </cell>
          <cell r="S143">
            <v>65.7</v>
          </cell>
          <cell r="T143">
            <v>63.5</v>
          </cell>
          <cell r="U143">
            <v>61.6</v>
          </cell>
          <cell r="V143">
            <v>59.6</v>
          </cell>
          <cell r="W143">
            <v>56.9</v>
          </cell>
          <cell r="X143">
            <v>56.9</v>
          </cell>
          <cell r="Y143">
            <v>68.099999999999994</v>
          </cell>
          <cell r="Z143">
            <v>65.5</v>
          </cell>
          <cell r="AA143">
            <v>63.7</v>
          </cell>
          <cell r="AB143">
            <v>114</v>
          </cell>
          <cell r="AC143">
            <v>114</v>
          </cell>
          <cell r="AD143">
            <v>107.1</v>
          </cell>
          <cell r="AE143">
            <v>106.7</v>
          </cell>
          <cell r="AF143">
            <v>104.2</v>
          </cell>
          <cell r="AG143">
            <v>104.9</v>
          </cell>
          <cell r="AH143">
            <v>104.9</v>
          </cell>
          <cell r="AI143">
            <v>100.1</v>
          </cell>
          <cell r="AJ143">
            <v>93.1</v>
          </cell>
          <cell r="AK143">
            <v>93.3</v>
          </cell>
          <cell r="AL143">
            <v>168.8</v>
          </cell>
          <cell r="AM143">
            <v>168.8</v>
          </cell>
          <cell r="AN143">
            <v>167.7</v>
          </cell>
          <cell r="AO143">
            <v>166.8</v>
          </cell>
          <cell r="AP143">
            <v>153</v>
          </cell>
          <cell r="AQ143">
            <v>253.6</v>
          </cell>
          <cell r="AR143">
            <v>253.6</v>
          </cell>
          <cell r="AS143">
            <v>249.3</v>
          </cell>
          <cell r="AT143">
            <v>238</v>
          </cell>
          <cell r="AU143">
            <v>233.3</v>
          </cell>
          <cell r="AV143">
            <v>226.5</v>
          </cell>
          <cell r="AW143">
            <v>226.5</v>
          </cell>
          <cell r="AX143">
            <v>212.7</v>
          </cell>
          <cell r="AY143">
            <v>202</v>
          </cell>
          <cell r="AZ143">
            <v>198.2</v>
          </cell>
          <cell r="BA143">
            <v>221.6</v>
          </cell>
          <cell r="BB143">
            <v>221.6</v>
          </cell>
          <cell r="BC143">
            <v>212.8</v>
          </cell>
          <cell r="BD143">
            <v>310.5</v>
          </cell>
          <cell r="BE143">
            <v>304.35000000000002</v>
          </cell>
          <cell r="BF143">
            <v>298.20000000000005</v>
          </cell>
          <cell r="BG143">
            <v>298.20000000000005</v>
          </cell>
          <cell r="BH143">
            <v>292.15000000000003</v>
          </cell>
          <cell r="BI143">
            <v>286.10000000000002</v>
          </cell>
          <cell r="BJ143">
            <v>280.05</v>
          </cell>
          <cell r="BK143">
            <v>274</v>
          </cell>
          <cell r="BL143">
            <v>274</v>
          </cell>
          <cell r="BM143">
            <v>268.125</v>
          </cell>
          <cell r="BN143">
            <v>262.25</v>
          </cell>
          <cell r="BO143">
            <v>256.375</v>
          </cell>
          <cell r="BP143">
            <v>250.5</v>
          </cell>
          <cell r="BQ143">
            <v>250.5</v>
          </cell>
          <cell r="BR143">
            <v>230.6</v>
          </cell>
          <cell r="BS143">
            <v>215.5</v>
          </cell>
          <cell r="BT143">
            <v>200.4</v>
          </cell>
          <cell r="BU143">
            <v>185.3</v>
          </cell>
          <cell r="BZ143" t="str">
            <v>Intangible assets, net</v>
          </cell>
          <cell r="CB143">
            <v>2.2000000000000002</v>
          </cell>
          <cell r="CC143">
            <v>13.7</v>
          </cell>
          <cell r="CD143">
            <v>4.3</v>
          </cell>
          <cell r="CE143">
            <v>84.4</v>
          </cell>
          <cell r="CF143">
            <v>77.400000000000006</v>
          </cell>
          <cell r="CG143">
            <v>70.7</v>
          </cell>
          <cell r="CH143">
            <v>70.8</v>
          </cell>
          <cell r="CI143">
            <v>65.7</v>
          </cell>
          <cell r="CJ143">
            <v>56.9</v>
          </cell>
          <cell r="CK143">
            <v>114</v>
          </cell>
          <cell r="CL143">
            <v>104.9</v>
          </cell>
          <cell r="CM143">
            <v>168.8</v>
          </cell>
          <cell r="CN143">
            <v>253.6</v>
          </cell>
          <cell r="CO143">
            <v>226.5</v>
          </cell>
          <cell r="CP143">
            <v>221.6</v>
          </cell>
          <cell r="CQ143">
            <v>298.20000000000005</v>
          </cell>
          <cell r="CR143">
            <v>274</v>
          </cell>
          <cell r="CS143">
            <v>250.5</v>
          </cell>
          <cell r="CT143">
            <v>230.6</v>
          </cell>
          <cell r="CU143">
            <v>215.5</v>
          </cell>
          <cell r="CV143">
            <v>200.4</v>
          </cell>
          <cell r="CW143">
            <v>185.3</v>
          </cell>
          <cell r="CY143">
            <v>286.10000000000002</v>
          </cell>
          <cell r="DA143" t="str">
            <v>mstag:otherIntangibleAssets</v>
          </cell>
          <cell r="DB143">
            <v>6</v>
          </cell>
          <cell r="DC143" t="str">
            <v>ISO4217:USD</v>
          </cell>
          <cell r="DD143" t="b">
            <v>0</v>
          </cell>
        </row>
        <row r="144">
          <cell r="A144" t="str">
            <v>Prepaid pension cost</v>
          </cell>
          <cell r="D144">
            <v>49.7</v>
          </cell>
          <cell r="E144">
            <v>53.8</v>
          </cell>
          <cell r="F144">
            <v>57.2</v>
          </cell>
          <cell r="G144">
            <v>59.3</v>
          </cell>
          <cell r="H144">
            <v>60.2</v>
          </cell>
          <cell r="I144">
            <v>59.7</v>
          </cell>
          <cell r="J144">
            <v>59</v>
          </cell>
          <cell r="K144">
            <v>58</v>
          </cell>
          <cell r="L144">
            <v>57.2</v>
          </cell>
          <cell r="M144">
            <v>56.4</v>
          </cell>
          <cell r="N144">
            <v>56.4</v>
          </cell>
          <cell r="O144">
            <v>55.4</v>
          </cell>
          <cell r="P144">
            <v>54.1</v>
          </cell>
          <cell r="Q144">
            <v>53</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Z144" t="str">
            <v>Prepaid pension cost</v>
          </cell>
          <cell r="CB144">
            <v>49.7</v>
          </cell>
          <cell r="CC144">
            <v>53.8</v>
          </cell>
          <cell r="CD144">
            <v>57.2</v>
          </cell>
          <cell r="CE144">
            <v>59.3</v>
          </cell>
          <cell r="CF144">
            <v>60.2</v>
          </cell>
          <cell r="CG144">
            <v>59.7</v>
          </cell>
          <cell r="CH144">
            <v>56.4</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Y144">
            <v>0</v>
          </cell>
          <cell r="DA144" t="str">
            <v>mstag:prepaidExpensesNonCurrent</v>
          </cell>
          <cell r="DB144">
            <v>6</v>
          </cell>
          <cell r="DC144" t="str">
            <v>ISO4217:USD</v>
          </cell>
          <cell r="DD144" t="b">
            <v>0</v>
          </cell>
        </row>
        <row r="145">
          <cell r="A145" t="str">
            <v>Deferred tax assets, net</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166.3</v>
          </cell>
          <cell r="X145">
            <v>166.3</v>
          </cell>
          <cell r="Y145">
            <v>145.69999999999999</v>
          </cell>
          <cell r="Z145">
            <v>162.5</v>
          </cell>
          <cell r="AA145">
            <v>185.5</v>
          </cell>
          <cell r="AB145">
            <v>220.1</v>
          </cell>
          <cell r="AC145">
            <v>220.1</v>
          </cell>
          <cell r="AD145">
            <v>213.1</v>
          </cell>
          <cell r="AE145">
            <v>206.6</v>
          </cell>
          <cell r="AF145">
            <v>195</v>
          </cell>
          <cell r="AG145">
            <v>192.6</v>
          </cell>
          <cell r="AH145">
            <v>192.6</v>
          </cell>
          <cell r="AI145">
            <v>203.1</v>
          </cell>
          <cell r="AJ145">
            <v>208.2</v>
          </cell>
          <cell r="AK145">
            <v>227.8</v>
          </cell>
          <cell r="AL145">
            <v>187.9</v>
          </cell>
          <cell r="AM145">
            <v>187.9</v>
          </cell>
          <cell r="AN145">
            <v>176.5</v>
          </cell>
          <cell r="AO145">
            <v>181.1</v>
          </cell>
          <cell r="AP145">
            <v>172.1</v>
          </cell>
          <cell r="AQ145">
            <v>146.4</v>
          </cell>
          <cell r="AR145">
            <v>146.4</v>
          </cell>
          <cell r="AS145">
            <v>147.30000000000001</v>
          </cell>
          <cell r="AT145">
            <v>150.9</v>
          </cell>
          <cell r="AU145">
            <v>156.80000000000001</v>
          </cell>
          <cell r="AV145">
            <v>168.5</v>
          </cell>
          <cell r="AW145">
            <v>168.5</v>
          </cell>
          <cell r="AX145">
            <v>158.19999999999999</v>
          </cell>
          <cell r="AY145">
            <v>152.5</v>
          </cell>
          <cell r="AZ145">
            <v>165.1</v>
          </cell>
          <cell r="BA145">
            <v>148.69999999999999</v>
          </cell>
          <cell r="BB145">
            <v>148.69999999999999</v>
          </cell>
          <cell r="BC145">
            <v>149.30000000000001</v>
          </cell>
          <cell r="BD145">
            <v>130.9</v>
          </cell>
          <cell r="BE145">
            <v>130.9</v>
          </cell>
          <cell r="BF145">
            <v>130.9</v>
          </cell>
          <cell r="BG145">
            <v>130.9</v>
          </cell>
          <cell r="BH145">
            <v>130.9</v>
          </cell>
          <cell r="BI145">
            <v>130.9</v>
          </cell>
          <cell r="BJ145">
            <v>130.9</v>
          </cell>
          <cell r="BK145">
            <v>130.9</v>
          </cell>
          <cell r="BL145">
            <v>130.9</v>
          </cell>
          <cell r="BM145">
            <v>130.9</v>
          </cell>
          <cell r="BN145">
            <v>130.9</v>
          </cell>
          <cell r="BO145">
            <v>130.9</v>
          </cell>
          <cell r="BP145">
            <v>130.9</v>
          </cell>
          <cell r="BQ145">
            <v>130.9</v>
          </cell>
          <cell r="BR145">
            <v>130.9</v>
          </cell>
          <cell r="BS145">
            <v>130.9</v>
          </cell>
          <cell r="BT145">
            <v>130.9</v>
          </cell>
          <cell r="BU145">
            <v>130.9</v>
          </cell>
          <cell r="BZ145" t="str">
            <v>Deferred tax assets, net</v>
          </cell>
          <cell r="CB145">
            <v>0</v>
          </cell>
          <cell r="CC145">
            <v>0</v>
          </cell>
          <cell r="CD145">
            <v>0</v>
          </cell>
          <cell r="CE145">
            <v>0</v>
          </cell>
          <cell r="CF145">
            <v>0</v>
          </cell>
          <cell r="CG145">
            <v>0</v>
          </cell>
          <cell r="CH145">
            <v>0</v>
          </cell>
          <cell r="CI145">
            <v>0</v>
          </cell>
          <cell r="CJ145">
            <v>166.3</v>
          </cell>
          <cell r="CK145">
            <v>220.1</v>
          </cell>
          <cell r="CL145">
            <v>192.6</v>
          </cell>
          <cell r="CM145">
            <v>187.9</v>
          </cell>
          <cell r="CN145">
            <v>146.4</v>
          </cell>
          <cell r="CO145">
            <v>168.5</v>
          </cell>
          <cell r="CP145">
            <v>148.69999999999999</v>
          </cell>
          <cell r="CQ145">
            <v>130.9</v>
          </cell>
          <cell r="CR145">
            <v>130.9</v>
          </cell>
          <cell r="CS145">
            <v>130.9</v>
          </cell>
          <cell r="CT145">
            <v>130.9</v>
          </cell>
          <cell r="CU145">
            <v>130.9</v>
          </cell>
          <cell r="CV145">
            <v>130.9</v>
          </cell>
          <cell r="CW145">
            <v>130.9</v>
          </cell>
          <cell r="CY145">
            <v>130.9</v>
          </cell>
          <cell r="DA145" t="str">
            <v>mstag:deferredTaxAssetsNonCurrent</v>
          </cell>
          <cell r="DB145">
            <v>6</v>
          </cell>
          <cell r="DC145" t="str">
            <v>ISO4217:USD</v>
          </cell>
          <cell r="DD145" t="b">
            <v>0</v>
          </cell>
        </row>
        <row r="146">
          <cell r="A146" t="str">
            <v>Other Assets</v>
          </cell>
          <cell r="D146">
            <v>6.9</v>
          </cell>
          <cell r="E146">
            <v>9.8000000000000007</v>
          </cell>
          <cell r="F146">
            <v>23.8</v>
          </cell>
          <cell r="G146">
            <v>64.400000000000006</v>
          </cell>
          <cell r="H146">
            <v>61.6</v>
          </cell>
          <cell r="I146">
            <v>46.1</v>
          </cell>
          <cell r="J146">
            <v>49</v>
          </cell>
          <cell r="K146">
            <v>50.8</v>
          </cell>
          <cell r="L146">
            <v>55.2</v>
          </cell>
          <cell r="M146">
            <v>70.7</v>
          </cell>
          <cell r="N146">
            <v>70.7</v>
          </cell>
          <cell r="O146">
            <v>103.1</v>
          </cell>
          <cell r="P146">
            <v>116.6</v>
          </cell>
          <cell r="Q146">
            <v>141.1</v>
          </cell>
          <cell r="R146">
            <v>192</v>
          </cell>
          <cell r="S146">
            <v>192</v>
          </cell>
          <cell r="T146">
            <v>230.8</v>
          </cell>
          <cell r="U146">
            <v>231.1</v>
          </cell>
          <cell r="V146">
            <v>223.3</v>
          </cell>
          <cell r="W146">
            <v>107.8</v>
          </cell>
          <cell r="X146">
            <v>107.8</v>
          </cell>
          <cell r="Y146">
            <v>84.3</v>
          </cell>
          <cell r="Z146">
            <v>82.1</v>
          </cell>
          <cell r="AA146">
            <v>82.4</v>
          </cell>
          <cell r="AB146">
            <v>44.5</v>
          </cell>
          <cell r="AC146">
            <v>44.5</v>
          </cell>
          <cell r="AD146">
            <v>43.6</v>
          </cell>
          <cell r="AE146">
            <v>47.7</v>
          </cell>
          <cell r="AF146">
            <v>49.5</v>
          </cell>
          <cell r="AG146">
            <v>50.7</v>
          </cell>
          <cell r="AH146">
            <v>50.7</v>
          </cell>
          <cell r="AI146">
            <v>52.1</v>
          </cell>
          <cell r="AJ146">
            <v>53</v>
          </cell>
          <cell r="AK146">
            <v>63</v>
          </cell>
          <cell r="AL146">
            <v>55.8</v>
          </cell>
          <cell r="AM146">
            <v>55.8</v>
          </cell>
          <cell r="AN146">
            <v>52.7</v>
          </cell>
          <cell r="AO146">
            <v>58</v>
          </cell>
          <cell r="AP146">
            <v>61.4</v>
          </cell>
          <cell r="AQ146">
            <v>82</v>
          </cell>
          <cell r="AR146">
            <v>82</v>
          </cell>
          <cell r="AS146">
            <v>90.1</v>
          </cell>
          <cell r="AT146">
            <v>100.1</v>
          </cell>
          <cell r="AU146">
            <v>104.5</v>
          </cell>
          <cell r="AV146">
            <v>96</v>
          </cell>
          <cell r="AW146">
            <v>96</v>
          </cell>
          <cell r="AX146">
            <v>100.1</v>
          </cell>
          <cell r="AY146">
            <v>89.9</v>
          </cell>
          <cell r="AZ146">
            <v>93.9</v>
          </cell>
          <cell r="BA146">
            <v>112.1</v>
          </cell>
          <cell r="BB146">
            <v>112.1</v>
          </cell>
          <cell r="BC146">
            <v>106.6</v>
          </cell>
          <cell r="BD146">
            <v>147.4</v>
          </cell>
          <cell r="BE146">
            <v>95.19394599291283</v>
          </cell>
          <cell r="BF146">
            <v>114.05999182753406</v>
          </cell>
          <cell r="BG146">
            <v>114.05999182753406</v>
          </cell>
          <cell r="BH146">
            <v>108.1636584173535</v>
          </cell>
          <cell r="BI146">
            <v>148.46791000542598</v>
          </cell>
          <cell r="BJ146">
            <v>99.519598538898776</v>
          </cell>
          <cell r="BK146">
            <v>119.33696112467308</v>
          </cell>
          <cell r="BL146">
            <v>119.33696112467308</v>
          </cell>
          <cell r="BM146">
            <v>112.99153147986608</v>
          </cell>
          <cell r="BN146">
            <v>154.67951164447757</v>
          </cell>
          <cell r="BO146">
            <v>104.19480528366358</v>
          </cell>
          <cell r="BP146">
            <v>125.05648598829301</v>
          </cell>
          <cell r="BQ146">
            <v>125.05648598829301</v>
          </cell>
          <cell r="BR146">
            <v>130.01599092797582</v>
          </cell>
          <cell r="BS146">
            <v>135.38925832747509</v>
          </cell>
          <cell r="BT146">
            <v>141.21816863917348</v>
          </cell>
          <cell r="BU146">
            <v>147.54909707539204</v>
          </cell>
          <cell r="BZ146" t="str">
            <v>Other Assets</v>
          </cell>
          <cell r="CB146">
            <v>6.9</v>
          </cell>
          <cell r="CC146">
            <v>9.8000000000000007</v>
          </cell>
          <cell r="CD146">
            <v>23.8</v>
          </cell>
          <cell r="CE146">
            <v>64.400000000000006</v>
          </cell>
          <cell r="CF146">
            <v>61.6</v>
          </cell>
          <cell r="CG146">
            <v>46.1</v>
          </cell>
          <cell r="CH146">
            <v>70.7</v>
          </cell>
          <cell r="CI146">
            <v>192</v>
          </cell>
          <cell r="CJ146">
            <v>107.8</v>
          </cell>
          <cell r="CK146">
            <v>44.5</v>
          </cell>
          <cell r="CL146">
            <v>50.7</v>
          </cell>
          <cell r="CM146">
            <v>55.8</v>
          </cell>
          <cell r="CN146">
            <v>82</v>
          </cell>
          <cell r="CO146">
            <v>96</v>
          </cell>
          <cell r="CP146">
            <v>112.1</v>
          </cell>
          <cell r="CQ146">
            <v>114.05999182753406</v>
          </cell>
          <cell r="CR146">
            <v>119.33696112467308</v>
          </cell>
          <cell r="CS146">
            <v>125.05648598829301</v>
          </cell>
          <cell r="CT146">
            <v>130.01599092797582</v>
          </cell>
          <cell r="CU146">
            <v>135.38925832747509</v>
          </cell>
          <cell r="CV146">
            <v>141.21816863917348</v>
          </cell>
          <cell r="CW146">
            <v>147.54909707539204</v>
          </cell>
          <cell r="CY146">
            <v>148.46791000542598</v>
          </cell>
          <cell r="DA146" t="str">
            <v>mstag:otherAssetsOperatingNonCurrent</v>
          </cell>
          <cell r="DB146">
            <v>6</v>
          </cell>
          <cell r="DC146" t="str">
            <v>ISO4217:USD</v>
          </cell>
          <cell r="DD146" t="b">
            <v>0</v>
          </cell>
        </row>
        <row r="147">
          <cell r="C147" t="str">
            <v xml:space="preserve">______ </v>
          </cell>
          <cell r="D147" t="str">
            <v xml:space="preserve">______ </v>
          </cell>
          <cell r="E147" t="str">
            <v xml:space="preserve">______ </v>
          </cell>
          <cell r="F147" t="str">
            <v xml:space="preserve">______ </v>
          </cell>
          <cell r="G147" t="str">
            <v xml:space="preserve">______ </v>
          </cell>
          <cell r="H147" t="str">
            <v xml:space="preserve">______ </v>
          </cell>
          <cell r="I147" t="str">
            <v xml:space="preserve">______ </v>
          </cell>
          <cell r="J147" t="str">
            <v xml:space="preserve">______ </v>
          </cell>
          <cell r="K147" t="str">
            <v xml:space="preserve">______ </v>
          </cell>
          <cell r="L147" t="str">
            <v xml:space="preserve">______ </v>
          </cell>
          <cell r="M147" t="str">
            <v xml:space="preserve">______ </v>
          </cell>
          <cell r="N147" t="str">
            <v xml:space="preserve">______ </v>
          </cell>
          <cell r="O147" t="str">
            <v xml:space="preserve">______ </v>
          </cell>
          <cell r="P147" t="str">
            <v xml:space="preserve">______ </v>
          </cell>
          <cell r="Q147" t="str">
            <v xml:space="preserve">______ </v>
          </cell>
          <cell r="R147" t="str">
            <v xml:space="preserve">______ </v>
          </cell>
          <cell r="S147" t="str">
            <v xml:space="preserve">______ </v>
          </cell>
          <cell r="T147" t="str">
            <v xml:space="preserve">______ </v>
          </cell>
          <cell r="U147" t="str">
            <v xml:space="preserve">______ </v>
          </cell>
          <cell r="V147" t="str">
            <v xml:space="preserve">______ </v>
          </cell>
          <cell r="W147" t="str">
            <v xml:space="preserve">______ </v>
          </cell>
          <cell r="X147" t="str">
            <v xml:space="preserve">______ </v>
          </cell>
          <cell r="Y147" t="str">
            <v xml:space="preserve">______ </v>
          </cell>
          <cell r="Z147" t="str">
            <v xml:space="preserve">______ </v>
          </cell>
          <cell r="AA147" t="str">
            <v xml:space="preserve">______ </v>
          </cell>
          <cell r="AB147" t="str">
            <v xml:space="preserve">______ </v>
          </cell>
          <cell r="AC147" t="str">
            <v xml:space="preserve">______ </v>
          </cell>
          <cell r="AD147" t="str">
            <v xml:space="preserve">______ </v>
          </cell>
          <cell r="AE147" t="str">
            <v xml:space="preserve">______ </v>
          </cell>
          <cell r="AF147" t="str">
            <v xml:space="preserve">______ </v>
          </cell>
          <cell r="AG147" t="str">
            <v xml:space="preserve">______ </v>
          </cell>
          <cell r="AH147" t="str">
            <v xml:space="preserve">______ </v>
          </cell>
          <cell r="AI147" t="str">
            <v xml:space="preserve">______ </v>
          </cell>
          <cell r="AJ147" t="str">
            <v xml:space="preserve">______ </v>
          </cell>
          <cell r="AK147" t="str">
            <v xml:space="preserve">______ </v>
          </cell>
          <cell r="AL147" t="str">
            <v xml:space="preserve">______ </v>
          </cell>
          <cell r="AM147" t="str">
            <v xml:space="preserve">______ </v>
          </cell>
          <cell r="AN147" t="str">
            <v xml:space="preserve">______ </v>
          </cell>
          <cell r="AO147" t="str">
            <v xml:space="preserve">______ </v>
          </cell>
          <cell r="AP147" t="str">
            <v xml:space="preserve">______ </v>
          </cell>
          <cell r="AQ147" t="str">
            <v xml:space="preserve">______ </v>
          </cell>
          <cell r="AR147" t="str">
            <v xml:space="preserve">______ </v>
          </cell>
          <cell r="AS147" t="str">
            <v xml:space="preserve">______ </v>
          </cell>
          <cell r="AT147" t="str">
            <v xml:space="preserve">______ </v>
          </cell>
          <cell r="AU147" t="str">
            <v xml:space="preserve">______ </v>
          </cell>
          <cell r="AV147" t="str">
            <v xml:space="preserve">______ </v>
          </cell>
          <cell r="AW147" t="str">
            <v xml:space="preserve">______ </v>
          </cell>
          <cell r="AX147" t="str">
            <v xml:space="preserve">______ </v>
          </cell>
          <cell r="AY147" t="str">
            <v xml:space="preserve">______ </v>
          </cell>
          <cell r="AZ147" t="str">
            <v xml:space="preserve">______ </v>
          </cell>
          <cell r="BA147" t="str">
            <v xml:space="preserve">______ </v>
          </cell>
          <cell r="BB147" t="str">
            <v xml:space="preserve">______ </v>
          </cell>
          <cell r="BC147" t="str">
            <v xml:space="preserve">______ </v>
          </cell>
          <cell r="BD147" t="str">
            <v xml:space="preserve">______ </v>
          </cell>
          <cell r="BE147" t="str">
            <v xml:space="preserve">______ </v>
          </cell>
          <cell r="BF147" t="str">
            <v xml:space="preserve">______ </v>
          </cell>
          <cell r="BG147" t="str">
            <v xml:space="preserve">______ </v>
          </cell>
          <cell r="BH147" t="str">
            <v xml:space="preserve">______ </v>
          </cell>
          <cell r="BI147" t="str">
            <v xml:space="preserve">______ </v>
          </cell>
          <cell r="BJ147" t="str">
            <v xml:space="preserve">______ </v>
          </cell>
          <cell r="BK147" t="str">
            <v xml:space="preserve">______ </v>
          </cell>
          <cell r="BL147" t="str">
            <v xml:space="preserve">______ </v>
          </cell>
          <cell r="BM147" t="str">
            <v xml:space="preserve">______ </v>
          </cell>
          <cell r="BN147" t="str">
            <v xml:space="preserve">______ </v>
          </cell>
          <cell r="BO147" t="str">
            <v xml:space="preserve">______ </v>
          </cell>
          <cell r="BP147" t="str">
            <v xml:space="preserve">______ </v>
          </cell>
          <cell r="BQ147" t="str">
            <v xml:space="preserve">______ </v>
          </cell>
          <cell r="BR147" t="str">
            <v xml:space="preserve">______ </v>
          </cell>
          <cell r="BS147" t="str">
            <v xml:space="preserve">______ </v>
          </cell>
          <cell r="BT147" t="str">
            <v xml:space="preserve">______ </v>
          </cell>
          <cell r="BU147" t="str">
            <v xml:space="preserve">______ </v>
          </cell>
          <cell r="CB147" t="str">
            <v xml:space="preserve">______ </v>
          </cell>
          <cell r="CC147" t="str">
            <v xml:space="preserve">______ </v>
          </cell>
          <cell r="CD147" t="str">
            <v xml:space="preserve">______ </v>
          </cell>
          <cell r="CE147" t="str">
            <v xml:space="preserve">______ </v>
          </cell>
          <cell r="CF147" t="str">
            <v xml:space="preserve">______ </v>
          </cell>
          <cell r="CG147" t="str">
            <v xml:space="preserve">______ </v>
          </cell>
          <cell r="CH147" t="str">
            <v xml:space="preserve">______ </v>
          </cell>
          <cell r="CI147" t="str">
            <v xml:space="preserve">______ </v>
          </cell>
          <cell r="CJ147" t="str">
            <v xml:space="preserve">______ </v>
          </cell>
          <cell r="CK147" t="str">
            <v xml:space="preserve">______ </v>
          </cell>
          <cell r="CL147" t="str">
            <v xml:space="preserve">______ </v>
          </cell>
          <cell r="CM147" t="str">
            <v xml:space="preserve">______ </v>
          </cell>
          <cell r="CN147" t="str">
            <v xml:space="preserve">______ </v>
          </cell>
          <cell r="CO147" t="str">
            <v xml:space="preserve">______ </v>
          </cell>
          <cell r="CP147" t="str">
            <v xml:space="preserve">______ </v>
          </cell>
          <cell r="CQ147" t="str">
            <v xml:space="preserve">______ </v>
          </cell>
          <cell r="CR147" t="str">
            <v xml:space="preserve">______ </v>
          </cell>
          <cell r="CS147" t="str">
            <v xml:space="preserve">______ </v>
          </cell>
          <cell r="CT147" t="str">
            <v xml:space="preserve">______ </v>
          </cell>
          <cell r="CU147" t="str">
            <v xml:space="preserve">______ </v>
          </cell>
          <cell r="CV147" t="str">
            <v xml:space="preserve">______ </v>
          </cell>
          <cell r="CW147" t="str">
            <v xml:space="preserve">______ </v>
          </cell>
          <cell r="CY147" t="str">
            <v xml:space="preserve">______ </v>
          </cell>
        </row>
        <row r="148">
          <cell r="A148" t="str">
            <v>Total Assets</v>
          </cell>
          <cell r="D148">
            <v>274.80000000000018</v>
          </cell>
          <cell r="E148">
            <v>398.30000000000024</v>
          </cell>
          <cell r="F148">
            <v>505.40000000000032</v>
          </cell>
          <cell r="G148">
            <v>630.8000000000003</v>
          </cell>
          <cell r="H148">
            <v>952.30000000000064</v>
          </cell>
          <cell r="I148">
            <v>1389.3000000000006</v>
          </cell>
          <cell r="J148">
            <v>1559.0000000000009</v>
          </cell>
          <cell r="K148">
            <v>1724.3000000000006</v>
          </cell>
          <cell r="L148">
            <v>1555.1000000000004</v>
          </cell>
          <cell r="M148">
            <v>1457.2000000000003</v>
          </cell>
          <cell r="N148">
            <v>1457.2000000000007</v>
          </cell>
          <cell r="O148">
            <v>1502.4000000000005</v>
          </cell>
          <cell r="P148">
            <v>1131.1000000000004</v>
          </cell>
          <cell r="Q148">
            <v>1155.2000000000003</v>
          </cell>
          <cell r="R148">
            <v>1497.7000000000003</v>
          </cell>
          <cell r="S148">
            <v>1497.7000000000003</v>
          </cell>
          <cell r="T148">
            <v>1469.9000000000003</v>
          </cell>
          <cell r="U148">
            <v>1553.3000000000002</v>
          </cell>
          <cell r="V148">
            <v>1551.6000000000001</v>
          </cell>
          <cell r="W148">
            <v>1714.6000000000006</v>
          </cell>
          <cell r="X148">
            <v>1714.6000000000004</v>
          </cell>
          <cell r="Y148">
            <v>1586.8000000000002</v>
          </cell>
          <cell r="Z148">
            <v>1664.4</v>
          </cell>
          <cell r="AA148">
            <v>1694.3000000000009</v>
          </cell>
          <cell r="AB148">
            <v>1773.4000000000019</v>
          </cell>
          <cell r="AC148">
            <v>1773.4000000000017</v>
          </cell>
          <cell r="AD148">
            <v>1802.1000000000022</v>
          </cell>
          <cell r="AE148">
            <v>1873.8000000000027</v>
          </cell>
          <cell r="AF148">
            <v>1874.2000000000014</v>
          </cell>
          <cell r="AG148">
            <v>2003.3000000000025</v>
          </cell>
          <cell r="AH148">
            <v>2003.3000000000018</v>
          </cell>
          <cell r="AI148">
            <v>2003.3000000000025</v>
          </cell>
          <cell r="AJ148">
            <v>1957.7000000000025</v>
          </cell>
          <cell r="AK148">
            <v>2348.2000000000025</v>
          </cell>
          <cell r="AL148">
            <v>2540.3000000000029</v>
          </cell>
          <cell r="AM148">
            <v>2540.3000000000029</v>
          </cell>
          <cell r="AN148">
            <v>2524.4000000000028</v>
          </cell>
          <cell r="AO148">
            <v>2744.6000000000022</v>
          </cell>
          <cell r="AP148">
            <v>2521.3000000000029</v>
          </cell>
          <cell r="AQ148">
            <v>2876.1000000000031</v>
          </cell>
          <cell r="AR148">
            <v>2876.1000000000031</v>
          </cell>
          <cell r="AS148">
            <v>2994.4000000000028</v>
          </cell>
          <cell r="AT148">
            <v>2963.9000000000024</v>
          </cell>
          <cell r="AU148">
            <v>3662.3000000000029</v>
          </cell>
          <cell r="AV148">
            <v>3960.9000000000033</v>
          </cell>
          <cell r="AW148">
            <v>3960.9000000000033</v>
          </cell>
          <cell r="AX148">
            <v>3911.2000000000025</v>
          </cell>
          <cell r="AY148">
            <v>3794.3000000000029</v>
          </cell>
          <cell r="AZ148">
            <v>4154.5000000000027</v>
          </cell>
          <cell r="BA148">
            <v>4395.1000000000004</v>
          </cell>
          <cell r="BB148">
            <v>4395.1000000000031</v>
          </cell>
          <cell r="BC148">
            <v>4353.3999999999996</v>
          </cell>
          <cell r="BD148">
            <v>4786.6000000000004</v>
          </cell>
          <cell r="BE148">
            <v>4474.1005403701274</v>
          </cell>
          <cell r="BF148">
            <v>4596.6824947869718</v>
          </cell>
          <cell r="BG148">
            <v>4596.6824947869718</v>
          </cell>
          <cell r="BH148">
            <v>4515.2884242890914</v>
          </cell>
          <cell r="BI148">
            <v>4658.7049708198983</v>
          </cell>
          <cell r="BJ148">
            <v>4479.7725484039329</v>
          </cell>
          <cell r="BK148">
            <v>4762.3724424916418</v>
          </cell>
          <cell r="BL148">
            <v>4762.3724424916418</v>
          </cell>
          <cell r="BM148">
            <v>4549.8715823696875</v>
          </cell>
          <cell r="BN148">
            <v>4573.4170735883627</v>
          </cell>
          <cell r="BO148">
            <v>4268.7953789601443</v>
          </cell>
          <cell r="BP148">
            <v>4445.6332657645253</v>
          </cell>
          <cell r="BQ148">
            <v>4445.6332657645253</v>
          </cell>
          <cell r="BR148">
            <v>4154.031190640555</v>
          </cell>
          <cell r="BS148">
            <v>3918.1557748246469</v>
          </cell>
          <cell r="BT148">
            <v>3743.1035662386557</v>
          </cell>
          <cell r="BU148">
            <v>3634.4200756596542</v>
          </cell>
          <cell r="BZ148" t="str">
            <v>Total Assets</v>
          </cell>
          <cell r="CB148">
            <v>274.80000000000018</v>
          </cell>
          <cell r="CC148">
            <v>398.30000000000024</v>
          </cell>
          <cell r="CD148">
            <v>505.40000000000032</v>
          </cell>
          <cell r="CE148">
            <v>630.8000000000003</v>
          </cell>
          <cell r="CF148">
            <v>952.30000000000064</v>
          </cell>
          <cell r="CG148">
            <v>1389.3000000000006</v>
          </cell>
          <cell r="CH148">
            <v>1457.2000000000007</v>
          </cell>
          <cell r="CI148">
            <v>1497.7000000000003</v>
          </cell>
          <cell r="CJ148">
            <v>1714.6000000000004</v>
          </cell>
          <cell r="CK148">
            <v>1773.4000000000017</v>
          </cell>
          <cell r="CL148">
            <v>2003.3000000000018</v>
          </cell>
          <cell r="CM148">
            <v>2540.3000000000029</v>
          </cell>
          <cell r="CN148">
            <v>2876.1000000000031</v>
          </cell>
          <cell r="CO148">
            <v>3960.9000000000033</v>
          </cell>
          <cell r="CP148">
            <v>4395.1000000000031</v>
          </cell>
          <cell r="CQ148">
            <v>4596.6824947869718</v>
          </cell>
          <cell r="CR148">
            <v>4762.3724424916418</v>
          </cell>
          <cell r="CS148">
            <v>4445.6332657645253</v>
          </cell>
          <cell r="CT148">
            <v>4154.031190640555</v>
          </cell>
          <cell r="CU148">
            <v>3918.1557748246469</v>
          </cell>
          <cell r="CV148">
            <v>3743.1035662386557</v>
          </cell>
          <cell r="CW148">
            <v>3634.4200756596542</v>
          </cell>
          <cell r="CY148">
            <v>4658.7049708198983</v>
          </cell>
        </row>
        <row r="150">
          <cell r="A150" t="str">
            <v>LIABILITIES AND STOCKHOLDERS’ EQUITY</v>
          </cell>
          <cell r="BZ150" t="str">
            <v>LIABILITIES AND STOCKHOLDERS’ EQUITY</v>
          </cell>
        </row>
        <row r="151">
          <cell r="A151" t="str">
            <v>Current Liabilities</v>
          </cell>
          <cell r="BZ151" t="str">
            <v>Current Liabilities</v>
          </cell>
        </row>
        <row r="152">
          <cell r="A152" t="str">
            <v>Accounts Payable&amp; Accrued liabilities</v>
          </cell>
          <cell r="D152">
            <v>275.10000000000002</v>
          </cell>
          <cell r="E152">
            <v>135.4</v>
          </cell>
          <cell r="F152">
            <v>236.9</v>
          </cell>
          <cell r="G152">
            <v>184.9</v>
          </cell>
          <cell r="H152">
            <v>228.4</v>
          </cell>
          <cell r="I152">
            <v>283.8</v>
          </cell>
          <cell r="J152">
            <v>238</v>
          </cell>
          <cell r="K152">
            <v>251.7</v>
          </cell>
          <cell r="L152">
            <v>244.5</v>
          </cell>
          <cell r="M152">
            <v>279.8</v>
          </cell>
          <cell r="N152">
            <v>279.8</v>
          </cell>
          <cell r="O152">
            <v>205.2</v>
          </cell>
          <cell r="P152">
            <v>192.2</v>
          </cell>
          <cell r="Q152">
            <v>222.8</v>
          </cell>
          <cell r="R152">
            <v>339.7</v>
          </cell>
          <cell r="S152">
            <v>339.7</v>
          </cell>
          <cell r="T152">
            <v>282.89999999999998</v>
          </cell>
          <cell r="U152">
            <v>282.39999999999998</v>
          </cell>
          <cell r="V152">
            <v>317.39999999999998</v>
          </cell>
          <cell r="W152">
            <v>371.3</v>
          </cell>
          <cell r="X152">
            <v>371.3</v>
          </cell>
          <cell r="Y152">
            <v>256.5</v>
          </cell>
          <cell r="Z152">
            <v>102</v>
          </cell>
          <cell r="AA152">
            <v>208.1</v>
          </cell>
          <cell r="AB152">
            <v>240.4</v>
          </cell>
          <cell r="AC152">
            <v>240.4</v>
          </cell>
          <cell r="AD152">
            <v>198.8</v>
          </cell>
          <cell r="AE152">
            <v>262</v>
          </cell>
          <cell r="AF152">
            <v>241.9</v>
          </cell>
          <cell r="AG152">
            <v>317.2</v>
          </cell>
          <cell r="AH152">
            <v>317.2</v>
          </cell>
          <cell r="AI152">
            <v>253.2</v>
          </cell>
          <cell r="AJ152">
            <v>248.6</v>
          </cell>
          <cell r="AK152">
            <v>321</v>
          </cell>
          <cell r="AL152">
            <v>414.4</v>
          </cell>
          <cell r="AM152">
            <v>414.4</v>
          </cell>
          <cell r="AN152">
            <v>273.89999999999998</v>
          </cell>
          <cell r="AO152">
            <v>302.10000000000002</v>
          </cell>
          <cell r="AP152">
            <v>311.2</v>
          </cell>
          <cell r="AQ152">
            <v>452.3</v>
          </cell>
          <cell r="AR152">
            <v>452.3</v>
          </cell>
          <cell r="AS152">
            <v>302.8</v>
          </cell>
          <cell r="AT152">
            <v>300.10000000000002</v>
          </cell>
          <cell r="AU152">
            <v>362.8</v>
          </cell>
          <cell r="AV152">
            <v>555.29999999999995</v>
          </cell>
          <cell r="AW152">
            <v>555.29999999999995</v>
          </cell>
          <cell r="AX152">
            <v>355.1</v>
          </cell>
          <cell r="AY152">
            <v>312.8</v>
          </cell>
          <cell r="AZ152">
            <v>337.9</v>
          </cell>
          <cell r="BA152">
            <v>538.9</v>
          </cell>
          <cell r="BB152">
            <v>538.9</v>
          </cell>
          <cell r="BC152">
            <v>312.39999999999998</v>
          </cell>
          <cell r="BD152">
            <v>430.8</v>
          </cell>
          <cell r="BE152">
            <v>351.23829608888889</v>
          </cell>
          <cell r="BF152">
            <v>548.46903821739261</v>
          </cell>
          <cell r="BG152">
            <v>548.46903821739261</v>
          </cell>
          <cell r="BH152">
            <v>334.42421662767424</v>
          </cell>
          <cell r="BI152">
            <v>482.86469322491763</v>
          </cell>
          <cell r="BJ152">
            <v>370.13163457697931</v>
          </cell>
          <cell r="BK152">
            <v>578.63036779126401</v>
          </cell>
          <cell r="BL152">
            <v>578.63036779126401</v>
          </cell>
          <cell r="BM152">
            <v>352.17600738776491</v>
          </cell>
          <cell r="BN152">
            <v>507.05454550446279</v>
          </cell>
          <cell r="BO152">
            <v>390.69247412888643</v>
          </cell>
          <cell r="BP152">
            <v>611.54067506727529</v>
          </cell>
          <cell r="BQ152">
            <v>611.54067506727529</v>
          </cell>
          <cell r="BR152">
            <v>635.15022380686526</v>
          </cell>
          <cell r="BS152">
            <v>660.86832022043541</v>
          </cell>
          <cell r="BT152">
            <v>688.89763365934766</v>
          </cell>
          <cell r="BU152">
            <v>719.46069817176726</v>
          </cell>
          <cell r="BZ152" t="str">
            <v>Accounts Payable&amp; Accrued liabilities</v>
          </cell>
          <cell r="CB152">
            <v>275.10000000000002</v>
          </cell>
          <cell r="CC152">
            <v>135.4</v>
          </cell>
          <cell r="CD152">
            <v>236.9</v>
          </cell>
          <cell r="CE152">
            <v>184.9</v>
          </cell>
          <cell r="CF152">
            <v>228.4</v>
          </cell>
          <cell r="CG152">
            <v>283.8</v>
          </cell>
          <cell r="CH152">
            <v>279.8</v>
          </cell>
          <cell r="CI152">
            <v>339.7</v>
          </cell>
          <cell r="CJ152">
            <v>371.3</v>
          </cell>
          <cell r="CK152">
            <v>240.4</v>
          </cell>
          <cell r="CL152">
            <v>317.2</v>
          </cell>
          <cell r="CM152">
            <v>414.4</v>
          </cell>
          <cell r="CN152">
            <v>452.3</v>
          </cell>
          <cell r="CO152">
            <v>555.29999999999995</v>
          </cell>
          <cell r="CP152">
            <v>538.9</v>
          </cell>
          <cell r="CQ152">
            <v>548.46903821739261</v>
          </cell>
          <cell r="CR152">
            <v>578.63036779126401</v>
          </cell>
          <cell r="CS152">
            <v>611.54067506727529</v>
          </cell>
          <cell r="CT152">
            <v>635.15022380686526</v>
          </cell>
          <cell r="CU152">
            <v>660.86832022043541</v>
          </cell>
          <cell r="CV152">
            <v>688.89763365934766</v>
          </cell>
          <cell r="CW152">
            <v>719.46069817176726</v>
          </cell>
          <cell r="CY152">
            <v>482.86469322491763</v>
          </cell>
          <cell r="DA152" t="str">
            <v>mstag:tradeAndOtherPayablesCurrent</v>
          </cell>
          <cell r="DB152">
            <v>6</v>
          </cell>
          <cell r="DC152" t="str">
            <v>ISO4217:USD</v>
          </cell>
          <cell r="DD152" t="b">
            <v>0</v>
          </cell>
        </row>
        <row r="153">
          <cell r="A153" t="str">
            <v>Commercial paper</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551.9</v>
          </cell>
          <cell r="X153">
            <v>551.9</v>
          </cell>
          <cell r="Y153">
            <v>598.70000000000005</v>
          </cell>
          <cell r="Z153">
            <v>425</v>
          </cell>
          <cell r="AA153">
            <v>54.6</v>
          </cell>
          <cell r="AB153">
            <v>104.7</v>
          </cell>
          <cell r="AC153">
            <v>104.7</v>
          </cell>
          <cell r="AD153">
            <v>192.5</v>
          </cell>
          <cell r="AE153">
            <v>370.4</v>
          </cell>
          <cell r="AF153">
            <v>531</v>
          </cell>
          <cell r="AG153">
            <v>443.7</v>
          </cell>
          <cell r="AH153">
            <v>443.7</v>
          </cell>
          <cell r="AI153">
            <v>371.9</v>
          </cell>
          <cell r="AJ153">
            <v>356.4</v>
          </cell>
          <cell r="AK153">
            <v>15</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Z153" t="str">
            <v>Commercial paper</v>
          </cell>
          <cell r="CB153">
            <v>0</v>
          </cell>
          <cell r="CC153">
            <v>0</v>
          </cell>
          <cell r="CD153">
            <v>0</v>
          </cell>
          <cell r="CE153">
            <v>0</v>
          </cell>
          <cell r="CF153">
            <v>0</v>
          </cell>
          <cell r="CG153">
            <v>0</v>
          </cell>
          <cell r="CH153">
            <v>0</v>
          </cell>
          <cell r="CI153">
            <v>0</v>
          </cell>
          <cell r="CJ153">
            <v>551.9</v>
          </cell>
          <cell r="CK153">
            <v>104.7</v>
          </cell>
          <cell r="CL153">
            <v>443.7</v>
          </cell>
          <cell r="CM153">
            <v>0</v>
          </cell>
          <cell r="CN153">
            <v>0</v>
          </cell>
          <cell r="CO153">
            <v>0</v>
          </cell>
          <cell r="CP153">
            <v>0</v>
          </cell>
          <cell r="CQ153">
            <v>0</v>
          </cell>
          <cell r="CR153">
            <v>0</v>
          </cell>
          <cell r="CS153">
            <v>0</v>
          </cell>
          <cell r="CT153">
            <v>0</v>
          </cell>
          <cell r="CU153">
            <v>0</v>
          </cell>
          <cell r="CV153">
            <v>0</v>
          </cell>
          <cell r="CW153">
            <v>0</v>
          </cell>
          <cell r="CY153">
            <v>0</v>
          </cell>
          <cell r="DA153" t="str">
            <v>mstag:shortTermBorrowings</v>
          </cell>
          <cell r="DB153">
            <v>6</v>
          </cell>
          <cell r="DC153" t="str">
            <v>ISO4217:USD</v>
          </cell>
          <cell r="DD153" t="b">
            <v>0</v>
          </cell>
        </row>
        <row r="154">
          <cell r="A154" t="str">
            <v>Notes payable</v>
          </cell>
          <cell r="D154">
            <v>0</v>
          </cell>
          <cell r="E154">
            <v>0</v>
          </cell>
          <cell r="F154">
            <v>0</v>
          </cell>
          <cell r="G154">
            <v>107.1</v>
          </cell>
          <cell r="H154">
            <v>0</v>
          </cell>
          <cell r="I154">
            <v>300</v>
          </cell>
          <cell r="J154">
            <v>300</v>
          </cell>
          <cell r="K154">
            <v>300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0</v>
          </cell>
          <cell r="BU154">
            <v>0</v>
          </cell>
          <cell r="BZ154" t="str">
            <v>Notes payable</v>
          </cell>
          <cell r="CB154">
            <v>0</v>
          </cell>
          <cell r="CC154">
            <v>0</v>
          </cell>
          <cell r="CD154">
            <v>0</v>
          </cell>
          <cell r="CE154">
            <v>107.1</v>
          </cell>
          <cell r="CF154">
            <v>0</v>
          </cell>
          <cell r="CG154">
            <v>300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Y154">
            <v>0</v>
          </cell>
          <cell r="DA154" t="str">
            <v>mstag:shortTermBorrowings</v>
          </cell>
          <cell r="DB154">
            <v>6</v>
          </cell>
          <cell r="DC154" t="str">
            <v>ISO4217:USD</v>
          </cell>
          <cell r="DD154" t="b">
            <v>0</v>
          </cell>
        </row>
        <row r="155">
          <cell r="A155" t="str">
            <v>Revolving credit facility</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80</v>
          </cell>
          <cell r="U155">
            <v>410</v>
          </cell>
          <cell r="V155">
            <v>400</v>
          </cell>
          <cell r="W155">
            <v>0</v>
          </cell>
          <cell r="X155">
            <v>0</v>
          </cell>
          <cell r="Y155">
            <v>0</v>
          </cell>
          <cell r="Z155">
            <v>198.9</v>
          </cell>
          <cell r="AA155">
            <v>594</v>
          </cell>
          <cell r="AB155">
            <v>613</v>
          </cell>
          <cell r="AC155">
            <v>613</v>
          </cell>
          <cell r="AD155">
            <v>468</v>
          </cell>
          <cell r="AE155">
            <v>210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Z155" t="str">
            <v>Revolving credit facility</v>
          </cell>
          <cell r="CB155">
            <v>0</v>
          </cell>
          <cell r="CC155">
            <v>0</v>
          </cell>
          <cell r="CD155">
            <v>0</v>
          </cell>
          <cell r="CE155">
            <v>0</v>
          </cell>
          <cell r="CF155">
            <v>0</v>
          </cell>
          <cell r="CG155">
            <v>0</v>
          </cell>
          <cell r="CH155">
            <v>0</v>
          </cell>
          <cell r="CI155">
            <v>0</v>
          </cell>
          <cell r="CJ155">
            <v>0</v>
          </cell>
          <cell r="CK155">
            <v>613</v>
          </cell>
          <cell r="CL155">
            <v>0</v>
          </cell>
          <cell r="CM155">
            <v>0</v>
          </cell>
          <cell r="CN155">
            <v>0</v>
          </cell>
          <cell r="CO155">
            <v>0</v>
          </cell>
          <cell r="CP155">
            <v>0</v>
          </cell>
          <cell r="CQ155">
            <v>0</v>
          </cell>
          <cell r="CR155">
            <v>0</v>
          </cell>
          <cell r="CS155">
            <v>0</v>
          </cell>
          <cell r="CT155">
            <v>0</v>
          </cell>
          <cell r="CU155">
            <v>0</v>
          </cell>
          <cell r="CV155">
            <v>0</v>
          </cell>
          <cell r="CW155">
            <v>0</v>
          </cell>
          <cell r="CY155">
            <v>0</v>
          </cell>
          <cell r="DA155" t="str">
            <v>mstag:shortTermBorrowings</v>
          </cell>
          <cell r="DB155">
            <v>6</v>
          </cell>
          <cell r="DC155" t="str">
            <v>ISO4217:USD</v>
          </cell>
          <cell r="DD155" t="b">
            <v>0</v>
          </cell>
        </row>
        <row r="156">
          <cell r="A156" t="str">
            <v>Current portion of long-term debt</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1.9</v>
          </cell>
          <cell r="AG156">
            <v>3.8</v>
          </cell>
          <cell r="AH156">
            <v>3.8</v>
          </cell>
          <cell r="AI156">
            <v>5.6</v>
          </cell>
          <cell r="AJ156">
            <v>7.5</v>
          </cell>
          <cell r="AK156">
            <v>9.4</v>
          </cell>
          <cell r="AL156">
            <v>11.3</v>
          </cell>
          <cell r="AM156">
            <v>11.3</v>
          </cell>
          <cell r="AN156">
            <v>13.1</v>
          </cell>
          <cell r="AO156">
            <v>15</v>
          </cell>
          <cell r="AP156">
            <v>43.1</v>
          </cell>
          <cell r="AQ156">
            <v>71.3</v>
          </cell>
          <cell r="AR156">
            <v>71.3</v>
          </cell>
          <cell r="AS156">
            <v>99.4</v>
          </cell>
          <cell r="AT156">
            <v>127.5</v>
          </cell>
          <cell r="AU156">
            <v>95.6</v>
          </cell>
          <cell r="AV156">
            <v>63.8</v>
          </cell>
          <cell r="AW156">
            <v>63.8</v>
          </cell>
          <cell r="AX156">
            <v>31.9</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Z156" t="str">
            <v>Current portion of long-term debt</v>
          </cell>
          <cell r="CB156">
            <v>0</v>
          </cell>
          <cell r="CC156">
            <v>0</v>
          </cell>
          <cell r="CD156">
            <v>0</v>
          </cell>
          <cell r="CE156">
            <v>0</v>
          </cell>
          <cell r="CF156">
            <v>0</v>
          </cell>
          <cell r="CG156">
            <v>0</v>
          </cell>
          <cell r="CH156">
            <v>0</v>
          </cell>
          <cell r="CI156">
            <v>0</v>
          </cell>
          <cell r="CJ156">
            <v>0</v>
          </cell>
          <cell r="CK156">
            <v>0</v>
          </cell>
          <cell r="CL156">
            <v>3.8</v>
          </cell>
          <cell r="CM156">
            <v>11.3</v>
          </cell>
          <cell r="CN156">
            <v>71.3</v>
          </cell>
          <cell r="CO156">
            <v>63.8</v>
          </cell>
          <cell r="CP156">
            <v>0</v>
          </cell>
          <cell r="CQ156">
            <v>0</v>
          </cell>
          <cell r="CR156">
            <v>0</v>
          </cell>
          <cell r="CS156">
            <v>0</v>
          </cell>
          <cell r="CT156">
            <v>0</v>
          </cell>
          <cell r="CU156">
            <v>0</v>
          </cell>
          <cell r="CV156">
            <v>0</v>
          </cell>
          <cell r="CW156">
            <v>0</v>
          </cell>
          <cell r="CY156">
            <v>0</v>
          </cell>
          <cell r="DA156" t="str">
            <v>mstag:shortTermBorrowings</v>
          </cell>
          <cell r="DB156">
            <v>6</v>
          </cell>
          <cell r="DC156" t="str">
            <v>ISO4217:USD</v>
          </cell>
          <cell r="DD156" t="b">
            <v>0</v>
          </cell>
        </row>
        <row r="157">
          <cell r="A157" t="str">
            <v>Deferred tax liabilities, net</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4</v>
          </cell>
          <cell r="BB157">
            <v>4</v>
          </cell>
          <cell r="BC157">
            <v>2.4</v>
          </cell>
          <cell r="BD157">
            <v>1.6</v>
          </cell>
          <cell r="BE157">
            <v>1.6</v>
          </cell>
          <cell r="BF157">
            <v>1.6</v>
          </cell>
          <cell r="BG157">
            <v>1.6</v>
          </cell>
          <cell r="BH157">
            <v>1.6</v>
          </cell>
          <cell r="BI157">
            <v>1.6</v>
          </cell>
          <cell r="BJ157">
            <v>1.6</v>
          </cell>
          <cell r="BK157">
            <v>1.6</v>
          </cell>
          <cell r="BL157">
            <v>1.6</v>
          </cell>
          <cell r="BM157">
            <v>1.6</v>
          </cell>
          <cell r="BN157">
            <v>1.6</v>
          </cell>
          <cell r="BO157">
            <v>1.6</v>
          </cell>
          <cell r="BP157">
            <v>1.6</v>
          </cell>
          <cell r="BQ157">
            <v>1.6</v>
          </cell>
          <cell r="BR157">
            <v>1.6</v>
          </cell>
          <cell r="BS157">
            <v>1.6</v>
          </cell>
          <cell r="BT157">
            <v>1.6</v>
          </cell>
          <cell r="BU157">
            <v>1.6</v>
          </cell>
          <cell r="BZ157" t="str">
            <v>Deferred tax liabilities, net</v>
          </cell>
          <cell r="CB157">
            <v>0</v>
          </cell>
          <cell r="CC157">
            <v>0</v>
          </cell>
          <cell r="CD157">
            <v>0</v>
          </cell>
          <cell r="CE157">
            <v>0</v>
          </cell>
          <cell r="CF157">
            <v>0</v>
          </cell>
          <cell r="CG157">
            <v>0</v>
          </cell>
          <cell r="CH157">
            <v>0</v>
          </cell>
          <cell r="CI157">
            <v>0</v>
          </cell>
          <cell r="CJ157">
            <v>0</v>
          </cell>
          <cell r="CK157">
            <v>0</v>
          </cell>
          <cell r="CL157">
            <v>0</v>
          </cell>
          <cell r="CM157">
            <v>0</v>
          </cell>
          <cell r="CN157">
            <v>0</v>
          </cell>
          <cell r="CO157">
            <v>0</v>
          </cell>
          <cell r="CP157">
            <v>4</v>
          </cell>
          <cell r="CQ157">
            <v>1.6</v>
          </cell>
          <cell r="CR157">
            <v>1.6</v>
          </cell>
          <cell r="CS157">
            <v>1.6</v>
          </cell>
          <cell r="CT157">
            <v>1.6</v>
          </cell>
          <cell r="CU157">
            <v>1.6</v>
          </cell>
          <cell r="CV157">
            <v>1.6</v>
          </cell>
          <cell r="CW157">
            <v>1.6</v>
          </cell>
          <cell r="CY157">
            <v>1.6</v>
          </cell>
          <cell r="DA157" t="str">
            <v>mstag:deferredTaxLiabilitiesCurrent</v>
          </cell>
          <cell r="DB157">
            <v>6</v>
          </cell>
          <cell r="DC157" t="str">
            <v>ISO4217:USD</v>
          </cell>
          <cell r="DD157" t="b">
            <v>0</v>
          </cell>
        </row>
        <row r="158">
          <cell r="A158" t="str">
            <v>Deferred revenue</v>
          </cell>
          <cell r="D158">
            <v>100.4</v>
          </cell>
          <cell r="E158">
            <v>101.4</v>
          </cell>
          <cell r="F158">
            <v>122.4</v>
          </cell>
          <cell r="G158">
            <v>170</v>
          </cell>
          <cell r="H158">
            <v>214.6</v>
          </cell>
          <cell r="I158">
            <v>266.7</v>
          </cell>
          <cell r="J158">
            <v>297.3</v>
          </cell>
          <cell r="K158">
            <v>291.5</v>
          </cell>
          <cell r="L158">
            <v>261.3</v>
          </cell>
          <cell r="M158">
            <v>299.10000000000002</v>
          </cell>
          <cell r="N158">
            <v>299.10000000000002</v>
          </cell>
          <cell r="O158">
            <v>344.9</v>
          </cell>
          <cell r="P158">
            <v>334.9</v>
          </cell>
          <cell r="Q158">
            <v>302.5</v>
          </cell>
          <cell r="R158">
            <v>360.3</v>
          </cell>
          <cell r="S158">
            <v>360.3</v>
          </cell>
          <cell r="T158">
            <v>410.1</v>
          </cell>
          <cell r="U158">
            <v>398.3</v>
          </cell>
          <cell r="V158">
            <v>368.4</v>
          </cell>
          <cell r="W158">
            <v>426</v>
          </cell>
          <cell r="X158">
            <v>426</v>
          </cell>
          <cell r="Y158">
            <v>463</v>
          </cell>
          <cell r="Z158">
            <v>434.7</v>
          </cell>
          <cell r="AA158">
            <v>392.1</v>
          </cell>
          <cell r="AB158">
            <v>435</v>
          </cell>
          <cell r="AC158">
            <v>435</v>
          </cell>
          <cell r="AD158">
            <v>479.5</v>
          </cell>
          <cell r="AE158">
            <v>462.7</v>
          </cell>
          <cell r="AF158">
            <v>427.5</v>
          </cell>
          <cell r="AG158">
            <v>471.3</v>
          </cell>
          <cell r="AH158">
            <v>471.3</v>
          </cell>
          <cell r="AI158">
            <v>516.20000000000005</v>
          </cell>
          <cell r="AJ158">
            <v>481.7</v>
          </cell>
          <cell r="AK158">
            <v>447.2</v>
          </cell>
          <cell r="AL158">
            <v>508.1</v>
          </cell>
          <cell r="AM158">
            <v>508.1</v>
          </cell>
          <cell r="AN158">
            <v>554</v>
          </cell>
          <cell r="AO158">
            <v>534.9</v>
          </cell>
          <cell r="AP158">
            <v>480.6</v>
          </cell>
          <cell r="AQ158">
            <v>520.4</v>
          </cell>
          <cell r="AR158">
            <v>520.4</v>
          </cell>
          <cell r="AS158">
            <v>609.29999999999995</v>
          </cell>
          <cell r="AT158">
            <v>567.6</v>
          </cell>
          <cell r="AU158">
            <v>524.5</v>
          </cell>
          <cell r="AV158">
            <v>545.79999999999995</v>
          </cell>
          <cell r="AW158">
            <v>545.79999999999995</v>
          </cell>
          <cell r="AX158">
            <v>626.4</v>
          </cell>
          <cell r="AY158">
            <v>584.29999999999995</v>
          </cell>
          <cell r="AZ158">
            <v>559.29999999999995</v>
          </cell>
          <cell r="BA158">
            <v>598.4</v>
          </cell>
          <cell r="BB158">
            <v>598.4</v>
          </cell>
          <cell r="BC158">
            <v>712.5</v>
          </cell>
          <cell r="BD158">
            <v>661</v>
          </cell>
          <cell r="BE158">
            <v>567.00717778313242</v>
          </cell>
          <cell r="BF158">
            <v>608.86261471540047</v>
          </cell>
          <cell r="BG158">
            <v>608.86261471540047</v>
          </cell>
          <cell r="BH158">
            <v>722.95128163568825</v>
          </cell>
          <cell r="BI158">
            <v>665.78893157114362</v>
          </cell>
          <cell r="BJ158">
            <v>592.77222005118301</v>
          </cell>
          <cell r="BK158">
            <v>637.03155697595344</v>
          </cell>
          <cell r="BL158">
            <v>637.03155697595344</v>
          </cell>
          <cell r="BM158">
            <v>755.2201330150524</v>
          </cell>
          <cell r="BN158">
            <v>693.64421436227735</v>
          </cell>
          <cell r="BO158">
            <v>620.61932476201309</v>
          </cell>
          <cell r="BP158">
            <v>667.56290111859539</v>
          </cell>
          <cell r="BQ158">
            <v>667.56290111859539</v>
          </cell>
          <cell r="BR158">
            <v>694.03718975290587</v>
          </cell>
          <cell r="BS158">
            <v>722.72018004604013</v>
          </cell>
          <cell r="BT158">
            <v>753.8354336635274</v>
          </cell>
          <cell r="BU158">
            <v>787.63050570842654</v>
          </cell>
          <cell r="BZ158" t="str">
            <v>Deferred revenue</v>
          </cell>
          <cell r="CB158">
            <v>100.4</v>
          </cell>
          <cell r="CC158">
            <v>101.4</v>
          </cell>
          <cell r="CD158">
            <v>122.4</v>
          </cell>
          <cell r="CE158">
            <v>170</v>
          </cell>
          <cell r="CF158">
            <v>214.6</v>
          </cell>
          <cell r="CG158">
            <v>266.7</v>
          </cell>
          <cell r="CH158">
            <v>299.10000000000002</v>
          </cell>
          <cell r="CI158">
            <v>360.3</v>
          </cell>
          <cell r="CJ158">
            <v>426</v>
          </cell>
          <cell r="CK158">
            <v>435</v>
          </cell>
          <cell r="CL158">
            <v>471.3</v>
          </cell>
          <cell r="CM158">
            <v>508.1</v>
          </cell>
          <cell r="CN158">
            <v>520.4</v>
          </cell>
          <cell r="CO158">
            <v>545.79999999999995</v>
          </cell>
          <cell r="CP158">
            <v>598.4</v>
          </cell>
          <cell r="CQ158">
            <v>608.86261471540047</v>
          </cell>
          <cell r="CR158">
            <v>637.03155697595344</v>
          </cell>
          <cell r="CS158">
            <v>667.56290111859539</v>
          </cell>
          <cell r="CT158">
            <v>694.03718975290587</v>
          </cell>
          <cell r="CU158">
            <v>722.72018004604013</v>
          </cell>
          <cell r="CV158">
            <v>753.8354336635274</v>
          </cell>
          <cell r="CW158">
            <v>787.63050570842654</v>
          </cell>
          <cell r="CY158">
            <v>665.78893157114362</v>
          </cell>
          <cell r="DA158" t="str">
            <v>mstag:deferredRevenueCurrent</v>
          </cell>
          <cell r="DB158">
            <v>6</v>
          </cell>
          <cell r="DC158" t="str">
            <v>ISO4217:USD</v>
          </cell>
          <cell r="DD158" t="b">
            <v>0</v>
          </cell>
        </row>
        <row r="159">
          <cell r="C159" t="str">
            <v xml:space="preserve">______ </v>
          </cell>
          <cell r="D159" t="str">
            <v xml:space="preserve">______ </v>
          </cell>
          <cell r="E159" t="str">
            <v xml:space="preserve">______ </v>
          </cell>
          <cell r="F159" t="str">
            <v xml:space="preserve">______ </v>
          </cell>
          <cell r="G159" t="str">
            <v xml:space="preserve">______ </v>
          </cell>
          <cell r="H159" t="str">
            <v xml:space="preserve">______ </v>
          </cell>
          <cell r="I159" t="str">
            <v xml:space="preserve">______ </v>
          </cell>
          <cell r="J159" t="str">
            <v xml:space="preserve">______ </v>
          </cell>
          <cell r="K159" t="str">
            <v xml:space="preserve">______ </v>
          </cell>
          <cell r="L159" t="str">
            <v xml:space="preserve">______ </v>
          </cell>
          <cell r="M159" t="str">
            <v xml:space="preserve">______ </v>
          </cell>
          <cell r="N159" t="str">
            <v xml:space="preserve">______ </v>
          </cell>
          <cell r="O159" t="str">
            <v xml:space="preserve">______ </v>
          </cell>
          <cell r="P159" t="str">
            <v xml:space="preserve">______ </v>
          </cell>
          <cell r="Q159" t="str">
            <v xml:space="preserve">______ </v>
          </cell>
          <cell r="R159" t="str">
            <v xml:space="preserve">______ </v>
          </cell>
          <cell r="S159" t="str">
            <v xml:space="preserve">______ </v>
          </cell>
          <cell r="T159" t="str">
            <v xml:space="preserve">______ </v>
          </cell>
          <cell r="U159" t="str">
            <v xml:space="preserve">______ </v>
          </cell>
          <cell r="V159" t="str">
            <v xml:space="preserve">______ </v>
          </cell>
          <cell r="W159" t="str">
            <v xml:space="preserve">______ </v>
          </cell>
          <cell r="X159" t="str">
            <v xml:space="preserve">______ </v>
          </cell>
          <cell r="Y159" t="str">
            <v xml:space="preserve">______ </v>
          </cell>
          <cell r="Z159" t="str">
            <v xml:space="preserve">______ </v>
          </cell>
          <cell r="AA159" t="str">
            <v xml:space="preserve">______ </v>
          </cell>
          <cell r="AB159" t="str">
            <v xml:space="preserve">______ </v>
          </cell>
          <cell r="AC159" t="str">
            <v xml:space="preserve">______ </v>
          </cell>
          <cell r="AD159" t="str">
            <v xml:space="preserve">______ </v>
          </cell>
          <cell r="AE159" t="str">
            <v xml:space="preserve">______ </v>
          </cell>
          <cell r="AF159" t="str">
            <v xml:space="preserve">______ </v>
          </cell>
          <cell r="AG159" t="str">
            <v xml:space="preserve">______ </v>
          </cell>
          <cell r="AH159" t="str">
            <v xml:space="preserve">______ </v>
          </cell>
          <cell r="AI159" t="str">
            <v xml:space="preserve">______ </v>
          </cell>
          <cell r="AJ159" t="str">
            <v xml:space="preserve">______ </v>
          </cell>
          <cell r="AK159" t="str">
            <v xml:space="preserve">______ </v>
          </cell>
          <cell r="AL159" t="str">
            <v xml:space="preserve">______ </v>
          </cell>
          <cell r="AM159" t="str">
            <v xml:space="preserve">______ </v>
          </cell>
          <cell r="AN159" t="str">
            <v xml:space="preserve">______ </v>
          </cell>
          <cell r="AO159" t="str">
            <v xml:space="preserve">______ </v>
          </cell>
          <cell r="AP159" t="str">
            <v xml:space="preserve">______ </v>
          </cell>
          <cell r="AQ159" t="str">
            <v xml:space="preserve">______ </v>
          </cell>
          <cell r="AR159" t="str">
            <v xml:space="preserve">______ </v>
          </cell>
          <cell r="AS159" t="str">
            <v xml:space="preserve">______ </v>
          </cell>
          <cell r="AT159" t="str">
            <v xml:space="preserve">______ </v>
          </cell>
          <cell r="AU159" t="str">
            <v xml:space="preserve">______ </v>
          </cell>
          <cell r="AV159" t="str">
            <v xml:space="preserve">______ </v>
          </cell>
          <cell r="AW159" t="str">
            <v xml:space="preserve">______ </v>
          </cell>
          <cell r="AX159" t="str">
            <v xml:space="preserve">______ </v>
          </cell>
          <cell r="AY159" t="str">
            <v xml:space="preserve">______ </v>
          </cell>
          <cell r="AZ159" t="str">
            <v xml:space="preserve">______ </v>
          </cell>
          <cell r="BA159" t="str">
            <v xml:space="preserve">______ </v>
          </cell>
          <cell r="BB159" t="str">
            <v xml:space="preserve">______ </v>
          </cell>
          <cell r="BC159" t="str">
            <v xml:space="preserve">______ </v>
          </cell>
          <cell r="BD159" t="str">
            <v xml:space="preserve">______ </v>
          </cell>
          <cell r="BE159" t="str">
            <v xml:space="preserve">______ </v>
          </cell>
          <cell r="BF159" t="str">
            <v xml:space="preserve">______ </v>
          </cell>
          <cell r="BG159" t="str">
            <v xml:space="preserve">______ </v>
          </cell>
          <cell r="BH159" t="str">
            <v xml:space="preserve">______ </v>
          </cell>
          <cell r="BI159" t="str">
            <v xml:space="preserve">______ </v>
          </cell>
          <cell r="BJ159" t="str">
            <v xml:space="preserve">______ </v>
          </cell>
          <cell r="BK159" t="str">
            <v xml:space="preserve">______ </v>
          </cell>
          <cell r="BL159" t="str">
            <v xml:space="preserve">______ </v>
          </cell>
          <cell r="BM159" t="str">
            <v xml:space="preserve">______ </v>
          </cell>
          <cell r="BN159" t="str">
            <v xml:space="preserve">______ </v>
          </cell>
          <cell r="BO159" t="str">
            <v xml:space="preserve">______ </v>
          </cell>
          <cell r="BP159" t="str">
            <v xml:space="preserve">______ </v>
          </cell>
          <cell r="BQ159" t="str">
            <v xml:space="preserve">______ </v>
          </cell>
          <cell r="BR159" t="str">
            <v xml:space="preserve">______ </v>
          </cell>
          <cell r="BS159" t="str">
            <v xml:space="preserve">______ </v>
          </cell>
          <cell r="BT159" t="str">
            <v xml:space="preserve">______ </v>
          </cell>
          <cell r="BU159" t="str">
            <v xml:space="preserve">______ </v>
          </cell>
          <cell r="CB159" t="str">
            <v xml:space="preserve">______ </v>
          </cell>
          <cell r="CC159" t="str">
            <v xml:space="preserve">______ </v>
          </cell>
          <cell r="CD159" t="str">
            <v xml:space="preserve">______ </v>
          </cell>
          <cell r="CE159" t="str">
            <v xml:space="preserve">______ </v>
          </cell>
          <cell r="CF159" t="str">
            <v xml:space="preserve">______ </v>
          </cell>
          <cell r="CG159" t="str">
            <v xml:space="preserve">______ </v>
          </cell>
          <cell r="CH159" t="str">
            <v xml:space="preserve">______ </v>
          </cell>
          <cell r="CI159" t="str">
            <v xml:space="preserve">______ </v>
          </cell>
          <cell r="CJ159" t="str">
            <v xml:space="preserve">______ </v>
          </cell>
          <cell r="CK159" t="str">
            <v xml:space="preserve">______ </v>
          </cell>
          <cell r="CL159" t="str">
            <v xml:space="preserve">______ </v>
          </cell>
          <cell r="CM159" t="str">
            <v xml:space="preserve">______ </v>
          </cell>
          <cell r="CN159" t="str">
            <v xml:space="preserve">______ </v>
          </cell>
          <cell r="CO159" t="str">
            <v xml:space="preserve">______ </v>
          </cell>
          <cell r="CP159" t="str">
            <v xml:space="preserve">______ </v>
          </cell>
          <cell r="CQ159" t="str">
            <v xml:space="preserve">______ </v>
          </cell>
          <cell r="CR159" t="str">
            <v xml:space="preserve">______ </v>
          </cell>
          <cell r="CS159" t="str">
            <v xml:space="preserve">______ </v>
          </cell>
          <cell r="CT159" t="str">
            <v xml:space="preserve">______ </v>
          </cell>
          <cell r="CU159" t="str">
            <v xml:space="preserve">______ </v>
          </cell>
          <cell r="CV159" t="str">
            <v xml:space="preserve">______ </v>
          </cell>
          <cell r="CW159" t="str">
            <v xml:space="preserve">______ </v>
          </cell>
          <cell r="CY159" t="str">
            <v xml:space="preserve">______ </v>
          </cell>
        </row>
        <row r="160">
          <cell r="A160" t="str">
            <v xml:space="preserve">Total Current Liabilities </v>
          </cell>
          <cell r="D160">
            <v>375.5</v>
          </cell>
          <cell r="E160">
            <v>236.8</v>
          </cell>
          <cell r="F160">
            <v>359.3</v>
          </cell>
          <cell r="G160">
            <v>462</v>
          </cell>
          <cell r="H160">
            <v>443</v>
          </cell>
          <cell r="I160">
            <v>850.5</v>
          </cell>
          <cell r="J160">
            <v>835.3</v>
          </cell>
          <cell r="K160">
            <v>843.2</v>
          </cell>
          <cell r="L160">
            <v>505.8</v>
          </cell>
          <cell r="M160">
            <v>578.90000000000009</v>
          </cell>
          <cell r="N160">
            <v>578.90000000000009</v>
          </cell>
          <cell r="O160">
            <v>550.09999999999991</v>
          </cell>
          <cell r="P160">
            <v>527.09999999999991</v>
          </cell>
          <cell r="Q160">
            <v>525.29999999999995</v>
          </cell>
          <cell r="R160">
            <v>700</v>
          </cell>
          <cell r="S160">
            <v>700</v>
          </cell>
          <cell r="T160">
            <v>773</v>
          </cell>
          <cell r="U160">
            <v>1090.7</v>
          </cell>
          <cell r="V160">
            <v>1085.8</v>
          </cell>
          <cell r="W160">
            <v>1349.2</v>
          </cell>
          <cell r="X160">
            <v>1349.2</v>
          </cell>
          <cell r="Y160">
            <v>1318.2</v>
          </cell>
          <cell r="Z160">
            <v>1160.5999999999999</v>
          </cell>
          <cell r="AA160">
            <v>1248.8000000000002</v>
          </cell>
          <cell r="AB160">
            <v>1393.1</v>
          </cell>
          <cell r="AC160">
            <v>1393.1</v>
          </cell>
          <cell r="AD160">
            <v>1338.8</v>
          </cell>
          <cell r="AE160">
            <v>1305.0999999999999</v>
          </cell>
          <cell r="AF160">
            <v>1202.3</v>
          </cell>
          <cell r="AG160">
            <v>1236</v>
          </cell>
          <cell r="AH160">
            <v>1236</v>
          </cell>
          <cell r="AI160">
            <v>1146.9000000000001</v>
          </cell>
          <cell r="AJ160">
            <v>1094.2</v>
          </cell>
          <cell r="AK160">
            <v>792.59999999999991</v>
          </cell>
          <cell r="AL160">
            <v>933.8</v>
          </cell>
          <cell r="AM160">
            <v>933.8</v>
          </cell>
          <cell r="AN160">
            <v>841</v>
          </cell>
          <cell r="AO160">
            <v>852</v>
          </cell>
          <cell r="AP160">
            <v>834.90000000000009</v>
          </cell>
          <cell r="AQ160">
            <v>1044</v>
          </cell>
          <cell r="AR160">
            <v>1044</v>
          </cell>
          <cell r="AS160">
            <v>1011.5</v>
          </cell>
          <cell r="AT160">
            <v>995.2</v>
          </cell>
          <cell r="AU160">
            <v>982.9</v>
          </cell>
          <cell r="AV160">
            <v>1164.8999999999999</v>
          </cell>
          <cell r="AW160">
            <v>1164.8999999999999</v>
          </cell>
          <cell r="AX160">
            <v>1013.4</v>
          </cell>
          <cell r="AY160">
            <v>897.09999999999991</v>
          </cell>
          <cell r="AZ160">
            <v>897.19999999999993</v>
          </cell>
          <cell r="BA160">
            <v>1141.3</v>
          </cell>
          <cell r="BB160">
            <v>1141.3</v>
          </cell>
          <cell r="BC160">
            <v>1027.3</v>
          </cell>
          <cell r="BD160">
            <v>1093.4000000000001</v>
          </cell>
          <cell r="BE160">
            <v>919.84547387202133</v>
          </cell>
          <cell r="BF160">
            <v>1158.931652932793</v>
          </cell>
          <cell r="BG160">
            <v>1158.931652932793</v>
          </cell>
          <cell r="BH160">
            <v>1058.9754982633626</v>
          </cell>
          <cell r="BI160">
            <v>1150.2536247960613</v>
          </cell>
          <cell r="BJ160">
            <v>964.50385462816234</v>
          </cell>
          <cell r="BK160">
            <v>1217.2619247672174</v>
          </cell>
          <cell r="BL160">
            <v>1217.2619247672174</v>
          </cell>
          <cell r="BM160">
            <v>1108.9961404028172</v>
          </cell>
          <cell r="BN160">
            <v>1202.2987598667401</v>
          </cell>
          <cell r="BO160">
            <v>1012.9117988908995</v>
          </cell>
          <cell r="BP160">
            <v>1280.7035761858706</v>
          </cell>
          <cell r="BQ160">
            <v>1280.7035761858706</v>
          </cell>
          <cell r="BR160">
            <v>1330.7874135597713</v>
          </cell>
          <cell r="BS160">
            <v>1385.1885002664756</v>
          </cell>
          <cell r="BT160">
            <v>1444.3330673228752</v>
          </cell>
          <cell r="BU160">
            <v>1508.6912038801938</v>
          </cell>
          <cell r="BZ160" t="str">
            <v xml:space="preserve">Total Current Liabilities </v>
          </cell>
          <cell r="CB160">
            <v>375.5</v>
          </cell>
          <cell r="CC160">
            <v>236.8</v>
          </cell>
          <cell r="CD160">
            <v>359.3</v>
          </cell>
          <cell r="CE160">
            <v>462</v>
          </cell>
          <cell r="CF160">
            <v>443</v>
          </cell>
          <cell r="CG160">
            <v>850.5</v>
          </cell>
          <cell r="CH160">
            <v>578.90000000000009</v>
          </cell>
          <cell r="CI160">
            <v>700</v>
          </cell>
          <cell r="CJ160">
            <v>1349.2</v>
          </cell>
          <cell r="CK160">
            <v>1393.1</v>
          </cell>
          <cell r="CL160">
            <v>1236</v>
          </cell>
          <cell r="CM160">
            <v>933.8</v>
          </cell>
          <cell r="CN160">
            <v>1044</v>
          </cell>
          <cell r="CO160">
            <v>1164.8999999999999</v>
          </cell>
          <cell r="CP160">
            <v>1141.3</v>
          </cell>
          <cell r="CQ160">
            <v>1158.931652932793</v>
          </cell>
          <cell r="CR160">
            <v>1217.2619247672174</v>
          </cell>
          <cell r="CS160">
            <v>1280.7035761858706</v>
          </cell>
          <cell r="CT160">
            <v>1330.7874135597713</v>
          </cell>
          <cell r="CU160">
            <v>1385.1885002664756</v>
          </cell>
          <cell r="CV160">
            <v>1444.3330673228752</v>
          </cell>
          <cell r="CW160">
            <v>1508.6912038801938</v>
          </cell>
          <cell r="CY160">
            <v>1150.2536247960613</v>
          </cell>
        </row>
        <row r="162">
          <cell r="A162" t="str">
            <v>Non-current portion of deferred revenue</v>
          </cell>
          <cell r="D162">
            <v>0</v>
          </cell>
          <cell r="E162">
            <v>16.3</v>
          </cell>
          <cell r="F162">
            <v>19.8</v>
          </cell>
          <cell r="G162">
            <v>28.5</v>
          </cell>
          <cell r="H162">
            <v>41.1</v>
          </cell>
          <cell r="I162">
            <v>54.4</v>
          </cell>
          <cell r="J162">
            <v>57.7</v>
          </cell>
          <cell r="K162">
            <v>62.6</v>
          </cell>
          <cell r="L162">
            <v>68.099999999999994</v>
          </cell>
          <cell r="M162">
            <v>75.7</v>
          </cell>
          <cell r="N162">
            <v>75.7</v>
          </cell>
          <cell r="O162">
            <v>81</v>
          </cell>
          <cell r="P162">
            <v>88.9</v>
          </cell>
          <cell r="Q162">
            <v>94.2</v>
          </cell>
          <cell r="R162">
            <v>102.1</v>
          </cell>
          <cell r="S162">
            <v>102.1</v>
          </cell>
          <cell r="T162">
            <v>107.8</v>
          </cell>
          <cell r="U162">
            <v>114.3</v>
          </cell>
          <cell r="V162">
            <v>120.5</v>
          </cell>
          <cell r="W162">
            <v>121.1</v>
          </cell>
          <cell r="X162">
            <v>121.1</v>
          </cell>
          <cell r="Y162">
            <v>124.2</v>
          </cell>
          <cell r="Z162">
            <v>123.5</v>
          </cell>
          <cell r="AA162">
            <v>120.8</v>
          </cell>
          <cell r="AB162">
            <v>114.8</v>
          </cell>
          <cell r="AC162">
            <v>114.8</v>
          </cell>
          <cell r="AD162">
            <v>110.6</v>
          </cell>
          <cell r="AE162">
            <v>108.4</v>
          </cell>
          <cell r="AF162">
            <v>107.1</v>
          </cell>
          <cell r="AG162">
            <v>103.8</v>
          </cell>
          <cell r="AH162">
            <v>103.8</v>
          </cell>
          <cell r="AI162">
            <v>100.2</v>
          </cell>
          <cell r="AJ162">
            <v>99.4</v>
          </cell>
          <cell r="AK162">
            <v>96.9</v>
          </cell>
          <cell r="AL162">
            <v>96.6</v>
          </cell>
          <cell r="AM162">
            <v>96.6</v>
          </cell>
          <cell r="AN162">
            <v>95.3</v>
          </cell>
          <cell r="AO162">
            <v>96</v>
          </cell>
          <cell r="AP162">
            <v>96.4</v>
          </cell>
          <cell r="AQ162">
            <v>97.7</v>
          </cell>
          <cell r="AR162">
            <v>97.7</v>
          </cell>
          <cell r="AS162">
            <v>95.9</v>
          </cell>
          <cell r="AT162">
            <v>94.6</v>
          </cell>
          <cell r="AU162">
            <v>92.9</v>
          </cell>
          <cell r="AV162">
            <v>94.9</v>
          </cell>
          <cell r="AW162">
            <v>94.9</v>
          </cell>
          <cell r="AX162">
            <v>102.8</v>
          </cell>
          <cell r="AY162">
            <v>104.8</v>
          </cell>
          <cell r="AZ162">
            <v>105.2</v>
          </cell>
          <cell r="BA162">
            <v>109.2</v>
          </cell>
          <cell r="BB162">
            <v>109.2</v>
          </cell>
          <cell r="BC162">
            <v>110.6</v>
          </cell>
          <cell r="BD162">
            <v>120.8</v>
          </cell>
          <cell r="BE162">
            <v>120.8</v>
          </cell>
          <cell r="BF162">
            <v>120.8</v>
          </cell>
          <cell r="BG162">
            <v>120.8</v>
          </cell>
          <cell r="BH162">
            <v>120.8</v>
          </cell>
          <cell r="BI162">
            <v>120.8</v>
          </cell>
          <cell r="BJ162">
            <v>120.8</v>
          </cell>
          <cell r="BK162">
            <v>120.8</v>
          </cell>
          <cell r="BL162">
            <v>120.8</v>
          </cell>
          <cell r="BM162">
            <v>120.8</v>
          </cell>
          <cell r="BN162">
            <v>120.8</v>
          </cell>
          <cell r="BO162">
            <v>120.8</v>
          </cell>
          <cell r="BP162">
            <v>120.8</v>
          </cell>
          <cell r="BQ162">
            <v>120.8</v>
          </cell>
          <cell r="BR162">
            <v>120.8</v>
          </cell>
          <cell r="BS162">
            <v>120.8</v>
          </cell>
          <cell r="BT162">
            <v>120.8</v>
          </cell>
          <cell r="BU162">
            <v>120.8</v>
          </cell>
          <cell r="BZ162" t="str">
            <v>Non-current portion of deferred revenue</v>
          </cell>
          <cell r="CB162">
            <v>0</v>
          </cell>
          <cell r="CC162">
            <v>16.3</v>
          </cell>
          <cell r="CD162">
            <v>19.8</v>
          </cell>
          <cell r="CE162">
            <v>28.5</v>
          </cell>
          <cell r="CF162">
            <v>41.1</v>
          </cell>
          <cell r="CG162">
            <v>54.4</v>
          </cell>
          <cell r="CH162">
            <v>75.7</v>
          </cell>
          <cell r="CI162">
            <v>102.1</v>
          </cell>
          <cell r="CJ162">
            <v>121.1</v>
          </cell>
          <cell r="CK162">
            <v>114.8</v>
          </cell>
          <cell r="CL162">
            <v>103.8</v>
          </cell>
          <cell r="CM162">
            <v>96.6</v>
          </cell>
          <cell r="CN162">
            <v>97.7</v>
          </cell>
          <cell r="CO162">
            <v>94.9</v>
          </cell>
          <cell r="CP162">
            <v>109.2</v>
          </cell>
          <cell r="CQ162">
            <v>120.8</v>
          </cell>
          <cell r="CR162">
            <v>120.8</v>
          </cell>
          <cell r="CS162">
            <v>120.8</v>
          </cell>
          <cell r="CT162">
            <v>120.8</v>
          </cell>
          <cell r="CU162">
            <v>120.8</v>
          </cell>
          <cell r="CV162">
            <v>120.8</v>
          </cell>
          <cell r="CW162">
            <v>120.8</v>
          </cell>
          <cell r="CY162">
            <v>120.8</v>
          </cell>
          <cell r="DA162" t="str">
            <v>mstag:deferredRevenueNonCurrent</v>
          </cell>
          <cell r="DB162">
            <v>6</v>
          </cell>
          <cell r="DC162" t="str">
            <v>ISO4217:USD</v>
          </cell>
          <cell r="DD162" t="b">
            <v>0</v>
          </cell>
        </row>
        <row r="163">
          <cell r="A163" t="str">
            <v>Long-term debt</v>
          </cell>
          <cell r="D163">
            <v>0</v>
          </cell>
          <cell r="E163">
            <v>300</v>
          </cell>
          <cell r="F163">
            <v>300</v>
          </cell>
          <cell r="G163">
            <v>300</v>
          </cell>
          <cell r="H163">
            <v>300</v>
          </cell>
          <cell r="I163">
            <v>0</v>
          </cell>
          <cell r="J163">
            <v>0</v>
          </cell>
          <cell r="K163">
            <v>0</v>
          </cell>
          <cell r="L163">
            <v>300</v>
          </cell>
          <cell r="M163">
            <v>300</v>
          </cell>
          <cell r="N163">
            <v>300</v>
          </cell>
          <cell r="O163">
            <v>300</v>
          </cell>
          <cell r="P163">
            <v>300</v>
          </cell>
          <cell r="Q163">
            <v>300</v>
          </cell>
          <cell r="R163">
            <v>300</v>
          </cell>
          <cell r="S163">
            <v>300</v>
          </cell>
          <cell r="T163">
            <v>300</v>
          </cell>
          <cell r="U163">
            <v>300</v>
          </cell>
          <cell r="V163">
            <v>600</v>
          </cell>
          <cell r="W163">
            <v>600</v>
          </cell>
          <cell r="X163">
            <v>600</v>
          </cell>
          <cell r="Y163">
            <v>600</v>
          </cell>
          <cell r="Z163">
            <v>750</v>
          </cell>
          <cell r="AA163">
            <v>750</v>
          </cell>
          <cell r="AB163">
            <v>750</v>
          </cell>
          <cell r="AC163">
            <v>750</v>
          </cell>
          <cell r="AD163">
            <v>750</v>
          </cell>
          <cell r="AE163">
            <v>750</v>
          </cell>
          <cell r="AF163">
            <v>748.1</v>
          </cell>
          <cell r="AG163">
            <v>746.2</v>
          </cell>
          <cell r="AH163">
            <v>746.2</v>
          </cell>
          <cell r="AI163">
            <v>744.4</v>
          </cell>
          <cell r="AJ163">
            <v>742.5</v>
          </cell>
          <cell r="AK163">
            <v>1235.5999999999999</v>
          </cell>
          <cell r="AL163">
            <v>1228.3</v>
          </cell>
          <cell r="AM163">
            <v>1228.3</v>
          </cell>
          <cell r="AN163">
            <v>1221.0999999999999</v>
          </cell>
          <cell r="AO163">
            <v>1228</v>
          </cell>
          <cell r="AP163">
            <v>1200.9000000000001</v>
          </cell>
          <cell r="AQ163">
            <v>1172.5</v>
          </cell>
          <cell r="AR163">
            <v>1172.5</v>
          </cell>
          <cell r="AS163">
            <v>1137.4000000000001</v>
          </cell>
          <cell r="AT163">
            <v>1110.8</v>
          </cell>
          <cell r="AU163">
            <v>1611.9</v>
          </cell>
          <cell r="AV163">
            <v>1607.4</v>
          </cell>
          <cell r="AW163">
            <v>1607.4</v>
          </cell>
          <cell r="AX163">
            <v>1610.2</v>
          </cell>
          <cell r="AY163">
            <v>1605</v>
          </cell>
          <cell r="AZ163">
            <v>2098.6</v>
          </cell>
          <cell r="BA163">
            <v>2101.8000000000002</v>
          </cell>
          <cell r="BB163">
            <v>2101.8000000000002</v>
          </cell>
          <cell r="BC163">
            <v>2097.5</v>
          </cell>
          <cell r="BD163">
            <v>2104.5</v>
          </cell>
          <cell r="BE163">
            <v>2104.5</v>
          </cell>
          <cell r="BF163">
            <v>2104.5</v>
          </cell>
          <cell r="BG163">
            <v>2104.5</v>
          </cell>
          <cell r="BH163">
            <v>2104.5</v>
          </cell>
          <cell r="BI163">
            <v>2104.5</v>
          </cell>
          <cell r="BJ163">
            <v>2104.5</v>
          </cell>
          <cell r="BK163">
            <v>2104.5</v>
          </cell>
          <cell r="BL163">
            <v>2104.5</v>
          </cell>
          <cell r="BM163">
            <v>2104.5</v>
          </cell>
          <cell r="BN163">
            <v>2104.5</v>
          </cell>
          <cell r="BO163">
            <v>2104.5</v>
          </cell>
          <cell r="BP163">
            <v>2104.5</v>
          </cell>
          <cell r="BQ163">
            <v>2104.5</v>
          </cell>
          <cell r="BR163">
            <v>2104.5</v>
          </cell>
          <cell r="BS163">
            <v>2104.5</v>
          </cell>
          <cell r="BT163">
            <v>2104.5</v>
          </cell>
          <cell r="BU163">
            <v>2104.5</v>
          </cell>
          <cell r="BZ163" t="str">
            <v>Long-term debt</v>
          </cell>
          <cell r="CB163">
            <v>0</v>
          </cell>
          <cell r="CC163">
            <v>300</v>
          </cell>
          <cell r="CD163">
            <v>300</v>
          </cell>
          <cell r="CE163">
            <v>300</v>
          </cell>
          <cell r="CF163">
            <v>300</v>
          </cell>
          <cell r="CG163">
            <v>0</v>
          </cell>
          <cell r="CH163">
            <v>300</v>
          </cell>
          <cell r="CI163">
            <v>300</v>
          </cell>
          <cell r="CJ163">
            <v>600</v>
          </cell>
          <cell r="CK163">
            <v>750</v>
          </cell>
          <cell r="CL163">
            <v>746.2</v>
          </cell>
          <cell r="CM163">
            <v>1228.3</v>
          </cell>
          <cell r="CN163">
            <v>1172.5</v>
          </cell>
          <cell r="CO163">
            <v>1607.4</v>
          </cell>
          <cell r="CP163">
            <v>2101.8000000000002</v>
          </cell>
          <cell r="CQ163">
            <v>2104.5</v>
          </cell>
          <cell r="CR163">
            <v>2104.5</v>
          </cell>
          <cell r="CS163">
            <v>2104.5</v>
          </cell>
          <cell r="CT163">
            <v>2104.5</v>
          </cell>
          <cell r="CU163">
            <v>2104.5</v>
          </cell>
          <cell r="CV163">
            <v>2104.5</v>
          </cell>
          <cell r="CW163">
            <v>2104.5</v>
          </cell>
          <cell r="CY163">
            <v>2104.5</v>
          </cell>
          <cell r="DA163" t="str">
            <v>mstag:longTermDebt</v>
          </cell>
          <cell r="DB163">
            <v>6</v>
          </cell>
          <cell r="DC163" t="str">
            <v>ISO4217:USD</v>
          </cell>
          <cell r="DD163" t="b">
            <v>0</v>
          </cell>
        </row>
        <row r="164">
          <cell r="A164" t="str">
            <v>Deferred tax liabilities, net</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19</v>
          </cell>
          <cell r="AC164">
            <v>19</v>
          </cell>
          <cell r="AD164">
            <v>16.5</v>
          </cell>
          <cell r="AE164">
            <v>15.7</v>
          </cell>
          <cell r="AF164">
            <v>22.8</v>
          </cell>
          <cell r="AG164">
            <v>31.4</v>
          </cell>
          <cell r="AH164">
            <v>31.4</v>
          </cell>
          <cell r="AI164">
            <v>53.2</v>
          </cell>
          <cell r="AJ164">
            <v>21.1</v>
          </cell>
          <cell r="AK164">
            <v>15.9</v>
          </cell>
          <cell r="AL164">
            <v>36.9</v>
          </cell>
          <cell r="AM164">
            <v>36.9</v>
          </cell>
          <cell r="AN164">
            <v>35</v>
          </cell>
          <cell r="AO164">
            <v>35</v>
          </cell>
          <cell r="AP164">
            <v>31.1</v>
          </cell>
          <cell r="AQ164">
            <v>49.6</v>
          </cell>
          <cell r="AR164">
            <v>49.6</v>
          </cell>
          <cell r="AS164">
            <v>60.8</v>
          </cell>
          <cell r="AT164">
            <v>59.1</v>
          </cell>
          <cell r="AU164">
            <v>52.5</v>
          </cell>
          <cell r="AV164">
            <v>58.1</v>
          </cell>
          <cell r="AW164">
            <v>58.1</v>
          </cell>
          <cell r="AX164">
            <v>55.9</v>
          </cell>
          <cell r="AY164">
            <v>54.4</v>
          </cell>
          <cell r="AZ164">
            <v>54.5</v>
          </cell>
          <cell r="BA164">
            <v>59.1</v>
          </cell>
          <cell r="BB164">
            <v>59.1</v>
          </cell>
          <cell r="BC164">
            <v>72.400000000000006</v>
          </cell>
          <cell r="BD164">
            <v>112.2</v>
          </cell>
          <cell r="BE164">
            <v>112.2</v>
          </cell>
          <cell r="BF164">
            <v>112.2</v>
          </cell>
          <cell r="BG164">
            <v>112.2</v>
          </cell>
          <cell r="BH164">
            <v>112.2</v>
          </cell>
          <cell r="BI164">
            <v>112.2</v>
          </cell>
          <cell r="BJ164">
            <v>112.2</v>
          </cell>
          <cell r="BK164">
            <v>112.2</v>
          </cell>
          <cell r="BL164">
            <v>112.2</v>
          </cell>
          <cell r="BM164">
            <v>112.2</v>
          </cell>
          <cell r="BN164">
            <v>112.2</v>
          </cell>
          <cell r="BO164">
            <v>112.2</v>
          </cell>
          <cell r="BP164">
            <v>112.2</v>
          </cell>
          <cell r="BQ164">
            <v>112.2</v>
          </cell>
          <cell r="BR164">
            <v>112.2</v>
          </cell>
          <cell r="BS164">
            <v>112.2</v>
          </cell>
          <cell r="BT164">
            <v>112.2</v>
          </cell>
          <cell r="BU164">
            <v>112.2</v>
          </cell>
          <cell r="BZ164" t="str">
            <v>Deferred tax liabilities, net</v>
          </cell>
          <cell r="CB164">
            <v>0</v>
          </cell>
          <cell r="CC164">
            <v>0</v>
          </cell>
          <cell r="CD164">
            <v>0</v>
          </cell>
          <cell r="CE164">
            <v>0</v>
          </cell>
          <cell r="CF164">
            <v>0</v>
          </cell>
          <cell r="CG164">
            <v>0</v>
          </cell>
          <cell r="CH164">
            <v>0</v>
          </cell>
          <cell r="CI164">
            <v>0</v>
          </cell>
          <cell r="CJ164">
            <v>0</v>
          </cell>
          <cell r="CK164">
            <v>19</v>
          </cell>
          <cell r="CL164">
            <v>31.4</v>
          </cell>
          <cell r="CM164">
            <v>36.9</v>
          </cell>
          <cell r="CN164">
            <v>49.6</v>
          </cell>
          <cell r="CO164">
            <v>58.1</v>
          </cell>
          <cell r="CP164">
            <v>59.1</v>
          </cell>
          <cell r="CQ164">
            <v>112.2</v>
          </cell>
          <cell r="CR164">
            <v>112.2</v>
          </cell>
          <cell r="CS164">
            <v>112.2</v>
          </cell>
          <cell r="CT164">
            <v>112.2</v>
          </cell>
          <cell r="CU164">
            <v>112.2</v>
          </cell>
          <cell r="CV164">
            <v>112.2</v>
          </cell>
          <cell r="CW164">
            <v>112.2</v>
          </cell>
          <cell r="CY164">
            <v>112.2</v>
          </cell>
          <cell r="DA164" t="str">
            <v>mstag:deferredTaxLiabilitiesNonCurrent</v>
          </cell>
          <cell r="DB164">
            <v>6</v>
          </cell>
          <cell r="DC164" t="str">
            <v>ISO4217:USD</v>
          </cell>
          <cell r="DD164" t="b">
            <v>0</v>
          </cell>
        </row>
        <row r="165">
          <cell r="A165" t="str">
            <v>Unrecognized tax benefits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156.1</v>
          </cell>
          <cell r="X165">
            <v>156.1</v>
          </cell>
          <cell r="Y165">
            <v>165.8</v>
          </cell>
          <cell r="Z165">
            <v>175.4</v>
          </cell>
          <cell r="AA165">
            <v>184.6</v>
          </cell>
          <cell r="AB165">
            <v>185.1</v>
          </cell>
          <cell r="AC165">
            <v>185.1</v>
          </cell>
          <cell r="AD165">
            <v>198.8</v>
          </cell>
          <cell r="AE165">
            <v>156.9</v>
          </cell>
          <cell r="AF165">
            <v>158.30000000000001</v>
          </cell>
          <cell r="AG165">
            <v>164.2</v>
          </cell>
          <cell r="AH165">
            <v>164.2</v>
          </cell>
          <cell r="AI165">
            <v>172.9</v>
          </cell>
          <cell r="AJ165">
            <v>171</v>
          </cell>
          <cell r="AK165">
            <v>171.2</v>
          </cell>
          <cell r="AL165">
            <v>180.8</v>
          </cell>
          <cell r="AM165">
            <v>180.8</v>
          </cell>
          <cell r="AN165">
            <v>193</v>
          </cell>
          <cell r="AO165">
            <v>187.2</v>
          </cell>
          <cell r="AP165">
            <v>174.6</v>
          </cell>
          <cell r="AQ165">
            <v>115.4</v>
          </cell>
          <cell r="AR165">
            <v>115.4</v>
          </cell>
          <cell r="AS165">
            <v>122.4</v>
          </cell>
          <cell r="AT165">
            <v>130</v>
          </cell>
          <cell r="AU165">
            <v>144.6</v>
          </cell>
          <cell r="AV165">
            <v>156.6</v>
          </cell>
          <cell r="AW165">
            <v>156.6</v>
          </cell>
          <cell r="AX165">
            <v>167.2</v>
          </cell>
          <cell r="AY165">
            <v>184.6</v>
          </cell>
          <cell r="AZ165">
            <v>199.2</v>
          </cell>
          <cell r="BA165">
            <v>195.6</v>
          </cell>
          <cell r="BB165">
            <v>195.6</v>
          </cell>
          <cell r="BC165">
            <v>190.8</v>
          </cell>
          <cell r="BD165">
            <v>204.5</v>
          </cell>
          <cell r="BE165">
            <v>204.5</v>
          </cell>
          <cell r="BF165">
            <v>204.5</v>
          </cell>
          <cell r="BG165">
            <v>204.5</v>
          </cell>
          <cell r="BH165">
            <v>204.5</v>
          </cell>
          <cell r="BI165">
            <v>204.5</v>
          </cell>
          <cell r="BJ165">
            <v>204.5</v>
          </cell>
          <cell r="BK165">
            <v>204.5</v>
          </cell>
          <cell r="BL165">
            <v>204.5</v>
          </cell>
          <cell r="BM165">
            <v>204.5</v>
          </cell>
          <cell r="BN165">
            <v>204.5</v>
          </cell>
          <cell r="BO165">
            <v>204.5</v>
          </cell>
          <cell r="BP165">
            <v>204.5</v>
          </cell>
          <cell r="BQ165">
            <v>204.5</v>
          </cell>
          <cell r="BR165">
            <v>204.5</v>
          </cell>
          <cell r="BS165">
            <v>204.5</v>
          </cell>
          <cell r="BT165">
            <v>204.5</v>
          </cell>
          <cell r="BU165">
            <v>204.5</v>
          </cell>
          <cell r="BZ165" t="str">
            <v>Unrecognized tax benefits</v>
          </cell>
          <cell r="CB165">
            <v>0</v>
          </cell>
          <cell r="CC165">
            <v>0</v>
          </cell>
          <cell r="CD165">
            <v>0</v>
          </cell>
          <cell r="CE165">
            <v>0</v>
          </cell>
          <cell r="CF165">
            <v>0</v>
          </cell>
          <cell r="CG165">
            <v>0</v>
          </cell>
          <cell r="CH165">
            <v>0</v>
          </cell>
          <cell r="CI165">
            <v>0</v>
          </cell>
          <cell r="CJ165">
            <v>156.1</v>
          </cell>
          <cell r="CK165">
            <v>185.1</v>
          </cell>
          <cell r="CL165">
            <v>164.2</v>
          </cell>
          <cell r="CM165">
            <v>180.8</v>
          </cell>
          <cell r="CN165">
            <v>115.4</v>
          </cell>
          <cell r="CO165">
            <v>156.6</v>
          </cell>
          <cell r="CP165">
            <v>195.6</v>
          </cell>
          <cell r="CQ165">
            <v>204.5</v>
          </cell>
          <cell r="CR165">
            <v>204.5</v>
          </cell>
          <cell r="CS165">
            <v>204.5</v>
          </cell>
          <cell r="CT165">
            <v>204.5</v>
          </cell>
          <cell r="CU165">
            <v>204.5</v>
          </cell>
          <cell r="CV165">
            <v>204.5</v>
          </cell>
          <cell r="CW165">
            <v>204.5</v>
          </cell>
          <cell r="CY165">
            <v>204.5</v>
          </cell>
          <cell r="DA165" t="str">
            <v>mstag:otherLiabilitiesOperatingNonCurrent</v>
          </cell>
          <cell r="DB165">
            <v>6</v>
          </cell>
          <cell r="DC165" t="str">
            <v>ISO4217:USD</v>
          </cell>
          <cell r="DD165" t="b">
            <v>0</v>
          </cell>
        </row>
        <row r="166">
          <cell r="A166" t="str">
            <v>Other liabilities</v>
          </cell>
          <cell r="D166">
            <v>122.4</v>
          </cell>
          <cell r="E166">
            <v>127.7</v>
          </cell>
          <cell r="F166">
            <v>130.4</v>
          </cell>
          <cell r="G166">
            <v>167.3</v>
          </cell>
          <cell r="H166">
            <v>200.3</v>
          </cell>
          <cell r="I166">
            <v>166.9</v>
          </cell>
          <cell r="J166">
            <v>171.2</v>
          </cell>
          <cell r="K166">
            <v>176.4</v>
          </cell>
          <cell r="L166">
            <v>183.6</v>
          </cell>
          <cell r="M166">
            <v>193.2</v>
          </cell>
          <cell r="N166">
            <v>193.2</v>
          </cell>
          <cell r="O166">
            <v>189.1</v>
          </cell>
          <cell r="P166">
            <v>194.5</v>
          </cell>
          <cell r="Q166">
            <v>197</v>
          </cell>
          <cell r="R166">
            <v>228.2</v>
          </cell>
          <cell r="S166">
            <v>228.2</v>
          </cell>
          <cell r="T166">
            <v>359.2</v>
          </cell>
          <cell r="U166">
            <v>314.2</v>
          </cell>
          <cell r="V166">
            <v>354.8</v>
          </cell>
          <cell r="W166">
            <v>271.8</v>
          </cell>
          <cell r="X166">
            <v>271.8</v>
          </cell>
          <cell r="Y166">
            <v>281.60000000000002</v>
          </cell>
          <cell r="Z166">
            <v>276.7</v>
          </cell>
          <cell r="AA166">
            <v>283.89999999999998</v>
          </cell>
          <cell r="AB166">
            <v>297.5</v>
          </cell>
          <cell r="AC166">
            <v>297.5</v>
          </cell>
          <cell r="AD166">
            <v>306.7</v>
          </cell>
          <cell r="AE166">
            <v>287.2</v>
          </cell>
          <cell r="AF166">
            <v>283.10000000000002</v>
          </cell>
          <cell r="AG166">
            <v>317.8</v>
          </cell>
          <cell r="AH166">
            <v>317.8</v>
          </cell>
          <cell r="AI166">
            <v>319.7</v>
          </cell>
          <cell r="AJ166">
            <v>321.39999999999998</v>
          </cell>
          <cell r="AK166">
            <v>333.6</v>
          </cell>
          <cell r="AL166">
            <v>362.3</v>
          </cell>
          <cell r="AM166">
            <v>362.3</v>
          </cell>
          <cell r="AN166">
            <v>362.2</v>
          </cell>
          <cell r="AO166">
            <v>363</v>
          </cell>
          <cell r="AP166">
            <v>357.6</v>
          </cell>
          <cell r="AQ166">
            <v>494.8</v>
          </cell>
          <cell r="AR166">
            <v>494.8</v>
          </cell>
          <cell r="AS166">
            <v>405.8</v>
          </cell>
          <cell r="AT166">
            <v>395.4</v>
          </cell>
          <cell r="AU166">
            <v>386.2</v>
          </cell>
          <cell r="AV166">
            <v>410.1</v>
          </cell>
          <cell r="AW166">
            <v>410.1</v>
          </cell>
          <cell r="AX166">
            <v>421.5</v>
          </cell>
          <cell r="AY166">
            <v>412.9</v>
          </cell>
          <cell r="AZ166">
            <v>426.4</v>
          </cell>
          <cell r="BA166">
            <v>360.2</v>
          </cell>
          <cell r="BB166">
            <v>360.2</v>
          </cell>
          <cell r="BC166">
            <v>355</v>
          </cell>
          <cell r="BD166">
            <v>354.7</v>
          </cell>
          <cell r="BE166">
            <v>354.7</v>
          </cell>
          <cell r="BF166">
            <v>354.7</v>
          </cell>
          <cell r="BG166">
            <v>354.7</v>
          </cell>
          <cell r="BH166">
            <v>354.7</v>
          </cell>
          <cell r="BI166">
            <v>354.7</v>
          </cell>
          <cell r="BJ166">
            <v>354.7</v>
          </cell>
          <cell r="BK166">
            <v>354.7</v>
          </cell>
          <cell r="BL166">
            <v>354.7</v>
          </cell>
          <cell r="BM166">
            <v>354.7</v>
          </cell>
          <cell r="BN166">
            <v>354.7</v>
          </cell>
          <cell r="BO166">
            <v>354.7</v>
          </cell>
          <cell r="BP166">
            <v>354.7</v>
          </cell>
          <cell r="BQ166">
            <v>354.7</v>
          </cell>
          <cell r="BR166">
            <v>354.7</v>
          </cell>
          <cell r="BS166">
            <v>354.7</v>
          </cell>
          <cell r="BT166">
            <v>354.7</v>
          </cell>
          <cell r="BU166">
            <v>354.7</v>
          </cell>
          <cell r="BZ166" t="str">
            <v>Other liabilities</v>
          </cell>
          <cell r="CB166">
            <v>122.4</v>
          </cell>
          <cell r="CC166">
            <v>127.7</v>
          </cell>
          <cell r="CD166">
            <v>130.4</v>
          </cell>
          <cell r="CE166">
            <v>167.3</v>
          </cell>
          <cell r="CF166">
            <v>200.3</v>
          </cell>
          <cell r="CG166">
            <v>166.9</v>
          </cell>
          <cell r="CH166">
            <v>193.2</v>
          </cell>
          <cell r="CI166">
            <v>228.2</v>
          </cell>
          <cell r="CJ166">
            <v>271.8</v>
          </cell>
          <cell r="CK166">
            <v>297.5</v>
          </cell>
          <cell r="CL166">
            <v>317.8</v>
          </cell>
          <cell r="CM166">
            <v>362.3</v>
          </cell>
          <cell r="CN166">
            <v>494.8</v>
          </cell>
          <cell r="CO166">
            <v>410.1</v>
          </cell>
          <cell r="CP166">
            <v>360.2</v>
          </cell>
          <cell r="CQ166">
            <v>354.7</v>
          </cell>
          <cell r="CR166">
            <v>354.7</v>
          </cell>
          <cell r="CS166">
            <v>354.7</v>
          </cell>
          <cell r="CT166">
            <v>354.7</v>
          </cell>
          <cell r="CU166">
            <v>354.7</v>
          </cell>
          <cell r="CV166">
            <v>354.7</v>
          </cell>
          <cell r="CW166">
            <v>354.7</v>
          </cell>
          <cell r="CY166">
            <v>354.7</v>
          </cell>
          <cell r="DA166" t="str">
            <v>mstag:otherLiabilitiesOperatingNonCurrent</v>
          </cell>
          <cell r="DB166">
            <v>6</v>
          </cell>
          <cell r="DC166" t="str">
            <v>ISO4217:USD</v>
          </cell>
          <cell r="DD166" t="b">
            <v>0</v>
          </cell>
        </row>
        <row r="167">
          <cell r="C167" t="str">
            <v xml:space="preserve">______ </v>
          </cell>
          <cell r="D167" t="str">
            <v xml:space="preserve">______ </v>
          </cell>
          <cell r="E167" t="str">
            <v xml:space="preserve">______ </v>
          </cell>
          <cell r="F167" t="str">
            <v xml:space="preserve">______ </v>
          </cell>
          <cell r="G167" t="str">
            <v xml:space="preserve">______ </v>
          </cell>
          <cell r="H167" t="str">
            <v xml:space="preserve">______ </v>
          </cell>
          <cell r="I167" t="str">
            <v xml:space="preserve">______ </v>
          </cell>
          <cell r="J167" t="str">
            <v xml:space="preserve">______ </v>
          </cell>
          <cell r="K167" t="str">
            <v xml:space="preserve">______ </v>
          </cell>
          <cell r="L167" t="str">
            <v xml:space="preserve">______ </v>
          </cell>
          <cell r="M167" t="str">
            <v xml:space="preserve">______ </v>
          </cell>
          <cell r="N167" t="str">
            <v xml:space="preserve">______ </v>
          </cell>
          <cell r="O167" t="str">
            <v xml:space="preserve">______ </v>
          </cell>
          <cell r="P167" t="str">
            <v xml:space="preserve">______ </v>
          </cell>
          <cell r="Q167" t="str">
            <v xml:space="preserve">______ </v>
          </cell>
          <cell r="R167" t="str">
            <v xml:space="preserve">______ </v>
          </cell>
          <cell r="S167" t="str">
            <v xml:space="preserve">______ </v>
          </cell>
          <cell r="T167" t="str">
            <v xml:space="preserve">______ </v>
          </cell>
          <cell r="U167" t="str">
            <v xml:space="preserve">______ </v>
          </cell>
          <cell r="V167" t="str">
            <v xml:space="preserve">______ </v>
          </cell>
          <cell r="W167" t="str">
            <v xml:space="preserve">______ </v>
          </cell>
          <cell r="X167" t="str">
            <v xml:space="preserve">______ </v>
          </cell>
          <cell r="Y167" t="str">
            <v xml:space="preserve">______ </v>
          </cell>
          <cell r="Z167" t="str">
            <v xml:space="preserve">______ </v>
          </cell>
          <cell r="AA167" t="str">
            <v xml:space="preserve">______ </v>
          </cell>
          <cell r="AB167" t="str">
            <v xml:space="preserve">______ </v>
          </cell>
          <cell r="AC167" t="str">
            <v xml:space="preserve">______ </v>
          </cell>
          <cell r="AD167" t="str">
            <v xml:space="preserve">______ </v>
          </cell>
          <cell r="AE167" t="str">
            <v xml:space="preserve">______ </v>
          </cell>
          <cell r="AF167" t="str">
            <v xml:space="preserve">______ </v>
          </cell>
          <cell r="AG167" t="str">
            <v xml:space="preserve">______ </v>
          </cell>
          <cell r="AH167" t="str">
            <v xml:space="preserve">______ </v>
          </cell>
          <cell r="AI167" t="str">
            <v xml:space="preserve">______ </v>
          </cell>
          <cell r="AJ167" t="str">
            <v xml:space="preserve">______ </v>
          </cell>
          <cell r="AK167" t="str">
            <v xml:space="preserve">______ </v>
          </cell>
          <cell r="AL167" t="str">
            <v xml:space="preserve">______ </v>
          </cell>
          <cell r="AM167" t="str">
            <v xml:space="preserve">______ </v>
          </cell>
          <cell r="AN167" t="str">
            <v xml:space="preserve">______ </v>
          </cell>
          <cell r="AO167" t="str">
            <v xml:space="preserve">______ </v>
          </cell>
          <cell r="AP167" t="str">
            <v xml:space="preserve">______ </v>
          </cell>
          <cell r="AQ167" t="str">
            <v xml:space="preserve">______ </v>
          </cell>
          <cell r="AR167" t="str">
            <v xml:space="preserve">______ </v>
          </cell>
          <cell r="AS167" t="str">
            <v xml:space="preserve">______ </v>
          </cell>
          <cell r="AT167" t="str">
            <v xml:space="preserve">______ </v>
          </cell>
          <cell r="AU167" t="str">
            <v xml:space="preserve">______ </v>
          </cell>
          <cell r="AV167" t="str">
            <v xml:space="preserve">______ </v>
          </cell>
          <cell r="AW167" t="str">
            <v xml:space="preserve">______ </v>
          </cell>
          <cell r="AX167" t="str">
            <v xml:space="preserve">______ </v>
          </cell>
          <cell r="AY167" t="str">
            <v xml:space="preserve">______ </v>
          </cell>
          <cell r="AZ167" t="str">
            <v xml:space="preserve">______ </v>
          </cell>
          <cell r="BA167" t="str">
            <v xml:space="preserve">______ </v>
          </cell>
          <cell r="BB167" t="str">
            <v xml:space="preserve">______ </v>
          </cell>
          <cell r="BC167" t="str">
            <v xml:space="preserve">______ </v>
          </cell>
          <cell r="BD167" t="str">
            <v xml:space="preserve">______ </v>
          </cell>
          <cell r="BE167" t="str">
            <v xml:space="preserve">______ </v>
          </cell>
          <cell r="BF167" t="str">
            <v xml:space="preserve">______ </v>
          </cell>
          <cell r="BG167" t="str">
            <v xml:space="preserve">______ </v>
          </cell>
          <cell r="BH167" t="str">
            <v xml:space="preserve">______ </v>
          </cell>
          <cell r="BI167" t="str">
            <v xml:space="preserve">______ </v>
          </cell>
          <cell r="BJ167" t="str">
            <v xml:space="preserve">______ </v>
          </cell>
          <cell r="BK167" t="str">
            <v xml:space="preserve">______ </v>
          </cell>
          <cell r="BL167" t="str">
            <v xml:space="preserve">______ </v>
          </cell>
          <cell r="BM167" t="str">
            <v xml:space="preserve">______ </v>
          </cell>
          <cell r="BN167" t="str">
            <v xml:space="preserve">______ </v>
          </cell>
          <cell r="BO167" t="str">
            <v xml:space="preserve">______ </v>
          </cell>
          <cell r="BP167" t="str">
            <v xml:space="preserve">______ </v>
          </cell>
          <cell r="BQ167" t="str">
            <v xml:space="preserve">______ </v>
          </cell>
          <cell r="BR167" t="str">
            <v xml:space="preserve">______ </v>
          </cell>
          <cell r="BS167" t="str">
            <v xml:space="preserve">______ </v>
          </cell>
          <cell r="BT167" t="str">
            <v xml:space="preserve">______ </v>
          </cell>
          <cell r="BU167" t="str">
            <v xml:space="preserve">______ </v>
          </cell>
          <cell r="CB167" t="str">
            <v xml:space="preserve">______ </v>
          </cell>
          <cell r="CC167" t="str">
            <v xml:space="preserve">______ </v>
          </cell>
          <cell r="CD167" t="str">
            <v xml:space="preserve">______ </v>
          </cell>
          <cell r="CE167" t="str">
            <v xml:space="preserve">______ </v>
          </cell>
          <cell r="CF167" t="str">
            <v xml:space="preserve">______ </v>
          </cell>
          <cell r="CG167" t="str">
            <v xml:space="preserve">______ </v>
          </cell>
          <cell r="CH167" t="str">
            <v xml:space="preserve">______ </v>
          </cell>
          <cell r="CI167" t="str">
            <v xml:space="preserve">______ </v>
          </cell>
          <cell r="CJ167" t="str">
            <v xml:space="preserve">______ </v>
          </cell>
          <cell r="CK167" t="str">
            <v xml:space="preserve">______ </v>
          </cell>
          <cell r="CL167" t="str">
            <v xml:space="preserve">______ </v>
          </cell>
          <cell r="CM167" t="str">
            <v xml:space="preserve">______ </v>
          </cell>
          <cell r="CN167" t="str">
            <v xml:space="preserve">______ </v>
          </cell>
          <cell r="CO167" t="str">
            <v xml:space="preserve">______ </v>
          </cell>
          <cell r="CP167" t="str">
            <v xml:space="preserve">______ </v>
          </cell>
          <cell r="CQ167" t="str">
            <v xml:space="preserve">______ </v>
          </cell>
          <cell r="CR167" t="str">
            <v xml:space="preserve">______ </v>
          </cell>
          <cell r="CS167" t="str">
            <v xml:space="preserve">______ </v>
          </cell>
          <cell r="CT167" t="str">
            <v xml:space="preserve">______ </v>
          </cell>
          <cell r="CU167" t="str">
            <v xml:space="preserve">______ </v>
          </cell>
          <cell r="CV167" t="str">
            <v xml:space="preserve">______ </v>
          </cell>
          <cell r="CW167" t="str">
            <v xml:space="preserve">______ </v>
          </cell>
          <cell r="CY167" t="str">
            <v xml:space="preserve">______ </v>
          </cell>
        </row>
        <row r="168">
          <cell r="A168" t="str">
            <v>Total Liabilities</v>
          </cell>
          <cell r="D168">
            <v>497.9</v>
          </cell>
          <cell r="E168">
            <v>680.8</v>
          </cell>
          <cell r="F168">
            <v>809.5</v>
          </cell>
          <cell r="G168">
            <v>957.8</v>
          </cell>
          <cell r="H168">
            <v>984.40000000000009</v>
          </cell>
          <cell r="I168">
            <v>1071.8</v>
          </cell>
          <cell r="J168">
            <v>1064.1999999999998</v>
          </cell>
          <cell r="K168">
            <v>1082.2</v>
          </cell>
          <cell r="L168">
            <v>1057.5</v>
          </cell>
          <cell r="M168">
            <v>1147.8000000000002</v>
          </cell>
          <cell r="N168">
            <v>1147.8000000000002</v>
          </cell>
          <cell r="O168">
            <v>1120.1999999999998</v>
          </cell>
          <cell r="P168">
            <v>1110.5</v>
          </cell>
          <cell r="Q168">
            <v>1116.5</v>
          </cell>
          <cell r="R168">
            <v>1330.3</v>
          </cell>
          <cell r="S168">
            <v>1330.3</v>
          </cell>
          <cell r="T168">
            <v>1540</v>
          </cell>
          <cell r="U168">
            <v>1819.2</v>
          </cell>
          <cell r="V168">
            <v>2161.1</v>
          </cell>
          <cell r="W168">
            <v>2498.1999999999998</v>
          </cell>
          <cell r="X168">
            <v>2498.1999999999998</v>
          </cell>
          <cell r="Y168">
            <v>2489.8000000000002</v>
          </cell>
          <cell r="Z168">
            <v>2486.1999999999998</v>
          </cell>
          <cell r="AA168">
            <v>2588.1</v>
          </cell>
          <cell r="AB168">
            <v>2759.5</v>
          </cell>
          <cell r="AC168">
            <v>2759.5</v>
          </cell>
          <cell r="AD168">
            <v>2721.4</v>
          </cell>
          <cell r="AE168">
            <v>2623.3</v>
          </cell>
          <cell r="AF168">
            <v>2521.6999999999998</v>
          </cell>
          <cell r="AG168">
            <v>2599.3999999999996</v>
          </cell>
          <cell r="AH168">
            <v>2599.3999999999996</v>
          </cell>
          <cell r="AI168">
            <v>2537.3000000000002</v>
          </cell>
          <cell r="AJ168">
            <v>2449.6000000000004</v>
          </cell>
          <cell r="AK168">
            <v>2645.8</v>
          </cell>
          <cell r="AL168">
            <v>2838.7</v>
          </cell>
          <cell r="AM168">
            <v>2838.7</v>
          </cell>
          <cell r="AN168">
            <v>2747.6</v>
          </cell>
          <cell r="AO168">
            <v>2761.2</v>
          </cell>
          <cell r="AP168">
            <v>2695.5</v>
          </cell>
          <cell r="AQ168">
            <v>2974</v>
          </cell>
          <cell r="AR168">
            <v>2974</v>
          </cell>
          <cell r="AS168">
            <v>2833.8</v>
          </cell>
          <cell r="AT168">
            <v>2785.0999999999995</v>
          </cell>
          <cell r="AU168">
            <v>3271</v>
          </cell>
          <cell r="AV168">
            <v>3492</v>
          </cell>
          <cell r="AW168">
            <v>3492</v>
          </cell>
          <cell r="AX168">
            <v>3371.0000000000005</v>
          </cell>
          <cell r="AY168">
            <v>3258.7999999999997</v>
          </cell>
          <cell r="AZ168">
            <v>3781.0999999999995</v>
          </cell>
          <cell r="BA168">
            <v>3967.2</v>
          </cell>
          <cell r="BB168">
            <v>3967.2</v>
          </cell>
          <cell r="BC168">
            <v>3853.6000000000004</v>
          </cell>
          <cell r="BD168">
            <v>3990.1</v>
          </cell>
          <cell r="BE168">
            <v>3816.5454738720209</v>
          </cell>
          <cell r="BF168">
            <v>4055.6316529327928</v>
          </cell>
          <cell r="BG168">
            <v>4055.6316529327928</v>
          </cell>
          <cell r="BH168">
            <v>3955.6754982633624</v>
          </cell>
          <cell r="BI168">
            <v>4046.9536247960614</v>
          </cell>
          <cell r="BJ168">
            <v>3861.2038546281619</v>
          </cell>
          <cell r="BK168">
            <v>4113.9619247672172</v>
          </cell>
          <cell r="BL168">
            <v>4113.9619247672172</v>
          </cell>
          <cell r="BM168">
            <v>4005.696140402817</v>
          </cell>
          <cell r="BN168">
            <v>4098.9987598667394</v>
          </cell>
          <cell r="BO168">
            <v>3909.6117988908991</v>
          </cell>
          <cell r="BP168">
            <v>4177.4035761858704</v>
          </cell>
          <cell r="BQ168">
            <v>4177.4035761858704</v>
          </cell>
          <cell r="BR168">
            <v>4227.4874135597711</v>
          </cell>
          <cell r="BS168">
            <v>4281.8885002664756</v>
          </cell>
          <cell r="BT168">
            <v>4341.0330673228746</v>
          </cell>
          <cell r="BU168">
            <v>4405.3912038801936</v>
          </cell>
          <cell r="BZ168" t="str">
            <v>Total Liabilities</v>
          </cell>
          <cell r="CB168">
            <v>497.9</v>
          </cell>
          <cell r="CC168">
            <v>680.8</v>
          </cell>
          <cell r="CD168">
            <v>809.5</v>
          </cell>
          <cell r="CE168">
            <v>957.8</v>
          </cell>
          <cell r="CF168">
            <v>984.40000000000009</v>
          </cell>
          <cell r="CG168">
            <v>1071.8</v>
          </cell>
          <cell r="CH168">
            <v>1147.8000000000002</v>
          </cell>
          <cell r="CI168">
            <v>1330.3</v>
          </cell>
          <cell r="CJ168">
            <v>2498.1999999999998</v>
          </cell>
          <cell r="CK168">
            <v>2759.5</v>
          </cell>
          <cell r="CL168">
            <v>2599.3999999999996</v>
          </cell>
          <cell r="CM168">
            <v>2838.7</v>
          </cell>
          <cell r="CN168">
            <v>2974</v>
          </cell>
          <cell r="CO168">
            <v>3492</v>
          </cell>
          <cell r="CP168">
            <v>3967.2</v>
          </cell>
          <cell r="CQ168">
            <v>4055.6316529327928</v>
          </cell>
          <cell r="CR168">
            <v>4113.9619247672172</v>
          </cell>
          <cell r="CS168">
            <v>4177.4035761858704</v>
          </cell>
          <cell r="CT168">
            <v>4227.4874135597711</v>
          </cell>
          <cell r="CU168">
            <v>4281.8885002664756</v>
          </cell>
          <cell r="CV168">
            <v>4341.0330673228746</v>
          </cell>
          <cell r="CW168">
            <v>4405.3912038801936</v>
          </cell>
          <cell r="CY168">
            <v>4046.9536247960614</v>
          </cell>
        </row>
        <row r="170">
          <cell r="A170" t="str">
            <v>Redeemable noncontrolling interest</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60.5</v>
          </cell>
          <cell r="AR170">
            <v>60.5</v>
          </cell>
          <cell r="AS170">
            <v>69.400000000000006</v>
          </cell>
          <cell r="AT170">
            <v>70.5</v>
          </cell>
          <cell r="AU170">
            <v>69.2</v>
          </cell>
          <cell r="AV170">
            <v>72.3</v>
          </cell>
          <cell r="AW170">
            <v>72.3</v>
          </cell>
          <cell r="AX170">
            <v>75.3</v>
          </cell>
          <cell r="AY170">
            <v>78.7</v>
          </cell>
          <cell r="AZ170">
            <v>81.5</v>
          </cell>
          <cell r="BA170">
            <v>80</v>
          </cell>
          <cell r="BB170">
            <v>80</v>
          </cell>
          <cell r="BC170">
            <v>106.5</v>
          </cell>
          <cell r="BD170">
            <v>122.6</v>
          </cell>
          <cell r="BE170">
            <v>122.6</v>
          </cell>
          <cell r="BF170">
            <v>122.6</v>
          </cell>
          <cell r="BG170">
            <v>122.6</v>
          </cell>
          <cell r="BH170">
            <v>122.6</v>
          </cell>
          <cell r="BI170">
            <v>122.6</v>
          </cell>
          <cell r="BJ170">
            <v>122.6</v>
          </cell>
          <cell r="BK170">
            <v>122.6</v>
          </cell>
          <cell r="BL170">
            <v>122.6</v>
          </cell>
          <cell r="BM170">
            <v>122.6</v>
          </cell>
          <cell r="BN170">
            <v>122.6</v>
          </cell>
          <cell r="BO170">
            <v>122.6</v>
          </cell>
          <cell r="BP170">
            <v>122.6</v>
          </cell>
          <cell r="BQ170">
            <v>122.6</v>
          </cell>
          <cell r="BR170">
            <v>122.6</v>
          </cell>
          <cell r="BS170">
            <v>122.6</v>
          </cell>
          <cell r="BT170">
            <v>122.6</v>
          </cell>
          <cell r="BU170">
            <v>122.6</v>
          </cell>
          <cell r="BZ170" t="str">
            <v>Redeemable noncontrolling interest</v>
          </cell>
          <cell r="CB170">
            <v>0</v>
          </cell>
          <cell r="CC170">
            <v>0</v>
          </cell>
          <cell r="CD170">
            <v>0</v>
          </cell>
          <cell r="CE170">
            <v>0</v>
          </cell>
          <cell r="CF170">
            <v>0</v>
          </cell>
          <cell r="CG170">
            <v>0</v>
          </cell>
          <cell r="CH170">
            <v>0</v>
          </cell>
          <cell r="CI170">
            <v>0</v>
          </cell>
          <cell r="CJ170">
            <v>0</v>
          </cell>
          <cell r="CK170">
            <v>0</v>
          </cell>
          <cell r="CL170">
            <v>0</v>
          </cell>
          <cell r="CM170">
            <v>0</v>
          </cell>
          <cell r="CN170">
            <v>60.5</v>
          </cell>
          <cell r="CO170">
            <v>72.3</v>
          </cell>
          <cell r="CP170">
            <v>80</v>
          </cell>
          <cell r="CQ170">
            <v>122.6</v>
          </cell>
          <cell r="CR170">
            <v>122.6</v>
          </cell>
          <cell r="CS170">
            <v>122.6</v>
          </cell>
          <cell r="CT170">
            <v>122.6</v>
          </cell>
          <cell r="CU170">
            <v>122.6</v>
          </cell>
          <cell r="CV170">
            <v>122.6</v>
          </cell>
          <cell r="CW170">
            <v>122.6</v>
          </cell>
          <cell r="CY170">
            <v>122.6</v>
          </cell>
          <cell r="DA170" t="str">
            <v>mstag:minorityInterestsInShareholdersEquity</v>
          </cell>
          <cell r="DB170">
            <v>6</v>
          </cell>
          <cell r="DC170" t="str">
            <v>ISO4217:USD</v>
          </cell>
          <cell r="DD170" t="b">
            <v>0</v>
          </cell>
        </row>
        <row r="172">
          <cell r="A172" t="str">
            <v>Stockholders' Equity</v>
          </cell>
          <cell r="BZ172" t="str">
            <v>Stockholders' Equity</v>
          </cell>
        </row>
        <row r="173">
          <cell r="A173" t="str">
            <v>Common Stock</v>
          </cell>
          <cell r="D173">
            <v>1.7</v>
          </cell>
          <cell r="E173">
            <v>1.7</v>
          </cell>
          <cell r="F173">
            <v>1.7</v>
          </cell>
          <cell r="G173">
            <v>1.7</v>
          </cell>
          <cell r="H173">
            <v>1.7</v>
          </cell>
          <cell r="I173">
            <v>3.4</v>
          </cell>
          <cell r="J173">
            <v>1.7</v>
          </cell>
          <cell r="K173">
            <v>3.4</v>
          </cell>
          <cell r="L173">
            <v>3.4</v>
          </cell>
          <cell r="M173">
            <v>3.4</v>
          </cell>
          <cell r="N173">
            <v>3.4</v>
          </cell>
          <cell r="O173">
            <v>3.4</v>
          </cell>
          <cell r="P173">
            <v>3.4</v>
          </cell>
          <cell r="Q173">
            <v>3.4</v>
          </cell>
          <cell r="R173">
            <v>3.4</v>
          </cell>
          <cell r="S173">
            <v>3.4</v>
          </cell>
          <cell r="T173">
            <v>3.4</v>
          </cell>
          <cell r="U173">
            <v>3.4</v>
          </cell>
          <cell r="V173">
            <v>3.4</v>
          </cell>
          <cell r="W173">
            <v>3.4</v>
          </cell>
          <cell r="X173">
            <v>3.4</v>
          </cell>
          <cell r="Y173">
            <v>3.4</v>
          </cell>
          <cell r="Z173">
            <v>3.4</v>
          </cell>
          <cell r="AA173">
            <v>3.4</v>
          </cell>
          <cell r="AB173">
            <v>3.4</v>
          </cell>
          <cell r="AC173">
            <v>3.4</v>
          </cell>
          <cell r="AD173">
            <v>3.4</v>
          </cell>
          <cell r="AE173">
            <v>3.4</v>
          </cell>
          <cell r="AF173">
            <v>3.4</v>
          </cell>
          <cell r="AG173">
            <v>3.4</v>
          </cell>
          <cell r="AH173">
            <v>3.4</v>
          </cell>
          <cell r="AI173">
            <v>3.4</v>
          </cell>
          <cell r="AJ173">
            <v>3.4</v>
          </cell>
          <cell r="AK173">
            <v>3.4</v>
          </cell>
          <cell r="AL173">
            <v>3.4</v>
          </cell>
          <cell r="AM173">
            <v>3.4</v>
          </cell>
          <cell r="AN173">
            <v>3.4</v>
          </cell>
          <cell r="AO173">
            <v>3.4</v>
          </cell>
          <cell r="AP173">
            <v>3.4</v>
          </cell>
          <cell r="AQ173">
            <v>3.4</v>
          </cell>
          <cell r="AR173">
            <v>3.4</v>
          </cell>
          <cell r="AS173">
            <v>3.4</v>
          </cell>
          <cell r="AT173">
            <v>3.4</v>
          </cell>
          <cell r="AU173">
            <v>3.4</v>
          </cell>
          <cell r="AV173">
            <v>3.4</v>
          </cell>
          <cell r="AW173">
            <v>3.4</v>
          </cell>
          <cell r="AX173">
            <v>3.4</v>
          </cell>
          <cell r="AY173">
            <v>3.4</v>
          </cell>
          <cell r="AZ173">
            <v>3.4</v>
          </cell>
          <cell r="BA173">
            <v>3.4</v>
          </cell>
          <cell r="BB173">
            <v>3.4</v>
          </cell>
          <cell r="BC173">
            <v>3.4</v>
          </cell>
          <cell r="BD173">
            <v>3.4</v>
          </cell>
          <cell r="BE173">
            <v>3.4</v>
          </cell>
          <cell r="BF173">
            <v>3.4</v>
          </cell>
          <cell r="BG173">
            <v>3.4</v>
          </cell>
          <cell r="BH173">
            <v>3.4</v>
          </cell>
          <cell r="BI173">
            <v>3.4</v>
          </cell>
          <cell r="BJ173">
            <v>3.4</v>
          </cell>
          <cell r="BK173">
            <v>3.4</v>
          </cell>
          <cell r="BL173">
            <v>3.4</v>
          </cell>
          <cell r="BM173">
            <v>3.4</v>
          </cell>
          <cell r="BN173">
            <v>3.4</v>
          </cell>
          <cell r="BO173">
            <v>3.4</v>
          </cell>
          <cell r="BP173">
            <v>3.4</v>
          </cell>
          <cell r="BQ173">
            <v>3.4</v>
          </cell>
          <cell r="BR173">
            <v>3.4</v>
          </cell>
          <cell r="BS173">
            <v>3.4</v>
          </cell>
          <cell r="BT173">
            <v>3.4</v>
          </cell>
          <cell r="BU173">
            <v>3.4</v>
          </cell>
          <cell r="BZ173" t="str">
            <v>Common Stock</v>
          </cell>
          <cell r="CB173">
            <v>1.7</v>
          </cell>
          <cell r="CC173">
            <v>1.7</v>
          </cell>
          <cell r="CD173">
            <v>1.7</v>
          </cell>
          <cell r="CE173">
            <v>1.7</v>
          </cell>
          <cell r="CF173">
            <v>1.7</v>
          </cell>
          <cell r="CG173">
            <v>3.4</v>
          </cell>
          <cell r="CH173">
            <v>3.4</v>
          </cell>
          <cell r="CI173">
            <v>3.4</v>
          </cell>
          <cell r="CJ173">
            <v>3.4</v>
          </cell>
          <cell r="CK173">
            <v>3.4</v>
          </cell>
          <cell r="CL173">
            <v>3.4</v>
          </cell>
          <cell r="CM173">
            <v>3.4</v>
          </cell>
          <cell r="CN173">
            <v>3.4</v>
          </cell>
          <cell r="CO173">
            <v>3.4</v>
          </cell>
          <cell r="CP173">
            <v>3.4</v>
          </cell>
          <cell r="CQ173">
            <v>3.4</v>
          </cell>
          <cell r="CR173">
            <v>3.4</v>
          </cell>
          <cell r="CS173">
            <v>3.4</v>
          </cell>
          <cell r="CT173">
            <v>3.4</v>
          </cell>
          <cell r="CU173">
            <v>3.4</v>
          </cell>
          <cell r="CV173">
            <v>3.4</v>
          </cell>
          <cell r="CW173">
            <v>3.4</v>
          </cell>
          <cell r="CY173">
            <v>3.4</v>
          </cell>
          <cell r="DA173" t="str">
            <v>mstag:commonStock</v>
          </cell>
          <cell r="DB173">
            <v>6</v>
          </cell>
          <cell r="DC173" t="str">
            <v>ISO4217:USD</v>
          </cell>
          <cell r="DD173" t="b">
            <v>0</v>
          </cell>
        </row>
        <row r="174">
          <cell r="A174" t="str">
            <v xml:space="preserve">Additional paid-in Capital </v>
          </cell>
          <cell r="D174">
            <v>0</v>
          </cell>
          <cell r="E174">
            <v>7.9</v>
          </cell>
          <cell r="F174">
            <v>43.7</v>
          </cell>
          <cell r="G174">
            <v>45.5</v>
          </cell>
          <cell r="H174">
            <v>76.400000000000006</v>
          </cell>
          <cell r="I174">
            <v>142.30000000000001</v>
          </cell>
          <cell r="J174">
            <v>177.8</v>
          </cell>
          <cell r="K174">
            <v>198.4</v>
          </cell>
          <cell r="L174">
            <v>219.6</v>
          </cell>
          <cell r="M174">
            <v>240.9</v>
          </cell>
          <cell r="N174">
            <v>240.9</v>
          </cell>
          <cell r="O174">
            <v>277.7</v>
          </cell>
          <cell r="P174">
            <v>303.3</v>
          </cell>
          <cell r="Q174">
            <v>322.8</v>
          </cell>
          <cell r="R174">
            <v>345.7</v>
          </cell>
          <cell r="S174">
            <v>345.7</v>
          </cell>
          <cell r="T174">
            <v>354.7</v>
          </cell>
          <cell r="U174">
            <v>380.6</v>
          </cell>
          <cell r="V174">
            <v>378.9</v>
          </cell>
          <cell r="W174">
            <v>387.9</v>
          </cell>
          <cell r="X174">
            <v>387.9</v>
          </cell>
          <cell r="Y174">
            <v>364.8</v>
          </cell>
          <cell r="Z174">
            <v>372.7</v>
          </cell>
          <cell r="AA174">
            <v>379.6</v>
          </cell>
          <cell r="AB174">
            <v>392.7</v>
          </cell>
          <cell r="AC174">
            <v>392.7</v>
          </cell>
          <cell r="AD174">
            <v>376.9</v>
          </cell>
          <cell r="AE174">
            <v>380.7</v>
          </cell>
          <cell r="AF174">
            <v>387.6</v>
          </cell>
          <cell r="AG174">
            <v>391.1</v>
          </cell>
          <cell r="AH174">
            <v>391.1</v>
          </cell>
          <cell r="AI174">
            <v>364.3</v>
          </cell>
          <cell r="AJ174">
            <v>372.7</v>
          </cell>
          <cell r="AK174">
            <v>384.1</v>
          </cell>
          <cell r="AL174">
            <v>391.5</v>
          </cell>
          <cell r="AM174">
            <v>391.5</v>
          </cell>
          <cell r="AN174">
            <v>367.2</v>
          </cell>
          <cell r="AO174">
            <v>369.1</v>
          </cell>
          <cell r="AP174">
            <v>386.7</v>
          </cell>
          <cell r="AQ174">
            <v>394.5</v>
          </cell>
          <cell r="AR174">
            <v>394.5</v>
          </cell>
          <cell r="AS174">
            <v>357</v>
          </cell>
          <cell r="AT174">
            <v>367.8</v>
          </cell>
          <cell r="AU174">
            <v>375.5</v>
          </cell>
          <cell r="AV174">
            <v>365.1</v>
          </cell>
          <cell r="AW174">
            <v>365.1</v>
          </cell>
          <cell r="AX174">
            <v>342.8</v>
          </cell>
          <cell r="AY174">
            <v>358.7</v>
          </cell>
          <cell r="AZ174">
            <v>377.1</v>
          </cell>
          <cell r="BA174">
            <v>405.8</v>
          </cell>
          <cell r="BB174">
            <v>405.8</v>
          </cell>
          <cell r="BC174">
            <v>371.2</v>
          </cell>
          <cell r="BD174">
            <v>385</v>
          </cell>
          <cell r="BE174">
            <v>401.62164046479677</v>
          </cell>
          <cell r="BF174">
            <v>420.0467380203861</v>
          </cell>
          <cell r="BG174">
            <v>420.0467380203861</v>
          </cell>
          <cell r="BH174">
            <v>438.13787600313231</v>
          </cell>
          <cell r="BI174">
            <v>458.58494909071811</v>
          </cell>
          <cell r="BJ174">
            <v>475.9618838197149</v>
          </cell>
          <cell r="BK174">
            <v>495.23941589278735</v>
          </cell>
          <cell r="BL174">
            <v>495.23941589278735</v>
          </cell>
          <cell r="BM174">
            <v>514.1380498405839</v>
          </cell>
          <cell r="BN174">
            <v>535.44058774006078</v>
          </cell>
          <cell r="BO174">
            <v>553.63385175134044</v>
          </cell>
          <cell r="BP174">
            <v>573.83530817242763</v>
          </cell>
          <cell r="BQ174">
            <v>573.83530817242763</v>
          </cell>
          <cell r="BR174">
            <v>655.54816566118268</v>
          </cell>
          <cell r="BS174">
            <v>740.63803108665752</v>
          </cell>
          <cell r="BT174">
            <v>829.39126833443686</v>
          </cell>
          <cell r="BU174">
            <v>922.1233873288993</v>
          </cell>
          <cell r="BZ174" t="str">
            <v xml:space="preserve">Additional paid-in Capital </v>
          </cell>
          <cell r="CB174">
            <v>0</v>
          </cell>
          <cell r="CC174">
            <v>7.9</v>
          </cell>
          <cell r="CD174">
            <v>43.7</v>
          </cell>
          <cell r="CE174">
            <v>45.5</v>
          </cell>
          <cell r="CF174">
            <v>76.400000000000006</v>
          </cell>
          <cell r="CG174">
            <v>142.30000000000001</v>
          </cell>
          <cell r="CH174">
            <v>240.9</v>
          </cell>
          <cell r="CI174">
            <v>345.7</v>
          </cell>
          <cell r="CJ174">
            <v>387.9</v>
          </cell>
          <cell r="CK174">
            <v>392.7</v>
          </cell>
          <cell r="CL174">
            <v>391.1</v>
          </cell>
          <cell r="CM174">
            <v>391.5</v>
          </cell>
          <cell r="CN174">
            <v>394.5</v>
          </cell>
          <cell r="CO174">
            <v>365.1</v>
          </cell>
          <cell r="CP174">
            <v>405.8</v>
          </cell>
          <cell r="CQ174">
            <v>420.0467380203861</v>
          </cell>
          <cell r="CR174">
            <v>495.23941589278735</v>
          </cell>
          <cell r="CS174">
            <v>573.83530817242763</v>
          </cell>
          <cell r="CT174">
            <v>655.54816566118268</v>
          </cell>
          <cell r="CU174">
            <v>740.63803108665752</v>
          </cell>
          <cell r="CV174">
            <v>829.39126833443686</v>
          </cell>
          <cell r="CW174">
            <v>922.1233873288993</v>
          </cell>
          <cell r="CY174">
            <v>458.58494909071811</v>
          </cell>
          <cell r="DA174" t="str">
            <v>mstag:additionalPaidInCapital</v>
          </cell>
          <cell r="DB174">
            <v>6</v>
          </cell>
          <cell r="DC174" t="str">
            <v>ISO4217:USD</v>
          </cell>
          <cell r="DD174" t="b">
            <v>0</v>
          </cell>
        </row>
        <row r="175">
          <cell r="A175" t="str">
            <v xml:space="preserve">Retained Earnings </v>
          </cell>
          <cell r="D175">
            <v>-222.4</v>
          </cell>
          <cell r="E175">
            <v>-223.2</v>
          </cell>
          <cell r="F175">
            <v>-39.299999999999997</v>
          </cell>
          <cell r="G175">
            <v>221.8</v>
          </cell>
          <cell r="H175">
            <v>558.9</v>
          </cell>
          <cell r="I175">
            <v>939.3</v>
          </cell>
          <cell r="J175">
            <v>1046.8</v>
          </cell>
          <cell r="K175">
            <v>1175.5</v>
          </cell>
          <cell r="L175">
            <v>1305.5999999999999</v>
          </cell>
          <cell r="M175">
            <v>1419.2</v>
          </cell>
          <cell r="N175">
            <v>1419.2</v>
          </cell>
          <cell r="O175">
            <v>1565.4</v>
          </cell>
          <cell r="P175">
            <v>1717.5</v>
          </cell>
          <cell r="Q175">
            <v>1854.8</v>
          </cell>
          <cell r="R175">
            <v>2091.4</v>
          </cell>
          <cell r="S175">
            <v>2091.4</v>
          </cell>
          <cell r="T175">
            <v>2223.4</v>
          </cell>
          <cell r="U175">
            <v>2463.6999999999998</v>
          </cell>
          <cell r="V175">
            <v>2579.5</v>
          </cell>
          <cell r="W175">
            <v>2661.1</v>
          </cell>
          <cell r="X175">
            <v>2661.1</v>
          </cell>
          <cell r="Y175">
            <v>2782.2</v>
          </cell>
          <cell r="Z175">
            <v>2892.9</v>
          </cell>
          <cell r="AA175">
            <v>2981.7</v>
          </cell>
          <cell r="AB175">
            <v>3023.2</v>
          </cell>
          <cell r="AC175">
            <v>3023.2</v>
          </cell>
          <cell r="AD175">
            <v>3113.5</v>
          </cell>
          <cell r="AE175">
            <v>3199</v>
          </cell>
          <cell r="AF175">
            <v>3275.8</v>
          </cell>
          <cell r="AG175">
            <v>3329</v>
          </cell>
          <cell r="AH175">
            <v>3329</v>
          </cell>
          <cell r="AI175">
            <v>3442.6</v>
          </cell>
          <cell r="AJ175">
            <v>3538.9</v>
          </cell>
          <cell r="AK175">
            <v>3650.1</v>
          </cell>
          <cell r="AL175">
            <v>3736.2</v>
          </cell>
          <cell r="AM175">
            <v>3736.2</v>
          </cell>
          <cell r="AN175">
            <v>3892.1</v>
          </cell>
          <cell r="AO175">
            <v>4048.8</v>
          </cell>
          <cell r="AP175">
            <v>4147.3999999999996</v>
          </cell>
          <cell r="AQ175">
            <v>4176.1000000000004</v>
          </cell>
          <cell r="AR175">
            <v>4176.1000000000004</v>
          </cell>
          <cell r="AS175">
            <v>4350</v>
          </cell>
          <cell r="AT175">
            <v>4486.3</v>
          </cell>
          <cell r="AU175">
            <v>4634.1000000000004</v>
          </cell>
          <cell r="AV175">
            <v>4713.3</v>
          </cell>
          <cell r="AW175">
            <v>4713.3</v>
          </cell>
          <cell r="AX175">
            <v>4902.2</v>
          </cell>
          <cell r="AY175">
            <v>5082.1000000000004</v>
          </cell>
          <cell r="AZ175">
            <v>5210.6000000000004</v>
          </cell>
          <cell r="BA175">
            <v>5302.1</v>
          </cell>
          <cell r="BB175">
            <v>5302.1</v>
          </cell>
          <cell r="BC175">
            <v>5521.9</v>
          </cell>
          <cell r="BD175">
            <v>5780.7</v>
          </cell>
          <cell r="BE175">
            <v>5897.5834260333095</v>
          </cell>
          <cell r="BF175">
            <v>6035.1041038337926</v>
          </cell>
          <cell r="BG175">
            <v>6035.1041038337926</v>
          </cell>
          <cell r="BH175">
            <v>6163.6500500225966</v>
          </cell>
          <cell r="BI175">
            <v>6323.4163969331184</v>
          </cell>
          <cell r="BJ175">
            <v>6440.931809956056</v>
          </cell>
          <cell r="BK175">
            <v>6579.571101831637</v>
          </cell>
          <cell r="BL175">
            <v>6579.571101831637</v>
          </cell>
          <cell r="BM175">
            <v>6709.5123921262857</v>
          </cell>
          <cell r="BN175">
            <v>6871.5277259815612</v>
          </cell>
          <cell r="BO175">
            <v>6991.1747283179038</v>
          </cell>
          <cell r="BP175">
            <v>7133.0943814062266</v>
          </cell>
          <cell r="BQ175">
            <v>7133.0943814062266</v>
          </cell>
          <cell r="BR175">
            <v>7721.9956114196011</v>
          </cell>
          <cell r="BS175">
            <v>8358.9292434715135</v>
          </cell>
          <cell r="BT175">
            <v>9048.2792305813437</v>
          </cell>
          <cell r="BU175">
            <v>9794.8054844505605</v>
          </cell>
          <cell r="BZ175" t="str">
            <v xml:space="preserve">Retained Earnings </v>
          </cell>
          <cell r="CB175">
            <v>-222.4</v>
          </cell>
          <cell r="CC175">
            <v>-223.2</v>
          </cell>
          <cell r="CD175">
            <v>-39.299999999999997</v>
          </cell>
          <cell r="CE175">
            <v>221.8</v>
          </cell>
          <cell r="CF175">
            <v>558.9</v>
          </cell>
          <cell r="CG175">
            <v>939.3</v>
          </cell>
          <cell r="CH175">
            <v>1419.2</v>
          </cell>
          <cell r="CI175">
            <v>2091.4</v>
          </cell>
          <cell r="CJ175">
            <v>2661.1</v>
          </cell>
          <cell r="CK175">
            <v>3023.2</v>
          </cell>
          <cell r="CL175">
            <v>3329</v>
          </cell>
          <cell r="CM175">
            <v>3736.2</v>
          </cell>
          <cell r="CN175">
            <v>4176.1000000000004</v>
          </cell>
          <cell r="CO175">
            <v>4713.3</v>
          </cell>
          <cell r="CP175">
            <v>5302.1</v>
          </cell>
          <cell r="CQ175">
            <v>6035.1041038337926</v>
          </cell>
          <cell r="CR175">
            <v>6579.571101831637</v>
          </cell>
          <cell r="CS175">
            <v>7133.0943814062266</v>
          </cell>
          <cell r="CT175">
            <v>7721.9956114196011</v>
          </cell>
          <cell r="CU175">
            <v>8358.9292434715135</v>
          </cell>
          <cell r="CV175">
            <v>9048.2792305813437</v>
          </cell>
          <cell r="CW175">
            <v>9794.8054844505605</v>
          </cell>
          <cell r="CY175">
            <v>6323.4163969331184</v>
          </cell>
          <cell r="DA175" t="str">
            <v>mstag:retainedEarnings</v>
          </cell>
          <cell r="DB175">
            <v>6</v>
          </cell>
          <cell r="DC175" t="str">
            <v>ISO4217:USD</v>
          </cell>
          <cell r="DD175" t="b">
            <v>0</v>
          </cell>
        </row>
        <row r="176">
          <cell r="A176" t="str">
            <v>Treasury stock</v>
          </cell>
          <cell r="D176">
            <v>0</v>
          </cell>
          <cell r="E176">
            <v>-67</v>
          </cell>
          <cell r="F176">
            <v>-307.5</v>
          </cell>
          <cell r="G176">
            <v>-597.70000000000005</v>
          </cell>
          <cell r="H176">
            <v>-677.2</v>
          </cell>
          <cell r="I176">
            <v>-777.2</v>
          </cell>
          <cell r="J176">
            <v>-739.5</v>
          </cell>
          <cell r="K176">
            <v>-737.4</v>
          </cell>
          <cell r="L176">
            <v>-1029.8</v>
          </cell>
          <cell r="M176">
            <v>-1353.2</v>
          </cell>
          <cell r="N176">
            <v>-1353.2</v>
          </cell>
          <cell r="O176">
            <v>-1464.6</v>
          </cell>
          <cell r="P176">
            <v>-2011.1</v>
          </cell>
          <cell r="Q176">
            <v>-2152.1</v>
          </cell>
          <cell r="R176">
            <v>-2264.6999999999998</v>
          </cell>
          <cell r="S176">
            <v>-2264.6999999999998</v>
          </cell>
          <cell r="T176">
            <v>-2643.7</v>
          </cell>
          <cell r="U176">
            <v>-3110</v>
          </cell>
          <cell r="V176">
            <v>-3572.3</v>
          </cell>
          <cell r="W176">
            <v>-3851.6</v>
          </cell>
          <cell r="X176">
            <v>-3851.6</v>
          </cell>
          <cell r="Y176">
            <v>-4081.2</v>
          </cell>
          <cell r="Z176">
            <v>-4117.8999999999996</v>
          </cell>
          <cell r="AA176">
            <v>-4246.8999999999996</v>
          </cell>
          <cell r="AB176">
            <v>-4361.6000000000004</v>
          </cell>
          <cell r="AC176">
            <v>-4361.6000000000004</v>
          </cell>
          <cell r="AD176">
            <v>-4336.1000000000004</v>
          </cell>
          <cell r="AE176">
            <v>-4310.3</v>
          </cell>
          <cell r="AF176">
            <v>-4304.5</v>
          </cell>
          <cell r="AG176">
            <v>-4288.5</v>
          </cell>
          <cell r="AH176">
            <v>-4288.5</v>
          </cell>
          <cell r="AI176">
            <v>-4266.2</v>
          </cell>
          <cell r="AJ176">
            <v>-4331.8</v>
          </cell>
          <cell r="AK176">
            <v>-4320.7</v>
          </cell>
          <cell r="AL176">
            <v>-4407.3</v>
          </cell>
          <cell r="AM176">
            <v>-4407.3</v>
          </cell>
          <cell r="AN176">
            <v>-4485.2</v>
          </cell>
          <cell r="AO176">
            <v>-4448.8999999999996</v>
          </cell>
          <cell r="AP176">
            <v>-4651</v>
          </cell>
          <cell r="AQ176">
            <v>-4635.5</v>
          </cell>
          <cell r="AR176">
            <v>-4635.5</v>
          </cell>
          <cell r="AS176">
            <v>-4549</v>
          </cell>
          <cell r="AT176">
            <v>-4637.6000000000004</v>
          </cell>
          <cell r="AU176">
            <v>-4615.6000000000004</v>
          </cell>
          <cell r="AV176">
            <v>-4614.5</v>
          </cell>
          <cell r="AW176">
            <v>-4614.5</v>
          </cell>
          <cell r="AX176">
            <v>-4652.5</v>
          </cell>
          <cell r="AY176">
            <v>-4846.7</v>
          </cell>
          <cell r="AZ176">
            <v>-5209.3999999999996</v>
          </cell>
          <cell r="BA176">
            <v>-5319.7</v>
          </cell>
          <cell r="BB176">
            <v>-5319.7</v>
          </cell>
          <cell r="BC176">
            <v>-5449.9</v>
          </cell>
          <cell r="BD176">
            <v>-5676.4</v>
          </cell>
          <cell r="BE176">
            <v>-5946.5499999999993</v>
          </cell>
          <cell r="BF176">
            <v>-6216.6999999999989</v>
          </cell>
          <cell r="BG176">
            <v>-6216.6999999999989</v>
          </cell>
          <cell r="BH176">
            <v>-6341.6999999999989</v>
          </cell>
          <cell r="BI176">
            <v>-6466.6999999999989</v>
          </cell>
          <cell r="BJ176">
            <v>-6591.6999999999989</v>
          </cell>
          <cell r="BK176">
            <v>-6716.6999999999989</v>
          </cell>
          <cell r="BL176">
            <v>-6716.6999999999989</v>
          </cell>
          <cell r="BM176">
            <v>-6966.6999999999989</v>
          </cell>
          <cell r="BN176">
            <v>-7216.6999999999989</v>
          </cell>
          <cell r="BO176">
            <v>-7466.6999999999989</v>
          </cell>
          <cell r="BP176">
            <v>-7716.6999999999989</v>
          </cell>
          <cell r="BQ176">
            <v>-7716.6999999999989</v>
          </cell>
          <cell r="BR176">
            <v>-8716.6999999999989</v>
          </cell>
          <cell r="BS176">
            <v>-9716.6999999999989</v>
          </cell>
          <cell r="BT176">
            <v>-10716.699999999999</v>
          </cell>
          <cell r="BU176">
            <v>-11716.699999999999</v>
          </cell>
          <cell r="BZ176" t="str">
            <v>Treasury stock</v>
          </cell>
          <cell r="CB176">
            <v>0</v>
          </cell>
          <cell r="CC176">
            <v>-67</v>
          </cell>
          <cell r="CD176">
            <v>-307.5</v>
          </cell>
          <cell r="CE176">
            <v>-597.70000000000005</v>
          </cell>
          <cell r="CF176">
            <v>-677.2</v>
          </cell>
          <cell r="CG176">
            <v>-777.2</v>
          </cell>
          <cell r="CH176">
            <v>-1353.2</v>
          </cell>
          <cell r="CI176">
            <v>-2264.6999999999998</v>
          </cell>
          <cell r="CJ176">
            <v>-3851.6</v>
          </cell>
          <cell r="CK176">
            <v>-4361.6000000000004</v>
          </cell>
          <cell r="CL176">
            <v>-4288.5</v>
          </cell>
          <cell r="CM176">
            <v>-4407.3</v>
          </cell>
          <cell r="CN176">
            <v>-4635.5</v>
          </cell>
          <cell r="CO176">
            <v>-4614.5</v>
          </cell>
          <cell r="CP176">
            <v>-5319.7</v>
          </cell>
          <cell r="CQ176">
            <v>-6216.6999999999989</v>
          </cell>
          <cell r="CR176">
            <v>-6716.6999999999989</v>
          </cell>
          <cell r="CS176">
            <v>-7716.6999999999989</v>
          </cell>
          <cell r="CT176">
            <v>-8716.6999999999989</v>
          </cell>
          <cell r="CU176">
            <v>-9716.6999999999989</v>
          </cell>
          <cell r="CV176">
            <v>-10716.699999999999</v>
          </cell>
          <cell r="CW176">
            <v>-11716.699999999999</v>
          </cell>
          <cell r="CY176">
            <v>-6466.6999999999989</v>
          </cell>
          <cell r="DA176" t="str">
            <v>mstag:treasuryStockAndInvestmentInOwnShares</v>
          </cell>
          <cell r="DB176">
            <v>6</v>
          </cell>
          <cell r="DC176" t="str">
            <v>ISO4217:USD</v>
          </cell>
          <cell r="DD176" t="b">
            <v>1</v>
          </cell>
        </row>
        <row r="177">
          <cell r="A177" t="str">
            <v xml:space="preserve">Accumulated Other Comprehensive Income (Loss) </v>
          </cell>
          <cell r="D177">
            <v>-2.4</v>
          </cell>
          <cell r="E177">
            <v>-1.9</v>
          </cell>
          <cell r="F177">
            <v>-2.7</v>
          </cell>
          <cell r="G177">
            <v>1.7</v>
          </cell>
          <cell r="H177">
            <v>8.1</v>
          </cell>
          <cell r="I177">
            <v>9.6999999999999993</v>
          </cell>
          <cell r="J177">
            <v>8</v>
          </cell>
          <cell r="K177">
            <v>2.2000000000000002</v>
          </cell>
          <cell r="L177">
            <v>-1.2</v>
          </cell>
          <cell r="M177">
            <v>-0.9</v>
          </cell>
          <cell r="N177">
            <v>-0.9</v>
          </cell>
          <cell r="O177">
            <v>0.3</v>
          </cell>
          <cell r="P177">
            <v>7.5</v>
          </cell>
          <cell r="Q177">
            <v>9.8000000000000007</v>
          </cell>
          <cell r="R177">
            <v>-8.4</v>
          </cell>
          <cell r="S177">
            <v>-8.4</v>
          </cell>
          <cell r="T177">
            <v>-7.9</v>
          </cell>
          <cell r="U177">
            <v>-3.6</v>
          </cell>
          <cell r="V177">
            <v>1</v>
          </cell>
          <cell r="W177">
            <v>15.6</v>
          </cell>
          <cell r="X177">
            <v>15.6</v>
          </cell>
          <cell r="Y177">
            <v>27.8</v>
          </cell>
          <cell r="Z177">
            <v>27.1</v>
          </cell>
          <cell r="AA177">
            <v>-11.6</v>
          </cell>
          <cell r="AB177">
            <v>-52.1</v>
          </cell>
          <cell r="AC177">
            <v>-52.1</v>
          </cell>
          <cell r="AD177">
            <v>-82.6</v>
          </cell>
          <cell r="AE177">
            <v>-30.1</v>
          </cell>
          <cell r="AF177">
            <v>-19.2</v>
          </cell>
          <cell r="AG177">
            <v>-41.2</v>
          </cell>
          <cell r="AH177">
            <v>-41.2</v>
          </cell>
          <cell r="AI177">
            <v>-85.7</v>
          </cell>
          <cell r="AJ177">
            <v>-83.3</v>
          </cell>
          <cell r="AK177">
            <v>-24.6</v>
          </cell>
          <cell r="AL177">
            <v>-33.4</v>
          </cell>
          <cell r="AM177">
            <v>-33.4</v>
          </cell>
          <cell r="AN177">
            <v>-9.4</v>
          </cell>
          <cell r="AO177">
            <v>1.5</v>
          </cell>
          <cell r="AP177">
            <v>-70.5</v>
          </cell>
          <cell r="AQ177">
            <v>-107.5</v>
          </cell>
          <cell r="AR177">
            <v>-107.5</v>
          </cell>
          <cell r="AS177">
            <v>-78.7</v>
          </cell>
          <cell r="AT177">
            <v>-120.8</v>
          </cell>
          <cell r="AU177">
            <v>-85.8</v>
          </cell>
          <cell r="AV177">
            <v>-82.1</v>
          </cell>
          <cell r="AW177">
            <v>-82.1</v>
          </cell>
          <cell r="AX177">
            <v>-138.80000000000001</v>
          </cell>
          <cell r="AY177">
            <v>-149.9</v>
          </cell>
          <cell r="AZ177">
            <v>-100.2</v>
          </cell>
          <cell r="BA177">
            <v>-54.6</v>
          </cell>
          <cell r="BB177">
            <v>-54.6</v>
          </cell>
          <cell r="BC177">
            <v>-61.3</v>
          </cell>
          <cell r="BD177">
            <v>-47.3</v>
          </cell>
          <cell r="BE177">
            <v>-47.3</v>
          </cell>
          <cell r="BF177">
            <v>-47.3</v>
          </cell>
          <cell r="BG177">
            <v>-47.3</v>
          </cell>
          <cell r="BH177">
            <v>-47.3</v>
          </cell>
          <cell r="BI177">
            <v>-47.3</v>
          </cell>
          <cell r="BJ177">
            <v>-47.3</v>
          </cell>
          <cell r="BK177">
            <v>-47.3</v>
          </cell>
          <cell r="BL177">
            <v>-47.3</v>
          </cell>
          <cell r="BM177">
            <v>-47.3</v>
          </cell>
          <cell r="BN177">
            <v>-47.3</v>
          </cell>
          <cell r="BO177">
            <v>-47.3</v>
          </cell>
          <cell r="BP177">
            <v>-47.3</v>
          </cell>
          <cell r="BQ177">
            <v>-47.3</v>
          </cell>
          <cell r="BR177">
            <v>-47.3</v>
          </cell>
          <cell r="BS177">
            <v>-47.3</v>
          </cell>
          <cell r="BT177">
            <v>-47.3</v>
          </cell>
          <cell r="BU177">
            <v>-47.3</v>
          </cell>
          <cell r="BZ177" t="str">
            <v xml:space="preserve">Accumulated Other Comprehensive Income (Loss) </v>
          </cell>
          <cell r="CB177">
            <v>-2.4</v>
          </cell>
          <cell r="CC177">
            <v>-1.9</v>
          </cell>
          <cell r="CD177">
            <v>-2.7</v>
          </cell>
          <cell r="CE177">
            <v>1.7</v>
          </cell>
          <cell r="CF177">
            <v>8.1</v>
          </cell>
          <cell r="CG177">
            <v>9.6999999999999993</v>
          </cell>
          <cell r="CH177">
            <v>-0.9</v>
          </cell>
          <cell r="CI177">
            <v>-8.4</v>
          </cell>
          <cell r="CJ177">
            <v>15.6</v>
          </cell>
          <cell r="CK177">
            <v>-52.1</v>
          </cell>
          <cell r="CL177">
            <v>-41.2</v>
          </cell>
          <cell r="CM177">
            <v>-33.4</v>
          </cell>
          <cell r="CN177">
            <v>-107.5</v>
          </cell>
          <cell r="CO177">
            <v>-82.1</v>
          </cell>
          <cell r="CP177">
            <v>-54.6</v>
          </cell>
          <cell r="CQ177">
            <v>-47.3</v>
          </cell>
          <cell r="CR177">
            <v>-47.3</v>
          </cell>
          <cell r="CS177">
            <v>-47.3</v>
          </cell>
          <cell r="CT177">
            <v>-47.3</v>
          </cell>
          <cell r="CU177">
            <v>-47.3</v>
          </cell>
          <cell r="CV177">
            <v>-47.3</v>
          </cell>
          <cell r="CW177">
            <v>-47.3</v>
          </cell>
          <cell r="CY177">
            <v>-47.3</v>
          </cell>
          <cell r="DA177" t="str">
            <v>mstag:accumulatedOtherComprehensiveIncomeLossAndReserves</v>
          </cell>
          <cell r="DB177">
            <v>6</v>
          </cell>
          <cell r="DC177" t="str">
            <v>ISO4217:USD</v>
          </cell>
          <cell r="DD177" t="b">
            <v>0</v>
          </cell>
        </row>
        <row r="178">
          <cell r="C178" t="str">
            <v xml:space="preserve">______ </v>
          </cell>
          <cell r="D178" t="str">
            <v xml:space="preserve">______ </v>
          </cell>
          <cell r="E178" t="str">
            <v xml:space="preserve">______ </v>
          </cell>
          <cell r="F178" t="str">
            <v xml:space="preserve">______ </v>
          </cell>
          <cell r="G178" t="str">
            <v xml:space="preserve">______ </v>
          </cell>
          <cell r="H178" t="str">
            <v xml:space="preserve">______ </v>
          </cell>
          <cell r="I178" t="str">
            <v xml:space="preserve">______ </v>
          </cell>
          <cell r="J178" t="str">
            <v xml:space="preserve">______ </v>
          </cell>
          <cell r="K178" t="str">
            <v xml:space="preserve">______ </v>
          </cell>
          <cell r="L178" t="str">
            <v xml:space="preserve">______ </v>
          </cell>
          <cell r="M178" t="str">
            <v xml:space="preserve">______ </v>
          </cell>
          <cell r="N178" t="str">
            <v xml:space="preserve">______ </v>
          </cell>
          <cell r="O178" t="str">
            <v xml:space="preserve">______ </v>
          </cell>
          <cell r="P178" t="str">
            <v xml:space="preserve">______ </v>
          </cell>
          <cell r="Q178" t="str">
            <v xml:space="preserve">______ </v>
          </cell>
          <cell r="R178" t="str">
            <v xml:space="preserve">______ </v>
          </cell>
          <cell r="S178" t="str">
            <v xml:space="preserve">______ </v>
          </cell>
          <cell r="T178" t="str">
            <v xml:space="preserve">______ </v>
          </cell>
          <cell r="U178" t="str">
            <v xml:space="preserve">______ </v>
          </cell>
          <cell r="V178" t="str">
            <v xml:space="preserve">______ </v>
          </cell>
          <cell r="W178" t="str">
            <v xml:space="preserve">______ </v>
          </cell>
          <cell r="X178" t="str">
            <v xml:space="preserve">______ </v>
          </cell>
          <cell r="Y178" t="str">
            <v xml:space="preserve">______ </v>
          </cell>
          <cell r="Z178" t="str">
            <v xml:space="preserve">______ </v>
          </cell>
          <cell r="AA178" t="str">
            <v xml:space="preserve">______ </v>
          </cell>
          <cell r="AB178" t="str">
            <v xml:space="preserve">______ </v>
          </cell>
          <cell r="AC178" t="str">
            <v xml:space="preserve">______ </v>
          </cell>
          <cell r="AD178" t="str">
            <v xml:space="preserve">______ </v>
          </cell>
          <cell r="AE178" t="str">
            <v xml:space="preserve">______ </v>
          </cell>
          <cell r="AF178" t="str">
            <v xml:space="preserve">______ </v>
          </cell>
          <cell r="AG178" t="str">
            <v xml:space="preserve">______ </v>
          </cell>
          <cell r="AH178" t="str">
            <v xml:space="preserve">______ </v>
          </cell>
          <cell r="AI178" t="str">
            <v xml:space="preserve">______ </v>
          </cell>
          <cell r="AJ178" t="str">
            <v xml:space="preserve">______ </v>
          </cell>
          <cell r="AK178" t="str">
            <v xml:space="preserve">______ </v>
          </cell>
          <cell r="AL178" t="str">
            <v xml:space="preserve">______ </v>
          </cell>
          <cell r="AM178" t="str">
            <v xml:space="preserve">______ </v>
          </cell>
          <cell r="AN178" t="str">
            <v xml:space="preserve">______ </v>
          </cell>
          <cell r="AO178" t="str">
            <v xml:space="preserve">______ </v>
          </cell>
          <cell r="AP178" t="str">
            <v xml:space="preserve">______ </v>
          </cell>
          <cell r="AQ178" t="str">
            <v xml:space="preserve">______ </v>
          </cell>
          <cell r="AR178" t="str">
            <v xml:space="preserve">______ </v>
          </cell>
          <cell r="AS178" t="str">
            <v xml:space="preserve">______ </v>
          </cell>
          <cell r="AT178" t="str">
            <v xml:space="preserve">______ </v>
          </cell>
          <cell r="AU178" t="str">
            <v xml:space="preserve">______ </v>
          </cell>
          <cell r="AV178" t="str">
            <v xml:space="preserve">______ </v>
          </cell>
          <cell r="AW178" t="str">
            <v xml:space="preserve">______ </v>
          </cell>
          <cell r="AX178" t="str">
            <v xml:space="preserve">______ </v>
          </cell>
          <cell r="AY178" t="str">
            <v xml:space="preserve">______ </v>
          </cell>
          <cell r="AZ178" t="str">
            <v xml:space="preserve">______ </v>
          </cell>
          <cell r="BA178" t="str">
            <v xml:space="preserve">______ </v>
          </cell>
          <cell r="BB178" t="str">
            <v xml:space="preserve">______ </v>
          </cell>
          <cell r="BC178" t="str">
            <v xml:space="preserve">______ </v>
          </cell>
          <cell r="BD178" t="str">
            <v xml:space="preserve">______ </v>
          </cell>
          <cell r="BE178" t="str">
            <v xml:space="preserve">______ </v>
          </cell>
          <cell r="BF178" t="str">
            <v xml:space="preserve">______ </v>
          </cell>
          <cell r="BG178" t="str">
            <v xml:space="preserve">______ </v>
          </cell>
          <cell r="BH178" t="str">
            <v xml:space="preserve">______ </v>
          </cell>
          <cell r="BI178" t="str">
            <v xml:space="preserve">______ </v>
          </cell>
          <cell r="BJ178" t="str">
            <v xml:space="preserve">______ </v>
          </cell>
          <cell r="BK178" t="str">
            <v xml:space="preserve">______ </v>
          </cell>
          <cell r="BL178" t="str">
            <v xml:space="preserve">______ </v>
          </cell>
          <cell r="BM178" t="str">
            <v xml:space="preserve">______ </v>
          </cell>
          <cell r="BN178" t="str">
            <v xml:space="preserve">______ </v>
          </cell>
          <cell r="BO178" t="str">
            <v xml:space="preserve">______ </v>
          </cell>
          <cell r="BP178" t="str">
            <v xml:space="preserve">______ </v>
          </cell>
          <cell r="BQ178" t="str">
            <v xml:space="preserve">______ </v>
          </cell>
          <cell r="BR178" t="str">
            <v xml:space="preserve">______ </v>
          </cell>
          <cell r="BS178" t="str">
            <v xml:space="preserve">______ </v>
          </cell>
          <cell r="BT178" t="str">
            <v xml:space="preserve">______ </v>
          </cell>
          <cell r="BU178" t="str">
            <v xml:space="preserve">______ </v>
          </cell>
          <cell r="CB178" t="str">
            <v xml:space="preserve">______ </v>
          </cell>
          <cell r="CC178" t="str">
            <v xml:space="preserve">______ </v>
          </cell>
          <cell r="CD178" t="str">
            <v xml:space="preserve">______ </v>
          </cell>
          <cell r="CE178" t="str">
            <v xml:space="preserve">______ </v>
          </cell>
          <cell r="CF178" t="str">
            <v xml:space="preserve">______ </v>
          </cell>
          <cell r="CG178" t="str">
            <v xml:space="preserve">______ </v>
          </cell>
          <cell r="CH178" t="str">
            <v xml:space="preserve">______ </v>
          </cell>
          <cell r="CI178" t="str">
            <v xml:space="preserve">______ </v>
          </cell>
          <cell r="CJ178" t="str">
            <v xml:space="preserve">______ </v>
          </cell>
          <cell r="CK178" t="str">
            <v xml:space="preserve">______ </v>
          </cell>
          <cell r="CL178" t="str">
            <v xml:space="preserve">______ </v>
          </cell>
          <cell r="CM178" t="str">
            <v xml:space="preserve">______ </v>
          </cell>
          <cell r="CN178" t="str">
            <v xml:space="preserve">______ </v>
          </cell>
          <cell r="CO178" t="str">
            <v xml:space="preserve">______ </v>
          </cell>
          <cell r="CP178" t="str">
            <v xml:space="preserve">______ </v>
          </cell>
          <cell r="CQ178" t="str">
            <v xml:space="preserve">______ </v>
          </cell>
          <cell r="CR178" t="str">
            <v xml:space="preserve">______ </v>
          </cell>
          <cell r="CS178" t="str">
            <v xml:space="preserve">______ </v>
          </cell>
          <cell r="CT178" t="str">
            <v xml:space="preserve">______ </v>
          </cell>
          <cell r="CU178" t="str">
            <v xml:space="preserve">______ </v>
          </cell>
          <cell r="CV178" t="str">
            <v xml:space="preserve">______ </v>
          </cell>
          <cell r="CW178" t="str">
            <v xml:space="preserve">______ </v>
          </cell>
          <cell r="CY178" t="str">
            <v xml:space="preserve">______ </v>
          </cell>
        </row>
        <row r="179">
          <cell r="A179" t="str">
            <v xml:space="preserve">Total Stockholders’ Equity </v>
          </cell>
          <cell r="D179">
            <v>-223.10000000000002</v>
          </cell>
          <cell r="E179">
            <v>-282.5</v>
          </cell>
          <cell r="F179">
            <v>-304.09999999999997</v>
          </cell>
          <cell r="G179">
            <v>-327.00000000000006</v>
          </cell>
          <cell r="H179">
            <v>-32.100000000000044</v>
          </cell>
          <cell r="I179">
            <v>317.49999999999994</v>
          </cell>
          <cell r="J179">
            <v>494.79999999999995</v>
          </cell>
          <cell r="K179">
            <v>642.1</v>
          </cell>
          <cell r="L179">
            <v>497.59999999999997</v>
          </cell>
          <cell r="M179">
            <v>309.39999999999998</v>
          </cell>
          <cell r="N179">
            <v>309.39999999999998</v>
          </cell>
          <cell r="O179">
            <v>382.2000000000001</v>
          </cell>
          <cell r="P179">
            <v>20.600000000000136</v>
          </cell>
          <cell r="Q179">
            <v>38.700000000000088</v>
          </cell>
          <cell r="R179">
            <v>167.40000000000018</v>
          </cell>
          <cell r="S179">
            <v>167.40000000000018</v>
          </cell>
          <cell r="T179">
            <v>-70.099999999999824</v>
          </cell>
          <cell r="U179">
            <v>-265.9000000000002</v>
          </cell>
          <cell r="V179">
            <v>-609.5</v>
          </cell>
          <cell r="W179">
            <v>-783.60000000000025</v>
          </cell>
          <cell r="X179">
            <v>-783.60000000000025</v>
          </cell>
          <cell r="Y179">
            <v>-903.00000000000023</v>
          </cell>
          <cell r="Z179">
            <v>-821.79999999999961</v>
          </cell>
          <cell r="AA179">
            <v>-893.79999999999984</v>
          </cell>
          <cell r="AB179">
            <v>-994.40000000000066</v>
          </cell>
          <cell r="AC179">
            <v>-994.40000000000066</v>
          </cell>
          <cell r="AD179">
            <v>-924.9000000000002</v>
          </cell>
          <cell r="AE179">
            <v>-757.3000000000003</v>
          </cell>
          <cell r="AF179">
            <v>-656.89999999999986</v>
          </cell>
          <cell r="AG179">
            <v>-606.20000000000005</v>
          </cell>
          <cell r="AH179">
            <v>-606.20000000000005</v>
          </cell>
          <cell r="AI179">
            <v>-541.60000000000014</v>
          </cell>
          <cell r="AJ179">
            <v>-500.10000000000019</v>
          </cell>
          <cell r="AK179">
            <v>-307.69999999999993</v>
          </cell>
          <cell r="AL179">
            <v>-309.6000000000007</v>
          </cell>
          <cell r="AM179">
            <v>-309.6000000000007</v>
          </cell>
          <cell r="AN179">
            <v>-231.9</v>
          </cell>
          <cell r="AO179">
            <v>-26.099999999999454</v>
          </cell>
          <cell r="AP179">
            <v>-184</v>
          </cell>
          <cell r="AQ179">
            <v>-169</v>
          </cell>
          <cell r="AR179">
            <v>-169</v>
          </cell>
          <cell r="AS179">
            <v>82.699999999999633</v>
          </cell>
          <cell r="AT179">
            <v>99.099999999999639</v>
          </cell>
          <cell r="AU179">
            <v>311.59999999999962</v>
          </cell>
          <cell r="AV179">
            <v>385.20000000000016</v>
          </cell>
          <cell r="AW179">
            <v>385.20000000000016</v>
          </cell>
          <cell r="AX179">
            <v>457.09999999999962</v>
          </cell>
          <cell r="AY179">
            <v>447.60000000000093</v>
          </cell>
          <cell r="AZ179">
            <v>281.50000000000074</v>
          </cell>
          <cell r="BA179">
            <v>337.00000000000034</v>
          </cell>
          <cell r="BB179">
            <v>337.00000000000034</v>
          </cell>
          <cell r="BC179">
            <v>385.30000000000035</v>
          </cell>
          <cell r="BD179">
            <v>445.39999999999981</v>
          </cell>
          <cell r="BE179">
            <v>308.7550664981074</v>
          </cell>
          <cell r="BF179">
            <v>194.55084185417962</v>
          </cell>
          <cell r="BG179">
            <v>194.55084185417962</v>
          </cell>
          <cell r="BH179">
            <v>216.18792602573029</v>
          </cell>
          <cell r="BI179">
            <v>271.40134602383768</v>
          </cell>
          <cell r="BJ179">
            <v>281.2936937757724</v>
          </cell>
          <cell r="BK179">
            <v>314.21051772442496</v>
          </cell>
          <cell r="BL179">
            <v>314.21051772442496</v>
          </cell>
          <cell r="BM179">
            <v>213.05044196687066</v>
          </cell>
          <cell r="BN179">
            <v>146.36831372162322</v>
          </cell>
          <cell r="BO179">
            <v>34.208580069245002</v>
          </cell>
          <cell r="BP179">
            <v>-53.670310421344581</v>
          </cell>
          <cell r="BQ179">
            <v>-53.670310421344581</v>
          </cell>
          <cell r="BR179">
            <v>-383.05622291921537</v>
          </cell>
          <cell r="BS179">
            <v>-661.03272544182869</v>
          </cell>
          <cell r="BT179">
            <v>-882.9295010842186</v>
          </cell>
          <cell r="BU179">
            <v>-1043.6711282205385</v>
          </cell>
          <cell r="BZ179" t="str">
            <v xml:space="preserve">Total Stockholders’ Equity </v>
          </cell>
          <cell r="CB179">
            <v>-223.10000000000002</v>
          </cell>
          <cell r="CC179">
            <v>-282.5</v>
          </cell>
          <cell r="CD179">
            <v>-304.09999999999997</v>
          </cell>
          <cell r="CE179">
            <v>-327.00000000000006</v>
          </cell>
          <cell r="CF179">
            <v>-32.100000000000044</v>
          </cell>
          <cell r="CG179">
            <v>317.49999999999994</v>
          </cell>
          <cell r="CH179">
            <v>309.39999999999998</v>
          </cell>
          <cell r="CI179">
            <v>167.40000000000018</v>
          </cell>
          <cell r="CJ179">
            <v>-783.60000000000025</v>
          </cell>
          <cell r="CK179">
            <v>-994.40000000000066</v>
          </cell>
          <cell r="CL179">
            <v>-606.20000000000005</v>
          </cell>
          <cell r="CM179">
            <v>-309.6000000000007</v>
          </cell>
          <cell r="CN179">
            <v>-169</v>
          </cell>
          <cell r="CO179">
            <v>385.20000000000016</v>
          </cell>
          <cell r="CP179">
            <v>337.00000000000034</v>
          </cell>
          <cell r="CQ179">
            <v>194.55084185417962</v>
          </cell>
          <cell r="CR179">
            <v>314.21051772442496</v>
          </cell>
          <cell r="CS179">
            <v>-53.670310421344581</v>
          </cell>
          <cell r="CT179">
            <v>-383.05622291921537</v>
          </cell>
          <cell r="CU179">
            <v>-661.03272544182869</v>
          </cell>
          <cell r="CV179">
            <v>-882.9295010842186</v>
          </cell>
          <cell r="CW179">
            <v>-1043.6711282205385</v>
          </cell>
          <cell r="CY179">
            <v>271.40134602383768</v>
          </cell>
        </row>
        <row r="181">
          <cell r="A181" t="str">
            <v>Noncontrolling interests</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8.3000000000000007</v>
          </cell>
          <cell r="AC181">
            <v>8.3000000000000007</v>
          </cell>
          <cell r="AD181">
            <v>5.6</v>
          </cell>
          <cell r="AE181">
            <v>7.8</v>
          </cell>
          <cell r="AF181">
            <v>9.4</v>
          </cell>
          <cell r="AG181">
            <v>10.1</v>
          </cell>
          <cell r="AH181">
            <v>10.1</v>
          </cell>
          <cell r="AI181">
            <v>7.6</v>
          </cell>
          <cell r="AJ181">
            <v>8.1999999999999993</v>
          </cell>
          <cell r="AK181">
            <v>10.1</v>
          </cell>
          <cell r="AL181">
            <v>11.2</v>
          </cell>
          <cell r="AM181">
            <v>11.2</v>
          </cell>
          <cell r="AN181">
            <v>8.6999999999999993</v>
          </cell>
          <cell r="AO181">
            <v>9.5</v>
          </cell>
          <cell r="AP181">
            <v>9.8000000000000007</v>
          </cell>
          <cell r="AQ181">
            <v>10.6</v>
          </cell>
          <cell r="AR181">
            <v>10.6</v>
          </cell>
          <cell r="AS181">
            <v>8.5</v>
          </cell>
          <cell r="AT181">
            <v>9.1999999999999993</v>
          </cell>
          <cell r="AU181">
            <v>10.5</v>
          </cell>
          <cell r="AV181">
            <v>11.4</v>
          </cell>
          <cell r="AW181">
            <v>11.4</v>
          </cell>
          <cell r="AX181">
            <v>7.8</v>
          </cell>
          <cell r="AY181">
            <v>9.1999999999999993</v>
          </cell>
          <cell r="AZ181">
            <v>10.4</v>
          </cell>
          <cell r="BA181">
            <v>10.9</v>
          </cell>
          <cell r="BB181">
            <v>10.9</v>
          </cell>
          <cell r="BC181">
            <v>8</v>
          </cell>
          <cell r="BD181">
            <v>228.5</v>
          </cell>
          <cell r="BE181">
            <v>226.2</v>
          </cell>
          <cell r="BF181">
            <v>223.89999999999998</v>
          </cell>
          <cell r="BG181">
            <v>223.89999999999998</v>
          </cell>
          <cell r="BH181">
            <v>220.82499999999999</v>
          </cell>
          <cell r="BI181">
            <v>217.75</v>
          </cell>
          <cell r="BJ181">
            <v>214.67500000000001</v>
          </cell>
          <cell r="BK181">
            <v>211.60000000000002</v>
          </cell>
          <cell r="BL181">
            <v>211.60000000000002</v>
          </cell>
          <cell r="BM181">
            <v>208.52500000000003</v>
          </cell>
          <cell r="BN181">
            <v>205.45000000000005</v>
          </cell>
          <cell r="BO181">
            <v>202.37500000000006</v>
          </cell>
          <cell r="BP181">
            <v>199.30000000000007</v>
          </cell>
          <cell r="BQ181">
            <v>199.30000000000007</v>
          </cell>
          <cell r="BR181">
            <v>187.00000000000006</v>
          </cell>
          <cell r="BS181">
            <v>174.70000000000005</v>
          </cell>
          <cell r="BT181">
            <v>162.40000000000003</v>
          </cell>
          <cell r="BU181">
            <v>150.10000000000002</v>
          </cell>
          <cell r="BZ181" t="str">
            <v>Noncontrolling interests</v>
          </cell>
          <cell r="CB181">
            <v>0</v>
          </cell>
          <cell r="CC181">
            <v>0</v>
          </cell>
          <cell r="CD181">
            <v>0</v>
          </cell>
          <cell r="CE181">
            <v>0</v>
          </cell>
          <cell r="CF181">
            <v>0</v>
          </cell>
          <cell r="CG181">
            <v>0</v>
          </cell>
          <cell r="CH181">
            <v>0</v>
          </cell>
          <cell r="CI181">
            <v>0</v>
          </cell>
          <cell r="CJ181">
            <v>0</v>
          </cell>
          <cell r="CK181">
            <v>8.3000000000000007</v>
          </cell>
          <cell r="CL181">
            <v>10.1</v>
          </cell>
          <cell r="CM181">
            <v>11.2</v>
          </cell>
          <cell r="CN181">
            <v>10.6</v>
          </cell>
          <cell r="CO181">
            <v>11.4</v>
          </cell>
          <cell r="CP181">
            <v>10.9</v>
          </cell>
          <cell r="CQ181">
            <v>223.89999999999998</v>
          </cell>
          <cell r="CR181">
            <v>211.60000000000002</v>
          </cell>
          <cell r="CS181">
            <v>199.30000000000007</v>
          </cell>
          <cell r="CT181">
            <v>187.00000000000006</v>
          </cell>
          <cell r="CU181">
            <v>174.70000000000005</v>
          </cell>
          <cell r="CV181">
            <v>162.40000000000003</v>
          </cell>
          <cell r="CW181">
            <v>150.10000000000002</v>
          </cell>
          <cell r="CY181">
            <v>217.75</v>
          </cell>
          <cell r="DA181" t="str">
            <v>mstag:minorityInterestsInEquity</v>
          </cell>
          <cell r="DB181">
            <v>6</v>
          </cell>
          <cell r="DC181" t="str">
            <v>ISO4217:USD</v>
          </cell>
          <cell r="DD181" t="b">
            <v>0</v>
          </cell>
        </row>
        <row r="183">
          <cell r="A183" t="str">
            <v>Total Liabilities &amp; Stockholders' Equity</v>
          </cell>
          <cell r="D183">
            <v>274.79999999999995</v>
          </cell>
          <cell r="E183">
            <v>398.29999999999995</v>
          </cell>
          <cell r="F183">
            <v>505.40000000000003</v>
          </cell>
          <cell r="G183">
            <v>630.79999999999995</v>
          </cell>
          <cell r="H183">
            <v>952.30000000000007</v>
          </cell>
          <cell r="I183">
            <v>1389.3</v>
          </cell>
          <cell r="J183">
            <v>1558.9999999999998</v>
          </cell>
          <cell r="K183">
            <v>1724.3000000000002</v>
          </cell>
          <cell r="L183">
            <v>1555.1</v>
          </cell>
          <cell r="M183">
            <v>1457.2000000000003</v>
          </cell>
          <cell r="N183">
            <v>1457.2000000000003</v>
          </cell>
          <cell r="O183">
            <v>1502.3999999999999</v>
          </cell>
          <cell r="P183">
            <v>1131.1000000000001</v>
          </cell>
          <cell r="Q183">
            <v>1155.2</v>
          </cell>
          <cell r="R183">
            <v>1497.7</v>
          </cell>
          <cell r="S183">
            <v>1497.7</v>
          </cell>
          <cell r="T183">
            <v>1469.9</v>
          </cell>
          <cell r="U183">
            <v>1553.2999999999997</v>
          </cell>
          <cell r="V183">
            <v>1551.6</v>
          </cell>
          <cell r="W183">
            <v>1714.5999999999995</v>
          </cell>
          <cell r="X183">
            <v>1714.5999999999995</v>
          </cell>
          <cell r="Y183">
            <v>1586.8</v>
          </cell>
          <cell r="Z183">
            <v>1664.4</v>
          </cell>
          <cell r="AA183">
            <v>1694.3000000000002</v>
          </cell>
          <cell r="AB183">
            <v>1773.3999999999994</v>
          </cell>
          <cell r="AC183">
            <v>1773.3999999999994</v>
          </cell>
          <cell r="AD183">
            <v>1802.1</v>
          </cell>
          <cell r="AE183">
            <v>1873.8</v>
          </cell>
          <cell r="AF183">
            <v>1874.2</v>
          </cell>
          <cell r="AG183">
            <v>2003.2999999999995</v>
          </cell>
          <cell r="AH183">
            <v>2003.2999999999995</v>
          </cell>
          <cell r="AI183">
            <v>2003.3</v>
          </cell>
          <cell r="AJ183">
            <v>1957.7000000000003</v>
          </cell>
          <cell r="AK183">
            <v>2348.2000000000003</v>
          </cell>
          <cell r="AL183">
            <v>2540.2999999999988</v>
          </cell>
          <cell r="AM183">
            <v>2540.2999999999988</v>
          </cell>
          <cell r="AN183">
            <v>2524.3999999999996</v>
          </cell>
          <cell r="AO183">
            <v>2744.6000000000004</v>
          </cell>
          <cell r="AP183">
            <v>2521.3000000000002</v>
          </cell>
          <cell r="AQ183">
            <v>2876.1</v>
          </cell>
          <cell r="AR183">
            <v>2876.1</v>
          </cell>
          <cell r="AS183">
            <v>2994.4</v>
          </cell>
          <cell r="AT183">
            <v>2963.8999999999987</v>
          </cell>
          <cell r="AU183">
            <v>3662.2999999999993</v>
          </cell>
          <cell r="AV183">
            <v>3960.9000000000005</v>
          </cell>
          <cell r="AW183">
            <v>3960.9000000000005</v>
          </cell>
          <cell r="AX183">
            <v>3911.2000000000003</v>
          </cell>
          <cell r="AY183">
            <v>3794.3</v>
          </cell>
          <cell r="AZ183">
            <v>4154.5</v>
          </cell>
          <cell r="BA183">
            <v>4395.0999999999995</v>
          </cell>
          <cell r="BB183">
            <v>4395.0999999999995</v>
          </cell>
          <cell r="BC183">
            <v>4353.4000000000005</v>
          </cell>
          <cell r="BD183">
            <v>4786.6000000000004</v>
          </cell>
          <cell r="BE183">
            <v>4474.1005403701283</v>
          </cell>
          <cell r="BF183">
            <v>4596.6824947869727</v>
          </cell>
          <cell r="BG183">
            <v>4596.6824947869727</v>
          </cell>
          <cell r="BH183">
            <v>4515.2884242890932</v>
          </cell>
          <cell r="BI183">
            <v>4658.7049708198992</v>
          </cell>
          <cell r="BJ183">
            <v>4479.7725484039347</v>
          </cell>
          <cell r="BK183">
            <v>4762.3724424916427</v>
          </cell>
          <cell r="BL183">
            <v>4762.3724424916427</v>
          </cell>
          <cell r="BM183">
            <v>4549.8715823696875</v>
          </cell>
          <cell r="BN183">
            <v>4573.4170735883627</v>
          </cell>
          <cell r="BO183">
            <v>4268.7953789601443</v>
          </cell>
          <cell r="BP183">
            <v>4445.6332657645262</v>
          </cell>
          <cell r="BQ183">
            <v>4445.6332657645262</v>
          </cell>
          <cell r="BR183">
            <v>4154.0311906405559</v>
          </cell>
          <cell r="BS183">
            <v>3918.1557748246464</v>
          </cell>
          <cell r="BT183">
            <v>3743.1035662386557</v>
          </cell>
          <cell r="BU183">
            <v>3634.4200756596547</v>
          </cell>
          <cell r="BZ183" t="str">
            <v>Total Liabilities &amp; Stockholders' Equity</v>
          </cell>
          <cell r="CB183">
            <v>274.79999999999995</v>
          </cell>
          <cell r="CC183">
            <v>398.29999999999995</v>
          </cell>
          <cell r="CD183">
            <v>505.40000000000003</v>
          </cell>
          <cell r="CE183">
            <v>630.79999999999995</v>
          </cell>
          <cell r="CF183">
            <v>952.30000000000007</v>
          </cell>
          <cell r="CG183">
            <v>1389.3</v>
          </cell>
          <cell r="CH183">
            <v>1457.2000000000003</v>
          </cell>
          <cell r="CI183">
            <v>1497.7</v>
          </cell>
          <cell r="CJ183">
            <v>1714.5999999999995</v>
          </cell>
          <cell r="CK183">
            <v>1773.3999999999994</v>
          </cell>
          <cell r="CL183">
            <v>2003.2999999999995</v>
          </cell>
          <cell r="CM183">
            <v>2540.2999999999988</v>
          </cell>
          <cell r="CN183">
            <v>2876.1</v>
          </cell>
          <cell r="CO183">
            <v>3960.9000000000005</v>
          </cell>
          <cell r="CP183">
            <v>4395.0999999999995</v>
          </cell>
          <cell r="CQ183">
            <v>4596.6824947869727</v>
          </cell>
          <cell r="CR183">
            <v>4762.3724424916427</v>
          </cell>
          <cell r="CS183">
            <v>4445.6332657645262</v>
          </cell>
          <cell r="CT183">
            <v>4154.0311906405559</v>
          </cell>
          <cell r="CU183">
            <v>3918.1557748246464</v>
          </cell>
          <cell r="CV183">
            <v>3743.1035662386557</v>
          </cell>
          <cell r="CW183">
            <v>3634.4200756596547</v>
          </cell>
          <cell r="CY183">
            <v>4658.7049708198992</v>
          </cell>
        </row>
        <row r="185">
          <cell r="A185" t="str">
            <v>Out-of-Balance</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row>
        <row r="187">
          <cell r="A187" t="str">
            <v>Segment Information</v>
          </cell>
        </row>
        <row r="188">
          <cell r="A188" t="str">
            <v>Fiscal Year Ending December 31</v>
          </cell>
          <cell r="C188">
            <v>1998</v>
          </cell>
          <cell r="D188">
            <v>1999</v>
          </cell>
          <cell r="E188">
            <v>2000</v>
          </cell>
          <cell r="F188">
            <v>2001</v>
          </cell>
          <cell r="G188">
            <v>2002</v>
          </cell>
          <cell r="H188">
            <v>2003</v>
          </cell>
          <cell r="I188">
            <v>2004</v>
          </cell>
          <cell r="J188" t="str">
            <v>1Q05</v>
          </cell>
          <cell r="K188" t="str">
            <v>2Q05</v>
          </cell>
          <cell r="L188" t="str">
            <v>3Q05</v>
          </cell>
          <cell r="M188" t="str">
            <v>4Q05</v>
          </cell>
          <cell r="N188">
            <v>2005</v>
          </cell>
          <cell r="O188" t="str">
            <v>1Q06</v>
          </cell>
          <cell r="P188" t="str">
            <v>2Q06</v>
          </cell>
          <cell r="Q188" t="str">
            <v>3Q06</v>
          </cell>
          <cell r="R188" t="str">
            <v>4Q06</v>
          </cell>
          <cell r="S188">
            <v>2006</v>
          </cell>
          <cell r="T188" t="str">
            <v>1Q07</v>
          </cell>
          <cell r="U188" t="str">
            <v>2Q07</v>
          </cell>
          <cell r="V188" t="str">
            <v>3Q07</v>
          </cell>
          <cell r="W188" t="str">
            <v>4Q07</v>
          </cell>
          <cell r="X188">
            <v>2007</v>
          </cell>
          <cell r="Y188" t="str">
            <v>1Q08</v>
          </cell>
          <cell r="Z188" t="str">
            <v>2Q08</v>
          </cell>
          <cell r="AA188" t="str">
            <v>3Q08</v>
          </cell>
          <cell r="AB188" t="str">
            <v>4Q08</v>
          </cell>
          <cell r="AC188">
            <v>2008</v>
          </cell>
          <cell r="AD188" t="str">
            <v>1Q09</v>
          </cell>
          <cell r="AE188" t="str">
            <v>2Q09</v>
          </cell>
          <cell r="AF188" t="str">
            <v>3Q09</v>
          </cell>
          <cell r="AG188" t="str">
            <v>4Q09</v>
          </cell>
          <cell r="AH188">
            <v>2009</v>
          </cell>
          <cell r="AI188" t="str">
            <v>1Q10</v>
          </cell>
          <cell r="AJ188" t="str">
            <v>2Q10</v>
          </cell>
          <cell r="AK188" t="str">
            <v>3Q10</v>
          </cell>
          <cell r="AL188" t="str">
            <v>4Q10</v>
          </cell>
          <cell r="AM188">
            <v>2010</v>
          </cell>
          <cell r="AN188" t="str">
            <v>1Q11</v>
          </cell>
          <cell r="AO188" t="str">
            <v>2Q11</v>
          </cell>
          <cell r="AP188" t="str">
            <v>3Q11</v>
          </cell>
          <cell r="AQ188" t="str">
            <v>4Q11</v>
          </cell>
          <cell r="AR188">
            <v>2011</v>
          </cell>
          <cell r="AS188" t="str">
            <v>1Q12</v>
          </cell>
          <cell r="AT188" t="str">
            <v>2Q12</v>
          </cell>
          <cell r="AU188" t="str">
            <v>3Q12</v>
          </cell>
          <cell r="AV188" t="str">
            <v>4Q12</v>
          </cell>
          <cell r="AW188">
            <v>2012</v>
          </cell>
          <cell r="AX188" t="str">
            <v>1Q13</v>
          </cell>
          <cell r="AY188" t="str">
            <v>2Q13</v>
          </cell>
          <cell r="AZ188" t="str">
            <v>3Q13</v>
          </cell>
          <cell r="BA188" t="str">
            <v>4Q13</v>
          </cell>
          <cell r="BB188">
            <v>2013</v>
          </cell>
          <cell r="BC188" t="str">
            <v>1Q14</v>
          </cell>
          <cell r="BD188" t="str">
            <v>2Q14</v>
          </cell>
          <cell r="BE188" t="str">
            <v>3Q14E</v>
          </cell>
          <cell r="BF188" t="str">
            <v>4Q14E</v>
          </cell>
          <cell r="BG188" t="str">
            <v>2014E</v>
          </cell>
          <cell r="BH188" t="str">
            <v>1Q15E</v>
          </cell>
          <cell r="BI188" t="str">
            <v>2Q15E</v>
          </cell>
          <cell r="BJ188" t="str">
            <v>3Q15E</v>
          </cell>
          <cell r="BK188" t="str">
            <v>4Q15E</v>
          </cell>
          <cell r="BL188" t="str">
            <v>2015E</v>
          </cell>
          <cell r="BM188" t="str">
            <v>1Q16E</v>
          </cell>
          <cell r="BN188" t="str">
            <v>2Q16E</v>
          </cell>
          <cell r="BO188" t="str">
            <v>3Q16E</v>
          </cell>
          <cell r="BP188" t="str">
            <v>4Q16E</v>
          </cell>
          <cell r="BQ188" t="str">
            <v>2016E</v>
          </cell>
          <cell r="BR188" t="str">
            <v>2017E</v>
          </cell>
          <cell r="BS188" t="str">
            <v>2018E</v>
          </cell>
          <cell r="BT188" t="str">
            <v>2019E</v>
          </cell>
          <cell r="BU188" t="str">
            <v>2020E</v>
          </cell>
          <cell r="BZ188" t="str">
            <v>Fiscal Year Ending December 31</v>
          </cell>
          <cell r="CA188">
            <v>1998</v>
          </cell>
          <cell r="CB188">
            <v>1999</v>
          </cell>
          <cell r="CC188">
            <v>2000</v>
          </cell>
          <cell r="CD188">
            <v>2001</v>
          </cell>
          <cell r="CE188">
            <v>2002</v>
          </cell>
          <cell r="CF188">
            <v>2003</v>
          </cell>
          <cell r="CG188">
            <v>2004</v>
          </cell>
          <cell r="CH188">
            <v>2005</v>
          </cell>
          <cell r="CI188">
            <v>2006</v>
          </cell>
          <cell r="CJ188">
            <v>2007</v>
          </cell>
          <cell r="CK188">
            <v>2008</v>
          </cell>
          <cell r="CL188">
            <v>2009</v>
          </cell>
          <cell r="CM188">
            <v>2010</v>
          </cell>
          <cell r="CN188">
            <v>2011</v>
          </cell>
          <cell r="CO188">
            <v>2012</v>
          </cell>
          <cell r="CP188">
            <v>2013</v>
          </cell>
          <cell r="CQ188" t="str">
            <v>2014E</v>
          </cell>
          <cell r="CR188" t="str">
            <v>2015E</v>
          </cell>
          <cell r="CS188" t="str">
            <v>2016E</v>
          </cell>
          <cell r="CT188" t="str">
            <v>2017E</v>
          </cell>
          <cell r="CU188" t="str">
            <v>2018E</v>
          </cell>
          <cell r="CV188" t="str">
            <v>2019E</v>
          </cell>
          <cell r="CW188" t="str">
            <v>2020E</v>
          </cell>
          <cell r="CY188" t="str">
            <v>NTM</v>
          </cell>
        </row>
        <row r="191">
          <cell r="A191" t="str">
            <v>MIS</v>
          </cell>
          <cell r="BZ191" t="str">
            <v>MIS</v>
          </cell>
        </row>
        <row r="193">
          <cell r="A193" t="str">
            <v xml:space="preserve">Structured Finance </v>
          </cell>
          <cell r="C193">
            <v>143</v>
          </cell>
          <cell r="D193">
            <v>172.4</v>
          </cell>
          <cell r="E193">
            <v>199.2</v>
          </cell>
          <cell r="F193">
            <v>273.8</v>
          </cell>
          <cell r="G193">
            <v>384.3</v>
          </cell>
          <cell r="H193">
            <v>460.6</v>
          </cell>
          <cell r="I193">
            <v>553.1</v>
          </cell>
          <cell r="J193">
            <v>138.6</v>
          </cell>
          <cell r="K193">
            <v>192.5</v>
          </cell>
          <cell r="L193">
            <v>174.5</v>
          </cell>
          <cell r="M193">
            <v>209.79999999999998</v>
          </cell>
          <cell r="N193">
            <v>715.4</v>
          </cell>
          <cell r="O193">
            <v>172.4</v>
          </cell>
          <cell r="P193">
            <v>214.1</v>
          </cell>
          <cell r="Q193">
            <v>213.9</v>
          </cell>
          <cell r="R193">
            <v>272.2</v>
          </cell>
          <cell r="S193">
            <v>872.59999999999991</v>
          </cell>
          <cell r="T193">
            <v>248.4</v>
          </cell>
          <cell r="U193">
            <v>271</v>
          </cell>
          <cell r="V193">
            <v>194.1</v>
          </cell>
          <cell r="W193">
            <v>154.80000000000001</v>
          </cell>
          <cell r="X193">
            <v>868.3</v>
          </cell>
          <cell r="Y193">
            <v>102.4</v>
          </cell>
          <cell r="Z193">
            <v>115.6</v>
          </cell>
          <cell r="AA193">
            <v>95.7</v>
          </cell>
          <cell r="AB193">
            <v>91</v>
          </cell>
          <cell r="AC193">
            <v>404.7</v>
          </cell>
          <cell r="AD193">
            <v>72.400000000000006</v>
          </cell>
          <cell r="AE193">
            <v>74.599999999999994</v>
          </cell>
          <cell r="AF193">
            <v>79.2</v>
          </cell>
          <cell r="AG193">
            <v>78.699999999999974</v>
          </cell>
          <cell r="AH193">
            <v>304.89999999999998</v>
          </cell>
          <cell r="AI193">
            <v>71.5</v>
          </cell>
          <cell r="AJ193">
            <v>73.099999999999994</v>
          </cell>
          <cell r="AK193">
            <v>70.099999999999994</v>
          </cell>
          <cell r="AL193">
            <v>76.100000000000023</v>
          </cell>
          <cell r="AM193">
            <v>290.8</v>
          </cell>
          <cell r="AN193">
            <v>89.4</v>
          </cell>
          <cell r="AO193">
            <v>86.3</v>
          </cell>
          <cell r="AP193">
            <v>82</v>
          </cell>
          <cell r="AQ193">
            <v>86.900000000000034</v>
          </cell>
          <cell r="AR193">
            <v>344.6</v>
          </cell>
          <cell r="AS193">
            <v>94.3</v>
          </cell>
          <cell r="AT193">
            <v>90.7</v>
          </cell>
          <cell r="AU193">
            <v>93.1</v>
          </cell>
          <cell r="AV193">
            <v>102.9</v>
          </cell>
          <cell r="AW193">
            <v>381</v>
          </cell>
          <cell r="AX193">
            <v>93</v>
          </cell>
          <cell r="AY193">
            <v>97.2</v>
          </cell>
          <cell r="AZ193">
            <v>83.5</v>
          </cell>
          <cell r="BA193">
            <v>108.80000000000001</v>
          </cell>
          <cell r="BB193">
            <v>382.5</v>
          </cell>
          <cell r="BC193">
            <v>95.3</v>
          </cell>
          <cell r="BD193">
            <v>110.6</v>
          </cell>
          <cell r="BE193">
            <v>84.334999999999994</v>
          </cell>
          <cell r="BF193">
            <v>109.88800000000002</v>
          </cell>
          <cell r="BG193">
            <v>400.12299999999999</v>
          </cell>
          <cell r="BH193">
            <v>96.253000000000014</v>
          </cell>
          <cell r="BI193">
            <v>111.70599999999999</v>
          </cell>
          <cell r="BJ193">
            <v>85.178349999999995</v>
          </cell>
          <cell r="BK193">
            <v>110.98688000000001</v>
          </cell>
          <cell r="BL193">
            <v>404.12423000000001</v>
          </cell>
          <cell r="BM193">
            <v>97.215530000000015</v>
          </cell>
          <cell r="BN193">
            <v>112.82305999999998</v>
          </cell>
          <cell r="BO193">
            <v>86.030133500000019</v>
          </cell>
          <cell r="BP193">
            <v>112.09674880000004</v>
          </cell>
          <cell r="BQ193">
            <v>408.16547230000009</v>
          </cell>
          <cell r="BR193">
            <v>412.24712702300008</v>
          </cell>
          <cell r="BS193">
            <v>416.36959829323018</v>
          </cell>
          <cell r="BT193">
            <v>420.53329427616251</v>
          </cell>
          <cell r="BU193">
            <v>424.73862721892414</v>
          </cell>
          <cell r="BZ193" t="str">
            <v xml:space="preserve">Structured Finance </v>
          </cell>
          <cell r="CA193">
            <v>143</v>
          </cell>
          <cell r="CB193">
            <v>172.4</v>
          </cell>
          <cell r="CC193">
            <v>199.2</v>
          </cell>
          <cell r="CD193">
            <v>273.8</v>
          </cell>
          <cell r="CE193">
            <v>384.3</v>
          </cell>
          <cell r="CF193">
            <v>460.6</v>
          </cell>
          <cell r="CG193">
            <v>553.1</v>
          </cell>
          <cell r="CH193">
            <v>715.4</v>
          </cell>
          <cell r="CI193">
            <v>872.59999999999991</v>
          </cell>
          <cell r="CJ193">
            <v>868.3</v>
          </cell>
          <cell r="CK193">
            <v>404.7</v>
          </cell>
          <cell r="CL193">
            <v>304.89999999999998</v>
          </cell>
          <cell r="CM193">
            <v>290.8</v>
          </cell>
          <cell r="CN193">
            <v>344.6</v>
          </cell>
          <cell r="CO193">
            <v>381</v>
          </cell>
          <cell r="CP193">
            <v>382.5</v>
          </cell>
          <cell r="CQ193">
            <v>400.12299999999999</v>
          </cell>
          <cell r="CR193">
            <v>404.12423000000001</v>
          </cell>
          <cell r="CS193">
            <v>408.16547230000009</v>
          </cell>
          <cell r="CT193">
            <v>412.24712702300008</v>
          </cell>
          <cell r="CU193">
            <v>416.36959829323018</v>
          </cell>
          <cell r="CV193">
            <v>420.53329427616251</v>
          </cell>
          <cell r="CW193">
            <v>424.73862721892414</v>
          </cell>
          <cell r="CY193">
            <v>402.18200000000002</v>
          </cell>
        </row>
        <row r="194">
          <cell r="A194" t="str">
            <v>YoY Change</v>
          </cell>
          <cell r="D194">
            <v>0.20559440559440567</v>
          </cell>
          <cell r="E194">
            <v>0.15545243619489546</v>
          </cell>
          <cell r="F194">
            <v>0.3744979919678717</v>
          </cell>
          <cell r="G194">
            <v>0.40357925493060631</v>
          </cell>
          <cell r="H194">
            <v>0.19854280510018207</v>
          </cell>
          <cell r="I194">
            <v>0.20082501085540594</v>
          </cell>
          <cell r="J194" t="str">
            <v>NM</v>
          </cell>
          <cell r="K194" t="str">
            <v>NM</v>
          </cell>
          <cell r="L194" t="str">
            <v>NM</v>
          </cell>
          <cell r="M194" t="str">
            <v>NM</v>
          </cell>
          <cell r="N194">
            <v>0.29343699150244063</v>
          </cell>
          <cell r="O194">
            <v>0.24386724386724401</v>
          </cell>
          <cell r="P194">
            <v>0.1122077922077922</v>
          </cell>
          <cell r="Q194">
            <v>0.22578796561604597</v>
          </cell>
          <cell r="R194">
            <v>0.29742612011439462</v>
          </cell>
          <cell r="S194">
            <v>0.21973720995247414</v>
          </cell>
          <cell r="T194">
            <v>0.44083526682134577</v>
          </cell>
          <cell r="U194">
            <v>0.26576366184026168</v>
          </cell>
          <cell r="V194">
            <v>-9.256661991584858E-2</v>
          </cell>
          <cell r="W194">
            <v>-0.43130051432770011</v>
          </cell>
          <cell r="X194">
            <v>-4.9278019711207488E-3</v>
          </cell>
          <cell r="Y194">
            <v>-0.5877616747181964</v>
          </cell>
          <cell r="Z194">
            <v>-0.57343173431734318</v>
          </cell>
          <cell r="AA194">
            <v>-0.50695517774343113</v>
          </cell>
          <cell r="AB194">
            <v>-0.41214470284237725</v>
          </cell>
          <cell r="AC194">
            <v>-0.53391684901531722</v>
          </cell>
          <cell r="AD194">
            <v>-0.29296875</v>
          </cell>
          <cell r="AE194">
            <v>-0.3546712802768166</v>
          </cell>
          <cell r="AF194">
            <v>-0.17241379310344829</v>
          </cell>
          <cell r="AG194">
            <v>-0.13516483516483546</v>
          </cell>
          <cell r="AH194">
            <v>-0.24660242154682488</v>
          </cell>
          <cell r="AI194">
            <v>-1.2430939226519389E-2</v>
          </cell>
          <cell r="AJ194">
            <v>-2.0107238605898137E-2</v>
          </cell>
          <cell r="AK194">
            <v>-0.11489898989899006</v>
          </cell>
          <cell r="AL194">
            <v>-3.3036848792883822E-2</v>
          </cell>
          <cell r="AM194">
            <v>-4.6244670383732256E-2</v>
          </cell>
          <cell r="AN194">
            <v>0.25034965034965051</v>
          </cell>
          <cell r="AO194">
            <v>0.18057455540355671</v>
          </cell>
          <cell r="AP194">
            <v>0.16975748930099877</v>
          </cell>
          <cell r="AQ194">
            <v>0.14191852825229967</v>
          </cell>
          <cell r="AR194">
            <v>0.18500687757909229</v>
          </cell>
          <cell r="AS194">
            <v>5.4809843400447367E-2</v>
          </cell>
          <cell r="AT194">
            <v>5.0984936268829717E-2</v>
          </cell>
          <cell r="AU194">
            <v>0.13536585365853648</v>
          </cell>
          <cell r="AV194">
            <v>0.18411967779056337</v>
          </cell>
          <cell r="AW194">
            <v>0.10562971561230405</v>
          </cell>
          <cell r="AX194">
            <v>-1.378579003181335E-2</v>
          </cell>
          <cell r="AY194">
            <v>7.1664829106945938E-2</v>
          </cell>
          <cell r="AZ194">
            <v>-0.10311493018259932</v>
          </cell>
          <cell r="BA194">
            <v>5.7337220602526884E-2</v>
          </cell>
          <cell r="BB194">
            <v>3.937007874015741E-3</v>
          </cell>
          <cell r="BC194">
            <v>2.4731182795698858E-2</v>
          </cell>
          <cell r="BD194">
            <v>0.13786008230452662</v>
          </cell>
          <cell r="BE194">
            <v>1.0000000000000009E-2</v>
          </cell>
          <cell r="BF194">
            <v>1.0000000000000009E-2</v>
          </cell>
          <cell r="BG194">
            <v>4.6073202614379083E-2</v>
          </cell>
          <cell r="BH194">
            <v>1.0000000000000231E-2</v>
          </cell>
          <cell r="BI194">
            <v>1.0000000000000009E-2</v>
          </cell>
          <cell r="BJ194">
            <v>1.0000000000000009E-2</v>
          </cell>
          <cell r="BK194">
            <v>1.0000000000000009E-2</v>
          </cell>
          <cell r="BL194">
            <v>1.0000000000000009E-2</v>
          </cell>
          <cell r="BM194">
            <v>1.0000000000000009E-2</v>
          </cell>
          <cell r="BN194">
            <v>1.0000000000000009E-2</v>
          </cell>
          <cell r="BO194">
            <v>1.0000000000000231E-2</v>
          </cell>
          <cell r="BP194">
            <v>1.0000000000000231E-2</v>
          </cell>
          <cell r="BQ194">
            <v>1.0000000000000231E-2</v>
          </cell>
          <cell r="BR194">
            <v>1.0000000000000009E-2</v>
          </cell>
          <cell r="BS194">
            <v>1.0000000000000231E-2</v>
          </cell>
          <cell r="BT194">
            <v>1.0000000000000009E-2</v>
          </cell>
          <cell r="BU194">
            <v>1.0000000000000009E-2</v>
          </cell>
          <cell r="BZ194" t="str">
            <v>YoY Change</v>
          </cell>
          <cell r="CA194">
            <v>0</v>
          </cell>
          <cell r="CB194">
            <v>0.20559440559440567</v>
          </cell>
          <cell r="CC194">
            <v>0.15545243619489546</v>
          </cell>
          <cell r="CD194">
            <v>0.3744979919678717</v>
          </cell>
          <cell r="CE194">
            <v>0.40357925493060631</v>
          </cell>
          <cell r="CF194">
            <v>0.19854280510018207</v>
          </cell>
          <cell r="CG194">
            <v>0.20082501085540594</v>
          </cell>
          <cell r="CH194">
            <v>0.29343699150244063</v>
          </cell>
          <cell r="CI194">
            <v>0.21973720995247414</v>
          </cell>
          <cell r="CJ194">
            <v>-4.9278019711207488E-3</v>
          </cell>
          <cell r="CK194">
            <v>-0.53391684901531722</v>
          </cell>
          <cell r="CL194">
            <v>-0.24660242154682488</v>
          </cell>
          <cell r="CM194">
            <v>-4.6244670383732256E-2</v>
          </cell>
          <cell r="CN194">
            <v>0.18500687757909229</v>
          </cell>
          <cell r="CO194">
            <v>0.10562971561230405</v>
          </cell>
          <cell r="CP194">
            <v>3.937007874015741E-3</v>
          </cell>
          <cell r="CQ194">
            <v>4.6073202614379083E-2</v>
          </cell>
          <cell r="CR194">
            <v>1.0000000000000009E-2</v>
          </cell>
          <cell r="CS194">
            <v>1.0000000000000231E-2</v>
          </cell>
          <cell r="CT194">
            <v>1.0000000000000009E-2</v>
          </cell>
          <cell r="CU194">
            <v>1.0000000000000231E-2</v>
          </cell>
          <cell r="CV194">
            <v>1.0000000000000009E-2</v>
          </cell>
          <cell r="CW194">
            <v>1.0000000000000009E-2</v>
          </cell>
        </row>
        <row r="195">
          <cell r="A195" t="str">
            <v>BULL</v>
          </cell>
          <cell r="BE195">
            <v>3.0000000000000009E-2</v>
          </cell>
          <cell r="BF195">
            <v>3.0000000000000009E-2</v>
          </cell>
          <cell r="BH195">
            <v>3.0000000000000231E-2</v>
          </cell>
          <cell r="BI195">
            <v>3.0000000000000009E-2</v>
          </cell>
          <cell r="BJ195">
            <v>3.0000000000000009E-2</v>
          </cell>
          <cell r="BK195">
            <v>3.0000000000000009E-2</v>
          </cell>
          <cell r="BM195">
            <v>3.0000000000000009E-2</v>
          </cell>
          <cell r="BN195">
            <v>3.0000000000000009E-2</v>
          </cell>
          <cell r="BO195">
            <v>3.0000000000000231E-2</v>
          </cell>
          <cell r="BP195">
            <v>3.0000000000000231E-2</v>
          </cell>
          <cell r="BR195">
            <v>3.0000000000000009E-2</v>
          </cell>
          <cell r="BS195">
            <v>3.0000000000000231E-2</v>
          </cell>
          <cell r="BT195">
            <v>3.0000000000000009E-2</v>
          </cell>
          <cell r="BU195">
            <v>3.0000000000000009E-2</v>
          </cell>
        </row>
        <row r="196">
          <cell r="A196" t="str">
            <v>BASE</v>
          </cell>
          <cell r="BE196">
            <v>1.0000000000000009E-2</v>
          </cell>
          <cell r="BF196">
            <v>1.0000000000000009E-2</v>
          </cell>
          <cell r="BH196">
            <v>1.0000000000000231E-2</v>
          </cell>
          <cell r="BI196">
            <v>1.0000000000000009E-2</v>
          </cell>
          <cell r="BJ196">
            <v>1.0000000000000009E-2</v>
          </cell>
          <cell r="BK196">
            <v>1.0000000000000009E-2</v>
          </cell>
          <cell r="BM196">
            <v>1.0000000000000009E-2</v>
          </cell>
          <cell r="BN196">
            <v>1.0000000000000009E-2</v>
          </cell>
          <cell r="BO196">
            <v>1.0000000000000231E-2</v>
          </cell>
          <cell r="BP196">
            <v>1.0000000000000231E-2</v>
          </cell>
          <cell r="BR196">
            <v>1.0000000000000009E-2</v>
          </cell>
          <cell r="BS196">
            <v>1.0000000000000231E-2</v>
          </cell>
          <cell r="BT196">
            <v>1.0000000000000009E-2</v>
          </cell>
          <cell r="BU196">
            <v>1.0000000000000009E-2</v>
          </cell>
        </row>
        <row r="197">
          <cell r="A197" t="str">
            <v>BEAR</v>
          </cell>
          <cell r="BE197">
            <v>-9.9999999999999915E-3</v>
          </cell>
          <cell r="BF197">
            <v>-9.9999999999999915E-3</v>
          </cell>
          <cell r="BH197">
            <v>-9.9999999999997695E-3</v>
          </cell>
          <cell r="BI197">
            <v>-9.9999999999999915E-3</v>
          </cell>
          <cell r="BJ197">
            <v>-9.9999999999999915E-3</v>
          </cell>
          <cell r="BK197">
            <v>-9.9999999999999915E-3</v>
          </cell>
          <cell r="BM197">
            <v>-9.9999999999999915E-3</v>
          </cell>
          <cell r="BN197">
            <v>-9.9999999999999915E-3</v>
          </cell>
          <cell r="BO197">
            <v>-9.9999999999997695E-3</v>
          </cell>
          <cell r="BP197">
            <v>-9.9999999999997695E-3</v>
          </cell>
          <cell r="BR197">
            <v>-9.9999999999999915E-3</v>
          </cell>
          <cell r="BS197">
            <v>-9.9999999999997695E-3</v>
          </cell>
          <cell r="BT197">
            <v>-9.9999999999999915E-3</v>
          </cell>
          <cell r="BU197">
            <v>-9.9999999999999915E-3</v>
          </cell>
        </row>
        <row r="200">
          <cell r="A200" t="str">
            <v xml:space="preserve">Corporate Finance </v>
          </cell>
          <cell r="C200">
            <v>143.6</v>
          </cell>
          <cell r="D200">
            <v>165.5</v>
          </cell>
          <cell r="E200">
            <v>162.69999999999999</v>
          </cell>
          <cell r="F200">
            <v>225.7</v>
          </cell>
          <cell r="G200">
            <v>227.7</v>
          </cell>
          <cell r="H200">
            <v>278.8</v>
          </cell>
          <cell r="I200">
            <v>299.60000000000002</v>
          </cell>
          <cell r="J200">
            <v>80.900000000000006</v>
          </cell>
          <cell r="K200">
            <v>79.5</v>
          </cell>
          <cell r="L200">
            <v>77.7</v>
          </cell>
          <cell r="M200">
            <v>85.099999999999966</v>
          </cell>
          <cell r="N200">
            <v>323.2</v>
          </cell>
          <cell r="O200">
            <v>71.2</v>
          </cell>
          <cell r="P200">
            <v>92.1</v>
          </cell>
          <cell r="Q200">
            <v>80.2</v>
          </cell>
          <cell r="R200">
            <v>92.4</v>
          </cell>
          <cell r="S200">
            <v>335.9</v>
          </cell>
          <cell r="T200">
            <v>103.3</v>
          </cell>
          <cell r="U200">
            <v>125.9</v>
          </cell>
          <cell r="V200">
            <v>93.4</v>
          </cell>
          <cell r="W200">
            <v>93.899999999999991</v>
          </cell>
          <cell r="X200">
            <v>416.5</v>
          </cell>
          <cell r="Y200">
            <v>73.3</v>
          </cell>
          <cell r="Z200">
            <v>98.9</v>
          </cell>
          <cell r="AA200">
            <v>77</v>
          </cell>
          <cell r="AB200">
            <v>57.8</v>
          </cell>
          <cell r="AC200">
            <v>307</v>
          </cell>
          <cell r="AD200">
            <v>84.1</v>
          </cell>
          <cell r="AE200">
            <v>107.5</v>
          </cell>
          <cell r="AF200">
            <v>101.4</v>
          </cell>
          <cell r="AG200">
            <v>115.20000000000002</v>
          </cell>
          <cell r="AH200">
            <v>408.20000000000005</v>
          </cell>
          <cell r="AI200">
            <v>126.4</v>
          </cell>
          <cell r="AJ200">
            <v>127.9</v>
          </cell>
          <cell r="AK200">
            <v>144.9</v>
          </cell>
          <cell r="AL200">
            <v>164.70000000000002</v>
          </cell>
          <cell r="AM200">
            <v>563.90000000000009</v>
          </cell>
          <cell r="AN200">
            <v>181.8</v>
          </cell>
          <cell r="AO200">
            <v>200.1</v>
          </cell>
          <cell r="AP200">
            <v>129</v>
          </cell>
          <cell r="AQ200">
            <v>141.20000000000005</v>
          </cell>
          <cell r="AR200">
            <v>652.1</v>
          </cell>
          <cell r="AS200">
            <v>200.5</v>
          </cell>
          <cell r="AT200">
            <v>191.5</v>
          </cell>
          <cell r="AU200">
            <v>220.7</v>
          </cell>
          <cell r="AV200">
            <v>244.90000000000003</v>
          </cell>
          <cell r="AW200">
            <v>857.60000000000014</v>
          </cell>
          <cell r="AX200">
            <v>258.3</v>
          </cell>
          <cell r="AY200">
            <v>262.89999999999998</v>
          </cell>
          <cell r="AZ200">
            <v>233</v>
          </cell>
          <cell r="BA200">
            <v>242.60000000000002</v>
          </cell>
          <cell r="BB200">
            <v>996.80000000000007</v>
          </cell>
          <cell r="BC200">
            <v>264.39999999999998</v>
          </cell>
          <cell r="BD200">
            <v>320.89999999999998</v>
          </cell>
          <cell r="BE200">
            <v>235.33</v>
          </cell>
          <cell r="BF200">
            <v>245.02600000000004</v>
          </cell>
          <cell r="BG200">
            <v>1065.6559999999999</v>
          </cell>
          <cell r="BH200">
            <v>267.04399999999998</v>
          </cell>
          <cell r="BI200">
            <v>324.10899999999998</v>
          </cell>
          <cell r="BJ200">
            <v>237.6833</v>
          </cell>
          <cell r="BK200">
            <v>247.47626000000005</v>
          </cell>
          <cell r="BL200">
            <v>1076.3125600000001</v>
          </cell>
          <cell r="BM200">
            <v>269.71443999999997</v>
          </cell>
          <cell r="BN200">
            <v>327.35008999999997</v>
          </cell>
          <cell r="BO200">
            <v>240.06013300000001</v>
          </cell>
          <cell r="BP200">
            <v>249.95102260000004</v>
          </cell>
          <cell r="BQ200">
            <v>1087.0756855999998</v>
          </cell>
          <cell r="BR200">
            <v>1097.9464424559999</v>
          </cell>
          <cell r="BS200">
            <v>1108.92590688056</v>
          </cell>
          <cell r="BT200">
            <v>1120.0151659493656</v>
          </cell>
          <cell r="BU200">
            <v>1131.2153176088593</v>
          </cell>
          <cell r="BZ200" t="str">
            <v xml:space="preserve">Corporate Finance </v>
          </cell>
          <cell r="CA200">
            <v>143.6</v>
          </cell>
          <cell r="CB200">
            <v>165.5</v>
          </cell>
          <cell r="CC200">
            <v>162.69999999999999</v>
          </cell>
          <cell r="CD200">
            <v>225.7</v>
          </cell>
          <cell r="CE200">
            <v>227.7</v>
          </cell>
          <cell r="CF200">
            <v>278.8</v>
          </cell>
          <cell r="CG200">
            <v>299.60000000000002</v>
          </cell>
          <cell r="CH200">
            <v>323.2</v>
          </cell>
          <cell r="CI200">
            <v>335.9</v>
          </cell>
          <cell r="CJ200">
            <v>416.5</v>
          </cell>
          <cell r="CK200">
            <v>307</v>
          </cell>
          <cell r="CL200">
            <v>408.20000000000005</v>
          </cell>
          <cell r="CM200">
            <v>563.90000000000009</v>
          </cell>
          <cell r="CN200">
            <v>652.1</v>
          </cell>
          <cell r="CO200">
            <v>857.60000000000014</v>
          </cell>
          <cell r="CP200">
            <v>996.80000000000007</v>
          </cell>
          <cell r="CQ200">
            <v>1065.6559999999999</v>
          </cell>
          <cell r="CR200">
            <v>1076.3125600000001</v>
          </cell>
          <cell r="CS200">
            <v>1087.0756855999998</v>
          </cell>
          <cell r="CT200">
            <v>1097.9464424559999</v>
          </cell>
          <cell r="CU200">
            <v>1108.92590688056</v>
          </cell>
          <cell r="CV200">
            <v>1120.0151659493656</v>
          </cell>
          <cell r="CW200">
            <v>1131.2153176088593</v>
          </cell>
          <cell r="CY200">
            <v>1071.509</v>
          </cell>
        </row>
        <row r="201">
          <cell r="A201" t="str">
            <v>YoY Change</v>
          </cell>
          <cell r="D201">
            <v>0.15250696378830098</v>
          </cell>
          <cell r="E201">
            <v>-1.6918429003021207E-2</v>
          </cell>
          <cell r="F201">
            <v>0.38721573448063928</v>
          </cell>
          <cell r="G201">
            <v>8.8613203367302606E-3</v>
          </cell>
          <cell r="H201">
            <v>0.22441809398331158</v>
          </cell>
          <cell r="I201">
            <v>7.4605451936872402E-2</v>
          </cell>
          <cell r="J201" t="str">
            <v>NM</v>
          </cell>
          <cell r="K201" t="str">
            <v>NM</v>
          </cell>
          <cell r="L201" t="str">
            <v>NM</v>
          </cell>
          <cell r="M201" t="str">
            <v>NM</v>
          </cell>
          <cell r="N201">
            <v>7.8771695594125335E-2</v>
          </cell>
          <cell r="O201">
            <v>-0.11990111248454882</v>
          </cell>
          <cell r="P201">
            <v>0.15849056603773581</v>
          </cell>
          <cell r="Q201">
            <v>3.2175032175032259E-2</v>
          </cell>
          <cell r="R201">
            <v>8.5781433607521107E-2</v>
          </cell>
          <cell r="S201">
            <v>3.9294554455445496E-2</v>
          </cell>
          <cell r="T201">
            <v>0.45084269662921339</v>
          </cell>
          <cell r="U201">
            <v>0.36699239956568963</v>
          </cell>
          <cell r="V201">
            <v>0.1645885286783042</v>
          </cell>
          <cell r="W201">
            <v>1.6233766233766156E-2</v>
          </cell>
          <cell r="X201">
            <v>0.23995236677582632</v>
          </cell>
          <cell r="Y201">
            <v>-0.29041626331074544</v>
          </cell>
          <cell r="Z201">
            <v>-0.21445591739475778</v>
          </cell>
          <cell r="AA201">
            <v>-0.17558886509635985</v>
          </cell>
          <cell r="AB201">
            <v>-0.38445154419595307</v>
          </cell>
          <cell r="AC201">
            <v>-0.26290516206482595</v>
          </cell>
          <cell r="AD201">
            <v>0.14733969986357431</v>
          </cell>
          <cell r="AE201">
            <v>8.6956521739130377E-2</v>
          </cell>
          <cell r="AF201">
            <v>0.31688311688311699</v>
          </cell>
          <cell r="AG201">
            <v>0.99307958477508684</v>
          </cell>
          <cell r="AH201">
            <v>0.32964169381107511</v>
          </cell>
          <cell r="AI201">
            <v>0.50297265160523197</v>
          </cell>
          <cell r="AJ201">
            <v>0.18976744186046512</v>
          </cell>
          <cell r="AK201">
            <v>0.42899408284023677</v>
          </cell>
          <cell r="AL201">
            <v>0.4296875</v>
          </cell>
          <cell r="AM201">
            <v>0.38143067123958851</v>
          </cell>
          <cell r="AN201">
            <v>0.43829113924050644</v>
          </cell>
          <cell r="AO201">
            <v>0.56450351837372925</v>
          </cell>
          <cell r="AP201">
            <v>-0.1097308488612837</v>
          </cell>
          <cell r="AQ201">
            <v>-0.14268366727383097</v>
          </cell>
          <cell r="AR201">
            <v>0.15641071111899252</v>
          </cell>
          <cell r="AS201">
            <v>0.10286028602860275</v>
          </cell>
          <cell r="AT201">
            <v>-4.2978510744627663E-2</v>
          </cell>
          <cell r="AU201">
            <v>0.71085271317829446</v>
          </cell>
          <cell r="AV201">
            <v>0.73441926345609043</v>
          </cell>
          <cell r="AW201">
            <v>0.31513571538107676</v>
          </cell>
          <cell r="AX201">
            <v>0.28827930174563599</v>
          </cell>
          <cell r="AY201">
            <v>0.37284595300261092</v>
          </cell>
          <cell r="AZ201">
            <v>5.5731762573629329E-2</v>
          </cell>
          <cell r="BA201">
            <v>-9.3915884034300179E-3</v>
          </cell>
          <cell r="BB201">
            <v>0.16231343283582089</v>
          </cell>
          <cell r="BC201">
            <v>2.3615950445218692E-2</v>
          </cell>
          <cell r="BD201">
            <v>0.2206162038798023</v>
          </cell>
          <cell r="BE201">
            <v>1.0000000000000009E-2</v>
          </cell>
          <cell r="BF201">
            <v>1.0000000000000009E-2</v>
          </cell>
          <cell r="BG201">
            <v>6.9077046548956522E-2</v>
          </cell>
          <cell r="BH201">
            <v>1.0000000000000009E-2</v>
          </cell>
          <cell r="BI201">
            <v>1.0000000000000009E-2</v>
          </cell>
          <cell r="BJ201">
            <v>1.0000000000000009E-2</v>
          </cell>
          <cell r="BK201">
            <v>1.0000000000000009E-2</v>
          </cell>
          <cell r="BL201">
            <v>1.0000000000000009E-2</v>
          </cell>
          <cell r="BM201">
            <v>1.0000000000000009E-2</v>
          </cell>
          <cell r="BN201">
            <v>1.0000000000000009E-2</v>
          </cell>
          <cell r="BO201">
            <v>1.0000000000000009E-2</v>
          </cell>
          <cell r="BP201">
            <v>1.0000000000000009E-2</v>
          </cell>
          <cell r="BQ201">
            <v>9.9999999999997868E-3</v>
          </cell>
          <cell r="BR201">
            <v>1.0000000000000009E-2</v>
          </cell>
          <cell r="BS201">
            <v>1.0000000000000009E-2</v>
          </cell>
          <cell r="BT201">
            <v>1.0000000000000009E-2</v>
          </cell>
          <cell r="BU201">
            <v>1.0000000000000009E-2</v>
          </cell>
          <cell r="BZ201" t="str">
            <v>YoY Change</v>
          </cell>
          <cell r="CA201">
            <v>0</v>
          </cell>
          <cell r="CB201">
            <v>0.15250696378830098</v>
          </cell>
          <cell r="CC201">
            <v>-1.6918429003021207E-2</v>
          </cell>
          <cell r="CD201">
            <v>0.38721573448063928</v>
          </cell>
          <cell r="CE201">
            <v>8.8613203367302606E-3</v>
          </cell>
          <cell r="CF201">
            <v>0.22441809398331158</v>
          </cell>
          <cell r="CG201">
            <v>7.4605451936872402E-2</v>
          </cell>
          <cell r="CH201">
            <v>7.8771695594125335E-2</v>
          </cell>
          <cell r="CI201">
            <v>3.9294554455445496E-2</v>
          </cell>
          <cell r="CJ201">
            <v>0.23995236677582632</v>
          </cell>
          <cell r="CK201">
            <v>-0.26290516206482595</v>
          </cell>
          <cell r="CL201">
            <v>0.32964169381107511</v>
          </cell>
          <cell r="CM201">
            <v>0.38143067123958851</v>
          </cell>
          <cell r="CN201">
            <v>0.15641071111899252</v>
          </cell>
          <cell r="CO201">
            <v>0.31513571538107676</v>
          </cell>
          <cell r="CP201">
            <v>0.16231343283582089</v>
          </cell>
          <cell r="CQ201">
            <v>6.9077046548956522E-2</v>
          </cell>
          <cell r="CR201">
            <v>1.0000000000000009E-2</v>
          </cell>
          <cell r="CS201">
            <v>9.9999999999997868E-3</v>
          </cell>
          <cell r="CT201">
            <v>1.0000000000000009E-2</v>
          </cell>
          <cell r="CU201">
            <v>1.0000000000000009E-2</v>
          </cell>
          <cell r="CV201">
            <v>1.0000000000000009E-2</v>
          </cell>
          <cell r="CW201">
            <v>1.0000000000000009E-2</v>
          </cell>
        </row>
        <row r="202">
          <cell r="A202" t="str">
            <v>BULL</v>
          </cell>
          <cell r="BE202">
            <v>4.0000000000000008E-2</v>
          </cell>
          <cell r="BF202">
            <v>4.0000000000000008E-2</v>
          </cell>
          <cell r="BH202">
            <v>4.0000000000000008E-2</v>
          </cell>
          <cell r="BI202">
            <v>4.0000000000000008E-2</v>
          </cell>
          <cell r="BJ202">
            <v>4.0000000000000008E-2</v>
          </cell>
          <cell r="BK202">
            <v>4.0000000000000008E-2</v>
          </cell>
          <cell r="BM202">
            <v>4.0000000000000008E-2</v>
          </cell>
          <cell r="BN202">
            <v>4.0000000000000008E-2</v>
          </cell>
          <cell r="BO202">
            <v>4.0000000000000008E-2</v>
          </cell>
          <cell r="BP202">
            <v>4.0000000000000008E-2</v>
          </cell>
          <cell r="BR202">
            <v>4.0000000000000008E-2</v>
          </cell>
          <cell r="BS202">
            <v>4.0000000000000008E-2</v>
          </cell>
          <cell r="BT202">
            <v>4.0000000000000008E-2</v>
          </cell>
          <cell r="BU202">
            <v>4.0000000000000008E-2</v>
          </cell>
        </row>
        <row r="203">
          <cell r="A203" t="str">
            <v>BASE</v>
          </cell>
          <cell r="BE203">
            <v>1.0000000000000009E-2</v>
          </cell>
          <cell r="BF203">
            <v>1.0000000000000009E-2</v>
          </cell>
          <cell r="BH203">
            <v>1.0000000000000009E-2</v>
          </cell>
          <cell r="BI203">
            <v>1.0000000000000009E-2</v>
          </cell>
          <cell r="BJ203">
            <v>1.0000000000000009E-2</v>
          </cell>
          <cell r="BK203">
            <v>1.0000000000000009E-2</v>
          </cell>
          <cell r="BM203">
            <v>1.0000000000000009E-2</v>
          </cell>
          <cell r="BN203">
            <v>1.0000000000000009E-2</v>
          </cell>
          <cell r="BO203">
            <v>1.0000000000000009E-2</v>
          </cell>
          <cell r="BP203">
            <v>1.0000000000000009E-2</v>
          </cell>
          <cell r="BR203">
            <v>1.0000000000000009E-2</v>
          </cell>
          <cell r="BS203">
            <v>1.0000000000000009E-2</v>
          </cell>
          <cell r="BT203">
            <v>1.0000000000000009E-2</v>
          </cell>
          <cell r="BU203">
            <v>1.0000000000000009E-2</v>
          </cell>
        </row>
        <row r="204">
          <cell r="A204" t="str">
            <v>BEAR</v>
          </cell>
          <cell r="BE204">
            <v>-1.999999999999999E-2</v>
          </cell>
          <cell r="BF204">
            <v>-1.999999999999999E-2</v>
          </cell>
          <cell r="BH204">
            <v>-1.999999999999999E-2</v>
          </cell>
          <cell r="BI204">
            <v>-1.999999999999999E-2</v>
          </cell>
          <cell r="BJ204">
            <v>-1.999999999999999E-2</v>
          </cell>
          <cell r="BK204">
            <v>-1.999999999999999E-2</v>
          </cell>
          <cell r="BM204">
            <v>-1.999999999999999E-2</v>
          </cell>
          <cell r="BN204">
            <v>-1.999999999999999E-2</v>
          </cell>
          <cell r="BO204">
            <v>-1.999999999999999E-2</v>
          </cell>
          <cell r="BP204">
            <v>-1.999999999999999E-2</v>
          </cell>
          <cell r="BR204">
            <v>-1.999999999999999E-2</v>
          </cell>
          <cell r="BS204">
            <v>-1.999999999999999E-2</v>
          </cell>
          <cell r="BT204">
            <v>-1.999999999999999E-2</v>
          </cell>
          <cell r="BU204">
            <v>-1.999999999999999E-2</v>
          </cell>
        </row>
        <row r="207">
          <cell r="A207" t="str">
            <v xml:space="preserve">Financial Institutions </v>
          </cell>
          <cell r="C207">
            <v>90.1</v>
          </cell>
          <cell r="D207">
            <v>104.8</v>
          </cell>
          <cell r="E207">
            <v>111.6</v>
          </cell>
          <cell r="F207">
            <v>130.69999999999999</v>
          </cell>
          <cell r="G207">
            <v>155</v>
          </cell>
          <cell r="H207">
            <v>181.2</v>
          </cell>
          <cell r="I207">
            <v>208.9</v>
          </cell>
          <cell r="J207">
            <v>65.7</v>
          </cell>
          <cell r="K207">
            <v>65.599999999999994</v>
          </cell>
          <cell r="L207">
            <v>58.4</v>
          </cell>
          <cell r="M207">
            <v>64.899999999999977</v>
          </cell>
          <cell r="N207">
            <v>254.6</v>
          </cell>
          <cell r="O207">
            <v>56.6</v>
          </cell>
          <cell r="P207">
            <v>58.9</v>
          </cell>
          <cell r="Q207">
            <v>56.1</v>
          </cell>
          <cell r="R207">
            <v>61.5</v>
          </cell>
          <cell r="S207">
            <v>233.1</v>
          </cell>
          <cell r="T207">
            <v>69.599999999999994</v>
          </cell>
          <cell r="U207">
            <v>74.900000000000006</v>
          </cell>
          <cell r="V207">
            <v>63.3</v>
          </cell>
          <cell r="W207">
            <v>66.500000000000028</v>
          </cell>
          <cell r="X207">
            <v>274.30000000000007</v>
          </cell>
          <cell r="Y207">
            <v>67</v>
          </cell>
          <cell r="Z207">
            <v>75.099999999999994</v>
          </cell>
          <cell r="AA207">
            <v>64.400000000000006</v>
          </cell>
          <cell r="AB207">
            <v>56.5</v>
          </cell>
          <cell r="AC207">
            <v>263</v>
          </cell>
          <cell r="AD207">
            <v>56.3</v>
          </cell>
          <cell r="AE207">
            <v>67.3</v>
          </cell>
          <cell r="AF207">
            <v>62.9</v>
          </cell>
          <cell r="AG207">
            <v>71.999999999999972</v>
          </cell>
          <cell r="AH207">
            <v>258.5</v>
          </cell>
          <cell r="AI207">
            <v>76.2</v>
          </cell>
          <cell r="AJ207">
            <v>63.2</v>
          </cell>
          <cell r="AK207">
            <v>73.599999999999994</v>
          </cell>
          <cell r="AL207">
            <v>65.700000000000017</v>
          </cell>
          <cell r="AM207">
            <v>278.70000000000005</v>
          </cell>
          <cell r="AN207">
            <v>76.900000000000006</v>
          </cell>
          <cell r="AO207">
            <v>79.099999999999994</v>
          </cell>
          <cell r="AP207">
            <v>72.099999999999994</v>
          </cell>
          <cell r="AQ207">
            <v>66.799999999999983</v>
          </cell>
          <cell r="AR207">
            <v>294.89999999999998</v>
          </cell>
          <cell r="AS207">
            <v>78.8</v>
          </cell>
          <cell r="AT207">
            <v>77.8</v>
          </cell>
          <cell r="AU207">
            <v>82.7</v>
          </cell>
          <cell r="AV207">
            <v>86.199999999999974</v>
          </cell>
          <cell r="AW207">
            <v>325.5</v>
          </cell>
          <cell r="AX207">
            <v>86.5</v>
          </cell>
          <cell r="AY207">
            <v>84.5</v>
          </cell>
          <cell r="AZ207">
            <v>78.900000000000006</v>
          </cell>
          <cell r="BA207">
            <v>88.9</v>
          </cell>
          <cell r="BB207">
            <v>338.8</v>
          </cell>
          <cell r="BC207">
            <v>85.4</v>
          </cell>
          <cell r="BD207">
            <v>92.2</v>
          </cell>
          <cell r="BE207">
            <v>84.363750000000024</v>
          </cell>
          <cell r="BF207">
            <v>93.831865454545465</v>
          </cell>
          <cell r="BG207">
            <v>355.79561545454555</v>
          </cell>
          <cell r="BH207">
            <v>90.869194596</v>
          </cell>
          <cell r="BI207">
            <v>94.702988196000021</v>
          </cell>
          <cell r="BJ207">
            <v>86.827556946000016</v>
          </cell>
          <cell r="BK207">
            <v>96.363639121212131</v>
          </cell>
          <cell r="BL207">
            <v>368.7633788592122</v>
          </cell>
          <cell r="BM207">
            <v>93.365528764979985</v>
          </cell>
          <cell r="BN207">
            <v>97.218491332980022</v>
          </cell>
          <cell r="BO207">
            <v>89.303682926730033</v>
          </cell>
          <cell r="BP207">
            <v>98.90807165621213</v>
          </cell>
          <cell r="BQ207">
            <v>378.79577468090218</v>
          </cell>
          <cell r="BR207">
            <v>381.75623029471114</v>
          </cell>
          <cell r="BS207">
            <v>384.73148818658922</v>
          </cell>
          <cell r="BT207">
            <v>387.72162236792656</v>
          </cell>
          <cell r="BU207">
            <v>390.72670722017068</v>
          </cell>
          <cell r="BZ207" t="str">
            <v xml:space="preserve">Financial Institutions </v>
          </cell>
          <cell r="CA207">
            <v>90.1</v>
          </cell>
          <cell r="CB207">
            <v>104.8</v>
          </cell>
          <cell r="CC207">
            <v>111.6</v>
          </cell>
          <cell r="CD207">
            <v>130.69999999999999</v>
          </cell>
          <cell r="CE207">
            <v>155</v>
          </cell>
          <cell r="CF207">
            <v>181.2</v>
          </cell>
          <cell r="CG207">
            <v>208.9</v>
          </cell>
          <cell r="CH207">
            <v>254.6</v>
          </cell>
          <cell r="CI207">
            <v>233.1</v>
          </cell>
          <cell r="CJ207">
            <v>274.30000000000007</v>
          </cell>
          <cell r="CK207">
            <v>263</v>
          </cell>
          <cell r="CL207">
            <v>258.5</v>
          </cell>
          <cell r="CM207">
            <v>278.70000000000005</v>
          </cell>
          <cell r="CN207">
            <v>294.89999999999998</v>
          </cell>
          <cell r="CO207">
            <v>325.5</v>
          </cell>
          <cell r="CP207">
            <v>338.8</v>
          </cell>
          <cell r="CQ207">
            <v>355.79561545454555</v>
          </cell>
          <cell r="CR207">
            <v>368.7633788592122</v>
          </cell>
          <cell r="CS207">
            <v>378.79577468090218</v>
          </cell>
          <cell r="CT207">
            <v>381.75623029471114</v>
          </cell>
          <cell r="CU207">
            <v>384.73148818658922</v>
          </cell>
          <cell r="CV207">
            <v>387.72162236792656</v>
          </cell>
          <cell r="CW207">
            <v>390.72670722017068</v>
          </cell>
          <cell r="CY207">
            <v>363.76779824654551</v>
          </cell>
        </row>
        <row r="208">
          <cell r="A208" t="str">
            <v>YoY Change</v>
          </cell>
          <cell r="D208">
            <v>0.16315205327413995</v>
          </cell>
          <cell r="E208">
            <v>6.4885496183206159E-2</v>
          </cell>
          <cell r="F208">
            <v>0.17114695340501784</v>
          </cell>
          <cell r="G208">
            <v>0.18592195868400929</v>
          </cell>
          <cell r="H208">
            <v>0.16903225806451605</v>
          </cell>
          <cell r="I208">
            <v>0.15286975717439311</v>
          </cell>
          <cell r="J208" t="str">
            <v>NM</v>
          </cell>
          <cell r="K208" t="str">
            <v>NM</v>
          </cell>
          <cell r="L208" t="str">
            <v>NM</v>
          </cell>
          <cell r="M208" t="str">
            <v>NM</v>
          </cell>
          <cell r="N208">
            <v>0.21876495931067486</v>
          </cell>
          <cell r="O208">
            <v>-0.13850837138508376</v>
          </cell>
          <cell r="P208">
            <v>-0.10213414634146334</v>
          </cell>
          <cell r="Q208">
            <v>-3.9383561643835607E-2</v>
          </cell>
          <cell r="R208">
            <v>-5.2388289676424948E-2</v>
          </cell>
          <cell r="S208">
            <v>-8.4446190102120955E-2</v>
          </cell>
          <cell r="T208">
            <v>0.22968197879858643</v>
          </cell>
          <cell r="U208">
            <v>0.27164685908319197</v>
          </cell>
          <cell r="V208">
            <v>0.12834224598930466</v>
          </cell>
          <cell r="W208">
            <v>8.1300813008130524E-2</v>
          </cell>
          <cell r="X208">
            <v>0.17674817674817711</v>
          </cell>
          <cell r="Y208">
            <v>-3.7356321839080331E-2</v>
          </cell>
          <cell r="Z208">
            <v>2.6702269692921998E-3</v>
          </cell>
          <cell r="AA208">
            <v>1.7377567140600458E-2</v>
          </cell>
          <cell r="AB208">
            <v>-0.15037593984962438</v>
          </cell>
          <cell r="AC208">
            <v>-4.1195771053591179E-2</v>
          </cell>
          <cell r="AD208">
            <v>-0.15970149253731347</v>
          </cell>
          <cell r="AE208">
            <v>-0.10386151797603194</v>
          </cell>
          <cell r="AF208">
            <v>-2.3291925465838581E-2</v>
          </cell>
          <cell r="AG208">
            <v>0.27433628318584025</v>
          </cell>
          <cell r="AH208">
            <v>-1.7110266159695797E-2</v>
          </cell>
          <cell r="AI208">
            <v>0.35346358792184729</v>
          </cell>
          <cell r="AJ208">
            <v>-6.0921248142644768E-2</v>
          </cell>
          <cell r="AK208">
            <v>0.17011128775834661</v>
          </cell>
          <cell r="AL208">
            <v>-8.7499999999999356E-2</v>
          </cell>
          <cell r="AM208">
            <v>7.8143133462282632E-2</v>
          </cell>
          <cell r="AN208">
            <v>9.1863517060368771E-3</v>
          </cell>
          <cell r="AO208">
            <v>0.25158227848101244</v>
          </cell>
          <cell r="AP208">
            <v>-2.0380434782608647E-2</v>
          </cell>
          <cell r="AQ208">
            <v>1.6742770167427201E-2</v>
          </cell>
          <cell r="AR208">
            <v>5.8127018299246158E-2</v>
          </cell>
          <cell r="AS208">
            <v>2.4707412223667014E-2</v>
          </cell>
          <cell r="AT208">
            <v>-1.6434892541087209E-2</v>
          </cell>
          <cell r="AU208">
            <v>0.1470180305131763</v>
          </cell>
          <cell r="AV208">
            <v>0.29041916167664672</v>
          </cell>
          <cell r="AW208">
            <v>0.10376398779247209</v>
          </cell>
          <cell r="AX208">
            <v>9.7715736040609125E-2</v>
          </cell>
          <cell r="AY208">
            <v>8.6118251928020584E-2</v>
          </cell>
          <cell r="AZ208">
            <v>-4.5949214026602125E-2</v>
          </cell>
          <cell r="BA208">
            <v>3.1322505800464473E-2</v>
          </cell>
          <cell r="BB208">
            <v>4.0860215053763582E-2</v>
          </cell>
          <cell r="BC208">
            <v>-1.2716763005780285E-2</v>
          </cell>
          <cell r="BD208">
            <v>9.1124260355029518E-2</v>
          </cell>
          <cell r="BE208">
            <v>6.9249049429658038E-2</v>
          </cell>
          <cell r="BF208">
            <v>5.5476551794662043E-2</v>
          </cell>
          <cell r="BG208">
            <v>5.0164154234195735E-2</v>
          </cell>
          <cell r="BH208">
            <v>6.4042091288056158E-2</v>
          </cell>
          <cell r="BI208">
            <v>2.7147377396963268E-2</v>
          </cell>
          <cell r="BJ208">
            <v>2.9204568858069768E-2</v>
          </cell>
          <cell r="BK208">
            <v>2.6982024223882961E-2</v>
          </cell>
          <cell r="BL208">
            <v>3.6447226557583479E-2</v>
          </cell>
          <cell r="BM208">
            <v>2.7471732087849698E-2</v>
          </cell>
          <cell r="BN208">
            <v>2.6562024967721642E-2</v>
          </cell>
          <cell r="BO208">
            <v>2.851774330435175E-2</v>
          </cell>
          <cell r="BP208">
            <v>2.6404487815154587E-2</v>
          </cell>
          <cell r="BQ208">
            <v>2.7205510082713991E-2</v>
          </cell>
          <cell r="BR208">
            <v>7.815439906379229E-3</v>
          </cell>
          <cell r="BS208">
            <v>7.7936066415502658E-3</v>
          </cell>
          <cell r="BT208">
            <v>7.7720027425651761E-3</v>
          </cell>
          <cell r="BU208">
            <v>7.7506248784662279E-3</v>
          </cell>
          <cell r="BZ208" t="str">
            <v>YoY Change</v>
          </cell>
          <cell r="CA208">
            <v>0</v>
          </cell>
          <cell r="CB208">
            <v>0.16315205327413995</v>
          </cell>
          <cell r="CC208">
            <v>6.4885496183206159E-2</v>
          </cell>
          <cell r="CD208">
            <v>0.17114695340501784</v>
          </cell>
          <cell r="CE208">
            <v>0.18592195868400929</v>
          </cell>
          <cell r="CF208">
            <v>0.16903225806451605</v>
          </cell>
          <cell r="CG208">
            <v>0.15286975717439311</v>
          </cell>
          <cell r="CH208">
            <v>0.21876495931067486</v>
          </cell>
          <cell r="CI208">
            <v>-8.4446190102120955E-2</v>
          </cell>
          <cell r="CJ208">
            <v>0.17674817674817711</v>
          </cell>
          <cell r="CK208">
            <v>-4.1195771053591179E-2</v>
          </cell>
          <cell r="CL208">
            <v>-1.7110266159695797E-2</v>
          </cell>
          <cell r="CM208">
            <v>7.8143133462282632E-2</v>
          </cell>
          <cell r="CN208">
            <v>5.8127018299246158E-2</v>
          </cell>
          <cell r="CO208">
            <v>0.10376398779247209</v>
          </cell>
          <cell r="CP208">
            <v>4.0860215053763582E-2</v>
          </cell>
          <cell r="CQ208">
            <v>5.0164154234195735E-2</v>
          </cell>
          <cell r="CR208">
            <v>3.6447226557583479E-2</v>
          </cell>
          <cell r="CS208">
            <v>2.7205510082713991E-2</v>
          </cell>
          <cell r="CT208">
            <v>7.815439906379229E-3</v>
          </cell>
          <cell r="CU208">
            <v>7.7936066415502658E-3</v>
          </cell>
          <cell r="CV208">
            <v>7.7720027425651761E-3</v>
          </cell>
          <cell r="CW208">
            <v>7.7506248784662279E-3</v>
          </cell>
        </row>
        <row r="209">
          <cell r="A209" t="str">
            <v>BULL</v>
          </cell>
          <cell r="BE209">
            <v>7.9249049429658033E-2</v>
          </cell>
          <cell r="BF209">
            <v>6.5476551794662038E-2</v>
          </cell>
          <cell r="BH209">
            <v>7.4042091288056153E-2</v>
          </cell>
          <cell r="BI209">
            <v>3.714737739696327E-2</v>
          </cell>
          <cell r="BJ209">
            <v>3.920456885806977E-2</v>
          </cell>
          <cell r="BK209">
            <v>3.6982024223882963E-2</v>
          </cell>
          <cell r="BM209">
            <v>3.74717320878497E-2</v>
          </cell>
          <cell r="BN209">
            <v>3.6562024967721644E-2</v>
          </cell>
          <cell r="BO209">
            <v>3.8517743304351752E-2</v>
          </cell>
          <cell r="BP209">
            <v>3.6404487815154589E-2</v>
          </cell>
          <cell r="BR209">
            <v>1.7815439906379231E-2</v>
          </cell>
          <cell r="BS209">
            <v>1.7793606641550268E-2</v>
          </cell>
          <cell r="BT209">
            <v>1.7772002742565178E-2</v>
          </cell>
          <cell r="BU209">
            <v>1.775062487846623E-2</v>
          </cell>
        </row>
        <row r="210">
          <cell r="A210" t="str">
            <v>BASE</v>
          </cell>
          <cell r="BE210">
            <v>6.9249049429658038E-2</v>
          </cell>
          <cell r="BF210">
            <v>5.5476551794662043E-2</v>
          </cell>
          <cell r="BH210">
            <v>6.4042091288056158E-2</v>
          </cell>
          <cell r="BI210">
            <v>2.7147377396963268E-2</v>
          </cell>
          <cell r="BJ210">
            <v>2.9204568858069768E-2</v>
          </cell>
          <cell r="BK210">
            <v>2.6982024223882961E-2</v>
          </cell>
          <cell r="BM210">
            <v>2.7471732087849698E-2</v>
          </cell>
          <cell r="BN210">
            <v>2.6562024967721642E-2</v>
          </cell>
          <cell r="BO210">
            <v>2.851774330435175E-2</v>
          </cell>
          <cell r="BP210">
            <v>2.6404487815154587E-2</v>
          </cell>
          <cell r="BR210">
            <v>7.815439906379229E-3</v>
          </cell>
          <cell r="BS210">
            <v>7.7936066415502658E-3</v>
          </cell>
          <cell r="BT210">
            <v>7.7720027425651761E-3</v>
          </cell>
          <cell r="BU210">
            <v>7.7506248784662279E-3</v>
          </cell>
        </row>
        <row r="211">
          <cell r="A211" t="str">
            <v>BEAR</v>
          </cell>
          <cell r="BE211">
            <v>5.9249049429658036E-2</v>
          </cell>
          <cell r="BF211">
            <v>4.5476551794662042E-2</v>
          </cell>
          <cell r="BH211">
            <v>5.4042091288056156E-2</v>
          </cell>
          <cell r="BI211">
            <v>1.7147377396963266E-2</v>
          </cell>
          <cell r="BJ211">
            <v>1.9204568858069766E-2</v>
          </cell>
          <cell r="BK211">
            <v>1.6982024223882959E-2</v>
          </cell>
          <cell r="BM211">
            <v>1.7471732087849697E-2</v>
          </cell>
          <cell r="BN211">
            <v>1.6562024967721641E-2</v>
          </cell>
          <cell r="BO211">
            <v>1.8517743304351748E-2</v>
          </cell>
          <cell r="BP211">
            <v>1.6404487815154585E-2</v>
          </cell>
          <cell r="BR211">
            <v>-2.1845600936207712E-3</v>
          </cell>
          <cell r="BS211">
            <v>-2.2063933584497344E-3</v>
          </cell>
          <cell r="BT211">
            <v>-2.2279972574348241E-3</v>
          </cell>
          <cell r="BU211">
            <v>-2.2493751215337723E-3</v>
          </cell>
        </row>
        <row r="214">
          <cell r="A214" t="str">
            <v xml:space="preserve">Public, Project &amp; Infrastructure Finance </v>
          </cell>
          <cell r="C214">
            <v>64.8</v>
          </cell>
          <cell r="D214">
            <v>59.5</v>
          </cell>
          <cell r="E214">
            <v>46.1</v>
          </cell>
          <cell r="F214">
            <v>64.2</v>
          </cell>
          <cell r="G214">
            <v>81.2</v>
          </cell>
          <cell r="H214">
            <v>87.2</v>
          </cell>
          <cell r="I214">
            <v>82.2</v>
          </cell>
          <cell r="J214">
            <v>23.2</v>
          </cell>
          <cell r="K214">
            <v>26.2</v>
          </cell>
          <cell r="L214">
            <v>21.9</v>
          </cell>
          <cell r="M214">
            <v>20.5</v>
          </cell>
          <cell r="N214">
            <v>91.8</v>
          </cell>
          <cell r="O214">
            <v>47.5</v>
          </cell>
          <cell r="P214">
            <v>49.5</v>
          </cell>
          <cell r="Q214">
            <v>44.7</v>
          </cell>
          <cell r="R214">
            <v>56.5</v>
          </cell>
          <cell r="S214">
            <v>198.2</v>
          </cell>
          <cell r="T214">
            <v>51.1</v>
          </cell>
          <cell r="U214">
            <v>58.4</v>
          </cell>
          <cell r="V214">
            <v>53.9</v>
          </cell>
          <cell r="W214">
            <v>57.400000000000006</v>
          </cell>
          <cell r="X214">
            <v>220.8</v>
          </cell>
          <cell r="Y214">
            <v>55.5</v>
          </cell>
          <cell r="Z214">
            <v>66.2</v>
          </cell>
          <cell r="AA214">
            <v>59.7</v>
          </cell>
          <cell r="AB214">
            <v>48.599999999999994</v>
          </cell>
          <cell r="AC214">
            <v>230</v>
          </cell>
          <cell r="AD214">
            <v>57.4</v>
          </cell>
          <cell r="AE214">
            <v>60.9</v>
          </cell>
          <cell r="AF214">
            <v>61.8</v>
          </cell>
          <cell r="AG214">
            <v>65.999999999999986</v>
          </cell>
          <cell r="AH214">
            <v>246.09999999999997</v>
          </cell>
          <cell r="AI214">
            <v>61.4</v>
          </cell>
          <cell r="AJ214">
            <v>64.400000000000006</v>
          </cell>
          <cell r="AK214">
            <v>69.599999999999994</v>
          </cell>
          <cell r="AL214">
            <v>76.200000000000017</v>
          </cell>
          <cell r="AM214">
            <v>271.60000000000002</v>
          </cell>
          <cell r="AN214">
            <v>64.5</v>
          </cell>
          <cell r="AO214">
            <v>72.5</v>
          </cell>
          <cell r="AP214">
            <v>68.3</v>
          </cell>
          <cell r="AQ214">
            <v>72.000000000000014</v>
          </cell>
          <cell r="AR214">
            <v>277.3</v>
          </cell>
          <cell r="AS214">
            <v>79.099999999999994</v>
          </cell>
          <cell r="AT214">
            <v>81.2</v>
          </cell>
          <cell r="AU214">
            <v>77</v>
          </cell>
          <cell r="AV214">
            <v>85.399999999999977</v>
          </cell>
          <cell r="AW214">
            <v>322.7</v>
          </cell>
          <cell r="AX214">
            <v>83.4</v>
          </cell>
          <cell r="AY214">
            <v>92.7</v>
          </cell>
          <cell r="AZ214">
            <v>82.7</v>
          </cell>
          <cell r="BA214">
            <v>82.499999999999986</v>
          </cell>
          <cell r="BB214">
            <v>341.3</v>
          </cell>
          <cell r="BC214">
            <v>80.7</v>
          </cell>
          <cell r="BD214">
            <v>98</v>
          </cell>
          <cell r="BE214">
            <v>61.601320000000008</v>
          </cell>
          <cell r="BF214">
            <v>62.129913600000002</v>
          </cell>
          <cell r="BG214">
            <v>302.43123359999998</v>
          </cell>
          <cell r="BH214">
            <v>59.093702099999994</v>
          </cell>
          <cell r="BI214">
            <v>72.646251557999989</v>
          </cell>
          <cell r="BJ214">
            <v>63.944414757999994</v>
          </cell>
          <cell r="BK214">
            <v>64.478294294000008</v>
          </cell>
          <cell r="BL214">
            <v>260.16266271000001</v>
          </cell>
          <cell r="BM214">
            <v>61.411720678999998</v>
          </cell>
          <cell r="BN214">
            <v>75.099795631579994</v>
          </cell>
          <cell r="BO214">
            <v>66.310940463579996</v>
          </cell>
          <cell r="BP214">
            <v>66.85015879494</v>
          </cell>
          <cell r="BQ214">
            <v>269.6726155691</v>
          </cell>
          <cell r="BR214">
            <v>272.86372809260001</v>
          </cell>
          <cell r="BS214">
            <v>276.08675174133504</v>
          </cell>
          <cell r="BT214">
            <v>279.34200562655735</v>
          </cell>
          <cell r="BU214">
            <v>282.62981205063198</v>
          </cell>
          <cell r="BZ214" t="str">
            <v xml:space="preserve">Public, Project &amp; Infrastructure Finance </v>
          </cell>
          <cell r="CA214">
            <v>64.8</v>
          </cell>
          <cell r="CB214">
            <v>59.5</v>
          </cell>
          <cell r="CC214">
            <v>46.1</v>
          </cell>
          <cell r="CD214">
            <v>64.2</v>
          </cell>
          <cell r="CE214">
            <v>81.2</v>
          </cell>
          <cell r="CF214">
            <v>87.2</v>
          </cell>
          <cell r="CG214">
            <v>82.2</v>
          </cell>
          <cell r="CH214">
            <v>91.8</v>
          </cell>
          <cell r="CI214">
            <v>198.2</v>
          </cell>
          <cell r="CJ214">
            <v>220.8</v>
          </cell>
          <cell r="CK214">
            <v>230</v>
          </cell>
          <cell r="CL214">
            <v>246.09999999999997</v>
          </cell>
          <cell r="CM214">
            <v>271.60000000000002</v>
          </cell>
          <cell r="CN214">
            <v>277.3</v>
          </cell>
          <cell r="CO214">
            <v>322.7</v>
          </cell>
          <cell r="CP214">
            <v>341.3</v>
          </cell>
          <cell r="CQ214">
            <v>302.43123359999998</v>
          </cell>
          <cell r="CR214">
            <v>260.16266271000001</v>
          </cell>
          <cell r="CS214">
            <v>269.6726155691</v>
          </cell>
          <cell r="CT214">
            <v>272.86372809260001</v>
          </cell>
          <cell r="CU214">
            <v>276.08675174133504</v>
          </cell>
          <cell r="CV214">
            <v>279.34200562655735</v>
          </cell>
          <cell r="CW214">
            <v>282.62981205063198</v>
          </cell>
          <cell r="CY214">
            <v>255.47118725799999</v>
          </cell>
        </row>
        <row r="215">
          <cell r="A215" t="str">
            <v>YoY Change</v>
          </cell>
          <cell r="D215">
            <v>-8.1790123456790043E-2</v>
          </cell>
          <cell r="E215">
            <v>-0.22521008403361342</v>
          </cell>
          <cell r="F215">
            <v>0.39262472885032529</v>
          </cell>
          <cell r="G215">
            <v>0.26479750778816191</v>
          </cell>
          <cell r="H215">
            <v>7.3891625615763568E-2</v>
          </cell>
          <cell r="I215">
            <v>-5.7339449541284448E-2</v>
          </cell>
          <cell r="J215" t="str">
            <v>NM</v>
          </cell>
          <cell r="K215" t="str">
            <v>NM</v>
          </cell>
          <cell r="L215" t="str">
            <v>NM</v>
          </cell>
          <cell r="M215" t="str">
            <v>NM</v>
          </cell>
          <cell r="N215">
            <v>0.11678832116788307</v>
          </cell>
          <cell r="O215">
            <v>1.0474137931034484</v>
          </cell>
          <cell r="P215">
            <v>0.88931297709923673</v>
          </cell>
          <cell r="Q215">
            <v>1.0410958904109591</v>
          </cell>
          <cell r="R215">
            <v>1.7560975609756095</v>
          </cell>
          <cell r="S215">
            <v>1.159041394335512</v>
          </cell>
          <cell r="T215">
            <v>7.5789473684210629E-2</v>
          </cell>
          <cell r="U215">
            <v>0.17979797979797985</v>
          </cell>
          <cell r="V215">
            <v>0.2058165548098434</v>
          </cell>
          <cell r="W215">
            <v>1.5929203539823078E-2</v>
          </cell>
          <cell r="X215">
            <v>0.1140262361251263</v>
          </cell>
          <cell r="Y215">
            <v>8.6105675146771032E-2</v>
          </cell>
          <cell r="Z215">
            <v>0.13356164383561642</v>
          </cell>
          <cell r="AA215">
            <v>0.10760667903525056</v>
          </cell>
          <cell r="AB215">
            <v>-0.15331010452961691</v>
          </cell>
          <cell r="AC215">
            <v>4.1666666666666519E-2</v>
          </cell>
          <cell r="AD215">
            <v>3.4234234234234107E-2</v>
          </cell>
          <cell r="AE215">
            <v>-8.0060422960725131E-2</v>
          </cell>
          <cell r="AF215">
            <v>3.5175879396984744E-2</v>
          </cell>
          <cell r="AG215">
            <v>0.3580246913580245</v>
          </cell>
          <cell r="AH215">
            <v>6.999999999999984E-2</v>
          </cell>
          <cell r="AI215">
            <v>6.9686411149825878E-2</v>
          </cell>
          <cell r="AJ215">
            <v>5.7471264367816133E-2</v>
          </cell>
          <cell r="AK215">
            <v>0.12621359223300965</v>
          </cell>
          <cell r="AL215">
            <v>0.15454545454545499</v>
          </cell>
          <cell r="AM215">
            <v>0.10361641609102024</v>
          </cell>
          <cell r="AN215">
            <v>5.0488599348534224E-2</v>
          </cell>
          <cell r="AO215">
            <v>0.12577639751552794</v>
          </cell>
          <cell r="AP215">
            <v>-1.8678160919540221E-2</v>
          </cell>
          <cell r="AQ215">
            <v>-5.5118110236220486E-2</v>
          </cell>
          <cell r="AR215">
            <v>2.0986745213549263E-2</v>
          </cell>
          <cell r="AS215">
            <v>0.22635658914728674</v>
          </cell>
          <cell r="AT215">
            <v>0.12000000000000011</v>
          </cell>
          <cell r="AU215">
            <v>0.12737920937042468</v>
          </cell>
          <cell r="AV215">
            <v>0.18611111111111067</v>
          </cell>
          <cell r="AW215">
            <v>0.16372160115398482</v>
          </cell>
          <cell r="AX215">
            <v>5.4361567635904162E-2</v>
          </cell>
          <cell r="AY215">
            <v>0.14162561576354671</v>
          </cell>
          <cell r="AZ215">
            <v>7.4025974025974106E-2</v>
          </cell>
          <cell r="BA215">
            <v>-3.3957845433255196E-2</v>
          </cell>
          <cell r="BB215">
            <v>5.763867369073461E-2</v>
          </cell>
          <cell r="BE215">
            <v>-0.25512309552599755</v>
          </cell>
          <cell r="BF215">
            <v>-0.24691013818181806</v>
          </cell>
          <cell r="BG215">
            <v>-0.11388446059185475</v>
          </cell>
          <cell r="BH215">
            <v>-0.26773603345724917</v>
          </cell>
          <cell r="BI215">
            <v>-0.25871171879591848</v>
          </cell>
          <cell r="BJ215">
            <v>3.8036437498417008E-2</v>
          </cell>
          <cell r="BK215">
            <v>3.7797906965059802E-2</v>
          </cell>
          <cell r="BL215">
            <v>-0.13976258466050173</v>
          </cell>
          <cell r="BM215">
            <v>3.9226152646137935E-2</v>
          </cell>
          <cell r="BN215">
            <v>3.3773856475183939E-2</v>
          </cell>
          <cell r="BO215">
            <v>3.7009107277566011E-2</v>
          </cell>
          <cell r="BP215">
            <v>3.6785472179599932E-2</v>
          </cell>
          <cell r="BQ215">
            <v>3.6553872719624625E-2</v>
          </cell>
          <cell r="BR215">
            <v>1.1833283541844652E-2</v>
          </cell>
          <cell r="BS215">
            <v>1.1811843484162976E-2</v>
          </cell>
          <cell r="BT215">
            <v>1.1790692109240108E-2</v>
          </cell>
          <cell r="BU215">
            <v>1.1769824651685079E-2</v>
          </cell>
          <cell r="BZ215" t="str">
            <v>YoY Change</v>
          </cell>
          <cell r="CA215">
            <v>0</v>
          </cell>
          <cell r="CB215">
            <v>-8.1790123456790043E-2</v>
          </cell>
          <cell r="CC215">
            <v>-0.22521008403361342</v>
          </cell>
          <cell r="CD215">
            <v>0.39262472885032529</v>
          </cell>
          <cell r="CE215">
            <v>0.26479750778816191</v>
          </cell>
          <cell r="CF215">
            <v>7.3891625615763568E-2</v>
          </cell>
          <cell r="CG215">
            <v>-5.7339449541284448E-2</v>
          </cell>
          <cell r="CH215">
            <v>0.11678832116788307</v>
          </cell>
          <cell r="CI215">
            <v>1.159041394335512</v>
          </cell>
          <cell r="CJ215">
            <v>0.1140262361251263</v>
          </cell>
          <cell r="CK215">
            <v>4.1666666666666519E-2</v>
          </cell>
          <cell r="CL215">
            <v>6.999999999999984E-2</v>
          </cell>
          <cell r="CM215">
            <v>0.10361641609102024</v>
          </cell>
          <cell r="CN215">
            <v>2.0986745213549263E-2</v>
          </cell>
          <cell r="CO215">
            <v>0.16372160115398482</v>
          </cell>
          <cell r="CP215">
            <v>5.763867369073461E-2</v>
          </cell>
          <cell r="CQ215">
            <v>-0.11388446059185475</v>
          </cell>
          <cell r="CR215">
            <v>-0.13976258466050173</v>
          </cell>
          <cell r="CS215">
            <v>3.6553872719624625E-2</v>
          </cell>
          <cell r="CT215">
            <v>1.1833283541844652E-2</v>
          </cell>
          <cell r="CU215">
            <v>1.1811843484162976E-2</v>
          </cell>
          <cell r="CV215">
            <v>1.1790692109240108E-2</v>
          </cell>
          <cell r="CW215">
            <v>1.1769824651685079E-2</v>
          </cell>
        </row>
        <row r="216">
          <cell r="A216" t="str">
            <v>BULL</v>
          </cell>
          <cell r="BE216">
            <v>-0.23512309552599756</v>
          </cell>
          <cell r="BF216">
            <v>-0.22691013818181807</v>
          </cell>
          <cell r="BH216">
            <v>-0.24773603345724918</v>
          </cell>
          <cell r="BI216">
            <v>-0.23871171879591849</v>
          </cell>
          <cell r="BJ216">
            <v>5.8036437498417012E-2</v>
          </cell>
          <cell r="BK216">
            <v>5.7797906965059806E-2</v>
          </cell>
          <cell r="BM216">
            <v>5.9226152646137939E-2</v>
          </cell>
          <cell r="BN216">
            <v>5.3773856475183943E-2</v>
          </cell>
          <cell r="BO216">
            <v>5.7009107277566015E-2</v>
          </cell>
          <cell r="BP216">
            <v>5.6785472179599936E-2</v>
          </cell>
          <cell r="BR216">
            <v>3.1833283541844656E-2</v>
          </cell>
          <cell r="BS216">
            <v>3.181184348416298E-2</v>
          </cell>
          <cell r="BT216">
            <v>3.1790692109240112E-2</v>
          </cell>
          <cell r="BU216">
            <v>3.1769824651685083E-2</v>
          </cell>
        </row>
        <row r="217">
          <cell r="A217" t="str">
            <v>BASE</v>
          </cell>
          <cell r="BE217">
            <v>-0.25512309552599755</v>
          </cell>
          <cell r="BF217">
            <v>-0.24691013818181806</v>
          </cell>
          <cell r="BH217">
            <v>-0.26773603345724917</v>
          </cell>
          <cell r="BI217">
            <v>-0.25871171879591848</v>
          </cell>
          <cell r="BJ217">
            <v>3.8036437498417008E-2</v>
          </cell>
          <cell r="BK217">
            <v>3.7797906965059802E-2</v>
          </cell>
          <cell r="BM217">
            <v>3.9226152646137935E-2</v>
          </cell>
          <cell r="BN217">
            <v>3.3773856475183939E-2</v>
          </cell>
          <cell r="BO217">
            <v>3.7009107277566011E-2</v>
          </cell>
          <cell r="BP217">
            <v>3.6785472179599932E-2</v>
          </cell>
          <cell r="BR217">
            <v>1.1833283541844652E-2</v>
          </cell>
          <cell r="BS217">
            <v>1.1811843484162976E-2</v>
          </cell>
          <cell r="BT217">
            <v>1.1790692109240108E-2</v>
          </cell>
          <cell r="BU217">
            <v>1.1769824651685079E-2</v>
          </cell>
        </row>
        <row r="218">
          <cell r="A218" t="str">
            <v>BEAR</v>
          </cell>
          <cell r="BE218">
            <v>-0.27512309552599756</v>
          </cell>
          <cell r="BF218">
            <v>-0.26691013818181808</v>
          </cell>
          <cell r="BH218">
            <v>-0.28773603345724919</v>
          </cell>
          <cell r="BI218">
            <v>-0.27871171879591849</v>
          </cell>
          <cell r="BJ218">
            <v>1.8036437498417008E-2</v>
          </cell>
          <cell r="BK218">
            <v>1.7797906965059802E-2</v>
          </cell>
          <cell r="BM218">
            <v>1.9226152646137935E-2</v>
          </cell>
          <cell r="BN218">
            <v>1.3773856475183938E-2</v>
          </cell>
          <cell r="BO218">
            <v>1.7009107277566011E-2</v>
          </cell>
          <cell r="BP218">
            <v>1.6785472179599931E-2</v>
          </cell>
          <cell r="BR218">
            <v>-8.1667164581553479E-3</v>
          </cell>
          <cell r="BS218">
            <v>-8.1881565158370244E-3</v>
          </cell>
          <cell r="BT218">
            <v>-8.209307890759892E-3</v>
          </cell>
          <cell r="BU218">
            <v>-8.2301753483149213E-3</v>
          </cell>
        </row>
        <row r="221">
          <cell r="A221" t="str">
            <v xml:space="preserve">Inter segment royalty </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13.1</v>
          </cell>
          <cell r="U221">
            <v>13.4</v>
          </cell>
          <cell r="V221">
            <v>14.2</v>
          </cell>
          <cell r="W221">
            <v>14.799999999999997</v>
          </cell>
          <cell r="X221">
            <v>55.5</v>
          </cell>
          <cell r="Y221">
            <v>16</v>
          </cell>
          <cell r="Z221">
            <v>15.7</v>
          </cell>
          <cell r="AA221">
            <v>15.8</v>
          </cell>
          <cell r="AB221">
            <v>16.100000000000001</v>
          </cell>
          <cell r="AC221">
            <v>63.6</v>
          </cell>
          <cell r="AD221">
            <v>14.7</v>
          </cell>
          <cell r="AE221">
            <v>14.4</v>
          </cell>
          <cell r="AF221">
            <v>14.5</v>
          </cell>
          <cell r="AG221">
            <v>16.399999999999999</v>
          </cell>
          <cell r="AH221">
            <v>60</v>
          </cell>
          <cell r="AI221">
            <v>15.3</v>
          </cell>
          <cell r="AJ221">
            <v>15.5</v>
          </cell>
          <cell r="AK221">
            <v>15.5</v>
          </cell>
          <cell r="AL221">
            <v>15</v>
          </cell>
          <cell r="AM221">
            <v>61.3</v>
          </cell>
          <cell r="AN221">
            <v>16</v>
          </cell>
          <cell r="AO221">
            <v>16.2</v>
          </cell>
          <cell r="AP221">
            <v>16.8</v>
          </cell>
          <cell r="AQ221">
            <v>16.799999999999994</v>
          </cell>
          <cell r="AR221">
            <v>65.8</v>
          </cell>
          <cell r="AS221">
            <v>17.100000000000001</v>
          </cell>
          <cell r="AT221">
            <v>17.5</v>
          </cell>
          <cell r="AU221">
            <v>17.8</v>
          </cell>
          <cell r="AV221">
            <v>19.099999999999998</v>
          </cell>
          <cell r="AW221">
            <v>71.5</v>
          </cell>
          <cell r="AX221">
            <v>18.899999999999999</v>
          </cell>
          <cell r="AY221">
            <v>19</v>
          </cell>
          <cell r="AZ221">
            <v>19.600000000000001</v>
          </cell>
          <cell r="BA221">
            <v>21.099999999999994</v>
          </cell>
          <cell r="BB221">
            <v>78.599999999999994</v>
          </cell>
          <cell r="BC221">
            <v>21.5</v>
          </cell>
          <cell r="BD221">
            <v>21.9</v>
          </cell>
          <cell r="BE221">
            <v>20.580000000000002</v>
          </cell>
          <cell r="BF221">
            <v>22.154999999999994</v>
          </cell>
          <cell r="BG221">
            <v>86.134999999999991</v>
          </cell>
          <cell r="BH221">
            <v>22.574999999999999</v>
          </cell>
          <cell r="BI221">
            <v>22.995000000000001</v>
          </cell>
          <cell r="BJ221">
            <v>21.609000000000002</v>
          </cell>
          <cell r="BK221">
            <v>23.262749999999993</v>
          </cell>
          <cell r="BL221">
            <v>90.441749999999999</v>
          </cell>
          <cell r="BM221">
            <v>23.703749999999999</v>
          </cell>
          <cell r="BN221">
            <v>24.144750000000002</v>
          </cell>
          <cell r="BO221">
            <v>22.689450000000004</v>
          </cell>
          <cell r="BP221">
            <v>24.425887499999995</v>
          </cell>
          <cell r="BQ221">
            <v>94.963837500000011</v>
          </cell>
          <cell r="BR221">
            <v>99.712029375000014</v>
          </cell>
          <cell r="BS221">
            <v>104.69763084375002</v>
          </cell>
          <cell r="BT221">
            <v>109.93251238593753</v>
          </cell>
          <cell r="BU221">
            <v>115.42913800523441</v>
          </cell>
          <cell r="BZ221" t="str">
            <v xml:space="preserve">Inter segment royalty </v>
          </cell>
          <cell r="CJ221">
            <v>55.5</v>
          </cell>
          <cell r="CK221">
            <v>63.6</v>
          </cell>
          <cell r="CL221">
            <v>60</v>
          </cell>
          <cell r="CM221">
            <v>61.3</v>
          </cell>
          <cell r="CN221">
            <v>65.8</v>
          </cell>
          <cell r="CO221">
            <v>71.5</v>
          </cell>
          <cell r="CP221">
            <v>78.599999999999994</v>
          </cell>
          <cell r="CQ221">
            <v>86.134999999999991</v>
          </cell>
          <cell r="CR221">
            <v>90.441749999999999</v>
          </cell>
          <cell r="CS221">
            <v>94.963837500000011</v>
          </cell>
          <cell r="CT221">
            <v>99.712029375000014</v>
          </cell>
          <cell r="CU221">
            <v>104.69763084375002</v>
          </cell>
          <cell r="CV221">
            <v>109.93251238593753</v>
          </cell>
          <cell r="CW221">
            <v>115.42913800523441</v>
          </cell>
          <cell r="CY221">
            <v>88.305000000000007</v>
          </cell>
        </row>
        <row r="222">
          <cell r="A222" t="str">
            <v>YoY Change</v>
          </cell>
          <cell r="Y222">
            <v>0.22137404580152675</v>
          </cell>
          <cell r="Z222">
            <v>0.17164179104477606</v>
          </cell>
          <cell r="AA222">
            <v>0.11267605633802824</v>
          </cell>
          <cell r="AB222">
            <v>8.7837837837838162E-2</v>
          </cell>
          <cell r="AC222">
            <v>0.14594594594594601</v>
          </cell>
          <cell r="AD222">
            <v>-8.1250000000000044E-2</v>
          </cell>
          <cell r="AE222">
            <v>-8.2802547770700619E-2</v>
          </cell>
          <cell r="AF222">
            <v>-8.2278481012658222E-2</v>
          </cell>
          <cell r="AG222">
            <v>1.8633540372670732E-2</v>
          </cell>
          <cell r="AH222">
            <v>-5.6603773584905648E-2</v>
          </cell>
          <cell r="AI222">
            <v>4.081632653061229E-2</v>
          </cell>
          <cell r="AJ222">
            <v>7.638888888888884E-2</v>
          </cell>
          <cell r="AK222">
            <v>6.8965517241379226E-2</v>
          </cell>
          <cell r="AL222">
            <v>-8.536585365853655E-2</v>
          </cell>
          <cell r="AM222">
            <v>2.1666666666666723E-2</v>
          </cell>
          <cell r="AN222">
            <v>4.5751633986928164E-2</v>
          </cell>
          <cell r="AO222">
            <v>4.5161290322580649E-2</v>
          </cell>
          <cell r="AP222">
            <v>8.3870967741935587E-2</v>
          </cell>
          <cell r="AQ222">
            <v>0.11999999999999966</v>
          </cell>
          <cell r="AR222">
            <v>7.3409461663947795E-2</v>
          </cell>
          <cell r="AS222">
            <v>6.8750000000000089E-2</v>
          </cell>
          <cell r="AT222">
            <v>8.0246913580247048E-2</v>
          </cell>
          <cell r="AU222">
            <v>5.9523809523809534E-2</v>
          </cell>
          <cell r="AV222">
            <v>0.13690476190476231</v>
          </cell>
          <cell r="AW222">
            <v>8.6626139817629122E-2</v>
          </cell>
          <cell r="AX222">
            <v>0.10526315789473673</v>
          </cell>
          <cell r="AY222">
            <v>8.5714285714285632E-2</v>
          </cell>
          <cell r="AZ222">
            <v>0.101123595505618</v>
          </cell>
          <cell r="BA222">
            <v>0.10471204188481664</v>
          </cell>
          <cell r="BB222">
            <v>9.9300699300699291E-2</v>
          </cell>
          <cell r="BE222">
            <v>5.0000000000000044E-2</v>
          </cell>
          <cell r="BF222">
            <v>5.0000000000000044E-2</v>
          </cell>
          <cell r="BG222">
            <v>9.5865139949109279E-2</v>
          </cell>
          <cell r="BH222">
            <v>5.0000000000000044E-2</v>
          </cell>
          <cell r="BI222">
            <v>5.0000000000000044E-2</v>
          </cell>
          <cell r="BJ222">
            <v>5.0000000000000044E-2</v>
          </cell>
          <cell r="BK222">
            <v>5.0000000000000044E-2</v>
          </cell>
          <cell r="BL222">
            <v>5.0000000000000044E-2</v>
          </cell>
          <cell r="BM222">
            <v>5.0000000000000044E-2</v>
          </cell>
          <cell r="BN222">
            <v>5.0000000000000044E-2</v>
          </cell>
          <cell r="BO222">
            <v>5.0000000000000044E-2</v>
          </cell>
          <cell r="BP222">
            <v>5.0000000000000044E-2</v>
          </cell>
          <cell r="BQ222">
            <v>5.0000000000000044E-2</v>
          </cell>
          <cell r="BR222">
            <v>5.0000000000000044E-2</v>
          </cell>
          <cell r="BS222">
            <v>5.0000000000000044E-2</v>
          </cell>
          <cell r="BT222">
            <v>5.0000000000000044E-2</v>
          </cell>
          <cell r="BU222">
            <v>5.0000000000000044E-2</v>
          </cell>
          <cell r="BZ222" t="str">
            <v>YoY Change</v>
          </cell>
          <cell r="CJ222">
            <v>0</v>
          </cell>
          <cell r="CK222">
            <v>0.14594594594594601</v>
          </cell>
          <cell r="CL222">
            <v>-5.6603773584905648E-2</v>
          </cell>
          <cell r="CM222">
            <v>2.1666666666666723E-2</v>
          </cell>
          <cell r="CN222">
            <v>7.3409461663947795E-2</v>
          </cell>
          <cell r="CO222">
            <v>8.6626139817629122E-2</v>
          </cell>
          <cell r="CP222">
            <v>9.9300699300699291E-2</v>
          </cell>
          <cell r="CQ222">
            <v>9.5865139949109279E-2</v>
          </cell>
          <cell r="CR222">
            <v>5.0000000000000044E-2</v>
          </cell>
          <cell r="CS222">
            <v>5.0000000000000044E-2</v>
          </cell>
          <cell r="CT222">
            <v>5.0000000000000044E-2</v>
          </cell>
          <cell r="CU222">
            <v>5.0000000000000044E-2</v>
          </cell>
          <cell r="CV222">
            <v>5.0000000000000044E-2</v>
          </cell>
          <cell r="CW222">
            <v>5.0000000000000044E-2</v>
          </cell>
        </row>
        <row r="227">
          <cell r="A227" t="str">
            <v>Total MIS</v>
          </cell>
          <cell r="C227">
            <v>441.50000000000006</v>
          </cell>
          <cell r="D227">
            <v>502.2</v>
          </cell>
          <cell r="E227">
            <v>519.6</v>
          </cell>
          <cell r="F227">
            <v>694.40000000000009</v>
          </cell>
          <cell r="G227">
            <v>848.2</v>
          </cell>
          <cell r="H227">
            <v>1007.8000000000002</v>
          </cell>
          <cell r="I227">
            <v>1143.8000000000002</v>
          </cell>
          <cell r="J227">
            <v>308.39999999999998</v>
          </cell>
          <cell r="K227">
            <v>363.8</v>
          </cell>
          <cell r="L227">
            <v>332.49999999999994</v>
          </cell>
          <cell r="M227">
            <v>380.29999999999995</v>
          </cell>
          <cell r="N227">
            <v>1384.9999999999998</v>
          </cell>
          <cell r="O227">
            <v>347.70000000000005</v>
          </cell>
          <cell r="P227">
            <v>414.59999999999997</v>
          </cell>
          <cell r="Q227">
            <v>394.90000000000003</v>
          </cell>
          <cell r="R227">
            <v>482.6</v>
          </cell>
          <cell r="S227">
            <v>1639.8</v>
          </cell>
          <cell r="T227">
            <v>485.5</v>
          </cell>
          <cell r="U227">
            <v>543.59999999999991</v>
          </cell>
          <cell r="V227">
            <v>418.9</v>
          </cell>
          <cell r="W227">
            <v>387.40000000000003</v>
          </cell>
          <cell r="X227">
            <v>1835.3999999999999</v>
          </cell>
          <cell r="Y227">
            <v>314.2</v>
          </cell>
          <cell r="Z227">
            <v>371.5</v>
          </cell>
          <cell r="AA227">
            <v>312.60000000000002</v>
          </cell>
          <cell r="AB227">
            <v>270</v>
          </cell>
          <cell r="AC227">
            <v>1268.3</v>
          </cell>
          <cell r="AD227">
            <v>284.89999999999998</v>
          </cell>
          <cell r="AE227">
            <v>324.69999999999993</v>
          </cell>
          <cell r="AF227">
            <v>319.8</v>
          </cell>
          <cell r="AG227">
            <v>348.29999999999995</v>
          </cell>
          <cell r="AH227">
            <v>1277.7</v>
          </cell>
          <cell r="AI227">
            <v>350.8</v>
          </cell>
          <cell r="AJ227">
            <v>344.1</v>
          </cell>
          <cell r="AK227">
            <v>373.70000000000005</v>
          </cell>
          <cell r="AL227">
            <v>397.70000000000005</v>
          </cell>
          <cell r="AM227">
            <v>1466.3</v>
          </cell>
          <cell r="AN227">
            <v>428.6</v>
          </cell>
          <cell r="AO227">
            <v>454.2</v>
          </cell>
          <cell r="AP227">
            <v>368.20000000000005</v>
          </cell>
          <cell r="AQ227">
            <v>383.7000000000001</v>
          </cell>
          <cell r="AR227">
            <v>1634.6999999999998</v>
          </cell>
          <cell r="AS227">
            <v>469.80000000000007</v>
          </cell>
          <cell r="AT227">
            <v>458.7</v>
          </cell>
          <cell r="AU227">
            <v>491.29999999999995</v>
          </cell>
          <cell r="AV227">
            <v>538.50000000000011</v>
          </cell>
          <cell r="AW227">
            <v>1958.3000000000002</v>
          </cell>
          <cell r="AX227">
            <v>540.1</v>
          </cell>
          <cell r="AY227">
            <v>556.29999999999995</v>
          </cell>
          <cell r="AZ227">
            <v>497.7</v>
          </cell>
          <cell r="BA227">
            <v>543.90000000000009</v>
          </cell>
          <cell r="BB227">
            <v>2138</v>
          </cell>
          <cell r="BC227">
            <v>547.30000000000007</v>
          </cell>
          <cell r="BD227">
            <v>643.6</v>
          </cell>
          <cell r="BE227">
            <v>486.21007000000003</v>
          </cell>
          <cell r="BF227">
            <v>533.03077905454552</v>
          </cell>
          <cell r="BG227">
            <v>2210.1408490545455</v>
          </cell>
          <cell r="BH227">
            <v>535.8348966960001</v>
          </cell>
          <cell r="BI227">
            <v>626.15923975399994</v>
          </cell>
          <cell r="BJ227">
            <v>495.24262170399999</v>
          </cell>
          <cell r="BK227">
            <v>542.56782341521216</v>
          </cell>
          <cell r="BL227">
            <v>2199.8045815692126</v>
          </cell>
          <cell r="BM227">
            <v>545.41096944397998</v>
          </cell>
          <cell r="BN227">
            <v>636.63618696456012</v>
          </cell>
          <cell r="BO227">
            <v>504.39433989031005</v>
          </cell>
          <cell r="BP227">
            <v>552.23188935115229</v>
          </cell>
          <cell r="BQ227">
            <v>2238.6733856500023</v>
          </cell>
          <cell r="BR227">
            <v>2264.5255572413112</v>
          </cell>
          <cell r="BS227">
            <v>2290.8113759454645</v>
          </cell>
          <cell r="BT227">
            <v>2317.5446006059497</v>
          </cell>
          <cell r="BU227">
            <v>2344.7396021038207</v>
          </cell>
          <cell r="BZ227" t="str">
            <v>Total MIS</v>
          </cell>
          <cell r="CA227">
            <v>441.50000000000006</v>
          </cell>
          <cell r="CB227">
            <v>502.2</v>
          </cell>
          <cell r="CC227">
            <v>519.6</v>
          </cell>
          <cell r="CD227">
            <v>694.40000000000009</v>
          </cell>
          <cell r="CE227">
            <v>848.2</v>
          </cell>
          <cell r="CF227">
            <v>1007.8000000000002</v>
          </cell>
          <cell r="CG227">
            <v>1143.8000000000002</v>
          </cell>
          <cell r="CH227">
            <v>1384.9999999999998</v>
          </cell>
          <cell r="CI227">
            <v>1639.8</v>
          </cell>
          <cell r="CJ227">
            <v>1835.3999999999999</v>
          </cell>
          <cell r="CK227">
            <v>1268.3</v>
          </cell>
          <cell r="CL227">
            <v>1277.7</v>
          </cell>
          <cell r="CM227">
            <v>1466.3</v>
          </cell>
          <cell r="CN227">
            <v>1634.6999999999998</v>
          </cell>
          <cell r="CO227">
            <v>1958.3000000000002</v>
          </cell>
          <cell r="CP227">
            <v>2138</v>
          </cell>
          <cell r="CQ227">
            <v>2210.1408490545455</v>
          </cell>
          <cell r="CR227">
            <v>2199.8045815692126</v>
          </cell>
          <cell r="CS227">
            <v>2238.6733856500023</v>
          </cell>
          <cell r="CT227">
            <v>2264.5255572413112</v>
          </cell>
          <cell r="CU227">
            <v>2290.8113759454645</v>
          </cell>
          <cell r="CV227">
            <v>2317.5446006059497</v>
          </cell>
          <cell r="CW227">
            <v>2344.7396021038207</v>
          </cell>
          <cell r="CY227">
            <v>2181.2349855045454</v>
          </cell>
        </row>
        <row r="228">
          <cell r="A228" t="str">
            <v>YoY Change</v>
          </cell>
          <cell r="AN228">
            <v>0.22177879133409362</v>
          </cell>
          <cell r="AO228">
            <v>0.31996512641673913</v>
          </cell>
          <cell r="AP228">
            <v>-1.4717687985014716E-2</v>
          </cell>
          <cell r="AQ228">
            <v>-3.5202413879808714E-2</v>
          </cell>
          <cell r="AR228">
            <v>0.11484689354156719</v>
          </cell>
          <cell r="AS228">
            <v>9.6126924871675401E-2</v>
          </cell>
          <cell r="AT228">
            <v>9.9075297225892367E-3</v>
          </cell>
          <cell r="AU228">
            <v>0.33432916892992903</v>
          </cell>
          <cell r="AV228">
            <v>0.40344018764659872</v>
          </cell>
          <cell r="AW228">
            <v>0.19795681164739731</v>
          </cell>
          <cell r="AX228">
            <v>0.14963814389101726</v>
          </cell>
          <cell r="AY228">
            <v>0.21277523435796808</v>
          </cell>
          <cell r="AZ228">
            <v>1.3026663952778517E-2</v>
          </cell>
          <cell r="BA228">
            <v>1.0027855153203369E-2</v>
          </cell>
          <cell r="BB228">
            <v>9.1763264055558347E-2</v>
          </cell>
          <cell r="BC228">
            <v>1.3330864654693686E-2</v>
          </cell>
          <cell r="BD228">
            <v>0.15692971418299484</v>
          </cell>
          <cell r="BE228">
            <v>-2.3086055856941901E-2</v>
          </cell>
          <cell r="BF228">
            <v>-1.9983859065001996E-2</v>
          </cell>
          <cell r="BG228">
            <v>3.37422119057742E-2</v>
          </cell>
          <cell r="BH228">
            <v>-2.0948480365430178E-2</v>
          </cell>
          <cell r="BI228">
            <v>-2.7098757374145577E-2</v>
          </cell>
          <cell r="BJ228">
            <v>1.8577467356856614E-2</v>
          </cell>
          <cell r="BK228">
            <v>1.7892108177285371E-2</v>
          </cell>
          <cell r="BL228">
            <v>-4.6767460498069457E-3</v>
          </cell>
          <cell r="BM228">
            <v>1.7871312240069992E-2</v>
          </cell>
          <cell r="BN228">
            <v>1.6732081147083688E-2</v>
          </cell>
          <cell r="BO228">
            <v>1.8479262053054724E-2</v>
          </cell>
          <cell r="BP228">
            <v>1.7811719602370379E-2</v>
          </cell>
          <cell r="BQ228">
            <v>1.7669207713470136E-2</v>
          </cell>
          <cell r="BR228">
            <v>1.1547987195015708E-2</v>
          </cell>
          <cell r="BS228">
            <v>1.1607649390442454E-2</v>
          </cell>
          <cell r="BT228">
            <v>1.1669762487298563E-2</v>
          </cell>
          <cell r="BU228">
            <v>1.1734402647854303E-2</v>
          </cell>
          <cell r="BZ228" t="str">
            <v>YoY Change</v>
          </cell>
          <cell r="CO228">
            <v>0.19795681164739731</v>
          </cell>
          <cell r="CP228">
            <v>9.1763264055558347E-2</v>
          </cell>
          <cell r="CQ228">
            <v>3.37422119057742E-2</v>
          </cell>
          <cell r="CR228">
            <v>-4.6767460498069457E-3</v>
          </cell>
          <cell r="CS228">
            <v>1.7669207713470136E-2</v>
          </cell>
          <cell r="CT228">
            <v>1.1547987195015708E-2</v>
          </cell>
          <cell r="CU228">
            <v>1.1607649390442454E-2</v>
          </cell>
          <cell r="CV228">
            <v>1.1669762487298563E-2</v>
          </cell>
          <cell r="CW228">
            <v>1.1734402647854303E-2</v>
          </cell>
        </row>
        <row r="229">
          <cell r="A229" t="str">
            <v>MA</v>
          </cell>
          <cell r="BZ229" t="str">
            <v>MA</v>
          </cell>
        </row>
        <row r="231">
          <cell r="A231" t="str">
            <v xml:space="preserve">Research, Data and Analytics </v>
          </cell>
          <cell r="AD231">
            <v>102</v>
          </cell>
          <cell r="AE231">
            <v>102.3</v>
          </cell>
          <cell r="AF231">
            <v>103.4</v>
          </cell>
          <cell r="AG231">
            <v>105.9</v>
          </cell>
          <cell r="AH231">
            <v>413.6</v>
          </cell>
          <cell r="AI231">
            <v>104.6</v>
          </cell>
          <cell r="AJ231">
            <v>105.2</v>
          </cell>
          <cell r="AK231">
            <v>106</v>
          </cell>
          <cell r="AL231">
            <v>109.19999999999999</v>
          </cell>
          <cell r="AM231">
            <v>425</v>
          </cell>
          <cell r="AN231">
            <v>109.6</v>
          </cell>
          <cell r="AO231">
            <v>111</v>
          </cell>
          <cell r="AP231">
            <v>115.3</v>
          </cell>
          <cell r="AQ231">
            <v>115.40000000000005</v>
          </cell>
          <cell r="AR231">
            <v>451.3</v>
          </cell>
          <cell r="AS231">
            <v>119.5</v>
          </cell>
          <cell r="AT231">
            <v>121.4</v>
          </cell>
          <cell r="AU231">
            <v>123.8</v>
          </cell>
          <cell r="AV231">
            <v>128.5</v>
          </cell>
          <cell r="AW231">
            <v>493.2</v>
          </cell>
          <cell r="AX231">
            <v>129.6</v>
          </cell>
          <cell r="AY231">
            <v>130.30000000000001</v>
          </cell>
          <cell r="AZ231">
            <v>133.69999999999999</v>
          </cell>
          <cell r="BA231">
            <v>138.39999999999998</v>
          </cell>
          <cell r="BB231">
            <v>532</v>
          </cell>
          <cell r="BC231">
            <v>140.9</v>
          </cell>
          <cell r="BD231">
            <v>144.69999999999999</v>
          </cell>
          <cell r="BE231">
            <v>144.06174999999996</v>
          </cell>
          <cell r="BF231">
            <v>149.12599999999995</v>
          </cell>
          <cell r="BG231">
            <v>578.78774999999996</v>
          </cell>
          <cell r="BH231">
            <v>151.81975</v>
          </cell>
          <cell r="BI231">
            <v>155.91424999999998</v>
          </cell>
          <cell r="BJ231">
            <v>155.22653562499994</v>
          </cell>
          <cell r="BK231">
            <v>160.68326499999992</v>
          </cell>
          <cell r="BL231">
            <v>623.64380062499981</v>
          </cell>
          <cell r="BM231">
            <v>163.58578062499998</v>
          </cell>
          <cell r="BN231">
            <v>167.99760437499995</v>
          </cell>
          <cell r="BO231">
            <v>167.25659213593741</v>
          </cell>
          <cell r="BP231">
            <v>173.1362180374999</v>
          </cell>
          <cell r="BQ231">
            <v>671.97619517343719</v>
          </cell>
          <cell r="BR231">
            <v>719.01452883557783</v>
          </cell>
          <cell r="BS231">
            <v>769.34554585406829</v>
          </cell>
          <cell r="BT231">
            <v>823.19973406385316</v>
          </cell>
          <cell r="BU231">
            <v>880.8237154483229</v>
          </cell>
          <cell r="BZ231" t="str">
            <v xml:space="preserve">Research, Data and Analytics </v>
          </cell>
          <cell r="CL231">
            <v>413.6</v>
          </cell>
          <cell r="CM231">
            <v>425</v>
          </cell>
          <cell r="CN231">
            <v>451.3</v>
          </cell>
          <cell r="CO231">
            <v>493.2</v>
          </cell>
          <cell r="CP231">
            <v>532</v>
          </cell>
          <cell r="CQ231">
            <v>578.78774999999996</v>
          </cell>
          <cell r="CR231">
            <v>623.64380062499981</v>
          </cell>
          <cell r="CS231">
            <v>671.97619517343719</v>
          </cell>
          <cell r="CT231">
            <v>719.01452883557783</v>
          </cell>
          <cell r="CU231">
            <v>769.34554585406829</v>
          </cell>
          <cell r="CV231">
            <v>823.19973406385316</v>
          </cell>
          <cell r="CW231">
            <v>880.8237154483229</v>
          </cell>
          <cell r="CY231">
            <v>600.92174999999997</v>
          </cell>
        </row>
        <row r="232">
          <cell r="A232" t="str">
            <v>YoY Change</v>
          </cell>
          <cell r="AI232">
            <v>2.5490196078431282E-2</v>
          </cell>
          <cell r="AJ232">
            <v>2.8347996089931549E-2</v>
          </cell>
          <cell r="AK232">
            <v>2.5145067698259194E-2</v>
          </cell>
          <cell r="AL232">
            <v>3.116147308781847E-2</v>
          </cell>
          <cell r="AM232">
            <v>2.756286266924568E-2</v>
          </cell>
          <cell r="AN232">
            <v>4.780114722753348E-2</v>
          </cell>
          <cell r="AO232">
            <v>5.5133079847908606E-2</v>
          </cell>
          <cell r="AP232">
            <v>8.773584905660381E-2</v>
          </cell>
          <cell r="AQ232">
            <v>5.6776556776557241E-2</v>
          </cell>
          <cell r="AR232">
            <v>6.1882352941176499E-2</v>
          </cell>
          <cell r="AS232">
            <v>9.0328467153284686E-2</v>
          </cell>
          <cell r="AT232">
            <v>9.3693693693693847E-2</v>
          </cell>
          <cell r="AU232">
            <v>7.3720728534258484E-2</v>
          </cell>
          <cell r="AV232">
            <v>0.11351819757365633</v>
          </cell>
          <cell r="AW232">
            <v>9.2842898293817866E-2</v>
          </cell>
          <cell r="AX232">
            <v>8.4518828451882744E-2</v>
          </cell>
          <cell r="AY232">
            <v>7.33113673805601E-2</v>
          </cell>
          <cell r="AZ232">
            <v>7.9967689822293853E-2</v>
          </cell>
          <cell r="BA232">
            <v>7.704280155641996E-2</v>
          </cell>
          <cell r="BB232">
            <v>7.8669910786699049E-2</v>
          </cell>
          <cell r="BE232">
            <v>7.7499999999999999E-2</v>
          </cell>
          <cell r="BF232">
            <v>7.7499999999999999E-2</v>
          </cell>
          <cell r="BG232">
            <v>8.79468984962406E-2</v>
          </cell>
          <cell r="BH232">
            <v>7.7499999999999999E-2</v>
          </cell>
          <cell r="BI232">
            <v>7.7499999999999999E-2</v>
          </cell>
          <cell r="BJ232">
            <v>7.7499999999999999E-2</v>
          </cell>
          <cell r="BK232">
            <v>7.7499999999999999E-2</v>
          </cell>
          <cell r="BL232">
            <v>7.749999999999968E-2</v>
          </cell>
          <cell r="BM232">
            <v>7.7499999999999999E-2</v>
          </cell>
          <cell r="BN232">
            <v>7.7499999999999999E-2</v>
          </cell>
          <cell r="BO232">
            <v>7.7499999999999999E-2</v>
          </cell>
          <cell r="BP232">
            <v>7.7499999999999999E-2</v>
          </cell>
          <cell r="BQ232">
            <v>7.7499999999999902E-2</v>
          </cell>
          <cell r="BR232">
            <v>7.0000000000000007E-2</v>
          </cell>
          <cell r="BS232">
            <v>7.0000000000000007E-2</v>
          </cell>
          <cell r="BT232">
            <v>7.0000000000000007E-2</v>
          </cell>
          <cell r="BU232">
            <v>7.0000000000000007E-2</v>
          </cell>
          <cell r="BZ232" t="str">
            <v>YoY Change</v>
          </cell>
          <cell r="CL232">
            <v>0</v>
          </cell>
          <cell r="CM232">
            <v>2.756286266924568E-2</v>
          </cell>
          <cell r="CN232">
            <v>6.1882352941176499E-2</v>
          </cell>
          <cell r="CO232">
            <v>9.2842898293817866E-2</v>
          </cell>
          <cell r="CP232">
            <v>7.8669910786699049E-2</v>
          </cell>
          <cell r="CQ232">
            <v>8.79468984962406E-2</v>
          </cell>
          <cell r="CR232">
            <v>7.749999999999968E-2</v>
          </cell>
          <cell r="CS232">
            <v>7.7499999999999902E-2</v>
          </cell>
          <cell r="CT232">
            <v>7.0000000000000007E-2</v>
          </cell>
          <cell r="CU232">
            <v>7.0000000000000007E-2</v>
          </cell>
          <cell r="CV232">
            <v>7.0000000000000007E-2</v>
          </cell>
          <cell r="CW232">
            <v>7.0000000000000007E-2</v>
          </cell>
        </row>
        <row r="233">
          <cell r="A233" t="str">
            <v>BULL</v>
          </cell>
          <cell r="BE233">
            <v>9.7500000000000003E-2</v>
          </cell>
          <cell r="BF233">
            <v>9.7500000000000003E-2</v>
          </cell>
          <cell r="BH233">
            <v>9.7500000000000003E-2</v>
          </cell>
          <cell r="BI233">
            <v>9.7500000000000003E-2</v>
          </cell>
          <cell r="BJ233">
            <v>9.7500000000000003E-2</v>
          </cell>
          <cell r="BK233">
            <v>9.7500000000000003E-2</v>
          </cell>
          <cell r="BM233">
            <v>9.7500000000000003E-2</v>
          </cell>
          <cell r="BN233">
            <v>9.7500000000000003E-2</v>
          </cell>
          <cell r="BO233">
            <v>9.7500000000000003E-2</v>
          </cell>
          <cell r="BP233">
            <v>9.7500000000000003E-2</v>
          </cell>
          <cell r="BR233">
            <v>9.0000000000000011E-2</v>
          </cell>
          <cell r="BS233">
            <v>9.0000000000000011E-2</v>
          </cell>
          <cell r="BT233">
            <v>9.0000000000000011E-2</v>
          </cell>
          <cell r="BU233">
            <v>9.0000000000000011E-2</v>
          </cell>
        </row>
        <row r="234">
          <cell r="A234" t="str">
            <v>BASE</v>
          </cell>
          <cell r="BE234">
            <v>7.7499999999999999E-2</v>
          </cell>
          <cell r="BF234">
            <v>7.7499999999999999E-2</v>
          </cell>
          <cell r="BH234">
            <v>7.7499999999999999E-2</v>
          </cell>
          <cell r="BI234">
            <v>7.7499999999999999E-2</v>
          </cell>
          <cell r="BJ234">
            <v>7.7499999999999999E-2</v>
          </cell>
          <cell r="BK234">
            <v>7.7499999999999999E-2</v>
          </cell>
          <cell r="BM234">
            <v>7.7499999999999999E-2</v>
          </cell>
          <cell r="BN234">
            <v>7.7499999999999999E-2</v>
          </cell>
          <cell r="BO234">
            <v>7.7499999999999999E-2</v>
          </cell>
          <cell r="BP234">
            <v>7.7499999999999999E-2</v>
          </cell>
          <cell r="BR234">
            <v>7.0000000000000007E-2</v>
          </cell>
          <cell r="BS234">
            <v>7.0000000000000007E-2</v>
          </cell>
          <cell r="BT234">
            <v>7.0000000000000007E-2</v>
          </cell>
          <cell r="BU234">
            <v>7.0000000000000007E-2</v>
          </cell>
        </row>
        <row r="235">
          <cell r="A235" t="str">
            <v>BEAR</v>
          </cell>
          <cell r="BE235">
            <v>5.7499999999999996E-2</v>
          </cell>
          <cell r="BF235">
            <v>5.7499999999999996E-2</v>
          </cell>
          <cell r="BH235">
            <v>5.7499999999999996E-2</v>
          </cell>
          <cell r="BI235">
            <v>5.7499999999999996E-2</v>
          </cell>
          <cell r="BJ235">
            <v>5.7499999999999996E-2</v>
          </cell>
          <cell r="BK235">
            <v>5.7499999999999996E-2</v>
          </cell>
          <cell r="BM235">
            <v>5.7499999999999996E-2</v>
          </cell>
          <cell r="BN235">
            <v>5.7499999999999996E-2</v>
          </cell>
          <cell r="BO235">
            <v>5.7499999999999996E-2</v>
          </cell>
          <cell r="BP235">
            <v>5.7499999999999996E-2</v>
          </cell>
          <cell r="BR235">
            <v>0.05</v>
          </cell>
          <cell r="BS235">
            <v>0.05</v>
          </cell>
          <cell r="BT235">
            <v>0.05</v>
          </cell>
          <cell r="BU235">
            <v>0.05</v>
          </cell>
        </row>
        <row r="237">
          <cell r="A237" t="str">
            <v xml:space="preserve">Enterprise risk solutions </v>
          </cell>
          <cell r="AD237">
            <v>32.1</v>
          </cell>
          <cell r="AE237">
            <v>33.9</v>
          </cell>
          <cell r="AF237">
            <v>36.799999999999997</v>
          </cell>
          <cell r="AG237">
            <v>42.3</v>
          </cell>
          <cell r="AH237">
            <v>145.1</v>
          </cell>
          <cell r="AI237">
            <v>33.299999999999997</v>
          </cell>
          <cell r="AJ237">
            <v>39.200000000000003</v>
          </cell>
          <cell r="AK237">
            <v>42.8</v>
          </cell>
          <cell r="AL237">
            <v>57.899999999999977</v>
          </cell>
          <cell r="AM237">
            <v>173.2</v>
          </cell>
          <cell r="AN237">
            <v>43.2</v>
          </cell>
          <cell r="AO237">
            <v>41.7</v>
          </cell>
          <cell r="AP237">
            <v>47.9</v>
          </cell>
          <cell r="AQ237">
            <v>50.599999999999987</v>
          </cell>
          <cell r="AR237">
            <v>183.4</v>
          </cell>
          <cell r="AS237">
            <v>48.1</v>
          </cell>
          <cell r="AT237">
            <v>51.5</v>
          </cell>
          <cell r="AU237">
            <v>64</v>
          </cell>
          <cell r="AV237">
            <v>79</v>
          </cell>
          <cell r="AW237">
            <v>242.6</v>
          </cell>
          <cell r="AX237">
            <v>53</v>
          </cell>
          <cell r="AY237">
            <v>60.2</v>
          </cell>
          <cell r="AZ237">
            <v>64.400000000000006</v>
          </cell>
          <cell r="BA237">
            <v>84.9</v>
          </cell>
          <cell r="BB237">
            <v>262.5</v>
          </cell>
          <cell r="BC237">
            <v>59.8</v>
          </cell>
          <cell r="BD237">
            <v>67.2</v>
          </cell>
          <cell r="BE237">
            <v>72.128000000000014</v>
          </cell>
          <cell r="BF237">
            <v>95.088000000000022</v>
          </cell>
          <cell r="BG237">
            <v>294.21600000000001</v>
          </cell>
          <cell r="BH237">
            <v>66.975999999999999</v>
          </cell>
          <cell r="BI237">
            <v>75.26400000000001</v>
          </cell>
          <cell r="BJ237">
            <v>80.78336000000003</v>
          </cell>
          <cell r="BK237">
            <v>106.49856000000004</v>
          </cell>
          <cell r="BL237">
            <v>329.52192000000008</v>
          </cell>
          <cell r="BM237">
            <v>75.013120000000001</v>
          </cell>
          <cell r="BN237">
            <v>84.295680000000019</v>
          </cell>
          <cell r="BO237">
            <v>90.477363200000042</v>
          </cell>
          <cell r="BP237">
            <v>119.27838720000005</v>
          </cell>
          <cell r="BQ237">
            <v>369.06455040000014</v>
          </cell>
          <cell r="BR237">
            <v>413.35229644800017</v>
          </cell>
          <cell r="BS237">
            <v>462.95457202176021</v>
          </cell>
          <cell r="BT237">
            <v>518.50912066437149</v>
          </cell>
          <cell r="BU237">
            <v>580.73021514409618</v>
          </cell>
          <cell r="BZ237" t="str">
            <v xml:space="preserve">Enterprise risk solutions </v>
          </cell>
          <cell r="CL237">
            <v>145.1</v>
          </cell>
          <cell r="CM237">
            <v>173.2</v>
          </cell>
          <cell r="CN237">
            <v>183.4</v>
          </cell>
          <cell r="CO237">
            <v>242.6</v>
          </cell>
          <cell r="CP237">
            <v>262.5</v>
          </cell>
          <cell r="CQ237">
            <v>294.21600000000001</v>
          </cell>
          <cell r="CR237">
            <v>329.52192000000008</v>
          </cell>
          <cell r="CS237">
            <v>369.06455040000014</v>
          </cell>
          <cell r="CT237">
            <v>413.35229644800017</v>
          </cell>
          <cell r="CU237">
            <v>462.95457202176021</v>
          </cell>
          <cell r="CV237">
            <v>518.50912066437149</v>
          </cell>
          <cell r="CW237">
            <v>580.73021514409618</v>
          </cell>
          <cell r="CY237">
            <v>309.45600000000002</v>
          </cell>
        </row>
        <row r="238">
          <cell r="A238" t="str">
            <v>YoY Change</v>
          </cell>
          <cell r="AI238">
            <v>3.738317757009324E-2</v>
          </cell>
          <cell r="AJ238">
            <v>0.15634218289085555</v>
          </cell>
          <cell r="AK238">
            <v>0.16304347826086962</v>
          </cell>
          <cell r="AL238">
            <v>0.3687943262411344</v>
          </cell>
          <cell r="AM238">
            <v>0.19365954514128192</v>
          </cell>
          <cell r="AN238">
            <v>0.29729729729729759</v>
          </cell>
          <cell r="AO238">
            <v>6.3775510204081565E-2</v>
          </cell>
          <cell r="AP238">
            <v>0.11915887850467288</v>
          </cell>
          <cell r="AQ238">
            <v>-0.12607944732297049</v>
          </cell>
          <cell r="AR238">
            <v>5.8891454965358081E-2</v>
          </cell>
          <cell r="AS238">
            <v>0.11342592592592582</v>
          </cell>
          <cell r="AT238">
            <v>0.23501199040767373</v>
          </cell>
          <cell r="AU238">
            <v>0.33611691022964507</v>
          </cell>
          <cell r="AV238">
            <v>0.56126482213438766</v>
          </cell>
          <cell r="AW238">
            <v>0.32279171210468904</v>
          </cell>
          <cell r="AX238">
            <v>0.10187110187110182</v>
          </cell>
          <cell r="AY238">
            <v>0.16893203883495156</v>
          </cell>
          <cell r="AZ238">
            <v>6.2500000000000888E-3</v>
          </cell>
          <cell r="BA238">
            <v>7.4683544303797644E-2</v>
          </cell>
          <cell r="BB238">
            <v>8.2028029678483216E-2</v>
          </cell>
          <cell r="BE238">
            <v>0.12</v>
          </cell>
          <cell r="BF238">
            <v>0.12</v>
          </cell>
          <cell r="BG238">
            <v>0.12082285714285712</v>
          </cell>
          <cell r="BH238">
            <v>0.12</v>
          </cell>
          <cell r="BI238">
            <v>0.12</v>
          </cell>
          <cell r="BJ238">
            <v>0.12</v>
          </cell>
          <cell r="BK238">
            <v>0.12</v>
          </cell>
          <cell r="BL238">
            <v>0.12000000000000033</v>
          </cell>
          <cell r="BM238">
            <v>0.12</v>
          </cell>
          <cell r="BN238">
            <v>0.12</v>
          </cell>
          <cell r="BO238">
            <v>0.12</v>
          </cell>
          <cell r="BP238">
            <v>0.12</v>
          </cell>
          <cell r="BQ238">
            <v>0.12000000000000011</v>
          </cell>
          <cell r="BR238">
            <v>0.12</v>
          </cell>
          <cell r="BS238">
            <v>0.12</v>
          </cell>
          <cell r="BT238">
            <v>0.12</v>
          </cell>
          <cell r="BU238">
            <v>0.12</v>
          </cell>
          <cell r="BZ238" t="str">
            <v>YoY Change</v>
          </cell>
          <cell r="CL238">
            <v>0</v>
          </cell>
          <cell r="CM238">
            <v>0.19365954514128192</v>
          </cell>
          <cell r="CN238">
            <v>5.8891454965358081E-2</v>
          </cell>
          <cell r="CO238">
            <v>0.32279171210468904</v>
          </cell>
          <cell r="CP238">
            <v>8.2028029678483216E-2</v>
          </cell>
          <cell r="CQ238">
            <v>0.12082285714285712</v>
          </cell>
          <cell r="CR238">
            <v>0.12000000000000033</v>
          </cell>
          <cell r="CS238">
            <v>0.12000000000000011</v>
          </cell>
          <cell r="CT238">
            <v>0.12</v>
          </cell>
          <cell r="CU238">
            <v>0.12</v>
          </cell>
          <cell r="CV238">
            <v>0.12</v>
          </cell>
          <cell r="CW238">
            <v>0.12</v>
          </cell>
        </row>
        <row r="239">
          <cell r="A239" t="str">
            <v>BULL</v>
          </cell>
          <cell r="BE239">
            <v>0.13999999999999999</v>
          </cell>
          <cell r="BF239">
            <v>0.13999999999999999</v>
          </cell>
          <cell r="BH239">
            <v>0.13999999999999999</v>
          </cell>
          <cell r="BI239">
            <v>0.13999999999999999</v>
          </cell>
          <cell r="BJ239">
            <v>0.13999999999999999</v>
          </cell>
          <cell r="BK239">
            <v>0.13999999999999999</v>
          </cell>
          <cell r="BM239">
            <v>0.13999999999999999</v>
          </cell>
          <cell r="BN239">
            <v>0.13999999999999999</v>
          </cell>
          <cell r="BO239">
            <v>0.13999999999999999</v>
          </cell>
          <cell r="BP239">
            <v>0.13999999999999999</v>
          </cell>
          <cell r="BR239">
            <v>0.13999999999999999</v>
          </cell>
          <cell r="BS239">
            <v>0.13999999999999999</v>
          </cell>
          <cell r="BT239">
            <v>0.13999999999999999</v>
          </cell>
          <cell r="BU239">
            <v>0.13999999999999999</v>
          </cell>
        </row>
        <row r="240">
          <cell r="A240" t="str">
            <v>BASE</v>
          </cell>
          <cell r="BE240">
            <v>0.12</v>
          </cell>
          <cell r="BF240">
            <v>0.12</v>
          </cell>
          <cell r="BH240">
            <v>0.12</v>
          </cell>
          <cell r="BI240">
            <v>0.12</v>
          </cell>
          <cell r="BJ240">
            <v>0.12</v>
          </cell>
          <cell r="BK240">
            <v>0.12</v>
          </cell>
          <cell r="BM240">
            <v>0.12</v>
          </cell>
          <cell r="BN240">
            <v>0.12</v>
          </cell>
          <cell r="BO240">
            <v>0.12</v>
          </cell>
          <cell r="BP240">
            <v>0.12</v>
          </cell>
          <cell r="BR240">
            <v>0.12</v>
          </cell>
          <cell r="BS240">
            <v>0.12</v>
          </cell>
          <cell r="BT240">
            <v>0.12</v>
          </cell>
          <cell r="BU240">
            <v>0.12</v>
          </cell>
        </row>
        <row r="241">
          <cell r="A241" t="str">
            <v>BEAR</v>
          </cell>
          <cell r="BE241">
            <v>9.9999999999999992E-2</v>
          </cell>
          <cell r="BF241">
            <v>9.9999999999999992E-2</v>
          </cell>
          <cell r="BH241">
            <v>9.9999999999999992E-2</v>
          </cell>
          <cell r="BI241">
            <v>9.9999999999999992E-2</v>
          </cell>
          <cell r="BJ241">
            <v>9.9999999999999992E-2</v>
          </cell>
          <cell r="BK241">
            <v>9.9999999999999992E-2</v>
          </cell>
          <cell r="BM241">
            <v>9.9999999999999992E-2</v>
          </cell>
          <cell r="BN241">
            <v>9.9999999999999992E-2</v>
          </cell>
          <cell r="BO241">
            <v>9.9999999999999992E-2</v>
          </cell>
          <cell r="BP241">
            <v>9.9999999999999992E-2</v>
          </cell>
          <cell r="BR241">
            <v>9.9999999999999992E-2</v>
          </cell>
          <cell r="BS241">
            <v>9.9999999999999992E-2</v>
          </cell>
          <cell r="BT241">
            <v>9.9999999999999992E-2</v>
          </cell>
          <cell r="BU241">
            <v>9.9999999999999992E-2</v>
          </cell>
        </row>
        <row r="243">
          <cell r="A243" t="str">
            <v xml:space="preserve">Professional Services </v>
          </cell>
          <cell r="AD243">
            <v>4.5999999999999996</v>
          </cell>
          <cell r="AE243">
            <v>4.2</v>
          </cell>
          <cell r="AF243">
            <v>6.3</v>
          </cell>
          <cell r="AG243">
            <v>5.7000000000000037</v>
          </cell>
          <cell r="AH243">
            <v>20.800000000000004</v>
          </cell>
          <cell r="AI243">
            <v>3.2</v>
          </cell>
          <cell r="AJ243">
            <v>4.8</v>
          </cell>
          <cell r="AK243">
            <v>6.3</v>
          </cell>
          <cell r="AL243">
            <v>14.5</v>
          </cell>
          <cell r="AM243">
            <v>28.8</v>
          </cell>
          <cell r="AN243">
            <v>11.7</v>
          </cell>
          <cell r="AO243">
            <v>14.5</v>
          </cell>
          <cell r="AP243">
            <v>16.7</v>
          </cell>
          <cell r="AQ243">
            <v>34.199999999999989</v>
          </cell>
          <cell r="AR243">
            <v>77.099999999999994</v>
          </cell>
          <cell r="AS243">
            <v>26.5</v>
          </cell>
          <cell r="AT243">
            <v>26.7</v>
          </cell>
          <cell r="AU243">
            <v>27.2</v>
          </cell>
          <cell r="AV243">
            <v>27.3</v>
          </cell>
          <cell r="AW243">
            <v>107.7</v>
          </cell>
          <cell r="AX243">
            <v>28</v>
          </cell>
          <cell r="AY243">
            <v>28.2</v>
          </cell>
          <cell r="AZ243">
            <v>29.3</v>
          </cell>
          <cell r="BA243">
            <v>33.099999999999994</v>
          </cell>
          <cell r="BB243">
            <v>118.6</v>
          </cell>
          <cell r="BC243">
            <v>40.700000000000003</v>
          </cell>
          <cell r="BD243">
            <v>39.9</v>
          </cell>
          <cell r="BE243">
            <v>33.402000000000001</v>
          </cell>
          <cell r="BF243">
            <v>37.733999999999995</v>
          </cell>
          <cell r="BG243">
            <v>151.73599999999999</v>
          </cell>
          <cell r="BH243">
            <v>46.39800000000001</v>
          </cell>
          <cell r="BI243">
            <v>45.486000000000004</v>
          </cell>
          <cell r="BJ243">
            <v>38.078280000000007</v>
          </cell>
          <cell r="BK243">
            <v>43.016759999999998</v>
          </cell>
          <cell r="BL243">
            <v>172.97904000000003</v>
          </cell>
          <cell r="BM243">
            <v>52.893720000000016</v>
          </cell>
          <cell r="BN243">
            <v>51.854040000000012</v>
          </cell>
          <cell r="BO243">
            <v>43.409239200000009</v>
          </cell>
          <cell r="BP243">
            <v>49.039106400000001</v>
          </cell>
          <cell r="BQ243">
            <v>197.19610560000004</v>
          </cell>
          <cell r="BR243">
            <v>218.88767721600007</v>
          </cell>
          <cell r="BS243">
            <v>242.9653217097601</v>
          </cell>
          <cell r="BT243">
            <v>269.69150709783372</v>
          </cell>
          <cell r="BU243">
            <v>299.35757287859548</v>
          </cell>
          <cell r="BZ243" t="str">
            <v xml:space="preserve">Professional Services </v>
          </cell>
          <cell r="CL243">
            <v>20.800000000000004</v>
          </cell>
          <cell r="CM243">
            <v>28.8</v>
          </cell>
          <cell r="CN243">
            <v>77.099999999999994</v>
          </cell>
          <cell r="CO243">
            <v>107.7</v>
          </cell>
          <cell r="CP243">
            <v>118.6</v>
          </cell>
          <cell r="CQ243">
            <v>151.73599999999999</v>
          </cell>
          <cell r="CR243">
            <v>172.97904000000003</v>
          </cell>
          <cell r="CS243">
            <v>197.19610560000004</v>
          </cell>
          <cell r="CT243">
            <v>218.88767721600007</v>
          </cell>
          <cell r="CU243">
            <v>242.9653217097601</v>
          </cell>
          <cell r="CV243">
            <v>269.69150709783372</v>
          </cell>
          <cell r="CW243">
            <v>299.35757287859548</v>
          </cell>
          <cell r="CY243">
            <v>163.02000000000001</v>
          </cell>
        </row>
        <row r="244">
          <cell r="A244" t="str">
            <v>YoY Change</v>
          </cell>
          <cell r="AI244">
            <v>-0.30434782608695643</v>
          </cell>
          <cell r="AJ244">
            <v>0.14285714285714279</v>
          </cell>
          <cell r="AK244">
            <v>0</v>
          </cell>
          <cell r="AL244">
            <v>1.5438596491228052</v>
          </cell>
          <cell r="AM244">
            <v>0.38461538461538436</v>
          </cell>
          <cell r="AN244">
            <v>2.6562499999999996</v>
          </cell>
          <cell r="AO244">
            <v>2.0208333333333335</v>
          </cell>
          <cell r="AP244">
            <v>1.6507936507936507</v>
          </cell>
          <cell r="AQ244">
            <v>1.3586206896551718</v>
          </cell>
          <cell r="AR244">
            <v>1.677083333333333</v>
          </cell>
          <cell r="AS244">
            <v>1.2649572649572649</v>
          </cell>
          <cell r="AT244">
            <v>0.84137931034482749</v>
          </cell>
          <cell r="AU244">
            <v>0.62874251497005984</v>
          </cell>
          <cell r="AV244">
            <v>-0.20175438596491202</v>
          </cell>
          <cell r="AW244">
            <v>0.39688715953307407</v>
          </cell>
          <cell r="AX244">
            <v>5.6603773584905648E-2</v>
          </cell>
          <cell r="AY244">
            <v>5.6179775280898792E-2</v>
          </cell>
          <cell r="AZ244">
            <v>7.7205882352941124E-2</v>
          </cell>
          <cell r="BA244">
            <v>0.21245421245421214</v>
          </cell>
          <cell r="BB244">
            <v>0.10120705663881147</v>
          </cell>
          <cell r="BE244">
            <v>0.14000000000000001</v>
          </cell>
          <cell r="BF244">
            <v>0.14000000000000001</v>
          </cell>
          <cell r="BG244">
            <v>0.2793929173693086</v>
          </cell>
          <cell r="BH244">
            <v>0.14000000000000001</v>
          </cell>
          <cell r="BI244">
            <v>0.14000000000000001</v>
          </cell>
          <cell r="BJ244">
            <v>0.14000000000000001</v>
          </cell>
          <cell r="BK244">
            <v>0.14000000000000001</v>
          </cell>
          <cell r="BL244">
            <v>0.14000000000000035</v>
          </cell>
          <cell r="BM244">
            <v>0.14000000000000001</v>
          </cell>
          <cell r="BN244">
            <v>0.14000000000000001</v>
          </cell>
          <cell r="BO244">
            <v>0.14000000000000001</v>
          </cell>
          <cell r="BP244">
            <v>0.14000000000000001</v>
          </cell>
          <cell r="BQ244">
            <v>0.14000000000000012</v>
          </cell>
          <cell r="BR244">
            <v>0.11</v>
          </cell>
          <cell r="BS244">
            <v>0.11</v>
          </cell>
          <cell r="BT244">
            <v>0.11</v>
          </cell>
          <cell r="BU244">
            <v>0.11</v>
          </cell>
          <cell r="BZ244" t="str">
            <v>YoY Change</v>
          </cell>
          <cell r="CL244">
            <v>0</v>
          </cell>
          <cell r="CM244">
            <v>0.38461538461538436</v>
          </cell>
          <cell r="CN244">
            <v>1.677083333333333</v>
          </cell>
          <cell r="CO244">
            <v>0.39688715953307407</v>
          </cell>
          <cell r="CP244">
            <v>0.10120705663881147</v>
          </cell>
          <cell r="CQ244">
            <v>0.2793929173693086</v>
          </cell>
          <cell r="CR244">
            <v>0.14000000000000035</v>
          </cell>
          <cell r="CS244">
            <v>0.14000000000000012</v>
          </cell>
          <cell r="CT244">
            <v>0.11</v>
          </cell>
          <cell r="CU244">
            <v>0.11</v>
          </cell>
          <cell r="CV244">
            <v>0.11</v>
          </cell>
          <cell r="CW244">
            <v>0.11</v>
          </cell>
        </row>
        <row r="245">
          <cell r="A245" t="str">
            <v>BULL</v>
          </cell>
          <cell r="BE245">
            <v>0.16</v>
          </cell>
          <cell r="BF245">
            <v>0.16</v>
          </cell>
          <cell r="BH245">
            <v>0.16</v>
          </cell>
          <cell r="BI245">
            <v>0.16</v>
          </cell>
          <cell r="BJ245">
            <v>0.16</v>
          </cell>
          <cell r="BK245">
            <v>0.16</v>
          </cell>
          <cell r="BM245">
            <v>0.16</v>
          </cell>
          <cell r="BN245">
            <v>0.16</v>
          </cell>
          <cell r="BO245">
            <v>0.16</v>
          </cell>
          <cell r="BP245">
            <v>0.16</v>
          </cell>
          <cell r="BR245">
            <v>0.13</v>
          </cell>
          <cell r="BS245">
            <v>0.13</v>
          </cell>
          <cell r="BT245">
            <v>0.13</v>
          </cell>
          <cell r="BU245">
            <v>0.13</v>
          </cell>
        </row>
        <row r="246">
          <cell r="A246" t="str">
            <v>BASE</v>
          </cell>
          <cell r="BE246">
            <v>0.14000000000000001</v>
          </cell>
          <cell r="BF246">
            <v>0.14000000000000001</v>
          </cell>
          <cell r="BH246">
            <v>0.14000000000000001</v>
          </cell>
          <cell r="BI246">
            <v>0.14000000000000001</v>
          </cell>
          <cell r="BJ246">
            <v>0.14000000000000001</v>
          </cell>
          <cell r="BK246">
            <v>0.14000000000000001</v>
          </cell>
          <cell r="BM246">
            <v>0.14000000000000001</v>
          </cell>
          <cell r="BN246">
            <v>0.14000000000000001</v>
          </cell>
          <cell r="BO246">
            <v>0.14000000000000001</v>
          </cell>
          <cell r="BP246">
            <v>0.14000000000000001</v>
          </cell>
          <cell r="BR246">
            <v>0.11</v>
          </cell>
          <cell r="BS246">
            <v>0.11</v>
          </cell>
          <cell r="BT246">
            <v>0.11</v>
          </cell>
          <cell r="BU246">
            <v>0.11</v>
          </cell>
        </row>
        <row r="247">
          <cell r="A247" t="str">
            <v>BEAR</v>
          </cell>
          <cell r="BE247">
            <v>0.12000000000000001</v>
          </cell>
          <cell r="BF247">
            <v>0.12000000000000001</v>
          </cell>
          <cell r="BH247">
            <v>0.12000000000000001</v>
          </cell>
          <cell r="BI247">
            <v>0.12000000000000001</v>
          </cell>
          <cell r="BJ247">
            <v>0.12000000000000001</v>
          </cell>
          <cell r="BK247">
            <v>0.12000000000000001</v>
          </cell>
          <cell r="BM247">
            <v>0.12000000000000001</v>
          </cell>
          <cell r="BN247">
            <v>0.12000000000000001</v>
          </cell>
          <cell r="BO247">
            <v>0.12000000000000001</v>
          </cell>
          <cell r="BP247">
            <v>0.12000000000000001</v>
          </cell>
          <cell r="BR247">
            <v>0.09</v>
          </cell>
          <cell r="BS247">
            <v>0.09</v>
          </cell>
          <cell r="BT247">
            <v>0.09</v>
          </cell>
          <cell r="BU247">
            <v>0.09</v>
          </cell>
        </row>
        <row r="249">
          <cell r="A249" t="str">
            <v>Intersegment revenue</v>
          </cell>
          <cell r="AD249">
            <v>0</v>
          </cell>
          <cell r="AE249">
            <v>0</v>
          </cell>
          <cell r="AF249">
            <v>0</v>
          </cell>
          <cell r="AG249">
            <v>0</v>
          </cell>
          <cell r="AH249">
            <v>0</v>
          </cell>
          <cell r="AI249">
            <v>2.2999999999999998</v>
          </cell>
          <cell r="AJ249">
            <v>2.4</v>
          </cell>
          <cell r="AK249">
            <v>2.2999999999999998</v>
          </cell>
          <cell r="AL249">
            <v>2.3000000000000016</v>
          </cell>
          <cell r="AM249">
            <v>9.3000000000000007</v>
          </cell>
          <cell r="AN249">
            <v>2.6</v>
          </cell>
          <cell r="AO249">
            <v>2.6</v>
          </cell>
          <cell r="AP249">
            <v>2.6</v>
          </cell>
          <cell r="AQ249">
            <v>2.8000000000000003</v>
          </cell>
          <cell r="AR249">
            <v>10.600000000000001</v>
          </cell>
          <cell r="AS249">
            <v>3</v>
          </cell>
          <cell r="AT249">
            <v>2.9</v>
          </cell>
          <cell r="AU249">
            <v>3.1</v>
          </cell>
          <cell r="AV249">
            <v>2.8000000000000003</v>
          </cell>
          <cell r="AW249">
            <v>11.8</v>
          </cell>
          <cell r="AX249">
            <v>2.8</v>
          </cell>
          <cell r="AY249">
            <v>2.7</v>
          </cell>
          <cell r="AZ249">
            <v>3</v>
          </cell>
          <cell r="BA249">
            <v>3.1000000000000005</v>
          </cell>
          <cell r="BB249">
            <v>11.600000000000001</v>
          </cell>
          <cell r="BC249">
            <v>3.3</v>
          </cell>
          <cell r="BD249">
            <v>3.3</v>
          </cell>
          <cell r="BE249">
            <v>3.4499999999999997</v>
          </cell>
          <cell r="BF249">
            <v>3.5650000000000004</v>
          </cell>
          <cell r="BG249">
            <v>13.614999999999998</v>
          </cell>
          <cell r="BH249">
            <v>3.7949999999999995</v>
          </cell>
          <cell r="BI249">
            <v>3.7949999999999995</v>
          </cell>
          <cell r="BJ249">
            <v>3.9674999999999994</v>
          </cell>
          <cell r="BK249">
            <v>4.0997500000000002</v>
          </cell>
          <cell r="BL249">
            <v>15.657249999999998</v>
          </cell>
          <cell r="BM249">
            <v>4.3642499999999993</v>
          </cell>
          <cell r="BN249">
            <v>4.3642499999999993</v>
          </cell>
          <cell r="BO249">
            <v>4.5626249999999988</v>
          </cell>
          <cell r="BP249">
            <v>4.7147125000000001</v>
          </cell>
          <cell r="BQ249">
            <v>18.005837499999998</v>
          </cell>
          <cell r="BR249">
            <v>20.706713124999997</v>
          </cell>
          <cell r="BS249">
            <v>23.812720093749995</v>
          </cell>
          <cell r="BT249">
            <v>27.384628107812492</v>
          </cell>
          <cell r="BU249">
            <v>31.492322323984364</v>
          </cell>
          <cell r="BZ249" t="str">
            <v>Intersegment revenue</v>
          </cell>
          <cell r="CL249">
            <v>0</v>
          </cell>
          <cell r="CM249">
            <v>9.3000000000000007</v>
          </cell>
          <cell r="CN249">
            <v>10.600000000000001</v>
          </cell>
          <cell r="CO249">
            <v>11.8</v>
          </cell>
          <cell r="CP249">
            <v>11.600000000000001</v>
          </cell>
          <cell r="CQ249">
            <v>13.614999999999998</v>
          </cell>
          <cell r="CR249">
            <v>15.657249999999998</v>
          </cell>
          <cell r="CS249">
            <v>18.005837499999998</v>
          </cell>
          <cell r="CT249">
            <v>20.706713124999997</v>
          </cell>
          <cell r="CU249">
            <v>23.812720093749995</v>
          </cell>
          <cell r="CV249">
            <v>27.384628107812492</v>
          </cell>
          <cell r="CW249">
            <v>31.492322323984364</v>
          </cell>
          <cell r="CY249">
            <v>14.605</v>
          </cell>
        </row>
        <row r="250">
          <cell r="A250" t="str">
            <v>YoY Change</v>
          </cell>
          <cell r="AN250">
            <v>0.13043478260869579</v>
          </cell>
          <cell r="AO250">
            <v>8.3333333333333481E-2</v>
          </cell>
          <cell r="AP250">
            <v>0.13043478260869579</v>
          </cell>
          <cell r="AQ250">
            <v>0.21739130434782528</v>
          </cell>
          <cell r="AR250">
            <v>0.13978494623655924</v>
          </cell>
          <cell r="AS250">
            <v>0.15384615384615374</v>
          </cell>
          <cell r="AT250">
            <v>0.11538461538461542</v>
          </cell>
          <cell r="AU250">
            <v>0.19230769230769229</v>
          </cell>
          <cell r="AV250">
            <v>0</v>
          </cell>
          <cell r="AW250">
            <v>0.1132075471698113</v>
          </cell>
          <cell r="AX250">
            <v>-6.6666666666666763E-2</v>
          </cell>
          <cell r="AY250">
            <v>-6.8965517241379226E-2</v>
          </cell>
          <cell r="AZ250">
            <v>-3.2258064516129115E-2</v>
          </cell>
          <cell r="BA250">
            <v>0.10714285714285721</v>
          </cell>
          <cell r="BB250">
            <v>-1.6949152542372836E-2</v>
          </cell>
          <cell r="BE250">
            <v>0.15</v>
          </cell>
          <cell r="BF250">
            <v>0.15</v>
          </cell>
          <cell r="BG250">
            <v>0.17370689655172389</v>
          </cell>
          <cell r="BH250">
            <v>0.15</v>
          </cell>
          <cell r="BI250">
            <v>0.15</v>
          </cell>
          <cell r="BJ250">
            <v>0.15</v>
          </cell>
          <cell r="BK250">
            <v>0.15</v>
          </cell>
          <cell r="BL250">
            <v>0.14999999999999991</v>
          </cell>
          <cell r="BM250">
            <v>0.15</v>
          </cell>
          <cell r="BN250">
            <v>0.15</v>
          </cell>
          <cell r="BO250">
            <v>0.15</v>
          </cell>
          <cell r="BP250">
            <v>0.15</v>
          </cell>
          <cell r="BQ250">
            <v>0.15000000000000013</v>
          </cell>
          <cell r="BR250">
            <v>0.15</v>
          </cell>
          <cell r="BS250">
            <v>0.15</v>
          </cell>
          <cell r="BT250">
            <v>0.15</v>
          </cell>
          <cell r="BU250">
            <v>0.15</v>
          </cell>
          <cell r="BZ250" t="str">
            <v>YoY Change</v>
          </cell>
          <cell r="CL250">
            <v>0</v>
          </cell>
          <cell r="CM250">
            <v>0</v>
          </cell>
          <cell r="CN250">
            <v>0.13978494623655924</v>
          </cell>
          <cell r="CO250">
            <v>0.1132075471698113</v>
          </cell>
          <cell r="CP250">
            <v>-1.6949152542372836E-2</v>
          </cell>
          <cell r="CQ250">
            <v>0.17370689655172389</v>
          </cell>
          <cell r="CR250">
            <v>0.14999999999999991</v>
          </cell>
          <cell r="CS250">
            <v>0.15000000000000013</v>
          </cell>
          <cell r="CT250">
            <v>0.15</v>
          </cell>
          <cell r="CU250">
            <v>0.15</v>
          </cell>
          <cell r="CV250">
            <v>0.15</v>
          </cell>
          <cell r="CW250">
            <v>0.15</v>
          </cell>
        </row>
        <row r="251">
          <cell r="A251" t="str">
            <v>BULL</v>
          </cell>
          <cell r="BE251">
            <v>0.15</v>
          </cell>
          <cell r="BF251">
            <v>0.15</v>
          </cell>
          <cell r="BH251">
            <v>0.15</v>
          </cell>
          <cell r="BI251">
            <v>0.15</v>
          </cell>
          <cell r="BJ251">
            <v>0.15</v>
          </cell>
          <cell r="BK251">
            <v>0.15</v>
          </cell>
          <cell r="BM251">
            <v>0.15</v>
          </cell>
          <cell r="BN251">
            <v>0.15</v>
          </cell>
          <cell r="BO251">
            <v>0.15</v>
          </cell>
          <cell r="BP251">
            <v>0.15</v>
          </cell>
          <cell r="BR251">
            <v>0.15</v>
          </cell>
          <cell r="BS251">
            <v>0.15</v>
          </cell>
          <cell r="BT251">
            <v>0.15</v>
          </cell>
          <cell r="BU251">
            <v>0.15</v>
          </cell>
        </row>
        <row r="252">
          <cell r="A252" t="str">
            <v>BASE</v>
          </cell>
          <cell r="BE252">
            <v>0.15</v>
          </cell>
          <cell r="BF252">
            <v>0.15</v>
          </cell>
          <cell r="BH252">
            <v>0.15</v>
          </cell>
          <cell r="BI252">
            <v>0.15</v>
          </cell>
          <cell r="BJ252">
            <v>0.15</v>
          </cell>
          <cell r="BK252">
            <v>0.15</v>
          </cell>
          <cell r="BM252">
            <v>0.15</v>
          </cell>
          <cell r="BN252">
            <v>0.15</v>
          </cell>
          <cell r="BO252">
            <v>0.15</v>
          </cell>
          <cell r="BP252">
            <v>0.15</v>
          </cell>
          <cell r="BR252">
            <v>0.15</v>
          </cell>
          <cell r="BS252">
            <v>0.15</v>
          </cell>
          <cell r="BT252">
            <v>0.15</v>
          </cell>
          <cell r="BU252">
            <v>0.15</v>
          </cell>
        </row>
        <row r="253">
          <cell r="A253" t="str">
            <v>BEAR</v>
          </cell>
          <cell r="BE253">
            <v>0.15</v>
          </cell>
          <cell r="BF253">
            <v>0.15</v>
          </cell>
          <cell r="BH253">
            <v>0.15</v>
          </cell>
          <cell r="BI253">
            <v>0.15</v>
          </cell>
          <cell r="BJ253">
            <v>0.15</v>
          </cell>
          <cell r="BK253">
            <v>0.15</v>
          </cell>
          <cell r="BM253">
            <v>0.15</v>
          </cell>
          <cell r="BN253">
            <v>0.15</v>
          </cell>
          <cell r="BO253">
            <v>0.15</v>
          </cell>
          <cell r="BP253">
            <v>0.15</v>
          </cell>
          <cell r="BR253">
            <v>0.15</v>
          </cell>
          <cell r="BS253">
            <v>0.15</v>
          </cell>
          <cell r="BT253">
            <v>0.15</v>
          </cell>
          <cell r="BU253">
            <v>0.15</v>
          </cell>
        </row>
        <row r="255">
          <cell r="A255" t="str">
            <v>Old reporting</v>
          </cell>
        </row>
        <row r="256">
          <cell r="A256" t="str">
            <v xml:space="preserve">Subscription </v>
          </cell>
          <cell r="C256" t="str">
            <v>ND</v>
          </cell>
          <cell r="D256" t="str">
            <v>ND</v>
          </cell>
          <cell r="E256" t="str">
            <v>ND</v>
          </cell>
          <cell r="F256" t="str">
            <v>ND</v>
          </cell>
          <cell r="G256" t="str">
            <v>ND</v>
          </cell>
          <cell r="H256" t="str">
            <v>ND</v>
          </cell>
          <cell r="I256" t="str">
            <v>ND</v>
          </cell>
          <cell r="J256" t="str">
            <v>ND</v>
          </cell>
          <cell r="K256" t="str">
            <v>ND</v>
          </cell>
          <cell r="L256" t="str">
            <v>ND</v>
          </cell>
          <cell r="M256" t="str">
            <v>ND</v>
          </cell>
          <cell r="N256" t="str">
            <v>ND</v>
          </cell>
          <cell r="O256" t="str">
            <v>ND</v>
          </cell>
          <cell r="P256" t="str">
            <v>ND</v>
          </cell>
          <cell r="Q256" t="str">
            <v>ND</v>
          </cell>
          <cell r="R256" t="str">
            <v>ND</v>
          </cell>
          <cell r="S256" t="str">
            <v>ND</v>
          </cell>
          <cell r="T256">
            <v>99.5</v>
          </cell>
          <cell r="U256">
            <v>102.1</v>
          </cell>
          <cell r="V256">
            <v>107.5</v>
          </cell>
          <cell r="W256">
            <v>112.39999999999998</v>
          </cell>
          <cell r="X256">
            <v>421.5</v>
          </cell>
          <cell r="Y256">
            <v>118.2</v>
          </cell>
          <cell r="Z256">
            <v>117.1</v>
          </cell>
          <cell r="AA256">
            <v>118.7</v>
          </cell>
          <cell r="AB256">
            <v>121.89999999999998</v>
          </cell>
          <cell r="AC256">
            <v>475.9</v>
          </cell>
        </row>
        <row r="257">
          <cell r="A257" t="str">
            <v>YoY Change</v>
          </cell>
          <cell r="Y257">
            <v>0.18793969849246239</v>
          </cell>
          <cell r="Z257">
            <v>0.14691478942213521</v>
          </cell>
          <cell r="AA257">
            <v>0.10418604651162799</v>
          </cell>
          <cell r="AB257">
            <v>8.4519572953736688E-2</v>
          </cell>
          <cell r="AC257">
            <v>0.12906287069988132</v>
          </cell>
        </row>
        <row r="259">
          <cell r="A259" t="str">
            <v xml:space="preserve">Software </v>
          </cell>
          <cell r="C259" t="str">
            <v>ND</v>
          </cell>
          <cell r="D259" t="str">
            <v>ND</v>
          </cell>
          <cell r="E259" t="str">
            <v>ND</v>
          </cell>
          <cell r="F259" t="str">
            <v>ND</v>
          </cell>
          <cell r="G259" t="str">
            <v>ND</v>
          </cell>
          <cell r="H259" t="str">
            <v>ND</v>
          </cell>
          <cell r="I259" t="str">
            <v>ND</v>
          </cell>
          <cell r="J259" t="str">
            <v>ND</v>
          </cell>
          <cell r="K259" t="str">
            <v>ND</v>
          </cell>
          <cell r="L259" t="str">
            <v>ND</v>
          </cell>
          <cell r="M259" t="str">
            <v>ND</v>
          </cell>
          <cell r="N259" t="str">
            <v>ND</v>
          </cell>
          <cell r="O259" t="str">
            <v>ND</v>
          </cell>
          <cell r="P259" t="str">
            <v>ND</v>
          </cell>
          <cell r="Q259" t="str">
            <v>ND</v>
          </cell>
          <cell r="R259" t="str">
            <v>ND</v>
          </cell>
          <cell r="S259" t="str">
            <v>ND</v>
          </cell>
          <cell r="T259">
            <v>7.8</v>
          </cell>
          <cell r="U259">
            <v>9.8000000000000007</v>
          </cell>
          <cell r="V259">
            <v>8.1999999999999993</v>
          </cell>
          <cell r="W259">
            <v>13.7</v>
          </cell>
          <cell r="X259">
            <v>39.5</v>
          </cell>
          <cell r="Y259">
            <v>9.5</v>
          </cell>
          <cell r="Z259">
            <v>9.5</v>
          </cell>
          <cell r="AA259">
            <v>11.1</v>
          </cell>
          <cell r="AB259">
            <v>19.100000000000001</v>
          </cell>
          <cell r="AC259">
            <v>49.2</v>
          </cell>
        </row>
        <row r="260">
          <cell r="A260" t="str">
            <v>YoY Change</v>
          </cell>
          <cell r="Y260">
            <v>0.21794871794871806</v>
          </cell>
          <cell r="Z260">
            <v>-3.0612244897959218E-2</v>
          </cell>
          <cell r="AA260">
            <v>0.35365853658536595</v>
          </cell>
          <cell r="AB260">
            <v>0.39416058394160602</v>
          </cell>
          <cell r="AC260">
            <v>0.24556962025316453</v>
          </cell>
        </row>
        <row r="262">
          <cell r="A262" t="str">
            <v xml:space="preserve">Consulting </v>
          </cell>
          <cell r="C262" t="str">
            <v>ND</v>
          </cell>
          <cell r="D262" t="str">
            <v>ND</v>
          </cell>
          <cell r="E262" t="str">
            <v>ND</v>
          </cell>
          <cell r="F262" t="str">
            <v>ND</v>
          </cell>
          <cell r="G262" t="str">
            <v>ND</v>
          </cell>
          <cell r="H262" t="str">
            <v>ND</v>
          </cell>
          <cell r="I262" t="str">
            <v>ND</v>
          </cell>
          <cell r="J262" t="str">
            <v>ND</v>
          </cell>
          <cell r="K262" t="str">
            <v>ND</v>
          </cell>
          <cell r="L262" t="str">
            <v>ND</v>
          </cell>
          <cell r="M262" t="str">
            <v>ND</v>
          </cell>
          <cell r="N262" t="str">
            <v>ND</v>
          </cell>
          <cell r="O262" t="str">
            <v>ND</v>
          </cell>
          <cell r="P262" t="str">
            <v>ND</v>
          </cell>
          <cell r="Q262" t="str">
            <v>ND</v>
          </cell>
          <cell r="R262" t="str">
            <v>ND</v>
          </cell>
          <cell r="S262" t="str">
            <v>ND</v>
          </cell>
          <cell r="T262">
            <v>3.3</v>
          </cell>
          <cell r="U262">
            <v>4</v>
          </cell>
          <cell r="V262">
            <v>4.5999999999999996</v>
          </cell>
          <cell r="W262">
            <v>6.200000000000002</v>
          </cell>
          <cell r="X262">
            <v>18.100000000000001</v>
          </cell>
          <cell r="Y262">
            <v>4.8</v>
          </cell>
          <cell r="Z262">
            <v>5.2</v>
          </cell>
          <cell r="AA262">
            <v>6.8</v>
          </cell>
          <cell r="AB262">
            <v>8.8000000000000007</v>
          </cell>
          <cell r="AC262">
            <v>25.6</v>
          </cell>
        </row>
        <row r="263">
          <cell r="A263" t="str">
            <v>YoY Change</v>
          </cell>
          <cell r="Y263">
            <v>0.45454545454545459</v>
          </cell>
          <cell r="Z263">
            <v>0.30000000000000004</v>
          </cell>
          <cell r="AA263">
            <v>0.47826086956521752</v>
          </cell>
          <cell r="AB263">
            <v>0.41935483870967705</v>
          </cell>
          <cell r="AC263">
            <v>0.41436464088397784</v>
          </cell>
        </row>
        <row r="265">
          <cell r="A265" t="str">
            <v xml:space="preserve">Total MA </v>
          </cell>
          <cell r="C265">
            <v>72.400000000000006</v>
          </cell>
          <cell r="D265">
            <v>62</v>
          </cell>
          <cell r="E265">
            <v>82.7</v>
          </cell>
          <cell r="F265">
            <v>102.3</v>
          </cell>
          <cell r="G265">
            <v>175.1</v>
          </cell>
          <cell r="H265">
            <v>238.8</v>
          </cell>
          <cell r="I265">
            <v>294.5</v>
          </cell>
          <cell r="J265">
            <v>82.1</v>
          </cell>
          <cell r="K265">
            <v>83</v>
          </cell>
          <cell r="L265">
            <v>88.6</v>
          </cell>
          <cell r="M265">
            <v>92.9</v>
          </cell>
          <cell r="N265">
            <v>346.6</v>
          </cell>
          <cell r="O265">
            <v>92.5</v>
          </cell>
          <cell r="P265">
            <v>96.8</v>
          </cell>
          <cell r="Q265">
            <v>100.6</v>
          </cell>
          <cell r="R265">
            <v>107.4</v>
          </cell>
          <cell r="S265">
            <v>397.29999999999995</v>
          </cell>
          <cell r="T265">
            <v>110.6</v>
          </cell>
          <cell r="U265">
            <v>115.89999999999999</v>
          </cell>
          <cell r="V265">
            <v>120.3</v>
          </cell>
          <cell r="W265">
            <v>132.29999999999998</v>
          </cell>
          <cell r="X265">
            <v>479.1</v>
          </cell>
          <cell r="Y265">
            <v>132.5</v>
          </cell>
          <cell r="Z265">
            <v>131.79999999999998</v>
          </cell>
          <cell r="AA265">
            <v>136.60000000000002</v>
          </cell>
          <cell r="AB265">
            <v>149.79999999999998</v>
          </cell>
          <cell r="AC265">
            <v>550.69999999999993</v>
          </cell>
          <cell r="AD265">
            <v>138.69999999999999</v>
          </cell>
          <cell r="AE265">
            <v>140.4</v>
          </cell>
          <cell r="AF265">
            <v>146.5</v>
          </cell>
          <cell r="AG265">
            <v>153.9</v>
          </cell>
          <cell r="AH265">
            <v>579.5</v>
          </cell>
          <cell r="AI265">
            <v>143.4</v>
          </cell>
          <cell r="AJ265">
            <v>151.6</v>
          </cell>
          <cell r="AK265">
            <v>157.4</v>
          </cell>
          <cell r="AL265">
            <v>183.89999999999998</v>
          </cell>
          <cell r="AM265">
            <v>636.29999999999995</v>
          </cell>
          <cell r="AN265">
            <v>167.1</v>
          </cell>
          <cell r="AO265">
            <v>169.79999999999998</v>
          </cell>
          <cell r="AP265">
            <v>182.49999999999997</v>
          </cell>
          <cell r="AQ265">
            <v>203.00000000000006</v>
          </cell>
          <cell r="AR265">
            <v>722.4</v>
          </cell>
          <cell r="AS265">
            <v>197.1</v>
          </cell>
          <cell r="AT265">
            <v>202.50000000000003</v>
          </cell>
          <cell r="AU265">
            <v>218.1</v>
          </cell>
          <cell r="AV265">
            <v>237.60000000000002</v>
          </cell>
          <cell r="AW265">
            <v>855.3</v>
          </cell>
          <cell r="AX265">
            <v>213.4</v>
          </cell>
          <cell r="AY265">
            <v>221.4</v>
          </cell>
          <cell r="AZ265">
            <v>230.39999999999998</v>
          </cell>
          <cell r="BA265">
            <v>259.5</v>
          </cell>
          <cell r="BB265">
            <v>924.7</v>
          </cell>
          <cell r="BC265">
            <v>244.70000000000002</v>
          </cell>
          <cell r="BD265">
            <v>255.1</v>
          </cell>
          <cell r="BE265">
            <v>253.04174999999998</v>
          </cell>
          <cell r="BF265">
            <v>285.51299999999998</v>
          </cell>
          <cell r="BG265">
            <v>1038.35475</v>
          </cell>
          <cell r="BH265">
            <v>268.98875000000004</v>
          </cell>
          <cell r="BI265">
            <v>280.45925</v>
          </cell>
          <cell r="BJ265">
            <v>278.05567562499994</v>
          </cell>
          <cell r="BK265">
            <v>314.29833499999995</v>
          </cell>
          <cell r="BL265">
            <v>1141.8020106249999</v>
          </cell>
          <cell r="BM265">
            <v>295.856870625</v>
          </cell>
          <cell r="BN265">
            <v>308.51157437500001</v>
          </cell>
          <cell r="BO265">
            <v>305.70581953593751</v>
          </cell>
          <cell r="BP265">
            <v>346.16842413749998</v>
          </cell>
          <cell r="BQ265">
            <v>1256.2426886734374</v>
          </cell>
          <cell r="BR265">
            <v>1371.961215624578</v>
          </cell>
          <cell r="BS265">
            <v>1499.0781596793386</v>
          </cell>
          <cell r="BT265">
            <v>1638.7849899338707</v>
          </cell>
          <cell r="BU265">
            <v>1792.403825794999</v>
          </cell>
          <cell r="BZ265" t="str">
            <v xml:space="preserve">Total MA </v>
          </cell>
          <cell r="CA265">
            <v>72.400000000000006</v>
          </cell>
          <cell r="CB265">
            <v>62</v>
          </cell>
          <cell r="CC265">
            <v>82.7</v>
          </cell>
          <cell r="CD265">
            <v>102.3</v>
          </cell>
          <cell r="CE265">
            <v>175.1</v>
          </cell>
          <cell r="CF265">
            <v>238.8</v>
          </cell>
          <cell r="CG265">
            <v>294.5</v>
          </cell>
          <cell r="CH265">
            <v>346.6</v>
          </cell>
          <cell r="CI265">
            <v>397.29999999999995</v>
          </cell>
          <cell r="CJ265">
            <v>479.1</v>
          </cell>
          <cell r="CK265">
            <v>550.69999999999993</v>
          </cell>
          <cell r="CL265">
            <v>579.5</v>
          </cell>
          <cell r="CM265">
            <v>636.29999999999995</v>
          </cell>
          <cell r="CN265">
            <v>722.4</v>
          </cell>
          <cell r="CO265">
            <v>855.3</v>
          </cell>
          <cell r="CP265">
            <v>924.7</v>
          </cell>
          <cell r="CQ265">
            <v>1038.35475</v>
          </cell>
          <cell r="CR265">
            <v>1141.8020106249999</v>
          </cell>
          <cell r="CS265">
            <v>1256.2426886734374</v>
          </cell>
          <cell r="CT265">
            <v>1371.961215624578</v>
          </cell>
          <cell r="CU265">
            <v>1499.0781596793386</v>
          </cell>
          <cell r="CV265">
            <v>1638.7849899338707</v>
          </cell>
          <cell r="CW265">
            <v>1792.403825794999</v>
          </cell>
          <cell r="CY265">
            <v>1088.0027500000001</v>
          </cell>
        </row>
        <row r="266">
          <cell r="A266" t="str">
            <v>YoY Change</v>
          </cell>
          <cell r="D266">
            <v>-0.14364640883977908</v>
          </cell>
          <cell r="E266">
            <v>0.33387096774193559</v>
          </cell>
          <cell r="F266">
            <v>0.2370012091898428</v>
          </cell>
          <cell r="G266">
            <v>0.71163245356793747</v>
          </cell>
          <cell r="H266">
            <v>0.36379211878926343</v>
          </cell>
          <cell r="I266">
            <v>0.23324958123953099</v>
          </cell>
          <cell r="J266">
            <v>-7.2551390568320606E-3</v>
          </cell>
          <cell r="K266">
            <v>-0.18866080156402731</v>
          </cell>
          <cell r="L266">
            <v>-0.49400342661336383</v>
          </cell>
          <cell r="M266">
            <v>-0.61097152428810719</v>
          </cell>
          <cell r="N266">
            <v>0.17691001697792874</v>
          </cell>
          <cell r="O266">
            <v>0.12667478684531064</v>
          </cell>
          <cell r="P266">
            <v>0.16626506024096388</v>
          </cell>
          <cell r="Q266">
            <v>0.13544018058690743</v>
          </cell>
          <cell r="R266">
            <v>0.15608180839612484</v>
          </cell>
          <cell r="S266">
            <v>0.14627813040969406</v>
          </cell>
          <cell r="T266">
            <v>0.19567567567567568</v>
          </cell>
          <cell r="U266">
            <v>0.1973140495867769</v>
          </cell>
          <cell r="V266">
            <v>0.19582504970178927</v>
          </cell>
          <cell r="W266">
            <v>0.23184357541899425</v>
          </cell>
          <cell r="X266">
            <v>0.2058897558520012</v>
          </cell>
          <cell r="Y266">
            <v>0.19801084990958406</v>
          </cell>
          <cell r="Z266">
            <v>0.13718723037100933</v>
          </cell>
          <cell r="AA266">
            <v>0.13549459684123044</v>
          </cell>
          <cell r="AB266">
            <v>0.13227513227513232</v>
          </cell>
          <cell r="AC266">
            <v>0.14944687956585234</v>
          </cell>
          <cell r="AD266">
            <v>4.6792452830188624E-2</v>
          </cell>
          <cell r="AE266">
            <v>6.5250379362670863E-2</v>
          </cell>
          <cell r="AF266">
            <v>7.2474377745241458E-2</v>
          </cell>
          <cell r="AG266">
            <v>2.7369826435247102E-2</v>
          </cell>
          <cell r="AH266">
            <v>5.2297076448156954E-2</v>
          </cell>
          <cell r="AI266">
            <v>3.388608507570301E-2</v>
          </cell>
          <cell r="AJ266">
            <v>7.9772079772079785E-2</v>
          </cell>
          <cell r="AK266">
            <v>7.4402730375426662E-2</v>
          </cell>
          <cell r="AL266">
            <v>0.19493177387914207</v>
          </cell>
          <cell r="AM266">
            <v>9.8015530629853354E-2</v>
          </cell>
          <cell r="AN266">
            <v>0.16527196652719667</v>
          </cell>
          <cell r="AO266">
            <v>0.12005277044854878</v>
          </cell>
          <cell r="AP266">
            <v>0.15946632782719172</v>
          </cell>
          <cell r="AQ266">
            <v>0.10386079390973402</v>
          </cell>
          <cell r="AR266">
            <v>0.13531353135313529</v>
          </cell>
          <cell r="AS266">
            <v>0.17953321364452424</v>
          </cell>
          <cell r="AT266">
            <v>0.19257950530035362</v>
          </cell>
          <cell r="AU266">
            <v>0.1950684931506852</v>
          </cell>
          <cell r="AV266">
            <v>0.17044334975369435</v>
          </cell>
          <cell r="AW266">
            <v>0.183970099667774</v>
          </cell>
          <cell r="AX266">
            <v>8.2699137493658093E-2</v>
          </cell>
          <cell r="AY266">
            <v>9.3333333333333268E-2</v>
          </cell>
          <cell r="AZ266">
            <v>5.6396148555708292E-2</v>
          </cell>
          <cell r="BA266">
            <v>9.2171717171717127E-2</v>
          </cell>
          <cell r="BB266">
            <v>8.1141120074827766E-2</v>
          </cell>
          <cell r="BC266">
            <v>0.14667291471415189</v>
          </cell>
          <cell r="BD266">
            <v>0.1522131887985545</v>
          </cell>
          <cell r="BE266">
            <v>9.8271484375000107E-2</v>
          </cell>
          <cell r="BF266">
            <v>0.10024277456647379</v>
          </cell>
          <cell r="BG266">
            <v>0.12290986265815929</v>
          </cell>
          <cell r="BH266">
            <v>9.925929709848802E-2</v>
          </cell>
          <cell r="BI266">
            <v>9.9409055272442259E-2</v>
          </cell>
          <cell r="BJ266">
            <v>9.8852958553282022E-2</v>
          </cell>
          <cell r="BK266">
            <v>0.10081969997863482</v>
          </cell>
          <cell r="BL266">
            <v>9.9626125488422757E-2</v>
          </cell>
          <cell r="BM266">
            <v>9.9885666686803765E-2</v>
          </cell>
          <cell r="BN266">
            <v>0.10002281748596276</v>
          </cell>
          <cell r="BO266">
            <v>9.9441034061926281E-2</v>
          </cell>
          <cell r="BP266">
            <v>0.10140075714209562</v>
          </cell>
          <cell r="BQ266">
            <v>0.10022812797973191</v>
          </cell>
          <cell r="BR266">
            <v>9.2114786413870942E-2</v>
          </cell>
          <cell r="BS266">
            <v>9.2653453032847777E-2</v>
          </cell>
          <cell r="BT266">
            <v>9.3195160874344429E-2</v>
          </cell>
          <cell r="BU266">
            <v>9.3739469670958586E-2</v>
          </cell>
          <cell r="BZ266" t="str">
            <v>YoY Change</v>
          </cell>
          <cell r="CO266">
            <v>0.183970099667774</v>
          </cell>
          <cell r="CP266">
            <v>8.1141120074827766E-2</v>
          </cell>
          <cell r="CQ266">
            <v>0.12290986265815929</v>
          </cell>
          <cell r="CR266">
            <v>9.9626125488422757E-2</v>
          </cell>
          <cell r="CS266">
            <v>0.10022812797973191</v>
          </cell>
          <cell r="CT266">
            <v>9.2114786413870942E-2</v>
          </cell>
          <cell r="CU266">
            <v>9.2653453032847777E-2</v>
          </cell>
          <cell r="CV266">
            <v>9.3195160874344429E-2</v>
          </cell>
          <cell r="CW266">
            <v>9.3739469670958586E-2</v>
          </cell>
        </row>
        <row r="268">
          <cell r="A268" t="str">
            <v>Eliminations</v>
          </cell>
          <cell r="BZ268" t="str">
            <v>Eliminations</v>
          </cell>
        </row>
        <row r="269">
          <cell r="A269" t="str">
            <v xml:space="preserve">Revenue </v>
          </cell>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-13.1</v>
          </cell>
          <cell r="U269">
            <v>-13.4</v>
          </cell>
          <cell r="V269">
            <v>-14.2</v>
          </cell>
          <cell r="W269">
            <v>-14.799999999999999</v>
          </cell>
          <cell r="X269">
            <v>-55.5</v>
          </cell>
          <cell r="Y269">
            <v>-16</v>
          </cell>
          <cell r="Z269">
            <v>-15.7</v>
          </cell>
          <cell r="AA269">
            <v>-15.8</v>
          </cell>
          <cell r="AB269">
            <v>-16.100000000000001</v>
          </cell>
          <cell r="AC269">
            <v>-63.6</v>
          </cell>
          <cell r="AD269">
            <v>-14.7</v>
          </cell>
          <cell r="AE269">
            <v>-14.4</v>
          </cell>
          <cell r="AF269">
            <v>-14.5</v>
          </cell>
          <cell r="AG269">
            <v>-16.399999999999999</v>
          </cell>
          <cell r="AH269">
            <v>-60</v>
          </cell>
          <cell r="AI269">
            <v>-17.600000000000001</v>
          </cell>
          <cell r="AJ269">
            <v>-17.899999999999999</v>
          </cell>
          <cell r="AK269">
            <v>-17.8</v>
          </cell>
          <cell r="AL269">
            <v>-17.299999999999994</v>
          </cell>
          <cell r="AM269">
            <v>-70.599999999999994</v>
          </cell>
          <cell r="AN269">
            <v>-18.600000000000001</v>
          </cell>
          <cell r="AO269">
            <v>-18.8</v>
          </cell>
          <cell r="AP269">
            <v>-19.399999999999999</v>
          </cell>
          <cell r="AQ269">
            <v>-19.600000000000001</v>
          </cell>
          <cell r="AR269">
            <v>-76.400000000000006</v>
          </cell>
          <cell r="AS269">
            <v>-20.100000000000001</v>
          </cell>
          <cell r="AT269">
            <v>-20.399999999999999</v>
          </cell>
          <cell r="AU269">
            <v>-20.9</v>
          </cell>
          <cell r="AV269">
            <v>-21.9</v>
          </cell>
          <cell r="AW269">
            <v>-83.3</v>
          </cell>
          <cell r="AX269">
            <v>-21.7</v>
          </cell>
          <cell r="AY269">
            <v>-21.7</v>
          </cell>
          <cell r="AZ269">
            <v>-22.6</v>
          </cell>
          <cell r="BA269">
            <v>-24.199999999999992</v>
          </cell>
          <cell r="BB269">
            <v>-90.199999999999989</v>
          </cell>
          <cell r="BC269">
            <v>-24.8</v>
          </cell>
          <cell r="BD269">
            <v>-25.2</v>
          </cell>
          <cell r="BE269">
            <v>-24.03</v>
          </cell>
          <cell r="BF269">
            <v>-25.719999999999995</v>
          </cell>
          <cell r="BG269">
            <v>-99.75</v>
          </cell>
          <cell r="BH269">
            <v>-26.369999999999997</v>
          </cell>
          <cell r="BI269">
            <v>-26.79</v>
          </cell>
          <cell r="BJ269">
            <v>-25.576500000000003</v>
          </cell>
          <cell r="BK269">
            <v>-27.362499999999994</v>
          </cell>
          <cell r="BL269">
            <v>-106.099</v>
          </cell>
          <cell r="BM269">
            <v>-28.067999999999998</v>
          </cell>
          <cell r="BN269">
            <v>-28.509</v>
          </cell>
          <cell r="BO269">
            <v>-27.252075000000005</v>
          </cell>
          <cell r="BP269">
            <v>-29.140599999999996</v>
          </cell>
          <cell r="BQ269">
            <v>-112.969675</v>
          </cell>
          <cell r="BR269">
            <v>-120.41874250000001</v>
          </cell>
          <cell r="BS269">
            <v>-128.51035093750002</v>
          </cell>
          <cell r="BT269">
            <v>-137.31714049375003</v>
          </cell>
          <cell r="BU269">
            <v>-146.92146032921877</v>
          </cell>
          <cell r="BZ269" t="str">
            <v xml:space="preserve">Revenue </v>
          </cell>
          <cell r="CJ269">
            <v>-55.5</v>
          </cell>
          <cell r="CK269">
            <v>-63.6</v>
          </cell>
          <cell r="CL269">
            <v>-60</v>
          </cell>
          <cell r="CM269">
            <v>-70.599999999999994</v>
          </cell>
          <cell r="CN269">
            <v>-76.400000000000006</v>
          </cell>
          <cell r="CO269">
            <v>-83.3</v>
          </cell>
          <cell r="CP269">
            <v>-90.199999999999989</v>
          </cell>
          <cell r="CQ269">
            <v>-99.75</v>
          </cell>
          <cell r="CR269">
            <v>-106.099</v>
          </cell>
          <cell r="CS269">
            <v>-112.969675</v>
          </cell>
          <cell r="CT269">
            <v>-120.41874250000001</v>
          </cell>
          <cell r="CU269">
            <v>-128.51035093750002</v>
          </cell>
          <cell r="CV269">
            <v>-137.31714049375003</v>
          </cell>
          <cell r="CW269">
            <v>-146.92146032921877</v>
          </cell>
          <cell r="CY269">
            <v>-102.91</v>
          </cell>
        </row>
        <row r="272">
          <cell r="A272" t="str">
            <v>Total Revenue</v>
          </cell>
          <cell r="C272">
            <v>513.90000000000009</v>
          </cell>
          <cell r="D272">
            <v>564.20000000000005</v>
          </cell>
          <cell r="E272">
            <v>602.30000000000007</v>
          </cell>
          <cell r="F272">
            <v>796.7</v>
          </cell>
          <cell r="G272">
            <v>1023.3000000000001</v>
          </cell>
          <cell r="H272">
            <v>1246.6000000000001</v>
          </cell>
          <cell r="I272">
            <v>1438.3000000000002</v>
          </cell>
          <cell r="J272">
            <v>390.5</v>
          </cell>
          <cell r="K272">
            <v>446.8</v>
          </cell>
          <cell r="L272">
            <v>421.09999999999991</v>
          </cell>
          <cell r="M272">
            <v>473.19999999999993</v>
          </cell>
          <cell r="N272">
            <v>1731.6</v>
          </cell>
          <cell r="O272">
            <v>440.20000000000005</v>
          </cell>
          <cell r="P272">
            <v>511.4</v>
          </cell>
          <cell r="Q272">
            <v>495.5</v>
          </cell>
          <cell r="R272">
            <v>590</v>
          </cell>
          <cell r="S272">
            <v>2037.1</v>
          </cell>
          <cell r="T272">
            <v>583</v>
          </cell>
          <cell r="U272">
            <v>646.09999999999991</v>
          </cell>
          <cell r="V272">
            <v>524.99999999999989</v>
          </cell>
          <cell r="W272">
            <v>504.90000000000003</v>
          </cell>
          <cell r="X272">
            <v>2259</v>
          </cell>
          <cell r="Y272">
            <v>430.7</v>
          </cell>
          <cell r="Z272">
            <v>487.59999999999997</v>
          </cell>
          <cell r="AA272">
            <v>433.40000000000003</v>
          </cell>
          <cell r="AB272">
            <v>403.69999999999993</v>
          </cell>
          <cell r="AC272">
            <v>1755.4</v>
          </cell>
          <cell r="AD272">
            <v>408.9</v>
          </cell>
          <cell r="AE272">
            <v>450.69999999999993</v>
          </cell>
          <cell r="AF272">
            <v>451.8</v>
          </cell>
          <cell r="AG272">
            <v>485.79999999999995</v>
          </cell>
          <cell r="AH272">
            <v>1797.2</v>
          </cell>
          <cell r="AI272">
            <v>476.6</v>
          </cell>
          <cell r="AJ272">
            <v>477.80000000000007</v>
          </cell>
          <cell r="AK272">
            <v>513.30000000000007</v>
          </cell>
          <cell r="AL272">
            <v>564.30000000000007</v>
          </cell>
          <cell r="AM272">
            <v>2032</v>
          </cell>
          <cell r="AN272">
            <v>577.1</v>
          </cell>
          <cell r="AO272">
            <v>605.20000000000005</v>
          </cell>
          <cell r="AP272">
            <v>531.30000000000007</v>
          </cell>
          <cell r="AQ272">
            <v>567.10000000000014</v>
          </cell>
          <cell r="AR272">
            <v>2280.6999999999998</v>
          </cell>
          <cell r="AS272">
            <v>646.80000000000007</v>
          </cell>
          <cell r="AT272">
            <v>640.80000000000007</v>
          </cell>
          <cell r="AU272">
            <v>688.5</v>
          </cell>
          <cell r="AV272">
            <v>754.20000000000016</v>
          </cell>
          <cell r="AW272">
            <v>2730.3</v>
          </cell>
          <cell r="AX272">
            <v>731.8</v>
          </cell>
          <cell r="AY272">
            <v>755.99999999999989</v>
          </cell>
          <cell r="AZ272">
            <v>705.49999999999989</v>
          </cell>
          <cell r="BA272">
            <v>779.2</v>
          </cell>
          <cell r="BB272">
            <v>2972.5</v>
          </cell>
          <cell r="BC272">
            <v>767.20000000000016</v>
          </cell>
          <cell r="BD272">
            <v>873.5</v>
          </cell>
          <cell r="BE272">
            <v>715.22181999999998</v>
          </cell>
          <cell r="BF272">
            <v>792.82377905454541</v>
          </cell>
          <cell r="BG272">
            <v>3148.7455990545454</v>
          </cell>
          <cell r="BH272">
            <v>778.45364669600019</v>
          </cell>
          <cell r="BI272">
            <v>879.82848975399997</v>
          </cell>
          <cell r="BJ272">
            <v>747.72179732899997</v>
          </cell>
          <cell r="BK272">
            <v>829.50365841521216</v>
          </cell>
          <cell r="BL272">
            <v>3235.5075921942125</v>
          </cell>
          <cell r="BM272">
            <v>813.19984006897994</v>
          </cell>
          <cell r="BN272">
            <v>916.63876133956012</v>
          </cell>
          <cell r="BO272">
            <v>782.84808442624751</v>
          </cell>
          <cell r="BP272">
            <v>869.25971348865232</v>
          </cell>
          <cell r="BQ272">
            <v>3381.9463993234399</v>
          </cell>
          <cell r="BR272">
            <v>3516.0680303658892</v>
          </cell>
          <cell r="BS272">
            <v>3661.3791846873032</v>
          </cell>
          <cell r="BT272">
            <v>3819.0124500460702</v>
          </cell>
          <cell r="BU272">
            <v>3990.221967569601</v>
          </cell>
          <cell r="BZ272" t="str">
            <v>Total Revenue</v>
          </cell>
          <cell r="CA272">
            <v>513.90000000000009</v>
          </cell>
          <cell r="CB272">
            <v>564.20000000000005</v>
          </cell>
          <cell r="CC272">
            <v>602.30000000000007</v>
          </cell>
          <cell r="CD272">
            <v>796.7</v>
          </cell>
          <cell r="CE272">
            <v>1023.3000000000001</v>
          </cell>
          <cell r="CF272">
            <v>1246.6000000000001</v>
          </cell>
          <cell r="CG272">
            <v>1438.3000000000002</v>
          </cell>
          <cell r="CH272">
            <v>1731.6</v>
          </cell>
          <cell r="CI272">
            <v>2037.1</v>
          </cell>
          <cell r="CJ272">
            <v>2259</v>
          </cell>
          <cell r="CK272">
            <v>1755.4</v>
          </cell>
          <cell r="CL272">
            <v>1797.2</v>
          </cell>
          <cell r="CM272">
            <v>2032</v>
          </cell>
          <cell r="CN272">
            <v>2280.6999999999998</v>
          </cell>
          <cell r="CO272">
            <v>2730.3</v>
          </cell>
          <cell r="CP272">
            <v>2972.5</v>
          </cell>
          <cell r="CQ272">
            <v>3148.7455990545454</v>
          </cell>
          <cell r="CR272">
            <v>3235.5075921942125</v>
          </cell>
          <cell r="CS272">
            <v>3381.9463993234399</v>
          </cell>
          <cell r="CT272">
            <v>3516.0680303658892</v>
          </cell>
          <cell r="CU272">
            <v>3661.3791846873032</v>
          </cell>
          <cell r="CV272">
            <v>3819.0124500460702</v>
          </cell>
          <cell r="CW272">
            <v>3990.221967569601</v>
          </cell>
          <cell r="CY272">
            <v>3166.3277355045457</v>
          </cell>
        </row>
        <row r="273">
          <cell r="A273" t="str">
            <v>YoY Change</v>
          </cell>
          <cell r="D273">
            <v>9.7878964779139821E-2</v>
          </cell>
          <cell r="E273">
            <v>6.7529244948599798E-2</v>
          </cell>
          <cell r="F273">
            <v>0.32276274281919304</v>
          </cell>
          <cell r="G273">
            <v>0.28442324588929324</v>
          </cell>
          <cell r="H273">
            <v>0.21821557705462724</v>
          </cell>
          <cell r="I273">
            <v>0.15377827691320389</v>
          </cell>
          <cell r="J273" t="str">
            <v>NM</v>
          </cell>
          <cell r="K273" t="str">
            <v>NM</v>
          </cell>
          <cell r="L273" t="str">
            <v>NM</v>
          </cell>
          <cell r="M273" t="str">
            <v>NM</v>
          </cell>
          <cell r="N273">
            <v>0.20392129597441411</v>
          </cell>
          <cell r="O273">
            <v>0.12727272727272743</v>
          </cell>
          <cell r="P273">
            <v>0.14458370635631157</v>
          </cell>
          <cell r="Q273">
            <v>0.17668012348610818</v>
          </cell>
          <cell r="R273">
            <v>0.24683009298393932</v>
          </cell>
          <cell r="S273">
            <v>0.17642642642642636</v>
          </cell>
          <cell r="T273">
            <v>0.32439800090867776</v>
          </cell>
          <cell r="U273">
            <v>0.2633946030504497</v>
          </cell>
          <cell r="V273">
            <v>5.9535822401614258E-2</v>
          </cell>
          <cell r="W273">
            <v>-0.14423728813559311</v>
          </cell>
          <cell r="X273">
            <v>0.10892936036522505</v>
          </cell>
          <cell r="Y273">
            <v>-0.26123499142367068</v>
          </cell>
          <cell r="Z273">
            <v>-0.24531806221947061</v>
          </cell>
          <cell r="AA273">
            <v>-0.17447619047619023</v>
          </cell>
          <cell r="AB273">
            <v>-0.20043572984749469</v>
          </cell>
          <cell r="AC273">
            <v>-0.22293050022133687</v>
          </cell>
          <cell r="AD273">
            <v>-5.0615277455305363E-2</v>
          </cell>
          <cell r="AE273">
            <v>-7.5676784249384843E-2</v>
          </cell>
          <cell r="AF273">
            <v>4.2455006922011984E-2</v>
          </cell>
          <cell r="AG273">
            <v>0.20336883824622243</v>
          </cell>
          <cell r="AH273">
            <v>2.3812236527287256E-2</v>
          </cell>
          <cell r="AI273">
            <v>0.16556615309366607</v>
          </cell>
          <cell r="AJ273">
            <v>6.0128688706456934E-2</v>
          </cell>
          <cell r="AK273">
            <v>0.13612217795484738</v>
          </cell>
          <cell r="AL273">
            <v>0.16158913132976549</v>
          </cell>
          <cell r="AM273">
            <v>0.13064767415980416</v>
          </cell>
          <cell r="AN273">
            <v>0.2108686529584558</v>
          </cell>
          <cell r="AO273">
            <v>0.26663876098786088</v>
          </cell>
          <cell r="AP273">
            <v>3.5067212156633554E-2</v>
          </cell>
          <cell r="AQ273">
            <v>4.961899698741945E-3</v>
          </cell>
          <cell r="AR273">
            <v>0.12239173228346445</v>
          </cell>
          <cell r="AS273">
            <v>0.12077629526945088</v>
          </cell>
          <cell r="AT273">
            <v>5.8823529411764719E-2</v>
          </cell>
          <cell r="AU273">
            <v>0.29587803500846954</v>
          </cell>
          <cell r="AV273">
            <v>0.32992417563040033</v>
          </cell>
          <cell r="AW273">
            <v>0.1971324593326611</v>
          </cell>
          <cell r="AX273">
            <v>0.13141620284477407</v>
          </cell>
          <cell r="AY273">
            <v>0.17977528089887618</v>
          </cell>
          <cell r="AZ273">
            <v>2.4691358024691246E-2</v>
          </cell>
          <cell r="BA273">
            <v>3.3147706178732195E-2</v>
          </cell>
          <cell r="BB273">
            <v>8.8708200564040496E-2</v>
          </cell>
          <cell r="BC273">
            <v>4.837387264279891E-2</v>
          </cell>
          <cell r="BD273">
            <v>0.15542328042328069</v>
          </cell>
          <cell r="BE273">
            <v>1.3780042523033442E-2</v>
          </cell>
          <cell r="BF273">
            <v>1.748431603509415E-2</v>
          </cell>
          <cell r="BG273">
            <v>5.9292043416163231E-2</v>
          </cell>
          <cell r="BH273">
            <v>1.4668465453597568E-2</v>
          </cell>
          <cell r="BI273">
            <v>7.2449796840297065E-3</v>
          </cell>
          <cell r="BJ273">
            <v>4.5440416413749851E-2</v>
          </cell>
          <cell r="BK273">
            <v>4.6264857752384758E-2</v>
          </cell>
          <cell r="BL273">
            <v>2.7554462693244686E-2</v>
          </cell>
          <cell r="BM273">
            <v>4.4634890619953405E-2</v>
          </cell>
          <cell r="BN273">
            <v>4.1838008218911371E-2</v>
          </cell>
          <cell r="BO273">
            <v>4.6977749241395861E-2</v>
          </cell>
          <cell r="BP273">
            <v>4.792752228410313E-2</v>
          </cell>
          <cell r="BQ273">
            <v>4.5259917634721925E-2</v>
          </cell>
          <cell r="BR273">
            <v>3.9658118493326899E-2</v>
          </cell>
          <cell r="BS273">
            <v>4.1327742542652812E-2</v>
          </cell>
          <cell r="BT273">
            <v>4.3052974687250112E-2</v>
          </cell>
          <cell r="BU273">
            <v>4.4830835134215263E-2</v>
          </cell>
          <cell r="BZ273" t="str">
            <v>YoY Change</v>
          </cell>
          <cell r="CA273">
            <v>0</v>
          </cell>
          <cell r="CB273">
            <v>9.7878964779139821E-2</v>
          </cell>
          <cell r="CC273">
            <v>6.7529244948599798E-2</v>
          </cell>
          <cell r="CD273">
            <v>0.32276274281919304</v>
          </cell>
          <cell r="CE273">
            <v>0.28442324588929324</v>
          </cell>
          <cell r="CF273">
            <v>0.21821557705462724</v>
          </cell>
          <cell r="CG273">
            <v>0.15377827691320389</v>
          </cell>
          <cell r="CH273">
            <v>0.20392129597441411</v>
          </cell>
          <cell r="CI273">
            <v>0.17642642642642636</v>
          </cell>
          <cell r="CJ273">
            <v>0.10892936036522505</v>
          </cell>
          <cell r="CK273">
            <v>-0.22293050022133687</v>
          </cell>
          <cell r="CL273">
            <v>2.3812236527287256E-2</v>
          </cell>
          <cell r="CM273">
            <v>0.13064767415980416</v>
          </cell>
          <cell r="CN273">
            <v>0.12239173228346445</v>
          </cell>
          <cell r="CO273">
            <v>0.1971324593326611</v>
          </cell>
          <cell r="CP273">
            <v>8.8708200564040496E-2</v>
          </cell>
          <cell r="CQ273">
            <v>5.9292043416163231E-2</v>
          </cell>
          <cell r="CR273">
            <v>2.7554462693244686E-2</v>
          </cell>
          <cell r="CS273">
            <v>4.5259917634721925E-2</v>
          </cell>
          <cell r="CT273">
            <v>3.9658118493326899E-2</v>
          </cell>
          <cell r="CU273">
            <v>4.1327742542652812E-2</v>
          </cell>
          <cell r="CV273">
            <v>4.3052974687250112E-2</v>
          </cell>
          <cell r="CW273">
            <v>4.4830835134215263E-2</v>
          </cell>
        </row>
        <row r="275">
          <cell r="A275" t="str">
            <v>MIS</v>
          </cell>
          <cell r="BZ275" t="str">
            <v>MIS</v>
          </cell>
        </row>
        <row r="276">
          <cell r="A276" t="str">
            <v>Transaction Based</v>
          </cell>
          <cell r="C276" t="str">
            <v>ND</v>
          </cell>
          <cell r="D276" t="str">
            <v>ND</v>
          </cell>
          <cell r="E276" t="str">
            <v>ND</v>
          </cell>
          <cell r="F276" t="str">
            <v>ND</v>
          </cell>
          <cell r="G276" t="str">
            <v>ND</v>
          </cell>
          <cell r="H276" t="str">
            <v>ND</v>
          </cell>
          <cell r="I276" t="str">
            <v>ND</v>
          </cell>
          <cell r="J276" t="str">
            <v>ND</v>
          </cell>
          <cell r="K276" t="str">
            <v>ND</v>
          </cell>
          <cell r="L276" t="str">
            <v>ND</v>
          </cell>
          <cell r="M276" t="str">
            <v>ND</v>
          </cell>
          <cell r="N276" t="str">
            <v>ND</v>
          </cell>
          <cell r="O276" t="str">
            <v>ND</v>
          </cell>
          <cell r="P276" t="str">
            <v>ND</v>
          </cell>
          <cell r="Q276" t="str">
            <v>ND</v>
          </cell>
          <cell r="R276" t="str">
            <v>ND</v>
          </cell>
          <cell r="S276" t="str">
            <v>ND</v>
          </cell>
          <cell r="T276">
            <v>344.70499999999998</v>
          </cell>
          <cell r="U276">
            <v>396.82799999999992</v>
          </cell>
          <cell r="V276">
            <v>268.096</v>
          </cell>
          <cell r="W276">
            <v>232.44</v>
          </cell>
          <cell r="X276">
            <v>1242.069</v>
          </cell>
          <cell r="Y276">
            <v>153.958</v>
          </cell>
          <cell r="Z276">
            <v>208.04000000000002</v>
          </cell>
          <cell r="AA276">
            <v>150.048</v>
          </cell>
          <cell r="AB276">
            <v>108</v>
          </cell>
          <cell r="AC276">
            <v>620.04600000000005</v>
          </cell>
          <cell r="AD276">
            <v>131.054</v>
          </cell>
          <cell r="AE276">
            <v>168.84399999999997</v>
          </cell>
          <cell r="AF276">
            <v>159.9</v>
          </cell>
          <cell r="AG276">
            <v>192.29999999999998</v>
          </cell>
          <cell r="AH276">
            <v>652.09799999999996</v>
          </cell>
          <cell r="AI276">
            <v>192.94000000000003</v>
          </cell>
          <cell r="AJ276">
            <v>185.81400000000002</v>
          </cell>
          <cell r="AK276">
            <v>216.74600000000001</v>
          </cell>
          <cell r="AL276">
            <v>243.70000000000005</v>
          </cell>
          <cell r="AM276">
            <v>839.2</v>
          </cell>
          <cell r="AN276">
            <v>265.73200000000003</v>
          </cell>
          <cell r="AO276">
            <v>277.06200000000001</v>
          </cell>
          <cell r="AP276">
            <v>191.46400000000003</v>
          </cell>
          <cell r="AQ276">
            <v>207.19800000000006</v>
          </cell>
          <cell r="AR276">
            <v>941.45600000000024</v>
          </cell>
          <cell r="AS276">
            <v>291.27600000000007</v>
          </cell>
          <cell r="AT276">
            <v>275.21999999999997</v>
          </cell>
          <cell r="AU276">
            <v>304.60599999999999</v>
          </cell>
          <cell r="AV276">
            <v>350.02500000000009</v>
          </cell>
          <cell r="AW276">
            <v>1221.1270000000002</v>
          </cell>
          <cell r="AX276">
            <v>334.86200000000002</v>
          </cell>
          <cell r="AY276">
            <v>361.59499999999997</v>
          </cell>
          <cell r="AZ276">
            <v>293.64299999999997</v>
          </cell>
          <cell r="BA276">
            <v>331.77900000000005</v>
          </cell>
          <cell r="BB276">
            <v>1321.8789999999999</v>
          </cell>
          <cell r="BC276">
            <v>328.38000000000005</v>
          </cell>
          <cell r="BD276">
            <v>418.34000000000003</v>
          </cell>
          <cell r="BE276">
            <v>301.45024340000003</v>
          </cell>
          <cell r="BF276">
            <v>330.47908301381824</v>
          </cell>
          <cell r="BG276">
            <v>1378.6493264138185</v>
          </cell>
          <cell r="BH276">
            <v>332.21763595152004</v>
          </cell>
          <cell r="BI276">
            <v>388.21872864747996</v>
          </cell>
          <cell r="BJ276">
            <v>307.05042545648001</v>
          </cell>
          <cell r="BK276">
            <v>336.39205051743153</v>
          </cell>
          <cell r="BL276">
            <v>1363.8788405729115</v>
          </cell>
          <cell r="BM276">
            <v>338.15480105526757</v>
          </cell>
          <cell r="BN276">
            <v>394.71443591802728</v>
          </cell>
          <cell r="BO276">
            <v>312.7244907319922</v>
          </cell>
          <cell r="BP276">
            <v>342.38377139771444</v>
          </cell>
          <cell r="BQ276">
            <v>1387.9774991030017</v>
          </cell>
          <cell r="BR276">
            <v>1404.0058454896132</v>
          </cell>
          <cell r="BS276">
            <v>1420.3030530861884</v>
          </cell>
          <cell r="BT276">
            <v>1436.877652375689</v>
          </cell>
          <cell r="BU276">
            <v>1453.7385533043691</v>
          </cell>
          <cell r="BZ276" t="str">
            <v>Transaction Based</v>
          </cell>
          <cell r="CA276" t="str">
            <v>ND</v>
          </cell>
          <cell r="CB276" t="str">
            <v>ND</v>
          </cell>
          <cell r="CC276" t="str">
            <v>ND</v>
          </cell>
          <cell r="CD276" t="str">
            <v>ND</v>
          </cell>
          <cell r="CE276" t="str">
            <v>ND</v>
          </cell>
          <cell r="CF276" t="str">
            <v>ND</v>
          </cell>
          <cell r="CG276" t="str">
            <v>ND</v>
          </cell>
          <cell r="CH276" t="str">
            <v>ND</v>
          </cell>
          <cell r="CI276" t="str">
            <v>ND</v>
          </cell>
          <cell r="CJ276">
            <v>1242.069</v>
          </cell>
          <cell r="CK276">
            <v>620.04600000000005</v>
          </cell>
          <cell r="CL276">
            <v>652.09799999999996</v>
          </cell>
          <cell r="CM276">
            <v>839.2</v>
          </cell>
          <cell r="CN276">
            <v>941.45600000000024</v>
          </cell>
          <cell r="CO276">
            <v>1221.1270000000002</v>
          </cell>
          <cell r="CP276">
            <v>1321.8789999999999</v>
          </cell>
          <cell r="CQ276">
            <v>1378.6493264138185</v>
          </cell>
          <cell r="CR276">
            <v>1363.8788405729115</v>
          </cell>
          <cell r="CS276">
            <v>1387.9774991030017</v>
          </cell>
          <cell r="CT276">
            <v>1404.0058454896132</v>
          </cell>
          <cell r="CU276">
            <v>1420.3030530861884</v>
          </cell>
          <cell r="CV276">
            <v>1436.877652375689</v>
          </cell>
          <cell r="CW276">
            <v>1453.7385533043691</v>
          </cell>
          <cell r="CY276">
            <v>1352.3656910128182</v>
          </cell>
        </row>
        <row r="277">
          <cell r="A277" t="str">
            <v>YoY Change</v>
          </cell>
          <cell r="Y277">
            <v>-0.55336302055380693</v>
          </cell>
          <cell r="Z277">
            <v>-0.47574263912828718</v>
          </cell>
          <cell r="AA277">
            <v>-0.44031988541417999</v>
          </cell>
          <cell r="AB277">
            <v>-0.53536396489416616</v>
          </cell>
          <cell r="AC277">
            <v>-0.50079584950594525</v>
          </cell>
          <cell r="AD277">
            <v>-0.14876784577612079</v>
          </cell>
          <cell r="AE277">
            <v>-0.18840607575466284</v>
          </cell>
          <cell r="AF277">
            <v>6.5658989123480449E-2</v>
          </cell>
          <cell r="AG277">
            <v>0.78055555555555545</v>
          </cell>
          <cell r="AH277">
            <v>5.1692938910983921E-2</v>
          </cell>
          <cell r="AI277">
            <v>0.47221755917408115</v>
          </cell>
          <cell r="AJ277">
            <v>0.10050697685437471</v>
          </cell>
          <cell r="AK277">
            <v>0.35550969355847406</v>
          </cell>
          <cell r="AL277">
            <v>0.26729069162766539</v>
          </cell>
          <cell r="AM277">
            <v>0.28692313118580359</v>
          </cell>
          <cell r="AN277">
            <v>0.37727791023115986</v>
          </cell>
          <cell r="AO277">
            <v>0.49107171687816842</v>
          </cell>
          <cell r="AP277">
            <v>-0.1166434444003579</v>
          </cell>
          <cell r="AQ277">
            <v>-0.1497825194911776</v>
          </cell>
          <cell r="AR277">
            <v>0.12184938036225001</v>
          </cell>
          <cell r="AS277">
            <v>9.6126924871675401E-2</v>
          </cell>
          <cell r="AT277">
            <v>-6.6483314204042188E-3</v>
          </cell>
          <cell r="AU277">
            <v>0.59093093218568482</v>
          </cell>
          <cell r="AV277">
            <v>0.68932615179683188</v>
          </cell>
          <cell r="AW277">
            <v>0.29706221002362287</v>
          </cell>
          <cell r="AX277">
            <v>0.14963814389101726</v>
          </cell>
          <cell r="AY277">
            <v>0.31383983722113218</v>
          </cell>
          <cell r="AZ277">
            <v>-3.5990755270743247E-2</v>
          </cell>
          <cell r="BA277">
            <v>-5.212770516391696E-2</v>
          </cell>
          <cell r="BB277">
            <v>8.2507388666370973E-2</v>
          </cell>
          <cell r="BC277">
            <v>-1.9357227753522221E-2</v>
          </cell>
          <cell r="BD277">
            <v>0.15692971418299506</v>
          </cell>
          <cell r="BE277">
            <v>2.6587534523213829E-2</v>
          </cell>
          <cell r="BF277">
            <v>-3.9180206890183644E-3</v>
          </cell>
          <cell r="BG277">
            <v>4.2946689079574218E-2</v>
          </cell>
          <cell r="BH277">
            <v>1.1686570289055398E-2</v>
          </cell>
          <cell r="BI277">
            <v>-7.2001891649185024E-2</v>
          </cell>
          <cell r="BJ277">
            <v>1.8577467356856614E-2</v>
          </cell>
          <cell r="BK277">
            <v>1.7892108177285371E-2</v>
          </cell>
          <cell r="BL277">
            <v>-1.0713736668140572E-2</v>
          </cell>
          <cell r="BM277">
            <v>1.7871312240069992E-2</v>
          </cell>
          <cell r="BN277">
            <v>1.6732081147083688E-2</v>
          </cell>
          <cell r="BO277">
            <v>1.8479262053054502E-2</v>
          </cell>
          <cell r="BP277">
            <v>1.7811719602370379E-2</v>
          </cell>
          <cell r="BQ277">
            <v>1.7669207713470581E-2</v>
          </cell>
          <cell r="BR277">
            <v>1.1547987195015708E-2</v>
          </cell>
          <cell r="BS277">
            <v>1.1607649390442454E-2</v>
          </cell>
          <cell r="BT277">
            <v>1.1669762487298341E-2</v>
          </cell>
          <cell r="BU277">
            <v>1.1734402647854525E-2</v>
          </cell>
          <cell r="BZ277" t="str">
            <v>YoY Change</v>
          </cell>
          <cell r="CA277">
            <v>0</v>
          </cell>
          <cell r="CB277">
            <v>0</v>
          </cell>
          <cell r="CC277">
            <v>0</v>
          </cell>
          <cell r="CD277">
            <v>0</v>
          </cell>
          <cell r="CE277">
            <v>0</v>
          </cell>
          <cell r="CF277">
            <v>0</v>
          </cell>
          <cell r="CG277">
            <v>0</v>
          </cell>
          <cell r="CH277">
            <v>0</v>
          </cell>
          <cell r="CI277">
            <v>0</v>
          </cell>
          <cell r="CJ277">
            <v>0</v>
          </cell>
          <cell r="CK277">
            <v>-0.50079584950594525</v>
          </cell>
          <cell r="CL277">
            <v>5.1692938910983921E-2</v>
          </cell>
          <cell r="CM277">
            <v>0.28692313118580359</v>
          </cell>
          <cell r="CN277">
            <v>0.12184938036225001</v>
          </cell>
          <cell r="CO277">
            <v>0.29706221002362287</v>
          </cell>
          <cell r="CP277">
            <v>8.2507388666370973E-2</v>
          </cell>
          <cell r="CQ277">
            <v>4.2946689079574218E-2</v>
          </cell>
          <cell r="CR277">
            <v>-1.0713736668140572E-2</v>
          </cell>
          <cell r="CS277">
            <v>1.7669207713470581E-2</v>
          </cell>
          <cell r="CT277">
            <v>1.1547987195015708E-2</v>
          </cell>
          <cell r="CU277">
            <v>1.1607649390442454E-2</v>
          </cell>
          <cell r="CV277">
            <v>1.1669762487298341E-2</v>
          </cell>
          <cell r="CW277">
            <v>1.1734402647854525E-2</v>
          </cell>
        </row>
        <row r="278">
          <cell r="A278" t="str">
            <v xml:space="preserve">% of total </v>
          </cell>
          <cell r="T278">
            <v>0.71</v>
          </cell>
          <cell r="U278">
            <v>0.73</v>
          </cell>
          <cell r="V278">
            <v>0.64</v>
          </cell>
          <cell r="W278">
            <v>0.6</v>
          </cell>
          <cell r="X278">
            <v>0.68</v>
          </cell>
          <cell r="Y278">
            <v>0.49</v>
          </cell>
          <cell r="Z278">
            <v>0.56000000000000005</v>
          </cell>
          <cell r="AA278">
            <v>0.48</v>
          </cell>
          <cell r="AB278">
            <v>0.4</v>
          </cell>
          <cell r="AC278">
            <v>0.48887960261767727</v>
          </cell>
          <cell r="AD278">
            <v>0.46</v>
          </cell>
          <cell r="AE278">
            <v>0.52</v>
          </cell>
          <cell r="AF278">
            <v>0.5</v>
          </cell>
          <cell r="AG278">
            <v>0.55211024978466838</v>
          </cell>
          <cell r="AH278">
            <v>0.51036863113406894</v>
          </cell>
          <cell r="AI278">
            <v>0.55000000000000004</v>
          </cell>
          <cell r="AJ278">
            <v>0.54</v>
          </cell>
          <cell r="AK278">
            <v>0.57999999999999996</v>
          </cell>
          <cell r="AL278">
            <v>0.61277344732210215</v>
          </cell>
          <cell r="AM278">
            <v>0.57232489940666986</v>
          </cell>
          <cell r="AN278">
            <v>0.62</v>
          </cell>
          <cell r="AO278">
            <v>0.61</v>
          </cell>
          <cell r="AP278">
            <v>0.52</v>
          </cell>
          <cell r="AQ278">
            <v>0.54</v>
          </cell>
          <cell r="AR278">
            <v>0.57591974062519136</v>
          </cell>
          <cell r="AS278">
            <v>0.62</v>
          </cell>
          <cell r="AT278">
            <v>0.6</v>
          </cell>
          <cell r="AU278">
            <v>0.62</v>
          </cell>
          <cell r="AV278">
            <v>0.65</v>
          </cell>
          <cell r="AW278">
            <v>0.62356482663534707</v>
          </cell>
          <cell r="AX278">
            <v>0.62</v>
          </cell>
          <cell r="AY278">
            <v>0.65</v>
          </cell>
          <cell r="AZ278">
            <v>0.59</v>
          </cell>
          <cell r="BA278">
            <v>0.61</v>
          </cell>
          <cell r="BB278">
            <v>0.61827829747427498</v>
          </cell>
          <cell r="BC278">
            <v>0.6</v>
          </cell>
          <cell r="BD278">
            <v>0.65</v>
          </cell>
          <cell r="BE278">
            <v>0.62</v>
          </cell>
          <cell r="BF278">
            <v>0.62</v>
          </cell>
          <cell r="BG278">
            <v>0.62378346927689132</v>
          </cell>
          <cell r="BH278">
            <v>0.62</v>
          </cell>
          <cell r="BI278">
            <v>0.62</v>
          </cell>
          <cell r="BJ278">
            <v>0.62</v>
          </cell>
          <cell r="BK278">
            <v>0.62</v>
          </cell>
          <cell r="BL278">
            <v>0.61999999999999988</v>
          </cell>
          <cell r="BM278">
            <v>0.62</v>
          </cell>
          <cell r="BN278">
            <v>0.62</v>
          </cell>
          <cell r="BO278">
            <v>0.62</v>
          </cell>
          <cell r="BP278">
            <v>0.62</v>
          </cell>
          <cell r="BQ278">
            <v>0.62000000000000011</v>
          </cell>
          <cell r="BR278">
            <v>0.62000000000000011</v>
          </cell>
          <cell r="BS278">
            <v>0.62000000000000011</v>
          </cell>
          <cell r="BT278">
            <v>0.62000000000000011</v>
          </cell>
          <cell r="BU278">
            <v>0.62000000000000011</v>
          </cell>
          <cell r="BZ278" t="str">
            <v xml:space="preserve">% of total </v>
          </cell>
          <cell r="CA278">
            <v>0</v>
          </cell>
          <cell r="CB278">
            <v>0</v>
          </cell>
          <cell r="CC278">
            <v>0</v>
          </cell>
          <cell r="CD278">
            <v>0</v>
          </cell>
          <cell r="CE278">
            <v>0</v>
          </cell>
          <cell r="CF278">
            <v>0</v>
          </cell>
          <cell r="CG278">
            <v>0</v>
          </cell>
          <cell r="CH278">
            <v>0</v>
          </cell>
          <cell r="CI278">
            <v>0</v>
          </cell>
          <cell r="CJ278">
            <v>0.68</v>
          </cell>
          <cell r="CK278">
            <v>0.48887960261767727</v>
          </cell>
          <cell r="CL278">
            <v>0.51036863113406894</v>
          </cell>
          <cell r="CM278">
            <v>0.57232489940666986</v>
          </cell>
          <cell r="CN278">
            <v>0.57591974062519136</v>
          </cell>
          <cell r="CO278">
            <v>0.62356482663534707</v>
          </cell>
          <cell r="CP278">
            <v>0.61827829747427498</v>
          </cell>
          <cell r="CQ278">
            <v>0.62378346927689132</v>
          </cell>
          <cell r="CR278">
            <v>0.61999999999999988</v>
          </cell>
          <cell r="CS278">
            <v>0.62000000000000011</v>
          </cell>
          <cell r="CT278">
            <v>0.62000000000000011</v>
          </cell>
          <cell r="CU278">
            <v>0.62000000000000011</v>
          </cell>
          <cell r="CV278">
            <v>0.62000000000000011</v>
          </cell>
          <cell r="CW278">
            <v>0.62000000000000011</v>
          </cell>
        </row>
        <row r="279">
          <cell r="A279" t="str">
            <v>BULL</v>
          </cell>
          <cell r="BE279">
            <v>0.67</v>
          </cell>
          <cell r="BF279">
            <v>0.67</v>
          </cell>
          <cell r="BH279">
            <v>0.67</v>
          </cell>
          <cell r="BI279">
            <v>0.67</v>
          </cell>
          <cell r="BJ279">
            <v>0.67</v>
          </cell>
          <cell r="BK279">
            <v>0.67</v>
          </cell>
          <cell r="BM279">
            <v>0.67</v>
          </cell>
          <cell r="BN279">
            <v>0.67</v>
          </cell>
          <cell r="BO279">
            <v>0.67</v>
          </cell>
          <cell r="BP279">
            <v>0.67</v>
          </cell>
          <cell r="BR279">
            <v>0.67000000000000015</v>
          </cell>
          <cell r="BS279">
            <v>0.67000000000000015</v>
          </cell>
          <cell r="BT279">
            <v>0.67000000000000015</v>
          </cell>
          <cell r="BU279">
            <v>0.67000000000000015</v>
          </cell>
        </row>
        <row r="280">
          <cell r="A280" t="str">
            <v>BASE</v>
          </cell>
          <cell r="BE280">
            <v>0.62</v>
          </cell>
          <cell r="BF280">
            <v>0.62</v>
          </cell>
          <cell r="BH280">
            <v>0.62</v>
          </cell>
          <cell r="BI280">
            <v>0.62</v>
          </cell>
          <cell r="BJ280">
            <v>0.62</v>
          </cell>
          <cell r="BK280">
            <v>0.62</v>
          </cell>
          <cell r="BM280">
            <v>0.62</v>
          </cell>
          <cell r="BN280">
            <v>0.62</v>
          </cell>
          <cell r="BO280">
            <v>0.62</v>
          </cell>
          <cell r="BP280">
            <v>0.62</v>
          </cell>
          <cell r="BR280">
            <v>0.62000000000000011</v>
          </cell>
          <cell r="BS280">
            <v>0.62000000000000011</v>
          </cell>
          <cell r="BT280">
            <v>0.62000000000000011</v>
          </cell>
          <cell r="BU280">
            <v>0.62000000000000011</v>
          </cell>
        </row>
        <row r="281">
          <cell r="A281" t="str">
            <v>BEAR</v>
          </cell>
          <cell r="BE281">
            <v>0.56999999999999995</v>
          </cell>
          <cell r="BF281">
            <v>0.56999999999999995</v>
          </cell>
          <cell r="BH281">
            <v>0.56999999999999995</v>
          </cell>
          <cell r="BI281">
            <v>0.56999999999999995</v>
          </cell>
          <cell r="BJ281">
            <v>0.56999999999999995</v>
          </cell>
          <cell r="BK281">
            <v>0.56999999999999995</v>
          </cell>
          <cell r="BM281">
            <v>0.56999999999999995</v>
          </cell>
          <cell r="BN281">
            <v>0.56999999999999995</v>
          </cell>
          <cell r="BO281">
            <v>0.56999999999999995</v>
          </cell>
          <cell r="BP281">
            <v>0.56999999999999995</v>
          </cell>
          <cell r="BR281">
            <v>0.57000000000000006</v>
          </cell>
          <cell r="BS281">
            <v>0.57000000000000006</v>
          </cell>
          <cell r="BT281">
            <v>0.57000000000000006</v>
          </cell>
          <cell r="BU281">
            <v>0.57000000000000006</v>
          </cell>
        </row>
        <row r="283">
          <cell r="A283" t="str">
            <v>Relationship Based</v>
          </cell>
          <cell r="C283" t="str">
            <v>ND</v>
          </cell>
          <cell r="D283" t="str">
            <v>ND</v>
          </cell>
          <cell r="E283" t="str">
            <v>ND</v>
          </cell>
          <cell r="F283" t="str">
            <v>ND</v>
          </cell>
          <cell r="G283" t="str">
            <v>ND</v>
          </cell>
          <cell r="H283" t="str">
            <v>ND</v>
          </cell>
          <cell r="I283" t="str">
            <v>ND</v>
          </cell>
          <cell r="J283" t="str">
            <v>ND</v>
          </cell>
          <cell r="K283" t="str">
            <v>ND</v>
          </cell>
          <cell r="L283" t="str">
            <v>ND</v>
          </cell>
          <cell r="M283" t="str">
            <v>ND</v>
          </cell>
          <cell r="N283" t="str">
            <v>ND</v>
          </cell>
          <cell r="O283" t="str">
            <v>ND</v>
          </cell>
          <cell r="P283" t="str">
            <v>ND</v>
          </cell>
          <cell r="Q283" t="str">
            <v>ND</v>
          </cell>
          <cell r="R283" t="str">
            <v>ND</v>
          </cell>
          <cell r="S283" t="str">
            <v>ND</v>
          </cell>
          <cell r="T283">
            <v>140.79500000000002</v>
          </cell>
          <cell r="U283">
            <v>146.77199999999999</v>
          </cell>
          <cell r="V283">
            <v>150.80399999999997</v>
          </cell>
          <cell r="W283">
            <v>154.96000000000004</v>
          </cell>
          <cell r="X283">
            <v>593.33100000000002</v>
          </cell>
          <cell r="Y283">
            <v>160.24199999999999</v>
          </cell>
          <cell r="Z283">
            <v>163.45999999999998</v>
          </cell>
          <cell r="AA283">
            <v>162.55200000000002</v>
          </cell>
          <cell r="AB283">
            <v>162</v>
          </cell>
          <cell r="AC283">
            <v>648.25400000000002</v>
          </cell>
          <cell r="AD283">
            <v>153.846</v>
          </cell>
          <cell r="AE283">
            <v>155.85599999999997</v>
          </cell>
          <cell r="AF283">
            <v>159.9</v>
          </cell>
          <cell r="AG283">
            <v>156</v>
          </cell>
          <cell r="AH283">
            <v>625.60199999999998</v>
          </cell>
          <cell r="AI283">
            <v>157.85999999999999</v>
          </cell>
          <cell r="AJ283">
            <v>158.286</v>
          </cell>
          <cell r="AK283">
            <v>156.95400000000004</v>
          </cell>
          <cell r="AL283">
            <v>154</v>
          </cell>
          <cell r="AM283">
            <v>627.1</v>
          </cell>
          <cell r="AN283">
            <v>162.86800000000002</v>
          </cell>
          <cell r="AO283">
            <v>177.13800000000001</v>
          </cell>
          <cell r="AP283">
            <v>176.73600000000002</v>
          </cell>
          <cell r="AQ283">
            <v>176.50200000000004</v>
          </cell>
          <cell r="AR283">
            <v>693.24400000000014</v>
          </cell>
          <cell r="AS283">
            <v>178.52400000000003</v>
          </cell>
          <cell r="AT283">
            <v>183.48000000000002</v>
          </cell>
          <cell r="AU283">
            <v>186.69399999999999</v>
          </cell>
          <cell r="AV283">
            <v>188.47500000000002</v>
          </cell>
          <cell r="AW283">
            <v>737.173</v>
          </cell>
          <cell r="AX283">
            <v>205.238</v>
          </cell>
          <cell r="AY283">
            <v>194.70499999999998</v>
          </cell>
          <cell r="AZ283">
            <v>204.05700000000002</v>
          </cell>
          <cell r="BA283">
            <v>212.12100000000004</v>
          </cell>
          <cell r="BB283">
            <v>816.12100000000009</v>
          </cell>
          <cell r="BC283">
            <v>218.92000000000004</v>
          </cell>
          <cell r="BD283">
            <v>225.26</v>
          </cell>
          <cell r="BE283">
            <v>184.75982660000003</v>
          </cell>
          <cell r="BF283">
            <v>202.55169604072731</v>
          </cell>
          <cell r="BG283">
            <v>831.49152264072734</v>
          </cell>
          <cell r="BH283">
            <v>203.61726074448003</v>
          </cell>
          <cell r="BI283">
            <v>237.94051110651998</v>
          </cell>
          <cell r="BJ283">
            <v>188.19219624752</v>
          </cell>
          <cell r="BK283">
            <v>206.17577289778063</v>
          </cell>
          <cell r="BL283">
            <v>835.92574099630065</v>
          </cell>
          <cell r="BM283">
            <v>207.25616838871238</v>
          </cell>
          <cell r="BN283">
            <v>241.92175104653285</v>
          </cell>
          <cell r="BO283">
            <v>191.66984915831782</v>
          </cell>
          <cell r="BP283">
            <v>209.84811795343788</v>
          </cell>
          <cell r="BQ283">
            <v>850.6958865470009</v>
          </cell>
          <cell r="BR283">
            <v>860.51971175169797</v>
          </cell>
          <cell r="BS283">
            <v>870.50832285927618</v>
          </cell>
          <cell r="BT283">
            <v>880.66694823026069</v>
          </cell>
          <cell r="BU283">
            <v>891.00104879945161</v>
          </cell>
          <cell r="BZ283" t="str">
            <v>Relationship Based</v>
          </cell>
          <cell r="CA283" t="str">
            <v>ND</v>
          </cell>
          <cell r="CB283" t="str">
            <v>ND</v>
          </cell>
          <cell r="CC283" t="str">
            <v>ND</v>
          </cell>
          <cell r="CD283" t="str">
            <v>ND</v>
          </cell>
          <cell r="CE283" t="str">
            <v>ND</v>
          </cell>
          <cell r="CF283" t="str">
            <v>ND</v>
          </cell>
          <cell r="CG283" t="str">
            <v>ND</v>
          </cell>
          <cell r="CH283" t="str">
            <v>ND</v>
          </cell>
          <cell r="CI283" t="str">
            <v>ND</v>
          </cell>
          <cell r="CJ283">
            <v>593.33100000000002</v>
          </cell>
          <cell r="CK283">
            <v>648.25400000000002</v>
          </cell>
          <cell r="CL283">
            <v>625.60199999999998</v>
          </cell>
          <cell r="CM283">
            <v>627.1</v>
          </cell>
          <cell r="CN283">
            <v>693.24400000000014</v>
          </cell>
          <cell r="CO283">
            <v>737.173</v>
          </cell>
          <cell r="CP283">
            <v>816.12100000000009</v>
          </cell>
          <cell r="CQ283">
            <v>831.49152264072734</v>
          </cell>
          <cell r="CR283">
            <v>835.92574099630065</v>
          </cell>
          <cell r="CS283">
            <v>850.6958865470009</v>
          </cell>
          <cell r="CT283">
            <v>860.51971175169797</v>
          </cell>
          <cell r="CU283">
            <v>870.50832285927618</v>
          </cell>
          <cell r="CV283">
            <v>880.66694823026069</v>
          </cell>
          <cell r="CW283">
            <v>891.00104879945161</v>
          </cell>
          <cell r="CY283">
            <v>828.86929449172726</v>
          </cell>
        </row>
        <row r="284">
          <cell r="A284" t="str">
            <v>YoY Change</v>
          </cell>
          <cell r="Y284">
            <v>0.13812280265634413</v>
          </cell>
          <cell r="Z284">
            <v>0.11370016079361189</v>
          </cell>
          <cell r="AA284">
            <v>7.7902442906023994E-2</v>
          </cell>
          <cell r="AB284">
            <v>4.5431078988125817E-2</v>
          </cell>
          <cell r="AC284">
            <v>9.2567217960969561E-2</v>
          </cell>
          <cell r="AD284">
            <v>-3.9914629123450673E-2</v>
          </cell>
          <cell r="AE284">
            <v>-4.6519026061421886E-2</v>
          </cell>
          <cell r="AF284">
            <v>-1.6314779270633517E-2</v>
          </cell>
          <cell r="AG284">
            <v>-3.703703703703709E-2</v>
          </cell>
          <cell r="AH284">
            <v>-3.4943093293678174E-2</v>
          </cell>
          <cell r="AI284">
            <v>2.6091026091025871E-2</v>
          </cell>
          <cell r="AJ284">
            <v>1.5591315060055733E-2</v>
          </cell>
          <cell r="AK284">
            <v>-1.8424015009380623E-2</v>
          </cell>
          <cell r="AL284">
            <v>-1.2820512820512775E-2</v>
          </cell>
          <cell r="AM284">
            <v>2.394493623741667E-3</v>
          </cell>
          <cell r="AN284">
            <v>3.1724312682123612E-2</v>
          </cell>
          <cell r="AO284">
            <v>0.11910086804897468</v>
          </cell>
          <cell r="AP284">
            <v>0.12603692801712585</v>
          </cell>
          <cell r="AQ284">
            <v>0.14611688311688331</v>
          </cell>
          <cell r="AR284">
            <v>0.105476000637857</v>
          </cell>
          <cell r="AS284">
            <v>9.6126924871675179E-2</v>
          </cell>
          <cell r="AT284">
            <v>3.5802594587271086E-2</v>
          </cell>
          <cell r="AU284">
            <v>5.6343925402860595E-2</v>
          </cell>
          <cell r="AV284">
            <v>6.783492538328173E-2</v>
          </cell>
          <cell r="AW284">
            <v>6.3367299248172193E-2</v>
          </cell>
          <cell r="AX284">
            <v>0.14963814389101726</v>
          </cell>
          <cell r="AY284">
            <v>6.1178330063222042E-2</v>
          </cell>
          <cell r="AZ284">
            <v>9.3002453212208458E-2</v>
          </cell>
          <cell r="BA284">
            <v>0.12545961002785533</v>
          </cell>
          <cell r="BB284">
            <v>0.10709562070233192</v>
          </cell>
          <cell r="BC284">
            <v>6.6664068057572301E-2</v>
          </cell>
          <cell r="BD284">
            <v>0.15692971418299484</v>
          </cell>
          <cell r="BE284">
            <v>-9.4567563964970569E-2</v>
          </cell>
          <cell r="BF284">
            <v>-4.5112478063335182E-2</v>
          </cell>
          <cell r="BG284">
            <v>1.883363207260591E-2</v>
          </cell>
          <cell r="BH284">
            <v>-6.9901056347158819E-2</v>
          </cell>
          <cell r="BI284">
            <v>5.6292777708070618E-2</v>
          </cell>
          <cell r="BJ284">
            <v>1.8577467356856614E-2</v>
          </cell>
          <cell r="BK284">
            <v>1.7892108177285371E-2</v>
          </cell>
          <cell r="BL284">
            <v>5.3328485436516804E-3</v>
          </cell>
          <cell r="BM284">
            <v>1.7871312240069992E-2</v>
          </cell>
          <cell r="BN284">
            <v>1.6732081147083688E-2</v>
          </cell>
          <cell r="BO284">
            <v>1.8479262053054724E-2</v>
          </cell>
          <cell r="BP284">
            <v>1.7811719602370379E-2</v>
          </cell>
          <cell r="BQ284">
            <v>1.7669207713470358E-2</v>
          </cell>
          <cell r="BR284">
            <v>1.1547987195015486E-2</v>
          </cell>
          <cell r="BS284">
            <v>1.1607649390442232E-2</v>
          </cell>
          <cell r="BT284">
            <v>1.1669762487298785E-2</v>
          </cell>
          <cell r="BU284">
            <v>1.1734402647854303E-2</v>
          </cell>
          <cell r="BZ284" t="str">
            <v>YoY Change</v>
          </cell>
          <cell r="CA284">
            <v>0</v>
          </cell>
          <cell r="CB284">
            <v>0</v>
          </cell>
          <cell r="CC284">
            <v>0</v>
          </cell>
          <cell r="CD284">
            <v>0</v>
          </cell>
          <cell r="CE284">
            <v>0</v>
          </cell>
          <cell r="CF284">
            <v>0</v>
          </cell>
          <cell r="CG284">
            <v>0</v>
          </cell>
          <cell r="CH284">
            <v>0</v>
          </cell>
          <cell r="CI284">
            <v>0</v>
          </cell>
          <cell r="CJ284">
            <v>0</v>
          </cell>
          <cell r="CK284">
            <v>9.2567217960969561E-2</v>
          </cell>
          <cell r="CL284">
            <v>-3.4943093293678174E-2</v>
          </cell>
          <cell r="CM284">
            <v>2.394493623741667E-3</v>
          </cell>
          <cell r="CN284">
            <v>0.105476000637857</v>
          </cell>
          <cell r="CO284">
            <v>6.3367299248172193E-2</v>
          </cell>
          <cell r="CP284">
            <v>0.10709562070233192</v>
          </cell>
          <cell r="CQ284">
            <v>1.883363207260591E-2</v>
          </cell>
          <cell r="CR284">
            <v>5.3328485436516804E-3</v>
          </cell>
          <cell r="CS284">
            <v>1.7669207713470358E-2</v>
          </cell>
          <cell r="CT284">
            <v>1.1547987195015486E-2</v>
          </cell>
          <cell r="CU284">
            <v>1.1607649390442232E-2</v>
          </cell>
          <cell r="CV284">
            <v>1.1669762487298785E-2</v>
          </cell>
          <cell r="CW284">
            <v>1.1734402647854303E-2</v>
          </cell>
        </row>
        <row r="285">
          <cell r="A285" t="str">
            <v xml:space="preserve">% of total </v>
          </cell>
          <cell r="T285">
            <v>0.29000000000000004</v>
          </cell>
          <cell r="U285">
            <v>0.27</v>
          </cell>
          <cell r="V285">
            <v>0.36</v>
          </cell>
          <cell r="W285">
            <v>0.4</v>
          </cell>
          <cell r="X285">
            <v>0.32327067669172938</v>
          </cell>
          <cell r="Y285">
            <v>0.51</v>
          </cell>
          <cell r="Z285">
            <v>0.43999999999999995</v>
          </cell>
          <cell r="AA285">
            <v>0.52</v>
          </cell>
          <cell r="AB285">
            <v>0.6</v>
          </cell>
          <cell r="AC285">
            <v>0.51112039738232284</v>
          </cell>
          <cell r="AD285">
            <v>0.54</v>
          </cell>
          <cell r="AE285">
            <v>0.48</v>
          </cell>
          <cell r="AF285">
            <v>0.5</v>
          </cell>
          <cell r="AG285">
            <v>0.44788975021533167</v>
          </cell>
          <cell r="AH285">
            <v>0.48963136886593095</v>
          </cell>
          <cell r="AI285">
            <v>0.44999999999999996</v>
          </cell>
          <cell r="AJ285">
            <v>0.45999999999999996</v>
          </cell>
          <cell r="AK285">
            <v>0.42000000000000004</v>
          </cell>
          <cell r="AL285">
            <v>0.38722655267789785</v>
          </cell>
          <cell r="AM285">
            <v>0.42767510059333019</v>
          </cell>
          <cell r="AN285">
            <v>0.38</v>
          </cell>
          <cell r="AO285">
            <v>0.39</v>
          </cell>
          <cell r="AP285">
            <v>0.48</v>
          </cell>
          <cell r="AQ285">
            <v>0.45999999999999996</v>
          </cell>
          <cell r="AR285">
            <v>0.42408025937480898</v>
          </cell>
          <cell r="AS285">
            <v>0.38</v>
          </cell>
          <cell r="AT285">
            <v>0.4</v>
          </cell>
          <cell r="AU285">
            <v>0.38</v>
          </cell>
          <cell r="AV285">
            <v>0.35</v>
          </cell>
          <cell r="AW285">
            <v>0.37643517336465299</v>
          </cell>
          <cell r="AX285">
            <v>0.38</v>
          </cell>
          <cell r="AY285">
            <v>0.35</v>
          </cell>
          <cell r="AZ285">
            <v>0.41000000000000003</v>
          </cell>
          <cell r="BA285">
            <v>0.39</v>
          </cell>
          <cell r="BB285">
            <v>0.38172170252572502</v>
          </cell>
          <cell r="BC285">
            <v>0.4</v>
          </cell>
          <cell r="BD285">
            <v>0.35</v>
          </cell>
          <cell r="BE285">
            <v>0.38</v>
          </cell>
          <cell r="BF285">
            <v>0.38</v>
          </cell>
          <cell r="BG285">
            <v>0.3762165307231089</v>
          </cell>
          <cell r="BH285">
            <v>0.38</v>
          </cell>
          <cell r="BI285">
            <v>0.38</v>
          </cell>
          <cell r="BJ285">
            <v>0.38</v>
          </cell>
          <cell r="BK285">
            <v>0.38</v>
          </cell>
          <cell r="BL285">
            <v>0.37999999999999995</v>
          </cell>
          <cell r="BM285">
            <v>0.38</v>
          </cell>
          <cell r="BN285">
            <v>0.38</v>
          </cell>
          <cell r="BO285">
            <v>0.38</v>
          </cell>
          <cell r="BP285">
            <v>0.38</v>
          </cell>
          <cell r="BQ285">
            <v>0.38</v>
          </cell>
          <cell r="BR285">
            <v>0.37999999999999989</v>
          </cell>
          <cell r="BS285">
            <v>0.37999999999999984</v>
          </cell>
          <cell r="BT285">
            <v>0.37999999999999995</v>
          </cell>
          <cell r="BU285">
            <v>0.37999999999999989</v>
          </cell>
          <cell r="BZ285" t="str">
            <v xml:space="preserve">% of total </v>
          </cell>
          <cell r="CA285">
            <v>0</v>
          </cell>
          <cell r="CB285">
            <v>0</v>
          </cell>
          <cell r="CC285">
            <v>0</v>
          </cell>
          <cell r="CD285">
            <v>0</v>
          </cell>
          <cell r="CE285">
            <v>0</v>
          </cell>
          <cell r="CF285">
            <v>0</v>
          </cell>
          <cell r="CG285">
            <v>0</v>
          </cell>
          <cell r="CH285">
            <v>0</v>
          </cell>
          <cell r="CI285">
            <v>0</v>
          </cell>
          <cell r="CJ285">
            <v>0.32327067669172938</v>
          </cell>
          <cell r="CK285">
            <v>0.51112039738232284</v>
          </cell>
          <cell r="CL285">
            <v>0.48963136886593095</v>
          </cell>
          <cell r="CM285">
            <v>0.42767510059333019</v>
          </cell>
          <cell r="CN285">
            <v>0.42408025937480898</v>
          </cell>
          <cell r="CO285">
            <v>0.37643517336465299</v>
          </cell>
          <cell r="CP285">
            <v>0.38172170252572502</v>
          </cell>
          <cell r="CQ285">
            <v>0.3762165307231089</v>
          </cell>
          <cell r="CR285">
            <v>0.37999999999999995</v>
          </cell>
          <cell r="CS285">
            <v>0.38</v>
          </cell>
          <cell r="CT285">
            <v>0.37999999999999989</v>
          </cell>
          <cell r="CU285">
            <v>0.37999999999999984</v>
          </cell>
          <cell r="CV285">
            <v>0.37999999999999995</v>
          </cell>
          <cell r="CW285">
            <v>0.37999999999999989</v>
          </cell>
        </row>
        <row r="287">
          <cell r="A287" t="str">
            <v>Revenue Mix</v>
          </cell>
          <cell r="BZ287" t="str">
            <v>Revenue Mix</v>
          </cell>
        </row>
        <row r="289">
          <cell r="A289" t="str">
            <v>Corporate Finance</v>
          </cell>
          <cell r="BZ289" t="str">
            <v>Corporate Finance</v>
          </cell>
        </row>
        <row r="290">
          <cell r="A290" t="str">
            <v>Other - including monitoring, CP, MTNs</v>
          </cell>
          <cell r="N290">
            <v>127.81065088757396</v>
          </cell>
          <cell r="S290">
            <v>143.78</v>
          </cell>
          <cell r="X290">
            <v>170.41</v>
          </cell>
          <cell r="AC290">
            <v>178.05999999999997</v>
          </cell>
          <cell r="AD290">
            <v>40.1</v>
          </cell>
          <cell r="AE290">
            <v>42.7</v>
          </cell>
          <cell r="AF290">
            <v>46.4</v>
          </cell>
          <cell r="AG290">
            <v>48.8</v>
          </cell>
          <cell r="AH290">
            <v>178</v>
          </cell>
          <cell r="AI290">
            <v>49.7</v>
          </cell>
          <cell r="AJ290">
            <v>54.3</v>
          </cell>
          <cell r="AK290">
            <v>54.1</v>
          </cell>
          <cell r="AL290">
            <v>58.1</v>
          </cell>
          <cell r="AM290">
            <v>216.2</v>
          </cell>
          <cell r="AN290">
            <v>66</v>
          </cell>
          <cell r="AO290">
            <v>73.7</v>
          </cell>
          <cell r="AP290">
            <v>66.2</v>
          </cell>
          <cell r="AQ290">
            <v>69.400000000000006</v>
          </cell>
          <cell r="AR290">
            <v>275.29999999999995</v>
          </cell>
          <cell r="AS290">
            <v>70</v>
          </cell>
          <cell r="AT290">
            <v>82.5</v>
          </cell>
          <cell r="AU290">
            <v>77.3</v>
          </cell>
          <cell r="AV290">
            <v>82.4</v>
          </cell>
          <cell r="AW290">
            <v>312.20000000000005</v>
          </cell>
          <cell r="AX290">
            <v>82.4</v>
          </cell>
          <cell r="AY290">
            <v>92.9</v>
          </cell>
          <cell r="AZ290">
            <v>97.4</v>
          </cell>
          <cell r="BA290">
            <v>89.762</v>
          </cell>
          <cell r="BB290">
            <v>362.46200000000005</v>
          </cell>
          <cell r="BC290">
            <v>97.827999999999989</v>
          </cell>
          <cell r="BD290">
            <v>102.68799999999999</v>
          </cell>
          <cell r="BZ290" t="str">
            <v>Other - including monitoring, CP, MTNs</v>
          </cell>
          <cell r="CH290">
            <v>127.81065088757396</v>
          </cell>
          <cell r="CI290">
            <v>143.78</v>
          </cell>
          <cell r="CJ290">
            <v>170.41</v>
          </cell>
          <cell r="CK290">
            <v>178.05999999999997</v>
          </cell>
          <cell r="CL290">
            <v>178</v>
          </cell>
          <cell r="CM290">
            <v>216.2</v>
          </cell>
          <cell r="CN290">
            <v>275.29999999999995</v>
          </cell>
          <cell r="CO290">
            <v>312.20000000000005</v>
          </cell>
          <cell r="CP290">
            <v>362.46200000000005</v>
          </cell>
        </row>
        <row r="291">
          <cell r="A291" t="str">
            <v>Investment Grade</v>
          </cell>
          <cell r="N291">
            <v>42.603550295857985</v>
          </cell>
          <cell r="S291">
            <v>53.25</v>
          </cell>
          <cell r="X291">
            <v>69.23</v>
          </cell>
          <cell r="AC291">
            <v>64.47</v>
          </cell>
          <cell r="AD291">
            <v>35.6</v>
          </cell>
          <cell r="AE291">
            <v>32.700000000000003</v>
          </cell>
          <cell r="AF291">
            <v>28.4</v>
          </cell>
          <cell r="AG291">
            <v>21.9</v>
          </cell>
          <cell r="AH291">
            <v>118.60000000000002</v>
          </cell>
          <cell r="AI291">
            <v>24.9</v>
          </cell>
          <cell r="AJ291">
            <v>20.5</v>
          </cell>
          <cell r="AK291">
            <v>30.9</v>
          </cell>
          <cell r="AL291">
            <v>33.1</v>
          </cell>
          <cell r="AM291">
            <v>109.4</v>
          </cell>
          <cell r="AN291">
            <v>36.5</v>
          </cell>
          <cell r="AO291">
            <v>37.700000000000003</v>
          </cell>
          <cell r="AP291">
            <v>26.9</v>
          </cell>
          <cell r="AQ291">
            <v>36</v>
          </cell>
          <cell r="AR291">
            <v>137.1</v>
          </cell>
          <cell r="AS291">
            <v>44.2</v>
          </cell>
          <cell r="AT291">
            <v>41.8</v>
          </cell>
          <cell r="AU291">
            <v>54.8</v>
          </cell>
          <cell r="AV291">
            <v>56.1</v>
          </cell>
          <cell r="AW291">
            <v>196.9</v>
          </cell>
          <cell r="AX291">
            <v>44.5</v>
          </cell>
          <cell r="AY291">
            <v>59.9</v>
          </cell>
          <cell r="AZ291">
            <v>33.4</v>
          </cell>
          <cell r="BA291">
            <v>55.798000000000009</v>
          </cell>
          <cell r="BB291">
            <v>193.59800000000001</v>
          </cell>
          <cell r="BC291">
            <v>47.591999999999992</v>
          </cell>
          <cell r="BD291">
            <v>64.179999999999993</v>
          </cell>
          <cell r="BZ291" t="str">
            <v>Investment Grade</v>
          </cell>
          <cell r="CH291">
            <v>42.603550295857985</v>
          </cell>
          <cell r="CI291">
            <v>53.25</v>
          </cell>
          <cell r="CJ291">
            <v>69.23</v>
          </cell>
          <cell r="CK291">
            <v>64.47</v>
          </cell>
          <cell r="CL291">
            <v>118.60000000000002</v>
          </cell>
          <cell r="CM291">
            <v>109.4</v>
          </cell>
          <cell r="CN291">
            <v>137.1</v>
          </cell>
          <cell r="CO291">
            <v>196.9</v>
          </cell>
          <cell r="CP291">
            <v>193.59800000000001</v>
          </cell>
        </row>
        <row r="292">
          <cell r="A292" t="str">
            <v>Speculative Grade</v>
          </cell>
          <cell r="N292">
            <v>53.254437869822482</v>
          </cell>
          <cell r="S292">
            <v>63.9</v>
          </cell>
          <cell r="X292">
            <v>69.23</v>
          </cell>
          <cell r="AC292">
            <v>27.63</v>
          </cell>
          <cell r="AD292">
            <v>5.6</v>
          </cell>
          <cell r="AE292">
            <v>25.7</v>
          </cell>
          <cell r="AF292">
            <v>19.3</v>
          </cell>
          <cell r="AG292">
            <v>33.200000000000003</v>
          </cell>
          <cell r="AH292">
            <v>83.8</v>
          </cell>
          <cell r="AI292">
            <v>33.6</v>
          </cell>
          <cell r="AJ292">
            <v>27.6</v>
          </cell>
          <cell r="AK292">
            <v>38.299999999999997</v>
          </cell>
          <cell r="AL292">
            <v>43.2</v>
          </cell>
          <cell r="AM292">
            <v>142.69999999999999</v>
          </cell>
          <cell r="AN292">
            <v>44.7</v>
          </cell>
          <cell r="AO292">
            <v>45.1</v>
          </cell>
          <cell r="AP292">
            <v>15</v>
          </cell>
          <cell r="AQ292">
            <v>15.1</v>
          </cell>
          <cell r="AR292">
            <v>119.9</v>
          </cell>
          <cell r="AS292">
            <v>51.6</v>
          </cell>
          <cell r="AT292">
            <v>31.9</v>
          </cell>
          <cell r="AU292">
            <v>52.1</v>
          </cell>
          <cell r="AV292">
            <v>58</v>
          </cell>
          <cell r="AW292">
            <v>193.6</v>
          </cell>
          <cell r="AX292">
            <v>75.599999999999994</v>
          </cell>
          <cell r="AY292">
            <v>57</v>
          </cell>
          <cell r="AZ292">
            <v>46.4</v>
          </cell>
          <cell r="BA292">
            <v>50.946000000000005</v>
          </cell>
          <cell r="BB292">
            <v>229.946</v>
          </cell>
          <cell r="BC292">
            <v>52.879999999999995</v>
          </cell>
          <cell r="BD292">
            <v>77.015999999999991</v>
          </cell>
          <cell r="BZ292" t="str">
            <v>Speculative Grade</v>
          </cell>
          <cell r="CH292">
            <v>53.254437869822482</v>
          </cell>
          <cell r="CI292">
            <v>63.9</v>
          </cell>
          <cell r="CJ292">
            <v>69.23</v>
          </cell>
          <cell r="CK292">
            <v>27.63</v>
          </cell>
          <cell r="CL292">
            <v>83.8</v>
          </cell>
          <cell r="CM292">
            <v>142.69999999999999</v>
          </cell>
          <cell r="CN292">
            <v>119.9</v>
          </cell>
          <cell r="CO292">
            <v>193.6</v>
          </cell>
          <cell r="CP292">
            <v>229.946</v>
          </cell>
        </row>
        <row r="293">
          <cell r="A293" t="str">
            <v>Bank Loans</v>
          </cell>
          <cell r="N293">
            <v>53.254437869822482</v>
          </cell>
          <cell r="S293">
            <v>74.55</v>
          </cell>
          <cell r="X293">
            <v>106.5</v>
          </cell>
          <cell r="AC293">
            <v>36.839999999999996</v>
          </cell>
          <cell r="AD293">
            <v>2.8</v>
          </cell>
          <cell r="AE293">
            <v>6.5</v>
          </cell>
          <cell r="AF293">
            <v>7.3</v>
          </cell>
          <cell r="AG293">
            <v>11.3</v>
          </cell>
          <cell r="AH293">
            <v>27.900000000000002</v>
          </cell>
          <cell r="AI293">
            <v>18.2</v>
          </cell>
          <cell r="AJ293">
            <v>25.5</v>
          </cell>
          <cell r="AK293">
            <v>21.5</v>
          </cell>
          <cell r="AL293">
            <v>30.3</v>
          </cell>
          <cell r="AM293">
            <v>95.5</v>
          </cell>
          <cell r="AN293">
            <v>34.6</v>
          </cell>
          <cell r="AO293">
            <v>43.6</v>
          </cell>
          <cell r="AP293">
            <v>20.9</v>
          </cell>
          <cell r="AQ293">
            <v>20.7</v>
          </cell>
          <cell r="AR293">
            <v>119.8</v>
          </cell>
          <cell r="AS293">
            <v>34.700000000000003</v>
          </cell>
          <cell r="AT293">
            <v>35.299999999999997</v>
          </cell>
          <cell r="AU293">
            <v>36.5</v>
          </cell>
          <cell r="AV293">
            <v>48.4</v>
          </cell>
          <cell r="AW293">
            <v>154.9</v>
          </cell>
          <cell r="AX293">
            <v>55.8</v>
          </cell>
          <cell r="AY293">
            <v>53.1</v>
          </cell>
          <cell r="AZ293">
            <v>55.8</v>
          </cell>
          <cell r="BA293">
            <v>46.094000000000015</v>
          </cell>
          <cell r="BB293">
            <v>210.79400000000001</v>
          </cell>
          <cell r="BC293">
            <v>66.099999999999994</v>
          </cell>
          <cell r="BD293">
            <v>77.015999999999991</v>
          </cell>
          <cell r="BZ293" t="str">
            <v>Bank Loans</v>
          </cell>
          <cell r="CH293">
            <v>53.254437869822482</v>
          </cell>
          <cell r="CI293">
            <v>74.55</v>
          </cell>
          <cell r="CJ293">
            <v>106.5</v>
          </cell>
          <cell r="CK293">
            <v>36.839999999999996</v>
          </cell>
          <cell r="CL293">
            <v>27.900000000000002</v>
          </cell>
          <cell r="CM293">
            <v>95.5</v>
          </cell>
          <cell r="CN293">
            <v>119.8</v>
          </cell>
          <cell r="CO293">
            <v>154.9</v>
          </cell>
          <cell r="CP293">
            <v>210.79400000000001</v>
          </cell>
        </row>
        <row r="294">
          <cell r="A294" t="str">
            <v>Total</v>
          </cell>
          <cell r="N294">
            <v>276.92307692307691</v>
          </cell>
          <cell r="S294">
            <v>335.48</v>
          </cell>
          <cell r="X294">
            <v>415.37</v>
          </cell>
          <cell r="AC294">
            <v>306.99999999999994</v>
          </cell>
          <cell r="AD294">
            <v>84.1</v>
          </cell>
          <cell r="AE294">
            <v>107.60000000000001</v>
          </cell>
          <cell r="AF294">
            <v>101.39999999999999</v>
          </cell>
          <cell r="AG294">
            <v>115.19999999999999</v>
          </cell>
          <cell r="AH294">
            <v>408.3</v>
          </cell>
          <cell r="AI294">
            <v>126.39999999999999</v>
          </cell>
          <cell r="AJ294">
            <v>127.9</v>
          </cell>
          <cell r="AK294">
            <v>144.80000000000001</v>
          </cell>
          <cell r="AL294">
            <v>164.70000000000002</v>
          </cell>
          <cell r="AM294">
            <v>563.79999999999995</v>
          </cell>
          <cell r="AN294">
            <v>181.79999999999998</v>
          </cell>
          <cell r="AO294">
            <v>200.1</v>
          </cell>
          <cell r="AP294">
            <v>129</v>
          </cell>
          <cell r="AQ294">
            <v>141.19999999999999</v>
          </cell>
          <cell r="AR294">
            <v>652.09999999999991</v>
          </cell>
          <cell r="AS294">
            <v>200.5</v>
          </cell>
          <cell r="AT294">
            <v>191.5</v>
          </cell>
          <cell r="AU294">
            <v>220.7</v>
          </cell>
          <cell r="AV294">
            <v>244.9</v>
          </cell>
          <cell r="AW294">
            <v>857.6</v>
          </cell>
          <cell r="AX294">
            <v>258.3</v>
          </cell>
          <cell r="AY294">
            <v>262.90000000000003</v>
          </cell>
          <cell r="AZ294">
            <v>233</v>
          </cell>
          <cell r="BA294">
            <v>242.60000000000002</v>
          </cell>
          <cell r="BB294">
            <v>996.80000000000007</v>
          </cell>
          <cell r="BC294">
            <v>264.39999999999998</v>
          </cell>
          <cell r="BD294">
            <v>320.89999999999998</v>
          </cell>
          <cell r="BZ294" t="str">
            <v>Total</v>
          </cell>
          <cell r="CH294">
            <v>276.92307692307691</v>
          </cell>
          <cell r="CI294">
            <v>335.48</v>
          </cell>
          <cell r="CJ294">
            <v>415.37</v>
          </cell>
          <cell r="CK294">
            <v>306.99999999999994</v>
          </cell>
          <cell r="CL294">
            <v>408.3</v>
          </cell>
          <cell r="CM294">
            <v>563.79999999999995</v>
          </cell>
          <cell r="CN294">
            <v>652.09999999999991</v>
          </cell>
          <cell r="CO294">
            <v>857.6</v>
          </cell>
          <cell r="CP294">
            <v>996.80000000000007</v>
          </cell>
        </row>
        <row r="296">
          <cell r="A296" t="str">
            <v xml:space="preserve">Structured Finance </v>
          </cell>
          <cell r="BZ296" t="str">
            <v xml:space="preserve">Structured Finance </v>
          </cell>
        </row>
        <row r="297">
          <cell r="A297" t="str">
            <v>ABS</v>
          </cell>
          <cell r="N297">
            <v>157.37704918032787</v>
          </cell>
          <cell r="S297">
            <v>167.2</v>
          </cell>
          <cell r="X297">
            <v>127.86</v>
          </cell>
          <cell r="AC297">
            <v>133.55100000000002</v>
          </cell>
          <cell r="AD297">
            <v>22.2</v>
          </cell>
          <cell r="AE297">
            <v>25.3</v>
          </cell>
          <cell r="AF297">
            <v>27</v>
          </cell>
          <cell r="AG297">
            <v>26.2</v>
          </cell>
          <cell r="AH297">
            <v>100.7</v>
          </cell>
          <cell r="AI297">
            <v>23</v>
          </cell>
          <cell r="AJ297">
            <v>22.8</v>
          </cell>
          <cell r="AK297">
            <v>23.1</v>
          </cell>
          <cell r="AL297">
            <v>22.1</v>
          </cell>
          <cell r="AM297">
            <v>91</v>
          </cell>
          <cell r="AN297">
            <v>26.7</v>
          </cell>
          <cell r="AO297">
            <v>28</v>
          </cell>
          <cell r="AP297">
            <v>23.4</v>
          </cell>
          <cell r="AQ297">
            <v>29.3</v>
          </cell>
          <cell r="AR297">
            <v>107.39999999999999</v>
          </cell>
          <cell r="AS297">
            <v>26.9</v>
          </cell>
          <cell r="AT297">
            <v>29.2</v>
          </cell>
          <cell r="AU297">
            <v>25.7</v>
          </cell>
          <cell r="AV297">
            <v>28.2</v>
          </cell>
          <cell r="AW297">
            <v>110</v>
          </cell>
          <cell r="AX297">
            <v>23.6</v>
          </cell>
          <cell r="AY297">
            <v>25.5</v>
          </cell>
          <cell r="AZ297">
            <v>21.2</v>
          </cell>
          <cell r="BA297">
            <v>27.200000000000003</v>
          </cell>
          <cell r="BB297">
            <v>97.5</v>
          </cell>
          <cell r="BC297">
            <v>22.872</v>
          </cell>
          <cell r="BD297">
            <v>24.331999999999997</v>
          </cell>
          <cell r="BZ297" t="str">
            <v>ABS</v>
          </cell>
          <cell r="CH297">
            <v>157.37704918032787</v>
          </cell>
          <cell r="CI297">
            <v>167.2</v>
          </cell>
          <cell r="CJ297">
            <v>127.86</v>
          </cell>
          <cell r="CK297">
            <v>133.55100000000002</v>
          </cell>
          <cell r="CL297">
            <v>100.7</v>
          </cell>
          <cell r="CM297">
            <v>91</v>
          </cell>
          <cell r="CN297">
            <v>107.39999999999999</v>
          </cell>
          <cell r="CO297">
            <v>110</v>
          </cell>
          <cell r="CP297">
            <v>97.5</v>
          </cell>
        </row>
        <row r="298">
          <cell r="A298" t="str">
            <v>RMBS</v>
          </cell>
          <cell r="N298">
            <v>206.55737704918033</v>
          </cell>
          <cell r="S298">
            <v>221.3</v>
          </cell>
          <cell r="X298">
            <v>221.3</v>
          </cell>
          <cell r="AC298">
            <v>72.845999999999989</v>
          </cell>
          <cell r="AD298">
            <v>13.3</v>
          </cell>
          <cell r="AE298">
            <v>14.2</v>
          </cell>
          <cell r="AF298">
            <v>14.6</v>
          </cell>
          <cell r="AG298">
            <v>16.3</v>
          </cell>
          <cell r="AH298">
            <v>58.400000000000006</v>
          </cell>
          <cell r="AI298">
            <v>14.3</v>
          </cell>
          <cell r="AJ298">
            <v>15.8</v>
          </cell>
          <cell r="AK298">
            <v>16.3</v>
          </cell>
          <cell r="AL298">
            <v>18.2</v>
          </cell>
          <cell r="AM298">
            <v>64.600000000000009</v>
          </cell>
          <cell r="AN298">
            <v>23.1</v>
          </cell>
          <cell r="AO298">
            <v>22.5</v>
          </cell>
          <cell r="AP298">
            <v>20.7</v>
          </cell>
          <cell r="AQ298">
            <v>23.2</v>
          </cell>
          <cell r="AR298">
            <v>89.5</v>
          </cell>
          <cell r="AS298">
            <v>23.3</v>
          </cell>
          <cell r="AT298">
            <v>22</v>
          </cell>
          <cell r="AU298">
            <v>20.3</v>
          </cell>
          <cell r="AV298">
            <v>19.600000000000001</v>
          </cell>
          <cell r="AW298">
            <v>85.199999999999989</v>
          </cell>
          <cell r="AX298">
            <v>16.899999999999999</v>
          </cell>
          <cell r="AY298">
            <v>18.7</v>
          </cell>
          <cell r="AZ298">
            <v>16.7</v>
          </cell>
          <cell r="BA298">
            <v>20.672000000000004</v>
          </cell>
          <cell r="BB298">
            <v>72.972000000000008</v>
          </cell>
          <cell r="BC298">
            <v>18.106999999999999</v>
          </cell>
          <cell r="BD298">
            <v>19.907999999999998</v>
          </cell>
          <cell r="BZ298" t="str">
            <v>RMBS</v>
          </cell>
          <cell r="CH298">
            <v>206.55737704918033</v>
          </cell>
          <cell r="CI298">
            <v>221.3</v>
          </cell>
          <cell r="CJ298">
            <v>221.3</v>
          </cell>
          <cell r="CK298">
            <v>72.845999999999989</v>
          </cell>
          <cell r="CL298">
            <v>58.400000000000006</v>
          </cell>
          <cell r="CM298">
            <v>64.600000000000009</v>
          </cell>
          <cell r="CN298">
            <v>89.5</v>
          </cell>
          <cell r="CO298">
            <v>85.199999999999989</v>
          </cell>
          <cell r="CP298">
            <v>72.972000000000008</v>
          </cell>
        </row>
        <row r="299">
          <cell r="A299" t="str">
            <v>CREF</v>
          </cell>
          <cell r="N299">
            <v>137.70491803278688</v>
          </cell>
          <cell r="S299">
            <v>181.96</v>
          </cell>
          <cell r="X299">
            <v>177.04</v>
          </cell>
          <cell r="AC299">
            <v>56.658000000000001</v>
          </cell>
          <cell r="AD299">
            <v>10.7</v>
          </cell>
          <cell r="AE299">
            <v>9.8000000000000007</v>
          </cell>
          <cell r="AF299">
            <v>13</v>
          </cell>
          <cell r="AG299">
            <v>12.6</v>
          </cell>
          <cell r="AH299">
            <v>46.1</v>
          </cell>
          <cell r="AI299">
            <v>12.2</v>
          </cell>
          <cell r="AJ299">
            <v>13.1</v>
          </cell>
          <cell r="AK299">
            <v>11.6</v>
          </cell>
          <cell r="AL299">
            <v>15.5</v>
          </cell>
          <cell r="AM299">
            <v>52.4</v>
          </cell>
          <cell r="AN299">
            <v>19</v>
          </cell>
          <cell r="AO299">
            <v>17.2</v>
          </cell>
          <cell r="AP299">
            <v>18.8</v>
          </cell>
          <cell r="AQ299">
            <v>14.5</v>
          </cell>
          <cell r="AR299">
            <v>69.5</v>
          </cell>
          <cell r="AS299">
            <v>24.4</v>
          </cell>
          <cell r="AT299">
            <v>18.100000000000001</v>
          </cell>
          <cell r="AU299">
            <v>23.6</v>
          </cell>
          <cell r="AV299">
            <v>28.9</v>
          </cell>
          <cell r="AW299">
            <v>95</v>
          </cell>
          <cell r="AX299">
            <v>25.7</v>
          </cell>
          <cell r="AY299">
            <v>30.7</v>
          </cell>
          <cell r="AZ299">
            <v>25.5</v>
          </cell>
          <cell r="BA299">
            <v>34.816000000000003</v>
          </cell>
          <cell r="BB299">
            <v>116.71600000000001</v>
          </cell>
          <cell r="BC299">
            <v>29.542999999999999</v>
          </cell>
          <cell r="BD299">
            <v>29.862000000000002</v>
          </cell>
          <cell r="BZ299" t="str">
            <v>CREF</v>
          </cell>
          <cell r="CH299">
            <v>137.70491803278688</v>
          </cell>
          <cell r="CI299">
            <v>181.96</v>
          </cell>
          <cell r="CJ299">
            <v>177.04</v>
          </cell>
          <cell r="CK299">
            <v>56.658000000000001</v>
          </cell>
          <cell r="CL299">
            <v>46.1</v>
          </cell>
          <cell r="CM299">
            <v>52.4</v>
          </cell>
          <cell r="CN299">
            <v>69.5</v>
          </cell>
          <cell r="CO299">
            <v>95</v>
          </cell>
          <cell r="CP299">
            <v>116.71600000000001</v>
          </cell>
        </row>
        <row r="300">
          <cell r="A300" t="str">
            <v>Derivatives</v>
          </cell>
          <cell r="N300">
            <v>196.72131147540983</v>
          </cell>
          <cell r="S300">
            <v>304.89999999999998</v>
          </cell>
          <cell r="X300">
            <v>339.34</v>
          </cell>
          <cell r="AC300">
            <v>141.64499999999998</v>
          </cell>
          <cell r="AD300">
            <v>26.1</v>
          </cell>
          <cell r="AE300">
            <v>25.1</v>
          </cell>
          <cell r="AF300">
            <v>24.6</v>
          </cell>
          <cell r="AG300">
            <v>23.5</v>
          </cell>
          <cell r="AH300">
            <v>99.300000000000011</v>
          </cell>
          <cell r="AI300">
            <v>21.9</v>
          </cell>
          <cell r="AJ300">
            <v>21.3</v>
          </cell>
          <cell r="AK300">
            <v>18.899999999999999</v>
          </cell>
          <cell r="AL300">
            <v>20.100000000000001</v>
          </cell>
          <cell r="AM300">
            <v>82.2</v>
          </cell>
          <cell r="AN300">
            <v>20.6</v>
          </cell>
          <cell r="AO300">
            <v>18.5</v>
          </cell>
          <cell r="AP300">
            <v>19</v>
          </cell>
          <cell r="AQ300">
            <v>20</v>
          </cell>
          <cell r="AR300">
            <v>78.099999999999994</v>
          </cell>
          <cell r="AS300">
            <v>19.600000000000001</v>
          </cell>
          <cell r="AT300">
            <v>21.5</v>
          </cell>
          <cell r="AU300">
            <v>23.4</v>
          </cell>
          <cell r="AV300">
            <v>26.2</v>
          </cell>
          <cell r="AW300">
            <v>90.7</v>
          </cell>
          <cell r="AX300">
            <v>26.8</v>
          </cell>
          <cell r="AY300">
            <v>22.3</v>
          </cell>
          <cell r="AZ300">
            <v>20.100000000000001</v>
          </cell>
          <cell r="BA300">
            <v>26.112000000000002</v>
          </cell>
          <cell r="BB300">
            <v>95.312000000000012</v>
          </cell>
          <cell r="BC300">
            <v>24.777999999999999</v>
          </cell>
          <cell r="BD300">
            <v>36.497999999999998</v>
          </cell>
          <cell r="BZ300" t="str">
            <v>Derivatives</v>
          </cell>
          <cell r="CH300">
            <v>196.72131147540983</v>
          </cell>
          <cell r="CI300">
            <v>304.89999999999998</v>
          </cell>
          <cell r="CJ300">
            <v>339.34</v>
          </cell>
          <cell r="CK300">
            <v>141.64499999999998</v>
          </cell>
          <cell r="CL300">
            <v>99.300000000000011</v>
          </cell>
          <cell r="CM300">
            <v>82.2</v>
          </cell>
          <cell r="CN300">
            <v>78.099999999999994</v>
          </cell>
          <cell r="CO300">
            <v>90.7</v>
          </cell>
          <cell r="CP300">
            <v>95.312000000000012</v>
          </cell>
        </row>
        <row r="301">
          <cell r="A301" t="str">
            <v>Total</v>
          </cell>
          <cell r="N301">
            <v>698.36065573770486</v>
          </cell>
          <cell r="S301">
            <v>875.36</v>
          </cell>
          <cell r="X301">
            <v>865.54</v>
          </cell>
          <cell r="AC301">
            <v>404.7</v>
          </cell>
          <cell r="AD301">
            <v>72.300000000000011</v>
          </cell>
          <cell r="AE301">
            <v>74.400000000000006</v>
          </cell>
          <cell r="AF301">
            <v>79.2</v>
          </cell>
          <cell r="AG301">
            <v>78.599999999999994</v>
          </cell>
          <cell r="AH301">
            <v>304.5</v>
          </cell>
          <cell r="AI301">
            <v>71.400000000000006</v>
          </cell>
          <cell r="AJ301">
            <v>73</v>
          </cell>
          <cell r="AK301">
            <v>69.900000000000006</v>
          </cell>
          <cell r="AL301">
            <v>75.900000000000006</v>
          </cell>
          <cell r="AM301">
            <v>290.20000000000005</v>
          </cell>
          <cell r="AN301">
            <v>89.4</v>
          </cell>
          <cell r="AO301">
            <v>86.2</v>
          </cell>
          <cell r="AP301">
            <v>81.899999999999991</v>
          </cell>
          <cell r="AQ301">
            <v>87</v>
          </cell>
          <cell r="AR301">
            <v>344.5</v>
          </cell>
          <cell r="AS301">
            <v>94.199999999999989</v>
          </cell>
          <cell r="AT301">
            <v>90.800000000000011</v>
          </cell>
          <cell r="AU301">
            <v>93</v>
          </cell>
          <cell r="AV301">
            <v>102.89999999999999</v>
          </cell>
          <cell r="AW301">
            <v>380.9</v>
          </cell>
          <cell r="AX301">
            <v>93</v>
          </cell>
          <cell r="AY301">
            <v>97.2</v>
          </cell>
          <cell r="AZ301">
            <v>83.5</v>
          </cell>
          <cell r="BA301">
            <v>108.80000000000001</v>
          </cell>
          <cell r="BB301">
            <v>382.5</v>
          </cell>
          <cell r="BC301">
            <v>95.299999999999983</v>
          </cell>
          <cell r="BD301">
            <v>110.6</v>
          </cell>
          <cell r="BZ301" t="str">
            <v>Total</v>
          </cell>
          <cell r="CH301">
            <v>698.36065573770486</v>
          </cell>
          <cell r="CI301">
            <v>875.36</v>
          </cell>
          <cell r="CJ301">
            <v>865.54</v>
          </cell>
          <cell r="CK301">
            <v>404.7</v>
          </cell>
          <cell r="CL301">
            <v>304.5</v>
          </cell>
          <cell r="CM301">
            <v>290.20000000000005</v>
          </cell>
          <cell r="CN301">
            <v>344.5</v>
          </cell>
          <cell r="CO301">
            <v>380.9</v>
          </cell>
          <cell r="CP301">
            <v>382.5</v>
          </cell>
        </row>
        <row r="303">
          <cell r="A303" t="str">
            <v>Financial Institutional</v>
          </cell>
          <cell r="BZ303" t="str">
            <v>Financial Institutional</v>
          </cell>
        </row>
        <row r="304">
          <cell r="A304" t="str">
            <v>Banking</v>
          </cell>
          <cell r="N304">
            <v>151.25628140703517</v>
          </cell>
          <cell r="S304">
            <v>151.25</v>
          </cell>
          <cell r="X304">
            <v>179.39</v>
          </cell>
          <cell r="AC304">
            <v>176.21</v>
          </cell>
          <cell r="AD304">
            <v>38.1</v>
          </cell>
          <cell r="AE304">
            <v>43.6</v>
          </cell>
          <cell r="AF304">
            <v>43</v>
          </cell>
          <cell r="AG304">
            <v>50.9</v>
          </cell>
          <cell r="AH304">
            <v>175.6</v>
          </cell>
          <cell r="AI304">
            <v>52.4</v>
          </cell>
          <cell r="AJ304">
            <v>44.1</v>
          </cell>
          <cell r="AK304">
            <v>51.1</v>
          </cell>
          <cell r="AL304">
            <v>44.7</v>
          </cell>
          <cell r="AM304">
            <v>192.3</v>
          </cell>
          <cell r="AN304">
            <v>53.5</v>
          </cell>
          <cell r="AO304">
            <v>53.7</v>
          </cell>
          <cell r="AP304">
            <v>50.2</v>
          </cell>
          <cell r="AQ304">
            <v>47.4</v>
          </cell>
          <cell r="AR304">
            <v>204.8</v>
          </cell>
          <cell r="AS304">
            <v>55.9</v>
          </cell>
          <cell r="AT304">
            <v>51.8</v>
          </cell>
          <cell r="AU304">
            <v>56.7</v>
          </cell>
          <cell r="AV304">
            <v>63.1</v>
          </cell>
          <cell r="AW304">
            <v>227.49999999999997</v>
          </cell>
          <cell r="AX304">
            <v>60.4</v>
          </cell>
          <cell r="AY304">
            <v>57.5</v>
          </cell>
          <cell r="AZ304">
            <v>52.4</v>
          </cell>
          <cell r="BA304">
            <v>63.119</v>
          </cell>
          <cell r="BB304">
            <v>233.41900000000001</v>
          </cell>
          <cell r="BC304">
            <v>57.218000000000011</v>
          </cell>
          <cell r="BD304">
            <v>63.617999999999995</v>
          </cell>
          <cell r="BZ304" t="str">
            <v>Banking</v>
          </cell>
          <cell r="CH304">
            <v>151.25628140703517</v>
          </cell>
          <cell r="CI304">
            <v>151.25</v>
          </cell>
          <cell r="CJ304">
            <v>179.39</v>
          </cell>
          <cell r="CK304">
            <v>176.21</v>
          </cell>
          <cell r="CL304">
            <v>175.6</v>
          </cell>
          <cell r="CM304">
            <v>192.3</v>
          </cell>
          <cell r="CN304">
            <v>204.8</v>
          </cell>
          <cell r="CO304">
            <v>227.49999999999997</v>
          </cell>
          <cell r="CP304">
            <v>233.41900000000001</v>
          </cell>
        </row>
        <row r="305">
          <cell r="A305" t="str">
            <v>Insurance</v>
          </cell>
          <cell r="N305">
            <v>63.316582914572869</v>
          </cell>
          <cell r="S305">
            <v>70.3</v>
          </cell>
          <cell r="X305">
            <v>80.900000000000006</v>
          </cell>
          <cell r="AC305">
            <v>71.010000000000005</v>
          </cell>
          <cell r="AD305">
            <v>14.5</v>
          </cell>
          <cell r="AE305">
            <v>20</v>
          </cell>
          <cell r="AF305">
            <v>15.8</v>
          </cell>
          <cell r="AG305">
            <v>15.9</v>
          </cell>
          <cell r="AH305">
            <v>66.2</v>
          </cell>
          <cell r="AI305">
            <v>18.2</v>
          </cell>
          <cell r="AJ305">
            <v>14.6</v>
          </cell>
          <cell r="AK305">
            <v>18.7</v>
          </cell>
          <cell r="AL305">
            <v>16.899999999999999</v>
          </cell>
          <cell r="AM305">
            <v>68.400000000000006</v>
          </cell>
          <cell r="AN305">
            <v>19.899999999999999</v>
          </cell>
          <cell r="AO305">
            <v>19</v>
          </cell>
          <cell r="AP305">
            <v>18.5</v>
          </cell>
          <cell r="AQ305">
            <v>15.7</v>
          </cell>
          <cell r="AR305">
            <v>73.099999999999994</v>
          </cell>
          <cell r="AS305">
            <v>18.100000000000001</v>
          </cell>
          <cell r="AT305">
            <v>20.7</v>
          </cell>
          <cell r="AU305">
            <v>21.3</v>
          </cell>
          <cell r="AV305">
            <v>19.2</v>
          </cell>
          <cell r="AW305">
            <v>79.3</v>
          </cell>
          <cell r="AX305">
            <v>22.2</v>
          </cell>
          <cell r="AY305">
            <v>23.3</v>
          </cell>
          <cell r="AZ305">
            <v>23.4</v>
          </cell>
          <cell r="BA305">
            <v>19.558</v>
          </cell>
          <cell r="BB305">
            <v>88.457999999999998</v>
          </cell>
          <cell r="BC305">
            <v>21.35</v>
          </cell>
          <cell r="BD305">
            <v>23.972000000000001</v>
          </cell>
          <cell r="BZ305" t="str">
            <v>Insurance</v>
          </cell>
          <cell r="CH305">
            <v>63.316582914572869</v>
          </cell>
          <cell r="CI305">
            <v>70.3</v>
          </cell>
          <cell r="CJ305">
            <v>80.900000000000006</v>
          </cell>
          <cell r="CK305">
            <v>71.010000000000005</v>
          </cell>
          <cell r="CL305">
            <v>66.2</v>
          </cell>
          <cell r="CM305">
            <v>68.400000000000006</v>
          </cell>
          <cell r="CN305">
            <v>73.099999999999994</v>
          </cell>
          <cell r="CO305">
            <v>79.3</v>
          </cell>
          <cell r="CP305">
            <v>88.457999999999998</v>
          </cell>
        </row>
        <row r="306">
          <cell r="A306" t="str">
            <v>Managed Investments</v>
          </cell>
          <cell r="N306">
            <v>12.311557788944723</v>
          </cell>
          <cell r="S306">
            <v>14.07</v>
          </cell>
          <cell r="X306">
            <v>17.579999999999998</v>
          </cell>
          <cell r="AC306">
            <v>15.78</v>
          </cell>
          <cell r="AD306">
            <v>3.6</v>
          </cell>
          <cell r="AE306">
            <v>3.5</v>
          </cell>
          <cell r="AF306">
            <v>4</v>
          </cell>
          <cell r="AG306">
            <v>5.0999999999999996</v>
          </cell>
          <cell r="AH306">
            <v>16.2</v>
          </cell>
          <cell r="AI306">
            <v>5.4</v>
          </cell>
          <cell r="AJ306">
            <v>4.4000000000000004</v>
          </cell>
          <cell r="AK306">
            <v>3.7</v>
          </cell>
          <cell r="AL306">
            <v>4</v>
          </cell>
          <cell r="AM306">
            <v>17.5</v>
          </cell>
          <cell r="AN306">
            <v>3.6</v>
          </cell>
          <cell r="AO306">
            <v>6.2</v>
          </cell>
          <cell r="AP306">
            <v>3.4</v>
          </cell>
          <cell r="AQ306">
            <v>3.8</v>
          </cell>
          <cell r="AR306">
            <v>17</v>
          </cell>
          <cell r="AS306">
            <v>4.7</v>
          </cell>
          <cell r="AT306">
            <v>5.4</v>
          </cell>
          <cell r="AU306">
            <v>4.5999999999999996</v>
          </cell>
          <cell r="AV306">
            <v>3.9</v>
          </cell>
          <cell r="AW306">
            <v>18.600000000000001</v>
          </cell>
          <cell r="AX306">
            <v>3.9</v>
          </cell>
          <cell r="AY306">
            <v>3.6</v>
          </cell>
          <cell r="AZ306">
            <v>3.1</v>
          </cell>
          <cell r="BA306">
            <v>5.3340000000000005</v>
          </cell>
          <cell r="BB306">
            <v>15.934000000000001</v>
          </cell>
          <cell r="BC306">
            <v>6.8320000000000007</v>
          </cell>
          <cell r="BD306">
            <v>4.6100000000000003</v>
          </cell>
          <cell r="BZ306" t="str">
            <v>Managed Investments</v>
          </cell>
          <cell r="CH306">
            <v>12.311557788944723</v>
          </cell>
          <cell r="CI306">
            <v>14.07</v>
          </cell>
          <cell r="CJ306">
            <v>17.579999999999998</v>
          </cell>
          <cell r="CK306">
            <v>15.78</v>
          </cell>
          <cell r="CL306">
            <v>16.2</v>
          </cell>
          <cell r="CM306">
            <v>17.5</v>
          </cell>
          <cell r="CN306">
            <v>17</v>
          </cell>
          <cell r="CO306">
            <v>18.600000000000001</v>
          </cell>
          <cell r="CP306">
            <v>15.934000000000001</v>
          </cell>
        </row>
        <row r="307">
          <cell r="A307" t="str">
            <v>Total</v>
          </cell>
          <cell r="N307">
            <v>226.88442211055278</v>
          </cell>
          <cell r="S307">
            <v>235.62</v>
          </cell>
          <cell r="X307">
            <v>277.86999999999995</v>
          </cell>
          <cell r="AC307">
            <v>263</v>
          </cell>
          <cell r="AD307">
            <v>56.2</v>
          </cell>
          <cell r="AE307">
            <v>67.099999999999994</v>
          </cell>
          <cell r="AF307">
            <v>62.8</v>
          </cell>
          <cell r="AG307">
            <v>71.899999999999991</v>
          </cell>
          <cell r="AH307">
            <v>258</v>
          </cell>
          <cell r="AI307">
            <v>76</v>
          </cell>
          <cell r="AJ307">
            <v>63.1</v>
          </cell>
          <cell r="AK307">
            <v>73.5</v>
          </cell>
          <cell r="AL307">
            <v>65.599999999999994</v>
          </cell>
          <cell r="AM307">
            <v>278.20000000000005</v>
          </cell>
          <cell r="AN307">
            <v>77</v>
          </cell>
          <cell r="AO307">
            <v>78.900000000000006</v>
          </cell>
          <cell r="AP307">
            <v>72.100000000000009</v>
          </cell>
          <cell r="AQ307">
            <v>66.899999999999991</v>
          </cell>
          <cell r="AR307">
            <v>294.89999999999998</v>
          </cell>
          <cell r="AS307">
            <v>78.7</v>
          </cell>
          <cell r="AT307">
            <v>77.900000000000006</v>
          </cell>
          <cell r="AU307">
            <v>82.6</v>
          </cell>
          <cell r="AV307">
            <v>86.2</v>
          </cell>
          <cell r="AW307">
            <v>325.39999999999998</v>
          </cell>
          <cell r="AX307">
            <v>86.5</v>
          </cell>
          <cell r="AY307">
            <v>84.399999999999991</v>
          </cell>
          <cell r="AZ307">
            <v>78.899999999999991</v>
          </cell>
          <cell r="BA307">
            <v>88.010999999999996</v>
          </cell>
          <cell r="BB307">
            <v>337.81100000000004</v>
          </cell>
          <cell r="BC307">
            <v>85.4</v>
          </cell>
          <cell r="BD307">
            <v>92.2</v>
          </cell>
          <cell r="BZ307" t="str">
            <v>Total</v>
          </cell>
          <cell r="CH307">
            <v>226.88442211055278</v>
          </cell>
          <cell r="CI307">
            <v>235.62</v>
          </cell>
          <cell r="CJ307">
            <v>277.86999999999995</v>
          </cell>
          <cell r="CK307">
            <v>263</v>
          </cell>
          <cell r="CL307">
            <v>258</v>
          </cell>
          <cell r="CM307">
            <v>278.20000000000005</v>
          </cell>
          <cell r="CN307">
            <v>294.89999999999998</v>
          </cell>
          <cell r="CO307">
            <v>325.39999999999998</v>
          </cell>
          <cell r="CP307">
            <v>337.81100000000004</v>
          </cell>
        </row>
        <row r="309">
          <cell r="A309" t="str">
            <v>Public, Project and Infrastructure</v>
          </cell>
          <cell r="BZ309" t="str">
            <v>Public, Project and Infrastructure</v>
          </cell>
        </row>
        <row r="310">
          <cell r="A310" t="str">
            <v>Public Finance</v>
          </cell>
          <cell r="N310">
            <v>106.66666666666667</v>
          </cell>
          <cell r="S310">
            <v>87.9</v>
          </cell>
          <cell r="X310">
            <v>94.97</v>
          </cell>
          <cell r="AC310">
            <v>103.5</v>
          </cell>
          <cell r="AD310">
            <v>28</v>
          </cell>
          <cell r="AE310">
            <v>29.5</v>
          </cell>
          <cell r="AF310">
            <v>28</v>
          </cell>
          <cell r="AG310">
            <v>32.299999999999997</v>
          </cell>
          <cell r="AH310">
            <v>117.8</v>
          </cell>
          <cell r="AI310">
            <v>31.2</v>
          </cell>
          <cell r="AJ310">
            <v>33.4</v>
          </cell>
          <cell r="AK310">
            <v>34.799999999999997</v>
          </cell>
          <cell r="AL310">
            <v>38.700000000000003</v>
          </cell>
          <cell r="AM310">
            <v>138.1</v>
          </cell>
          <cell r="AN310">
            <v>29.9</v>
          </cell>
          <cell r="AO310">
            <v>34.1</v>
          </cell>
          <cell r="AP310">
            <v>34.4</v>
          </cell>
          <cell r="AQ310">
            <v>37.6</v>
          </cell>
          <cell r="AR310">
            <v>136</v>
          </cell>
          <cell r="AS310">
            <v>39.4</v>
          </cell>
          <cell r="AT310">
            <v>43.6</v>
          </cell>
          <cell r="AU310">
            <v>38.1</v>
          </cell>
          <cell r="AV310">
            <v>40.299999999999997</v>
          </cell>
          <cell r="AW310">
            <v>161.39999999999998</v>
          </cell>
          <cell r="AX310">
            <v>42.3</v>
          </cell>
          <cell r="AY310">
            <v>43.6</v>
          </cell>
          <cell r="AZ310">
            <v>36.5</v>
          </cell>
          <cell r="BA310">
            <v>35.474999999999994</v>
          </cell>
          <cell r="BB310">
            <v>157.875</v>
          </cell>
          <cell r="BC310">
            <v>37.122</v>
          </cell>
          <cell r="BD310">
            <v>40.18</v>
          </cell>
          <cell r="BZ310" t="str">
            <v>Public Finance</v>
          </cell>
          <cell r="CH310">
            <v>106.66666666666667</v>
          </cell>
          <cell r="CI310">
            <v>87.9</v>
          </cell>
          <cell r="CJ310">
            <v>94.97</v>
          </cell>
          <cell r="CK310">
            <v>103.5</v>
          </cell>
          <cell r="CL310">
            <v>117.8</v>
          </cell>
          <cell r="CM310">
            <v>138.1</v>
          </cell>
          <cell r="CN310">
            <v>136</v>
          </cell>
          <cell r="CO310">
            <v>161.39999999999998</v>
          </cell>
          <cell r="CP310">
            <v>157.875</v>
          </cell>
        </row>
        <row r="311">
          <cell r="A311" t="str">
            <v>Municipal Structured Products</v>
          </cell>
          <cell r="N311">
            <v>26.666666666666668</v>
          </cell>
          <cell r="S311">
            <v>28.1</v>
          </cell>
          <cell r="X311">
            <v>29.89</v>
          </cell>
          <cell r="AC311">
            <v>39.1</v>
          </cell>
          <cell r="AD311">
            <v>6.1</v>
          </cell>
          <cell r="AE311">
            <v>5.3</v>
          </cell>
          <cell r="AF311">
            <v>5.9</v>
          </cell>
          <cell r="AG311">
            <v>6.2</v>
          </cell>
          <cell r="AH311">
            <v>23.499999999999996</v>
          </cell>
          <cell r="AI311">
            <v>4.9000000000000004</v>
          </cell>
          <cell r="AJ311">
            <v>5.0999999999999996</v>
          </cell>
          <cell r="AK311">
            <v>5.3</v>
          </cell>
          <cell r="AL311">
            <v>5.2</v>
          </cell>
          <cell r="AM311">
            <v>20.5</v>
          </cell>
          <cell r="AN311">
            <v>4.5</v>
          </cell>
          <cell r="AO311">
            <v>5</v>
          </cell>
          <cell r="AP311">
            <v>4.9000000000000004</v>
          </cell>
          <cell r="AQ311">
            <v>6</v>
          </cell>
          <cell r="AR311">
            <v>20.399999999999999</v>
          </cell>
          <cell r="AS311">
            <v>4.8</v>
          </cell>
          <cell r="AT311">
            <v>5.0999999999999996</v>
          </cell>
          <cell r="AU311">
            <v>4.4000000000000004</v>
          </cell>
          <cell r="AV311">
            <v>5</v>
          </cell>
          <cell r="AW311">
            <v>19.299999999999997</v>
          </cell>
          <cell r="AX311">
            <v>4.0999999999999996</v>
          </cell>
          <cell r="AY311">
            <v>4.3</v>
          </cell>
          <cell r="AZ311">
            <v>4.0999999999999996</v>
          </cell>
          <cell r="BA311">
            <v>4.1249999999999991</v>
          </cell>
          <cell r="BB311">
            <v>16.624999999999996</v>
          </cell>
          <cell r="BC311">
            <v>4.0350000000000001</v>
          </cell>
          <cell r="BD311">
            <v>3.92</v>
          </cell>
          <cell r="BZ311" t="str">
            <v>Municipal Structured Products</v>
          </cell>
          <cell r="CH311">
            <v>26.666666666666668</v>
          </cell>
          <cell r="CI311">
            <v>28.1</v>
          </cell>
          <cell r="CJ311">
            <v>29.89</v>
          </cell>
          <cell r="CK311">
            <v>39.1</v>
          </cell>
          <cell r="CL311">
            <v>23.499999999999996</v>
          </cell>
          <cell r="CM311">
            <v>20.5</v>
          </cell>
          <cell r="CN311">
            <v>20.399999999999999</v>
          </cell>
          <cell r="CO311">
            <v>19.299999999999997</v>
          </cell>
          <cell r="CP311">
            <v>16.624999999999996</v>
          </cell>
        </row>
        <row r="312">
          <cell r="A312" t="str">
            <v>Project &amp; Infrastructure Finance</v>
          </cell>
          <cell r="N312">
            <v>51.666666666666671</v>
          </cell>
          <cell r="S312">
            <v>73.86</v>
          </cell>
          <cell r="X312">
            <v>87.9</v>
          </cell>
          <cell r="AC312">
            <v>87.4</v>
          </cell>
          <cell r="AD312">
            <v>23.2</v>
          </cell>
          <cell r="AE312">
            <v>25.9</v>
          </cell>
          <cell r="AF312">
            <v>27.7</v>
          </cell>
          <cell r="AG312">
            <v>27.4</v>
          </cell>
          <cell r="AH312">
            <v>104.19999999999999</v>
          </cell>
          <cell r="AI312">
            <v>25.2</v>
          </cell>
          <cell r="AJ312">
            <v>25.8</v>
          </cell>
          <cell r="AK312">
            <v>29.3</v>
          </cell>
          <cell r="AL312">
            <v>32.200000000000003</v>
          </cell>
          <cell r="AM312">
            <v>112.5</v>
          </cell>
          <cell r="AN312">
            <v>30</v>
          </cell>
          <cell r="AO312">
            <v>33.5</v>
          </cell>
          <cell r="AP312">
            <v>29</v>
          </cell>
          <cell r="AQ312">
            <v>28.4</v>
          </cell>
          <cell r="AR312">
            <v>120.9</v>
          </cell>
          <cell r="AS312">
            <v>35</v>
          </cell>
          <cell r="AT312">
            <v>32.4</v>
          </cell>
          <cell r="AU312">
            <v>34.5</v>
          </cell>
          <cell r="AV312">
            <v>40</v>
          </cell>
          <cell r="AW312">
            <v>141.9</v>
          </cell>
          <cell r="AX312">
            <v>37.1</v>
          </cell>
          <cell r="AY312">
            <v>44.8</v>
          </cell>
          <cell r="AZ312">
            <v>42.1</v>
          </cell>
          <cell r="BA312">
            <v>42.899999999999991</v>
          </cell>
          <cell r="BB312">
            <v>166.89999999999998</v>
          </cell>
          <cell r="BC312">
            <v>39.542999999999999</v>
          </cell>
          <cell r="BD312">
            <v>53.900000000000006</v>
          </cell>
          <cell r="BZ312" t="str">
            <v>Project &amp; Infrastructure Finance</v>
          </cell>
          <cell r="CH312">
            <v>51.666666666666671</v>
          </cell>
          <cell r="CI312">
            <v>73.86</v>
          </cell>
          <cell r="CJ312">
            <v>87.9</v>
          </cell>
          <cell r="CK312">
            <v>87.4</v>
          </cell>
          <cell r="CL312">
            <v>104.19999999999999</v>
          </cell>
          <cell r="CM312">
            <v>112.5</v>
          </cell>
          <cell r="CN312">
            <v>120.9</v>
          </cell>
          <cell r="CO312">
            <v>141.9</v>
          </cell>
          <cell r="CP312">
            <v>166.89999999999998</v>
          </cell>
        </row>
        <row r="313">
          <cell r="A313" t="str">
            <v>Total</v>
          </cell>
          <cell r="N313">
            <v>185</v>
          </cell>
          <cell r="S313">
            <v>189.86</v>
          </cell>
          <cell r="X313">
            <v>212.76</v>
          </cell>
          <cell r="AC313">
            <v>230</v>
          </cell>
          <cell r="AD313">
            <v>57.3</v>
          </cell>
          <cell r="AE313">
            <v>60.699999999999996</v>
          </cell>
          <cell r="AF313">
            <v>61.599999999999994</v>
          </cell>
          <cell r="AG313">
            <v>65.900000000000006</v>
          </cell>
          <cell r="AH313">
            <v>245.49999999999997</v>
          </cell>
          <cell r="AI313">
            <v>61.3</v>
          </cell>
          <cell r="AJ313">
            <v>64.3</v>
          </cell>
          <cell r="AK313">
            <v>69.399999999999991</v>
          </cell>
          <cell r="AL313">
            <v>76.100000000000009</v>
          </cell>
          <cell r="AM313">
            <v>271.10000000000002</v>
          </cell>
          <cell r="AN313">
            <v>64.400000000000006</v>
          </cell>
          <cell r="AO313">
            <v>72.599999999999994</v>
          </cell>
          <cell r="AP313">
            <v>68.3</v>
          </cell>
          <cell r="AQ313">
            <v>72</v>
          </cell>
          <cell r="AR313">
            <v>277.3</v>
          </cell>
          <cell r="AS313">
            <v>79.199999999999989</v>
          </cell>
          <cell r="AT313">
            <v>81.099999999999994</v>
          </cell>
          <cell r="AU313">
            <v>77</v>
          </cell>
          <cell r="AV313">
            <v>85.3</v>
          </cell>
          <cell r="AW313">
            <v>322.60000000000002</v>
          </cell>
          <cell r="AX313">
            <v>83.5</v>
          </cell>
          <cell r="AY313">
            <v>92.699999999999989</v>
          </cell>
          <cell r="AZ313">
            <v>82.7</v>
          </cell>
          <cell r="BA313">
            <v>82.499999999999986</v>
          </cell>
          <cell r="BB313">
            <v>341.4</v>
          </cell>
          <cell r="BC313">
            <v>80.699999999999989</v>
          </cell>
          <cell r="BD313">
            <v>98</v>
          </cell>
          <cell r="BZ313" t="str">
            <v>Total</v>
          </cell>
          <cell r="CH313">
            <v>185</v>
          </cell>
          <cell r="CI313">
            <v>189.86</v>
          </cell>
          <cell r="CJ313">
            <v>212.76</v>
          </cell>
          <cell r="CK313">
            <v>230</v>
          </cell>
          <cell r="CL313">
            <v>245.49999999999997</v>
          </cell>
          <cell r="CM313">
            <v>271.10000000000002</v>
          </cell>
          <cell r="CN313">
            <v>277.3</v>
          </cell>
          <cell r="CO313">
            <v>322.60000000000002</v>
          </cell>
          <cell r="CP313">
            <v>341.4</v>
          </cell>
        </row>
        <row r="316">
          <cell r="A316" t="str">
            <v>Revenue Mix (%)</v>
          </cell>
          <cell r="BZ316" t="str">
            <v>Revenue Mix (%)</v>
          </cell>
        </row>
        <row r="318">
          <cell r="A318" t="str">
            <v>Corporate Finance</v>
          </cell>
          <cell r="BZ318" t="str">
            <v>Corporate Finance</v>
          </cell>
        </row>
        <row r="319">
          <cell r="A319" t="str">
            <v>Other - including monitoring, CP, MTNs</v>
          </cell>
          <cell r="N319">
            <v>0.46153846153846156</v>
          </cell>
          <cell r="S319">
            <v>0.42857994515321329</v>
          </cell>
          <cell r="X319">
            <v>0.41026073139610464</v>
          </cell>
          <cell r="AC319">
            <v>0.57999999999999996</v>
          </cell>
          <cell r="AD319">
            <v>0.47681331747919148</v>
          </cell>
          <cell r="AE319">
            <v>0.39684014869888473</v>
          </cell>
          <cell r="AF319">
            <v>0.45759368836291914</v>
          </cell>
          <cell r="AG319">
            <v>0.4236111111111111</v>
          </cell>
          <cell r="AH319">
            <v>0.43595395542493265</v>
          </cell>
          <cell r="AI319">
            <v>0.39319620253164561</v>
          </cell>
          <cell r="AJ319">
            <v>0.42455043002345577</v>
          </cell>
          <cell r="AK319">
            <v>0.37361878453038672</v>
          </cell>
          <cell r="AL319">
            <v>0.35276259866423798</v>
          </cell>
          <cell r="AM319">
            <v>0.38346931536005679</v>
          </cell>
          <cell r="AN319">
            <v>0.36303630363036304</v>
          </cell>
          <cell r="AO319">
            <v>0.36831584207896056</v>
          </cell>
          <cell r="AP319">
            <v>0.51317829457364339</v>
          </cell>
          <cell r="AQ319">
            <v>0.49150141643059497</v>
          </cell>
          <cell r="AR319">
            <v>0.42217451311148596</v>
          </cell>
          <cell r="AS319">
            <v>0.3491271820448878</v>
          </cell>
          <cell r="AT319">
            <v>0.43080939947780678</v>
          </cell>
          <cell r="AU319">
            <v>0.35024920706841867</v>
          </cell>
          <cell r="AV319">
            <v>0.33646386280114332</v>
          </cell>
          <cell r="AW319">
            <v>0.36403917910447764</v>
          </cell>
          <cell r="AX319">
            <v>0.31900890437475804</v>
          </cell>
          <cell r="AY319">
            <v>0.35336629897299349</v>
          </cell>
          <cell r="AZ319">
            <v>0.41802575107296142</v>
          </cell>
          <cell r="BA319">
            <v>0.37</v>
          </cell>
          <cell r="BB319">
            <v>0.36362560192616372</v>
          </cell>
          <cell r="BC319">
            <v>0.37</v>
          </cell>
          <cell r="BD319">
            <v>0.32</v>
          </cell>
          <cell r="BZ319" t="str">
            <v>Other - including monitoring, CP, MTNs</v>
          </cell>
          <cell r="CH319">
            <v>0.46153846153846156</v>
          </cell>
          <cell r="CI319">
            <v>0.42857994515321329</v>
          </cell>
          <cell r="CJ319">
            <v>0.41026073139610464</v>
          </cell>
          <cell r="CK319">
            <v>0.57999999999999996</v>
          </cell>
          <cell r="CL319">
            <v>0.43595395542493265</v>
          </cell>
          <cell r="CM319">
            <v>0.38346931536005679</v>
          </cell>
          <cell r="CN319">
            <v>0.42217451311148596</v>
          </cell>
          <cell r="CO319">
            <v>0.36403917910447764</v>
          </cell>
          <cell r="CP319">
            <v>0.36362560192616372</v>
          </cell>
        </row>
        <row r="320">
          <cell r="A320" t="str">
            <v>Investment Grade</v>
          </cell>
          <cell r="N320">
            <v>0.15384615384615385</v>
          </cell>
          <cell r="S320">
            <v>0.1587277930129963</v>
          </cell>
          <cell r="X320">
            <v>0.16667067915352579</v>
          </cell>
          <cell r="AC320">
            <v>0.21</v>
          </cell>
          <cell r="AD320">
            <v>0.42330558858501788</v>
          </cell>
          <cell r="AE320">
            <v>0.30390334572490707</v>
          </cell>
          <cell r="AF320">
            <v>0.28007889546351084</v>
          </cell>
          <cell r="AG320">
            <v>0.19010416666666669</v>
          </cell>
          <cell r="AH320">
            <v>0.29047269164829786</v>
          </cell>
          <cell r="AI320">
            <v>0.19699367088607594</v>
          </cell>
          <cell r="AJ320">
            <v>0.16028146989835809</v>
          </cell>
          <cell r="AK320">
            <v>0.21339779005524859</v>
          </cell>
          <cell r="AL320">
            <v>0.20097146326654522</v>
          </cell>
          <cell r="AM320">
            <v>0.19404043987229516</v>
          </cell>
          <cell r="AN320">
            <v>0.20077007700770078</v>
          </cell>
          <cell r="AO320">
            <v>0.18840579710144931</v>
          </cell>
          <cell r="AP320">
            <v>0.20852713178294571</v>
          </cell>
          <cell r="AQ320">
            <v>0.25495750708215298</v>
          </cell>
          <cell r="AR320">
            <v>0.21024382763379851</v>
          </cell>
          <cell r="AS320">
            <v>0.2204488778054863</v>
          </cell>
          <cell r="AT320">
            <v>0.21827676240208876</v>
          </cell>
          <cell r="AU320">
            <v>0.24830086089714545</v>
          </cell>
          <cell r="AV320">
            <v>0.22907309105757451</v>
          </cell>
          <cell r="AW320">
            <v>0.22959421641791045</v>
          </cell>
          <cell r="AX320">
            <v>0.17228029423151373</v>
          </cell>
          <cell r="AY320">
            <v>0.22784328642069224</v>
          </cell>
          <cell r="AZ320">
            <v>0.14334763948497853</v>
          </cell>
          <cell r="BA320">
            <v>0.23</v>
          </cell>
          <cell r="BB320">
            <v>0.19421950240770466</v>
          </cell>
          <cell r="BC320">
            <v>0.18</v>
          </cell>
          <cell r="BD320">
            <v>0.2</v>
          </cell>
          <cell r="BZ320" t="str">
            <v>Investment Grade</v>
          </cell>
          <cell r="CH320">
            <v>0.15384615384615385</v>
          </cell>
          <cell r="CI320">
            <v>0.1587277930129963</v>
          </cell>
          <cell r="CJ320">
            <v>0.16667067915352579</v>
          </cell>
          <cell r="CK320">
            <v>0.21</v>
          </cell>
          <cell r="CL320">
            <v>0.29047269164829786</v>
          </cell>
          <cell r="CM320">
            <v>0.19404043987229516</v>
          </cell>
          <cell r="CN320">
            <v>0.21024382763379851</v>
          </cell>
          <cell r="CO320">
            <v>0.22959421641791045</v>
          </cell>
          <cell r="CP320">
            <v>0.19421950240770466</v>
          </cell>
        </row>
        <row r="321">
          <cell r="A321" t="str">
            <v>Speculative Grade</v>
          </cell>
          <cell r="N321">
            <v>0.19230769230769232</v>
          </cell>
          <cell r="S321">
            <v>0.19047335161559556</v>
          </cell>
          <cell r="X321">
            <v>0.16667067915352579</v>
          </cell>
          <cell r="AC321">
            <v>0.09</v>
          </cell>
          <cell r="AD321">
            <v>6.6587395957193818E-2</v>
          </cell>
          <cell r="AE321">
            <v>0.23884758364312264</v>
          </cell>
          <cell r="AF321">
            <v>0.19033530571992113</v>
          </cell>
          <cell r="AG321">
            <v>0.28819444444444448</v>
          </cell>
          <cell r="AH321">
            <v>0.20524124418319861</v>
          </cell>
          <cell r="AI321">
            <v>0.26582278481012661</v>
          </cell>
          <cell r="AJ321">
            <v>0.21579358874120408</v>
          </cell>
          <cell r="AK321">
            <v>0.26450276243093918</v>
          </cell>
          <cell r="AL321">
            <v>0.26229508196721313</v>
          </cell>
          <cell r="AM321">
            <v>0.25310393756651295</v>
          </cell>
          <cell r="AN321">
            <v>0.24587458745874591</v>
          </cell>
          <cell r="AO321">
            <v>0.2253873063468266</v>
          </cell>
          <cell r="AP321">
            <v>0.11627906976744186</v>
          </cell>
          <cell r="AQ321">
            <v>0.10694050991501416</v>
          </cell>
          <cell r="AR321">
            <v>0.1838675049838982</v>
          </cell>
          <cell r="AS321">
            <v>0.25735660847880298</v>
          </cell>
          <cell r="AT321">
            <v>0.16657963446475196</v>
          </cell>
          <cell r="AU321">
            <v>0.23606705935659267</v>
          </cell>
          <cell r="AV321">
            <v>0.23683135973866884</v>
          </cell>
          <cell r="AW321">
            <v>0.2257462686567164</v>
          </cell>
          <cell r="AX321">
            <v>0.29268292682926828</v>
          </cell>
          <cell r="AY321">
            <v>0.21681247622670213</v>
          </cell>
          <cell r="AZ321">
            <v>0.19914163090128756</v>
          </cell>
          <cell r="BA321">
            <v>0.21</v>
          </cell>
          <cell r="BB321">
            <v>0.2306841894060995</v>
          </cell>
          <cell r="BC321">
            <v>0.2</v>
          </cell>
          <cell r="BD321">
            <v>0.24</v>
          </cell>
          <cell r="BZ321" t="str">
            <v>Speculative Grade</v>
          </cell>
          <cell r="CH321">
            <v>0.19230769230769232</v>
          </cell>
          <cell r="CI321">
            <v>0.19047335161559556</v>
          </cell>
          <cell r="CJ321">
            <v>0.16667067915352579</v>
          </cell>
          <cell r="CK321">
            <v>0.09</v>
          </cell>
          <cell r="CL321">
            <v>0.20524124418319861</v>
          </cell>
          <cell r="CM321">
            <v>0.25310393756651295</v>
          </cell>
          <cell r="CN321">
            <v>0.1838675049838982</v>
          </cell>
          <cell r="CO321">
            <v>0.2257462686567164</v>
          </cell>
          <cell r="CP321">
            <v>0.2306841894060995</v>
          </cell>
        </row>
        <row r="322">
          <cell r="A322" t="str">
            <v>Bank Loans</v>
          </cell>
          <cell r="N322">
            <v>0.19230769230769232</v>
          </cell>
          <cell r="S322">
            <v>0.22221891021819482</v>
          </cell>
          <cell r="X322">
            <v>0.25639791029684378</v>
          </cell>
          <cell r="AC322">
            <v>0.12</v>
          </cell>
          <cell r="AD322">
            <v>3.3293697978596909E-2</v>
          </cell>
          <cell r="AE322">
            <v>6.0408921933085495E-2</v>
          </cell>
          <cell r="AF322">
            <v>7.1992110453648922E-2</v>
          </cell>
          <cell r="AG322">
            <v>9.809027777777779E-2</v>
          </cell>
          <cell r="AH322">
            <v>6.8332108743570902E-2</v>
          </cell>
          <cell r="AI322">
            <v>0.14398734177215192</v>
          </cell>
          <cell r="AJ322">
            <v>0.199374511336982</v>
          </cell>
          <cell r="AK322">
            <v>0.14848066298342541</v>
          </cell>
          <cell r="AL322">
            <v>0.18397085610200362</v>
          </cell>
          <cell r="AM322">
            <v>0.16938630720113518</v>
          </cell>
          <cell r="AN322">
            <v>0.19031903190319036</v>
          </cell>
          <cell r="AO322">
            <v>0.21789105447276363</v>
          </cell>
          <cell r="AP322">
            <v>0.16201550387596897</v>
          </cell>
          <cell r="AQ322">
            <v>0.14660056657223797</v>
          </cell>
          <cell r="AR322">
            <v>0.18371415427081739</v>
          </cell>
          <cell r="AS322">
            <v>0.17306733167082294</v>
          </cell>
          <cell r="AT322">
            <v>0.18433420365535247</v>
          </cell>
          <cell r="AU322">
            <v>0.16538287267784324</v>
          </cell>
          <cell r="AV322">
            <v>0.1976316864026133</v>
          </cell>
          <cell r="AW322">
            <v>0.18062033582089551</v>
          </cell>
          <cell r="AX322">
            <v>0.2160278745644599</v>
          </cell>
          <cell r="AY322">
            <v>0.201977938379612</v>
          </cell>
          <cell r="AZ322">
            <v>0.23948497854077253</v>
          </cell>
          <cell r="BA322">
            <v>0.19000000000000006</v>
          </cell>
          <cell r="BB322">
            <v>0.21147070626003209</v>
          </cell>
          <cell r="BC322">
            <v>0.25</v>
          </cell>
          <cell r="BD322">
            <v>0.24</v>
          </cell>
          <cell r="BZ322" t="str">
            <v>Bank Loans</v>
          </cell>
          <cell r="CH322">
            <v>0.19230769230769232</v>
          </cell>
          <cell r="CI322">
            <v>0.22221891021819482</v>
          </cell>
          <cell r="CJ322">
            <v>0.25639791029684378</v>
          </cell>
          <cell r="CK322">
            <v>0.12</v>
          </cell>
          <cell r="CL322">
            <v>6.8332108743570902E-2</v>
          </cell>
          <cell r="CM322">
            <v>0.16938630720113518</v>
          </cell>
          <cell r="CN322">
            <v>0.18371415427081739</v>
          </cell>
          <cell r="CO322">
            <v>0.18062033582089551</v>
          </cell>
          <cell r="CP322">
            <v>0.21147070626003209</v>
          </cell>
        </row>
        <row r="323">
          <cell r="A323" t="str">
            <v>Total</v>
          </cell>
          <cell r="N323">
            <v>1</v>
          </cell>
          <cell r="S323">
            <v>1</v>
          </cell>
          <cell r="X323">
            <v>0.99999999999999989</v>
          </cell>
          <cell r="AC323">
            <v>0.99999999999999989</v>
          </cell>
          <cell r="AD323">
            <v>1.0000000000000002</v>
          </cell>
          <cell r="AE323">
            <v>0.99999999999999989</v>
          </cell>
          <cell r="AF323">
            <v>1</v>
          </cell>
          <cell r="AG323">
            <v>1</v>
          </cell>
          <cell r="AH323">
            <v>1</v>
          </cell>
          <cell r="AI323">
            <v>1.0000000000000002</v>
          </cell>
          <cell r="AJ323">
            <v>1</v>
          </cell>
          <cell r="AK323">
            <v>0.99999999999999989</v>
          </cell>
          <cell r="AL323">
            <v>0.99999999999999989</v>
          </cell>
          <cell r="AM323">
            <v>1</v>
          </cell>
          <cell r="AN323">
            <v>1</v>
          </cell>
          <cell r="AO323">
            <v>1</v>
          </cell>
          <cell r="AP323">
            <v>0.99999999999999989</v>
          </cell>
          <cell r="AQ323">
            <v>1</v>
          </cell>
          <cell r="AR323">
            <v>1</v>
          </cell>
          <cell r="AS323">
            <v>1</v>
          </cell>
          <cell r="AT323">
            <v>1</v>
          </cell>
          <cell r="AU323">
            <v>1</v>
          </cell>
          <cell r="AV323">
            <v>1</v>
          </cell>
          <cell r="AW323">
            <v>1</v>
          </cell>
          <cell r="AX323">
            <v>1</v>
          </cell>
          <cell r="AY323">
            <v>0.99999999999999989</v>
          </cell>
          <cell r="AZ323">
            <v>1</v>
          </cell>
          <cell r="BA323">
            <v>1</v>
          </cell>
          <cell r="BB323">
            <v>0.99999999999999989</v>
          </cell>
          <cell r="BC323">
            <v>1</v>
          </cell>
          <cell r="BD323">
            <v>1</v>
          </cell>
          <cell r="BZ323" t="str">
            <v>Total</v>
          </cell>
          <cell r="CH323">
            <v>1</v>
          </cell>
          <cell r="CI323">
            <v>1</v>
          </cell>
          <cell r="CJ323">
            <v>0.99999999999999989</v>
          </cell>
          <cell r="CK323">
            <v>0.99999999999999989</v>
          </cell>
          <cell r="CL323">
            <v>1</v>
          </cell>
          <cell r="CM323">
            <v>1</v>
          </cell>
          <cell r="CN323">
            <v>1</v>
          </cell>
          <cell r="CO323">
            <v>1</v>
          </cell>
          <cell r="CP323">
            <v>0.99999999999999989</v>
          </cell>
        </row>
        <row r="325">
          <cell r="A325" t="str">
            <v xml:space="preserve">Structured Finance </v>
          </cell>
          <cell r="BZ325" t="str">
            <v xml:space="preserve">Structured Finance </v>
          </cell>
        </row>
        <row r="326">
          <cell r="A326" t="str">
            <v>ABS</v>
          </cell>
          <cell r="N326">
            <v>0.22535211267605637</v>
          </cell>
          <cell r="S326">
            <v>0.19100712849570461</v>
          </cell>
          <cell r="X326">
            <v>0.14772280888231626</v>
          </cell>
          <cell r="AC326">
            <v>0.33</v>
          </cell>
          <cell r="AD326">
            <v>0.30705394190871366</v>
          </cell>
          <cell r="AE326">
            <v>0.34005376344086019</v>
          </cell>
          <cell r="AF326">
            <v>0.34090909090909088</v>
          </cell>
          <cell r="AG326">
            <v>0.33333333333333337</v>
          </cell>
          <cell r="AH326">
            <v>0.33070607553366177</v>
          </cell>
          <cell r="AI326">
            <v>0.32212885154061621</v>
          </cell>
          <cell r="AJ326">
            <v>0.31232876712328766</v>
          </cell>
          <cell r="AK326">
            <v>0.33047210300429186</v>
          </cell>
          <cell r="AL326">
            <v>0.29117259552042163</v>
          </cell>
          <cell r="AM326">
            <v>0.31357684355616811</v>
          </cell>
          <cell r="AN326">
            <v>0.29865771812080533</v>
          </cell>
          <cell r="AO326">
            <v>0.3248259860788863</v>
          </cell>
          <cell r="AP326">
            <v>0.28571428571428575</v>
          </cell>
          <cell r="AQ326">
            <v>0.33678160919540229</v>
          </cell>
          <cell r="AR326">
            <v>0.31175616835994191</v>
          </cell>
          <cell r="AS326">
            <v>0.28556263269639065</v>
          </cell>
          <cell r="AT326">
            <v>0.32158590308370039</v>
          </cell>
          <cell r="AU326">
            <v>0.27634408602150534</v>
          </cell>
          <cell r="AV326">
            <v>0.27405247813411082</v>
          </cell>
          <cell r="AW326">
            <v>0.28878970858493047</v>
          </cell>
          <cell r="AX326">
            <v>0.25376344086021507</v>
          </cell>
          <cell r="AY326">
            <v>0.26234567901234568</v>
          </cell>
          <cell r="AZ326">
            <v>0.25389221556886227</v>
          </cell>
          <cell r="BA326">
            <v>0.25</v>
          </cell>
          <cell r="BB326">
            <v>0.25490196078431371</v>
          </cell>
          <cell r="BC326">
            <v>0.24</v>
          </cell>
          <cell r="BD326">
            <v>0.22</v>
          </cell>
          <cell r="BZ326" t="str">
            <v>ABS</v>
          </cell>
          <cell r="CH326">
            <v>0.22535211267605637</v>
          </cell>
          <cell r="CI326">
            <v>0.19100712849570461</v>
          </cell>
          <cell r="CJ326">
            <v>0.14772280888231626</v>
          </cell>
          <cell r="CK326">
            <v>0.33</v>
          </cell>
          <cell r="CL326">
            <v>0.33070607553366177</v>
          </cell>
          <cell r="CM326">
            <v>0.31357684355616811</v>
          </cell>
          <cell r="CN326">
            <v>0.31175616835994191</v>
          </cell>
          <cell r="CO326">
            <v>0.28878970858493047</v>
          </cell>
          <cell r="CP326">
            <v>0.25490196078431371</v>
          </cell>
        </row>
        <row r="327">
          <cell r="A327" t="str">
            <v>RMBS</v>
          </cell>
          <cell r="N327">
            <v>0.29577464788732399</v>
          </cell>
          <cell r="S327">
            <v>0.25281027234509229</v>
          </cell>
          <cell r="X327">
            <v>0.25567853594287959</v>
          </cell>
          <cell r="AC327">
            <v>0.18</v>
          </cell>
          <cell r="AD327">
            <v>0.18395573997233747</v>
          </cell>
          <cell r="AE327">
            <v>0.19086021505376341</v>
          </cell>
          <cell r="AF327">
            <v>0.18434343434343434</v>
          </cell>
          <cell r="AG327">
            <v>0.20737913486005091</v>
          </cell>
          <cell r="AH327">
            <v>0.19178981937602629</v>
          </cell>
          <cell r="AI327">
            <v>0.20028011204481791</v>
          </cell>
          <cell r="AJ327">
            <v>0.21643835616438356</v>
          </cell>
          <cell r="AK327">
            <v>0.23319027181688126</v>
          </cell>
          <cell r="AL327">
            <v>0.23978919631093543</v>
          </cell>
          <cell r="AM327">
            <v>0.22260509993108202</v>
          </cell>
          <cell r="AN327">
            <v>0.25838926174496646</v>
          </cell>
          <cell r="AO327">
            <v>0.26102088167053361</v>
          </cell>
          <cell r="AP327">
            <v>0.25274725274725274</v>
          </cell>
          <cell r="AQ327">
            <v>0.26666666666666666</v>
          </cell>
          <cell r="AR327">
            <v>0.25979680696661828</v>
          </cell>
          <cell r="AS327">
            <v>0.24734607218683655</v>
          </cell>
          <cell r="AT327">
            <v>0.24229074889867838</v>
          </cell>
          <cell r="AU327">
            <v>0.21827956989247313</v>
          </cell>
          <cell r="AV327">
            <v>0.19047619047619049</v>
          </cell>
          <cell r="AW327">
            <v>0.22368075610396429</v>
          </cell>
          <cell r="AX327">
            <v>0.18172043010752686</v>
          </cell>
          <cell r="AY327">
            <v>0.19238683127572015</v>
          </cell>
          <cell r="AZ327">
            <v>0.19999999999999998</v>
          </cell>
          <cell r="BA327">
            <v>0.19</v>
          </cell>
          <cell r="BB327">
            <v>0.19077647058823533</v>
          </cell>
          <cell r="BC327">
            <v>0.19</v>
          </cell>
          <cell r="BD327">
            <v>0.18</v>
          </cell>
          <cell r="BZ327" t="str">
            <v>RMBS</v>
          </cell>
          <cell r="CH327">
            <v>0.29577464788732399</v>
          </cell>
          <cell r="CI327">
            <v>0.25281027234509229</v>
          </cell>
          <cell r="CJ327">
            <v>0.25567853594287959</v>
          </cell>
          <cell r="CK327">
            <v>0.18</v>
          </cell>
          <cell r="CL327">
            <v>0.19178981937602629</v>
          </cell>
          <cell r="CM327">
            <v>0.22260509993108202</v>
          </cell>
          <cell r="CN327">
            <v>0.25979680696661828</v>
          </cell>
          <cell r="CO327">
            <v>0.22368075610396429</v>
          </cell>
          <cell r="CP327">
            <v>0.19077647058823533</v>
          </cell>
        </row>
        <row r="328">
          <cell r="A328" t="str">
            <v>CREF</v>
          </cell>
          <cell r="N328">
            <v>0.19718309859154931</v>
          </cell>
          <cell r="S328">
            <v>0.20786876256625847</v>
          </cell>
          <cell r="X328">
            <v>0.20454282875430368</v>
          </cell>
          <cell r="AC328">
            <v>0.14000000000000001</v>
          </cell>
          <cell r="AD328">
            <v>0.14799446749654216</v>
          </cell>
          <cell r="AE328">
            <v>0.13172043010752688</v>
          </cell>
          <cell r="AF328">
            <v>0.16414141414141414</v>
          </cell>
          <cell r="AG328">
            <v>0.1603053435114504</v>
          </cell>
          <cell r="AH328">
            <v>0.15139573070607554</v>
          </cell>
          <cell r="AI328">
            <v>0.17086834733893555</v>
          </cell>
          <cell r="AJ328">
            <v>0.17945205479452053</v>
          </cell>
          <cell r="AK328">
            <v>0.16595135908440628</v>
          </cell>
          <cell r="AL328">
            <v>0.20421607378129117</v>
          </cell>
          <cell r="AM328">
            <v>0.18056512749827702</v>
          </cell>
          <cell r="AN328">
            <v>0.21252796420581654</v>
          </cell>
          <cell r="AO328">
            <v>0.19953596287703015</v>
          </cell>
          <cell r="AP328">
            <v>0.22954822954822959</v>
          </cell>
          <cell r="AQ328">
            <v>0.16666666666666666</v>
          </cell>
          <cell r="AR328">
            <v>0.20174165457184326</v>
          </cell>
          <cell r="AS328">
            <v>0.25902335456475584</v>
          </cell>
          <cell r="AT328">
            <v>0.19933920704845814</v>
          </cell>
          <cell r="AU328">
            <v>0.25376344086021507</v>
          </cell>
          <cell r="AV328">
            <v>0.28085519922254615</v>
          </cell>
          <cell r="AW328">
            <v>0.24940929377789448</v>
          </cell>
          <cell r="AX328">
            <v>0.27634408602150534</v>
          </cell>
          <cell r="AY328">
            <v>0.31584362139917693</v>
          </cell>
          <cell r="AZ328">
            <v>0.30538922155688625</v>
          </cell>
          <cell r="BA328">
            <v>0.32</v>
          </cell>
          <cell r="BB328">
            <v>0.30513986928104575</v>
          </cell>
          <cell r="BC328">
            <v>0.31</v>
          </cell>
          <cell r="BD328">
            <v>0.27</v>
          </cell>
          <cell r="BZ328" t="str">
            <v>CREF</v>
          </cell>
          <cell r="CH328">
            <v>0.19718309859154931</v>
          </cell>
          <cell r="CI328">
            <v>0.20786876256625847</v>
          </cell>
          <cell r="CJ328">
            <v>0.20454282875430368</v>
          </cell>
          <cell r="CK328">
            <v>0.14000000000000001</v>
          </cell>
          <cell r="CL328">
            <v>0.15139573070607554</v>
          </cell>
          <cell r="CM328">
            <v>0.18056512749827702</v>
          </cell>
          <cell r="CN328">
            <v>0.20174165457184326</v>
          </cell>
          <cell r="CO328">
            <v>0.24940929377789448</v>
          </cell>
          <cell r="CP328">
            <v>0.30513986928104575</v>
          </cell>
        </row>
        <row r="329">
          <cell r="A329" t="str">
            <v>Derivatives</v>
          </cell>
          <cell r="N329">
            <v>0.28169014084507044</v>
          </cell>
          <cell r="S329">
            <v>0.34831383659294457</v>
          </cell>
          <cell r="X329">
            <v>0.39205582642050046</v>
          </cell>
          <cell r="AC329">
            <v>0.35</v>
          </cell>
          <cell r="AD329">
            <v>0.36099585062240658</v>
          </cell>
          <cell r="AE329">
            <v>0.33736559139784944</v>
          </cell>
          <cell r="AF329">
            <v>0.31060606060606061</v>
          </cell>
          <cell r="AG329">
            <v>0.29898218829516543</v>
          </cell>
          <cell r="AH329">
            <v>0.32610837438423651</v>
          </cell>
          <cell r="AI329">
            <v>0.30672268907563022</v>
          </cell>
          <cell r="AJ329">
            <v>0.29178082191780824</v>
          </cell>
          <cell r="AK329">
            <v>0.27038626609442057</v>
          </cell>
          <cell r="AL329">
            <v>0.2648221343873518</v>
          </cell>
          <cell r="AM329">
            <v>0.28325292901447274</v>
          </cell>
          <cell r="AN329">
            <v>0.23042505592841164</v>
          </cell>
          <cell r="AO329">
            <v>0.21461716937354988</v>
          </cell>
          <cell r="AP329">
            <v>0.23199023199023203</v>
          </cell>
          <cell r="AQ329">
            <v>0.22988505747126436</v>
          </cell>
          <cell r="AR329">
            <v>0.2267053701015965</v>
          </cell>
          <cell r="AS329">
            <v>0.20806794055201702</v>
          </cell>
          <cell r="AT329">
            <v>0.23678414096916298</v>
          </cell>
          <cell r="AU329">
            <v>0.25161290322580643</v>
          </cell>
          <cell r="AV329">
            <v>0.25461613216715256</v>
          </cell>
          <cell r="AW329">
            <v>0.23812024153321085</v>
          </cell>
          <cell r="AX329">
            <v>0.28817204301075272</v>
          </cell>
          <cell r="AY329">
            <v>0.22942386831275721</v>
          </cell>
          <cell r="AZ329">
            <v>0.2407185628742515</v>
          </cell>
          <cell r="BA329">
            <v>0.24</v>
          </cell>
          <cell r="BB329">
            <v>0.24918169934640527</v>
          </cell>
          <cell r="BC329">
            <v>0.26</v>
          </cell>
          <cell r="BD329">
            <v>0.33</v>
          </cell>
          <cell r="BZ329" t="str">
            <v>Derivatives</v>
          </cell>
          <cell r="CH329">
            <v>0.28169014084507044</v>
          </cell>
          <cell r="CI329">
            <v>0.34831383659294457</v>
          </cell>
          <cell r="CJ329">
            <v>0.39205582642050046</v>
          </cell>
          <cell r="CK329">
            <v>0.35</v>
          </cell>
          <cell r="CL329">
            <v>0.32610837438423651</v>
          </cell>
          <cell r="CM329">
            <v>0.28325292901447274</v>
          </cell>
          <cell r="CN329">
            <v>0.2267053701015965</v>
          </cell>
          <cell r="CO329">
            <v>0.23812024153321085</v>
          </cell>
          <cell r="CP329">
            <v>0.24918169934640527</v>
          </cell>
        </row>
        <row r="330">
          <cell r="A330" t="str">
            <v>Total</v>
          </cell>
          <cell r="N330">
            <v>1.0000000000000002</v>
          </cell>
          <cell r="S330">
            <v>1</v>
          </cell>
          <cell r="X330">
            <v>1</v>
          </cell>
          <cell r="AC330">
            <v>1</v>
          </cell>
          <cell r="AD330">
            <v>0.99999999999999989</v>
          </cell>
          <cell r="AE330">
            <v>1</v>
          </cell>
          <cell r="AF330">
            <v>1</v>
          </cell>
          <cell r="AG330">
            <v>1</v>
          </cell>
          <cell r="AH330">
            <v>1.0000000000000002</v>
          </cell>
          <cell r="AI330">
            <v>0.99999999999999978</v>
          </cell>
          <cell r="AJ330">
            <v>1</v>
          </cell>
          <cell r="AK330">
            <v>1</v>
          </cell>
          <cell r="AL330">
            <v>1</v>
          </cell>
          <cell r="AM330">
            <v>0.99999999999999989</v>
          </cell>
          <cell r="AN330">
            <v>1</v>
          </cell>
          <cell r="AO330">
            <v>1</v>
          </cell>
          <cell r="AP330">
            <v>1.0000000000000002</v>
          </cell>
          <cell r="AQ330">
            <v>1</v>
          </cell>
          <cell r="AR330">
            <v>1</v>
          </cell>
          <cell r="AS330">
            <v>1</v>
          </cell>
          <cell r="AT330">
            <v>0.99999999999999989</v>
          </cell>
          <cell r="AU330">
            <v>1</v>
          </cell>
          <cell r="AV330">
            <v>1</v>
          </cell>
          <cell r="AW330">
            <v>1</v>
          </cell>
          <cell r="AX330">
            <v>1</v>
          </cell>
          <cell r="AY330">
            <v>1</v>
          </cell>
          <cell r="AZ330">
            <v>1</v>
          </cell>
          <cell r="BA330">
            <v>1</v>
          </cell>
          <cell r="BB330">
            <v>1</v>
          </cell>
          <cell r="BC330">
            <v>1</v>
          </cell>
          <cell r="BD330">
            <v>1</v>
          </cell>
          <cell r="BZ330" t="str">
            <v>Total</v>
          </cell>
          <cell r="CH330">
            <v>1.0000000000000002</v>
          </cell>
          <cell r="CI330">
            <v>1</v>
          </cell>
          <cell r="CJ330">
            <v>1</v>
          </cell>
          <cell r="CK330">
            <v>1</v>
          </cell>
          <cell r="CL330">
            <v>1.0000000000000002</v>
          </cell>
          <cell r="CM330">
            <v>0.99999999999999989</v>
          </cell>
          <cell r="CN330">
            <v>1</v>
          </cell>
          <cell r="CO330">
            <v>1</v>
          </cell>
          <cell r="CP330">
            <v>1</v>
          </cell>
        </row>
        <row r="332">
          <cell r="A332" t="str">
            <v>Financial Institutional</v>
          </cell>
          <cell r="BZ332" t="str">
            <v>Financial Institutional</v>
          </cell>
        </row>
        <row r="333">
          <cell r="A333" t="str">
            <v>Banking</v>
          </cell>
          <cell r="N333">
            <v>0.66666666666666663</v>
          </cell>
          <cell r="S333">
            <v>0.64192343604108304</v>
          </cell>
          <cell r="X333">
            <v>0.64558966423147524</v>
          </cell>
          <cell r="AC333">
            <v>0.67</v>
          </cell>
          <cell r="AD333">
            <v>0.6779359430604982</v>
          </cell>
          <cell r="AE333">
            <v>0.64977645305514165</v>
          </cell>
          <cell r="AF333">
            <v>0.68471337579617841</v>
          </cell>
          <cell r="AG333">
            <v>0.70792767732962458</v>
          </cell>
          <cell r="AH333">
            <v>0.68062015503875972</v>
          </cell>
          <cell r="AI333">
            <v>0.68947368421052635</v>
          </cell>
          <cell r="AJ333">
            <v>0.6988906497622821</v>
          </cell>
          <cell r="AK333">
            <v>0.69523809523809521</v>
          </cell>
          <cell r="AL333">
            <v>0.68140243902439035</v>
          </cell>
          <cell r="AM333">
            <v>0.69122933141624721</v>
          </cell>
          <cell r="AN333">
            <v>0.69480519480519476</v>
          </cell>
          <cell r="AO333">
            <v>0.68060836501901134</v>
          </cell>
          <cell r="AP333">
            <v>0.69625520110956995</v>
          </cell>
          <cell r="AQ333">
            <v>0.70852017937219736</v>
          </cell>
          <cell r="AR333">
            <v>0.69447270261105465</v>
          </cell>
          <cell r="AS333">
            <v>0.71029224904701393</v>
          </cell>
          <cell r="AT333">
            <v>0.66495507060333747</v>
          </cell>
          <cell r="AU333">
            <v>0.68644067796610175</v>
          </cell>
          <cell r="AV333">
            <v>0.73201856148491884</v>
          </cell>
          <cell r="AW333">
            <v>0.69913952059004303</v>
          </cell>
          <cell r="AX333">
            <v>0.69826589595375721</v>
          </cell>
          <cell r="AY333">
            <v>0.68127962085308069</v>
          </cell>
          <cell r="AZ333">
            <v>0.66413181242078589</v>
          </cell>
          <cell r="BA333">
            <v>0.71</v>
          </cell>
          <cell r="BB333">
            <v>0.69097513106441166</v>
          </cell>
          <cell r="BC333">
            <v>0.67</v>
          </cell>
          <cell r="BD333">
            <v>0.69</v>
          </cell>
          <cell r="BZ333" t="str">
            <v>Banking</v>
          </cell>
          <cell r="CH333">
            <v>0.66666666666666663</v>
          </cell>
          <cell r="CI333">
            <v>0.64192343604108304</v>
          </cell>
          <cell r="CJ333">
            <v>0.64558966423147524</v>
          </cell>
          <cell r="CK333">
            <v>0.67</v>
          </cell>
          <cell r="CL333">
            <v>0.68062015503875972</v>
          </cell>
          <cell r="CM333">
            <v>0.69122933141624721</v>
          </cell>
          <cell r="CN333">
            <v>0.69447270261105465</v>
          </cell>
          <cell r="CO333">
            <v>0.69913952059004303</v>
          </cell>
          <cell r="CP333">
            <v>0.69097513106441166</v>
          </cell>
        </row>
        <row r="334">
          <cell r="A334" t="str">
            <v>Insurance</v>
          </cell>
          <cell r="N334">
            <v>0.27906976744186046</v>
          </cell>
          <cell r="S334">
            <v>0.29836176895000421</v>
          </cell>
          <cell r="X334">
            <v>0.29114334041098361</v>
          </cell>
          <cell r="AC334">
            <v>0.27</v>
          </cell>
          <cell r="AD334">
            <v>0.25800711743772242</v>
          </cell>
          <cell r="AE334">
            <v>0.29806259314456041</v>
          </cell>
          <cell r="AF334">
            <v>0.25159235668789809</v>
          </cell>
          <cell r="AG334">
            <v>0.22114047287899863</v>
          </cell>
          <cell r="AH334">
            <v>0.25658914728682169</v>
          </cell>
          <cell r="AI334">
            <v>0.23947368421052631</v>
          </cell>
          <cell r="AJ334">
            <v>0.23137876386687797</v>
          </cell>
          <cell r="AK334">
            <v>0.25442176870748301</v>
          </cell>
          <cell r="AL334">
            <v>0.2576219512195122</v>
          </cell>
          <cell r="AM334">
            <v>0.2458662832494608</v>
          </cell>
          <cell r="AN334">
            <v>0.25844155844155842</v>
          </cell>
          <cell r="AO334">
            <v>0.24081115335868186</v>
          </cell>
          <cell r="AP334">
            <v>0.2565880721220527</v>
          </cell>
          <cell r="AQ334">
            <v>0.23467862481315399</v>
          </cell>
          <cell r="AR334">
            <v>0.24788063750423872</v>
          </cell>
          <cell r="AS334">
            <v>0.22998729351969505</v>
          </cell>
          <cell r="AT334">
            <v>0.26572528883183566</v>
          </cell>
          <cell r="AU334">
            <v>0.25786924939467315</v>
          </cell>
          <cell r="AV334">
            <v>0.22273781902552203</v>
          </cell>
          <cell r="AW334">
            <v>0.243700061462815</v>
          </cell>
          <cell r="AX334">
            <v>0.25664739884393062</v>
          </cell>
          <cell r="AY334">
            <v>0.27606635071090052</v>
          </cell>
          <cell r="AZ334">
            <v>0.29657794676806087</v>
          </cell>
          <cell r="BA334">
            <v>0.22</v>
          </cell>
          <cell r="BB334">
            <v>0.26185648187892041</v>
          </cell>
          <cell r="BC334">
            <v>0.25</v>
          </cell>
          <cell r="BD334">
            <v>0.26</v>
          </cell>
          <cell r="BZ334" t="str">
            <v>Insurance</v>
          </cell>
          <cell r="CH334">
            <v>0.27906976744186046</v>
          </cell>
          <cell r="CI334">
            <v>0.29836176895000421</v>
          </cell>
          <cell r="CJ334">
            <v>0.29114334041098361</v>
          </cell>
          <cell r="CK334">
            <v>0.27</v>
          </cell>
          <cell r="CL334">
            <v>0.25658914728682169</v>
          </cell>
          <cell r="CM334">
            <v>0.2458662832494608</v>
          </cell>
          <cell r="CN334">
            <v>0.24788063750423872</v>
          </cell>
          <cell r="CO334">
            <v>0.243700061462815</v>
          </cell>
          <cell r="CP334">
            <v>0.26185648187892041</v>
          </cell>
        </row>
        <row r="335">
          <cell r="A335" t="str">
            <v>Managed Investments</v>
          </cell>
          <cell r="N335">
            <v>5.4263565891472867E-2</v>
          </cell>
          <cell r="S335">
            <v>5.9714795008912656E-2</v>
          </cell>
          <cell r="X335">
            <v>6.3266995357541309E-2</v>
          </cell>
          <cell r="AC335">
            <v>0.06</v>
          </cell>
          <cell r="AD335">
            <v>6.4056939501779361E-2</v>
          </cell>
          <cell r="AE335">
            <v>5.2160953800298067E-2</v>
          </cell>
          <cell r="AF335">
            <v>6.3694267515923567E-2</v>
          </cell>
          <cell r="AG335">
            <v>7.0931849791376914E-2</v>
          </cell>
          <cell r="AH335">
            <v>6.2790697674418597E-2</v>
          </cell>
          <cell r="AI335">
            <v>7.1052631578947367E-2</v>
          </cell>
          <cell r="AJ335">
            <v>6.9730586370839939E-2</v>
          </cell>
          <cell r="AK335">
            <v>5.0340136054421773E-2</v>
          </cell>
          <cell r="AL335">
            <v>6.0975609756097567E-2</v>
          </cell>
          <cell r="AM335">
            <v>6.2904385334291865E-2</v>
          </cell>
          <cell r="AN335">
            <v>4.6753246753246755E-2</v>
          </cell>
          <cell r="AO335">
            <v>7.8580481622306714E-2</v>
          </cell>
          <cell r="AP335">
            <v>4.7156726768377247E-2</v>
          </cell>
          <cell r="AQ335">
            <v>5.6801195814648736E-2</v>
          </cell>
          <cell r="AR335">
            <v>5.7646659884706686E-2</v>
          </cell>
          <cell r="AS335">
            <v>5.9720457433290977E-2</v>
          </cell>
          <cell r="AT335">
            <v>6.9319640564826701E-2</v>
          </cell>
          <cell r="AU335">
            <v>5.569007263922518E-2</v>
          </cell>
          <cell r="AV335">
            <v>4.5243619489559163E-2</v>
          </cell>
          <cell r="AW335">
            <v>5.7160417947141988E-2</v>
          </cell>
          <cell r="AX335">
            <v>4.5086705202312137E-2</v>
          </cell>
          <cell r="AY335">
            <v>4.2654028436018961E-2</v>
          </cell>
          <cell r="AZ335">
            <v>3.9290240811153364E-2</v>
          </cell>
          <cell r="BA335">
            <v>0.06</v>
          </cell>
          <cell r="BB335">
            <v>4.7168387056667781E-2</v>
          </cell>
          <cell r="BC335">
            <v>0.08</v>
          </cell>
          <cell r="BD335">
            <v>0.05</v>
          </cell>
          <cell r="BZ335" t="str">
            <v>Managed Investments</v>
          </cell>
          <cell r="CH335">
            <v>5.4263565891472867E-2</v>
          </cell>
          <cell r="CI335">
            <v>5.9714795008912656E-2</v>
          </cell>
          <cell r="CJ335">
            <v>6.3266995357541309E-2</v>
          </cell>
          <cell r="CK335">
            <v>0.06</v>
          </cell>
          <cell r="CL335">
            <v>6.2790697674418597E-2</v>
          </cell>
          <cell r="CM335">
            <v>6.2904385334291865E-2</v>
          </cell>
          <cell r="CN335">
            <v>5.7646659884706686E-2</v>
          </cell>
          <cell r="CO335">
            <v>5.7160417947141988E-2</v>
          </cell>
          <cell r="CP335">
            <v>4.7168387056667781E-2</v>
          </cell>
        </row>
        <row r="336">
          <cell r="A336" t="str">
            <v>Total</v>
          </cell>
          <cell r="N336">
            <v>0.99999999999999989</v>
          </cell>
          <cell r="S336">
            <v>0.99999999999999989</v>
          </cell>
          <cell r="X336">
            <v>1.0000000000000002</v>
          </cell>
          <cell r="AC336">
            <v>1</v>
          </cell>
          <cell r="AD336">
            <v>1</v>
          </cell>
          <cell r="AE336">
            <v>1.0000000000000002</v>
          </cell>
          <cell r="AF336">
            <v>1</v>
          </cell>
          <cell r="AG336">
            <v>1.0000000000000002</v>
          </cell>
          <cell r="AH336">
            <v>1</v>
          </cell>
          <cell r="AI336">
            <v>1</v>
          </cell>
          <cell r="AJ336">
            <v>1</v>
          </cell>
          <cell r="AK336">
            <v>1</v>
          </cell>
          <cell r="AL336">
            <v>1.0000000000000002</v>
          </cell>
          <cell r="AM336">
            <v>0.99999999999999989</v>
          </cell>
          <cell r="AN336">
            <v>1</v>
          </cell>
          <cell r="AO336">
            <v>0.99999999999999989</v>
          </cell>
          <cell r="AP336">
            <v>0.99999999999999989</v>
          </cell>
          <cell r="AQ336">
            <v>1.0000000000000002</v>
          </cell>
          <cell r="AR336">
            <v>1</v>
          </cell>
          <cell r="AS336">
            <v>1</v>
          </cell>
          <cell r="AT336">
            <v>0.99999999999999978</v>
          </cell>
          <cell r="AU336">
            <v>1</v>
          </cell>
          <cell r="AV336">
            <v>1</v>
          </cell>
          <cell r="AW336">
            <v>1</v>
          </cell>
          <cell r="AX336">
            <v>1</v>
          </cell>
          <cell r="AY336">
            <v>1.0000000000000002</v>
          </cell>
          <cell r="AZ336">
            <v>1</v>
          </cell>
          <cell r="BA336">
            <v>0.99</v>
          </cell>
          <cell r="BB336">
            <v>0.99999999999999989</v>
          </cell>
          <cell r="BC336">
            <v>1</v>
          </cell>
          <cell r="BD336">
            <v>1</v>
          </cell>
          <cell r="BZ336" t="str">
            <v>Total</v>
          </cell>
          <cell r="CH336">
            <v>0.99999999999999989</v>
          </cell>
          <cell r="CI336">
            <v>0.99999999999999989</v>
          </cell>
          <cell r="CJ336">
            <v>1.0000000000000002</v>
          </cell>
          <cell r="CK336">
            <v>1</v>
          </cell>
          <cell r="CL336">
            <v>1</v>
          </cell>
          <cell r="CM336">
            <v>0.99999999999999989</v>
          </cell>
          <cell r="CN336">
            <v>1</v>
          </cell>
          <cell r="CO336">
            <v>1</v>
          </cell>
          <cell r="CP336">
            <v>0.99999999999999989</v>
          </cell>
        </row>
        <row r="338">
          <cell r="A338" t="str">
            <v>Public, Project and Infrastructure</v>
          </cell>
          <cell r="BZ338" t="str">
            <v>Public, Project and Infrastructure</v>
          </cell>
        </row>
        <row r="339">
          <cell r="A339" t="str">
            <v>Public Finance</v>
          </cell>
          <cell r="N339">
            <v>0.57657657657657657</v>
          </cell>
          <cell r="S339">
            <v>0.46297271673864954</v>
          </cell>
          <cell r="X339">
            <v>0.44637149840195528</v>
          </cell>
          <cell r="AC339">
            <v>0.45</v>
          </cell>
          <cell r="AD339">
            <v>0.48865619546247818</v>
          </cell>
          <cell r="AE339">
            <v>0.48599670510708404</v>
          </cell>
          <cell r="AF339">
            <v>0.45454545454545459</v>
          </cell>
          <cell r="AG339">
            <v>0.49013657056145665</v>
          </cell>
          <cell r="AH339">
            <v>0.47983706720977604</v>
          </cell>
          <cell r="AI339">
            <v>0.50897226753670477</v>
          </cell>
          <cell r="AJ339">
            <v>0.51944012441679632</v>
          </cell>
          <cell r="AK339">
            <v>0.50144092219020175</v>
          </cell>
          <cell r="AL339">
            <v>0.50854139290407352</v>
          </cell>
          <cell r="AM339">
            <v>0.50940612320177048</v>
          </cell>
          <cell r="AN339">
            <v>0.46428571428571425</v>
          </cell>
          <cell r="AO339">
            <v>0.46969696969696978</v>
          </cell>
          <cell r="AP339">
            <v>0.50366032210834555</v>
          </cell>
          <cell r="AQ339">
            <v>0.52222222222222225</v>
          </cell>
          <cell r="AR339">
            <v>0.49044356292823654</v>
          </cell>
          <cell r="AS339">
            <v>0.49747474747474751</v>
          </cell>
          <cell r="AT339">
            <v>0.53760789149198529</v>
          </cell>
          <cell r="AU339">
            <v>0.4948051948051948</v>
          </cell>
          <cell r="AV339">
            <v>0.47245017584994137</v>
          </cell>
          <cell r="AW339">
            <v>0.50030998140111582</v>
          </cell>
          <cell r="AX339">
            <v>0.50658682634730534</v>
          </cell>
          <cell r="AY339">
            <v>0.47033441208198495</v>
          </cell>
          <cell r="AZ339">
            <v>0.44135429262394194</v>
          </cell>
          <cell r="BA339">
            <v>0.43</v>
          </cell>
          <cell r="BB339">
            <v>0.4624340949033392</v>
          </cell>
          <cell r="BC339">
            <v>0.46</v>
          </cell>
          <cell r="BD339">
            <v>0.41</v>
          </cell>
          <cell r="BZ339" t="str">
            <v>Public Finance</v>
          </cell>
          <cell r="CH339">
            <v>0.57657657657657657</v>
          </cell>
          <cell r="CI339">
            <v>0.46297271673864954</v>
          </cell>
          <cell r="CJ339">
            <v>0.44637149840195528</v>
          </cell>
          <cell r="CK339">
            <v>0.45</v>
          </cell>
          <cell r="CL339">
            <v>0.47983706720977604</v>
          </cell>
          <cell r="CM339">
            <v>0.50940612320177048</v>
          </cell>
          <cell r="CN339">
            <v>0.49044356292823654</v>
          </cell>
          <cell r="CO339">
            <v>0.50030998140111582</v>
          </cell>
          <cell r="CP339">
            <v>0.4624340949033392</v>
          </cell>
        </row>
        <row r="340">
          <cell r="A340" t="str">
            <v>Municipal Structured Products</v>
          </cell>
          <cell r="N340">
            <v>0.14414414414414414</v>
          </cell>
          <cell r="S340">
            <v>0.14800379226798693</v>
          </cell>
          <cell r="X340">
            <v>0.14048693363414178</v>
          </cell>
          <cell r="AC340">
            <v>0.17</v>
          </cell>
          <cell r="AD340">
            <v>0.10645724258289703</v>
          </cell>
          <cell r="AE340">
            <v>8.7314662273476118E-2</v>
          </cell>
          <cell r="AF340">
            <v>9.5779220779220797E-2</v>
          </cell>
          <cell r="AG340">
            <v>9.4081942336874044E-2</v>
          </cell>
          <cell r="AH340">
            <v>9.5723014256619138E-2</v>
          </cell>
          <cell r="AI340">
            <v>7.9934747145187612E-2</v>
          </cell>
          <cell r="AJ340">
            <v>7.9315707620528766E-2</v>
          </cell>
          <cell r="AK340">
            <v>7.636887608069165E-2</v>
          </cell>
          <cell r="AL340">
            <v>6.8331143232588695E-2</v>
          </cell>
          <cell r="AM340">
            <v>7.5617853190704534E-2</v>
          </cell>
          <cell r="AN340">
            <v>6.9875776397515521E-2</v>
          </cell>
          <cell r="AO340">
            <v>6.8870523415977963E-2</v>
          </cell>
          <cell r="AP340">
            <v>7.1742313323572476E-2</v>
          </cell>
          <cell r="AQ340">
            <v>8.3333333333333329E-2</v>
          </cell>
          <cell r="AR340">
            <v>7.356653443923547E-2</v>
          </cell>
          <cell r="AS340">
            <v>6.0606060606060615E-2</v>
          </cell>
          <cell r="AT340">
            <v>6.2885326757090007E-2</v>
          </cell>
          <cell r="AU340">
            <v>5.7142857142857148E-2</v>
          </cell>
          <cell r="AV340">
            <v>5.8616647127784291E-2</v>
          </cell>
          <cell r="AW340">
            <v>5.9826410415375064E-2</v>
          </cell>
          <cell r="AX340">
            <v>4.9101796407185622E-2</v>
          </cell>
          <cell r="AY340">
            <v>4.6386192017259985E-2</v>
          </cell>
          <cell r="AZ340">
            <v>4.9576783555018135E-2</v>
          </cell>
          <cell r="BA340">
            <v>0.05</v>
          </cell>
          <cell r="BB340">
            <v>4.8696543643819562E-2</v>
          </cell>
          <cell r="BC340">
            <v>0.05</v>
          </cell>
          <cell r="BD340">
            <v>0.04</v>
          </cell>
          <cell r="BZ340" t="str">
            <v>Municipal Structured Products</v>
          </cell>
          <cell r="CH340">
            <v>0.14414414414414414</v>
          </cell>
          <cell r="CI340">
            <v>0.14800379226798693</v>
          </cell>
          <cell r="CJ340">
            <v>0.14048693363414178</v>
          </cell>
          <cell r="CK340">
            <v>0.17</v>
          </cell>
          <cell r="CL340">
            <v>9.5723014256619138E-2</v>
          </cell>
          <cell r="CM340">
            <v>7.5617853190704534E-2</v>
          </cell>
          <cell r="CN340">
            <v>7.356653443923547E-2</v>
          </cell>
          <cell r="CO340">
            <v>5.9826410415375064E-2</v>
          </cell>
          <cell r="CP340">
            <v>4.8696543643819562E-2</v>
          </cell>
        </row>
        <row r="341">
          <cell r="A341" t="str">
            <v>Project &amp; Infrastructure Finance</v>
          </cell>
          <cell r="N341">
            <v>0.27927927927927931</v>
          </cell>
          <cell r="S341">
            <v>0.38902349099336347</v>
          </cell>
          <cell r="X341">
            <v>0.41314156796390306</v>
          </cell>
          <cell r="AC341">
            <v>0.38</v>
          </cell>
          <cell r="AD341">
            <v>0.4048865619546248</v>
          </cell>
          <cell r="AE341">
            <v>0.4266886326194399</v>
          </cell>
          <cell r="AF341">
            <v>0.44967532467532473</v>
          </cell>
          <cell r="AG341">
            <v>0.41578148710166912</v>
          </cell>
          <cell r="AH341">
            <v>0.42443991853360491</v>
          </cell>
          <cell r="AI341">
            <v>0.41109298531810767</v>
          </cell>
          <cell r="AJ341">
            <v>0.40124416796267498</v>
          </cell>
          <cell r="AK341">
            <v>0.42219020172910671</v>
          </cell>
          <cell r="AL341">
            <v>0.42312746386333772</v>
          </cell>
          <cell r="AM341">
            <v>0.41497602360752489</v>
          </cell>
          <cell r="AN341">
            <v>0.46583850931677012</v>
          </cell>
          <cell r="AO341">
            <v>0.4614325068870524</v>
          </cell>
          <cell r="AP341">
            <v>0.424597364568082</v>
          </cell>
          <cell r="AQ341">
            <v>0.39444444444444443</v>
          </cell>
          <cell r="AR341">
            <v>0.43598990263252796</v>
          </cell>
          <cell r="AS341">
            <v>0.44191919191919199</v>
          </cell>
          <cell r="AT341">
            <v>0.3995067817509248</v>
          </cell>
          <cell r="AU341">
            <v>0.44805194805194803</v>
          </cell>
          <cell r="AV341">
            <v>0.46893317702227433</v>
          </cell>
          <cell r="AW341">
            <v>0.439863608183509</v>
          </cell>
          <cell r="AX341">
            <v>0.44431137724550901</v>
          </cell>
          <cell r="AY341">
            <v>0.48327939590075514</v>
          </cell>
          <cell r="AZ341">
            <v>0.50906892382103985</v>
          </cell>
          <cell r="BA341">
            <v>0.52</v>
          </cell>
          <cell r="BB341">
            <v>0.48886936145284121</v>
          </cell>
          <cell r="BC341">
            <v>0.49</v>
          </cell>
          <cell r="BD341">
            <v>0.55000000000000004</v>
          </cell>
          <cell r="BZ341" t="str">
            <v>Project &amp; Infrastructure Finance</v>
          </cell>
          <cell r="CH341">
            <v>0.27927927927927931</v>
          </cell>
          <cell r="CI341">
            <v>0.38902349099336347</v>
          </cell>
          <cell r="CJ341">
            <v>0.41314156796390306</v>
          </cell>
          <cell r="CK341">
            <v>0.38</v>
          </cell>
          <cell r="CL341">
            <v>0.42443991853360491</v>
          </cell>
          <cell r="CM341">
            <v>0.41497602360752489</v>
          </cell>
          <cell r="CN341">
            <v>0.43598990263252796</v>
          </cell>
          <cell r="CO341">
            <v>0.439863608183509</v>
          </cell>
          <cell r="CP341">
            <v>0.48886936145284121</v>
          </cell>
        </row>
        <row r="342">
          <cell r="A342" t="str">
            <v>Total</v>
          </cell>
          <cell r="N342">
            <v>1</v>
          </cell>
          <cell r="S342">
            <v>1</v>
          </cell>
          <cell r="X342">
            <v>1</v>
          </cell>
          <cell r="AC342">
            <v>1</v>
          </cell>
          <cell r="AD342">
            <v>1</v>
          </cell>
          <cell r="AE342">
            <v>1</v>
          </cell>
          <cell r="AF342">
            <v>1</v>
          </cell>
          <cell r="AG342">
            <v>0.99999999999999978</v>
          </cell>
          <cell r="AH342">
            <v>1</v>
          </cell>
          <cell r="AI342">
            <v>1</v>
          </cell>
          <cell r="AJ342">
            <v>1</v>
          </cell>
          <cell r="AK342">
            <v>1</v>
          </cell>
          <cell r="AL342">
            <v>1</v>
          </cell>
          <cell r="AM342">
            <v>1</v>
          </cell>
          <cell r="AN342">
            <v>0.99999999999999978</v>
          </cell>
          <cell r="AO342">
            <v>1</v>
          </cell>
          <cell r="AP342">
            <v>1</v>
          </cell>
          <cell r="AQ342">
            <v>1</v>
          </cell>
          <cell r="AR342">
            <v>1</v>
          </cell>
          <cell r="AS342">
            <v>1.0000000000000002</v>
          </cell>
          <cell r="AT342">
            <v>1</v>
          </cell>
          <cell r="AU342">
            <v>1</v>
          </cell>
          <cell r="AV342">
            <v>1</v>
          </cell>
          <cell r="AW342">
            <v>0.99999999999999989</v>
          </cell>
          <cell r="AX342">
            <v>1</v>
          </cell>
          <cell r="AY342">
            <v>1</v>
          </cell>
          <cell r="AZ342">
            <v>1</v>
          </cell>
          <cell r="BA342">
            <v>1</v>
          </cell>
          <cell r="BB342">
            <v>1</v>
          </cell>
          <cell r="BC342">
            <v>1</v>
          </cell>
          <cell r="BD342">
            <v>1</v>
          </cell>
          <cell r="BZ342" t="str">
            <v>Total</v>
          </cell>
          <cell r="CH342">
            <v>1</v>
          </cell>
          <cell r="CI342">
            <v>1</v>
          </cell>
          <cell r="CJ342">
            <v>1</v>
          </cell>
          <cell r="CK342">
            <v>1</v>
          </cell>
          <cell r="CL342">
            <v>1</v>
          </cell>
          <cell r="CM342">
            <v>1</v>
          </cell>
          <cell r="CN342">
            <v>1</v>
          </cell>
          <cell r="CO342">
            <v>0.99999999999999989</v>
          </cell>
          <cell r="CP342">
            <v>1</v>
          </cell>
        </row>
        <row r="344">
          <cell r="A344" t="str">
            <v>Revenue Mix (YoY growth rate)</v>
          </cell>
          <cell r="BZ344" t="str">
            <v>Revenue Mix (YoY growth rate)</v>
          </cell>
        </row>
        <row r="346">
          <cell r="A346" t="str">
            <v>Corporate Finance</v>
          </cell>
          <cell r="BZ346" t="str">
            <v>Corporate Finance</v>
          </cell>
        </row>
        <row r="347">
          <cell r="A347" t="str">
            <v>Other - including monitoring, CP, MTNs</v>
          </cell>
          <cell r="S347">
            <v>0.12494537037037046</v>
          </cell>
          <cell r="X347">
            <v>0.18521352065655861</v>
          </cell>
          <cell r="AC347">
            <v>4.4891731705885674E-2</v>
          </cell>
          <cell r="AH347">
            <v>-3.3696506795444225E-4</v>
          </cell>
          <cell r="AI347">
            <v>0.23940149625935159</v>
          </cell>
          <cell r="AJ347">
            <v>0.27166276346604201</v>
          </cell>
          <cell r="AK347">
            <v>0.16594827586206895</v>
          </cell>
          <cell r="AL347">
            <v>0.19057377049180335</v>
          </cell>
          <cell r="AM347">
            <v>0.21460674157303372</v>
          </cell>
          <cell r="AN347">
            <v>0.32796780684104609</v>
          </cell>
          <cell r="AO347">
            <v>0.3572744014732967</v>
          </cell>
          <cell r="AP347">
            <v>0.22365988909426981</v>
          </cell>
          <cell r="AQ347">
            <v>0.19449225473321863</v>
          </cell>
          <cell r="AR347">
            <v>0.2733580018501387</v>
          </cell>
          <cell r="AS347">
            <v>6.0606060606060552E-2</v>
          </cell>
          <cell r="AT347">
            <v>0.11940298507462677</v>
          </cell>
          <cell r="AU347">
            <v>0.16767371601208447</v>
          </cell>
          <cell r="AV347">
            <v>0.18731988472622474</v>
          </cell>
          <cell r="AW347">
            <v>0.13403559752996763</v>
          </cell>
          <cell r="AX347">
            <v>0.17714285714285727</v>
          </cell>
          <cell r="AY347">
            <v>0.12606060606060621</v>
          </cell>
          <cell r="AZ347">
            <v>0.26002587322121617</v>
          </cell>
          <cell r="BA347">
            <v>8.9344660194174752E-2</v>
          </cell>
          <cell r="BB347">
            <v>0.16099295323510576</v>
          </cell>
          <cell r="BC347">
            <v>0.18723300970873757</v>
          </cell>
          <cell r="BD347">
            <v>0.10536060279870818</v>
          </cell>
          <cell r="BZ347" t="str">
            <v>Other - including monitoring, CP, MTNs</v>
          </cell>
          <cell r="CI347">
            <v>0.12494537037037046</v>
          </cell>
          <cell r="CJ347">
            <v>0.18521352065655861</v>
          </cell>
          <cell r="CK347">
            <v>4.4891731705885674E-2</v>
          </cell>
          <cell r="CL347">
            <v>-3.3696506795444225E-4</v>
          </cell>
          <cell r="CM347">
            <v>0.21460674157303372</v>
          </cell>
          <cell r="CN347">
            <v>0.2733580018501387</v>
          </cell>
          <cell r="CO347">
            <v>0.13403559752996763</v>
          </cell>
          <cell r="CP347">
            <v>0.16099295323510576</v>
          </cell>
        </row>
        <row r="348">
          <cell r="A348" t="str">
            <v>Investment Grade</v>
          </cell>
          <cell r="S348">
            <v>0.24989583333333343</v>
          </cell>
          <cell r="X348">
            <v>0.30009389671361508</v>
          </cell>
          <cell r="AC348">
            <v>-6.8756319514661324E-2</v>
          </cell>
          <cell r="AH348">
            <v>0.83961532495734481</v>
          </cell>
          <cell r="AI348">
            <v>-0.300561797752809</v>
          </cell>
          <cell r="AJ348">
            <v>-0.37308868501529058</v>
          </cell>
          <cell r="AK348">
            <v>8.8028169014084501E-2</v>
          </cell>
          <cell r="AL348">
            <v>0.51141552511415544</v>
          </cell>
          <cell r="AM348">
            <v>-7.7571669477234484E-2</v>
          </cell>
          <cell r="AN348">
            <v>0.46586345381526106</v>
          </cell>
          <cell r="AO348">
            <v>0.83902439024390252</v>
          </cell>
          <cell r="AP348">
            <v>-0.12944983818770228</v>
          </cell>
          <cell r="AQ348">
            <v>8.7613293051359564E-2</v>
          </cell>
          <cell r="AR348">
            <v>0.25319926873857401</v>
          </cell>
          <cell r="AS348">
            <v>0.21095890410958917</v>
          </cell>
          <cell r="AT348">
            <v>0.10875331564986723</v>
          </cell>
          <cell r="AU348">
            <v>1.037174721189591</v>
          </cell>
          <cell r="AV348">
            <v>0.55833333333333335</v>
          </cell>
          <cell r="AW348">
            <v>0.43617797228300526</v>
          </cell>
          <cell r="AX348">
            <v>6.7873303167420573E-3</v>
          </cell>
          <cell r="AY348">
            <v>0.43301435406698574</v>
          </cell>
          <cell r="AZ348">
            <v>-0.39051094890510951</v>
          </cell>
          <cell r="BA348">
            <v>-5.3832442067734965E-3</v>
          </cell>
          <cell r="BB348">
            <v>-1.6769933976637841E-2</v>
          </cell>
          <cell r="BC348">
            <v>6.9483146067415458E-2</v>
          </cell>
          <cell r="BD348">
            <v>7.1452420701168418E-2</v>
          </cell>
          <cell r="BZ348" t="str">
            <v>Investment Grade</v>
          </cell>
          <cell r="CI348">
            <v>0.24989583333333343</v>
          </cell>
          <cell r="CJ348">
            <v>0.30009389671361508</v>
          </cell>
          <cell r="CK348">
            <v>-6.8756319514661324E-2</v>
          </cell>
          <cell r="CL348">
            <v>0.83961532495734481</v>
          </cell>
          <cell r="CM348">
            <v>-7.7571669477234484E-2</v>
          </cell>
          <cell r="CN348">
            <v>0.25319926873857401</v>
          </cell>
          <cell r="CO348">
            <v>0.43617797228300526</v>
          </cell>
          <cell r="CP348">
            <v>-1.6769933976637841E-2</v>
          </cell>
        </row>
        <row r="349">
          <cell r="A349" t="str">
            <v>Speculative Grade</v>
          </cell>
          <cell r="S349">
            <v>0.19989999999999997</v>
          </cell>
          <cell r="X349">
            <v>8.3411580594679346E-2</v>
          </cell>
          <cell r="AC349">
            <v>-0.60089556550628342</v>
          </cell>
          <cell r="AH349">
            <v>2.0329352153456388</v>
          </cell>
          <cell r="AI349">
            <v>5.0000000000000009</v>
          </cell>
          <cell r="AJ349">
            <v>7.3929961089494345E-2</v>
          </cell>
          <cell r="AK349">
            <v>0.98445595854922252</v>
          </cell>
          <cell r="AL349">
            <v>0.3012048192771084</v>
          </cell>
          <cell r="AM349">
            <v>0.70286396181384236</v>
          </cell>
          <cell r="AN349">
            <v>0.33035714285714279</v>
          </cell>
          <cell r="AO349">
            <v>0.63405797101449268</v>
          </cell>
          <cell r="AP349">
            <v>-0.60835509138381205</v>
          </cell>
          <cell r="AQ349">
            <v>-0.65046296296296302</v>
          </cell>
          <cell r="AR349">
            <v>-0.15977575332866145</v>
          </cell>
          <cell r="AS349">
            <v>0.15436241610738244</v>
          </cell>
          <cell r="AT349">
            <v>-0.29268292682926833</v>
          </cell>
          <cell r="AU349">
            <v>2.4733333333333336</v>
          </cell>
          <cell r="AV349">
            <v>2.8410596026490067</v>
          </cell>
          <cell r="AW349">
            <v>0.61467889908256867</v>
          </cell>
          <cell r="AX349">
            <v>0.46511627906976738</v>
          </cell>
          <cell r="AY349">
            <v>0.78683385579937304</v>
          </cell>
          <cell r="AZ349">
            <v>-0.10940499040307106</v>
          </cell>
          <cell r="BA349">
            <v>-0.12162068965517236</v>
          </cell>
          <cell r="BB349">
            <v>0.18773760330578515</v>
          </cell>
          <cell r="BC349">
            <v>-0.30052910052910053</v>
          </cell>
          <cell r="BD349">
            <v>0.35115789473684189</v>
          </cell>
          <cell r="BZ349" t="str">
            <v>Speculative Grade</v>
          </cell>
          <cell r="CI349">
            <v>0.19989999999999997</v>
          </cell>
          <cell r="CJ349">
            <v>8.3411580594679346E-2</v>
          </cell>
          <cell r="CK349">
            <v>-0.60089556550628342</v>
          </cell>
          <cell r="CL349">
            <v>2.0329352153456388</v>
          </cell>
          <cell r="CM349">
            <v>0.70286396181384236</v>
          </cell>
          <cell r="CN349">
            <v>-0.15977575332866145</v>
          </cell>
          <cell r="CO349">
            <v>0.61467889908256867</v>
          </cell>
          <cell r="CP349">
            <v>0.18773760330578515</v>
          </cell>
        </row>
        <row r="350">
          <cell r="A350" t="str">
            <v>Bank Loans</v>
          </cell>
          <cell r="S350">
            <v>0.39988333333333337</v>
          </cell>
          <cell r="X350">
            <v>0.4285714285714286</v>
          </cell>
          <cell r="AC350">
            <v>-0.65408450704225363</v>
          </cell>
          <cell r="AH350">
            <v>-0.24267100977198686</v>
          </cell>
          <cell r="AI350">
            <v>5.5</v>
          </cell>
          <cell r="AJ350">
            <v>2.9230769230769229</v>
          </cell>
          <cell r="AK350">
            <v>1.945205479452055</v>
          </cell>
          <cell r="AL350">
            <v>1.6814159292035398</v>
          </cell>
          <cell r="AM350">
            <v>2.4229390681003582</v>
          </cell>
          <cell r="AN350">
            <v>0.90109890109890123</v>
          </cell>
          <cell r="AO350">
            <v>0.70980392156862759</v>
          </cell>
          <cell r="AP350">
            <v>-2.7906976744186074E-2</v>
          </cell>
          <cell r="AQ350">
            <v>-0.31683168316831689</v>
          </cell>
          <cell r="AR350">
            <v>0.25445026178010477</v>
          </cell>
          <cell r="AS350">
            <v>2.8901734104047616E-3</v>
          </cell>
          <cell r="AT350">
            <v>-0.19036697247706436</v>
          </cell>
          <cell r="AU350">
            <v>0.74641148325358864</v>
          </cell>
          <cell r="AV350">
            <v>1.3381642512077296</v>
          </cell>
          <cell r="AW350">
            <v>0.29298831385642754</v>
          </cell>
          <cell r="AX350">
            <v>0.60806916426512947</v>
          </cell>
          <cell r="AY350">
            <v>0.50424929178470279</v>
          </cell>
          <cell r="AZ350">
            <v>0.52876712328767117</v>
          </cell>
          <cell r="BA350">
            <v>-4.7644628099173247E-2</v>
          </cell>
          <cell r="BB350">
            <v>0.36083925112976112</v>
          </cell>
          <cell r="BC350">
            <v>0.18458781362007159</v>
          </cell>
          <cell r="BD350">
            <v>0.45039548022598841</v>
          </cell>
          <cell r="BZ350" t="str">
            <v>Bank Loans</v>
          </cell>
          <cell r="CI350">
            <v>0.39988333333333337</v>
          </cell>
          <cell r="CJ350">
            <v>0.4285714285714286</v>
          </cell>
          <cell r="CK350">
            <v>-0.65408450704225363</v>
          </cell>
          <cell r="CL350">
            <v>-0.24267100977198686</v>
          </cell>
          <cell r="CM350">
            <v>2.4229390681003582</v>
          </cell>
          <cell r="CN350">
            <v>0.25445026178010477</v>
          </cell>
          <cell r="CO350">
            <v>0.29298831385642754</v>
          </cell>
          <cell r="CP350">
            <v>0.36083925112976112</v>
          </cell>
        </row>
        <row r="352">
          <cell r="A352" t="str">
            <v xml:space="preserve">Structured Finance </v>
          </cell>
          <cell r="BZ352" t="str">
            <v xml:space="preserve">Structured Finance </v>
          </cell>
        </row>
        <row r="353">
          <cell r="A353" t="str">
            <v>ABS</v>
          </cell>
          <cell r="S353">
            <v>6.2416666666666565E-2</v>
          </cell>
          <cell r="X353">
            <v>-0.23528708133971288</v>
          </cell>
          <cell r="AC353">
            <v>4.4509619896762276E-2</v>
          </cell>
          <cell r="AH353">
            <v>-0.24598093612178129</v>
          </cell>
          <cell r="AI353">
            <v>3.6036036036036112E-2</v>
          </cell>
          <cell r="AJ353">
            <v>-9.8814229249011842E-2</v>
          </cell>
          <cell r="AK353">
            <v>-0.14444444444444438</v>
          </cell>
          <cell r="AL353">
            <v>-0.15648854961832048</v>
          </cell>
          <cell r="AM353">
            <v>-9.6325719960278056E-2</v>
          </cell>
          <cell r="AN353">
            <v>0.16086956521739126</v>
          </cell>
          <cell r="AO353">
            <v>0.22807017543859653</v>
          </cell>
          <cell r="AP353">
            <v>1.298701298701288E-2</v>
          </cell>
          <cell r="AQ353">
            <v>0.32579185520361986</v>
          </cell>
          <cell r="AR353">
            <v>0.18021978021978002</v>
          </cell>
          <cell r="AS353">
            <v>7.4906367041198685E-3</v>
          </cell>
          <cell r="AT353">
            <v>4.2857142857142927E-2</v>
          </cell>
          <cell r="AU353">
            <v>9.8290598290598385E-2</v>
          </cell>
          <cell r="AV353">
            <v>-3.7542662116040959E-2</v>
          </cell>
          <cell r="AW353">
            <v>2.420856610800759E-2</v>
          </cell>
          <cell r="AX353">
            <v>-0.12267657992565051</v>
          </cell>
          <cell r="AY353">
            <v>-0.12671232876712324</v>
          </cell>
          <cell r="AZ353">
            <v>-0.17509727626459148</v>
          </cell>
          <cell r="BA353">
            <v>-3.5460992907801248E-2</v>
          </cell>
          <cell r="BB353">
            <v>-0.11363636363636365</v>
          </cell>
          <cell r="BC353">
            <v>-3.0847457627118713E-2</v>
          </cell>
          <cell r="BD353">
            <v>-4.5803921568627559E-2</v>
          </cell>
          <cell r="BZ353" t="str">
            <v>ABS</v>
          </cell>
          <cell r="CI353">
            <v>6.2416666666666565E-2</v>
          </cell>
          <cell r="CJ353">
            <v>-0.23528708133971288</v>
          </cell>
          <cell r="CK353">
            <v>4.4509619896762276E-2</v>
          </cell>
          <cell r="CL353">
            <v>-0.24598093612178129</v>
          </cell>
          <cell r="CM353">
            <v>-9.6325719960278056E-2</v>
          </cell>
          <cell r="CN353">
            <v>0.18021978021978002</v>
          </cell>
          <cell r="CO353">
            <v>2.420856610800759E-2</v>
          </cell>
          <cell r="CP353">
            <v>-0.11363636363636365</v>
          </cell>
        </row>
        <row r="354">
          <cell r="A354" t="str">
            <v>RMBS</v>
          </cell>
          <cell r="S354">
            <v>7.1373015873015921E-2</v>
          </cell>
          <cell r="X354">
            <v>0</v>
          </cell>
          <cell r="AC354">
            <v>-0.6708269317668325</v>
          </cell>
          <cell r="AH354">
            <v>-0.19830876094775263</v>
          </cell>
          <cell r="AI354">
            <v>7.5187969924812137E-2</v>
          </cell>
          <cell r="AJ354">
            <v>0.11267605633802824</v>
          </cell>
          <cell r="AK354">
            <v>0.11643835616438358</v>
          </cell>
          <cell r="AL354">
            <v>0.1165644171779141</v>
          </cell>
          <cell r="AM354">
            <v>0.10616438356164393</v>
          </cell>
          <cell r="AN354">
            <v>0.61538461538461542</v>
          </cell>
          <cell r="AO354">
            <v>0.42405063291139244</v>
          </cell>
          <cell r="AP354">
            <v>0.26993865030674846</v>
          </cell>
          <cell r="AQ354">
            <v>0.27472527472527464</v>
          </cell>
          <cell r="AR354">
            <v>0.38544891640866852</v>
          </cell>
          <cell r="AS354">
            <v>8.6580086580085869E-3</v>
          </cell>
          <cell r="AT354">
            <v>-2.2222222222222254E-2</v>
          </cell>
          <cell r="AU354">
            <v>-1.9323671497584516E-2</v>
          </cell>
          <cell r="AV354">
            <v>-0.15517241379310331</v>
          </cell>
          <cell r="AW354">
            <v>-4.8044692737430283E-2</v>
          </cell>
          <cell r="AX354">
            <v>-0.27467811158798294</v>
          </cell>
          <cell r="AY354">
            <v>-0.15000000000000002</v>
          </cell>
          <cell r="AZ354">
            <v>-0.17733990147783263</v>
          </cell>
          <cell r="BA354">
            <v>5.469387755102062E-2</v>
          </cell>
          <cell r="BB354">
            <v>-0.14352112676056317</v>
          </cell>
          <cell r="BC354">
            <v>7.1420118343195282E-2</v>
          </cell>
          <cell r="BD354">
            <v>6.459893048128329E-2</v>
          </cell>
          <cell r="BZ354" t="str">
            <v>RMBS</v>
          </cell>
          <cell r="CI354">
            <v>7.1373015873015921E-2</v>
          </cell>
          <cell r="CJ354">
            <v>0</v>
          </cell>
          <cell r="CK354">
            <v>-0.6708269317668325</v>
          </cell>
          <cell r="CL354">
            <v>-0.19830876094775263</v>
          </cell>
          <cell r="CM354">
            <v>0.10616438356164393</v>
          </cell>
          <cell r="CN354">
            <v>0.38544891640866852</v>
          </cell>
          <cell r="CO354">
            <v>-4.8044692737430283E-2</v>
          </cell>
          <cell r="CP354">
            <v>-0.14352112676056317</v>
          </cell>
        </row>
        <row r="355">
          <cell r="A355" t="str">
            <v>CREF</v>
          </cell>
          <cell r="S355">
            <v>0.3213761904761907</v>
          </cell>
          <cell r="X355">
            <v>-2.7038909650472731E-2</v>
          </cell>
          <cell r="AC355">
            <v>-0.67997062810664255</v>
          </cell>
          <cell r="AH355">
            <v>-0.18634614705778529</v>
          </cell>
          <cell r="AI355">
            <v>0.14018691588785037</v>
          </cell>
          <cell r="AJ355">
            <v>0.33673469387755084</v>
          </cell>
          <cell r="AK355">
            <v>-0.10769230769230775</v>
          </cell>
          <cell r="AL355">
            <v>0.23015873015873023</v>
          </cell>
          <cell r="AM355">
            <v>0.1366594360086768</v>
          </cell>
          <cell r="AN355">
            <v>0.55737704918032804</v>
          </cell>
          <cell r="AO355">
            <v>0.31297709923664119</v>
          </cell>
          <cell r="AP355">
            <v>0.62068965517241392</v>
          </cell>
          <cell r="AQ355">
            <v>-6.4516129032258118E-2</v>
          </cell>
          <cell r="AR355">
            <v>0.32633587786259555</v>
          </cell>
          <cell r="AS355">
            <v>0.28421052631578947</v>
          </cell>
          <cell r="AT355">
            <v>5.232558139534893E-2</v>
          </cell>
          <cell r="AU355">
            <v>0.25531914893617014</v>
          </cell>
          <cell r="AV355">
            <v>0.99310344827586206</v>
          </cell>
          <cell r="AW355">
            <v>0.36690647482014382</v>
          </cell>
          <cell r="AX355">
            <v>5.3278688524590168E-2</v>
          </cell>
          <cell r="AY355">
            <v>0.69613259668508265</v>
          </cell>
          <cell r="AZ355">
            <v>8.0508474576271194E-2</v>
          </cell>
          <cell r="BA355">
            <v>0.20470588235294129</v>
          </cell>
          <cell r="BB355">
            <v>0.22858947368421068</v>
          </cell>
          <cell r="BC355">
            <v>0.14953307392996118</v>
          </cell>
          <cell r="BD355">
            <v>-2.729641693811069E-2</v>
          </cell>
          <cell r="BZ355" t="str">
            <v>CREF</v>
          </cell>
          <cell r="CI355">
            <v>0.3213761904761907</v>
          </cell>
          <cell r="CJ355">
            <v>-2.7038909650472731E-2</v>
          </cell>
          <cell r="CK355">
            <v>-0.67997062810664255</v>
          </cell>
          <cell r="CL355">
            <v>-0.18634614705778529</v>
          </cell>
          <cell r="CM355">
            <v>0.1366594360086768</v>
          </cell>
          <cell r="CN355">
            <v>0.32633587786259555</v>
          </cell>
          <cell r="CO355">
            <v>0.36690647482014382</v>
          </cell>
          <cell r="CP355">
            <v>0.22858947368421068</v>
          </cell>
        </row>
        <row r="356">
          <cell r="A356" t="str">
            <v>Derivatives</v>
          </cell>
          <cell r="S356">
            <v>0.54990833333333322</v>
          </cell>
          <cell r="X356">
            <v>0.11295506723515913</v>
          </cell>
          <cell r="AC356">
            <v>-0.58258678611422177</v>
          </cell>
          <cell r="AH356">
            <v>-0.29895160436302004</v>
          </cell>
          <cell r="AI356">
            <v>-0.16091954022988519</v>
          </cell>
          <cell r="AJ356">
            <v>-0.15139442231075695</v>
          </cell>
          <cell r="AK356">
            <v>-0.23170731707317083</v>
          </cell>
          <cell r="AL356">
            <v>-0.14468085106382977</v>
          </cell>
          <cell r="AM356">
            <v>-0.17220543806646538</v>
          </cell>
          <cell r="AN356">
            <v>-5.9360730593607136E-2</v>
          </cell>
          <cell r="AO356">
            <v>-0.13145539906103287</v>
          </cell>
          <cell r="AP356">
            <v>5.2910052910053462E-3</v>
          </cell>
          <cell r="AQ356">
            <v>-4.9751243781095411E-3</v>
          </cell>
          <cell r="AR356">
            <v>-4.9878345498783561E-2</v>
          </cell>
          <cell r="AS356">
            <v>-4.8543689320388328E-2</v>
          </cell>
          <cell r="AT356">
            <v>0.16216216216216206</v>
          </cell>
          <cell r="AU356">
            <v>0.23157894736842088</v>
          </cell>
          <cell r="AV356">
            <v>0.31000000000000005</v>
          </cell>
          <cell r="AW356">
            <v>0.16133162612035856</v>
          </cell>
          <cell r="AX356">
            <v>0.36734693877551017</v>
          </cell>
          <cell r="AY356">
            <v>3.7209302325581506E-2</v>
          </cell>
          <cell r="AZ356">
            <v>-0.14102564102564086</v>
          </cell>
          <cell r="BA356">
            <v>-3.3587786259541286E-3</v>
          </cell>
          <cell r="BB356">
            <v>5.0848952590959229E-2</v>
          </cell>
          <cell r="BC356">
            <v>-7.5447761194029961E-2</v>
          </cell>
          <cell r="BD356">
            <v>0.63668161434977555</v>
          </cell>
          <cell r="BZ356" t="str">
            <v>Derivatives</v>
          </cell>
          <cell r="CI356">
            <v>0.54990833333333322</v>
          </cell>
          <cell r="CJ356">
            <v>0.11295506723515913</v>
          </cell>
          <cell r="CK356">
            <v>-0.58258678611422177</v>
          </cell>
          <cell r="CL356">
            <v>-0.29895160436302004</v>
          </cell>
          <cell r="CM356">
            <v>-0.17220543806646538</v>
          </cell>
          <cell r="CN356">
            <v>-4.9878345498783561E-2</v>
          </cell>
          <cell r="CO356">
            <v>0.16133162612035856</v>
          </cell>
          <cell r="CP356">
            <v>5.0848952590959229E-2</v>
          </cell>
        </row>
        <row r="358">
          <cell r="A358" t="str">
            <v>Financial Institutional</v>
          </cell>
          <cell r="BZ358" t="str">
            <v>Financial Institutional</v>
          </cell>
        </row>
        <row r="359">
          <cell r="A359" t="str">
            <v>Banking</v>
          </cell>
          <cell r="S359">
            <v>-4.1528239202670569E-5</v>
          </cell>
          <cell r="X359">
            <v>0.18604958677685945</v>
          </cell>
          <cell r="AC359">
            <v>-1.772674062099322E-2</v>
          </cell>
          <cell r="AH359">
            <v>-3.4617785596732231E-3</v>
          </cell>
          <cell r="AI359">
            <v>0.37532808398950124</v>
          </cell>
          <cell r="AJ359">
            <v>1.1467889908256979E-2</v>
          </cell>
          <cell r="AK359">
            <v>0.18837209302325575</v>
          </cell>
          <cell r="AL359">
            <v>-0.12180746561886047</v>
          </cell>
          <cell r="AM359">
            <v>9.5102505694760975E-2</v>
          </cell>
          <cell r="AN359">
            <v>2.0992366412213803E-2</v>
          </cell>
          <cell r="AO359">
            <v>0.21768707482993199</v>
          </cell>
          <cell r="AP359">
            <v>-1.7612524461839474E-2</v>
          </cell>
          <cell r="AQ359">
            <v>6.0402684563758191E-2</v>
          </cell>
          <cell r="AR359">
            <v>6.5002600104004049E-2</v>
          </cell>
          <cell r="AS359">
            <v>4.4859813084112021E-2</v>
          </cell>
          <cell r="AT359">
            <v>-3.5381750465549477E-2</v>
          </cell>
          <cell r="AU359">
            <v>0.1294820717131473</v>
          </cell>
          <cell r="AV359">
            <v>0.33122362869198319</v>
          </cell>
          <cell r="AW359">
            <v>0.11083984374999978</v>
          </cell>
          <cell r="AX359">
            <v>8.0500894454382799E-2</v>
          </cell>
          <cell r="AY359">
            <v>0.11003861003861015</v>
          </cell>
          <cell r="AZ359">
            <v>-7.5837742504409222E-2</v>
          </cell>
          <cell r="BA359">
            <v>3.011093502376383E-4</v>
          </cell>
          <cell r="BB359">
            <v>2.6017582417582563E-2</v>
          </cell>
          <cell r="BC359">
            <v>-5.2682119205297862E-2</v>
          </cell>
          <cell r="BD359">
            <v>0.10639999999999983</v>
          </cell>
          <cell r="BZ359" t="str">
            <v>Banking</v>
          </cell>
          <cell r="CI359">
            <v>-4.1528239202670569E-5</v>
          </cell>
          <cell r="CJ359">
            <v>0.18604958677685945</v>
          </cell>
          <cell r="CK359">
            <v>-1.772674062099322E-2</v>
          </cell>
          <cell r="CL359">
            <v>-3.4617785596732231E-3</v>
          </cell>
          <cell r="CM359">
            <v>9.5102505694760975E-2</v>
          </cell>
          <cell r="CN359">
            <v>6.5002600104004049E-2</v>
          </cell>
          <cell r="CO359">
            <v>0.11083984374999978</v>
          </cell>
          <cell r="CP359">
            <v>2.6017582417582563E-2</v>
          </cell>
        </row>
        <row r="360">
          <cell r="A360" t="str">
            <v>Insurance</v>
          </cell>
          <cell r="S360">
            <v>0.11029365079365072</v>
          </cell>
          <cell r="X360">
            <v>0.15078236130867717</v>
          </cell>
          <cell r="AC360">
            <v>-0.12224969097651417</v>
          </cell>
          <cell r="AH360">
            <v>-6.7736938459371898E-2</v>
          </cell>
          <cell r="AI360">
            <v>0.25517241379310329</v>
          </cell>
          <cell r="AJ360">
            <v>-0.27</v>
          </cell>
          <cell r="AK360">
            <v>0.18354430379746822</v>
          </cell>
          <cell r="AL360">
            <v>6.2893081761006275E-2</v>
          </cell>
          <cell r="AM360">
            <v>3.3232628398791597E-2</v>
          </cell>
          <cell r="AN360">
            <v>9.3406593406593297E-2</v>
          </cell>
          <cell r="AO360">
            <v>0.30136986301369872</v>
          </cell>
          <cell r="AP360">
            <v>-1.0695187165775333E-2</v>
          </cell>
          <cell r="AQ360">
            <v>-7.1005917159763232E-2</v>
          </cell>
          <cell r="AR360">
            <v>6.8713450292397393E-2</v>
          </cell>
          <cell r="AS360">
            <v>-9.04522613065325E-2</v>
          </cell>
          <cell r="AT360">
            <v>8.9473684210526372E-2</v>
          </cell>
          <cell r="AU360">
            <v>0.15135135135135136</v>
          </cell>
          <cell r="AV360">
            <v>0.22292993630573243</v>
          </cell>
          <cell r="AW360">
            <v>8.4815321477428318E-2</v>
          </cell>
          <cell r="AX360">
            <v>0.22651933701657434</v>
          </cell>
          <cell r="AY360">
            <v>0.12560386473429963</v>
          </cell>
          <cell r="AZ360">
            <v>9.8591549295774517E-2</v>
          </cell>
          <cell r="BA360">
            <v>1.8645833333333472E-2</v>
          </cell>
          <cell r="BB360">
            <v>0.11548549810844899</v>
          </cell>
          <cell r="BC360">
            <v>-3.828828828828823E-2</v>
          </cell>
          <cell r="BD360">
            <v>2.8841201716738318E-2</v>
          </cell>
          <cell r="BZ360" t="str">
            <v>Insurance</v>
          </cell>
          <cell r="CI360">
            <v>0.11029365079365072</v>
          </cell>
          <cell r="CJ360">
            <v>0.15078236130867717</v>
          </cell>
          <cell r="CK360">
            <v>-0.12224969097651417</v>
          </cell>
          <cell r="CL360">
            <v>-6.7736938459371898E-2</v>
          </cell>
          <cell r="CM360">
            <v>3.3232628398791597E-2</v>
          </cell>
          <cell r="CN360">
            <v>6.8713450292397393E-2</v>
          </cell>
          <cell r="CO360">
            <v>8.4815321477428318E-2</v>
          </cell>
          <cell r="CP360">
            <v>0.11548549810844899</v>
          </cell>
        </row>
        <row r="361">
          <cell r="A361" t="str">
            <v>Managed Investments</v>
          </cell>
          <cell r="S361">
            <v>0.14282857142857153</v>
          </cell>
          <cell r="X361">
            <v>0.24946695095948823</v>
          </cell>
          <cell r="AC361">
            <v>-0.10238907849829348</v>
          </cell>
          <cell r="AH361">
            <v>2.6615969581748944E-2</v>
          </cell>
          <cell r="AI361">
            <v>0.5</v>
          </cell>
          <cell r="AJ361">
            <v>0.25714285714285734</v>
          </cell>
          <cell r="AK361">
            <v>-7.4999999999999956E-2</v>
          </cell>
          <cell r="AL361">
            <v>-0.21568627450980382</v>
          </cell>
          <cell r="AM361">
            <v>8.0246913580247048E-2</v>
          </cell>
          <cell r="AN361">
            <v>-0.33333333333333337</v>
          </cell>
          <cell r="AO361">
            <v>0.40909090909090895</v>
          </cell>
          <cell r="AP361">
            <v>-8.1081081081081141E-2</v>
          </cell>
          <cell r="AQ361">
            <v>-5.0000000000000044E-2</v>
          </cell>
          <cell r="AR361">
            <v>-2.8571428571428581E-2</v>
          </cell>
          <cell r="AS361">
            <v>0.30555555555555558</v>
          </cell>
          <cell r="AT361">
            <v>-0.12903225806451613</v>
          </cell>
          <cell r="AU361">
            <v>0.35294117647058809</v>
          </cell>
          <cell r="AV361">
            <v>2.6315789473684292E-2</v>
          </cell>
          <cell r="AW361">
            <v>9.4117647058823639E-2</v>
          </cell>
          <cell r="AX361">
            <v>-0.17021276595744683</v>
          </cell>
          <cell r="AY361">
            <v>-0.33333333333333337</v>
          </cell>
          <cell r="AZ361">
            <v>-0.32608695652173902</v>
          </cell>
          <cell r="BA361">
            <v>0.36769230769230776</v>
          </cell>
          <cell r="BB361">
            <v>-0.14333333333333331</v>
          </cell>
          <cell r="BC361">
            <v>0.75179487179487192</v>
          </cell>
          <cell r="BD361">
            <v>0.28055555555555567</v>
          </cell>
          <cell r="BZ361" t="str">
            <v>Managed Investments</v>
          </cell>
          <cell r="CI361">
            <v>0.14282857142857153</v>
          </cell>
          <cell r="CJ361">
            <v>0.24946695095948823</v>
          </cell>
          <cell r="CK361">
            <v>-0.10238907849829348</v>
          </cell>
          <cell r="CL361">
            <v>2.6615969581748944E-2</v>
          </cell>
          <cell r="CM361">
            <v>8.0246913580247048E-2</v>
          </cell>
          <cell r="CN361">
            <v>-2.8571428571428581E-2</v>
          </cell>
          <cell r="CO361">
            <v>9.4117647058823639E-2</v>
          </cell>
          <cell r="CP361">
            <v>-0.14333333333333331</v>
          </cell>
        </row>
        <row r="363">
          <cell r="A363" t="str">
            <v>Public, Project and Infrastructure</v>
          </cell>
          <cell r="BZ363" t="str">
            <v>Public, Project and Infrastructure</v>
          </cell>
        </row>
        <row r="364">
          <cell r="A364" t="str">
            <v>Public Finance</v>
          </cell>
          <cell r="S364">
            <v>-0.17593749999999997</v>
          </cell>
          <cell r="X364">
            <v>8.0432309442548311E-2</v>
          </cell>
          <cell r="AC364">
            <v>8.9817837211751073E-2</v>
          </cell>
          <cell r="AH364">
            <v>0.13816425120772946</v>
          </cell>
          <cell r="AI364">
            <v>0.11428571428571432</v>
          </cell>
          <cell r="AJ364">
            <v>0.13220338983050839</v>
          </cell>
          <cell r="AK364">
            <v>0.24285714285714266</v>
          </cell>
          <cell r="AL364">
            <v>0.1981424148606814</v>
          </cell>
          <cell r="AM364">
            <v>0.17232597623089974</v>
          </cell>
          <cell r="AN364">
            <v>-4.1666666666666741E-2</v>
          </cell>
          <cell r="AO364">
            <v>2.0958083832335328E-2</v>
          </cell>
          <cell r="AP364">
            <v>-1.1494252873563204E-2</v>
          </cell>
          <cell r="AQ364">
            <v>-2.8423772609819209E-2</v>
          </cell>
          <cell r="AR364">
            <v>-1.5206372194062179E-2</v>
          </cell>
          <cell r="AS364">
            <v>0.31772575250836121</v>
          </cell>
          <cell r="AT364">
            <v>0.27859237536656889</v>
          </cell>
          <cell r="AU364">
            <v>0.10755813953488391</v>
          </cell>
          <cell r="AV364">
            <v>7.180851063829774E-2</v>
          </cell>
          <cell r="AW364">
            <v>0.18676470588235272</v>
          </cell>
          <cell r="AX364">
            <v>7.3604060913705638E-2</v>
          </cell>
          <cell r="AY364">
            <v>0</v>
          </cell>
          <cell r="AZ364">
            <v>-4.1994750656167978E-2</v>
          </cell>
          <cell r="BA364">
            <v>-0.11972704714640203</v>
          </cell>
          <cell r="BB364">
            <v>-2.1840148698884621E-2</v>
          </cell>
          <cell r="BC364">
            <v>-0.12241134751773042</v>
          </cell>
          <cell r="BD364">
            <v>-7.8440366972477138E-2</v>
          </cell>
          <cell r="BZ364" t="str">
            <v>Public Finance</v>
          </cell>
          <cell r="CI364">
            <v>-0.17593749999999997</v>
          </cell>
          <cell r="CJ364">
            <v>8.0432309442548311E-2</v>
          </cell>
          <cell r="CK364">
            <v>8.9817837211751073E-2</v>
          </cell>
          <cell r="CL364">
            <v>0.13816425120772946</v>
          </cell>
          <cell r="CM364">
            <v>0.17232597623089974</v>
          </cell>
          <cell r="CN364">
            <v>-1.5206372194062179E-2</v>
          </cell>
          <cell r="CO364">
            <v>0.18676470588235272</v>
          </cell>
          <cell r="CP364">
            <v>-2.1840148698884621E-2</v>
          </cell>
        </row>
        <row r="365">
          <cell r="A365" t="str">
            <v>Municipal Structured Products</v>
          </cell>
          <cell r="S365">
            <v>5.3749999999999964E-2</v>
          </cell>
          <cell r="X365">
            <v>6.3701067615658413E-2</v>
          </cell>
          <cell r="AC365">
            <v>0.30812980930076961</v>
          </cell>
          <cell r="AH365">
            <v>-0.39897698209718679</v>
          </cell>
          <cell r="AI365">
            <v>-0.19672131147540972</v>
          </cell>
          <cell r="AJ365">
            <v>-3.7735849056603765E-2</v>
          </cell>
          <cell r="AK365">
            <v>-0.10169491525423735</v>
          </cell>
          <cell r="AL365">
            <v>-0.16129032258064513</v>
          </cell>
          <cell r="AM365">
            <v>-0.12765957446808496</v>
          </cell>
          <cell r="AN365">
            <v>-8.163265306122458E-2</v>
          </cell>
          <cell r="AO365">
            <v>-1.9607843137254832E-2</v>
          </cell>
          <cell r="AP365">
            <v>-7.5471698113207419E-2</v>
          </cell>
          <cell r="AQ365">
            <v>0.15384615384615374</v>
          </cell>
          <cell r="AR365">
            <v>-4.8780487804879202E-3</v>
          </cell>
          <cell r="AS365">
            <v>6.6666666666666652E-2</v>
          </cell>
          <cell r="AT365">
            <v>2.0000000000000018E-2</v>
          </cell>
          <cell r="AU365">
            <v>-0.10204081632653061</v>
          </cell>
          <cell r="AV365">
            <v>-0.16666666666666663</v>
          </cell>
          <cell r="AW365">
            <v>-5.3921568627451011E-2</v>
          </cell>
          <cell r="AX365">
            <v>-0.14583333333333337</v>
          </cell>
          <cell r="AY365">
            <v>-0.15686274509803921</v>
          </cell>
          <cell r="AZ365">
            <v>-6.8181818181818343E-2</v>
          </cell>
          <cell r="BA365">
            <v>-0.17500000000000016</v>
          </cell>
          <cell r="BB365">
            <v>-0.1386010362694301</v>
          </cell>
          <cell r="BC365">
            <v>-1.5853658536585269E-2</v>
          </cell>
          <cell r="BD365">
            <v>-8.8372093023255771E-2</v>
          </cell>
          <cell r="BZ365" t="str">
            <v>Municipal Structured Products</v>
          </cell>
          <cell r="CI365">
            <v>5.3749999999999964E-2</v>
          </cell>
          <cell r="CJ365">
            <v>6.3701067615658413E-2</v>
          </cell>
          <cell r="CK365">
            <v>0.30812980930076961</v>
          </cell>
          <cell r="CL365">
            <v>-0.39897698209718679</v>
          </cell>
          <cell r="CM365">
            <v>-0.12765957446808496</v>
          </cell>
          <cell r="CN365">
            <v>-4.8780487804879202E-3</v>
          </cell>
          <cell r="CO365">
            <v>-5.3921568627451011E-2</v>
          </cell>
          <cell r="CP365">
            <v>-0.1386010362694301</v>
          </cell>
        </row>
        <row r="366">
          <cell r="A366" t="str">
            <v>Project &amp; Infrastructure Finance</v>
          </cell>
          <cell r="S366">
            <v>0.42954838709677401</v>
          </cell>
          <cell r="X366">
            <v>0.19008935824532913</v>
          </cell>
          <cell r="AC366">
            <v>-5.6882821387941318E-3</v>
          </cell>
          <cell r="AH366">
            <v>0.1922196796338671</v>
          </cell>
          <cell r="AI366">
            <v>8.6206896551724199E-2</v>
          </cell>
          <cell r="AJ366">
            <v>-3.8610038610037423E-3</v>
          </cell>
          <cell r="AK366">
            <v>5.7761732851985714E-2</v>
          </cell>
          <cell r="AL366">
            <v>0.17518248175182505</v>
          </cell>
          <cell r="AM366">
            <v>7.9654510556621982E-2</v>
          </cell>
          <cell r="AN366">
            <v>0.19047619047619047</v>
          </cell>
          <cell r="AO366">
            <v>0.29844961240310064</v>
          </cell>
          <cell r="AP366">
            <v>-1.0238907849829393E-2</v>
          </cell>
          <cell r="AQ366">
            <v>-0.11801242236024856</v>
          </cell>
          <cell r="AR366">
            <v>7.4666666666666659E-2</v>
          </cell>
          <cell r="AS366">
            <v>0.16666666666666674</v>
          </cell>
          <cell r="AT366">
            <v>-3.2835820895522394E-2</v>
          </cell>
          <cell r="AU366">
            <v>0.18965517241379315</v>
          </cell>
          <cell r="AV366">
            <v>0.40845070422535223</v>
          </cell>
          <cell r="AW366">
            <v>0.1736972704714641</v>
          </cell>
          <cell r="AX366">
            <v>6.0000000000000053E-2</v>
          </cell>
          <cell r="AY366">
            <v>0.38271604938271597</v>
          </cell>
          <cell r="AZ366">
            <v>0.2202898550724639</v>
          </cell>
          <cell r="BA366">
            <v>7.2499999999999787E-2</v>
          </cell>
          <cell r="BB366">
            <v>0.17618040873854812</v>
          </cell>
          <cell r="BC366">
            <v>6.5849056603773493E-2</v>
          </cell>
          <cell r="BD366">
            <v>0.20312500000000022</v>
          </cell>
          <cell r="BZ366" t="str">
            <v>Project &amp; Infrastructure Finance</v>
          </cell>
          <cell r="CI366">
            <v>0.42954838709677401</v>
          </cell>
          <cell r="CJ366">
            <v>0.19008935824532913</v>
          </cell>
          <cell r="CK366">
            <v>-5.6882821387941318E-3</v>
          </cell>
          <cell r="CL366">
            <v>0.1922196796338671</v>
          </cell>
          <cell r="CM366">
            <v>7.9654510556621982E-2</v>
          </cell>
          <cell r="CN366">
            <v>7.4666666666666659E-2</v>
          </cell>
          <cell r="CO366">
            <v>0.1736972704714641</v>
          </cell>
          <cell r="CP366">
            <v>0.17618040873854812</v>
          </cell>
        </row>
        <row r="369">
          <cell r="A369" t="str">
            <v>MA</v>
          </cell>
          <cell r="BZ369" t="str">
            <v>MA</v>
          </cell>
        </row>
        <row r="370">
          <cell r="A370" t="str">
            <v>Nonrecurring</v>
          </cell>
          <cell r="C370" t="str">
            <v>ND</v>
          </cell>
          <cell r="D370" t="str">
            <v>ND</v>
          </cell>
          <cell r="E370" t="str">
            <v>ND</v>
          </cell>
          <cell r="F370" t="str">
            <v>ND</v>
          </cell>
          <cell r="G370" t="str">
            <v>ND</v>
          </cell>
          <cell r="H370" t="str">
            <v>ND</v>
          </cell>
          <cell r="I370" t="str">
            <v>ND</v>
          </cell>
          <cell r="J370" t="str">
            <v>ND</v>
          </cell>
          <cell r="K370" t="str">
            <v>ND</v>
          </cell>
          <cell r="L370" t="str">
            <v>ND</v>
          </cell>
          <cell r="M370" t="str">
            <v>ND</v>
          </cell>
          <cell r="N370" t="str">
            <v>ND</v>
          </cell>
          <cell r="O370" t="str">
            <v>ND</v>
          </cell>
          <cell r="P370" t="str">
            <v>ND</v>
          </cell>
          <cell r="Q370" t="str">
            <v>ND</v>
          </cell>
          <cell r="R370" t="str">
            <v>ND</v>
          </cell>
          <cell r="S370" t="str">
            <v>ND</v>
          </cell>
          <cell r="T370">
            <v>6.6359999999999992</v>
          </cell>
          <cell r="U370">
            <v>9.2720000000000002</v>
          </cell>
          <cell r="V370">
            <v>8.4210000000000012</v>
          </cell>
          <cell r="W370">
            <v>14.552999999999999</v>
          </cell>
          <cell r="X370">
            <v>38.881999999999998</v>
          </cell>
          <cell r="Y370">
            <v>9.2750000000000004</v>
          </cell>
          <cell r="Z370">
            <v>10.543999999999999</v>
          </cell>
          <cell r="AA370">
            <v>12.294000000000002</v>
          </cell>
          <cell r="AB370">
            <v>17.975999999999996</v>
          </cell>
          <cell r="AC370">
            <v>50.088999999999999</v>
          </cell>
          <cell r="AD370">
            <v>11.69999999999999</v>
          </cell>
          <cell r="AE370">
            <v>12.399999999999999</v>
          </cell>
          <cell r="AF370">
            <v>17.5</v>
          </cell>
          <cell r="AG370">
            <v>19.900000000000009</v>
          </cell>
          <cell r="AH370">
            <v>61.5</v>
          </cell>
          <cell r="AI370">
            <v>13.400000000000011</v>
          </cell>
          <cell r="AJ370">
            <v>20.599999999999994</v>
          </cell>
          <cell r="AK370">
            <v>24.400000000000009</v>
          </cell>
          <cell r="AL370">
            <v>43.899999999999984</v>
          </cell>
          <cell r="AM370">
            <v>102.30000000000001</v>
          </cell>
          <cell r="AN370">
            <v>28.407</v>
          </cell>
          <cell r="AO370">
            <v>27.167999999999999</v>
          </cell>
          <cell r="AP370">
            <v>34.674999999999997</v>
          </cell>
          <cell r="AQ370">
            <v>50.750000000000014</v>
          </cell>
          <cell r="AR370">
            <v>141</v>
          </cell>
          <cell r="AS370">
            <v>39.42</v>
          </cell>
          <cell r="AT370">
            <v>40.500000000000007</v>
          </cell>
          <cell r="AU370">
            <v>47.981999999999999</v>
          </cell>
          <cell r="AV370">
            <v>66.528000000000006</v>
          </cell>
          <cell r="AW370">
            <v>194.43</v>
          </cell>
          <cell r="AX370">
            <v>42.680000000000007</v>
          </cell>
          <cell r="AY370">
            <v>46.494</v>
          </cell>
          <cell r="AZ370">
            <v>50.687999999999995</v>
          </cell>
          <cell r="BA370">
            <v>70.064999999999998</v>
          </cell>
          <cell r="BB370">
            <v>209.92699999999999</v>
          </cell>
          <cell r="BC370">
            <v>56.281000000000006</v>
          </cell>
          <cell r="BD370">
            <v>58.673000000000002</v>
          </cell>
          <cell r="BE370">
            <v>50.608350000000002</v>
          </cell>
          <cell r="BF370">
            <v>57.102599999999995</v>
          </cell>
          <cell r="BG370">
            <v>222.66495</v>
          </cell>
          <cell r="BH370">
            <v>53.797750000000008</v>
          </cell>
          <cell r="BI370">
            <v>56.091850000000001</v>
          </cell>
          <cell r="BJ370">
            <v>55.61113512499999</v>
          </cell>
          <cell r="BK370">
            <v>62.859666999999995</v>
          </cell>
          <cell r="BL370">
            <v>228.36040212500001</v>
          </cell>
          <cell r="BM370">
            <v>59.171374125</v>
          </cell>
          <cell r="BN370">
            <v>61.702314875000006</v>
          </cell>
          <cell r="BO370">
            <v>61.141163907187504</v>
          </cell>
          <cell r="BP370">
            <v>69.233684827499999</v>
          </cell>
          <cell r="BQ370">
            <v>251.24853773468749</v>
          </cell>
          <cell r="BR370">
            <v>274.39224312491564</v>
          </cell>
          <cell r="BS370">
            <v>299.81563193586771</v>
          </cell>
          <cell r="BT370">
            <v>327.75699798677419</v>
          </cell>
          <cell r="BU370">
            <v>358.48076515899982</v>
          </cell>
          <cell r="BZ370" t="str">
            <v>Nonrecurring</v>
          </cell>
          <cell r="CA370" t="str">
            <v>ND</v>
          </cell>
          <cell r="CB370" t="str">
            <v>ND</v>
          </cell>
          <cell r="CC370" t="str">
            <v>ND</v>
          </cell>
          <cell r="CD370" t="str">
            <v>ND</v>
          </cell>
          <cell r="CE370" t="str">
            <v>ND</v>
          </cell>
          <cell r="CF370" t="str">
            <v>ND</v>
          </cell>
          <cell r="CG370" t="str">
            <v>ND</v>
          </cell>
          <cell r="CH370" t="str">
            <v>ND</v>
          </cell>
          <cell r="CI370" t="str">
            <v>ND</v>
          </cell>
          <cell r="CJ370">
            <v>38.881999999999998</v>
          </cell>
          <cell r="CK370">
            <v>50.088999999999999</v>
          </cell>
          <cell r="CL370">
            <v>61.5</v>
          </cell>
          <cell r="CM370">
            <v>102.30000000000001</v>
          </cell>
          <cell r="CN370">
            <v>141</v>
          </cell>
          <cell r="CO370">
            <v>194.43</v>
          </cell>
          <cell r="CP370">
            <v>209.92699999999999</v>
          </cell>
          <cell r="CQ370">
            <v>222.66495</v>
          </cell>
          <cell r="CR370">
            <v>228.36040212500001</v>
          </cell>
          <cell r="CS370">
            <v>251.24853773468749</v>
          </cell>
          <cell r="CT370">
            <v>274.39224312491564</v>
          </cell>
          <cell r="CU370">
            <v>299.81563193586771</v>
          </cell>
          <cell r="CV370">
            <v>327.75699798677419</v>
          </cell>
          <cell r="CW370">
            <v>358.48076515899982</v>
          </cell>
          <cell r="CY370">
            <v>217.60055</v>
          </cell>
        </row>
        <row r="371">
          <cell r="A371" t="str">
            <v>YoY Change</v>
          </cell>
          <cell r="Y371">
            <v>0.39767932489451496</v>
          </cell>
          <cell r="Z371">
            <v>0.13718723037100933</v>
          </cell>
          <cell r="AA371">
            <v>0.45992162451015317</v>
          </cell>
          <cell r="AB371">
            <v>0.23520923520923498</v>
          </cell>
          <cell r="AC371">
            <v>0.28823105807314442</v>
          </cell>
          <cell r="AD371">
            <v>0.2614555256064679</v>
          </cell>
          <cell r="AE371">
            <v>0.17602427921092567</v>
          </cell>
          <cell r="AF371">
            <v>0.42345859768992988</v>
          </cell>
          <cell r="AG371">
            <v>0.10703159768580406</v>
          </cell>
          <cell r="AH371">
            <v>0.22781449020743083</v>
          </cell>
          <cell r="AI371">
            <v>0.14529914529914723</v>
          </cell>
          <cell r="AJ371">
            <v>0.6612903225806448</v>
          </cell>
          <cell r="AK371">
            <v>0.39428571428571479</v>
          </cell>
          <cell r="AL371">
            <v>1.206030150753767</v>
          </cell>
          <cell r="AM371">
            <v>0.66341463414634161</v>
          </cell>
          <cell r="AN371">
            <v>1.1199253731343268</v>
          </cell>
          <cell r="AO371">
            <v>0.31883495145631091</v>
          </cell>
          <cell r="AP371">
            <v>0.4211065573770485</v>
          </cell>
          <cell r="AQ371">
            <v>0.15603644646924897</v>
          </cell>
          <cell r="AR371">
            <v>0.37829912023460399</v>
          </cell>
          <cell r="AS371">
            <v>0.38768613369944038</v>
          </cell>
          <cell r="AT371">
            <v>0.49072438162544207</v>
          </cell>
          <cell r="AU371">
            <v>0.38376351838500367</v>
          </cell>
          <cell r="AV371">
            <v>0.31089655172413777</v>
          </cell>
          <cell r="AW371">
            <v>0.37893617021276604</v>
          </cell>
          <cell r="AX371">
            <v>8.2699137493658093E-2</v>
          </cell>
          <cell r="AY371">
            <v>0.14799999999999969</v>
          </cell>
          <cell r="AZ371">
            <v>5.6396148555708292E-2</v>
          </cell>
          <cell r="BA371">
            <v>5.3165584415584277E-2</v>
          </cell>
          <cell r="BB371">
            <v>7.9704778069227933E-2</v>
          </cell>
          <cell r="BC371">
            <v>0.31867385192127462</v>
          </cell>
          <cell r="BD371">
            <v>0.26194777820794091</v>
          </cell>
          <cell r="BE371">
            <v>-1.571377840908994E-3</v>
          </cell>
          <cell r="BF371">
            <v>-0.18500535217298231</v>
          </cell>
          <cell r="BG371">
            <v>6.0677997589638322E-2</v>
          </cell>
          <cell r="BH371">
            <v>-4.4122350349140915E-2</v>
          </cell>
          <cell r="BI371">
            <v>-4.3992125850050301E-2</v>
          </cell>
          <cell r="BJ371">
            <v>9.8852958553282022E-2</v>
          </cell>
          <cell r="BK371">
            <v>0.10081969997863505</v>
          </cell>
          <cell r="BL371">
            <v>2.5578575006977911E-2</v>
          </cell>
          <cell r="BM371">
            <v>9.9885666686803765E-2</v>
          </cell>
          <cell r="BN371">
            <v>0.10002281748596276</v>
          </cell>
          <cell r="BO371">
            <v>9.9441034061926281E-2</v>
          </cell>
          <cell r="BP371">
            <v>0.10140075714209562</v>
          </cell>
          <cell r="BQ371">
            <v>0.10022812797973168</v>
          </cell>
          <cell r="BR371">
            <v>9.2114786413870942E-2</v>
          </cell>
          <cell r="BS371">
            <v>9.2653453032847555E-2</v>
          </cell>
          <cell r="BT371">
            <v>9.3195160874344651E-2</v>
          </cell>
          <cell r="BU371">
            <v>9.3739469670958586E-2</v>
          </cell>
          <cell r="BZ371" t="str">
            <v>YoY Change</v>
          </cell>
          <cell r="CA371">
            <v>0</v>
          </cell>
          <cell r="CB371">
            <v>0</v>
          </cell>
          <cell r="CC371">
            <v>0</v>
          </cell>
          <cell r="CD371">
            <v>0</v>
          </cell>
          <cell r="CE371">
            <v>0</v>
          </cell>
          <cell r="CF371">
            <v>0</v>
          </cell>
          <cell r="CG371">
            <v>0</v>
          </cell>
          <cell r="CH371">
            <v>0</v>
          </cell>
          <cell r="CI371">
            <v>0</v>
          </cell>
          <cell r="CJ371">
            <v>0</v>
          </cell>
          <cell r="CK371">
            <v>0.28823105807314442</v>
          </cell>
          <cell r="CL371">
            <v>0.22781449020743083</v>
          </cell>
          <cell r="CM371">
            <v>0.66341463414634161</v>
          </cell>
          <cell r="CN371">
            <v>0.37829912023460399</v>
          </cell>
          <cell r="CO371">
            <v>0.37893617021276604</v>
          </cell>
          <cell r="CP371">
            <v>7.9704778069227933E-2</v>
          </cell>
          <cell r="CQ371">
            <v>6.0677997589638322E-2</v>
          </cell>
          <cell r="CR371">
            <v>2.5578575006977911E-2</v>
          </cell>
          <cell r="CS371">
            <v>0.10022812797973168</v>
          </cell>
          <cell r="CT371">
            <v>9.2114786413870942E-2</v>
          </cell>
          <cell r="CU371">
            <v>9.2653453032847555E-2</v>
          </cell>
          <cell r="CV371">
            <v>9.3195160874344651E-2</v>
          </cell>
          <cell r="CW371">
            <v>9.3739469670958586E-2</v>
          </cell>
        </row>
        <row r="372">
          <cell r="A372" t="str">
            <v xml:space="preserve">% of total </v>
          </cell>
          <cell r="T372">
            <v>0.06</v>
          </cell>
          <cell r="U372">
            <v>0.08</v>
          </cell>
          <cell r="V372">
            <v>7.0000000000000007E-2</v>
          </cell>
          <cell r="W372">
            <v>0.11</v>
          </cell>
          <cell r="X372">
            <v>0.08</v>
          </cell>
          <cell r="Y372">
            <v>7.0000000000000007E-2</v>
          </cell>
          <cell r="Z372">
            <v>0.08</v>
          </cell>
          <cell r="AA372">
            <v>0.09</v>
          </cell>
          <cell r="AB372">
            <v>0.12</v>
          </cell>
          <cell r="AC372">
            <v>0.09</v>
          </cell>
          <cell r="AD372">
            <v>8.4354722422494532E-2</v>
          </cell>
          <cell r="AE372">
            <v>8.8319088319088301E-2</v>
          </cell>
          <cell r="AF372">
            <v>0.11945392491467577</v>
          </cell>
          <cell r="AG372">
            <v>0.12930474333983111</v>
          </cell>
          <cell r="AH372">
            <v>0.1061259706643658</v>
          </cell>
          <cell r="AI372">
            <v>9.3444909344491012E-2</v>
          </cell>
          <cell r="AJ372">
            <v>0.13588390501319259</v>
          </cell>
          <cell r="AK372">
            <v>0.15501905972045749</v>
          </cell>
          <cell r="AL372">
            <v>0.2387166938553561</v>
          </cell>
          <cell r="AM372">
            <v>0.16077322017916074</v>
          </cell>
          <cell r="AN372">
            <v>0.17</v>
          </cell>
          <cell r="AO372">
            <v>0.16</v>
          </cell>
          <cell r="AP372">
            <v>0.19</v>
          </cell>
          <cell r="AQ372">
            <v>0.25</v>
          </cell>
          <cell r="AR372">
            <v>0.2</v>
          </cell>
          <cell r="AS372">
            <v>0.2</v>
          </cell>
          <cell r="AT372">
            <v>0.2</v>
          </cell>
          <cell r="AU372">
            <v>0.22</v>
          </cell>
          <cell r="AV372">
            <v>0.28000000000000003</v>
          </cell>
          <cell r="AW372">
            <v>0.23</v>
          </cell>
          <cell r="AX372">
            <v>0.2</v>
          </cell>
          <cell r="AY372">
            <v>0.21</v>
          </cell>
          <cell r="AZ372">
            <v>0.22</v>
          </cell>
          <cell r="BA372">
            <v>0.27</v>
          </cell>
          <cell r="BB372">
            <v>0.22</v>
          </cell>
          <cell r="BC372">
            <v>0.23</v>
          </cell>
          <cell r="BD372">
            <v>0.23</v>
          </cell>
          <cell r="BE372">
            <v>0.2</v>
          </cell>
          <cell r="BF372">
            <v>0.2</v>
          </cell>
          <cell r="BG372">
            <v>0.2144401515955891</v>
          </cell>
          <cell r="BH372">
            <v>0.2</v>
          </cell>
          <cell r="BI372">
            <v>0.2</v>
          </cell>
          <cell r="BJ372">
            <v>0.2</v>
          </cell>
          <cell r="BK372">
            <v>0.2</v>
          </cell>
          <cell r="BL372">
            <v>0.20000000000000004</v>
          </cell>
          <cell r="BM372">
            <v>0.2</v>
          </cell>
          <cell r="BN372">
            <v>0.2</v>
          </cell>
          <cell r="BO372">
            <v>0.2</v>
          </cell>
          <cell r="BP372">
            <v>0.2</v>
          </cell>
          <cell r="BQ372">
            <v>0.2</v>
          </cell>
          <cell r="BR372">
            <v>0.2</v>
          </cell>
          <cell r="BS372">
            <v>0.2</v>
          </cell>
          <cell r="BT372">
            <v>0.2</v>
          </cell>
          <cell r="BU372">
            <v>0.2</v>
          </cell>
          <cell r="BZ372" t="str">
            <v xml:space="preserve">% of total </v>
          </cell>
          <cell r="CA372">
            <v>0</v>
          </cell>
          <cell r="CB372">
            <v>0</v>
          </cell>
          <cell r="CC372">
            <v>0</v>
          </cell>
          <cell r="CD372">
            <v>0</v>
          </cell>
          <cell r="CE372">
            <v>0</v>
          </cell>
          <cell r="CF372">
            <v>0</v>
          </cell>
          <cell r="CG372">
            <v>0</v>
          </cell>
          <cell r="CH372">
            <v>0</v>
          </cell>
          <cell r="CI372">
            <v>0</v>
          </cell>
          <cell r="CJ372">
            <v>0.08</v>
          </cell>
          <cell r="CK372">
            <v>0.09</v>
          </cell>
          <cell r="CL372">
            <v>0.1061259706643658</v>
          </cell>
          <cell r="CM372">
            <v>0.16077322017916074</v>
          </cell>
          <cell r="CN372">
            <v>0.2</v>
          </cell>
          <cell r="CO372">
            <v>0.23</v>
          </cell>
          <cell r="CP372">
            <v>0.22</v>
          </cell>
          <cell r="CQ372">
            <v>0.2144401515955891</v>
          </cell>
          <cell r="CR372">
            <v>0.20000000000000004</v>
          </cell>
          <cell r="CS372">
            <v>0.2</v>
          </cell>
          <cell r="CT372">
            <v>0.2</v>
          </cell>
          <cell r="CU372">
            <v>0.2</v>
          </cell>
          <cell r="CV372">
            <v>0.2</v>
          </cell>
          <cell r="CW372">
            <v>0.2</v>
          </cell>
        </row>
        <row r="373">
          <cell r="A373" t="str">
            <v>BULL</v>
          </cell>
          <cell r="BE373">
            <v>0.22</v>
          </cell>
          <cell r="BF373">
            <v>0.22</v>
          </cell>
          <cell r="BH373">
            <v>0.22</v>
          </cell>
          <cell r="BI373">
            <v>0.22</v>
          </cell>
          <cell r="BJ373">
            <v>0.22</v>
          </cell>
          <cell r="BK373">
            <v>0.22</v>
          </cell>
          <cell r="BM373">
            <v>0.22</v>
          </cell>
          <cell r="BN373">
            <v>0.22</v>
          </cell>
          <cell r="BO373">
            <v>0.22</v>
          </cell>
          <cell r="BP373">
            <v>0.22</v>
          </cell>
          <cell r="BR373">
            <v>0.22</v>
          </cell>
          <cell r="BS373">
            <v>0.22</v>
          </cell>
          <cell r="BT373">
            <v>0.22</v>
          </cell>
          <cell r="BU373">
            <v>0.22</v>
          </cell>
        </row>
        <row r="374">
          <cell r="A374" t="str">
            <v>BASE</v>
          </cell>
          <cell r="BE374">
            <v>0.2</v>
          </cell>
          <cell r="BF374">
            <v>0.2</v>
          </cell>
          <cell r="BH374">
            <v>0.2</v>
          </cell>
          <cell r="BI374">
            <v>0.2</v>
          </cell>
          <cell r="BJ374">
            <v>0.2</v>
          </cell>
          <cell r="BK374">
            <v>0.2</v>
          </cell>
          <cell r="BM374">
            <v>0.2</v>
          </cell>
          <cell r="BN374">
            <v>0.2</v>
          </cell>
          <cell r="BO374">
            <v>0.2</v>
          </cell>
          <cell r="BP374">
            <v>0.2</v>
          </cell>
          <cell r="BR374">
            <v>0.2</v>
          </cell>
          <cell r="BS374">
            <v>0.2</v>
          </cell>
          <cell r="BT374">
            <v>0.2</v>
          </cell>
          <cell r="BU374">
            <v>0.2</v>
          </cell>
        </row>
        <row r="375">
          <cell r="A375" t="str">
            <v>BEAR</v>
          </cell>
          <cell r="BE375">
            <v>0.18000000000000002</v>
          </cell>
          <cell r="BF375">
            <v>0.18000000000000002</v>
          </cell>
          <cell r="BH375">
            <v>0.18000000000000002</v>
          </cell>
          <cell r="BI375">
            <v>0.18000000000000002</v>
          </cell>
          <cell r="BJ375">
            <v>0.18000000000000002</v>
          </cell>
          <cell r="BK375">
            <v>0.18000000000000002</v>
          </cell>
          <cell r="BM375">
            <v>0.18000000000000002</v>
          </cell>
          <cell r="BN375">
            <v>0.18000000000000002</v>
          </cell>
          <cell r="BO375">
            <v>0.18000000000000002</v>
          </cell>
          <cell r="BP375">
            <v>0.18000000000000002</v>
          </cell>
          <cell r="BR375">
            <v>0.18000000000000002</v>
          </cell>
          <cell r="BS375">
            <v>0.18000000000000002</v>
          </cell>
          <cell r="BT375">
            <v>0.18000000000000002</v>
          </cell>
          <cell r="BU375">
            <v>0.18000000000000002</v>
          </cell>
        </row>
        <row r="377">
          <cell r="A377" t="str">
            <v>Relationship Based</v>
          </cell>
          <cell r="C377" t="str">
            <v>ND</v>
          </cell>
          <cell r="D377" t="str">
            <v>ND</v>
          </cell>
          <cell r="E377" t="str">
            <v>ND</v>
          </cell>
          <cell r="F377" t="str">
            <v>ND</v>
          </cell>
          <cell r="G377" t="str">
            <v>ND</v>
          </cell>
          <cell r="H377" t="str">
            <v>ND</v>
          </cell>
          <cell r="I377" t="str">
            <v>ND</v>
          </cell>
          <cell r="J377" t="str">
            <v>ND</v>
          </cell>
          <cell r="K377" t="str">
            <v>ND</v>
          </cell>
          <cell r="L377" t="str">
            <v>ND</v>
          </cell>
          <cell r="M377" t="str">
            <v>ND</v>
          </cell>
          <cell r="N377" t="str">
            <v>ND</v>
          </cell>
          <cell r="O377" t="str">
            <v>ND</v>
          </cell>
          <cell r="P377" t="str">
            <v>ND</v>
          </cell>
          <cell r="Q377" t="str">
            <v>ND</v>
          </cell>
          <cell r="R377" t="str">
            <v>ND</v>
          </cell>
          <cell r="S377" t="str">
            <v>ND</v>
          </cell>
          <cell r="T377">
            <v>103.96399999999998</v>
          </cell>
          <cell r="U377">
            <v>106.628</v>
          </cell>
          <cell r="V377">
            <v>111.87899999999999</v>
          </cell>
          <cell r="W377">
            <v>117.74699999999999</v>
          </cell>
          <cell r="X377">
            <v>440.21799999999996</v>
          </cell>
          <cell r="Y377">
            <v>123.22499999999999</v>
          </cell>
          <cell r="Z377">
            <v>121.25599999999999</v>
          </cell>
          <cell r="AA377">
            <v>124.30600000000003</v>
          </cell>
          <cell r="AB377">
            <v>131.82399999999998</v>
          </cell>
          <cell r="AC377">
            <v>500.61099999999999</v>
          </cell>
          <cell r="AD377">
            <v>127</v>
          </cell>
          <cell r="AE377">
            <v>128</v>
          </cell>
          <cell r="AF377">
            <v>129</v>
          </cell>
          <cell r="AG377">
            <v>134</v>
          </cell>
          <cell r="AH377">
            <v>518</v>
          </cell>
          <cell r="AI377">
            <v>130</v>
          </cell>
          <cell r="AJ377">
            <v>131</v>
          </cell>
          <cell r="AK377">
            <v>133</v>
          </cell>
          <cell r="AL377">
            <v>140</v>
          </cell>
          <cell r="AM377">
            <v>534</v>
          </cell>
          <cell r="AN377">
            <v>138.69299999999998</v>
          </cell>
          <cell r="AO377">
            <v>142.63199999999998</v>
          </cell>
          <cell r="AP377">
            <v>147.82499999999999</v>
          </cell>
          <cell r="AQ377">
            <v>152.25000000000006</v>
          </cell>
          <cell r="AR377">
            <v>581.4</v>
          </cell>
          <cell r="AS377">
            <v>157.68</v>
          </cell>
          <cell r="AT377">
            <v>162.00000000000003</v>
          </cell>
          <cell r="AU377">
            <v>170.11799999999999</v>
          </cell>
          <cell r="AV377">
            <v>171.072</v>
          </cell>
          <cell r="AW377">
            <v>660.87000000000012</v>
          </cell>
          <cell r="AX377">
            <v>170.72000000000003</v>
          </cell>
          <cell r="AY377">
            <v>174.90600000000001</v>
          </cell>
          <cell r="AZ377">
            <v>179.71199999999999</v>
          </cell>
          <cell r="BA377">
            <v>189.435</v>
          </cell>
          <cell r="BB377">
            <v>714.77299999999991</v>
          </cell>
          <cell r="BC377">
            <v>188.41900000000001</v>
          </cell>
          <cell r="BD377">
            <v>196.42699999999999</v>
          </cell>
          <cell r="BE377">
            <v>202.43340000000001</v>
          </cell>
          <cell r="BF377">
            <v>228.41039999999998</v>
          </cell>
          <cell r="BG377">
            <v>815.68979999999999</v>
          </cell>
          <cell r="BH377">
            <v>215.19100000000003</v>
          </cell>
          <cell r="BI377">
            <v>224.3674</v>
          </cell>
          <cell r="BJ377">
            <v>222.44454049999996</v>
          </cell>
          <cell r="BK377">
            <v>251.43866799999998</v>
          </cell>
          <cell r="BL377">
            <v>913.44160850000003</v>
          </cell>
          <cell r="BM377">
            <v>236.6854965</v>
          </cell>
          <cell r="BN377">
            <v>246.80925950000002</v>
          </cell>
          <cell r="BO377">
            <v>244.56465562875002</v>
          </cell>
          <cell r="BP377">
            <v>276.93473931</v>
          </cell>
          <cell r="BQ377">
            <v>1004.99415093875</v>
          </cell>
          <cell r="BR377">
            <v>1097.5689724996623</v>
          </cell>
          <cell r="BS377">
            <v>1199.2625277434709</v>
          </cell>
          <cell r="BT377">
            <v>1311.0279919470966</v>
          </cell>
          <cell r="BU377">
            <v>1433.9230606359993</v>
          </cell>
          <cell r="BZ377" t="str">
            <v>Relationship Based</v>
          </cell>
          <cell r="CA377" t="str">
            <v>ND</v>
          </cell>
          <cell r="CB377" t="str">
            <v>ND</v>
          </cell>
          <cell r="CC377" t="str">
            <v>ND</v>
          </cell>
          <cell r="CD377" t="str">
            <v>ND</v>
          </cell>
          <cell r="CE377" t="str">
            <v>ND</v>
          </cell>
          <cell r="CF377" t="str">
            <v>ND</v>
          </cell>
          <cell r="CG377" t="str">
            <v>ND</v>
          </cell>
          <cell r="CH377" t="str">
            <v>ND</v>
          </cell>
          <cell r="CI377" t="str">
            <v>ND</v>
          </cell>
          <cell r="CJ377">
            <v>440.21799999999996</v>
          </cell>
          <cell r="CK377">
            <v>500.61099999999999</v>
          </cell>
          <cell r="CL377">
            <v>518</v>
          </cell>
          <cell r="CM377">
            <v>534</v>
          </cell>
          <cell r="CN377">
            <v>581.4</v>
          </cell>
          <cell r="CO377">
            <v>660.87000000000012</v>
          </cell>
          <cell r="CP377">
            <v>714.77299999999991</v>
          </cell>
          <cell r="CQ377">
            <v>815.68979999999999</v>
          </cell>
          <cell r="CR377">
            <v>913.44160850000003</v>
          </cell>
          <cell r="CS377">
            <v>1004.99415093875</v>
          </cell>
          <cell r="CT377">
            <v>1097.5689724996623</v>
          </cell>
          <cell r="CU377">
            <v>1199.2625277434709</v>
          </cell>
          <cell r="CV377">
            <v>1311.0279919470966</v>
          </cell>
          <cell r="CW377">
            <v>1433.9230606359993</v>
          </cell>
          <cell r="CY377">
            <v>870.40219999999999</v>
          </cell>
        </row>
        <row r="378">
          <cell r="A378" t="str">
            <v xml:space="preserve">% of total </v>
          </cell>
          <cell r="T378">
            <v>0.94</v>
          </cell>
          <cell r="U378">
            <v>0.92</v>
          </cell>
          <cell r="V378">
            <v>0.92999999999999994</v>
          </cell>
          <cell r="W378">
            <v>0.89</v>
          </cell>
          <cell r="X378">
            <v>0.92</v>
          </cell>
          <cell r="Y378">
            <v>0.92999999999999994</v>
          </cell>
          <cell r="Z378">
            <v>0.92</v>
          </cell>
          <cell r="AA378">
            <v>0.91</v>
          </cell>
          <cell r="AB378">
            <v>0.88</v>
          </cell>
          <cell r="AC378">
            <v>0.91</v>
          </cell>
          <cell r="AD378">
            <v>0.91564527757750547</v>
          </cell>
          <cell r="AE378">
            <v>0.9116809116809117</v>
          </cell>
          <cell r="AF378">
            <v>0.88054607508532423</v>
          </cell>
          <cell r="AG378">
            <v>0.87069525666016889</v>
          </cell>
          <cell r="AH378">
            <v>0.8938740293356342</v>
          </cell>
          <cell r="AI378">
            <v>0.90655509065550899</v>
          </cell>
          <cell r="AJ378">
            <v>0.86411609498680741</v>
          </cell>
          <cell r="AK378">
            <v>0.84498094027954251</v>
          </cell>
          <cell r="AL378">
            <v>0.7612833061446439</v>
          </cell>
          <cell r="AM378">
            <v>0.83922677982083926</v>
          </cell>
          <cell r="AN378">
            <v>0.83</v>
          </cell>
          <cell r="AO378">
            <v>0.84</v>
          </cell>
          <cell r="AP378">
            <v>0.81</v>
          </cell>
          <cell r="AQ378">
            <v>0.75</v>
          </cell>
          <cell r="AR378">
            <v>0.8</v>
          </cell>
          <cell r="AS378">
            <v>0.8</v>
          </cell>
          <cell r="AT378">
            <v>0.8</v>
          </cell>
          <cell r="AU378">
            <v>0.78</v>
          </cell>
          <cell r="AV378">
            <v>0.72</v>
          </cell>
          <cell r="AW378">
            <v>0.77</v>
          </cell>
          <cell r="AX378">
            <v>0.8</v>
          </cell>
          <cell r="AY378">
            <v>0.79</v>
          </cell>
          <cell r="AZ378">
            <v>0.78</v>
          </cell>
          <cell r="BA378">
            <v>0.73</v>
          </cell>
          <cell r="BB378">
            <v>0.78</v>
          </cell>
          <cell r="BC378">
            <v>0.77</v>
          </cell>
          <cell r="BD378">
            <v>0.77</v>
          </cell>
          <cell r="BE378">
            <v>0.8</v>
          </cell>
          <cell r="BF378">
            <v>0.8</v>
          </cell>
          <cell r="BG378">
            <v>0.78555984840441084</v>
          </cell>
          <cell r="BH378">
            <v>0.8</v>
          </cell>
          <cell r="BI378">
            <v>0.8</v>
          </cell>
          <cell r="BJ378">
            <v>0.8</v>
          </cell>
          <cell r="BK378">
            <v>0.8</v>
          </cell>
          <cell r="BL378">
            <v>0.79999999999999993</v>
          </cell>
          <cell r="BM378">
            <v>0.8</v>
          </cell>
          <cell r="BN378">
            <v>0.8</v>
          </cell>
          <cell r="BO378">
            <v>0.8</v>
          </cell>
          <cell r="BP378">
            <v>0.8</v>
          </cell>
          <cell r="BQ378">
            <v>0.8</v>
          </cell>
          <cell r="BR378">
            <v>0.79999999999999993</v>
          </cell>
          <cell r="BS378">
            <v>0.8</v>
          </cell>
          <cell r="BT378">
            <v>0.79999999999999993</v>
          </cell>
          <cell r="BU378">
            <v>0.8</v>
          </cell>
          <cell r="BZ378" t="str">
            <v xml:space="preserve">% of total </v>
          </cell>
          <cell r="CA378">
            <v>0</v>
          </cell>
          <cell r="CB378">
            <v>0</v>
          </cell>
          <cell r="CC378">
            <v>0</v>
          </cell>
          <cell r="CD378">
            <v>0</v>
          </cell>
          <cell r="CE378">
            <v>0</v>
          </cell>
          <cell r="CF378">
            <v>0</v>
          </cell>
          <cell r="CG378">
            <v>0</v>
          </cell>
          <cell r="CH378">
            <v>0</v>
          </cell>
          <cell r="CI378">
            <v>0</v>
          </cell>
          <cell r="CJ378">
            <v>0.92</v>
          </cell>
          <cell r="CK378">
            <v>0.91</v>
          </cell>
          <cell r="CL378">
            <v>0.8938740293356342</v>
          </cell>
          <cell r="CM378">
            <v>0.83922677982083926</v>
          </cell>
          <cell r="CN378">
            <v>0.8</v>
          </cell>
          <cell r="CO378">
            <v>0.77</v>
          </cell>
          <cell r="CP378">
            <v>0.78</v>
          </cell>
          <cell r="CQ378">
            <v>0.78555984840441084</v>
          </cell>
          <cell r="CR378">
            <v>0.79999999999999993</v>
          </cell>
          <cell r="CS378">
            <v>0.8</v>
          </cell>
          <cell r="CT378">
            <v>0.79999999999999993</v>
          </cell>
          <cell r="CU378">
            <v>0.8</v>
          </cell>
          <cell r="CV378">
            <v>0.79999999999999993</v>
          </cell>
          <cell r="CW378">
            <v>0.8</v>
          </cell>
        </row>
        <row r="379">
          <cell r="A379" t="str">
            <v>YoY Change</v>
          </cell>
          <cell r="Y379">
            <v>0.18526605363395032</v>
          </cell>
          <cell r="Z379">
            <v>0.13718723037100933</v>
          </cell>
          <cell r="AA379">
            <v>0.11107535819948366</v>
          </cell>
          <cell r="AB379">
            <v>0.11955293977765891</v>
          </cell>
          <cell r="AC379">
            <v>0.13718884734381609</v>
          </cell>
          <cell r="AD379">
            <v>3.0635017244877272E-2</v>
          </cell>
          <cell r="AE379">
            <v>5.5617866332387855E-2</v>
          </cell>
          <cell r="AF379">
            <v>3.7761652695766701E-2</v>
          </cell>
          <cell r="AG379">
            <v>1.6506857628353133E-2</v>
          </cell>
          <cell r="AH379">
            <v>3.4735553154045862E-2</v>
          </cell>
          <cell r="AI379">
            <v>2.3622047244094446E-2</v>
          </cell>
          <cell r="AJ379">
            <v>2.34375E-2</v>
          </cell>
          <cell r="AK379">
            <v>3.1007751937984551E-2</v>
          </cell>
          <cell r="AL379">
            <v>4.4776119402984982E-2</v>
          </cell>
          <cell r="AM379">
            <v>3.0888030888030826E-2</v>
          </cell>
          <cell r="AN379">
            <v>6.6869230769230681E-2</v>
          </cell>
          <cell r="AO379">
            <v>8.8793893129770707E-2</v>
          </cell>
          <cell r="AP379">
            <v>0.11146616541353382</v>
          </cell>
          <cell r="AQ379">
            <v>8.7500000000000355E-2</v>
          </cell>
          <cell r="AR379">
            <v>8.8764044943820286E-2</v>
          </cell>
          <cell r="AS379">
            <v>0.13689948303086696</v>
          </cell>
          <cell r="AT379">
            <v>0.13579000504795591</v>
          </cell>
          <cell r="AU379">
            <v>0.15080669710806704</v>
          </cell>
          <cell r="AV379">
            <v>0.12362561576354647</v>
          </cell>
          <cell r="AW379">
            <v>0.13668730650154814</v>
          </cell>
          <cell r="AX379">
            <v>8.2699137493658093E-2</v>
          </cell>
          <cell r="AY379">
            <v>7.9666666666666552E-2</v>
          </cell>
          <cell r="AZ379">
            <v>5.6396148555708292E-2</v>
          </cell>
          <cell r="BA379">
            <v>0.10734076879910215</v>
          </cell>
          <cell r="BB379">
            <v>8.1563696339673086E-2</v>
          </cell>
          <cell r="BC379">
            <v>0.1036726804123711</v>
          </cell>
          <cell r="BD379">
            <v>0.12304323465175582</v>
          </cell>
          <cell r="BE379">
            <v>0.1264322916666667</v>
          </cell>
          <cell r="BF379">
            <v>0.20574550637421796</v>
          </cell>
          <cell r="BG379">
            <v>0.14118720209073388</v>
          </cell>
          <cell r="BH379">
            <v>0.14208758140102651</v>
          </cell>
          <cell r="BI379">
            <v>0.14224317430903088</v>
          </cell>
          <cell r="BJ379">
            <v>9.8852958553282022E-2</v>
          </cell>
          <cell r="BK379">
            <v>0.10081969997863505</v>
          </cell>
          <cell r="BL379">
            <v>0.11983943957617216</v>
          </cell>
          <cell r="BM379">
            <v>9.9885666686803765E-2</v>
          </cell>
          <cell r="BN379">
            <v>0.10002281748596276</v>
          </cell>
          <cell r="BO379">
            <v>9.9441034061926281E-2</v>
          </cell>
          <cell r="BP379">
            <v>0.10140075714209562</v>
          </cell>
          <cell r="BQ379">
            <v>0.10022812797973168</v>
          </cell>
          <cell r="BR379">
            <v>9.211478641387072E-2</v>
          </cell>
          <cell r="BS379">
            <v>9.2653453032847777E-2</v>
          </cell>
          <cell r="BT379">
            <v>9.3195160874344429E-2</v>
          </cell>
          <cell r="BU379">
            <v>9.3739469670958586E-2</v>
          </cell>
          <cell r="BZ379" t="str">
            <v>YoY Change</v>
          </cell>
          <cell r="CA379">
            <v>0</v>
          </cell>
          <cell r="CB379">
            <v>0</v>
          </cell>
          <cell r="CC379">
            <v>0</v>
          </cell>
          <cell r="CD379">
            <v>0</v>
          </cell>
          <cell r="CE379">
            <v>0</v>
          </cell>
          <cell r="CF379">
            <v>0</v>
          </cell>
          <cell r="CG379">
            <v>0</v>
          </cell>
          <cell r="CH379">
            <v>0</v>
          </cell>
          <cell r="CI379">
            <v>0</v>
          </cell>
          <cell r="CJ379">
            <v>0</v>
          </cell>
          <cell r="CK379">
            <v>0.13718884734381609</v>
          </cell>
          <cell r="CL379">
            <v>3.4735553154045862E-2</v>
          </cell>
          <cell r="CM379">
            <v>3.0888030888030826E-2</v>
          </cell>
          <cell r="CN379">
            <v>8.8764044943820286E-2</v>
          </cell>
          <cell r="CO379">
            <v>0.13668730650154814</v>
          </cell>
          <cell r="CP379">
            <v>8.1563696339673086E-2</v>
          </cell>
          <cell r="CQ379">
            <v>0.14118720209073388</v>
          </cell>
          <cell r="CR379">
            <v>0.11983943957617216</v>
          </cell>
          <cell r="CS379">
            <v>0.10022812797973168</v>
          </cell>
          <cell r="CT379">
            <v>9.211478641387072E-2</v>
          </cell>
          <cell r="CU379">
            <v>9.2653453032847777E-2</v>
          </cell>
          <cell r="CV379">
            <v>9.3195160874344429E-2</v>
          </cell>
          <cell r="CW379">
            <v>9.3739469670958586E-2</v>
          </cell>
        </row>
        <row r="381">
          <cell r="A381" t="str">
            <v>Revenue Mix (%)</v>
          </cell>
          <cell r="BZ381" t="str">
            <v>Revenue Mix (%)</v>
          </cell>
        </row>
        <row r="382">
          <cell r="A382" t="str">
            <v>Research, Data and Analytics</v>
          </cell>
          <cell r="AD382">
            <v>0.73540014419610678</v>
          </cell>
          <cell r="AE382">
            <v>0.7286324786324786</v>
          </cell>
          <cell r="AF382">
            <v>0.70580204778156996</v>
          </cell>
          <cell r="AG382">
            <v>0.68810916179337234</v>
          </cell>
          <cell r="AH382">
            <v>0.71371872303710104</v>
          </cell>
          <cell r="AI382">
            <v>0.72942817294281725</v>
          </cell>
          <cell r="AJ382">
            <v>0.69393139841688656</v>
          </cell>
          <cell r="AK382">
            <v>0.6734434561626429</v>
          </cell>
          <cell r="AL382">
            <v>0.59380097879282223</v>
          </cell>
          <cell r="AM382">
            <v>0.66792393525066796</v>
          </cell>
          <cell r="AN382">
            <v>0.65589467384799516</v>
          </cell>
          <cell r="AO382">
            <v>0.65371024734982341</v>
          </cell>
          <cell r="AP382">
            <v>0.63178082191780827</v>
          </cell>
          <cell r="AQ382">
            <v>0.56847290640394099</v>
          </cell>
          <cell r="AR382">
            <v>0.62472314507198234</v>
          </cell>
          <cell r="AS382">
            <v>0.60629122272957892</v>
          </cell>
          <cell r="AT382">
            <v>0.59950617283950614</v>
          </cell>
          <cell r="AU382">
            <v>0.56762952773956898</v>
          </cell>
          <cell r="AV382">
            <v>0.54082491582491576</v>
          </cell>
          <cell r="AW382">
            <v>0.57663977551736234</v>
          </cell>
          <cell r="AX382">
            <v>0.6073102155576382</v>
          </cell>
          <cell r="AY382">
            <v>0.58852755194218609</v>
          </cell>
          <cell r="AZ382">
            <v>0.58029513888888895</v>
          </cell>
          <cell r="BA382">
            <v>0.53333333333333321</v>
          </cell>
          <cell r="BB382">
            <v>0.57532172596517783</v>
          </cell>
          <cell r="BC382">
            <v>0.57580711074785451</v>
          </cell>
          <cell r="BD382">
            <v>0.56722853782830263</v>
          </cell>
          <cell r="BZ382" t="str">
            <v>Research, Data and Analytics</v>
          </cell>
          <cell r="CL382">
            <v>0.71371872303710104</v>
          </cell>
          <cell r="CM382">
            <v>0.66792393525066796</v>
          </cell>
          <cell r="CN382">
            <v>0.62472314507198234</v>
          </cell>
          <cell r="CO382">
            <v>0.57663977551736234</v>
          </cell>
          <cell r="CP382">
            <v>0.57532172596517783</v>
          </cell>
        </row>
        <row r="383">
          <cell r="A383" t="str">
            <v>Enterprise Risk Solutions</v>
          </cell>
          <cell r="AD383">
            <v>0.23143475126171598</v>
          </cell>
          <cell r="AE383">
            <v>0.24145299145299143</v>
          </cell>
          <cell r="AF383">
            <v>0.25119453924914675</v>
          </cell>
          <cell r="AG383">
            <v>0.27485380116959063</v>
          </cell>
          <cell r="AH383">
            <v>0.25038826574633305</v>
          </cell>
          <cell r="AI383">
            <v>0.23221757322175729</v>
          </cell>
          <cell r="AJ383">
            <v>0.2585751978891821</v>
          </cell>
          <cell r="AK383">
            <v>0.27191867852604823</v>
          </cell>
          <cell r="AL383">
            <v>0.31484502446982049</v>
          </cell>
          <cell r="AM383">
            <v>0.27219864843627217</v>
          </cell>
          <cell r="AN383">
            <v>0.25852782764811494</v>
          </cell>
          <cell r="AO383">
            <v>0.245583038869258</v>
          </cell>
          <cell r="AP383">
            <v>0.26246575342465756</v>
          </cell>
          <cell r="AQ383">
            <v>0.24926108374384223</v>
          </cell>
          <cell r="AR383">
            <v>0.25387596899224807</v>
          </cell>
          <cell r="AS383">
            <v>0.24403855910705227</v>
          </cell>
          <cell r="AT383">
            <v>0.25432098765432093</v>
          </cell>
          <cell r="AU383">
            <v>0.29344337459880787</v>
          </cell>
          <cell r="AV383">
            <v>0.33249158249158245</v>
          </cell>
          <cell r="AW383">
            <v>0.28364316614053547</v>
          </cell>
          <cell r="AX383">
            <v>0.24835988753514526</v>
          </cell>
          <cell r="AY383">
            <v>0.27190605239385729</v>
          </cell>
          <cell r="AZ383">
            <v>0.27951388888888895</v>
          </cell>
          <cell r="BA383">
            <v>0.32716763005780347</v>
          </cell>
          <cell r="BB383">
            <v>0.28387585162755485</v>
          </cell>
          <cell r="BC383">
            <v>0.24438087454025334</v>
          </cell>
          <cell r="BD383">
            <v>0.2634261074088593</v>
          </cell>
          <cell r="BZ383" t="str">
            <v>Enterprise Risk Solutions</v>
          </cell>
          <cell r="CL383">
            <v>0.25038826574633305</v>
          </cell>
          <cell r="CM383">
            <v>0.27219864843627217</v>
          </cell>
          <cell r="CN383">
            <v>0.25387596899224807</v>
          </cell>
          <cell r="CO383">
            <v>0.28364316614053547</v>
          </cell>
          <cell r="CP383">
            <v>0.28387585162755485</v>
          </cell>
        </row>
        <row r="384">
          <cell r="A384" t="str">
            <v>Professional Services</v>
          </cell>
          <cell r="AD384">
            <v>3.3165104542177359E-2</v>
          </cell>
          <cell r="AE384">
            <v>2.9914529914529916E-2</v>
          </cell>
          <cell r="AF384">
            <v>4.3003412969283276E-2</v>
          </cell>
          <cell r="AG384">
            <v>3.7037037037037063E-2</v>
          </cell>
          <cell r="AH384">
            <v>3.5893011216566011E-2</v>
          </cell>
          <cell r="AI384">
            <v>2.2315202231520222E-2</v>
          </cell>
          <cell r="AJ384">
            <v>3.1662269129287601E-2</v>
          </cell>
          <cell r="AK384">
            <v>4.0025412960609907E-2</v>
          </cell>
          <cell r="AL384">
            <v>7.8847199564980971E-2</v>
          </cell>
          <cell r="AM384">
            <v>4.5261669024045263E-2</v>
          </cell>
          <cell r="AN384">
            <v>7.0017953321364457E-2</v>
          </cell>
          <cell r="AO384">
            <v>8.5394581861012966E-2</v>
          </cell>
          <cell r="AP384">
            <v>9.15068493150685E-2</v>
          </cell>
          <cell r="AQ384">
            <v>0.16847290640394078</v>
          </cell>
          <cell r="AR384">
            <v>0.10672757475083056</v>
          </cell>
          <cell r="AS384">
            <v>0.13444951801116184</v>
          </cell>
          <cell r="AT384">
            <v>0.13185185185185183</v>
          </cell>
          <cell r="AU384">
            <v>0.12471343420449335</v>
          </cell>
          <cell r="AV384">
            <v>0.11489898989898989</v>
          </cell>
          <cell r="AW384">
            <v>0.12592072956857245</v>
          </cell>
          <cell r="AX384">
            <v>0.13120899718837864</v>
          </cell>
          <cell r="AY384">
            <v>0.12737127371273713</v>
          </cell>
          <cell r="AZ384">
            <v>0.1271701388888889</v>
          </cell>
          <cell r="BA384">
            <v>0.12755298651252406</v>
          </cell>
          <cell r="BB384">
            <v>0.1282578133448686</v>
          </cell>
          <cell r="BC384">
            <v>0.16632611360850019</v>
          </cell>
          <cell r="BD384">
            <v>0.1564092512740102</v>
          </cell>
          <cell r="BZ384" t="str">
            <v>Professional Services</v>
          </cell>
          <cell r="CL384">
            <v>3.5893011216566011E-2</v>
          </cell>
          <cell r="CM384">
            <v>4.5261669024045263E-2</v>
          </cell>
          <cell r="CN384">
            <v>0.10672757475083056</v>
          </cell>
          <cell r="CO384">
            <v>0.12592072956857245</v>
          </cell>
          <cell r="CP384">
            <v>0.1282578133448686</v>
          </cell>
        </row>
        <row r="385">
          <cell r="A385" t="str">
            <v>Intersegment revenue</v>
          </cell>
          <cell r="AD385">
            <v>0</v>
          </cell>
          <cell r="AE385">
            <v>0</v>
          </cell>
          <cell r="AF385">
            <v>0</v>
          </cell>
          <cell r="AG385">
            <v>0</v>
          </cell>
          <cell r="AH385">
            <v>0</v>
          </cell>
          <cell r="AI385">
            <v>1.6039051603905157E-2</v>
          </cell>
          <cell r="AJ385">
            <v>1.5831134564643801E-2</v>
          </cell>
          <cell r="AK385">
            <v>1.4612452350698855E-2</v>
          </cell>
          <cell r="AL385">
            <v>1.2506797172376303E-2</v>
          </cell>
          <cell r="AM385">
            <v>1.4615747289014618E-2</v>
          </cell>
          <cell r="AN385">
            <v>1.5559545182525435E-2</v>
          </cell>
          <cell r="AO385">
            <v>1.5312131919905773E-2</v>
          </cell>
          <cell r="AP385">
            <v>1.4246575342465756E-2</v>
          </cell>
          <cell r="AQ385">
            <v>1.379310344827586E-2</v>
          </cell>
          <cell r="AR385">
            <v>1.4673311184939095E-2</v>
          </cell>
          <cell r="AS385">
            <v>1.5220700152207002E-2</v>
          </cell>
          <cell r="AT385">
            <v>1.4320987654320985E-2</v>
          </cell>
          <cell r="AU385">
            <v>1.4213663457129757E-2</v>
          </cell>
          <cell r="AV385">
            <v>1.1784511784511785E-2</v>
          </cell>
          <cell r="AW385">
            <v>1.3796328773529758E-2</v>
          </cell>
          <cell r="AX385">
            <v>1.3120899718837863E-2</v>
          </cell>
          <cell r="AY385">
            <v>1.2195121951219513E-2</v>
          </cell>
          <cell r="AZ385">
            <v>1.3020833333333334E-2</v>
          </cell>
          <cell r="BA385">
            <v>1.1946050096339115E-2</v>
          </cell>
          <cell r="BB385">
            <v>1.2544609062398617E-2</v>
          </cell>
          <cell r="BC385">
            <v>1.3485901103391906E-2</v>
          </cell>
          <cell r="BD385">
            <v>1.293610348882791E-2</v>
          </cell>
          <cell r="BZ385" t="str">
            <v>Intersegment revenue</v>
          </cell>
        </row>
        <row r="386">
          <cell r="A386" t="str">
            <v>Total</v>
          </cell>
          <cell r="AD386">
            <v>1</v>
          </cell>
          <cell r="AE386">
            <v>0.99999999999999989</v>
          </cell>
          <cell r="AF386">
            <v>0.99999999999999989</v>
          </cell>
          <cell r="AG386">
            <v>1</v>
          </cell>
          <cell r="AH386">
            <v>1.0000000000000002</v>
          </cell>
          <cell r="AI386">
            <v>0.99999999999999989</v>
          </cell>
          <cell r="AJ386">
            <v>1</v>
          </cell>
          <cell r="AK386">
            <v>0.99999999999999989</v>
          </cell>
          <cell r="AL386">
            <v>1</v>
          </cell>
          <cell r="AM386">
            <v>1</v>
          </cell>
          <cell r="AN386">
            <v>1</v>
          </cell>
          <cell r="AO386">
            <v>1.0000000000000002</v>
          </cell>
          <cell r="AP386">
            <v>1</v>
          </cell>
          <cell r="AQ386">
            <v>0.99999999999999989</v>
          </cell>
          <cell r="AR386">
            <v>1</v>
          </cell>
          <cell r="AS386">
            <v>1.0000000000000002</v>
          </cell>
          <cell r="AT386">
            <v>0.99999999999999989</v>
          </cell>
          <cell r="AU386">
            <v>0.99999999999999989</v>
          </cell>
          <cell r="AV386">
            <v>0.99999999999999989</v>
          </cell>
          <cell r="AW386">
            <v>1</v>
          </cell>
          <cell r="AX386">
            <v>1</v>
          </cell>
          <cell r="AY386">
            <v>1</v>
          </cell>
          <cell r="AZ386">
            <v>1</v>
          </cell>
          <cell r="BA386">
            <v>0.99999999999999978</v>
          </cell>
          <cell r="BB386">
            <v>1</v>
          </cell>
          <cell r="BC386">
            <v>1</v>
          </cell>
          <cell r="BD386">
            <v>1</v>
          </cell>
          <cell r="BZ386" t="str">
            <v>Total</v>
          </cell>
          <cell r="CL386">
            <v>1.0000000000000002</v>
          </cell>
          <cell r="CM386">
            <v>1</v>
          </cell>
          <cell r="CN386">
            <v>1</v>
          </cell>
          <cell r="CO386">
            <v>1</v>
          </cell>
          <cell r="CP386">
            <v>1</v>
          </cell>
        </row>
        <row r="388">
          <cell r="A388" t="str">
            <v xml:space="preserve">Consolidated Revenue Information by Geographic Area </v>
          </cell>
          <cell r="BZ388" t="str">
            <v xml:space="preserve">Consolidated Revenue Information by Geographic Area </v>
          </cell>
          <cell r="CL388">
            <v>0</v>
          </cell>
          <cell r="CM388">
            <v>0</v>
          </cell>
          <cell r="CN388">
            <v>0</v>
          </cell>
          <cell r="CO388">
            <v>0</v>
          </cell>
          <cell r="CP388">
            <v>0</v>
          </cell>
        </row>
        <row r="389">
          <cell r="A389" t="str">
            <v>MCO:</v>
          </cell>
        </row>
        <row r="390">
          <cell r="A390" t="str">
            <v>U.S.</v>
          </cell>
          <cell r="C390">
            <v>413</v>
          </cell>
          <cell r="D390">
            <v>423.4</v>
          </cell>
          <cell r="E390">
            <v>428.9</v>
          </cell>
          <cell r="F390">
            <v>560.70000000000005</v>
          </cell>
          <cell r="G390">
            <v>680.8</v>
          </cell>
          <cell r="H390">
            <v>795.3</v>
          </cell>
          <cell r="I390">
            <v>911.2</v>
          </cell>
          <cell r="J390">
            <v>242.1</v>
          </cell>
          <cell r="K390">
            <v>281.8</v>
          </cell>
          <cell r="L390">
            <v>267</v>
          </cell>
          <cell r="M390">
            <v>294.50000000000011</v>
          </cell>
          <cell r="N390">
            <v>1085.4000000000001</v>
          </cell>
          <cell r="O390">
            <v>278.89999999999998</v>
          </cell>
          <cell r="P390">
            <v>328.1</v>
          </cell>
          <cell r="Q390">
            <v>310.3</v>
          </cell>
          <cell r="R390">
            <v>360.5</v>
          </cell>
          <cell r="S390">
            <v>1277.8</v>
          </cell>
          <cell r="T390">
            <v>378.6</v>
          </cell>
          <cell r="U390">
            <v>399.1</v>
          </cell>
          <cell r="V390">
            <v>306.89999999999998</v>
          </cell>
          <cell r="W390">
            <v>277.20000000000005</v>
          </cell>
          <cell r="X390">
            <v>1361.8</v>
          </cell>
          <cell r="Y390">
            <v>232.9</v>
          </cell>
          <cell r="Z390">
            <v>263.5</v>
          </cell>
          <cell r="AA390">
            <v>218.3</v>
          </cell>
          <cell r="AB390">
            <v>195.39999999999995</v>
          </cell>
          <cell r="AC390">
            <v>910.1</v>
          </cell>
          <cell r="AD390">
            <v>208.9</v>
          </cell>
          <cell r="AE390">
            <v>237.1</v>
          </cell>
          <cell r="AF390">
            <v>229.7</v>
          </cell>
          <cell r="AG390">
            <v>245.09999999999997</v>
          </cell>
          <cell r="AH390">
            <v>920.8</v>
          </cell>
          <cell r="AI390">
            <v>254.6</v>
          </cell>
          <cell r="AJ390">
            <v>261.5</v>
          </cell>
          <cell r="AK390">
            <v>278.3</v>
          </cell>
          <cell r="AL390">
            <v>295.09999999999997</v>
          </cell>
          <cell r="AM390">
            <v>1089.5</v>
          </cell>
          <cell r="AN390">
            <v>301.39999999999998</v>
          </cell>
          <cell r="AO390">
            <v>315</v>
          </cell>
          <cell r="AP390">
            <v>274.3</v>
          </cell>
          <cell r="AQ390">
            <v>286.3</v>
          </cell>
          <cell r="AR390">
            <v>1177</v>
          </cell>
          <cell r="AS390">
            <v>344</v>
          </cell>
          <cell r="AT390">
            <v>343.8</v>
          </cell>
          <cell r="AU390">
            <v>375.4</v>
          </cell>
          <cell r="AV390">
            <v>400.9</v>
          </cell>
          <cell r="AW390">
            <v>1464.1</v>
          </cell>
          <cell r="AX390">
            <v>406.1</v>
          </cell>
          <cell r="AY390">
            <v>408.4</v>
          </cell>
          <cell r="AZ390">
            <v>391</v>
          </cell>
          <cell r="BA390">
            <v>421.00000000000011</v>
          </cell>
          <cell r="BB390">
            <v>1626.5</v>
          </cell>
          <cell r="BC390">
            <v>425.6</v>
          </cell>
          <cell r="BD390">
            <v>461.1</v>
          </cell>
          <cell r="BG390">
            <v>886.7</v>
          </cell>
          <cell r="BL390">
            <v>0</v>
          </cell>
          <cell r="BQ390">
            <v>0</v>
          </cell>
          <cell r="BZ390" t="str">
            <v>U.S.</v>
          </cell>
          <cell r="CA390">
            <v>413</v>
          </cell>
          <cell r="CB390">
            <v>423.4</v>
          </cell>
          <cell r="CC390">
            <v>428.9</v>
          </cell>
          <cell r="CD390">
            <v>560.70000000000005</v>
          </cell>
          <cell r="CE390">
            <v>680.8</v>
          </cell>
          <cell r="CF390">
            <v>795.3</v>
          </cell>
          <cell r="CG390">
            <v>911.2</v>
          </cell>
          <cell r="CH390">
            <v>1085.4000000000001</v>
          </cell>
          <cell r="CI390">
            <v>1277.8</v>
          </cell>
          <cell r="CJ390">
            <v>1361.8</v>
          </cell>
          <cell r="CK390">
            <v>910.1</v>
          </cell>
          <cell r="CL390">
            <v>920.8</v>
          </cell>
          <cell r="CM390">
            <v>1089.5</v>
          </cell>
          <cell r="CN390">
            <v>1177</v>
          </cell>
          <cell r="CO390">
            <v>1464.1</v>
          </cell>
        </row>
        <row r="391">
          <cell r="A391" t="str">
            <v xml:space="preserve"> International:</v>
          </cell>
          <cell r="BZ391" t="str">
            <v xml:space="preserve"> International:</v>
          </cell>
          <cell r="CA391">
            <v>0</v>
          </cell>
          <cell r="CB391">
            <v>0</v>
          </cell>
          <cell r="CC391">
            <v>0</v>
          </cell>
          <cell r="CD391">
            <v>0</v>
          </cell>
          <cell r="CE391">
            <v>0</v>
          </cell>
          <cell r="CF391">
            <v>0</v>
          </cell>
          <cell r="CG391">
            <v>0</v>
          </cell>
          <cell r="CH391">
            <v>0</v>
          </cell>
          <cell r="CI391">
            <v>0</v>
          </cell>
          <cell r="CJ391">
            <v>0</v>
          </cell>
          <cell r="CK391">
            <v>0</v>
          </cell>
          <cell r="CL391">
            <v>0</v>
          </cell>
          <cell r="CM391">
            <v>0</v>
          </cell>
          <cell r="CN391">
            <v>0</v>
          </cell>
          <cell r="CO391">
            <v>0</v>
          </cell>
        </row>
        <row r="392">
          <cell r="A392" t="str">
            <v xml:space="preserve">   EMEA</v>
          </cell>
          <cell r="C392" t="str">
            <v>ND</v>
          </cell>
          <cell r="D392" t="str">
            <v>ND</v>
          </cell>
          <cell r="E392" t="str">
            <v>ND</v>
          </cell>
          <cell r="F392" t="str">
            <v>ND</v>
          </cell>
          <cell r="G392" t="str">
            <v>ND</v>
          </cell>
          <cell r="H392" t="str">
            <v>ND</v>
          </cell>
          <cell r="I392" t="str">
            <v>ND</v>
          </cell>
          <cell r="J392" t="str">
            <v>ND</v>
          </cell>
          <cell r="K392" t="str">
            <v>ND</v>
          </cell>
          <cell r="L392" t="str">
            <v>ND</v>
          </cell>
          <cell r="M392" t="str">
            <v>ND</v>
          </cell>
          <cell r="N392">
            <v>456</v>
          </cell>
          <cell r="O392" t="str">
            <v>ND</v>
          </cell>
          <cell r="P392" t="str">
            <v>ND</v>
          </cell>
          <cell r="Q392">
            <v>131</v>
          </cell>
          <cell r="R392" t="str">
            <v>ND</v>
          </cell>
          <cell r="S392">
            <v>543.9</v>
          </cell>
          <cell r="T392">
            <v>152.5</v>
          </cell>
          <cell r="U392">
            <v>182.7</v>
          </cell>
          <cell r="V392">
            <v>159.30000000000001</v>
          </cell>
          <cell r="W392">
            <v>164.79999999999995</v>
          </cell>
          <cell r="X392">
            <v>659.3</v>
          </cell>
          <cell r="Y392">
            <v>140.4</v>
          </cell>
          <cell r="Z392">
            <v>158.80000000000001</v>
          </cell>
          <cell r="AA392">
            <v>155.9</v>
          </cell>
          <cell r="AB392">
            <v>148.00000000000003</v>
          </cell>
          <cell r="AC392">
            <v>603.1</v>
          </cell>
          <cell r="AD392">
            <v>144.5</v>
          </cell>
          <cell r="AE392">
            <v>152.1</v>
          </cell>
          <cell r="AF392">
            <v>156.69999999999999</v>
          </cell>
          <cell r="AG392">
            <v>171.40000000000003</v>
          </cell>
          <cell r="AH392">
            <v>624.70000000000005</v>
          </cell>
          <cell r="AI392">
            <v>153.5</v>
          </cell>
          <cell r="AJ392">
            <v>144.9</v>
          </cell>
          <cell r="AK392">
            <v>155.5</v>
          </cell>
          <cell r="AL392">
            <v>173.5</v>
          </cell>
          <cell r="AM392">
            <v>627.4</v>
          </cell>
          <cell r="AN392">
            <v>183.3</v>
          </cell>
          <cell r="AO392">
            <v>185.7</v>
          </cell>
          <cell r="AP392">
            <v>163.1</v>
          </cell>
          <cell r="AQ392">
            <v>176.29999999999993</v>
          </cell>
          <cell r="AR392">
            <v>708.4</v>
          </cell>
          <cell r="AS392">
            <v>195.4</v>
          </cell>
          <cell r="AT392">
            <v>191.7</v>
          </cell>
          <cell r="AU392">
            <v>203.3</v>
          </cell>
          <cell r="AV392">
            <v>230.30000000000007</v>
          </cell>
          <cell r="AW392">
            <v>820.70000000000016</v>
          </cell>
          <cell r="AX392">
            <v>213.7</v>
          </cell>
          <cell r="AY392">
            <v>222.5</v>
          </cell>
          <cell r="AZ392">
            <v>207.4</v>
          </cell>
          <cell r="BA392">
            <v>219.1999999999999</v>
          </cell>
          <cell r="BB392">
            <v>862.8</v>
          </cell>
          <cell r="BC392">
            <v>220.6</v>
          </cell>
          <cell r="BD392">
            <v>263.3</v>
          </cell>
          <cell r="BG392">
            <v>483.9</v>
          </cell>
          <cell r="BL392">
            <v>0</v>
          </cell>
          <cell r="BQ392">
            <v>0</v>
          </cell>
          <cell r="BZ392" t="str">
            <v xml:space="preserve">   EMEA</v>
          </cell>
          <cell r="CA392" t="str">
            <v>ND</v>
          </cell>
          <cell r="CB392" t="str">
            <v>ND</v>
          </cell>
          <cell r="CC392" t="str">
            <v>ND</v>
          </cell>
          <cell r="CD392" t="str">
            <v>ND</v>
          </cell>
          <cell r="CE392" t="str">
            <v>ND</v>
          </cell>
          <cell r="CF392" t="str">
            <v>ND</v>
          </cell>
          <cell r="CG392" t="str">
            <v>ND</v>
          </cell>
          <cell r="CH392">
            <v>456</v>
          </cell>
          <cell r="CI392">
            <v>543.9</v>
          </cell>
          <cell r="CJ392">
            <v>659.3</v>
          </cell>
          <cell r="CK392">
            <v>603.1</v>
          </cell>
          <cell r="CL392">
            <v>624.70000000000005</v>
          </cell>
          <cell r="CM392">
            <v>627.4</v>
          </cell>
          <cell r="CN392">
            <v>708.4</v>
          </cell>
          <cell r="CO392">
            <v>820.70000000000016</v>
          </cell>
        </row>
        <row r="393">
          <cell r="A393" t="str">
            <v xml:space="preserve">   Other</v>
          </cell>
          <cell r="C393" t="str">
            <v>ND</v>
          </cell>
          <cell r="D393" t="str">
            <v>ND</v>
          </cell>
          <cell r="E393" t="str">
            <v>ND</v>
          </cell>
          <cell r="F393" t="str">
            <v>ND</v>
          </cell>
          <cell r="G393" t="str">
            <v>ND</v>
          </cell>
          <cell r="H393" t="str">
            <v>ND</v>
          </cell>
          <cell r="I393" t="str">
            <v>ND</v>
          </cell>
          <cell r="J393" t="str">
            <v>ND</v>
          </cell>
          <cell r="K393" t="str">
            <v>ND</v>
          </cell>
          <cell r="L393" t="str">
            <v>ND</v>
          </cell>
          <cell r="M393" t="str">
            <v>ND</v>
          </cell>
          <cell r="N393">
            <v>190.2</v>
          </cell>
          <cell r="O393" t="str">
            <v>ND</v>
          </cell>
          <cell r="P393" t="str">
            <v>ND</v>
          </cell>
          <cell r="Q393">
            <v>54.2</v>
          </cell>
          <cell r="R393" t="str">
            <v>ND</v>
          </cell>
          <cell r="S393">
            <v>215.4</v>
          </cell>
          <cell r="T393">
            <v>51.9</v>
          </cell>
          <cell r="U393">
            <v>64.3</v>
          </cell>
          <cell r="V393">
            <v>58.8</v>
          </cell>
          <cell r="W393">
            <v>62.900000000000027</v>
          </cell>
          <cell r="X393">
            <v>237.90000000000003</v>
          </cell>
          <cell r="Y393">
            <v>57.4</v>
          </cell>
          <cell r="Z393">
            <v>65.3</v>
          </cell>
          <cell r="AA393">
            <v>59.2</v>
          </cell>
          <cell r="AB393">
            <v>60.300000000000004</v>
          </cell>
          <cell r="AC393">
            <v>242.2</v>
          </cell>
          <cell r="AD393">
            <v>55.5</v>
          </cell>
          <cell r="AE393">
            <v>61.5</v>
          </cell>
          <cell r="AF393">
            <v>65.400000000000006</v>
          </cell>
          <cell r="AG393">
            <v>69.299999999999983</v>
          </cell>
          <cell r="AH393">
            <v>251.7</v>
          </cell>
          <cell r="AI393">
            <v>68.5</v>
          </cell>
          <cell r="AJ393">
            <v>71.400000000000006</v>
          </cell>
          <cell r="AK393">
            <v>79.5</v>
          </cell>
          <cell r="AL393">
            <v>95.700000000000017</v>
          </cell>
          <cell r="AM393">
            <v>315.10000000000002</v>
          </cell>
          <cell r="AN393">
            <v>92.4</v>
          </cell>
          <cell r="AO393">
            <v>104.5</v>
          </cell>
          <cell r="AP393">
            <v>93.9</v>
          </cell>
          <cell r="AQ393">
            <v>104.49999999999997</v>
          </cell>
          <cell r="AR393">
            <v>395.29999999999995</v>
          </cell>
          <cell r="AS393">
            <v>107.4</v>
          </cell>
          <cell r="AT393">
            <v>105.3</v>
          </cell>
          <cell r="AU393">
            <v>109.8</v>
          </cell>
          <cell r="AV393">
            <v>123.00000000000001</v>
          </cell>
          <cell r="AW393">
            <v>445.5</v>
          </cell>
          <cell r="AX393">
            <v>112</v>
          </cell>
          <cell r="AY393">
            <v>125.1</v>
          </cell>
          <cell r="AZ393">
            <v>107.1</v>
          </cell>
          <cell r="BA393">
            <v>139.00000000000006</v>
          </cell>
          <cell r="BB393">
            <v>483.20000000000005</v>
          </cell>
          <cell r="BC393">
            <v>121</v>
          </cell>
          <cell r="BD393">
            <v>149.1</v>
          </cell>
          <cell r="BG393">
            <v>270.10000000000002</v>
          </cell>
          <cell r="BL393">
            <v>0</v>
          </cell>
          <cell r="BQ393">
            <v>0</v>
          </cell>
          <cell r="BZ393" t="str">
            <v xml:space="preserve">   Other</v>
          </cell>
          <cell r="CA393" t="str">
            <v>ND</v>
          </cell>
          <cell r="CB393" t="str">
            <v>ND</v>
          </cell>
          <cell r="CC393" t="str">
            <v>ND</v>
          </cell>
          <cell r="CD393" t="str">
            <v>ND</v>
          </cell>
          <cell r="CE393" t="str">
            <v>ND</v>
          </cell>
          <cell r="CF393" t="str">
            <v>ND</v>
          </cell>
          <cell r="CG393" t="str">
            <v>ND</v>
          </cell>
          <cell r="CH393">
            <v>190.2</v>
          </cell>
          <cell r="CI393">
            <v>215.4</v>
          </cell>
          <cell r="CJ393">
            <v>237.90000000000003</v>
          </cell>
          <cell r="CK393">
            <v>242.2</v>
          </cell>
          <cell r="CL393">
            <v>251.7</v>
          </cell>
          <cell r="CM393">
            <v>315.10000000000002</v>
          </cell>
          <cell r="CN393">
            <v>395.29999999999995</v>
          </cell>
          <cell r="CO393">
            <v>445.5</v>
          </cell>
        </row>
        <row r="394">
          <cell r="A394" t="str">
            <v>Total International</v>
          </cell>
          <cell r="C394">
            <v>100.9</v>
          </cell>
          <cell r="D394">
            <v>140.80000000000001</v>
          </cell>
          <cell r="E394">
            <v>173.4</v>
          </cell>
          <cell r="F394">
            <v>236</v>
          </cell>
          <cell r="G394">
            <v>342.5</v>
          </cell>
          <cell r="H394">
            <v>451.3</v>
          </cell>
          <cell r="I394">
            <v>527.1</v>
          </cell>
          <cell r="J394">
            <v>148.4</v>
          </cell>
          <cell r="K394">
            <v>165</v>
          </cell>
          <cell r="L394">
            <v>154.1</v>
          </cell>
          <cell r="M394">
            <v>178.70000000000002</v>
          </cell>
          <cell r="N394">
            <v>646.20000000000005</v>
          </cell>
          <cell r="O394">
            <v>161.30000000000001</v>
          </cell>
          <cell r="P394">
            <v>183.3</v>
          </cell>
          <cell r="Q394">
            <v>185.2</v>
          </cell>
          <cell r="R394">
            <v>229.49999999999989</v>
          </cell>
          <cell r="S394">
            <v>759.3</v>
          </cell>
          <cell r="T394">
            <v>204.4</v>
          </cell>
          <cell r="U394">
            <v>247</v>
          </cell>
          <cell r="V394">
            <v>218.10000000000002</v>
          </cell>
          <cell r="W394">
            <v>227.7</v>
          </cell>
          <cell r="X394">
            <v>897.2</v>
          </cell>
          <cell r="Y394">
            <v>197.8</v>
          </cell>
          <cell r="Z394">
            <v>224.10000000000002</v>
          </cell>
          <cell r="AA394">
            <v>215.10000000000002</v>
          </cell>
          <cell r="AB394">
            <v>208.30000000000004</v>
          </cell>
          <cell r="AC394">
            <v>845.3</v>
          </cell>
          <cell r="AD394">
            <v>200</v>
          </cell>
          <cell r="AE394">
            <v>213.6</v>
          </cell>
          <cell r="AF394">
            <v>222.1</v>
          </cell>
          <cell r="AG394">
            <v>240.70000000000002</v>
          </cell>
          <cell r="AH394">
            <v>876.40000000000009</v>
          </cell>
          <cell r="AI394">
            <v>222</v>
          </cell>
          <cell r="AJ394">
            <v>216.3</v>
          </cell>
          <cell r="AK394">
            <v>235</v>
          </cell>
          <cell r="AL394">
            <v>269.20000000000005</v>
          </cell>
          <cell r="AM394">
            <v>942.5</v>
          </cell>
          <cell r="AN394">
            <v>275.70000000000005</v>
          </cell>
          <cell r="AO394">
            <v>290.2</v>
          </cell>
          <cell r="AP394">
            <v>257</v>
          </cell>
          <cell r="AQ394">
            <v>280.7999999999999</v>
          </cell>
          <cell r="AR394">
            <v>1103.6999999999998</v>
          </cell>
          <cell r="AS394">
            <v>302.8</v>
          </cell>
          <cell r="AT394">
            <v>297</v>
          </cell>
          <cell r="AU394">
            <v>313.10000000000002</v>
          </cell>
          <cell r="AV394">
            <v>353.30000000000007</v>
          </cell>
          <cell r="AW394">
            <v>1266.2000000000003</v>
          </cell>
          <cell r="AX394">
            <v>325.7</v>
          </cell>
          <cell r="AY394">
            <v>347.6</v>
          </cell>
          <cell r="AZ394">
            <v>314.5</v>
          </cell>
          <cell r="BA394">
            <v>358.19999999999993</v>
          </cell>
          <cell r="BB394">
            <v>1346</v>
          </cell>
          <cell r="BC394">
            <v>341.6</v>
          </cell>
          <cell r="BD394">
            <v>412.4</v>
          </cell>
          <cell r="BG394">
            <v>754</v>
          </cell>
          <cell r="BL394">
            <v>0</v>
          </cell>
          <cell r="BQ394">
            <v>0</v>
          </cell>
          <cell r="BZ394" t="str">
            <v>Total International</v>
          </cell>
          <cell r="CA394">
            <v>100.9</v>
          </cell>
          <cell r="CB394">
            <v>140.80000000000001</v>
          </cell>
          <cell r="CC394">
            <v>173.4</v>
          </cell>
          <cell r="CD394">
            <v>236</v>
          </cell>
          <cell r="CE394">
            <v>342.5</v>
          </cell>
          <cell r="CF394">
            <v>451.3</v>
          </cell>
          <cell r="CG394">
            <v>527.1</v>
          </cell>
          <cell r="CH394">
            <v>646.20000000000005</v>
          </cell>
          <cell r="CI394">
            <v>759.3</v>
          </cell>
          <cell r="CJ394">
            <v>897.2</v>
          </cell>
          <cell r="CK394">
            <v>845.3</v>
          </cell>
          <cell r="CL394">
            <v>876.40000000000009</v>
          </cell>
          <cell r="CM394">
            <v>942.5</v>
          </cell>
          <cell r="CN394">
            <v>1103.6999999999998</v>
          </cell>
          <cell r="CO394">
            <v>1266.2000000000003</v>
          </cell>
        </row>
        <row r="395">
          <cell r="C395" t="str">
            <v xml:space="preserve">______ </v>
          </cell>
          <cell r="D395" t="str">
            <v xml:space="preserve">______ </v>
          </cell>
          <cell r="E395" t="str">
            <v xml:space="preserve">______ </v>
          </cell>
          <cell r="F395" t="str">
            <v xml:space="preserve">______ </v>
          </cell>
          <cell r="G395" t="str">
            <v xml:space="preserve">______ </v>
          </cell>
          <cell r="H395" t="str">
            <v xml:space="preserve">______ </v>
          </cell>
          <cell r="I395" t="str">
            <v xml:space="preserve">______ </v>
          </cell>
          <cell r="J395" t="str">
            <v xml:space="preserve">______ </v>
          </cell>
          <cell r="K395" t="str">
            <v xml:space="preserve">______ </v>
          </cell>
          <cell r="L395" t="str">
            <v xml:space="preserve">______ </v>
          </cell>
          <cell r="M395" t="str">
            <v xml:space="preserve">______ </v>
          </cell>
          <cell r="N395" t="str">
            <v xml:space="preserve">______ </v>
          </cell>
          <cell r="O395" t="str">
            <v xml:space="preserve">______ </v>
          </cell>
          <cell r="P395" t="str">
            <v xml:space="preserve">______ </v>
          </cell>
          <cell r="Q395" t="str">
            <v xml:space="preserve">______ </v>
          </cell>
          <cell r="R395" t="str">
            <v xml:space="preserve">______ </v>
          </cell>
          <cell r="S395" t="str">
            <v xml:space="preserve">______ </v>
          </cell>
          <cell r="T395" t="str">
            <v xml:space="preserve">______ </v>
          </cell>
          <cell r="U395" t="str">
            <v xml:space="preserve">______ </v>
          </cell>
          <cell r="V395" t="str">
            <v xml:space="preserve">______ </v>
          </cell>
          <cell r="W395" t="str">
            <v xml:space="preserve">______ </v>
          </cell>
          <cell r="X395" t="str">
            <v xml:space="preserve">______ </v>
          </cell>
          <cell r="Y395" t="str">
            <v xml:space="preserve">______ </v>
          </cell>
          <cell r="Z395" t="str">
            <v xml:space="preserve">______ </v>
          </cell>
          <cell r="AA395" t="str">
            <v xml:space="preserve">______ </v>
          </cell>
          <cell r="AB395" t="str">
            <v xml:space="preserve">______ </v>
          </cell>
          <cell r="AC395" t="str">
            <v xml:space="preserve">______ </v>
          </cell>
          <cell r="AD395" t="str">
            <v xml:space="preserve">______ </v>
          </cell>
          <cell r="AE395" t="str">
            <v xml:space="preserve">______ </v>
          </cell>
          <cell r="AF395" t="str">
            <v xml:space="preserve">______ </v>
          </cell>
          <cell r="AG395" t="str">
            <v xml:space="preserve">______ </v>
          </cell>
          <cell r="AH395" t="str">
            <v xml:space="preserve">______ </v>
          </cell>
          <cell r="AI395" t="str">
            <v xml:space="preserve">______ </v>
          </cell>
          <cell r="AJ395" t="str">
            <v xml:space="preserve">______ </v>
          </cell>
          <cell r="AK395" t="str">
            <v xml:space="preserve">______ </v>
          </cell>
          <cell r="AL395" t="str">
            <v xml:space="preserve">______ </v>
          </cell>
          <cell r="AM395" t="str">
            <v xml:space="preserve">______ </v>
          </cell>
          <cell r="AN395" t="str">
            <v xml:space="preserve">______ </v>
          </cell>
          <cell r="AO395" t="str">
            <v xml:space="preserve">______ </v>
          </cell>
          <cell r="AP395" t="str">
            <v xml:space="preserve">______ </v>
          </cell>
          <cell r="AQ395" t="str">
            <v xml:space="preserve">______ </v>
          </cell>
          <cell r="AR395" t="str">
            <v xml:space="preserve">______ </v>
          </cell>
          <cell r="AS395" t="str">
            <v xml:space="preserve">______ </v>
          </cell>
          <cell r="AT395" t="str">
            <v xml:space="preserve">______ </v>
          </cell>
          <cell r="AU395" t="str">
            <v xml:space="preserve">______ </v>
          </cell>
          <cell r="AV395" t="str">
            <v xml:space="preserve">______ </v>
          </cell>
          <cell r="AW395" t="str">
            <v xml:space="preserve">______ </v>
          </cell>
          <cell r="AX395" t="str">
            <v xml:space="preserve">______ </v>
          </cell>
          <cell r="AY395" t="str">
            <v xml:space="preserve">______ </v>
          </cell>
          <cell r="AZ395" t="str">
            <v xml:space="preserve">______ </v>
          </cell>
          <cell r="BA395" t="str">
            <v xml:space="preserve">______ </v>
          </cell>
          <cell r="BB395" t="str">
            <v xml:space="preserve">______ </v>
          </cell>
          <cell r="BC395" t="str">
            <v xml:space="preserve">______ </v>
          </cell>
          <cell r="BD395" t="str">
            <v xml:space="preserve">______ </v>
          </cell>
          <cell r="BE395" t="str">
            <v xml:space="preserve">______ </v>
          </cell>
          <cell r="BF395" t="str">
            <v xml:space="preserve">______ </v>
          </cell>
          <cell r="BG395" t="str">
            <v xml:space="preserve">______ </v>
          </cell>
          <cell r="BH395" t="str">
            <v xml:space="preserve">______ </v>
          </cell>
          <cell r="BI395" t="str">
            <v xml:space="preserve">______ </v>
          </cell>
          <cell r="BJ395" t="str">
            <v xml:space="preserve">______ </v>
          </cell>
          <cell r="BK395" t="str">
            <v xml:space="preserve">______ </v>
          </cell>
          <cell r="BL395" t="str">
            <v xml:space="preserve">______ </v>
          </cell>
          <cell r="BM395" t="str">
            <v xml:space="preserve">______ </v>
          </cell>
          <cell r="BN395" t="str">
            <v xml:space="preserve">______ </v>
          </cell>
          <cell r="BO395" t="str">
            <v xml:space="preserve">______ </v>
          </cell>
          <cell r="BP395" t="str">
            <v xml:space="preserve">______ </v>
          </cell>
          <cell r="BQ395" t="str">
            <v xml:space="preserve">______ </v>
          </cell>
          <cell r="BR395" t="str">
            <v xml:space="preserve">______ </v>
          </cell>
          <cell r="BS395" t="str">
            <v xml:space="preserve">______ </v>
          </cell>
          <cell r="BT395" t="str">
            <v xml:space="preserve">______ </v>
          </cell>
          <cell r="BU395" t="str">
            <v xml:space="preserve">______ </v>
          </cell>
        </row>
        <row r="396">
          <cell r="A396" t="str">
            <v>Total Revenue</v>
          </cell>
          <cell r="C396">
            <v>513.9</v>
          </cell>
          <cell r="D396">
            <v>564.20000000000005</v>
          </cell>
          <cell r="E396">
            <v>602.29999999999995</v>
          </cell>
          <cell r="F396">
            <v>796.7</v>
          </cell>
          <cell r="G396">
            <v>1023.3</v>
          </cell>
          <cell r="H396">
            <v>1246.5999999999999</v>
          </cell>
          <cell r="I396">
            <v>1438.3000000000002</v>
          </cell>
          <cell r="J396">
            <v>390.5</v>
          </cell>
          <cell r="K396">
            <v>446.8</v>
          </cell>
          <cell r="L396">
            <v>421.1</v>
          </cell>
          <cell r="M396">
            <v>473.20000000000016</v>
          </cell>
          <cell r="N396">
            <v>1731.6000000000001</v>
          </cell>
          <cell r="O396">
            <v>440.2</v>
          </cell>
          <cell r="P396">
            <v>511.40000000000003</v>
          </cell>
          <cell r="Q396">
            <v>495.5</v>
          </cell>
          <cell r="R396">
            <v>589.99999999999989</v>
          </cell>
          <cell r="S396">
            <v>2037.1</v>
          </cell>
          <cell r="T396">
            <v>583</v>
          </cell>
          <cell r="U396">
            <v>646.1</v>
          </cell>
          <cell r="V396">
            <v>525</v>
          </cell>
          <cell r="W396">
            <v>504.90000000000003</v>
          </cell>
          <cell r="X396">
            <v>2259</v>
          </cell>
          <cell r="Y396">
            <v>430.70000000000005</v>
          </cell>
          <cell r="Z396">
            <v>487.6</v>
          </cell>
          <cell r="AA396">
            <v>433.40000000000003</v>
          </cell>
          <cell r="AB396">
            <v>403.7</v>
          </cell>
          <cell r="AC396">
            <v>1755.4</v>
          </cell>
          <cell r="AD396">
            <v>408.9</v>
          </cell>
          <cell r="AE396">
            <v>450.7</v>
          </cell>
          <cell r="AF396">
            <v>451.79999999999995</v>
          </cell>
          <cell r="AG396">
            <v>485.79999999999995</v>
          </cell>
          <cell r="AH396">
            <v>1797.2</v>
          </cell>
          <cell r="AI396">
            <v>476.6</v>
          </cell>
          <cell r="AJ396">
            <v>477.8</v>
          </cell>
          <cell r="AK396">
            <v>513.29999999999995</v>
          </cell>
          <cell r="AL396">
            <v>564.29999999999995</v>
          </cell>
          <cell r="AM396">
            <v>2032</v>
          </cell>
          <cell r="AN396">
            <v>577.1</v>
          </cell>
          <cell r="AO396">
            <v>605.20000000000005</v>
          </cell>
          <cell r="AP396">
            <v>531.29999999999995</v>
          </cell>
          <cell r="AQ396">
            <v>567.09999999999991</v>
          </cell>
          <cell r="AR396">
            <v>2280.6999999999998</v>
          </cell>
          <cell r="AS396">
            <v>646.79999999999995</v>
          </cell>
          <cell r="AT396">
            <v>640.79999999999995</v>
          </cell>
          <cell r="AU396">
            <v>688.5</v>
          </cell>
          <cell r="AV396">
            <v>754.2</v>
          </cell>
          <cell r="AW396">
            <v>2730.3</v>
          </cell>
          <cell r="AX396">
            <v>731.8</v>
          </cell>
          <cell r="AY396">
            <v>756</v>
          </cell>
          <cell r="AZ396">
            <v>705.5</v>
          </cell>
          <cell r="BA396">
            <v>779.2</v>
          </cell>
          <cell r="BB396">
            <v>2972.5</v>
          </cell>
          <cell r="BC396">
            <v>767.2</v>
          </cell>
          <cell r="BD396">
            <v>873.5</v>
          </cell>
          <cell r="BE396">
            <v>0</v>
          </cell>
          <cell r="BF396">
            <v>0</v>
          </cell>
          <cell r="BG396">
            <v>1640.7</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Z396" t="str">
            <v>Total Revenue</v>
          </cell>
          <cell r="CA396">
            <v>513.9</v>
          </cell>
          <cell r="CB396">
            <v>564.20000000000005</v>
          </cell>
          <cell r="CC396">
            <v>602.29999999999995</v>
          </cell>
          <cell r="CD396">
            <v>796.7</v>
          </cell>
          <cell r="CE396">
            <v>1023.3</v>
          </cell>
          <cell r="CF396">
            <v>1246.5999999999999</v>
          </cell>
          <cell r="CG396">
            <v>1438.3000000000002</v>
          </cell>
          <cell r="CH396">
            <v>1731.6000000000001</v>
          </cell>
          <cell r="CI396">
            <v>2037.1</v>
          </cell>
          <cell r="CJ396">
            <v>2259</v>
          </cell>
          <cell r="CK396">
            <v>1755.4</v>
          </cell>
          <cell r="CL396">
            <v>1797.2</v>
          </cell>
          <cell r="CM396">
            <v>2032</v>
          </cell>
          <cell r="CN396">
            <v>2280.6999999999998</v>
          </cell>
          <cell r="CO396">
            <v>2730.3</v>
          </cell>
        </row>
        <row r="398">
          <cell r="A398" t="str">
            <v>MIS:</v>
          </cell>
        </row>
        <row r="399">
          <cell r="A399" t="str">
            <v>U.S.</v>
          </cell>
          <cell r="AQ399">
            <v>0.56000000000000005</v>
          </cell>
          <cell r="AS399">
            <v>0.56999999999999995</v>
          </cell>
          <cell r="AT399">
            <v>0.57999999999999996</v>
          </cell>
          <cell r="AU399">
            <v>0.61</v>
          </cell>
          <cell r="AV399">
            <v>0.59</v>
          </cell>
          <cell r="AX399">
            <v>0.6</v>
          </cell>
          <cell r="AY399">
            <v>0.57999999999999996</v>
          </cell>
          <cell r="AZ399">
            <v>0.61</v>
          </cell>
          <cell r="BA399">
            <v>0.56999999999999995</v>
          </cell>
          <cell r="BB399">
            <v>0.59</v>
          </cell>
          <cell r="BC399">
            <v>0.6</v>
          </cell>
          <cell r="BD399">
            <v>0.56999999999999995</v>
          </cell>
        </row>
        <row r="400">
          <cell r="A400" t="str">
            <v>Non-U.S.</v>
          </cell>
          <cell r="AQ400">
            <v>0.44</v>
          </cell>
          <cell r="AS400">
            <v>0.43</v>
          </cell>
          <cell r="AT400">
            <v>0.42</v>
          </cell>
          <cell r="AU400">
            <v>0.39</v>
          </cell>
          <cell r="AV400">
            <v>0.41000000000000003</v>
          </cell>
          <cell r="AX400">
            <v>0.4</v>
          </cell>
          <cell r="AY400">
            <v>0.42000000000000004</v>
          </cell>
          <cell r="AZ400">
            <v>0.39</v>
          </cell>
          <cell r="BA400">
            <v>0.43000000000000005</v>
          </cell>
          <cell r="BB400">
            <v>0.41000000000000003</v>
          </cell>
          <cell r="BC400">
            <v>0.4</v>
          </cell>
          <cell r="BD400">
            <v>0.43000000000000005</v>
          </cell>
        </row>
        <row r="403">
          <cell r="A403" t="str">
            <v>MA:</v>
          </cell>
        </row>
        <row r="404">
          <cell r="A404" t="str">
            <v>U.S.</v>
          </cell>
          <cell r="AC404">
            <v>0.48</v>
          </cell>
          <cell r="AD404">
            <v>0.46</v>
          </cell>
          <cell r="AE404">
            <v>0.45</v>
          </cell>
          <cell r="AF404">
            <v>0.44</v>
          </cell>
          <cell r="AG404">
            <v>0.43</v>
          </cell>
          <cell r="AH404">
            <v>0.44</v>
          </cell>
          <cell r="AI404">
            <v>0.46</v>
          </cell>
          <cell r="AJ404">
            <v>0.45</v>
          </cell>
          <cell r="AK404">
            <v>0.46</v>
          </cell>
          <cell r="AL404">
            <v>0.39</v>
          </cell>
          <cell r="AM404">
            <v>0.44</v>
          </cell>
          <cell r="AN404">
            <v>0.43</v>
          </cell>
          <cell r="AO404">
            <v>0.42</v>
          </cell>
          <cell r="AP404">
            <v>0.42</v>
          </cell>
          <cell r="AQ404">
            <v>0.4</v>
          </cell>
          <cell r="AR404">
            <v>0.42</v>
          </cell>
          <cell r="AS404">
            <v>0.44</v>
          </cell>
          <cell r="AT404">
            <v>0.43</v>
          </cell>
          <cell r="AU404">
            <v>0.4</v>
          </cell>
          <cell r="AV404">
            <v>0.4</v>
          </cell>
          <cell r="AW404">
            <v>0.42</v>
          </cell>
          <cell r="AX404">
            <v>0.44</v>
          </cell>
          <cell r="AY404">
            <v>0.44</v>
          </cell>
          <cell r="AZ404">
            <v>0.44</v>
          </cell>
          <cell r="BA404">
            <v>0.46</v>
          </cell>
          <cell r="BB404">
            <v>0.45</v>
          </cell>
          <cell r="BC404">
            <v>0.46</v>
          </cell>
          <cell r="BD404">
            <v>0.43</v>
          </cell>
        </row>
        <row r="405">
          <cell r="A405" t="str">
            <v>Non-U.S.</v>
          </cell>
          <cell r="AC405">
            <v>0.52</v>
          </cell>
          <cell r="AD405">
            <v>0.54</v>
          </cell>
          <cell r="AE405">
            <v>0.55000000000000004</v>
          </cell>
          <cell r="AF405">
            <v>0.56000000000000005</v>
          </cell>
          <cell r="AG405">
            <v>0.57000000000000006</v>
          </cell>
          <cell r="AH405">
            <v>0.56000000000000005</v>
          </cell>
          <cell r="AI405">
            <v>0.54</v>
          </cell>
          <cell r="AJ405">
            <v>0.55000000000000004</v>
          </cell>
          <cell r="AK405">
            <v>0.54</v>
          </cell>
          <cell r="AL405">
            <v>0.61</v>
          </cell>
          <cell r="AM405">
            <v>0.56000000000000005</v>
          </cell>
          <cell r="AN405">
            <v>0.57000000000000006</v>
          </cell>
          <cell r="AO405">
            <v>0.58000000000000007</v>
          </cell>
          <cell r="AP405">
            <v>0.58000000000000007</v>
          </cell>
          <cell r="AQ405">
            <v>0.6</v>
          </cell>
          <cell r="AR405">
            <v>0.58000000000000007</v>
          </cell>
          <cell r="AS405">
            <v>0.56000000000000005</v>
          </cell>
          <cell r="AT405">
            <v>0.57000000000000006</v>
          </cell>
          <cell r="AU405">
            <v>0.6</v>
          </cell>
          <cell r="AV405">
            <v>0.6</v>
          </cell>
          <cell r="AW405">
            <v>0.58000000000000007</v>
          </cell>
          <cell r="AX405">
            <v>0.56000000000000005</v>
          </cell>
          <cell r="AY405">
            <v>0.56000000000000005</v>
          </cell>
          <cell r="AZ405">
            <v>0.56000000000000005</v>
          </cell>
          <cell r="BA405">
            <v>0.54</v>
          </cell>
          <cell r="BB405">
            <v>0.55000000000000004</v>
          </cell>
          <cell r="BC405">
            <v>0.54</v>
          </cell>
          <cell r="BD405">
            <v>0.57000000000000006</v>
          </cell>
        </row>
        <row r="409">
          <cell r="A409" t="str">
            <v>Operating and SG&amp;A</v>
          </cell>
          <cell r="BZ409" t="str">
            <v>Operating and SG&amp;A</v>
          </cell>
        </row>
        <row r="410">
          <cell r="A410" t="str">
            <v>MIS</v>
          </cell>
          <cell r="C410" t="str">
            <v>ND</v>
          </cell>
          <cell r="D410" t="str">
            <v>ND</v>
          </cell>
          <cell r="E410">
            <v>272.39999999999998</v>
          </cell>
          <cell r="F410">
            <v>352.9</v>
          </cell>
          <cell r="G410">
            <v>385.7</v>
          </cell>
          <cell r="H410">
            <v>462.2</v>
          </cell>
          <cell r="I410">
            <v>518</v>
          </cell>
          <cell r="J410">
            <v>145.30000000000001</v>
          </cell>
          <cell r="K410">
            <v>158.9</v>
          </cell>
          <cell r="L410">
            <v>153.5</v>
          </cell>
          <cell r="M410">
            <v>187.7</v>
          </cell>
          <cell r="N410">
            <v>645.40000000000009</v>
          </cell>
          <cell r="O410">
            <v>167.6</v>
          </cell>
          <cell r="P410">
            <v>185.1</v>
          </cell>
          <cell r="Q410">
            <v>190.5</v>
          </cell>
          <cell r="R410">
            <v>245.9</v>
          </cell>
          <cell r="S410">
            <v>789.1</v>
          </cell>
          <cell r="T410">
            <v>199.8</v>
          </cell>
          <cell r="U410">
            <v>206.2</v>
          </cell>
          <cell r="V410">
            <v>189.9</v>
          </cell>
          <cell r="W410">
            <v>163.5</v>
          </cell>
          <cell r="X410">
            <v>759.4</v>
          </cell>
          <cell r="Y410">
            <v>153.4</v>
          </cell>
          <cell r="Z410">
            <v>170.4</v>
          </cell>
          <cell r="AA410">
            <v>157.1</v>
          </cell>
          <cell r="AB410">
            <v>155.1</v>
          </cell>
          <cell r="AC410">
            <v>636</v>
          </cell>
          <cell r="AD410">
            <v>152.6</v>
          </cell>
          <cell r="AE410">
            <v>163.19999999999999</v>
          </cell>
          <cell r="AF410">
            <v>173.7</v>
          </cell>
          <cell r="AG410">
            <v>190.60000000000002</v>
          </cell>
          <cell r="AH410">
            <v>680.09999999999991</v>
          </cell>
          <cell r="AI410">
            <v>177.4</v>
          </cell>
          <cell r="AJ410">
            <v>180.3</v>
          </cell>
          <cell r="AK410">
            <v>204.3</v>
          </cell>
          <cell r="AL410">
            <v>219.5</v>
          </cell>
          <cell r="AM410">
            <v>781.5</v>
          </cell>
          <cell r="AN410">
            <v>200.6</v>
          </cell>
          <cell r="AO410">
            <v>205</v>
          </cell>
          <cell r="AP410">
            <v>200</v>
          </cell>
          <cell r="AQ410">
            <v>225.39999999999998</v>
          </cell>
          <cell r="AR410">
            <v>831</v>
          </cell>
          <cell r="AS410">
            <v>221.1</v>
          </cell>
          <cell r="AT410">
            <v>211.3</v>
          </cell>
          <cell r="AU410">
            <v>252.1</v>
          </cell>
          <cell r="AV410">
            <v>282.60000000000002</v>
          </cell>
          <cell r="AW410">
            <v>967.1</v>
          </cell>
          <cell r="AX410">
            <v>236.82537313432837</v>
          </cell>
          <cell r="AY410">
            <v>236.2</v>
          </cell>
          <cell r="AZ410">
            <v>235.6</v>
          </cell>
          <cell r="BA410">
            <v>266.5</v>
          </cell>
          <cell r="BB410">
            <v>975.12537313432836</v>
          </cell>
          <cell r="BC410">
            <v>245.7</v>
          </cell>
          <cell r="BD410">
            <v>268.89999999999998</v>
          </cell>
          <cell r="BE410">
            <v>238.2429343</v>
          </cell>
          <cell r="BF410">
            <v>261.18508173672728</v>
          </cell>
          <cell r="BG410">
            <v>1014.0280160367272</v>
          </cell>
          <cell r="BH410">
            <v>262.55909938104003</v>
          </cell>
          <cell r="BI410">
            <v>306.81802747945994</v>
          </cell>
          <cell r="BJ410">
            <v>242.66888463495999</v>
          </cell>
          <cell r="BK410">
            <v>265.85823347345394</v>
          </cell>
          <cell r="BL410">
            <v>1077.9042449689139</v>
          </cell>
          <cell r="BM410">
            <v>267.25137502755018</v>
          </cell>
          <cell r="BN410">
            <v>311.95173161263443</v>
          </cell>
          <cell r="BO410">
            <v>247.15322654625191</v>
          </cell>
          <cell r="BP410">
            <v>270.59362578206463</v>
          </cell>
          <cell r="BQ410">
            <v>1096.9499589685013</v>
          </cell>
          <cell r="BR410">
            <v>1098.2948952620361</v>
          </cell>
          <cell r="BS410">
            <v>1099.589460453823</v>
          </cell>
          <cell r="BT410">
            <v>1100.8336852878263</v>
          </cell>
          <cell r="BU410">
            <v>1102.0276129887959</v>
          </cell>
          <cell r="BZ410" t="str">
            <v>MIS</v>
          </cell>
          <cell r="CC410">
            <v>272.39999999999998</v>
          </cell>
          <cell r="CD410">
            <v>352.9</v>
          </cell>
          <cell r="CE410">
            <v>385.7</v>
          </cell>
          <cell r="CF410">
            <v>462.2</v>
          </cell>
          <cell r="CG410">
            <v>518</v>
          </cell>
          <cell r="CH410">
            <v>645.40000000000009</v>
          </cell>
          <cell r="CI410">
            <v>789.1</v>
          </cell>
          <cell r="CJ410">
            <v>759.4</v>
          </cell>
          <cell r="CK410">
            <v>636</v>
          </cell>
          <cell r="CL410">
            <v>680.09999999999991</v>
          </cell>
          <cell r="CM410">
            <v>781.5</v>
          </cell>
          <cell r="CN410">
            <v>831</v>
          </cell>
          <cell r="CO410">
            <v>967.1</v>
          </cell>
          <cell r="CP410">
            <v>975.12537313432836</v>
          </cell>
          <cell r="CQ410">
            <v>1014.0280160367272</v>
          </cell>
          <cell r="CR410">
            <v>1077.9042449689139</v>
          </cell>
          <cell r="CS410">
            <v>1096.9499589685013</v>
          </cell>
          <cell r="CT410">
            <v>1098.2948952620361</v>
          </cell>
          <cell r="CU410">
            <v>1099.589460453823</v>
          </cell>
          <cell r="CV410">
            <v>1100.8336852878263</v>
          </cell>
          <cell r="CW410">
            <v>1102.0276129887959</v>
          </cell>
          <cell r="CY410">
            <v>1068.8051428972271</v>
          </cell>
        </row>
        <row r="411">
          <cell r="A411" t="str">
            <v>% of Revenue</v>
          </cell>
          <cell r="E411">
            <v>0.52424942263279439</v>
          </cell>
          <cell r="F411">
            <v>0.508208525345622</v>
          </cell>
          <cell r="G411">
            <v>0.45472765857109171</v>
          </cell>
          <cell r="H411">
            <v>0.45862274260766017</v>
          </cell>
          <cell r="I411">
            <v>0.45287637698898403</v>
          </cell>
          <cell r="J411">
            <v>0.47114137483787294</v>
          </cell>
          <cell r="K411">
            <v>0.43677844969763607</v>
          </cell>
          <cell r="L411">
            <v>0.46165413533834593</v>
          </cell>
          <cell r="M411">
            <v>0.49355771759137523</v>
          </cell>
          <cell r="N411">
            <v>0.46599277978339365</v>
          </cell>
          <cell r="O411">
            <v>0.4820247339660626</v>
          </cell>
          <cell r="P411">
            <v>0.44645441389290885</v>
          </cell>
          <cell r="Q411">
            <v>0.48240060774879712</v>
          </cell>
          <cell r="R411">
            <v>0.50953170327393282</v>
          </cell>
          <cell r="S411">
            <v>0.48121722161239178</v>
          </cell>
          <cell r="T411">
            <v>0.41153450051493307</v>
          </cell>
          <cell r="U411">
            <v>0.37932303164091247</v>
          </cell>
          <cell r="V411">
            <v>0.4533301503938888</v>
          </cell>
          <cell r="W411">
            <v>0.42204439855446563</v>
          </cell>
          <cell r="X411">
            <v>0.41375177073117581</v>
          </cell>
          <cell r="Y411">
            <v>0.48822406110757482</v>
          </cell>
          <cell r="Z411">
            <v>0.45868102288021534</v>
          </cell>
          <cell r="AA411">
            <v>0.5025591810620601</v>
          </cell>
          <cell r="AB411">
            <v>0.57444444444444442</v>
          </cell>
          <cell r="AC411">
            <v>0.5014586454308918</v>
          </cell>
          <cell r="AD411">
            <v>0.53562653562653562</v>
          </cell>
          <cell r="AE411">
            <v>0.5026178010471205</v>
          </cell>
          <cell r="AF411">
            <v>0.54315196998123827</v>
          </cell>
          <cell r="AG411">
            <v>0.54722939994257835</v>
          </cell>
          <cell r="AH411">
            <v>0.53228457384362515</v>
          </cell>
          <cell r="AI411">
            <v>0.5057012542759407</v>
          </cell>
          <cell r="AJ411">
            <v>0.52397558849171755</v>
          </cell>
          <cell r="AK411">
            <v>0.54669521006154664</v>
          </cell>
          <cell r="AL411">
            <v>0.55192356047271807</v>
          </cell>
          <cell r="AM411">
            <v>0.53297415262906633</v>
          </cell>
          <cell r="AN411">
            <v>0.4680354643023798</v>
          </cell>
          <cell r="AO411">
            <v>0.45134302069572879</v>
          </cell>
          <cell r="AP411">
            <v>0.543183052688756</v>
          </cell>
          <cell r="AQ411">
            <v>0.58743810268438867</v>
          </cell>
          <cell r="AR411">
            <v>0.50835015599192523</v>
          </cell>
          <cell r="AS411">
            <v>0.47062579821200501</v>
          </cell>
          <cell r="AT411">
            <v>0.46064966208851105</v>
          </cell>
          <cell r="AU411">
            <v>0.51312843476490944</v>
          </cell>
          <cell r="AV411">
            <v>0.52479108635097482</v>
          </cell>
          <cell r="AW411">
            <v>0.49384670377368123</v>
          </cell>
          <cell r="AX411">
            <v>0.43848430500708824</v>
          </cell>
          <cell r="AY411">
            <v>0.42459104799568581</v>
          </cell>
          <cell r="AZ411">
            <v>0.47337753666867594</v>
          </cell>
          <cell r="BA411">
            <v>0.48997977569406131</v>
          </cell>
          <cell r="BB411">
            <v>0.45609231671390477</v>
          </cell>
          <cell r="BC411">
            <v>0.44893111638954863</v>
          </cell>
          <cell r="BD411">
            <v>0.41780609073958974</v>
          </cell>
          <cell r="BE411">
            <v>0.49</v>
          </cell>
          <cell r="BF411">
            <v>0.49</v>
          </cell>
          <cell r="BG411">
            <v>0.45880696538888383</v>
          </cell>
          <cell r="BH411">
            <v>0.49</v>
          </cell>
          <cell r="BI411">
            <v>0.49</v>
          </cell>
          <cell r="BJ411">
            <v>0.49</v>
          </cell>
          <cell r="BK411">
            <v>0.49</v>
          </cell>
          <cell r="BL411">
            <v>0.48999999999999988</v>
          </cell>
          <cell r="BM411">
            <v>0.49</v>
          </cell>
          <cell r="BN411">
            <v>0.49</v>
          </cell>
          <cell r="BO411">
            <v>0.49</v>
          </cell>
          <cell r="BP411">
            <v>0.49</v>
          </cell>
          <cell r="BQ411">
            <v>0.49000000000000005</v>
          </cell>
          <cell r="BR411">
            <v>0.48500000000000004</v>
          </cell>
          <cell r="BS411">
            <v>0.48000000000000004</v>
          </cell>
          <cell r="BT411">
            <v>0.47500000000000003</v>
          </cell>
          <cell r="BU411">
            <v>0.47000000000000003</v>
          </cell>
          <cell r="BZ411" t="str">
            <v>% of Revenue</v>
          </cell>
          <cell r="CC411">
            <v>0.52424942263279439</v>
          </cell>
          <cell r="CD411">
            <v>0.508208525345622</v>
          </cell>
          <cell r="CE411">
            <v>0.45472765857109171</v>
          </cell>
          <cell r="CF411">
            <v>0.45862274260766017</v>
          </cell>
          <cell r="CG411">
            <v>0.45287637698898403</v>
          </cell>
          <cell r="CH411">
            <v>0.46599277978339365</v>
          </cell>
          <cell r="CI411">
            <v>0.48121722161239178</v>
          </cell>
          <cell r="CJ411">
            <v>0.41375177073117581</v>
          </cell>
          <cell r="CK411">
            <v>0.5014586454308918</v>
          </cell>
          <cell r="CL411">
            <v>0.53228457384362515</v>
          </cell>
          <cell r="CM411">
            <v>0.53297415262906633</v>
          </cell>
          <cell r="CN411">
            <v>0.50835015599192523</v>
          </cell>
          <cell r="CO411">
            <v>0.49384670377368123</v>
          </cell>
          <cell r="CP411">
            <v>0.45609231671390477</v>
          </cell>
          <cell r="CQ411">
            <v>0.45880696538888383</v>
          </cell>
          <cell r="CR411">
            <v>0.48999999999999988</v>
          </cell>
          <cell r="CS411">
            <v>0.49000000000000005</v>
          </cell>
          <cell r="CT411">
            <v>0.48500000000000004</v>
          </cell>
          <cell r="CU411">
            <v>0.48000000000000004</v>
          </cell>
          <cell r="CV411">
            <v>0.47500000000000003</v>
          </cell>
          <cell r="CW411">
            <v>0.47000000000000003</v>
          </cell>
        </row>
        <row r="412">
          <cell r="A412" t="str">
            <v>BULL</v>
          </cell>
          <cell r="BE412">
            <v>0.47499999999999998</v>
          </cell>
          <cell r="BF412">
            <v>0.47499999999999998</v>
          </cell>
          <cell r="BH412">
            <v>0.47499999999999998</v>
          </cell>
          <cell r="BI412">
            <v>0.47499999999999998</v>
          </cell>
          <cell r="BJ412">
            <v>0.47499999999999998</v>
          </cell>
          <cell r="BK412">
            <v>0.47499999999999998</v>
          </cell>
          <cell r="BM412">
            <v>0.47499999999999998</v>
          </cell>
          <cell r="BN412">
            <v>0.47499999999999998</v>
          </cell>
          <cell r="BO412">
            <v>0.47499999999999998</v>
          </cell>
          <cell r="BP412">
            <v>0.47499999999999998</v>
          </cell>
          <cell r="BR412">
            <v>0.47000000000000003</v>
          </cell>
          <cell r="BS412">
            <v>0.46500000000000002</v>
          </cell>
          <cell r="BT412">
            <v>0.46</v>
          </cell>
          <cell r="BU412">
            <v>0.45500000000000002</v>
          </cell>
        </row>
        <row r="413">
          <cell r="A413" t="str">
            <v>BASE</v>
          </cell>
          <cell r="BE413">
            <v>0.49</v>
          </cell>
          <cell r="BF413">
            <v>0.49</v>
          </cell>
          <cell r="BH413">
            <v>0.49</v>
          </cell>
          <cell r="BI413">
            <v>0.49</v>
          </cell>
          <cell r="BJ413">
            <v>0.49</v>
          </cell>
          <cell r="BK413">
            <v>0.49</v>
          </cell>
          <cell r="BM413">
            <v>0.49</v>
          </cell>
          <cell r="BN413">
            <v>0.49</v>
          </cell>
          <cell r="BO413">
            <v>0.49</v>
          </cell>
          <cell r="BP413">
            <v>0.49</v>
          </cell>
          <cell r="BR413">
            <v>0.48500000000000004</v>
          </cell>
          <cell r="BS413">
            <v>0.48000000000000004</v>
          </cell>
          <cell r="BT413">
            <v>0.47500000000000003</v>
          </cell>
          <cell r="BU413">
            <v>0.47000000000000003</v>
          </cell>
        </row>
        <row r="414">
          <cell r="A414" t="str">
            <v>BEAR</v>
          </cell>
          <cell r="BE414">
            <v>0.54</v>
          </cell>
          <cell r="BF414">
            <v>0.54</v>
          </cell>
          <cell r="BH414">
            <v>0.54</v>
          </cell>
          <cell r="BI414">
            <v>0.54</v>
          </cell>
          <cell r="BJ414">
            <v>0.54</v>
          </cell>
          <cell r="BK414">
            <v>0.54</v>
          </cell>
          <cell r="BM414">
            <v>0.54</v>
          </cell>
          <cell r="BN414">
            <v>0.54</v>
          </cell>
          <cell r="BO414">
            <v>0.54</v>
          </cell>
          <cell r="BP414">
            <v>0.54</v>
          </cell>
          <cell r="BR414">
            <v>0.53500000000000003</v>
          </cell>
          <cell r="BS414">
            <v>0.53</v>
          </cell>
          <cell r="BT414">
            <v>0.52500000000000002</v>
          </cell>
          <cell r="BU414">
            <v>0.52</v>
          </cell>
        </row>
        <row r="416">
          <cell r="A416" t="str">
            <v>Operating Margin (MIS)</v>
          </cell>
          <cell r="E416">
            <v>0.47575057736720561</v>
          </cell>
          <cell r="F416">
            <v>0.491791474654378</v>
          </cell>
          <cell r="G416">
            <v>0.54527234142890824</v>
          </cell>
          <cell r="H416">
            <v>0.54137725739233988</v>
          </cell>
          <cell r="I416">
            <v>0.54712362301101591</v>
          </cell>
          <cell r="J416">
            <v>0.52885862516212701</v>
          </cell>
          <cell r="K416">
            <v>0.56322155030236387</v>
          </cell>
          <cell r="L416">
            <v>0.53834586466165413</v>
          </cell>
          <cell r="M416">
            <v>0.50644228240862477</v>
          </cell>
          <cell r="N416">
            <v>0.5340072202166064</v>
          </cell>
          <cell r="O416">
            <v>0.5179752660339374</v>
          </cell>
          <cell r="P416">
            <v>0.55354558610709115</v>
          </cell>
          <cell r="Q416">
            <v>0.51759939225120288</v>
          </cell>
          <cell r="R416">
            <v>0.49046829672606718</v>
          </cell>
          <cell r="S416">
            <v>0.51878277838760822</v>
          </cell>
          <cell r="T416">
            <v>0.58846549948506688</v>
          </cell>
          <cell r="U416">
            <v>0.62067696835908759</v>
          </cell>
          <cell r="V416">
            <v>0.5466698496061112</v>
          </cell>
          <cell r="W416">
            <v>0.57795560144553437</v>
          </cell>
          <cell r="X416">
            <v>0.58624822926882425</v>
          </cell>
          <cell r="Y416">
            <v>0.51177593889242523</v>
          </cell>
          <cell r="Z416">
            <v>0.54131897711978461</v>
          </cell>
          <cell r="AA416">
            <v>0.4974408189379399</v>
          </cell>
          <cell r="AB416">
            <v>0.42555555555555558</v>
          </cell>
          <cell r="AC416">
            <v>0.4985413545691082</v>
          </cell>
          <cell r="AD416">
            <v>0.46437346437346438</v>
          </cell>
          <cell r="AE416">
            <v>0.4973821989528795</v>
          </cell>
          <cell r="AF416">
            <v>0.45684803001876173</v>
          </cell>
          <cell r="AG416">
            <v>0.45277060005742165</v>
          </cell>
          <cell r="AH416">
            <v>0.46771542615637485</v>
          </cell>
          <cell r="AI416">
            <v>0.4942987457240593</v>
          </cell>
          <cell r="AJ416">
            <v>0.47602441150828245</v>
          </cell>
          <cell r="AK416">
            <v>0.45330478993845336</v>
          </cell>
          <cell r="AL416">
            <v>0.44807643952728193</v>
          </cell>
          <cell r="AM416">
            <v>0.46702584737093367</v>
          </cell>
          <cell r="AN416">
            <v>0.53196453569762014</v>
          </cell>
          <cell r="AO416">
            <v>0.54865697930427126</v>
          </cell>
          <cell r="AP416">
            <v>0.456816947311244</v>
          </cell>
          <cell r="AQ416">
            <v>0.41256189731561133</v>
          </cell>
          <cell r="AR416">
            <v>0.49164984400807477</v>
          </cell>
          <cell r="AS416">
            <v>0.52937420178799499</v>
          </cell>
          <cell r="AT416">
            <v>0.53935033791148901</v>
          </cell>
          <cell r="AU416">
            <v>0.48687156523509056</v>
          </cell>
          <cell r="AV416">
            <v>0.47520891364902518</v>
          </cell>
          <cell r="AW416">
            <v>0.50615329622631877</v>
          </cell>
          <cell r="AX416">
            <v>0.56151569499291176</v>
          </cell>
          <cell r="AY416">
            <v>0.57540895200431419</v>
          </cell>
          <cell r="AZ416">
            <v>0.52662246333132412</v>
          </cell>
          <cell r="BA416">
            <v>0.51002022430593863</v>
          </cell>
          <cell r="BB416">
            <v>0.54390768328609518</v>
          </cell>
          <cell r="BC416">
            <v>0.55106888361045137</v>
          </cell>
          <cell r="BD416">
            <v>0.58219390926041026</v>
          </cell>
          <cell r="BE416">
            <v>0.51</v>
          </cell>
          <cell r="BF416">
            <v>0.51</v>
          </cell>
          <cell r="BG416">
            <v>0.54119303461111623</v>
          </cell>
          <cell r="BH416">
            <v>0.51</v>
          </cell>
          <cell r="BI416">
            <v>0.51</v>
          </cell>
          <cell r="BJ416">
            <v>0.51</v>
          </cell>
          <cell r="BK416">
            <v>0.51</v>
          </cell>
          <cell r="BL416">
            <v>0.51000000000000012</v>
          </cell>
          <cell r="BM416">
            <v>0.51</v>
          </cell>
          <cell r="BN416">
            <v>0.51</v>
          </cell>
          <cell r="BO416">
            <v>0.51</v>
          </cell>
          <cell r="BP416">
            <v>0.51</v>
          </cell>
          <cell r="BQ416">
            <v>0.51</v>
          </cell>
          <cell r="BR416">
            <v>0.5149999999999999</v>
          </cell>
          <cell r="BS416">
            <v>0.52</v>
          </cell>
          <cell r="BT416">
            <v>0.52499999999999991</v>
          </cell>
          <cell r="BU416">
            <v>0.53</v>
          </cell>
        </row>
        <row r="417">
          <cell r="A417" t="str">
            <v>Incremental Margin</v>
          </cell>
          <cell r="F417">
            <v>0.53947368421052655</v>
          </cell>
          <cell r="G417">
            <v>0.78673602080624139</v>
          </cell>
          <cell r="H417">
            <v>0.5206766917293244</v>
          </cell>
          <cell r="I417">
            <v>0.58970588235293986</v>
          </cell>
          <cell r="N417">
            <v>0.47180762852404612</v>
          </cell>
          <cell r="O417">
            <v>0.4325699745547088</v>
          </cell>
          <cell r="P417">
            <v>0.48425196850393731</v>
          </cell>
          <cell r="Q417">
            <v>0.40705128205128244</v>
          </cell>
          <cell r="R417">
            <v>0.43108504398827002</v>
          </cell>
          <cell r="S417">
            <v>0.4360282574568291</v>
          </cell>
          <cell r="T417">
            <v>0.76632801161103026</v>
          </cell>
          <cell r="U417">
            <v>0.83643410852713218</v>
          </cell>
          <cell r="V417">
            <v>1.0249999999999999</v>
          </cell>
          <cell r="W417">
            <v>0.13445378151260487</v>
          </cell>
          <cell r="X417">
            <v>1.1518404907975468</v>
          </cell>
          <cell r="Y417">
            <v>0.7291301809690599</v>
          </cell>
          <cell r="Z417">
            <v>0.79198140615921009</v>
          </cell>
          <cell r="AA417">
            <v>0.69143932267168362</v>
          </cell>
          <cell r="AB417">
            <v>0.92844974446337303</v>
          </cell>
          <cell r="AC417">
            <v>0.78240169282313543</v>
          </cell>
          <cell r="AD417">
            <v>0.97269624573378899</v>
          </cell>
          <cell r="AE417">
            <v>0.84615384615384603</v>
          </cell>
          <cell r="AF417">
            <v>-1.3055555555555625</v>
          </cell>
          <cell r="AG417">
            <v>0.54661558109833908</v>
          </cell>
          <cell r="AH417">
            <v>-3.6914893617020725</v>
          </cell>
          <cell r="AI417">
            <v>0.62367223065250377</v>
          </cell>
          <cell r="AJ417">
            <v>0.1185567010309308</v>
          </cell>
          <cell r="AK417">
            <v>0.43228200371057562</v>
          </cell>
          <cell r="AL417">
            <v>0.41497975708502177</v>
          </cell>
          <cell r="AM417">
            <v>0.46235418875927875</v>
          </cell>
          <cell r="AN417">
            <v>0.70179948586118235</v>
          </cell>
          <cell r="AO417">
            <v>0.7756584922797457</v>
          </cell>
          <cell r="AP417">
            <v>0.21818181818181095</v>
          </cell>
          <cell r="AQ417">
            <v>1.4214285714285735</v>
          </cell>
          <cell r="AR417">
            <v>0.70605700712588915</v>
          </cell>
          <cell r="AS417">
            <v>0.50242718446602064</v>
          </cell>
          <cell r="AT417">
            <v>-0.39999999999999619</v>
          </cell>
          <cell r="AU417">
            <v>0.57676685621445933</v>
          </cell>
          <cell r="AV417">
            <v>0.6304909560723515</v>
          </cell>
          <cell r="AW417">
            <v>0.57941903584672505</v>
          </cell>
          <cell r="AX417">
            <v>0.77631048173074879</v>
          </cell>
          <cell r="AY417">
            <v>0.74487704918032771</v>
          </cell>
          <cell r="AZ417">
            <v>3.5781249999999907</v>
          </cell>
          <cell r="BA417">
            <v>3.9814814814814929</v>
          </cell>
          <cell r="BB417">
            <v>0.95534016063256222</v>
          </cell>
          <cell r="BC417">
            <v>-0.23258706467660942</v>
          </cell>
          <cell r="BD417">
            <v>0.62542955326460525</v>
          </cell>
          <cell r="BE417">
            <v>1.2300217929961319</v>
          </cell>
          <cell r="BF417">
            <v>0.51101203205411183</v>
          </cell>
          <cell r="BG417">
            <v>0.46074043468792253</v>
          </cell>
          <cell r="BH417">
            <v>2.470470778502118</v>
          </cell>
          <cell r="BI417">
            <v>3.1741040496303023</v>
          </cell>
          <cell r="BJ417">
            <v>0.50999999999999845</v>
          </cell>
          <cell r="BK417">
            <v>0.51000000000000023</v>
          </cell>
          <cell r="BL417">
            <v>7.1798157819374344</v>
          </cell>
          <cell r="BM417">
            <v>0.50999999999999857</v>
          </cell>
          <cell r="BN417">
            <v>0.51</v>
          </cell>
          <cell r="BO417">
            <v>0.51000000000000112</v>
          </cell>
          <cell r="BP417">
            <v>0.50999999999999635</v>
          </cell>
          <cell r="BQ417">
            <v>0.50999999999999401</v>
          </cell>
          <cell r="BR417">
            <v>0.9479758871016003</v>
          </cell>
          <cell r="BS417">
            <v>0.95075043290995787</v>
          </cell>
          <cell r="BT417">
            <v>0.9534577347175639</v>
          </cell>
          <cell r="BU417">
            <v>0.9560975313399821</v>
          </cell>
        </row>
        <row r="420">
          <cell r="A420" t="str">
            <v>MA</v>
          </cell>
          <cell r="C420" t="str">
            <v>ND</v>
          </cell>
          <cell r="D420" t="str">
            <v>ND</v>
          </cell>
          <cell r="E420">
            <v>24.8</v>
          </cell>
          <cell r="F420">
            <v>28.3</v>
          </cell>
          <cell r="G420">
            <v>74.900000000000006</v>
          </cell>
          <cell r="H420">
            <v>88.7</v>
          </cell>
          <cell r="I420">
            <v>99.8</v>
          </cell>
          <cell r="J420">
            <v>24.1</v>
          </cell>
          <cell r="K420">
            <v>26.4</v>
          </cell>
          <cell r="L420">
            <v>26.9</v>
          </cell>
          <cell r="M420">
            <v>34</v>
          </cell>
          <cell r="N420">
            <v>111.4</v>
          </cell>
          <cell r="O420">
            <v>24.9</v>
          </cell>
          <cell r="P420">
            <v>27.9</v>
          </cell>
          <cell r="Q420">
            <v>26.4</v>
          </cell>
          <cell r="R420">
            <v>30.399999999999991</v>
          </cell>
          <cell r="S420">
            <v>109.59999999999998</v>
          </cell>
          <cell r="T420">
            <v>81.3</v>
          </cell>
          <cell r="U420">
            <v>80.5</v>
          </cell>
          <cell r="V420">
            <v>87.2</v>
          </cell>
          <cell r="W420">
            <v>82.2</v>
          </cell>
          <cell r="X420">
            <v>331.2</v>
          </cell>
          <cell r="Y420">
            <v>82.2</v>
          </cell>
          <cell r="Z420">
            <v>82.6</v>
          </cell>
          <cell r="AA420">
            <v>89.5</v>
          </cell>
          <cell r="AB420">
            <v>107.89999999999999</v>
          </cell>
          <cell r="AC420">
            <v>362.2</v>
          </cell>
          <cell r="AD420">
            <v>94.7</v>
          </cell>
          <cell r="AE420">
            <v>95.9</v>
          </cell>
          <cell r="AF420">
            <v>100.2</v>
          </cell>
          <cell r="AG420">
            <v>117.2</v>
          </cell>
          <cell r="AH420">
            <v>408</v>
          </cell>
          <cell r="AI420">
            <v>104.9</v>
          </cell>
          <cell r="AJ420">
            <v>109.4</v>
          </cell>
          <cell r="AK420">
            <v>119.4</v>
          </cell>
          <cell r="AL420">
            <v>148.20000000000002</v>
          </cell>
          <cell r="AM420">
            <v>481.90000000000009</v>
          </cell>
          <cell r="AN420">
            <v>127.3</v>
          </cell>
          <cell r="AO420">
            <v>127.2</v>
          </cell>
          <cell r="AP420">
            <v>135.4</v>
          </cell>
          <cell r="AQ420">
            <v>168.6</v>
          </cell>
          <cell r="AR420">
            <v>558.5</v>
          </cell>
          <cell r="AS420">
            <v>153.30000000000001</v>
          </cell>
          <cell r="AT420">
            <v>149.30000000000001</v>
          </cell>
          <cell r="AU420">
            <v>163.5</v>
          </cell>
          <cell r="AV420">
            <v>197.29999999999995</v>
          </cell>
          <cell r="AW420">
            <v>663.4</v>
          </cell>
          <cell r="AX420">
            <v>165.2</v>
          </cell>
          <cell r="AY420">
            <v>167.6</v>
          </cell>
          <cell r="AZ420">
            <v>177.6</v>
          </cell>
          <cell r="BA420">
            <v>201.70000000000007</v>
          </cell>
          <cell r="BB420">
            <v>712.1</v>
          </cell>
          <cell r="BC420">
            <v>190.2</v>
          </cell>
          <cell r="BD420">
            <v>195.8</v>
          </cell>
          <cell r="BE420">
            <v>191.80564649999999</v>
          </cell>
          <cell r="BF420">
            <v>216.41885399999998</v>
          </cell>
          <cell r="BG420">
            <v>794.22450049999998</v>
          </cell>
          <cell r="BH420">
            <v>203.89347250000003</v>
          </cell>
          <cell r="BI420">
            <v>212.5881115</v>
          </cell>
          <cell r="BJ420">
            <v>210.76620212374996</v>
          </cell>
          <cell r="BK420">
            <v>238.23813792999997</v>
          </cell>
          <cell r="BL420">
            <v>865.48592405374995</v>
          </cell>
          <cell r="BM420">
            <v>224.25950793375</v>
          </cell>
          <cell r="BN420">
            <v>233.85177337625001</v>
          </cell>
          <cell r="BO420">
            <v>231.72501120824063</v>
          </cell>
          <cell r="BP420">
            <v>262.39566549622498</v>
          </cell>
          <cell r="BQ420">
            <v>952.23195801446559</v>
          </cell>
          <cell r="BR420">
            <v>1033.0867953653074</v>
          </cell>
          <cell r="BS420">
            <v>1121.3104634401452</v>
          </cell>
          <cell r="BT420">
            <v>1217.6172475208659</v>
          </cell>
          <cell r="BU420">
            <v>1322.7940234367093</v>
          </cell>
          <cell r="BZ420" t="str">
            <v>MA</v>
          </cell>
          <cell r="CC420">
            <v>24.8</v>
          </cell>
          <cell r="CD420">
            <v>28.3</v>
          </cell>
          <cell r="CE420">
            <v>74.900000000000006</v>
          </cell>
          <cell r="CF420">
            <v>88.7</v>
          </cell>
          <cell r="CG420">
            <v>99.8</v>
          </cell>
          <cell r="CH420">
            <v>111.4</v>
          </cell>
          <cell r="CI420">
            <v>109.59999999999998</v>
          </cell>
          <cell r="CJ420">
            <v>331.2</v>
          </cell>
          <cell r="CK420">
            <v>362.2</v>
          </cell>
          <cell r="CL420">
            <v>408</v>
          </cell>
          <cell r="CM420">
            <v>481.90000000000009</v>
          </cell>
          <cell r="CN420">
            <v>558.5</v>
          </cell>
          <cell r="CO420">
            <v>663.4</v>
          </cell>
          <cell r="CP420">
            <v>712.1</v>
          </cell>
          <cell r="CQ420">
            <v>794.22450049999998</v>
          </cell>
          <cell r="CR420">
            <v>865.48592405374995</v>
          </cell>
          <cell r="CS420">
            <v>952.23195801446559</v>
          </cell>
          <cell r="CT420">
            <v>1033.0867953653074</v>
          </cell>
          <cell r="CU420">
            <v>1121.3104634401452</v>
          </cell>
          <cell r="CV420">
            <v>1217.6172475208659</v>
          </cell>
          <cell r="CW420">
            <v>1322.7940234367093</v>
          </cell>
          <cell r="CY420">
            <v>824.70608449999997</v>
          </cell>
        </row>
        <row r="421">
          <cell r="A421" t="str">
            <v>% of Revenue</v>
          </cell>
          <cell r="E421">
            <v>0.29987908101571947</v>
          </cell>
          <cell r="F421">
            <v>0.27663734115347022</v>
          </cell>
          <cell r="G421">
            <v>0.42775556824671623</v>
          </cell>
          <cell r="H421">
            <v>0.37144053601340032</v>
          </cell>
          <cell r="I421">
            <v>0.33887945670628183</v>
          </cell>
          <cell r="J421">
            <v>0.29354445797807555</v>
          </cell>
          <cell r="K421">
            <v>0.3180722891566265</v>
          </cell>
          <cell r="L421">
            <v>0.30361173814898418</v>
          </cell>
          <cell r="M421">
            <v>0.36598493003229277</v>
          </cell>
          <cell r="N421">
            <v>0.32140796306982111</v>
          </cell>
          <cell r="O421">
            <v>0.26918918918918916</v>
          </cell>
          <cell r="P421">
            <v>0.28822314049586778</v>
          </cell>
          <cell r="Q421">
            <v>0.2624254473161034</v>
          </cell>
          <cell r="R421">
            <v>0.28305400372439471</v>
          </cell>
          <cell r="S421">
            <v>0.27586206896551724</v>
          </cell>
          <cell r="T421">
            <v>0.7350813743218807</v>
          </cell>
          <cell r="U421">
            <v>0.69456427955133737</v>
          </cell>
          <cell r="V421">
            <v>0.72485453034081471</v>
          </cell>
          <cell r="W421">
            <v>0.62131519274376423</v>
          </cell>
          <cell r="X421">
            <v>0.69129618033813389</v>
          </cell>
          <cell r="Y421">
            <v>0.62037735849056608</v>
          </cell>
          <cell r="Z421">
            <v>0.62670713201820949</v>
          </cell>
          <cell r="AA421">
            <v>0.6551976573938505</v>
          </cell>
          <cell r="AB421">
            <v>0.72029372496662214</v>
          </cell>
          <cell r="AC421">
            <v>0.65770837116397318</v>
          </cell>
          <cell r="AD421">
            <v>0.68276856524873841</v>
          </cell>
          <cell r="AE421">
            <v>0.6830484330484331</v>
          </cell>
          <cell r="AF421">
            <v>0.68395904436860067</v>
          </cell>
          <cell r="AG421">
            <v>0.76153346328784921</v>
          </cell>
          <cell r="AH421">
            <v>0.70405522001725629</v>
          </cell>
          <cell r="AI421">
            <v>0.73152022315202236</v>
          </cell>
          <cell r="AJ421">
            <v>0.72163588390501321</v>
          </cell>
          <cell r="AK421">
            <v>0.75857687420584496</v>
          </cell>
          <cell r="AL421">
            <v>0.805872756933116</v>
          </cell>
          <cell r="AM421">
            <v>0.75734716328775753</v>
          </cell>
          <cell r="AN421">
            <v>0.76181926989826454</v>
          </cell>
          <cell r="AO421">
            <v>0.74911660777385169</v>
          </cell>
          <cell r="AP421">
            <v>0.74191780821917819</v>
          </cell>
          <cell r="AQ421">
            <v>0.83054187192118201</v>
          </cell>
          <cell r="AR421">
            <v>0.77311738648947959</v>
          </cell>
          <cell r="AS421">
            <v>0.7777777777777779</v>
          </cell>
          <cell r="AT421">
            <v>0.73728395061728391</v>
          </cell>
          <cell r="AU421">
            <v>0.74965612104539203</v>
          </cell>
          <cell r="AV421">
            <v>0.83038720538720512</v>
          </cell>
          <cell r="AW421">
            <v>0.77563428036946103</v>
          </cell>
          <cell r="AX421">
            <v>0.77413308341143383</v>
          </cell>
          <cell r="AY421">
            <v>0.75700090334236669</v>
          </cell>
          <cell r="AZ421">
            <v>0.77083333333333337</v>
          </cell>
          <cell r="BA421">
            <v>0.77726396917148388</v>
          </cell>
          <cell r="BB421">
            <v>0.77008759597707366</v>
          </cell>
          <cell r="BC421">
            <v>0.77727829995913356</v>
          </cell>
          <cell r="BD421">
            <v>0.76754214033712276</v>
          </cell>
          <cell r="BE421">
            <v>0.75800000000000001</v>
          </cell>
          <cell r="BF421">
            <v>0.75800000000000001</v>
          </cell>
          <cell r="BG421">
            <v>0.76488743418374117</v>
          </cell>
          <cell r="BH421">
            <v>0.75800000000000001</v>
          </cell>
          <cell r="BI421">
            <v>0.75800000000000001</v>
          </cell>
          <cell r="BJ421">
            <v>0.75800000000000001</v>
          </cell>
          <cell r="BK421">
            <v>0.75800000000000001</v>
          </cell>
          <cell r="BL421">
            <v>0.75800000000000001</v>
          </cell>
          <cell r="BM421">
            <v>0.75800000000000001</v>
          </cell>
          <cell r="BN421">
            <v>0.75800000000000001</v>
          </cell>
          <cell r="BO421">
            <v>0.75800000000000001</v>
          </cell>
          <cell r="BP421">
            <v>0.75800000000000001</v>
          </cell>
          <cell r="BQ421">
            <v>0.75800000000000001</v>
          </cell>
          <cell r="BR421">
            <v>0.753</v>
          </cell>
          <cell r="BS421">
            <v>0.748</v>
          </cell>
          <cell r="BT421">
            <v>0.74299999999999999</v>
          </cell>
          <cell r="BU421">
            <v>0.73799999999999999</v>
          </cell>
          <cell r="BZ421" t="str">
            <v>% of Revenue</v>
          </cell>
          <cell r="CC421">
            <v>0.29987908101571947</v>
          </cell>
          <cell r="CD421">
            <v>0.27663734115347022</v>
          </cell>
          <cell r="CE421">
            <v>0.42775556824671623</v>
          </cell>
          <cell r="CF421">
            <v>0.37144053601340032</v>
          </cell>
          <cell r="CG421">
            <v>0.33887945670628183</v>
          </cell>
          <cell r="CH421">
            <v>0.32140796306982111</v>
          </cell>
          <cell r="CI421">
            <v>0.27586206896551724</v>
          </cell>
          <cell r="CJ421">
            <v>0.69129618033813389</v>
          </cell>
          <cell r="CK421">
            <v>0.65770837116397318</v>
          </cell>
          <cell r="CL421">
            <v>0.70405522001725629</v>
          </cell>
          <cell r="CM421">
            <v>0.75734716328775753</v>
          </cell>
          <cell r="CN421">
            <v>0.77311738648947959</v>
          </cell>
          <cell r="CO421">
            <v>0.77563428036946103</v>
          </cell>
          <cell r="CP421">
            <v>0.77008759597707366</v>
          </cell>
          <cell r="CQ421">
            <v>0.76488743418374117</v>
          </cell>
          <cell r="CR421">
            <v>0.75800000000000001</v>
          </cell>
          <cell r="CS421">
            <v>0.75800000000000001</v>
          </cell>
          <cell r="CT421">
            <v>0.753</v>
          </cell>
          <cell r="CU421">
            <v>0.748</v>
          </cell>
          <cell r="CV421">
            <v>0.74299999999999999</v>
          </cell>
          <cell r="CW421">
            <v>0.73799999999999999</v>
          </cell>
        </row>
        <row r="422">
          <cell r="A422" t="str">
            <v>BULL</v>
          </cell>
          <cell r="BE422">
            <v>0.74299999999999999</v>
          </cell>
          <cell r="BF422">
            <v>0.74299999999999999</v>
          </cell>
          <cell r="BH422">
            <v>0.74299999999999999</v>
          </cell>
          <cell r="BI422">
            <v>0.74299999999999999</v>
          </cell>
          <cell r="BJ422">
            <v>0.74299999999999999</v>
          </cell>
          <cell r="BK422">
            <v>0.74299999999999999</v>
          </cell>
          <cell r="BM422">
            <v>0.74299999999999999</v>
          </cell>
          <cell r="BN422">
            <v>0.74299999999999999</v>
          </cell>
          <cell r="BO422">
            <v>0.74299999999999999</v>
          </cell>
          <cell r="BP422">
            <v>0.74299999999999999</v>
          </cell>
          <cell r="BR422">
            <v>0.73799999999999999</v>
          </cell>
          <cell r="BS422">
            <v>0.73299999999999998</v>
          </cell>
          <cell r="BT422">
            <v>0.72799999999999998</v>
          </cell>
          <cell r="BU422">
            <v>0.72299999999999998</v>
          </cell>
        </row>
        <row r="423">
          <cell r="A423" t="str">
            <v>BASE</v>
          </cell>
          <cell r="BE423">
            <v>0.75800000000000001</v>
          </cell>
          <cell r="BF423">
            <v>0.75800000000000001</v>
          </cell>
          <cell r="BH423">
            <v>0.75800000000000001</v>
          </cell>
          <cell r="BI423">
            <v>0.75800000000000001</v>
          </cell>
          <cell r="BJ423">
            <v>0.75800000000000001</v>
          </cell>
          <cell r="BK423">
            <v>0.75800000000000001</v>
          </cell>
          <cell r="BM423">
            <v>0.75800000000000001</v>
          </cell>
          <cell r="BN423">
            <v>0.75800000000000001</v>
          </cell>
          <cell r="BO423">
            <v>0.75800000000000001</v>
          </cell>
          <cell r="BP423">
            <v>0.75800000000000001</v>
          </cell>
          <cell r="BR423">
            <v>0.753</v>
          </cell>
          <cell r="BS423">
            <v>0.748</v>
          </cell>
          <cell r="BT423">
            <v>0.74299999999999999</v>
          </cell>
          <cell r="BU423">
            <v>0.73799999999999999</v>
          </cell>
        </row>
        <row r="424">
          <cell r="A424" t="str">
            <v>BEAR</v>
          </cell>
          <cell r="BE424">
            <v>0.80800000000000005</v>
          </cell>
          <cell r="BF424">
            <v>0.80800000000000005</v>
          </cell>
          <cell r="BH424">
            <v>0.80800000000000005</v>
          </cell>
          <cell r="BI424">
            <v>0.80800000000000005</v>
          </cell>
          <cell r="BJ424">
            <v>0.80800000000000005</v>
          </cell>
          <cell r="BK424">
            <v>0.80800000000000005</v>
          </cell>
          <cell r="BM424">
            <v>0.80800000000000005</v>
          </cell>
          <cell r="BN424">
            <v>0.80800000000000005</v>
          </cell>
          <cell r="BO424">
            <v>0.80800000000000005</v>
          </cell>
          <cell r="BP424">
            <v>0.80800000000000005</v>
          </cell>
          <cell r="BR424">
            <v>0.80300000000000005</v>
          </cell>
          <cell r="BS424">
            <v>0.79800000000000004</v>
          </cell>
          <cell r="BT424">
            <v>0.79300000000000004</v>
          </cell>
          <cell r="BU424">
            <v>0.78800000000000003</v>
          </cell>
        </row>
        <row r="426">
          <cell r="A426" t="str">
            <v>Operating Margin (MA)</v>
          </cell>
          <cell r="E426">
            <v>0.70012091898428053</v>
          </cell>
          <cell r="F426">
            <v>0.72336265884652984</v>
          </cell>
          <cell r="G426">
            <v>0.57224443175328377</v>
          </cell>
          <cell r="H426">
            <v>0.62855946398659968</v>
          </cell>
          <cell r="I426">
            <v>0.66112054329371817</v>
          </cell>
          <cell r="J426">
            <v>0.70645554202192451</v>
          </cell>
          <cell r="K426">
            <v>0.68192771084337345</v>
          </cell>
          <cell r="L426">
            <v>0.69638826185101577</v>
          </cell>
          <cell r="M426">
            <v>0.63401506996770718</v>
          </cell>
          <cell r="N426">
            <v>0.67859203693017889</v>
          </cell>
          <cell r="O426">
            <v>0.7308108108108109</v>
          </cell>
          <cell r="P426">
            <v>0.71177685950413228</v>
          </cell>
          <cell r="Q426">
            <v>0.7375745526838966</v>
          </cell>
          <cell r="R426">
            <v>0.71694599627560529</v>
          </cell>
          <cell r="S426">
            <v>0.72413793103448276</v>
          </cell>
          <cell r="T426">
            <v>0.2649186256781193</v>
          </cell>
          <cell r="U426">
            <v>0.30543572044866263</v>
          </cell>
          <cell r="V426">
            <v>0.27514546965918529</v>
          </cell>
          <cell r="W426">
            <v>0.37868480725623577</v>
          </cell>
          <cell r="X426">
            <v>0.30870381966186611</v>
          </cell>
          <cell r="Y426">
            <v>0.37962264150943392</v>
          </cell>
          <cell r="Z426">
            <v>0.37329286798179051</v>
          </cell>
          <cell r="AA426">
            <v>0.3448023426061495</v>
          </cell>
          <cell r="AB426">
            <v>0.27970627503337786</v>
          </cell>
          <cell r="AC426">
            <v>0.34229162883602682</v>
          </cell>
          <cell r="AD426">
            <v>0.31723143475126159</v>
          </cell>
          <cell r="AE426">
            <v>0.3169515669515669</v>
          </cell>
          <cell r="AF426">
            <v>0.31604095563139933</v>
          </cell>
          <cell r="AG426">
            <v>0.23846653671215079</v>
          </cell>
          <cell r="AH426">
            <v>0.29594477998274371</v>
          </cell>
          <cell r="AI426">
            <v>0.26847977684797764</v>
          </cell>
          <cell r="AJ426">
            <v>0.27836411609498679</v>
          </cell>
          <cell r="AK426">
            <v>0.24142312579415504</v>
          </cell>
          <cell r="AL426">
            <v>0.194127243066884</v>
          </cell>
          <cell r="AM426">
            <v>0.24265283671224247</v>
          </cell>
          <cell r="AN426">
            <v>0.23818073010173546</v>
          </cell>
          <cell r="AO426">
            <v>0.25088339222614831</v>
          </cell>
          <cell r="AP426">
            <v>0.25808219178082181</v>
          </cell>
          <cell r="AQ426">
            <v>0.16945812807881799</v>
          </cell>
          <cell r="AR426">
            <v>0.22688261351052041</v>
          </cell>
          <cell r="AS426">
            <v>0.2222222222222221</v>
          </cell>
          <cell r="AT426">
            <v>0.26271604938271609</v>
          </cell>
          <cell r="AU426">
            <v>0.25034387895460797</v>
          </cell>
          <cell r="AV426">
            <v>0.16961279461279488</v>
          </cell>
          <cell r="AW426">
            <v>0.22436571963053897</v>
          </cell>
          <cell r="AX426">
            <v>0.22586691658856617</v>
          </cell>
          <cell r="AY426">
            <v>0.24299909665763331</v>
          </cell>
          <cell r="AZ426">
            <v>0.22916666666666663</v>
          </cell>
          <cell r="BA426">
            <v>0.22273603082851612</v>
          </cell>
          <cell r="BB426">
            <v>0.22991240402292634</v>
          </cell>
          <cell r="BC426">
            <v>0.22272170004086644</v>
          </cell>
          <cell r="BD426">
            <v>0.23245785966287724</v>
          </cell>
          <cell r="BE426">
            <v>0.24199999999999999</v>
          </cell>
          <cell r="BF426">
            <v>0.24199999999999999</v>
          </cell>
          <cell r="BG426">
            <v>0.23511256581625883</v>
          </cell>
          <cell r="BH426">
            <v>0.24199999999999999</v>
          </cell>
          <cell r="BI426">
            <v>0.24199999999999999</v>
          </cell>
          <cell r="BJ426">
            <v>0.24199999999999999</v>
          </cell>
          <cell r="BK426">
            <v>0.24199999999999999</v>
          </cell>
          <cell r="BL426">
            <v>0.24199999999999999</v>
          </cell>
          <cell r="BM426">
            <v>0.24199999999999999</v>
          </cell>
          <cell r="BN426">
            <v>0.24199999999999999</v>
          </cell>
          <cell r="BO426">
            <v>0.24199999999999999</v>
          </cell>
          <cell r="BP426">
            <v>0.24199999999999999</v>
          </cell>
          <cell r="BQ426">
            <v>0.24199999999999999</v>
          </cell>
          <cell r="BR426">
            <v>0.247</v>
          </cell>
          <cell r="BS426">
            <v>0.252</v>
          </cell>
          <cell r="BT426">
            <v>0.25700000000000001</v>
          </cell>
          <cell r="BU426">
            <v>0.26200000000000001</v>
          </cell>
        </row>
        <row r="427">
          <cell r="A427" t="str">
            <v>Incremental Margin</v>
          </cell>
          <cell r="F427">
            <v>0.82142857142857173</v>
          </cell>
          <cell r="G427">
            <v>0.35989010989010972</v>
          </cell>
          <cell r="H427">
            <v>0.78335949764521229</v>
          </cell>
          <cell r="I427">
            <v>0.8007181328545776</v>
          </cell>
          <cell r="N427">
            <v>0.77735124760076801</v>
          </cell>
          <cell r="O427">
            <v>0.92307692307692335</v>
          </cell>
          <cell r="P427">
            <v>0.89130434782608792</v>
          </cell>
          <cell r="Q427">
            <v>1.0416666666666661</v>
          </cell>
          <cell r="R427">
            <v>1.2482758620689667</v>
          </cell>
          <cell r="S427">
            <v>1.0355029585798825</v>
          </cell>
          <cell r="T427">
            <v>-2.1160220994475152</v>
          </cell>
          <cell r="U427">
            <v>-1.7539267015706814</v>
          </cell>
          <cell r="V427">
            <v>-2.0862944162436547</v>
          </cell>
          <cell r="W427">
            <v>-1.0803212851405644</v>
          </cell>
          <cell r="X427">
            <v>-1.7090464547677238</v>
          </cell>
          <cell r="Y427">
            <v>0.95890410958904104</v>
          </cell>
          <cell r="Z427">
            <v>0.86792452830188616</v>
          </cell>
          <cell r="AA427">
            <v>0.85889570552147365</v>
          </cell>
          <cell r="AB427">
            <v>-0.46857142857142792</v>
          </cell>
          <cell r="AC427">
            <v>0.56703910614525044</v>
          </cell>
          <cell r="AD427">
            <v>-1.0161290322580694</v>
          </cell>
          <cell r="AE427">
            <v>-0.54651162790697394</v>
          </cell>
          <cell r="AF427">
            <v>-8.0808080808083577E-2</v>
          </cell>
          <cell r="AG427">
            <v>-1.2682926829268195</v>
          </cell>
          <cell r="AH427">
            <v>-0.59027777777777535</v>
          </cell>
          <cell r="AI427">
            <v>-1.1702127659574395</v>
          </cell>
          <cell r="AJ427">
            <v>-0.20535714285714282</v>
          </cell>
          <cell r="AK427">
            <v>-0.7614678899082562</v>
          </cell>
          <cell r="AL427">
            <v>-3.3333333333334783E-2</v>
          </cell>
          <cell r="AM427">
            <v>-0.30105633802817117</v>
          </cell>
          <cell r="AN427">
            <v>5.485232067510569E-2</v>
          </cell>
          <cell r="AO427">
            <v>2.1978021978021133E-2</v>
          </cell>
          <cell r="AP427">
            <v>0.36254980079681187</v>
          </cell>
          <cell r="AQ427">
            <v>-6.8062827225125619E-2</v>
          </cell>
          <cell r="AR427">
            <v>0.11033681765389179</v>
          </cell>
          <cell r="AS427">
            <v>0.13333333333333261</v>
          </cell>
          <cell r="AT427">
            <v>0.32415902140672853</v>
          </cell>
          <cell r="AU427">
            <v>0.21067415730337125</v>
          </cell>
          <cell r="AV427">
            <v>0.17052023121387316</v>
          </cell>
          <cell r="AW427">
            <v>0.21068472535741184</v>
          </cell>
          <cell r="AX427">
            <v>0.26993865030675124</v>
          </cell>
          <cell r="AY427">
            <v>3.1746031746031862E-2</v>
          </cell>
          <cell r="AZ427">
            <v>-0.14634146341463528</v>
          </cell>
          <cell r="BA427">
            <v>0.79908675799086226</v>
          </cell>
          <cell r="BB427">
            <v>0.29827089337175777</v>
          </cell>
          <cell r="BC427">
            <v>0.20127795527156533</v>
          </cell>
          <cell r="BD427">
            <v>0.16320474777447971</v>
          </cell>
          <cell r="BE427">
            <v>0.37259061247474279</v>
          </cell>
          <cell r="BF427">
            <v>0.43417314419713499</v>
          </cell>
          <cell r="BG427">
            <v>0.27742130883223109</v>
          </cell>
          <cell r="BH427">
            <v>0.43622160465235871</v>
          </cell>
          <cell r="BI427">
            <v>0.33798864319725608</v>
          </cell>
          <cell r="BJ427">
            <v>0.24200000000000021</v>
          </cell>
          <cell r="BK427">
            <v>0.24199999999999994</v>
          </cell>
          <cell r="BL427">
            <v>0.3111328117998679</v>
          </cell>
          <cell r="BM427">
            <v>0.24199999999999997</v>
          </cell>
          <cell r="BN427">
            <v>0.24199999999999988</v>
          </cell>
          <cell r="BO427">
            <v>0.24199999999999994</v>
          </cell>
          <cell r="BP427">
            <v>0.24199999999999988</v>
          </cell>
          <cell r="BQ427">
            <v>0.24199999999999991</v>
          </cell>
          <cell r="BR427">
            <v>0.30128010197554017</v>
          </cell>
          <cell r="BS427">
            <v>0.30596452950574188</v>
          </cell>
          <cell r="BT427">
            <v>0.31065085432645545</v>
          </cell>
          <cell r="BU427">
            <v>0.31533932459348069</v>
          </cell>
        </row>
        <row r="429">
          <cell r="A429" t="str">
            <v>Eliminations</v>
          </cell>
          <cell r="BZ429" t="str">
            <v>Eliminations</v>
          </cell>
        </row>
        <row r="430">
          <cell r="A430" t="str">
            <v>Operating &amp; SG&amp;A</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-13.1</v>
          </cell>
          <cell r="U430">
            <v>-13.4</v>
          </cell>
          <cell r="V430">
            <v>-14.2</v>
          </cell>
          <cell r="W430">
            <v>-14.799999999999999</v>
          </cell>
          <cell r="X430">
            <v>-55.5</v>
          </cell>
          <cell r="Y430">
            <v>-16</v>
          </cell>
          <cell r="Z430">
            <v>-15.7</v>
          </cell>
          <cell r="AA430">
            <v>-15.8</v>
          </cell>
          <cell r="AB430">
            <v>-16.100000000000001</v>
          </cell>
          <cell r="AC430">
            <v>-63.6</v>
          </cell>
          <cell r="AD430">
            <v>-14.7</v>
          </cell>
          <cell r="AE430">
            <v>-14.4</v>
          </cell>
          <cell r="AF430">
            <v>-14.5</v>
          </cell>
          <cell r="AG430">
            <v>-16.399999999999999</v>
          </cell>
          <cell r="AH430">
            <v>-60</v>
          </cell>
          <cell r="AI430">
            <v>-17.600000000000001</v>
          </cell>
          <cell r="AJ430">
            <v>-17.899999999999999</v>
          </cell>
          <cell r="AK430">
            <v>-17.8</v>
          </cell>
          <cell r="AL430">
            <v>-17.299999999999994</v>
          </cell>
          <cell r="AM430">
            <v>-70.599999999999994</v>
          </cell>
          <cell r="AN430">
            <v>-18.600000000000001</v>
          </cell>
          <cell r="AO430">
            <v>-18.8</v>
          </cell>
          <cell r="AP430">
            <v>-19.399999999999999</v>
          </cell>
          <cell r="AQ430">
            <v>-19.600000000000001</v>
          </cell>
          <cell r="AR430">
            <v>-76.400000000000006</v>
          </cell>
          <cell r="AS430">
            <v>-20.100000000000001</v>
          </cell>
          <cell r="AT430">
            <v>-20.399999999999999</v>
          </cell>
          <cell r="AU430">
            <v>-20.9</v>
          </cell>
          <cell r="AV430">
            <v>-21.9</v>
          </cell>
          <cell r="AW430">
            <v>-83.3</v>
          </cell>
          <cell r="AX430">
            <v>-21.7</v>
          </cell>
          <cell r="AY430">
            <v>-21.7</v>
          </cell>
          <cell r="AZ430">
            <v>-22.6</v>
          </cell>
          <cell r="BA430">
            <v>-24.199999999999992</v>
          </cell>
          <cell r="BB430">
            <v>-90.199999999999989</v>
          </cell>
          <cell r="BC430">
            <v>-24.8</v>
          </cell>
          <cell r="BD430">
            <v>-25.2</v>
          </cell>
          <cell r="BE430">
            <v>-24.03</v>
          </cell>
          <cell r="BF430">
            <v>-25.719999999999995</v>
          </cell>
          <cell r="BG430">
            <v>-99.75</v>
          </cell>
          <cell r="BH430">
            <v>-26.369999999999997</v>
          </cell>
          <cell r="BI430">
            <v>-26.79</v>
          </cell>
          <cell r="BJ430">
            <v>-25.576500000000003</v>
          </cell>
          <cell r="BK430">
            <v>-27.362499999999994</v>
          </cell>
          <cell r="BL430">
            <v>-106.099</v>
          </cell>
          <cell r="BM430">
            <v>-28.067999999999998</v>
          </cell>
          <cell r="BN430">
            <v>-28.509</v>
          </cell>
          <cell r="BO430">
            <v>-27.252075000000005</v>
          </cell>
          <cell r="BP430">
            <v>-29.140599999999996</v>
          </cell>
          <cell r="BQ430">
            <v>-112.969675</v>
          </cell>
          <cell r="BR430">
            <v>-120.41874250000001</v>
          </cell>
          <cell r="BS430">
            <v>-128.51035093750002</v>
          </cell>
          <cell r="BT430">
            <v>-137.31714049375003</v>
          </cell>
          <cell r="BU430">
            <v>-146.92146032921877</v>
          </cell>
          <cell r="BZ430" t="str">
            <v>Operating &amp; SG&amp;A</v>
          </cell>
          <cell r="CC430">
            <v>0</v>
          </cell>
          <cell r="CD430">
            <v>0</v>
          </cell>
          <cell r="CE430">
            <v>0</v>
          </cell>
          <cell r="CF430">
            <v>0</v>
          </cell>
          <cell r="CG430">
            <v>0</v>
          </cell>
          <cell r="CH430">
            <v>0</v>
          </cell>
          <cell r="CI430">
            <v>0</v>
          </cell>
          <cell r="CJ430">
            <v>-55.5</v>
          </cell>
          <cell r="CK430">
            <v>-63.6</v>
          </cell>
          <cell r="CL430">
            <v>-60</v>
          </cell>
          <cell r="CM430">
            <v>-70.599999999999994</v>
          </cell>
          <cell r="CN430">
            <v>-76.400000000000006</v>
          </cell>
          <cell r="CO430">
            <v>-83.3</v>
          </cell>
          <cell r="CP430">
            <v>-90.199999999999989</v>
          </cell>
          <cell r="CQ430">
            <v>-99.75</v>
          </cell>
          <cell r="CR430">
            <v>-106.099</v>
          </cell>
          <cell r="CS430">
            <v>-112.969675</v>
          </cell>
          <cell r="CT430">
            <v>-120.41874250000001</v>
          </cell>
          <cell r="CU430">
            <v>-128.51035093750002</v>
          </cell>
          <cell r="CV430">
            <v>-137.31714049375003</v>
          </cell>
          <cell r="CW430">
            <v>-146.92146032921877</v>
          </cell>
          <cell r="CY430">
            <v>-102.91</v>
          </cell>
        </row>
        <row r="433">
          <cell r="A433" t="str">
            <v>Total Operating &amp; SG&amp;A</v>
          </cell>
          <cell r="C433">
            <v>273</v>
          </cell>
          <cell r="D433">
            <v>280.8</v>
          </cell>
          <cell r="E433">
            <v>297.2</v>
          </cell>
          <cell r="F433">
            <v>381.2</v>
          </cell>
          <cell r="G433">
            <v>460.6</v>
          </cell>
          <cell r="H433">
            <v>550.9</v>
          </cell>
          <cell r="I433">
            <v>617.79999999999995</v>
          </cell>
          <cell r="J433">
            <v>169.4</v>
          </cell>
          <cell r="K433">
            <v>185.3</v>
          </cell>
          <cell r="L433">
            <v>180.4</v>
          </cell>
          <cell r="M433">
            <v>221.7</v>
          </cell>
          <cell r="N433">
            <v>756.8</v>
          </cell>
          <cell r="O433">
            <v>192.5</v>
          </cell>
          <cell r="P433">
            <v>213</v>
          </cell>
          <cell r="Q433">
            <v>216.9</v>
          </cell>
          <cell r="R433">
            <v>276.3</v>
          </cell>
          <cell r="S433">
            <v>898.7</v>
          </cell>
          <cell r="T433">
            <v>268</v>
          </cell>
          <cell r="U433">
            <v>273.3</v>
          </cell>
          <cell r="V433">
            <v>262.90000000000003</v>
          </cell>
          <cell r="W433">
            <v>230.89999999999998</v>
          </cell>
          <cell r="X433">
            <v>1035.0999999999999</v>
          </cell>
          <cell r="Y433">
            <v>219.60000000000002</v>
          </cell>
          <cell r="Z433">
            <v>237.3</v>
          </cell>
          <cell r="AA433">
            <v>230.79999999999998</v>
          </cell>
          <cell r="AB433">
            <v>246.9</v>
          </cell>
          <cell r="AC433">
            <v>934.6</v>
          </cell>
          <cell r="AD433">
            <v>232.60000000000002</v>
          </cell>
          <cell r="AE433">
            <v>244.70000000000002</v>
          </cell>
          <cell r="AF433">
            <v>259.39999999999998</v>
          </cell>
          <cell r="AG433">
            <v>291.40000000000003</v>
          </cell>
          <cell r="AH433">
            <v>1028.1000000000001</v>
          </cell>
          <cell r="AI433">
            <v>264.7</v>
          </cell>
          <cell r="AJ433">
            <v>271.80000000000007</v>
          </cell>
          <cell r="AK433">
            <v>305.90000000000003</v>
          </cell>
          <cell r="AL433">
            <v>350.40000000000003</v>
          </cell>
          <cell r="AM433">
            <v>1192.8000000000002</v>
          </cell>
          <cell r="AN433">
            <v>309.29999999999995</v>
          </cell>
          <cell r="AO433">
            <v>313.39999999999998</v>
          </cell>
          <cell r="AP433">
            <v>316</v>
          </cell>
          <cell r="AQ433">
            <v>374.4</v>
          </cell>
          <cell r="AR433">
            <v>1313.1</v>
          </cell>
          <cell r="AS433">
            <v>354.29999999999995</v>
          </cell>
          <cell r="AT433">
            <v>340.20000000000005</v>
          </cell>
          <cell r="AU433">
            <v>394.70000000000005</v>
          </cell>
          <cell r="AV433">
            <v>458</v>
          </cell>
          <cell r="AW433">
            <v>1547.2</v>
          </cell>
          <cell r="AX433">
            <v>380.32537313432834</v>
          </cell>
          <cell r="AY433">
            <v>382.09999999999997</v>
          </cell>
          <cell r="AZ433">
            <v>390.59999999999997</v>
          </cell>
          <cell r="BA433">
            <v>444.00000000000006</v>
          </cell>
          <cell r="BB433">
            <v>1597.0253731343282</v>
          </cell>
          <cell r="BC433">
            <v>411.09999999999997</v>
          </cell>
          <cell r="BD433">
            <v>439.5</v>
          </cell>
          <cell r="BE433">
            <v>406.0185808</v>
          </cell>
          <cell r="BF433">
            <v>451.88393573672732</v>
          </cell>
          <cell r="BG433">
            <v>1708.5025165367274</v>
          </cell>
          <cell r="BH433">
            <v>440.08257188104005</v>
          </cell>
          <cell r="BI433">
            <v>492.61613897945989</v>
          </cell>
          <cell r="BJ433">
            <v>427.85858675870998</v>
          </cell>
          <cell r="BK433">
            <v>476.73387140345386</v>
          </cell>
          <cell r="BL433">
            <v>1837.2911690226636</v>
          </cell>
          <cell r="BM433">
            <v>463.4428829613002</v>
          </cell>
          <cell r="BN433">
            <v>517.29450498888446</v>
          </cell>
          <cell r="BO433">
            <v>451.62616275449255</v>
          </cell>
          <cell r="BP433">
            <v>503.84869127828955</v>
          </cell>
          <cell r="BQ433">
            <v>1936.2122419829668</v>
          </cell>
          <cell r="BR433">
            <v>2010.9629481273432</v>
          </cell>
          <cell r="BS433">
            <v>2092.3895729564683</v>
          </cell>
          <cell r="BT433">
            <v>2181.1337923149422</v>
          </cell>
          <cell r="BU433">
            <v>2277.900176096286</v>
          </cell>
          <cell r="BZ433" t="str">
            <v>Total Operating &amp; SG&amp;A</v>
          </cell>
          <cell r="CA433">
            <v>273</v>
          </cell>
          <cell r="CB433">
            <v>280.8</v>
          </cell>
          <cell r="CC433">
            <v>297.2</v>
          </cell>
          <cell r="CD433">
            <v>381.2</v>
          </cell>
          <cell r="CE433">
            <v>460.6</v>
          </cell>
          <cell r="CF433">
            <v>550.9</v>
          </cell>
          <cell r="CG433">
            <v>617.79999999999995</v>
          </cell>
          <cell r="CH433">
            <v>756.8</v>
          </cell>
          <cell r="CI433">
            <v>898.7</v>
          </cell>
          <cell r="CJ433">
            <v>1035.0999999999999</v>
          </cell>
          <cell r="CK433">
            <v>934.6</v>
          </cell>
          <cell r="CL433">
            <v>1028.1000000000001</v>
          </cell>
          <cell r="CM433">
            <v>1192.8000000000002</v>
          </cell>
          <cell r="CN433">
            <v>1313.1</v>
          </cell>
          <cell r="CO433">
            <v>1547.2</v>
          </cell>
          <cell r="CP433">
            <v>1597.0253731343282</v>
          </cell>
          <cell r="CQ433">
            <v>1708.5025165367274</v>
          </cell>
          <cell r="CR433">
            <v>1837.2911690226636</v>
          </cell>
          <cell r="CS433">
            <v>1936.2122419829668</v>
          </cell>
          <cell r="CT433">
            <v>2010.9629481273432</v>
          </cell>
          <cell r="CU433">
            <v>2092.3895729564683</v>
          </cell>
          <cell r="CV433">
            <v>2181.1337923149422</v>
          </cell>
          <cell r="CW433">
            <v>2277.900176096286</v>
          </cell>
          <cell r="CY433">
            <v>1790.6012273972271</v>
          </cell>
        </row>
        <row r="434">
          <cell r="A434" t="str">
            <v>Operating Margin</v>
          </cell>
          <cell r="C434">
            <v>0.43880132321463333</v>
          </cell>
          <cell r="D434">
            <v>0.47926267281105994</v>
          </cell>
          <cell r="E434">
            <v>0.47899717748630255</v>
          </cell>
          <cell r="F434">
            <v>0.50018827664114474</v>
          </cell>
          <cell r="G434">
            <v>0.52584774748363139</v>
          </cell>
          <cell r="H434">
            <v>0.53192684100754051</v>
          </cell>
          <cell r="I434">
            <v>0.54675658763818402</v>
          </cell>
          <cell r="J434">
            <v>0.54417413572343154</v>
          </cell>
          <cell r="K434">
            <v>0.56580125335720677</v>
          </cell>
          <cell r="L434">
            <v>0.55070054618855369</v>
          </cell>
          <cell r="M434">
            <v>0.51225697379543533</v>
          </cell>
          <cell r="N434">
            <v>0.54261954261954259</v>
          </cell>
          <cell r="O434">
            <v>0.54134484325306687</v>
          </cell>
          <cell r="P434">
            <v>0.56531091122409072</v>
          </cell>
          <cell r="Q434">
            <v>0.54248234106962656</v>
          </cell>
          <cell r="R434">
            <v>0.51305084745762708</v>
          </cell>
          <cell r="S434">
            <v>0.53944332629718716</v>
          </cell>
          <cell r="T434">
            <v>0.52264150943396226</v>
          </cell>
          <cell r="U434">
            <v>0.56291595728215438</v>
          </cell>
          <cell r="V434">
            <v>0.47714285714285704</v>
          </cell>
          <cell r="W434">
            <v>0.51911269558328388</v>
          </cell>
          <cell r="X434">
            <v>0.52279769809650289</v>
          </cell>
          <cell r="Y434">
            <v>0.46110982122126765</v>
          </cell>
          <cell r="Z434">
            <v>0.4788761279737489</v>
          </cell>
          <cell r="AA434">
            <v>0.43377941855099228</v>
          </cell>
          <cell r="AB434">
            <v>0.3111221203864255</v>
          </cell>
          <cell r="AC434">
            <v>0.42480346359804028</v>
          </cell>
          <cell r="AD434">
            <v>0.39300562484715079</v>
          </cell>
          <cell r="AE434">
            <v>0.42223208342578195</v>
          </cell>
          <cell r="AF434">
            <v>0.38999557326250561</v>
          </cell>
          <cell r="AG434">
            <v>0.36599423631123901</v>
          </cell>
          <cell r="AH434">
            <v>0.39227687513910525</v>
          </cell>
          <cell r="AI434">
            <v>0.4114561477129669</v>
          </cell>
          <cell r="AJ434">
            <v>0.39933026370866459</v>
          </cell>
          <cell r="AK434">
            <v>0.36879018118059609</v>
          </cell>
          <cell r="AL434">
            <v>0.34857345383661176</v>
          </cell>
          <cell r="AM434">
            <v>0.38036417322834637</v>
          </cell>
          <cell r="AN434">
            <v>0.43337376537861733</v>
          </cell>
          <cell r="AO434">
            <v>0.4461335095836087</v>
          </cell>
          <cell r="AP434">
            <v>0.36947110860154331</v>
          </cell>
          <cell r="AQ434">
            <v>0.30329747839887167</v>
          </cell>
          <cell r="AR434">
            <v>0.38952953040733107</v>
          </cell>
          <cell r="AS434">
            <v>0.41589363017934461</v>
          </cell>
          <cell r="AT434">
            <v>0.43461298377028701</v>
          </cell>
          <cell r="AU434">
            <v>0.39172113289760341</v>
          </cell>
          <cell r="AV434">
            <v>0.36117740652346869</v>
          </cell>
          <cell r="AW434">
            <v>0.39907702450280191</v>
          </cell>
          <cell r="AX434">
            <v>0.44803857183065271</v>
          </cell>
          <cell r="AY434">
            <v>0.46402116402116406</v>
          </cell>
          <cell r="AZ434">
            <v>0.41318214032601003</v>
          </cell>
          <cell r="BA434">
            <v>0.40028234086242293</v>
          </cell>
          <cell r="BB434">
            <v>0.43131190138458259</v>
          </cell>
          <cell r="BC434">
            <v>0.43404588112617315</v>
          </cell>
          <cell r="BD434">
            <v>0.47132226674298794</v>
          </cell>
          <cell r="BE434">
            <v>0.40678848233322973</v>
          </cell>
          <cell r="BF434">
            <v>0.40450283365279383</v>
          </cell>
          <cell r="BG434">
            <v>0.43075676368124227</v>
          </cell>
          <cell r="BH434">
            <v>0.40914132788463103</v>
          </cell>
          <cell r="BI434">
            <v>0.41457033043970942</v>
          </cell>
          <cell r="BJ434">
            <v>0.40225423899894508</v>
          </cell>
          <cell r="BK434">
            <v>0.39974867781602097</v>
          </cell>
          <cell r="BL434">
            <v>0.40661799183223341</v>
          </cell>
          <cell r="BM434">
            <v>0.40457015922787526</v>
          </cell>
          <cell r="BN434">
            <v>0.41013206303315952</v>
          </cell>
          <cell r="BO434">
            <v>0.39756911212794832</v>
          </cell>
          <cell r="BP434">
            <v>0.3948408849396684</v>
          </cell>
          <cell r="BQ434">
            <v>0.40195634906270583</v>
          </cell>
          <cell r="BR434">
            <v>0.39806483527621672</v>
          </cell>
          <cell r="BS434">
            <v>0.39852420702359809</v>
          </cell>
          <cell r="BT434">
            <v>0.39887491966970934</v>
          </cell>
          <cell r="BU434">
            <v>0.39912945830837349</v>
          </cell>
        </row>
        <row r="435">
          <cell r="A435" t="str">
            <v xml:space="preserve">    Incremental Margin</v>
          </cell>
          <cell r="D435">
            <v>0.89264413518886598</v>
          </cell>
          <cell r="E435">
            <v>0.4750656167979006</v>
          </cell>
          <cell r="F435">
            <v>0.56584362139917699</v>
          </cell>
          <cell r="G435">
            <v>0.61606354810238284</v>
          </cell>
          <cell r="H435">
            <v>0.55978504254366357</v>
          </cell>
          <cell r="I435">
            <v>0.64319248826291098</v>
          </cell>
          <cell r="N435">
            <v>0.52233208319127122</v>
          </cell>
          <cell r="O435">
            <v>0.51911468812877293</v>
          </cell>
          <cell r="P435">
            <v>0.56191950464396245</v>
          </cell>
          <cell r="Q435">
            <v>0.4959677419354841</v>
          </cell>
          <cell r="R435">
            <v>0.51626712328767133</v>
          </cell>
          <cell r="S435">
            <v>0.52144026186579362</v>
          </cell>
          <cell r="T435">
            <v>0.46498599439775889</v>
          </cell>
          <cell r="U435">
            <v>0.55382331106161797</v>
          </cell>
          <cell r="V435">
            <v>-0.62033898305084789</v>
          </cell>
          <cell r="W435">
            <v>0.4770857814336073</v>
          </cell>
          <cell r="X435">
            <v>0.3699864803965755</v>
          </cell>
          <cell r="Y435">
            <v>0.69665134602757728</v>
          </cell>
          <cell r="Z435">
            <v>0.82145110410094624</v>
          </cell>
          <cell r="AA435">
            <v>0.68231441048034835</v>
          </cell>
          <cell r="AB435">
            <v>1.3488142292490117</v>
          </cell>
          <cell r="AC435">
            <v>0.86437648927720423</v>
          </cell>
          <cell r="AD435">
            <v>1.7385321100917426</v>
          </cell>
          <cell r="AE435">
            <v>1.1707317073170733</v>
          </cell>
          <cell r="AF435">
            <v>-0.64130434782608836</v>
          </cell>
          <cell r="AG435">
            <v>0.63580998781973141</v>
          </cell>
          <cell r="AH435">
            <v>-0.97368421052630716</v>
          </cell>
          <cell r="AI435">
            <v>0.52289512555391493</v>
          </cell>
          <cell r="AJ435">
            <v>1.8450184501847062E-2</v>
          </cell>
          <cell r="AK435">
            <v>0.21300813008130007</v>
          </cell>
          <cell r="AL435">
            <v>0.24076433121019261</v>
          </cell>
          <cell r="AM435">
            <v>0.2891822827938666</v>
          </cell>
          <cell r="AN435">
            <v>0.53731343283582145</v>
          </cell>
          <cell r="AO435">
            <v>0.6216640502354791</v>
          </cell>
          <cell r="AP435">
            <v>0.38888888888888817</v>
          </cell>
          <cell r="AQ435">
            <v>-8.8214285714283118</v>
          </cell>
          <cell r="AR435">
            <v>0.46441495778045871</v>
          </cell>
          <cell r="AS435">
            <v>0.27116212338594003</v>
          </cell>
          <cell r="AT435">
            <v>0.23876404494381848</v>
          </cell>
          <cell r="AU435">
            <v>0.46692111959287502</v>
          </cell>
          <cell r="AV435">
            <v>0.53661143773383202</v>
          </cell>
          <cell r="AW435">
            <v>0.44750889679715328</v>
          </cell>
          <cell r="AX435">
            <v>0.69264266900790106</v>
          </cell>
          <cell r="AY435">
            <v>0.62760416666666752</v>
          </cell>
          <cell r="AZ435">
            <v>1.282352941176478</v>
          </cell>
          <cell r="BA435">
            <v>1.5800000000000003</v>
          </cell>
          <cell r="BB435">
            <v>0.79469292677816561</v>
          </cell>
          <cell r="BC435">
            <v>0.1447845518171853</v>
          </cell>
          <cell r="BD435">
            <v>0.51829787234042535</v>
          </cell>
          <cell r="BE435">
            <v>-5.7191072308439894E-2</v>
          </cell>
          <cell r="BF435">
            <v>0.64589018800509301</v>
          </cell>
          <cell r="BG435">
            <v>0.42139399472683398</v>
          </cell>
          <cell r="BH435">
            <v>-1.2886881635727814</v>
          </cell>
          <cell r="BI435">
            <v>-7.418707163543889</v>
          </cell>
          <cell r="BJ435">
            <v>0.30246986878105492</v>
          </cell>
          <cell r="BK435">
            <v>0.29698913055408555</v>
          </cell>
          <cell r="BL435">
            <v>-0.46942056924363584</v>
          </cell>
          <cell r="BM435">
            <v>0.30215770580265583</v>
          </cell>
          <cell r="BN435">
            <v>0.30404987615353224</v>
          </cell>
          <cell r="BO435">
            <v>0.29783834710295537</v>
          </cell>
          <cell r="BP435">
            <v>0.29244058042861315</v>
          </cell>
          <cell r="BQ435">
            <v>0.29895919367346652</v>
          </cell>
          <cell r="BR435">
            <v>0.29993829941587524</v>
          </cell>
          <cell r="BS435">
            <v>0.40963954309372758</v>
          </cell>
          <cell r="BT435">
            <v>0.40702099200638187</v>
          </cell>
          <cell r="BU435">
            <v>0.40480721643851114</v>
          </cell>
          <cell r="BZ435" t="str">
            <v xml:space="preserve">    Incremental Margin</v>
          </cell>
          <cell r="CC435">
            <v>0.4750656167979006</v>
          </cell>
          <cell r="CD435">
            <v>0.56584362139917699</v>
          </cell>
          <cell r="CE435">
            <v>0.61606354810238284</v>
          </cell>
          <cell r="CF435">
            <v>0.55978504254366357</v>
          </cell>
          <cell r="CG435">
            <v>0.64319248826291098</v>
          </cell>
          <cell r="CH435">
            <v>0.52233208319127122</v>
          </cell>
          <cell r="CI435">
            <v>0.52144026186579362</v>
          </cell>
          <cell r="CJ435">
            <v>0.3699864803965755</v>
          </cell>
          <cell r="CK435">
            <v>0.86437648927720423</v>
          </cell>
          <cell r="CL435">
            <v>-0.97368421052630716</v>
          </cell>
          <cell r="CM435">
            <v>0.2891822827938666</v>
          </cell>
          <cell r="CN435">
            <v>0.46441495778045871</v>
          </cell>
          <cell r="CO435">
            <v>0.44750889679715328</v>
          </cell>
          <cell r="CP435">
            <v>0.79469292677816561</v>
          </cell>
          <cell r="CQ435">
            <v>0.42139399472683398</v>
          </cell>
          <cell r="CR435">
            <v>-0.46942056924363584</v>
          </cell>
          <cell r="CS435">
            <v>0.29895919367346652</v>
          </cell>
          <cell r="CT435">
            <v>0.29993829941587524</v>
          </cell>
          <cell r="CU435">
            <v>0.40963954309372758</v>
          </cell>
          <cell r="CV435">
            <v>0.40702099200638187</v>
          </cell>
          <cell r="CW435">
            <v>0.40480721643851114</v>
          </cell>
        </row>
        <row r="437">
          <cell r="A437" t="str">
            <v>Stock Based Compensation Expense</v>
          </cell>
          <cell r="H437">
            <v>10.8</v>
          </cell>
          <cell r="I437">
            <v>27.8</v>
          </cell>
          <cell r="J437">
            <v>16.899999999999999</v>
          </cell>
          <cell r="K437">
            <v>12.3</v>
          </cell>
          <cell r="L437">
            <v>13.3</v>
          </cell>
          <cell r="M437">
            <v>12.3</v>
          </cell>
          <cell r="N437">
            <v>54.8</v>
          </cell>
          <cell r="O437">
            <v>13.9</v>
          </cell>
          <cell r="P437">
            <v>20.7</v>
          </cell>
          <cell r="Q437">
            <v>20</v>
          </cell>
          <cell r="R437">
            <v>22.5</v>
          </cell>
          <cell r="S437">
            <v>77.099999999999994</v>
          </cell>
          <cell r="T437">
            <v>21.2</v>
          </cell>
          <cell r="U437">
            <v>26.5</v>
          </cell>
          <cell r="V437">
            <v>23.5</v>
          </cell>
          <cell r="W437">
            <v>19</v>
          </cell>
          <cell r="X437">
            <v>90.2</v>
          </cell>
          <cell r="Y437">
            <v>11.2</v>
          </cell>
          <cell r="Z437">
            <v>18</v>
          </cell>
          <cell r="AA437">
            <v>17.100000000000001</v>
          </cell>
          <cell r="AB437">
            <v>16.899999999999999</v>
          </cell>
          <cell r="AC437">
            <v>63.199999999999996</v>
          </cell>
          <cell r="AD437">
            <v>14.5</v>
          </cell>
          <cell r="AE437">
            <v>16.100000000000001</v>
          </cell>
          <cell r="AF437">
            <v>13.8</v>
          </cell>
          <cell r="AG437">
            <v>13</v>
          </cell>
          <cell r="AH437">
            <v>57.400000000000006</v>
          </cell>
          <cell r="AI437">
            <v>14.8</v>
          </cell>
          <cell r="AJ437">
            <v>12.9</v>
          </cell>
          <cell r="AK437">
            <v>13.6</v>
          </cell>
          <cell r="AL437">
            <v>15.3</v>
          </cell>
          <cell r="AM437">
            <v>56.600000000000009</v>
          </cell>
          <cell r="AN437">
            <v>16</v>
          </cell>
          <cell r="AO437">
            <v>14.3</v>
          </cell>
          <cell r="AP437">
            <v>12.9</v>
          </cell>
          <cell r="AQ437">
            <v>13.5</v>
          </cell>
          <cell r="AR437">
            <v>56.7</v>
          </cell>
          <cell r="AS437">
            <v>15</v>
          </cell>
          <cell r="AT437">
            <v>14.9</v>
          </cell>
          <cell r="AU437">
            <v>16.399999999999999</v>
          </cell>
          <cell r="AV437">
            <v>18.200000000000003</v>
          </cell>
          <cell r="AW437">
            <v>64.5</v>
          </cell>
          <cell r="AX437">
            <v>17.2</v>
          </cell>
          <cell r="AY437">
            <v>16.100000000000001</v>
          </cell>
          <cell r="AZ437">
            <v>16</v>
          </cell>
          <cell r="BA437">
            <v>17.79999999999999</v>
          </cell>
          <cell r="BB437">
            <v>67.099999999999994</v>
          </cell>
          <cell r="BC437">
            <v>20.3</v>
          </cell>
          <cell r="BD437">
            <v>20.3</v>
          </cell>
          <cell r="BE437">
            <v>16.621640464796794</v>
          </cell>
          <cell r="BF437">
            <v>18.425097555589321</v>
          </cell>
          <cell r="BG437">
            <v>75.64673802038611</v>
          </cell>
          <cell r="BH437">
            <v>18.091137982746194</v>
          </cell>
          <cell r="BI437">
            <v>20.447073087585803</v>
          </cell>
          <cell r="BJ437">
            <v>17.37693472899679</v>
          </cell>
          <cell r="BK437">
            <v>19.277532073072475</v>
          </cell>
          <cell r="BL437">
            <v>75.192677872401262</v>
          </cell>
          <cell r="BM437">
            <v>18.898633947796558</v>
          </cell>
          <cell r="BN437">
            <v>21.302537899476896</v>
          </cell>
          <cell r="BO437">
            <v>18.193264011279709</v>
          </cell>
          <cell r="BP437">
            <v>20.201456421087169</v>
          </cell>
          <cell r="BQ437">
            <v>78.595892279640339</v>
          </cell>
          <cell r="BR437">
            <v>81.712857488755091</v>
          </cell>
          <cell r="BS437">
            <v>85.089865425474827</v>
          </cell>
          <cell r="BT437">
            <v>88.753237247779339</v>
          </cell>
          <cell r="BU437">
            <v>92.732118994462425</v>
          </cell>
          <cell r="BZ437" t="str">
            <v>Stock Based Compensation Expense</v>
          </cell>
          <cell r="CA437">
            <v>0</v>
          </cell>
          <cell r="CB437">
            <v>0</v>
          </cell>
          <cell r="CC437">
            <v>0</v>
          </cell>
          <cell r="CD437">
            <v>0</v>
          </cell>
          <cell r="CE437">
            <v>0</v>
          </cell>
          <cell r="CF437">
            <v>10.8</v>
          </cell>
          <cell r="CG437">
            <v>27.8</v>
          </cell>
          <cell r="CH437">
            <v>54.8</v>
          </cell>
          <cell r="CI437">
            <v>77.099999999999994</v>
          </cell>
          <cell r="CJ437">
            <v>90.2</v>
          </cell>
          <cell r="CK437">
            <v>63.199999999999996</v>
          </cell>
          <cell r="CL437">
            <v>57.400000000000006</v>
          </cell>
          <cell r="CM437">
            <v>56.600000000000009</v>
          </cell>
          <cell r="CN437">
            <v>56.7</v>
          </cell>
          <cell r="CO437">
            <v>64.5</v>
          </cell>
          <cell r="CP437">
            <v>67.099999999999994</v>
          </cell>
          <cell r="CQ437">
            <v>75.64673802038611</v>
          </cell>
          <cell r="CR437">
            <v>75.192677872401262</v>
          </cell>
          <cell r="CS437">
            <v>78.595892279640339</v>
          </cell>
          <cell r="CT437">
            <v>81.712857488755091</v>
          </cell>
          <cell r="CU437">
            <v>85.089865425474827</v>
          </cell>
          <cell r="CV437">
            <v>88.753237247779339</v>
          </cell>
          <cell r="CW437">
            <v>92.732118994462425</v>
          </cell>
          <cell r="CY437">
            <v>73.584949090718112</v>
          </cell>
        </row>
        <row r="438">
          <cell r="A438" t="str">
            <v>% of Total Revenue</v>
          </cell>
          <cell r="H438">
            <v>8.6635648965185299E-3</v>
          </cell>
          <cell r="I438">
            <v>1.9328373774595006E-2</v>
          </cell>
          <cell r="J438">
            <v>4.3277848911651727E-2</v>
          </cell>
          <cell r="K438">
            <v>2.7529095792300808E-2</v>
          </cell>
          <cell r="L438">
            <v>3.1583946805984336E-2</v>
          </cell>
          <cell r="M438">
            <v>2.5993237531699076E-2</v>
          </cell>
          <cell r="N438">
            <v>3.164703164703165E-2</v>
          </cell>
          <cell r="O438">
            <v>3.1576556110858696E-2</v>
          </cell>
          <cell r="P438">
            <v>4.0477121626906531E-2</v>
          </cell>
          <cell r="Q438">
            <v>4.0363269424823413E-2</v>
          </cell>
          <cell r="R438">
            <v>3.8135593220338986E-2</v>
          </cell>
          <cell r="S438">
            <v>3.7847921064258015E-2</v>
          </cell>
          <cell r="T438">
            <v>3.6363636363636362E-2</v>
          </cell>
          <cell r="U438">
            <v>4.1015322705463556E-2</v>
          </cell>
          <cell r="V438">
            <v>4.476190476190476E-2</v>
          </cell>
          <cell r="W438">
            <v>3.7631214101802334E-2</v>
          </cell>
          <cell r="X438">
            <v>3.9929172200088535E-2</v>
          </cell>
          <cell r="Y438">
            <v>2.6004179243092639E-2</v>
          </cell>
          <cell r="Z438">
            <v>3.6915504511895E-2</v>
          </cell>
          <cell r="AA438">
            <v>3.945546838947854E-2</v>
          </cell>
          <cell r="AB438">
            <v>4.186276938320535E-2</v>
          </cell>
          <cell r="AC438">
            <v>3.6003190156089777E-2</v>
          </cell>
          <cell r="AD438">
            <v>3.5460992907801421E-2</v>
          </cell>
          <cell r="AE438">
            <v>3.5722209895717782E-2</v>
          </cell>
          <cell r="AF438">
            <v>3.054448871181939E-2</v>
          </cell>
          <cell r="AG438">
            <v>2.675998353231783E-2</v>
          </cell>
          <cell r="AH438">
            <v>3.1938571110616515E-2</v>
          </cell>
          <cell r="AI438">
            <v>3.1053294167016365E-2</v>
          </cell>
          <cell r="AJ438">
            <v>2.6998744244453747E-2</v>
          </cell>
          <cell r="AK438">
            <v>2.6495226962789789E-2</v>
          </cell>
          <cell r="AL438">
            <v>2.7113237639553426E-2</v>
          </cell>
          <cell r="AM438">
            <v>2.7854330708661421E-2</v>
          </cell>
          <cell r="AN438">
            <v>2.7724831051810776E-2</v>
          </cell>
          <cell r="AO438">
            <v>2.3628552544613355E-2</v>
          </cell>
          <cell r="AP438">
            <v>2.4280067758328631E-2</v>
          </cell>
          <cell r="AQ438">
            <v>2.38053253394463E-2</v>
          </cell>
          <cell r="AR438">
            <v>2.4860788354452584E-2</v>
          </cell>
          <cell r="AS438">
            <v>2.3191094619666047E-2</v>
          </cell>
          <cell r="AT438">
            <v>2.3252184769038703E-2</v>
          </cell>
          <cell r="AU438">
            <v>2.3819898329702251E-2</v>
          </cell>
          <cell r="AV438">
            <v>2.4131530098117211E-2</v>
          </cell>
          <cell r="AW438">
            <v>2.3623777606856387E-2</v>
          </cell>
          <cell r="AX438">
            <v>2.3503689532659192E-2</v>
          </cell>
          <cell r="AY438">
            <v>2.1296296296296299E-2</v>
          </cell>
          <cell r="AZ438">
            <v>2.2678951098511695E-2</v>
          </cell>
          <cell r="BA438">
            <v>2.3E-2</v>
          </cell>
          <cell r="BB438">
            <v>2.2573591253153908E-2</v>
          </cell>
          <cell r="BC438">
            <v>2.6459854014598539E-2</v>
          </cell>
          <cell r="BD438">
            <v>2.3239839725243273E-2</v>
          </cell>
          <cell r="BE438">
            <v>2.3239839725243273E-2</v>
          </cell>
          <cell r="BF438">
            <v>2.3239839725243273E-2</v>
          </cell>
          <cell r="BG438">
            <v>2.4024404525757843E-2</v>
          </cell>
          <cell r="BH438">
            <v>2.3239839725243273E-2</v>
          </cell>
          <cell r="BI438">
            <v>2.3239839725243273E-2</v>
          </cell>
          <cell r="BJ438">
            <v>2.3239839725243273E-2</v>
          </cell>
          <cell r="BK438">
            <v>2.3239839725243273E-2</v>
          </cell>
          <cell r="BL438">
            <v>2.323983972524327E-2</v>
          </cell>
          <cell r="BM438">
            <v>2.3239839725243273E-2</v>
          </cell>
          <cell r="BN438">
            <v>2.3239839725243273E-2</v>
          </cell>
          <cell r="BO438">
            <v>2.3239839725243273E-2</v>
          </cell>
          <cell r="BP438">
            <v>2.3239839725243273E-2</v>
          </cell>
          <cell r="BQ438">
            <v>2.323983972524328E-2</v>
          </cell>
          <cell r="BR438">
            <v>2.323983972524328E-2</v>
          </cell>
          <cell r="BS438">
            <v>2.323983972524328E-2</v>
          </cell>
          <cell r="BT438">
            <v>2.323983972524328E-2</v>
          </cell>
          <cell r="BU438">
            <v>2.323983972524328E-2</v>
          </cell>
          <cell r="BZ438" t="str">
            <v>% of Total Revenue</v>
          </cell>
          <cell r="CA438">
            <v>0</v>
          </cell>
          <cell r="CB438">
            <v>0</v>
          </cell>
          <cell r="CC438">
            <v>0</v>
          </cell>
          <cell r="CD438">
            <v>0</v>
          </cell>
          <cell r="CE438">
            <v>0</v>
          </cell>
          <cell r="CF438">
            <v>8.6635648965185299E-3</v>
          </cell>
          <cell r="CG438">
            <v>1.9328373774595006E-2</v>
          </cell>
          <cell r="CH438">
            <v>3.164703164703165E-2</v>
          </cell>
          <cell r="CI438">
            <v>3.7847921064258015E-2</v>
          </cell>
          <cell r="CJ438">
            <v>3.9929172200088535E-2</v>
          </cell>
          <cell r="CK438">
            <v>3.6003190156089777E-2</v>
          </cell>
          <cell r="CL438">
            <v>3.1938571110616515E-2</v>
          </cell>
          <cell r="CM438">
            <v>2.7854330708661421E-2</v>
          </cell>
          <cell r="CN438">
            <v>2.4860788354452584E-2</v>
          </cell>
          <cell r="CO438">
            <v>2.3623777606856387E-2</v>
          </cell>
          <cell r="CP438">
            <v>2.2573591253153908E-2</v>
          </cell>
          <cell r="CQ438">
            <v>2.4024404525757843E-2</v>
          </cell>
          <cell r="CR438">
            <v>2.323983972524327E-2</v>
          </cell>
          <cell r="CS438">
            <v>2.323983972524328E-2</v>
          </cell>
          <cell r="CT438">
            <v>2.323983972524328E-2</v>
          </cell>
          <cell r="CU438">
            <v>2.323983972524328E-2</v>
          </cell>
          <cell r="CV438">
            <v>2.323983972524328E-2</v>
          </cell>
          <cell r="CW438">
            <v>2.323983972524328E-2</v>
          </cell>
        </row>
        <row r="442">
          <cell r="A442" t="str">
            <v>Working Capital &amp; Other</v>
          </cell>
        </row>
        <row r="443">
          <cell r="A443" t="str">
            <v>Days of Sales in Accounts Receivable</v>
          </cell>
          <cell r="E443">
            <v>60.368587082849075</v>
          </cell>
          <cell r="F443">
            <v>67.056608510104184</v>
          </cell>
          <cell r="G443">
            <v>62.656112576956893</v>
          </cell>
          <cell r="H443">
            <v>78.058719717631959</v>
          </cell>
          <cell r="I443">
            <v>93.034832788708883</v>
          </cell>
          <cell r="J443">
            <v>84.030729833546744</v>
          </cell>
          <cell r="K443">
            <v>76.423455684870191</v>
          </cell>
          <cell r="L443">
            <v>71.982901923533632</v>
          </cell>
          <cell r="M443">
            <v>80.224006762468306</v>
          </cell>
          <cell r="N443">
            <v>87.692307692307708</v>
          </cell>
          <cell r="O443">
            <v>86.442526124488865</v>
          </cell>
          <cell r="P443">
            <v>74.724286272976144</v>
          </cell>
          <cell r="Q443">
            <v>65.31584258324925</v>
          </cell>
          <cell r="R443">
            <v>72.518644067796615</v>
          </cell>
          <cell r="S443">
            <v>84.013548672131947</v>
          </cell>
          <cell r="T443">
            <v>77.078902229845625</v>
          </cell>
          <cell r="U443">
            <v>67.419904039622367</v>
          </cell>
          <cell r="V443">
            <v>67.388571428571439</v>
          </cell>
          <cell r="W443">
            <v>79.073083778966136</v>
          </cell>
          <cell r="X443">
            <v>70.69322709163346</v>
          </cell>
          <cell r="Y443">
            <v>84.713257487810537</v>
          </cell>
          <cell r="Z443">
            <v>76.636587366694016</v>
          </cell>
          <cell r="AA443">
            <v>72.411167512690341</v>
          </cell>
          <cell r="AB443">
            <v>94.035174634629684</v>
          </cell>
          <cell r="AC443">
            <v>86.503361057308894</v>
          </cell>
          <cell r="AD443">
            <v>88.833455612619233</v>
          </cell>
          <cell r="AE443">
            <v>81.393388063013106</v>
          </cell>
          <cell r="AF443">
            <v>75.478087649402383</v>
          </cell>
          <cell r="AG443">
            <v>82.422807739810636</v>
          </cell>
          <cell r="AH443">
            <v>89.118628978410854</v>
          </cell>
          <cell r="AI443">
            <v>80.633655056651278</v>
          </cell>
          <cell r="AJ443">
            <v>73.29217245709502</v>
          </cell>
          <cell r="AK443">
            <v>71.99298655756867</v>
          </cell>
          <cell r="AL443">
            <v>79.346092503987236</v>
          </cell>
          <cell r="AM443">
            <v>88.139763779527556</v>
          </cell>
          <cell r="AN443">
            <v>78.50632472708368</v>
          </cell>
          <cell r="AO443">
            <v>73.255122273628558</v>
          </cell>
          <cell r="AP443">
            <v>67.843026538678728</v>
          </cell>
          <cell r="AQ443">
            <v>77.732322341738652</v>
          </cell>
          <cell r="AR443">
            <v>77.31310562546588</v>
          </cell>
          <cell r="AS443">
            <v>81.985157699443405</v>
          </cell>
          <cell r="AT443">
            <v>74.508426966292149</v>
          </cell>
          <cell r="AU443">
            <v>71.843137254901961</v>
          </cell>
          <cell r="AV443">
            <v>74.200477326968951</v>
          </cell>
          <cell r="AW443">
            <v>81.986594879683537</v>
          </cell>
          <cell r="AX443">
            <v>78.365673681333689</v>
          </cell>
          <cell r="AY443">
            <v>72.345238095238102</v>
          </cell>
          <cell r="AZ443">
            <v>75.52090715804394</v>
          </cell>
          <cell r="BA443">
            <v>80.182238193018492</v>
          </cell>
          <cell r="BB443">
            <v>84.074684608915064</v>
          </cell>
          <cell r="BC443">
            <v>86.562825860271104</v>
          </cell>
          <cell r="BD443">
            <v>78.130509444762438</v>
          </cell>
          <cell r="BE443">
            <v>75.52090715804394</v>
          </cell>
          <cell r="BF443">
            <v>80.182238193018492</v>
          </cell>
          <cell r="BG443">
            <v>80.756457576412046</v>
          </cell>
          <cell r="BH443">
            <v>86.562825860271104</v>
          </cell>
          <cell r="BI443">
            <v>78.130509444762438</v>
          </cell>
          <cell r="BJ443">
            <v>75.52090715804394</v>
          </cell>
          <cell r="BK443">
            <v>80.182238193018492</v>
          </cell>
          <cell r="BL443">
            <v>82.226924865193041</v>
          </cell>
          <cell r="BM443">
            <v>86.562825860271104</v>
          </cell>
          <cell r="BN443">
            <v>78.130509444762438</v>
          </cell>
          <cell r="BO443">
            <v>75.52090715804394</v>
          </cell>
          <cell r="BP443">
            <v>80.182238193018492</v>
          </cell>
          <cell r="BQ443">
            <v>82.436775949477493</v>
          </cell>
          <cell r="BR443">
            <v>82.436775949477493</v>
          </cell>
          <cell r="BS443">
            <v>82.436775949477493</v>
          </cell>
          <cell r="BT443">
            <v>82.436775949477493</v>
          </cell>
          <cell r="BU443">
            <v>82.436775949477493</v>
          </cell>
          <cell r="CY443">
            <v>78.130509444762438</v>
          </cell>
        </row>
        <row r="444">
          <cell r="A444" t="str">
            <v>Other Assets as % of Revenue</v>
          </cell>
          <cell r="E444">
            <v>1.6270961314959323E-2</v>
          </cell>
          <cell r="F444">
            <v>2.9873227061629221E-2</v>
          </cell>
          <cell r="G444">
            <v>6.2933646047102512E-2</v>
          </cell>
          <cell r="H444">
            <v>4.9414407187550129E-2</v>
          </cell>
          <cell r="I444">
            <v>3.2051727734130571E-2</v>
          </cell>
          <cell r="J444">
            <v>3.1370038412291933E-2</v>
          </cell>
          <cell r="K444">
            <v>2.8424350940017901E-2</v>
          </cell>
          <cell r="L444">
            <v>3.2771313227261942E-2</v>
          </cell>
          <cell r="M444">
            <v>3.735207100591717E-2</v>
          </cell>
          <cell r="N444">
            <v>4.0829290829290835E-2</v>
          </cell>
          <cell r="O444">
            <v>5.855293048614265E-2</v>
          </cell>
          <cell r="P444">
            <v>5.7000391083300746E-2</v>
          </cell>
          <cell r="Q444">
            <v>7.1190716448032293E-2</v>
          </cell>
          <cell r="R444">
            <v>8.1355932203389825E-2</v>
          </cell>
          <cell r="S444">
            <v>9.4251632222276768E-2</v>
          </cell>
          <cell r="T444">
            <v>9.897084048027445E-2</v>
          </cell>
          <cell r="U444">
            <v>8.9421142238043663E-2</v>
          </cell>
          <cell r="V444">
            <v>0.10633333333333334</v>
          </cell>
          <cell r="W444">
            <v>5.3376906318082784E-2</v>
          </cell>
          <cell r="X444">
            <v>4.7720230190349711E-2</v>
          </cell>
          <cell r="Y444">
            <v>4.8931971209658698E-2</v>
          </cell>
          <cell r="Z444">
            <v>4.2093929450369154E-2</v>
          </cell>
          <cell r="AA444">
            <v>4.7531149053991695E-2</v>
          </cell>
          <cell r="AB444">
            <v>2.755759227148873E-2</v>
          </cell>
          <cell r="AC444">
            <v>2.5350347499145495E-2</v>
          </cell>
          <cell r="AD444">
            <v>2.6656884323795552E-2</v>
          </cell>
          <cell r="AE444">
            <v>2.6458841801641896E-2</v>
          </cell>
          <cell r="AF444">
            <v>2.7390438247011952E-2</v>
          </cell>
          <cell r="AG444">
            <v>2.6090983944009886E-2</v>
          </cell>
          <cell r="AH444">
            <v>2.8210549744046295E-2</v>
          </cell>
          <cell r="AI444">
            <v>2.7328997062526228E-2</v>
          </cell>
          <cell r="AJ444">
            <v>2.7731268313101715E-2</v>
          </cell>
          <cell r="AK444">
            <v>3.0683810637054349E-2</v>
          </cell>
          <cell r="AL444">
            <v>2.4720893141945768E-2</v>
          </cell>
          <cell r="AM444">
            <v>2.746062992125984E-2</v>
          </cell>
          <cell r="AN444">
            <v>2.2829665569225437E-2</v>
          </cell>
          <cell r="AO444">
            <v>2.3959021810971582E-2</v>
          </cell>
          <cell r="AP444">
            <v>2.8891398456615848E-2</v>
          </cell>
          <cell r="AQ444">
            <v>3.6148827367307346E-2</v>
          </cell>
          <cell r="AR444">
            <v>3.5953873810672166E-2</v>
          </cell>
          <cell r="AS444">
            <v>3.4825293753865179E-2</v>
          </cell>
          <cell r="AT444">
            <v>3.9052746566791509E-2</v>
          </cell>
          <cell r="AU444">
            <v>3.7944807552650693E-2</v>
          </cell>
          <cell r="AV444">
            <v>3.1821797931583129E-2</v>
          </cell>
          <cell r="AW444">
            <v>3.5160971321832761E-2</v>
          </cell>
          <cell r="AX444">
            <v>3.4196501776441644E-2</v>
          </cell>
          <cell r="AY444">
            <v>2.972883597883598E-2</v>
          </cell>
          <cell r="AZ444">
            <v>3.3274273564847627E-2</v>
          </cell>
          <cell r="BA444">
            <v>3.5966375770020528E-2</v>
          </cell>
          <cell r="BB444">
            <v>3.7712363330529852E-2</v>
          </cell>
          <cell r="BC444">
            <v>3.4736704900938477E-2</v>
          </cell>
          <cell r="BD444">
            <v>4.2186605609616484E-2</v>
          </cell>
          <cell r="BE444">
            <v>3.3274273564847627E-2</v>
          </cell>
          <cell r="BF444">
            <v>3.5966375770020528E-2</v>
          </cell>
          <cell r="BG444">
            <v>3.6223946406398207E-2</v>
          </cell>
          <cell r="BH444">
            <v>3.4736704900938477E-2</v>
          </cell>
          <cell r="BI444">
            <v>4.2186605609616484E-2</v>
          </cell>
          <cell r="BJ444">
            <v>3.3274273564847627E-2</v>
          </cell>
          <cell r="BK444">
            <v>3.5966375770020528E-2</v>
          </cell>
          <cell r="BL444">
            <v>3.6883536114264766E-2</v>
          </cell>
          <cell r="BM444">
            <v>3.4736704900938477E-2</v>
          </cell>
          <cell r="BN444">
            <v>4.2186605609616484E-2</v>
          </cell>
          <cell r="BO444">
            <v>3.3274273564847627E-2</v>
          </cell>
          <cell r="BP444">
            <v>3.5966375770020528E-2</v>
          </cell>
          <cell r="BQ444">
            <v>3.6977666474344667E-2</v>
          </cell>
          <cell r="BR444">
            <v>3.6977666474344667E-2</v>
          </cell>
          <cell r="BS444">
            <v>3.6977666474344667E-2</v>
          </cell>
          <cell r="BT444">
            <v>3.6977666474344667E-2</v>
          </cell>
          <cell r="BU444">
            <v>3.6977666474344667E-2</v>
          </cell>
        </row>
        <row r="445">
          <cell r="A445" t="str">
            <v>Days of Expense in Accounts Payable &amp; Accrued Liabilities</v>
          </cell>
          <cell r="E445">
            <v>164.01076716016152</v>
          </cell>
          <cell r="F445">
            <v>223.72507869884578</v>
          </cell>
          <cell r="G445">
            <v>144.51584889274858</v>
          </cell>
          <cell r="H445">
            <v>149.25394808495193</v>
          </cell>
          <cell r="I445">
            <v>165.37390741340241</v>
          </cell>
          <cell r="J445">
            <v>126.44628099173553</v>
          </cell>
          <cell r="K445">
            <v>122.25040474905556</v>
          </cell>
          <cell r="L445">
            <v>121.97893569844788</v>
          </cell>
          <cell r="M445">
            <v>113.58592692828147</v>
          </cell>
          <cell r="N445">
            <v>133.0972515856237</v>
          </cell>
          <cell r="O445">
            <v>95.937662337662331</v>
          </cell>
          <cell r="P445">
            <v>81.211267605633793</v>
          </cell>
          <cell r="Q445">
            <v>92.448132780082986</v>
          </cell>
          <cell r="R445">
            <v>110.65146579804559</v>
          </cell>
          <cell r="S445">
            <v>136.07655502392342</v>
          </cell>
          <cell r="T445">
            <v>95.003731343283576</v>
          </cell>
          <cell r="U445">
            <v>92.996706915477489</v>
          </cell>
          <cell r="V445">
            <v>108.65728413845567</v>
          </cell>
          <cell r="W445">
            <v>144.72498917280211</v>
          </cell>
          <cell r="X445">
            <v>129.1353492416192</v>
          </cell>
          <cell r="Y445">
            <v>105.12295081967211</v>
          </cell>
          <cell r="Z445">
            <v>38.685208596713018</v>
          </cell>
          <cell r="AA445">
            <v>81.148180242634311</v>
          </cell>
          <cell r="AB445">
            <v>87.630619684082632</v>
          </cell>
          <cell r="AC445">
            <v>92.600042799058428</v>
          </cell>
          <cell r="AD445">
            <v>76.921754084264833</v>
          </cell>
          <cell r="AE445">
            <v>96.362893338782186</v>
          </cell>
          <cell r="AF445">
            <v>83.928296067848891</v>
          </cell>
          <cell r="AG445">
            <v>97.968428277282072</v>
          </cell>
          <cell r="AH445">
            <v>111.07090749927048</v>
          </cell>
          <cell r="AI445">
            <v>86.089913109180216</v>
          </cell>
          <cell r="AJ445">
            <v>82.317880794701964</v>
          </cell>
          <cell r="AK445">
            <v>94.442628309905189</v>
          </cell>
          <cell r="AL445">
            <v>106.43835616438355</v>
          </cell>
          <cell r="AM445">
            <v>125.07042253521124</v>
          </cell>
          <cell r="AN445">
            <v>79.699321047526681</v>
          </cell>
          <cell r="AO445">
            <v>86.754945756222085</v>
          </cell>
          <cell r="AP445">
            <v>88.632911392405063</v>
          </cell>
          <cell r="AQ445">
            <v>108.72596153846153</v>
          </cell>
          <cell r="AR445">
            <v>124.00274160383825</v>
          </cell>
          <cell r="AS445">
            <v>76.917866215071982</v>
          </cell>
          <cell r="AT445">
            <v>79.391534391534378</v>
          </cell>
          <cell r="AU445">
            <v>82.72612110463642</v>
          </cell>
          <cell r="AV445">
            <v>109.12008733624454</v>
          </cell>
          <cell r="AW445">
            <v>129.20630816959667</v>
          </cell>
          <cell r="AX445">
            <v>84.030680721142147</v>
          </cell>
          <cell r="AY445">
            <v>73.677047893221683</v>
          </cell>
          <cell r="AZ445">
            <v>77.857142857142861</v>
          </cell>
          <cell r="BA445">
            <v>109.23648648648647</v>
          </cell>
          <cell r="BB445">
            <v>121.47834546876797</v>
          </cell>
          <cell r="BC445">
            <v>68.39211870591096</v>
          </cell>
          <cell r="BD445">
            <v>88.218430034129682</v>
          </cell>
          <cell r="BE445">
            <v>77.857142857142861</v>
          </cell>
          <cell r="BF445">
            <v>109.23648648648647</v>
          </cell>
          <cell r="BG445">
            <v>115.56837162786633</v>
          </cell>
          <cell r="BH445">
            <v>68.39211870591096</v>
          </cell>
          <cell r="BI445">
            <v>88.218430034129682</v>
          </cell>
          <cell r="BJ445">
            <v>77.857142857142861</v>
          </cell>
          <cell r="BK445">
            <v>109.23648648648647</v>
          </cell>
          <cell r="BL445">
            <v>113.37720221866778</v>
          </cell>
          <cell r="BM445">
            <v>68.39211870591096</v>
          </cell>
          <cell r="BN445">
            <v>88.218430034129682</v>
          </cell>
          <cell r="BO445">
            <v>77.857142857142861</v>
          </cell>
          <cell r="BP445">
            <v>109.23648648648647</v>
          </cell>
          <cell r="BQ445">
            <v>113.70377598622571</v>
          </cell>
          <cell r="BR445">
            <v>113.70377598622571</v>
          </cell>
          <cell r="BS445">
            <v>113.70377598622571</v>
          </cell>
          <cell r="BT445">
            <v>113.70377598622571</v>
          </cell>
          <cell r="BU445">
            <v>113.70377598622571</v>
          </cell>
          <cell r="CY445">
            <v>88.218430034129682</v>
          </cell>
        </row>
        <row r="446">
          <cell r="A446" t="str">
            <v>Deferred Revenue (Current) as % of Revenue</v>
          </cell>
          <cell r="E446">
            <v>0.1683546405445791</v>
          </cell>
          <cell r="F446">
            <v>0.15363373917409312</v>
          </cell>
          <cell r="G446">
            <v>0.1661291898758917</v>
          </cell>
          <cell r="H446">
            <v>0.17214824322156264</v>
          </cell>
          <cell r="I446">
            <v>0.18542724049224776</v>
          </cell>
          <cell r="J446">
            <v>0.19033290653008963</v>
          </cell>
          <cell r="K446">
            <v>0.16310429722470904</v>
          </cell>
          <cell r="L446">
            <v>0.1551294229399193</v>
          </cell>
          <cell r="M446">
            <v>0.15801986475063401</v>
          </cell>
          <cell r="N446">
            <v>0.17273042273042274</v>
          </cell>
          <cell r="O446">
            <v>0.19587687414811447</v>
          </cell>
          <cell r="P446">
            <v>0.16371724677356275</v>
          </cell>
          <cell r="Q446">
            <v>0.15262361251261353</v>
          </cell>
          <cell r="R446">
            <v>0.15266949152542372</v>
          </cell>
          <cell r="S446">
            <v>0.17686907859211626</v>
          </cell>
          <cell r="T446">
            <v>0.17585763293310464</v>
          </cell>
          <cell r="U446">
            <v>0.15411700975081261</v>
          </cell>
          <cell r="V446">
            <v>0.17542857142857141</v>
          </cell>
          <cell r="W446">
            <v>0.21093285799168152</v>
          </cell>
          <cell r="X446">
            <v>0.18857901726427623</v>
          </cell>
          <cell r="Y446">
            <v>0.26874854887392619</v>
          </cell>
          <cell r="Z446">
            <v>0.22287735849056606</v>
          </cell>
          <cell r="AA446">
            <v>0.22617674203968618</v>
          </cell>
          <cell r="AB446">
            <v>0.2693832053505078</v>
          </cell>
          <cell r="AC446">
            <v>0.2478067676882762</v>
          </cell>
          <cell r="AD446">
            <v>0.29316458791880656</v>
          </cell>
          <cell r="AE446">
            <v>0.2566563124029288</v>
          </cell>
          <cell r="AF446">
            <v>0.23655378486055775</v>
          </cell>
          <cell r="AG446">
            <v>0.24253808151502679</v>
          </cell>
          <cell r="AH446">
            <v>0.26224126418873805</v>
          </cell>
          <cell r="AI446">
            <v>0.27077213596307176</v>
          </cell>
          <cell r="AJ446">
            <v>0.25204060276266221</v>
          </cell>
          <cell r="AK446">
            <v>0.21780635106175722</v>
          </cell>
          <cell r="AL446">
            <v>0.22510189615452772</v>
          </cell>
          <cell r="AM446">
            <v>0.25004921259842522</v>
          </cell>
          <cell r="AN446">
            <v>0.23999306879223703</v>
          </cell>
          <cell r="AO446">
            <v>0.22096001321877068</v>
          </cell>
          <cell r="AP446">
            <v>0.22614342179559574</v>
          </cell>
          <cell r="AQ446">
            <v>0.22941280197496025</v>
          </cell>
          <cell r="AR446">
            <v>0.22817556013504628</v>
          </cell>
          <cell r="AS446">
            <v>0.23550556586270868</v>
          </cell>
          <cell r="AT446">
            <v>0.22144194756554308</v>
          </cell>
          <cell r="AU446">
            <v>0.19045025417574438</v>
          </cell>
          <cell r="AV446">
            <v>0.18092018032352156</v>
          </cell>
          <cell r="AW446">
            <v>0.19990477236933668</v>
          </cell>
          <cell r="AX446">
            <v>0.21399289423339707</v>
          </cell>
          <cell r="AY446">
            <v>0.19322089947089946</v>
          </cell>
          <cell r="AZ446">
            <v>0.19819277108433733</v>
          </cell>
          <cell r="BA446">
            <v>0.19199178644763859</v>
          </cell>
          <cell r="BB446">
            <v>0.20131202691337258</v>
          </cell>
          <cell r="BC446">
            <v>0.23217544316996871</v>
          </cell>
          <cell r="BD446">
            <v>0.18918145392100744</v>
          </cell>
          <cell r="BE446">
            <v>0.19819277108433733</v>
          </cell>
          <cell r="BF446">
            <v>0.19199178644763859</v>
          </cell>
          <cell r="BG446">
            <v>0.19336672194102308</v>
          </cell>
          <cell r="BH446">
            <v>0.23217544316996871</v>
          </cell>
          <cell r="BI446">
            <v>0.18918145392100744</v>
          </cell>
          <cell r="BJ446">
            <v>0.19819277108433733</v>
          </cell>
          <cell r="BK446">
            <v>0.19199178644763859</v>
          </cell>
          <cell r="BL446">
            <v>0.19688767181780589</v>
          </cell>
          <cell r="BM446">
            <v>0.23217544316996871</v>
          </cell>
          <cell r="BN446">
            <v>0.18918145392100744</v>
          </cell>
          <cell r="BO446">
            <v>0.19819277108433733</v>
          </cell>
          <cell r="BP446">
            <v>0.19199178644763859</v>
          </cell>
          <cell r="BQ446">
            <v>0.19739014824485149</v>
          </cell>
          <cell r="BR446">
            <v>0.19739014824485149</v>
          </cell>
          <cell r="BS446">
            <v>0.19739014824485149</v>
          </cell>
          <cell r="BT446">
            <v>0.19739014824485149</v>
          </cell>
          <cell r="BU446">
            <v>0.19739014824485149</v>
          </cell>
        </row>
        <row r="450">
          <cell r="A450" t="str">
            <v>Statutory Tax Rate</v>
          </cell>
          <cell r="C450">
            <v>0.43999999999999995</v>
          </cell>
          <cell r="D450">
            <v>0.44099999999999995</v>
          </cell>
          <cell r="E450">
            <v>0.44499999999999995</v>
          </cell>
          <cell r="F450">
            <v>0.44500000000000001</v>
          </cell>
          <cell r="G450">
            <v>0.42699999999999999</v>
          </cell>
          <cell r="H450">
            <v>0.71199999999999997</v>
          </cell>
          <cell r="I450">
            <v>0.41099999999999998</v>
          </cell>
          <cell r="J450">
            <v>0.41199999999999998</v>
          </cell>
          <cell r="K450">
            <v>0.41199999999999998</v>
          </cell>
          <cell r="L450">
            <v>0.41199999999999998</v>
          </cell>
          <cell r="M450">
            <v>0.41199999999999998</v>
          </cell>
          <cell r="N450">
            <v>0.41199999999999998</v>
          </cell>
          <cell r="O450">
            <v>0.39599999999999996</v>
          </cell>
          <cell r="P450">
            <v>0.39599999999999996</v>
          </cell>
          <cell r="Q450">
            <v>0.39599999999999996</v>
          </cell>
          <cell r="R450">
            <v>0.39599999999999996</v>
          </cell>
          <cell r="S450">
            <v>0.39599999999999996</v>
          </cell>
          <cell r="T450">
            <v>0.39499999999999996</v>
          </cell>
          <cell r="U450">
            <v>0.39499999999999996</v>
          </cell>
          <cell r="V450">
            <v>0.39499999999999996</v>
          </cell>
          <cell r="W450">
            <v>0.39499999999999996</v>
          </cell>
          <cell r="X450">
            <v>0.39499999999999996</v>
          </cell>
          <cell r="Y450">
            <v>0.36499999999999994</v>
          </cell>
          <cell r="Z450">
            <v>0.36499999999999994</v>
          </cell>
          <cell r="AA450">
            <v>0.36499999999999994</v>
          </cell>
          <cell r="AB450">
            <v>0.36499999999999994</v>
          </cell>
          <cell r="AC450">
            <v>0.36499999999999994</v>
          </cell>
          <cell r="AD450">
            <v>0.36999999999999994</v>
          </cell>
          <cell r="AE450">
            <v>0.36999999999999994</v>
          </cell>
          <cell r="AF450">
            <v>0.36999999999999994</v>
          </cell>
          <cell r="AG450">
            <v>0.36999999999999994</v>
          </cell>
          <cell r="AH450">
            <v>0.36999999999999994</v>
          </cell>
          <cell r="AI450">
            <v>0.28200000000000003</v>
          </cell>
          <cell r="AJ450">
            <v>0.28200000000000003</v>
          </cell>
          <cell r="AK450">
            <v>0.28200000000000003</v>
          </cell>
          <cell r="AL450">
            <v>0.28200000000000003</v>
          </cell>
          <cell r="AM450">
            <v>0.28200000000000003</v>
          </cell>
          <cell r="AN450">
            <v>0.314</v>
          </cell>
          <cell r="AO450">
            <v>0.314</v>
          </cell>
          <cell r="AP450">
            <v>0.314</v>
          </cell>
          <cell r="AQ450">
            <v>0.314</v>
          </cell>
          <cell r="AR450">
            <v>0.314</v>
          </cell>
          <cell r="AS450">
            <v>0.313</v>
          </cell>
          <cell r="AT450">
            <v>0.313</v>
          </cell>
          <cell r="AU450">
            <v>0.313</v>
          </cell>
          <cell r="AV450">
            <v>0.313</v>
          </cell>
          <cell r="AW450">
            <v>0.313</v>
          </cell>
          <cell r="AX450">
            <v>0.313</v>
          </cell>
          <cell r="AY450">
            <v>0.313</v>
          </cell>
          <cell r="AZ450">
            <v>0.313</v>
          </cell>
          <cell r="BA450">
            <v>0.33</v>
          </cell>
          <cell r="BB450">
            <v>0.33</v>
          </cell>
          <cell r="BC450">
            <v>0.33</v>
          </cell>
          <cell r="BD450">
            <v>0.33</v>
          </cell>
          <cell r="BE450">
            <v>0.33</v>
          </cell>
          <cell r="BF450">
            <v>0.33</v>
          </cell>
          <cell r="BG450">
            <v>0.33</v>
          </cell>
          <cell r="BH450">
            <v>0.33</v>
          </cell>
          <cell r="BI450">
            <v>0.33</v>
          </cell>
          <cell r="BJ450">
            <v>0.33</v>
          </cell>
          <cell r="BK450">
            <v>0.33</v>
          </cell>
          <cell r="BL450">
            <v>0.33</v>
          </cell>
          <cell r="BM450">
            <v>0.33</v>
          </cell>
          <cell r="BN450">
            <v>0.33</v>
          </cell>
          <cell r="BO450">
            <v>0.33</v>
          </cell>
          <cell r="BP450">
            <v>0.33</v>
          </cell>
          <cell r="BQ450">
            <v>0.33</v>
          </cell>
          <cell r="BR450">
            <v>0.33</v>
          </cell>
          <cell r="BS450">
            <v>0.33</v>
          </cell>
          <cell r="BT450">
            <v>0.33</v>
          </cell>
          <cell r="BU450">
            <v>0.33</v>
          </cell>
          <cell r="DA450" t="str">
            <v>mstag:statutoryTaxRate</v>
          </cell>
          <cell r="DB450">
            <v>0</v>
          </cell>
          <cell r="DC450" t="str">
            <v>ms_eqr_gcim_Decimal:ms_eqr_gcim_decimal</v>
          </cell>
          <cell r="DD450" t="b">
            <v>0</v>
          </cell>
        </row>
        <row r="451">
          <cell r="A451" t="str">
            <v>Federal Tax Rate</v>
          </cell>
          <cell r="C451">
            <v>0.35</v>
          </cell>
          <cell r="D451">
            <v>0.35</v>
          </cell>
          <cell r="E451">
            <v>0.35</v>
          </cell>
          <cell r="F451">
            <v>0.35</v>
          </cell>
          <cell r="G451">
            <v>0.35</v>
          </cell>
          <cell r="H451">
            <v>0.35</v>
          </cell>
          <cell r="I451">
            <v>0.35</v>
          </cell>
          <cell r="J451">
            <v>0.35</v>
          </cell>
          <cell r="K451">
            <v>0.35</v>
          </cell>
          <cell r="L451">
            <v>0.35</v>
          </cell>
          <cell r="M451">
            <v>0.35</v>
          </cell>
          <cell r="N451">
            <v>0.35</v>
          </cell>
          <cell r="O451">
            <v>0.35</v>
          </cell>
          <cell r="P451">
            <v>0.35</v>
          </cell>
          <cell r="Q451">
            <v>0.35</v>
          </cell>
          <cell r="R451">
            <v>0.35</v>
          </cell>
          <cell r="S451">
            <v>0.35</v>
          </cell>
          <cell r="T451">
            <v>0.35</v>
          </cell>
          <cell r="U451">
            <v>0.35</v>
          </cell>
          <cell r="V451">
            <v>0.35</v>
          </cell>
          <cell r="W451">
            <v>0.35</v>
          </cell>
          <cell r="X451">
            <v>0.35</v>
          </cell>
          <cell r="Y451">
            <v>0.35</v>
          </cell>
          <cell r="Z451">
            <v>0.35</v>
          </cell>
          <cell r="AA451">
            <v>0.35</v>
          </cell>
          <cell r="AB451">
            <v>0.35</v>
          </cell>
          <cell r="AC451">
            <v>0.35</v>
          </cell>
          <cell r="AD451">
            <v>0.35</v>
          </cell>
          <cell r="AE451">
            <v>0.35</v>
          </cell>
          <cell r="AF451">
            <v>0.35</v>
          </cell>
          <cell r="AG451">
            <v>0.35</v>
          </cell>
          <cell r="AH451">
            <v>0.35</v>
          </cell>
          <cell r="AI451">
            <v>0.35</v>
          </cell>
          <cell r="AJ451">
            <v>0.35</v>
          </cell>
          <cell r="AK451">
            <v>0.35</v>
          </cell>
          <cell r="AL451">
            <v>0.35</v>
          </cell>
          <cell r="AM451">
            <v>0.35</v>
          </cell>
          <cell r="AN451">
            <v>0.35</v>
          </cell>
          <cell r="AO451">
            <v>0.35</v>
          </cell>
          <cell r="AP451">
            <v>0.35</v>
          </cell>
          <cell r="AQ451">
            <v>0.35</v>
          </cell>
          <cell r="AR451">
            <v>0.35</v>
          </cell>
          <cell r="AS451">
            <v>0.35</v>
          </cell>
          <cell r="AT451">
            <v>0.35</v>
          </cell>
          <cell r="AU451">
            <v>0.35</v>
          </cell>
          <cell r="AV451">
            <v>0.35</v>
          </cell>
          <cell r="AW451">
            <v>0.35</v>
          </cell>
          <cell r="AX451">
            <v>0.35</v>
          </cell>
          <cell r="AY451">
            <v>0.35</v>
          </cell>
          <cell r="AZ451">
            <v>0.35</v>
          </cell>
          <cell r="BB451">
            <v>0.35</v>
          </cell>
          <cell r="BC451">
            <v>0.35</v>
          </cell>
          <cell r="BD451">
            <v>0.35</v>
          </cell>
          <cell r="BG451">
            <v>0.35</v>
          </cell>
        </row>
        <row r="452">
          <cell r="A452" t="str">
            <v xml:space="preserve">State Income Tax </v>
          </cell>
          <cell r="C452">
            <v>9.2999999999999999E-2</v>
          </cell>
          <cell r="D452">
            <v>9.1999999999999998E-2</v>
          </cell>
          <cell r="E452">
            <v>9.5000000000000001E-2</v>
          </cell>
          <cell r="F452">
            <v>8.5000000000000006E-2</v>
          </cell>
          <cell r="G452">
            <v>7.0000000000000007E-2</v>
          </cell>
          <cell r="H452">
            <v>6.2E-2</v>
          </cell>
          <cell r="I452">
            <v>5.8000000000000003E-2</v>
          </cell>
          <cell r="J452">
            <v>5.8999999999999997E-2</v>
          </cell>
          <cell r="K452">
            <v>5.8999999999999997E-2</v>
          </cell>
          <cell r="L452">
            <v>5.8999999999999997E-2</v>
          </cell>
          <cell r="M452">
            <v>5.8999999999999997E-2</v>
          </cell>
          <cell r="N452">
            <v>5.8999999999999997E-2</v>
          </cell>
          <cell r="O452">
            <v>5.0999999999999997E-2</v>
          </cell>
          <cell r="P452">
            <v>5.0999999999999997E-2</v>
          </cell>
          <cell r="Q452">
            <v>5.0999999999999997E-2</v>
          </cell>
          <cell r="R452">
            <v>5.0999999999999997E-2</v>
          </cell>
          <cell r="S452">
            <v>5.0999999999999997E-2</v>
          </cell>
          <cell r="T452">
            <v>4.5999999999999999E-2</v>
          </cell>
          <cell r="U452">
            <v>4.5999999999999999E-2</v>
          </cell>
          <cell r="V452">
            <v>4.5999999999999999E-2</v>
          </cell>
          <cell r="W452">
            <v>4.5999999999999999E-2</v>
          </cell>
          <cell r="X452">
            <v>4.5999999999999999E-2</v>
          </cell>
          <cell r="Y452">
            <v>4.1000000000000002E-2</v>
          </cell>
          <cell r="Z452">
            <v>4.1000000000000002E-2</v>
          </cell>
          <cell r="AA452">
            <v>4.1000000000000002E-2</v>
          </cell>
          <cell r="AB452">
            <v>4.1000000000000002E-2</v>
          </cell>
          <cell r="AC452">
            <v>4.1000000000000002E-2</v>
          </cell>
          <cell r="AD452">
            <v>4.3999999999999997E-2</v>
          </cell>
          <cell r="AE452">
            <v>4.3999999999999997E-2</v>
          </cell>
          <cell r="AF452">
            <v>4.3999999999999997E-2</v>
          </cell>
          <cell r="AG452">
            <v>4.3999999999999997E-2</v>
          </cell>
          <cell r="AH452">
            <v>4.3999999999999997E-2</v>
          </cell>
          <cell r="AI452">
            <v>2.9000000000000001E-2</v>
          </cell>
          <cell r="AJ452">
            <v>2.9000000000000001E-2</v>
          </cell>
          <cell r="AK452">
            <v>2.9000000000000001E-2</v>
          </cell>
          <cell r="AL452">
            <v>2.9000000000000001E-2</v>
          </cell>
          <cell r="AM452">
            <v>2.9000000000000001E-2</v>
          </cell>
          <cell r="AN452">
            <v>2.7E-2</v>
          </cell>
          <cell r="AO452">
            <v>2.7E-2</v>
          </cell>
          <cell r="AP452">
            <v>2.7E-2</v>
          </cell>
          <cell r="AQ452">
            <v>2.7E-2</v>
          </cell>
          <cell r="AR452">
            <v>2.7E-2</v>
          </cell>
          <cell r="AS452">
            <v>2.4E-2</v>
          </cell>
          <cell r="AT452">
            <v>2.4E-2</v>
          </cell>
          <cell r="AU452">
            <v>2.4E-2</v>
          </cell>
          <cell r="AV452">
            <v>2.4E-2</v>
          </cell>
          <cell r="AW452">
            <v>2.4E-2</v>
          </cell>
          <cell r="AX452">
            <v>2.4E-2</v>
          </cell>
          <cell r="AY452">
            <v>2.4E-2</v>
          </cell>
          <cell r="AZ452">
            <v>2.4E-2</v>
          </cell>
          <cell r="BB452">
            <v>0.02</v>
          </cell>
          <cell r="BC452">
            <v>0.02</v>
          </cell>
          <cell r="BD452">
            <v>0.02</v>
          </cell>
          <cell r="BG452">
            <v>0.02</v>
          </cell>
        </row>
        <row r="453">
          <cell r="A453" t="str">
            <v xml:space="preserve">Foreign Tax </v>
          </cell>
          <cell r="C453">
            <v>-3.0000000000000001E-3</v>
          </cell>
          <cell r="D453">
            <v>-1E-3</v>
          </cell>
          <cell r="E453">
            <v>0</v>
          </cell>
          <cell r="F453">
            <v>0.01</v>
          </cell>
          <cell r="G453">
            <v>7.0000000000000001E-3</v>
          </cell>
          <cell r="H453">
            <v>0.3</v>
          </cell>
          <cell r="I453">
            <v>3.0000000000000001E-3</v>
          </cell>
          <cell r="J453">
            <v>3.0000000000000001E-3</v>
          </cell>
          <cell r="K453">
            <v>3.0000000000000001E-3</v>
          </cell>
          <cell r="L453">
            <v>3.0000000000000001E-3</v>
          </cell>
          <cell r="M453">
            <v>3.0000000000000001E-3</v>
          </cell>
          <cell r="N453">
            <v>3.0000000000000001E-3</v>
          </cell>
          <cell r="O453">
            <v>-5.0000000000000001E-3</v>
          </cell>
          <cell r="P453">
            <v>-5.0000000000000001E-3</v>
          </cell>
          <cell r="Q453">
            <v>-5.0000000000000001E-3</v>
          </cell>
          <cell r="R453">
            <v>-5.0000000000000001E-3</v>
          </cell>
          <cell r="S453">
            <v>-5.0000000000000001E-3</v>
          </cell>
          <cell r="T453">
            <v>-1E-3</v>
          </cell>
          <cell r="U453">
            <v>-1E-3</v>
          </cell>
          <cell r="V453">
            <v>-1E-3</v>
          </cell>
          <cell r="W453">
            <v>-1E-3</v>
          </cell>
          <cell r="X453">
            <v>-1E-3</v>
          </cell>
          <cell r="Y453">
            <v>-2.5999999999999999E-2</v>
          </cell>
          <cell r="Z453">
            <v>-2.5999999999999999E-2</v>
          </cell>
          <cell r="AA453">
            <v>-2.5999999999999999E-2</v>
          </cell>
          <cell r="AB453">
            <v>-2.5999999999999999E-2</v>
          </cell>
          <cell r="AC453">
            <v>-2.5999999999999999E-2</v>
          </cell>
          <cell r="AD453">
            <v>-2.4E-2</v>
          </cell>
          <cell r="AE453">
            <v>-2.4E-2</v>
          </cell>
          <cell r="AF453">
            <v>-2.4E-2</v>
          </cell>
          <cell r="AG453">
            <v>-2.4E-2</v>
          </cell>
          <cell r="AH453">
            <v>-2.4E-2</v>
          </cell>
          <cell r="AI453">
            <v>-9.7000000000000003E-2</v>
          </cell>
          <cell r="AJ453">
            <v>-9.7000000000000003E-2</v>
          </cell>
          <cell r="AK453">
            <v>-9.7000000000000003E-2</v>
          </cell>
          <cell r="AL453">
            <v>-9.7000000000000003E-2</v>
          </cell>
          <cell r="AM453">
            <v>-9.7000000000000003E-2</v>
          </cell>
          <cell r="AN453">
            <v>-6.3E-2</v>
          </cell>
          <cell r="AO453">
            <v>-6.3E-2</v>
          </cell>
          <cell r="AP453">
            <v>-6.3E-2</v>
          </cell>
          <cell r="AQ453">
            <v>-6.3E-2</v>
          </cell>
          <cell r="AR453">
            <v>-6.3E-2</v>
          </cell>
          <cell r="AS453">
            <v>-6.0999999999999999E-2</v>
          </cell>
          <cell r="AT453">
            <v>-6.0999999999999999E-2</v>
          </cell>
          <cell r="AU453">
            <v>-6.0999999999999999E-2</v>
          </cell>
          <cell r="AV453">
            <v>-6.0999999999999999E-2</v>
          </cell>
          <cell r="AW453">
            <v>-6.0999999999999999E-2</v>
          </cell>
          <cell r="AX453">
            <v>-6.0999999999999999E-2</v>
          </cell>
          <cell r="AY453">
            <v>-6.0999999999999999E-2</v>
          </cell>
          <cell r="AZ453">
            <v>-6.0999999999999999E-2</v>
          </cell>
          <cell r="BB453">
            <v>-0.04</v>
          </cell>
          <cell r="BC453">
            <v>-0.04</v>
          </cell>
          <cell r="BD453">
            <v>-0.04</v>
          </cell>
          <cell r="BG453">
            <v>-0.04</v>
          </cell>
        </row>
        <row r="456">
          <cell r="A456" t="str">
            <v>Effective Tax Rate</v>
          </cell>
          <cell r="C456">
            <v>0.40104749223257857</v>
          </cell>
          <cell r="D456">
            <v>0.44213125695216904</v>
          </cell>
          <cell r="E456">
            <v>0.44190140845070414</v>
          </cell>
          <cell r="F456">
            <v>0.44435716156061789</v>
          </cell>
          <cell r="G456">
            <v>0.44163123308851954</v>
          </cell>
          <cell r="H456">
            <v>0.46517859365276898</v>
          </cell>
          <cell r="I456">
            <v>0.48774795799299869</v>
          </cell>
          <cell r="J456">
            <v>0.44042450554751567</v>
          </cell>
          <cell r="K456">
            <v>0.41582965046203296</v>
          </cell>
          <cell r="L456">
            <v>0.4241261722080138</v>
          </cell>
          <cell r="M456">
            <v>0.36244362443624439</v>
          </cell>
          <cell r="N456">
            <v>0.40943618273242754</v>
          </cell>
          <cell r="O456">
            <v>0.39884153909805536</v>
          </cell>
          <cell r="P456">
            <v>0.41131815044858533</v>
          </cell>
          <cell r="Q456">
            <v>0.40910801656003021</v>
          </cell>
          <cell r="R456">
            <v>0.39048562933597636</v>
          </cell>
          <cell r="S456">
            <v>0.40230930084553146</v>
          </cell>
          <cell r="T456">
            <v>0.41804910418049107</v>
          </cell>
          <cell r="U456">
            <v>0.40045766590389026</v>
          </cell>
          <cell r="V456">
            <v>0.43312629399585933</v>
          </cell>
          <cell r="W456">
            <v>0.35080478745357008</v>
          </cell>
          <cell r="X456">
            <v>0.40148043708142406</v>
          </cell>
          <cell r="Y456">
            <v>0.38367346938775515</v>
          </cell>
          <cell r="Z456">
            <v>0.3964634713820383</v>
          </cell>
          <cell r="AA456">
            <v>0.38535211267605624</v>
          </cell>
          <cell r="AB456">
            <v>0.29523026315789458</v>
          </cell>
          <cell r="AC456">
            <v>0.37281690140845081</v>
          </cell>
          <cell r="AD456">
            <v>0.35853976531942638</v>
          </cell>
          <cell r="AE456">
            <v>0.38843457943925258</v>
          </cell>
          <cell r="AF456">
            <v>0.37499999999999989</v>
          </cell>
          <cell r="AG456">
            <v>0.38206979542719638</v>
          </cell>
          <cell r="AH456">
            <v>0.37644552647595858</v>
          </cell>
          <cell r="AI456">
            <v>0.37183718371837177</v>
          </cell>
          <cell r="AJ456">
            <v>0.32726237905520783</v>
          </cell>
          <cell r="AK456">
            <v>0.3344279427942794</v>
          </cell>
          <cell r="AL456">
            <v>0.30397220613781106</v>
          </cell>
          <cell r="AM456">
            <v>0.33482443820224728</v>
          </cell>
          <cell r="AN456">
            <v>0.33205782312925153</v>
          </cell>
          <cell r="AO456">
            <v>0.2850467289719627</v>
          </cell>
          <cell r="AP456">
            <v>0.28486486486486495</v>
          </cell>
          <cell r="AQ456">
            <v>0.3697749196141476</v>
          </cell>
          <cell r="AR456">
            <v>0.31411411411411416</v>
          </cell>
          <cell r="AS456">
            <v>0.32134570765661241</v>
          </cell>
          <cell r="AT456">
            <v>0.33597883597883621</v>
          </cell>
          <cell r="AU456">
            <v>0.3004288025889969</v>
          </cell>
          <cell r="AV456">
            <v>0.31448831587429477</v>
          </cell>
          <cell r="AW456">
            <v>0.31839976438248574</v>
          </cell>
          <cell r="AX456">
            <v>0.29162385216665393</v>
          </cell>
          <cell r="AY456">
            <v>0.32185273159144895</v>
          </cell>
          <cell r="AZ456">
            <v>0.29108159392789368</v>
          </cell>
          <cell r="BA456">
            <v>0.32806086341118174</v>
          </cell>
          <cell r="BB456">
            <v>0.30860425611465953</v>
          </cell>
          <cell r="BC456">
            <v>0.28851091142490365</v>
          </cell>
          <cell r="BD456">
            <v>0.35695606694560672</v>
          </cell>
          <cell r="BE456">
            <v>0.33</v>
          </cell>
          <cell r="BF456">
            <v>0.33</v>
          </cell>
          <cell r="BG456">
            <v>0.33</v>
          </cell>
          <cell r="BH456">
            <v>0.33</v>
          </cell>
          <cell r="BI456">
            <v>0.33</v>
          </cell>
          <cell r="BJ456">
            <v>0.33</v>
          </cell>
          <cell r="BK456">
            <v>0.33</v>
          </cell>
          <cell r="BL456">
            <v>0.33</v>
          </cell>
          <cell r="BM456">
            <v>0.33</v>
          </cell>
          <cell r="BN456">
            <v>0.33</v>
          </cell>
          <cell r="BO456">
            <v>0.33</v>
          </cell>
          <cell r="BP456">
            <v>0.33</v>
          </cell>
          <cell r="BQ456">
            <v>0.33</v>
          </cell>
          <cell r="BR456">
            <v>0.33</v>
          </cell>
          <cell r="BS456">
            <v>0.33</v>
          </cell>
          <cell r="BT456">
            <v>0.33</v>
          </cell>
          <cell r="BU456">
            <v>0.33</v>
          </cell>
          <cell r="BZ456" t="str">
            <v>Effective Tax Rate</v>
          </cell>
          <cell r="CC456">
            <v>0.44190140845070414</v>
          </cell>
          <cell r="CD456">
            <v>0.44435716156061789</v>
          </cell>
          <cell r="CE456">
            <v>0.44163123308851954</v>
          </cell>
          <cell r="CF456">
            <v>0.46517859365276898</v>
          </cell>
          <cell r="CG456">
            <v>0.48774795799299869</v>
          </cell>
          <cell r="CH456">
            <v>0.40943618273242754</v>
          </cell>
          <cell r="CI456">
            <v>0.40230930084553146</v>
          </cell>
          <cell r="CJ456">
            <v>0.40148043708142406</v>
          </cell>
          <cell r="CK456">
            <v>0.37281690140845081</v>
          </cell>
          <cell r="CL456">
            <v>0.37644552647595858</v>
          </cell>
          <cell r="CM456">
            <v>0.33482443820224728</v>
          </cell>
          <cell r="CN456">
            <v>0.31411411411411416</v>
          </cell>
          <cell r="CO456">
            <v>0.31839976438248574</v>
          </cell>
          <cell r="CP456">
            <v>0.30860425611465953</v>
          </cell>
          <cell r="CQ456">
            <v>0.33</v>
          </cell>
          <cell r="CR456">
            <v>0.33</v>
          </cell>
          <cell r="CS456">
            <v>0.33</v>
          </cell>
          <cell r="CT456">
            <v>0.33</v>
          </cell>
          <cell r="CU456">
            <v>0.33</v>
          </cell>
          <cell r="CV456">
            <v>0.33</v>
          </cell>
          <cell r="CW456">
            <v>0.33</v>
          </cell>
        </row>
        <row r="459">
          <cell r="A459" t="str">
            <v>Capital Expenditures</v>
          </cell>
          <cell r="C459">
            <v>12.4</v>
          </cell>
          <cell r="D459">
            <v>12.9</v>
          </cell>
          <cell r="E459">
            <v>14.4</v>
          </cell>
          <cell r="F459">
            <v>14.8</v>
          </cell>
          <cell r="G459">
            <v>18.100000000000001</v>
          </cell>
          <cell r="H459">
            <v>17.899999999999999</v>
          </cell>
          <cell r="I459">
            <v>21.3</v>
          </cell>
          <cell r="J459">
            <v>5.5</v>
          </cell>
          <cell r="K459">
            <v>6.1999999999999993</v>
          </cell>
          <cell r="L459">
            <v>6.9000000000000021</v>
          </cell>
          <cell r="M459">
            <v>12.7</v>
          </cell>
          <cell r="N459">
            <v>31.3</v>
          </cell>
          <cell r="O459">
            <v>6.7</v>
          </cell>
          <cell r="P459">
            <v>6.2</v>
          </cell>
          <cell r="Q459">
            <v>8.2999999999999989</v>
          </cell>
          <cell r="R459">
            <v>9.9000000000000021</v>
          </cell>
          <cell r="S459">
            <v>31.1</v>
          </cell>
          <cell r="T459">
            <v>33.1</v>
          </cell>
          <cell r="U459">
            <v>60.199999999999996</v>
          </cell>
          <cell r="V459">
            <v>52.500000000000014</v>
          </cell>
          <cell r="W459">
            <v>36</v>
          </cell>
          <cell r="X459">
            <v>181.8</v>
          </cell>
          <cell r="Y459">
            <v>19.100000000000001</v>
          </cell>
          <cell r="Z459">
            <v>24.9</v>
          </cell>
          <cell r="AA459">
            <v>21.400000000000006</v>
          </cell>
          <cell r="AB459">
            <v>19</v>
          </cell>
          <cell r="AC459">
            <v>84.4</v>
          </cell>
          <cell r="AD459">
            <v>12.4</v>
          </cell>
          <cell r="AE459">
            <v>22.4</v>
          </cell>
          <cell r="AF459">
            <v>29.5</v>
          </cell>
          <cell r="AG459">
            <v>26.4</v>
          </cell>
          <cell r="AH459">
            <v>90.699999999999989</v>
          </cell>
          <cell r="AI459">
            <v>16.2</v>
          </cell>
          <cell r="AJ459">
            <v>19.099999999999998</v>
          </cell>
          <cell r="AK459">
            <v>19.300000000000008</v>
          </cell>
          <cell r="AL459">
            <v>24.399999999999995</v>
          </cell>
          <cell r="AM459">
            <v>79</v>
          </cell>
          <cell r="AN459">
            <v>19.600000000000001</v>
          </cell>
          <cell r="AO459">
            <v>16</v>
          </cell>
          <cell r="AP459">
            <v>18</v>
          </cell>
          <cell r="AQ459">
            <v>14.100000000000001</v>
          </cell>
          <cell r="AR459">
            <v>67.7</v>
          </cell>
          <cell r="AS459">
            <v>15.3</v>
          </cell>
          <cell r="AT459">
            <v>6.5999999999999979</v>
          </cell>
          <cell r="AU459">
            <v>13.300000000000004</v>
          </cell>
          <cell r="AV459">
            <v>9.7999999999999972</v>
          </cell>
          <cell r="AW459">
            <v>45</v>
          </cell>
          <cell r="AX459">
            <v>8.6</v>
          </cell>
          <cell r="AY459">
            <v>9.5000000000000018</v>
          </cell>
          <cell r="AZ459">
            <v>12.899999999999999</v>
          </cell>
          <cell r="BA459">
            <v>11.299999999999999</v>
          </cell>
          <cell r="BB459">
            <v>42.3</v>
          </cell>
          <cell r="BC459">
            <v>19.100000000000001</v>
          </cell>
          <cell r="BD459">
            <v>19.699999999999996</v>
          </cell>
          <cell r="BE459">
            <v>14.3044364</v>
          </cell>
          <cell r="BF459">
            <v>15.85647558109091</v>
          </cell>
          <cell r="BG459">
            <v>68.960911981090902</v>
          </cell>
          <cell r="BH459">
            <v>15.569072933920001</v>
          </cell>
          <cell r="BI459">
            <v>17.596569795080001</v>
          </cell>
          <cell r="BJ459">
            <v>14.954435946579997</v>
          </cell>
          <cell r="BK459">
            <v>16.590073168304244</v>
          </cell>
          <cell r="BL459">
            <v>64.710151843884233</v>
          </cell>
          <cell r="BM459">
            <v>16.263996801379598</v>
          </cell>
          <cell r="BN459">
            <v>18.332775226791203</v>
          </cell>
          <cell r="BO459">
            <v>15.656961688524953</v>
          </cell>
          <cell r="BP459">
            <v>17.385194269773049</v>
          </cell>
          <cell r="BQ459">
            <v>67.638927986468801</v>
          </cell>
          <cell r="BR459">
            <v>70.3213606073178</v>
          </cell>
          <cell r="BS459">
            <v>73.22758369374607</v>
          </cell>
          <cell r="BT459">
            <v>76.380249000921424</v>
          </cell>
          <cell r="BU459">
            <v>79.804439351392034</v>
          </cell>
          <cell r="BZ459" t="str">
            <v>Capital Expenditures</v>
          </cell>
          <cell r="CC459">
            <v>14.4</v>
          </cell>
          <cell r="CD459">
            <v>14.8</v>
          </cell>
          <cell r="CE459">
            <v>18.100000000000001</v>
          </cell>
          <cell r="CF459">
            <v>17.899999999999999</v>
          </cell>
          <cell r="CG459">
            <v>21.3</v>
          </cell>
          <cell r="CH459">
            <v>31.3</v>
          </cell>
          <cell r="CI459">
            <v>31.1</v>
          </cell>
          <cell r="CJ459">
            <v>181.8</v>
          </cell>
          <cell r="CK459">
            <v>84.4</v>
          </cell>
          <cell r="CL459">
            <v>90.699999999999989</v>
          </cell>
          <cell r="CM459">
            <v>79</v>
          </cell>
          <cell r="CN459">
            <v>67.7</v>
          </cell>
          <cell r="CO459">
            <v>45</v>
          </cell>
          <cell r="CP459">
            <v>42.3</v>
          </cell>
          <cell r="CQ459">
            <v>68.960911981090902</v>
          </cell>
          <cell r="CR459">
            <v>64.710151843884233</v>
          </cell>
          <cell r="CS459">
            <v>67.638927986468801</v>
          </cell>
          <cell r="CT459">
            <v>70.3213606073178</v>
          </cell>
          <cell r="CU459">
            <v>73.22758369374607</v>
          </cell>
          <cell r="CV459">
            <v>76.380249000921424</v>
          </cell>
          <cell r="CW459">
            <v>79.804439351392034</v>
          </cell>
          <cell r="CY459">
            <v>63.326554710090917</v>
          </cell>
        </row>
        <row r="460">
          <cell r="A460" t="str">
            <v>% of Total Revenues</v>
          </cell>
          <cell r="C460">
            <v>2.4129208017123951E-2</v>
          </cell>
          <cell r="D460">
            <v>2.2864232541651895E-2</v>
          </cell>
          <cell r="E460">
            <v>2.3908351319940228E-2</v>
          </cell>
          <cell r="F460">
            <v>1.8576628592945902E-2</v>
          </cell>
          <cell r="G460">
            <v>1.7687872569139059E-2</v>
          </cell>
          <cell r="H460">
            <v>1.4359056634044598E-2</v>
          </cell>
          <cell r="I460">
            <v>1.4809149690606965E-2</v>
          </cell>
          <cell r="J460">
            <v>1.4084507042253521E-2</v>
          </cell>
          <cell r="K460">
            <v>1.3876454789615038E-2</v>
          </cell>
          <cell r="L460">
            <v>1.6385656613630974E-2</v>
          </cell>
          <cell r="M460">
            <v>2.6838546069315301E-2</v>
          </cell>
          <cell r="N460">
            <v>1.8075768075768078E-2</v>
          </cell>
          <cell r="O460">
            <v>1.5220354384370739E-2</v>
          </cell>
          <cell r="P460">
            <v>1.2123582323034808E-2</v>
          </cell>
          <cell r="Q460">
            <v>1.6750756811301712E-2</v>
          </cell>
          <cell r="R460">
            <v>1.6779661016949155E-2</v>
          </cell>
          <cell r="S460">
            <v>1.526680084433754E-2</v>
          </cell>
          <cell r="T460">
            <v>5.6775300171526592E-2</v>
          </cell>
          <cell r="U460">
            <v>9.3174431202600216E-2</v>
          </cell>
          <cell r="V460">
            <v>0.10000000000000003</v>
          </cell>
          <cell r="W460">
            <v>7.1301247771835996E-2</v>
          </cell>
          <cell r="X460">
            <v>8.0478087649402397E-2</v>
          </cell>
          <cell r="Y460">
            <v>4.4346412816345486E-2</v>
          </cell>
          <cell r="Z460">
            <v>5.1066447908121412E-2</v>
          </cell>
          <cell r="AA460">
            <v>4.9377018920166139E-2</v>
          </cell>
          <cell r="AB460">
            <v>4.7064651969284124E-2</v>
          </cell>
          <cell r="AC460">
            <v>4.8080209638828766E-2</v>
          </cell>
          <cell r="AD460">
            <v>3.0325262900464663E-2</v>
          </cell>
          <cell r="AE460">
            <v>4.9700465941868208E-2</v>
          </cell>
          <cell r="AF460">
            <v>6.529437804338202E-2</v>
          </cell>
          <cell r="AG460">
            <v>5.4343351173322355E-2</v>
          </cell>
          <cell r="AH460">
            <v>5.0467393723569988E-2</v>
          </cell>
          <cell r="AI460">
            <v>3.3990767939571967E-2</v>
          </cell>
          <cell r="AJ460">
            <v>3.997488488907492E-2</v>
          </cell>
          <cell r="AK460">
            <v>3.759984414572376E-2</v>
          </cell>
          <cell r="AL460">
            <v>4.3239411660464279E-2</v>
          </cell>
          <cell r="AM460">
            <v>3.8877952755905512E-2</v>
          </cell>
          <cell r="AN460">
            <v>3.3962918038468203E-2</v>
          </cell>
          <cell r="AO460">
            <v>2.6437541308658299E-2</v>
          </cell>
          <cell r="AP460">
            <v>3.3879164313946927E-2</v>
          </cell>
          <cell r="AQ460">
            <v>2.4863339798977251E-2</v>
          </cell>
          <cell r="AR460">
            <v>2.9683868987591532E-2</v>
          </cell>
          <cell r="AS460">
            <v>2.3654916512059369E-2</v>
          </cell>
          <cell r="AT460">
            <v>1.0299625468164791E-2</v>
          </cell>
          <cell r="AU460">
            <v>1.931735657225854E-2</v>
          </cell>
          <cell r="AV460">
            <v>1.2993900822063106E-2</v>
          </cell>
          <cell r="AW460">
            <v>1.6481705307109108E-2</v>
          </cell>
          <cell r="AX460">
            <v>1.1751844766329596E-2</v>
          </cell>
          <cell r="AY460">
            <v>1.2566137566137569E-2</v>
          </cell>
          <cell r="AZ460">
            <v>1.828490432317505E-2</v>
          </cell>
          <cell r="BA460">
            <v>1.4502053388090347E-2</v>
          </cell>
          <cell r="BB460">
            <v>1.4230445752733389E-2</v>
          </cell>
          <cell r="BC460">
            <v>2.4895724713242962E-2</v>
          </cell>
          <cell r="BD460">
            <v>2.2552947910704058E-2</v>
          </cell>
          <cell r="BE460">
            <v>0.02</v>
          </cell>
          <cell r="BF460">
            <v>0.02</v>
          </cell>
          <cell r="BG460">
            <v>2.1901074511004436E-2</v>
          </cell>
          <cell r="BH460">
            <v>0.02</v>
          </cell>
          <cell r="BI460">
            <v>0.02</v>
          </cell>
          <cell r="BJ460">
            <v>0.02</v>
          </cell>
          <cell r="BK460">
            <v>0.02</v>
          </cell>
          <cell r="BL460">
            <v>1.9999999999999993E-2</v>
          </cell>
          <cell r="BM460">
            <v>0.02</v>
          </cell>
          <cell r="BN460">
            <v>0.02</v>
          </cell>
          <cell r="BO460">
            <v>0.02</v>
          </cell>
          <cell r="BP460">
            <v>0.02</v>
          </cell>
          <cell r="BQ460">
            <v>2.0000000000000004E-2</v>
          </cell>
          <cell r="BR460">
            <v>2.0000000000000004E-2</v>
          </cell>
          <cell r="BS460">
            <v>2.0000000000000004E-2</v>
          </cell>
          <cell r="BT460">
            <v>2.0000000000000004E-2</v>
          </cell>
          <cell r="BU460">
            <v>2.0000000000000004E-2</v>
          </cell>
          <cell r="BZ460" t="str">
            <v>% of Total Revenues</v>
          </cell>
          <cell r="CC460">
            <v>2.3908351319940228E-2</v>
          </cell>
          <cell r="CD460">
            <v>1.8576628592945902E-2</v>
          </cell>
          <cell r="CE460">
            <v>1.7687872569139059E-2</v>
          </cell>
          <cell r="CF460">
            <v>1.4359056634044598E-2</v>
          </cell>
          <cell r="CG460">
            <v>1.4809149690606965E-2</v>
          </cell>
          <cell r="CH460">
            <v>1.8075768075768078E-2</v>
          </cell>
          <cell r="CI460">
            <v>1.526680084433754E-2</v>
          </cell>
          <cell r="CJ460">
            <v>8.0478087649402397E-2</v>
          </cell>
          <cell r="CK460">
            <v>4.8080209638828766E-2</v>
          </cell>
          <cell r="CL460">
            <v>5.0467393723569988E-2</v>
          </cell>
          <cell r="CM460">
            <v>3.8877952755905512E-2</v>
          </cell>
          <cell r="CN460">
            <v>2.9683868987591532E-2</v>
          </cell>
          <cell r="CO460">
            <v>1.6481705307109108E-2</v>
          </cell>
          <cell r="CP460">
            <v>1.4230445752733389E-2</v>
          </cell>
          <cell r="CQ460">
            <v>2.1901074511004436E-2</v>
          </cell>
          <cell r="CR460">
            <v>1.9999999999999993E-2</v>
          </cell>
          <cell r="CS460">
            <v>2.0000000000000004E-2</v>
          </cell>
          <cell r="CT460">
            <v>2.0000000000000004E-2</v>
          </cell>
          <cell r="CU460">
            <v>2.0000000000000004E-2</v>
          </cell>
          <cell r="CV460">
            <v>2.0000000000000004E-2</v>
          </cell>
          <cell r="CW460">
            <v>2.0000000000000004E-2</v>
          </cell>
        </row>
        <row r="463">
          <cell r="A463" t="str">
            <v xml:space="preserve">Acquisition </v>
          </cell>
        </row>
        <row r="464">
          <cell r="A464" t="str">
            <v>Acquisition allocated to Goodwill</v>
          </cell>
          <cell r="BE464">
            <v>0.15</v>
          </cell>
          <cell r="BF464">
            <v>0.15</v>
          </cell>
          <cell r="BH464">
            <v>0.15</v>
          </cell>
          <cell r="BI464">
            <v>0.15</v>
          </cell>
          <cell r="BJ464">
            <v>0.15</v>
          </cell>
          <cell r="BK464">
            <v>0.15</v>
          </cell>
          <cell r="BM464">
            <v>0.15</v>
          </cell>
          <cell r="BN464">
            <v>0.15</v>
          </cell>
          <cell r="BO464">
            <v>0.15</v>
          </cell>
          <cell r="BP464">
            <v>0.15</v>
          </cell>
          <cell r="BR464">
            <v>0.15</v>
          </cell>
          <cell r="BS464">
            <v>0.15</v>
          </cell>
          <cell r="BT464">
            <v>0.15</v>
          </cell>
          <cell r="BU464">
            <v>0.15</v>
          </cell>
        </row>
        <row r="465">
          <cell r="A465" t="str">
            <v>Acquisition allocated to PP&amp;E</v>
          </cell>
          <cell r="BE465">
            <v>0.5</v>
          </cell>
          <cell r="BF465">
            <v>0.5</v>
          </cell>
          <cell r="BH465">
            <v>0.5</v>
          </cell>
          <cell r="BI465">
            <v>0.5</v>
          </cell>
          <cell r="BJ465">
            <v>0.5</v>
          </cell>
          <cell r="BK465">
            <v>0.5</v>
          </cell>
          <cell r="BM465">
            <v>0.5</v>
          </cell>
          <cell r="BN465">
            <v>0.5</v>
          </cell>
          <cell r="BO465">
            <v>0.5</v>
          </cell>
          <cell r="BP465">
            <v>0.5</v>
          </cell>
          <cell r="BR465">
            <v>0.5</v>
          </cell>
          <cell r="BS465">
            <v>0.5</v>
          </cell>
          <cell r="BT465">
            <v>0.5</v>
          </cell>
          <cell r="BU465">
            <v>0.5</v>
          </cell>
        </row>
        <row r="466">
          <cell r="A466" t="str">
            <v>Acquisition allocated to Intangibles and others</v>
          </cell>
          <cell r="BE466">
            <v>0.35</v>
          </cell>
          <cell r="BF466">
            <v>0.35</v>
          </cell>
          <cell r="BH466">
            <v>0.35</v>
          </cell>
          <cell r="BI466">
            <v>0.35</v>
          </cell>
          <cell r="BJ466">
            <v>0.35</v>
          </cell>
          <cell r="BK466">
            <v>0.35</v>
          </cell>
          <cell r="BM466">
            <v>0.35</v>
          </cell>
          <cell r="BN466">
            <v>0.35</v>
          </cell>
          <cell r="BO466">
            <v>0.35</v>
          </cell>
          <cell r="BP466">
            <v>0.35</v>
          </cell>
          <cell r="BR466">
            <v>0.35</v>
          </cell>
          <cell r="BS466">
            <v>0.35</v>
          </cell>
          <cell r="BT466">
            <v>0.35</v>
          </cell>
          <cell r="BU466">
            <v>0.35</v>
          </cell>
        </row>
        <row r="468">
          <cell r="A468" t="str">
            <v>PP&amp;E Calculation</v>
          </cell>
        </row>
        <row r="469">
          <cell r="A469" t="str">
            <v>PP&amp;E - BOP</v>
          </cell>
          <cell r="E469">
            <v>43.3</v>
          </cell>
          <cell r="F469">
            <v>43.4</v>
          </cell>
          <cell r="G469">
            <v>42.9</v>
          </cell>
          <cell r="H469">
            <v>50.6</v>
          </cell>
          <cell r="I469">
            <v>46.8</v>
          </cell>
          <cell r="J469">
            <v>45.2</v>
          </cell>
          <cell r="K469">
            <v>44.8</v>
          </cell>
          <cell r="L469">
            <v>45.7</v>
          </cell>
          <cell r="M469">
            <v>47.2</v>
          </cell>
          <cell r="N469">
            <v>45.2</v>
          </cell>
          <cell r="O469">
            <v>55.4</v>
          </cell>
          <cell r="P469">
            <v>58.3</v>
          </cell>
          <cell r="Q469">
            <v>60</v>
          </cell>
          <cell r="R469">
            <v>62.8</v>
          </cell>
          <cell r="S469">
            <v>55.4</v>
          </cell>
          <cell r="T469">
            <v>62</v>
          </cell>
          <cell r="U469">
            <v>118.2</v>
          </cell>
          <cell r="V469">
            <v>162.80000000000001</v>
          </cell>
          <cell r="W469">
            <v>218.4</v>
          </cell>
          <cell r="X469">
            <v>62</v>
          </cell>
          <cell r="Y469">
            <v>214.6</v>
          </cell>
          <cell r="Z469">
            <v>230.2</v>
          </cell>
          <cell r="AA469">
            <v>235.7</v>
          </cell>
          <cell r="AB469">
            <v>242.1</v>
          </cell>
          <cell r="AC469">
            <v>214.6</v>
          </cell>
          <cell r="AD469">
            <v>247.7</v>
          </cell>
          <cell r="AE469">
            <v>248.4</v>
          </cell>
          <cell r="AF469">
            <v>267.60000000000002</v>
          </cell>
          <cell r="AG469">
            <v>278.60000000000002</v>
          </cell>
          <cell r="AH469">
            <v>247.7</v>
          </cell>
          <cell r="AI469">
            <v>293</v>
          </cell>
          <cell r="AJ469">
            <v>292.7</v>
          </cell>
          <cell r="AK469">
            <v>298.3</v>
          </cell>
          <cell r="AL469">
            <v>307.5</v>
          </cell>
          <cell r="AM469">
            <v>293</v>
          </cell>
          <cell r="AN469">
            <v>319.3</v>
          </cell>
          <cell r="AO469">
            <v>324.60000000000002</v>
          </cell>
          <cell r="AP469">
            <v>325.2</v>
          </cell>
          <cell r="AQ469">
            <v>323.7</v>
          </cell>
          <cell r="AR469">
            <v>319.3</v>
          </cell>
          <cell r="AS469">
            <v>326.8</v>
          </cell>
          <cell r="AT469">
            <v>324.8</v>
          </cell>
          <cell r="AU469">
            <v>317.39999999999998</v>
          </cell>
          <cell r="AV469">
            <v>315.60000000000002</v>
          </cell>
          <cell r="AW469">
            <v>326.8</v>
          </cell>
          <cell r="AX469">
            <v>307.10000000000002</v>
          </cell>
          <cell r="AY469">
            <v>296.10000000000002</v>
          </cell>
          <cell r="AZ469">
            <v>287.39999999999998</v>
          </cell>
          <cell r="BA469">
            <v>284.3</v>
          </cell>
          <cell r="BB469">
            <v>307.10000000000002</v>
          </cell>
          <cell r="BC469">
            <v>278.7</v>
          </cell>
          <cell r="BD469">
            <v>282.3</v>
          </cell>
          <cell r="BE469">
            <v>298.3</v>
          </cell>
          <cell r="BF469">
            <v>300.49519588941041</v>
          </cell>
          <cell r="BG469">
            <v>278.7</v>
          </cell>
          <cell r="BH469">
            <v>302.26129336756333</v>
          </cell>
          <cell r="BI469">
            <v>304.00685019235817</v>
          </cell>
          <cell r="BJ469">
            <v>305.19185694048434</v>
          </cell>
          <cell r="BK469">
            <v>307.10734488427477</v>
          </cell>
          <cell r="BL469">
            <v>302.26129336756333</v>
          </cell>
          <cell r="BM469">
            <v>308.57062173585405</v>
          </cell>
          <cell r="BN469">
            <v>309.94905021034384</v>
          </cell>
          <cell r="BO469">
            <v>310.75551533081318</v>
          </cell>
          <cell r="BP469">
            <v>312.3017732039915</v>
          </cell>
          <cell r="BQ469">
            <v>308.57062173585405</v>
          </cell>
          <cell r="BR469">
            <v>313.37021977966384</v>
          </cell>
          <cell r="BS469">
            <v>298.10953947600495</v>
          </cell>
          <cell r="BT469">
            <v>276.59574762913189</v>
          </cell>
          <cell r="BU469">
            <v>253.50562312867117</v>
          </cell>
        </row>
        <row r="470">
          <cell r="A470" t="str">
            <v>Capex</v>
          </cell>
          <cell r="E470">
            <v>14.4</v>
          </cell>
          <cell r="F470">
            <v>14.8</v>
          </cell>
          <cell r="G470">
            <v>18.100000000000001</v>
          </cell>
          <cell r="H470">
            <v>17.899999999999999</v>
          </cell>
          <cell r="I470">
            <v>21.3</v>
          </cell>
          <cell r="J470">
            <v>5.5</v>
          </cell>
          <cell r="K470">
            <v>6.1999999999999993</v>
          </cell>
          <cell r="L470">
            <v>6.9000000000000021</v>
          </cell>
          <cell r="M470">
            <v>12.7</v>
          </cell>
          <cell r="N470">
            <v>31.3</v>
          </cell>
          <cell r="O470">
            <v>6.7</v>
          </cell>
          <cell r="P470">
            <v>6.2</v>
          </cell>
          <cell r="Q470">
            <v>8.2999999999999989</v>
          </cell>
          <cell r="R470">
            <v>9.9000000000000021</v>
          </cell>
          <cell r="S470">
            <v>31.1</v>
          </cell>
          <cell r="T470">
            <v>33.1</v>
          </cell>
          <cell r="U470">
            <v>60.199999999999996</v>
          </cell>
          <cell r="V470">
            <v>52.500000000000014</v>
          </cell>
          <cell r="W470">
            <v>36</v>
          </cell>
          <cell r="X470">
            <v>181.8</v>
          </cell>
          <cell r="Y470">
            <v>19.100000000000001</v>
          </cell>
          <cell r="Z470">
            <v>24.9</v>
          </cell>
          <cell r="AA470">
            <v>21.400000000000006</v>
          </cell>
          <cell r="AB470">
            <v>19</v>
          </cell>
          <cell r="AC470">
            <v>84.4</v>
          </cell>
          <cell r="AD470">
            <v>12.4</v>
          </cell>
          <cell r="AE470">
            <v>22.4</v>
          </cell>
          <cell r="AF470">
            <v>29.5</v>
          </cell>
          <cell r="AG470">
            <v>26.4</v>
          </cell>
          <cell r="AH470">
            <v>90.699999999999989</v>
          </cell>
          <cell r="AI470">
            <v>16.2</v>
          </cell>
          <cell r="AJ470">
            <v>19.099999999999998</v>
          </cell>
          <cell r="AK470">
            <v>19.300000000000008</v>
          </cell>
          <cell r="AL470">
            <v>24.399999999999995</v>
          </cell>
          <cell r="AM470">
            <v>79</v>
          </cell>
          <cell r="AN470">
            <v>19.600000000000001</v>
          </cell>
          <cell r="AO470">
            <v>16</v>
          </cell>
          <cell r="AP470">
            <v>18</v>
          </cell>
          <cell r="AQ470">
            <v>14.100000000000001</v>
          </cell>
          <cell r="AR470">
            <v>67.7</v>
          </cell>
          <cell r="AS470">
            <v>15.3</v>
          </cell>
          <cell r="AT470">
            <v>6.5999999999999979</v>
          </cell>
          <cell r="AU470">
            <v>13.300000000000004</v>
          </cell>
          <cell r="AV470">
            <v>9.7999999999999972</v>
          </cell>
          <cell r="AW470">
            <v>45</v>
          </cell>
          <cell r="AX470">
            <v>8.6</v>
          </cell>
          <cell r="AY470">
            <v>9.5000000000000018</v>
          </cell>
          <cell r="AZ470">
            <v>12.899999999999999</v>
          </cell>
          <cell r="BA470">
            <v>11.299999999999999</v>
          </cell>
          <cell r="BB470">
            <v>42.3</v>
          </cell>
          <cell r="BC470">
            <v>19.100000000000001</v>
          </cell>
          <cell r="BD470">
            <v>19.699999999999996</v>
          </cell>
          <cell r="BE470">
            <v>14.3044364</v>
          </cell>
          <cell r="BF470">
            <v>15.85647558109091</v>
          </cell>
          <cell r="BG470">
            <v>68.960911981090902</v>
          </cell>
          <cell r="BH470">
            <v>15.569072933920001</v>
          </cell>
          <cell r="BI470">
            <v>17.596569795080001</v>
          </cell>
          <cell r="BJ470">
            <v>14.954435946579997</v>
          </cell>
          <cell r="BK470">
            <v>16.590073168304244</v>
          </cell>
          <cell r="BL470">
            <v>64.710151843884233</v>
          </cell>
          <cell r="BM470">
            <v>16.263996801379598</v>
          </cell>
          <cell r="BN470">
            <v>18.332775226791203</v>
          </cell>
          <cell r="BO470">
            <v>15.656961688524953</v>
          </cell>
          <cell r="BP470">
            <v>17.385194269773049</v>
          </cell>
          <cell r="BQ470">
            <v>67.638927986468801</v>
          </cell>
          <cell r="BR470">
            <v>70.3213606073178</v>
          </cell>
          <cell r="BS470">
            <v>73.22758369374607</v>
          </cell>
          <cell r="BT470">
            <v>76.380249000921424</v>
          </cell>
          <cell r="BU470">
            <v>79.804439351392034</v>
          </cell>
        </row>
        <row r="471">
          <cell r="A471" t="str">
            <v>Depreciation Expense</v>
          </cell>
          <cell r="E471">
            <v>-15.700000000000001</v>
          </cell>
          <cell r="F471">
            <v>-16</v>
          </cell>
          <cell r="G471">
            <v>-19.3</v>
          </cell>
          <cell r="H471">
            <v>-25.6</v>
          </cell>
          <cell r="I471">
            <v>-27.200000000000003</v>
          </cell>
          <cell r="J471">
            <v>-7</v>
          </cell>
          <cell r="K471">
            <v>-7.0000000000000018</v>
          </cell>
          <cell r="L471">
            <v>-7.3000000000000007</v>
          </cell>
          <cell r="M471">
            <v>-7.1</v>
          </cell>
          <cell r="N471">
            <v>-28.400000000000006</v>
          </cell>
          <cell r="O471">
            <v>-6.9</v>
          </cell>
          <cell r="P471">
            <v>-6.7999999999999989</v>
          </cell>
          <cell r="Q471">
            <v>-7.3000000000000007</v>
          </cell>
          <cell r="R471">
            <v>-8.6000000000000014</v>
          </cell>
          <cell r="S471">
            <v>-29.6</v>
          </cell>
          <cell r="T471">
            <v>-7.8000000000000007</v>
          </cell>
          <cell r="U471">
            <v>-6.7999999999999972</v>
          </cell>
          <cell r="V471">
            <v>-8.8000000000000007</v>
          </cell>
          <cell r="W471">
            <v>-9.7999999999999972</v>
          </cell>
          <cell r="X471">
            <v>-33.199999999999996</v>
          </cell>
          <cell r="Y471">
            <v>-9.8000000000000007</v>
          </cell>
          <cell r="Z471">
            <v>-14.100000000000001</v>
          </cell>
          <cell r="AA471">
            <v>-11.599999999999998</v>
          </cell>
          <cell r="AB471">
            <v>-11.399999999999999</v>
          </cell>
          <cell r="AC471">
            <v>-46.9</v>
          </cell>
          <cell r="AD471">
            <v>-11.6</v>
          </cell>
          <cell r="AE471">
            <v>-11.500000000000004</v>
          </cell>
          <cell r="AF471">
            <v>-11.999999999999995</v>
          </cell>
          <cell r="AG471">
            <v>-12.599999999999996</v>
          </cell>
          <cell r="AH471">
            <v>-47.699999999999989</v>
          </cell>
          <cell r="AI471">
            <v>-11</v>
          </cell>
          <cell r="AJ471">
            <v>-12.099999999999998</v>
          </cell>
          <cell r="AK471">
            <v>-13.900000000000002</v>
          </cell>
          <cell r="AL471">
            <v>-12.900000000000002</v>
          </cell>
          <cell r="AM471">
            <v>-49.900000000000006</v>
          </cell>
          <cell r="AN471">
            <v>-12.899999999999999</v>
          </cell>
          <cell r="AO471">
            <v>-17.000000000000004</v>
          </cell>
          <cell r="AP471">
            <v>-13.999999999999996</v>
          </cell>
          <cell r="AQ471">
            <v>-14.800000000000011</v>
          </cell>
          <cell r="AR471">
            <v>-58.70000000000001</v>
          </cell>
          <cell r="AS471">
            <v>-16.2</v>
          </cell>
          <cell r="AT471">
            <v>-15</v>
          </cell>
          <cell r="AU471">
            <v>-16</v>
          </cell>
          <cell r="AV471">
            <v>-16.2</v>
          </cell>
          <cell r="AW471">
            <v>-63.400000000000006</v>
          </cell>
          <cell r="AX471">
            <v>-16.3</v>
          </cell>
          <cell r="AY471">
            <v>-16.400000000000002</v>
          </cell>
          <cell r="AZ471">
            <v>-16.399999999999991</v>
          </cell>
          <cell r="BA471">
            <v>-16.300000000000015</v>
          </cell>
          <cell r="BB471">
            <v>-65.400000000000006</v>
          </cell>
          <cell r="BC471">
            <v>-15.8</v>
          </cell>
          <cell r="BD471">
            <v>-15.999999999999996</v>
          </cell>
          <cell r="BE471">
            <v>-12.109240510589581</v>
          </cell>
          <cell r="BF471">
            <v>-14.090378102938024</v>
          </cell>
          <cell r="BG471">
            <v>-57.999618613527602</v>
          </cell>
          <cell r="BH471">
            <v>-13.82351610912513</v>
          </cell>
          <cell r="BI471">
            <v>-16.411563046953862</v>
          </cell>
          <cell r="BJ471">
            <v>-13.038948002789578</v>
          </cell>
          <cell r="BK471">
            <v>-15.126796316724935</v>
          </cell>
          <cell r="BL471">
            <v>-58.400823475593505</v>
          </cell>
          <cell r="BM471">
            <v>-14.885568326889814</v>
          </cell>
          <cell r="BN471">
            <v>-17.526310106321912</v>
          </cell>
          <cell r="BO471">
            <v>-14.110703815346678</v>
          </cell>
          <cell r="BP471">
            <v>-16.316747694100684</v>
          </cell>
          <cell r="BQ471">
            <v>-62.839329942659091</v>
          </cell>
          <cell r="BR471">
            <v>-85.582040910976673</v>
          </cell>
          <cell r="BS471">
            <v>-94.741375540619089</v>
          </cell>
          <cell r="BT471">
            <v>-99.470373501382127</v>
          </cell>
          <cell r="BU471">
            <v>-104.60665902708803</v>
          </cell>
        </row>
        <row r="472">
          <cell r="A472" t="str">
            <v>Other Acquisition (Divestitures)</v>
          </cell>
          <cell r="E472">
            <v>1.4000000000000057</v>
          </cell>
          <cell r="F472">
            <v>0.69999999999999574</v>
          </cell>
          <cell r="G472">
            <v>8.8999999999999986</v>
          </cell>
          <cell r="H472">
            <v>3.8999999999999986</v>
          </cell>
          <cell r="I472">
            <v>4.3000000000000114</v>
          </cell>
          <cell r="J472">
            <v>1.0999999999999943</v>
          </cell>
          <cell r="K472">
            <v>1.7000000000000028</v>
          </cell>
          <cell r="L472">
            <v>1.8999999999999915</v>
          </cell>
          <cell r="M472">
            <v>2.5999999999999943</v>
          </cell>
          <cell r="N472">
            <v>7.2999999999999829</v>
          </cell>
          <cell r="O472">
            <v>3.0999999999999943</v>
          </cell>
          <cell r="P472">
            <v>2.2999999999999972</v>
          </cell>
          <cell r="Q472">
            <v>1.7999999999999972</v>
          </cell>
          <cell r="R472">
            <v>-2.0999999999999943</v>
          </cell>
          <cell r="S472">
            <v>5.0999999999999943</v>
          </cell>
          <cell r="T472">
            <v>30.900000000000006</v>
          </cell>
          <cell r="U472">
            <v>-8.8000000000000114</v>
          </cell>
          <cell r="V472">
            <v>11.900000000000006</v>
          </cell>
          <cell r="W472">
            <v>-30.000000000000028</v>
          </cell>
          <cell r="X472">
            <v>3.9999999999999716</v>
          </cell>
          <cell r="Y472">
            <v>6.3000000000000114</v>
          </cell>
          <cell r="Z472">
            <v>-5.3000000000000114</v>
          </cell>
          <cell r="AA472">
            <v>-3.4000000000000341</v>
          </cell>
          <cell r="AB472">
            <v>-2.0000000000000284</v>
          </cell>
          <cell r="AC472">
            <v>-4.4000000000000625</v>
          </cell>
          <cell r="AD472">
            <v>-9.9999999999965894E-2</v>
          </cell>
          <cell r="AE472">
            <v>8.3000000000000114</v>
          </cell>
          <cell r="AF472">
            <v>-6.5</v>
          </cell>
          <cell r="AG472">
            <v>0.60000000000002274</v>
          </cell>
          <cell r="AH472">
            <v>2.3000000000000682</v>
          </cell>
          <cell r="AI472">
            <v>-5.5</v>
          </cell>
          <cell r="AJ472">
            <v>-1.3999999999999773</v>
          </cell>
          <cell r="AK472">
            <v>3.7999999999999545</v>
          </cell>
          <cell r="AL472">
            <v>0.30000000000001137</v>
          </cell>
          <cell r="AM472">
            <v>-2.8000000000000114</v>
          </cell>
          <cell r="AN472">
            <v>-1.4000000000000341</v>
          </cell>
          <cell r="AO472">
            <v>1.5999999999999659</v>
          </cell>
          <cell r="AP472">
            <v>-5.5</v>
          </cell>
          <cell r="AQ472">
            <v>3.8000000000000114</v>
          </cell>
          <cell r="AR472">
            <v>-1.5000000000000568</v>
          </cell>
          <cell r="AS472">
            <v>-1.1000000000000227</v>
          </cell>
          <cell r="AT472">
            <v>0.99999999999994316</v>
          </cell>
          <cell r="AU472">
            <v>0.90000000000003411</v>
          </cell>
          <cell r="AV472">
            <v>-2.1000000000000227</v>
          </cell>
          <cell r="AW472">
            <v>-1.3000000000000682</v>
          </cell>
          <cell r="AX472">
            <v>-3.3000000000000114</v>
          </cell>
          <cell r="AY472">
            <v>-1.8000000000000682</v>
          </cell>
          <cell r="AZ472">
            <v>0.40000000000003411</v>
          </cell>
          <cell r="BA472">
            <v>-0.60000000000002274</v>
          </cell>
          <cell r="BB472">
            <v>-5.3000000000000682</v>
          </cell>
          <cell r="BC472">
            <v>0.30000000000001137</v>
          </cell>
          <cell r="BD472">
            <v>12.300000000000011</v>
          </cell>
          <cell r="BE472">
            <v>0</v>
          </cell>
          <cell r="BF472">
            <v>0</v>
          </cell>
          <cell r="BG472">
            <v>12.600000000000023</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row>
        <row r="473">
          <cell r="C473" t="str">
            <v xml:space="preserve">______ </v>
          </cell>
          <cell r="D473" t="str">
            <v xml:space="preserve">______ </v>
          </cell>
          <cell r="E473" t="str">
            <v xml:space="preserve">______ </v>
          </cell>
          <cell r="F473" t="str">
            <v xml:space="preserve">______ </v>
          </cell>
          <cell r="G473" t="str">
            <v xml:space="preserve">______ </v>
          </cell>
          <cell r="H473" t="str">
            <v xml:space="preserve">______ </v>
          </cell>
          <cell r="I473" t="str">
            <v xml:space="preserve">______ </v>
          </cell>
          <cell r="J473" t="str">
            <v xml:space="preserve">______ </v>
          </cell>
          <cell r="K473" t="str">
            <v xml:space="preserve">______ </v>
          </cell>
          <cell r="L473" t="str">
            <v xml:space="preserve">______ </v>
          </cell>
          <cell r="M473" t="str">
            <v xml:space="preserve">______ </v>
          </cell>
          <cell r="N473" t="str">
            <v xml:space="preserve">______ </v>
          </cell>
          <cell r="O473" t="str">
            <v xml:space="preserve">______ </v>
          </cell>
          <cell r="P473" t="str">
            <v xml:space="preserve">______ </v>
          </cell>
          <cell r="Q473" t="str">
            <v xml:space="preserve">______ </v>
          </cell>
          <cell r="R473" t="str">
            <v xml:space="preserve">______ </v>
          </cell>
          <cell r="S473" t="str">
            <v xml:space="preserve">______ </v>
          </cell>
          <cell r="T473" t="str">
            <v xml:space="preserve">______ </v>
          </cell>
          <cell r="U473" t="str">
            <v xml:space="preserve">______ </v>
          </cell>
          <cell r="V473" t="str">
            <v xml:space="preserve">______ </v>
          </cell>
          <cell r="W473" t="str">
            <v xml:space="preserve">______ </v>
          </cell>
          <cell r="X473" t="str">
            <v xml:space="preserve">______ </v>
          </cell>
          <cell r="Y473" t="str">
            <v xml:space="preserve">______ </v>
          </cell>
          <cell r="Z473" t="str">
            <v xml:space="preserve">______ </v>
          </cell>
          <cell r="AA473" t="str">
            <v xml:space="preserve">______ </v>
          </cell>
          <cell r="AB473" t="str">
            <v xml:space="preserve">______ </v>
          </cell>
          <cell r="AC473" t="str">
            <v xml:space="preserve">______ </v>
          </cell>
          <cell r="AD473" t="str">
            <v xml:space="preserve">______ </v>
          </cell>
          <cell r="AE473" t="str">
            <v xml:space="preserve">______ </v>
          </cell>
          <cell r="AF473" t="str">
            <v xml:space="preserve">______ </v>
          </cell>
          <cell r="AG473" t="str">
            <v xml:space="preserve">______ </v>
          </cell>
          <cell r="AH473" t="str">
            <v xml:space="preserve">______ </v>
          </cell>
          <cell r="AI473" t="str">
            <v xml:space="preserve">______ </v>
          </cell>
          <cell r="AJ473" t="str">
            <v xml:space="preserve">______ </v>
          </cell>
          <cell r="AK473" t="str">
            <v xml:space="preserve">______ </v>
          </cell>
          <cell r="AL473" t="str">
            <v xml:space="preserve">______ </v>
          </cell>
          <cell r="AM473" t="str">
            <v xml:space="preserve">______ </v>
          </cell>
          <cell r="AN473" t="str">
            <v xml:space="preserve">______ </v>
          </cell>
          <cell r="AO473" t="str">
            <v xml:space="preserve">______ </v>
          </cell>
          <cell r="AP473" t="str">
            <v xml:space="preserve">______ </v>
          </cell>
          <cell r="AQ473" t="str">
            <v xml:space="preserve">______ </v>
          </cell>
          <cell r="AR473" t="str">
            <v xml:space="preserve">______ </v>
          </cell>
          <cell r="AS473" t="str">
            <v xml:space="preserve">______ </v>
          </cell>
          <cell r="AT473" t="str">
            <v xml:space="preserve">______ </v>
          </cell>
          <cell r="AU473" t="str">
            <v xml:space="preserve">______ </v>
          </cell>
          <cell r="AV473" t="str">
            <v xml:space="preserve">______ </v>
          </cell>
          <cell r="AW473" t="str">
            <v xml:space="preserve">______ </v>
          </cell>
          <cell r="AX473" t="str">
            <v xml:space="preserve">______ </v>
          </cell>
          <cell r="AY473" t="str">
            <v xml:space="preserve">______ </v>
          </cell>
          <cell r="AZ473" t="str">
            <v xml:space="preserve">______ </v>
          </cell>
          <cell r="BA473" t="str">
            <v xml:space="preserve">______ </v>
          </cell>
          <cell r="BB473" t="str">
            <v xml:space="preserve">______ </v>
          </cell>
          <cell r="BC473" t="str">
            <v xml:space="preserve">______ </v>
          </cell>
          <cell r="BD473" t="str">
            <v xml:space="preserve">______ </v>
          </cell>
          <cell r="BE473" t="str">
            <v xml:space="preserve">______ </v>
          </cell>
          <cell r="BF473" t="str">
            <v xml:space="preserve">______ </v>
          </cell>
          <cell r="BG473" t="str">
            <v xml:space="preserve">______ </v>
          </cell>
          <cell r="BH473" t="str">
            <v xml:space="preserve">______ </v>
          </cell>
          <cell r="BI473" t="str">
            <v xml:space="preserve">______ </v>
          </cell>
          <cell r="BJ473" t="str">
            <v xml:space="preserve">______ </v>
          </cell>
          <cell r="BK473" t="str">
            <v xml:space="preserve">______ </v>
          </cell>
          <cell r="BL473" t="str">
            <v xml:space="preserve">______ </v>
          </cell>
          <cell r="BM473" t="str">
            <v xml:space="preserve">______ </v>
          </cell>
          <cell r="BN473" t="str">
            <v xml:space="preserve">______ </v>
          </cell>
          <cell r="BO473" t="str">
            <v xml:space="preserve">______ </v>
          </cell>
          <cell r="BP473" t="str">
            <v xml:space="preserve">______ </v>
          </cell>
          <cell r="BQ473" t="str">
            <v xml:space="preserve">______ </v>
          </cell>
          <cell r="BR473" t="str">
            <v xml:space="preserve">______ </v>
          </cell>
          <cell r="BS473" t="str">
            <v xml:space="preserve">______ </v>
          </cell>
          <cell r="BT473" t="str">
            <v xml:space="preserve">______ </v>
          </cell>
          <cell r="BU473" t="str">
            <v xml:space="preserve">______ </v>
          </cell>
        </row>
        <row r="474">
          <cell r="A474" t="str">
            <v>PP&amp;E - EOP</v>
          </cell>
          <cell r="E474">
            <v>43.4</v>
          </cell>
          <cell r="F474">
            <v>42.9</v>
          </cell>
          <cell r="G474">
            <v>50.6</v>
          </cell>
          <cell r="H474">
            <v>46.8</v>
          </cell>
          <cell r="I474">
            <v>45.2</v>
          </cell>
          <cell r="J474">
            <v>44.8</v>
          </cell>
          <cell r="K474">
            <v>45.7</v>
          </cell>
          <cell r="L474">
            <v>47.2</v>
          </cell>
          <cell r="M474">
            <v>55.4</v>
          </cell>
          <cell r="N474">
            <v>55.4</v>
          </cell>
          <cell r="O474">
            <v>58.3</v>
          </cell>
          <cell r="P474">
            <v>60</v>
          </cell>
          <cell r="Q474">
            <v>62.8</v>
          </cell>
          <cell r="R474">
            <v>62</v>
          </cell>
          <cell r="S474">
            <v>62</v>
          </cell>
          <cell r="T474">
            <v>118.2</v>
          </cell>
          <cell r="U474">
            <v>162.80000000000001</v>
          </cell>
          <cell r="V474">
            <v>218.4</v>
          </cell>
          <cell r="W474">
            <v>214.6</v>
          </cell>
          <cell r="X474">
            <v>214.6</v>
          </cell>
          <cell r="Y474">
            <v>230.2</v>
          </cell>
          <cell r="Z474">
            <v>235.7</v>
          </cell>
          <cell r="AA474">
            <v>242.1</v>
          </cell>
          <cell r="AB474">
            <v>247.7</v>
          </cell>
          <cell r="AC474">
            <v>247.7</v>
          </cell>
          <cell r="AD474">
            <v>248.4</v>
          </cell>
          <cell r="AE474">
            <v>267.60000000000002</v>
          </cell>
          <cell r="AF474">
            <v>278.60000000000002</v>
          </cell>
          <cell r="AG474">
            <v>293</v>
          </cell>
          <cell r="AH474">
            <v>293</v>
          </cell>
          <cell r="AI474">
            <v>292.7</v>
          </cell>
          <cell r="AJ474">
            <v>298.3</v>
          </cell>
          <cell r="AK474">
            <v>307.5</v>
          </cell>
          <cell r="AL474">
            <v>319.3</v>
          </cell>
          <cell r="AM474">
            <v>319.3</v>
          </cell>
          <cell r="AN474">
            <v>324.60000000000002</v>
          </cell>
          <cell r="AO474">
            <v>325.2</v>
          </cell>
          <cell r="AP474">
            <v>323.7</v>
          </cell>
          <cell r="AQ474">
            <v>326.8</v>
          </cell>
          <cell r="AR474">
            <v>326.8</v>
          </cell>
          <cell r="AS474">
            <v>324.8</v>
          </cell>
          <cell r="AT474">
            <v>317.39999999999998</v>
          </cell>
          <cell r="AU474">
            <v>315.60000000000002</v>
          </cell>
          <cell r="AV474">
            <v>307.10000000000002</v>
          </cell>
          <cell r="AW474">
            <v>307.10000000000002</v>
          </cell>
          <cell r="AX474">
            <v>296.10000000000002</v>
          </cell>
          <cell r="AY474">
            <v>287.39999999999998</v>
          </cell>
          <cell r="AZ474">
            <v>284.3</v>
          </cell>
          <cell r="BA474">
            <v>278.7</v>
          </cell>
          <cell r="BB474">
            <v>278.7</v>
          </cell>
          <cell r="BC474">
            <v>282.3</v>
          </cell>
          <cell r="BD474">
            <v>298.3</v>
          </cell>
          <cell r="BE474">
            <v>300.49519588941041</v>
          </cell>
          <cell r="BF474">
            <v>302.26129336756333</v>
          </cell>
          <cell r="BG474">
            <v>302.26129336756333</v>
          </cell>
          <cell r="BH474">
            <v>304.00685019235817</v>
          </cell>
          <cell r="BI474">
            <v>305.19185694048434</v>
          </cell>
          <cell r="BJ474">
            <v>307.10734488427477</v>
          </cell>
          <cell r="BK474">
            <v>308.57062173585405</v>
          </cell>
          <cell r="BL474">
            <v>308.57062173585405</v>
          </cell>
          <cell r="BM474">
            <v>309.94905021034384</v>
          </cell>
          <cell r="BN474">
            <v>310.75551533081318</v>
          </cell>
          <cell r="BO474">
            <v>312.3017732039915</v>
          </cell>
          <cell r="BP474">
            <v>313.37021977966384</v>
          </cell>
          <cell r="BQ474">
            <v>313.37021977966384</v>
          </cell>
          <cell r="BR474">
            <v>298.10953947600495</v>
          </cell>
          <cell r="BS474">
            <v>276.59574762913189</v>
          </cell>
          <cell r="BT474">
            <v>253.50562312867117</v>
          </cell>
          <cell r="BU474">
            <v>228.70340345297518</v>
          </cell>
          <cell r="CY474">
            <v>305.19185694048434</v>
          </cell>
        </row>
        <row r="476">
          <cell r="A476" t="str">
            <v>Intangibles Calculation</v>
          </cell>
        </row>
        <row r="477">
          <cell r="A477" t="str">
            <v xml:space="preserve">Intangibles - BOP  </v>
          </cell>
          <cell r="E477">
            <v>2.2000000000000002</v>
          </cell>
          <cell r="F477">
            <v>13.7</v>
          </cell>
          <cell r="G477">
            <v>4.3</v>
          </cell>
          <cell r="H477">
            <v>84.4</v>
          </cell>
          <cell r="I477">
            <v>77.400000000000006</v>
          </cell>
          <cell r="J477">
            <v>70.7</v>
          </cell>
          <cell r="K477">
            <v>69.099999999999994</v>
          </cell>
          <cell r="L477">
            <v>67.400000000000006</v>
          </cell>
          <cell r="M477">
            <v>65.900000000000006</v>
          </cell>
          <cell r="N477">
            <v>70.7</v>
          </cell>
          <cell r="O477">
            <v>70.8</v>
          </cell>
          <cell r="P477">
            <v>69.099999999999994</v>
          </cell>
          <cell r="Q477">
            <v>66.599999999999994</v>
          </cell>
          <cell r="R477">
            <v>64.099999999999994</v>
          </cell>
          <cell r="S477">
            <v>70.8</v>
          </cell>
          <cell r="T477">
            <v>65.7</v>
          </cell>
          <cell r="U477">
            <v>63.5</v>
          </cell>
          <cell r="V477">
            <v>61.6</v>
          </cell>
          <cell r="W477">
            <v>59.6</v>
          </cell>
          <cell r="X477">
            <v>65.7</v>
          </cell>
          <cell r="Y477">
            <v>56.9</v>
          </cell>
          <cell r="Z477">
            <v>68.099999999999994</v>
          </cell>
          <cell r="AA477">
            <v>65.5</v>
          </cell>
          <cell r="AB477">
            <v>63.7</v>
          </cell>
          <cell r="AC477">
            <v>56.9</v>
          </cell>
          <cell r="AD477">
            <v>114</v>
          </cell>
          <cell r="AE477">
            <v>107.1</v>
          </cell>
          <cell r="AF477">
            <v>106.7</v>
          </cell>
          <cell r="AG477">
            <v>104.2</v>
          </cell>
          <cell r="AH477">
            <v>114</v>
          </cell>
          <cell r="AI477">
            <v>104.9</v>
          </cell>
          <cell r="AJ477">
            <v>100.1</v>
          </cell>
          <cell r="AK477">
            <v>93.1</v>
          </cell>
          <cell r="AL477">
            <v>93.3</v>
          </cell>
          <cell r="AM477">
            <v>104.9</v>
          </cell>
          <cell r="AN477">
            <v>168.8</v>
          </cell>
          <cell r="AO477">
            <v>167.7</v>
          </cell>
          <cell r="AP477">
            <v>166.8</v>
          </cell>
          <cell r="AQ477">
            <v>153</v>
          </cell>
          <cell r="AR477">
            <v>168.8</v>
          </cell>
          <cell r="AS477">
            <v>253.6</v>
          </cell>
          <cell r="AT477">
            <v>249.3</v>
          </cell>
          <cell r="AU477">
            <v>238</v>
          </cell>
          <cell r="AV477">
            <v>233.3</v>
          </cell>
          <cell r="AW477">
            <v>253.6</v>
          </cell>
          <cell r="AX477">
            <v>226.5</v>
          </cell>
          <cell r="AY477">
            <v>212.7</v>
          </cell>
          <cell r="AZ477">
            <v>202</v>
          </cell>
          <cell r="BA477">
            <v>198.2</v>
          </cell>
          <cell r="BB477">
            <v>226.5</v>
          </cell>
          <cell r="BC477">
            <v>221.6</v>
          </cell>
          <cell r="BD477">
            <v>212.8</v>
          </cell>
          <cell r="BE477">
            <v>310.5</v>
          </cell>
          <cell r="BF477">
            <v>304.35000000000002</v>
          </cell>
          <cell r="BG477">
            <v>221.6</v>
          </cell>
          <cell r="BH477">
            <v>298.20000000000005</v>
          </cell>
          <cell r="BI477">
            <v>292.15000000000003</v>
          </cell>
          <cell r="BJ477">
            <v>286.10000000000002</v>
          </cell>
          <cell r="BK477">
            <v>280.05</v>
          </cell>
          <cell r="BL477">
            <v>298.20000000000005</v>
          </cell>
          <cell r="BM477">
            <v>274</v>
          </cell>
          <cell r="BN477">
            <v>268.125</v>
          </cell>
          <cell r="BO477">
            <v>262.25</v>
          </cell>
          <cell r="BP477">
            <v>256.375</v>
          </cell>
          <cell r="BQ477">
            <v>274</v>
          </cell>
          <cell r="BR477">
            <v>250.5</v>
          </cell>
          <cell r="BS477">
            <v>230.6</v>
          </cell>
          <cell r="BT477">
            <v>215.5</v>
          </cell>
          <cell r="BU477">
            <v>200.4</v>
          </cell>
        </row>
        <row r="478">
          <cell r="A478" t="str">
            <v>Amortization Expense</v>
          </cell>
          <cell r="E478">
            <v>-0.9</v>
          </cell>
          <cell r="F478">
            <v>-1</v>
          </cell>
          <cell r="G478">
            <v>-5.3</v>
          </cell>
          <cell r="H478">
            <v>-7</v>
          </cell>
          <cell r="I478">
            <v>-6.9</v>
          </cell>
          <cell r="J478">
            <v>-1.6</v>
          </cell>
          <cell r="K478">
            <v>-1.6999999999999997</v>
          </cell>
          <cell r="L478">
            <v>-1.5</v>
          </cell>
          <cell r="M478">
            <v>-2</v>
          </cell>
          <cell r="N478">
            <v>-6.8</v>
          </cell>
          <cell r="O478">
            <v>-2.5</v>
          </cell>
          <cell r="P478">
            <v>-2.5</v>
          </cell>
          <cell r="Q478">
            <v>-2.5</v>
          </cell>
          <cell r="R478">
            <v>-2.4000000000000004</v>
          </cell>
          <cell r="S478">
            <v>-9.9</v>
          </cell>
          <cell r="T478">
            <v>-2.5</v>
          </cell>
          <cell r="U478">
            <v>-2.2999999999999998</v>
          </cell>
          <cell r="V478">
            <v>-2.8</v>
          </cell>
          <cell r="W478">
            <v>-2.0999999999999996</v>
          </cell>
          <cell r="X478">
            <v>-9.6999999999999993</v>
          </cell>
          <cell r="Y478">
            <v>-2.7</v>
          </cell>
          <cell r="Z478">
            <v>-2.7</v>
          </cell>
          <cell r="AA478">
            <v>-3</v>
          </cell>
          <cell r="AB478">
            <v>-19.799999999999997</v>
          </cell>
          <cell r="AC478">
            <v>-28.199999999999996</v>
          </cell>
          <cell r="AD478">
            <v>-4</v>
          </cell>
          <cell r="AE478">
            <v>-4.1999999999999993</v>
          </cell>
          <cell r="AF478">
            <v>-4.2000000000000011</v>
          </cell>
          <cell r="AG478">
            <v>-3.9999999999999982</v>
          </cell>
          <cell r="AH478">
            <v>-16.399999999999999</v>
          </cell>
          <cell r="AI478">
            <v>-4.8</v>
          </cell>
          <cell r="AJ478">
            <v>-3.1000000000000005</v>
          </cell>
          <cell r="AK478">
            <v>-4.1999999999999993</v>
          </cell>
          <cell r="AL478">
            <v>-4.2999999999999972</v>
          </cell>
          <cell r="AM478">
            <v>-16.399999999999999</v>
          </cell>
          <cell r="AN478">
            <v>-4.8</v>
          </cell>
          <cell r="AO478">
            <v>-4.8</v>
          </cell>
          <cell r="AP478">
            <v>-5.0000000000000009</v>
          </cell>
          <cell r="AQ478">
            <v>-5.8999999999999977</v>
          </cell>
          <cell r="AR478">
            <v>-20.5</v>
          </cell>
          <cell r="AS478">
            <v>-7.3</v>
          </cell>
          <cell r="AT478">
            <v>-7.1000000000000005</v>
          </cell>
          <cell r="AU478">
            <v>-8.0999999999999979</v>
          </cell>
          <cell r="AV478">
            <v>-7.6000000000000014</v>
          </cell>
          <cell r="AW478">
            <v>-30.1</v>
          </cell>
          <cell r="AX478">
            <v>-7.3</v>
          </cell>
          <cell r="AY478">
            <v>-6.7</v>
          </cell>
          <cell r="AZ478">
            <v>-6.9999999999999991</v>
          </cell>
          <cell r="BA478">
            <v>-7.0000000000000009</v>
          </cell>
          <cell r="BB478">
            <v>-28</v>
          </cell>
          <cell r="BC478">
            <v>-7.3</v>
          </cell>
          <cell r="BD478">
            <v>-6.3</v>
          </cell>
          <cell r="BE478">
            <v>-6.15</v>
          </cell>
          <cell r="BF478">
            <v>-6.15</v>
          </cell>
          <cell r="BG478">
            <v>-25.9</v>
          </cell>
          <cell r="BH478">
            <v>-6.05</v>
          </cell>
          <cell r="BI478">
            <v>-6.05</v>
          </cell>
          <cell r="BJ478">
            <v>-6.05</v>
          </cell>
          <cell r="BK478">
            <v>-6.05</v>
          </cell>
          <cell r="BL478">
            <v>-24.2</v>
          </cell>
          <cell r="BM478">
            <v>-5.875</v>
          </cell>
          <cell r="BN478">
            <v>-5.875</v>
          </cell>
          <cell r="BO478">
            <v>-5.875</v>
          </cell>
          <cell r="BP478">
            <v>-5.875</v>
          </cell>
          <cell r="BQ478">
            <v>-23.5</v>
          </cell>
          <cell r="BR478">
            <v>-19.899999999999999</v>
          </cell>
          <cell r="BS478">
            <v>-15.1</v>
          </cell>
          <cell r="BT478">
            <v>-15.1</v>
          </cell>
          <cell r="BU478">
            <v>-15.1</v>
          </cell>
        </row>
        <row r="479">
          <cell r="A479" t="str">
            <v>Other Additions</v>
          </cell>
          <cell r="E479">
            <v>12.399999999999999</v>
          </cell>
          <cell r="F479">
            <v>-8.3999999999999986</v>
          </cell>
          <cell r="G479">
            <v>85.4</v>
          </cell>
          <cell r="H479">
            <v>0</v>
          </cell>
          <cell r="I479">
            <v>0.20000000000000284</v>
          </cell>
          <cell r="J479">
            <v>0</v>
          </cell>
          <cell r="K479">
            <v>0</v>
          </cell>
          <cell r="L479">
            <v>0</v>
          </cell>
          <cell r="M479">
            <v>6.8999999999999915</v>
          </cell>
          <cell r="N479">
            <v>6.8999999999999915</v>
          </cell>
          <cell r="O479">
            <v>0.79999999999999716</v>
          </cell>
          <cell r="P479">
            <v>0</v>
          </cell>
          <cell r="Q479">
            <v>0</v>
          </cell>
          <cell r="R479">
            <v>4.0000000000000071</v>
          </cell>
          <cell r="S479">
            <v>4.8000000000000043</v>
          </cell>
          <cell r="T479">
            <v>0.29999999999999716</v>
          </cell>
          <cell r="U479">
            <v>0.39999999999999858</v>
          </cell>
          <cell r="V479">
            <v>0.79999999999999716</v>
          </cell>
          <cell r="W479">
            <v>-0.60000000000000142</v>
          </cell>
          <cell r="X479">
            <v>0.89999999999999147</v>
          </cell>
          <cell r="Y479">
            <v>13.899999999999999</v>
          </cell>
          <cell r="Z479">
            <v>0.10000000000000853</v>
          </cell>
          <cell r="AA479">
            <v>1.2000000000000028</v>
          </cell>
          <cell r="AB479">
            <v>70.099999999999994</v>
          </cell>
          <cell r="AC479">
            <v>85.300000000000011</v>
          </cell>
          <cell r="AD479">
            <v>-2.9000000000000057</v>
          </cell>
          <cell r="AE479">
            <v>3.8000000000000114</v>
          </cell>
          <cell r="AF479">
            <v>1.7000000000000028</v>
          </cell>
          <cell r="AG479">
            <v>4.7000000000000028</v>
          </cell>
          <cell r="AH479">
            <v>7.3000000000000114</v>
          </cell>
          <cell r="AI479">
            <v>0</v>
          </cell>
          <cell r="AJ479">
            <v>-3.9000000000000057</v>
          </cell>
          <cell r="AK479">
            <v>4.4000000000000057</v>
          </cell>
          <cell r="AL479">
            <v>79.800000000000011</v>
          </cell>
          <cell r="AM479">
            <v>80.300000000000011</v>
          </cell>
          <cell r="AN479">
            <v>3.6999999999999886</v>
          </cell>
          <cell r="AO479">
            <v>3.9000000000000341</v>
          </cell>
          <cell r="AP479">
            <v>-8.8000000000000114</v>
          </cell>
          <cell r="AQ479">
            <v>106.5</v>
          </cell>
          <cell r="AR479">
            <v>105.30000000000001</v>
          </cell>
          <cell r="AS479">
            <v>3.0000000000000284</v>
          </cell>
          <cell r="AT479">
            <v>-4.2000000000000171</v>
          </cell>
          <cell r="AU479">
            <v>3.4000000000000057</v>
          </cell>
          <cell r="AV479">
            <v>0.79999999999998295</v>
          </cell>
          <cell r="AW479">
            <v>3</v>
          </cell>
          <cell r="AX479">
            <v>-6.5</v>
          </cell>
          <cell r="AY479">
            <v>-4</v>
          </cell>
          <cell r="AZ479">
            <v>3.1999999999999886</v>
          </cell>
          <cell r="BA479">
            <v>30.400000000000006</v>
          </cell>
          <cell r="BB479">
            <v>23.099999999999994</v>
          </cell>
          <cell r="BC479">
            <v>-1.4999999999999716</v>
          </cell>
          <cell r="BD479">
            <v>104</v>
          </cell>
          <cell r="BE479">
            <v>0</v>
          </cell>
          <cell r="BF479">
            <v>0</v>
          </cell>
          <cell r="BG479">
            <v>102.50000000000003</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row>
        <row r="480">
          <cell r="C480" t="str">
            <v xml:space="preserve">______ </v>
          </cell>
          <cell r="D480" t="str">
            <v xml:space="preserve">______ </v>
          </cell>
          <cell r="E480" t="str">
            <v xml:space="preserve">______ </v>
          </cell>
          <cell r="F480" t="str">
            <v xml:space="preserve">______ </v>
          </cell>
          <cell r="G480" t="str">
            <v xml:space="preserve">______ </v>
          </cell>
          <cell r="H480" t="str">
            <v xml:space="preserve">______ </v>
          </cell>
          <cell r="I480" t="str">
            <v xml:space="preserve">______ </v>
          </cell>
          <cell r="J480" t="str">
            <v xml:space="preserve">______ </v>
          </cell>
          <cell r="K480" t="str">
            <v xml:space="preserve">______ </v>
          </cell>
          <cell r="L480" t="str">
            <v xml:space="preserve">______ </v>
          </cell>
          <cell r="M480" t="str">
            <v xml:space="preserve">______ </v>
          </cell>
          <cell r="N480" t="str">
            <v xml:space="preserve">______ </v>
          </cell>
          <cell r="O480" t="str">
            <v xml:space="preserve">______ </v>
          </cell>
          <cell r="P480" t="str">
            <v xml:space="preserve">______ </v>
          </cell>
          <cell r="Q480" t="str">
            <v xml:space="preserve">______ </v>
          </cell>
          <cell r="R480" t="str">
            <v xml:space="preserve">______ </v>
          </cell>
          <cell r="S480" t="str">
            <v xml:space="preserve">______ </v>
          </cell>
          <cell r="T480" t="str">
            <v xml:space="preserve">______ </v>
          </cell>
          <cell r="U480" t="str">
            <v xml:space="preserve">______ </v>
          </cell>
          <cell r="V480" t="str">
            <v xml:space="preserve">______ </v>
          </cell>
          <cell r="W480" t="str">
            <v xml:space="preserve">______ </v>
          </cell>
          <cell r="X480" t="str">
            <v xml:space="preserve">______ </v>
          </cell>
          <cell r="Y480" t="str">
            <v xml:space="preserve">______ </v>
          </cell>
          <cell r="Z480" t="str">
            <v xml:space="preserve">______ </v>
          </cell>
          <cell r="AA480" t="str">
            <v xml:space="preserve">______ </v>
          </cell>
          <cell r="AB480" t="str">
            <v xml:space="preserve">______ </v>
          </cell>
          <cell r="AC480" t="str">
            <v xml:space="preserve">______ </v>
          </cell>
          <cell r="AD480" t="str">
            <v xml:space="preserve">______ </v>
          </cell>
          <cell r="AE480" t="str">
            <v xml:space="preserve">______ </v>
          </cell>
          <cell r="AF480" t="str">
            <v xml:space="preserve">______ </v>
          </cell>
          <cell r="AG480" t="str">
            <v xml:space="preserve">______ </v>
          </cell>
          <cell r="AH480" t="str">
            <v xml:space="preserve">______ </v>
          </cell>
          <cell r="AI480" t="str">
            <v xml:space="preserve">______ </v>
          </cell>
          <cell r="AJ480" t="str">
            <v xml:space="preserve">______ </v>
          </cell>
          <cell r="AK480" t="str">
            <v xml:space="preserve">______ </v>
          </cell>
          <cell r="AL480" t="str">
            <v xml:space="preserve">______ </v>
          </cell>
          <cell r="AM480" t="str">
            <v xml:space="preserve">______ </v>
          </cell>
          <cell r="AN480" t="str">
            <v xml:space="preserve">______ </v>
          </cell>
          <cell r="AO480" t="str">
            <v xml:space="preserve">______ </v>
          </cell>
          <cell r="AP480" t="str">
            <v xml:space="preserve">______ </v>
          </cell>
          <cell r="AQ480" t="str">
            <v xml:space="preserve">______ </v>
          </cell>
          <cell r="AR480" t="str">
            <v xml:space="preserve">______ </v>
          </cell>
          <cell r="AS480" t="str">
            <v xml:space="preserve">______ </v>
          </cell>
          <cell r="AT480" t="str">
            <v xml:space="preserve">______ </v>
          </cell>
          <cell r="AU480" t="str">
            <v xml:space="preserve">______ </v>
          </cell>
          <cell r="AV480" t="str">
            <v xml:space="preserve">______ </v>
          </cell>
          <cell r="AW480" t="str">
            <v xml:space="preserve">______ </v>
          </cell>
          <cell r="AX480" t="str">
            <v xml:space="preserve">______ </v>
          </cell>
          <cell r="AY480" t="str">
            <v xml:space="preserve">______ </v>
          </cell>
          <cell r="AZ480" t="str">
            <v xml:space="preserve">______ </v>
          </cell>
          <cell r="BA480" t="str">
            <v xml:space="preserve">______ </v>
          </cell>
          <cell r="BB480" t="str">
            <v xml:space="preserve">______ </v>
          </cell>
          <cell r="BC480" t="str">
            <v xml:space="preserve">______ </v>
          </cell>
          <cell r="BD480" t="str">
            <v xml:space="preserve">______ </v>
          </cell>
          <cell r="BE480" t="str">
            <v xml:space="preserve">______ </v>
          </cell>
          <cell r="BF480" t="str">
            <v xml:space="preserve">______ </v>
          </cell>
          <cell r="BG480" t="str">
            <v xml:space="preserve">______ </v>
          </cell>
          <cell r="BH480" t="str">
            <v xml:space="preserve">______ </v>
          </cell>
          <cell r="BI480" t="str">
            <v xml:space="preserve">______ </v>
          </cell>
          <cell r="BJ480" t="str">
            <v xml:space="preserve">______ </v>
          </cell>
          <cell r="BK480" t="str">
            <v xml:space="preserve">______ </v>
          </cell>
          <cell r="BL480" t="str">
            <v xml:space="preserve">______ </v>
          </cell>
          <cell r="BM480" t="str">
            <v xml:space="preserve">______ </v>
          </cell>
          <cell r="BN480" t="str">
            <v xml:space="preserve">______ </v>
          </cell>
          <cell r="BO480" t="str">
            <v xml:space="preserve">______ </v>
          </cell>
          <cell r="BP480" t="str">
            <v xml:space="preserve">______ </v>
          </cell>
          <cell r="BQ480" t="str">
            <v xml:space="preserve">______ </v>
          </cell>
          <cell r="BR480" t="str">
            <v xml:space="preserve">______ </v>
          </cell>
          <cell r="BS480" t="str">
            <v xml:space="preserve">______ </v>
          </cell>
          <cell r="BT480" t="str">
            <v xml:space="preserve">______ </v>
          </cell>
          <cell r="BU480" t="str">
            <v xml:space="preserve">______ </v>
          </cell>
        </row>
        <row r="481">
          <cell r="A481" t="str">
            <v xml:space="preserve">Intangibles - EOP  </v>
          </cell>
          <cell r="E481">
            <v>13.7</v>
          </cell>
          <cell r="F481">
            <v>4.3</v>
          </cell>
          <cell r="G481">
            <v>84.4</v>
          </cell>
          <cell r="H481">
            <v>77.400000000000006</v>
          </cell>
          <cell r="I481">
            <v>70.7</v>
          </cell>
          <cell r="J481">
            <v>69.099999999999994</v>
          </cell>
          <cell r="K481">
            <v>67.400000000000006</v>
          </cell>
          <cell r="L481">
            <v>65.900000000000006</v>
          </cell>
          <cell r="M481">
            <v>70.8</v>
          </cell>
          <cell r="N481">
            <v>70.8</v>
          </cell>
          <cell r="O481">
            <v>69.099999999999994</v>
          </cell>
          <cell r="P481">
            <v>66.599999999999994</v>
          </cell>
          <cell r="Q481">
            <v>64.099999999999994</v>
          </cell>
          <cell r="R481">
            <v>65.7</v>
          </cell>
          <cell r="S481">
            <v>65.7</v>
          </cell>
          <cell r="T481">
            <v>63.5</v>
          </cell>
          <cell r="U481">
            <v>61.6</v>
          </cell>
          <cell r="V481">
            <v>59.6</v>
          </cell>
          <cell r="W481">
            <v>56.9</v>
          </cell>
          <cell r="X481">
            <v>56.9</v>
          </cell>
          <cell r="Y481">
            <v>68.099999999999994</v>
          </cell>
          <cell r="Z481">
            <v>65.5</v>
          </cell>
          <cell r="AA481">
            <v>63.7</v>
          </cell>
          <cell r="AB481">
            <v>114</v>
          </cell>
          <cell r="AC481">
            <v>114</v>
          </cell>
          <cell r="AD481">
            <v>107.1</v>
          </cell>
          <cell r="AE481">
            <v>106.7</v>
          </cell>
          <cell r="AF481">
            <v>104.2</v>
          </cell>
          <cell r="AG481">
            <v>104.9</v>
          </cell>
          <cell r="AH481">
            <v>104.9</v>
          </cell>
          <cell r="AI481">
            <v>100.1</v>
          </cell>
          <cell r="AJ481">
            <v>93.1</v>
          </cell>
          <cell r="AK481">
            <v>93.3</v>
          </cell>
          <cell r="AL481">
            <v>168.8</v>
          </cell>
          <cell r="AM481">
            <v>168.8</v>
          </cell>
          <cell r="AN481">
            <v>167.7</v>
          </cell>
          <cell r="AO481">
            <v>166.8</v>
          </cell>
          <cell r="AP481">
            <v>153</v>
          </cell>
          <cell r="AQ481">
            <v>253.6</v>
          </cell>
          <cell r="AR481">
            <v>253.6</v>
          </cell>
          <cell r="AS481">
            <v>249.3</v>
          </cell>
          <cell r="AT481">
            <v>238</v>
          </cell>
          <cell r="AU481">
            <v>233.3</v>
          </cell>
          <cell r="AV481">
            <v>226.5</v>
          </cell>
          <cell r="AW481">
            <v>226.5</v>
          </cell>
          <cell r="AX481">
            <v>212.7</v>
          </cell>
          <cell r="AY481">
            <v>202</v>
          </cell>
          <cell r="AZ481">
            <v>198.2</v>
          </cell>
          <cell r="BA481">
            <v>221.6</v>
          </cell>
          <cell r="BB481">
            <v>221.6</v>
          </cell>
          <cell r="BC481">
            <v>212.8</v>
          </cell>
          <cell r="BD481">
            <v>310.5</v>
          </cell>
          <cell r="BE481">
            <v>304.35000000000002</v>
          </cell>
          <cell r="BF481">
            <v>298.20000000000005</v>
          </cell>
          <cell r="BG481">
            <v>298.20000000000005</v>
          </cell>
          <cell r="BH481">
            <v>292.15000000000003</v>
          </cell>
          <cell r="BI481">
            <v>286.10000000000002</v>
          </cell>
          <cell r="BJ481">
            <v>280.05</v>
          </cell>
          <cell r="BK481">
            <v>274</v>
          </cell>
          <cell r="BL481">
            <v>274</v>
          </cell>
          <cell r="BM481">
            <v>268.125</v>
          </cell>
          <cell r="BN481">
            <v>262.25</v>
          </cell>
          <cell r="BO481">
            <v>256.375</v>
          </cell>
          <cell r="BP481">
            <v>250.5</v>
          </cell>
          <cell r="BQ481">
            <v>250.5</v>
          </cell>
          <cell r="BR481">
            <v>230.6</v>
          </cell>
          <cell r="BS481">
            <v>215.5</v>
          </cell>
          <cell r="BT481">
            <v>200.4</v>
          </cell>
          <cell r="BU481">
            <v>185.3</v>
          </cell>
          <cell r="CY481">
            <v>286.10000000000002</v>
          </cell>
        </row>
        <row r="484">
          <cell r="A484" t="str">
            <v>Goodwill Calculation</v>
          </cell>
        </row>
        <row r="485">
          <cell r="A485" t="str">
            <v xml:space="preserve">Goodwill - BOP  </v>
          </cell>
          <cell r="F485">
            <v>0</v>
          </cell>
          <cell r="G485">
            <v>6</v>
          </cell>
          <cell r="H485">
            <v>126.3</v>
          </cell>
          <cell r="I485">
            <v>126.4</v>
          </cell>
          <cell r="J485">
            <v>131.69999999999999</v>
          </cell>
          <cell r="K485">
            <v>131.80000000000001</v>
          </cell>
          <cell r="L485">
            <v>131.69999999999999</v>
          </cell>
          <cell r="M485">
            <v>131.6</v>
          </cell>
          <cell r="N485">
            <v>131.69999999999999</v>
          </cell>
          <cell r="O485">
            <v>152.1</v>
          </cell>
          <cell r="P485">
            <v>153.69999999999999</v>
          </cell>
          <cell r="Q485">
            <v>154</v>
          </cell>
          <cell r="R485">
            <v>154</v>
          </cell>
          <cell r="S485">
            <v>152.1</v>
          </cell>
          <cell r="T485">
            <v>176.1</v>
          </cell>
          <cell r="U485">
            <v>178.3</v>
          </cell>
          <cell r="V485">
            <v>179.8</v>
          </cell>
          <cell r="W485">
            <v>179.7</v>
          </cell>
          <cell r="X485">
            <v>176.1</v>
          </cell>
          <cell r="Y485">
            <v>179.9</v>
          </cell>
          <cell r="Z485">
            <v>206</v>
          </cell>
          <cell r="AA485">
            <v>205.8</v>
          </cell>
          <cell r="AB485">
            <v>202.8</v>
          </cell>
          <cell r="AC485">
            <v>179.9</v>
          </cell>
          <cell r="AD485">
            <v>338</v>
          </cell>
          <cell r="AE485">
            <v>333.8</v>
          </cell>
          <cell r="AF485">
            <v>344.6</v>
          </cell>
          <cell r="AG485">
            <v>350.4</v>
          </cell>
          <cell r="AH485">
            <v>338</v>
          </cell>
          <cell r="AI485">
            <v>349.2</v>
          </cell>
          <cell r="AJ485">
            <v>347.3</v>
          </cell>
          <cell r="AK485">
            <v>345.1</v>
          </cell>
          <cell r="AL485">
            <v>355.2</v>
          </cell>
          <cell r="AM485">
            <v>349.2</v>
          </cell>
          <cell r="AN485">
            <v>465.5</v>
          </cell>
          <cell r="AO485">
            <v>463.3</v>
          </cell>
          <cell r="AP485">
            <v>470.4</v>
          </cell>
          <cell r="AQ485">
            <v>451.1</v>
          </cell>
          <cell r="AR485">
            <v>465.5</v>
          </cell>
          <cell r="AS485">
            <v>642.9</v>
          </cell>
          <cell r="AT485">
            <v>656.3</v>
          </cell>
          <cell r="AU485">
            <v>638.1</v>
          </cell>
          <cell r="AV485">
            <v>646.29999999999995</v>
          </cell>
          <cell r="AW485">
            <v>642.9</v>
          </cell>
          <cell r="AX485">
            <v>637.1</v>
          </cell>
          <cell r="AY485">
            <v>623.79999999999995</v>
          </cell>
          <cell r="AZ485">
            <v>619.79999999999995</v>
          </cell>
          <cell r="BA485">
            <v>630.79999999999995</v>
          </cell>
          <cell r="BB485">
            <v>637.1</v>
          </cell>
          <cell r="BC485">
            <v>665.2</v>
          </cell>
          <cell r="BD485">
            <v>656.6</v>
          </cell>
          <cell r="BE485">
            <v>955.2</v>
          </cell>
          <cell r="BF485">
            <v>955.2</v>
          </cell>
          <cell r="BG485">
            <v>665.2</v>
          </cell>
          <cell r="BH485">
            <v>955.2</v>
          </cell>
          <cell r="BI485">
            <v>955.2</v>
          </cell>
          <cell r="BJ485">
            <v>955.2</v>
          </cell>
          <cell r="BK485">
            <v>955.2</v>
          </cell>
          <cell r="BL485">
            <v>955.2</v>
          </cell>
          <cell r="BM485">
            <v>955.2</v>
          </cell>
          <cell r="BN485">
            <v>955.2</v>
          </cell>
          <cell r="BO485">
            <v>955.2</v>
          </cell>
          <cell r="BP485">
            <v>955.2</v>
          </cell>
          <cell r="BQ485">
            <v>955.2</v>
          </cell>
          <cell r="BR485">
            <v>955.2</v>
          </cell>
          <cell r="BS485">
            <v>955.2</v>
          </cell>
          <cell r="BT485">
            <v>955.2</v>
          </cell>
          <cell r="BU485">
            <v>955.2</v>
          </cell>
        </row>
        <row r="486">
          <cell r="A486" t="str">
            <v>Goodwill Impairment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row>
        <row r="487">
          <cell r="A487" t="str">
            <v>Other Additions</v>
          </cell>
          <cell r="F487">
            <v>6</v>
          </cell>
          <cell r="G487">
            <v>120.3</v>
          </cell>
          <cell r="H487">
            <v>0.10000000000000853</v>
          </cell>
          <cell r="I487">
            <v>5.2999999999999829</v>
          </cell>
          <cell r="J487">
            <v>0.10000000000002274</v>
          </cell>
          <cell r="K487">
            <v>-0.10000000000002274</v>
          </cell>
          <cell r="L487">
            <v>-9.9999999999994316E-2</v>
          </cell>
          <cell r="M487">
            <v>20.5</v>
          </cell>
          <cell r="N487">
            <v>20.400000000000006</v>
          </cell>
          <cell r="O487">
            <v>1.5999999999999943</v>
          </cell>
          <cell r="P487">
            <v>0.30000000000001137</v>
          </cell>
          <cell r="Q487">
            <v>0</v>
          </cell>
          <cell r="R487">
            <v>22.099999999999994</v>
          </cell>
          <cell r="S487">
            <v>24</v>
          </cell>
          <cell r="T487">
            <v>2.2000000000000171</v>
          </cell>
          <cell r="U487">
            <v>1.5</v>
          </cell>
          <cell r="V487">
            <v>-0.10000000000002274</v>
          </cell>
          <cell r="W487">
            <v>0.20000000000001705</v>
          </cell>
          <cell r="X487">
            <v>3.8000000000000114</v>
          </cell>
          <cell r="Y487">
            <v>26.099999999999994</v>
          </cell>
          <cell r="Z487">
            <v>-0.19999999999998863</v>
          </cell>
          <cell r="AA487">
            <v>-3</v>
          </cell>
          <cell r="AB487">
            <v>135.19999999999999</v>
          </cell>
          <cell r="AC487">
            <v>158.1</v>
          </cell>
          <cell r="AD487">
            <v>-4.1999999999999886</v>
          </cell>
          <cell r="AE487">
            <v>10.800000000000011</v>
          </cell>
          <cell r="AF487">
            <v>5.7999999999999545</v>
          </cell>
          <cell r="AG487">
            <v>-1.1999999999999886</v>
          </cell>
          <cell r="AH487">
            <v>11.199999999999989</v>
          </cell>
          <cell r="AI487">
            <v>-1.8999999999999773</v>
          </cell>
          <cell r="AJ487">
            <v>-2.1999999999999886</v>
          </cell>
          <cell r="AK487">
            <v>10.099999999999966</v>
          </cell>
          <cell r="AL487">
            <v>110.30000000000001</v>
          </cell>
          <cell r="AM487">
            <v>116.30000000000001</v>
          </cell>
          <cell r="AN487">
            <v>-2.1999999999999886</v>
          </cell>
          <cell r="AO487">
            <v>7.0999999999999659</v>
          </cell>
          <cell r="AP487">
            <v>-19.299999999999955</v>
          </cell>
          <cell r="AQ487">
            <v>191.79999999999995</v>
          </cell>
          <cell r="AR487">
            <v>177.39999999999998</v>
          </cell>
          <cell r="AS487">
            <v>13.399999999999977</v>
          </cell>
          <cell r="AT487">
            <v>-18.199999999999932</v>
          </cell>
          <cell r="AU487">
            <v>8.1999999999999318</v>
          </cell>
          <cell r="AV487">
            <v>-9.1999999999999318</v>
          </cell>
          <cell r="AW487">
            <v>-5.7999999999999545</v>
          </cell>
          <cell r="AX487">
            <v>-13.300000000000068</v>
          </cell>
          <cell r="AY487">
            <v>-4</v>
          </cell>
          <cell r="AZ487">
            <v>11</v>
          </cell>
          <cell r="BA487">
            <v>34.400000000000091</v>
          </cell>
          <cell r="BB487">
            <v>28.100000000000023</v>
          </cell>
          <cell r="BC487">
            <v>-8.6000000000000227</v>
          </cell>
          <cell r="BD487">
            <v>298.60000000000002</v>
          </cell>
          <cell r="BE487">
            <v>0</v>
          </cell>
          <cell r="BF487">
            <v>0</v>
          </cell>
          <cell r="BG487">
            <v>290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row>
        <row r="488">
          <cell r="C488" t="str">
            <v xml:space="preserve">______ </v>
          </cell>
          <cell r="D488" t="str">
            <v xml:space="preserve">______ </v>
          </cell>
          <cell r="E488" t="str">
            <v xml:space="preserve">______ </v>
          </cell>
          <cell r="F488" t="str">
            <v xml:space="preserve">______ </v>
          </cell>
          <cell r="G488" t="str">
            <v xml:space="preserve">______ </v>
          </cell>
          <cell r="H488" t="str">
            <v xml:space="preserve">______ </v>
          </cell>
          <cell r="I488" t="str">
            <v xml:space="preserve">______ </v>
          </cell>
          <cell r="J488" t="str">
            <v xml:space="preserve">______ </v>
          </cell>
          <cell r="K488" t="str">
            <v xml:space="preserve">______ </v>
          </cell>
          <cell r="L488" t="str">
            <v xml:space="preserve">______ </v>
          </cell>
          <cell r="M488" t="str">
            <v xml:space="preserve">______ </v>
          </cell>
          <cell r="N488" t="str">
            <v xml:space="preserve">______ </v>
          </cell>
          <cell r="O488" t="str">
            <v xml:space="preserve">______ </v>
          </cell>
          <cell r="P488" t="str">
            <v xml:space="preserve">______ </v>
          </cell>
          <cell r="Q488" t="str">
            <v xml:space="preserve">______ </v>
          </cell>
          <cell r="R488" t="str">
            <v xml:space="preserve">______ </v>
          </cell>
          <cell r="S488" t="str">
            <v xml:space="preserve">______ </v>
          </cell>
          <cell r="T488" t="str">
            <v xml:space="preserve">______ </v>
          </cell>
          <cell r="U488" t="str">
            <v xml:space="preserve">______ </v>
          </cell>
          <cell r="V488" t="str">
            <v xml:space="preserve">______ </v>
          </cell>
          <cell r="W488" t="str">
            <v xml:space="preserve">______ </v>
          </cell>
          <cell r="X488" t="str">
            <v xml:space="preserve">______ </v>
          </cell>
          <cell r="Y488" t="str">
            <v xml:space="preserve">______ </v>
          </cell>
          <cell r="Z488" t="str">
            <v xml:space="preserve">______ </v>
          </cell>
          <cell r="AA488" t="str">
            <v xml:space="preserve">______ </v>
          </cell>
          <cell r="AB488" t="str">
            <v xml:space="preserve">______ </v>
          </cell>
          <cell r="AC488" t="str">
            <v xml:space="preserve">______ </v>
          </cell>
          <cell r="AD488" t="str">
            <v xml:space="preserve">______ </v>
          </cell>
          <cell r="AE488" t="str">
            <v xml:space="preserve">______ </v>
          </cell>
          <cell r="AF488" t="str">
            <v xml:space="preserve">______ </v>
          </cell>
          <cell r="AG488" t="str">
            <v xml:space="preserve">______ </v>
          </cell>
          <cell r="AH488" t="str">
            <v xml:space="preserve">______ </v>
          </cell>
          <cell r="AI488" t="str">
            <v xml:space="preserve">______ </v>
          </cell>
          <cell r="AJ488" t="str">
            <v xml:space="preserve">______ </v>
          </cell>
          <cell r="AK488" t="str">
            <v xml:space="preserve">______ </v>
          </cell>
          <cell r="AL488" t="str">
            <v xml:space="preserve">______ </v>
          </cell>
          <cell r="AM488" t="str">
            <v xml:space="preserve">______ </v>
          </cell>
          <cell r="AN488" t="str">
            <v xml:space="preserve">______ </v>
          </cell>
          <cell r="AO488" t="str">
            <v xml:space="preserve">______ </v>
          </cell>
          <cell r="AP488" t="str">
            <v xml:space="preserve">______ </v>
          </cell>
          <cell r="AQ488" t="str">
            <v xml:space="preserve">______ </v>
          </cell>
          <cell r="AR488" t="str">
            <v xml:space="preserve">______ </v>
          </cell>
          <cell r="AS488" t="str">
            <v xml:space="preserve">______ </v>
          </cell>
          <cell r="AT488" t="str">
            <v xml:space="preserve">______ </v>
          </cell>
          <cell r="AU488" t="str">
            <v xml:space="preserve">______ </v>
          </cell>
          <cell r="AV488" t="str">
            <v xml:space="preserve">______ </v>
          </cell>
          <cell r="AW488" t="str">
            <v xml:space="preserve">______ </v>
          </cell>
          <cell r="AX488" t="str">
            <v xml:space="preserve">______ </v>
          </cell>
          <cell r="AY488" t="str">
            <v xml:space="preserve">______ </v>
          </cell>
          <cell r="AZ488" t="str">
            <v xml:space="preserve">______ </v>
          </cell>
          <cell r="BA488" t="str">
            <v xml:space="preserve">______ </v>
          </cell>
          <cell r="BB488" t="str">
            <v xml:space="preserve">______ </v>
          </cell>
          <cell r="BC488" t="str">
            <v xml:space="preserve">______ </v>
          </cell>
          <cell r="BD488" t="str">
            <v xml:space="preserve">______ </v>
          </cell>
          <cell r="BE488" t="str">
            <v xml:space="preserve">______ </v>
          </cell>
          <cell r="BF488" t="str">
            <v xml:space="preserve">______ </v>
          </cell>
          <cell r="BG488" t="str">
            <v xml:space="preserve">______ </v>
          </cell>
          <cell r="BH488" t="str">
            <v xml:space="preserve">______ </v>
          </cell>
          <cell r="BI488" t="str">
            <v xml:space="preserve">______ </v>
          </cell>
          <cell r="BJ488" t="str">
            <v xml:space="preserve">______ </v>
          </cell>
          <cell r="BK488" t="str">
            <v xml:space="preserve">______ </v>
          </cell>
          <cell r="BL488" t="str">
            <v xml:space="preserve">______ </v>
          </cell>
          <cell r="BM488" t="str">
            <v xml:space="preserve">______ </v>
          </cell>
          <cell r="BN488" t="str">
            <v xml:space="preserve">______ </v>
          </cell>
          <cell r="BO488" t="str">
            <v xml:space="preserve">______ </v>
          </cell>
          <cell r="BP488" t="str">
            <v xml:space="preserve">______ </v>
          </cell>
          <cell r="BQ488" t="str">
            <v xml:space="preserve">______ </v>
          </cell>
          <cell r="BR488" t="str">
            <v xml:space="preserve">______ </v>
          </cell>
          <cell r="BS488" t="str">
            <v xml:space="preserve">______ </v>
          </cell>
          <cell r="BT488" t="str">
            <v xml:space="preserve">______ </v>
          </cell>
          <cell r="BU488" t="str">
            <v xml:space="preserve">______ </v>
          </cell>
        </row>
        <row r="489">
          <cell r="A489" t="str">
            <v xml:space="preserve">Goodwill - EOP  </v>
          </cell>
          <cell r="E489">
            <v>0</v>
          </cell>
          <cell r="F489">
            <v>6</v>
          </cell>
          <cell r="G489">
            <v>126.3</v>
          </cell>
          <cell r="H489">
            <v>126.4</v>
          </cell>
          <cell r="I489">
            <v>131.69999999999999</v>
          </cell>
          <cell r="J489">
            <v>131.80000000000001</v>
          </cell>
          <cell r="K489">
            <v>131.69999999999999</v>
          </cell>
          <cell r="L489">
            <v>131.6</v>
          </cell>
          <cell r="M489">
            <v>152.1</v>
          </cell>
          <cell r="N489">
            <v>152.1</v>
          </cell>
          <cell r="O489">
            <v>153.69999999999999</v>
          </cell>
          <cell r="P489">
            <v>154</v>
          </cell>
          <cell r="Q489">
            <v>154</v>
          </cell>
          <cell r="R489">
            <v>176.1</v>
          </cell>
          <cell r="S489">
            <v>176.1</v>
          </cell>
          <cell r="T489">
            <v>178.3</v>
          </cell>
          <cell r="U489">
            <v>179.8</v>
          </cell>
          <cell r="V489">
            <v>179.7</v>
          </cell>
          <cell r="W489">
            <v>179.9</v>
          </cell>
          <cell r="X489">
            <v>179.9</v>
          </cell>
          <cell r="Y489">
            <v>206</v>
          </cell>
          <cell r="Z489">
            <v>205.8</v>
          </cell>
          <cell r="AA489">
            <v>202.8</v>
          </cell>
          <cell r="AB489">
            <v>338</v>
          </cell>
          <cell r="AC489">
            <v>338</v>
          </cell>
          <cell r="AD489">
            <v>333.8</v>
          </cell>
          <cell r="AE489">
            <v>344.6</v>
          </cell>
          <cell r="AF489">
            <v>350.4</v>
          </cell>
          <cell r="AG489">
            <v>349.2</v>
          </cell>
          <cell r="AH489">
            <v>349.2</v>
          </cell>
          <cell r="AI489">
            <v>347.3</v>
          </cell>
          <cell r="AJ489">
            <v>345.1</v>
          </cell>
          <cell r="AK489">
            <v>355.2</v>
          </cell>
          <cell r="AL489">
            <v>465.5</v>
          </cell>
          <cell r="AM489">
            <v>465.5</v>
          </cell>
          <cell r="AN489">
            <v>463.3</v>
          </cell>
          <cell r="AO489">
            <v>470.4</v>
          </cell>
          <cell r="AP489">
            <v>451.1</v>
          </cell>
          <cell r="AQ489">
            <v>642.9</v>
          </cell>
          <cell r="AR489">
            <v>642.9</v>
          </cell>
          <cell r="AS489">
            <v>656.3</v>
          </cell>
          <cell r="AT489">
            <v>638.1</v>
          </cell>
          <cell r="AU489">
            <v>646.29999999999995</v>
          </cell>
          <cell r="AV489">
            <v>637.1</v>
          </cell>
          <cell r="AW489">
            <v>637.1</v>
          </cell>
          <cell r="AX489">
            <v>623.79999999999995</v>
          </cell>
          <cell r="AY489">
            <v>619.79999999999995</v>
          </cell>
          <cell r="AZ489">
            <v>630.79999999999995</v>
          </cell>
          <cell r="BA489">
            <v>665.2</v>
          </cell>
          <cell r="BB489">
            <v>665.2</v>
          </cell>
          <cell r="BC489">
            <v>656.6</v>
          </cell>
          <cell r="BD489">
            <v>955.2</v>
          </cell>
          <cell r="BE489">
            <v>955.2</v>
          </cell>
          <cell r="BF489">
            <v>955.2</v>
          </cell>
          <cell r="BG489">
            <v>955.2</v>
          </cell>
          <cell r="BH489">
            <v>955.2</v>
          </cell>
          <cell r="BI489">
            <v>955.2</v>
          </cell>
          <cell r="BJ489">
            <v>955.2</v>
          </cell>
          <cell r="BK489">
            <v>955.2</v>
          </cell>
          <cell r="BL489">
            <v>955.2</v>
          </cell>
          <cell r="BM489">
            <v>955.2</v>
          </cell>
          <cell r="BN489">
            <v>955.2</v>
          </cell>
          <cell r="BO489">
            <v>955.2</v>
          </cell>
          <cell r="BP489">
            <v>955.2</v>
          </cell>
          <cell r="BQ489">
            <v>955.2</v>
          </cell>
          <cell r="BR489">
            <v>955.2</v>
          </cell>
          <cell r="BS489">
            <v>955.2</v>
          </cell>
          <cell r="BT489">
            <v>955.2</v>
          </cell>
          <cell r="BU489">
            <v>955.2</v>
          </cell>
          <cell r="CY489">
            <v>955.2</v>
          </cell>
        </row>
        <row r="492">
          <cell r="A492" t="str">
            <v>Interest Income</v>
          </cell>
          <cell r="D492">
            <v>0</v>
          </cell>
          <cell r="E492">
            <v>2.2000000000000002</v>
          </cell>
          <cell r="F492">
            <v>6.5</v>
          </cell>
          <cell r="G492">
            <v>2.2999999999999998</v>
          </cell>
          <cell r="H492">
            <v>1.7</v>
          </cell>
          <cell r="I492">
            <v>6.8</v>
          </cell>
          <cell r="J492">
            <v>4.5</v>
          </cell>
          <cell r="K492">
            <v>6.2</v>
          </cell>
          <cell r="L492">
            <v>8.6</v>
          </cell>
          <cell r="M492">
            <v>6.6999999999999993</v>
          </cell>
          <cell r="N492">
            <v>25.999999999999996</v>
          </cell>
          <cell r="O492">
            <v>6.3</v>
          </cell>
          <cell r="P492">
            <v>4.7</v>
          </cell>
          <cell r="Q492">
            <v>2.7</v>
          </cell>
          <cell r="R492">
            <v>4.5000000000000009</v>
          </cell>
          <cell r="S492">
            <v>18.2</v>
          </cell>
          <cell r="T492">
            <v>5.4</v>
          </cell>
          <cell r="U492">
            <v>3.2</v>
          </cell>
          <cell r="V492">
            <v>5.2</v>
          </cell>
          <cell r="W492">
            <v>5.5000000000000018</v>
          </cell>
          <cell r="X492">
            <v>19.300000000000004</v>
          </cell>
          <cell r="Y492">
            <v>7</v>
          </cell>
          <cell r="Z492">
            <v>3.2</v>
          </cell>
          <cell r="AA492">
            <v>5.0999999999999996</v>
          </cell>
          <cell r="AB492">
            <v>2.8000000000000007</v>
          </cell>
          <cell r="AC492">
            <v>18.100000000000001</v>
          </cell>
          <cell r="AD492">
            <v>0.8</v>
          </cell>
          <cell r="AE492">
            <v>0.6</v>
          </cell>
          <cell r="AF492">
            <v>0.6</v>
          </cell>
          <cell r="AG492">
            <v>0.50000000000000011</v>
          </cell>
          <cell r="AH492">
            <v>2.5</v>
          </cell>
          <cell r="AI492">
            <v>0.6</v>
          </cell>
          <cell r="AJ492">
            <v>0.5</v>
          </cell>
          <cell r="AK492">
            <v>0.8</v>
          </cell>
          <cell r="AL492">
            <v>3.1</v>
          </cell>
          <cell r="AM492">
            <v>5</v>
          </cell>
          <cell r="AN492">
            <v>1</v>
          </cell>
          <cell r="AO492">
            <v>1.3</v>
          </cell>
          <cell r="AP492">
            <v>1.6</v>
          </cell>
          <cell r="AQ492">
            <v>1.4</v>
          </cell>
          <cell r="AR492">
            <v>5.3</v>
          </cell>
          <cell r="AS492">
            <v>1.3</v>
          </cell>
          <cell r="AT492">
            <v>1.2</v>
          </cell>
          <cell r="AU492">
            <v>1.2</v>
          </cell>
          <cell r="AV492">
            <v>1.5000000000000002</v>
          </cell>
          <cell r="AW492">
            <v>5.2</v>
          </cell>
          <cell r="AX492">
            <v>1.2</v>
          </cell>
          <cell r="AY492">
            <v>1.2</v>
          </cell>
          <cell r="AZ492">
            <v>1.6</v>
          </cell>
          <cell r="BB492">
            <v>4</v>
          </cell>
          <cell r="BC492">
            <v>1.6</v>
          </cell>
          <cell r="BD492">
            <v>1.7</v>
          </cell>
          <cell r="BE492">
            <v>4.8982500000000009</v>
          </cell>
          <cell r="BF492">
            <v>4.6527590332854212</v>
          </cell>
          <cell r="BG492">
            <v>12.851009033285422</v>
          </cell>
          <cell r="BH492">
            <v>4.6575589935007802</v>
          </cell>
          <cell r="BI492">
            <v>4.3736101375529257</v>
          </cell>
          <cell r="BJ492">
            <v>4.6058783394489708</v>
          </cell>
          <cell r="BK492">
            <v>4.6321660003372003</v>
          </cell>
          <cell r="BL492">
            <v>18.269213470839876</v>
          </cell>
          <cell r="BM492">
            <v>5.0216215957158763</v>
          </cell>
          <cell r="BN492">
            <v>4.4096573309905986</v>
          </cell>
          <cell r="BO492">
            <v>4.3429564109694621</v>
          </cell>
          <cell r="BP492">
            <v>4.0655484594365792</v>
          </cell>
          <cell r="BQ492">
            <v>17.839783797112517</v>
          </cell>
          <cell r="BR492">
            <v>16.694711222349891</v>
          </cell>
          <cell r="BS492">
            <v>13.773575701188147</v>
          </cell>
          <cell r="BT492">
            <v>11.394477257731847</v>
          </cell>
          <cell r="BU492">
            <v>9.6066012532438592</v>
          </cell>
          <cell r="CY492">
            <v>18.582178164339126</v>
          </cell>
        </row>
        <row r="493">
          <cell r="A493" t="str">
            <v>Total Interest Earning Assets</v>
          </cell>
          <cell r="D493">
            <v>3.4000000000001713</v>
          </cell>
          <cell r="E493">
            <v>119.10000000000024</v>
          </cell>
          <cell r="F493">
            <v>163.20000000000024</v>
          </cell>
          <cell r="G493">
            <v>39.900000000000261</v>
          </cell>
          <cell r="H493">
            <v>269.10000000000048</v>
          </cell>
          <cell r="I493">
            <v>613.40000000000066</v>
          </cell>
          <cell r="J493">
            <v>777.00000000000068</v>
          </cell>
          <cell r="K493">
            <v>930.80000000000064</v>
          </cell>
          <cell r="L493">
            <v>818.40000000000055</v>
          </cell>
          <cell r="M493">
            <v>580.50000000000045</v>
          </cell>
          <cell r="N493">
            <v>580.50000000000068</v>
          </cell>
          <cell r="O493">
            <v>605.00000000000045</v>
          </cell>
          <cell r="P493">
            <v>230.30000000000038</v>
          </cell>
          <cell r="Q493">
            <v>294.60000000000025</v>
          </cell>
          <cell r="R493">
            <v>483.50000000000034</v>
          </cell>
          <cell r="S493">
            <v>483.50000000000034</v>
          </cell>
          <cell r="T493">
            <v>299.8000000000003</v>
          </cell>
          <cell r="U493">
            <v>375.00000000000017</v>
          </cell>
          <cell r="V493">
            <v>425.7000000000001</v>
          </cell>
          <cell r="W493">
            <v>441.00000000000051</v>
          </cell>
          <cell r="X493">
            <v>441.00000000000045</v>
          </cell>
          <cell r="Y493">
            <v>349.60000000000031</v>
          </cell>
          <cell r="Z493">
            <v>392.8000000000003</v>
          </cell>
          <cell r="AA493">
            <v>445.80000000000086</v>
          </cell>
          <cell r="AB493">
            <v>253.00000000000185</v>
          </cell>
          <cell r="AC493">
            <v>253.00000000000168</v>
          </cell>
          <cell r="AD493">
            <v>348.50000000000199</v>
          </cell>
          <cell r="AE493">
            <v>397.70000000000238</v>
          </cell>
          <cell r="AF493">
            <v>429.50000000000136</v>
          </cell>
          <cell r="AG493">
            <v>483.90000000000248</v>
          </cell>
          <cell r="AH493">
            <v>483.9000000000018</v>
          </cell>
          <cell r="AI493">
            <v>503.90000000000248</v>
          </cell>
          <cell r="AJ493">
            <v>493.60000000000264</v>
          </cell>
          <cell r="AK493">
            <v>804.50000000000261</v>
          </cell>
          <cell r="AL493">
            <v>672.30000000000268</v>
          </cell>
          <cell r="AM493">
            <v>672.30000000000268</v>
          </cell>
          <cell r="AN493">
            <v>726.20000000000277</v>
          </cell>
          <cell r="AO493">
            <v>949.50000000000273</v>
          </cell>
          <cell r="AP493">
            <v>867.50000000000261</v>
          </cell>
          <cell r="AQ493">
            <v>774.8000000000028</v>
          </cell>
          <cell r="AR493">
            <v>774.8000000000028</v>
          </cell>
          <cell r="AS493">
            <v>828.00000000000284</v>
          </cell>
          <cell r="AT493">
            <v>839.50000000000273</v>
          </cell>
          <cell r="AU493">
            <v>1541.2000000000028</v>
          </cell>
          <cell r="AV493">
            <v>1773.3000000000029</v>
          </cell>
          <cell r="AW493">
            <v>1773.3000000000029</v>
          </cell>
          <cell r="AX493">
            <v>1769.6000000000029</v>
          </cell>
          <cell r="AY493">
            <v>1650.900000000003</v>
          </cell>
          <cell r="AZ493">
            <v>2044.700000000003</v>
          </cell>
          <cell r="BA493">
            <v>2106.3000000000002</v>
          </cell>
          <cell r="BB493">
            <v>2106.3000000000029</v>
          </cell>
          <cell r="BC493">
            <v>2044.9</v>
          </cell>
          <cell r="BD493">
            <v>1959.3000000000002</v>
          </cell>
          <cell r="BE493">
            <v>1861.1036133141683</v>
          </cell>
          <cell r="BF493">
            <v>1863.0235974003115</v>
          </cell>
          <cell r="BG493">
            <v>1863.0235974003119</v>
          </cell>
          <cell r="BH493">
            <v>1749.4440550211702</v>
          </cell>
          <cell r="BI493">
            <v>1842.3513357795882</v>
          </cell>
          <cell r="BJ493">
            <v>1852.86640013488</v>
          </cell>
          <cell r="BK493">
            <v>2008.6486382863504</v>
          </cell>
          <cell r="BL493">
            <v>2008.6486382863504</v>
          </cell>
          <cell r="BM493">
            <v>1763.8629323962393</v>
          </cell>
          <cell r="BN493">
            <v>1737.1825643877846</v>
          </cell>
          <cell r="BO493">
            <v>1626.2193837746318</v>
          </cell>
          <cell r="BP493">
            <v>1669.4711222349893</v>
          </cell>
          <cell r="BQ493">
            <v>1669.4711222349893</v>
          </cell>
          <cell r="BR493">
            <v>1377.3575701188147</v>
          </cell>
          <cell r="BS493">
            <v>1139.4477257731846</v>
          </cell>
          <cell r="BT493">
            <v>960.66012532438594</v>
          </cell>
          <cell r="BU493">
            <v>846.34247977234691</v>
          </cell>
          <cell r="CY493">
            <v>1842.3513357795882</v>
          </cell>
        </row>
        <row r="494">
          <cell r="A494" t="str">
            <v>Average Interest Earning Assets</v>
          </cell>
          <cell r="D494" t="str">
            <v>NM</v>
          </cell>
          <cell r="E494" t="str">
            <v>NM</v>
          </cell>
          <cell r="F494">
            <v>141.15000000000023</v>
          </cell>
          <cell r="G494">
            <v>101.55000000000025</v>
          </cell>
          <cell r="H494">
            <v>154.50000000000037</v>
          </cell>
          <cell r="I494">
            <v>441.25000000000057</v>
          </cell>
          <cell r="J494">
            <v>695.20000000000073</v>
          </cell>
          <cell r="K494">
            <v>853.90000000000066</v>
          </cell>
          <cell r="L494">
            <v>874.60000000000059</v>
          </cell>
          <cell r="M494">
            <v>699.4500000000005</v>
          </cell>
          <cell r="N494">
            <v>780.78750000000059</v>
          </cell>
          <cell r="O494">
            <v>592.75000000000057</v>
          </cell>
          <cell r="P494">
            <v>417.65000000000043</v>
          </cell>
          <cell r="Q494">
            <v>262.45000000000033</v>
          </cell>
          <cell r="R494">
            <v>389.0500000000003</v>
          </cell>
          <cell r="S494">
            <v>415.47500000000036</v>
          </cell>
          <cell r="T494">
            <v>391.65000000000032</v>
          </cell>
          <cell r="U494">
            <v>337.4000000000002</v>
          </cell>
          <cell r="V494">
            <v>400.35000000000014</v>
          </cell>
          <cell r="W494">
            <v>433.35000000000031</v>
          </cell>
          <cell r="X494">
            <v>390.68750000000023</v>
          </cell>
          <cell r="Y494">
            <v>395.30000000000041</v>
          </cell>
          <cell r="Z494">
            <v>371.20000000000027</v>
          </cell>
          <cell r="AA494">
            <v>419.30000000000058</v>
          </cell>
          <cell r="AB494">
            <v>349.40000000000134</v>
          </cell>
          <cell r="AC494">
            <v>383.80000000000064</v>
          </cell>
          <cell r="AD494">
            <v>300.75000000000182</v>
          </cell>
          <cell r="AE494">
            <v>373.10000000000218</v>
          </cell>
          <cell r="AF494">
            <v>413.60000000000184</v>
          </cell>
          <cell r="AG494">
            <v>456.70000000000192</v>
          </cell>
          <cell r="AH494">
            <v>386.0375000000019</v>
          </cell>
          <cell r="AI494">
            <v>493.90000000000214</v>
          </cell>
          <cell r="AJ494">
            <v>498.75000000000256</v>
          </cell>
          <cell r="AK494">
            <v>649.05000000000268</v>
          </cell>
          <cell r="AL494">
            <v>738.40000000000259</v>
          </cell>
          <cell r="AM494">
            <v>595.02500000000248</v>
          </cell>
          <cell r="AN494">
            <v>699.25000000000273</v>
          </cell>
          <cell r="AO494">
            <v>837.85000000000275</v>
          </cell>
          <cell r="AP494">
            <v>908.50000000000273</v>
          </cell>
          <cell r="AQ494">
            <v>821.15000000000271</v>
          </cell>
          <cell r="AR494">
            <v>816.68750000000273</v>
          </cell>
          <cell r="AS494">
            <v>801.40000000000282</v>
          </cell>
          <cell r="AT494">
            <v>833.75000000000273</v>
          </cell>
          <cell r="AU494">
            <v>1190.3500000000026</v>
          </cell>
          <cell r="AV494">
            <v>1657.2500000000027</v>
          </cell>
          <cell r="AW494">
            <v>1120.6875000000027</v>
          </cell>
          <cell r="AX494">
            <v>1771.450000000003</v>
          </cell>
          <cell r="AY494">
            <v>1710.250000000003</v>
          </cell>
          <cell r="AZ494">
            <v>1847.8000000000029</v>
          </cell>
          <cell r="BA494">
            <v>2075.5000000000018</v>
          </cell>
          <cell r="BB494">
            <v>1851.2500000000027</v>
          </cell>
          <cell r="BC494">
            <v>2075.6000000000013</v>
          </cell>
          <cell r="BD494">
            <v>2002.1000000000001</v>
          </cell>
          <cell r="BE494">
            <v>1910.2018066570843</v>
          </cell>
          <cell r="BF494">
            <v>1862.0636053572398</v>
          </cell>
          <cell r="BG494">
            <v>1962.4913530035815</v>
          </cell>
          <cell r="BH494">
            <v>1806.233826210741</v>
          </cell>
          <cell r="BI494">
            <v>1795.8976954003792</v>
          </cell>
          <cell r="BJ494">
            <v>1847.608867957234</v>
          </cell>
          <cell r="BK494">
            <v>1930.7575192106151</v>
          </cell>
          <cell r="BL494">
            <v>1845.1244771947424</v>
          </cell>
          <cell r="BM494">
            <v>1886.255785341295</v>
          </cell>
          <cell r="BN494">
            <v>1750.5227483920121</v>
          </cell>
          <cell r="BO494">
            <v>1681.7009740812082</v>
          </cell>
          <cell r="BP494">
            <v>1647.8452530048105</v>
          </cell>
          <cell r="BQ494">
            <v>1741.5811902048315</v>
          </cell>
          <cell r="BR494">
            <v>1523.414346176902</v>
          </cell>
          <cell r="BS494">
            <v>1258.4026479459997</v>
          </cell>
          <cell r="BT494">
            <v>1050.0539255487852</v>
          </cell>
          <cell r="BU494">
            <v>903.50130254836643</v>
          </cell>
          <cell r="CY494">
            <v>1795.8976954003792</v>
          </cell>
        </row>
        <row r="495">
          <cell r="A495" t="str">
            <v>Average Interest Yield</v>
          </cell>
          <cell r="D495" t="str">
            <v>NM</v>
          </cell>
          <cell r="E495" t="str">
            <v>NM</v>
          </cell>
          <cell r="F495">
            <v>0.18420120439248996</v>
          </cell>
          <cell r="G495">
            <v>9.0595765632693018E-2</v>
          </cell>
          <cell r="H495">
            <v>4.4012944983818664E-2</v>
          </cell>
          <cell r="I495">
            <v>6.1643059490084903E-2</v>
          </cell>
          <cell r="J495">
            <v>2.5891829689298016E-2</v>
          </cell>
          <cell r="K495">
            <v>2.9043213491041085E-2</v>
          </cell>
          <cell r="L495">
            <v>3.9332266178824578E-2</v>
          </cell>
          <cell r="M495">
            <v>3.8315819572521233E-2</v>
          </cell>
          <cell r="N495">
            <v>3.3299713430350736E-2</v>
          </cell>
          <cell r="O495">
            <v>4.2513707296499323E-2</v>
          </cell>
          <cell r="P495">
            <v>4.501376750867947E-2</v>
          </cell>
          <cell r="Q495">
            <v>4.1150695370546719E-2</v>
          </cell>
          <cell r="R495">
            <v>4.6266546716360338E-2</v>
          </cell>
          <cell r="S495">
            <v>4.3805283109693685E-2</v>
          </cell>
          <cell r="T495">
            <v>5.5151283033320522E-2</v>
          </cell>
          <cell r="U495">
            <v>3.7937166567871938E-2</v>
          </cell>
          <cell r="V495">
            <v>5.19545397776945E-2</v>
          </cell>
          <cell r="W495">
            <v>5.076727818160838E-2</v>
          </cell>
          <cell r="X495">
            <v>4.9400095984642442E-2</v>
          </cell>
          <cell r="Y495">
            <v>7.0832279281558233E-2</v>
          </cell>
          <cell r="Z495">
            <v>3.4482758620689634E-2</v>
          </cell>
          <cell r="AA495">
            <v>4.8652516098258936E-2</v>
          </cell>
          <cell r="AB495">
            <v>3.2054951345163021E-2</v>
          </cell>
          <cell r="AC495">
            <v>4.7159979155810244E-2</v>
          </cell>
          <cell r="AD495">
            <v>1.0640066500415563E-2</v>
          </cell>
          <cell r="AE495">
            <v>6.4325917984454188E-3</v>
          </cell>
          <cell r="AF495">
            <v>5.8027079303674791E-3</v>
          </cell>
          <cell r="AG495">
            <v>4.379242391066328E-3</v>
          </cell>
          <cell r="AH495">
            <v>6.4760547874234695E-3</v>
          </cell>
          <cell r="AI495">
            <v>4.8592832557197603E-3</v>
          </cell>
          <cell r="AJ495">
            <v>4.0100250626566207E-3</v>
          </cell>
          <cell r="AK495">
            <v>4.9302827208997568E-3</v>
          </cell>
          <cell r="AL495">
            <v>1.6793066088840677E-2</v>
          </cell>
          <cell r="AM495">
            <v>8.4030082769631174E-3</v>
          </cell>
          <cell r="AN495">
            <v>5.7204147300679072E-3</v>
          </cell>
          <cell r="AO495">
            <v>6.2063615205585525E-3</v>
          </cell>
          <cell r="AP495">
            <v>7.0445789763345966E-3</v>
          </cell>
          <cell r="AQ495">
            <v>6.8197040735553565E-3</v>
          </cell>
          <cell r="AR495">
            <v>6.4896303665722592E-3</v>
          </cell>
          <cell r="AS495">
            <v>6.4886448714748966E-3</v>
          </cell>
          <cell r="AT495">
            <v>5.7571214392803409E-3</v>
          </cell>
          <cell r="AU495">
            <v>4.0324274373083457E-3</v>
          </cell>
          <cell r="AV495">
            <v>3.6204555739930552E-3</v>
          </cell>
          <cell r="AW495">
            <v>4.6400089230940718E-3</v>
          </cell>
          <cell r="AX495">
            <v>2.7096446413954621E-3</v>
          </cell>
          <cell r="AY495">
            <v>2.806607221166491E-3</v>
          </cell>
          <cell r="AZ495">
            <v>3.4635783093408326E-3</v>
          </cell>
          <cell r="BA495">
            <v>0</v>
          </cell>
          <cell r="BB495">
            <v>2.1607022282241696E-3</v>
          </cell>
          <cell r="BC495">
            <v>3.083445750626323E-3</v>
          </cell>
          <cell r="BD495">
            <v>3.396433744568203E-3</v>
          </cell>
          <cell r="BE495">
            <v>0.01</v>
          </cell>
          <cell r="BF495">
            <v>0.01</v>
          </cell>
          <cell r="BG495">
            <v>6.5483137103340755E-3</v>
          </cell>
          <cell r="BH495">
            <v>0.01</v>
          </cell>
          <cell r="BI495">
            <v>0.01</v>
          </cell>
          <cell r="BJ495">
            <v>0.01</v>
          </cell>
          <cell r="BK495">
            <v>0.01</v>
          </cell>
          <cell r="BL495">
            <v>9.9013447041880337E-3</v>
          </cell>
          <cell r="BM495">
            <v>0.01</v>
          </cell>
          <cell r="BN495">
            <v>0.01</v>
          </cell>
          <cell r="BO495">
            <v>0.01</v>
          </cell>
          <cell r="BP495">
            <v>0.01</v>
          </cell>
          <cell r="BQ495">
            <v>1.0243440786710804E-2</v>
          </cell>
          <cell r="BR495">
            <v>0.01</v>
          </cell>
          <cell r="BS495">
            <v>0.01</v>
          </cell>
          <cell r="BT495">
            <v>0.01</v>
          </cell>
          <cell r="BU495">
            <v>0.01</v>
          </cell>
        </row>
        <row r="497">
          <cell r="A497" t="str">
            <v>Interest Expense</v>
          </cell>
          <cell r="E497">
            <v>5.8000000000000007</v>
          </cell>
          <cell r="F497">
            <v>23</v>
          </cell>
          <cell r="G497">
            <v>23.5</v>
          </cell>
          <cell r="H497">
            <v>23.5</v>
          </cell>
          <cell r="I497">
            <v>23</v>
          </cell>
          <cell r="J497">
            <v>5.7</v>
          </cell>
          <cell r="K497">
            <v>5.8</v>
          </cell>
          <cell r="L497">
            <v>5.7</v>
          </cell>
          <cell r="M497">
            <v>3.8000000000000007</v>
          </cell>
          <cell r="N497">
            <v>21</v>
          </cell>
          <cell r="O497">
            <v>3.8</v>
          </cell>
          <cell r="P497">
            <v>3.8</v>
          </cell>
          <cell r="Q497">
            <v>3.8000000000000003</v>
          </cell>
          <cell r="R497">
            <v>3.7999999999999989</v>
          </cell>
          <cell r="S497">
            <v>15.2</v>
          </cell>
          <cell r="T497">
            <v>7.5</v>
          </cell>
          <cell r="U497">
            <v>11.899999999999999</v>
          </cell>
          <cell r="V497">
            <v>16.399999999999999</v>
          </cell>
          <cell r="W497">
            <v>25.300000000000004</v>
          </cell>
          <cell r="X497">
            <v>61.1</v>
          </cell>
          <cell r="Y497">
            <v>18.5</v>
          </cell>
          <cell r="Z497">
            <v>24.3</v>
          </cell>
          <cell r="AA497">
            <v>17.7</v>
          </cell>
          <cell r="AB497">
            <v>12.100000000000001</v>
          </cell>
          <cell r="AC497">
            <v>72.599999999999994</v>
          </cell>
          <cell r="AD497">
            <v>4.0999999999999996</v>
          </cell>
          <cell r="AE497">
            <v>13.2</v>
          </cell>
          <cell r="AF497">
            <v>12.1</v>
          </cell>
          <cell r="AG497">
            <v>12.999999999999998</v>
          </cell>
          <cell r="AH497">
            <v>42.4</v>
          </cell>
          <cell r="AI497">
            <v>13.9</v>
          </cell>
          <cell r="AJ497">
            <v>12</v>
          </cell>
          <cell r="AK497">
            <v>13.600000000000001</v>
          </cell>
          <cell r="AL497">
            <v>20.500000000000004</v>
          </cell>
          <cell r="AM497">
            <v>60</v>
          </cell>
          <cell r="AN497">
            <v>19.2</v>
          </cell>
          <cell r="AO497">
            <v>16.3</v>
          </cell>
          <cell r="AP497">
            <v>14.5</v>
          </cell>
          <cell r="AQ497">
            <v>18.299999999999997</v>
          </cell>
          <cell r="AR497">
            <v>68.3</v>
          </cell>
          <cell r="AS497">
            <v>11.600000000000001</v>
          </cell>
          <cell r="AT497">
            <v>17.8</v>
          </cell>
          <cell r="AU497">
            <v>20.900000000000002</v>
          </cell>
          <cell r="AV497">
            <v>23.5</v>
          </cell>
          <cell r="AW497">
            <v>73.800000000000011</v>
          </cell>
          <cell r="AX497">
            <v>23.2</v>
          </cell>
          <cell r="AY497">
            <v>22.9</v>
          </cell>
          <cell r="AZ497">
            <v>26</v>
          </cell>
          <cell r="BA497">
            <v>29.487633653742304</v>
          </cell>
          <cell r="BB497">
            <v>101.5876336537423</v>
          </cell>
          <cell r="BC497">
            <v>25.400000000000002</v>
          </cell>
          <cell r="BD497">
            <v>27.7</v>
          </cell>
          <cell r="BE497">
            <v>26.306250000000002</v>
          </cell>
          <cell r="BF497">
            <v>26.306250000000002</v>
          </cell>
          <cell r="BG497">
            <v>105.71250000000001</v>
          </cell>
          <cell r="BH497">
            <v>26.306250000000002</v>
          </cell>
          <cell r="BI497">
            <v>26.306250000000002</v>
          </cell>
          <cell r="BJ497">
            <v>26.306250000000002</v>
          </cell>
          <cell r="BK497">
            <v>26.306250000000002</v>
          </cell>
          <cell r="BL497">
            <v>105.22500000000001</v>
          </cell>
          <cell r="BM497">
            <v>26.306250000000002</v>
          </cell>
          <cell r="BN497">
            <v>26.306250000000002</v>
          </cell>
          <cell r="BO497">
            <v>26.306250000000002</v>
          </cell>
          <cell r="BP497">
            <v>26.306250000000002</v>
          </cell>
          <cell r="BQ497">
            <v>105.22500000000001</v>
          </cell>
          <cell r="BR497">
            <v>105.22500000000001</v>
          </cell>
          <cell r="BS497">
            <v>105.22500000000001</v>
          </cell>
          <cell r="BT497">
            <v>105.22500000000001</v>
          </cell>
          <cell r="BU497">
            <v>105.22500000000001</v>
          </cell>
          <cell r="CY497">
            <v>105.22500000000001</v>
          </cell>
        </row>
        <row r="498">
          <cell r="A498" t="str">
            <v>Total Debt</v>
          </cell>
          <cell r="E498">
            <v>300</v>
          </cell>
          <cell r="F498">
            <v>300</v>
          </cell>
          <cell r="G498">
            <v>407.1</v>
          </cell>
          <cell r="H498">
            <v>300</v>
          </cell>
          <cell r="I498">
            <v>300</v>
          </cell>
          <cell r="J498">
            <v>300</v>
          </cell>
          <cell r="K498">
            <v>300</v>
          </cell>
          <cell r="L498">
            <v>300</v>
          </cell>
          <cell r="M498">
            <v>300</v>
          </cell>
          <cell r="N498">
            <v>300</v>
          </cell>
          <cell r="O498">
            <v>300</v>
          </cell>
          <cell r="P498">
            <v>300</v>
          </cell>
          <cell r="Q498">
            <v>300</v>
          </cell>
          <cell r="R498">
            <v>300</v>
          </cell>
          <cell r="S498">
            <v>300</v>
          </cell>
          <cell r="T498">
            <v>380</v>
          </cell>
          <cell r="U498">
            <v>710</v>
          </cell>
          <cell r="V498">
            <v>1000</v>
          </cell>
          <cell r="W498">
            <v>1151.9000000000001</v>
          </cell>
          <cell r="X498">
            <v>1151.9000000000001</v>
          </cell>
          <cell r="Y498">
            <v>1198.7</v>
          </cell>
          <cell r="Z498">
            <v>1373.9</v>
          </cell>
          <cell r="AA498">
            <v>1398.6</v>
          </cell>
          <cell r="AB498">
            <v>1467.7</v>
          </cell>
          <cell r="AC498">
            <v>1467.7</v>
          </cell>
          <cell r="AD498">
            <v>1410.5</v>
          </cell>
          <cell r="AE498">
            <v>1330.4</v>
          </cell>
          <cell r="AF498">
            <v>1279.0999999999999</v>
          </cell>
          <cell r="AG498">
            <v>1189.9000000000001</v>
          </cell>
          <cell r="AH498">
            <v>1189.9000000000001</v>
          </cell>
          <cell r="AI498">
            <v>1121.9000000000001</v>
          </cell>
          <cell r="AJ498">
            <v>1106.4000000000001</v>
          </cell>
          <cell r="AK498">
            <v>1260</v>
          </cell>
          <cell r="AL498">
            <v>1228.3</v>
          </cell>
          <cell r="AM498">
            <v>1228.3</v>
          </cell>
          <cell r="AN498">
            <v>1234.1999999999998</v>
          </cell>
          <cell r="AO498">
            <v>1243</v>
          </cell>
          <cell r="AP498">
            <v>1244</v>
          </cell>
          <cell r="AQ498">
            <v>1172.5</v>
          </cell>
          <cell r="AR498">
            <v>1172.5</v>
          </cell>
          <cell r="AS498">
            <v>1137.4000000000001</v>
          </cell>
          <cell r="AT498">
            <v>1110.8</v>
          </cell>
          <cell r="AU498">
            <v>1611.9</v>
          </cell>
          <cell r="AV498">
            <v>1607.4</v>
          </cell>
          <cell r="AW498">
            <v>1607.4</v>
          </cell>
          <cell r="AX498">
            <v>1610.2</v>
          </cell>
          <cell r="AY498">
            <v>1605</v>
          </cell>
          <cell r="AZ498">
            <v>2098.6</v>
          </cell>
          <cell r="BA498">
            <v>2101.8000000000002</v>
          </cell>
          <cell r="BB498">
            <v>2101.8000000000002</v>
          </cell>
          <cell r="BC498">
            <v>2097.5</v>
          </cell>
          <cell r="BD498">
            <v>2104.5</v>
          </cell>
          <cell r="BE498">
            <v>2104.5</v>
          </cell>
          <cell r="BF498">
            <v>2104.5</v>
          </cell>
          <cell r="BG498">
            <v>2104.5</v>
          </cell>
          <cell r="BH498">
            <v>2104.5</v>
          </cell>
          <cell r="BI498">
            <v>2104.5</v>
          </cell>
          <cell r="BJ498">
            <v>2104.5</v>
          </cell>
          <cell r="BK498">
            <v>2104.5</v>
          </cell>
          <cell r="BL498">
            <v>2104.5</v>
          </cell>
          <cell r="BM498">
            <v>2104.5</v>
          </cell>
          <cell r="BN498">
            <v>2104.5</v>
          </cell>
          <cell r="BO498">
            <v>2104.5</v>
          </cell>
          <cell r="BP498">
            <v>2104.5</v>
          </cell>
          <cell r="BQ498">
            <v>2104.5</v>
          </cell>
          <cell r="BR498">
            <v>2104.5</v>
          </cell>
          <cell r="BS498">
            <v>2104.5</v>
          </cell>
          <cell r="BT498">
            <v>2104.5</v>
          </cell>
          <cell r="BU498">
            <v>2104.5</v>
          </cell>
          <cell r="CY498">
            <v>2104.5</v>
          </cell>
        </row>
        <row r="499">
          <cell r="A499" t="str">
            <v>Average Debt</v>
          </cell>
          <cell r="E499" t="str">
            <v>NM</v>
          </cell>
          <cell r="F499">
            <v>300</v>
          </cell>
          <cell r="G499">
            <v>353.55</v>
          </cell>
          <cell r="H499">
            <v>353.55</v>
          </cell>
          <cell r="I499">
            <v>300</v>
          </cell>
          <cell r="J499">
            <v>300</v>
          </cell>
          <cell r="K499">
            <v>300</v>
          </cell>
          <cell r="L499">
            <v>300</v>
          </cell>
          <cell r="M499">
            <v>300</v>
          </cell>
          <cell r="N499">
            <v>300</v>
          </cell>
          <cell r="O499">
            <v>300</v>
          </cell>
          <cell r="P499">
            <v>300</v>
          </cell>
          <cell r="Q499">
            <v>300</v>
          </cell>
          <cell r="R499">
            <v>300</v>
          </cell>
          <cell r="S499">
            <v>300</v>
          </cell>
          <cell r="T499">
            <v>340</v>
          </cell>
          <cell r="U499">
            <v>545</v>
          </cell>
          <cell r="V499">
            <v>855</v>
          </cell>
          <cell r="W499">
            <v>1075.95</v>
          </cell>
          <cell r="X499">
            <v>703.98749999999995</v>
          </cell>
          <cell r="Y499">
            <v>1175.3000000000002</v>
          </cell>
          <cell r="Z499">
            <v>1286.3000000000002</v>
          </cell>
          <cell r="AA499">
            <v>1386.25</v>
          </cell>
          <cell r="AB499">
            <v>1433.15</v>
          </cell>
          <cell r="AC499">
            <v>1320.25</v>
          </cell>
          <cell r="AD499">
            <v>1439.1</v>
          </cell>
          <cell r="AE499">
            <v>1370.45</v>
          </cell>
          <cell r="AF499">
            <v>1304.75</v>
          </cell>
          <cell r="AG499">
            <v>1234.5</v>
          </cell>
          <cell r="AH499">
            <v>1337.2</v>
          </cell>
          <cell r="AI499">
            <v>1155.9000000000001</v>
          </cell>
          <cell r="AJ499">
            <v>1114.1500000000001</v>
          </cell>
          <cell r="AK499">
            <v>1183.2</v>
          </cell>
          <cell r="AL499">
            <v>1244.1500000000001</v>
          </cell>
          <cell r="AM499">
            <v>1174.3499999999999</v>
          </cell>
          <cell r="AN499">
            <v>1231.25</v>
          </cell>
          <cell r="AO499">
            <v>1238.5999999999999</v>
          </cell>
          <cell r="AP499">
            <v>1243.5</v>
          </cell>
          <cell r="AQ499">
            <v>1208.25</v>
          </cell>
          <cell r="AR499">
            <v>1230.4000000000001</v>
          </cell>
          <cell r="AS499">
            <v>1154.95</v>
          </cell>
          <cell r="AT499">
            <v>1124.0999999999999</v>
          </cell>
          <cell r="AU499">
            <v>1361.35</v>
          </cell>
          <cell r="AV499">
            <v>1609.65</v>
          </cell>
          <cell r="AW499">
            <v>1312.5125</v>
          </cell>
          <cell r="AX499">
            <v>1608.8000000000002</v>
          </cell>
          <cell r="AY499">
            <v>1607.6</v>
          </cell>
          <cell r="AZ499">
            <v>1851.8</v>
          </cell>
          <cell r="BA499">
            <v>2100.1999999999998</v>
          </cell>
          <cell r="BB499">
            <v>1792.1</v>
          </cell>
          <cell r="BC499">
            <v>2099.65</v>
          </cell>
          <cell r="BD499">
            <v>2101</v>
          </cell>
          <cell r="BE499">
            <v>2104.5</v>
          </cell>
          <cell r="BF499">
            <v>2104.5</v>
          </cell>
          <cell r="BG499">
            <v>2102.4124999999999</v>
          </cell>
          <cell r="BH499">
            <v>2104.5</v>
          </cell>
          <cell r="BI499">
            <v>2104.5</v>
          </cell>
          <cell r="BJ499">
            <v>2104.5</v>
          </cell>
          <cell r="BK499">
            <v>2104.5</v>
          </cell>
          <cell r="BL499">
            <v>2104.5</v>
          </cell>
          <cell r="BM499">
            <v>2104.5</v>
          </cell>
          <cell r="BN499">
            <v>2104.5</v>
          </cell>
          <cell r="BO499">
            <v>2104.5</v>
          </cell>
          <cell r="BP499">
            <v>2104.5</v>
          </cell>
          <cell r="BQ499">
            <v>2104.5</v>
          </cell>
          <cell r="BR499">
            <v>2104.5</v>
          </cell>
          <cell r="BS499">
            <v>2104.5</v>
          </cell>
          <cell r="BT499">
            <v>2104.5</v>
          </cell>
          <cell r="BU499">
            <v>2104.5</v>
          </cell>
          <cell r="CY499">
            <v>2104.5</v>
          </cell>
        </row>
        <row r="500">
          <cell r="A500" t="str">
            <v>Average Interest Rate</v>
          </cell>
          <cell r="E500" t="str">
            <v>NM</v>
          </cell>
          <cell r="F500">
            <v>7.6666666666666661E-2</v>
          </cell>
          <cell r="G500">
            <v>6.6468674869183994E-2</v>
          </cell>
          <cell r="H500">
            <v>6.6468674869183994E-2</v>
          </cell>
          <cell r="I500">
            <v>7.6666666666666661E-2</v>
          </cell>
          <cell r="J500">
            <v>7.5999999999999998E-2</v>
          </cell>
          <cell r="K500">
            <v>7.7333333333333337E-2</v>
          </cell>
          <cell r="L500">
            <v>7.5999999999999998E-2</v>
          </cell>
          <cell r="M500">
            <v>5.0666666666666679E-2</v>
          </cell>
          <cell r="N500">
            <v>7.0000000000000007E-2</v>
          </cell>
          <cell r="O500">
            <v>5.0666666666666665E-2</v>
          </cell>
          <cell r="P500">
            <v>5.0666666666666665E-2</v>
          </cell>
          <cell r="Q500">
            <v>5.0666666666666672E-2</v>
          </cell>
          <cell r="R500">
            <v>5.0666666666666652E-2</v>
          </cell>
          <cell r="S500">
            <v>5.0666666666666665E-2</v>
          </cell>
          <cell r="T500">
            <v>8.8235294117647065E-2</v>
          </cell>
          <cell r="U500">
            <v>8.7339449541284392E-2</v>
          </cell>
          <cell r="V500">
            <v>7.6725146198830405E-2</v>
          </cell>
          <cell r="W500">
            <v>9.4056415260932211E-2</v>
          </cell>
          <cell r="X500">
            <v>8.6791313766224551E-2</v>
          </cell>
          <cell r="Y500">
            <v>6.2962647834595417E-2</v>
          </cell>
          <cell r="Z500">
            <v>7.5565575682189218E-2</v>
          </cell>
          <cell r="AA500">
            <v>5.107303877366997E-2</v>
          </cell>
          <cell r="AB500">
            <v>3.3771761504378467E-2</v>
          </cell>
          <cell r="AC500">
            <v>5.4989585305813292E-2</v>
          </cell>
          <cell r="AD500">
            <v>1.1396011396011397E-2</v>
          </cell>
          <cell r="AE500">
            <v>3.8527490970119302E-2</v>
          </cell>
          <cell r="AF500">
            <v>3.7095228971067255E-2</v>
          </cell>
          <cell r="AG500">
            <v>4.2122316727419999E-2</v>
          </cell>
          <cell r="AH500">
            <v>3.1708046664672446E-2</v>
          </cell>
          <cell r="AI500">
            <v>4.8101046803356688E-2</v>
          </cell>
          <cell r="AJ500">
            <v>4.3082170264327063E-2</v>
          </cell>
          <cell r="AK500">
            <v>4.597701149425288E-2</v>
          </cell>
          <cell r="AL500">
            <v>6.5908451553269312E-2</v>
          </cell>
          <cell r="AM500">
            <v>5.1092093498531103E-2</v>
          </cell>
          <cell r="AN500">
            <v>6.2375634517766496E-2</v>
          </cell>
          <cell r="AO500">
            <v>5.2640077506862594E-2</v>
          </cell>
          <cell r="AP500">
            <v>4.6642541214314437E-2</v>
          </cell>
          <cell r="AQ500">
            <v>6.0583488516449402E-2</v>
          </cell>
          <cell r="AR500">
            <v>5.5510403120936275E-2</v>
          </cell>
          <cell r="AS500">
            <v>4.0174899346292051E-2</v>
          </cell>
          <cell r="AT500">
            <v>6.3339560537318748E-2</v>
          </cell>
          <cell r="AU500">
            <v>6.140963014654572E-2</v>
          </cell>
          <cell r="AV500">
            <v>5.8397788339079923E-2</v>
          </cell>
          <cell r="AW500">
            <v>5.6228035923467402E-2</v>
          </cell>
          <cell r="AX500">
            <v>5.7682744903033309E-2</v>
          </cell>
          <cell r="AY500">
            <v>5.6979348096541427E-2</v>
          </cell>
          <cell r="AZ500">
            <v>5.6161572524030673E-2</v>
          </cell>
          <cell r="BA500">
            <v>5.6161572524030673E-2</v>
          </cell>
          <cell r="BB500">
            <v>5.6686364406976344E-2</v>
          </cell>
          <cell r="BC500">
            <v>4.8389017217155245E-2</v>
          </cell>
          <cell r="BD500">
            <v>5.2736792003807709E-2</v>
          </cell>
          <cell r="BE500">
            <v>0.05</v>
          </cell>
          <cell r="BF500">
            <v>0.05</v>
          </cell>
          <cell r="BG500">
            <v>5.0281521823143653E-2</v>
          </cell>
          <cell r="BH500">
            <v>0.05</v>
          </cell>
          <cell r="BI500">
            <v>0.05</v>
          </cell>
          <cell r="BJ500">
            <v>0.05</v>
          </cell>
          <cell r="BK500">
            <v>0.05</v>
          </cell>
          <cell r="BL500">
            <v>0.05</v>
          </cell>
          <cell r="BM500">
            <v>0.05</v>
          </cell>
          <cell r="BN500">
            <v>0.05</v>
          </cell>
          <cell r="BO500">
            <v>0.05</v>
          </cell>
          <cell r="BP500">
            <v>0.05</v>
          </cell>
          <cell r="BQ500">
            <v>0.05</v>
          </cell>
          <cell r="BR500">
            <v>0.05</v>
          </cell>
          <cell r="BS500">
            <v>0.05</v>
          </cell>
          <cell r="BT500">
            <v>0.05</v>
          </cell>
          <cell r="BU500">
            <v>0.05</v>
          </cell>
        </row>
        <row r="503">
          <cell r="A503" t="str">
            <v>Net Operating Losses</v>
          </cell>
        </row>
        <row r="504">
          <cell r="A504" t="str">
            <v>Beginning Balance</v>
          </cell>
          <cell r="C504" t="str">
            <v>NA</v>
          </cell>
          <cell r="D504" t="str">
            <v>NA</v>
          </cell>
          <cell r="E504" t="str">
            <v>NA</v>
          </cell>
          <cell r="F504" t="str">
            <v>NA</v>
          </cell>
          <cell r="G504" t="str">
            <v>NA</v>
          </cell>
          <cell r="H504" t="str">
            <v>NA</v>
          </cell>
          <cell r="I504" t="str">
            <v>NA</v>
          </cell>
          <cell r="J504" t="str">
            <v>NA</v>
          </cell>
          <cell r="K504">
            <v>0</v>
          </cell>
          <cell r="L504">
            <v>0</v>
          </cell>
          <cell r="M504">
            <v>0</v>
          </cell>
          <cell r="N504" t="str">
            <v>NA</v>
          </cell>
          <cell r="O504" t="str">
            <v>NA</v>
          </cell>
          <cell r="P504">
            <v>0</v>
          </cell>
          <cell r="Q504">
            <v>0</v>
          </cell>
          <cell r="R504">
            <v>0</v>
          </cell>
          <cell r="S504" t="str">
            <v>NA</v>
          </cell>
          <cell r="T504" t="str">
            <v>NA</v>
          </cell>
          <cell r="U504">
            <v>0</v>
          </cell>
          <cell r="V504">
            <v>0</v>
          </cell>
          <cell r="W504">
            <v>0</v>
          </cell>
          <cell r="X504" t="str">
            <v>NA</v>
          </cell>
          <cell r="Y504" t="str">
            <v>NA</v>
          </cell>
          <cell r="Z504">
            <v>0</v>
          </cell>
          <cell r="AA504">
            <v>0</v>
          </cell>
          <cell r="AB504">
            <v>0</v>
          </cell>
          <cell r="AC504" t="str">
            <v>NA</v>
          </cell>
          <cell r="AD504" t="str">
            <v>NA</v>
          </cell>
          <cell r="AE504">
            <v>0</v>
          </cell>
          <cell r="AF504">
            <v>0</v>
          </cell>
          <cell r="AG504">
            <v>0</v>
          </cell>
          <cell r="AH504" t="str">
            <v>NA</v>
          </cell>
          <cell r="AI504" t="str">
            <v>NA</v>
          </cell>
          <cell r="AJ504">
            <v>0</v>
          </cell>
          <cell r="AK504">
            <v>0</v>
          </cell>
          <cell r="AL504">
            <v>0</v>
          </cell>
          <cell r="AM504" t="str">
            <v>NA</v>
          </cell>
          <cell r="AN504" t="str">
            <v>NA</v>
          </cell>
          <cell r="AO504">
            <v>0</v>
          </cell>
          <cell r="AP504">
            <v>0</v>
          </cell>
          <cell r="AQ504">
            <v>0</v>
          </cell>
          <cell r="AR504" t="str">
            <v>NA</v>
          </cell>
          <cell r="AS504" t="str">
            <v>NA</v>
          </cell>
          <cell r="AT504">
            <v>0</v>
          </cell>
          <cell r="AU504">
            <v>0</v>
          </cell>
          <cell r="AV504">
            <v>0</v>
          </cell>
          <cell r="AW504" t="str">
            <v>NA</v>
          </cell>
          <cell r="AX504" t="str">
            <v>NA</v>
          </cell>
          <cell r="AY504">
            <v>0</v>
          </cell>
          <cell r="AZ504">
            <v>0</v>
          </cell>
          <cell r="BA504">
            <v>0</v>
          </cell>
          <cell r="BB504" t="str">
            <v>NA</v>
          </cell>
          <cell r="BC504">
            <v>0</v>
          </cell>
          <cell r="BD504">
            <v>0</v>
          </cell>
          <cell r="BE504">
            <v>0</v>
          </cell>
          <cell r="BF504">
            <v>0</v>
          </cell>
          <cell r="BG504">
            <v>0</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row>
        <row r="505">
          <cell r="A505" t="str">
            <v xml:space="preserve">  Additions</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row>
        <row r="506">
          <cell r="A506" t="str">
            <v xml:space="preserve">  Uses</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row>
        <row r="507">
          <cell r="C507" t="str">
            <v xml:space="preserve">        _______</v>
          </cell>
          <cell r="D507" t="str">
            <v xml:space="preserve">        _______</v>
          </cell>
          <cell r="E507" t="str">
            <v xml:space="preserve">        _______</v>
          </cell>
          <cell r="F507" t="str">
            <v xml:space="preserve">        _______</v>
          </cell>
          <cell r="G507" t="str">
            <v xml:space="preserve">        _______</v>
          </cell>
          <cell r="H507" t="str">
            <v xml:space="preserve">        _______</v>
          </cell>
          <cell r="I507" t="str">
            <v xml:space="preserve">        _______</v>
          </cell>
          <cell r="J507" t="str">
            <v xml:space="preserve">        _______</v>
          </cell>
          <cell r="K507" t="str">
            <v xml:space="preserve">        _______</v>
          </cell>
          <cell r="L507" t="str">
            <v xml:space="preserve">        _______</v>
          </cell>
          <cell r="M507" t="str">
            <v xml:space="preserve">        _______</v>
          </cell>
          <cell r="N507" t="str">
            <v xml:space="preserve">        _______</v>
          </cell>
          <cell r="O507" t="str">
            <v xml:space="preserve">______ </v>
          </cell>
          <cell r="P507" t="str">
            <v xml:space="preserve">______ </v>
          </cell>
          <cell r="Q507" t="str">
            <v xml:space="preserve">______ </v>
          </cell>
          <cell r="R507" t="str">
            <v xml:space="preserve">______ </v>
          </cell>
          <cell r="S507" t="str">
            <v xml:space="preserve">______ </v>
          </cell>
          <cell r="T507" t="str">
            <v xml:space="preserve">______ </v>
          </cell>
          <cell r="U507" t="str">
            <v xml:space="preserve">______ </v>
          </cell>
          <cell r="V507" t="str">
            <v xml:space="preserve">______ </v>
          </cell>
          <cell r="W507" t="str">
            <v xml:space="preserve">______ </v>
          </cell>
          <cell r="X507" t="str">
            <v xml:space="preserve">______ </v>
          </cell>
          <cell r="Y507" t="str">
            <v xml:space="preserve">______ </v>
          </cell>
          <cell r="Z507" t="str">
            <v xml:space="preserve">______ </v>
          </cell>
          <cell r="AA507" t="str">
            <v xml:space="preserve">______ </v>
          </cell>
          <cell r="AB507" t="str">
            <v xml:space="preserve">______ </v>
          </cell>
          <cell r="AC507" t="str">
            <v xml:space="preserve">______ </v>
          </cell>
          <cell r="AD507" t="str">
            <v xml:space="preserve">______ </v>
          </cell>
          <cell r="AE507" t="str">
            <v xml:space="preserve">______ </v>
          </cell>
          <cell r="AF507" t="str">
            <v xml:space="preserve">______ </v>
          </cell>
          <cell r="AG507" t="str">
            <v xml:space="preserve">______ </v>
          </cell>
          <cell r="AH507" t="str">
            <v xml:space="preserve">______ </v>
          </cell>
          <cell r="AI507" t="str">
            <v xml:space="preserve">______ </v>
          </cell>
          <cell r="AJ507" t="str">
            <v xml:space="preserve">______ </v>
          </cell>
          <cell r="AK507" t="str">
            <v xml:space="preserve">______ </v>
          </cell>
          <cell r="AL507" t="str">
            <v xml:space="preserve">______ </v>
          </cell>
          <cell r="AM507" t="str">
            <v xml:space="preserve">______ </v>
          </cell>
          <cell r="AN507" t="str">
            <v xml:space="preserve">______ </v>
          </cell>
          <cell r="AO507" t="str">
            <v xml:space="preserve">______ </v>
          </cell>
          <cell r="AP507" t="str">
            <v xml:space="preserve">______ </v>
          </cell>
          <cell r="AQ507" t="str">
            <v xml:space="preserve">______ </v>
          </cell>
          <cell r="AR507" t="str">
            <v xml:space="preserve">______ </v>
          </cell>
          <cell r="AS507" t="str">
            <v xml:space="preserve">______ </v>
          </cell>
          <cell r="AT507" t="str">
            <v xml:space="preserve">______ </v>
          </cell>
          <cell r="AU507" t="str">
            <v xml:space="preserve">______ </v>
          </cell>
          <cell r="AV507" t="str">
            <v xml:space="preserve">______ </v>
          </cell>
          <cell r="AW507" t="str">
            <v xml:space="preserve">______ </v>
          </cell>
          <cell r="AX507" t="str">
            <v xml:space="preserve">______ </v>
          </cell>
          <cell r="AY507" t="str">
            <v xml:space="preserve">______ </v>
          </cell>
          <cell r="AZ507" t="str">
            <v xml:space="preserve">______ </v>
          </cell>
          <cell r="BA507" t="str">
            <v xml:space="preserve">______ </v>
          </cell>
          <cell r="BB507" t="str">
            <v xml:space="preserve">______ </v>
          </cell>
          <cell r="BC507" t="str">
            <v xml:space="preserve">______ </v>
          </cell>
          <cell r="BD507" t="str">
            <v xml:space="preserve">______ </v>
          </cell>
          <cell r="BE507" t="str">
            <v xml:space="preserve">______ </v>
          </cell>
          <cell r="BF507" t="str">
            <v xml:space="preserve">______ </v>
          </cell>
          <cell r="BG507" t="str">
            <v xml:space="preserve">______ </v>
          </cell>
          <cell r="BH507" t="str">
            <v xml:space="preserve">______ </v>
          </cell>
          <cell r="BI507" t="str">
            <v xml:space="preserve">______ </v>
          </cell>
          <cell r="BJ507" t="str">
            <v xml:space="preserve">______ </v>
          </cell>
          <cell r="BK507" t="str">
            <v xml:space="preserve">______ </v>
          </cell>
          <cell r="BL507" t="str">
            <v xml:space="preserve">______ </v>
          </cell>
          <cell r="BM507" t="str">
            <v xml:space="preserve">______ </v>
          </cell>
          <cell r="BN507" t="str">
            <v xml:space="preserve">______ </v>
          </cell>
          <cell r="BO507" t="str">
            <v xml:space="preserve">______ </v>
          </cell>
          <cell r="BP507" t="str">
            <v xml:space="preserve">______ </v>
          </cell>
          <cell r="BQ507" t="str">
            <v xml:space="preserve">______ </v>
          </cell>
          <cell r="BR507" t="str">
            <v xml:space="preserve">______ </v>
          </cell>
          <cell r="BS507" t="str">
            <v xml:space="preserve">______ </v>
          </cell>
          <cell r="BT507" t="str">
            <v xml:space="preserve">______ </v>
          </cell>
          <cell r="BU507" t="str">
            <v xml:space="preserve">______ </v>
          </cell>
        </row>
        <row r="508">
          <cell r="A508" t="str">
            <v>Ending Balance</v>
          </cell>
          <cell r="C508" t="str">
            <v>NA</v>
          </cell>
          <cell r="D508" t="str">
            <v>NA</v>
          </cell>
          <cell r="E508" t="str">
            <v>NA</v>
          </cell>
          <cell r="F508" t="str">
            <v>NA</v>
          </cell>
          <cell r="G508" t="str">
            <v>NA</v>
          </cell>
          <cell r="H508" t="str">
            <v>NA</v>
          </cell>
          <cell r="I508" t="str">
            <v>NA</v>
          </cell>
          <cell r="J508">
            <v>0</v>
          </cell>
          <cell r="K508">
            <v>0</v>
          </cell>
          <cell r="L508">
            <v>0</v>
          </cell>
          <cell r="M508">
            <v>0</v>
          </cell>
          <cell r="N508" t="str">
            <v>NA</v>
          </cell>
          <cell r="O508">
            <v>0</v>
          </cell>
          <cell r="P508">
            <v>0</v>
          </cell>
          <cell r="Q508">
            <v>0</v>
          </cell>
          <cell r="R508">
            <v>0</v>
          </cell>
          <cell r="S508" t="str">
            <v>NA</v>
          </cell>
          <cell r="T508">
            <v>0</v>
          </cell>
          <cell r="U508">
            <v>0</v>
          </cell>
          <cell r="V508">
            <v>0</v>
          </cell>
          <cell r="W508">
            <v>0</v>
          </cell>
          <cell r="X508" t="str">
            <v>NA</v>
          </cell>
          <cell r="Y508">
            <v>0</v>
          </cell>
          <cell r="Z508">
            <v>0</v>
          </cell>
          <cell r="AA508">
            <v>0</v>
          </cell>
          <cell r="AB508">
            <v>0</v>
          </cell>
          <cell r="AC508" t="str">
            <v>NA</v>
          </cell>
          <cell r="AD508">
            <v>0</v>
          </cell>
          <cell r="AE508">
            <v>0</v>
          </cell>
          <cell r="AF508">
            <v>0</v>
          </cell>
          <cell r="AG508">
            <v>0</v>
          </cell>
          <cell r="AH508" t="str">
            <v>NA</v>
          </cell>
          <cell r="AI508">
            <v>0</v>
          </cell>
          <cell r="AJ508">
            <v>0</v>
          </cell>
          <cell r="AK508">
            <v>0</v>
          </cell>
          <cell r="AL508">
            <v>0</v>
          </cell>
          <cell r="AM508" t="str">
            <v>NA</v>
          </cell>
          <cell r="AN508">
            <v>0</v>
          </cell>
          <cell r="AO508">
            <v>0</v>
          </cell>
          <cell r="AP508">
            <v>0</v>
          </cell>
          <cell r="AQ508">
            <v>0</v>
          </cell>
          <cell r="AR508" t="str">
            <v>NA</v>
          </cell>
          <cell r="AS508">
            <v>0</v>
          </cell>
          <cell r="AT508">
            <v>0</v>
          </cell>
          <cell r="AU508">
            <v>0</v>
          </cell>
          <cell r="AV508">
            <v>0</v>
          </cell>
          <cell r="AW508" t="str">
            <v>NA</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row>
        <row r="510">
          <cell r="A510" t="str">
            <v>Period End Basic Shares</v>
          </cell>
          <cell r="D510">
            <v>321.64761799999997</v>
          </cell>
          <cell r="E510">
            <v>320.82173999999998</v>
          </cell>
          <cell r="F510">
            <v>308.81593599999997</v>
          </cell>
          <cell r="G510">
            <v>297.78062</v>
          </cell>
          <cell r="H510">
            <v>297.34327199999996</v>
          </cell>
          <cell r="I510">
            <v>297.82404199999996</v>
          </cell>
          <cell r="J510">
            <v>300.123696</v>
          </cell>
          <cell r="K510">
            <v>300.87962999999996</v>
          </cell>
          <cell r="L510">
            <v>295.42625199999998</v>
          </cell>
          <cell r="M510">
            <v>290.29753799999997</v>
          </cell>
          <cell r="N510">
            <v>290.29753799999997</v>
          </cell>
          <cell r="O510">
            <v>290.76254299999999</v>
          </cell>
          <cell r="P510">
            <v>281.90692799999999</v>
          </cell>
          <cell r="Q510">
            <v>279.80279899999999</v>
          </cell>
          <cell r="R510">
            <v>278.60545999999999</v>
          </cell>
          <cell r="S510">
            <v>278.60545999999999</v>
          </cell>
          <cell r="T510">
            <v>273.79648999999995</v>
          </cell>
          <cell r="U510">
            <v>266.94727699999999</v>
          </cell>
          <cell r="V510">
            <v>258.38325099999997</v>
          </cell>
          <cell r="W510">
            <v>251.40684599999997</v>
          </cell>
          <cell r="X510">
            <v>251.40684599999997</v>
          </cell>
          <cell r="Y510">
            <v>244.73289</v>
          </cell>
          <cell r="Z510">
            <v>243.65401599999998</v>
          </cell>
          <cell r="AA510">
            <v>239.80548899999997</v>
          </cell>
          <cell r="AB510">
            <v>235.14473499999997</v>
          </cell>
          <cell r="AC510">
            <v>235.14473499999997</v>
          </cell>
          <cell r="AD510">
            <v>235.67959399999998</v>
          </cell>
          <cell r="AE510">
            <v>236.31723199999999</v>
          </cell>
          <cell r="AF510">
            <v>236.46282499999998</v>
          </cell>
          <cell r="AG510">
            <v>236.857439</v>
          </cell>
          <cell r="AH510">
            <v>236.857439</v>
          </cell>
          <cell r="AI510">
            <v>236.962717</v>
          </cell>
          <cell r="AJ510">
            <v>234.25005699999997</v>
          </cell>
          <cell r="AK510">
            <v>234.21171099999998</v>
          </cell>
          <cell r="AL510">
            <v>230.78569099999999</v>
          </cell>
          <cell r="AM510">
            <v>230.78569099999999</v>
          </cell>
          <cell r="AN510">
            <v>227.76000899999997</v>
          </cell>
          <cell r="AO510">
            <v>228.69151299999999</v>
          </cell>
          <cell r="AP510">
            <v>222.03876699999998</v>
          </cell>
          <cell r="AQ510">
            <v>222.44003999999998</v>
          </cell>
          <cell r="AR510">
            <v>222.44003999999998</v>
          </cell>
          <cell r="AS510">
            <v>224.69152799999998</v>
          </cell>
          <cell r="AT510">
            <v>222.283232</v>
          </cell>
          <cell r="AU510">
            <v>222.5</v>
          </cell>
          <cell r="AV510">
            <v>223.25201799999996</v>
          </cell>
          <cell r="AW510">
            <v>223.25201799999996</v>
          </cell>
          <cell r="AX510">
            <v>222.906137</v>
          </cell>
          <cell r="AY510">
            <v>220.43206999999998</v>
          </cell>
          <cell r="AZ510">
            <v>215.12183799999997</v>
          </cell>
          <cell r="BA510">
            <v>213.96065099999998</v>
          </cell>
          <cell r="BB510">
            <v>213.96065099999998</v>
          </cell>
          <cell r="BC510">
            <v>213.68345799999997</v>
          </cell>
          <cell r="BD510">
            <v>211.20884699999999</v>
          </cell>
          <cell r="BE510">
            <v>208.11753220425678</v>
          </cell>
          <cell r="BF510">
            <v>205.02621740851356</v>
          </cell>
          <cell r="BG510">
            <v>205.02621740851356</v>
          </cell>
          <cell r="BH510">
            <v>203.59584780100698</v>
          </cell>
          <cell r="BI510">
            <v>202.16547819350041</v>
          </cell>
          <cell r="BJ510">
            <v>200.73510858599383</v>
          </cell>
          <cell r="BK510">
            <v>199.30473897848725</v>
          </cell>
          <cell r="BL510">
            <v>199.30473897848725</v>
          </cell>
          <cell r="BM510">
            <v>196.4439997634741</v>
          </cell>
          <cell r="BN510">
            <v>193.58326054846094</v>
          </cell>
          <cell r="BO510">
            <v>190.72252133344779</v>
          </cell>
          <cell r="BP510">
            <v>187.86178211843463</v>
          </cell>
          <cell r="BQ510">
            <v>187.86178211843463</v>
          </cell>
          <cell r="BR510">
            <v>176.41882525838199</v>
          </cell>
          <cell r="BS510">
            <v>164.97586839832934</v>
          </cell>
          <cell r="BT510">
            <v>153.53291153827669</v>
          </cell>
          <cell r="BU510">
            <v>142.08995467822405</v>
          </cell>
          <cell r="CY510">
            <v>202.16547819350041</v>
          </cell>
        </row>
        <row r="511">
          <cell r="A511" t="str">
            <v>Net Share Issuance</v>
          </cell>
          <cell r="E511">
            <v>-0.82587799999998879</v>
          </cell>
          <cell r="F511">
            <v>-12.005804000000012</v>
          </cell>
          <cell r="G511">
            <v>-11.035315999999966</v>
          </cell>
          <cell r="H511">
            <v>-0.4373480000000427</v>
          </cell>
          <cell r="I511">
            <v>0.4807700000000068</v>
          </cell>
          <cell r="J511">
            <v>2.2996540000000323</v>
          </cell>
          <cell r="K511">
            <v>0.75593399999996791</v>
          </cell>
          <cell r="L511">
            <v>-5.4533779999999865</v>
          </cell>
          <cell r="M511">
            <v>-5.1287140000000022</v>
          </cell>
          <cell r="N511">
            <v>-7.5265039999999885</v>
          </cell>
          <cell r="O511">
            <v>0.46500500000001921</v>
          </cell>
          <cell r="P511">
            <v>-8.8556150000000002</v>
          </cell>
          <cell r="Q511">
            <v>-2.1041290000000004</v>
          </cell>
          <cell r="R511">
            <v>-1.1973389999999995</v>
          </cell>
          <cell r="S511">
            <v>-11.692077999999981</v>
          </cell>
          <cell r="T511">
            <v>-4.8089700000000448</v>
          </cell>
          <cell r="U511">
            <v>-6.8492129999999634</v>
          </cell>
          <cell r="V511">
            <v>-8.5640260000000126</v>
          </cell>
          <cell r="W511">
            <v>-6.9764049999999997</v>
          </cell>
          <cell r="X511">
            <v>-27.19861400000002</v>
          </cell>
          <cell r="Y511">
            <v>-6.6739559999999756</v>
          </cell>
          <cell r="Z511">
            <v>-1.0788740000000132</v>
          </cell>
          <cell r="AA511">
            <v>-3.8485270000000185</v>
          </cell>
          <cell r="AB511">
            <v>-4.6607539999999972</v>
          </cell>
          <cell r="AC511">
            <v>-16.262111000000004</v>
          </cell>
          <cell r="AD511">
            <v>0.53485900000001152</v>
          </cell>
          <cell r="AE511">
            <v>0.6376380000000097</v>
          </cell>
          <cell r="AF511">
            <v>0.14559299999999098</v>
          </cell>
          <cell r="AG511">
            <v>0.39461400000001845</v>
          </cell>
          <cell r="AH511">
            <v>1.7127040000000306</v>
          </cell>
          <cell r="AI511">
            <v>0.10527799999999843</v>
          </cell>
          <cell r="AJ511">
            <v>-2.712660000000028</v>
          </cell>
          <cell r="AK511">
            <v>-3.8345999999989999E-2</v>
          </cell>
          <cell r="AL511">
            <v>-3.4260199999999941</v>
          </cell>
          <cell r="AM511">
            <v>-6.0717480000000137</v>
          </cell>
          <cell r="AN511">
            <v>-3.0256820000000175</v>
          </cell>
          <cell r="AO511">
            <v>0.9315040000000181</v>
          </cell>
          <cell r="AP511">
            <v>-6.6527460000000076</v>
          </cell>
          <cell r="AQ511">
            <v>0.40127300000000332</v>
          </cell>
          <cell r="AR511">
            <v>-8.3456510000000037</v>
          </cell>
          <cell r="AS511">
            <v>2.2514879999999948</v>
          </cell>
          <cell r="AT511">
            <v>-2.4082959999999787</v>
          </cell>
          <cell r="AU511">
            <v>0.21676800000000185</v>
          </cell>
          <cell r="AV511">
            <v>0.7520179999999641</v>
          </cell>
          <cell r="AW511">
            <v>0.8119779999999821</v>
          </cell>
          <cell r="AX511">
            <v>-0.34588099999996302</v>
          </cell>
          <cell r="AY511">
            <v>-2.4740670000000193</v>
          </cell>
          <cell r="AZ511">
            <v>-5.3102320000000134</v>
          </cell>
          <cell r="BA511">
            <v>-1.161186999999984</v>
          </cell>
          <cell r="BB511">
            <v>-9.2913669999999797</v>
          </cell>
          <cell r="BC511">
            <v>-0.27719300000001112</v>
          </cell>
          <cell r="BD511">
            <v>-2.4746109999999817</v>
          </cell>
          <cell r="BE511">
            <v>-3.0913147957432199</v>
          </cell>
          <cell r="BF511">
            <v>-3.0913147957432199</v>
          </cell>
          <cell r="BG511">
            <v>-8.9344335914864246</v>
          </cell>
          <cell r="BH511">
            <v>-1.4303696075065797</v>
          </cell>
          <cell r="BI511">
            <v>-1.4303696075065797</v>
          </cell>
          <cell r="BJ511">
            <v>-1.4303696075065797</v>
          </cell>
          <cell r="BK511">
            <v>-1.4303696075065797</v>
          </cell>
          <cell r="BL511">
            <v>-5.7214784300263091</v>
          </cell>
          <cell r="BM511">
            <v>-2.8607392150131594</v>
          </cell>
          <cell r="BN511">
            <v>-2.8607392150131594</v>
          </cell>
          <cell r="BO511">
            <v>-2.8607392150131594</v>
          </cell>
          <cell r="BP511">
            <v>-2.8607392150131594</v>
          </cell>
          <cell r="BQ511">
            <v>-11.442956860052618</v>
          </cell>
          <cell r="BR511">
            <v>-11.442956860052638</v>
          </cell>
          <cell r="BS511">
            <v>-11.442956860052638</v>
          </cell>
          <cell r="BT511">
            <v>-11.442956860052638</v>
          </cell>
          <cell r="BU511">
            <v>-11.442956860052638</v>
          </cell>
        </row>
        <row r="512">
          <cell r="A512" t="str">
            <v>Estimated Stock Price</v>
          </cell>
          <cell r="AT512">
            <v>36.549999999999997</v>
          </cell>
          <cell r="AU512">
            <v>43.38</v>
          </cell>
          <cell r="AV512">
            <v>49.6</v>
          </cell>
          <cell r="AW512">
            <v>49.6</v>
          </cell>
          <cell r="AX512">
            <v>52.78</v>
          </cell>
          <cell r="AY512">
            <v>60.49</v>
          </cell>
          <cell r="AZ512">
            <v>70.099999999999994</v>
          </cell>
          <cell r="BA512">
            <v>77.680000000000007</v>
          </cell>
          <cell r="BB512">
            <v>77.680000000000007</v>
          </cell>
          <cell r="BC512">
            <v>78.8</v>
          </cell>
          <cell r="BD512">
            <v>87.39</v>
          </cell>
          <cell r="BE512">
            <v>87.39</v>
          </cell>
          <cell r="BF512">
            <v>87.39</v>
          </cell>
          <cell r="BG512">
            <v>87.39</v>
          </cell>
          <cell r="BH512">
            <v>87.39</v>
          </cell>
          <cell r="BI512">
            <v>87.39</v>
          </cell>
          <cell r="BJ512">
            <v>87.39</v>
          </cell>
          <cell r="BK512">
            <v>87.39</v>
          </cell>
          <cell r="BL512">
            <v>87.39</v>
          </cell>
          <cell r="BM512">
            <v>87.39</v>
          </cell>
          <cell r="BN512">
            <v>87.39</v>
          </cell>
          <cell r="BO512">
            <v>87.39</v>
          </cell>
          <cell r="BP512">
            <v>87.39</v>
          </cell>
          <cell r="BQ512">
            <v>87.39</v>
          </cell>
          <cell r="BR512">
            <v>87.39</v>
          </cell>
          <cell r="BS512">
            <v>87.39</v>
          </cell>
          <cell r="BT512">
            <v>87.39</v>
          </cell>
          <cell r="BU512">
            <v>87.39</v>
          </cell>
          <cell r="CY512">
            <v>87.39</v>
          </cell>
        </row>
        <row r="514">
          <cell r="A514" t="str">
            <v>Pooling Goodwill</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CY514">
            <v>0</v>
          </cell>
          <cell r="DA514" t="str">
            <v>mstag:unrecordedGoodwillFromPoolingAndAmortizedOrWrittenOffGoodwill</v>
          </cell>
          <cell r="DB514">
            <v>6</v>
          </cell>
          <cell r="DC514" t="str">
            <v>ISO4217:USD</v>
          </cell>
          <cell r="DD514" t="b">
            <v>0</v>
          </cell>
        </row>
        <row r="516">
          <cell r="A516" t="str">
            <v>Share Repurchases</v>
          </cell>
        </row>
        <row r="517">
          <cell r="A517" t="str">
            <v>Cash outflow</v>
          </cell>
          <cell r="C517">
            <v>0</v>
          </cell>
          <cell r="D517">
            <v>0</v>
          </cell>
          <cell r="E517">
            <v>-71.8</v>
          </cell>
          <cell r="F517">
            <v>-267.60000000000002</v>
          </cell>
          <cell r="G517">
            <v>-369.9</v>
          </cell>
          <cell r="H517">
            <v>-171.7</v>
          </cell>
          <cell r="I517">
            <v>-221.3</v>
          </cell>
          <cell r="J517">
            <v>0</v>
          </cell>
          <cell r="K517">
            <v>-19.2</v>
          </cell>
          <cell r="L517">
            <v>-309</v>
          </cell>
          <cell r="M517">
            <v>-363.50000000000006</v>
          </cell>
          <cell r="N517">
            <v>-691.7</v>
          </cell>
          <cell r="O517">
            <v>-201.8</v>
          </cell>
          <cell r="P517">
            <v>-574</v>
          </cell>
          <cell r="Q517">
            <v>-168.20000000000005</v>
          </cell>
          <cell r="R517">
            <v>-149.59999999999991</v>
          </cell>
          <cell r="S517">
            <v>-1093.5999999999999</v>
          </cell>
          <cell r="T517">
            <v>-442.6</v>
          </cell>
          <cell r="U517">
            <v>-500</v>
          </cell>
          <cell r="V517">
            <v>-484.4</v>
          </cell>
          <cell r="W517">
            <v>-311.40000000000009</v>
          </cell>
          <cell r="X517">
            <v>-1738.4</v>
          </cell>
          <cell r="Y517">
            <v>-264.5</v>
          </cell>
          <cell r="Z517">
            <v>-63.399999999999977</v>
          </cell>
          <cell r="AA517">
            <v>-145</v>
          </cell>
          <cell r="AB517">
            <v>-120</v>
          </cell>
          <cell r="AC517">
            <v>-592.9</v>
          </cell>
          <cell r="AD517">
            <v>0</v>
          </cell>
          <cell r="AE517">
            <v>0</v>
          </cell>
          <cell r="AF517">
            <v>0</v>
          </cell>
          <cell r="AG517">
            <v>0</v>
          </cell>
          <cell r="AH517">
            <v>0</v>
          </cell>
          <cell r="AI517">
            <v>-29.9</v>
          </cell>
          <cell r="AJ517">
            <v>-70</v>
          </cell>
          <cell r="AK517">
            <v>-19.699999999999989</v>
          </cell>
          <cell r="AL517">
            <v>-104</v>
          </cell>
          <cell r="AM517">
            <v>-223.6</v>
          </cell>
          <cell r="AN517">
            <v>-127.6</v>
          </cell>
          <cell r="AO517">
            <v>0</v>
          </cell>
          <cell r="AP517">
            <v>-206.20000000000002</v>
          </cell>
          <cell r="AQ517">
            <v>0</v>
          </cell>
          <cell r="AR517">
            <v>-333.8</v>
          </cell>
          <cell r="AS517">
            <v>0</v>
          </cell>
          <cell r="AT517">
            <v>-100</v>
          </cell>
          <cell r="AU517">
            <v>-25.099999999999994</v>
          </cell>
          <cell r="AV517">
            <v>-71.400000000000006</v>
          </cell>
          <cell r="AW517">
            <v>-196.5</v>
          </cell>
          <cell r="AX517">
            <v>-91.3</v>
          </cell>
          <cell r="AY517">
            <v>-259.09999999999997</v>
          </cell>
          <cell r="AZ517">
            <v>-397.20000000000005</v>
          </cell>
          <cell r="BA517">
            <v>-145.5</v>
          </cell>
          <cell r="BB517">
            <v>-893.1</v>
          </cell>
          <cell r="BC517">
            <v>-201.6</v>
          </cell>
          <cell r="BD517">
            <v>-258.10000000000002</v>
          </cell>
          <cell r="BE517">
            <v>-270.14999999999998</v>
          </cell>
          <cell r="BF517">
            <v>-270.14999999999998</v>
          </cell>
          <cell r="BG517">
            <v>-1000</v>
          </cell>
          <cell r="BH517">
            <v>-125</v>
          </cell>
          <cell r="BI517">
            <v>-125</v>
          </cell>
          <cell r="BJ517">
            <v>-125</v>
          </cell>
          <cell r="BK517">
            <v>-125</v>
          </cell>
          <cell r="BL517">
            <v>-500</v>
          </cell>
          <cell r="BM517">
            <v>-250</v>
          </cell>
          <cell r="BN517">
            <v>-250</v>
          </cell>
          <cell r="BO517">
            <v>-250</v>
          </cell>
          <cell r="BP517">
            <v>-250</v>
          </cell>
          <cell r="BQ517">
            <v>-1000</v>
          </cell>
          <cell r="BR517">
            <v>-1000</v>
          </cell>
          <cell r="BS517">
            <v>-1000</v>
          </cell>
          <cell r="BT517">
            <v>-1000</v>
          </cell>
          <cell r="BU517">
            <v>-1000</v>
          </cell>
          <cell r="CY517">
            <v>-790.3</v>
          </cell>
        </row>
        <row r="518">
          <cell r="A518" t="str">
            <v>Average Price Per Share</v>
          </cell>
          <cell r="C518">
            <v>0</v>
          </cell>
          <cell r="D518">
            <v>0</v>
          </cell>
          <cell r="E518">
            <v>12.821428571428571</v>
          </cell>
          <cell r="F518">
            <v>15.741176470588236</v>
          </cell>
          <cell r="G518">
            <v>22.554878048780488</v>
          </cell>
          <cell r="H518">
            <v>24.528571428571428</v>
          </cell>
          <cell r="I518">
            <v>31.866486190709328</v>
          </cell>
          <cell r="J518">
            <v>0</v>
          </cell>
          <cell r="K518">
            <v>39.302865424532357</v>
          </cell>
          <cell r="L518">
            <v>48.998061008770179</v>
          </cell>
          <cell r="M518">
            <v>53.907012701737919</v>
          </cell>
          <cell r="N518">
            <v>50.942558858651012</v>
          </cell>
          <cell r="O518">
            <v>62.3239995577405</v>
          </cell>
          <cell r="P518">
            <v>58.988070947234348</v>
          </cell>
          <cell r="Q518">
            <v>57.73077551446292</v>
          </cell>
          <cell r="R518">
            <v>66.277272920594825</v>
          </cell>
          <cell r="S518">
            <v>60.288630163047777</v>
          </cell>
          <cell r="T518">
            <v>63.454396561018299</v>
          </cell>
          <cell r="U518">
            <v>65.027691392102412</v>
          </cell>
          <cell r="V518">
            <v>53.306053780570103</v>
          </cell>
          <cell r="W518">
            <v>40.18185320926424</v>
          </cell>
          <cell r="X518">
            <v>55.185488349827239</v>
          </cell>
          <cell r="Y518">
            <v>34.304948031570412</v>
          </cell>
          <cell r="Z518">
            <v>37.085782808341364</v>
          </cell>
          <cell r="AA518">
            <v>34.175923038649664</v>
          </cell>
          <cell r="AB518">
            <v>25.019812564074179</v>
          </cell>
          <cell r="AC518">
            <v>32.120250764406713</v>
          </cell>
          <cell r="AD518">
            <v>0</v>
          </cell>
          <cell r="AE518">
            <v>0</v>
          </cell>
          <cell r="AF518">
            <v>0</v>
          </cell>
          <cell r="AG518">
            <v>0</v>
          </cell>
          <cell r="AH518">
            <v>0</v>
          </cell>
          <cell r="AI518">
            <v>23.456646782124622</v>
          </cell>
          <cell r="AJ518">
            <v>24.58165534271744</v>
          </cell>
          <cell r="AK518">
            <v>24.257409284061637</v>
          </cell>
          <cell r="AL518">
            <v>26.90846335856433</v>
          </cell>
          <cell r="AM518">
            <v>25.410759934004755</v>
          </cell>
          <cell r="AN518">
            <v>28.52871853736211</v>
          </cell>
          <cell r="AO518">
            <v>0</v>
          </cell>
          <cell r="AP518">
            <v>30.519161726543874</v>
          </cell>
          <cell r="AQ518">
            <v>0</v>
          </cell>
          <cell r="AR518">
            <v>29.718819723039832</v>
          </cell>
          <cell r="AS518">
            <v>0</v>
          </cell>
          <cell r="AT518">
            <v>36.77219551335088</v>
          </cell>
          <cell r="AU518">
            <v>39.44481811381479</v>
          </cell>
          <cell r="AV518">
            <v>47.467281480979182</v>
          </cell>
          <cell r="AW518">
            <v>37.825290277822432</v>
          </cell>
          <cell r="AX518">
            <v>36.291523087251896</v>
          </cell>
          <cell r="AY518">
            <v>62.727966892416326</v>
          </cell>
          <cell r="AZ518">
            <v>64.42831790022079</v>
          </cell>
          <cell r="BA518">
            <v>72.033982216765352</v>
          </cell>
          <cell r="BB518">
            <v>60.21787665199664</v>
          </cell>
          <cell r="BC518">
            <v>63.090692871002069</v>
          </cell>
          <cell r="BD518">
            <v>80.391460626561269</v>
          </cell>
          <cell r="BE518">
            <v>80.391460626561269</v>
          </cell>
          <cell r="BF518">
            <v>80.391460626561269</v>
          </cell>
          <cell r="BG518">
            <v>76.180010745578656</v>
          </cell>
          <cell r="BH518">
            <v>76.180010745578656</v>
          </cell>
          <cell r="BI518">
            <v>76.180010745578656</v>
          </cell>
          <cell r="BJ518">
            <v>76.180010745578656</v>
          </cell>
          <cell r="BK518">
            <v>76.180010745578656</v>
          </cell>
          <cell r="BL518">
            <v>76.180010745578656</v>
          </cell>
          <cell r="BM518">
            <v>76.180010745578656</v>
          </cell>
          <cell r="BN518">
            <v>76.180010745578656</v>
          </cell>
          <cell r="BO518">
            <v>76.180010745578656</v>
          </cell>
          <cell r="BP518">
            <v>76.180010745578656</v>
          </cell>
          <cell r="BQ518">
            <v>76.180010745578656</v>
          </cell>
          <cell r="BR518">
            <v>76.180010745578656</v>
          </cell>
          <cell r="BS518">
            <v>76.180010745578656</v>
          </cell>
          <cell r="BT518">
            <v>76.180010745578656</v>
          </cell>
          <cell r="BU518">
            <v>76.180010745578656</v>
          </cell>
        </row>
        <row r="519">
          <cell r="A519" t="str">
            <v>Shares retired</v>
          </cell>
          <cell r="C519">
            <v>4.5999999999999996</v>
          </cell>
          <cell r="D519">
            <v>13.600000000000001</v>
          </cell>
          <cell r="E519">
            <v>5.6</v>
          </cell>
          <cell r="F519">
            <v>17</v>
          </cell>
          <cell r="G519">
            <v>16.399999999999999</v>
          </cell>
          <cell r="H519">
            <v>7</v>
          </cell>
          <cell r="I519">
            <v>6.9446000000000003</v>
          </cell>
          <cell r="J519">
            <v>4.0058999999999997E-2</v>
          </cell>
          <cell r="K519">
            <v>0.488514</v>
          </cell>
          <cell r="L519">
            <v>6.3063719999999996</v>
          </cell>
          <cell r="M519">
            <v>6.743093</v>
          </cell>
          <cell r="N519">
            <v>13.578037999999999</v>
          </cell>
          <cell r="O519">
            <v>3.2379180000000001</v>
          </cell>
          <cell r="P519">
            <v>9.7307810000000003</v>
          </cell>
          <cell r="Q519">
            <v>2.9135239999999998</v>
          </cell>
          <cell r="R519">
            <v>2.2571840000000001</v>
          </cell>
          <cell r="S519">
            <v>18.139406999999999</v>
          </cell>
          <cell r="T519">
            <v>6.9750880000000004</v>
          </cell>
          <cell r="U519">
            <v>7.6890320000000001</v>
          </cell>
          <cell r="V519">
            <v>9.0871479999999991</v>
          </cell>
          <cell r="W519">
            <v>7.7497670000000003</v>
          </cell>
          <cell r="X519">
            <v>31.501035000000002</v>
          </cell>
          <cell r="Y519">
            <v>7.7102579999999996</v>
          </cell>
          <cell r="Z519">
            <v>1.7095499999999999</v>
          </cell>
          <cell r="AA519">
            <v>4.2427530000000004</v>
          </cell>
          <cell r="AB519">
            <v>4.7961989999999997</v>
          </cell>
          <cell r="AC519">
            <v>18.458759999999998</v>
          </cell>
          <cell r="AD519">
            <v>0.16125400000000001</v>
          </cell>
          <cell r="AE519">
            <v>3.88E-4</v>
          </cell>
          <cell r="AF519">
            <v>4.0299999999999998E-4</v>
          </cell>
          <cell r="AG519">
            <v>1.8200000000000001E-4</v>
          </cell>
          <cell r="AH519">
            <v>0.16222699999999998</v>
          </cell>
          <cell r="AI519">
            <v>1.2746919999999999</v>
          </cell>
          <cell r="AJ519">
            <v>2.8476520000000001</v>
          </cell>
          <cell r="AK519">
            <v>0.81212300000000004</v>
          </cell>
          <cell r="AL519">
            <v>3.8649550000000001</v>
          </cell>
          <cell r="AM519">
            <v>8.7994219999999999</v>
          </cell>
          <cell r="AN519">
            <v>4.4726860000000004</v>
          </cell>
          <cell r="AO519">
            <v>1.1919999999999999E-3</v>
          </cell>
          <cell r="AP519">
            <v>6.7564109999999999</v>
          </cell>
          <cell r="AQ519">
            <v>1.6509999999999999E-3</v>
          </cell>
          <cell r="AR519">
            <v>11.23194</v>
          </cell>
          <cell r="AS519">
            <v>0.33496500000000001</v>
          </cell>
          <cell r="AT519">
            <v>2.719446</v>
          </cell>
          <cell r="AU519">
            <v>0.63633200000000001</v>
          </cell>
          <cell r="AV519">
            <v>1.504194</v>
          </cell>
          <cell r="AW519">
            <v>5.1949369999999995</v>
          </cell>
          <cell r="AX519">
            <v>2.5157389999999999</v>
          </cell>
          <cell r="AY519">
            <v>4.1305339999999999</v>
          </cell>
          <cell r="AZ519">
            <v>6.1649909999999997</v>
          </cell>
          <cell r="BA519">
            <v>2.0198800000000001</v>
          </cell>
          <cell r="BB519">
            <v>14.831144</v>
          </cell>
          <cell r="BC519">
            <v>3.1953999999999998</v>
          </cell>
          <cell r="BD519">
            <v>3.2105399999999999</v>
          </cell>
          <cell r="BE519">
            <v>3.3604315420379693</v>
          </cell>
          <cell r="BF519">
            <v>3.3604315420379693</v>
          </cell>
          <cell r="BG519">
            <v>13.126803084075938</v>
          </cell>
          <cell r="BH519">
            <v>1.6408503855094922</v>
          </cell>
          <cell r="BI519">
            <v>1.6408503855094922</v>
          </cell>
          <cell r="BJ519">
            <v>1.6408503855094922</v>
          </cell>
          <cell r="BK519">
            <v>1.6408503855094922</v>
          </cell>
          <cell r="BL519">
            <v>6.563401542037969</v>
          </cell>
          <cell r="BM519">
            <v>3.2817007710189845</v>
          </cell>
          <cell r="BN519">
            <v>3.2817007710189845</v>
          </cell>
          <cell r="BO519">
            <v>3.2817007710189845</v>
          </cell>
          <cell r="BP519">
            <v>3.2817007710189845</v>
          </cell>
          <cell r="BQ519">
            <v>13.126803084075938</v>
          </cell>
          <cell r="BR519">
            <v>13.126803084075938</v>
          </cell>
          <cell r="BS519">
            <v>13.126803084075938</v>
          </cell>
          <cell r="BT519">
            <v>13.126803084075938</v>
          </cell>
          <cell r="BU519">
            <v>13.126803084075938</v>
          </cell>
        </row>
        <row r="521">
          <cell r="A521" t="str">
            <v>Beginning Repurchase Authorization</v>
          </cell>
          <cell r="C521">
            <v>300</v>
          </cell>
          <cell r="D521">
            <v>150</v>
          </cell>
          <cell r="E521">
            <v>0</v>
          </cell>
          <cell r="F521">
            <v>250</v>
          </cell>
          <cell r="G521">
            <v>32.399999999999977</v>
          </cell>
          <cell r="H521">
            <v>112.5</v>
          </cell>
          <cell r="I521">
            <v>-59.199999999999989</v>
          </cell>
          <cell r="J521">
            <v>319.49999999999994</v>
          </cell>
          <cell r="K521">
            <v>319.49999999999994</v>
          </cell>
          <cell r="L521">
            <v>528</v>
          </cell>
          <cell r="M521">
            <v>219</v>
          </cell>
          <cell r="N521">
            <v>319.49999999999994</v>
          </cell>
          <cell r="O521">
            <v>817.10000000000014</v>
          </cell>
          <cell r="P521">
            <v>615.30000000000018</v>
          </cell>
          <cell r="Q521">
            <v>2041.3000000000002</v>
          </cell>
          <cell r="R521">
            <v>1873.1000000000001</v>
          </cell>
          <cell r="S521">
            <v>817.10000000000014</v>
          </cell>
          <cell r="T521">
            <v>1723.5000000000005</v>
          </cell>
          <cell r="U521">
            <v>1280.9000000000005</v>
          </cell>
          <cell r="V521">
            <v>780.90000000000055</v>
          </cell>
          <cell r="W521">
            <v>2296.5000000000005</v>
          </cell>
          <cell r="X521">
            <v>1723.5000000000005</v>
          </cell>
          <cell r="Y521">
            <v>1985.1000000000004</v>
          </cell>
          <cell r="Z521">
            <v>1720.6000000000004</v>
          </cell>
          <cell r="AA521">
            <v>1657.2000000000003</v>
          </cell>
          <cell r="AB521">
            <v>1512.2000000000003</v>
          </cell>
          <cell r="AC521">
            <v>1985.1000000000004</v>
          </cell>
          <cell r="AD521">
            <v>1392.2000000000003</v>
          </cell>
          <cell r="AE521">
            <v>1392.2000000000003</v>
          </cell>
          <cell r="AF521">
            <v>1392.2000000000003</v>
          </cell>
          <cell r="AG521">
            <v>1392.2000000000003</v>
          </cell>
          <cell r="AH521">
            <v>1392.2000000000003</v>
          </cell>
          <cell r="AI521">
            <v>1392.2000000000003</v>
          </cell>
          <cell r="AJ521">
            <v>1362.3000000000002</v>
          </cell>
          <cell r="AK521">
            <v>1292.3000000000002</v>
          </cell>
          <cell r="AL521">
            <v>1272.6000000000001</v>
          </cell>
          <cell r="AM521">
            <v>1392.2000000000003</v>
          </cell>
          <cell r="AN521">
            <v>1168.6000000000004</v>
          </cell>
          <cell r="AO521">
            <v>1041.0000000000005</v>
          </cell>
          <cell r="AP521">
            <v>1041.0000000000005</v>
          </cell>
          <cell r="AQ521">
            <v>834.80000000000041</v>
          </cell>
          <cell r="AR521">
            <v>1168.6000000000004</v>
          </cell>
          <cell r="AS521">
            <v>834.80000000000041</v>
          </cell>
          <cell r="AT521">
            <v>834.80000000000041</v>
          </cell>
          <cell r="AU521">
            <v>734.80000000000041</v>
          </cell>
          <cell r="AV521">
            <v>709.70000000000039</v>
          </cell>
          <cell r="AW521">
            <v>834.80000000000041</v>
          </cell>
          <cell r="AX521">
            <v>638.30000000000041</v>
          </cell>
          <cell r="AY521">
            <v>1547.0000000000005</v>
          </cell>
          <cell r="AZ521">
            <v>1287.9000000000005</v>
          </cell>
          <cell r="BA521">
            <v>890.7000000000005</v>
          </cell>
          <cell r="BB521">
            <v>638.30000000000041</v>
          </cell>
          <cell r="BC521">
            <v>745.20000000000039</v>
          </cell>
          <cell r="BD521">
            <v>1543.6000000000004</v>
          </cell>
          <cell r="BE521">
            <v>1285.5000000000005</v>
          </cell>
          <cell r="BF521">
            <v>1015.3500000000005</v>
          </cell>
          <cell r="BG521">
            <v>745.20000000000039</v>
          </cell>
          <cell r="BH521">
            <v>745.20000000000027</v>
          </cell>
          <cell r="BI521">
            <v>620.20000000000027</v>
          </cell>
          <cell r="BJ521">
            <v>495.20000000000027</v>
          </cell>
          <cell r="BK521">
            <v>370.20000000000027</v>
          </cell>
          <cell r="BL521">
            <v>745.20000000000027</v>
          </cell>
          <cell r="BM521">
            <v>245.20000000000027</v>
          </cell>
          <cell r="BN521">
            <v>-4.7999999999997272</v>
          </cell>
          <cell r="BO521">
            <v>-254.79999999999973</v>
          </cell>
          <cell r="BP521">
            <v>-504.79999999999973</v>
          </cell>
          <cell r="BQ521">
            <v>245.20000000000027</v>
          </cell>
          <cell r="BR521">
            <v>-754.79999999999973</v>
          </cell>
          <cell r="BS521">
            <v>-1754.7999999999997</v>
          </cell>
          <cell r="BT521">
            <v>-2754.7999999999997</v>
          </cell>
          <cell r="BU521">
            <v>-3754.7999999999997</v>
          </cell>
        </row>
        <row r="522">
          <cell r="A522" t="str">
            <v>Change in Authorization</v>
          </cell>
          <cell r="C522">
            <v>0</v>
          </cell>
          <cell r="D522">
            <v>0</v>
          </cell>
          <cell r="E522">
            <v>250</v>
          </cell>
          <cell r="F522">
            <v>50</v>
          </cell>
          <cell r="G522">
            <v>450</v>
          </cell>
          <cell r="H522">
            <v>0</v>
          </cell>
          <cell r="I522">
            <v>600</v>
          </cell>
          <cell r="J522">
            <v>0</v>
          </cell>
          <cell r="K522">
            <v>189.30000000000007</v>
          </cell>
          <cell r="L522">
            <v>0</v>
          </cell>
          <cell r="M522">
            <v>1000</v>
          </cell>
          <cell r="N522">
            <v>1189.3000000000002</v>
          </cell>
          <cell r="O522">
            <v>0</v>
          </cell>
          <cell r="P522">
            <v>2000</v>
          </cell>
          <cell r="Q522">
            <v>0</v>
          </cell>
          <cell r="R522">
            <v>0</v>
          </cell>
          <cell r="S522">
            <v>2000</v>
          </cell>
          <cell r="T522">
            <v>0</v>
          </cell>
          <cell r="U522">
            <v>0</v>
          </cell>
          <cell r="V522">
            <v>2000</v>
          </cell>
          <cell r="W522">
            <v>0</v>
          </cell>
          <cell r="X522">
            <v>2000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1000</v>
          </cell>
          <cell r="AY522">
            <v>0</v>
          </cell>
          <cell r="AZ522">
            <v>0</v>
          </cell>
          <cell r="BA522">
            <v>0</v>
          </cell>
          <cell r="BB522">
            <v>1000</v>
          </cell>
          <cell r="BC522">
            <v>1000</v>
          </cell>
          <cell r="BD522">
            <v>0</v>
          </cell>
          <cell r="BE522">
            <v>0</v>
          </cell>
          <cell r="BF522">
            <v>0</v>
          </cell>
          <cell r="BG522">
            <v>1000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row>
        <row r="523">
          <cell r="A523" t="str">
            <v>Authorization Used</v>
          </cell>
          <cell r="C523">
            <v>150</v>
          </cell>
          <cell r="D523">
            <v>150</v>
          </cell>
          <cell r="F523">
            <v>267.60000000000002</v>
          </cell>
          <cell r="G523">
            <v>369.9</v>
          </cell>
          <cell r="H523">
            <v>171.7</v>
          </cell>
          <cell r="I523">
            <v>221.3</v>
          </cell>
          <cell r="J523">
            <v>0</v>
          </cell>
          <cell r="K523">
            <v>19.2</v>
          </cell>
          <cell r="L523">
            <v>309</v>
          </cell>
          <cell r="M523">
            <v>363.50000000000006</v>
          </cell>
          <cell r="N523">
            <v>691.7</v>
          </cell>
          <cell r="O523">
            <v>201.8</v>
          </cell>
          <cell r="P523">
            <v>574</v>
          </cell>
          <cell r="Q523">
            <v>168.20000000000005</v>
          </cell>
          <cell r="R523">
            <v>149.59999999999991</v>
          </cell>
          <cell r="S523">
            <v>1093.5999999999999</v>
          </cell>
          <cell r="T523">
            <v>442.6</v>
          </cell>
          <cell r="U523">
            <v>500</v>
          </cell>
          <cell r="V523">
            <v>484.4</v>
          </cell>
          <cell r="W523">
            <v>311.40000000000009</v>
          </cell>
          <cell r="X523">
            <v>1738.4</v>
          </cell>
          <cell r="Y523">
            <v>264.5</v>
          </cell>
          <cell r="Z523">
            <v>63.399999999999977</v>
          </cell>
          <cell r="AA523">
            <v>145</v>
          </cell>
          <cell r="AB523">
            <v>120</v>
          </cell>
          <cell r="AC523">
            <v>592.9</v>
          </cell>
          <cell r="AD523">
            <v>0</v>
          </cell>
          <cell r="AE523">
            <v>0</v>
          </cell>
          <cell r="AF523">
            <v>0</v>
          </cell>
          <cell r="AG523">
            <v>0</v>
          </cell>
          <cell r="AH523">
            <v>0</v>
          </cell>
          <cell r="AI523">
            <v>29.9</v>
          </cell>
          <cell r="AJ523">
            <v>70</v>
          </cell>
          <cell r="AK523">
            <v>19.699999999999989</v>
          </cell>
          <cell r="AL523">
            <v>104</v>
          </cell>
          <cell r="AM523">
            <v>223.6</v>
          </cell>
          <cell r="AN523">
            <v>127.6</v>
          </cell>
          <cell r="AO523">
            <v>0</v>
          </cell>
          <cell r="AP523">
            <v>206.20000000000002</v>
          </cell>
          <cell r="AQ523">
            <v>0</v>
          </cell>
          <cell r="AR523">
            <v>333.8</v>
          </cell>
          <cell r="AS523">
            <v>0</v>
          </cell>
          <cell r="AT523">
            <v>100</v>
          </cell>
          <cell r="AU523">
            <v>25.099999999999994</v>
          </cell>
          <cell r="AV523">
            <v>71.400000000000006</v>
          </cell>
          <cell r="AW523">
            <v>196.5</v>
          </cell>
          <cell r="AX523">
            <v>91.3</v>
          </cell>
          <cell r="AY523">
            <v>259.09999999999997</v>
          </cell>
          <cell r="AZ523">
            <v>397.20000000000005</v>
          </cell>
          <cell r="BA523">
            <v>145.5</v>
          </cell>
          <cell r="BB523">
            <v>893.1</v>
          </cell>
          <cell r="BC523">
            <v>201.6</v>
          </cell>
          <cell r="BD523">
            <v>258.10000000000002</v>
          </cell>
          <cell r="BE523">
            <v>270.14999999999998</v>
          </cell>
          <cell r="BF523">
            <v>270.14999999999998</v>
          </cell>
          <cell r="BG523">
            <v>1000</v>
          </cell>
          <cell r="BH523">
            <v>125</v>
          </cell>
          <cell r="BI523">
            <v>125</v>
          </cell>
          <cell r="BJ523">
            <v>125</v>
          </cell>
          <cell r="BK523">
            <v>125</v>
          </cell>
          <cell r="BL523">
            <v>500</v>
          </cell>
          <cell r="BM523">
            <v>250</v>
          </cell>
          <cell r="BN523">
            <v>250</v>
          </cell>
          <cell r="BO523">
            <v>250</v>
          </cell>
          <cell r="BP523">
            <v>250</v>
          </cell>
          <cell r="BQ523">
            <v>1000</v>
          </cell>
          <cell r="BR523">
            <v>1000</v>
          </cell>
          <cell r="BS523">
            <v>1000</v>
          </cell>
          <cell r="BT523">
            <v>1000</v>
          </cell>
          <cell r="BU523">
            <v>1000</v>
          </cell>
        </row>
        <row r="524">
          <cell r="A524" t="str">
            <v>Ending Authorization</v>
          </cell>
          <cell r="C524">
            <v>150</v>
          </cell>
          <cell r="D524">
            <v>0</v>
          </cell>
          <cell r="E524">
            <v>250</v>
          </cell>
          <cell r="F524">
            <v>32.399999999999977</v>
          </cell>
          <cell r="G524">
            <v>112.5</v>
          </cell>
          <cell r="H524">
            <v>-59.199999999999989</v>
          </cell>
          <cell r="I524">
            <v>319.49999999999994</v>
          </cell>
          <cell r="J524">
            <v>319.49999999999994</v>
          </cell>
          <cell r="K524">
            <v>528</v>
          </cell>
          <cell r="L524">
            <v>219</v>
          </cell>
          <cell r="M524">
            <v>855.5</v>
          </cell>
          <cell r="N524">
            <v>817.10000000000014</v>
          </cell>
          <cell r="O524">
            <v>615.30000000000018</v>
          </cell>
          <cell r="P524">
            <v>2041.3000000000002</v>
          </cell>
          <cell r="Q524">
            <v>1873.1000000000001</v>
          </cell>
          <cell r="R524">
            <v>1723.5000000000002</v>
          </cell>
          <cell r="S524">
            <v>1723.5000000000005</v>
          </cell>
          <cell r="T524">
            <v>1280.9000000000005</v>
          </cell>
          <cell r="U524">
            <v>780.90000000000055</v>
          </cell>
          <cell r="V524">
            <v>2296.5000000000005</v>
          </cell>
          <cell r="W524">
            <v>1985.1000000000004</v>
          </cell>
          <cell r="X524">
            <v>1985.1000000000004</v>
          </cell>
          <cell r="Y524">
            <v>1720.6000000000004</v>
          </cell>
          <cell r="Z524">
            <v>1657.2000000000003</v>
          </cell>
          <cell r="AA524">
            <v>1512.2000000000003</v>
          </cell>
          <cell r="AB524">
            <v>1392.2000000000003</v>
          </cell>
          <cell r="AC524">
            <v>1392.2000000000003</v>
          </cell>
          <cell r="AD524">
            <v>1392.2000000000003</v>
          </cell>
          <cell r="AE524">
            <v>1392.2000000000003</v>
          </cell>
          <cell r="AF524">
            <v>1392.2000000000003</v>
          </cell>
          <cell r="AG524">
            <v>1392.2000000000003</v>
          </cell>
          <cell r="AH524">
            <v>1392.2000000000003</v>
          </cell>
          <cell r="AI524">
            <v>1362.3000000000002</v>
          </cell>
          <cell r="AJ524">
            <v>1292.3000000000002</v>
          </cell>
          <cell r="AK524">
            <v>1272.6000000000001</v>
          </cell>
          <cell r="AL524">
            <v>1168.6000000000001</v>
          </cell>
          <cell r="AM524">
            <v>1168.6000000000004</v>
          </cell>
          <cell r="AN524">
            <v>1041.0000000000005</v>
          </cell>
          <cell r="AO524">
            <v>1041.0000000000005</v>
          </cell>
          <cell r="AP524">
            <v>834.80000000000041</v>
          </cell>
          <cell r="AQ524">
            <v>834.80000000000041</v>
          </cell>
          <cell r="AR524">
            <v>834.80000000000041</v>
          </cell>
          <cell r="AS524">
            <v>834.80000000000041</v>
          </cell>
          <cell r="AT524">
            <v>734.80000000000041</v>
          </cell>
          <cell r="AU524">
            <v>709.70000000000039</v>
          </cell>
          <cell r="AV524">
            <v>638.30000000000041</v>
          </cell>
          <cell r="AW524">
            <v>638.30000000000041</v>
          </cell>
          <cell r="AX524">
            <v>1547.0000000000005</v>
          </cell>
          <cell r="AY524">
            <v>1287.9000000000005</v>
          </cell>
          <cell r="AZ524">
            <v>890.7000000000005</v>
          </cell>
          <cell r="BA524">
            <v>745.2000000000005</v>
          </cell>
          <cell r="BB524">
            <v>745.20000000000039</v>
          </cell>
          <cell r="BC524">
            <v>1543.6000000000004</v>
          </cell>
          <cell r="BD524">
            <v>1285.5000000000005</v>
          </cell>
          <cell r="BE524">
            <v>1015.3500000000005</v>
          </cell>
          <cell r="BF524">
            <v>745.2000000000005</v>
          </cell>
          <cell r="BG524">
            <v>745.20000000000027</v>
          </cell>
          <cell r="BH524">
            <v>620.20000000000027</v>
          </cell>
          <cell r="BI524">
            <v>495.20000000000027</v>
          </cell>
          <cell r="BJ524">
            <v>370.20000000000027</v>
          </cell>
          <cell r="BK524">
            <v>245.20000000000027</v>
          </cell>
          <cell r="BL524">
            <v>245.20000000000027</v>
          </cell>
          <cell r="BM524">
            <v>-4.7999999999997272</v>
          </cell>
          <cell r="BN524">
            <v>-254.79999999999973</v>
          </cell>
          <cell r="BO524">
            <v>-504.79999999999973</v>
          </cell>
          <cell r="BP524">
            <v>-754.79999999999973</v>
          </cell>
          <cell r="BQ524">
            <v>-754.79999999999973</v>
          </cell>
          <cell r="BR524">
            <v>-1754.7999999999997</v>
          </cell>
          <cell r="BS524">
            <v>-2754.7999999999997</v>
          </cell>
          <cell r="BT524">
            <v>-3754.7999999999997</v>
          </cell>
          <cell r="BU524">
            <v>-4754.7999999999993</v>
          </cell>
          <cell r="CY524">
            <v>495.20000000000027</v>
          </cell>
        </row>
        <row r="527">
          <cell r="A527" t="str">
            <v>Changes in Shareholders' Equity</v>
          </cell>
        </row>
        <row r="528">
          <cell r="A528" t="str">
            <v>Opening Balance</v>
          </cell>
          <cell r="E528">
            <v>-223.10000000000002</v>
          </cell>
          <cell r="F528">
            <v>-282.5</v>
          </cell>
          <cell r="G528">
            <v>-304.09999999999997</v>
          </cell>
          <cell r="H528">
            <v>-327.00000000000006</v>
          </cell>
          <cell r="I528">
            <v>-32.100000000000044</v>
          </cell>
          <cell r="J528">
            <v>317.49999999999994</v>
          </cell>
          <cell r="K528">
            <v>494.79999999999995</v>
          </cell>
          <cell r="L528">
            <v>642.10000000000014</v>
          </cell>
          <cell r="M528">
            <v>497.6</v>
          </cell>
          <cell r="N528">
            <v>317.49999999999994</v>
          </cell>
          <cell r="O528">
            <v>309.40000000000003</v>
          </cell>
          <cell r="P528">
            <v>382.20000000000016</v>
          </cell>
          <cell r="Q528">
            <v>20.600000000000211</v>
          </cell>
          <cell r="R528">
            <v>38.700000000000159</v>
          </cell>
          <cell r="S528">
            <v>309.39999999999975</v>
          </cell>
          <cell r="T528">
            <v>167.40000000000026</v>
          </cell>
          <cell r="U528">
            <v>-70.099999999999724</v>
          </cell>
          <cell r="V528">
            <v>-265.89999999999992</v>
          </cell>
          <cell r="W528">
            <v>-609.49999999999966</v>
          </cell>
          <cell r="X528">
            <v>167.39999999999981</v>
          </cell>
          <cell r="Y528">
            <v>-783.6</v>
          </cell>
          <cell r="Z528">
            <v>-902.99999999999989</v>
          </cell>
          <cell r="AA528">
            <v>-821.79999999999939</v>
          </cell>
          <cell r="AB528">
            <v>-893.79999999999961</v>
          </cell>
          <cell r="AC528">
            <v>-783.60000000000059</v>
          </cell>
          <cell r="AD528">
            <v>-994.40000000000043</v>
          </cell>
          <cell r="AE528">
            <v>-924.9</v>
          </cell>
          <cell r="AF528">
            <v>-757.30000000000018</v>
          </cell>
          <cell r="AG528">
            <v>-656.89999999999975</v>
          </cell>
          <cell r="AH528">
            <v>-994.40000000000111</v>
          </cell>
          <cell r="AI528">
            <v>-606.20000000000005</v>
          </cell>
          <cell r="AJ528">
            <v>-541.60000000000014</v>
          </cell>
          <cell r="AK528">
            <v>-500.10000000000025</v>
          </cell>
          <cell r="AL528">
            <v>-307.69999999999993</v>
          </cell>
          <cell r="AM528">
            <v>-606.2000000000005</v>
          </cell>
          <cell r="AN528">
            <v>-309.60000000000025</v>
          </cell>
          <cell r="AO528">
            <v>-231.89999999999952</v>
          </cell>
          <cell r="AP528">
            <v>-26.099999999999433</v>
          </cell>
          <cell r="AQ528">
            <v>-183.99999999999994</v>
          </cell>
          <cell r="AR528">
            <v>-309.60000000000076</v>
          </cell>
          <cell r="AS528">
            <v>-168.99999999999994</v>
          </cell>
          <cell r="AT528">
            <v>82.699999999999704</v>
          </cell>
          <cell r="AU528">
            <v>99.09999999999971</v>
          </cell>
          <cell r="AV528">
            <v>311.59999999999974</v>
          </cell>
          <cell r="AW528">
            <v>-169.00000000000054</v>
          </cell>
          <cell r="AX528">
            <v>385.20000000000027</v>
          </cell>
          <cell r="AY528">
            <v>457.09999999999968</v>
          </cell>
          <cell r="AZ528">
            <v>447.60000000000093</v>
          </cell>
          <cell r="BA528">
            <v>281.5000000000008</v>
          </cell>
          <cell r="BB528">
            <v>385.19999999999959</v>
          </cell>
          <cell r="BC528">
            <v>337.00000000000045</v>
          </cell>
          <cell r="BD528">
            <v>385.30000000000052</v>
          </cell>
          <cell r="BE528">
            <v>445.4</v>
          </cell>
          <cell r="BF528">
            <v>308.75506649810603</v>
          </cell>
          <cell r="BG528">
            <v>336.99999999999983</v>
          </cell>
          <cell r="BH528">
            <v>194.550841854179</v>
          </cell>
          <cell r="BI528">
            <v>216.18792602572992</v>
          </cell>
          <cell r="BJ528">
            <v>271.40134602383756</v>
          </cell>
          <cell r="BK528">
            <v>281.29369377577075</v>
          </cell>
          <cell r="BL528">
            <v>194.550841854179</v>
          </cell>
          <cell r="BM528">
            <v>314.21051772442542</v>
          </cell>
          <cell r="BN528">
            <v>213.0504419668714</v>
          </cell>
          <cell r="BO528">
            <v>146.36831372162408</v>
          </cell>
          <cell r="BP528">
            <v>34.208580069245926</v>
          </cell>
          <cell r="BQ528">
            <v>314.21051772442542</v>
          </cell>
          <cell r="BR528">
            <v>-53.670310421344652</v>
          </cell>
          <cell r="BS528">
            <v>-383.05622291921571</v>
          </cell>
          <cell r="BT528">
            <v>-661.03272544182914</v>
          </cell>
          <cell r="BU528">
            <v>-882.92950108421905</v>
          </cell>
        </row>
        <row r="529">
          <cell r="A529" t="str">
            <v>Add :</v>
          </cell>
        </row>
        <row r="530">
          <cell r="A530" t="str">
            <v>Issue of Shares (including premium)</v>
          </cell>
          <cell r="E530">
            <v>-59.1</v>
          </cell>
          <cell r="F530">
            <v>-204.70000000000002</v>
          </cell>
          <cell r="G530">
            <v>-288.39999999999998</v>
          </cell>
          <cell r="H530">
            <v>-48.600000000000023</v>
          </cell>
          <cell r="I530">
            <v>-32.399999999999977</v>
          </cell>
          <cell r="J530">
            <v>71.5</v>
          </cell>
          <cell r="K530">
            <v>24.400000000000091</v>
          </cell>
          <cell r="L530">
            <v>-271.20000000000005</v>
          </cell>
          <cell r="M530">
            <v>-302.10000000000014</v>
          </cell>
          <cell r="N530">
            <v>-477.40000000000009</v>
          </cell>
          <cell r="O530">
            <v>-74.599999999999909</v>
          </cell>
          <cell r="P530">
            <v>-520.89999999999986</v>
          </cell>
          <cell r="Q530">
            <v>-121.5</v>
          </cell>
          <cell r="R530">
            <v>-89.700000000000045</v>
          </cell>
          <cell r="S530">
            <v>-806.69999999999982</v>
          </cell>
          <cell r="T530">
            <v>-370</v>
          </cell>
          <cell r="U530">
            <v>-440.40000000000009</v>
          </cell>
          <cell r="V530">
            <v>-464</v>
          </cell>
          <cell r="W530">
            <v>-270.30000000000018</v>
          </cell>
          <cell r="X530">
            <v>-1544.7000000000003</v>
          </cell>
          <cell r="Y530">
            <v>-252.69999999999982</v>
          </cell>
          <cell r="Z530">
            <v>-28.799999999999727</v>
          </cell>
          <cell r="AA530">
            <v>-122.09999999999991</v>
          </cell>
          <cell r="AB530">
            <v>-101.60000000000082</v>
          </cell>
          <cell r="AC530">
            <v>-505.20000000000027</v>
          </cell>
          <cell r="AD530">
            <v>9.7000000000002728</v>
          </cell>
          <cell r="AE530">
            <v>29.599999999999909</v>
          </cell>
          <cell r="AF530">
            <v>12.700000000000273</v>
          </cell>
          <cell r="AG530">
            <v>19.5</v>
          </cell>
          <cell r="AH530">
            <v>71.500000000000455</v>
          </cell>
          <cell r="AI530">
            <v>-4.5</v>
          </cell>
          <cell r="AJ530">
            <v>-57.200000000000273</v>
          </cell>
          <cell r="AK530">
            <v>22.500000000000455</v>
          </cell>
          <cell r="AL530">
            <v>-79.200000000000273</v>
          </cell>
          <cell r="AM530">
            <v>-118.40000000000009</v>
          </cell>
          <cell r="AN530">
            <v>-102.19999999999936</v>
          </cell>
          <cell r="AO530">
            <v>38.199999999999818</v>
          </cell>
          <cell r="AP530">
            <v>-184.5</v>
          </cell>
          <cell r="AQ530">
            <v>23.299999999999272</v>
          </cell>
          <cell r="AR530">
            <v>-225.20000000000027</v>
          </cell>
          <cell r="AS530">
            <v>49</v>
          </cell>
          <cell r="AT530">
            <v>-77.800000000000182</v>
          </cell>
          <cell r="AU530">
            <v>29.699999999999818</v>
          </cell>
          <cell r="AV530">
            <v>-9.2999999999992724</v>
          </cell>
          <cell r="AW530">
            <v>-8.3999999999996362</v>
          </cell>
          <cell r="AX530">
            <v>-60.300000000000182</v>
          </cell>
          <cell r="AY530">
            <v>-178.29999999999927</v>
          </cell>
          <cell r="AZ530">
            <v>-344.30000000000018</v>
          </cell>
          <cell r="BA530">
            <v>-81.600000000000364</v>
          </cell>
          <cell r="BB530">
            <v>-664.5</v>
          </cell>
          <cell r="BC530">
            <v>-164.79999999999927</v>
          </cell>
          <cell r="BD530">
            <v>-212.70000000000073</v>
          </cell>
          <cell r="BE530">
            <v>-253.52835953520298</v>
          </cell>
          <cell r="BF530">
            <v>-251.72490244440996</v>
          </cell>
          <cell r="BG530">
            <v>-882.75326197961294</v>
          </cell>
          <cell r="BH530">
            <v>-106.90886201725334</v>
          </cell>
          <cell r="BI530">
            <v>-104.55292691241448</v>
          </cell>
          <cell r="BJ530">
            <v>-107.62306527100372</v>
          </cell>
          <cell r="BK530">
            <v>-105.72246792692749</v>
          </cell>
          <cell r="BL530">
            <v>-424.80732212759904</v>
          </cell>
          <cell r="BM530">
            <v>-231.10136605220305</v>
          </cell>
          <cell r="BN530">
            <v>-228.6974621005229</v>
          </cell>
          <cell r="BO530">
            <v>-231.8067359887209</v>
          </cell>
          <cell r="BP530">
            <v>-229.79854357891236</v>
          </cell>
          <cell r="BQ530">
            <v>-921.40410772035921</v>
          </cell>
          <cell r="BR530">
            <v>-918.28714251124529</v>
          </cell>
          <cell r="BS530">
            <v>-914.91013457452573</v>
          </cell>
          <cell r="BT530">
            <v>-911.24676275222009</v>
          </cell>
          <cell r="BU530">
            <v>-907.26788100553676</v>
          </cell>
          <cell r="DA530" t="str">
            <v>mstag:netIssuanceRepurchaseOfCommonStock</v>
          </cell>
          <cell r="DB530">
            <v>6</v>
          </cell>
          <cell r="DC530" t="str">
            <v>ISO4217:USD</v>
          </cell>
          <cell r="DD530" t="b">
            <v>0</v>
          </cell>
        </row>
        <row r="531">
          <cell r="A531" t="str">
            <v>Net Income</v>
          </cell>
          <cell r="E531">
            <v>158.50000000000006</v>
          </cell>
          <cell r="F531">
            <v>212.20000000000005</v>
          </cell>
          <cell r="G531">
            <v>288.89999999999998</v>
          </cell>
          <cell r="H531">
            <v>363.9000000000002</v>
          </cell>
          <cell r="I531">
            <v>425.10000000000019</v>
          </cell>
          <cell r="J531">
            <v>118.70000000000002</v>
          </cell>
          <cell r="K531">
            <v>145.39999999999998</v>
          </cell>
          <cell r="L531">
            <v>146.59999999999991</v>
          </cell>
          <cell r="M531">
            <v>150.09999999999994</v>
          </cell>
          <cell r="N531">
            <v>560.79999999999995</v>
          </cell>
          <cell r="O531">
            <v>146.20000000000005</v>
          </cell>
          <cell r="P531">
            <v>172.09999999999997</v>
          </cell>
          <cell r="Q531">
            <v>156.99999999999994</v>
          </cell>
          <cell r="R531">
            <v>278.59999999999991</v>
          </cell>
          <cell r="S531">
            <v>753.89999999999986</v>
          </cell>
          <cell r="T531">
            <v>175.39999999999998</v>
          </cell>
          <cell r="U531">
            <v>261.89999999999992</v>
          </cell>
          <cell r="V531">
            <v>136.89999999999992</v>
          </cell>
          <cell r="W531">
            <v>127.29999999999998</v>
          </cell>
          <cell r="X531">
            <v>701.49999999999989</v>
          </cell>
          <cell r="Y531">
            <v>120.69999999999997</v>
          </cell>
          <cell r="Z531">
            <v>135.19999999999993</v>
          </cell>
          <cell r="AA531">
            <v>113.00000000000006</v>
          </cell>
          <cell r="AB531">
            <v>88.700000000000031</v>
          </cell>
          <cell r="AC531">
            <v>457.5999999999998</v>
          </cell>
          <cell r="AD531">
            <v>90.199999999999974</v>
          </cell>
          <cell r="AE531">
            <v>109.2999999999999</v>
          </cell>
          <cell r="AF531">
            <v>100.60000000000004</v>
          </cell>
          <cell r="AG531">
            <v>101.89999999999989</v>
          </cell>
          <cell r="AH531">
            <v>402.00000000000006</v>
          </cell>
          <cell r="AI531">
            <v>113.40000000000002</v>
          </cell>
          <cell r="AJ531">
            <v>120.99999999999997</v>
          </cell>
          <cell r="AK531">
            <v>136.00000000000006</v>
          </cell>
          <cell r="AL531">
            <v>137.40000000000006</v>
          </cell>
          <cell r="AM531">
            <v>507.79999999999984</v>
          </cell>
          <cell r="AN531">
            <v>155.50000000000011</v>
          </cell>
          <cell r="AO531">
            <v>188.99999999999997</v>
          </cell>
          <cell r="AP531">
            <v>130.69999999999996</v>
          </cell>
          <cell r="AQ531">
            <v>96.200000000000145</v>
          </cell>
          <cell r="AR531">
            <v>571.39999999999986</v>
          </cell>
          <cell r="AS531">
            <v>173.50000000000009</v>
          </cell>
          <cell r="AT531">
            <v>172.49999999999986</v>
          </cell>
          <cell r="AU531">
            <v>183.89999999999992</v>
          </cell>
          <cell r="AV531">
            <v>160.10000000000014</v>
          </cell>
          <cell r="AW531">
            <v>690.00000000000011</v>
          </cell>
          <cell r="AX531">
            <v>188.40000000000009</v>
          </cell>
          <cell r="AY531">
            <v>225.5</v>
          </cell>
          <cell r="AZ531">
            <v>183.90000000000006</v>
          </cell>
          <cell r="BA531">
            <v>206.70000000000002</v>
          </cell>
          <cell r="BB531">
            <v>804.50000000000011</v>
          </cell>
          <cell r="BC531">
            <v>218.00000000000009</v>
          </cell>
          <cell r="BD531">
            <v>319.2</v>
          </cell>
          <cell r="BE531">
            <v>175.58911912190501</v>
          </cell>
          <cell r="BF531">
            <v>195.36080274627096</v>
          </cell>
          <cell r="BG531">
            <v>908.14992186817562</v>
          </cell>
          <cell r="BH531">
            <v>193.92547662232755</v>
          </cell>
          <cell r="BI531">
            <v>224.68815906964329</v>
          </cell>
          <cell r="BJ531">
            <v>181.979506907656</v>
          </cell>
          <cell r="BK531">
            <v>202.64566748589826</v>
          </cell>
          <cell r="BL531">
            <v>803.23881008552598</v>
          </cell>
          <cell r="BM531">
            <v>201.17606326820206</v>
          </cell>
          <cell r="BN531">
            <v>232.22024071142388</v>
          </cell>
          <cell r="BO531">
            <v>188.82204307508633</v>
          </cell>
          <cell r="BP531">
            <v>210.06482770966127</v>
          </cell>
          <cell r="BQ531">
            <v>832.2831747643728</v>
          </cell>
          <cell r="BR531">
            <v>858.46887947221853</v>
          </cell>
          <cell r="BS531">
            <v>896.3935992310129</v>
          </cell>
          <cell r="BT531">
            <v>937.78683546038292</v>
          </cell>
          <cell r="BU531">
            <v>983.02454684241809</v>
          </cell>
        </row>
        <row r="532">
          <cell r="A532" t="str">
            <v>Dividend</v>
          </cell>
          <cell r="E532">
            <v>-7.2</v>
          </cell>
          <cell r="F532">
            <v>-28.3</v>
          </cell>
          <cell r="G532">
            <v>-27.8</v>
          </cell>
          <cell r="H532">
            <v>-26.8</v>
          </cell>
          <cell r="I532">
            <v>-44.7</v>
          </cell>
          <cell r="J532">
            <v>-11.2</v>
          </cell>
          <cell r="K532">
            <v>-16.600000000000001</v>
          </cell>
          <cell r="L532">
            <v>-16.599999999999998</v>
          </cell>
          <cell r="M532">
            <v>-36.500000000000014</v>
          </cell>
          <cell r="N532">
            <v>-80.900000000000006</v>
          </cell>
          <cell r="O532">
            <v>-20.399999999999999</v>
          </cell>
          <cell r="P532">
            <v>-19.899999999999999</v>
          </cell>
          <cell r="Q532">
            <v>-19.600000000000001</v>
          </cell>
          <cell r="R532">
            <v>-21.800000000000004</v>
          </cell>
          <cell r="S532">
            <v>-81.7</v>
          </cell>
          <cell r="T532">
            <v>-22.3</v>
          </cell>
          <cell r="U532">
            <v>-21.599999999999998</v>
          </cell>
          <cell r="V532">
            <v>-20.800000000000004</v>
          </cell>
          <cell r="W532">
            <v>-23.7</v>
          </cell>
          <cell r="X532">
            <v>-88.4</v>
          </cell>
          <cell r="Y532">
            <v>-24.7</v>
          </cell>
          <cell r="Z532">
            <v>-24.500000000000004</v>
          </cell>
          <cell r="AA532">
            <v>-24.099999999999994</v>
          </cell>
          <cell r="AB532">
            <v>-22.200000000000006</v>
          </cell>
          <cell r="AC532">
            <v>-95.5</v>
          </cell>
          <cell r="AD532">
            <v>-23.5</v>
          </cell>
          <cell r="AE532">
            <v>-23.700000000000003</v>
          </cell>
          <cell r="AF532">
            <v>-23.599999999999994</v>
          </cell>
          <cell r="AG532">
            <v>-23.700000000000003</v>
          </cell>
          <cell r="AH532">
            <v>-94.5</v>
          </cell>
          <cell r="AI532">
            <v>-24.9</v>
          </cell>
          <cell r="AJ532">
            <v>-24.6</v>
          </cell>
          <cell r="AK532">
            <v>-24.599999999999994</v>
          </cell>
          <cell r="AL532">
            <v>-24.499999999999993</v>
          </cell>
          <cell r="AM532">
            <v>-98.6</v>
          </cell>
          <cell r="AN532">
            <v>-26.3</v>
          </cell>
          <cell r="AO532">
            <v>-31.900000000000002</v>
          </cell>
          <cell r="AP532">
            <v>-31.700000000000006</v>
          </cell>
          <cell r="AQ532">
            <v>-31.099999999999991</v>
          </cell>
          <cell r="AR532">
            <v>-121</v>
          </cell>
          <cell r="AS532">
            <v>-35.700000000000003</v>
          </cell>
          <cell r="AT532">
            <v>-35.899999999999991</v>
          </cell>
          <cell r="AU532">
            <v>-35.700000000000003</v>
          </cell>
          <cell r="AV532">
            <v>-35.700000000000003</v>
          </cell>
          <cell r="AW532">
            <v>-143</v>
          </cell>
          <cell r="AX532">
            <v>-44.5</v>
          </cell>
          <cell r="AY532">
            <v>-44.599999999999994</v>
          </cell>
          <cell r="AZ532">
            <v>-54.599999999999994</v>
          </cell>
          <cell r="BA532">
            <v>-53.600000000000023</v>
          </cell>
          <cell r="BB532">
            <v>-197.3</v>
          </cell>
          <cell r="BC532">
            <v>-59.9</v>
          </cell>
          <cell r="BD532">
            <v>-59.300000000000004</v>
          </cell>
          <cell r="BE532">
            <v>-58.705693088595957</v>
          </cell>
          <cell r="BF532">
            <v>-57.840124945787849</v>
          </cell>
          <cell r="BG532">
            <v>-235.74581803438383</v>
          </cell>
          <cell r="BH532">
            <v>-65.379530433523286</v>
          </cell>
          <cell r="BI532">
            <v>-64.921812159121188</v>
          </cell>
          <cell r="BJ532">
            <v>-64.464093884719077</v>
          </cell>
          <cell r="BK532">
            <v>-64.006375610316979</v>
          </cell>
          <cell r="BL532">
            <v>-258.77181208768053</v>
          </cell>
          <cell r="BM532">
            <v>-71.234772973553035</v>
          </cell>
          <cell r="BN532">
            <v>-70.204906856148298</v>
          </cell>
          <cell r="BO532">
            <v>-69.175040738743576</v>
          </cell>
          <cell r="BP532">
            <v>-68.145174621338839</v>
          </cell>
          <cell r="BQ532">
            <v>-278.75989518978372</v>
          </cell>
          <cell r="BR532">
            <v>-269.5676494588443</v>
          </cell>
          <cell r="BS532">
            <v>-259.4599671791006</v>
          </cell>
          <cell r="BT532">
            <v>-248.43684835055274</v>
          </cell>
          <cell r="BU532">
            <v>-236.49829297320059</v>
          </cell>
          <cell r="DA532" t="str">
            <v>mstag:commonDividends</v>
          </cell>
          <cell r="DB532">
            <v>6</v>
          </cell>
          <cell r="DC532" t="str">
            <v>ISO4217:USD</v>
          </cell>
          <cell r="DD532" t="b">
            <v>1</v>
          </cell>
        </row>
        <row r="533">
          <cell r="A533" t="str">
            <v>AOCI</v>
          </cell>
          <cell r="E533">
            <v>0.5</v>
          </cell>
          <cell r="F533">
            <v>-0.80000000000000027</v>
          </cell>
          <cell r="G533">
            <v>4.4000000000000004</v>
          </cell>
          <cell r="H533">
            <v>6.3999999999999995</v>
          </cell>
          <cell r="I533">
            <v>1.5999999999999996</v>
          </cell>
          <cell r="J533">
            <v>-1.6999999999999993</v>
          </cell>
          <cell r="K533">
            <v>-5.8</v>
          </cell>
          <cell r="L533">
            <v>-3.4000000000000004</v>
          </cell>
          <cell r="M533">
            <v>0.29999999999999993</v>
          </cell>
          <cell r="N533">
            <v>-10.6</v>
          </cell>
          <cell r="O533">
            <v>1.2</v>
          </cell>
          <cell r="P533">
            <v>7.2</v>
          </cell>
          <cell r="Q533">
            <v>2.3000000000000007</v>
          </cell>
          <cell r="R533">
            <v>-18.200000000000003</v>
          </cell>
          <cell r="S533">
            <v>-7.5</v>
          </cell>
          <cell r="T533">
            <v>0.5</v>
          </cell>
          <cell r="U533">
            <v>4.3000000000000007</v>
          </cell>
          <cell r="V533">
            <v>4.5999999999999996</v>
          </cell>
          <cell r="W533">
            <v>14.6</v>
          </cell>
          <cell r="X533">
            <v>24</v>
          </cell>
          <cell r="Y533">
            <v>12.200000000000001</v>
          </cell>
          <cell r="Z533">
            <v>-0.69999999999999929</v>
          </cell>
          <cell r="AA533">
            <v>-38.700000000000003</v>
          </cell>
          <cell r="AB533">
            <v>-40.5</v>
          </cell>
          <cell r="AC533">
            <v>-67.7</v>
          </cell>
          <cell r="AD533">
            <v>-30.499999999999993</v>
          </cell>
          <cell r="AE533">
            <v>52.499999999999993</v>
          </cell>
          <cell r="AF533">
            <v>10.900000000000002</v>
          </cell>
          <cell r="AG533">
            <v>-22.000000000000004</v>
          </cell>
          <cell r="AH533">
            <v>10.899999999999999</v>
          </cell>
          <cell r="AI533">
            <v>-44.5</v>
          </cell>
          <cell r="AJ533">
            <v>2.4000000000000057</v>
          </cell>
          <cell r="AK533">
            <v>58.699999999999996</v>
          </cell>
          <cell r="AL533">
            <v>-8.7999999999999972</v>
          </cell>
          <cell r="AM533">
            <v>7.8000000000000043</v>
          </cell>
          <cell r="AN533">
            <v>24</v>
          </cell>
          <cell r="AO533">
            <v>10.9</v>
          </cell>
          <cell r="AP533">
            <v>-72</v>
          </cell>
          <cell r="AQ533">
            <v>-37</v>
          </cell>
          <cell r="AR533">
            <v>-74.099999999999994</v>
          </cell>
          <cell r="AS533">
            <v>28.799999999999997</v>
          </cell>
          <cell r="AT533">
            <v>-42.099999999999994</v>
          </cell>
          <cell r="AU533">
            <v>35</v>
          </cell>
          <cell r="AV533">
            <v>3.7000000000000028</v>
          </cell>
          <cell r="AW533">
            <v>25.400000000000006</v>
          </cell>
          <cell r="AX533">
            <v>-56.700000000000017</v>
          </cell>
          <cell r="AY533">
            <v>-11.099999999999994</v>
          </cell>
          <cell r="AZ533">
            <v>49.7</v>
          </cell>
          <cell r="BA533">
            <v>45.6</v>
          </cell>
          <cell r="BB533">
            <v>27.499999999999993</v>
          </cell>
          <cell r="BC533">
            <v>-6.6999999999999957</v>
          </cell>
          <cell r="BD533">
            <v>14</v>
          </cell>
          <cell r="BE533">
            <v>0</v>
          </cell>
          <cell r="BF533">
            <v>0</v>
          </cell>
          <cell r="BG533">
            <v>7.3000000000000043</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DA533" t="str">
            <v>mstag:changeInAccumulatedOtherComprehensiveIncomeLossOrOtherReserves</v>
          </cell>
          <cell r="DB533">
            <v>6</v>
          </cell>
          <cell r="DC533" t="str">
            <v>ISO4217:USD</v>
          </cell>
          <cell r="DD533" t="b">
            <v>0</v>
          </cell>
        </row>
        <row r="534">
          <cell r="A534" t="str">
            <v>Other AOCI</v>
          </cell>
          <cell r="E534">
            <v>-152.10000000000005</v>
          </cell>
          <cell r="F534">
            <v>0</v>
          </cell>
          <cell r="G534">
            <v>0</v>
          </cell>
          <cell r="H534">
            <v>0</v>
          </cell>
          <cell r="I534">
            <v>0</v>
          </cell>
          <cell r="J534">
            <v>0</v>
          </cell>
          <cell r="K534">
            <v>-9.9999999999937472E-2</v>
          </cell>
          <cell r="L534">
            <v>9.9999999999994316E-2</v>
          </cell>
          <cell r="M534">
            <v>2.1316282072803006E-13</v>
          </cell>
          <cell r="N534">
            <v>0</v>
          </cell>
          <cell r="O534">
            <v>20.400000000000006</v>
          </cell>
          <cell r="P534">
            <v>-0.10000000000005116</v>
          </cell>
          <cell r="Q534">
            <v>-9.9999999999994316E-2</v>
          </cell>
          <cell r="R534">
            <v>-20.199999999999761</v>
          </cell>
          <cell r="S534">
            <v>0</v>
          </cell>
          <cell r="T534">
            <v>-21.099999999999966</v>
          </cell>
          <cell r="U534">
            <v>0</v>
          </cell>
          <cell r="V534">
            <v>-0.29999999999972715</v>
          </cell>
          <cell r="W534">
            <v>-22.000000000000071</v>
          </cell>
          <cell r="X534">
            <v>-43.400000000000091</v>
          </cell>
          <cell r="Y534">
            <v>25.099999999999937</v>
          </cell>
          <cell r="Z534">
            <v>3.4106051316484809E-13</v>
          </cell>
          <cell r="AA534">
            <v>-0.10000000000033538</v>
          </cell>
          <cell r="AB534">
            <v>-25.000000000000028</v>
          </cell>
          <cell r="AC534">
            <v>0</v>
          </cell>
          <cell r="AD534">
            <v>23.600000000000207</v>
          </cell>
          <cell r="AE534">
            <v>-9.999999999989484E-2</v>
          </cell>
          <cell r="AF534">
            <v>-0.19999999999986073</v>
          </cell>
          <cell r="AG534">
            <v>-25.000000000000071</v>
          </cell>
          <cell r="AH534">
            <v>-1.6999999999998749</v>
          </cell>
          <cell r="AI534">
            <v>25.099999999999881</v>
          </cell>
          <cell r="AJ534">
            <v>-9.9999999999795364E-2</v>
          </cell>
          <cell r="AK534">
            <v>-0.20000000000024443</v>
          </cell>
          <cell r="AL534">
            <v>-26.800000000000153</v>
          </cell>
          <cell r="AM534">
            <v>-2</v>
          </cell>
          <cell r="AN534">
            <v>26.699999999999989</v>
          </cell>
          <cell r="AO534">
            <v>-0.39999999999969305</v>
          </cell>
          <cell r="AP534">
            <v>-0.40000000000050306</v>
          </cell>
          <cell r="AQ534">
            <v>-36.399999999999423</v>
          </cell>
          <cell r="AR534">
            <v>-10.499999999999318</v>
          </cell>
          <cell r="AS534">
            <v>36.099999999999568</v>
          </cell>
          <cell r="AT534">
            <v>-0.29999999999967031</v>
          </cell>
          <cell r="AU534">
            <v>-0.39999999999974989</v>
          </cell>
          <cell r="AV534">
            <v>-45.200000000000315</v>
          </cell>
          <cell r="AW534">
            <v>-9.8000000000002956</v>
          </cell>
          <cell r="AX534">
            <v>44.999999999999545</v>
          </cell>
          <cell r="AY534">
            <v>-0.99999999999945999</v>
          </cell>
          <cell r="AZ534">
            <v>-0.80000000000006821</v>
          </cell>
          <cell r="BA534">
            <v>-61.599999999999994</v>
          </cell>
          <cell r="BB534">
            <v>-18.399999999999864</v>
          </cell>
          <cell r="BC534">
            <v>61.699999999999193</v>
          </cell>
          <cell r="BD534">
            <v>-1.0999999999997954</v>
          </cell>
          <cell r="BE534">
            <v>0</v>
          </cell>
          <cell r="BF534">
            <v>0</v>
          </cell>
          <cell r="BG534">
            <v>60.600000000000364</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DA534" t="str">
            <v>mstag:changeInAccumulatedOtherComprehensiveIncomeLossOrOtherReserves</v>
          </cell>
          <cell r="DB534">
            <v>6</v>
          </cell>
          <cell r="DC534" t="str">
            <v>ISO4217:USD</v>
          </cell>
          <cell r="DD534" t="b">
            <v>0</v>
          </cell>
        </row>
        <row r="535">
          <cell r="E535" t="str">
            <v xml:space="preserve">______ </v>
          </cell>
          <cell r="F535" t="str">
            <v xml:space="preserve">______ </v>
          </cell>
          <cell r="G535" t="str">
            <v xml:space="preserve">______ </v>
          </cell>
          <cell r="H535" t="str">
            <v xml:space="preserve">______ </v>
          </cell>
          <cell r="I535" t="str">
            <v xml:space="preserve">______ </v>
          </cell>
          <cell r="J535" t="str">
            <v xml:space="preserve">______ </v>
          </cell>
          <cell r="K535" t="str">
            <v xml:space="preserve">______ </v>
          </cell>
          <cell r="L535" t="str">
            <v xml:space="preserve">______ </v>
          </cell>
          <cell r="M535" t="str">
            <v xml:space="preserve">______ </v>
          </cell>
          <cell r="N535" t="str">
            <v xml:space="preserve">______ </v>
          </cell>
          <cell r="O535" t="str">
            <v xml:space="preserve">______ </v>
          </cell>
          <cell r="P535" t="str">
            <v xml:space="preserve">______ </v>
          </cell>
          <cell r="Q535" t="str">
            <v xml:space="preserve">______ </v>
          </cell>
          <cell r="R535" t="str">
            <v xml:space="preserve">______ </v>
          </cell>
          <cell r="S535" t="str">
            <v xml:space="preserve">______ </v>
          </cell>
          <cell r="T535" t="str">
            <v xml:space="preserve">______ </v>
          </cell>
          <cell r="U535" t="str">
            <v xml:space="preserve">______ </v>
          </cell>
          <cell r="V535" t="str">
            <v xml:space="preserve">______ </v>
          </cell>
          <cell r="W535" t="str">
            <v xml:space="preserve">______ </v>
          </cell>
          <cell r="X535" t="str">
            <v xml:space="preserve">______ </v>
          </cell>
          <cell r="Y535" t="str">
            <v xml:space="preserve">______ </v>
          </cell>
          <cell r="Z535" t="str">
            <v xml:space="preserve">______ </v>
          </cell>
          <cell r="AA535" t="str">
            <v xml:space="preserve">______ </v>
          </cell>
          <cell r="AB535" t="str">
            <v xml:space="preserve">______ </v>
          </cell>
          <cell r="AC535" t="str">
            <v xml:space="preserve">______ </v>
          </cell>
          <cell r="AD535" t="str">
            <v xml:space="preserve">______ </v>
          </cell>
          <cell r="AE535" t="str">
            <v xml:space="preserve">______ </v>
          </cell>
          <cell r="AF535" t="str">
            <v xml:space="preserve">______ </v>
          </cell>
          <cell r="AG535" t="str">
            <v xml:space="preserve">______ </v>
          </cell>
          <cell r="AH535" t="str">
            <v xml:space="preserve">______ </v>
          </cell>
          <cell r="AI535" t="str">
            <v xml:space="preserve">______ </v>
          </cell>
          <cell r="AJ535" t="str">
            <v xml:space="preserve">______ </v>
          </cell>
          <cell r="AK535" t="str">
            <v xml:space="preserve">______ </v>
          </cell>
          <cell r="AL535" t="str">
            <v xml:space="preserve">______ </v>
          </cell>
          <cell r="AM535" t="str">
            <v xml:space="preserve">______ </v>
          </cell>
          <cell r="AN535" t="str">
            <v xml:space="preserve">______ </v>
          </cell>
          <cell r="AO535" t="str">
            <v xml:space="preserve">______ </v>
          </cell>
          <cell r="AP535" t="str">
            <v xml:space="preserve">______ </v>
          </cell>
          <cell r="AQ535" t="str">
            <v xml:space="preserve">______ </v>
          </cell>
          <cell r="AR535" t="str">
            <v xml:space="preserve">______ </v>
          </cell>
          <cell r="AS535" t="str">
            <v xml:space="preserve">______ </v>
          </cell>
          <cell r="AT535" t="str">
            <v xml:space="preserve">______ </v>
          </cell>
          <cell r="AU535" t="str">
            <v xml:space="preserve">______ </v>
          </cell>
          <cell r="AV535" t="str">
            <v xml:space="preserve">______ </v>
          </cell>
          <cell r="AW535" t="str">
            <v xml:space="preserve">______ </v>
          </cell>
          <cell r="AX535" t="str">
            <v xml:space="preserve">______ </v>
          </cell>
          <cell r="AY535" t="str">
            <v xml:space="preserve">______ </v>
          </cell>
          <cell r="AZ535" t="str">
            <v xml:space="preserve">______ </v>
          </cell>
          <cell r="BA535" t="str">
            <v xml:space="preserve">______ </v>
          </cell>
          <cell r="BB535" t="str">
            <v xml:space="preserve">______ </v>
          </cell>
          <cell r="BC535" t="str">
            <v xml:space="preserve">______ </v>
          </cell>
          <cell r="BD535" t="str">
            <v xml:space="preserve">______ </v>
          </cell>
          <cell r="BE535" t="str">
            <v xml:space="preserve">______ </v>
          </cell>
          <cell r="BF535" t="str">
            <v xml:space="preserve">______ </v>
          </cell>
          <cell r="BG535" t="str">
            <v xml:space="preserve">______ </v>
          </cell>
          <cell r="BH535" t="str">
            <v xml:space="preserve">______ </v>
          </cell>
          <cell r="BI535" t="str">
            <v xml:space="preserve">______ </v>
          </cell>
          <cell r="BJ535" t="str">
            <v xml:space="preserve">______ </v>
          </cell>
          <cell r="BK535" t="str">
            <v xml:space="preserve">______ </v>
          </cell>
          <cell r="BL535" t="str">
            <v xml:space="preserve">______ </v>
          </cell>
          <cell r="BM535" t="str">
            <v xml:space="preserve">______ </v>
          </cell>
          <cell r="BN535" t="str">
            <v xml:space="preserve">______ </v>
          </cell>
          <cell r="BO535" t="str">
            <v xml:space="preserve">______ </v>
          </cell>
          <cell r="BP535" t="str">
            <v xml:space="preserve">______ </v>
          </cell>
          <cell r="BQ535" t="str">
            <v xml:space="preserve">______ </v>
          </cell>
          <cell r="BR535" t="str">
            <v xml:space="preserve">______ </v>
          </cell>
          <cell r="BS535" t="str">
            <v xml:space="preserve">______ </v>
          </cell>
          <cell r="BT535" t="str">
            <v xml:space="preserve">______ </v>
          </cell>
          <cell r="BU535" t="str">
            <v xml:space="preserve">______ </v>
          </cell>
        </row>
        <row r="536">
          <cell r="A536" t="str">
            <v>Closing Balance</v>
          </cell>
          <cell r="D536">
            <v>-223.10000000000002</v>
          </cell>
          <cell r="E536">
            <v>-282.5</v>
          </cell>
          <cell r="F536">
            <v>-304.09999999999997</v>
          </cell>
          <cell r="G536">
            <v>-327.00000000000006</v>
          </cell>
          <cell r="H536">
            <v>-32.100000000000044</v>
          </cell>
          <cell r="I536">
            <v>317.49999999999994</v>
          </cell>
          <cell r="J536">
            <v>494.79999999999995</v>
          </cell>
          <cell r="K536">
            <v>642.10000000000014</v>
          </cell>
          <cell r="L536">
            <v>497.6</v>
          </cell>
          <cell r="M536">
            <v>309.40000000000003</v>
          </cell>
          <cell r="N536">
            <v>309.39999999999975</v>
          </cell>
          <cell r="O536">
            <v>382.20000000000016</v>
          </cell>
          <cell r="P536">
            <v>20.600000000000211</v>
          </cell>
          <cell r="Q536">
            <v>38.700000000000159</v>
          </cell>
          <cell r="R536">
            <v>167.40000000000026</v>
          </cell>
          <cell r="S536">
            <v>167.39999999999981</v>
          </cell>
          <cell r="T536">
            <v>-70.099999999999724</v>
          </cell>
          <cell r="U536">
            <v>-265.89999999999992</v>
          </cell>
          <cell r="V536">
            <v>-609.49999999999966</v>
          </cell>
          <cell r="W536">
            <v>-783.6</v>
          </cell>
          <cell r="X536">
            <v>-783.60000000000059</v>
          </cell>
          <cell r="Y536">
            <v>-902.99999999999989</v>
          </cell>
          <cell r="Z536">
            <v>-821.79999999999939</v>
          </cell>
          <cell r="AA536">
            <v>-893.79999999999961</v>
          </cell>
          <cell r="AB536">
            <v>-994.40000000000043</v>
          </cell>
          <cell r="AC536">
            <v>-994.40000000000111</v>
          </cell>
          <cell r="AD536">
            <v>-924.9</v>
          </cell>
          <cell r="AE536">
            <v>-757.30000000000018</v>
          </cell>
          <cell r="AF536">
            <v>-656.89999999999975</v>
          </cell>
          <cell r="AG536">
            <v>-606.20000000000005</v>
          </cell>
          <cell r="AH536">
            <v>-606.2000000000005</v>
          </cell>
          <cell r="AI536">
            <v>-541.60000000000014</v>
          </cell>
          <cell r="AJ536">
            <v>-500.10000000000025</v>
          </cell>
          <cell r="AK536">
            <v>-307.69999999999993</v>
          </cell>
          <cell r="AL536">
            <v>-309.60000000000025</v>
          </cell>
          <cell r="AM536">
            <v>-309.60000000000076</v>
          </cell>
          <cell r="AN536">
            <v>-231.89999999999952</v>
          </cell>
          <cell r="AO536">
            <v>-26.099999999999433</v>
          </cell>
          <cell r="AP536">
            <v>-183.99999999999994</v>
          </cell>
          <cell r="AQ536">
            <v>-168.99999999999994</v>
          </cell>
          <cell r="AR536">
            <v>-169.00000000000054</v>
          </cell>
          <cell r="AS536">
            <v>82.699999999999704</v>
          </cell>
          <cell r="AT536">
            <v>99.09999999999971</v>
          </cell>
          <cell r="AU536">
            <v>311.59999999999974</v>
          </cell>
          <cell r="AV536">
            <v>385.20000000000027</v>
          </cell>
          <cell r="AW536">
            <v>385.19999999999959</v>
          </cell>
          <cell r="AX536">
            <v>457.09999999999968</v>
          </cell>
          <cell r="AY536">
            <v>447.60000000000093</v>
          </cell>
          <cell r="AZ536">
            <v>281.5000000000008</v>
          </cell>
          <cell r="BA536">
            <v>337.00000000000045</v>
          </cell>
          <cell r="BB536">
            <v>336.99999999999983</v>
          </cell>
          <cell r="BC536">
            <v>385.30000000000052</v>
          </cell>
          <cell r="BD536">
            <v>445.4</v>
          </cell>
          <cell r="BE536">
            <v>308.75506649810603</v>
          </cell>
          <cell r="BF536">
            <v>194.55084185417917</v>
          </cell>
          <cell r="BG536">
            <v>194.550841854179</v>
          </cell>
          <cell r="BH536">
            <v>216.18792602572992</v>
          </cell>
          <cell r="BI536">
            <v>271.40134602383756</v>
          </cell>
          <cell r="BJ536">
            <v>281.29369377577075</v>
          </cell>
          <cell r="BK536">
            <v>314.21051772442451</v>
          </cell>
          <cell r="BL536">
            <v>314.21051772442542</v>
          </cell>
          <cell r="BM536">
            <v>213.0504419668714</v>
          </cell>
          <cell r="BN536">
            <v>146.36831372162408</v>
          </cell>
          <cell r="BO536">
            <v>34.208580069245926</v>
          </cell>
          <cell r="BP536">
            <v>-53.670310421343999</v>
          </cell>
          <cell r="BQ536">
            <v>-53.670310421344652</v>
          </cell>
          <cell r="BR536">
            <v>-383.05622291921571</v>
          </cell>
          <cell r="BS536">
            <v>-661.03272544182914</v>
          </cell>
          <cell r="BT536">
            <v>-882.92950108421905</v>
          </cell>
          <cell r="BU536">
            <v>-1043.6711282205383</v>
          </cell>
          <cell r="CY536">
            <v>271.40134602383756</v>
          </cell>
        </row>
        <row r="537">
          <cell r="A537" t="str">
            <v>Check for Shareholders Equity</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row>
        <row r="540">
          <cell r="A540" t="str">
            <v>FCF Calculation</v>
          </cell>
        </row>
        <row r="541">
          <cell r="A541" t="str">
            <v xml:space="preserve"> EBITDA</v>
          </cell>
          <cell r="E541">
            <v>305.10000000000008</v>
          </cell>
          <cell r="F541">
            <v>415.50000000000006</v>
          </cell>
          <cell r="G541">
            <v>562.70000000000005</v>
          </cell>
          <cell r="H541">
            <v>695.70000000000016</v>
          </cell>
          <cell r="I541">
            <v>820.50000000000023</v>
          </cell>
          <cell r="J541">
            <v>221.1</v>
          </cell>
          <cell r="K541">
            <v>261.5</v>
          </cell>
          <cell r="L541">
            <v>240.6999999999999</v>
          </cell>
          <cell r="M541">
            <v>251.49999999999994</v>
          </cell>
          <cell r="N541">
            <v>974.8</v>
          </cell>
          <cell r="O541">
            <v>247.70000000000005</v>
          </cell>
          <cell r="P541">
            <v>298.39999999999998</v>
          </cell>
          <cell r="Q541">
            <v>278.60000000000002</v>
          </cell>
          <cell r="R541">
            <v>313.7</v>
          </cell>
          <cell r="S541">
            <v>1138.3999999999999</v>
          </cell>
          <cell r="T541">
            <v>315</v>
          </cell>
          <cell r="U541">
            <v>372.7999999999999</v>
          </cell>
          <cell r="V541">
            <v>262.09999999999997</v>
          </cell>
          <cell r="W541">
            <v>274.00000000000006</v>
          </cell>
          <cell r="X541">
            <v>1223.9000000000001</v>
          </cell>
          <cell r="Y541">
            <v>211.09999999999997</v>
          </cell>
          <cell r="Z541">
            <v>250.29999999999995</v>
          </cell>
          <cell r="AA541">
            <v>202.60000000000005</v>
          </cell>
          <cell r="AB541">
            <v>156.79999999999998</v>
          </cell>
          <cell r="AC541">
            <v>820.79999999999984</v>
          </cell>
          <cell r="AD541">
            <v>176.29999999999995</v>
          </cell>
          <cell r="AE541">
            <v>205.99999999999991</v>
          </cell>
          <cell r="AF541">
            <v>192.40000000000003</v>
          </cell>
          <cell r="AG541">
            <v>194.39999999999992</v>
          </cell>
          <cell r="AH541">
            <v>769.09999999999991</v>
          </cell>
          <cell r="AI541">
            <v>211.90000000000003</v>
          </cell>
          <cell r="AJ541">
            <v>205.99999999999994</v>
          </cell>
          <cell r="AK541">
            <v>207.40000000000003</v>
          </cell>
          <cell r="AL541">
            <v>213.90000000000003</v>
          </cell>
          <cell r="AM541">
            <v>839.19999999999982</v>
          </cell>
          <cell r="AN541">
            <v>267.80000000000007</v>
          </cell>
          <cell r="AO541">
            <v>291.79999999999995</v>
          </cell>
          <cell r="AP541">
            <v>215.29999999999995</v>
          </cell>
          <cell r="AQ541">
            <v>192.70000000000016</v>
          </cell>
          <cell r="AR541">
            <v>967.59999999999991</v>
          </cell>
          <cell r="AS541">
            <v>292.50000000000011</v>
          </cell>
          <cell r="AT541">
            <v>300.59999999999991</v>
          </cell>
          <cell r="AU541">
            <v>293.79999999999995</v>
          </cell>
          <cell r="AV541">
            <v>296.20000000000016</v>
          </cell>
          <cell r="AW541">
            <v>1183.1000000000001</v>
          </cell>
          <cell r="AX541">
            <v>351.47462686567172</v>
          </cell>
          <cell r="AY541">
            <v>373.90000000000003</v>
          </cell>
          <cell r="AZ541">
            <v>314.90000000000003</v>
          </cell>
          <cell r="BA541">
            <v>335.2</v>
          </cell>
          <cell r="BB541">
            <v>1375.4746268656718</v>
          </cell>
          <cell r="BC541">
            <v>356.10000000000008</v>
          </cell>
          <cell r="BD541">
            <v>434</v>
          </cell>
          <cell r="BE541">
            <v>309.20323919999998</v>
          </cell>
          <cell r="BF541">
            <v>340.9398433178182</v>
          </cell>
          <cell r="BG541">
            <v>1440.243082517818</v>
          </cell>
          <cell r="BH541">
            <v>338.37107481496002</v>
          </cell>
          <cell r="BI541">
            <v>387.21235077454008</v>
          </cell>
          <cell r="BJ541">
            <v>319.86321057028988</v>
          </cell>
          <cell r="BK541">
            <v>352.7697870117583</v>
          </cell>
          <cell r="BL541">
            <v>1398.216423171549</v>
          </cell>
          <cell r="BM541">
            <v>349.75695710767974</v>
          </cell>
          <cell r="BN541">
            <v>399.34425635067566</v>
          </cell>
          <cell r="BO541">
            <v>331.22192167175507</v>
          </cell>
          <cell r="BP541">
            <v>365.41102221036277</v>
          </cell>
          <cell r="BQ541">
            <v>1445.7341573404726</v>
          </cell>
          <cell r="BR541">
            <v>1505.1050822385459</v>
          </cell>
          <cell r="BS541">
            <v>1568.9896117308344</v>
          </cell>
          <cell r="BT541">
            <v>1637.8786577311284</v>
          </cell>
          <cell r="BU541">
            <v>1712.321791473315</v>
          </cell>
          <cell r="CY541">
            <v>1375.7265081073183</v>
          </cell>
        </row>
        <row r="542">
          <cell r="A542" t="str">
            <v xml:space="preserve"> - Capex / Acquisitions</v>
          </cell>
          <cell r="E542">
            <v>-14.4</v>
          </cell>
          <cell r="F542">
            <v>-14.8</v>
          </cell>
          <cell r="G542">
            <v>-18.100000000000001</v>
          </cell>
          <cell r="H542">
            <v>-17.899999999999999</v>
          </cell>
          <cell r="I542">
            <v>-21.3</v>
          </cell>
          <cell r="J542">
            <v>-5.5</v>
          </cell>
          <cell r="K542">
            <v>-6.1999999999999993</v>
          </cell>
          <cell r="L542">
            <v>-6.9000000000000021</v>
          </cell>
          <cell r="M542">
            <v>-12.7</v>
          </cell>
          <cell r="N542">
            <v>-31.3</v>
          </cell>
          <cell r="O542">
            <v>-6.7</v>
          </cell>
          <cell r="P542">
            <v>-6.2</v>
          </cell>
          <cell r="Q542">
            <v>-8.2999999999999989</v>
          </cell>
          <cell r="R542">
            <v>-9.9000000000000021</v>
          </cell>
          <cell r="S542">
            <v>-31.1</v>
          </cell>
          <cell r="T542">
            <v>-33.1</v>
          </cell>
          <cell r="U542">
            <v>-60.199999999999996</v>
          </cell>
          <cell r="V542">
            <v>-52.500000000000014</v>
          </cell>
          <cell r="W542">
            <v>-36</v>
          </cell>
          <cell r="X542">
            <v>-181.8</v>
          </cell>
          <cell r="Y542">
            <v>-19.100000000000001</v>
          </cell>
          <cell r="Z542">
            <v>-24.9</v>
          </cell>
          <cell r="AA542">
            <v>-21.400000000000006</v>
          </cell>
          <cell r="AB542">
            <v>-19</v>
          </cell>
          <cell r="AC542">
            <v>-84.4</v>
          </cell>
          <cell r="AD542">
            <v>-12.4</v>
          </cell>
          <cell r="AE542">
            <v>-22.4</v>
          </cell>
          <cell r="AF542">
            <v>-29.5</v>
          </cell>
          <cell r="AG542">
            <v>-26.4</v>
          </cell>
          <cell r="AH542">
            <v>-90.699999999999989</v>
          </cell>
          <cell r="AI542">
            <v>-16.2</v>
          </cell>
          <cell r="AJ542">
            <v>-19.099999999999998</v>
          </cell>
          <cell r="AK542">
            <v>-19.300000000000008</v>
          </cell>
          <cell r="AL542">
            <v>-24.399999999999995</v>
          </cell>
          <cell r="AM542">
            <v>-79</v>
          </cell>
          <cell r="AN542">
            <v>-19.600000000000001</v>
          </cell>
          <cell r="AO542">
            <v>-16</v>
          </cell>
          <cell r="AP542">
            <v>-18</v>
          </cell>
          <cell r="AQ542">
            <v>-14.100000000000001</v>
          </cell>
          <cell r="AR542">
            <v>-67.7</v>
          </cell>
          <cell r="AS542">
            <v>-15.3</v>
          </cell>
          <cell r="AT542">
            <v>-6.5999999999999979</v>
          </cell>
          <cell r="AU542">
            <v>-13.300000000000004</v>
          </cell>
          <cell r="AV542">
            <v>-9.7999999999999972</v>
          </cell>
          <cell r="AW542">
            <v>-45</v>
          </cell>
          <cell r="AX542">
            <v>-8.6</v>
          </cell>
          <cell r="AY542">
            <v>-9.5000000000000018</v>
          </cell>
          <cell r="AZ542">
            <v>-12.899999999999999</v>
          </cell>
          <cell r="BA542">
            <v>-11.299999999999999</v>
          </cell>
          <cell r="BB542">
            <v>-42.3</v>
          </cell>
          <cell r="BC542">
            <v>-19.100000000000001</v>
          </cell>
          <cell r="BD542">
            <v>-19.699999999999996</v>
          </cell>
          <cell r="BE542">
            <v>-14.3044364</v>
          </cell>
          <cell r="BF542">
            <v>-15.85647558109091</v>
          </cell>
          <cell r="BG542">
            <v>-68.960911981090902</v>
          </cell>
          <cell r="BH542">
            <v>-15.569072933920001</v>
          </cell>
          <cell r="BI542">
            <v>-17.596569795080001</v>
          </cell>
          <cell r="BJ542">
            <v>-14.954435946579997</v>
          </cell>
          <cell r="BK542">
            <v>-16.590073168304244</v>
          </cell>
          <cell r="BL542">
            <v>-64.710151843884233</v>
          </cell>
          <cell r="BM542">
            <v>-16.263996801379598</v>
          </cell>
          <cell r="BN542">
            <v>-18.332775226791203</v>
          </cell>
          <cell r="BO542">
            <v>-15.656961688524953</v>
          </cell>
          <cell r="BP542">
            <v>-17.385194269773049</v>
          </cell>
          <cell r="BQ542">
            <v>-67.638927986468801</v>
          </cell>
          <cell r="BR542">
            <v>-70.3213606073178</v>
          </cell>
          <cell r="BS542">
            <v>-73.22758369374607</v>
          </cell>
          <cell r="BT542">
            <v>-76.380249000921424</v>
          </cell>
          <cell r="BU542">
            <v>-79.804439351392034</v>
          </cell>
          <cell r="CY542">
            <v>-63.326554710090917</v>
          </cell>
        </row>
        <row r="543">
          <cell r="A543" t="str">
            <v xml:space="preserve"> - Net Cash Interest Expense</v>
          </cell>
          <cell r="E543">
            <v>-3.6000000000000005</v>
          </cell>
          <cell r="F543">
            <v>-16.5</v>
          </cell>
          <cell r="G543">
            <v>-21.2</v>
          </cell>
          <cell r="H543">
            <v>-21.8</v>
          </cell>
          <cell r="I543">
            <v>-16.2</v>
          </cell>
          <cell r="J543">
            <v>-1.2000000000000002</v>
          </cell>
          <cell r="K543">
            <v>0.40000000000000036</v>
          </cell>
          <cell r="L543">
            <v>2.8999999999999995</v>
          </cell>
          <cell r="M543">
            <v>-4.01</v>
          </cell>
          <cell r="N543">
            <v>-1.9100000000000001</v>
          </cell>
          <cell r="O543">
            <v>2.5</v>
          </cell>
          <cell r="P543">
            <v>0.90000000000000036</v>
          </cell>
          <cell r="Q543">
            <v>-1.1000000000000001</v>
          </cell>
          <cell r="R543">
            <v>-4.21</v>
          </cell>
          <cell r="S543">
            <v>-1.9099999999999997</v>
          </cell>
          <cell r="T543">
            <v>-2.0999999999999996</v>
          </cell>
          <cell r="U543">
            <v>-8.6999999999999993</v>
          </cell>
          <cell r="V543">
            <v>-11.2</v>
          </cell>
          <cell r="W543">
            <v>21.324000000000002</v>
          </cell>
          <cell r="X543">
            <v>-0.67599999999999838</v>
          </cell>
          <cell r="Y543">
            <v>-11.5</v>
          </cell>
          <cell r="Z543">
            <v>-21.1</v>
          </cell>
          <cell r="AA543">
            <v>-12.6</v>
          </cell>
          <cell r="AB543">
            <v>-9.3000000000000007</v>
          </cell>
          <cell r="AC543">
            <v>-54.5</v>
          </cell>
          <cell r="AD543">
            <v>-3.3</v>
          </cell>
          <cell r="AE543">
            <v>-12.6</v>
          </cell>
          <cell r="AF543">
            <v>-11.5</v>
          </cell>
          <cell r="AG543">
            <v>-12.499999999999998</v>
          </cell>
          <cell r="AH543">
            <v>-39.9</v>
          </cell>
          <cell r="AI543">
            <v>-13.3</v>
          </cell>
          <cell r="AJ543">
            <v>-11.5</v>
          </cell>
          <cell r="AK543">
            <v>-12.8</v>
          </cell>
          <cell r="AL543">
            <v>-17.400000000000002</v>
          </cell>
          <cell r="AM543">
            <v>-55</v>
          </cell>
          <cell r="AN543">
            <v>-18.2</v>
          </cell>
          <cell r="AO543">
            <v>-15</v>
          </cell>
          <cell r="AP543">
            <v>-12.9</v>
          </cell>
          <cell r="AQ543">
            <v>-16.899999999999999</v>
          </cell>
          <cell r="AR543">
            <v>-63</v>
          </cell>
          <cell r="AS543">
            <v>-10.3</v>
          </cell>
          <cell r="AT543">
            <v>-16.600000000000001</v>
          </cell>
          <cell r="AU543">
            <v>-19.700000000000003</v>
          </cell>
          <cell r="AV543">
            <v>-22</v>
          </cell>
          <cell r="AW543">
            <v>-68.600000000000009</v>
          </cell>
          <cell r="AX543">
            <v>-22</v>
          </cell>
          <cell r="AY543">
            <v>-21.7</v>
          </cell>
          <cell r="AZ543">
            <v>-24.4</v>
          </cell>
          <cell r="BA543">
            <v>-29.487633653742304</v>
          </cell>
          <cell r="BB543">
            <v>-97.587633653742301</v>
          </cell>
          <cell r="BC543">
            <v>-23.8</v>
          </cell>
          <cell r="BD543">
            <v>-26</v>
          </cell>
          <cell r="BE543">
            <v>-21.408000000000001</v>
          </cell>
          <cell r="BF543">
            <v>-21.653490966714582</v>
          </cell>
          <cell r="BG543">
            <v>-92.861490966714584</v>
          </cell>
          <cell r="BH543">
            <v>-21.64869100649922</v>
          </cell>
          <cell r="BI543">
            <v>-21.932639862447076</v>
          </cell>
          <cell r="BJ543">
            <v>-21.700371660551031</v>
          </cell>
          <cell r="BK543">
            <v>-21.674083999662802</v>
          </cell>
          <cell r="BL543">
            <v>-86.955786529160122</v>
          </cell>
          <cell r="BM543">
            <v>-21.284628404284128</v>
          </cell>
          <cell r="BN543">
            <v>-21.896592669009404</v>
          </cell>
          <cell r="BO543">
            <v>-21.963293589030542</v>
          </cell>
          <cell r="BP543">
            <v>-22.240701540563421</v>
          </cell>
          <cell r="BQ543">
            <v>-87.385216202887491</v>
          </cell>
          <cell r="BR543">
            <v>-88.530288777650114</v>
          </cell>
          <cell r="BS543">
            <v>-91.451424298811858</v>
          </cell>
          <cell r="BT543">
            <v>-93.830522742268158</v>
          </cell>
          <cell r="BU543">
            <v>-95.618398746756156</v>
          </cell>
          <cell r="CY543">
            <v>-86.642821835660882</v>
          </cell>
        </row>
        <row r="544">
          <cell r="A544" t="str">
            <v xml:space="preserve"> - Changes in Working Capital </v>
          </cell>
          <cell r="E544">
            <v>-105.49999999999999</v>
          </cell>
          <cell r="F544">
            <v>73.899999999999991</v>
          </cell>
          <cell r="G544">
            <v>-4.9999999999999929</v>
          </cell>
          <cell r="H544">
            <v>27.600000000000009</v>
          </cell>
          <cell r="I544">
            <v>-8.6999999999999886</v>
          </cell>
          <cell r="J544">
            <v>-12.399999999999999</v>
          </cell>
          <cell r="K544">
            <v>14.000000000000002</v>
          </cell>
          <cell r="L544">
            <v>21.599999999999994</v>
          </cell>
          <cell r="M544">
            <v>-18.299999999999976</v>
          </cell>
          <cell r="N544">
            <v>4.9000000000000057</v>
          </cell>
          <cell r="O544">
            <v>32.099999999999994</v>
          </cell>
          <cell r="P544">
            <v>-6.7999999999999963</v>
          </cell>
          <cell r="Q544">
            <v>70.800000000000011</v>
          </cell>
          <cell r="R544">
            <v>75.700000000000017</v>
          </cell>
          <cell r="S544">
            <v>171.80000000000004</v>
          </cell>
          <cell r="T544">
            <v>8.1000000000000014</v>
          </cell>
          <cell r="U544">
            <v>59.099999999999994</v>
          </cell>
          <cell r="V544">
            <v>125.6</v>
          </cell>
          <cell r="W544">
            <v>130.5</v>
          </cell>
          <cell r="X544">
            <v>323.30000000000007</v>
          </cell>
          <cell r="Y544">
            <v>42.199999999999996</v>
          </cell>
          <cell r="Z544">
            <v>-97.499999999999986</v>
          </cell>
          <cell r="AA544">
            <v>11.8</v>
          </cell>
          <cell r="AB544">
            <v>14.899999999999974</v>
          </cell>
          <cell r="AC544">
            <v>-28.600000000000016</v>
          </cell>
          <cell r="AD544">
            <v>74.199999999999989</v>
          </cell>
          <cell r="AE544">
            <v>-10.799999999999997</v>
          </cell>
          <cell r="AF544">
            <v>0.69999999999998508</v>
          </cell>
          <cell r="AG544">
            <v>39.600000000000009</v>
          </cell>
          <cell r="AH544">
            <v>103.7</v>
          </cell>
          <cell r="AI544">
            <v>21.800000000000004</v>
          </cell>
          <cell r="AJ544">
            <v>-10.500000000000004</v>
          </cell>
          <cell r="AK544">
            <v>4.5999999999999961</v>
          </cell>
          <cell r="AL544">
            <v>18.700000000000003</v>
          </cell>
          <cell r="AM544">
            <v>34.599999999999994</v>
          </cell>
          <cell r="AN544">
            <v>12.900000000000015</v>
          </cell>
          <cell r="AO544">
            <v>21.899999999999984</v>
          </cell>
          <cell r="AP544">
            <v>62.299999999999976</v>
          </cell>
          <cell r="AQ544">
            <v>-4.1999999999999762</v>
          </cell>
          <cell r="AR544">
            <v>92.90000000000002</v>
          </cell>
          <cell r="AS544">
            <v>-143.40000000000003</v>
          </cell>
          <cell r="AT544">
            <v>-86.1</v>
          </cell>
          <cell r="AU544">
            <v>66.59999999999998</v>
          </cell>
          <cell r="AV544">
            <v>108.49999999999999</v>
          </cell>
          <cell r="AW544">
            <v>-54.400000000000006</v>
          </cell>
          <cell r="AX544">
            <v>-26.299999999999997</v>
          </cell>
          <cell r="AY544">
            <v>-87.90000000000002</v>
          </cell>
          <cell r="AZ544">
            <v>87.4</v>
          </cell>
          <cell r="BA544">
            <v>62.39999999999997</v>
          </cell>
          <cell r="BB544">
            <v>35.599999999999966</v>
          </cell>
          <cell r="BC544">
            <v>-77</v>
          </cell>
          <cell r="BD544">
            <v>4.7000000000000206</v>
          </cell>
          <cell r="BE544">
            <v>36.79374270547271</v>
          </cell>
          <cell r="BF544">
            <v>114.04030620822368</v>
          </cell>
          <cell r="BG544">
            <v>78.534048913696395</v>
          </cell>
          <cell r="BH544">
            <v>-136.4460697258969</v>
          </cell>
          <cell r="BI544">
            <v>35.903867508436122</v>
          </cell>
          <cell r="BJ544">
            <v>-0.43679545285155541</v>
          </cell>
          <cell r="BK544">
            <v>121.35369105439598</v>
          </cell>
          <cell r="BL544">
            <v>20.37469338408367</v>
          </cell>
          <cell r="BM544">
            <v>-145.04720165806685</v>
          </cell>
          <cell r="BN544">
            <v>38.008225357262219</v>
          </cell>
          <cell r="BO544">
            <v>-5.7189087597151911E-2</v>
          </cell>
          <cell r="BP544">
            <v>129.39907552662015</v>
          </cell>
          <cell r="BQ544">
            <v>22.302910138218394</v>
          </cell>
          <cell r="BR544">
            <v>14.411680078037307</v>
          </cell>
          <cell r="BS544">
            <v>15.752866330109882</v>
          </cell>
          <cell r="BT544">
            <v>17.21905069313091</v>
          </cell>
          <cell r="BU544">
            <v>18.821761908585117</v>
          </cell>
          <cell r="CY544">
            <v>50.291846696235609</v>
          </cell>
        </row>
        <row r="545">
          <cell r="A545" t="str">
            <v xml:space="preserve"> - Cash Taxes</v>
          </cell>
          <cell r="E545">
            <v>-125.5</v>
          </cell>
          <cell r="F545">
            <v>-169.7</v>
          </cell>
          <cell r="G545">
            <v>-228.5</v>
          </cell>
          <cell r="H545">
            <v>-299.01679999999999</v>
          </cell>
          <cell r="I545">
            <v>-376.2</v>
          </cell>
          <cell r="J545">
            <v>-91.3</v>
          </cell>
          <cell r="K545">
            <v>-103.5</v>
          </cell>
          <cell r="L545">
            <v>-99.5</v>
          </cell>
          <cell r="M545">
            <v>211.93200000000002</v>
          </cell>
          <cell r="N545">
            <v>-82.367999999999995</v>
          </cell>
          <cell r="O545">
            <v>-96.4</v>
          </cell>
          <cell r="P545">
            <v>-119.2</v>
          </cell>
          <cell r="Q545">
            <v>-108.7</v>
          </cell>
          <cell r="R545">
            <v>241.93200000000002</v>
          </cell>
          <cell r="S545">
            <v>-82.367999999999995</v>
          </cell>
          <cell r="T545">
            <v>-126</v>
          </cell>
          <cell r="U545">
            <v>-140</v>
          </cell>
          <cell r="V545">
            <v>-104.6</v>
          </cell>
          <cell r="W545">
            <v>338.59800000000001</v>
          </cell>
          <cell r="X545">
            <v>-32.00200000000001</v>
          </cell>
          <cell r="Y545">
            <v>-75.2</v>
          </cell>
          <cell r="Z545">
            <v>-85.2</v>
          </cell>
          <cell r="AA545">
            <v>-68.400000000000006</v>
          </cell>
          <cell r="AB545">
            <v>-35.899999999999977</v>
          </cell>
          <cell r="AC545">
            <v>-264.7</v>
          </cell>
          <cell r="AD545">
            <v>-55</v>
          </cell>
          <cell r="AE545">
            <v>-66.5</v>
          </cell>
          <cell r="AF545">
            <v>-62.4</v>
          </cell>
          <cell r="AG545">
            <v>-63.5</v>
          </cell>
          <cell r="AH545">
            <v>-247.4</v>
          </cell>
          <cell r="AI545">
            <v>-67.599999999999994</v>
          </cell>
          <cell r="AJ545">
            <v>-57.5</v>
          </cell>
          <cell r="AK545">
            <v>-60.799000000000007</v>
          </cell>
          <cell r="AL545">
            <v>-52.495999999999988</v>
          </cell>
          <cell r="AM545">
            <v>-238.39499999999998</v>
          </cell>
          <cell r="AN545">
            <v>-78.099999999999994</v>
          </cell>
          <cell r="AO545">
            <v>-73.2</v>
          </cell>
          <cell r="AP545">
            <v>-52.7</v>
          </cell>
          <cell r="AQ545">
            <v>-57.500000000000014</v>
          </cell>
          <cell r="AR545">
            <v>-261.5</v>
          </cell>
          <cell r="AS545">
            <v>-83.1</v>
          </cell>
          <cell r="AT545">
            <v>-88.9</v>
          </cell>
          <cell r="AU545">
            <v>-74.266000000000005</v>
          </cell>
          <cell r="AV545">
            <v>-78.056000000000012</v>
          </cell>
          <cell r="AW545">
            <v>-324.322</v>
          </cell>
          <cell r="AX545">
            <v>-91.76662686567164</v>
          </cell>
          <cell r="AY545">
            <v>-108.4</v>
          </cell>
          <cell r="AZ545">
            <v>-76.7</v>
          </cell>
          <cell r="BA545">
            <v>-92.709999999999951</v>
          </cell>
          <cell r="BB545">
            <v>-369.57662686567164</v>
          </cell>
          <cell r="BC545">
            <v>-89.9</v>
          </cell>
          <cell r="BD545">
            <v>-136.5</v>
          </cell>
          <cell r="BE545">
            <v>-88.946879567505462</v>
          </cell>
          <cell r="BF545">
            <v>-98.685171501894658</v>
          </cell>
          <cell r="BG545">
            <v>-414.03205106940015</v>
          </cell>
          <cell r="BH545">
            <v>-97.960126340780789</v>
          </cell>
          <cell r="BI545">
            <v>-113.12998879549595</v>
          </cell>
          <cell r="BJ545">
            <v>-92.094383999293257</v>
          </cell>
          <cell r="BK545">
            <v>-102.27323920947228</v>
          </cell>
          <cell r="BL545">
            <v>-405.45773834504223</v>
          </cell>
          <cell r="BM545">
            <v>-101.54488092424693</v>
          </cell>
          <cell r="BN545">
            <v>-116.83529667986365</v>
          </cell>
          <cell r="BO545">
            <v>-95.460065008234707</v>
          </cell>
          <cell r="BP545">
            <v>-105.92292908198057</v>
          </cell>
          <cell r="BQ545">
            <v>-419.76317169432582</v>
          </cell>
          <cell r="BR545">
            <v>-432.66060834147345</v>
          </cell>
          <cell r="BS545">
            <v>-451.3399479241632</v>
          </cell>
          <cell r="BT545">
            <v>-471.72766129086779</v>
          </cell>
          <cell r="BU545">
            <v>-494.00892212082545</v>
          </cell>
          <cell r="CY545">
            <v>-398.72216620567684</v>
          </cell>
        </row>
        <row r="546">
          <cell r="E546" t="str">
            <v xml:space="preserve">______ </v>
          </cell>
          <cell r="F546" t="str">
            <v xml:space="preserve">______ </v>
          </cell>
          <cell r="G546" t="str">
            <v xml:space="preserve">______ </v>
          </cell>
          <cell r="H546" t="str">
            <v xml:space="preserve">______ </v>
          </cell>
          <cell r="I546" t="str">
            <v xml:space="preserve">______ </v>
          </cell>
          <cell r="J546" t="str">
            <v xml:space="preserve">______ </v>
          </cell>
          <cell r="K546" t="str">
            <v xml:space="preserve">______ </v>
          </cell>
          <cell r="L546" t="str">
            <v xml:space="preserve">______ </v>
          </cell>
          <cell r="M546" t="str">
            <v xml:space="preserve">______ </v>
          </cell>
          <cell r="N546" t="str">
            <v xml:space="preserve">______ </v>
          </cell>
          <cell r="O546" t="str">
            <v xml:space="preserve">______ </v>
          </cell>
          <cell r="P546" t="str">
            <v xml:space="preserve">______ </v>
          </cell>
          <cell r="Q546" t="str">
            <v xml:space="preserve">______ </v>
          </cell>
          <cell r="R546" t="str">
            <v xml:space="preserve">______ </v>
          </cell>
          <cell r="S546" t="str">
            <v xml:space="preserve">______ </v>
          </cell>
          <cell r="T546" t="str">
            <v xml:space="preserve">______ </v>
          </cell>
          <cell r="U546" t="str">
            <v xml:space="preserve">______ </v>
          </cell>
          <cell r="V546" t="str">
            <v xml:space="preserve">______ </v>
          </cell>
          <cell r="W546" t="str">
            <v xml:space="preserve">______ </v>
          </cell>
          <cell r="X546" t="str">
            <v xml:space="preserve">______ </v>
          </cell>
          <cell r="Y546" t="str">
            <v xml:space="preserve">______ </v>
          </cell>
          <cell r="Z546" t="str">
            <v xml:space="preserve">______ </v>
          </cell>
          <cell r="AA546" t="str">
            <v xml:space="preserve">______ </v>
          </cell>
          <cell r="AB546" t="str">
            <v xml:space="preserve">______ </v>
          </cell>
          <cell r="AC546" t="str">
            <v xml:space="preserve">______ </v>
          </cell>
          <cell r="AD546" t="str">
            <v xml:space="preserve">______ </v>
          </cell>
          <cell r="AE546" t="str">
            <v xml:space="preserve">______ </v>
          </cell>
          <cell r="AF546" t="str">
            <v xml:space="preserve">______ </v>
          </cell>
          <cell r="AG546" t="str">
            <v xml:space="preserve">______ </v>
          </cell>
          <cell r="AH546" t="str">
            <v xml:space="preserve">______ </v>
          </cell>
          <cell r="AI546" t="str">
            <v xml:space="preserve">______ </v>
          </cell>
          <cell r="AJ546" t="str">
            <v xml:space="preserve">______ </v>
          </cell>
          <cell r="AK546" t="str">
            <v xml:space="preserve">______ </v>
          </cell>
          <cell r="AL546" t="str">
            <v xml:space="preserve">______ </v>
          </cell>
          <cell r="AM546" t="str">
            <v xml:space="preserve">______ </v>
          </cell>
          <cell r="AN546" t="str">
            <v xml:space="preserve">______ </v>
          </cell>
          <cell r="AO546" t="str">
            <v xml:space="preserve">______ </v>
          </cell>
          <cell r="AP546" t="str">
            <v xml:space="preserve">______ </v>
          </cell>
          <cell r="AQ546" t="str">
            <v xml:space="preserve">______ </v>
          </cell>
          <cell r="AR546" t="str">
            <v xml:space="preserve">______ </v>
          </cell>
          <cell r="AS546" t="str">
            <v xml:space="preserve">______ </v>
          </cell>
          <cell r="AT546" t="str">
            <v xml:space="preserve">______ </v>
          </cell>
          <cell r="AU546" t="str">
            <v xml:space="preserve">______ </v>
          </cell>
          <cell r="AV546" t="str">
            <v xml:space="preserve">______ </v>
          </cell>
          <cell r="AW546" t="str">
            <v xml:space="preserve">______ </v>
          </cell>
          <cell r="AX546" t="str">
            <v xml:space="preserve">______ </v>
          </cell>
          <cell r="AY546" t="str">
            <v xml:space="preserve">______ </v>
          </cell>
          <cell r="AZ546" t="str">
            <v xml:space="preserve">______ </v>
          </cell>
          <cell r="BA546" t="str">
            <v xml:space="preserve">______ </v>
          </cell>
          <cell r="BB546" t="str">
            <v xml:space="preserve">______ </v>
          </cell>
          <cell r="BC546" t="str">
            <v xml:space="preserve">______ </v>
          </cell>
          <cell r="BD546" t="str">
            <v xml:space="preserve">______ </v>
          </cell>
          <cell r="BE546" t="str">
            <v xml:space="preserve">______ </v>
          </cell>
          <cell r="BF546" t="str">
            <v xml:space="preserve">______ </v>
          </cell>
          <cell r="BG546" t="str">
            <v xml:space="preserve">______ </v>
          </cell>
          <cell r="BH546" t="str">
            <v xml:space="preserve">______ </v>
          </cell>
          <cell r="BI546" t="str">
            <v xml:space="preserve">______ </v>
          </cell>
          <cell r="BJ546" t="str">
            <v xml:space="preserve">______ </v>
          </cell>
          <cell r="BK546" t="str">
            <v xml:space="preserve">______ </v>
          </cell>
          <cell r="BL546" t="str">
            <v xml:space="preserve">______ </v>
          </cell>
          <cell r="BM546" t="str">
            <v xml:space="preserve">______ </v>
          </cell>
          <cell r="BN546" t="str">
            <v xml:space="preserve">______ </v>
          </cell>
          <cell r="BO546" t="str">
            <v xml:space="preserve">______ </v>
          </cell>
          <cell r="BP546" t="str">
            <v xml:space="preserve">______ </v>
          </cell>
          <cell r="BQ546" t="str">
            <v xml:space="preserve">______ </v>
          </cell>
          <cell r="BR546" t="str">
            <v xml:space="preserve">______ </v>
          </cell>
          <cell r="BS546" t="str">
            <v xml:space="preserve">______ </v>
          </cell>
          <cell r="BT546" t="str">
            <v xml:space="preserve">______ </v>
          </cell>
          <cell r="BU546" t="str">
            <v xml:space="preserve">______ </v>
          </cell>
        </row>
        <row r="547">
          <cell r="A547" t="str">
            <v>Total Free Cash Flow</v>
          </cell>
          <cell r="E547">
            <v>56.10000000000008</v>
          </cell>
          <cell r="F547">
            <v>288.40000000000003</v>
          </cell>
          <cell r="G547">
            <v>289.89999999999998</v>
          </cell>
          <cell r="H547">
            <v>384.58320000000026</v>
          </cell>
          <cell r="I547">
            <v>398.10000000000019</v>
          </cell>
          <cell r="J547">
            <v>110.7</v>
          </cell>
          <cell r="K547">
            <v>166.20000000000005</v>
          </cell>
          <cell r="L547">
            <v>158.7999999999999</v>
          </cell>
          <cell r="M547">
            <v>428.42200000000003</v>
          </cell>
          <cell r="N547">
            <v>864.12200000000007</v>
          </cell>
          <cell r="O547">
            <v>179.20000000000002</v>
          </cell>
          <cell r="P547">
            <v>167.09999999999997</v>
          </cell>
          <cell r="Q547">
            <v>231.3</v>
          </cell>
          <cell r="R547">
            <v>617.22200000000009</v>
          </cell>
          <cell r="S547">
            <v>1194.8219999999999</v>
          </cell>
          <cell r="T547">
            <v>161.89999999999998</v>
          </cell>
          <cell r="U547">
            <v>222.99999999999989</v>
          </cell>
          <cell r="V547">
            <v>219.4</v>
          </cell>
          <cell r="W547">
            <v>728.42200000000003</v>
          </cell>
          <cell r="X547">
            <v>1332.7220000000002</v>
          </cell>
          <cell r="Y547">
            <v>147.49999999999994</v>
          </cell>
          <cell r="Z547">
            <v>21.599999999999966</v>
          </cell>
          <cell r="AA547">
            <v>112.00000000000006</v>
          </cell>
          <cell r="AB547">
            <v>107.49999999999997</v>
          </cell>
          <cell r="AC547">
            <v>388.59999999999985</v>
          </cell>
          <cell r="AD547">
            <v>179.79999999999993</v>
          </cell>
          <cell r="AE547">
            <v>93.699999999999932</v>
          </cell>
          <cell r="AF547">
            <v>89.700000000000017</v>
          </cell>
          <cell r="AG547">
            <v>131.59999999999991</v>
          </cell>
          <cell r="AH547">
            <v>494.79999999999995</v>
          </cell>
          <cell r="AI547">
            <v>136.60000000000005</v>
          </cell>
          <cell r="AJ547">
            <v>107.39999999999995</v>
          </cell>
          <cell r="AK547">
            <v>119.101</v>
          </cell>
          <cell r="AL547">
            <v>138.30400000000003</v>
          </cell>
          <cell r="AM547">
            <v>501.40499999999986</v>
          </cell>
          <cell r="AN547">
            <v>164.8000000000001</v>
          </cell>
          <cell r="AO547">
            <v>209.49999999999994</v>
          </cell>
          <cell r="AP547">
            <v>193.99999999999994</v>
          </cell>
          <cell r="AQ547">
            <v>100.00000000000016</v>
          </cell>
          <cell r="AR547">
            <v>668.29999999999984</v>
          </cell>
          <cell r="AS547">
            <v>40.400000000000063</v>
          </cell>
          <cell r="AT547">
            <v>102.39999999999986</v>
          </cell>
          <cell r="AU547">
            <v>253.1339999999999</v>
          </cell>
          <cell r="AV547">
            <v>294.84400000000016</v>
          </cell>
          <cell r="AW547">
            <v>690.77800000000025</v>
          </cell>
          <cell r="AX547">
            <v>202.80800000000005</v>
          </cell>
          <cell r="AY547">
            <v>146.4</v>
          </cell>
          <cell r="AZ547">
            <v>288.30000000000013</v>
          </cell>
          <cell r="BA547">
            <v>264.10236634625767</v>
          </cell>
          <cell r="BB547">
            <v>901.61036634625771</v>
          </cell>
          <cell r="BC547">
            <v>146.30000000000004</v>
          </cell>
          <cell r="BD547">
            <v>256.50000000000006</v>
          </cell>
          <cell r="BE547">
            <v>221.33766593796724</v>
          </cell>
          <cell r="BF547">
            <v>318.78501147634171</v>
          </cell>
          <cell r="BG547">
            <v>942.92267741430862</v>
          </cell>
          <cell r="BH547">
            <v>66.747114807863113</v>
          </cell>
          <cell r="BI547">
            <v>270.45701982995314</v>
          </cell>
          <cell r="BJ547">
            <v>190.67722351101401</v>
          </cell>
          <cell r="BK547">
            <v>333.58608168871501</v>
          </cell>
          <cell r="BL547">
            <v>861.46743983754607</v>
          </cell>
          <cell r="BM547">
            <v>65.616249319702192</v>
          </cell>
          <cell r="BN547">
            <v>280.28781713227363</v>
          </cell>
          <cell r="BO547">
            <v>198.08441229836768</v>
          </cell>
          <cell r="BP547">
            <v>349.26127284466594</v>
          </cell>
          <cell r="BQ547">
            <v>893.24975159500877</v>
          </cell>
          <cell r="BR547">
            <v>928.00450459014189</v>
          </cell>
          <cell r="BS547">
            <v>968.72352214422312</v>
          </cell>
          <cell r="BT547">
            <v>1013.159275390202</v>
          </cell>
          <cell r="BU547">
            <v>1061.7117931629266</v>
          </cell>
          <cell r="CY547">
            <v>877.32681205212521</v>
          </cell>
        </row>
        <row r="548">
          <cell r="A548" t="str">
            <v>YOY Growth</v>
          </cell>
          <cell r="O548">
            <v>0.61878952122854569</v>
          </cell>
          <cell r="P548">
            <v>5.415162454873057E-3</v>
          </cell>
          <cell r="Q548">
            <v>0.45654911838791024</v>
          </cell>
          <cell r="R548">
            <v>0.44068698619585378</v>
          </cell>
          <cell r="S548">
            <v>0.38270059088878638</v>
          </cell>
          <cell r="T548">
            <v>-9.6540178571428825E-2</v>
          </cell>
          <cell r="U548">
            <v>0.33453022142429645</v>
          </cell>
          <cell r="V548">
            <v>-5.1448335495028141E-2</v>
          </cell>
          <cell r="W548">
            <v>0.1801620810664557</v>
          </cell>
          <cell r="X548">
            <v>0.11541468101524766</v>
          </cell>
          <cell r="Y548">
            <v>-8.8943792464484472E-2</v>
          </cell>
          <cell r="Z548">
            <v>-0.90313901345291492</v>
          </cell>
          <cell r="AA548">
            <v>-0.48951686417502249</v>
          </cell>
          <cell r="AB548">
            <v>-0.85242071216959403</v>
          </cell>
          <cell r="AC548">
            <v>-0.70841630887762053</v>
          </cell>
          <cell r="AD548">
            <v>0.21898305084745751</v>
          </cell>
          <cell r="AE548">
            <v>3.3379629629629664</v>
          </cell>
          <cell r="AF548">
            <v>-0.19910714285714315</v>
          </cell>
          <cell r="AG548">
            <v>0.22418604651162743</v>
          </cell>
          <cell r="AH548">
            <v>0.2732887287699437</v>
          </cell>
          <cell r="AI548">
            <v>-0.24026696329254671</v>
          </cell>
          <cell r="AJ548">
            <v>0.14621131270010701</v>
          </cell>
          <cell r="AK548">
            <v>0.32777034559643226</v>
          </cell>
          <cell r="AL548">
            <v>5.0942249240122583E-2</v>
          </cell>
          <cell r="AM548">
            <v>1.3348827809215758E-2</v>
          </cell>
          <cell r="AN548">
            <v>0.2064421669106884</v>
          </cell>
          <cell r="AO548">
            <v>0.95065176908752358</v>
          </cell>
          <cell r="AP548">
            <v>0.62886961486469417</v>
          </cell>
          <cell r="AQ548">
            <v>-0.27695511337343726</v>
          </cell>
          <cell r="AR548">
            <v>0.33285467835382576</v>
          </cell>
          <cell r="AS548">
            <v>-0.75485436893203861</v>
          </cell>
          <cell r="AT548">
            <v>-0.51121718377088365</v>
          </cell>
          <cell r="AU548">
            <v>0.30481443298969069</v>
          </cell>
          <cell r="AV548">
            <v>1.9484399999999971</v>
          </cell>
          <cell r="AW548">
            <v>3.3634595241658571E-2</v>
          </cell>
          <cell r="AX548">
            <v>4.0199999999999934</v>
          </cell>
          <cell r="AY548">
            <v>0.429687500000002</v>
          </cell>
          <cell r="AZ548">
            <v>0.13892246794188146</v>
          </cell>
          <cell r="BA548">
            <v>-0.10426406389054033</v>
          </cell>
          <cell r="BB548">
            <v>0.3052100187705129</v>
          </cell>
          <cell r="BC548">
            <v>-0.27862806200938817</v>
          </cell>
          <cell r="BD548">
            <v>0.75204918032786927</v>
          </cell>
          <cell r="BE548">
            <v>-0.23226616046490756</v>
          </cell>
          <cell r="BF548">
            <v>0.2070509472769777</v>
          </cell>
          <cell r="BG548">
            <v>4.5820581273335881E-2</v>
          </cell>
          <cell r="BH548">
            <v>-0.54376544902349222</v>
          </cell>
          <cell r="BI548">
            <v>5.4413332670382397E-2</v>
          </cell>
          <cell r="BJ548">
            <v>-0.13852338370436335</v>
          </cell>
          <cell r="BK548">
            <v>4.6429630250893306E-2</v>
          </cell>
          <cell r="BL548">
            <v>-8.6385914272557152E-2</v>
          </cell>
          <cell r="BM548">
            <v>-1.6942537387813816E-2</v>
          </cell>
          <cell r="BN548">
            <v>3.6348833942271064E-2</v>
          </cell>
          <cell r="BO548">
            <v>3.8846741372473348E-2</v>
          </cell>
          <cell r="BP548">
            <v>4.6989943574978543E-2</v>
          </cell>
          <cell r="BQ548">
            <v>3.6893224616192377E-2</v>
          </cell>
          <cell r="BR548">
            <v>3.8908214564934651E-2</v>
          </cell>
          <cell r="BS548">
            <v>4.387803868696194E-2</v>
          </cell>
          <cell r="BT548">
            <v>4.5870418370375088E-2</v>
          </cell>
          <cell r="BU548">
            <v>4.792190028959209E-2</v>
          </cell>
        </row>
        <row r="617">
          <cell r="D617" t="str">
            <v>1999-FY</v>
          </cell>
          <cell r="E617" t="str">
            <v>2000-FY</v>
          </cell>
          <cell r="F617" t="str">
            <v>2001-FY</v>
          </cell>
          <cell r="G617" t="str">
            <v>2002-FY</v>
          </cell>
          <cell r="H617" t="str">
            <v>2003-FY</v>
          </cell>
          <cell r="I617" t="str">
            <v>2004-FY</v>
          </cell>
          <cell r="J617" t="str">
            <v>2005-Q1</v>
          </cell>
          <cell r="K617" t="str">
            <v>2005-Q2</v>
          </cell>
          <cell r="L617" t="str">
            <v>2005-Q3</v>
          </cell>
          <cell r="M617" t="str">
            <v>2005-Q4</v>
          </cell>
          <cell r="N617" t="str">
            <v>2005-FY</v>
          </cell>
          <cell r="O617" t="str">
            <v>2006-Q1</v>
          </cell>
          <cell r="P617" t="str">
            <v>2006-Q2</v>
          </cell>
          <cell r="Q617" t="str">
            <v>2006-Q3</v>
          </cell>
          <cell r="R617" t="str">
            <v>2006-Q4</v>
          </cell>
          <cell r="S617" t="str">
            <v>2006-FY</v>
          </cell>
          <cell r="T617" t="str">
            <v>2007-Q1</v>
          </cell>
          <cell r="U617" t="str">
            <v>2007-Q2</v>
          </cell>
          <cell r="V617" t="str">
            <v>2007-Q3</v>
          </cell>
          <cell r="W617" t="str">
            <v>2007-Q4</v>
          </cell>
          <cell r="X617" t="str">
            <v>2007-FY</v>
          </cell>
          <cell r="Y617" t="str">
            <v>2008-Q1</v>
          </cell>
          <cell r="Z617" t="str">
            <v>2008-Q2</v>
          </cell>
          <cell r="AA617" t="str">
            <v>2008-Q3</v>
          </cell>
          <cell r="AB617" t="str">
            <v>2008-Q4</v>
          </cell>
          <cell r="AC617" t="str">
            <v>2008-FY</v>
          </cell>
          <cell r="AD617" t="str">
            <v>2009-Q1</v>
          </cell>
          <cell r="AE617" t="str">
            <v>2009-Q2</v>
          </cell>
          <cell r="AF617" t="str">
            <v>2009-Q3</v>
          </cell>
          <cell r="AG617" t="str">
            <v>2009-Q4</v>
          </cell>
          <cell r="AH617" t="str">
            <v>2009-FY</v>
          </cell>
          <cell r="AI617" t="str">
            <v>2010-Q1</v>
          </cell>
          <cell r="AJ617" t="str">
            <v>2010-Q2</v>
          </cell>
          <cell r="AK617" t="str">
            <v>2010-Q3</v>
          </cell>
          <cell r="AL617" t="str">
            <v>2010-Q4</v>
          </cell>
          <cell r="AM617" t="str">
            <v>2010-FY</v>
          </cell>
          <cell r="AN617" t="str">
            <v>2011-Q1</v>
          </cell>
          <cell r="AO617" t="str">
            <v>2011-Q2</v>
          </cell>
          <cell r="AP617" t="str">
            <v>2011-Q3</v>
          </cell>
          <cell r="AQ617" t="str">
            <v>2011-Q4</v>
          </cell>
          <cell r="AR617" t="str">
            <v>2011-FY</v>
          </cell>
          <cell r="AS617" t="str">
            <v>2012-Q1</v>
          </cell>
          <cell r="AT617" t="str">
            <v>2012-Q2</v>
          </cell>
          <cell r="AU617" t="str">
            <v>2012-Q3</v>
          </cell>
          <cell r="AV617" t="str">
            <v>2012-Q4</v>
          </cell>
          <cell r="AW617" t="str">
            <v>2012-FY</v>
          </cell>
          <cell r="AX617" t="str">
            <v>2013-Q1</v>
          </cell>
          <cell r="AY617" t="str">
            <v>2013-Q2</v>
          </cell>
          <cell r="AZ617" t="str">
            <v>2013-Q3</v>
          </cell>
          <cell r="BA617" t="str">
            <v>2013-Q4</v>
          </cell>
          <cell r="BB617" t="str">
            <v>2013-FY</v>
          </cell>
          <cell r="BC617" t="str">
            <v>2014-Q1</v>
          </cell>
          <cell r="BD617" t="str">
            <v>2014-Q2</v>
          </cell>
          <cell r="BE617" t="str">
            <v>2014-Q3</v>
          </cell>
          <cell r="BF617" t="str">
            <v>2014-Q4</v>
          </cell>
          <cell r="BG617" t="str">
            <v>2014-FY</v>
          </cell>
          <cell r="BH617" t="str">
            <v>2015-Q1</v>
          </cell>
          <cell r="BI617" t="str">
            <v>2015-Q2</v>
          </cell>
          <cell r="BJ617" t="str">
            <v>2015-Q3</v>
          </cell>
          <cell r="BK617" t="str">
            <v>2015-Q4</v>
          </cell>
          <cell r="BL617" t="str">
            <v>2015-FY</v>
          </cell>
          <cell r="BM617" t="str">
            <v>2016-Q1</v>
          </cell>
          <cell r="BN617" t="str">
            <v>2016-Q2</v>
          </cell>
          <cell r="BO617" t="str">
            <v>2016-Q3</v>
          </cell>
          <cell r="BP617" t="str">
            <v>2016-Q4</v>
          </cell>
          <cell r="BQ617" t="str">
            <v>2016-FY</v>
          </cell>
          <cell r="BR617" t="str">
            <v>2017-FY</v>
          </cell>
          <cell r="BS617" t="str">
            <v>2018-FY</v>
          </cell>
          <cell r="BT617" t="str">
            <v>2019-FY</v>
          </cell>
          <cell r="BU617" t="str">
            <v>2020-FY</v>
          </cell>
        </row>
      </sheetData>
      <sheetData sheetId="2" refreshError="1"/>
      <sheetData sheetId="3" refreshError="1"/>
      <sheetData sheetId="4" refreshError="1"/>
      <sheetData sheetId="5"/>
      <sheetData sheetId="6" refreshError="1"/>
      <sheetData sheetId="7" refreshError="1"/>
      <sheetData sheetId="8" refreshError="1">
        <row r="3">
          <cell r="A3">
            <v>2</v>
          </cell>
        </row>
        <row r="7">
          <cell r="A7" t="str">
            <v>Moody's Corporation</v>
          </cell>
          <cell r="B7" t="str">
            <v>Terminal Multiple:</v>
          </cell>
          <cell r="D7">
            <v>7.75</v>
          </cell>
          <cell r="F7" t="str">
            <v>WACC:</v>
          </cell>
          <cell r="G7">
            <v>9.5544747649999984E-2</v>
          </cell>
          <cell r="I7" t="str">
            <v>Terminal Growth:</v>
          </cell>
          <cell r="K7">
            <v>9.8740763381555477E-3</v>
          </cell>
        </row>
        <row r="8">
          <cell r="A8" t="str">
            <v>(USD mm)</v>
          </cell>
          <cell r="D8">
            <v>2011</v>
          </cell>
          <cell r="G8">
            <v>2014</v>
          </cell>
          <cell r="H8">
            <v>2015</v>
          </cell>
          <cell r="I8">
            <v>2016</v>
          </cell>
          <cell r="J8">
            <v>2017</v>
          </cell>
          <cell r="K8">
            <v>2018</v>
          </cell>
          <cell r="L8">
            <v>2019</v>
          </cell>
          <cell r="M8">
            <v>2020</v>
          </cell>
          <cell r="N8">
            <v>2021</v>
          </cell>
          <cell r="O8">
            <v>2022</v>
          </cell>
        </row>
        <row r="9">
          <cell r="B9">
            <v>2009</v>
          </cell>
          <cell r="C9">
            <v>2010</v>
          </cell>
          <cell r="D9">
            <v>2011</v>
          </cell>
          <cell r="E9">
            <v>2012</v>
          </cell>
          <cell r="F9">
            <v>2013</v>
          </cell>
          <cell r="G9" t="str">
            <v>2014E</v>
          </cell>
          <cell r="H9">
            <v>2015</v>
          </cell>
          <cell r="I9">
            <v>2016</v>
          </cell>
          <cell r="J9">
            <v>2017</v>
          </cell>
          <cell r="K9">
            <v>2018</v>
          </cell>
          <cell r="L9">
            <v>2019</v>
          </cell>
          <cell r="M9">
            <v>2020</v>
          </cell>
          <cell r="N9">
            <v>2021</v>
          </cell>
          <cell r="O9">
            <v>2022</v>
          </cell>
        </row>
        <row r="10">
          <cell r="A10" t="str">
            <v>Revenues</v>
          </cell>
          <cell r="B10">
            <v>1797.2</v>
          </cell>
          <cell r="C10">
            <v>2032</v>
          </cell>
          <cell r="D10">
            <v>2280.6999999999998</v>
          </cell>
          <cell r="E10">
            <v>2730.3</v>
          </cell>
          <cell r="F10">
            <v>2972.5</v>
          </cell>
          <cell r="G10">
            <v>3148.7455990545454</v>
          </cell>
          <cell r="H10">
            <v>3235.5075921942125</v>
          </cell>
          <cell r="I10">
            <v>3381.9463993234394</v>
          </cell>
          <cell r="J10">
            <v>3516.0680303658892</v>
          </cell>
          <cell r="K10">
            <v>3661.3791846873028</v>
          </cell>
          <cell r="L10">
            <v>3819.0124500460706</v>
          </cell>
          <cell r="M10">
            <v>3990.221967569601</v>
          </cell>
          <cell r="N10">
            <v>4309.4397249751692</v>
          </cell>
          <cell r="O10">
            <v>4654.1949029731832</v>
          </cell>
        </row>
        <row r="11">
          <cell r="A11" t="str">
            <v>Sales Growth</v>
          </cell>
          <cell r="B11">
            <v>2.3812236527287256E-2</v>
          </cell>
          <cell r="C11">
            <v>0.13064767415980416</v>
          </cell>
          <cell r="D11">
            <v>0.12239173228346445</v>
          </cell>
          <cell r="E11">
            <v>0.1971324593326611</v>
          </cell>
          <cell r="F11">
            <v>8.8708200564040496E-2</v>
          </cell>
          <cell r="G11">
            <v>5.9292043416163231E-2</v>
          </cell>
          <cell r="H11">
            <v>2.7554462693244686E-2</v>
          </cell>
          <cell r="I11">
            <v>4.5259917634721702E-2</v>
          </cell>
          <cell r="J11">
            <v>3.9658118493327121E-2</v>
          </cell>
          <cell r="K11">
            <v>4.1327742542652812E-2</v>
          </cell>
          <cell r="L11">
            <v>4.3052974687250334E-2</v>
          </cell>
          <cell r="M11">
            <v>4.4830835134215041E-2</v>
          </cell>
          <cell r="N11">
            <v>0.08</v>
          </cell>
          <cell r="O11">
            <v>0.08</v>
          </cell>
        </row>
        <row r="12">
          <cell r="A12" t="str">
            <v>EBITDA</v>
          </cell>
          <cell r="B12">
            <v>769.09999999999991</v>
          </cell>
          <cell r="C12">
            <v>839.19999999999982</v>
          </cell>
          <cell r="D12">
            <v>967.59999999999991</v>
          </cell>
          <cell r="E12">
            <v>1183.1000000000001</v>
          </cell>
          <cell r="F12">
            <v>1375.4746268656718</v>
          </cell>
          <cell r="G12">
            <v>1440.243082517818</v>
          </cell>
          <cell r="H12">
            <v>1398.216423171549</v>
          </cell>
          <cell r="I12">
            <v>1445.7341573404726</v>
          </cell>
          <cell r="J12">
            <v>1505.1050822385459</v>
          </cell>
          <cell r="K12">
            <v>1568.9896117308344</v>
          </cell>
          <cell r="L12">
            <v>1637.8786577311284</v>
          </cell>
          <cell r="M12">
            <v>1712.321791473315</v>
          </cell>
          <cell r="N12">
            <v>1849.3075347911802</v>
          </cell>
          <cell r="O12">
            <v>1997.2521375744748</v>
          </cell>
        </row>
        <row r="13">
          <cell r="A13" t="str">
            <v>EBITDA Margins</v>
          </cell>
          <cell r="B13">
            <v>0.42794346761629193</v>
          </cell>
          <cell r="C13">
            <v>0.41299212598425189</v>
          </cell>
          <cell r="D13">
            <v>0.42425571096593151</v>
          </cell>
          <cell r="E13">
            <v>0.43332234552979526</v>
          </cell>
          <cell r="F13">
            <v>0.46273326387406954</v>
          </cell>
          <cell r="G13">
            <v>0.45740217404361627</v>
          </cell>
          <cell r="H13">
            <v>0.43214747093927403</v>
          </cell>
          <cell r="I13">
            <v>0.42748582816974645</v>
          </cell>
          <cell r="J13">
            <v>0.42806483527621669</v>
          </cell>
          <cell r="K13">
            <v>0.42852420702359806</v>
          </cell>
          <cell r="L13">
            <v>0.42887491966970936</v>
          </cell>
          <cell r="M13">
            <v>0.42912945830837346</v>
          </cell>
          <cell r="N13">
            <v>0.42912945830837346</v>
          </cell>
          <cell r="O13">
            <v>0.42912945830837346</v>
          </cell>
        </row>
        <row r="15">
          <cell r="A15" t="str">
            <v>EBIT (pre exceptionals)</v>
          </cell>
          <cell r="B15">
            <v>705</v>
          </cell>
          <cell r="C15">
            <v>772.89999999999986</v>
          </cell>
          <cell r="D15">
            <v>888.39999999999986</v>
          </cell>
          <cell r="E15">
            <v>1089.6000000000001</v>
          </cell>
          <cell r="F15">
            <v>1282.0746268656717</v>
          </cell>
          <cell r="G15">
            <v>1356.3434639042905</v>
          </cell>
          <cell r="H15">
            <v>1315.6155996959556</v>
          </cell>
          <cell r="I15">
            <v>1359.3948273978135</v>
          </cell>
          <cell r="J15">
            <v>1399.6230413275694</v>
          </cell>
          <cell r="K15">
            <v>1459.1482361902154</v>
          </cell>
          <cell r="L15">
            <v>1523.3082842297463</v>
          </cell>
          <cell r="M15">
            <v>1592.6151324462271</v>
          </cell>
          <cell r="N15">
            <v>1720.0243430419252</v>
          </cell>
          <cell r="O15">
            <v>1857.6262904852795</v>
          </cell>
        </row>
        <row r="16">
          <cell r="A16" t="str">
            <v>EBIT Growth</v>
          </cell>
          <cell r="B16">
            <v>-5.4579589647311022E-2</v>
          </cell>
          <cell r="C16">
            <v>9.6312056737588359E-2</v>
          </cell>
          <cell r="D16">
            <v>0.1494371846293181</v>
          </cell>
          <cell r="E16">
            <v>0.22647456100855501</v>
          </cell>
          <cell r="F16">
            <v>0.17664705108817147</v>
          </cell>
          <cell r="G16">
            <v>5.792863807014581E-2</v>
          </cell>
          <cell r="H16">
            <v>-3.0027692315557131E-2</v>
          </cell>
          <cell r="I16">
            <v>3.3276610365501558E-2</v>
          </cell>
          <cell r="J16">
            <v>2.9592737237908784E-2</v>
          </cell>
          <cell r="K16">
            <v>4.2529447647693175E-2</v>
          </cell>
          <cell r="L16">
            <v>4.3970890995318257E-2</v>
          </cell>
          <cell r="M16">
            <v>4.5497585048272393E-2</v>
          </cell>
          <cell r="N16">
            <v>8.0000000000000071E-2</v>
          </cell>
          <cell r="O16">
            <v>8.0000000000000071E-2</v>
          </cell>
        </row>
        <row r="17">
          <cell r="A17" t="str">
            <v>EBIT Margins</v>
          </cell>
          <cell r="B17">
            <v>0.39227687513910525</v>
          </cell>
          <cell r="C17">
            <v>0.38036417322834637</v>
          </cell>
          <cell r="D17">
            <v>0.38952953040733107</v>
          </cell>
          <cell r="E17">
            <v>0.39907702450280191</v>
          </cell>
          <cell r="F17">
            <v>0.43131190138458259</v>
          </cell>
          <cell r="G17">
            <v>0.43075676368124227</v>
          </cell>
          <cell r="H17">
            <v>0.40661799183223341</v>
          </cell>
          <cell r="I17">
            <v>0.40195634906270583</v>
          </cell>
          <cell r="J17">
            <v>0.39806483527621672</v>
          </cell>
          <cell r="K17">
            <v>0.39852420702359809</v>
          </cell>
          <cell r="L17">
            <v>0.39887491966970934</v>
          </cell>
          <cell r="M17">
            <v>0.39912945830837349</v>
          </cell>
          <cell r="N17">
            <v>0.39912945830837349</v>
          </cell>
          <cell r="O17">
            <v>0.39912945830837349</v>
          </cell>
        </row>
        <row r="18">
          <cell r="A18" t="str">
            <v>Tax rate</v>
          </cell>
          <cell r="B18">
            <v>0.37644552647595858</v>
          </cell>
          <cell r="C18">
            <v>0.33482443820224728</v>
          </cell>
          <cell r="D18">
            <v>0.31411411411411416</v>
          </cell>
          <cell r="E18">
            <v>0.31839976438248574</v>
          </cell>
          <cell r="F18">
            <v>0.30860425611465953</v>
          </cell>
          <cell r="G18">
            <v>0.33</v>
          </cell>
          <cell r="H18">
            <v>0.33</v>
          </cell>
          <cell r="I18">
            <v>0.33</v>
          </cell>
          <cell r="J18">
            <v>0.33</v>
          </cell>
          <cell r="K18">
            <v>0.33</v>
          </cell>
          <cell r="L18">
            <v>0.33</v>
          </cell>
          <cell r="M18">
            <v>0.33</v>
          </cell>
          <cell r="N18">
            <v>0.33</v>
          </cell>
          <cell r="O18">
            <v>0.33</v>
          </cell>
        </row>
        <row r="19">
          <cell r="A19" t="str">
            <v>=NOPAT</v>
          </cell>
          <cell r="B19">
            <v>439.60590383444924</v>
          </cell>
          <cell r="C19">
            <v>514.11419171348302</v>
          </cell>
          <cell r="D19">
            <v>609.34102102102088</v>
          </cell>
          <cell r="E19">
            <v>742.67161672884367</v>
          </cell>
          <cell r="F19">
            <v>886.42094035831133</v>
          </cell>
          <cell r="G19">
            <v>908.75012081587454</v>
          </cell>
          <cell r="H19">
            <v>881.46245179629011</v>
          </cell>
          <cell r="I19">
            <v>910.794534356535</v>
          </cell>
          <cell r="J19">
            <v>937.74743768947133</v>
          </cell>
          <cell r="K19">
            <v>977.62931824744419</v>
          </cell>
          <cell r="L19">
            <v>1020.6165504339299</v>
          </cell>
          <cell r="M19">
            <v>1067.052138738972</v>
          </cell>
          <cell r="N19">
            <v>1152.4163098380898</v>
          </cell>
          <cell r="O19">
            <v>1244.6096146251371</v>
          </cell>
        </row>
        <row r="20">
          <cell r="A20" t="str">
            <v>+Depreciation &amp; amortization</v>
          </cell>
          <cell r="B20">
            <v>64.099999999999994</v>
          </cell>
          <cell r="C20">
            <v>66.3</v>
          </cell>
          <cell r="D20">
            <v>79.2</v>
          </cell>
          <cell r="E20">
            <v>93.5</v>
          </cell>
          <cell r="F20">
            <v>93.4</v>
          </cell>
          <cell r="G20">
            <v>83.899618613527608</v>
          </cell>
          <cell r="H20">
            <v>82.600823475593501</v>
          </cell>
          <cell r="I20">
            <v>86.339329942659091</v>
          </cell>
          <cell r="J20">
            <v>105.48204091097666</v>
          </cell>
          <cell r="K20">
            <v>109.84137554061908</v>
          </cell>
          <cell r="L20">
            <v>114.57037350138212</v>
          </cell>
          <cell r="M20">
            <v>119.70665902708802</v>
          </cell>
          <cell r="N20">
            <v>119.70665902708802</v>
          </cell>
          <cell r="O20">
            <v>119.70665902708802</v>
          </cell>
        </row>
        <row r="21">
          <cell r="A21" t="str">
            <v xml:space="preserve">Gross Cash Flow </v>
          </cell>
          <cell r="B21">
            <v>503.70590383444926</v>
          </cell>
          <cell r="C21">
            <v>580.41419171348298</v>
          </cell>
          <cell r="D21">
            <v>688.54102102102092</v>
          </cell>
          <cell r="E21">
            <v>836.17161672884367</v>
          </cell>
          <cell r="F21">
            <v>979.8209403583113</v>
          </cell>
          <cell r="G21">
            <v>992.64973942940219</v>
          </cell>
          <cell r="H21">
            <v>964.06327527188364</v>
          </cell>
          <cell r="I21">
            <v>997.1338642991941</v>
          </cell>
          <cell r="J21">
            <v>1043.2294786004479</v>
          </cell>
          <cell r="K21">
            <v>1087.4706937880633</v>
          </cell>
          <cell r="L21">
            <v>1135.1869239353121</v>
          </cell>
          <cell r="M21">
            <v>1186.7587977660601</v>
          </cell>
          <cell r="N21">
            <v>1272.1229688651779</v>
          </cell>
          <cell r="O21">
            <v>1364.3162736522252</v>
          </cell>
        </row>
        <row r="23">
          <cell r="A23" t="str">
            <v xml:space="preserve">+Changes in working capital </v>
          </cell>
          <cell r="B23">
            <v>103.7</v>
          </cell>
          <cell r="C23">
            <v>34.599999999999994</v>
          </cell>
          <cell r="D23">
            <v>92.90000000000002</v>
          </cell>
          <cell r="E23">
            <v>-54.400000000000006</v>
          </cell>
          <cell r="F23">
            <v>35.599999999999966</v>
          </cell>
          <cell r="G23">
            <v>78.534048913696395</v>
          </cell>
          <cell r="H23">
            <v>20.37469338408367</v>
          </cell>
          <cell r="I23">
            <v>22.302910138218394</v>
          </cell>
          <cell r="J23">
            <v>14.411680078037307</v>
          </cell>
          <cell r="K23">
            <v>15.752866330109882</v>
          </cell>
          <cell r="L23">
            <v>17.21905069313091</v>
          </cell>
          <cell r="M23">
            <v>18.821761908585117</v>
          </cell>
          <cell r="N23">
            <v>18.821761908585117</v>
          </cell>
          <cell r="O23">
            <v>18.821761908585117</v>
          </cell>
        </row>
        <row r="24">
          <cell r="A24" t="str">
            <v>+Capital expenditures, asset purchases</v>
          </cell>
          <cell r="B24">
            <v>-90.699999999999989</v>
          </cell>
          <cell r="C24">
            <v>-79</v>
          </cell>
          <cell r="D24">
            <v>-67.7</v>
          </cell>
          <cell r="E24">
            <v>-45</v>
          </cell>
          <cell r="F24">
            <v>-42.3</v>
          </cell>
          <cell r="G24">
            <v>-68.960911981090902</v>
          </cell>
          <cell r="H24">
            <v>-64.710151843884233</v>
          </cell>
          <cell r="I24">
            <v>-67.638927986468801</v>
          </cell>
          <cell r="J24">
            <v>-70.3213606073178</v>
          </cell>
          <cell r="K24">
            <v>-73.22758369374607</v>
          </cell>
          <cell r="L24">
            <v>-76.380249000921424</v>
          </cell>
          <cell r="M24">
            <v>-79.804439351392034</v>
          </cell>
          <cell r="N24">
            <v>-79.804439351392034</v>
          </cell>
          <cell r="O24">
            <v>-79.804439351392034</v>
          </cell>
        </row>
        <row r="25">
          <cell r="A25" t="str">
            <v xml:space="preserve">          Working Capital to Sales</v>
          </cell>
          <cell r="B25">
            <v>5.7700868016915201E-2</v>
          </cell>
          <cell r="C25">
            <v>1.7027559055118109E-2</v>
          </cell>
          <cell r="D25">
            <v>4.0733108256237133E-2</v>
          </cell>
          <cell r="E25">
            <v>-1.9924550415705233E-2</v>
          </cell>
          <cell r="F25">
            <v>1.1976450798990738E-2</v>
          </cell>
          <cell r="G25">
            <v>2.4941376317374555E-2</v>
          </cell>
          <cell r="H25">
            <v>6.2972169910027126E-3</v>
          </cell>
          <cell r="I25">
            <v>6.5946965163847975E-3</v>
          </cell>
          <cell r="J25">
            <v>4.0988058119391961E-3</v>
          </cell>
          <cell r="K25">
            <v>4.3024405655638868E-3</v>
          </cell>
          <cell r="L25">
            <v>4.508770505035454E-3</v>
          </cell>
          <cell r="M25">
            <v>4.7169711513691155E-3</v>
          </cell>
          <cell r="N25">
            <v>4.3675658808973285E-3</v>
          </cell>
          <cell r="O25">
            <v>4.0440424823123414E-3</v>
          </cell>
        </row>
        <row r="26">
          <cell r="A26" t="str">
            <v xml:space="preserve">          Depreciation to Sales</v>
          </cell>
          <cell r="B26">
            <v>3.5666592477186732E-2</v>
          </cell>
          <cell r="C26">
            <v>3.2627952755905514E-2</v>
          </cell>
          <cell r="D26">
            <v>3.4726180558600432E-2</v>
          </cell>
          <cell r="E26">
            <v>3.4245321026993368E-2</v>
          </cell>
          <cell r="F26">
            <v>3.1421362489486966E-2</v>
          </cell>
          <cell r="G26">
            <v>2.6645410362374031E-2</v>
          </cell>
          <cell r="H26">
            <v>2.5529479107040634E-2</v>
          </cell>
          <cell r="I26">
            <v>2.5529479107040648E-2</v>
          </cell>
          <cell r="J26">
            <v>2.9999999999999995E-2</v>
          </cell>
          <cell r="K26">
            <v>0.03</v>
          </cell>
          <cell r="L26">
            <v>3.0000000000000002E-2</v>
          </cell>
          <cell r="M26">
            <v>0.03</v>
          </cell>
          <cell r="N26">
            <v>2.7777777777777776E-2</v>
          </cell>
          <cell r="O26">
            <v>2.5720164609053492E-2</v>
          </cell>
        </row>
        <row r="27">
          <cell r="A27" t="str">
            <v xml:space="preserve">         Capex to Sales</v>
          </cell>
          <cell r="B27">
            <v>5.0467393723569988E-2</v>
          </cell>
          <cell r="C27">
            <v>3.8877952755905512E-2</v>
          </cell>
          <cell r="D27">
            <v>2.9683868987591532E-2</v>
          </cell>
          <cell r="E27">
            <v>1.6481705307109108E-2</v>
          </cell>
          <cell r="F27">
            <v>1.4230445752733389E-2</v>
          </cell>
          <cell r="G27">
            <v>2.1901074511004436E-2</v>
          </cell>
          <cell r="H27">
            <v>1.9999999999999993E-2</v>
          </cell>
          <cell r="I27">
            <v>2.0000000000000004E-2</v>
          </cell>
          <cell r="J27">
            <v>2.0000000000000004E-2</v>
          </cell>
          <cell r="K27">
            <v>2.0000000000000004E-2</v>
          </cell>
          <cell r="L27">
            <v>2.0000000000000004E-2</v>
          </cell>
          <cell r="M27">
            <v>2.0000000000000004E-2</v>
          </cell>
          <cell r="N27">
            <v>1.8518518518518521E-2</v>
          </cell>
          <cell r="O27">
            <v>1.7146776406035666E-2</v>
          </cell>
        </row>
        <row r="28">
          <cell r="A28" t="str">
            <v xml:space="preserve">         Capex to Depreciation</v>
          </cell>
          <cell r="B28">
            <v>1.4149765990639624</v>
          </cell>
          <cell r="C28">
            <v>1.191553544494721</v>
          </cell>
          <cell r="D28">
            <v>0.85479797979797978</v>
          </cell>
          <cell r="E28">
            <v>0.48128342245989303</v>
          </cell>
          <cell r="F28">
            <v>0.45289079229122048</v>
          </cell>
          <cell r="G28">
            <v>0.82194547628100834</v>
          </cell>
          <cell r="H28">
            <v>0.78340807174887894</v>
          </cell>
          <cell r="I28">
            <v>0.78340807174887883</v>
          </cell>
          <cell r="J28">
            <v>0.66666666666666685</v>
          </cell>
          <cell r="K28">
            <v>0.66666666666666674</v>
          </cell>
          <cell r="L28">
            <v>0.66666666666666674</v>
          </cell>
          <cell r="M28">
            <v>0.66666666666666685</v>
          </cell>
          <cell r="N28">
            <v>0.66666666666666685</v>
          </cell>
          <cell r="O28">
            <v>0.66666666666666685</v>
          </cell>
        </row>
        <row r="29">
          <cell r="A29" t="str">
            <v>= Gross investment</v>
          </cell>
          <cell r="B29">
            <v>13.000000000000014</v>
          </cell>
          <cell r="C29">
            <v>-44.400000000000006</v>
          </cell>
          <cell r="D29">
            <v>25.200000000000017</v>
          </cell>
          <cell r="E29">
            <v>-99.4</v>
          </cell>
          <cell r="F29">
            <v>-6.7000000000000313</v>
          </cell>
          <cell r="G29">
            <v>9.5731369326054931</v>
          </cell>
          <cell r="H29">
            <v>-44.335458459800563</v>
          </cell>
          <cell r="I29">
            <v>-45.336017848250407</v>
          </cell>
          <cell r="J29">
            <v>-55.909680529280493</v>
          </cell>
          <cell r="K29">
            <v>-57.474717363636188</v>
          </cell>
          <cell r="L29">
            <v>-59.161198307790514</v>
          </cell>
          <cell r="M29">
            <v>-60.982677442806917</v>
          </cell>
          <cell r="N29">
            <v>-60.982677442806917</v>
          </cell>
          <cell r="O29">
            <v>-60.982677442806917</v>
          </cell>
        </row>
        <row r="31">
          <cell r="A31" t="str">
            <v>Free cash flow from operations</v>
          </cell>
          <cell r="B31">
            <v>516.70590383444926</v>
          </cell>
          <cell r="C31">
            <v>536.014191713483</v>
          </cell>
          <cell r="D31">
            <v>713.74102102102097</v>
          </cell>
          <cell r="E31">
            <v>736.7716167288437</v>
          </cell>
          <cell r="F31">
            <v>973.12094035831126</v>
          </cell>
          <cell r="G31">
            <v>1002.2228763620077</v>
          </cell>
          <cell r="H31">
            <v>919.72781681208312</v>
          </cell>
          <cell r="I31">
            <v>951.79784645094367</v>
          </cell>
          <cell r="J31">
            <v>987.31979807116738</v>
          </cell>
          <cell r="K31">
            <v>1029.995976424427</v>
          </cell>
          <cell r="L31">
            <v>1076.0257256275215</v>
          </cell>
          <cell r="M31">
            <v>1125.7761203232531</v>
          </cell>
          <cell r="N31">
            <v>1211.1402914223709</v>
          </cell>
          <cell r="O31">
            <v>1303.3335962094181</v>
          </cell>
        </row>
        <row r="32">
          <cell r="A32" t="str">
            <v>FCF growth</v>
          </cell>
          <cell r="C32">
            <v>3.7368041928199203E-2</v>
          </cell>
          <cell r="D32">
            <v>0.33157112639013619</v>
          </cell>
          <cell r="E32">
            <v>3.2267440191229291E-2</v>
          </cell>
          <cell r="F32">
            <v>0.32079048413784372</v>
          </cell>
          <cell r="G32">
            <v>2.9905775116688904E-2</v>
          </cell>
          <cell r="H32">
            <v>-8.2312089950865364E-2</v>
          </cell>
          <cell r="I32">
            <v>3.4869043919993903E-2</v>
          </cell>
          <cell r="J32">
            <v>3.7320899340839819E-2</v>
          </cell>
          <cell r="K32">
            <v>4.3224270835682699E-2</v>
          </cell>
          <cell r="L32">
            <v>4.4689251469587576E-2</v>
          </cell>
          <cell r="M32">
            <v>4.6235320876476083E-2</v>
          </cell>
          <cell r="N32">
            <v>7.582695134322659E-2</v>
          </cell>
          <cell r="O32">
            <v>7.6121078160792388E-2</v>
          </cell>
        </row>
        <row r="34">
          <cell r="A34" t="str">
            <v>Present value of cash flows</v>
          </cell>
          <cell r="G34">
            <v>13218.877880168749</v>
          </cell>
          <cell r="H34">
            <v>13479.649355083631</v>
          </cell>
          <cell r="I34">
            <v>13847.831234313498</v>
          </cell>
          <cell r="J34">
            <v>14219.120928644825</v>
          </cell>
          <cell r="K34">
            <v>14590.363451505862</v>
          </cell>
          <cell r="L34">
            <v>14954.400069177347</v>
          </cell>
          <cell r="M34">
            <v>15307.188724416517</v>
          </cell>
          <cell r="N34">
            <v>1105.5142147505424</v>
          </cell>
        </row>
        <row r="35">
          <cell r="A35" t="str">
            <v>Terminal Value</v>
          </cell>
        </row>
        <row r="36">
          <cell r="A36" t="str">
            <v xml:space="preserve"> -Minority Interest</v>
          </cell>
          <cell r="G36">
            <v>-223.89999999999998</v>
          </cell>
          <cell r="H36">
            <v>-211.60000000000002</v>
          </cell>
          <cell r="I36">
            <v>-207.87503763175755</v>
          </cell>
          <cell r="J36">
            <v>-227.7364056450181</v>
          </cell>
          <cell r="K36">
            <v>-249.49542305308941</v>
          </cell>
          <cell r="L36">
            <v>-273.33340028852683</v>
          </cell>
          <cell r="M36">
            <v>-299.44897104341055</v>
          </cell>
          <cell r="N36">
            <v>-299.44897104341055</v>
          </cell>
        </row>
        <row r="37">
          <cell r="A37" t="str">
            <v>+ Net Debt</v>
          </cell>
          <cell r="G37">
            <v>241.47640259968807</v>
          </cell>
          <cell r="H37">
            <v>95.851361713649567</v>
          </cell>
          <cell r="I37">
            <v>435.02887776501075</v>
          </cell>
          <cell r="J37">
            <v>727.14242988118531</v>
          </cell>
          <cell r="K37">
            <v>965.05227422681537</v>
          </cell>
          <cell r="L37">
            <v>1143.8398746756141</v>
          </cell>
          <cell r="M37">
            <v>1258.1575202276531</v>
          </cell>
          <cell r="N37">
            <v>1258.1575202276531</v>
          </cell>
        </row>
        <row r="38">
          <cell r="A38" t="str">
            <v>+ Preferred Equity</v>
          </cell>
          <cell r="G38">
            <v>0</v>
          </cell>
          <cell r="H38">
            <v>0</v>
          </cell>
          <cell r="I38">
            <v>0</v>
          </cell>
          <cell r="J38">
            <v>0</v>
          </cell>
          <cell r="K38">
            <v>0</v>
          </cell>
          <cell r="L38">
            <v>0</v>
          </cell>
          <cell r="M38">
            <v>0</v>
          </cell>
          <cell r="N38">
            <v>0</v>
          </cell>
        </row>
        <row r="39">
          <cell r="A39" t="str">
            <v>Implied Market Cap</v>
          </cell>
          <cell r="G39">
            <v>13236.454282768438</v>
          </cell>
          <cell r="H39">
            <v>13363.900716797281</v>
          </cell>
          <cell r="I39">
            <v>14074.985074446753</v>
          </cell>
          <cell r="J39">
            <v>14718.526952880991</v>
          </cell>
          <cell r="K39">
            <v>15305.920302679588</v>
          </cell>
          <cell r="L39">
            <v>15824.906543564433</v>
          </cell>
          <cell r="M39">
            <v>16265.89727360076</v>
          </cell>
          <cell r="N39">
            <v>2064.2227639347848</v>
          </cell>
        </row>
        <row r="40">
          <cell r="A40" t="str">
            <v>Fully-diluted shares</v>
          </cell>
          <cell r="G40">
            <v>214.42488607655233</v>
          </cell>
          <cell r="H40">
            <v>205.69383795442468</v>
          </cell>
          <cell r="I40">
            <v>196.96183632218407</v>
          </cell>
          <cell r="J40">
            <v>185.31916747919655</v>
          </cell>
          <cell r="K40">
            <v>173.676498636209</v>
          </cell>
          <cell r="L40">
            <v>162.03382979322149</v>
          </cell>
          <cell r="M40">
            <v>150.39116095023394</v>
          </cell>
          <cell r="N40">
            <v>150.39116095023394</v>
          </cell>
        </row>
        <row r="41">
          <cell r="A41" t="str">
            <v>Implied Value per Share</v>
          </cell>
          <cell r="G41">
            <v>61.730028286189039</v>
          </cell>
          <cell r="H41">
            <v>64.969864190867511</v>
          </cell>
          <cell r="I41">
            <v>71.460468369229304</v>
          </cell>
          <cell r="J41">
            <v>79.422582958307615</v>
          </cell>
          <cell r="K41">
            <v>88.128908763528742</v>
          </cell>
          <cell r="L41">
            <v>97.6642134778848</v>
          </cell>
          <cell r="M41">
            <v>108.15726915615288</v>
          </cell>
          <cell r="N41">
            <v>13.72569206123662</v>
          </cell>
        </row>
        <row r="44">
          <cell r="A44" t="str">
            <v>WACC</v>
          </cell>
          <cell r="F44" t="str">
            <v>Valuation</v>
          </cell>
          <cell r="G44" t="str">
            <v>BEAR</v>
          </cell>
          <cell r="H44" t="str">
            <v>BASE</v>
          </cell>
          <cell r="I44" t="str">
            <v>BULL</v>
          </cell>
        </row>
        <row r="45">
          <cell r="A45" t="str">
            <v>Debt/total capital</v>
          </cell>
          <cell r="B45">
            <v>0.3</v>
          </cell>
          <cell r="C45">
            <v>9.3135953266064789E-2</v>
          </cell>
          <cell r="F45" t="str">
            <v>DCF Price</v>
          </cell>
          <cell r="G45">
            <v>32.344173367761847</v>
          </cell>
          <cell r="H45">
            <v>61.730028286189039</v>
          </cell>
          <cell r="I45">
            <v>77.659720288215127</v>
          </cell>
        </row>
        <row r="46">
          <cell r="A46" t="str">
            <v>Equity/total capital</v>
          </cell>
          <cell r="B46">
            <v>0.7</v>
          </cell>
          <cell r="C46">
            <v>0.90686404673393517</v>
          </cell>
          <cell r="F46" t="str">
            <v>NTM EPS</v>
          </cell>
          <cell r="G46">
            <v>3.1697009287474112</v>
          </cell>
          <cell r="H46">
            <v>3.7740000597517245</v>
          </cell>
          <cell r="I46">
            <v>4.0261606147407552</v>
          </cell>
        </row>
        <row r="47">
          <cell r="F47" t="str">
            <v>FY 2015 EPS</v>
          </cell>
          <cell r="G47">
            <v>3.238898957871577</v>
          </cell>
          <cell r="H47">
            <v>3.9050212591370803</v>
          </cell>
          <cell r="I47">
            <v>4.2130583331658249</v>
          </cell>
        </row>
        <row r="48">
          <cell r="A48" t="str">
            <v>Credit rating</v>
          </cell>
          <cell r="B48" t="str">
            <v>BBB+/Stable/A-2</v>
          </cell>
          <cell r="F48" t="str">
            <v>NTM PE</v>
          </cell>
          <cell r="G48">
            <v>10.204171969165394</v>
          </cell>
          <cell r="H48">
            <v>16.356658004464897</v>
          </cell>
          <cell r="I48">
            <v>19.28877849628849</v>
          </cell>
        </row>
        <row r="49">
          <cell r="A49" t="str">
            <v xml:space="preserve"> Cost of long-term debt</v>
          </cell>
          <cell r="B49">
            <v>4.8901269999999997E-2</v>
          </cell>
          <cell r="C49">
            <v>5.2736792003807709E-2</v>
          </cell>
          <cell r="F49" t="str">
            <v>FY 2015 PE</v>
          </cell>
          <cell r="G49">
            <v>9.986163133973351</v>
          </cell>
          <cell r="H49">
            <v>15.807859724643331</v>
          </cell>
          <cell r="I49">
            <v>18.433098748447463</v>
          </cell>
        </row>
        <row r="50">
          <cell r="A50" t="str">
            <v xml:space="preserve"> After tax cost of long-term debt</v>
          </cell>
          <cell r="B50">
            <v>3.1785825499999996E-2</v>
          </cell>
          <cell r="F50" t="str">
            <v xml:space="preserve">NTM EBITDA </v>
          </cell>
          <cell r="G50">
            <v>1185.4563613320909</v>
          </cell>
          <cell r="H50">
            <v>1375.7265081073183</v>
          </cell>
          <cell r="I50">
            <v>1456.1014291398865</v>
          </cell>
        </row>
        <row r="51">
          <cell r="F51" t="str">
            <v xml:space="preserve">FY 2015 EBITDA </v>
          </cell>
          <cell r="G51">
            <v>1191.8745755519262</v>
          </cell>
          <cell r="H51">
            <v>1398.216423171549</v>
          </cell>
          <cell r="I51">
            <v>1495.037927583599</v>
          </cell>
        </row>
        <row r="52">
          <cell r="A52" t="str">
            <v>Current price</v>
          </cell>
          <cell r="B52" t="str">
            <v>$95</v>
          </cell>
          <cell r="F52" t="str">
            <v>Implied NTM EV</v>
          </cell>
          <cell r="G52">
            <v>4741.8254453283635</v>
          </cell>
          <cell r="H52">
            <v>10661.880437831716</v>
          </cell>
          <cell r="I52">
            <v>12376.862147689035</v>
          </cell>
        </row>
        <row r="53">
          <cell r="A53" t="str">
            <v>Current shares</v>
          </cell>
          <cell r="B53">
            <v>215.7</v>
          </cell>
          <cell r="F53" t="str">
            <v>Implied '15 EV</v>
          </cell>
          <cell r="G53">
            <v>4767.4983022077049</v>
          </cell>
          <cell r="H53">
            <v>10836.177279579504</v>
          </cell>
          <cell r="I53">
            <v>12707.822384460591</v>
          </cell>
        </row>
        <row r="54">
          <cell r="A54" t="str">
            <v>Current market cap</v>
          </cell>
          <cell r="B54">
            <v>20491.5</v>
          </cell>
          <cell r="F54" t="str">
            <v>Revenue CAGR '14 -'18</v>
          </cell>
          <cell r="G54">
            <v>1.6507630522099914E-2</v>
          </cell>
          <cell r="H54">
            <v>3.8428941643235515E-2</v>
          </cell>
          <cell r="I54">
            <v>6.050343193475971E-2</v>
          </cell>
        </row>
        <row r="55">
          <cell r="A55" t="str">
            <v xml:space="preserve">Risk free rate </v>
          </cell>
          <cell r="B55">
            <v>3.2869999999999996E-2</v>
          </cell>
          <cell r="F55" t="str">
            <v>MIS CAGR '14 -'18</v>
          </cell>
          <cell r="G55">
            <v>-1.3179828620274003E-2</v>
          </cell>
          <cell r="H55">
            <v>9.0027383953112938E-3</v>
          </cell>
          <cell r="I55">
            <v>3.1482628180582228E-2</v>
          </cell>
        </row>
        <row r="56">
          <cell r="A56" t="str">
            <v>Market risk premium</v>
          </cell>
          <cell r="B56">
            <v>0.06</v>
          </cell>
          <cell r="F56" t="str">
            <v>MA CAGR '14 -'18</v>
          </cell>
          <cell r="G56">
            <v>7.6485798782303993E-2</v>
          </cell>
          <cell r="H56">
            <v>9.6149097790246163E-2</v>
          </cell>
          <cell r="I56">
            <v>0.11583581191452774</v>
          </cell>
        </row>
        <row r="57">
          <cell r="A57" t="str">
            <v>Equity beta</v>
          </cell>
          <cell r="B57">
            <v>1.5</v>
          </cell>
          <cell r="F57" t="str">
            <v>EPS CAGR '14 -'18</v>
          </cell>
          <cell r="G57">
            <v>-2.1199450776890671E-2</v>
          </cell>
          <cell r="H57">
            <v>7.469319960135401E-2</v>
          </cell>
          <cell r="I57">
            <v>0.11731739891968784</v>
          </cell>
        </row>
        <row r="58">
          <cell r="A58" t="str">
            <v>Cost of equity</v>
          </cell>
          <cell r="B58">
            <v>0.12286999999999999</v>
          </cell>
          <cell r="F58" t="str">
            <v>EBITDA CAGR '14 -'18</v>
          </cell>
          <cell r="G58">
            <v>-4.3443082217378248E-2</v>
          </cell>
          <cell r="H58">
            <v>1.7271445206129554E-2</v>
          </cell>
          <cell r="I58">
            <v>4.5730883101326558E-2</v>
          </cell>
        </row>
        <row r="59">
          <cell r="F59" t="str">
            <v>EBITDA Margin FY 2015</v>
          </cell>
          <cell r="G59">
            <v>0.38053101468196637</v>
          </cell>
          <cell r="H59">
            <v>0.43214747093927403</v>
          </cell>
          <cell r="I59">
            <v>0.44755682577509487</v>
          </cell>
        </row>
        <row r="60">
          <cell r="A60" t="str">
            <v>WACC</v>
          </cell>
          <cell r="B60">
            <v>9.5544747649999984E-2</v>
          </cell>
        </row>
        <row r="61">
          <cell r="F61" t="str">
            <v>Year</v>
          </cell>
          <cell r="G61" t="str">
            <v>2014E</v>
          </cell>
          <cell r="H61" t="str">
            <v>2015E</v>
          </cell>
          <cell r="I61" t="str">
            <v>2016E</v>
          </cell>
          <cell r="J61" t="str">
            <v>2017E</v>
          </cell>
          <cell r="K61" t="str">
            <v>2018E</v>
          </cell>
          <cell r="L61" t="str">
            <v>2019E</v>
          </cell>
          <cell r="M61" t="str">
            <v>2020E</v>
          </cell>
        </row>
        <row r="62">
          <cell r="A62" t="str">
            <v>Terminal value</v>
          </cell>
          <cell r="B62">
            <v>13270.493883918192</v>
          </cell>
          <cell r="F62" t="str">
            <v>Terminal value</v>
          </cell>
          <cell r="G62">
            <v>7675.4944106365801</v>
          </cell>
          <cell r="H62">
            <v>8408.847587189839</v>
          </cell>
          <cell r="I62">
            <v>9212.2688079352029</v>
          </cell>
          <cell r="J62">
            <v>10092.452706473337</v>
          </cell>
          <cell r="K62">
            <v>11056.733553482893</v>
          </cell>
          <cell r="L62">
            <v>12113.146370683704</v>
          </cell>
          <cell r="M62">
            <v>13270.493883918192</v>
          </cell>
        </row>
        <row r="63">
          <cell r="A63" t="str">
            <v>NPV of TV</v>
          </cell>
          <cell r="D63">
            <v>9</v>
          </cell>
          <cell r="E63">
            <v>2020</v>
          </cell>
          <cell r="F63" t="str">
            <v>Discount Period</v>
          </cell>
          <cell r="G63">
            <v>6</v>
          </cell>
          <cell r="H63">
            <v>5</v>
          </cell>
          <cell r="I63">
            <v>4</v>
          </cell>
          <cell r="J63">
            <v>3</v>
          </cell>
          <cell r="K63">
            <v>2</v>
          </cell>
          <cell r="L63">
            <v>1</v>
          </cell>
          <cell r="M63">
            <v>0</v>
          </cell>
        </row>
        <row r="64">
          <cell r="A64" t="str">
            <v>Terminal EBITDA multiple</v>
          </cell>
          <cell r="B64">
            <v>7.75</v>
          </cell>
          <cell r="F64" t="str">
            <v>Discount Factor</v>
          </cell>
          <cell r="G64">
            <v>0.57838799955577425</v>
          </cell>
          <cell r="H64">
            <v>0.63364993501711908</v>
          </cell>
          <cell r="I64">
            <v>0.69419185815676854</v>
          </cell>
          <cell r="J64">
            <v>0.76051824406504165</v>
          </cell>
          <cell r="K64">
            <v>0.83318176777745723</v>
          </cell>
          <cell r="L64">
            <v>0.91278790952633526</v>
          </cell>
          <cell r="M64">
            <v>1</v>
          </cell>
        </row>
        <row r="65">
          <cell r="A65" t="str">
            <v>BEAR</v>
          </cell>
          <cell r="B65">
            <v>4</v>
          </cell>
        </row>
        <row r="66">
          <cell r="A66" t="str">
            <v>BASE</v>
          </cell>
          <cell r="B66">
            <v>7.75</v>
          </cell>
          <cell r="F66" t="str">
            <v>Key Metrics</v>
          </cell>
          <cell r="I66" t="str">
            <v>2014E</v>
          </cell>
          <cell r="J66" t="str">
            <v>2015E</v>
          </cell>
          <cell r="K66" t="str">
            <v>2016E</v>
          </cell>
          <cell r="L66" t="str">
            <v>2017E</v>
          </cell>
          <cell r="M66" t="str">
            <v>2018E</v>
          </cell>
        </row>
        <row r="67">
          <cell r="A67" t="str">
            <v>BULL</v>
          </cell>
          <cell r="B67">
            <v>8.5</v>
          </cell>
          <cell r="F67" t="str">
            <v>EBITDA</v>
          </cell>
          <cell r="I67">
            <v>1440.243082517818</v>
          </cell>
          <cell r="J67">
            <v>1398.216423171549</v>
          </cell>
          <cell r="K67">
            <v>1445.7341573404726</v>
          </cell>
          <cell r="L67">
            <v>1505.1050822385459</v>
          </cell>
          <cell r="M67">
            <v>1568.9896117308344</v>
          </cell>
          <cell r="N67" t="str">
            <v>Diluted Shares</v>
          </cell>
          <cell r="O67">
            <v>215.7</v>
          </cell>
        </row>
        <row r="68">
          <cell r="F68" t="str">
            <v>Recurring EPS</v>
          </cell>
          <cell r="I68">
            <v>3.8691867210412338</v>
          </cell>
          <cell r="J68">
            <v>3.9050212591370803</v>
          </cell>
          <cell r="K68">
            <v>4.2256062915810233</v>
          </cell>
          <cell r="L68">
            <v>4.6323804016041032</v>
          </cell>
          <cell r="M68">
            <v>5.1612832264003741</v>
          </cell>
          <cell r="N68" t="str">
            <v>Net Debt</v>
          </cell>
          <cell r="O68">
            <v>145.19999999999982</v>
          </cell>
        </row>
        <row r="69">
          <cell r="A69" t="str">
            <v>Terminal growth rate</v>
          </cell>
          <cell r="B69">
            <v>9.8740763381555477E-3</v>
          </cell>
          <cell r="F69" t="str">
            <v>Free Cash Flow</v>
          </cell>
          <cell r="I69">
            <v>1002.2228763620077</v>
          </cell>
          <cell r="J69">
            <v>919.72781681208312</v>
          </cell>
          <cell r="K69">
            <v>951.79784645094367</v>
          </cell>
          <cell r="L69">
            <v>987.31979807116738</v>
          </cell>
          <cell r="M69">
            <v>1029.995976424427</v>
          </cell>
        </row>
        <row r="70">
          <cell r="A70" t="str">
            <v>MCO Beta</v>
          </cell>
        </row>
        <row r="71">
          <cell r="A71" t="str">
            <v>3 Yr Weekly</v>
          </cell>
          <cell r="B71">
            <v>1.5</v>
          </cell>
          <cell r="F71" t="str">
            <v>Share</v>
          </cell>
          <cell r="G71" t="str">
            <v>Market</v>
          </cell>
          <cell r="H71" t="str">
            <v>EV</v>
          </cell>
          <cell r="I71" t="str">
            <v>EV / EBITDA</v>
          </cell>
          <cell r="L71" t="str">
            <v>P/E</v>
          </cell>
          <cell r="O71" t="str">
            <v>FCF Yield</v>
          </cell>
        </row>
        <row r="72">
          <cell r="A72" t="str">
            <v>23-35 consec mo end</v>
          </cell>
          <cell r="B72">
            <v>1.6</v>
          </cell>
          <cell r="F72" t="str">
            <v>Price</v>
          </cell>
          <cell r="G72" t="str">
            <v>Cap</v>
          </cell>
          <cell r="I72" t="str">
            <v>2014E</v>
          </cell>
          <cell r="J72" t="str">
            <v>2015E</v>
          </cell>
          <cell r="K72" t="str">
            <v>2016E</v>
          </cell>
          <cell r="L72" t="str">
            <v>2014E</v>
          </cell>
          <cell r="M72" t="str">
            <v>2015E</v>
          </cell>
          <cell r="N72" t="str">
            <v>2016E</v>
          </cell>
          <cell r="O72" t="str">
            <v>2014E</v>
          </cell>
          <cell r="P72" t="str">
            <v>2015E</v>
          </cell>
          <cell r="Q72" t="str">
            <v>2016E</v>
          </cell>
        </row>
        <row r="73">
          <cell r="A73" t="str">
            <v>5 year Monthly</v>
          </cell>
          <cell r="B73">
            <v>1.4</v>
          </cell>
          <cell r="F73">
            <v>107</v>
          </cell>
          <cell r="G73">
            <v>23079.899999999998</v>
          </cell>
          <cell r="H73">
            <v>23225.1</v>
          </cell>
          <cell r="I73">
            <v>16.12581951054965</v>
          </cell>
          <cell r="J73">
            <v>16.610518668718626</v>
          </cell>
          <cell r="K73">
            <v>16.064571679432522</v>
          </cell>
          <cell r="L73">
            <v>27.654390370492461</v>
          </cell>
          <cell r="M73">
            <v>27.400619074643537</v>
          </cell>
          <cell r="N73">
            <v>25.321810082776459</v>
          </cell>
          <cell r="O73">
            <v>4.3424056272427861E-2</v>
          </cell>
          <cell r="P73">
            <v>3.9849731446500343E-2</v>
          </cell>
          <cell r="Q73">
            <v>4.1239253482508322E-2</v>
          </cell>
        </row>
        <row r="74">
          <cell r="A74" t="str">
            <v>Average</v>
          </cell>
          <cell r="B74">
            <v>1.5</v>
          </cell>
          <cell r="F74">
            <v>105</v>
          </cell>
          <cell r="G74">
            <v>22648.5</v>
          </cell>
          <cell r="H74">
            <v>22793.7</v>
          </cell>
          <cell r="I74">
            <v>15.826286740535695</v>
          </cell>
          <cell r="J74">
            <v>16.30198274191163</v>
          </cell>
          <cell r="K74">
            <v>15.766176571445596</v>
          </cell>
          <cell r="L74">
            <v>27.137485877586062</v>
          </cell>
          <cell r="M74">
            <v>26.888457970444591</v>
          </cell>
          <cell r="N74">
            <v>24.848505221416151</v>
          </cell>
          <cell r="O74">
            <v>4.4251181153807433E-2</v>
          </cell>
          <cell r="P74">
            <v>4.0608773950243197E-2</v>
          </cell>
          <cell r="Q74">
            <v>4.2024763072651329E-2</v>
          </cell>
        </row>
        <row r="75">
          <cell r="A75" t="str">
            <v>Source: Thomson Reuters</v>
          </cell>
          <cell r="F75">
            <v>103</v>
          </cell>
          <cell r="G75">
            <v>22217.1</v>
          </cell>
          <cell r="H75">
            <v>22362.3</v>
          </cell>
          <cell r="I75">
            <v>15.526753970521739</v>
          </cell>
          <cell r="J75">
            <v>15.993446815104631</v>
          </cell>
          <cell r="K75">
            <v>15.467781463458667</v>
          </cell>
          <cell r="L75">
            <v>26.62058138467966</v>
          </cell>
          <cell r="M75">
            <v>26.376296866245646</v>
          </cell>
          <cell r="N75">
            <v>24.375200360055846</v>
          </cell>
          <cell r="O75">
            <v>4.5110427389803698E-2</v>
          </cell>
          <cell r="P75">
            <v>4.13972938327722E-2</v>
          </cell>
          <cell r="Q75">
            <v>4.2840777889596018E-2</v>
          </cell>
        </row>
        <row r="76">
          <cell r="F76">
            <v>101</v>
          </cell>
          <cell r="G76">
            <v>21785.699999999997</v>
          </cell>
          <cell r="H76">
            <v>21930.899999999998</v>
          </cell>
          <cell r="I76">
            <v>15.227221200507783</v>
          </cell>
          <cell r="J76">
            <v>15.684910888297631</v>
          </cell>
          <cell r="K76">
            <v>15.169386355471739</v>
          </cell>
          <cell r="L76">
            <v>26.103676891773258</v>
          </cell>
          <cell r="M76">
            <v>25.864135762046701</v>
          </cell>
          <cell r="N76">
            <v>23.901895498695538</v>
          </cell>
          <cell r="O76">
            <v>4.6003703179700803E-2</v>
          </cell>
          <cell r="P76">
            <v>4.2217042225500365E-2</v>
          </cell>
          <cell r="Q76">
            <v>4.368911012503357E-2</v>
          </cell>
        </row>
        <row r="77">
          <cell r="F77">
            <v>99</v>
          </cell>
          <cell r="G77">
            <v>21354.3</v>
          </cell>
          <cell r="H77">
            <v>21499.5</v>
          </cell>
          <cell r="I77">
            <v>14.927688430493829</v>
          </cell>
          <cell r="J77">
            <v>15.376374961490635</v>
          </cell>
          <cell r="K77">
            <v>14.870991247484813</v>
          </cell>
          <cell r="L77">
            <v>25.586772398866856</v>
          </cell>
          <cell r="M77">
            <v>25.351974657847759</v>
          </cell>
          <cell r="N77">
            <v>23.42859063733523</v>
          </cell>
          <cell r="O77">
            <v>4.693307092070486E-2</v>
          </cell>
          <cell r="P77">
            <v>4.3069911765409453E-2</v>
          </cell>
          <cell r="Q77">
            <v>4.4571718410387776E-2</v>
          </cell>
        </row>
        <row r="78">
          <cell r="F78">
            <v>97</v>
          </cell>
          <cell r="G78">
            <v>20922.899999999998</v>
          </cell>
          <cell r="H78">
            <v>21068.1</v>
          </cell>
          <cell r="I78">
            <v>14.628155660479871</v>
          </cell>
          <cell r="J78">
            <v>15.067839034683637</v>
          </cell>
          <cell r="K78">
            <v>14.572596139497884</v>
          </cell>
          <cell r="L78">
            <v>25.069867905960457</v>
          </cell>
          <cell r="M78">
            <v>24.839813553648813</v>
          </cell>
          <cell r="N78">
            <v>22.955285775974922</v>
          </cell>
          <cell r="O78">
            <v>4.7900763104636916E-2</v>
          </cell>
          <cell r="P78">
            <v>4.3957951183252957E-2</v>
          </cell>
          <cell r="Q78">
            <v>4.5490722913694742E-2</v>
          </cell>
        </row>
        <row r="79">
          <cell r="F79" t="str">
            <v>$95</v>
          </cell>
          <cell r="G79">
            <v>20491.5</v>
          </cell>
          <cell r="H79">
            <v>20636.7</v>
          </cell>
          <cell r="I79">
            <v>14.328622890465917</v>
          </cell>
          <cell r="J79">
            <v>14.759303107876638</v>
          </cell>
          <cell r="K79">
            <v>14.274201031510959</v>
          </cell>
          <cell r="L79">
            <v>24.552963413054055</v>
          </cell>
          <cell r="M79">
            <v>24.327652449449868</v>
          </cell>
          <cell r="N79">
            <v>22.481980914614613</v>
          </cell>
          <cell r="O79">
            <v>4.8909200222629269E-2</v>
          </cell>
          <cell r="P79">
            <v>4.4883381734479325E-2</v>
          </cell>
          <cell r="Q79">
            <v>4.6448422343456731E-2</v>
          </cell>
        </row>
        <row r="80">
          <cell r="F80">
            <v>93</v>
          </cell>
          <cell r="G80">
            <v>20060.099999999999</v>
          </cell>
          <cell r="H80">
            <v>20205.3</v>
          </cell>
          <cell r="I80">
            <v>14.029090120451961</v>
          </cell>
          <cell r="J80">
            <v>14.45076718106964</v>
          </cell>
          <cell r="K80">
            <v>13.97580592352403</v>
          </cell>
          <cell r="L80">
            <v>24.036058920147653</v>
          </cell>
          <cell r="M80">
            <v>23.815491345250923</v>
          </cell>
          <cell r="N80">
            <v>22.008676053254305</v>
          </cell>
          <cell r="O80">
            <v>4.9961010980105171E-2</v>
          </cell>
          <cell r="P80">
            <v>4.5848615750274581E-2</v>
          </cell>
          <cell r="Q80">
            <v>4.7447313146541825E-2</v>
          </cell>
        </row>
        <row r="81">
          <cell r="F81">
            <v>91</v>
          </cell>
          <cell r="G81">
            <v>19628.7</v>
          </cell>
          <cell r="H81">
            <v>19773.900000000001</v>
          </cell>
          <cell r="I81">
            <v>13.729557350438007</v>
          </cell>
          <cell r="J81">
            <v>14.142231254262644</v>
          </cell>
          <cell r="K81">
            <v>13.677410815537105</v>
          </cell>
          <cell r="L81">
            <v>23.519154427241254</v>
          </cell>
          <cell r="M81">
            <v>23.303330241051977</v>
          </cell>
          <cell r="N81">
            <v>21.535371191893997</v>
          </cell>
          <cell r="O81">
            <v>5.1059055177470114E-2</v>
          </cell>
          <cell r="P81">
            <v>4.6856277634895999E-2</v>
          </cell>
          <cell r="Q81">
            <v>4.8490111237674612E-2</v>
          </cell>
        </row>
        <row r="82">
          <cell r="F82">
            <v>89</v>
          </cell>
          <cell r="G82">
            <v>19197.3</v>
          </cell>
          <cell r="H82">
            <v>19342.5</v>
          </cell>
          <cell r="I82">
            <v>13.43002458042405</v>
          </cell>
          <cell r="J82">
            <v>13.833695327455644</v>
          </cell>
          <cell r="K82">
            <v>13.379015707550176</v>
          </cell>
          <cell r="L82">
            <v>23.002249934334852</v>
          </cell>
          <cell r="M82">
            <v>22.791169136853036</v>
          </cell>
          <cell r="N82">
            <v>21.062066330533689</v>
          </cell>
          <cell r="O82">
            <v>5.2206449675840233E-2</v>
          </cell>
          <cell r="P82">
            <v>4.7909227694107145E-2</v>
          </cell>
          <cell r="Q82">
            <v>4.9579776658745953E-2</v>
          </cell>
        </row>
        <row r="83">
          <cell r="F83">
            <v>87</v>
          </cell>
          <cell r="G83">
            <v>18765.899999999998</v>
          </cell>
          <cell r="H83">
            <v>18911.099999999999</v>
          </cell>
          <cell r="I83">
            <v>13.130491810410094</v>
          </cell>
          <cell r="J83">
            <v>13.525159400648644</v>
          </cell>
          <cell r="K83">
            <v>13.080620599563247</v>
          </cell>
          <cell r="L83">
            <v>22.48534544142845</v>
          </cell>
          <cell r="M83">
            <v>22.27900803265409</v>
          </cell>
          <cell r="N83">
            <v>20.588761469173384</v>
          </cell>
          <cell r="O83">
            <v>5.3406597944250359E-2</v>
          </cell>
          <cell r="P83">
            <v>4.9010589250293522E-2</v>
          </cell>
          <cell r="Q83">
            <v>5.0719541639406784E-2</v>
          </cell>
        </row>
        <row r="84">
          <cell r="F84">
            <v>85</v>
          </cell>
          <cell r="G84">
            <v>18334.5</v>
          </cell>
          <cell r="H84">
            <v>18479.7</v>
          </cell>
          <cell r="I84">
            <v>12.83095904039614</v>
          </cell>
          <cell r="J84">
            <v>13.216623473841647</v>
          </cell>
          <cell r="K84">
            <v>12.782225491576321</v>
          </cell>
          <cell r="L84">
            <v>21.968440948522048</v>
          </cell>
          <cell r="M84">
            <v>21.766846928455145</v>
          </cell>
          <cell r="N84">
            <v>20.115456607813076</v>
          </cell>
          <cell r="O84">
            <v>5.4663223778232711E-2</v>
          </cell>
          <cell r="P84">
            <v>5.0163779585594544E-2</v>
          </cell>
          <cell r="Q84">
            <v>5.1912942619157527E-2</v>
          </cell>
        </row>
        <row r="85">
          <cell r="F85">
            <v>70</v>
          </cell>
          <cell r="G85">
            <v>15099</v>
          </cell>
          <cell r="H85">
            <v>15244.2</v>
          </cell>
          <cell r="I85">
            <v>10.584463265291474</v>
          </cell>
          <cell r="J85">
            <v>10.902604022789161</v>
          </cell>
          <cell r="K85">
            <v>10.544262181674364</v>
          </cell>
          <cell r="L85">
            <v>18.09165725172404</v>
          </cell>
          <cell r="M85">
            <v>17.925638646963062</v>
          </cell>
          <cell r="N85">
            <v>16.565670147610767</v>
          </cell>
          <cell r="O85">
            <v>6.6376771730711159E-2</v>
          </cell>
          <cell r="P85">
            <v>6.09131609253648E-2</v>
          </cell>
          <cell r="Q85">
            <v>6.3037144608976997E-2</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
      <sheetName val="Scenario"/>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MCO"/>
      <sheetName val="MIS Revenue Driver"/>
      <sheetName val="MIS Revenue Driver(base)"/>
      <sheetName val="Key Stats"/>
      <sheetName val="Linking Tab (MHFI)"/>
      <sheetName val="Variance"/>
      <sheetName val="Guidance"/>
      <sheetName val="DCF"/>
      <sheetName val="MW-Cache"/>
      <sheetName val="MW Valuation"/>
      <sheetName val="mwareDates"/>
      <sheetName val="MWA RR"/>
      <sheetName val="Rates"/>
      <sheetName val="mwareSettings"/>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ow r="3">
          <cell r="A3">
            <v>2</v>
          </cell>
        </row>
        <row r="7">
          <cell r="A7" t="str">
            <v>Moody's Corporation</v>
          </cell>
          <cell r="B7" t="str">
            <v>Terminal Multiple:</v>
          </cell>
          <cell r="D7">
            <v>7.75</v>
          </cell>
          <cell r="F7" t="str">
            <v>WACC:</v>
          </cell>
          <cell r="G7">
            <v>9.5544747649999984E-2</v>
          </cell>
          <cell r="I7" t="str">
            <v>Terminal Growth:</v>
          </cell>
          <cell r="K7">
            <v>9.8740763381555477E-3</v>
          </cell>
        </row>
        <row r="8">
          <cell r="A8" t="str">
            <v>(USD mm)</v>
          </cell>
          <cell r="D8">
            <v>2011</v>
          </cell>
          <cell r="G8">
            <v>2014</v>
          </cell>
          <cell r="H8">
            <v>2015</v>
          </cell>
          <cell r="I8">
            <v>2016</v>
          </cell>
          <cell r="J8">
            <v>2017</v>
          </cell>
          <cell r="K8">
            <v>2018</v>
          </cell>
          <cell r="L8">
            <v>2019</v>
          </cell>
          <cell r="M8">
            <v>2020</v>
          </cell>
          <cell r="N8">
            <v>2021</v>
          </cell>
          <cell r="O8">
            <v>2022</v>
          </cell>
        </row>
        <row r="9">
          <cell r="B9">
            <v>2009</v>
          </cell>
          <cell r="C9">
            <v>2010</v>
          </cell>
          <cell r="D9">
            <v>2011</v>
          </cell>
          <cell r="E9">
            <v>2012</v>
          </cell>
          <cell r="F9">
            <v>2013</v>
          </cell>
          <cell r="G9" t="str">
            <v>2014E</v>
          </cell>
          <cell r="H9">
            <v>2015</v>
          </cell>
          <cell r="I9">
            <v>2016</v>
          </cell>
          <cell r="J9">
            <v>2017</v>
          </cell>
          <cell r="K9">
            <v>2018</v>
          </cell>
          <cell r="L9">
            <v>2019</v>
          </cell>
          <cell r="M9">
            <v>2020</v>
          </cell>
          <cell r="N9">
            <v>2021</v>
          </cell>
          <cell r="O9">
            <v>2022</v>
          </cell>
        </row>
        <row r="10">
          <cell r="A10" t="str">
            <v>Revenues</v>
          </cell>
          <cell r="B10">
            <v>1797.2</v>
          </cell>
          <cell r="C10">
            <v>2032</v>
          </cell>
          <cell r="D10">
            <v>2280.6999999999998</v>
          </cell>
          <cell r="E10">
            <v>2730.3</v>
          </cell>
          <cell r="F10">
            <v>2972.5</v>
          </cell>
          <cell r="G10">
            <v>3148.7455990545454</v>
          </cell>
          <cell r="H10">
            <v>3235.5075921942125</v>
          </cell>
          <cell r="I10">
            <v>3381.9463993234394</v>
          </cell>
          <cell r="J10">
            <v>3516.0680303658892</v>
          </cell>
          <cell r="K10">
            <v>3661.3791846873028</v>
          </cell>
          <cell r="L10">
            <v>3819.0124500460706</v>
          </cell>
          <cell r="M10">
            <v>3990.221967569601</v>
          </cell>
          <cell r="N10">
            <v>4309.4397249751692</v>
          </cell>
          <cell r="O10">
            <v>4654.1949029731832</v>
          </cell>
        </row>
        <row r="11">
          <cell r="A11" t="str">
            <v>Sales Growth</v>
          </cell>
          <cell r="B11">
            <v>2.3812236527287256E-2</v>
          </cell>
          <cell r="C11">
            <v>0.13064767415980416</v>
          </cell>
          <cell r="D11">
            <v>0.12239173228346445</v>
          </cell>
          <cell r="E11">
            <v>0.1971324593326611</v>
          </cell>
          <cell r="F11">
            <v>8.8708200564040496E-2</v>
          </cell>
          <cell r="G11">
            <v>5.9292043416163231E-2</v>
          </cell>
          <cell r="H11">
            <v>2.7554462693244686E-2</v>
          </cell>
          <cell r="I11">
            <v>4.5259917634721702E-2</v>
          </cell>
          <cell r="J11">
            <v>3.9658118493327121E-2</v>
          </cell>
          <cell r="K11">
            <v>4.1327742542652812E-2</v>
          </cell>
          <cell r="L11">
            <v>4.3052974687250334E-2</v>
          </cell>
          <cell r="M11">
            <v>4.4830835134215041E-2</v>
          </cell>
          <cell r="N11">
            <v>0.08</v>
          </cell>
          <cell r="O11">
            <v>0.08</v>
          </cell>
        </row>
        <row r="12">
          <cell r="A12" t="str">
            <v>EBITDA</v>
          </cell>
          <cell r="B12">
            <v>769.09999999999991</v>
          </cell>
          <cell r="C12">
            <v>839.19999999999982</v>
          </cell>
          <cell r="D12">
            <v>967.59999999999991</v>
          </cell>
          <cell r="E12">
            <v>1183.1000000000001</v>
          </cell>
          <cell r="F12">
            <v>1375.4746268656718</v>
          </cell>
          <cell r="G12">
            <v>1440.243082517818</v>
          </cell>
          <cell r="H12">
            <v>1398.216423171549</v>
          </cell>
          <cell r="I12">
            <v>1445.7341573404726</v>
          </cell>
          <cell r="J12">
            <v>1505.1050822385459</v>
          </cell>
          <cell r="K12">
            <v>1568.9896117308344</v>
          </cell>
          <cell r="L12">
            <v>1637.8786577311284</v>
          </cell>
          <cell r="M12">
            <v>1712.321791473315</v>
          </cell>
          <cell r="N12">
            <v>1849.3075347911802</v>
          </cell>
          <cell r="O12">
            <v>1997.2521375744748</v>
          </cell>
        </row>
        <row r="13">
          <cell r="A13" t="str">
            <v>EBITDA Margins</v>
          </cell>
          <cell r="B13">
            <v>0.42794346761629193</v>
          </cell>
          <cell r="C13">
            <v>0.41299212598425189</v>
          </cell>
          <cell r="D13">
            <v>0.42425571096593151</v>
          </cell>
          <cell r="E13">
            <v>0.43332234552979526</v>
          </cell>
          <cell r="F13">
            <v>0.46273326387406954</v>
          </cell>
          <cell r="G13">
            <v>0.45740217404361627</v>
          </cell>
          <cell r="H13">
            <v>0.43214747093927403</v>
          </cell>
          <cell r="I13">
            <v>0.42748582816974645</v>
          </cell>
          <cell r="J13">
            <v>0.42806483527621669</v>
          </cell>
          <cell r="K13">
            <v>0.42852420702359806</v>
          </cell>
          <cell r="L13">
            <v>0.42887491966970936</v>
          </cell>
          <cell r="M13">
            <v>0.42912945830837346</v>
          </cell>
          <cell r="N13">
            <v>0.42912945830837346</v>
          </cell>
          <cell r="O13">
            <v>0.42912945830837346</v>
          </cell>
        </row>
        <row r="15">
          <cell r="A15" t="str">
            <v>EBIT (pre exceptionals)</v>
          </cell>
          <cell r="B15">
            <v>705</v>
          </cell>
          <cell r="C15">
            <v>772.89999999999986</v>
          </cell>
          <cell r="D15">
            <v>888.39999999999986</v>
          </cell>
          <cell r="E15">
            <v>1089.6000000000001</v>
          </cell>
          <cell r="F15">
            <v>1282.0746268656717</v>
          </cell>
          <cell r="G15">
            <v>1356.3434639042905</v>
          </cell>
          <cell r="H15">
            <v>1315.6155996959556</v>
          </cell>
          <cell r="I15">
            <v>1359.3948273978135</v>
          </cell>
          <cell r="J15">
            <v>1399.6230413275694</v>
          </cell>
          <cell r="K15">
            <v>1459.1482361902154</v>
          </cell>
          <cell r="L15">
            <v>1523.3082842297463</v>
          </cell>
          <cell r="M15">
            <v>1592.6151324462271</v>
          </cell>
          <cell r="N15">
            <v>1720.0243430419252</v>
          </cell>
          <cell r="O15">
            <v>1857.6262904852795</v>
          </cell>
        </row>
        <row r="16">
          <cell r="A16" t="str">
            <v>EBIT Growth</v>
          </cell>
          <cell r="B16">
            <v>-5.4579589647311022E-2</v>
          </cell>
          <cell r="C16">
            <v>9.6312056737588359E-2</v>
          </cell>
          <cell r="D16">
            <v>0.1494371846293181</v>
          </cell>
          <cell r="E16">
            <v>0.22647456100855501</v>
          </cell>
          <cell r="F16">
            <v>0.17664705108817147</v>
          </cell>
          <cell r="G16">
            <v>5.792863807014581E-2</v>
          </cell>
          <cell r="H16">
            <v>-3.0027692315557131E-2</v>
          </cell>
          <cell r="I16">
            <v>3.3276610365501558E-2</v>
          </cell>
          <cell r="J16">
            <v>2.9592737237908784E-2</v>
          </cell>
          <cell r="K16">
            <v>4.2529447647693175E-2</v>
          </cell>
          <cell r="L16">
            <v>4.3970890995318257E-2</v>
          </cell>
          <cell r="M16">
            <v>4.5497585048272393E-2</v>
          </cell>
          <cell r="N16">
            <v>8.0000000000000071E-2</v>
          </cell>
          <cell r="O16">
            <v>8.0000000000000071E-2</v>
          </cell>
        </row>
        <row r="17">
          <cell r="A17" t="str">
            <v>EBIT Margins</v>
          </cell>
          <cell r="B17">
            <v>0.39227687513910525</v>
          </cell>
          <cell r="C17">
            <v>0.38036417322834637</v>
          </cell>
          <cell r="D17">
            <v>0.38952953040733107</v>
          </cell>
          <cell r="E17">
            <v>0.39907702450280191</v>
          </cell>
          <cell r="F17">
            <v>0.43131190138458259</v>
          </cell>
          <cell r="G17">
            <v>0.43075676368124227</v>
          </cell>
          <cell r="H17">
            <v>0.40661799183223341</v>
          </cell>
          <cell r="I17">
            <v>0.40195634906270583</v>
          </cell>
          <cell r="J17">
            <v>0.39806483527621672</v>
          </cell>
          <cell r="K17">
            <v>0.39852420702359809</v>
          </cell>
          <cell r="L17">
            <v>0.39887491966970934</v>
          </cell>
          <cell r="M17">
            <v>0.39912945830837349</v>
          </cell>
          <cell r="N17">
            <v>0.39912945830837349</v>
          </cell>
          <cell r="O17">
            <v>0.39912945830837349</v>
          </cell>
        </row>
        <row r="18">
          <cell r="A18" t="str">
            <v>Tax rate</v>
          </cell>
          <cell r="B18">
            <v>0.37644552647595858</v>
          </cell>
          <cell r="C18">
            <v>0.33482443820224728</v>
          </cell>
          <cell r="D18">
            <v>0.31411411411411416</v>
          </cell>
          <cell r="E18">
            <v>0.31839976438248574</v>
          </cell>
          <cell r="F18">
            <v>0.30860425611465953</v>
          </cell>
          <cell r="G18">
            <v>0.33</v>
          </cell>
          <cell r="H18">
            <v>0.33</v>
          </cell>
          <cell r="I18">
            <v>0.33</v>
          </cell>
          <cell r="J18">
            <v>0.33</v>
          </cell>
          <cell r="K18">
            <v>0.33</v>
          </cell>
          <cell r="L18">
            <v>0.33</v>
          </cell>
          <cell r="M18">
            <v>0.33</v>
          </cell>
          <cell r="N18">
            <v>0.33</v>
          </cell>
          <cell r="O18">
            <v>0.33</v>
          </cell>
        </row>
        <row r="19">
          <cell r="A19" t="str">
            <v>=NOPAT</v>
          </cell>
          <cell r="B19">
            <v>439.60590383444924</v>
          </cell>
          <cell r="C19">
            <v>514.11419171348302</v>
          </cell>
          <cell r="D19">
            <v>609.34102102102088</v>
          </cell>
          <cell r="E19">
            <v>742.67161672884367</v>
          </cell>
          <cell r="F19">
            <v>886.42094035831133</v>
          </cell>
          <cell r="G19">
            <v>908.75012081587454</v>
          </cell>
          <cell r="H19">
            <v>881.46245179629011</v>
          </cell>
          <cell r="I19">
            <v>910.794534356535</v>
          </cell>
          <cell r="J19">
            <v>937.74743768947133</v>
          </cell>
          <cell r="K19">
            <v>977.62931824744419</v>
          </cell>
          <cell r="L19">
            <v>1020.6165504339299</v>
          </cell>
          <cell r="M19">
            <v>1067.052138738972</v>
          </cell>
          <cell r="N19">
            <v>1152.4163098380898</v>
          </cell>
          <cell r="O19">
            <v>1244.6096146251371</v>
          </cell>
        </row>
        <row r="20">
          <cell r="A20" t="str">
            <v>+Depreciation &amp; amortization</v>
          </cell>
          <cell r="B20">
            <v>64.099999999999994</v>
          </cell>
          <cell r="C20">
            <v>66.3</v>
          </cell>
          <cell r="D20">
            <v>79.2</v>
          </cell>
          <cell r="E20">
            <v>93.5</v>
          </cell>
          <cell r="F20">
            <v>93.4</v>
          </cell>
          <cell r="G20">
            <v>83.899618613527608</v>
          </cell>
          <cell r="H20">
            <v>82.600823475593501</v>
          </cell>
          <cell r="I20">
            <v>86.339329942659091</v>
          </cell>
          <cell r="J20">
            <v>105.48204091097666</v>
          </cell>
          <cell r="K20">
            <v>109.84137554061908</v>
          </cell>
          <cell r="L20">
            <v>114.57037350138212</v>
          </cell>
          <cell r="M20">
            <v>119.70665902708802</v>
          </cell>
          <cell r="N20">
            <v>119.70665902708802</v>
          </cell>
          <cell r="O20">
            <v>119.70665902708802</v>
          </cell>
        </row>
        <row r="21">
          <cell r="A21" t="str">
            <v xml:space="preserve">Gross Cash Flow </v>
          </cell>
          <cell r="B21">
            <v>503.70590383444926</v>
          </cell>
          <cell r="C21">
            <v>580.41419171348298</v>
          </cell>
          <cell r="D21">
            <v>688.54102102102092</v>
          </cell>
          <cell r="E21">
            <v>836.17161672884367</v>
          </cell>
          <cell r="F21">
            <v>979.8209403583113</v>
          </cell>
          <cell r="G21">
            <v>992.64973942940219</v>
          </cell>
          <cell r="H21">
            <v>964.06327527188364</v>
          </cell>
          <cell r="I21">
            <v>997.1338642991941</v>
          </cell>
          <cell r="J21">
            <v>1043.2294786004479</v>
          </cell>
          <cell r="K21">
            <v>1087.4706937880633</v>
          </cell>
          <cell r="L21">
            <v>1135.1869239353121</v>
          </cell>
          <cell r="M21">
            <v>1186.7587977660601</v>
          </cell>
          <cell r="N21">
            <v>1272.1229688651779</v>
          </cell>
          <cell r="O21">
            <v>1364.3162736522252</v>
          </cell>
        </row>
        <row r="23">
          <cell r="A23" t="str">
            <v xml:space="preserve">+Changes in working capital </v>
          </cell>
          <cell r="B23">
            <v>103.7</v>
          </cell>
          <cell r="C23">
            <v>34.599999999999994</v>
          </cell>
          <cell r="D23">
            <v>92.90000000000002</v>
          </cell>
          <cell r="E23">
            <v>-54.400000000000006</v>
          </cell>
          <cell r="F23">
            <v>35.599999999999966</v>
          </cell>
          <cell r="G23">
            <v>78.534048913696395</v>
          </cell>
          <cell r="H23">
            <v>20.37469338408367</v>
          </cell>
          <cell r="I23">
            <v>22.302910138218394</v>
          </cell>
          <cell r="J23">
            <v>14.411680078037307</v>
          </cell>
          <cell r="K23">
            <v>15.752866330109882</v>
          </cell>
          <cell r="L23">
            <v>17.21905069313091</v>
          </cell>
          <cell r="M23">
            <v>18.821761908585117</v>
          </cell>
          <cell r="N23">
            <v>18.821761908585117</v>
          </cell>
          <cell r="O23">
            <v>18.821761908585117</v>
          </cell>
        </row>
        <row r="24">
          <cell r="A24" t="str">
            <v>+Capital expenditures, asset purchases</v>
          </cell>
          <cell r="B24">
            <v>-90.699999999999989</v>
          </cell>
          <cell r="C24">
            <v>-79</v>
          </cell>
          <cell r="D24">
            <v>-67.7</v>
          </cell>
          <cell r="E24">
            <v>-45</v>
          </cell>
          <cell r="F24">
            <v>-42.3</v>
          </cell>
          <cell r="G24">
            <v>-68.960911981090902</v>
          </cell>
          <cell r="H24">
            <v>-64.710151843884233</v>
          </cell>
          <cell r="I24">
            <v>-67.638927986468801</v>
          </cell>
          <cell r="J24">
            <v>-70.3213606073178</v>
          </cell>
          <cell r="K24">
            <v>-73.22758369374607</v>
          </cell>
          <cell r="L24">
            <v>-76.380249000921424</v>
          </cell>
          <cell r="M24">
            <v>-79.804439351392034</v>
          </cell>
          <cell r="N24">
            <v>-79.804439351392034</v>
          </cell>
          <cell r="O24">
            <v>-79.804439351392034</v>
          </cell>
        </row>
        <row r="25">
          <cell r="A25" t="str">
            <v xml:space="preserve">          Working Capital to Sales</v>
          </cell>
          <cell r="B25">
            <v>5.7700868016915201E-2</v>
          </cell>
          <cell r="C25">
            <v>1.7027559055118109E-2</v>
          </cell>
          <cell r="D25">
            <v>4.0733108256237133E-2</v>
          </cell>
          <cell r="E25">
            <v>-1.9924550415705233E-2</v>
          </cell>
          <cell r="F25">
            <v>1.1976450798990738E-2</v>
          </cell>
          <cell r="G25">
            <v>2.4941376317374555E-2</v>
          </cell>
          <cell r="H25">
            <v>6.2972169910027126E-3</v>
          </cell>
          <cell r="I25">
            <v>6.5946965163847975E-3</v>
          </cell>
          <cell r="J25">
            <v>4.0988058119391961E-3</v>
          </cell>
          <cell r="K25">
            <v>4.3024405655638868E-3</v>
          </cell>
          <cell r="L25">
            <v>4.508770505035454E-3</v>
          </cell>
          <cell r="M25">
            <v>4.7169711513691155E-3</v>
          </cell>
          <cell r="N25">
            <v>4.3675658808973285E-3</v>
          </cell>
          <cell r="O25">
            <v>4.0440424823123414E-3</v>
          </cell>
        </row>
        <row r="26">
          <cell r="A26" t="str">
            <v xml:space="preserve">          Depreciation to Sales</v>
          </cell>
          <cell r="B26">
            <v>3.5666592477186732E-2</v>
          </cell>
          <cell r="C26">
            <v>3.2627952755905514E-2</v>
          </cell>
          <cell r="D26">
            <v>3.4726180558600432E-2</v>
          </cell>
          <cell r="E26">
            <v>3.4245321026993368E-2</v>
          </cell>
          <cell r="F26">
            <v>3.1421362489486966E-2</v>
          </cell>
          <cell r="G26">
            <v>2.6645410362374031E-2</v>
          </cell>
          <cell r="H26">
            <v>2.5529479107040634E-2</v>
          </cell>
          <cell r="I26">
            <v>2.5529479107040648E-2</v>
          </cell>
          <cell r="J26">
            <v>2.9999999999999995E-2</v>
          </cell>
          <cell r="K26">
            <v>0.03</v>
          </cell>
          <cell r="L26">
            <v>3.0000000000000002E-2</v>
          </cell>
          <cell r="M26">
            <v>0.03</v>
          </cell>
          <cell r="N26">
            <v>2.7777777777777776E-2</v>
          </cell>
          <cell r="O26">
            <v>2.5720164609053492E-2</v>
          </cell>
        </row>
        <row r="27">
          <cell r="A27" t="str">
            <v xml:space="preserve">         Capex to Sales</v>
          </cell>
          <cell r="B27">
            <v>5.0467393723569988E-2</v>
          </cell>
          <cell r="C27">
            <v>3.8877952755905512E-2</v>
          </cell>
          <cell r="D27">
            <v>2.9683868987591532E-2</v>
          </cell>
          <cell r="E27">
            <v>1.6481705307109108E-2</v>
          </cell>
          <cell r="F27">
            <v>1.4230445752733389E-2</v>
          </cell>
          <cell r="G27">
            <v>2.1901074511004436E-2</v>
          </cell>
          <cell r="H27">
            <v>1.9999999999999993E-2</v>
          </cell>
          <cell r="I27">
            <v>2.0000000000000004E-2</v>
          </cell>
          <cell r="J27">
            <v>2.0000000000000004E-2</v>
          </cell>
          <cell r="K27">
            <v>2.0000000000000004E-2</v>
          </cell>
          <cell r="L27">
            <v>2.0000000000000004E-2</v>
          </cell>
          <cell r="M27">
            <v>2.0000000000000004E-2</v>
          </cell>
          <cell r="N27">
            <v>1.8518518518518521E-2</v>
          </cell>
          <cell r="O27">
            <v>1.7146776406035666E-2</v>
          </cell>
        </row>
        <row r="28">
          <cell r="A28" t="str">
            <v xml:space="preserve">         Capex to Depreciation</v>
          </cell>
          <cell r="B28">
            <v>1.4149765990639624</v>
          </cell>
          <cell r="C28">
            <v>1.191553544494721</v>
          </cell>
          <cell r="D28">
            <v>0.85479797979797978</v>
          </cell>
          <cell r="E28">
            <v>0.48128342245989303</v>
          </cell>
          <cell r="F28">
            <v>0.45289079229122048</v>
          </cell>
          <cell r="G28">
            <v>0.82194547628100834</v>
          </cell>
          <cell r="H28">
            <v>0.78340807174887894</v>
          </cell>
          <cell r="I28">
            <v>0.78340807174887883</v>
          </cell>
          <cell r="J28">
            <v>0.66666666666666685</v>
          </cell>
          <cell r="K28">
            <v>0.66666666666666674</v>
          </cell>
          <cell r="L28">
            <v>0.66666666666666674</v>
          </cell>
          <cell r="M28">
            <v>0.66666666666666685</v>
          </cell>
          <cell r="N28">
            <v>0.66666666666666685</v>
          </cell>
          <cell r="O28">
            <v>0.66666666666666685</v>
          </cell>
        </row>
        <row r="29">
          <cell r="A29" t="str">
            <v>= Gross investment</v>
          </cell>
          <cell r="B29">
            <v>13.000000000000014</v>
          </cell>
          <cell r="C29">
            <v>-44.400000000000006</v>
          </cell>
          <cell r="D29">
            <v>25.200000000000017</v>
          </cell>
          <cell r="E29">
            <v>-99.4</v>
          </cell>
          <cell r="F29">
            <v>-6.7000000000000313</v>
          </cell>
          <cell r="G29">
            <v>9.5731369326054931</v>
          </cell>
          <cell r="H29">
            <v>-44.335458459800563</v>
          </cell>
          <cell r="I29">
            <v>-45.336017848250407</v>
          </cell>
          <cell r="J29">
            <v>-55.909680529280493</v>
          </cell>
          <cell r="K29">
            <v>-57.474717363636188</v>
          </cell>
          <cell r="L29">
            <v>-59.161198307790514</v>
          </cell>
          <cell r="M29">
            <v>-60.982677442806917</v>
          </cell>
          <cell r="N29">
            <v>-60.982677442806917</v>
          </cell>
          <cell r="O29">
            <v>-60.982677442806917</v>
          </cell>
        </row>
        <row r="31">
          <cell r="A31" t="str">
            <v>Free cash flow from operations</v>
          </cell>
          <cell r="B31">
            <v>516.70590383444926</v>
          </cell>
          <cell r="C31">
            <v>536.014191713483</v>
          </cell>
          <cell r="D31">
            <v>713.74102102102097</v>
          </cell>
          <cell r="E31">
            <v>736.7716167288437</v>
          </cell>
          <cell r="F31">
            <v>973.12094035831126</v>
          </cell>
          <cell r="G31">
            <v>1002.2228763620077</v>
          </cell>
          <cell r="H31">
            <v>919.72781681208312</v>
          </cell>
          <cell r="I31">
            <v>951.79784645094367</v>
          </cell>
          <cell r="J31">
            <v>987.31979807116738</v>
          </cell>
          <cell r="K31">
            <v>1029.995976424427</v>
          </cell>
          <cell r="L31">
            <v>1076.0257256275215</v>
          </cell>
          <cell r="M31">
            <v>1125.7761203232531</v>
          </cell>
          <cell r="N31">
            <v>1211.1402914223709</v>
          </cell>
          <cell r="O31">
            <v>1303.3335962094181</v>
          </cell>
        </row>
        <row r="32">
          <cell r="A32" t="str">
            <v>FCF growth</v>
          </cell>
          <cell r="C32">
            <v>3.7368041928199203E-2</v>
          </cell>
          <cell r="D32">
            <v>0.33157112639013619</v>
          </cell>
          <cell r="E32">
            <v>3.2267440191229291E-2</v>
          </cell>
          <cell r="F32">
            <v>0.32079048413784372</v>
          </cell>
          <cell r="G32">
            <v>2.9905775116688904E-2</v>
          </cell>
          <cell r="H32">
            <v>-8.2312089950865364E-2</v>
          </cell>
          <cell r="I32">
            <v>3.4869043919993903E-2</v>
          </cell>
          <cell r="J32">
            <v>3.7320899340839819E-2</v>
          </cell>
          <cell r="K32">
            <v>4.3224270835682699E-2</v>
          </cell>
          <cell r="L32">
            <v>4.4689251469587576E-2</v>
          </cell>
          <cell r="M32">
            <v>4.6235320876476083E-2</v>
          </cell>
          <cell r="N32">
            <v>7.582695134322659E-2</v>
          </cell>
          <cell r="O32">
            <v>7.6121078160792388E-2</v>
          </cell>
        </row>
        <row r="34">
          <cell r="A34" t="str">
            <v>Present value of cash flows</v>
          </cell>
          <cell r="G34">
            <v>13218.877880168749</v>
          </cell>
          <cell r="H34">
            <v>13479.649355083631</v>
          </cell>
          <cell r="I34">
            <v>13847.831234313498</v>
          </cell>
          <cell r="J34">
            <v>14219.120928644825</v>
          </cell>
          <cell r="K34">
            <v>14590.363451505862</v>
          </cell>
          <cell r="L34">
            <v>14954.400069177347</v>
          </cell>
          <cell r="M34">
            <v>15307.188724416517</v>
          </cell>
          <cell r="N34">
            <v>1105.5142147505424</v>
          </cell>
        </row>
        <row r="35">
          <cell r="A35" t="str">
            <v>Terminal Value</v>
          </cell>
        </row>
        <row r="36">
          <cell r="A36" t="str">
            <v xml:space="preserve"> -Minority Interest</v>
          </cell>
          <cell r="G36">
            <v>-223.89999999999998</v>
          </cell>
          <cell r="H36">
            <v>-211.60000000000002</v>
          </cell>
          <cell r="I36">
            <v>-207.87503763175755</v>
          </cell>
          <cell r="J36">
            <v>-227.7364056450181</v>
          </cell>
          <cell r="K36">
            <v>-249.49542305308941</v>
          </cell>
          <cell r="L36">
            <v>-273.33340028852683</v>
          </cell>
          <cell r="M36">
            <v>-299.44897104341055</v>
          </cell>
          <cell r="N36">
            <v>-299.44897104341055</v>
          </cell>
        </row>
        <row r="37">
          <cell r="A37" t="str">
            <v>+ Net Debt</v>
          </cell>
          <cell r="G37">
            <v>241.47640259968807</v>
          </cell>
          <cell r="H37">
            <v>95.851361713649567</v>
          </cell>
          <cell r="I37">
            <v>435.02887776501075</v>
          </cell>
          <cell r="J37">
            <v>727.14242988118531</v>
          </cell>
          <cell r="K37">
            <v>965.05227422681537</v>
          </cell>
          <cell r="L37">
            <v>1143.8398746756141</v>
          </cell>
          <cell r="M37">
            <v>1258.1575202276531</v>
          </cell>
          <cell r="N37">
            <v>1258.1575202276531</v>
          </cell>
        </row>
        <row r="38">
          <cell r="A38" t="str">
            <v>+ Preferred Equity</v>
          </cell>
          <cell r="G38">
            <v>0</v>
          </cell>
          <cell r="H38">
            <v>0</v>
          </cell>
          <cell r="I38">
            <v>0</v>
          </cell>
          <cell r="J38">
            <v>0</v>
          </cell>
          <cell r="K38">
            <v>0</v>
          </cell>
          <cell r="L38">
            <v>0</v>
          </cell>
          <cell r="M38">
            <v>0</v>
          </cell>
          <cell r="N38">
            <v>0</v>
          </cell>
        </row>
        <row r="39">
          <cell r="A39" t="str">
            <v>Implied Market Cap</v>
          </cell>
          <cell r="G39">
            <v>13236.454282768438</v>
          </cell>
          <cell r="H39">
            <v>13363.900716797281</v>
          </cell>
          <cell r="I39">
            <v>14074.985074446753</v>
          </cell>
          <cell r="J39">
            <v>14718.526952880991</v>
          </cell>
          <cell r="K39">
            <v>15305.920302679588</v>
          </cell>
          <cell r="L39">
            <v>15824.906543564433</v>
          </cell>
          <cell r="M39">
            <v>16265.89727360076</v>
          </cell>
          <cell r="N39">
            <v>2064.2227639347848</v>
          </cell>
        </row>
        <row r="40">
          <cell r="A40" t="str">
            <v>Fully-diluted shares</v>
          </cell>
          <cell r="G40">
            <v>214.42488607655233</v>
          </cell>
          <cell r="H40">
            <v>205.69383795442468</v>
          </cell>
          <cell r="I40">
            <v>196.96183632218407</v>
          </cell>
          <cell r="J40">
            <v>185.31916747919655</v>
          </cell>
          <cell r="K40">
            <v>173.676498636209</v>
          </cell>
          <cell r="L40">
            <v>162.03382979322149</v>
          </cell>
          <cell r="M40">
            <v>150.39116095023394</v>
          </cell>
          <cell r="N40">
            <v>150.39116095023394</v>
          </cell>
        </row>
        <row r="41">
          <cell r="A41" t="str">
            <v>Implied Value per Share</v>
          </cell>
          <cell r="G41">
            <v>61.730028286189039</v>
          </cell>
          <cell r="H41">
            <v>64.969864190867511</v>
          </cell>
          <cell r="I41">
            <v>71.460468369229304</v>
          </cell>
          <cell r="J41">
            <v>79.422582958307615</v>
          </cell>
          <cell r="K41">
            <v>88.128908763528742</v>
          </cell>
          <cell r="L41">
            <v>97.6642134778848</v>
          </cell>
          <cell r="M41">
            <v>108.15726915615288</v>
          </cell>
          <cell r="N41">
            <v>13.72569206123662</v>
          </cell>
        </row>
        <row r="44">
          <cell r="A44" t="str">
            <v>WACC</v>
          </cell>
          <cell r="F44" t="str">
            <v>Valuation</v>
          </cell>
          <cell r="G44" t="str">
            <v>BEAR</v>
          </cell>
          <cell r="H44" t="str">
            <v>BASE</v>
          </cell>
          <cell r="I44" t="str">
            <v>BULL</v>
          </cell>
        </row>
        <row r="45">
          <cell r="A45" t="str">
            <v>Debt/total capital</v>
          </cell>
          <cell r="B45">
            <v>0.3</v>
          </cell>
          <cell r="C45">
            <v>9.3135953266064789E-2</v>
          </cell>
          <cell r="F45" t="str">
            <v>DCF Price</v>
          </cell>
          <cell r="G45">
            <v>32.344173367761847</v>
          </cell>
          <cell r="H45">
            <v>61.730028286189039</v>
          </cell>
          <cell r="I45">
            <v>77.659720288215127</v>
          </cell>
        </row>
        <row r="46">
          <cell r="A46" t="str">
            <v>Equity/total capital</v>
          </cell>
          <cell r="B46">
            <v>0.7</v>
          </cell>
          <cell r="C46">
            <v>0.90686404673393517</v>
          </cell>
          <cell r="F46" t="str">
            <v>NTM EPS</v>
          </cell>
          <cell r="G46">
            <v>3.1697009287474112</v>
          </cell>
          <cell r="H46">
            <v>3.7740000597517245</v>
          </cell>
          <cell r="I46">
            <v>4.0261606147407552</v>
          </cell>
        </row>
        <row r="47">
          <cell r="F47" t="str">
            <v>FY 2015 EPS</v>
          </cell>
          <cell r="G47">
            <v>3.238898957871577</v>
          </cell>
          <cell r="H47">
            <v>3.9050212591370803</v>
          </cell>
          <cell r="I47">
            <v>4.2130583331658249</v>
          </cell>
        </row>
        <row r="48">
          <cell r="A48" t="str">
            <v>Credit rating</v>
          </cell>
          <cell r="B48" t="str">
            <v>BBB+/Stable/A-2</v>
          </cell>
          <cell r="F48" t="str">
            <v>NTM PE</v>
          </cell>
          <cell r="G48">
            <v>10.204171969165394</v>
          </cell>
          <cell r="H48">
            <v>16.356658004464897</v>
          </cell>
          <cell r="I48">
            <v>19.28877849628849</v>
          </cell>
        </row>
        <row r="49">
          <cell r="A49" t="str">
            <v xml:space="preserve"> Cost of long-term debt</v>
          </cell>
          <cell r="B49">
            <v>4.8901269999999997E-2</v>
          </cell>
          <cell r="C49">
            <v>5.2736792003807709E-2</v>
          </cell>
          <cell r="F49" t="str">
            <v>FY 2015 PE</v>
          </cell>
          <cell r="G49">
            <v>9.986163133973351</v>
          </cell>
          <cell r="H49">
            <v>15.807859724643331</v>
          </cell>
          <cell r="I49">
            <v>18.433098748447463</v>
          </cell>
        </row>
        <row r="50">
          <cell r="A50" t="str">
            <v xml:space="preserve"> After tax cost of long-term debt</v>
          </cell>
          <cell r="B50">
            <v>3.1785825499999996E-2</v>
          </cell>
          <cell r="F50" t="str">
            <v xml:space="preserve">NTM EBITDA </v>
          </cell>
          <cell r="G50">
            <v>1185.4563613320909</v>
          </cell>
          <cell r="H50">
            <v>1375.7265081073183</v>
          </cell>
          <cell r="I50">
            <v>1456.1014291398865</v>
          </cell>
        </row>
        <row r="51">
          <cell r="F51" t="str">
            <v xml:space="preserve">FY 2015 EBITDA </v>
          </cell>
          <cell r="G51">
            <v>1191.8745755519262</v>
          </cell>
          <cell r="H51">
            <v>1398.216423171549</v>
          </cell>
          <cell r="I51">
            <v>1495.037927583599</v>
          </cell>
        </row>
        <row r="52">
          <cell r="A52" t="str">
            <v>Current price</v>
          </cell>
          <cell r="B52" t="str">
            <v>$95</v>
          </cell>
          <cell r="F52" t="str">
            <v>Implied NTM EV</v>
          </cell>
          <cell r="G52">
            <v>4741.8254453283635</v>
          </cell>
          <cell r="H52">
            <v>10661.880437831716</v>
          </cell>
          <cell r="I52">
            <v>12376.862147689035</v>
          </cell>
        </row>
        <row r="53">
          <cell r="A53" t="str">
            <v>Current shares</v>
          </cell>
          <cell r="B53">
            <v>215.7</v>
          </cell>
          <cell r="F53" t="str">
            <v>Implied '15 EV</v>
          </cell>
          <cell r="G53">
            <v>4767.4983022077049</v>
          </cell>
          <cell r="H53">
            <v>10836.177279579504</v>
          </cell>
          <cell r="I53">
            <v>12707.822384460591</v>
          </cell>
        </row>
        <row r="54">
          <cell r="A54" t="str">
            <v>Current market cap</v>
          </cell>
          <cell r="B54">
            <v>20491.5</v>
          </cell>
          <cell r="F54" t="str">
            <v>Revenue CAGR '14 -'18</v>
          </cell>
          <cell r="G54">
            <v>1.6507630522099914E-2</v>
          </cell>
          <cell r="H54">
            <v>3.8428941643235515E-2</v>
          </cell>
          <cell r="I54">
            <v>6.050343193475971E-2</v>
          </cell>
        </row>
        <row r="55">
          <cell r="A55" t="str">
            <v xml:space="preserve">Risk free rate </v>
          </cell>
          <cell r="B55">
            <v>3.2869999999999996E-2</v>
          </cell>
          <cell r="F55" t="str">
            <v>MIS CAGR '14 -'18</v>
          </cell>
          <cell r="G55">
            <v>-1.3179828620274003E-2</v>
          </cell>
          <cell r="H55">
            <v>9.0027383953112938E-3</v>
          </cell>
          <cell r="I55">
            <v>3.1482628180582228E-2</v>
          </cell>
        </row>
        <row r="56">
          <cell r="A56" t="str">
            <v>Market risk premium</v>
          </cell>
          <cell r="B56">
            <v>0.06</v>
          </cell>
          <cell r="F56" t="str">
            <v>MA CAGR '14 -'18</v>
          </cell>
          <cell r="G56">
            <v>7.6485798782303993E-2</v>
          </cell>
          <cell r="H56">
            <v>9.6149097790246163E-2</v>
          </cell>
          <cell r="I56">
            <v>0.11583581191452774</v>
          </cell>
        </row>
        <row r="57">
          <cell r="A57" t="str">
            <v>Equity beta</v>
          </cell>
          <cell r="B57">
            <v>1.5</v>
          </cell>
          <cell r="F57" t="str">
            <v>EPS CAGR '14 -'18</v>
          </cell>
          <cell r="G57">
            <v>-2.1199450776890671E-2</v>
          </cell>
          <cell r="H57">
            <v>7.469319960135401E-2</v>
          </cell>
          <cell r="I57">
            <v>0.11731739891968784</v>
          </cell>
        </row>
        <row r="58">
          <cell r="A58" t="str">
            <v>Cost of equity</v>
          </cell>
          <cell r="B58">
            <v>0.12286999999999999</v>
          </cell>
          <cell r="F58" t="str">
            <v>EBITDA CAGR '14 -'18</v>
          </cell>
          <cell r="G58">
            <v>-4.3443082217378248E-2</v>
          </cell>
          <cell r="H58">
            <v>1.7271445206129554E-2</v>
          </cell>
          <cell r="I58">
            <v>4.5730883101326558E-2</v>
          </cell>
        </row>
        <row r="59">
          <cell r="F59" t="str">
            <v>EBITDA Margin FY 2015</v>
          </cell>
          <cell r="G59">
            <v>0.38053101468196637</v>
          </cell>
          <cell r="H59">
            <v>0.43214747093927403</v>
          </cell>
          <cell r="I59">
            <v>0.44755682577509487</v>
          </cell>
        </row>
        <row r="60">
          <cell r="A60" t="str">
            <v>WACC</v>
          </cell>
          <cell r="B60">
            <v>9.5544747649999984E-2</v>
          </cell>
        </row>
        <row r="61">
          <cell r="F61" t="str">
            <v>Year</v>
          </cell>
          <cell r="G61" t="str">
            <v>2014E</v>
          </cell>
          <cell r="H61" t="str">
            <v>2015E</v>
          </cell>
          <cell r="I61" t="str">
            <v>2016E</v>
          </cell>
          <cell r="J61" t="str">
            <v>2017E</v>
          </cell>
          <cell r="K61" t="str">
            <v>2018E</v>
          </cell>
          <cell r="L61" t="str">
            <v>2019E</v>
          </cell>
          <cell r="M61" t="str">
            <v>2020E</v>
          </cell>
        </row>
        <row r="62">
          <cell r="A62" t="str">
            <v>Terminal value</v>
          </cell>
          <cell r="B62">
            <v>13270.493883918192</v>
          </cell>
          <cell r="F62" t="str">
            <v>Terminal value</v>
          </cell>
          <cell r="G62">
            <v>7675.4944106365801</v>
          </cell>
          <cell r="H62">
            <v>8408.847587189839</v>
          </cell>
          <cell r="I62">
            <v>9212.2688079352029</v>
          </cell>
          <cell r="J62">
            <v>10092.452706473337</v>
          </cell>
          <cell r="K62">
            <v>11056.733553482893</v>
          </cell>
          <cell r="L62">
            <v>12113.146370683704</v>
          </cell>
          <cell r="M62">
            <v>13270.493883918192</v>
          </cell>
        </row>
        <row r="63">
          <cell r="A63" t="str">
            <v>NPV of TV</v>
          </cell>
          <cell r="D63">
            <v>9</v>
          </cell>
          <cell r="E63">
            <v>2020</v>
          </cell>
          <cell r="F63" t="str">
            <v>Discount Period</v>
          </cell>
          <cell r="G63">
            <v>6</v>
          </cell>
          <cell r="H63">
            <v>5</v>
          </cell>
          <cell r="I63">
            <v>4</v>
          </cell>
          <cell r="J63">
            <v>3</v>
          </cell>
          <cell r="K63">
            <v>2</v>
          </cell>
          <cell r="L63">
            <v>1</v>
          </cell>
          <cell r="M63">
            <v>0</v>
          </cell>
        </row>
        <row r="64">
          <cell r="A64" t="str">
            <v>Terminal EBITDA multiple</v>
          </cell>
          <cell r="B64">
            <v>7.75</v>
          </cell>
          <cell r="F64" t="str">
            <v>Discount Factor</v>
          </cell>
          <cell r="G64">
            <v>0.57838799955577425</v>
          </cell>
          <cell r="H64">
            <v>0.63364993501711908</v>
          </cell>
          <cell r="I64">
            <v>0.69419185815676854</v>
          </cell>
          <cell r="J64">
            <v>0.76051824406504165</v>
          </cell>
          <cell r="K64">
            <v>0.83318176777745723</v>
          </cell>
          <cell r="L64">
            <v>0.91278790952633526</v>
          </cell>
          <cell r="M64">
            <v>1</v>
          </cell>
        </row>
        <row r="65">
          <cell r="A65" t="str">
            <v>BEAR</v>
          </cell>
          <cell r="B65">
            <v>4</v>
          </cell>
        </row>
        <row r="66">
          <cell r="A66" t="str">
            <v>BASE</v>
          </cell>
          <cell r="B66">
            <v>7.75</v>
          </cell>
          <cell r="F66" t="str">
            <v>Key Metrics</v>
          </cell>
          <cell r="I66" t="str">
            <v>2014E</v>
          </cell>
          <cell r="J66" t="str">
            <v>2015E</v>
          </cell>
          <cell r="K66" t="str">
            <v>2016E</v>
          </cell>
          <cell r="L66" t="str">
            <v>2017E</v>
          </cell>
          <cell r="M66" t="str">
            <v>2018E</v>
          </cell>
        </row>
        <row r="67">
          <cell r="A67" t="str">
            <v>BULL</v>
          </cell>
          <cell r="B67">
            <v>8.5</v>
          </cell>
          <cell r="F67" t="str">
            <v>EBITDA</v>
          </cell>
          <cell r="I67">
            <v>1440.243082517818</v>
          </cell>
          <cell r="J67">
            <v>1398.216423171549</v>
          </cell>
          <cell r="K67">
            <v>1445.7341573404726</v>
          </cell>
          <cell r="L67">
            <v>1505.1050822385459</v>
          </cell>
          <cell r="M67">
            <v>1568.9896117308344</v>
          </cell>
          <cell r="N67" t="str">
            <v>Diluted Shares</v>
          </cell>
          <cell r="O67">
            <v>215.7</v>
          </cell>
        </row>
        <row r="68">
          <cell r="F68" t="str">
            <v>Recurring EPS</v>
          </cell>
          <cell r="I68">
            <v>3.8691867210412338</v>
          </cell>
          <cell r="J68">
            <v>3.9050212591370803</v>
          </cell>
          <cell r="K68">
            <v>4.2256062915810233</v>
          </cell>
          <cell r="L68">
            <v>4.6323804016041032</v>
          </cell>
          <cell r="M68">
            <v>5.1612832264003741</v>
          </cell>
          <cell r="N68" t="str">
            <v>Net Debt</v>
          </cell>
          <cell r="O68">
            <v>145.19999999999982</v>
          </cell>
        </row>
        <row r="69">
          <cell r="A69" t="str">
            <v>Terminal growth rate</v>
          </cell>
          <cell r="B69">
            <v>9.8740763381555477E-3</v>
          </cell>
          <cell r="F69" t="str">
            <v>Free Cash Flow</v>
          </cell>
          <cell r="I69">
            <v>1002.2228763620077</v>
          </cell>
          <cell r="J69">
            <v>919.72781681208312</v>
          </cell>
          <cell r="K69">
            <v>951.79784645094367</v>
          </cell>
          <cell r="L69">
            <v>987.31979807116738</v>
          </cell>
          <cell r="M69">
            <v>1029.995976424427</v>
          </cell>
        </row>
        <row r="70">
          <cell r="A70" t="str">
            <v>MCO Beta</v>
          </cell>
        </row>
        <row r="71">
          <cell r="A71" t="str">
            <v>3 Yr Weekly</v>
          </cell>
          <cell r="B71">
            <v>1.5</v>
          </cell>
          <cell r="F71" t="str">
            <v>Share</v>
          </cell>
          <cell r="G71" t="str">
            <v>Market</v>
          </cell>
          <cell r="H71" t="str">
            <v>EV</v>
          </cell>
          <cell r="I71" t="str">
            <v>EV / EBITDA</v>
          </cell>
          <cell r="L71" t="str">
            <v>P/E</v>
          </cell>
          <cell r="O71" t="str">
            <v>FCF Yield</v>
          </cell>
        </row>
        <row r="72">
          <cell r="A72" t="str">
            <v>23-35 consec mo end</v>
          </cell>
          <cell r="B72">
            <v>1.6</v>
          </cell>
          <cell r="F72" t="str">
            <v>Price</v>
          </cell>
          <cell r="G72" t="str">
            <v>Cap</v>
          </cell>
          <cell r="I72" t="str">
            <v>2014E</v>
          </cell>
          <cell r="J72" t="str">
            <v>2015E</v>
          </cell>
          <cell r="K72" t="str">
            <v>2016E</v>
          </cell>
          <cell r="L72" t="str">
            <v>2014E</v>
          </cell>
          <cell r="M72" t="str">
            <v>2015E</v>
          </cell>
          <cell r="N72" t="str">
            <v>2016E</v>
          </cell>
          <cell r="O72" t="str">
            <v>2014E</v>
          </cell>
          <cell r="P72" t="str">
            <v>2015E</v>
          </cell>
          <cell r="Q72" t="str">
            <v>2016E</v>
          </cell>
        </row>
        <row r="73">
          <cell r="A73" t="str">
            <v>5 year Monthly</v>
          </cell>
          <cell r="B73">
            <v>1.4</v>
          </cell>
          <cell r="F73">
            <v>107</v>
          </cell>
          <cell r="G73">
            <v>23079.899999999998</v>
          </cell>
          <cell r="H73">
            <v>23225.1</v>
          </cell>
          <cell r="I73">
            <v>16.12581951054965</v>
          </cell>
          <cell r="J73">
            <v>16.610518668718626</v>
          </cell>
          <cell r="K73">
            <v>16.064571679432522</v>
          </cell>
          <cell r="L73">
            <v>27.654390370492461</v>
          </cell>
          <cell r="M73">
            <v>27.400619074643537</v>
          </cell>
          <cell r="N73">
            <v>25.321810082776459</v>
          </cell>
          <cell r="O73">
            <v>4.3424056272427861E-2</v>
          </cell>
          <cell r="P73">
            <v>3.9849731446500343E-2</v>
          </cell>
          <cell r="Q73">
            <v>4.1239253482508322E-2</v>
          </cell>
        </row>
        <row r="74">
          <cell r="A74" t="str">
            <v>Average</v>
          </cell>
          <cell r="B74">
            <v>1.5</v>
          </cell>
          <cell r="F74">
            <v>105</v>
          </cell>
          <cell r="G74">
            <v>22648.5</v>
          </cell>
          <cell r="H74">
            <v>22793.7</v>
          </cell>
          <cell r="I74">
            <v>15.826286740535695</v>
          </cell>
          <cell r="J74">
            <v>16.30198274191163</v>
          </cell>
          <cell r="K74">
            <v>15.766176571445596</v>
          </cell>
          <cell r="L74">
            <v>27.137485877586062</v>
          </cell>
          <cell r="M74">
            <v>26.888457970444591</v>
          </cell>
          <cell r="N74">
            <v>24.848505221416151</v>
          </cell>
          <cell r="O74">
            <v>4.4251181153807433E-2</v>
          </cell>
          <cell r="P74">
            <v>4.0608773950243197E-2</v>
          </cell>
          <cell r="Q74">
            <v>4.2024763072651329E-2</v>
          </cell>
        </row>
        <row r="75">
          <cell r="A75" t="str">
            <v>Source: Thomson Reuters</v>
          </cell>
          <cell r="F75">
            <v>103</v>
          </cell>
          <cell r="G75">
            <v>22217.1</v>
          </cell>
          <cell r="H75">
            <v>22362.3</v>
          </cell>
          <cell r="I75">
            <v>15.526753970521739</v>
          </cell>
          <cell r="J75">
            <v>15.993446815104631</v>
          </cell>
          <cell r="K75">
            <v>15.467781463458667</v>
          </cell>
          <cell r="L75">
            <v>26.62058138467966</v>
          </cell>
          <cell r="M75">
            <v>26.376296866245646</v>
          </cell>
          <cell r="N75">
            <v>24.375200360055846</v>
          </cell>
          <cell r="O75">
            <v>4.5110427389803698E-2</v>
          </cell>
          <cell r="P75">
            <v>4.13972938327722E-2</v>
          </cell>
          <cell r="Q75">
            <v>4.2840777889596018E-2</v>
          </cell>
        </row>
        <row r="76">
          <cell r="F76">
            <v>101</v>
          </cell>
          <cell r="G76">
            <v>21785.699999999997</v>
          </cell>
          <cell r="H76">
            <v>21930.899999999998</v>
          </cell>
          <cell r="I76">
            <v>15.227221200507783</v>
          </cell>
          <cell r="J76">
            <v>15.684910888297631</v>
          </cell>
          <cell r="K76">
            <v>15.169386355471739</v>
          </cell>
          <cell r="L76">
            <v>26.103676891773258</v>
          </cell>
          <cell r="M76">
            <v>25.864135762046701</v>
          </cell>
          <cell r="N76">
            <v>23.901895498695538</v>
          </cell>
          <cell r="O76">
            <v>4.6003703179700803E-2</v>
          </cell>
          <cell r="P76">
            <v>4.2217042225500365E-2</v>
          </cell>
          <cell r="Q76">
            <v>4.368911012503357E-2</v>
          </cell>
        </row>
        <row r="77">
          <cell r="F77">
            <v>99</v>
          </cell>
          <cell r="G77">
            <v>21354.3</v>
          </cell>
          <cell r="H77">
            <v>21499.5</v>
          </cell>
          <cell r="I77">
            <v>14.927688430493829</v>
          </cell>
          <cell r="J77">
            <v>15.376374961490635</v>
          </cell>
          <cell r="K77">
            <v>14.870991247484813</v>
          </cell>
          <cell r="L77">
            <v>25.586772398866856</v>
          </cell>
          <cell r="M77">
            <v>25.351974657847759</v>
          </cell>
          <cell r="N77">
            <v>23.42859063733523</v>
          </cell>
          <cell r="O77">
            <v>4.693307092070486E-2</v>
          </cell>
          <cell r="P77">
            <v>4.3069911765409453E-2</v>
          </cell>
          <cell r="Q77">
            <v>4.4571718410387776E-2</v>
          </cell>
        </row>
        <row r="78">
          <cell r="F78">
            <v>97</v>
          </cell>
          <cell r="G78">
            <v>20922.899999999998</v>
          </cell>
          <cell r="H78">
            <v>21068.1</v>
          </cell>
          <cell r="I78">
            <v>14.628155660479871</v>
          </cell>
          <cell r="J78">
            <v>15.067839034683637</v>
          </cell>
          <cell r="K78">
            <v>14.572596139497884</v>
          </cell>
          <cell r="L78">
            <v>25.069867905960457</v>
          </cell>
          <cell r="M78">
            <v>24.839813553648813</v>
          </cell>
          <cell r="N78">
            <v>22.955285775974922</v>
          </cell>
          <cell r="O78">
            <v>4.7900763104636916E-2</v>
          </cell>
          <cell r="P78">
            <v>4.3957951183252957E-2</v>
          </cell>
          <cell r="Q78">
            <v>4.5490722913694742E-2</v>
          </cell>
        </row>
        <row r="79">
          <cell r="F79" t="str">
            <v>$95</v>
          </cell>
          <cell r="G79">
            <v>20491.5</v>
          </cell>
          <cell r="H79">
            <v>20636.7</v>
          </cell>
          <cell r="I79">
            <v>14.328622890465917</v>
          </cell>
          <cell r="J79">
            <v>14.759303107876638</v>
          </cell>
          <cell r="K79">
            <v>14.274201031510959</v>
          </cell>
          <cell r="L79">
            <v>24.552963413054055</v>
          </cell>
          <cell r="M79">
            <v>24.327652449449868</v>
          </cell>
          <cell r="N79">
            <v>22.481980914614613</v>
          </cell>
          <cell r="O79">
            <v>4.8909200222629269E-2</v>
          </cell>
          <cell r="P79">
            <v>4.4883381734479325E-2</v>
          </cell>
          <cell r="Q79">
            <v>4.6448422343456731E-2</v>
          </cell>
        </row>
        <row r="80">
          <cell r="F80">
            <v>93</v>
          </cell>
          <cell r="G80">
            <v>20060.099999999999</v>
          </cell>
          <cell r="H80">
            <v>20205.3</v>
          </cell>
          <cell r="I80">
            <v>14.029090120451961</v>
          </cell>
          <cell r="J80">
            <v>14.45076718106964</v>
          </cell>
          <cell r="K80">
            <v>13.97580592352403</v>
          </cell>
          <cell r="L80">
            <v>24.036058920147653</v>
          </cell>
          <cell r="M80">
            <v>23.815491345250923</v>
          </cell>
          <cell r="N80">
            <v>22.008676053254305</v>
          </cell>
          <cell r="O80">
            <v>4.9961010980105171E-2</v>
          </cell>
          <cell r="P80">
            <v>4.5848615750274581E-2</v>
          </cell>
          <cell r="Q80">
            <v>4.7447313146541825E-2</v>
          </cell>
        </row>
        <row r="81">
          <cell r="F81">
            <v>91</v>
          </cell>
          <cell r="G81">
            <v>19628.7</v>
          </cell>
          <cell r="H81">
            <v>19773.900000000001</v>
          </cell>
          <cell r="I81">
            <v>13.729557350438007</v>
          </cell>
          <cell r="J81">
            <v>14.142231254262644</v>
          </cell>
          <cell r="K81">
            <v>13.677410815537105</v>
          </cell>
          <cell r="L81">
            <v>23.519154427241254</v>
          </cell>
          <cell r="M81">
            <v>23.303330241051977</v>
          </cell>
          <cell r="N81">
            <v>21.535371191893997</v>
          </cell>
          <cell r="O81">
            <v>5.1059055177470114E-2</v>
          </cell>
          <cell r="P81">
            <v>4.6856277634895999E-2</v>
          </cell>
          <cell r="Q81">
            <v>4.8490111237674612E-2</v>
          </cell>
        </row>
        <row r="82">
          <cell r="F82">
            <v>89</v>
          </cell>
          <cell r="G82">
            <v>19197.3</v>
          </cell>
          <cell r="H82">
            <v>19342.5</v>
          </cell>
          <cell r="I82">
            <v>13.43002458042405</v>
          </cell>
          <cell r="J82">
            <v>13.833695327455644</v>
          </cell>
          <cell r="K82">
            <v>13.379015707550176</v>
          </cell>
          <cell r="L82">
            <v>23.002249934334852</v>
          </cell>
          <cell r="M82">
            <v>22.791169136853036</v>
          </cell>
          <cell r="N82">
            <v>21.062066330533689</v>
          </cell>
          <cell r="O82">
            <v>5.2206449675840233E-2</v>
          </cell>
          <cell r="P82">
            <v>4.7909227694107145E-2</v>
          </cell>
          <cell r="Q82">
            <v>4.9579776658745953E-2</v>
          </cell>
        </row>
        <row r="83">
          <cell r="F83">
            <v>87</v>
          </cell>
          <cell r="G83">
            <v>18765.899999999998</v>
          </cell>
          <cell r="H83">
            <v>18911.099999999999</v>
          </cell>
          <cell r="I83">
            <v>13.130491810410094</v>
          </cell>
          <cell r="J83">
            <v>13.525159400648644</v>
          </cell>
          <cell r="K83">
            <v>13.080620599563247</v>
          </cell>
          <cell r="L83">
            <v>22.48534544142845</v>
          </cell>
          <cell r="M83">
            <v>22.27900803265409</v>
          </cell>
          <cell r="N83">
            <v>20.588761469173384</v>
          </cell>
          <cell r="O83">
            <v>5.3406597944250359E-2</v>
          </cell>
          <cell r="P83">
            <v>4.9010589250293522E-2</v>
          </cell>
          <cell r="Q83">
            <v>5.0719541639406784E-2</v>
          </cell>
        </row>
        <row r="84">
          <cell r="F84">
            <v>85</v>
          </cell>
          <cell r="G84">
            <v>18334.5</v>
          </cell>
          <cell r="H84">
            <v>18479.7</v>
          </cell>
          <cell r="I84">
            <v>12.83095904039614</v>
          </cell>
          <cell r="J84">
            <v>13.216623473841647</v>
          </cell>
          <cell r="K84">
            <v>12.782225491576321</v>
          </cell>
          <cell r="L84">
            <v>21.968440948522048</v>
          </cell>
          <cell r="M84">
            <v>21.766846928455145</v>
          </cell>
          <cell r="N84">
            <v>20.115456607813076</v>
          </cell>
          <cell r="O84">
            <v>5.4663223778232711E-2</v>
          </cell>
          <cell r="P84">
            <v>5.0163779585594544E-2</v>
          </cell>
          <cell r="Q84">
            <v>5.1912942619157527E-2</v>
          </cell>
        </row>
        <row r="85">
          <cell r="F85">
            <v>70</v>
          </cell>
          <cell r="G85">
            <v>15099</v>
          </cell>
          <cell r="H85">
            <v>15244.2</v>
          </cell>
          <cell r="I85">
            <v>10.584463265291474</v>
          </cell>
          <cell r="J85">
            <v>10.902604022789161</v>
          </cell>
          <cell r="K85">
            <v>10.544262181674364</v>
          </cell>
          <cell r="L85">
            <v>18.09165725172404</v>
          </cell>
          <cell r="M85">
            <v>17.925638646963062</v>
          </cell>
          <cell r="N85">
            <v>16.565670147610767</v>
          </cell>
          <cell r="O85">
            <v>6.6376771730711159E-2</v>
          </cell>
          <cell r="P85">
            <v>6.09131609253648E-2</v>
          </cell>
          <cell r="Q85">
            <v>6.3037144608976997E-2</v>
          </cell>
        </row>
      </sheetData>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 Id="rId3" Target="../drawings/vmlDrawing1.vml" Type="http://schemas.openxmlformats.org/officeDocument/2006/relationships/vmlDrawing"/>
<Relationship Id="rId4" Target="../ctrlProps/ctrlProp1.xml" Type="http://schemas.openxmlformats.org/officeDocument/2006/relationships/ctrlProp"/>
<Relationship Id="rId5" Target="../ctrlProps/ctrlProp2.xml" Type="http://schemas.openxmlformats.org/officeDocument/2006/relationships/ctrlProp"/>
<Relationship Id="rId6" Target="../ctrlProps/ctrlProp3.xml" Type="http://schemas.openxmlformats.org/officeDocument/2006/relationships/ctrlProp"/>
<Relationship Id="rId7" Target="../ctrlProps/ctrlProp4.xml" Type="http://schemas.openxmlformats.org/officeDocument/2006/relationships/ctrlProp"/>
<Relationship Id="rId8"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printerSettings/printerSettings3.bin" Type="http://schemas.openxmlformats.org/officeDocument/2006/relationships/printerSettings"/>
<Relationship Id="rId2" Target="../drawings/vmlDrawing2.vml" Type="http://schemas.openxmlformats.org/officeDocument/2006/relationships/vmlDrawing"/>
<Relationship Id="rId3"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printerSettings/printerSettings4.bin" Type="http://schemas.openxmlformats.org/officeDocument/2006/relationships/printerSettings"/>
<Relationship Id="rId2" Target="../drawings/vmlDrawing3.vml" Type="http://schemas.openxmlformats.org/officeDocument/2006/relationships/vmlDrawing"/>
<Relationship Id="rId3" Target="../comments3.xml" Type="http://schemas.openxmlformats.org/officeDocument/2006/relationships/comments"/>
</Relationships>

</file>

<file path=xl/worksheets/_rels/sheet5.xml.rels><?xml version="1.0" encoding="UTF-8" standalone="yes"?>
<Relationships xmlns="http://schemas.openxmlformats.org/package/2006/relationships">
<Relationship Id="rId1" Target="../printerSettings/printerSettings5.bin" Type="http://schemas.openxmlformats.org/officeDocument/2006/relationships/printerSettings"/>
<Relationship Id="rId2" Target="../drawings/vmlDrawing4.vml" Type="http://schemas.openxmlformats.org/officeDocument/2006/relationships/vmlDrawing"/>
<Relationship Id="rId3" Target="../comments4.xml" Type="http://schemas.openxmlformats.org/officeDocument/2006/relationships/comments"/>
</Relationships>

</file>

<file path=xl/worksheets/_rels/sheet6.xml.rels><?xml version="1.0" encoding="UTF-8" standalone="yes"?>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yes"?>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yes"?>
<Relationships xmlns="http://schemas.openxmlformats.org/package/2006/relationships">
<Relationship Id="rId1" Target="../printerSettings/printerSettings8.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401"/>
  <sheetViews>
    <sheetView showGridLines="0" tabSelected="1" workbookViewId="0">
      <selection activeCell="A16" sqref="A16"/>
    </sheetView>
  </sheetViews>
  <sheetFormatPr defaultRowHeight="12.75"/>
  <cols>
    <col min="1" max="1" width="25.7109375" style="2268" customWidth="1"/>
    <col min="2" max="5" width="9.140625" style="2268"/>
    <col min="6" max="6" width="18.7109375" style="2268" customWidth="1"/>
    <col min="7" max="256" width="9.140625" style="2268"/>
    <col min="257" max="257" width="100.7109375" style="2268" customWidth="1"/>
    <col min="258" max="512" width="9.140625" style="2268"/>
    <col min="513" max="513" width="100.7109375" style="2268" customWidth="1"/>
    <col min="514" max="768" width="9.140625" style="2268"/>
    <col min="769" max="769" width="100.7109375" style="2268" customWidth="1"/>
    <col min="770" max="1024" width="9.140625" style="2268"/>
    <col min="1025" max="1025" width="100.7109375" style="2268" customWidth="1"/>
    <col min="1026" max="1280" width="9.140625" style="2268"/>
    <col min="1281" max="1281" width="100.7109375" style="2268" customWidth="1"/>
    <col min="1282" max="1536" width="9.140625" style="2268"/>
    <col min="1537" max="1537" width="100.7109375" style="2268" customWidth="1"/>
    <col min="1538" max="1792" width="9.140625" style="2268"/>
    <col min="1793" max="1793" width="100.7109375" style="2268" customWidth="1"/>
    <col min="1794" max="2048" width="9.140625" style="2268"/>
    <col min="2049" max="2049" width="100.7109375" style="2268" customWidth="1"/>
    <col min="2050" max="2304" width="9.140625" style="2268"/>
    <col min="2305" max="2305" width="100.7109375" style="2268" customWidth="1"/>
    <col min="2306" max="2560" width="9.140625" style="2268"/>
    <col min="2561" max="2561" width="100.7109375" style="2268" customWidth="1"/>
    <col min="2562" max="2816" width="9.140625" style="2268"/>
    <col min="2817" max="2817" width="100.7109375" style="2268" customWidth="1"/>
    <col min="2818" max="3072" width="9.140625" style="2268"/>
    <col min="3073" max="3073" width="100.7109375" style="2268" customWidth="1"/>
    <col min="3074" max="3328" width="9.140625" style="2268"/>
    <col min="3329" max="3329" width="100.7109375" style="2268" customWidth="1"/>
    <col min="3330" max="3584" width="9.140625" style="2268"/>
    <col min="3585" max="3585" width="100.7109375" style="2268" customWidth="1"/>
    <col min="3586" max="3840" width="9.140625" style="2268"/>
    <col min="3841" max="3841" width="100.7109375" style="2268" customWidth="1"/>
    <col min="3842" max="4096" width="9.140625" style="2268"/>
    <col min="4097" max="4097" width="100.7109375" style="2268" customWidth="1"/>
    <col min="4098" max="4352" width="9.140625" style="2268"/>
    <col min="4353" max="4353" width="100.7109375" style="2268" customWidth="1"/>
    <col min="4354" max="4608" width="9.140625" style="2268"/>
    <col min="4609" max="4609" width="100.7109375" style="2268" customWidth="1"/>
    <col min="4610" max="4864" width="9.140625" style="2268"/>
    <col min="4865" max="4865" width="100.7109375" style="2268" customWidth="1"/>
    <col min="4866" max="5120" width="9.140625" style="2268"/>
    <col min="5121" max="5121" width="100.7109375" style="2268" customWidth="1"/>
    <col min="5122" max="5376" width="9.140625" style="2268"/>
    <col min="5377" max="5377" width="100.7109375" style="2268" customWidth="1"/>
    <col min="5378" max="5632" width="9.140625" style="2268"/>
    <col min="5633" max="5633" width="100.7109375" style="2268" customWidth="1"/>
    <col min="5634" max="5888" width="9.140625" style="2268"/>
    <col min="5889" max="5889" width="100.7109375" style="2268" customWidth="1"/>
    <col min="5890" max="6144" width="9.140625" style="2268"/>
    <col min="6145" max="6145" width="100.7109375" style="2268" customWidth="1"/>
    <col min="6146" max="6400" width="9.140625" style="2268"/>
    <col min="6401" max="6401" width="100.7109375" style="2268" customWidth="1"/>
    <col min="6402" max="6656" width="9.140625" style="2268"/>
    <col min="6657" max="6657" width="100.7109375" style="2268" customWidth="1"/>
    <col min="6658" max="6912" width="9.140625" style="2268"/>
    <col min="6913" max="6913" width="100.7109375" style="2268" customWidth="1"/>
    <col min="6914" max="7168" width="9.140625" style="2268"/>
    <col min="7169" max="7169" width="100.7109375" style="2268" customWidth="1"/>
    <col min="7170" max="7424" width="9.140625" style="2268"/>
    <col min="7425" max="7425" width="100.7109375" style="2268" customWidth="1"/>
    <col min="7426" max="7680" width="9.140625" style="2268"/>
    <col min="7681" max="7681" width="100.7109375" style="2268" customWidth="1"/>
    <col min="7682" max="7936" width="9.140625" style="2268"/>
    <col min="7937" max="7937" width="100.7109375" style="2268" customWidth="1"/>
    <col min="7938" max="8192" width="9.140625" style="2268"/>
    <col min="8193" max="8193" width="100.7109375" style="2268" customWidth="1"/>
    <col min="8194" max="8448" width="9.140625" style="2268"/>
    <col min="8449" max="8449" width="100.7109375" style="2268" customWidth="1"/>
    <col min="8450" max="8704" width="9.140625" style="2268"/>
    <col min="8705" max="8705" width="100.7109375" style="2268" customWidth="1"/>
    <col min="8706" max="8960" width="9.140625" style="2268"/>
    <col min="8961" max="8961" width="100.7109375" style="2268" customWidth="1"/>
    <col min="8962" max="9216" width="9.140625" style="2268"/>
    <col min="9217" max="9217" width="100.7109375" style="2268" customWidth="1"/>
    <col min="9218" max="9472" width="9.140625" style="2268"/>
    <col min="9473" max="9473" width="100.7109375" style="2268" customWidth="1"/>
    <col min="9474" max="9728" width="9.140625" style="2268"/>
    <col min="9729" max="9729" width="100.7109375" style="2268" customWidth="1"/>
    <col min="9730" max="9984" width="9.140625" style="2268"/>
    <col min="9985" max="9985" width="100.7109375" style="2268" customWidth="1"/>
    <col min="9986" max="10240" width="9.140625" style="2268"/>
    <col min="10241" max="10241" width="100.7109375" style="2268" customWidth="1"/>
    <col min="10242" max="10496" width="9.140625" style="2268"/>
    <col min="10497" max="10497" width="100.7109375" style="2268" customWidth="1"/>
    <col min="10498" max="10752" width="9.140625" style="2268"/>
    <col min="10753" max="10753" width="100.7109375" style="2268" customWidth="1"/>
    <col min="10754" max="11008" width="9.140625" style="2268"/>
    <col min="11009" max="11009" width="100.7109375" style="2268" customWidth="1"/>
    <col min="11010" max="11264" width="9.140625" style="2268"/>
    <col min="11265" max="11265" width="100.7109375" style="2268" customWidth="1"/>
    <col min="11266" max="11520" width="9.140625" style="2268"/>
    <col min="11521" max="11521" width="100.7109375" style="2268" customWidth="1"/>
    <col min="11522" max="11776" width="9.140625" style="2268"/>
    <col min="11777" max="11777" width="100.7109375" style="2268" customWidth="1"/>
    <col min="11778" max="12032" width="9.140625" style="2268"/>
    <col min="12033" max="12033" width="100.7109375" style="2268" customWidth="1"/>
    <col min="12034" max="12288" width="9.140625" style="2268"/>
    <col min="12289" max="12289" width="100.7109375" style="2268" customWidth="1"/>
    <col min="12290" max="12544" width="9.140625" style="2268"/>
    <col min="12545" max="12545" width="100.7109375" style="2268" customWidth="1"/>
    <col min="12546" max="12800" width="9.140625" style="2268"/>
    <col min="12801" max="12801" width="100.7109375" style="2268" customWidth="1"/>
    <col min="12802" max="13056" width="9.140625" style="2268"/>
    <col min="13057" max="13057" width="100.7109375" style="2268" customWidth="1"/>
    <col min="13058" max="13312" width="9.140625" style="2268"/>
    <col min="13313" max="13313" width="100.7109375" style="2268" customWidth="1"/>
    <col min="13314" max="13568" width="9.140625" style="2268"/>
    <col min="13569" max="13569" width="100.7109375" style="2268" customWidth="1"/>
    <col min="13570" max="13824" width="9.140625" style="2268"/>
    <col min="13825" max="13825" width="100.7109375" style="2268" customWidth="1"/>
    <col min="13826" max="14080" width="9.140625" style="2268"/>
    <col min="14081" max="14081" width="100.7109375" style="2268" customWidth="1"/>
    <col min="14082" max="14336" width="9.140625" style="2268"/>
    <col min="14337" max="14337" width="100.7109375" style="2268" customWidth="1"/>
    <col min="14338" max="14592" width="9.140625" style="2268"/>
    <col min="14593" max="14593" width="100.7109375" style="2268" customWidth="1"/>
    <col min="14594" max="14848" width="9.140625" style="2268"/>
    <col min="14849" max="14849" width="100.7109375" style="2268" customWidth="1"/>
    <col min="14850" max="15104" width="9.140625" style="2268"/>
    <col min="15105" max="15105" width="100.7109375" style="2268" customWidth="1"/>
    <col min="15106" max="15360" width="9.140625" style="2268"/>
    <col min="15361" max="15361" width="100.7109375" style="2268" customWidth="1"/>
    <col min="15362" max="15616" width="9.140625" style="2268"/>
    <col min="15617" max="15617" width="100.7109375" style="2268" customWidth="1"/>
    <col min="15618" max="15872" width="9.140625" style="2268"/>
    <col min="15873" max="15873" width="100.7109375" style="2268" customWidth="1"/>
    <col min="15874" max="16128" width="9.140625" style="2268"/>
    <col min="16129" max="16129" width="100.7109375" style="2268" customWidth="1"/>
    <col min="16130" max="16384" width="9.140625" style="2268"/>
  </cols>
  <sheetData>
    <row r="1" spans="1:8" ht="30" customHeight="1">
      <c r="A1" s="2266"/>
      <c r="B1" s="2267"/>
      <c r="C1" s="2267"/>
      <c r="D1" s="2267"/>
      <c r="E1" s="2267"/>
      <c r="F1" s="2267"/>
      <c r="G1" s="2267"/>
      <c r="H1" s="2267"/>
    </row>
    <row r="2" spans="1:8" ht="14.25">
      <c r="A2" s="2269" t="s">
        <v>585</v>
      </c>
      <c r="B2" s="2267"/>
      <c r="C2" s="2267"/>
      <c r="D2" s="2267"/>
      <c r="E2" s="2267"/>
      <c r="F2" s="2267"/>
      <c r="G2" s="2267"/>
      <c r="H2" s="2267"/>
    </row>
    <row r="3" spans="1:8" ht="14.25">
      <c r="A3" s="2269" t="s">
        <v>586</v>
      </c>
      <c r="B3" s="2267"/>
      <c r="C3" s="2267"/>
      <c r="D3" s="2267"/>
      <c r="E3" s="2267"/>
      <c r="F3" s="2267"/>
      <c r="G3" s="2267"/>
      <c r="H3" s="2267"/>
    </row>
    <row r="4" spans="1:8" ht="14.25">
      <c r="A4" s="2269" t="s">
        <v>587</v>
      </c>
      <c r="B4" s="2267"/>
      <c r="C4" s="2267"/>
      <c r="D4" s="2267"/>
      <c r="E4" s="2267"/>
      <c r="F4" s="2267"/>
      <c r="G4" s="2267"/>
      <c r="H4" s="2267"/>
    </row>
    <row r="5" spans="1:8" ht="14.25">
      <c r="A5" s="2269" t="s">
        <v>588</v>
      </c>
      <c r="B5" s="2267"/>
      <c r="C5" s="2267"/>
      <c r="D5" s="2267"/>
      <c r="E5" s="2267"/>
      <c r="F5" s="2267"/>
      <c r="G5" s="2267"/>
      <c r="H5" s="2267"/>
    </row>
    <row r="6" spans="1:8" ht="14.25">
      <c r="A6" s="2269"/>
      <c r="B6" s="2267"/>
      <c r="C6" s="2267"/>
      <c r="D6" s="2267"/>
      <c r="E6" s="2267"/>
      <c r="F6" s="2267"/>
      <c r="G6" s="2267"/>
      <c r="H6" s="2267"/>
    </row>
    <row r="7" spans="1:8">
      <c r="A7" s="2266" t="s">
        <v>589</v>
      </c>
      <c r="B7" s="2267"/>
      <c r="C7" s="2267"/>
      <c r="D7" s="2267"/>
      <c r="E7" s="2267"/>
      <c r="F7" s="2267"/>
      <c r="G7" s="2267"/>
      <c r="H7" s="2267"/>
    </row>
    <row r="8" spans="1:8">
      <c r="A8" s="2266" t="s">
        <v>590</v>
      </c>
      <c r="B8" s="2267"/>
      <c r="C8" s="2267"/>
      <c r="D8" s="2267"/>
      <c r="E8" s="2267"/>
      <c r="F8" s="2267"/>
      <c r="G8" s="2267"/>
      <c r="H8" s="2267"/>
    </row>
    <row r="9" spans="1:8">
      <c r="A9" s="2266"/>
      <c r="B9" s="2267"/>
      <c r="C9" s="2267"/>
      <c r="D9" s="2267"/>
      <c r="E9" s="2267"/>
      <c r="F9" s="2267"/>
      <c r="G9" s="2267"/>
      <c r="H9" s="2267"/>
    </row>
    <row r="10" spans="1:8">
      <c r="A10" s="2270" t="s">
        <v>591</v>
      </c>
      <c r="B10" s="2267"/>
      <c r="C10" s="2267"/>
      <c r="D10" s="2267"/>
      <c r="E10" s="2267"/>
      <c r="F10" s="2267"/>
      <c r="G10" s="2267"/>
      <c r="H10" s="2267"/>
    </row>
    <row r="11" spans="1:8">
      <c r="A11" s="2270" t="s">
        <v>592</v>
      </c>
      <c r="B11" s="2267"/>
      <c r="C11" s="2267"/>
      <c r="D11" s="2267"/>
      <c r="E11" s="2267"/>
      <c r="F11" s="2267"/>
      <c r="G11" s="2267"/>
      <c r="H11" s="2267"/>
    </row>
    <row r="12" spans="1:8">
      <c r="A12" s="2270" t="s">
        <v>593</v>
      </c>
      <c r="B12" s="2267"/>
      <c r="C12" s="2267"/>
      <c r="D12" s="2267"/>
      <c r="E12" s="2267"/>
      <c r="F12" s="2267"/>
      <c r="G12" s="2267"/>
      <c r="H12" s="2267"/>
    </row>
    <row r="13" spans="1:8">
      <c r="A13" s="2270" t="s">
        <v>594</v>
      </c>
      <c r="B13" s="2267"/>
      <c r="C13" s="2267"/>
      <c r="D13" s="2267"/>
      <c r="E13" s="2267"/>
      <c r="F13" s="2267"/>
      <c r="G13" s="2267"/>
      <c r="H13" s="2267"/>
    </row>
    <row r="14" spans="1:8">
      <c r="A14" s="2270" t="s">
        <v>595</v>
      </c>
      <c r="B14" s="2267"/>
      <c r="C14" s="2267"/>
      <c r="D14" s="2267"/>
      <c r="E14" s="2267"/>
      <c r="F14" s="2267"/>
      <c r="G14" s="2267"/>
      <c r="H14" s="2267"/>
    </row>
    <row r="15" spans="1:8">
      <c r="A15" s="2270" t="s">
        <v>952</v>
      </c>
      <c r="B15" s="2267"/>
      <c r="C15" s="2267"/>
      <c r="D15" s="2267"/>
      <c r="E15" s="2267"/>
      <c r="F15" s="2267"/>
      <c r="G15" s="2267"/>
      <c r="H15" s="2267"/>
    </row>
    <row r="16" spans="1:8">
      <c r="A16" s="2270"/>
      <c r="B16" s="2267"/>
      <c r="C16" s="2267"/>
      <c r="D16" s="2267"/>
      <c r="E16" s="2267"/>
      <c r="F16" s="2267"/>
      <c r="G16" s="2267"/>
      <c r="H16" s="2267"/>
    </row>
    <row r="17" spans="1:8">
      <c r="A17" s="2270" t="s">
        <v>582</v>
      </c>
      <c r="B17" s="2267"/>
      <c r="C17" s="2267"/>
      <c r="D17" s="2267"/>
      <c r="E17" s="2267"/>
      <c r="F17" s="2267"/>
      <c r="G17" s="2267"/>
      <c r="H17" s="2267"/>
    </row>
    <row r="18" spans="1:8">
      <c r="A18" s="2270"/>
      <c r="B18" s="2267"/>
      <c r="C18" s="2267"/>
      <c r="D18" s="2267"/>
      <c r="E18" s="2267"/>
      <c r="F18" s="2267"/>
      <c r="G18" s="2267"/>
      <c r="H18" s="2267"/>
    </row>
    <row r="19" spans="1:8">
      <c r="A19" s="2270" t="s">
        <v>583</v>
      </c>
      <c r="B19" s="2267"/>
      <c r="C19" s="2267"/>
      <c r="D19" s="2267"/>
      <c r="E19" s="2267"/>
      <c r="F19" s="2267"/>
      <c r="G19" s="2267"/>
      <c r="H19" s="2267"/>
    </row>
    <row r="20" spans="1:8">
      <c r="A20" s="2266"/>
      <c r="B20" s="2267"/>
      <c r="C20" s="2267"/>
      <c r="D20" s="2267"/>
      <c r="E20" s="2267"/>
      <c r="F20" s="2267"/>
      <c r="G20" s="2267"/>
      <c r="H20" s="2267"/>
    </row>
    <row r="21" spans="1:8">
      <c r="A21" s="2271" t="s">
        <v>584</v>
      </c>
      <c r="B21" s="2267"/>
      <c r="C21" s="2267"/>
      <c r="D21" s="2267"/>
      <c r="E21" s="2267"/>
      <c r="F21" s="2267"/>
      <c r="G21" s="2267"/>
      <c r="H21" s="2267"/>
    </row>
    <row r="22" spans="1:8" ht="15">
      <c r="A22" s="2272"/>
      <c r="B22" s="2272"/>
      <c r="C22" s="2272"/>
      <c r="D22" s="2272"/>
      <c r="E22" s="2272"/>
      <c r="F22" s="2272"/>
      <c r="G22" s="2272"/>
      <c r="H22" s="2272"/>
    </row>
    <row r="23" spans="1:8" ht="15">
      <c r="A23" s="2273" t="s">
        <v>879</v>
      </c>
      <c r="B23" s="2272"/>
      <c r="C23" s="2272"/>
      <c r="D23" s="2272"/>
      <c r="E23" s="2272"/>
      <c r="F23" s="2272"/>
      <c r="G23" s="2272"/>
      <c r="H23" s="2272"/>
    </row>
    <row r="24" spans="1:8" ht="15">
      <c r="A24" s="2273" t="s">
        <v>880</v>
      </c>
      <c r="B24" s="2272"/>
      <c r="C24" s="2272"/>
      <c r="D24" s="2272"/>
      <c r="E24" s="2272"/>
      <c r="F24" s="2272"/>
      <c r="G24" s="2272"/>
      <c r="H24" s="2272"/>
    </row>
    <row r="25" spans="1:8" ht="15">
      <c r="A25" s="2273" t="s">
        <v>881</v>
      </c>
      <c r="B25" s="2272"/>
      <c r="C25" s="2272"/>
      <c r="D25" s="2272"/>
      <c r="E25" s="2272"/>
      <c r="F25" s="2272"/>
      <c r="G25" s="2272"/>
      <c r="H25" s="2272"/>
    </row>
    <row r="26" spans="1:8" ht="15">
      <c r="A26" s="2273" t="s">
        <v>882</v>
      </c>
      <c r="B26" s="2272"/>
      <c r="C26" s="2272"/>
      <c r="D26" s="2272"/>
      <c r="E26" s="2272"/>
      <c r="F26" s="2272"/>
      <c r="G26" s="2272"/>
      <c r="H26" s="2272"/>
    </row>
    <row r="27" spans="1:8" ht="15">
      <c r="A27" s="2272"/>
      <c r="B27" s="2272"/>
      <c r="C27" s="2272"/>
      <c r="D27" s="2272"/>
      <c r="E27" s="2272"/>
      <c r="F27" s="2272"/>
      <c r="G27" s="2272"/>
      <c r="H27" s="2272"/>
    </row>
    <row r="28" spans="1:8" ht="15">
      <c r="A28" s="2272"/>
      <c r="B28" s="2272"/>
      <c r="C28" s="2272"/>
      <c r="D28" s="2272"/>
      <c r="E28" s="2272"/>
      <c r="F28" s="2272"/>
      <c r="G28" s="2272"/>
      <c r="H28" s="2272"/>
    </row>
    <row r="29" spans="1:8" ht="15">
      <c r="A29" s="2273" t="s">
        <v>874</v>
      </c>
      <c r="B29" s="2272"/>
      <c r="C29" s="2272"/>
      <c r="D29" s="2272"/>
      <c r="E29" s="2272"/>
      <c r="F29" s="2272"/>
      <c r="G29" s="2272"/>
      <c r="H29" s="2272"/>
    </row>
    <row r="30" spans="1:8" ht="15">
      <c r="A30" s="2273" t="s">
        <v>875</v>
      </c>
      <c r="B30" s="2272"/>
      <c r="C30" s="2272"/>
      <c r="D30" s="2272"/>
      <c r="E30" s="2272"/>
      <c r="F30" s="2272"/>
      <c r="G30" s="2272"/>
      <c r="H30" s="2272"/>
    </row>
    <row r="31" spans="1:8" ht="15">
      <c r="A31" s="2273" t="s">
        <v>876</v>
      </c>
      <c r="B31" s="2272"/>
      <c r="C31" s="2272"/>
      <c r="D31" s="2272"/>
      <c r="E31" s="2272"/>
      <c r="F31" s="2272"/>
      <c r="G31" s="2272"/>
      <c r="H31" s="2272"/>
    </row>
    <row r="32" spans="1:8" ht="15">
      <c r="A32" s="2273" t="s">
        <v>877</v>
      </c>
      <c r="B32" s="2272"/>
      <c r="C32" s="2272"/>
      <c r="D32" s="2272"/>
      <c r="E32" s="2272"/>
      <c r="F32" s="2272"/>
      <c r="G32" s="2272"/>
      <c r="H32" s="2272"/>
    </row>
    <row r="33" spans="1:8" ht="15">
      <c r="A33" s="2273" t="s">
        <v>878</v>
      </c>
      <c r="B33" s="2272"/>
      <c r="C33" s="2272"/>
      <c r="D33" s="2272"/>
      <c r="E33" s="2272"/>
      <c r="F33" s="2272"/>
      <c r="G33" s="2272"/>
      <c r="H33" s="2272"/>
    </row>
    <row r="34" spans="1:8" ht="15">
      <c r="A34" s="2272"/>
      <c r="B34" s="2272"/>
      <c r="C34" s="2272"/>
      <c r="D34" s="2272"/>
      <c r="E34" s="2272"/>
      <c r="F34" s="2272"/>
      <c r="G34" s="2272"/>
      <c r="H34" s="2272"/>
    </row>
    <row r="35" spans="1:8" ht="15">
      <c r="A35" s="2273" t="s">
        <v>870</v>
      </c>
      <c r="B35" s="2272"/>
      <c r="C35" s="2272"/>
      <c r="D35" s="2272"/>
      <c r="E35" s="2272"/>
      <c r="F35" s="2272"/>
      <c r="G35" s="2272"/>
      <c r="H35" s="2272"/>
    </row>
    <row r="36" spans="1:8" ht="15">
      <c r="A36" s="2273" t="s">
        <v>871</v>
      </c>
      <c r="B36" s="2272"/>
      <c r="C36" s="2272"/>
      <c r="D36" s="2272"/>
      <c r="E36" s="2272"/>
      <c r="F36" s="2272"/>
      <c r="G36" s="2272"/>
      <c r="H36" s="2272"/>
    </row>
    <row r="37" spans="1:8" ht="15">
      <c r="A37" s="2273" t="s">
        <v>872</v>
      </c>
      <c r="B37" s="2272"/>
      <c r="C37" s="2272"/>
      <c r="D37" s="2272"/>
      <c r="E37" s="2272"/>
      <c r="F37" s="2272"/>
      <c r="G37" s="2272"/>
      <c r="H37" s="2272"/>
    </row>
    <row r="38" spans="1:8" ht="15">
      <c r="A38" s="2273" t="s">
        <v>873</v>
      </c>
      <c r="B38" s="2272"/>
      <c r="C38" s="2272"/>
      <c r="D38" s="2272"/>
      <c r="E38" s="2272"/>
      <c r="F38" s="2272"/>
      <c r="G38" s="2272"/>
      <c r="H38" s="2272"/>
    </row>
    <row r="39" spans="1:8" ht="15">
      <c r="A39" s="2272"/>
      <c r="B39" s="2272"/>
      <c r="C39" s="2272"/>
      <c r="D39" s="2272"/>
      <c r="E39" s="2272"/>
      <c r="F39" s="2272"/>
      <c r="G39" s="2272"/>
      <c r="H39" s="2272"/>
    </row>
    <row r="40" spans="1:8" ht="15">
      <c r="A40" s="2273" t="s">
        <v>864</v>
      </c>
      <c r="B40" s="2272"/>
      <c r="C40" s="2272"/>
      <c r="D40" s="2272"/>
      <c r="E40" s="2272"/>
      <c r="F40" s="2272"/>
      <c r="G40" s="2272"/>
      <c r="H40" s="2272"/>
    </row>
    <row r="41" spans="1:8" ht="15">
      <c r="A41" s="2273" t="s">
        <v>865</v>
      </c>
      <c r="B41" s="2272"/>
      <c r="C41" s="2272"/>
      <c r="D41" s="2272"/>
      <c r="E41" s="2272"/>
      <c r="F41" s="2272"/>
      <c r="G41" s="2272"/>
      <c r="H41" s="2272"/>
    </row>
    <row r="42" spans="1:8" ht="15">
      <c r="A42" s="2273" t="s">
        <v>866</v>
      </c>
      <c r="B42" s="2272"/>
      <c r="C42" s="2272"/>
      <c r="D42" s="2272"/>
      <c r="E42" s="2272"/>
      <c r="F42" s="2272"/>
      <c r="G42" s="2272"/>
      <c r="H42" s="2272"/>
    </row>
    <row r="43" spans="1:8" ht="15">
      <c r="A43" s="2273" t="s">
        <v>867</v>
      </c>
      <c r="B43" s="2272"/>
      <c r="C43" s="2272"/>
      <c r="D43" s="2272"/>
      <c r="E43" s="2272"/>
      <c r="F43" s="2272"/>
      <c r="G43" s="2272"/>
      <c r="H43" s="2272"/>
    </row>
    <row r="44" spans="1:8" ht="15">
      <c r="A44" s="2273" t="s">
        <v>868</v>
      </c>
      <c r="B44" s="2272"/>
      <c r="C44" s="2272"/>
      <c r="D44" s="2272"/>
      <c r="E44" s="2272"/>
      <c r="F44" s="2272"/>
      <c r="G44" s="2272"/>
      <c r="H44" s="2272"/>
    </row>
    <row r="45" spans="1:8" ht="15">
      <c r="A45" s="2273" t="s">
        <v>869</v>
      </c>
      <c r="B45" s="2272"/>
      <c r="C45" s="2272"/>
      <c r="D45" s="2272"/>
      <c r="E45" s="2272"/>
      <c r="F45" s="2272"/>
      <c r="G45" s="2272"/>
      <c r="H45" s="2272"/>
    </row>
    <row r="46" spans="1:8" ht="15">
      <c r="A46" s="2272"/>
      <c r="B46" s="2272"/>
      <c r="C46" s="2272"/>
      <c r="D46" s="2272"/>
      <c r="E46" s="2272"/>
      <c r="F46" s="2272"/>
      <c r="G46" s="2272"/>
      <c r="H46" s="2272"/>
    </row>
    <row r="47" spans="1:8" ht="15.75">
      <c r="A47" s="2274" t="s">
        <v>596</v>
      </c>
      <c r="B47" s="2272"/>
      <c r="C47" s="2272"/>
      <c r="D47" s="2272"/>
      <c r="E47" s="2272"/>
      <c r="F47" s="2272"/>
      <c r="G47" s="2272"/>
      <c r="H47" s="2272"/>
    </row>
    <row r="48" spans="1:8" ht="15">
      <c r="A48" s="2272"/>
      <c r="B48" s="2272"/>
      <c r="C48" s="2272"/>
      <c r="D48" s="2272"/>
      <c r="E48" s="2272"/>
      <c r="F48" s="2272"/>
      <c r="G48" s="2272"/>
      <c r="H48" s="2272"/>
    </row>
    <row r="49" spans="1:8" ht="15">
      <c r="A49" s="2273" t="s">
        <v>860</v>
      </c>
      <c r="B49" s="2272"/>
      <c r="C49" s="2272"/>
      <c r="D49" s="2272"/>
      <c r="E49" s="2272"/>
      <c r="F49" s="2272"/>
      <c r="G49" s="2272"/>
      <c r="H49" s="2272"/>
    </row>
    <row r="50" spans="1:8" ht="15">
      <c r="A50" s="2273" t="s">
        <v>861</v>
      </c>
      <c r="B50" s="2272"/>
      <c r="C50" s="2272"/>
      <c r="D50" s="2272"/>
      <c r="E50" s="2272"/>
      <c r="F50" s="2272"/>
      <c r="G50" s="2272"/>
      <c r="H50" s="2272"/>
    </row>
    <row r="51" spans="1:8" ht="15">
      <c r="A51" s="2273" t="s">
        <v>862</v>
      </c>
      <c r="B51" s="2272"/>
      <c r="C51" s="2272"/>
      <c r="D51" s="2272"/>
      <c r="E51" s="2272"/>
      <c r="F51" s="2272"/>
      <c r="G51" s="2272"/>
      <c r="H51" s="2272"/>
    </row>
    <row r="52" spans="1:8" ht="15">
      <c r="A52" s="2273" t="s">
        <v>863</v>
      </c>
      <c r="B52" s="2272"/>
      <c r="C52" s="2272"/>
      <c r="D52" s="2272"/>
      <c r="E52" s="2272"/>
      <c r="F52" s="2272"/>
      <c r="G52" s="2272"/>
      <c r="H52" s="2272"/>
    </row>
    <row r="53" spans="1:8" ht="15">
      <c r="A53" s="2272"/>
      <c r="B53" s="2272"/>
      <c r="C53" s="2272"/>
      <c r="D53" s="2272"/>
      <c r="E53" s="2272"/>
      <c r="F53" s="2272"/>
      <c r="G53" s="2272"/>
      <c r="H53" s="2272"/>
    </row>
    <row r="54" spans="1:8" ht="15">
      <c r="A54" s="2273" t="s">
        <v>597</v>
      </c>
      <c r="B54" s="2272"/>
      <c r="C54" s="2272"/>
      <c r="D54" s="2272"/>
      <c r="E54" s="2272"/>
      <c r="F54" s="2272"/>
      <c r="G54" s="2272"/>
      <c r="H54" s="2272"/>
    </row>
    <row r="55" spans="1:8" ht="15">
      <c r="A55" s="2272"/>
      <c r="B55" s="2272"/>
      <c r="C55" s="2272"/>
      <c r="D55" s="2272"/>
      <c r="E55" s="2272"/>
      <c r="F55" s="2272"/>
      <c r="G55" s="2272"/>
      <c r="H55" s="2272"/>
    </row>
    <row r="56" spans="1:8" ht="15.75">
      <c r="A56" s="2274" t="s">
        <v>598</v>
      </c>
      <c r="B56" s="2272"/>
      <c r="C56" s="2272"/>
      <c r="D56" s="2272"/>
      <c r="E56" s="2272"/>
      <c r="F56" s="2272"/>
      <c r="G56" s="2272"/>
      <c r="H56" s="2272"/>
    </row>
    <row r="57" spans="1:8" ht="15">
      <c r="A57" s="2272"/>
      <c r="B57" s="2272"/>
      <c r="C57" s="2272"/>
      <c r="D57" s="2272"/>
      <c r="E57" s="2272"/>
      <c r="F57" s="2272"/>
      <c r="G57" s="2272"/>
      <c r="H57" s="2272"/>
    </row>
    <row r="58" spans="1:8" ht="15">
      <c r="A58" s="2273" t="s">
        <v>858</v>
      </c>
      <c r="B58" s="2272"/>
      <c r="C58" s="2272"/>
      <c r="D58" s="2272"/>
      <c r="E58" s="2272"/>
      <c r="F58" s="2272"/>
      <c r="G58" s="2272"/>
      <c r="H58" s="2272"/>
    </row>
    <row r="59" spans="1:8" ht="15">
      <c r="A59" s="2273" t="s">
        <v>859</v>
      </c>
      <c r="B59" s="2272"/>
      <c r="C59" s="2272"/>
      <c r="D59" s="2272"/>
      <c r="E59" s="2272"/>
      <c r="F59" s="2272"/>
      <c r="G59" s="2272"/>
      <c r="H59" s="2272"/>
    </row>
    <row r="60" spans="1:8" ht="15">
      <c r="A60" s="2272"/>
      <c r="B60" s="2272"/>
      <c r="C60" s="2272"/>
      <c r="D60" s="2272"/>
      <c r="E60" s="2272"/>
      <c r="F60" s="2272"/>
      <c r="G60" s="2272"/>
      <c r="H60" s="2272"/>
    </row>
    <row r="61" spans="1:8" ht="15.75">
      <c r="A61" s="2274" t="s">
        <v>599</v>
      </c>
      <c r="B61" s="2272"/>
      <c r="C61" s="2272"/>
      <c r="D61" s="2272"/>
      <c r="E61" s="2272"/>
      <c r="F61" s="2272"/>
      <c r="G61" s="2272"/>
      <c r="H61" s="2272"/>
    </row>
    <row r="62" spans="1:8" ht="15">
      <c r="A62" s="2272"/>
      <c r="B62" s="2272"/>
      <c r="C62" s="2272"/>
      <c r="D62" s="2272"/>
      <c r="E62" s="2272"/>
      <c r="F62" s="2272"/>
      <c r="G62" s="2272"/>
      <c r="H62" s="2272"/>
    </row>
    <row r="63" spans="1:8" ht="15">
      <c r="A63" s="2273" t="s">
        <v>856</v>
      </c>
      <c r="B63" s="2272"/>
      <c r="C63" s="2272"/>
      <c r="D63" s="2272"/>
      <c r="E63" s="2272"/>
      <c r="F63" s="2272"/>
      <c r="G63" s="2272"/>
      <c r="H63" s="2272"/>
    </row>
    <row r="64" spans="1:8" ht="15">
      <c r="A64" s="2273" t="s">
        <v>857</v>
      </c>
      <c r="B64" s="2272"/>
      <c r="C64" s="2272"/>
      <c r="D64" s="2272"/>
      <c r="E64" s="2272"/>
      <c r="F64" s="2272"/>
      <c r="G64" s="2272"/>
      <c r="H64" s="2272"/>
    </row>
    <row r="65" spans="1:8" ht="15">
      <c r="A65" s="2272"/>
      <c r="B65" s="2272"/>
      <c r="C65" s="2272"/>
      <c r="D65" s="2272"/>
      <c r="E65" s="2272"/>
      <c r="F65" s="2272"/>
      <c r="G65" s="2272"/>
      <c r="H65" s="2272"/>
    </row>
    <row r="66" spans="1:8" ht="15">
      <c r="A66" s="2273" t="s">
        <v>855</v>
      </c>
      <c r="B66" s="2272"/>
      <c r="C66" s="2272"/>
      <c r="D66" s="2272"/>
      <c r="E66" s="2272"/>
      <c r="F66" s="2272"/>
      <c r="G66" s="2272"/>
      <c r="H66" s="2272"/>
    </row>
    <row r="67" spans="1:8" ht="15">
      <c r="A67" s="2273" t="s">
        <v>399</v>
      </c>
      <c r="B67" s="2272"/>
      <c r="C67" s="2272"/>
      <c r="D67" s="2272"/>
      <c r="E67" s="2272"/>
      <c r="F67" s="2272"/>
      <c r="G67" s="2272"/>
      <c r="H67" s="2272"/>
    </row>
    <row r="68" spans="1:8" ht="15">
      <c r="A68" s="2272"/>
      <c r="B68" s="2272"/>
      <c r="C68" s="2272"/>
      <c r="D68" s="2272"/>
      <c r="E68" s="2272"/>
      <c r="F68" s="2272"/>
      <c r="G68" s="2272"/>
      <c r="H68" s="2272"/>
    </row>
    <row r="69" spans="1:8" ht="15">
      <c r="A69" s="2273" t="s">
        <v>853</v>
      </c>
      <c r="B69" s="2272"/>
      <c r="C69" s="2272"/>
      <c r="D69" s="2272"/>
      <c r="E69" s="2272"/>
      <c r="F69" s="2272"/>
      <c r="G69" s="2272"/>
      <c r="H69" s="2272"/>
    </row>
    <row r="70" spans="1:8" ht="15">
      <c r="A70" s="2273" t="s">
        <v>854</v>
      </c>
      <c r="B70" s="2272"/>
      <c r="C70" s="2272"/>
      <c r="D70" s="2272"/>
      <c r="E70" s="2272"/>
      <c r="F70" s="2272"/>
      <c r="G70" s="2272"/>
      <c r="H70" s="2272"/>
    </row>
    <row r="71" spans="1:8" ht="15">
      <c r="A71" s="2272"/>
      <c r="B71" s="2272"/>
      <c r="C71" s="2272"/>
      <c r="D71" s="2272"/>
      <c r="E71" s="2272"/>
      <c r="F71" s="2272"/>
      <c r="G71" s="2272"/>
      <c r="H71" s="2272"/>
    </row>
    <row r="72" spans="1:8" ht="15">
      <c r="A72" s="2273" t="s">
        <v>851</v>
      </c>
      <c r="B72" s="2272"/>
      <c r="C72" s="2272"/>
      <c r="D72" s="2272"/>
      <c r="E72" s="2272"/>
      <c r="F72" s="2272"/>
      <c r="G72" s="2272"/>
      <c r="H72" s="2272"/>
    </row>
    <row r="73" spans="1:8" ht="15">
      <c r="A73" s="2273" t="s">
        <v>852</v>
      </c>
      <c r="B73" s="2272"/>
      <c r="C73" s="2272"/>
      <c r="D73" s="2272"/>
      <c r="E73" s="2272"/>
      <c r="F73" s="2272"/>
      <c r="G73" s="2272"/>
      <c r="H73" s="2272"/>
    </row>
    <row r="74" spans="1:8" ht="15">
      <c r="A74" s="2272"/>
      <c r="B74" s="2272"/>
      <c r="C74" s="2272"/>
      <c r="D74" s="2272"/>
      <c r="E74" s="2272"/>
      <c r="F74" s="2272"/>
      <c r="G74" s="2272"/>
      <c r="H74" s="2272"/>
    </row>
    <row r="75" spans="1:8" ht="15">
      <c r="A75" s="2273" t="s">
        <v>849</v>
      </c>
      <c r="B75" s="2272"/>
      <c r="C75" s="2272"/>
      <c r="D75" s="2272"/>
      <c r="E75" s="2272"/>
      <c r="F75" s="2272"/>
      <c r="G75" s="2272"/>
      <c r="H75" s="2272"/>
    </row>
    <row r="76" spans="1:8" ht="15">
      <c r="A76" s="2273" t="s">
        <v>850</v>
      </c>
      <c r="B76" s="2272"/>
      <c r="C76" s="2272"/>
      <c r="D76" s="2272"/>
      <c r="E76" s="2272"/>
      <c r="F76" s="2272"/>
      <c r="G76" s="2272"/>
      <c r="H76" s="2272"/>
    </row>
    <row r="77" spans="1:8" ht="15">
      <c r="A77" s="2272"/>
      <c r="B77" s="2272"/>
      <c r="C77" s="2272"/>
      <c r="D77" s="2272"/>
      <c r="E77" s="2272"/>
      <c r="F77" s="2272"/>
      <c r="G77" s="2272"/>
      <c r="H77" s="2272"/>
    </row>
    <row r="78" spans="1:8" ht="15">
      <c r="A78" s="2273" t="s">
        <v>846</v>
      </c>
      <c r="B78" s="2272"/>
      <c r="C78" s="2272"/>
      <c r="D78" s="2272"/>
      <c r="E78" s="2272"/>
      <c r="F78" s="2272"/>
      <c r="G78" s="2272"/>
      <c r="H78" s="2272"/>
    </row>
    <row r="79" spans="1:8" ht="15">
      <c r="A79" s="2273" t="s">
        <v>847</v>
      </c>
      <c r="B79" s="2272"/>
      <c r="C79" s="2272"/>
      <c r="D79" s="2272"/>
      <c r="E79" s="2272"/>
      <c r="F79" s="2272"/>
      <c r="G79" s="2272"/>
      <c r="H79" s="2272"/>
    </row>
    <row r="80" spans="1:8" ht="15">
      <c r="A80" s="2273" t="s">
        <v>848</v>
      </c>
      <c r="B80" s="2272"/>
      <c r="C80" s="2272"/>
      <c r="D80" s="2272"/>
      <c r="E80" s="2272"/>
      <c r="F80" s="2272"/>
      <c r="G80" s="2272"/>
      <c r="H80" s="2272"/>
    </row>
    <row r="81" spans="1:8" ht="15">
      <c r="A81" s="2272"/>
      <c r="B81" s="2272"/>
      <c r="C81" s="2272"/>
      <c r="D81" s="2272"/>
      <c r="E81" s="2272"/>
      <c r="F81" s="2272"/>
      <c r="G81" s="2272"/>
      <c r="H81" s="2272"/>
    </row>
    <row r="82" spans="1:8" ht="15">
      <c r="A82" s="2273" t="s">
        <v>600</v>
      </c>
      <c r="B82" s="2272"/>
      <c r="C82" s="2272"/>
      <c r="D82" s="2272"/>
      <c r="E82" s="2272"/>
      <c r="F82" s="2272"/>
      <c r="G82" s="2272"/>
      <c r="H82" s="2272"/>
    </row>
    <row r="83" spans="1:8" ht="15">
      <c r="A83" s="2272"/>
      <c r="B83" s="2272"/>
      <c r="C83" s="2272"/>
      <c r="D83" s="2272"/>
      <c r="E83" s="2272"/>
      <c r="F83" s="2272"/>
      <c r="G83" s="2272"/>
      <c r="H83" s="2272"/>
    </row>
    <row r="84" spans="1:8" ht="15">
      <c r="A84" s="2273" t="s">
        <v>841</v>
      </c>
      <c r="B84" s="2272"/>
      <c r="C84" s="2272"/>
      <c r="D84" s="2272"/>
      <c r="E84" s="2272"/>
      <c r="F84" s="2272"/>
      <c r="G84" s="2272"/>
      <c r="H84" s="2272"/>
    </row>
    <row r="85" spans="1:8" ht="15">
      <c r="A85" s="2273" t="s">
        <v>842</v>
      </c>
      <c r="B85" s="2272"/>
      <c r="C85" s="2272"/>
      <c r="D85" s="2272"/>
      <c r="E85" s="2272"/>
      <c r="F85" s="2272"/>
      <c r="G85" s="2272"/>
      <c r="H85" s="2272"/>
    </row>
    <row r="86" spans="1:8" ht="15">
      <c r="A86" s="2273" t="s">
        <v>843</v>
      </c>
      <c r="B86" s="2272"/>
      <c r="C86" s="2272"/>
      <c r="D86" s="2272"/>
      <c r="E86" s="2272"/>
      <c r="F86" s="2272"/>
      <c r="G86" s="2272"/>
      <c r="H86" s="2272"/>
    </row>
    <row r="87" spans="1:8" ht="15">
      <c r="A87" s="2273" t="s">
        <v>844</v>
      </c>
      <c r="B87" s="2272"/>
      <c r="C87" s="2272"/>
      <c r="D87" s="2272"/>
      <c r="E87" s="2272"/>
      <c r="F87" s="2272"/>
      <c r="G87" s="2272"/>
      <c r="H87" s="2272"/>
    </row>
    <row r="88" spans="1:8" ht="15">
      <c r="A88" s="2273" t="s">
        <v>845</v>
      </c>
      <c r="B88" s="2272"/>
      <c r="C88" s="2272"/>
      <c r="D88" s="2272"/>
      <c r="E88" s="2272"/>
      <c r="F88" s="2272"/>
      <c r="G88" s="2272"/>
      <c r="H88" s="2272"/>
    </row>
    <row r="89" spans="1:8" ht="15">
      <c r="A89" s="2273" t="s">
        <v>728</v>
      </c>
      <c r="B89" s="2272"/>
      <c r="C89" s="2272"/>
      <c r="D89" s="2272"/>
      <c r="E89" s="2272"/>
      <c r="F89" s="2272"/>
      <c r="G89" s="2272"/>
      <c r="H89" s="2272"/>
    </row>
    <row r="90" spans="1:8" ht="15">
      <c r="A90" s="2272"/>
      <c r="B90" s="2272"/>
      <c r="C90" s="2272"/>
      <c r="D90" s="2272"/>
      <c r="E90" s="2272"/>
      <c r="F90" s="2272"/>
      <c r="G90" s="2272"/>
      <c r="H90" s="2272"/>
    </row>
    <row r="91" spans="1:8" ht="15">
      <c r="A91" s="2273" t="s">
        <v>834</v>
      </c>
      <c r="B91" s="2272"/>
      <c r="C91" s="2272"/>
      <c r="D91" s="2272"/>
      <c r="E91" s="2272"/>
      <c r="F91" s="2272"/>
      <c r="G91" s="2272"/>
      <c r="H91" s="2272"/>
    </row>
    <row r="92" spans="1:8" ht="15">
      <c r="A92" s="2273" t="s">
        <v>835</v>
      </c>
      <c r="B92" s="2272"/>
      <c r="C92" s="2272"/>
      <c r="D92" s="2272"/>
      <c r="E92" s="2272"/>
      <c r="F92" s="2272"/>
      <c r="G92" s="2272"/>
      <c r="H92" s="2272"/>
    </row>
    <row r="93" spans="1:8" ht="15">
      <c r="A93" s="2273" t="s">
        <v>836</v>
      </c>
      <c r="B93" s="2272"/>
      <c r="C93" s="2272"/>
      <c r="D93" s="2272"/>
      <c r="E93" s="2272"/>
      <c r="F93" s="2272"/>
      <c r="G93" s="2272"/>
      <c r="H93" s="2272"/>
    </row>
    <row r="94" spans="1:8" ht="15">
      <c r="A94" s="2273" t="s">
        <v>837</v>
      </c>
      <c r="B94" s="2272"/>
      <c r="C94" s="2272"/>
      <c r="D94" s="2272"/>
      <c r="E94" s="2272"/>
      <c r="F94" s="2272"/>
      <c r="G94" s="2272"/>
      <c r="H94" s="2272"/>
    </row>
    <row r="95" spans="1:8" ht="15">
      <c r="A95" s="2273" t="s">
        <v>838</v>
      </c>
      <c r="B95" s="2272"/>
      <c r="C95" s="2272"/>
      <c r="D95" s="2272"/>
      <c r="E95" s="2272"/>
      <c r="F95" s="2272"/>
      <c r="G95" s="2272"/>
      <c r="H95" s="2272"/>
    </row>
    <row r="96" spans="1:8" ht="15">
      <c r="A96" s="2273" t="s">
        <v>839</v>
      </c>
      <c r="B96" s="2272"/>
      <c r="C96" s="2272"/>
      <c r="D96" s="2272"/>
      <c r="E96" s="2272"/>
      <c r="F96" s="2272"/>
      <c r="G96" s="2272"/>
      <c r="H96" s="2272"/>
    </row>
    <row r="97" spans="1:8" ht="15">
      <c r="A97" s="2273" t="s">
        <v>840</v>
      </c>
      <c r="B97" s="2272"/>
      <c r="C97" s="2272"/>
      <c r="D97" s="2272"/>
      <c r="E97" s="2272"/>
      <c r="F97" s="2272"/>
      <c r="G97" s="2272"/>
      <c r="H97" s="2272"/>
    </row>
    <row r="98" spans="1:8" ht="15">
      <c r="A98" s="2272"/>
      <c r="B98" s="2272"/>
      <c r="C98" s="2272"/>
      <c r="D98" s="2272"/>
      <c r="E98" s="2272"/>
      <c r="F98" s="2272"/>
      <c r="G98" s="2272"/>
      <c r="H98" s="2272"/>
    </row>
    <row r="99" spans="1:8" ht="15">
      <c r="A99" s="2273" t="s">
        <v>832</v>
      </c>
      <c r="B99" s="2272"/>
      <c r="C99" s="2272"/>
      <c r="D99" s="2272"/>
      <c r="E99" s="2272"/>
      <c r="F99" s="2272"/>
      <c r="G99" s="2272"/>
      <c r="H99" s="2272"/>
    </row>
    <row r="100" spans="1:8" ht="15">
      <c r="A100" s="2273" t="s">
        <v>833</v>
      </c>
      <c r="B100" s="2272"/>
      <c r="C100" s="2272"/>
      <c r="D100" s="2272"/>
      <c r="E100" s="2272"/>
      <c r="F100" s="2272"/>
      <c r="G100" s="2272"/>
      <c r="H100" s="2272"/>
    </row>
    <row r="101" spans="1:8" ht="15">
      <c r="A101" s="2272"/>
      <c r="B101" s="2272"/>
      <c r="C101" s="2272"/>
      <c r="D101" s="2272"/>
      <c r="E101" s="2272"/>
      <c r="F101" s="2272"/>
      <c r="G101" s="2272"/>
      <c r="H101" s="2272"/>
    </row>
    <row r="102" spans="1:8" ht="15.75">
      <c r="A102" s="2274" t="s">
        <v>601</v>
      </c>
      <c r="B102" s="2272"/>
      <c r="C102" s="2272"/>
      <c r="D102" s="2272"/>
      <c r="E102" s="2272"/>
      <c r="F102" s="2272"/>
      <c r="G102" s="2272"/>
      <c r="H102" s="2272"/>
    </row>
    <row r="103" spans="1:8" ht="15">
      <c r="A103" s="2272"/>
      <c r="B103" s="2272"/>
      <c r="C103" s="2272"/>
      <c r="D103" s="2272"/>
      <c r="E103" s="2272"/>
      <c r="F103" s="2272"/>
      <c r="G103" s="2272"/>
      <c r="H103" s="2272"/>
    </row>
    <row r="104" spans="1:8" ht="15">
      <c r="A104" s="2273" t="s">
        <v>823</v>
      </c>
      <c r="B104" s="2272"/>
      <c r="C104" s="2272"/>
      <c r="D104" s="2272"/>
      <c r="E104" s="2272"/>
      <c r="F104" s="2272"/>
      <c r="G104" s="2272"/>
      <c r="H104" s="2272"/>
    </row>
    <row r="105" spans="1:8" ht="15">
      <c r="A105" s="2273" t="s">
        <v>824</v>
      </c>
      <c r="B105" s="2272"/>
      <c r="C105" s="2272"/>
      <c r="D105" s="2272"/>
      <c r="E105" s="2272"/>
      <c r="F105" s="2272"/>
      <c r="G105" s="2272"/>
      <c r="H105" s="2272"/>
    </row>
    <row r="106" spans="1:8" ht="15">
      <c r="A106" s="2273" t="s">
        <v>825</v>
      </c>
      <c r="B106" s="2272"/>
      <c r="C106" s="2272"/>
      <c r="D106" s="2272"/>
      <c r="E106" s="2272"/>
      <c r="F106" s="2272"/>
      <c r="G106" s="2272"/>
      <c r="H106" s="2272"/>
    </row>
    <row r="107" spans="1:8" ht="15">
      <c r="A107" s="2273" t="s">
        <v>826</v>
      </c>
      <c r="B107" s="2272"/>
      <c r="C107" s="2272"/>
      <c r="D107" s="2272"/>
      <c r="E107" s="2272"/>
      <c r="F107" s="2272"/>
      <c r="G107" s="2272"/>
      <c r="H107" s="2272"/>
    </row>
    <row r="108" spans="1:8" ht="15">
      <c r="A108" s="2273" t="s">
        <v>827</v>
      </c>
      <c r="B108" s="2272"/>
      <c r="C108" s="2272"/>
      <c r="D108" s="2272"/>
      <c r="E108" s="2272"/>
      <c r="F108" s="2272"/>
      <c r="G108" s="2272"/>
      <c r="H108" s="2272"/>
    </row>
    <row r="109" spans="1:8" ht="15">
      <c r="A109" s="2273" t="s">
        <v>828</v>
      </c>
      <c r="B109" s="2272"/>
      <c r="C109" s="2272"/>
      <c r="D109" s="2272"/>
      <c r="E109" s="2272"/>
      <c r="F109" s="2272"/>
      <c r="G109" s="2272"/>
      <c r="H109" s="2272"/>
    </row>
    <row r="110" spans="1:8" ht="15">
      <c r="A110" s="2273" t="s">
        <v>829</v>
      </c>
      <c r="B110" s="2272"/>
      <c r="C110" s="2272"/>
      <c r="D110" s="2272"/>
      <c r="E110" s="2272"/>
      <c r="F110" s="2272"/>
      <c r="G110" s="2272"/>
      <c r="H110" s="2272"/>
    </row>
    <row r="111" spans="1:8" ht="15">
      <c r="A111" s="2273" t="s">
        <v>830</v>
      </c>
      <c r="B111" s="2272"/>
      <c r="C111" s="2272"/>
      <c r="D111" s="2272"/>
      <c r="E111" s="2272"/>
      <c r="F111" s="2272"/>
      <c r="G111" s="2272"/>
      <c r="H111" s="2272"/>
    </row>
    <row r="112" spans="1:8" ht="15">
      <c r="A112" s="2273" t="s">
        <v>831</v>
      </c>
      <c r="B112" s="2272"/>
      <c r="C112" s="2272"/>
      <c r="D112" s="2272"/>
      <c r="E112" s="2272"/>
      <c r="F112" s="2272"/>
      <c r="G112" s="2272"/>
      <c r="H112" s="2272"/>
    </row>
    <row r="113" spans="1:8" ht="15">
      <c r="A113" s="2272"/>
      <c r="B113" s="2272"/>
      <c r="C113" s="2272"/>
      <c r="D113" s="2272"/>
      <c r="E113" s="2272"/>
      <c r="F113" s="2272"/>
      <c r="G113" s="2272"/>
      <c r="H113" s="2272"/>
    </row>
    <row r="114" spans="1:8" ht="15.75">
      <c r="A114" s="2289" t="s">
        <v>602</v>
      </c>
      <c r="B114" s="2289"/>
      <c r="C114" s="2289"/>
      <c r="D114" s="2289"/>
      <c r="E114" s="2289"/>
      <c r="F114" s="2289"/>
      <c r="G114" s="2289"/>
      <c r="H114" s="2289"/>
    </row>
    <row r="115" spans="1:8">
      <c r="A115" s="2285" t="s">
        <v>603</v>
      </c>
      <c r="B115" s="2285"/>
      <c r="C115" s="2285"/>
      <c r="D115" s="2285"/>
      <c r="E115" s="2285"/>
      <c r="F115" s="2285"/>
      <c r="G115" s="2285"/>
      <c r="H115" s="2285"/>
    </row>
    <row r="116" spans="1:8" ht="15">
      <c r="A116" s="2290"/>
      <c r="B116" s="2290"/>
      <c r="C116" s="2290"/>
      <c r="D116" s="2290"/>
      <c r="E116" s="2290"/>
      <c r="F116" s="2290"/>
      <c r="G116" s="2290"/>
      <c r="H116" s="2290"/>
    </row>
    <row r="117" spans="1:8">
      <c r="A117" s="2285" t="s">
        <v>821</v>
      </c>
      <c r="B117" s="2285"/>
      <c r="C117" s="2285"/>
      <c r="D117" s="2285"/>
      <c r="E117" s="2285"/>
      <c r="F117" s="2285"/>
      <c r="G117" s="2285"/>
      <c r="H117" s="2285"/>
    </row>
    <row r="118" spans="1:8">
      <c r="A118" s="2273" t="s">
        <v>822</v>
      </c>
      <c r="B118" s="2273"/>
      <c r="C118" s="2273"/>
      <c r="D118" s="2273"/>
      <c r="E118" s="2273"/>
      <c r="F118" s="2273"/>
      <c r="G118" s="2273"/>
      <c r="H118" s="2273"/>
    </row>
    <row r="119" spans="1:8" ht="15">
      <c r="A119" s="2290"/>
      <c r="B119" s="2290"/>
      <c r="C119" s="2290"/>
      <c r="D119" s="2290"/>
      <c r="E119" s="2290"/>
      <c r="F119" s="2290"/>
      <c r="G119" s="2290"/>
      <c r="H119" s="2290"/>
    </row>
    <row r="120" spans="1:8">
      <c r="A120" s="2285" t="s">
        <v>814</v>
      </c>
      <c r="B120" s="2285"/>
      <c r="C120" s="2285"/>
      <c r="D120" s="2285"/>
      <c r="E120" s="2285"/>
      <c r="F120" s="2285"/>
      <c r="G120" s="2285"/>
      <c r="H120" s="2285"/>
    </row>
    <row r="121" spans="1:8">
      <c r="A121" s="2273" t="s">
        <v>815</v>
      </c>
      <c r="B121" s="2273"/>
      <c r="C121" s="2273"/>
      <c r="D121" s="2273"/>
      <c r="E121" s="2273"/>
      <c r="F121" s="2273"/>
      <c r="G121" s="2273"/>
      <c r="H121" s="2273"/>
    </row>
    <row r="122" spans="1:8">
      <c r="A122" s="2273" t="s">
        <v>816</v>
      </c>
      <c r="B122" s="2273"/>
      <c r="C122" s="2273"/>
      <c r="D122" s="2273"/>
      <c r="E122" s="2273"/>
      <c r="F122" s="2273"/>
      <c r="G122" s="2273"/>
      <c r="H122" s="2273"/>
    </row>
    <row r="123" spans="1:8">
      <c r="A123" s="2273" t="s">
        <v>817</v>
      </c>
      <c r="B123" s="2273"/>
      <c r="C123" s="2273"/>
      <c r="D123" s="2273"/>
      <c r="E123" s="2273"/>
      <c r="F123" s="2273"/>
      <c r="G123" s="2273"/>
      <c r="H123" s="2273"/>
    </row>
    <row r="124" spans="1:8">
      <c r="A124" s="2273" t="s">
        <v>818</v>
      </c>
      <c r="B124" s="2273"/>
      <c r="C124" s="2273"/>
      <c r="D124" s="2273"/>
      <c r="E124" s="2273"/>
      <c r="F124" s="2273"/>
      <c r="G124" s="2273"/>
      <c r="H124" s="2273"/>
    </row>
    <row r="125" spans="1:8">
      <c r="A125" s="2273" t="s">
        <v>819</v>
      </c>
      <c r="B125" s="2273"/>
      <c r="C125" s="2273"/>
      <c r="D125" s="2273"/>
      <c r="E125" s="2273"/>
      <c r="F125" s="2273"/>
      <c r="G125" s="2273"/>
      <c r="H125" s="2273"/>
    </row>
    <row r="126" spans="1:8">
      <c r="A126" s="2273" t="s">
        <v>820</v>
      </c>
      <c r="B126" s="2273"/>
      <c r="C126" s="2273"/>
      <c r="D126" s="2273"/>
      <c r="E126" s="2273"/>
      <c r="F126" s="2273"/>
      <c r="G126" s="2273"/>
      <c r="H126" s="2273"/>
    </row>
    <row r="127" spans="1:8" ht="15">
      <c r="A127" s="2291"/>
      <c r="B127" s="2291"/>
      <c r="C127" s="2291"/>
      <c r="D127" s="2291"/>
      <c r="E127" s="2291"/>
      <c r="F127" s="2291"/>
      <c r="G127" s="2291"/>
      <c r="H127" s="2291"/>
    </row>
    <row r="128" spans="1:8">
      <c r="A128" s="2275"/>
      <c r="B128" s="2286" t="s">
        <v>604</v>
      </c>
      <c r="C128" s="2287"/>
      <c r="D128" s="2286" t="s">
        <v>605</v>
      </c>
      <c r="E128" s="2288"/>
      <c r="F128" s="2287"/>
      <c r="G128" s="2286" t="s">
        <v>606</v>
      </c>
      <c r="H128" s="2287"/>
    </row>
    <row r="129" spans="1:8">
      <c r="A129" s="2275" t="s">
        <v>607</v>
      </c>
      <c r="B129" s="2275" t="s">
        <v>512</v>
      </c>
      <c r="C129" s="2275" t="s">
        <v>192</v>
      </c>
      <c r="D129" s="2275" t="s">
        <v>512</v>
      </c>
      <c r="E129" s="2275" t="s">
        <v>608</v>
      </c>
      <c r="F129" s="2275" t="s">
        <v>609</v>
      </c>
      <c r="G129" s="2275" t="s">
        <v>512</v>
      </c>
      <c r="H129" s="2275" t="s">
        <v>610</v>
      </c>
    </row>
    <row r="130" spans="1:8">
      <c r="A130" s="2275" t="s">
        <v>611</v>
      </c>
      <c r="B130" s="2275">
        <v>1189</v>
      </c>
      <c r="C130" s="2276">
        <v>0.38</v>
      </c>
      <c r="D130" s="2275">
        <v>315</v>
      </c>
      <c r="E130" s="2276">
        <v>0.41</v>
      </c>
      <c r="F130" s="2276">
        <v>0.26</v>
      </c>
      <c r="G130" s="2275">
        <v>555</v>
      </c>
      <c r="H130" s="2276">
        <v>0.39</v>
      </c>
    </row>
    <row r="131" spans="1:8">
      <c r="A131" s="2275" t="s">
        <v>612</v>
      </c>
      <c r="B131" s="2275">
        <v>1355</v>
      </c>
      <c r="C131" s="2276">
        <v>0.43</v>
      </c>
      <c r="D131" s="2275">
        <v>364</v>
      </c>
      <c r="E131" s="2276">
        <v>0.47</v>
      </c>
      <c r="F131" s="2276">
        <v>0.27</v>
      </c>
      <c r="G131" s="2275">
        <v>644</v>
      </c>
      <c r="H131" s="2276">
        <v>0.45</v>
      </c>
    </row>
    <row r="132" spans="1:8">
      <c r="A132" s="2275" t="s">
        <v>613</v>
      </c>
      <c r="B132" s="2275">
        <v>53</v>
      </c>
      <c r="C132" s="2276">
        <v>0.02</v>
      </c>
      <c r="D132" s="2275">
        <v>4</v>
      </c>
      <c r="E132" s="2276">
        <v>0.01</v>
      </c>
      <c r="F132" s="2276">
        <v>0.08</v>
      </c>
      <c r="G132" s="2275">
        <v>7</v>
      </c>
      <c r="H132" s="2276">
        <v>0</v>
      </c>
    </row>
    <row r="133" spans="1:8">
      <c r="A133" s="2275" t="s">
        <v>614</v>
      </c>
      <c r="B133" s="2275">
        <v>545</v>
      </c>
      <c r="C133" s="2276">
        <v>0.17</v>
      </c>
      <c r="D133" s="2275">
        <v>84</v>
      </c>
      <c r="E133" s="2276">
        <v>0.11</v>
      </c>
      <c r="F133" s="2276">
        <v>0.15</v>
      </c>
      <c r="G133" s="2275">
        <v>214</v>
      </c>
      <c r="H133" s="2276">
        <v>0.15</v>
      </c>
    </row>
    <row r="134" spans="1:8">
      <c r="A134" s="2275" t="s">
        <v>398</v>
      </c>
      <c r="B134" s="2277">
        <v>3142</v>
      </c>
      <c r="C134" s="2275"/>
      <c r="D134" s="2275">
        <v>767</v>
      </c>
      <c r="E134" s="2275"/>
      <c r="F134" s="2275"/>
      <c r="G134" s="2275">
        <v>1420</v>
      </c>
      <c r="H134" s="2275"/>
    </row>
    <row r="135" spans="1:8" ht="15">
      <c r="A135" s="2284"/>
      <c r="B135" s="2284"/>
      <c r="C135" s="2284"/>
      <c r="D135" s="2284"/>
      <c r="E135" s="2284"/>
      <c r="F135" s="2284"/>
      <c r="G135" s="2284"/>
      <c r="H135" s="2284"/>
    </row>
    <row r="136" spans="1:8">
      <c r="A136" s="2285" t="s">
        <v>810</v>
      </c>
      <c r="B136" s="2285"/>
      <c r="C136" s="2285"/>
      <c r="D136" s="2285"/>
      <c r="E136" s="2285"/>
      <c r="F136" s="2285"/>
      <c r="G136" s="2285"/>
      <c r="H136" s="2285"/>
    </row>
    <row r="137" spans="1:8">
      <c r="A137" s="2273" t="s">
        <v>811</v>
      </c>
      <c r="B137" s="2273"/>
      <c r="C137" s="2273"/>
      <c r="D137" s="2273"/>
      <c r="E137" s="2273"/>
      <c r="F137" s="2273"/>
      <c r="G137" s="2273"/>
      <c r="H137" s="2273"/>
    </row>
    <row r="138" spans="1:8">
      <c r="A138" s="2273" t="s">
        <v>812</v>
      </c>
      <c r="B138" s="2273"/>
      <c r="C138" s="2273"/>
      <c r="D138" s="2273"/>
      <c r="E138" s="2273"/>
      <c r="F138" s="2273"/>
      <c r="G138" s="2273"/>
      <c r="H138" s="2273"/>
    </row>
    <row r="139" spans="1:8">
      <c r="A139" s="2273" t="s">
        <v>813</v>
      </c>
      <c r="B139" s="2273"/>
      <c r="C139" s="2273"/>
      <c r="D139" s="2273"/>
      <c r="E139" s="2273"/>
      <c r="F139" s="2273"/>
      <c r="G139" s="2273"/>
      <c r="H139" s="2273"/>
    </row>
    <row r="140" spans="1:8" ht="15">
      <c r="A140" s="2272"/>
      <c r="B140" s="2272"/>
      <c r="C140" s="2272"/>
      <c r="D140" s="2272"/>
      <c r="E140" s="2272"/>
      <c r="F140" s="2272"/>
      <c r="G140" s="2272"/>
      <c r="H140" s="2272"/>
    </row>
    <row r="141" spans="1:8" ht="15.75">
      <c r="A141" s="2274" t="s">
        <v>615</v>
      </c>
      <c r="B141" s="2272"/>
      <c r="C141" s="2272"/>
      <c r="D141" s="2272"/>
      <c r="E141" s="2272"/>
      <c r="F141" s="2272"/>
      <c r="G141" s="2272"/>
      <c r="H141" s="2272"/>
    </row>
    <row r="142" spans="1:8" ht="15">
      <c r="A142" s="2272"/>
      <c r="B142" s="2272"/>
      <c r="C142" s="2272"/>
      <c r="D142" s="2272"/>
      <c r="E142" s="2272"/>
      <c r="F142" s="2272"/>
      <c r="G142" s="2272"/>
      <c r="H142" s="2272"/>
    </row>
    <row r="143" spans="1:8" ht="15">
      <c r="A143" s="2273" t="s">
        <v>808</v>
      </c>
      <c r="B143" s="2272"/>
      <c r="C143" s="2272"/>
      <c r="D143" s="2272"/>
      <c r="E143" s="2272"/>
      <c r="F143" s="2272"/>
      <c r="G143" s="2272"/>
      <c r="H143" s="2272"/>
    </row>
    <row r="144" spans="1:8" ht="15">
      <c r="A144" s="2273" t="s">
        <v>809</v>
      </c>
      <c r="B144" s="2272"/>
      <c r="C144" s="2272"/>
      <c r="D144" s="2272"/>
      <c r="E144" s="2272"/>
      <c r="F144" s="2272"/>
      <c r="G144" s="2272"/>
      <c r="H144" s="2272"/>
    </row>
    <row r="145" spans="1:8" ht="15">
      <c r="A145" s="2272"/>
      <c r="B145" s="2272"/>
      <c r="C145" s="2272"/>
      <c r="D145" s="2272"/>
      <c r="E145" s="2272"/>
      <c r="F145" s="2272"/>
      <c r="G145" s="2272"/>
      <c r="H145" s="2272"/>
    </row>
    <row r="146" spans="1:8" ht="15">
      <c r="A146" s="2273" t="s">
        <v>805</v>
      </c>
      <c r="B146" s="2272"/>
      <c r="C146" s="2272"/>
      <c r="D146" s="2272"/>
      <c r="E146" s="2272"/>
      <c r="F146" s="2272"/>
      <c r="G146" s="2272"/>
      <c r="H146" s="2272"/>
    </row>
    <row r="147" spans="1:8" ht="15">
      <c r="A147" s="2273" t="s">
        <v>806</v>
      </c>
      <c r="B147" s="2272"/>
      <c r="C147" s="2272"/>
      <c r="D147" s="2272"/>
      <c r="E147" s="2272"/>
      <c r="F147" s="2272"/>
      <c r="G147" s="2272"/>
      <c r="H147" s="2272"/>
    </row>
    <row r="148" spans="1:8" ht="15">
      <c r="A148" s="2273" t="s">
        <v>807</v>
      </c>
      <c r="B148" s="2272"/>
      <c r="C148" s="2272"/>
      <c r="D148" s="2272"/>
      <c r="E148" s="2272"/>
      <c r="F148" s="2272"/>
      <c r="G148" s="2272"/>
      <c r="H148" s="2272"/>
    </row>
    <row r="149" spans="1:8" ht="15">
      <c r="A149" s="2272"/>
      <c r="B149" s="2272"/>
      <c r="C149" s="2272"/>
      <c r="D149" s="2272"/>
      <c r="E149" s="2272"/>
      <c r="F149" s="2272"/>
      <c r="G149" s="2272"/>
      <c r="H149" s="2272"/>
    </row>
    <row r="150" spans="1:8" ht="15">
      <c r="A150" s="2273" t="s">
        <v>802</v>
      </c>
      <c r="B150" s="2272"/>
      <c r="C150" s="2272"/>
      <c r="D150" s="2272"/>
      <c r="E150" s="2272"/>
      <c r="F150" s="2272"/>
      <c r="G150" s="2272"/>
      <c r="H150" s="2272"/>
    </row>
    <row r="151" spans="1:8" ht="15">
      <c r="A151" s="2273" t="s">
        <v>803</v>
      </c>
      <c r="B151" s="2272"/>
      <c r="C151" s="2272"/>
      <c r="D151" s="2272"/>
      <c r="E151" s="2272"/>
      <c r="F151" s="2272"/>
      <c r="G151" s="2272"/>
      <c r="H151" s="2272"/>
    </row>
    <row r="152" spans="1:8" ht="15">
      <c r="A152" s="2273" t="s">
        <v>804</v>
      </c>
      <c r="B152" s="2272"/>
      <c r="C152" s="2272"/>
      <c r="D152" s="2272"/>
      <c r="E152" s="2272"/>
      <c r="F152" s="2272"/>
      <c r="G152" s="2272"/>
      <c r="H152" s="2272"/>
    </row>
    <row r="153" spans="1:8" ht="15">
      <c r="A153" s="2272"/>
      <c r="B153" s="2272"/>
      <c r="C153" s="2272"/>
      <c r="D153" s="2272"/>
      <c r="E153" s="2272"/>
      <c r="F153" s="2272"/>
      <c r="G153" s="2272"/>
      <c r="H153" s="2272"/>
    </row>
    <row r="154" spans="1:8" ht="15">
      <c r="A154" s="2273" t="s">
        <v>799</v>
      </c>
      <c r="B154" s="2272"/>
      <c r="C154" s="2272"/>
      <c r="D154" s="2272"/>
      <c r="E154" s="2272"/>
      <c r="F154" s="2272"/>
      <c r="G154" s="2272"/>
      <c r="H154" s="2272"/>
    </row>
    <row r="155" spans="1:8" ht="15">
      <c r="A155" s="2273" t="s">
        <v>800</v>
      </c>
      <c r="B155" s="2272"/>
      <c r="C155" s="2272"/>
      <c r="D155" s="2272"/>
      <c r="E155" s="2272"/>
      <c r="F155" s="2272"/>
      <c r="G155" s="2272"/>
      <c r="H155" s="2272"/>
    </row>
    <row r="156" spans="1:8" ht="15">
      <c r="A156" s="2273" t="s">
        <v>801</v>
      </c>
      <c r="B156" s="2272"/>
      <c r="C156" s="2272"/>
      <c r="D156" s="2272"/>
      <c r="E156" s="2272"/>
      <c r="F156" s="2272"/>
      <c r="G156" s="2272"/>
      <c r="H156" s="2272"/>
    </row>
    <row r="157" spans="1:8" ht="15">
      <c r="A157" s="2272"/>
      <c r="B157" s="2272"/>
      <c r="C157" s="2272"/>
      <c r="D157" s="2272"/>
      <c r="E157" s="2272"/>
      <c r="F157" s="2272"/>
      <c r="G157" s="2272"/>
      <c r="H157" s="2272"/>
    </row>
    <row r="158" spans="1:8" ht="15">
      <c r="A158" s="2273" t="s">
        <v>797</v>
      </c>
      <c r="B158" s="2272"/>
      <c r="C158" s="2272"/>
      <c r="D158" s="2272"/>
      <c r="E158" s="2272"/>
      <c r="F158" s="2272"/>
      <c r="G158" s="2272"/>
      <c r="H158" s="2272"/>
    </row>
    <row r="159" spans="1:8" ht="15">
      <c r="A159" s="2273" t="s">
        <v>798</v>
      </c>
      <c r="B159" s="2272"/>
      <c r="C159" s="2272"/>
      <c r="D159" s="2272"/>
      <c r="E159" s="2272"/>
      <c r="F159" s="2272"/>
      <c r="G159" s="2272"/>
      <c r="H159" s="2272"/>
    </row>
    <row r="160" spans="1:8" ht="15">
      <c r="A160" s="2272"/>
      <c r="B160" s="2272"/>
      <c r="C160" s="2272"/>
      <c r="D160" s="2272"/>
      <c r="E160" s="2272"/>
      <c r="F160" s="2272"/>
      <c r="G160" s="2272"/>
      <c r="H160" s="2272"/>
    </row>
    <row r="161" spans="1:8" ht="15.75">
      <c r="A161" s="2274" t="s">
        <v>616</v>
      </c>
      <c r="B161" s="2272"/>
      <c r="C161" s="2272"/>
      <c r="D161" s="2272"/>
      <c r="E161" s="2272"/>
      <c r="F161" s="2272"/>
      <c r="G161" s="2272"/>
      <c r="H161" s="2272"/>
    </row>
    <row r="162" spans="1:8" ht="15">
      <c r="A162" s="2272"/>
      <c r="B162" s="2272"/>
      <c r="C162" s="2272"/>
      <c r="D162" s="2272"/>
      <c r="E162" s="2272"/>
      <c r="F162" s="2272"/>
      <c r="G162" s="2272"/>
      <c r="H162" s="2272"/>
    </row>
    <row r="163" spans="1:8" ht="15">
      <c r="A163" s="2273" t="s">
        <v>795</v>
      </c>
      <c r="B163" s="2272"/>
      <c r="C163" s="2272"/>
      <c r="D163" s="2272"/>
      <c r="E163" s="2272"/>
      <c r="F163" s="2272"/>
      <c r="G163" s="2272"/>
      <c r="H163" s="2272"/>
    </row>
    <row r="164" spans="1:8" ht="15">
      <c r="A164" s="2273" t="s">
        <v>796</v>
      </c>
      <c r="B164" s="2272"/>
      <c r="C164" s="2272"/>
      <c r="D164" s="2272"/>
      <c r="E164" s="2272"/>
      <c r="F164" s="2272"/>
      <c r="G164" s="2272"/>
      <c r="H164" s="2272"/>
    </row>
    <row r="165" spans="1:8" ht="15">
      <c r="A165" s="2272"/>
      <c r="B165" s="2272"/>
      <c r="C165" s="2272"/>
      <c r="D165" s="2272"/>
      <c r="E165" s="2272"/>
      <c r="F165" s="2272"/>
      <c r="G165" s="2272"/>
      <c r="H165" s="2272"/>
    </row>
    <row r="166" spans="1:8" ht="15">
      <c r="A166" s="2273" t="s">
        <v>793</v>
      </c>
      <c r="B166" s="2272"/>
      <c r="C166" s="2272"/>
      <c r="D166" s="2272"/>
      <c r="E166" s="2272"/>
      <c r="F166" s="2272"/>
      <c r="G166" s="2272"/>
      <c r="H166" s="2272"/>
    </row>
    <row r="167" spans="1:8" ht="15">
      <c r="A167" s="2273" t="s">
        <v>794</v>
      </c>
      <c r="B167" s="2272"/>
      <c r="C167" s="2272"/>
      <c r="D167" s="2272"/>
      <c r="E167" s="2272"/>
      <c r="F167" s="2272"/>
      <c r="G167" s="2272"/>
      <c r="H167" s="2272"/>
    </row>
    <row r="168" spans="1:8" ht="15">
      <c r="A168" s="2272"/>
      <c r="B168" s="2272"/>
      <c r="C168" s="2272"/>
      <c r="D168" s="2272"/>
      <c r="E168" s="2272"/>
      <c r="F168" s="2272"/>
      <c r="G168" s="2272"/>
      <c r="H168" s="2272"/>
    </row>
    <row r="169" spans="1:8" ht="15">
      <c r="A169" s="2273" t="s">
        <v>791</v>
      </c>
      <c r="B169" s="2272"/>
      <c r="C169" s="2272"/>
      <c r="D169" s="2272"/>
      <c r="E169" s="2272"/>
      <c r="F169" s="2272"/>
      <c r="G169" s="2272"/>
      <c r="H169" s="2272"/>
    </row>
    <row r="170" spans="1:8" ht="15">
      <c r="A170" s="2273" t="s">
        <v>792</v>
      </c>
      <c r="B170" s="2272"/>
      <c r="C170" s="2272"/>
      <c r="D170" s="2272"/>
      <c r="E170" s="2272"/>
      <c r="F170" s="2272"/>
      <c r="G170" s="2272"/>
      <c r="H170" s="2272"/>
    </row>
    <row r="171" spans="1:8" ht="15">
      <c r="A171" s="2272"/>
      <c r="B171" s="2272"/>
      <c r="C171" s="2272"/>
      <c r="D171" s="2272"/>
      <c r="E171" s="2272"/>
      <c r="F171" s="2272"/>
      <c r="G171" s="2272"/>
      <c r="H171" s="2272"/>
    </row>
    <row r="172" spans="1:8" ht="15">
      <c r="A172" s="2273" t="s">
        <v>788</v>
      </c>
      <c r="B172" s="2272"/>
      <c r="C172" s="2272"/>
      <c r="D172" s="2272"/>
      <c r="E172" s="2272"/>
      <c r="F172" s="2272"/>
      <c r="G172" s="2272"/>
      <c r="H172" s="2272"/>
    </row>
    <row r="173" spans="1:8" ht="15">
      <c r="A173" s="2273" t="s">
        <v>789</v>
      </c>
      <c r="B173" s="2272"/>
      <c r="C173" s="2272"/>
      <c r="D173" s="2272"/>
      <c r="E173" s="2272"/>
      <c r="F173" s="2272"/>
      <c r="G173" s="2272"/>
      <c r="H173" s="2272"/>
    </row>
    <row r="174" spans="1:8" ht="15">
      <c r="A174" s="2273" t="s">
        <v>790</v>
      </c>
      <c r="B174" s="2272"/>
      <c r="C174" s="2272"/>
      <c r="D174" s="2272"/>
      <c r="E174" s="2272"/>
      <c r="F174" s="2272"/>
      <c r="G174" s="2272"/>
      <c r="H174" s="2272"/>
    </row>
    <row r="175" spans="1:8" ht="15">
      <c r="A175" s="2272"/>
      <c r="B175" s="2272"/>
      <c r="C175" s="2272"/>
      <c r="D175" s="2272"/>
      <c r="E175" s="2272"/>
      <c r="F175" s="2272"/>
      <c r="G175" s="2272"/>
      <c r="H175" s="2272"/>
    </row>
    <row r="176" spans="1:8" ht="15">
      <c r="A176" s="2272"/>
      <c r="B176" s="2272"/>
      <c r="C176" s="2272"/>
      <c r="D176" s="2272"/>
      <c r="E176" s="2272"/>
      <c r="F176" s="2272"/>
      <c r="G176" s="2272"/>
      <c r="H176" s="2272"/>
    </row>
    <row r="177" spans="1:8" ht="15">
      <c r="A177" s="2273" t="s">
        <v>617</v>
      </c>
      <c r="B177" s="2272"/>
      <c r="C177" s="2272"/>
      <c r="D177" s="2272"/>
      <c r="E177" s="2272"/>
      <c r="F177" s="2272"/>
      <c r="G177" s="2272"/>
      <c r="H177" s="2272"/>
    </row>
    <row r="178" spans="1:8" ht="15">
      <c r="A178" s="2272"/>
      <c r="B178" s="2272"/>
      <c r="C178" s="2272"/>
      <c r="D178" s="2272"/>
      <c r="E178" s="2272"/>
      <c r="F178" s="2272"/>
      <c r="G178" s="2272"/>
      <c r="H178" s="2272"/>
    </row>
    <row r="179" spans="1:8" ht="15.75">
      <c r="A179" s="2274" t="s">
        <v>618</v>
      </c>
      <c r="B179" s="2272"/>
      <c r="C179" s="2272"/>
      <c r="D179" s="2272"/>
      <c r="E179" s="2272"/>
      <c r="F179" s="2272"/>
      <c r="G179" s="2272"/>
      <c r="H179" s="2272"/>
    </row>
    <row r="180" spans="1:8" ht="15">
      <c r="A180" s="2272"/>
      <c r="B180" s="2272"/>
      <c r="C180" s="2272"/>
      <c r="D180" s="2272"/>
      <c r="E180" s="2272"/>
      <c r="F180" s="2272"/>
      <c r="G180" s="2272"/>
      <c r="H180" s="2272"/>
    </row>
    <row r="181" spans="1:8" ht="15">
      <c r="A181" s="2272"/>
      <c r="B181" s="2272"/>
      <c r="C181" s="2272"/>
      <c r="D181" s="2272"/>
      <c r="E181" s="2272"/>
      <c r="F181" s="2272"/>
      <c r="G181" s="2272"/>
      <c r="H181" s="2272"/>
    </row>
    <row r="182" spans="1:8" ht="15">
      <c r="A182" s="2272"/>
      <c r="B182" s="2272"/>
      <c r="C182" s="2272"/>
      <c r="D182" s="2272"/>
      <c r="E182" s="2272"/>
      <c r="F182" s="2272"/>
      <c r="G182" s="2272"/>
      <c r="H182" s="2272"/>
    </row>
    <row r="183" spans="1:8" ht="15">
      <c r="A183" s="2272"/>
      <c r="B183" s="2272"/>
      <c r="C183" s="2272"/>
      <c r="D183" s="2272"/>
      <c r="E183" s="2272"/>
      <c r="F183" s="2272"/>
      <c r="G183" s="2272"/>
      <c r="H183" s="2272"/>
    </row>
    <row r="184" spans="1:8" ht="15">
      <c r="A184" s="2272"/>
      <c r="B184" s="2272"/>
      <c r="C184" s="2272"/>
      <c r="D184" s="2272"/>
      <c r="E184" s="2272"/>
      <c r="F184" s="2272"/>
      <c r="G184" s="2272"/>
      <c r="H184" s="2272"/>
    </row>
    <row r="185" spans="1:8" ht="15">
      <c r="A185" s="2272"/>
      <c r="B185" s="2272"/>
      <c r="C185" s="2272"/>
      <c r="D185" s="2272"/>
      <c r="E185" s="2272"/>
      <c r="F185" s="2272"/>
      <c r="G185" s="2272"/>
      <c r="H185" s="2272"/>
    </row>
    <row r="186" spans="1:8" ht="15">
      <c r="A186" s="2272"/>
      <c r="B186" s="2272"/>
      <c r="C186" s="2272"/>
      <c r="D186" s="2272"/>
      <c r="E186" s="2272"/>
      <c r="F186" s="2272"/>
      <c r="G186" s="2272"/>
      <c r="H186" s="2272"/>
    </row>
    <row r="187" spans="1:8" ht="15">
      <c r="A187" s="2272"/>
      <c r="B187" s="2272"/>
      <c r="C187" s="2272"/>
      <c r="D187" s="2272"/>
      <c r="E187" s="2272"/>
      <c r="F187" s="2272"/>
      <c r="G187" s="2272"/>
      <c r="H187" s="2272"/>
    </row>
    <row r="188" spans="1:8" ht="15">
      <c r="A188" s="2272"/>
      <c r="B188" s="2272"/>
      <c r="C188" s="2272"/>
      <c r="D188" s="2272"/>
      <c r="E188" s="2272"/>
      <c r="F188" s="2272"/>
      <c r="G188" s="2272"/>
      <c r="H188" s="2272"/>
    </row>
    <row r="189" spans="1:8" ht="15">
      <c r="A189" s="2272"/>
      <c r="B189" s="2272"/>
      <c r="C189" s="2272"/>
      <c r="D189" s="2272"/>
      <c r="E189" s="2272"/>
      <c r="F189" s="2272"/>
      <c r="G189" s="2272"/>
      <c r="H189" s="2272"/>
    </row>
    <row r="190" spans="1:8" ht="15">
      <c r="A190" s="2272"/>
      <c r="B190" s="2272"/>
      <c r="C190" s="2272"/>
      <c r="D190" s="2272"/>
      <c r="E190" s="2272"/>
      <c r="F190" s="2272"/>
      <c r="G190" s="2272"/>
      <c r="H190" s="2272"/>
    </row>
    <row r="191" spans="1:8" ht="15">
      <c r="A191" s="2272"/>
      <c r="B191" s="2272"/>
      <c r="C191" s="2272"/>
      <c r="D191" s="2272"/>
      <c r="E191" s="2272"/>
      <c r="F191" s="2272"/>
      <c r="G191" s="2272"/>
      <c r="H191" s="2272"/>
    </row>
    <row r="192" spans="1:8" ht="15">
      <c r="A192" s="2272"/>
      <c r="B192" s="2272"/>
      <c r="C192" s="2272"/>
      <c r="D192" s="2272"/>
      <c r="E192" s="2272"/>
      <c r="F192" s="2272"/>
      <c r="G192" s="2272"/>
      <c r="H192" s="2272"/>
    </row>
    <row r="193" spans="1:8" ht="15">
      <c r="A193" s="2272"/>
      <c r="B193" s="2272"/>
      <c r="C193" s="2272"/>
      <c r="D193" s="2272"/>
      <c r="E193" s="2272"/>
      <c r="F193" s="2272"/>
      <c r="G193" s="2272"/>
      <c r="H193" s="2272"/>
    </row>
    <row r="194" spans="1:8" ht="15">
      <c r="A194" s="2272"/>
      <c r="B194" s="2272"/>
      <c r="C194" s="2272"/>
      <c r="D194" s="2272"/>
      <c r="E194" s="2272"/>
      <c r="F194" s="2272"/>
      <c r="G194" s="2272"/>
      <c r="H194" s="2272"/>
    </row>
    <row r="195" spans="1:8" ht="15">
      <c r="A195" s="2272"/>
      <c r="B195" s="2272"/>
      <c r="C195" s="2272"/>
      <c r="D195" s="2272"/>
      <c r="E195" s="2272"/>
      <c r="F195" s="2272"/>
      <c r="G195" s="2272"/>
      <c r="H195" s="2272"/>
    </row>
    <row r="196" spans="1:8" ht="15">
      <c r="A196" s="2272"/>
      <c r="B196" s="2272"/>
      <c r="C196" s="2272"/>
      <c r="D196" s="2272"/>
      <c r="E196" s="2272"/>
      <c r="F196" s="2272"/>
      <c r="G196" s="2272"/>
      <c r="H196" s="2272"/>
    </row>
    <row r="197" spans="1:8" ht="15">
      <c r="A197" s="2272"/>
      <c r="B197" s="2272"/>
      <c r="C197" s="2272"/>
      <c r="D197" s="2272"/>
      <c r="E197" s="2272"/>
      <c r="F197" s="2272"/>
      <c r="G197" s="2272"/>
      <c r="H197" s="2272"/>
    </row>
    <row r="198" spans="1:8" ht="15">
      <c r="A198" s="2272"/>
      <c r="B198" s="2272"/>
      <c r="C198" s="2272"/>
      <c r="D198" s="2272"/>
      <c r="E198" s="2272"/>
      <c r="F198" s="2272"/>
      <c r="G198" s="2272"/>
      <c r="H198" s="2272"/>
    </row>
    <row r="199" spans="1:8" ht="15">
      <c r="A199" s="2272"/>
      <c r="B199" s="2272"/>
      <c r="C199" s="2272"/>
      <c r="D199" s="2272"/>
      <c r="E199" s="2272"/>
      <c r="F199" s="2272"/>
      <c r="G199" s="2272"/>
      <c r="H199" s="2272"/>
    </row>
    <row r="200" spans="1:8" ht="15">
      <c r="A200" s="2272"/>
      <c r="B200" s="2272"/>
      <c r="C200" s="2272"/>
      <c r="D200" s="2272"/>
      <c r="E200" s="2272"/>
      <c r="F200" s="2272"/>
      <c r="G200" s="2272"/>
      <c r="H200" s="2272"/>
    </row>
    <row r="201" spans="1:8" ht="15">
      <c r="A201" s="2272"/>
      <c r="B201" s="2272"/>
      <c r="C201" s="2272"/>
      <c r="D201" s="2272"/>
      <c r="E201" s="2272"/>
      <c r="F201" s="2272"/>
      <c r="G201" s="2272"/>
      <c r="H201" s="2272"/>
    </row>
    <row r="202" spans="1:8" ht="15">
      <c r="A202" s="2272"/>
      <c r="B202" s="2272"/>
      <c r="C202" s="2272"/>
      <c r="D202" s="2272"/>
      <c r="E202" s="2272"/>
      <c r="F202" s="2272"/>
      <c r="G202" s="2272"/>
      <c r="H202" s="2272"/>
    </row>
    <row r="203" spans="1:8" ht="15">
      <c r="A203" s="2272"/>
      <c r="B203" s="2272"/>
      <c r="C203" s="2272"/>
      <c r="D203" s="2272"/>
      <c r="E203" s="2272"/>
      <c r="F203" s="2272"/>
      <c r="G203" s="2272"/>
      <c r="H203" s="2272"/>
    </row>
    <row r="204" spans="1:8" ht="15">
      <c r="A204" s="2272"/>
      <c r="B204" s="2272"/>
      <c r="C204" s="2272"/>
      <c r="D204" s="2272"/>
      <c r="E204" s="2272"/>
      <c r="F204" s="2272"/>
      <c r="G204" s="2272"/>
      <c r="H204" s="2272"/>
    </row>
    <row r="205" spans="1:8" ht="15">
      <c r="A205" s="2272"/>
      <c r="B205" s="2272"/>
      <c r="C205" s="2272"/>
      <c r="D205" s="2272"/>
      <c r="E205" s="2272"/>
      <c r="F205" s="2272"/>
      <c r="G205" s="2272"/>
      <c r="H205" s="2272"/>
    </row>
    <row r="206" spans="1:8" ht="15.75">
      <c r="A206" s="2274" t="s">
        <v>619</v>
      </c>
      <c r="B206" s="2272"/>
      <c r="C206" s="2272"/>
      <c r="D206" s="2272"/>
      <c r="E206" s="2272"/>
      <c r="F206" s="2272"/>
      <c r="G206" s="2272"/>
      <c r="H206" s="2272"/>
    </row>
    <row r="207" spans="1:8" ht="15">
      <c r="A207" s="2272"/>
      <c r="B207" s="2272"/>
      <c r="C207" s="2272"/>
      <c r="D207" s="2272"/>
      <c r="E207" s="2272"/>
      <c r="F207" s="2272"/>
      <c r="G207" s="2272"/>
      <c r="H207" s="2272"/>
    </row>
    <row r="208" spans="1:8" ht="15">
      <c r="A208" s="2273" t="s">
        <v>783</v>
      </c>
      <c r="B208" s="2272"/>
      <c r="C208" s="2272"/>
      <c r="D208" s="2272"/>
      <c r="E208" s="2272"/>
      <c r="F208" s="2272"/>
      <c r="G208" s="2272"/>
      <c r="H208" s="2272"/>
    </row>
    <row r="209" spans="1:8" ht="15">
      <c r="A209" s="2273" t="s">
        <v>784</v>
      </c>
      <c r="B209" s="2272"/>
      <c r="C209" s="2272"/>
      <c r="D209" s="2272"/>
      <c r="E209" s="2272"/>
      <c r="F209" s="2272"/>
      <c r="G209" s="2272"/>
      <c r="H209" s="2272"/>
    </row>
    <row r="210" spans="1:8" ht="15">
      <c r="A210" s="2273" t="s">
        <v>785</v>
      </c>
      <c r="B210" s="2272"/>
      <c r="C210" s="2272"/>
      <c r="D210" s="2272"/>
      <c r="E210" s="2272"/>
      <c r="F210" s="2272"/>
      <c r="G210" s="2272"/>
      <c r="H210" s="2272"/>
    </row>
    <row r="211" spans="1:8" ht="15">
      <c r="A211" s="2273" t="s">
        <v>786</v>
      </c>
      <c r="B211" s="2272"/>
      <c r="C211" s="2272"/>
      <c r="D211" s="2272"/>
      <c r="E211" s="2272"/>
      <c r="F211" s="2272"/>
      <c r="G211" s="2272"/>
      <c r="H211" s="2272"/>
    </row>
    <row r="212" spans="1:8" ht="15">
      <c r="A212" s="2273" t="s">
        <v>787</v>
      </c>
      <c r="B212" s="2272"/>
      <c r="C212" s="2272"/>
      <c r="D212" s="2272"/>
      <c r="E212" s="2272"/>
      <c r="F212" s="2272"/>
      <c r="G212" s="2272"/>
      <c r="H212" s="2272"/>
    </row>
    <row r="213" spans="1:8" ht="15">
      <c r="A213" s="2272"/>
      <c r="B213" s="2272"/>
      <c r="C213" s="2272"/>
      <c r="D213" s="2272"/>
      <c r="E213" s="2272"/>
      <c r="F213" s="2272"/>
      <c r="G213" s="2272"/>
      <c r="H213" s="2272"/>
    </row>
    <row r="214" spans="1:8" ht="15">
      <c r="A214" s="2273" t="s">
        <v>780</v>
      </c>
      <c r="B214" s="2272"/>
      <c r="C214" s="2272"/>
      <c r="D214" s="2272"/>
      <c r="E214" s="2272"/>
      <c r="F214" s="2272"/>
      <c r="G214" s="2272"/>
      <c r="H214" s="2272"/>
    </row>
    <row r="215" spans="1:8" ht="15">
      <c r="A215" s="2273" t="s">
        <v>781</v>
      </c>
      <c r="B215" s="2272"/>
      <c r="C215" s="2272"/>
      <c r="D215" s="2272"/>
      <c r="E215" s="2272"/>
      <c r="F215" s="2272"/>
      <c r="G215" s="2272"/>
      <c r="H215" s="2272"/>
    </row>
    <row r="216" spans="1:8" ht="15">
      <c r="A216" s="2273" t="s">
        <v>782</v>
      </c>
      <c r="B216" s="2272"/>
      <c r="C216" s="2272"/>
      <c r="D216" s="2272"/>
      <c r="E216" s="2272"/>
      <c r="F216" s="2272"/>
      <c r="G216" s="2272"/>
      <c r="H216" s="2272"/>
    </row>
    <row r="217" spans="1:8" ht="15.75">
      <c r="A217" s="2274" t="s">
        <v>620</v>
      </c>
      <c r="B217" s="2272"/>
      <c r="C217" s="2272"/>
      <c r="D217" s="2272"/>
      <c r="E217" s="2272"/>
      <c r="F217" s="2272"/>
      <c r="G217" s="2272"/>
      <c r="H217" s="2272"/>
    </row>
    <row r="218" spans="1:8" ht="15">
      <c r="A218" s="2272"/>
      <c r="B218" s="2272"/>
      <c r="C218" s="2272"/>
      <c r="D218" s="2272"/>
      <c r="E218" s="2272"/>
      <c r="F218" s="2272"/>
      <c r="G218" s="2272"/>
      <c r="H218" s="2272"/>
    </row>
    <row r="219" spans="1:8" ht="15">
      <c r="A219" s="2273" t="s">
        <v>778</v>
      </c>
      <c r="B219" s="2272"/>
      <c r="C219" s="2272"/>
      <c r="D219" s="2272"/>
      <c r="E219" s="2272"/>
      <c r="F219" s="2272"/>
      <c r="G219" s="2272"/>
      <c r="H219" s="2272"/>
    </row>
    <row r="220" spans="1:8" ht="15">
      <c r="A220" s="2273" t="s">
        <v>779</v>
      </c>
      <c r="B220" s="2272"/>
      <c r="C220" s="2272"/>
      <c r="D220" s="2272"/>
      <c r="E220" s="2272"/>
      <c r="F220" s="2272"/>
      <c r="G220" s="2272"/>
      <c r="H220" s="2272"/>
    </row>
    <row r="221" spans="1:8" ht="15">
      <c r="A221" s="2272"/>
      <c r="B221" s="2272"/>
      <c r="C221" s="2272"/>
      <c r="D221" s="2272"/>
      <c r="E221" s="2272"/>
      <c r="F221" s="2272"/>
      <c r="G221" s="2272"/>
      <c r="H221" s="2272"/>
    </row>
    <row r="222" spans="1:8" ht="15">
      <c r="A222" s="2273" t="s">
        <v>771</v>
      </c>
      <c r="B222" s="2272"/>
      <c r="C222" s="2272"/>
      <c r="D222" s="2272"/>
      <c r="E222" s="2272"/>
      <c r="F222" s="2272"/>
      <c r="G222" s="2272"/>
      <c r="H222" s="2272"/>
    </row>
    <row r="223" spans="1:8" ht="15">
      <c r="A223" s="2273" t="s">
        <v>772</v>
      </c>
      <c r="B223" s="2272"/>
      <c r="C223" s="2272"/>
      <c r="D223" s="2272"/>
      <c r="E223" s="2272"/>
      <c r="F223" s="2272"/>
      <c r="G223" s="2272"/>
      <c r="H223" s="2272"/>
    </row>
    <row r="224" spans="1:8" ht="15">
      <c r="A224" s="2273" t="s">
        <v>773</v>
      </c>
      <c r="B224" s="2272"/>
      <c r="C224" s="2272"/>
      <c r="D224" s="2272"/>
      <c r="E224" s="2272"/>
      <c r="F224" s="2272"/>
      <c r="G224" s="2272"/>
      <c r="H224" s="2272"/>
    </row>
    <row r="225" spans="1:8" ht="15">
      <c r="A225" s="2273" t="s">
        <v>774</v>
      </c>
      <c r="B225" s="2272"/>
      <c r="C225" s="2272"/>
      <c r="D225" s="2272"/>
      <c r="E225" s="2272"/>
      <c r="F225" s="2272"/>
      <c r="G225" s="2272"/>
      <c r="H225" s="2272"/>
    </row>
    <row r="226" spans="1:8" ht="15">
      <c r="A226" s="2273" t="s">
        <v>775</v>
      </c>
      <c r="B226" s="2272"/>
      <c r="C226" s="2272"/>
      <c r="D226" s="2272"/>
      <c r="E226" s="2272"/>
      <c r="F226" s="2272"/>
      <c r="G226" s="2272"/>
      <c r="H226" s="2272"/>
    </row>
    <row r="227" spans="1:8" ht="15">
      <c r="A227" s="2273" t="s">
        <v>776</v>
      </c>
      <c r="B227" s="2272"/>
      <c r="C227" s="2272"/>
      <c r="D227" s="2272"/>
      <c r="E227" s="2272"/>
      <c r="F227" s="2272"/>
      <c r="G227" s="2272"/>
      <c r="H227" s="2272"/>
    </row>
    <row r="228" spans="1:8" ht="15">
      <c r="A228" s="2273" t="s">
        <v>777</v>
      </c>
      <c r="B228" s="2272"/>
      <c r="C228" s="2272"/>
      <c r="D228" s="2272"/>
      <c r="E228" s="2272"/>
      <c r="F228" s="2272"/>
      <c r="G228" s="2272"/>
      <c r="H228" s="2272"/>
    </row>
    <row r="229" spans="1:8" ht="15">
      <c r="A229" s="2272"/>
      <c r="B229" s="2272"/>
      <c r="C229" s="2272"/>
      <c r="D229" s="2272"/>
      <c r="E229" s="2272"/>
      <c r="F229" s="2272"/>
      <c r="G229" s="2272"/>
      <c r="H229" s="2272"/>
    </row>
    <row r="230" spans="1:8" ht="15">
      <c r="A230" s="2273" t="s">
        <v>768</v>
      </c>
      <c r="B230" s="2272"/>
      <c r="C230" s="2272"/>
      <c r="D230" s="2272"/>
      <c r="E230" s="2272"/>
      <c r="F230" s="2272"/>
      <c r="G230" s="2272"/>
      <c r="H230" s="2272"/>
    </row>
    <row r="231" spans="1:8" ht="15">
      <c r="A231" s="2273" t="s">
        <v>769</v>
      </c>
      <c r="B231" s="2272"/>
      <c r="C231" s="2272"/>
      <c r="D231" s="2272"/>
      <c r="E231" s="2272"/>
      <c r="F231" s="2272"/>
      <c r="G231" s="2272"/>
      <c r="H231" s="2272"/>
    </row>
    <row r="232" spans="1:8" ht="15">
      <c r="A232" s="2273" t="s">
        <v>770</v>
      </c>
      <c r="B232" s="2272"/>
      <c r="C232" s="2272"/>
      <c r="D232" s="2272"/>
      <c r="E232" s="2272"/>
      <c r="F232" s="2272"/>
      <c r="G232" s="2272"/>
      <c r="H232" s="2272"/>
    </row>
    <row r="233" spans="1:8" ht="15">
      <c r="A233" s="2272"/>
      <c r="B233" s="2272"/>
      <c r="C233" s="2272"/>
      <c r="D233" s="2272"/>
      <c r="E233" s="2272"/>
      <c r="F233" s="2272"/>
      <c r="G233" s="2272"/>
      <c r="H233" s="2272"/>
    </row>
    <row r="234" spans="1:8" ht="15">
      <c r="A234" s="2273" t="s">
        <v>763</v>
      </c>
      <c r="B234" s="2272"/>
      <c r="C234" s="2272"/>
      <c r="D234" s="2272"/>
      <c r="E234" s="2272"/>
      <c r="F234" s="2272"/>
      <c r="G234" s="2272"/>
      <c r="H234" s="2272"/>
    </row>
    <row r="235" spans="1:8" ht="15">
      <c r="A235" s="2273" t="s">
        <v>764</v>
      </c>
      <c r="B235" s="2272"/>
      <c r="C235" s="2272"/>
      <c r="D235" s="2272"/>
      <c r="E235" s="2272"/>
      <c r="F235" s="2272"/>
      <c r="G235" s="2272"/>
      <c r="H235" s="2272"/>
    </row>
    <row r="236" spans="1:8" ht="15">
      <c r="A236" s="2273" t="s">
        <v>765</v>
      </c>
      <c r="B236" s="2272"/>
      <c r="C236" s="2272"/>
      <c r="D236" s="2272"/>
      <c r="E236" s="2272"/>
      <c r="F236" s="2272"/>
      <c r="G236" s="2272"/>
      <c r="H236" s="2272"/>
    </row>
    <row r="237" spans="1:8" ht="15">
      <c r="A237" s="2273" t="s">
        <v>766</v>
      </c>
      <c r="B237" s="2272"/>
      <c r="C237" s="2272"/>
      <c r="D237" s="2272"/>
      <c r="E237" s="2272"/>
      <c r="F237" s="2272"/>
      <c r="G237" s="2272"/>
      <c r="H237" s="2272"/>
    </row>
    <row r="238" spans="1:8" ht="15">
      <c r="A238" s="2273" t="s">
        <v>767</v>
      </c>
      <c r="B238" s="2272"/>
      <c r="C238" s="2272"/>
      <c r="D238" s="2272"/>
      <c r="E238" s="2272"/>
      <c r="F238" s="2272"/>
      <c r="G238" s="2272"/>
      <c r="H238" s="2272"/>
    </row>
    <row r="239" spans="1:8" ht="15">
      <c r="A239" s="2272"/>
      <c r="B239" s="2272"/>
      <c r="C239" s="2272"/>
      <c r="D239" s="2272"/>
      <c r="E239" s="2272"/>
      <c r="F239" s="2272"/>
      <c r="G239" s="2272"/>
      <c r="H239" s="2272"/>
    </row>
    <row r="240" spans="1:8" ht="15">
      <c r="A240" s="2273" t="s">
        <v>757</v>
      </c>
      <c r="B240" s="2272"/>
      <c r="C240" s="2272"/>
      <c r="D240" s="2272"/>
      <c r="E240" s="2272"/>
      <c r="F240" s="2272"/>
      <c r="G240" s="2272"/>
      <c r="H240" s="2272"/>
    </row>
    <row r="241" spans="1:8" ht="15">
      <c r="A241" s="2273" t="s">
        <v>758</v>
      </c>
      <c r="B241" s="2272"/>
      <c r="C241" s="2272"/>
      <c r="D241" s="2272"/>
      <c r="E241" s="2272"/>
      <c r="F241" s="2272"/>
      <c r="G241" s="2272"/>
      <c r="H241" s="2272"/>
    </row>
    <row r="242" spans="1:8" ht="15">
      <c r="A242" s="2273" t="s">
        <v>759</v>
      </c>
      <c r="B242" s="2272"/>
      <c r="C242" s="2272"/>
      <c r="D242" s="2272"/>
      <c r="E242" s="2272"/>
      <c r="F242" s="2272"/>
      <c r="G242" s="2272"/>
      <c r="H242" s="2272"/>
    </row>
    <row r="243" spans="1:8" ht="15">
      <c r="A243" s="2273" t="s">
        <v>760</v>
      </c>
      <c r="B243" s="2272"/>
      <c r="C243" s="2272"/>
      <c r="D243" s="2272"/>
      <c r="E243" s="2272"/>
      <c r="F243" s="2272"/>
      <c r="G243" s="2272"/>
      <c r="H243" s="2272"/>
    </row>
    <row r="244" spans="1:8" ht="15">
      <c r="A244" s="2273" t="s">
        <v>761</v>
      </c>
      <c r="B244" s="2272"/>
      <c r="C244" s="2272"/>
      <c r="D244" s="2272"/>
      <c r="E244" s="2272"/>
      <c r="F244" s="2272"/>
      <c r="G244" s="2272"/>
      <c r="H244" s="2272"/>
    </row>
    <row r="245" spans="1:8" ht="15">
      <c r="A245" s="2273" t="s">
        <v>762</v>
      </c>
      <c r="B245" s="2272"/>
      <c r="C245" s="2272"/>
      <c r="D245" s="2272"/>
      <c r="E245" s="2272"/>
      <c r="F245" s="2272"/>
      <c r="G245" s="2272"/>
      <c r="H245" s="2272"/>
    </row>
    <row r="246" spans="1:8" ht="15">
      <c r="A246" s="2272"/>
      <c r="B246" s="2272"/>
      <c r="C246" s="2272"/>
      <c r="D246" s="2272"/>
      <c r="E246" s="2272"/>
      <c r="F246" s="2272"/>
      <c r="G246" s="2272"/>
      <c r="H246" s="2272"/>
    </row>
    <row r="247" spans="1:8" ht="15">
      <c r="A247" s="2273" t="s">
        <v>747</v>
      </c>
      <c r="B247" s="2272"/>
      <c r="C247" s="2272"/>
      <c r="D247" s="2272"/>
      <c r="E247" s="2272"/>
      <c r="F247" s="2272"/>
      <c r="G247" s="2272"/>
      <c r="H247" s="2272"/>
    </row>
    <row r="248" spans="1:8" ht="15">
      <c r="A248" s="2273" t="s">
        <v>748</v>
      </c>
      <c r="B248" s="2272"/>
      <c r="C248" s="2272"/>
      <c r="D248" s="2272"/>
      <c r="E248" s="2272"/>
      <c r="F248" s="2272"/>
      <c r="G248" s="2272"/>
      <c r="H248" s="2272"/>
    </row>
    <row r="249" spans="1:8" ht="15">
      <c r="A249" s="2273" t="s">
        <v>749</v>
      </c>
      <c r="B249" s="2272"/>
      <c r="C249" s="2272"/>
      <c r="D249" s="2272"/>
      <c r="E249" s="2272"/>
      <c r="F249" s="2272"/>
      <c r="G249" s="2272"/>
      <c r="H249" s="2272"/>
    </row>
    <row r="250" spans="1:8" ht="15">
      <c r="A250" s="2273" t="s">
        <v>750</v>
      </c>
      <c r="B250" s="2272"/>
      <c r="C250" s="2272"/>
      <c r="D250" s="2272"/>
      <c r="E250" s="2272"/>
      <c r="F250" s="2272"/>
      <c r="G250" s="2272"/>
      <c r="H250" s="2272"/>
    </row>
    <row r="251" spans="1:8" ht="15">
      <c r="A251" s="2273" t="s">
        <v>751</v>
      </c>
      <c r="B251" s="2272"/>
      <c r="C251" s="2272"/>
      <c r="D251" s="2272"/>
      <c r="E251" s="2272"/>
      <c r="F251" s="2272"/>
      <c r="G251" s="2272"/>
      <c r="H251" s="2272"/>
    </row>
    <row r="252" spans="1:8" ht="15">
      <c r="A252" s="2273" t="s">
        <v>752</v>
      </c>
      <c r="B252" s="2272"/>
      <c r="C252" s="2272"/>
      <c r="D252" s="2272"/>
      <c r="E252" s="2272"/>
      <c r="F252" s="2272"/>
      <c r="G252" s="2272"/>
      <c r="H252" s="2272"/>
    </row>
    <row r="253" spans="1:8" ht="15">
      <c r="A253" s="2273" t="s">
        <v>753</v>
      </c>
      <c r="B253" s="2272"/>
      <c r="C253" s="2272"/>
      <c r="D253" s="2272"/>
      <c r="E253" s="2272"/>
      <c r="F253" s="2272"/>
      <c r="G253" s="2272"/>
      <c r="H253" s="2272"/>
    </row>
    <row r="254" spans="1:8" ht="15">
      <c r="A254" s="2273" t="s">
        <v>754</v>
      </c>
      <c r="B254" s="2272"/>
      <c r="C254" s="2272"/>
      <c r="D254" s="2272"/>
      <c r="E254" s="2272"/>
      <c r="F254" s="2272"/>
      <c r="G254" s="2272"/>
      <c r="H254" s="2272"/>
    </row>
    <row r="255" spans="1:8" ht="15">
      <c r="A255" s="2273" t="s">
        <v>755</v>
      </c>
      <c r="B255" s="2272"/>
      <c r="C255" s="2272"/>
      <c r="D255" s="2272"/>
      <c r="E255" s="2272"/>
      <c r="F255" s="2272"/>
      <c r="G255" s="2272"/>
      <c r="H255" s="2272"/>
    </row>
    <row r="256" spans="1:8" ht="15">
      <c r="A256" s="2273" t="s">
        <v>756</v>
      </c>
      <c r="B256" s="2272"/>
      <c r="C256" s="2272"/>
      <c r="D256" s="2272"/>
      <c r="E256" s="2272"/>
      <c r="F256" s="2272"/>
      <c r="G256" s="2272"/>
      <c r="H256" s="2272"/>
    </row>
    <row r="257" spans="1:8" ht="15">
      <c r="A257" s="2272"/>
      <c r="B257" s="2272"/>
      <c r="C257" s="2272"/>
      <c r="D257" s="2272"/>
      <c r="E257" s="2272"/>
      <c r="F257" s="2272"/>
      <c r="G257" s="2272"/>
      <c r="H257" s="2272"/>
    </row>
    <row r="258" spans="1:8" ht="15">
      <c r="A258" s="2273" t="s">
        <v>745</v>
      </c>
      <c r="B258" s="2272"/>
      <c r="C258" s="2272"/>
      <c r="D258" s="2272"/>
      <c r="E258" s="2272"/>
      <c r="F258" s="2272"/>
      <c r="G258" s="2272"/>
      <c r="H258" s="2272"/>
    </row>
    <row r="259" spans="1:8" ht="15">
      <c r="A259" s="2273" t="s">
        <v>746</v>
      </c>
      <c r="B259" s="2272"/>
      <c r="C259" s="2272"/>
      <c r="D259" s="2272"/>
      <c r="E259" s="2272"/>
      <c r="F259" s="2272"/>
      <c r="G259" s="2272"/>
      <c r="H259" s="2272"/>
    </row>
    <row r="260" spans="1:8" ht="15">
      <c r="A260" s="2272"/>
      <c r="B260" s="2272"/>
      <c r="C260" s="2272"/>
      <c r="D260" s="2272"/>
      <c r="E260" s="2272"/>
      <c r="F260" s="2272"/>
      <c r="G260" s="2272"/>
      <c r="H260" s="2272"/>
    </row>
    <row r="261" spans="1:8" ht="15">
      <c r="A261" s="2273" t="s">
        <v>729</v>
      </c>
      <c r="B261" s="2272"/>
      <c r="C261" s="2272"/>
      <c r="D261" s="2272"/>
      <c r="E261" s="2272"/>
      <c r="F261" s="2272"/>
      <c r="G261" s="2272"/>
      <c r="H261" s="2272"/>
    </row>
    <row r="262" spans="1:8" ht="15">
      <c r="A262" s="2273" t="s">
        <v>730</v>
      </c>
      <c r="B262" s="2272"/>
      <c r="C262" s="2272"/>
      <c r="D262" s="2272"/>
      <c r="E262" s="2272"/>
      <c r="F262" s="2272"/>
      <c r="G262" s="2272"/>
      <c r="H262" s="2272"/>
    </row>
    <row r="263" spans="1:8" ht="15">
      <c r="A263" s="2273" t="s">
        <v>731</v>
      </c>
      <c r="B263" s="2272"/>
      <c r="C263" s="2272"/>
      <c r="D263" s="2272"/>
      <c r="E263" s="2272"/>
      <c r="F263" s="2272"/>
      <c r="G263" s="2272"/>
      <c r="H263" s="2272"/>
    </row>
    <row r="264" spans="1:8" ht="15">
      <c r="A264" s="2273" t="s">
        <v>732</v>
      </c>
      <c r="B264" s="2272"/>
      <c r="C264" s="2272"/>
      <c r="D264" s="2272"/>
      <c r="E264" s="2272"/>
      <c r="F264" s="2272"/>
      <c r="G264" s="2272"/>
      <c r="H264" s="2272"/>
    </row>
    <row r="265" spans="1:8" ht="15">
      <c r="A265" s="2273" t="s">
        <v>733</v>
      </c>
      <c r="B265" s="2272"/>
      <c r="C265" s="2272"/>
      <c r="D265" s="2272"/>
      <c r="E265" s="2272"/>
      <c r="F265" s="2272"/>
      <c r="G265" s="2272"/>
      <c r="H265" s="2272"/>
    </row>
    <row r="266" spans="1:8" ht="15">
      <c r="A266" s="2273" t="s">
        <v>734</v>
      </c>
      <c r="B266" s="2272"/>
      <c r="C266" s="2272"/>
      <c r="D266" s="2272"/>
      <c r="E266" s="2272"/>
      <c r="F266" s="2272"/>
      <c r="G266" s="2272"/>
      <c r="H266" s="2272"/>
    </row>
    <row r="267" spans="1:8" ht="15">
      <c r="A267" s="2273" t="s">
        <v>735</v>
      </c>
      <c r="B267" s="2272"/>
      <c r="C267" s="2272"/>
      <c r="D267" s="2272"/>
      <c r="E267" s="2272"/>
      <c r="F267" s="2272"/>
      <c r="G267" s="2272"/>
      <c r="H267" s="2272"/>
    </row>
    <row r="268" spans="1:8" ht="15">
      <c r="A268" s="2273" t="s">
        <v>736</v>
      </c>
      <c r="B268" s="2272"/>
      <c r="C268" s="2272"/>
      <c r="D268" s="2272"/>
      <c r="E268" s="2272"/>
      <c r="F268" s="2272"/>
      <c r="G268" s="2272"/>
      <c r="H268" s="2272"/>
    </row>
    <row r="269" spans="1:8" ht="15">
      <c r="A269" s="2273" t="s">
        <v>737</v>
      </c>
      <c r="B269" s="2272"/>
      <c r="C269" s="2272"/>
      <c r="D269" s="2272"/>
      <c r="E269" s="2272"/>
      <c r="F269" s="2272"/>
      <c r="G269" s="2272"/>
      <c r="H269" s="2272"/>
    </row>
    <row r="270" spans="1:8" ht="15">
      <c r="A270" s="2273" t="s">
        <v>738</v>
      </c>
      <c r="B270" s="2272"/>
      <c r="C270" s="2272"/>
      <c r="D270" s="2272"/>
      <c r="E270" s="2272"/>
      <c r="F270" s="2272"/>
      <c r="G270" s="2272"/>
      <c r="H270" s="2272"/>
    </row>
    <row r="271" spans="1:8" ht="15">
      <c r="A271" s="2273" t="s">
        <v>739</v>
      </c>
      <c r="B271" s="2272"/>
      <c r="C271" s="2272"/>
      <c r="D271" s="2272"/>
      <c r="E271" s="2272"/>
      <c r="F271" s="2272"/>
      <c r="G271" s="2272"/>
      <c r="H271" s="2272"/>
    </row>
    <row r="272" spans="1:8" ht="15">
      <c r="A272" s="2273" t="s">
        <v>740</v>
      </c>
      <c r="B272" s="2272"/>
      <c r="C272" s="2272"/>
      <c r="D272" s="2272"/>
      <c r="E272" s="2272"/>
      <c r="F272" s="2272"/>
      <c r="G272" s="2272"/>
      <c r="H272" s="2272"/>
    </row>
    <row r="273" spans="1:8" ht="15">
      <c r="A273" s="2273" t="s">
        <v>741</v>
      </c>
      <c r="B273" s="2272"/>
      <c r="C273" s="2272"/>
      <c r="D273" s="2272"/>
      <c r="E273" s="2272"/>
      <c r="F273" s="2272"/>
      <c r="G273" s="2272"/>
      <c r="H273" s="2272"/>
    </row>
    <row r="274" spans="1:8" ht="15">
      <c r="A274" s="2273" t="s">
        <v>742</v>
      </c>
      <c r="B274" s="2272"/>
      <c r="C274" s="2272"/>
      <c r="D274" s="2272"/>
      <c r="E274" s="2272"/>
      <c r="F274" s="2272"/>
      <c r="G274" s="2272"/>
      <c r="H274" s="2272"/>
    </row>
    <row r="275" spans="1:8" ht="15">
      <c r="A275" s="2273" t="s">
        <v>743</v>
      </c>
      <c r="B275" s="2272"/>
      <c r="C275" s="2272"/>
      <c r="D275" s="2272"/>
      <c r="E275" s="2272"/>
      <c r="F275" s="2272"/>
      <c r="G275" s="2272"/>
      <c r="H275" s="2272"/>
    </row>
    <row r="276" spans="1:8" ht="15">
      <c r="A276" s="2273" t="s">
        <v>744</v>
      </c>
      <c r="B276" s="2272"/>
      <c r="C276" s="2272"/>
      <c r="D276" s="2272"/>
      <c r="E276" s="2272"/>
      <c r="F276" s="2272"/>
      <c r="G276" s="2272"/>
      <c r="H276" s="2272"/>
    </row>
    <row r="277" spans="1:8" ht="15">
      <c r="A277" s="2272"/>
      <c r="B277" s="2272"/>
      <c r="C277" s="2272"/>
      <c r="D277" s="2272"/>
      <c r="E277" s="2272"/>
      <c r="F277" s="2272"/>
      <c r="G277" s="2272"/>
      <c r="H277" s="2272"/>
    </row>
    <row r="278" spans="1:8" ht="15">
      <c r="A278" s="2273" t="s">
        <v>722</v>
      </c>
      <c r="B278" s="2272"/>
      <c r="C278" s="2272"/>
      <c r="D278" s="2272"/>
      <c r="E278" s="2272"/>
      <c r="F278" s="2272"/>
      <c r="G278" s="2272"/>
      <c r="H278" s="2272"/>
    </row>
    <row r="279" spans="1:8" ht="15">
      <c r="A279" s="2273" t="s">
        <v>723</v>
      </c>
      <c r="B279" s="2272"/>
      <c r="C279" s="2272"/>
      <c r="D279" s="2272"/>
      <c r="E279" s="2272"/>
      <c r="F279" s="2272"/>
      <c r="G279" s="2272"/>
      <c r="H279" s="2272"/>
    </row>
    <row r="280" spans="1:8" ht="15">
      <c r="A280" s="2273" t="s">
        <v>724</v>
      </c>
      <c r="B280" s="2272"/>
      <c r="C280" s="2272"/>
      <c r="D280" s="2272"/>
      <c r="E280" s="2272"/>
      <c r="F280" s="2272"/>
      <c r="G280" s="2272"/>
      <c r="H280" s="2272"/>
    </row>
    <row r="281" spans="1:8" ht="15">
      <c r="A281" s="2273" t="s">
        <v>725</v>
      </c>
      <c r="B281" s="2272"/>
      <c r="C281" s="2272"/>
      <c r="D281" s="2272"/>
      <c r="E281" s="2272"/>
      <c r="F281" s="2272"/>
      <c r="G281" s="2272"/>
      <c r="H281" s="2272"/>
    </row>
    <row r="282" spans="1:8" ht="15">
      <c r="A282" s="2273" t="s">
        <v>726</v>
      </c>
      <c r="B282" s="2272"/>
      <c r="C282" s="2272"/>
      <c r="D282" s="2272"/>
      <c r="E282" s="2272"/>
      <c r="F282" s="2272"/>
      <c r="G282" s="2272"/>
      <c r="H282" s="2272"/>
    </row>
    <row r="283" spans="1:8" ht="15">
      <c r="A283" s="2273" t="s">
        <v>727</v>
      </c>
      <c r="B283" s="2272"/>
      <c r="C283" s="2272"/>
      <c r="D283" s="2272"/>
      <c r="E283" s="2272"/>
      <c r="F283" s="2272"/>
      <c r="G283" s="2272"/>
      <c r="H283" s="2272"/>
    </row>
    <row r="284" spans="1:8" ht="15">
      <c r="A284" s="2273" t="s">
        <v>728</v>
      </c>
      <c r="B284" s="2272"/>
      <c r="C284" s="2272"/>
      <c r="D284" s="2272"/>
      <c r="E284" s="2272"/>
      <c r="F284" s="2272"/>
      <c r="G284" s="2272"/>
      <c r="H284" s="2272"/>
    </row>
    <row r="285" spans="1:8" ht="15">
      <c r="A285" s="2272"/>
      <c r="B285" s="2272"/>
      <c r="C285" s="2272"/>
      <c r="D285" s="2272"/>
      <c r="E285" s="2272"/>
      <c r="F285" s="2272"/>
      <c r="G285" s="2272"/>
      <c r="H285" s="2272"/>
    </row>
    <row r="286" spans="1:8" ht="15">
      <c r="A286" s="2273" t="s">
        <v>713</v>
      </c>
      <c r="B286" s="2272"/>
      <c r="C286" s="2272"/>
      <c r="D286" s="2272"/>
      <c r="E286" s="2272"/>
      <c r="F286" s="2272"/>
      <c r="G286" s="2272"/>
      <c r="H286" s="2272"/>
    </row>
    <row r="287" spans="1:8" ht="15">
      <c r="A287" s="2273" t="s">
        <v>714</v>
      </c>
      <c r="B287" s="2272"/>
      <c r="C287" s="2272"/>
      <c r="D287" s="2272"/>
      <c r="E287" s="2272"/>
      <c r="F287" s="2272"/>
      <c r="G287" s="2272"/>
      <c r="H287" s="2272"/>
    </row>
    <row r="288" spans="1:8" ht="15">
      <c r="A288" s="2273" t="s">
        <v>715</v>
      </c>
      <c r="B288" s="2272"/>
      <c r="C288" s="2272"/>
      <c r="D288" s="2272"/>
      <c r="E288" s="2272"/>
      <c r="F288" s="2272"/>
      <c r="G288" s="2272"/>
      <c r="H288" s="2272"/>
    </row>
    <row r="289" spans="1:8" ht="15">
      <c r="A289" s="2273" t="s">
        <v>716</v>
      </c>
      <c r="B289" s="2272"/>
      <c r="C289" s="2272"/>
      <c r="D289" s="2272"/>
      <c r="E289" s="2272"/>
      <c r="F289" s="2272"/>
      <c r="G289" s="2272"/>
      <c r="H289" s="2272"/>
    </row>
    <row r="290" spans="1:8" ht="15">
      <c r="A290" s="2273" t="s">
        <v>717</v>
      </c>
      <c r="B290" s="2272"/>
      <c r="C290" s="2272"/>
      <c r="D290" s="2272"/>
      <c r="E290" s="2272"/>
      <c r="F290" s="2272"/>
      <c r="G290" s="2272"/>
      <c r="H290" s="2272"/>
    </row>
    <row r="291" spans="1:8" ht="15">
      <c r="A291" s="2273" t="s">
        <v>718</v>
      </c>
      <c r="B291" s="2272"/>
      <c r="C291" s="2272"/>
      <c r="D291" s="2272"/>
      <c r="E291" s="2272"/>
      <c r="F291" s="2272"/>
      <c r="G291" s="2272"/>
      <c r="H291" s="2272"/>
    </row>
    <row r="292" spans="1:8" ht="15">
      <c r="A292" s="2273" t="s">
        <v>719</v>
      </c>
      <c r="B292" s="2272"/>
      <c r="C292" s="2272"/>
      <c r="D292" s="2272"/>
      <c r="E292" s="2272"/>
      <c r="F292" s="2272"/>
      <c r="G292" s="2272"/>
      <c r="H292" s="2272"/>
    </row>
    <row r="293" spans="1:8" ht="15">
      <c r="A293" s="2273" t="s">
        <v>720</v>
      </c>
      <c r="B293" s="2272"/>
      <c r="C293" s="2272"/>
      <c r="D293" s="2272"/>
      <c r="E293" s="2272"/>
      <c r="F293" s="2272"/>
      <c r="G293" s="2272"/>
      <c r="H293" s="2272"/>
    </row>
    <row r="294" spans="1:8" ht="15">
      <c r="A294" s="2273" t="s">
        <v>721</v>
      </c>
      <c r="B294" s="2272"/>
      <c r="C294" s="2272"/>
      <c r="D294" s="2272"/>
      <c r="E294" s="2272"/>
      <c r="F294" s="2272"/>
      <c r="G294" s="2272"/>
      <c r="H294" s="2272"/>
    </row>
    <row r="295" spans="1:8" ht="15">
      <c r="A295" s="2272"/>
      <c r="B295" s="2272"/>
      <c r="C295" s="2272"/>
      <c r="D295" s="2272"/>
      <c r="E295" s="2272"/>
      <c r="F295" s="2272"/>
      <c r="G295" s="2272"/>
      <c r="H295" s="2272"/>
    </row>
    <row r="296" spans="1:8" ht="15">
      <c r="A296" s="2273" t="s">
        <v>706</v>
      </c>
      <c r="B296" s="2272"/>
      <c r="C296" s="2272"/>
      <c r="D296" s="2272"/>
      <c r="E296" s="2272"/>
      <c r="F296" s="2272"/>
      <c r="G296" s="2272"/>
      <c r="H296" s="2272"/>
    </row>
    <row r="297" spans="1:8" ht="15">
      <c r="A297" s="2273" t="s">
        <v>707</v>
      </c>
      <c r="B297" s="2272"/>
      <c r="C297" s="2272"/>
      <c r="D297" s="2272"/>
      <c r="E297" s="2272"/>
      <c r="F297" s="2272"/>
      <c r="G297" s="2272"/>
      <c r="H297" s="2272"/>
    </row>
    <row r="298" spans="1:8" ht="15">
      <c r="A298" s="2273" t="s">
        <v>708</v>
      </c>
      <c r="B298" s="2272"/>
      <c r="C298" s="2272"/>
      <c r="D298" s="2272"/>
      <c r="E298" s="2272"/>
      <c r="F298" s="2272"/>
      <c r="G298" s="2272"/>
      <c r="H298" s="2272"/>
    </row>
    <row r="299" spans="1:8" ht="15">
      <c r="A299" s="2273" t="s">
        <v>709</v>
      </c>
      <c r="B299" s="2272"/>
      <c r="C299" s="2272"/>
      <c r="D299" s="2272"/>
      <c r="E299" s="2272"/>
      <c r="F299" s="2272"/>
      <c r="G299" s="2272"/>
      <c r="H299" s="2272"/>
    </row>
    <row r="300" spans="1:8" ht="15">
      <c r="A300" s="2273" t="s">
        <v>710</v>
      </c>
      <c r="B300" s="2272"/>
      <c r="C300" s="2272"/>
      <c r="D300" s="2272"/>
      <c r="E300" s="2272"/>
      <c r="F300" s="2272"/>
      <c r="G300" s="2272"/>
      <c r="H300" s="2272"/>
    </row>
    <row r="301" spans="1:8" ht="15">
      <c r="A301" s="2273" t="s">
        <v>711</v>
      </c>
      <c r="B301" s="2272"/>
      <c r="C301" s="2272"/>
      <c r="D301" s="2272"/>
      <c r="E301" s="2272"/>
      <c r="F301" s="2272"/>
      <c r="G301" s="2272"/>
      <c r="H301" s="2272"/>
    </row>
    <row r="302" spans="1:8" ht="15">
      <c r="A302" s="2273" t="s">
        <v>712</v>
      </c>
      <c r="B302" s="2272"/>
      <c r="C302" s="2272"/>
      <c r="D302" s="2272"/>
      <c r="E302" s="2272"/>
      <c r="F302" s="2272"/>
      <c r="G302" s="2272"/>
      <c r="H302" s="2272"/>
    </row>
    <row r="303" spans="1:8" ht="15">
      <c r="A303" s="2272"/>
      <c r="B303" s="2272"/>
      <c r="C303" s="2272"/>
      <c r="D303" s="2272"/>
      <c r="E303" s="2272"/>
      <c r="F303" s="2272"/>
      <c r="G303" s="2272"/>
      <c r="H303" s="2272"/>
    </row>
    <row r="304" spans="1:8" ht="15">
      <c r="A304" s="2273" t="s">
        <v>703</v>
      </c>
      <c r="B304" s="2272"/>
      <c r="C304" s="2272"/>
      <c r="D304" s="2272"/>
      <c r="E304" s="2272"/>
      <c r="F304" s="2272"/>
      <c r="G304" s="2272"/>
      <c r="H304" s="2272"/>
    </row>
    <row r="305" spans="1:8" ht="15">
      <c r="A305" s="2273" t="s">
        <v>704</v>
      </c>
      <c r="B305" s="2272"/>
      <c r="C305" s="2272"/>
      <c r="D305" s="2272"/>
      <c r="E305" s="2272"/>
      <c r="F305" s="2272"/>
      <c r="G305" s="2272"/>
      <c r="H305" s="2272"/>
    </row>
    <row r="306" spans="1:8" ht="15">
      <c r="A306" s="2273" t="s">
        <v>705</v>
      </c>
      <c r="B306" s="2272"/>
      <c r="C306" s="2272"/>
      <c r="D306" s="2272"/>
      <c r="E306" s="2272"/>
      <c r="F306" s="2272"/>
      <c r="G306" s="2272"/>
      <c r="H306" s="2272"/>
    </row>
    <row r="307" spans="1:8" ht="15">
      <c r="A307" s="2272"/>
      <c r="B307" s="2272"/>
      <c r="C307" s="2272"/>
      <c r="D307" s="2272"/>
      <c r="E307" s="2272"/>
      <c r="F307" s="2272"/>
      <c r="G307" s="2272"/>
      <c r="H307" s="2272"/>
    </row>
    <row r="308" spans="1:8" ht="15">
      <c r="A308" s="2273" t="s">
        <v>701</v>
      </c>
      <c r="B308" s="2272"/>
      <c r="C308" s="2272"/>
      <c r="D308" s="2272"/>
      <c r="E308" s="2272"/>
      <c r="F308" s="2272"/>
      <c r="G308" s="2272"/>
      <c r="H308" s="2272"/>
    </row>
    <row r="309" spans="1:8" ht="15">
      <c r="A309" s="2273" t="s">
        <v>702</v>
      </c>
      <c r="B309" s="2272"/>
      <c r="C309" s="2272"/>
      <c r="D309" s="2272"/>
      <c r="E309" s="2272"/>
      <c r="F309" s="2272"/>
      <c r="G309" s="2272"/>
      <c r="H309" s="2272"/>
    </row>
    <row r="310" spans="1:8" ht="15">
      <c r="A310" s="2272"/>
      <c r="B310" s="2272"/>
      <c r="C310" s="2272"/>
      <c r="D310" s="2272"/>
      <c r="E310" s="2272"/>
      <c r="F310" s="2272"/>
      <c r="G310" s="2272"/>
      <c r="H310" s="2272"/>
    </row>
    <row r="311" spans="1:8" ht="15">
      <c r="A311" s="2273" t="s">
        <v>688</v>
      </c>
      <c r="B311" s="2272"/>
      <c r="C311" s="2272"/>
      <c r="D311" s="2272"/>
      <c r="E311" s="2272"/>
      <c r="F311" s="2272"/>
      <c r="G311" s="2272"/>
      <c r="H311" s="2272"/>
    </row>
    <row r="312" spans="1:8" ht="15">
      <c r="A312" s="2273" t="s">
        <v>689</v>
      </c>
      <c r="B312" s="2272"/>
      <c r="C312" s="2272"/>
      <c r="D312" s="2272"/>
      <c r="E312" s="2272"/>
      <c r="F312" s="2272"/>
      <c r="G312" s="2272"/>
      <c r="H312" s="2272"/>
    </row>
    <row r="313" spans="1:8" ht="15">
      <c r="A313" s="2273" t="s">
        <v>690</v>
      </c>
      <c r="B313" s="2272"/>
      <c r="C313" s="2272"/>
      <c r="D313" s="2272"/>
      <c r="E313" s="2272"/>
      <c r="F313" s="2272"/>
      <c r="G313" s="2272"/>
      <c r="H313" s="2272"/>
    </row>
    <row r="314" spans="1:8" ht="15">
      <c r="A314" s="2273" t="s">
        <v>691</v>
      </c>
      <c r="B314" s="2272"/>
      <c r="C314" s="2272"/>
      <c r="D314" s="2272"/>
      <c r="E314" s="2272"/>
      <c r="F314" s="2272"/>
      <c r="G314" s="2272"/>
      <c r="H314" s="2272"/>
    </row>
    <row r="315" spans="1:8" ht="15">
      <c r="A315" s="2273" t="s">
        <v>692</v>
      </c>
      <c r="B315" s="2272"/>
      <c r="C315" s="2272"/>
      <c r="D315" s="2272"/>
      <c r="E315" s="2272"/>
      <c r="F315" s="2272"/>
      <c r="G315" s="2272"/>
      <c r="H315" s="2272"/>
    </row>
    <row r="316" spans="1:8" ht="15">
      <c r="A316" s="2273" t="s">
        <v>693</v>
      </c>
      <c r="B316" s="2272"/>
      <c r="C316" s="2272"/>
      <c r="D316" s="2272"/>
      <c r="E316" s="2272"/>
      <c r="F316" s="2272"/>
      <c r="G316" s="2272"/>
      <c r="H316" s="2272"/>
    </row>
    <row r="317" spans="1:8" ht="15">
      <c r="A317" s="2273" t="s">
        <v>694</v>
      </c>
      <c r="B317" s="2272"/>
      <c r="C317" s="2272"/>
      <c r="D317" s="2272"/>
      <c r="E317" s="2272"/>
      <c r="F317" s="2272"/>
      <c r="G317" s="2272"/>
      <c r="H317" s="2272"/>
    </row>
    <row r="318" spans="1:8" ht="15">
      <c r="A318" s="2273" t="s">
        <v>695</v>
      </c>
      <c r="B318" s="2272"/>
      <c r="C318" s="2272"/>
      <c r="D318" s="2272"/>
      <c r="E318" s="2272"/>
      <c r="F318" s="2272"/>
      <c r="G318" s="2272"/>
      <c r="H318" s="2272"/>
    </row>
    <row r="319" spans="1:8" ht="15">
      <c r="A319" s="2273" t="s">
        <v>696</v>
      </c>
      <c r="B319" s="2272"/>
      <c r="C319" s="2272"/>
      <c r="D319" s="2272"/>
      <c r="E319" s="2272"/>
      <c r="F319" s="2272"/>
      <c r="G319" s="2272"/>
      <c r="H319" s="2272"/>
    </row>
    <row r="320" spans="1:8" ht="15">
      <c r="A320" s="2273" t="s">
        <v>697</v>
      </c>
      <c r="B320" s="2272"/>
      <c r="C320" s="2272"/>
      <c r="D320" s="2272"/>
      <c r="E320" s="2272"/>
      <c r="F320" s="2272"/>
      <c r="G320" s="2272"/>
      <c r="H320" s="2272"/>
    </row>
    <row r="321" spans="1:8" ht="15">
      <c r="A321" s="2273" t="s">
        <v>698</v>
      </c>
      <c r="B321" s="2272"/>
      <c r="C321" s="2272"/>
      <c r="D321" s="2272"/>
      <c r="E321" s="2272"/>
      <c r="F321" s="2272"/>
      <c r="G321" s="2272"/>
      <c r="H321" s="2272"/>
    </row>
    <row r="322" spans="1:8" ht="15">
      <c r="A322" s="2273" t="s">
        <v>699</v>
      </c>
      <c r="B322" s="2272"/>
      <c r="C322" s="2272"/>
      <c r="D322" s="2272"/>
      <c r="E322" s="2272"/>
      <c r="F322" s="2272"/>
      <c r="G322" s="2272"/>
      <c r="H322" s="2272"/>
    </row>
    <row r="323" spans="1:8" ht="15">
      <c r="A323" s="2273" t="s">
        <v>700</v>
      </c>
      <c r="B323" s="2272"/>
      <c r="C323" s="2272"/>
      <c r="D323" s="2272"/>
      <c r="E323" s="2272"/>
      <c r="F323" s="2272"/>
      <c r="G323" s="2272"/>
      <c r="H323" s="2272"/>
    </row>
    <row r="324" spans="1:8" ht="15">
      <c r="A324" s="2272"/>
      <c r="B324" s="2272"/>
      <c r="C324" s="2272"/>
      <c r="D324" s="2272"/>
      <c r="E324" s="2272"/>
      <c r="F324" s="2272"/>
      <c r="G324" s="2272"/>
      <c r="H324" s="2272"/>
    </row>
    <row r="325" spans="1:8" ht="15">
      <c r="A325" s="2273" t="s">
        <v>680</v>
      </c>
      <c r="B325" s="2272"/>
      <c r="C325" s="2272"/>
      <c r="D325" s="2272"/>
      <c r="E325" s="2272"/>
      <c r="F325" s="2272"/>
      <c r="G325" s="2272"/>
      <c r="H325" s="2272"/>
    </row>
    <row r="326" spans="1:8" ht="15">
      <c r="A326" s="2273" t="s">
        <v>681</v>
      </c>
      <c r="B326" s="2272"/>
      <c r="C326" s="2272"/>
      <c r="D326" s="2272"/>
      <c r="E326" s="2272"/>
      <c r="F326" s="2272"/>
      <c r="G326" s="2272"/>
      <c r="H326" s="2272"/>
    </row>
    <row r="327" spans="1:8" ht="15">
      <c r="A327" s="2273" t="s">
        <v>682</v>
      </c>
      <c r="B327" s="2272"/>
      <c r="C327" s="2272"/>
      <c r="D327" s="2272"/>
      <c r="E327" s="2272"/>
      <c r="F327" s="2272"/>
      <c r="G327" s="2272"/>
      <c r="H327" s="2272"/>
    </row>
    <row r="328" spans="1:8" ht="15">
      <c r="A328" s="2273" t="s">
        <v>683</v>
      </c>
      <c r="B328" s="2272"/>
      <c r="C328" s="2272"/>
      <c r="D328" s="2272"/>
      <c r="E328" s="2272"/>
      <c r="F328" s="2272"/>
      <c r="G328" s="2272"/>
      <c r="H328" s="2272"/>
    </row>
    <row r="329" spans="1:8" ht="15">
      <c r="A329" s="2273" t="s">
        <v>684</v>
      </c>
      <c r="B329" s="2272"/>
      <c r="C329" s="2272"/>
      <c r="D329" s="2272"/>
      <c r="E329" s="2272"/>
      <c r="F329" s="2272"/>
      <c r="G329" s="2272"/>
      <c r="H329" s="2272"/>
    </row>
    <row r="330" spans="1:8" ht="15">
      <c r="A330" s="2273" t="s">
        <v>685</v>
      </c>
      <c r="B330" s="2272"/>
      <c r="C330" s="2272"/>
      <c r="D330" s="2272"/>
      <c r="E330" s="2272"/>
      <c r="F330" s="2272"/>
      <c r="G330" s="2272"/>
      <c r="H330" s="2272"/>
    </row>
    <row r="331" spans="1:8" ht="15">
      <c r="A331" s="2273" t="s">
        <v>686</v>
      </c>
      <c r="B331" s="2272"/>
      <c r="C331" s="2272"/>
      <c r="D331" s="2272"/>
      <c r="E331" s="2272"/>
      <c r="F331" s="2272"/>
      <c r="G331" s="2272"/>
      <c r="H331" s="2272"/>
    </row>
    <row r="332" spans="1:8" ht="15">
      <c r="A332" s="2273" t="s">
        <v>687</v>
      </c>
      <c r="B332" s="2272"/>
      <c r="C332" s="2272"/>
      <c r="D332" s="2272"/>
      <c r="E332" s="2272"/>
      <c r="F332" s="2272"/>
      <c r="G332" s="2272"/>
      <c r="H332" s="2272"/>
    </row>
    <row r="333" spans="1:8" ht="15">
      <c r="A333" s="2272"/>
      <c r="B333" s="2272"/>
      <c r="C333" s="2272"/>
      <c r="D333" s="2272"/>
      <c r="E333" s="2272"/>
      <c r="F333" s="2272"/>
      <c r="G333" s="2272"/>
      <c r="H333" s="2272"/>
    </row>
    <row r="334" spans="1:8" ht="15">
      <c r="A334" s="2273" t="s">
        <v>645</v>
      </c>
      <c r="B334" s="2272"/>
      <c r="C334" s="2272"/>
      <c r="D334" s="2272"/>
      <c r="E334" s="2272"/>
      <c r="F334" s="2272"/>
      <c r="G334" s="2272"/>
      <c r="H334" s="2272"/>
    </row>
    <row r="335" spans="1:8" ht="15">
      <c r="A335" s="2273" t="s">
        <v>646</v>
      </c>
      <c r="B335" s="2272"/>
      <c r="C335" s="2272"/>
      <c r="D335" s="2272"/>
      <c r="E335" s="2272"/>
      <c r="F335" s="2272"/>
      <c r="G335" s="2272"/>
      <c r="H335" s="2272"/>
    </row>
    <row r="336" spans="1:8" ht="15">
      <c r="A336" s="2273" t="s">
        <v>647</v>
      </c>
      <c r="B336" s="2272"/>
      <c r="C336" s="2272"/>
      <c r="D336" s="2272"/>
      <c r="E336" s="2272"/>
      <c r="F336" s="2272"/>
      <c r="G336" s="2272"/>
      <c r="H336" s="2272"/>
    </row>
    <row r="337" spans="1:8" ht="15">
      <c r="A337" s="2273" t="s">
        <v>648</v>
      </c>
      <c r="B337" s="2272"/>
      <c r="C337" s="2272"/>
      <c r="D337" s="2272"/>
      <c r="E337" s="2272"/>
      <c r="F337" s="2272"/>
      <c r="G337" s="2272"/>
      <c r="H337" s="2272"/>
    </row>
    <row r="338" spans="1:8" ht="15">
      <c r="A338" s="2273" t="s">
        <v>649</v>
      </c>
      <c r="B338" s="2272"/>
      <c r="C338" s="2272"/>
      <c r="D338" s="2272"/>
      <c r="E338" s="2272"/>
      <c r="F338" s="2272"/>
      <c r="G338" s="2272"/>
      <c r="H338" s="2272"/>
    </row>
    <row r="339" spans="1:8" ht="15">
      <c r="A339" s="2273" t="s">
        <v>650</v>
      </c>
      <c r="B339" s="2272"/>
      <c r="C339" s="2272"/>
      <c r="D339" s="2272"/>
      <c r="E339" s="2272"/>
      <c r="F339" s="2272"/>
      <c r="G339" s="2272"/>
      <c r="H339" s="2272"/>
    </row>
    <row r="340" spans="1:8" ht="15">
      <c r="A340" s="2273" t="s">
        <v>651</v>
      </c>
      <c r="B340" s="2272"/>
      <c r="C340" s="2272"/>
      <c r="D340" s="2272"/>
      <c r="E340" s="2272"/>
      <c r="F340" s="2272"/>
      <c r="G340" s="2272"/>
      <c r="H340" s="2272"/>
    </row>
    <row r="341" spans="1:8" ht="15">
      <c r="A341" s="2273" t="s">
        <v>652</v>
      </c>
      <c r="B341" s="2272"/>
      <c r="C341" s="2272"/>
      <c r="D341" s="2272"/>
      <c r="E341" s="2272"/>
      <c r="F341" s="2272"/>
      <c r="G341" s="2272"/>
      <c r="H341" s="2272"/>
    </row>
    <row r="342" spans="1:8" ht="15">
      <c r="A342" s="2273" t="s">
        <v>653</v>
      </c>
      <c r="B342" s="2272"/>
      <c r="C342" s="2272"/>
      <c r="D342" s="2272"/>
      <c r="E342" s="2272"/>
      <c r="F342" s="2272"/>
      <c r="G342" s="2272"/>
      <c r="H342" s="2272"/>
    </row>
    <row r="343" spans="1:8" ht="15">
      <c r="A343" s="2273" t="s">
        <v>654</v>
      </c>
      <c r="B343" s="2272"/>
      <c r="C343" s="2272"/>
      <c r="D343" s="2272"/>
      <c r="E343" s="2272"/>
      <c r="F343" s="2272"/>
      <c r="G343" s="2272"/>
      <c r="H343" s="2272"/>
    </row>
    <row r="344" spans="1:8" ht="15">
      <c r="A344" s="2273" t="s">
        <v>655</v>
      </c>
      <c r="B344" s="2272"/>
      <c r="C344" s="2272"/>
      <c r="D344" s="2272"/>
      <c r="E344" s="2272"/>
      <c r="F344" s="2272"/>
      <c r="G344" s="2272"/>
      <c r="H344" s="2272"/>
    </row>
    <row r="345" spans="1:8" ht="15">
      <c r="A345" s="2273" t="s">
        <v>656</v>
      </c>
      <c r="B345" s="2272"/>
      <c r="C345" s="2272"/>
      <c r="D345" s="2272"/>
      <c r="E345" s="2272"/>
      <c r="F345" s="2272"/>
      <c r="G345" s="2272"/>
      <c r="H345" s="2272"/>
    </row>
    <row r="346" spans="1:8" ht="15">
      <c r="A346" s="2273" t="s">
        <v>657</v>
      </c>
      <c r="B346" s="2272"/>
      <c r="C346" s="2272"/>
      <c r="D346" s="2272"/>
      <c r="E346" s="2272"/>
      <c r="F346" s="2272"/>
      <c r="G346" s="2272"/>
      <c r="H346" s="2272"/>
    </row>
    <row r="347" spans="1:8" ht="15">
      <c r="A347" s="2273" t="s">
        <v>658</v>
      </c>
      <c r="B347" s="2272"/>
      <c r="C347" s="2272"/>
      <c r="D347" s="2272"/>
      <c r="E347" s="2272"/>
      <c r="F347" s="2272"/>
      <c r="G347" s="2272"/>
      <c r="H347" s="2272"/>
    </row>
    <row r="348" spans="1:8" ht="15">
      <c r="A348" s="2273" t="s">
        <v>659</v>
      </c>
      <c r="B348" s="2272"/>
      <c r="C348" s="2272"/>
      <c r="D348" s="2272"/>
      <c r="E348" s="2272"/>
      <c r="F348" s="2272"/>
      <c r="G348" s="2272"/>
      <c r="H348" s="2272"/>
    </row>
    <row r="349" spans="1:8" ht="15">
      <c r="A349" s="2273" t="s">
        <v>660</v>
      </c>
      <c r="B349" s="2272"/>
      <c r="C349" s="2272"/>
      <c r="D349" s="2272"/>
      <c r="E349" s="2272"/>
      <c r="F349" s="2272"/>
      <c r="G349" s="2272"/>
      <c r="H349" s="2272"/>
    </row>
    <row r="350" spans="1:8" ht="15">
      <c r="A350" s="2273" t="s">
        <v>661</v>
      </c>
      <c r="B350" s="2272"/>
      <c r="C350" s="2272"/>
      <c r="D350" s="2272"/>
      <c r="E350" s="2272"/>
      <c r="F350" s="2272"/>
      <c r="G350" s="2272"/>
      <c r="H350" s="2272"/>
    </row>
    <row r="351" spans="1:8" ht="15">
      <c r="A351" s="2273" t="s">
        <v>662</v>
      </c>
      <c r="B351" s="2272"/>
      <c r="C351" s="2272"/>
      <c r="D351" s="2272"/>
      <c r="E351" s="2272"/>
      <c r="F351" s="2272"/>
      <c r="G351" s="2272"/>
      <c r="H351" s="2272"/>
    </row>
    <row r="352" spans="1:8" ht="15">
      <c r="A352" s="2273" t="s">
        <v>663</v>
      </c>
      <c r="B352" s="2272"/>
      <c r="C352" s="2272"/>
      <c r="D352" s="2272"/>
      <c r="E352" s="2272"/>
      <c r="F352" s="2272"/>
      <c r="G352" s="2272"/>
      <c r="H352" s="2272"/>
    </row>
    <row r="353" spans="1:8" ht="15">
      <c r="A353" s="2273" t="s">
        <v>664</v>
      </c>
      <c r="B353" s="2272"/>
      <c r="C353" s="2272"/>
      <c r="D353" s="2272"/>
      <c r="E353" s="2272"/>
      <c r="F353" s="2272"/>
      <c r="G353" s="2272"/>
      <c r="H353" s="2272"/>
    </row>
    <row r="354" spans="1:8" ht="15">
      <c r="A354" s="2273" t="s">
        <v>665</v>
      </c>
      <c r="B354" s="2272"/>
      <c r="C354" s="2272"/>
      <c r="D354" s="2272"/>
      <c r="E354" s="2272"/>
      <c r="F354" s="2272"/>
      <c r="G354" s="2272"/>
      <c r="H354" s="2272"/>
    </row>
    <row r="355" spans="1:8" ht="15">
      <c r="A355" s="2273" t="s">
        <v>666</v>
      </c>
      <c r="B355" s="2272"/>
      <c r="C355" s="2272"/>
      <c r="D355" s="2272"/>
      <c r="E355" s="2272"/>
      <c r="F355" s="2272"/>
      <c r="G355" s="2272"/>
      <c r="H355" s="2272"/>
    </row>
    <row r="356" spans="1:8" ht="15">
      <c r="A356" s="2273" t="s">
        <v>667</v>
      </c>
      <c r="B356" s="2272"/>
      <c r="C356" s="2272"/>
      <c r="D356" s="2272"/>
      <c r="E356" s="2272"/>
      <c r="F356" s="2272"/>
      <c r="G356" s="2272"/>
      <c r="H356" s="2272"/>
    </row>
    <row r="357" spans="1:8" ht="15">
      <c r="A357" s="2273" t="s">
        <v>668</v>
      </c>
      <c r="B357" s="2272"/>
      <c r="C357" s="2272"/>
      <c r="D357" s="2272"/>
      <c r="E357" s="2272"/>
      <c r="F357" s="2272"/>
      <c r="G357" s="2272"/>
      <c r="H357" s="2272"/>
    </row>
    <row r="358" spans="1:8" ht="15">
      <c r="A358" s="2273" t="s">
        <v>669</v>
      </c>
      <c r="B358" s="2272"/>
      <c r="C358" s="2272"/>
      <c r="D358" s="2272"/>
      <c r="E358" s="2272"/>
      <c r="F358" s="2272"/>
      <c r="G358" s="2272"/>
      <c r="H358" s="2272"/>
    </row>
    <row r="359" spans="1:8" ht="15">
      <c r="A359" s="2273" t="s">
        <v>670</v>
      </c>
      <c r="B359" s="2272"/>
      <c r="C359" s="2272"/>
      <c r="D359" s="2272"/>
      <c r="E359" s="2272"/>
      <c r="F359" s="2272"/>
      <c r="G359" s="2272"/>
      <c r="H359" s="2272"/>
    </row>
    <row r="360" spans="1:8" ht="15">
      <c r="A360" s="2273" t="s">
        <v>671</v>
      </c>
      <c r="B360" s="2272"/>
      <c r="C360" s="2272"/>
      <c r="D360" s="2272"/>
      <c r="E360" s="2272"/>
      <c r="F360" s="2272"/>
      <c r="G360" s="2272"/>
      <c r="H360" s="2272"/>
    </row>
    <row r="361" spans="1:8" ht="15">
      <c r="A361" s="2273" t="s">
        <v>672</v>
      </c>
      <c r="B361" s="2272"/>
      <c r="C361" s="2272"/>
      <c r="D361" s="2272"/>
      <c r="E361" s="2272"/>
      <c r="F361" s="2272"/>
      <c r="G361" s="2272"/>
      <c r="H361" s="2272"/>
    </row>
    <row r="362" spans="1:8" ht="15">
      <c r="A362" s="2273" t="s">
        <v>673</v>
      </c>
      <c r="B362" s="2272"/>
      <c r="C362" s="2272"/>
      <c r="D362" s="2272"/>
      <c r="E362" s="2272"/>
      <c r="F362" s="2272"/>
      <c r="G362" s="2272"/>
      <c r="H362" s="2272"/>
    </row>
    <row r="363" spans="1:8" ht="15">
      <c r="A363" s="2273" t="s">
        <v>674</v>
      </c>
      <c r="B363" s="2272"/>
      <c r="C363" s="2272"/>
      <c r="D363" s="2272"/>
      <c r="E363" s="2272"/>
      <c r="F363" s="2272"/>
      <c r="G363" s="2272"/>
      <c r="H363" s="2272"/>
    </row>
    <row r="364" spans="1:8" ht="15">
      <c r="A364" s="2273" t="s">
        <v>675</v>
      </c>
      <c r="B364" s="2272"/>
      <c r="C364" s="2272"/>
      <c r="D364" s="2272"/>
      <c r="E364" s="2272"/>
      <c r="F364" s="2272"/>
      <c r="G364" s="2272"/>
      <c r="H364" s="2272"/>
    </row>
    <row r="365" spans="1:8" ht="15">
      <c r="A365" s="2273" t="s">
        <v>676</v>
      </c>
      <c r="B365" s="2272"/>
      <c r="C365" s="2272"/>
      <c r="D365" s="2272"/>
      <c r="E365" s="2272"/>
      <c r="F365" s="2272"/>
      <c r="G365" s="2272"/>
      <c r="H365" s="2272"/>
    </row>
    <row r="366" spans="1:8" ht="15">
      <c r="A366" s="2273" t="s">
        <v>677</v>
      </c>
      <c r="B366" s="2272"/>
      <c r="C366" s="2272"/>
      <c r="D366" s="2272"/>
      <c r="E366" s="2272"/>
      <c r="F366" s="2272"/>
      <c r="G366" s="2272"/>
      <c r="H366" s="2272"/>
    </row>
    <row r="367" spans="1:8" ht="15">
      <c r="A367" s="2273" t="s">
        <v>678</v>
      </c>
      <c r="B367" s="2272"/>
      <c r="C367" s="2272"/>
      <c r="D367" s="2272"/>
      <c r="E367" s="2272"/>
      <c r="F367" s="2272"/>
      <c r="G367" s="2272"/>
      <c r="H367" s="2272"/>
    </row>
    <row r="368" spans="1:8" ht="15">
      <c r="A368" s="2273" t="s">
        <v>679</v>
      </c>
      <c r="B368" s="2272"/>
      <c r="C368" s="2272"/>
      <c r="D368" s="2272"/>
      <c r="E368" s="2272"/>
      <c r="F368" s="2272"/>
      <c r="G368" s="2272"/>
      <c r="H368" s="2272"/>
    </row>
    <row r="369" spans="1:8" ht="15">
      <c r="A369" s="2272"/>
      <c r="B369" s="2272"/>
      <c r="C369" s="2272"/>
      <c r="D369" s="2272"/>
      <c r="E369" s="2272"/>
      <c r="F369" s="2272"/>
      <c r="G369" s="2272"/>
      <c r="H369" s="2272"/>
    </row>
    <row r="370" spans="1:8" ht="15">
      <c r="A370" s="2273" t="s">
        <v>637</v>
      </c>
      <c r="B370" s="2272"/>
      <c r="C370" s="2272"/>
      <c r="D370" s="2272"/>
      <c r="E370" s="2272"/>
      <c r="F370" s="2272"/>
      <c r="G370" s="2272"/>
      <c r="H370" s="2272"/>
    </row>
    <row r="371" spans="1:8" ht="15">
      <c r="A371" s="2273" t="s">
        <v>641</v>
      </c>
      <c r="B371" s="2272"/>
      <c r="C371" s="2272"/>
      <c r="D371" s="2272"/>
      <c r="E371" s="2272"/>
      <c r="F371" s="2272"/>
      <c r="G371" s="2272"/>
      <c r="H371" s="2272"/>
    </row>
    <row r="372" spans="1:8" ht="15">
      <c r="A372" s="2273" t="s">
        <v>642</v>
      </c>
      <c r="B372" s="2272"/>
      <c r="C372" s="2272"/>
      <c r="D372" s="2272"/>
      <c r="E372" s="2272"/>
      <c r="F372" s="2272"/>
      <c r="G372" s="2272"/>
      <c r="H372" s="2272"/>
    </row>
    <row r="373" spans="1:8" ht="15">
      <c r="A373" s="2273" t="s">
        <v>643</v>
      </c>
      <c r="B373" s="2272"/>
      <c r="C373" s="2272"/>
      <c r="D373" s="2272"/>
      <c r="E373" s="2272"/>
      <c r="F373" s="2272"/>
      <c r="G373" s="2272"/>
      <c r="H373" s="2272"/>
    </row>
    <row r="374" spans="1:8" ht="15">
      <c r="A374" s="2273" t="s">
        <v>644</v>
      </c>
      <c r="B374" s="2272"/>
      <c r="C374" s="2272"/>
      <c r="D374" s="2272"/>
      <c r="E374" s="2272"/>
      <c r="F374" s="2272"/>
      <c r="G374" s="2272"/>
      <c r="H374" s="2272"/>
    </row>
    <row r="375" spans="1:8" ht="15">
      <c r="A375" s="2272"/>
      <c r="B375" s="2272"/>
      <c r="C375" s="2272"/>
      <c r="D375" s="2272"/>
      <c r="E375" s="2272"/>
      <c r="F375" s="2272"/>
      <c r="G375" s="2272"/>
      <c r="H375" s="2272"/>
    </row>
    <row r="376" spans="1:8" ht="15">
      <c r="A376" s="2273" t="s">
        <v>637</v>
      </c>
      <c r="B376" s="2272"/>
      <c r="C376" s="2272"/>
      <c r="D376" s="2272"/>
      <c r="E376" s="2272"/>
      <c r="F376" s="2272"/>
      <c r="G376" s="2272"/>
      <c r="H376" s="2272"/>
    </row>
    <row r="377" spans="1:8" ht="15">
      <c r="A377" s="2273" t="s">
        <v>638</v>
      </c>
      <c r="B377" s="2272"/>
      <c r="C377" s="2272"/>
      <c r="D377" s="2272"/>
      <c r="E377" s="2272"/>
      <c r="F377" s="2272"/>
      <c r="G377" s="2272"/>
      <c r="H377" s="2272"/>
    </row>
    <row r="378" spans="1:8" ht="15">
      <c r="A378" s="2273" t="s">
        <v>639</v>
      </c>
      <c r="B378" s="2272"/>
      <c r="C378" s="2272"/>
      <c r="D378" s="2272"/>
      <c r="E378" s="2272"/>
      <c r="F378" s="2272"/>
      <c r="G378" s="2272"/>
      <c r="H378" s="2272"/>
    </row>
    <row r="379" spans="1:8" ht="15">
      <c r="A379" s="2273" t="s">
        <v>640</v>
      </c>
      <c r="B379" s="2272"/>
      <c r="C379" s="2272"/>
      <c r="D379" s="2272"/>
      <c r="E379" s="2272"/>
      <c r="F379" s="2272"/>
      <c r="G379" s="2272"/>
      <c r="H379" s="2272"/>
    </row>
    <row r="380" spans="1:8" ht="15">
      <c r="A380" s="2272"/>
      <c r="B380" s="2272"/>
      <c r="C380" s="2272"/>
      <c r="D380" s="2272"/>
      <c r="E380" s="2272"/>
      <c r="F380" s="2272"/>
      <c r="G380" s="2272"/>
      <c r="H380" s="2272"/>
    </row>
    <row r="381" spans="1:8" ht="15">
      <c r="A381" s="2273" t="s">
        <v>631</v>
      </c>
      <c r="B381" s="2272"/>
      <c r="C381" s="2272"/>
      <c r="D381" s="2272"/>
      <c r="E381" s="2272"/>
      <c r="F381" s="2272"/>
      <c r="G381" s="2272"/>
      <c r="H381" s="2272"/>
    </row>
    <row r="382" spans="1:8" ht="15">
      <c r="A382" s="2273" t="s">
        <v>632</v>
      </c>
      <c r="B382" s="2272"/>
      <c r="C382" s="2272"/>
      <c r="D382" s="2272"/>
      <c r="E382" s="2272"/>
      <c r="F382" s="2272"/>
      <c r="G382" s="2272"/>
      <c r="H382" s="2272"/>
    </row>
    <row r="383" spans="1:8" ht="15">
      <c r="A383" s="2273" t="s">
        <v>633</v>
      </c>
      <c r="B383" s="2272"/>
      <c r="C383" s="2272"/>
      <c r="D383" s="2272"/>
      <c r="E383" s="2272"/>
      <c r="F383" s="2272"/>
      <c r="G383" s="2272"/>
      <c r="H383" s="2272"/>
    </row>
    <row r="384" spans="1:8" ht="15">
      <c r="A384" s="2273" t="s">
        <v>634</v>
      </c>
      <c r="B384" s="2272"/>
      <c r="C384" s="2272"/>
      <c r="D384" s="2272"/>
      <c r="E384" s="2272"/>
      <c r="F384" s="2272"/>
      <c r="G384" s="2272"/>
      <c r="H384" s="2272"/>
    </row>
    <row r="385" spans="1:8" ht="15">
      <c r="A385" s="2273" t="s">
        <v>635</v>
      </c>
      <c r="B385" s="2272"/>
      <c r="C385" s="2272"/>
      <c r="D385" s="2272"/>
      <c r="E385" s="2272"/>
      <c r="F385" s="2272"/>
      <c r="G385" s="2272"/>
      <c r="H385" s="2272"/>
    </row>
    <row r="386" spans="1:8" ht="15">
      <c r="A386" s="2273" t="s">
        <v>636</v>
      </c>
      <c r="B386" s="2272"/>
      <c r="C386" s="2272"/>
      <c r="D386" s="2272"/>
      <c r="E386" s="2272"/>
      <c r="F386" s="2272"/>
      <c r="G386" s="2272"/>
      <c r="H386" s="2272"/>
    </row>
    <row r="387" spans="1:8" ht="15">
      <c r="A387" s="2272"/>
      <c r="B387" s="2272"/>
      <c r="C387" s="2272"/>
      <c r="D387" s="2272"/>
      <c r="E387" s="2272"/>
      <c r="F387" s="2272"/>
      <c r="G387" s="2272"/>
      <c r="H387" s="2272"/>
    </row>
    <row r="388" spans="1:8" ht="15">
      <c r="A388" s="2273" t="s">
        <v>628</v>
      </c>
      <c r="B388" s="2272"/>
      <c r="C388" s="2272"/>
      <c r="D388" s="2272"/>
      <c r="E388" s="2272"/>
      <c r="F388" s="2272"/>
      <c r="G388" s="2272"/>
      <c r="H388" s="2272"/>
    </row>
    <row r="389" spans="1:8" ht="15">
      <c r="A389" s="2273" t="s">
        <v>629</v>
      </c>
      <c r="B389" s="2272"/>
      <c r="C389" s="2272"/>
      <c r="D389" s="2272"/>
      <c r="E389" s="2272"/>
      <c r="F389" s="2272"/>
      <c r="G389" s="2272"/>
      <c r="H389" s="2272"/>
    </row>
    <row r="390" spans="1:8" ht="15">
      <c r="A390" s="2273" t="s">
        <v>630</v>
      </c>
      <c r="B390" s="2272"/>
      <c r="C390" s="2272"/>
      <c r="D390" s="2272"/>
      <c r="E390" s="2272"/>
      <c r="F390" s="2272"/>
      <c r="G390" s="2272"/>
      <c r="H390" s="2272"/>
    </row>
    <row r="391" spans="1:8" ht="15">
      <c r="A391" s="2272"/>
      <c r="B391" s="2272"/>
      <c r="C391" s="2272"/>
      <c r="D391" s="2272"/>
      <c r="E391" s="2272"/>
      <c r="F391" s="2272"/>
      <c r="G391" s="2272"/>
      <c r="H391" s="2272"/>
    </row>
    <row r="392" spans="1:8" ht="15">
      <c r="A392" s="2273" t="s">
        <v>623</v>
      </c>
      <c r="B392" s="2272"/>
      <c r="C392" s="2272"/>
      <c r="D392" s="2272"/>
      <c r="E392" s="2272"/>
      <c r="F392" s="2272"/>
      <c r="G392" s="2272"/>
      <c r="H392" s="2272"/>
    </row>
    <row r="393" spans="1:8" ht="15">
      <c r="A393" s="2273" t="s">
        <v>624</v>
      </c>
      <c r="B393" s="2272"/>
      <c r="C393" s="2272"/>
      <c r="D393" s="2272"/>
      <c r="E393" s="2272"/>
      <c r="F393" s="2272"/>
      <c r="G393" s="2272"/>
      <c r="H393" s="2272"/>
    </row>
    <row r="394" spans="1:8" ht="15">
      <c r="A394" s="2273" t="s">
        <v>625</v>
      </c>
      <c r="B394" s="2272"/>
      <c r="C394" s="2272"/>
      <c r="D394" s="2272"/>
      <c r="E394" s="2272"/>
      <c r="F394" s="2272"/>
      <c r="G394" s="2272"/>
      <c r="H394" s="2272"/>
    </row>
    <row r="395" spans="1:8" ht="15">
      <c r="A395" s="2273" t="s">
        <v>626</v>
      </c>
      <c r="B395" s="2272"/>
      <c r="C395" s="2272"/>
      <c r="D395" s="2272"/>
      <c r="E395" s="2272"/>
      <c r="F395" s="2272"/>
      <c r="G395" s="2272"/>
      <c r="H395" s="2272"/>
    </row>
    <row r="396" spans="1:8" ht="15">
      <c r="A396" s="2273" t="s">
        <v>627</v>
      </c>
      <c r="B396" s="2272"/>
      <c r="C396" s="2272"/>
      <c r="D396" s="2272"/>
      <c r="E396" s="2272"/>
      <c r="F396" s="2272"/>
      <c r="G396" s="2272"/>
      <c r="H396" s="2272"/>
    </row>
    <row r="397" spans="1:8" ht="15">
      <c r="A397" s="2272"/>
      <c r="B397" s="2272"/>
      <c r="C397" s="2272"/>
      <c r="D397" s="2272"/>
      <c r="E397" s="2272"/>
      <c r="F397" s="2272"/>
      <c r="G397" s="2272"/>
      <c r="H397" s="2272"/>
    </row>
    <row r="398" spans="1:8" ht="15">
      <c r="A398" s="2273" t="s">
        <v>621</v>
      </c>
      <c r="B398" s="2272"/>
      <c r="C398" s="2272"/>
      <c r="D398" s="2272"/>
      <c r="E398" s="2272"/>
      <c r="F398" s="2272"/>
      <c r="G398" s="2272"/>
      <c r="H398" s="2272"/>
    </row>
    <row r="399" spans="1:8" ht="15">
      <c r="A399" s="2273" t="s">
        <v>622</v>
      </c>
      <c r="B399" s="2272"/>
      <c r="C399" s="2272"/>
      <c r="D399" s="2272"/>
      <c r="E399" s="2272"/>
      <c r="F399" s="2272"/>
      <c r="G399" s="2272"/>
      <c r="H399" s="2272"/>
    </row>
    <row r="401" spans="1:1">
      <c r="A401" s="2268" t="s">
        <v>883</v>
      </c>
    </row>
  </sheetData>
  <mergeCells count="12">
    <mergeCell ref="A120:H120"/>
    <mergeCell ref="A127:H127"/>
    <mergeCell ref="A114:H114"/>
    <mergeCell ref="A115:H115"/>
    <mergeCell ref="A116:H116"/>
    <mergeCell ref="A117:H117"/>
    <mergeCell ref="A119:H119"/>
    <mergeCell ref="A135:H135"/>
    <mergeCell ref="A136:H136"/>
    <mergeCell ref="B128:C128"/>
    <mergeCell ref="D128:F128"/>
    <mergeCell ref="G128:H128"/>
  </mergeCells>
  <pageMargins left="0.5" right="0.5" top="0.5" bottom="0.5" header="0.5" footer="0.5"/>
  <pageSetup orientation="portrait" horizont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002978"/>
    <pageSetUpPr fitToPage="1"/>
  </sheetPr>
  <dimension ref="A1:JA365"/>
  <sheetViews>
    <sheetView showGridLines="0" zoomScaleNormal="100" workbookViewId="0">
      <pane xSplit="1" ySplit="9" topLeftCell="BI10" activePane="bottomRight" state="frozen"/>
      <selection activeCell="A86" sqref="A86"/>
      <selection pane="topRight" activeCell="A86" sqref="A86"/>
      <selection pane="bottomLeft" activeCell="A86" sqref="A86"/>
      <selection pane="bottomRight"/>
    </sheetView>
  </sheetViews>
  <sheetFormatPr defaultRowHeight="15" outlineLevelRow="1" outlineLevelCol="2"/>
  <cols>
    <col min="1" max="1" width="39.28515625" style="5" customWidth="1"/>
    <col min="2" max="10" width="9.42578125" style="7" hidden="1" customWidth="1" outlineLevel="1"/>
    <col min="11" max="11" width="8.28515625" style="7" hidden="1" customWidth="1"/>
    <col min="12" max="15" width="9.42578125" style="7" hidden="1" customWidth="1" outlineLevel="1"/>
    <col min="16" max="16" width="9" style="7" hidden="1" customWidth="1"/>
    <col min="17" max="20" width="9.42578125" style="7" hidden="1" customWidth="1" outlineLevel="1"/>
    <col min="21" max="21" width="9.42578125" style="7" hidden="1" customWidth="1"/>
    <col min="22" max="25" width="9.42578125" style="7" hidden="1" customWidth="1" outlineLevel="1"/>
    <col min="26" max="26" width="9.42578125" style="7" hidden="1" customWidth="1"/>
    <col min="27" max="30" width="9.42578125" style="7" hidden="1" customWidth="1" outlineLevel="1"/>
    <col min="31" max="31" width="9.42578125" style="7" hidden="1" customWidth="1"/>
    <col min="32" max="35" width="9.42578125" style="7" hidden="1" customWidth="1" outlineLevel="1"/>
    <col min="36" max="36" width="9.42578125" style="7" hidden="1" customWidth="1"/>
    <col min="37" max="40" width="9.42578125" style="9" hidden="1" customWidth="1" outlineLevel="1"/>
    <col min="41" max="41" width="9.42578125" style="9" hidden="1" customWidth="1"/>
    <col min="42" max="45" width="9.42578125" style="7" hidden="1" customWidth="1" outlineLevel="1"/>
    <col min="46" max="46" width="9.42578125" style="7" hidden="1" customWidth="1"/>
    <col min="47" max="48" width="9.42578125" style="7" hidden="1" customWidth="1" outlineLevel="1"/>
    <col min="49" max="49" width="9.42578125" style="10" hidden="1" customWidth="1" outlineLevel="1"/>
    <col min="50" max="50" width="9.42578125" style="11" hidden="1" customWidth="1" outlineLevel="1"/>
    <col min="51" max="51" width="9.42578125" style="12" hidden="1" customWidth="1"/>
    <col min="52" max="55" width="9.42578125" style="12" hidden="1" customWidth="1" outlineLevel="1"/>
    <col min="56" max="56" width="9.42578125" style="12" hidden="1" customWidth="1" collapsed="1"/>
    <col min="57" max="60" width="9.42578125" style="12" hidden="1" customWidth="1" outlineLevel="1"/>
    <col min="61" max="61" width="9.42578125" style="12" customWidth="1" collapsed="1"/>
    <col min="62" max="65" width="9.42578125" style="12" customWidth="1" outlineLevel="1"/>
    <col min="66" max="66" width="9.42578125" style="5" customWidth="1"/>
    <col min="67" max="70" width="9.42578125" style="5" customWidth="1" outlineLevel="1"/>
    <col min="71" max="71" width="9.42578125" style="5" customWidth="1"/>
    <col min="72" max="75" width="9.42578125" style="5" customWidth="1" outlineLevel="1"/>
    <col min="76" max="79" width="9.42578125" style="5" customWidth="1"/>
    <col min="80" max="80" width="8.85546875" style="9" customWidth="1"/>
    <col min="81" max="81" width="9.140625" style="5"/>
    <col min="82" max="82" width="39.28515625" style="5" customWidth="1" outlineLevel="1"/>
    <col min="83" max="92" width="9.28515625" style="5" hidden="1" customWidth="1" outlineLevel="2"/>
    <col min="93" max="93" width="9.28515625" style="5" customWidth="1" outlineLevel="1" collapsed="1"/>
    <col min="94" max="104" width="9.28515625" style="5" customWidth="1" outlineLevel="1"/>
    <col min="105" max="105" width="9.140625" style="5"/>
    <col min="106" max="106" width="9.28515625" style="5" customWidth="1"/>
    <col min="107" max="107" width="34.5703125" customWidth="1"/>
    <col min="113" max="16384" width="9.140625" style="5"/>
  </cols>
  <sheetData>
    <row r="1" spans="1:116" ht="12" customHeight="1">
      <c r="A1" s="1" t="s">
        <v>567</v>
      </c>
      <c r="B1" s="2">
        <v>2001</v>
      </c>
      <c r="C1" s="2">
        <v>2002</v>
      </c>
      <c r="D1" s="2">
        <v>2003</v>
      </c>
      <c r="E1" s="2">
        <v>2004</v>
      </c>
      <c r="F1" s="2">
        <v>2005</v>
      </c>
      <c r="G1" s="2" t="s">
        <v>0</v>
      </c>
      <c r="H1" s="2" t="s">
        <v>1</v>
      </c>
      <c r="I1" s="2" t="s">
        <v>2</v>
      </c>
      <c r="J1" s="2" t="s">
        <v>3</v>
      </c>
      <c r="K1" s="2">
        <v>2006</v>
      </c>
      <c r="L1" s="2" t="s">
        <v>4</v>
      </c>
      <c r="M1" s="2" t="s">
        <v>5</v>
      </c>
      <c r="N1" s="2" t="s">
        <v>6</v>
      </c>
      <c r="O1" s="2" t="s">
        <v>7</v>
      </c>
      <c r="P1" s="2">
        <v>2007</v>
      </c>
      <c r="Q1" s="2" t="s">
        <v>8</v>
      </c>
      <c r="R1" s="2" t="s">
        <v>9</v>
      </c>
      <c r="S1" s="2" t="s">
        <v>10</v>
      </c>
      <c r="T1" s="2" t="s">
        <v>11</v>
      </c>
      <c r="U1" s="2">
        <v>2008</v>
      </c>
      <c r="V1" s="2" t="s">
        <v>12</v>
      </c>
      <c r="W1" s="2" t="s">
        <v>13</v>
      </c>
      <c r="X1" s="2" t="s">
        <v>14</v>
      </c>
      <c r="Y1" s="3" t="s">
        <v>15</v>
      </c>
      <c r="Z1" s="2">
        <v>2009</v>
      </c>
      <c r="AA1" s="2" t="s">
        <v>16</v>
      </c>
      <c r="AB1" s="2" t="s">
        <v>17</v>
      </c>
      <c r="AC1" s="2" t="s">
        <v>18</v>
      </c>
      <c r="AD1" s="3" t="s">
        <v>19</v>
      </c>
      <c r="AE1" s="2">
        <v>2010</v>
      </c>
      <c r="AF1" s="2" t="s">
        <v>20</v>
      </c>
      <c r="AG1" s="2" t="s">
        <v>21</v>
      </c>
      <c r="AH1" s="2" t="s">
        <v>22</v>
      </c>
      <c r="AI1" s="2" t="s">
        <v>23</v>
      </c>
      <c r="AJ1" s="2">
        <v>2011</v>
      </c>
      <c r="AK1" s="2" t="s">
        <v>24</v>
      </c>
      <c r="AL1" s="2" t="s">
        <v>25</v>
      </c>
      <c r="AM1" s="2" t="s">
        <v>26</v>
      </c>
      <c r="AN1" s="2" t="s">
        <v>27</v>
      </c>
      <c r="AO1" s="2">
        <v>2012</v>
      </c>
      <c r="AP1" s="2" t="s">
        <v>28</v>
      </c>
      <c r="AQ1" s="2" t="s">
        <v>29</v>
      </c>
      <c r="AR1" s="2" t="s">
        <v>30</v>
      </c>
      <c r="AS1" s="2" t="s">
        <v>31</v>
      </c>
      <c r="AT1" s="2">
        <v>2013</v>
      </c>
      <c r="AU1" s="2" t="s">
        <v>32</v>
      </c>
      <c r="AV1" s="2" t="s">
        <v>33</v>
      </c>
      <c r="AW1" s="2" t="s">
        <v>34</v>
      </c>
      <c r="AX1" s="2" t="s">
        <v>35</v>
      </c>
      <c r="AY1" s="2">
        <v>2014</v>
      </c>
      <c r="AZ1" s="2" t="s">
        <v>36</v>
      </c>
      <c r="BA1" s="2" t="s">
        <v>37</v>
      </c>
      <c r="BB1" s="2" t="s">
        <v>38</v>
      </c>
      <c r="BC1" s="2" t="s">
        <v>39</v>
      </c>
      <c r="BD1" s="2">
        <v>2015</v>
      </c>
      <c r="BE1" s="2" t="s">
        <v>40</v>
      </c>
      <c r="BF1" s="2" t="s">
        <v>41</v>
      </c>
      <c r="BG1" s="2" t="s">
        <v>485</v>
      </c>
      <c r="BH1" s="2" t="s">
        <v>502</v>
      </c>
      <c r="BI1" s="2">
        <v>2016</v>
      </c>
      <c r="BJ1" s="2" t="s">
        <v>503</v>
      </c>
      <c r="BK1" s="2" t="s">
        <v>504</v>
      </c>
      <c r="BL1" s="2" t="s">
        <v>505</v>
      </c>
      <c r="BM1" s="2" t="s">
        <v>527</v>
      </c>
      <c r="BN1" s="2">
        <v>2017</v>
      </c>
      <c r="BO1" s="2" t="s">
        <v>42</v>
      </c>
      <c r="BP1" s="2" t="s">
        <v>43</v>
      </c>
      <c r="BQ1" s="2" t="s">
        <v>44</v>
      </c>
      <c r="BR1" s="2" t="s">
        <v>45</v>
      </c>
      <c r="BS1" s="2" t="s">
        <v>46</v>
      </c>
      <c r="BT1" s="2" t="s">
        <v>571</v>
      </c>
      <c r="BU1" s="2" t="s">
        <v>572</v>
      </c>
      <c r="BV1" s="2" t="s">
        <v>573</v>
      </c>
      <c r="BW1" s="2" t="s">
        <v>574</v>
      </c>
      <c r="BX1" s="2" t="s">
        <v>47</v>
      </c>
      <c r="BY1" s="2" t="s">
        <v>48</v>
      </c>
      <c r="BZ1" s="2" t="s">
        <v>49</v>
      </c>
      <c r="CA1" s="2" t="s">
        <v>568</v>
      </c>
      <c r="CB1" s="4"/>
    </row>
    <row r="2" spans="1:116" ht="12" customHeight="1">
      <c r="B2" s="6"/>
      <c r="Z2" s="8"/>
      <c r="CB2" s="4"/>
    </row>
    <row r="3" spans="1:116" ht="12" customHeight="1">
      <c r="A3" s="13">
        <v>2</v>
      </c>
      <c r="B3" s="6"/>
      <c r="BC3" s="14"/>
      <c r="BI3" s="15"/>
      <c r="BN3" s="1111"/>
      <c r="BO3" s="2234"/>
      <c r="BS3" s="1889"/>
      <c r="BT3" s="1889"/>
      <c r="BU3" s="1889"/>
      <c r="BV3" s="1889"/>
      <c r="BW3" s="1889"/>
      <c r="BX3" s="1889"/>
      <c r="BY3" s="2234"/>
      <c r="BZ3" s="1889"/>
      <c r="CA3" s="1889"/>
      <c r="CB3" s="4"/>
    </row>
    <row r="4" spans="1:116" ht="12" customHeight="1">
      <c r="B4" s="6"/>
      <c r="AZ4" s="16"/>
      <c r="BA4" s="16"/>
      <c r="BB4" s="16"/>
      <c r="BC4" s="16"/>
      <c r="BD4" s="5"/>
      <c r="BE4" s="16"/>
      <c r="BF4" s="16"/>
      <c r="BN4" s="1111"/>
      <c r="BO4" s="2234"/>
      <c r="BQ4" s="2065"/>
      <c r="BR4" s="2065"/>
      <c r="BS4" s="2065"/>
      <c r="BT4" s="2065"/>
      <c r="BU4" s="2065"/>
      <c r="BV4" s="2065"/>
      <c r="BW4" s="2065"/>
      <c r="BX4" s="2237"/>
      <c r="BY4" s="2237"/>
      <c r="BZ4" s="2237"/>
      <c r="CA4" s="2065"/>
      <c r="CB4" s="4"/>
      <c r="DK4" s="17" t="s">
        <v>50</v>
      </c>
      <c r="DL4" s="18"/>
    </row>
    <row r="5" spans="1:116" ht="12" customHeight="1">
      <c r="B5" s="6"/>
      <c r="AV5" s="19"/>
      <c r="AW5" s="19"/>
      <c r="AX5" s="19"/>
      <c r="AY5" s="19"/>
      <c r="AZ5" s="5"/>
      <c r="BA5" s="5"/>
      <c r="BB5" s="5"/>
      <c r="BC5" s="5"/>
      <c r="BD5" s="5"/>
      <c r="BE5" s="5"/>
      <c r="BF5" s="5"/>
      <c r="BG5" s="172"/>
      <c r="BM5" s="16"/>
      <c r="BN5" s="1171"/>
      <c r="BO5" s="20"/>
      <c r="BP5" s="1889"/>
      <c r="BQ5" s="20"/>
      <c r="BR5" s="20"/>
      <c r="BS5" s="2236"/>
      <c r="BT5" s="2236"/>
      <c r="BU5" s="2236"/>
      <c r="BV5" s="2236"/>
      <c r="BW5" s="2236"/>
      <c r="BX5" s="2239"/>
      <c r="BY5" s="1890"/>
      <c r="BZ5" s="1890"/>
      <c r="CA5" s="1890"/>
      <c r="CB5" s="4"/>
      <c r="DL5" s="18"/>
    </row>
    <row r="6" spans="1:116" ht="12" customHeight="1">
      <c r="A6" s="2292" t="s">
        <v>51</v>
      </c>
      <c r="B6" s="2292"/>
      <c r="C6" s="2292"/>
      <c r="D6" s="2292"/>
      <c r="E6" s="2292"/>
      <c r="F6" s="2292"/>
      <c r="G6" s="2292"/>
      <c r="H6" s="2292"/>
      <c r="I6" s="2292"/>
      <c r="J6" s="2292"/>
      <c r="K6" s="2292"/>
      <c r="L6" s="2292"/>
      <c r="M6" s="2292"/>
      <c r="N6" s="2292"/>
      <c r="O6" s="2292"/>
      <c r="P6" s="2292"/>
      <c r="Q6" s="2292"/>
      <c r="R6" s="2292"/>
      <c r="S6" s="2292"/>
      <c r="T6" s="2292"/>
      <c r="U6" s="2292"/>
      <c r="V6" s="2292"/>
      <c r="W6" s="2292"/>
      <c r="X6" s="2292"/>
      <c r="Y6" s="2292"/>
      <c r="Z6" s="2292"/>
      <c r="AA6" s="2292"/>
      <c r="AB6" s="2292"/>
      <c r="AC6" s="2292"/>
      <c r="AD6" s="2292"/>
      <c r="AE6" s="2292"/>
      <c r="AF6" s="2292"/>
      <c r="AG6" s="2292"/>
      <c r="AH6" s="2292"/>
      <c r="AI6" s="2292"/>
      <c r="AJ6" s="2292"/>
      <c r="AK6" s="2292"/>
      <c r="AL6" s="2292"/>
      <c r="AM6" s="2292"/>
      <c r="AN6" s="2292"/>
      <c r="AO6" s="2292"/>
      <c r="AP6" s="2292"/>
      <c r="AQ6" s="2292"/>
      <c r="AR6" s="2292"/>
      <c r="AS6" s="2292"/>
      <c r="AT6" s="2292"/>
      <c r="AU6" s="2292"/>
      <c r="AV6" s="2292"/>
      <c r="AW6" s="2292"/>
      <c r="AX6" s="2292"/>
      <c r="AY6" s="2292"/>
      <c r="AZ6" s="2292"/>
      <c r="BA6" s="2292"/>
      <c r="BB6" s="2292"/>
      <c r="BC6" s="2292"/>
      <c r="BD6" s="2292"/>
      <c r="BE6" s="2292"/>
      <c r="BF6" s="2292"/>
      <c r="BG6" s="2292"/>
      <c r="BH6" s="2292"/>
      <c r="BI6" s="2292"/>
      <c r="BJ6" s="2292"/>
      <c r="BK6" s="2292"/>
      <c r="BL6" s="2292"/>
      <c r="BM6" s="2292"/>
      <c r="BN6" s="2292"/>
      <c r="BO6" s="2292"/>
      <c r="BP6" s="2292"/>
      <c r="BQ6" s="2292"/>
      <c r="BR6" s="2292"/>
      <c r="BS6" s="2292"/>
      <c r="BT6" s="2292"/>
      <c r="BU6" s="2292"/>
      <c r="BV6" s="2292"/>
      <c r="BW6" s="2292"/>
      <c r="BX6" s="2292"/>
      <c r="BY6" s="2292"/>
      <c r="BZ6" s="21"/>
      <c r="CA6" s="2209"/>
      <c r="CB6" s="4"/>
      <c r="CD6" s="22" t="s">
        <v>52</v>
      </c>
      <c r="CE6" s="23"/>
      <c r="CF6" s="23"/>
      <c r="CG6" s="23"/>
      <c r="CH6" s="23"/>
      <c r="CI6" s="23"/>
      <c r="CJ6" s="23"/>
      <c r="CK6" s="23"/>
      <c r="CL6" s="23"/>
      <c r="CM6" s="23"/>
      <c r="CN6" s="23"/>
      <c r="CO6" s="23"/>
      <c r="CP6" s="23"/>
      <c r="CQ6" s="23"/>
      <c r="CR6" s="23"/>
      <c r="CS6" s="23"/>
      <c r="CT6" s="23"/>
      <c r="CU6" s="23"/>
      <c r="CV6" s="23"/>
      <c r="CW6" s="23"/>
      <c r="CX6" s="23"/>
      <c r="CY6" s="23"/>
      <c r="CZ6" s="23"/>
      <c r="DB6" s="23"/>
    </row>
    <row r="7" spans="1:116" ht="12" customHeight="1">
      <c r="A7" s="2293" t="s">
        <v>53</v>
      </c>
      <c r="B7" s="2293"/>
      <c r="C7" s="2293"/>
      <c r="D7" s="2293"/>
      <c r="E7" s="2293"/>
      <c r="F7" s="2293"/>
      <c r="G7" s="2293"/>
      <c r="H7" s="2293"/>
      <c r="I7" s="2293"/>
      <c r="J7" s="2293"/>
      <c r="K7" s="2293"/>
      <c r="L7" s="2293"/>
      <c r="M7" s="2293"/>
      <c r="N7" s="2293"/>
      <c r="O7" s="2293"/>
      <c r="P7" s="2293"/>
      <c r="Q7" s="2293"/>
      <c r="R7" s="2293"/>
      <c r="S7" s="2293"/>
      <c r="T7" s="2293"/>
      <c r="U7" s="2293"/>
      <c r="V7" s="2293"/>
      <c r="W7" s="2293"/>
      <c r="X7" s="2293"/>
      <c r="Y7" s="2293"/>
      <c r="Z7" s="2293"/>
      <c r="AA7" s="2293"/>
      <c r="AB7" s="2293"/>
      <c r="AC7" s="2293"/>
      <c r="AD7" s="2293"/>
      <c r="AE7" s="2293"/>
      <c r="AF7" s="2293"/>
      <c r="AG7" s="2293"/>
      <c r="AH7" s="2293"/>
      <c r="AI7" s="2293"/>
      <c r="AJ7" s="2293"/>
      <c r="AK7" s="2293"/>
      <c r="AL7" s="2293"/>
      <c r="AM7" s="2293"/>
      <c r="AN7" s="2293"/>
      <c r="AO7" s="2293"/>
      <c r="AP7" s="2293"/>
      <c r="AQ7" s="2293"/>
      <c r="AR7" s="2293"/>
      <c r="AS7" s="2293"/>
      <c r="AT7" s="2293"/>
      <c r="AU7" s="2293"/>
      <c r="AV7" s="2293"/>
      <c r="AW7" s="2293"/>
      <c r="AX7" s="2293"/>
      <c r="AY7" s="2293"/>
      <c r="AZ7" s="2293"/>
      <c r="BA7" s="2293"/>
      <c r="BB7" s="2293"/>
      <c r="BC7" s="2293"/>
      <c r="BD7" s="2293"/>
      <c r="BE7" s="2293"/>
      <c r="BF7" s="2293"/>
      <c r="BG7" s="2293"/>
      <c r="BH7" s="2293"/>
      <c r="BI7" s="2293"/>
      <c r="BJ7" s="2293"/>
      <c r="BK7" s="2293"/>
      <c r="BL7" s="2293"/>
      <c r="BM7" s="2293"/>
      <c r="BN7" s="2293"/>
      <c r="BO7" s="2293"/>
      <c r="BP7" s="2293"/>
      <c r="BQ7" s="2293"/>
      <c r="BR7" s="2293"/>
      <c r="BS7" s="2293"/>
      <c r="BT7" s="2293"/>
      <c r="BU7" s="2293"/>
      <c r="BV7" s="2293"/>
      <c r="BW7" s="2293"/>
      <c r="BX7" s="2293"/>
      <c r="BY7" s="2293"/>
      <c r="BZ7" s="24"/>
      <c r="CA7" s="2210"/>
      <c r="CB7" s="4"/>
      <c r="CD7" s="25" t="s">
        <v>54</v>
      </c>
      <c r="CE7" s="23"/>
      <c r="CF7" s="23"/>
      <c r="CG7" s="23"/>
      <c r="CH7" s="23"/>
      <c r="CI7" s="23"/>
      <c r="CJ7" s="23"/>
      <c r="CK7" s="23"/>
      <c r="CL7" s="23"/>
      <c r="CM7" s="23"/>
      <c r="CN7" s="23"/>
      <c r="CO7" s="23"/>
      <c r="CP7" s="23"/>
      <c r="CQ7" s="23"/>
      <c r="CR7" s="23"/>
      <c r="CS7" s="23"/>
      <c r="CT7" s="23"/>
      <c r="CU7" s="23"/>
      <c r="CV7" s="23"/>
      <c r="CW7" s="23"/>
      <c r="CX7" s="23"/>
      <c r="CY7" s="23"/>
      <c r="CZ7" s="23"/>
      <c r="DB7" s="23"/>
    </row>
    <row r="8" spans="1:116" ht="12" customHeight="1" thickBot="1">
      <c r="A8" s="2294" t="s">
        <v>55</v>
      </c>
      <c r="B8" s="2294"/>
      <c r="C8" s="2294"/>
      <c r="D8" s="2294"/>
      <c r="E8" s="2294"/>
      <c r="F8" s="2294"/>
      <c r="G8" s="2294"/>
      <c r="H8" s="2294"/>
      <c r="I8" s="2294"/>
      <c r="J8" s="2294"/>
      <c r="K8" s="2294"/>
      <c r="L8" s="2294"/>
      <c r="M8" s="2294"/>
      <c r="N8" s="2294"/>
      <c r="O8" s="2294"/>
      <c r="P8" s="2294"/>
      <c r="Q8" s="2294"/>
      <c r="R8" s="2294"/>
      <c r="S8" s="2294"/>
      <c r="T8" s="2294"/>
      <c r="U8" s="2294"/>
      <c r="V8" s="2294"/>
      <c r="W8" s="2294"/>
      <c r="X8" s="2294"/>
      <c r="Y8" s="2294"/>
      <c r="Z8" s="2294"/>
      <c r="AA8" s="2294"/>
      <c r="AB8" s="2294"/>
      <c r="AC8" s="2294"/>
      <c r="AD8" s="2294"/>
      <c r="AE8" s="2294"/>
      <c r="AF8" s="2294"/>
      <c r="AG8" s="2294"/>
      <c r="AH8" s="2294"/>
      <c r="AI8" s="2294"/>
      <c r="AJ8" s="2294"/>
      <c r="AK8" s="2294"/>
      <c r="AL8" s="2294"/>
      <c r="AM8" s="2294"/>
      <c r="AN8" s="2294"/>
      <c r="AO8" s="2294"/>
      <c r="AP8" s="2294"/>
      <c r="AQ8" s="2294"/>
      <c r="AR8" s="2294"/>
      <c r="AS8" s="2294"/>
      <c r="AT8" s="2294"/>
      <c r="AU8" s="2294"/>
      <c r="AV8" s="2294"/>
      <c r="AW8" s="2294"/>
      <c r="AX8" s="2294"/>
      <c r="AY8" s="2294"/>
      <c r="AZ8" s="2294"/>
      <c r="BA8" s="2294"/>
      <c r="BB8" s="2294"/>
      <c r="BC8" s="2294"/>
      <c r="BD8" s="2294"/>
      <c r="BE8" s="2294"/>
      <c r="BF8" s="2294"/>
      <c r="BG8" s="2294"/>
      <c r="BH8" s="2294"/>
      <c r="BI8" s="2294"/>
      <c r="BJ8" s="2294"/>
      <c r="BK8" s="2294"/>
      <c r="BL8" s="2294"/>
      <c r="BM8" s="2294"/>
      <c r="BN8" s="2294"/>
      <c r="BO8" s="2294"/>
      <c r="BP8" s="2294"/>
      <c r="BQ8" s="2294"/>
      <c r="BR8" s="2294"/>
      <c r="BS8" s="2294"/>
      <c r="BT8" s="2294"/>
      <c r="BU8" s="2294"/>
      <c r="BV8" s="2294"/>
      <c r="BW8" s="2294"/>
      <c r="BX8" s="2294"/>
      <c r="BY8" s="2294"/>
      <c r="BZ8" s="26"/>
      <c r="CA8" s="26"/>
      <c r="CB8" s="27" t="s">
        <v>56</v>
      </c>
      <c r="CD8" s="28" t="s">
        <v>55</v>
      </c>
      <c r="CE8" s="29"/>
      <c r="CF8" s="29"/>
      <c r="CG8" s="29"/>
      <c r="CH8" s="29"/>
      <c r="CI8" s="29"/>
      <c r="CJ8" s="29"/>
      <c r="CK8" s="29"/>
      <c r="CL8" s="29"/>
      <c r="CM8" s="29"/>
      <c r="CN8" s="29"/>
      <c r="CO8" s="29"/>
      <c r="CP8" s="29"/>
      <c r="CQ8" s="29"/>
      <c r="CR8" s="29"/>
      <c r="CS8" s="29"/>
      <c r="CT8" s="29"/>
      <c r="CU8" s="29"/>
      <c r="CV8" s="29"/>
      <c r="CW8" s="29"/>
      <c r="CX8" s="29"/>
      <c r="CY8" s="29"/>
      <c r="CZ8" s="29"/>
      <c r="DB8" s="29"/>
    </row>
    <row r="9" spans="1:116">
      <c r="A9" s="30" t="s">
        <v>559</v>
      </c>
      <c r="B9" s="31">
        <f>B1</f>
        <v>2001</v>
      </c>
      <c r="C9" s="31">
        <f t="shared" ref="C9:BN9" si="0">C1</f>
        <v>2002</v>
      </c>
      <c r="D9" s="31">
        <f t="shared" si="0"/>
        <v>2003</v>
      </c>
      <c r="E9" s="31">
        <f t="shared" si="0"/>
        <v>2004</v>
      </c>
      <c r="F9" s="31">
        <f t="shared" si="0"/>
        <v>2005</v>
      </c>
      <c r="G9" s="32" t="str">
        <f t="shared" si="0"/>
        <v>1Q06</v>
      </c>
      <c r="H9" s="32" t="str">
        <f t="shared" si="0"/>
        <v>2Q06</v>
      </c>
      <c r="I9" s="32" t="str">
        <f t="shared" si="0"/>
        <v>3Q06</v>
      </c>
      <c r="J9" s="32" t="str">
        <f t="shared" si="0"/>
        <v>4Q06</v>
      </c>
      <c r="K9" s="31">
        <f t="shared" si="0"/>
        <v>2006</v>
      </c>
      <c r="L9" s="32" t="str">
        <f t="shared" si="0"/>
        <v>1Q07</v>
      </c>
      <c r="M9" s="32" t="str">
        <f t="shared" si="0"/>
        <v>2Q07</v>
      </c>
      <c r="N9" s="32" t="str">
        <f t="shared" si="0"/>
        <v>3Q07</v>
      </c>
      <c r="O9" s="32" t="str">
        <f t="shared" si="0"/>
        <v>4Q07</v>
      </c>
      <c r="P9" s="31">
        <f t="shared" si="0"/>
        <v>2007</v>
      </c>
      <c r="Q9" s="32" t="str">
        <f t="shared" si="0"/>
        <v>1Q08</v>
      </c>
      <c r="R9" s="32" t="str">
        <f t="shared" si="0"/>
        <v>2Q08</v>
      </c>
      <c r="S9" s="32" t="str">
        <f t="shared" si="0"/>
        <v>3Q08</v>
      </c>
      <c r="T9" s="32" t="str">
        <f t="shared" si="0"/>
        <v>4Q08</v>
      </c>
      <c r="U9" s="31">
        <f t="shared" si="0"/>
        <v>2008</v>
      </c>
      <c r="V9" s="33" t="str">
        <f t="shared" si="0"/>
        <v>1Q09</v>
      </c>
      <c r="W9" s="33" t="str">
        <f t="shared" si="0"/>
        <v>2Q09</v>
      </c>
      <c r="X9" s="33" t="str">
        <f t="shared" si="0"/>
        <v>3Q09</v>
      </c>
      <c r="Y9" s="33" t="str">
        <f t="shared" si="0"/>
        <v>4Q09</v>
      </c>
      <c r="Z9" s="31">
        <f t="shared" si="0"/>
        <v>2009</v>
      </c>
      <c r="AA9" s="33" t="str">
        <f t="shared" si="0"/>
        <v>1Q10</v>
      </c>
      <c r="AB9" s="33" t="str">
        <f t="shared" si="0"/>
        <v>2Q10</v>
      </c>
      <c r="AC9" s="33" t="str">
        <f t="shared" si="0"/>
        <v>3Q10</v>
      </c>
      <c r="AD9" s="33" t="str">
        <f t="shared" si="0"/>
        <v>4Q10</v>
      </c>
      <c r="AE9" s="31">
        <f t="shared" si="0"/>
        <v>2010</v>
      </c>
      <c r="AF9" s="33" t="str">
        <f t="shared" si="0"/>
        <v>1Q11</v>
      </c>
      <c r="AG9" s="33" t="str">
        <f t="shared" si="0"/>
        <v>2Q11</v>
      </c>
      <c r="AH9" s="33" t="str">
        <f t="shared" si="0"/>
        <v>3Q11</v>
      </c>
      <c r="AI9" s="33" t="str">
        <f t="shared" si="0"/>
        <v>4Q11</v>
      </c>
      <c r="AJ9" s="31">
        <f t="shared" si="0"/>
        <v>2011</v>
      </c>
      <c r="AK9" s="33" t="str">
        <f t="shared" si="0"/>
        <v>1Q12</v>
      </c>
      <c r="AL9" s="33" t="str">
        <f t="shared" si="0"/>
        <v>2Q12</v>
      </c>
      <c r="AM9" s="33" t="str">
        <f t="shared" si="0"/>
        <v>3Q12</v>
      </c>
      <c r="AN9" s="33" t="str">
        <f t="shared" si="0"/>
        <v>4Q12</v>
      </c>
      <c r="AO9" s="31">
        <f t="shared" si="0"/>
        <v>2012</v>
      </c>
      <c r="AP9" s="33" t="str">
        <f t="shared" si="0"/>
        <v>1Q13</v>
      </c>
      <c r="AQ9" s="33" t="str">
        <f t="shared" si="0"/>
        <v>2Q13</v>
      </c>
      <c r="AR9" s="33" t="str">
        <f t="shared" si="0"/>
        <v>3Q13</v>
      </c>
      <c r="AS9" s="33" t="str">
        <f t="shared" si="0"/>
        <v>4Q13</v>
      </c>
      <c r="AT9" s="31">
        <f t="shared" si="0"/>
        <v>2013</v>
      </c>
      <c r="AU9" s="34" t="str">
        <f>AU1</f>
        <v>1Q14</v>
      </c>
      <c r="AV9" s="33" t="str">
        <f>AV1</f>
        <v>2Q14</v>
      </c>
      <c r="AW9" s="33" t="str">
        <f>AW1</f>
        <v>3Q14</v>
      </c>
      <c r="AX9" s="33" t="str">
        <f>AX1</f>
        <v>4Q14</v>
      </c>
      <c r="AY9" s="31">
        <f t="shared" si="0"/>
        <v>2014</v>
      </c>
      <c r="AZ9" s="33" t="str">
        <f t="shared" si="0"/>
        <v>1Q15</v>
      </c>
      <c r="BA9" s="33" t="str">
        <f t="shared" si="0"/>
        <v>2Q15</v>
      </c>
      <c r="BB9" s="33" t="str">
        <f t="shared" si="0"/>
        <v>3Q15</v>
      </c>
      <c r="BC9" s="33" t="str">
        <f t="shared" si="0"/>
        <v>4Q15</v>
      </c>
      <c r="BD9" s="31">
        <f t="shared" si="0"/>
        <v>2015</v>
      </c>
      <c r="BE9" s="33" t="str">
        <f t="shared" si="0"/>
        <v>1Q16</v>
      </c>
      <c r="BF9" s="35" t="str">
        <f t="shared" si="0"/>
        <v>2Q16</v>
      </c>
      <c r="BG9" s="35" t="str">
        <f t="shared" si="0"/>
        <v>3Q16</v>
      </c>
      <c r="BH9" s="33" t="str">
        <f t="shared" si="0"/>
        <v>4Q16</v>
      </c>
      <c r="BI9" s="36">
        <f t="shared" si="0"/>
        <v>2016</v>
      </c>
      <c r="BJ9" s="35" t="str">
        <f t="shared" si="0"/>
        <v>1Q17</v>
      </c>
      <c r="BK9" s="35" t="str">
        <f t="shared" si="0"/>
        <v>2Q17</v>
      </c>
      <c r="BL9" s="35" t="str">
        <f t="shared" si="0"/>
        <v>3Q17</v>
      </c>
      <c r="BM9" s="35" t="str">
        <f t="shared" si="0"/>
        <v>4Q17</v>
      </c>
      <c r="BN9" s="36">
        <f t="shared" si="0"/>
        <v>2017</v>
      </c>
      <c r="BO9" s="35" t="str">
        <f t="shared" ref="BO9:BZ9" si="1">BO1</f>
        <v>1Q18E</v>
      </c>
      <c r="BP9" s="35" t="str">
        <f t="shared" si="1"/>
        <v>2Q18E</v>
      </c>
      <c r="BQ9" s="35" t="str">
        <f t="shared" si="1"/>
        <v>3Q18E</v>
      </c>
      <c r="BR9" s="35" t="str">
        <f t="shared" si="1"/>
        <v>4Q18E</v>
      </c>
      <c r="BS9" s="36" t="str">
        <f t="shared" si="1"/>
        <v>2018E</v>
      </c>
      <c r="BT9" s="35" t="str">
        <f t="shared" si="1"/>
        <v>1Q19E</v>
      </c>
      <c r="BU9" s="35" t="str">
        <f t="shared" si="1"/>
        <v>2Q19E</v>
      </c>
      <c r="BV9" s="35" t="str">
        <f t="shared" si="1"/>
        <v>3Q19E</v>
      </c>
      <c r="BW9" s="35" t="str">
        <f t="shared" si="1"/>
        <v>4Q19E</v>
      </c>
      <c r="BX9" s="36" t="str">
        <f t="shared" si="1"/>
        <v>2019E</v>
      </c>
      <c r="BY9" s="37" t="str">
        <f t="shared" si="1"/>
        <v>2020E</v>
      </c>
      <c r="BZ9" s="37" t="str">
        <f t="shared" si="1"/>
        <v>2021E</v>
      </c>
      <c r="CA9" s="37" t="str">
        <f t="shared" ref="CA9" si="2">CA1</f>
        <v>2022E</v>
      </c>
      <c r="CB9" s="38" t="s">
        <v>576</v>
      </c>
      <c r="CD9" s="39" t="str">
        <f t="shared" ref="CD9:CI9" si="3">A9</f>
        <v xml:space="preserve"> </v>
      </c>
      <c r="CE9" s="40">
        <f t="shared" si="3"/>
        <v>2001</v>
      </c>
      <c r="CF9" s="40">
        <f t="shared" si="3"/>
        <v>2002</v>
      </c>
      <c r="CG9" s="40">
        <f t="shared" si="3"/>
        <v>2003</v>
      </c>
      <c r="CH9" s="40">
        <f t="shared" si="3"/>
        <v>2004</v>
      </c>
      <c r="CI9" s="40">
        <f t="shared" si="3"/>
        <v>2005</v>
      </c>
      <c r="CJ9" s="40">
        <f>K9</f>
        <v>2006</v>
      </c>
      <c r="CK9" s="40">
        <f>P9</f>
        <v>2007</v>
      </c>
      <c r="CL9" s="40">
        <f>U9</f>
        <v>2008</v>
      </c>
      <c r="CM9" s="40">
        <f>Z9</f>
        <v>2009</v>
      </c>
      <c r="CN9" s="40">
        <f>AE9</f>
        <v>2010</v>
      </c>
      <c r="CO9" s="40">
        <f>AJ9</f>
        <v>2011</v>
      </c>
      <c r="CP9" s="40">
        <f>AO9</f>
        <v>2012</v>
      </c>
      <c r="CQ9" s="40">
        <f>AT9</f>
        <v>2013</v>
      </c>
      <c r="CR9" s="40">
        <f>AY9</f>
        <v>2014</v>
      </c>
      <c r="CS9" s="40">
        <f>BD9</f>
        <v>2015</v>
      </c>
      <c r="CT9" s="40">
        <f>BI9</f>
        <v>2016</v>
      </c>
      <c r="CU9" s="40">
        <f>BN9</f>
        <v>2017</v>
      </c>
      <c r="CV9" s="40" t="str">
        <f>BS9</f>
        <v>2018E</v>
      </c>
      <c r="CW9" s="40" t="str">
        <f>BX9</f>
        <v>2019E</v>
      </c>
      <c r="CX9" s="40" t="str">
        <f>BY9</f>
        <v>2020E</v>
      </c>
      <c r="CY9" s="40" t="str">
        <f>BZ9</f>
        <v>2021E</v>
      </c>
      <c r="CZ9" s="41" t="str">
        <f>CA9</f>
        <v>2022E</v>
      </c>
      <c r="DA9" s="42"/>
      <c r="DB9" s="43" t="s">
        <v>58</v>
      </c>
    </row>
    <row r="10" spans="1:116" ht="12" hidden="1" customHeight="1" outlineLevel="1">
      <c r="A10" s="44" t="s">
        <v>59</v>
      </c>
      <c r="B10" s="45"/>
      <c r="C10" s="45"/>
      <c r="D10" s="45"/>
      <c r="E10" s="45"/>
      <c r="F10" s="45"/>
      <c r="G10" s="46"/>
      <c r="H10" s="47"/>
      <c r="I10" s="47"/>
      <c r="J10" s="47"/>
      <c r="K10" s="45"/>
      <c r="L10" s="47"/>
      <c r="M10" s="47"/>
      <c r="N10" s="47"/>
      <c r="O10" s="47"/>
      <c r="P10" s="45"/>
      <c r="Q10" s="47"/>
      <c r="R10" s="47"/>
      <c r="S10" s="47"/>
      <c r="T10" s="47"/>
      <c r="U10" s="45"/>
      <c r="V10" s="47"/>
      <c r="W10" s="47"/>
      <c r="X10" s="47"/>
      <c r="Y10" s="47"/>
      <c r="Z10" s="48"/>
      <c r="AA10" s="49"/>
      <c r="AB10" s="49"/>
      <c r="AC10" s="49"/>
      <c r="AD10" s="49"/>
      <c r="AE10" s="48"/>
      <c r="AF10" s="49"/>
      <c r="AG10" s="49"/>
      <c r="AH10" s="49"/>
      <c r="AI10" s="49"/>
      <c r="AJ10" s="48"/>
      <c r="AK10" s="49"/>
      <c r="AL10" s="49"/>
      <c r="AM10" s="49"/>
      <c r="AN10" s="49"/>
      <c r="AO10" s="48"/>
      <c r="AP10" s="49"/>
      <c r="AQ10" s="49"/>
      <c r="AR10" s="49"/>
      <c r="AS10" s="49"/>
      <c r="AT10" s="48"/>
      <c r="AU10" s="50"/>
      <c r="AV10" s="49"/>
      <c r="AW10" s="51"/>
      <c r="AX10" s="51"/>
      <c r="AY10" s="48"/>
      <c r="AZ10" s="52"/>
      <c r="BA10" s="52"/>
      <c r="BB10" s="52"/>
      <c r="BC10" s="51"/>
      <c r="BD10" s="48"/>
      <c r="BE10" s="52"/>
      <c r="BF10" s="53"/>
      <c r="BG10" s="53"/>
      <c r="BH10" s="51"/>
      <c r="BI10" s="54"/>
      <c r="BJ10" s="53"/>
      <c r="BK10" s="53"/>
      <c r="BL10" s="53"/>
      <c r="BM10" s="53"/>
      <c r="BN10" s="54"/>
      <c r="BO10" s="53"/>
      <c r="BP10" s="53"/>
      <c r="BQ10" s="53"/>
      <c r="BR10" s="53"/>
      <c r="BS10" s="54"/>
      <c r="BT10" s="53"/>
      <c r="BU10" s="53"/>
      <c r="BV10" s="53"/>
      <c r="BW10" s="53"/>
      <c r="BX10" s="54"/>
      <c r="BY10" s="55"/>
      <c r="BZ10" s="55"/>
      <c r="CA10" s="55"/>
      <c r="CB10" s="56"/>
      <c r="CD10" s="57" t="str">
        <f>A10</f>
        <v>Revenues</v>
      </c>
      <c r="CE10" s="46"/>
      <c r="CF10" s="46"/>
      <c r="CG10" s="46"/>
      <c r="CH10" s="46"/>
      <c r="CI10" s="46"/>
      <c r="CJ10" s="46"/>
      <c r="CK10" s="46"/>
      <c r="CL10" s="46"/>
      <c r="CM10" s="46"/>
      <c r="CN10" s="46"/>
      <c r="CO10" s="46"/>
      <c r="CP10" s="46"/>
      <c r="CQ10" s="46"/>
      <c r="CR10" s="46"/>
      <c r="CS10" s="46"/>
      <c r="CT10" s="46"/>
      <c r="CU10" s="46"/>
      <c r="CV10" s="46"/>
      <c r="CW10" s="46"/>
      <c r="CX10" s="46"/>
      <c r="CY10" s="46"/>
      <c r="CZ10" s="44"/>
      <c r="DA10" s="58"/>
      <c r="DB10" s="59"/>
    </row>
    <row r="11" spans="1:116" s="70" customFormat="1" ht="12" hidden="1" customHeight="1" outlineLevel="1">
      <c r="A11" s="60" t="s">
        <v>60</v>
      </c>
      <c r="B11" s="61">
        <f t="shared" ref="B11:G11" si="4">B195</f>
        <v>2433.402</v>
      </c>
      <c r="C11" s="61">
        <f t="shared" si="4"/>
        <v>2389.77</v>
      </c>
      <c r="D11" s="61">
        <f t="shared" si="4"/>
        <v>2477.0259999999998</v>
      </c>
      <c r="E11" s="61">
        <f t="shared" si="4"/>
        <v>2460.2739999999999</v>
      </c>
      <c r="F11" s="61">
        <f t="shared" si="4"/>
        <v>2536.422</v>
      </c>
      <c r="G11" s="62">
        <f t="shared" si="4"/>
        <v>302.61900000000003</v>
      </c>
      <c r="H11" s="63">
        <v>567.92999999999995</v>
      </c>
      <c r="I11" s="63">
        <f>I195</f>
        <v>1069.0920000000001</v>
      </c>
      <c r="J11" s="63">
        <f>J195</f>
        <v>503.14199999999983</v>
      </c>
      <c r="K11" s="61">
        <f>SUM(G11:J11)</f>
        <v>2442.7829999999999</v>
      </c>
      <c r="L11" s="63">
        <f t="shared" ref="L11:S11" si="5">L195</f>
        <v>312.36900000000003</v>
      </c>
      <c r="M11" s="63">
        <f t="shared" si="5"/>
        <v>605.37300000000005</v>
      </c>
      <c r="N11" s="63">
        <f t="shared" si="5"/>
        <v>1167.288</v>
      </c>
      <c r="O11" s="63">
        <f t="shared" si="5"/>
        <v>519.40199999999959</v>
      </c>
      <c r="P11" s="61">
        <f>SUM(L11:O11)</f>
        <v>2604.4319999999998</v>
      </c>
      <c r="Q11" s="63">
        <f t="shared" si="5"/>
        <v>317.64299999999997</v>
      </c>
      <c r="R11" s="63">
        <f t="shared" si="5"/>
        <v>634.11199999999997</v>
      </c>
      <c r="S11" s="63">
        <f t="shared" si="5"/>
        <v>1136.462</v>
      </c>
      <c r="T11" s="63">
        <f>T195</f>
        <v>494.33599999999996</v>
      </c>
      <c r="U11" s="61">
        <f>SUM(Q11:T11)</f>
        <v>2582.5529999999994</v>
      </c>
      <c r="V11" s="63">
        <f>V195</f>
        <v>289.39800000000002</v>
      </c>
      <c r="W11" s="63">
        <f>W195</f>
        <v>525.81299999999999</v>
      </c>
      <c r="X11" s="63">
        <f>X195</f>
        <v>1013.213</v>
      </c>
      <c r="Y11" s="63">
        <f>Y195</f>
        <v>533.81100000000015</v>
      </c>
      <c r="Z11" s="61">
        <f>SUM(V11:Y11)</f>
        <v>2362.2350000000001</v>
      </c>
      <c r="AA11" s="63">
        <f t="shared" ref="AA11:AH11" si="6">AA195</f>
        <v>310.8</v>
      </c>
      <c r="AB11" s="63">
        <f t="shared" si="6"/>
        <v>545</v>
      </c>
      <c r="AC11" s="63">
        <f t="shared" si="6"/>
        <v>1058.4000000000001</v>
      </c>
      <c r="AD11" s="63">
        <f t="shared" si="6"/>
        <v>497.09300000000007</v>
      </c>
      <c r="AE11" s="61">
        <f>SUM(AA11:AD11)</f>
        <v>2411.2930000000001</v>
      </c>
      <c r="AF11" s="63">
        <f t="shared" si="6"/>
        <v>298</v>
      </c>
      <c r="AG11" s="63">
        <f t="shared" si="6"/>
        <v>523</v>
      </c>
      <c r="AH11" s="63">
        <f t="shared" si="6"/>
        <v>940.5</v>
      </c>
      <c r="AI11" s="63">
        <f>AI195</f>
        <v>513.5</v>
      </c>
      <c r="AJ11" s="61">
        <f>SUM(AF11:AI11)</f>
        <v>2275</v>
      </c>
      <c r="AK11" s="63"/>
      <c r="AL11" s="63"/>
      <c r="AM11" s="63"/>
      <c r="AN11" s="63"/>
      <c r="AO11" s="61"/>
      <c r="AP11" s="63"/>
      <c r="AQ11" s="63"/>
      <c r="AR11" s="63"/>
      <c r="AS11" s="63"/>
      <c r="AT11" s="61"/>
      <c r="AU11" s="64"/>
      <c r="AV11" s="63"/>
      <c r="AW11" s="62"/>
      <c r="AX11" s="65"/>
      <c r="AY11" s="61"/>
      <c r="AZ11" s="65"/>
      <c r="BA11" s="65"/>
      <c r="BB11" s="65"/>
      <c r="BC11" s="65"/>
      <c r="BD11" s="61"/>
      <c r="BE11" s="65"/>
      <c r="BF11" s="66"/>
      <c r="BG11" s="66"/>
      <c r="BH11" s="65"/>
      <c r="BI11" s="67"/>
      <c r="BJ11" s="66"/>
      <c r="BK11" s="66"/>
      <c r="BL11" s="66"/>
      <c r="BM11" s="66"/>
      <c r="BN11" s="67"/>
      <c r="BO11" s="66"/>
      <c r="BP11" s="66"/>
      <c r="BQ11" s="66"/>
      <c r="BR11" s="66"/>
      <c r="BS11" s="67"/>
      <c r="BT11" s="66"/>
      <c r="BU11" s="66"/>
      <c r="BV11" s="66"/>
      <c r="BW11" s="66"/>
      <c r="BX11" s="67"/>
      <c r="BY11" s="68"/>
      <c r="BZ11" s="68"/>
      <c r="CA11" s="68"/>
      <c r="CB11" s="69"/>
      <c r="CC11" s="1359"/>
      <c r="CD11" s="71" t="str">
        <f>A11</f>
        <v>Product</v>
      </c>
      <c r="CE11" s="72">
        <f t="shared" ref="CE11:CI12" si="7">B11</f>
        <v>2433.402</v>
      </c>
      <c r="CF11" s="72">
        <f t="shared" si="7"/>
        <v>2389.77</v>
      </c>
      <c r="CG11" s="72">
        <f t="shared" si="7"/>
        <v>2477.0259999999998</v>
      </c>
      <c r="CH11" s="72">
        <f t="shared" si="7"/>
        <v>2460.2739999999999</v>
      </c>
      <c r="CI11" s="72">
        <f t="shared" si="7"/>
        <v>2536.422</v>
      </c>
      <c r="CJ11" s="72">
        <f>K11</f>
        <v>2442.7829999999999</v>
      </c>
      <c r="CK11" s="72">
        <f>P11</f>
        <v>2604.4319999999998</v>
      </c>
      <c r="CL11" s="72">
        <f>U11</f>
        <v>2582.5529999999994</v>
      </c>
      <c r="CM11" s="72">
        <f>Z11</f>
        <v>2362.2350000000001</v>
      </c>
      <c r="CN11" s="72">
        <f>AE11</f>
        <v>2411.2930000000001</v>
      </c>
      <c r="CO11" s="72">
        <f>AJ11</f>
        <v>2275</v>
      </c>
      <c r="CP11" s="72"/>
      <c r="CQ11" s="72"/>
      <c r="CR11" s="72"/>
      <c r="CS11" s="72"/>
      <c r="CT11" s="72"/>
      <c r="CU11" s="72"/>
      <c r="CV11" s="72"/>
      <c r="CW11" s="72"/>
      <c r="CX11" s="72"/>
      <c r="CY11" s="72"/>
      <c r="CZ11" s="73"/>
      <c r="DA11" s="74"/>
      <c r="DB11" s="75"/>
      <c r="DC11"/>
      <c r="DD11"/>
      <c r="DE11"/>
      <c r="DF11"/>
      <c r="DG11"/>
      <c r="DH11"/>
    </row>
    <row r="12" spans="1:116" s="82" customFormat="1" ht="12" hidden="1" customHeight="1" outlineLevel="1">
      <c r="A12" s="76" t="s">
        <v>61</v>
      </c>
      <c r="B12" s="45">
        <f t="shared" ref="B12:J12" si="8">B198</f>
        <v>2212.1329999999998</v>
      </c>
      <c r="C12" s="45">
        <f t="shared" si="8"/>
        <v>2250.4140000000002</v>
      </c>
      <c r="D12" s="45">
        <f t="shared" si="8"/>
        <v>2413.2939999999999</v>
      </c>
      <c r="E12" s="45">
        <f t="shared" si="8"/>
        <v>2790.2640000000001</v>
      </c>
      <c r="F12" s="45">
        <f t="shared" si="8"/>
        <v>3467.22</v>
      </c>
      <c r="G12" s="46">
        <f t="shared" si="8"/>
        <v>838.06</v>
      </c>
      <c r="H12" s="47">
        <f t="shared" si="8"/>
        <v>959.61300000000006</v>
      </c>
      <c r="I12" s="47">
        <f t="shared" si="8"/>
        <v>923.47799999999995</v>
      </c>
      <c r="J12" s="47">
        <f t="shared" si="8"/>
        <v>1091.2040000000002</v>
      </c>
      <c r="K12" s="45">
        <f>SUM(G12:J12)</f>
        <v>3812.355</v>
      </c>
      <c r="L12" s="47">
        <f t="shared" ref="L12:Y12" si="9">L198</f>
        <v>984.04899999999998</v>
      </c>
      <c r="M12" s="47">
        <f t="shared" si="9"/>
        <v>1112.806</v>
      </c>
      <c r="N12" s="47">
        <f t="shared" si="9"/>
        <v>1020.708</v>
      </c>
      <c r="O12" s="47">
        <f t="shared" si="9"/>
        <v>1050.2860000000001</v>
      </c>
      <c r="P12" s="45">
        <f>SUM(L12:O12)</f>
        <v>4167.8490000000002</v>
      </c>
      <c r="Q12" s="47">
        <f t="shared" si="9"/>
        <v>900.22799999999995</v>
      </c>
      <c r="R12" s="47">
        <f t="shared" si="9"/>
        <v>1039.1130000000001</v>
      </c>
      <c r="S12" s="47">
        <f t="shared" si="9"/>
        <v>912.07899999999995</v>
      </c>
      <c r="T12" s="47">
        <f t="shared" si="9"/>
        <v>921.08199999999988</v>
      </c>
      <c r="U12" s="45">
        <f>SUM(Q12:T12)</f>
        <v>3772.502</v>
      </c>
      <c r="V12" s="47">
        <f t="shared" si="9"/>
        <v>858.80899999999997</v>
      </c>
      <c r="W12" s="47">
        <f t="shared" si="9"/>
        <v>939.36699999999996</v>
      </c>
      <c r="X12" s="47">
        <f t="shared" si="9"/>
        <v>862.69</v>
      </c>
      <c r="Y12" s="47">
        <f t="shared" si="9"/>
        <v>928.68100000000004</v>
      </c>
      <c r="Z12" s="45">
        <f>SUM(V12:Y12)</f>
        <v>3589.547</v>
      </c>
      <c r="AA12" s="47">
        <f t="shared" ref="AA12:AH12" si="10">AA198</f>
        <v>879.6</v>
      </c>
      <c r="AB12" s="47">
        <f t="shared" si="10"/>
        <v>929.1</v>
      </c>
      <c r="AC12" s="47">
        <f t="shared" si="10"/>
        <v>897.8</v>
      </c>
      <c r="AD12" s="47">
        <f t="shared" si="10"/>
        <v>1050.538</v>
      </c>
      <c r="AE12" s="45">
        <f>SUM(AA12:AD12)</f>
        <v>3757.038</v>
      </c>
      <c r="AF12" s="47">
        <f t="shared" si="10"/>
        <v>963</v>
      </c>
      <c r="AG12" s="47">
        <f t="shared" si="10"/>
        <v>1034</v>
      </c>
      <c r="AH12" s="47">
        <f t="shared" si="10"/>
        <v>967.5</v>
      </c>
      <c r="AI12" s="47">
        <f>AI198</f>
        <v>1006.5</v>
      </c>
      <c r="AJ12" s="45">
        <f>SUM(AF12:AI12)</f>
        <v>3971</v>
      </c>
      <c r="AK12" s="47"/>
      <c r="AL12" s="47"/>
      <c r="AM12" s="47"/>
      <c r="AN12" s="47"/>
      <c r="AO12" s="45"/>
      <c r="AP12" s="47"/>
      <c r="AQ12" s="47"/>
      <c r="AR12" s="47"/>
      <c r="AS12" s="47"/>
      <c r="AT12" s="45"/>
      <c r="AU12" s="57"/>
      <c r="AV12" s="47"/>
      <c r="AW12" s="46"/>
      <c r="AX12" s="77"/>
      <c r="AY12" s="45"/>
      <c r="AZ12" s="77"/>
      <c r="BA12" s="77"/>
      <c r="BB12" s="77"/>
      <c r="BC12" s="77"/>
      <c r="BD12" s="45"/>
      <c r="BE12" s="77"/>
      <c r="BF12" s="78"/>
      <c r="BG12" s="78"/>
      <c r="BH12" s="77"/>
      <c r="BI12" s="79"/>
      <c r="BJ12" s="78"/>
      <c r="BK12" s="78"/>
      <c r="BL12" s="78"/>
      <c r="BM12" s="78"/>
      <c r="BN12" s="79"/>
      <c r="BO12" s="78"/>
      <c r="BP12" s="78"/>
      <c r="BQ12" s="78"/>
      <c r="BR12" s="78"/>
      <c r="BS12" s="79"/>
      <c r="BT12" s="78"/>
      <c r="BU12" s="78"/>
      <c r="BV12" s="78"/>
      <c r="BW12" s="78"/>
      <c r="BX12" s="79"/>
      <c r="BY12" s="80"/>
      <c r="BZ12" s="80"/>
      <c r="CA12" s="80"/>
      <c r="CB12" s="81"/>
      <c r="CC12" s="1360"/>
      <c r="CD12" s="83" t="str">
        <f>A12</f>
        <v>Service</v>
      </c>
      <c r="CE12" s="84">
        <f t="shared" si="7"/>
        <v>2212.1329999999998</v>
      </c>
      <c r="CF12" s="84">
        <f t="shared" si="7"/>
        <v>2250.4140000000002</v>
      </c>
      <c r="CG12" s="84">
        <f t="shared" si="7"/>
        <v>2413.2939999999999</v>
      </c>
      <c r="CH12" s="84">
        <f t="shared" si="7"/>
        <v>2790.2640000000001</v>
      </c>
      <c r="CI12" s="84">
        <f t="shared" si="7"/>
        <v>3467.22</v>
      </c>
      <c r="CJ12" s="84">
        <f>K12</f>
        <v>3812.355</v>
      </c>
      <c r="CK12" s="84">
        <f>P12</f>
        <v>4167.8490000000002</v>
      </c>
      <c r="CL12" s="84">
        <f>U12</f>
        <v>3772.502</v>
      </c>
      <c r="CM12" s="84">
        <f>Z12</f>
        <v>3589.547</v>
      </c>
      <c r="CN12" s="84">
        <f>AE12</f>
        <v>3757.038</v>
      </c>
      <c r="CO12" s="84">
        <f>AJ12</f>
        <v>3971</v>
      </c>
      <c r="CP12" s="84"/>
      <c r="CQ12" s="84"/>
      <c r="CR12" s="84"/>
      <c r="CS12" s="84"/>
      <c r="CT12" s="84"/>
      <c r="CU12" s="84"/>
      <c r="CV12" s="84"/>
      <c r="CW12" s="84"/>
      <c r="CX12" s="84"/>
      <c r="CY12" s="84"/>
      <c r="CZ12" s="85"/>
      <c r="DA12" s="86"/>
      <c r="DB12" s="87"/>
      <c r="DC12"/>
      <c r="DD12"/>
      <c r="DE12"/>
      <c r="DF12"/>
      <c r="DG12"/>
      <c r="DH12"/>
    </row>
    <row r="13" spans="1:116" ht="5.25" hidden="1" customHeight="1" outlineLevel="1">
      <c r="A13" s="88"/>
      <c r="B13" s="89" t="s">
        <v>62</v>
      </c>
      <c r="C13" s="89" t="s">
        <v>62</v>
      </c>
      <c r="D13" s="89" t="s">
        <v>62</v>
      </c>
      <c r="E13" s="89" t="s">
        <v>62</v>
      </c>
      <c r="F13" s="89" t="s">
        <v>62</v>
      </c>
      <c r="G13" s="90" t="s">
        <v>62</v>
      </c>
      <c r="H13" s="90" t="s">
        <v>62</v>
      </c>
      <c r="I13" s="90" t="s">
        <v>62</v>
      </c>
      <c r="J13" s="90" t="s">
        <v>62</v>
      </c>
      <c r="K13" s="89" t="s">
        <v>62</v>
      </c>
      <c r="L13" s="90" t="s">
        <v>62</v>
      </c>
      <c r="M13" s="90" t="s">
        <v>62</v>
      </c>
      <c r="N13" s="90" t="s">
        <v>62</v>
      </c>
      <c r="O13" s="90" t="s">
        <v>62</v>
      </c>
      <c r="P13" s="89" t="s">
        <v>62</v>
      </c>
      <c r="Q13" s="90" t="s">
        <v>62</v>
      </c>
      <c r="R13" s="90" t="s">
        <v>62</v>
      </c>
      <c r="S13" s="90" t="s">
        <v>62</v>
      </c>
      <c r="T13" s="90" t="s">
        <v>62</v>
      </c>
      <c r="U13" s="89" t="s">
        <v>62</v>
      </c>
      <c r="V13" s="90" t="s">
        <v>62</v>
      </c>
      <c r="W13" s="90" t="s">
        <v>62</v>
      </c>
      <c r="X13" s="90" t="s">
        <v>62</v>
      </c>
      <c r="Y13" s="90" t="s">
        <v>62</v>
      </c>
      <c r="Z13" s="91" t="s">
        <v>62</v>
      </c>
      <c r="AA13" s="92" t="s">
        <v>62</v>
      </c>
      <c r="AB13" s="92" t="s">
        <v>62</v>
      </c>
      <c r="AC13" s="92" t="s">
        <v>62</v>
      </c>
      <c r="AD13" s="92" t="s">
        <v>62</v>
      </c>
      <c r="AE13" s="91" t="s">
        <v>62</v>
      </c>
      <c r="AF13" s="92" t="s">
        <v>62</v>
      </c>
      <c r="AG13" s="92" t="s">
        <v>62</v>
      </c>
      <c r="AH13" s="92" t="s">
        <v>62</v>
      </c>
      <c r="AI13" s="92" t="s">
        <v>62</v>
      </c>
      <c r="AJ13" s="93" t="s">
        <v>62</v>
      </c>
      <c r="AK13" s="92" t="s">
        <v>62</v>
      </c>
      <c r="AL13" s="92" t="s">
        <v>62</v>
      </c>
      <c r="AM13" s="92" t="s">
        <v>62</v>
      </c>
      <c r="AN13" s="92" t="s">
        <v>62</v>
      </c>
      <c r="AO13" s="91" t="s">
        <v>62</v>
      </c>
      <c r="AP13" s="92" t="s">
        <v>62</v>
      </c>
      <c r="AQ13" s="92" t="s">
        <v>62</v>
      </c>
      <c r="AR13" s="92" t="s">
        <v>62</v>
      </c>
      <c r="AS13" s="92" t="s">
        <v>62</v>
      </c>
      <c r="AT13" s="91" t="s">
        <v>62</v>
      </c>
      <c r="AU13" s="94" t="s">
        <v>62</v>
      </c>
      <c r="AV13" s="92" t="s">
        <v>62</v>
      </c>
      <c r="AW13" s="92" t="s">
        <v>62</v>
      </c>
      <c r="AX13" s="92" t="s">
        <v>62</v>
      </c>
      <c r="AY13" s="91" t="s">
        <v>62</v>
      </c>
      <c r="AZ13" s="92" t="s">
        <v>62</v>
      </c>
      <c r="BA13" s="92" t="s">
        <v>62</v>
      </c>
      <c r="BB13" s="92" t="s">
        <v>62</v>
      </c>
      <c r="BC13" s="92" t="s">
        <v>62</v>
      </c>
      <c r="BD13" s="91" t="s">
        <v>62</v>
      </c>
      <c r="BE13" s="92" t="s">
        <v>62</v>
      </c>
      <c r="BF13" s="95" t="s">
        <v>62</v>
      </c>
      <c r="BG13" s="95" t="s">
        <v>62</v>
      </c>
      <c r="BH13" s="92" t="s">
        <v>62</v>
      </c>
      <c r="BI13" s="96" t="s">
        <v>62</v>
      </c>
      <c r="BJ13" s="95"/>
      <c r="BK13" s="95"/>
      <c r="BL13" s="95"/>
      <c r="BM13" s="95"/>
      <c r="BN13" s="96" t="s">
        <v>62</v>
      </c>
      <c r="BO13" s="95"/>
      <c r="BP13" s="95"/>
      <c r="BQ13" s="95"/>
      <c r="BR13" s="95"/>
      <c r="BS13" s="96" t="s">
        <v>62</v>
      </c>
      <c r="BT13" s="95"/>
      <c r="BU13" s="95"/>
      <c r="BV13" s="95"/>
      <c r="BW13" s="95"/>
      <c r="BX13" s="96" t="s">
        <v>62</v>
      </c>
      <c r="BY13" s="91" t="s">
        <v>62</v>
      </c>
      <c r="BZ13" s="91" t="s">
        <v>62</v>
      </c>
      <c r="CA13" s="91" t="s">
        <v>62</v>
      </c>
      <c r="CB13" s="81"/>
      <c r="CC13" s="1361"/>
      <c r="CD13" s="97"/>
      <c r="CE13" s="98" t="s">
        <v>62</v>
      </c>
      <c r="CF13" s="98" t="s">
        <v>62</v>
      </c>
      <c r="CG13" s="98" t="s">
        <v>62</v>
      </c>
      <c r="CH13" s="98" t="s">
        <v>62</v>
      </c>
      <c r="CI13" s="98" t="s">
        <v>62</v>
      </c>
      <c r="CJ13" s="98" t="s">
        <v>62</v>
      </c>
      <c r="CK13" s="98" t="s">
        <v>62</v>
      </c>
      <c r="CL13" s="98" t="s">
        <v>62</v>
      </c>
      <c r="CM13" s="98" t="s">
        <v>62</v>
      </c>
      <c r="CN13" s="90" t="s">
        <v>62</v>
      </c>
      <c r="CO13" s="90" t="s">
        <v>62</v>
      </c>
      <c r="CP13" s="90" t="s">
        <v>62</v>
      </c>
      <c r="CQ13" s="90" t="s">
        <v>62</v>
      </c>
      <c r="CR13" s="90" t="s">
        <v>62</v>
      </c>
      <c r="CS13" s="90" t="s">
        <v>62</v>
      </c>
      <c r="CT13" s="90" t="s">
        <v>62</v>
      </c>
      <c r="CU13" s="90" t="s">
        <v>62</v>
      </c>
      <c r="CV13" s="90" t="s">
        <v>62</v>
      </c>
      <c r="CW13" s="90" t="s">
        <v>62</v>
      </c>
      <c r="CX13" s="90" t="s">
        <v>62</v>
      </c>
      <c r="CY13" s="90" t="s">
        <v>62</v>
      </c>
      <c r="CZ13" s="99" t="s">
        <v>62</v>
      </c>
      <c r="DA13" s="58"/>
      <c r="DB13" s="100"/>
    </row>
    <row r="14" spans="1:116" s="108" customFormat="1" ht="12" customHeight="1" collapsed="1">
      <c r="A14" s="101" t="s">
        <v>63</v>
      </c>
      <c r="B14" s="102">
        <f t="shared" ref="B14:AJ14" si="11">SUM(B11:B12)</f>
        <v>4645.5349999999999</v>
      </c>
      <c r="C14" s="102">
        <f t="shared" si="11"/>
        <v>4640.1840000000002</v>
      </c>
      <c r="D14" s="102">
        <f t="shared" si="11"/>
        <v>4890.32</v>
      </c>
      <c r="E14" s="102">
        <f t="shared" si="11"/>
        <v>5250.5380000000005</v>
      </c>
      <c r="F14" s="102">
        <f t="shared" si="11"/>
        <v>6003.6419999999998</v>
      </c>
      <c r="G14" s="1866">
        <f t="shared" si="11"/>
        <v>1140.6790000000001</v>
      </c>
      <c r="H14" s="1866">
        <f t="shared" si="11"/>
        <v>1527.5430000000001</v>
      </c>
      <c r="I14" s="1866">
        <f t="shared" si="11"/>
        <v>1992.5700000000002</v>
      </c>
      <c r="J14" s="1866">
        <f t="shared" si="11"/>
        <v>1594.346</v>
      </c>
      <c r="K14" s="102">
        <f>SUM(K11:K12)</f>
        <v>6255.1379999999999</v>
      </c>
      <c r="L14" s="1866">
        <f t="shared" si="11"/>
        <v>1296.4180000000001</v>
      </c>
      <c r="M14" s="1866">
        <f t="shared" si="11"/>
        <v>1718.1790000000001</v>
      </c>
      <c r="N14" s="1866">
        <f t="shared" si="11"/>
        <v>2187.9960000000001</v>
      </c>
      <c r="O14" s="1866">
        <f t="shared" si="11"/>
        <v>1569.6879999999996</v>
      </c>
      <c r="P14" s="102">
        <f t="shared" si="11"/>
        <v>6772.2809999999999</v>
      </c>
      <c r="Q14" s="1866">
        <f t="shared" si="11"/>
        <v>1217.8709999999999</v>
      </c>
      <c r="R14" s="1866">
        <f t="shared" si="11"/>
        <v>1673.2249999999999</v>
      </c>
      <c r="S14" s="1866">
        <f t="shared" si="11"/>
        <v>2048.5410000000002</v>
      </c>
      <c r="T14" s="1866">
        <f t="shared" si="11"/>
        <v>1415.4179999999999</v>
      </c>
      <c r="U14" s="102">
        <f t="shared" si="11"/>
        <v>6355.0549999999994</v>
      </c>
      <c r="V14" s="1866">
        <f t="shared" si="11"/>
        <v>1148.2069999999999</v>
      </c>
      <c r="W14" s="1866">
        <f t="shared" si="11"/>
        <v>1465.1799999999998</v>
      </c>
      <c r="X14" s="1866">
        <f t="shared" si="11"/>
        <v>1875.903</v>
      </c>
      <c r="Y14" s="1866">
        <v>1462.492</v>
      </c>
      <c r="Z14" s="102">
        <f t="shared" si="11"/>
        <v>5951.7820000000002</v>
      </c>
      <c r="AA14" s="1866">
        <f t="shared" si="11"/>
        <v>1190.4000000000001</v>
      </c>
      <c r="AB14" s="1866">
        <f t="shared" si="11"/>
        <v>1474.1</v>
      </c>
      <c r="AC14" s="1866">
        <f t="shared" si="11"/>
        <v>1956.2</v>
      </c>
      <c r="AD14" s="1866">
        <f t="shared" si="11"/>
        <v>1547.6310000000001</v>
      </c>
      <c r="AE14" s="102">
        <f t="shared" si="11"/>
        <v>6168.3310000000001</v>
      </c>
      <c r="AF14" s="1866">
        <f>AF210</f>
        <v>1261</v>
      </c>
      <c r="AG14" s="1866">
        <f>AG210</f>
        <v>1557</v>
      </c>
      <c r="AH14" s="1866">
        <f>AH210</f>
        <v>1908</v>
      </c>
      <c r="AI14" s="1866">
        <f>AI210</f>
        <v>1004</v>
      </c>
      <c r="AJ14" s="102">
        <f t="shared" si="11"/>
        <v>6246</v>
      </c>
      <c r="AK14" s="1866">
        <f>AK210</f>
        <v>1035</v>
      </c>
      <c r="AL14" s="1866">
        <f>AL210</f>
        <v>1072</v>
      </c>
      <c r="AM14" s="1866">
        <f>AM210</f>
        <v>1116</v>
      </c>
      <c r="AN14" s="1866">
        <f>AN210</f>
        <v>1227</v>
      </c>
      <c r="AO14" s="102">
        <f>SUM(AK14:AN14)</f>
        <v>4450</v>
      </c>
      <c r="AP14" s="1866">
        <f>AP210</f>
        <v>1181</v>
      </c>
      <c r="AQ14" s="1866">
        <f>AQ210</f>
        <v>1250</v>
      </c>
      <c r="AR14" s="1866">
        <f>AR210</f>
        <v>1152</v>
      </c>
      <c r="AS14" s="1866">
        <f>AS210</f>
        <v>1206</v>
      </c>
      <c r="AT14" s="102">
        <f>SUM(AP14:AS14)</f>
        <v>4789</v>
      </c>
      <c r="AU14" s="1865">
        <f>AU210</f>
        <v>1196</v>
      </c>
      <c r="AV14" s="1866">
        <f>AV210</f>
        <v>1302</v>
      </c>
      <c r="AW14" s="1866">
        <f>AW210</f>
        <v>1263</v>
      </c>
      <c r="AX14" s="1866">
        <f>AX210</f>
        <v>1290</v>
      </c>
      <c r="AY14" s="102">
        <f>SUM(AU14:AX14)</f>
        <v>5051</v>
      </c>
      <c r="AZ14" s="1864">
        <f>AZ210</f>
        <v>1273</v>
      </c>
      <c r="BA14" s="1863">
        <f>BA210</f>
        <v>1342</v>
      </c>
      <c r="BB14" s="1863">
        <f>BB210</f>
        <v>1324</v>
      </c>
      <c r="BC14" s="1863">
        <f>BC210</f>
        <v>1374</v>
      </c>
      <c r="BD14" s="102">
        <f>SUM(AZ14:BC14)</f>
        <v>5313</v>
      </c>
      <c r="BE14" s="1863">
        <f>BE210</f>
        <v>1341</v>
      </c>
      <c r="BF14" s="1863">
        <f>BF210</f>
        <v>1482</v>
      </c>
      <c r="BG14" s="1863">
        <f>BG210</f>
        <v>1439</v>
      </c>
      <c r="BH14" s="1863">
        <f>BH210</f>
        <v>1399</v>
      </c>
      <c r="BI14" s="104">
        <f>SUM(BE14:BH14)</f>
        <v>5661</v>
      </c>
      <c r="BJ14" s="1863">
        <f>BJ210</f>
        <v>1453</v>
      </c>
      <c r="BK14" s="105">
        <f>BK210</f>
        <v>1509</v>
      </c>
      <c r="BL14" s="105">
        <f>BL210</f>
        <v>1513</v>
      </c>
      <c r="BM14" s="105">
        <f>BM210</f>
        <v>1589</v>
      </c>
      <c r="BN14" s="104">
        <f>SUM(BJ14:BM14)</f>
        <v>6064</v>
      </c>
      <c r="BO14" s="1863">
        <f>BO210</f>
        <v>1567</v>
      </c>
      <c r="BP14" s="105">
        <f>'Op Metrics'!BP30</f>
        <v>1640.3822248173824</v>
      </c>
      <c r="BQ14" s="105">
        <f>'Op Metrics'!BQ30</f>
        <v>1623.3294381545411</v>
      </c>
      <c r="BR14" s="105">
        <f>'Op Metrics'!BR30</f>
        <v>1671.1382330674171</v>
      </c>
      <c r="BS14" s="104">
        <f>SUM(BO14:BR14)</f>
        <v>6501.8498960393408</v>
      </c>
      <c r="BT14" s="105">
        <f>'Op Metrics'!BT30</f>
        <v>1646.431746002934</v>
      </c>
      <c r="BU14" s="105">
        <f>'Op Metrics'!BU30</f>
        <v>1737.3649564276409</v>
      </c>
      <c r="BV14" s="105">
        <f>'Op Metrics'!BV30</f>
        <v>1721.2877523166724</v>
      </c>
      <c r="BW14" s="105">
        <f>'Op Metrics'!BW30</f>
        <v>1770.9531816066255</v>
      </c>
      <c r="BX14" s="104">
        <f>SUM(BT14:BW14)</f>
        <v>6876.0376363538726</v>
      </c>
      <c r="BY14" s="106">
        <f>'Op Metrics'!BY30</f>
        <v>7231.525800987436</v>
      </c>
      <c r="BZ14" s="106">
        <f>'Op Metrics'!BZ30</f>
        <v>7608.3788965346157</v>
      </c>
      <c r="CA14" s="106">
        <f>'Op Metrics'!CA30</f>
        <v>7964.8547754346873</v>
      </c>
      <c r="CB14" s="107">
        <f>(CA14/BN14)^(1/5)-1</f>
        <v>5.6048183337107815E-2</v>
      </c>
      <c r="CD14" s="109" t="str">
        <f t="shared" ref="CD14:CI15" si="12">A14</f>
        <v>Total Revenues</v>
      </c>
      <c r="CE14" s="103">
        <f t="shared" si="12"/>
        <v>4645.5349999999999</v>
      </c>
      <c r="CF14" s="103">
        <f t="shared" si="12"/>
        <v>4640.1840000000002</v>
      </c>
      <c r="CG14" s="103">
        <f t="shared" si="12"/>
        <v>4890.32</v>
      </c>
      <c r="CH14" s="103">
        <f t="shared" si="12"/>
        <v>5250.5380000000005</v>
      </c>
      <c r="CI14" s="103">
        <f t="shared" si="12"/>
        <v>6003.6419999999998</v>
      </c>
      <c r="CJ14" s="103">
        <f>K14</f>
        <v>6255.1379999999999</v>
      </c>
      <c r="CK14" s="103">
        <f>P14</f>
        <v>6772.2809999999999</v>
      </c>
      <c r="CL14" s="103">
        <f>U14</f>
        <v>6355.0549999999994</v>
      </c>
      <c r="CM14" s="103">
        <f>Z14</f>
        <v>5951.7820000000002</v>
      </c>
      <c r="CN14" s="103">
        <f>AE14</f>
        <v>6168.3310000000001</v>
      </c>
      <c r="CO14" s="103">
        <f>AJ14</f>
        <v>6246</v>
      </c>
      <c r="CP14" s="103">
        <f>AO14</f>
        <v>4450</v>
      </c>
      <c r="CQ14" s="103">
        <f>AT14</f>
        <v>4789</v>
      </c>
      <c r="CR14" s="103">
        <f>AY14</f>
        <v>5051</v>
      </c>
      <c r="CS14" s="103">
        <f>BD14</f>
        <v>5313</v>
      </c>
      <c r="CT14" s="103">
        <f>BI14</f>
        <v>5661</v>
      </c>
      <c r="CU14" s="103">
        <f>BN14</f>
        <v>6064</v>
      </c>
      <c r="CV14" s="103">
        <f>BS14</f>
        <v>6501.8498960393408</v>
      </c>
      <c r="CW14" s="103">
        <f t="shared" ref="CW14:CZ15" si="13">BX14</f>
        <v>6876.0376363538726</v>
      </c>
      <c r="CX14" s="103">
        <f t="shared" si="13"/>
        <v>7231.525800987436</v>
      </c>
      <c r="CY14" s="103">
        <f t="shared" si="13"/>
        <v>7608.3788965346157</v>
      </c>
      <c r="CZ14" s="110">
        <f t="shared" si="13"/>
        <v>7964.8547754346873</v>
      </c>
      <c r="DA14" s="111"/>
      <c r="DB14" s="59">
        <f>SUM(BO14,BP14,BQ14,BR14)</f>
        <v>6501.8498960393408</v>
      </c>
      <c r="DC14"/>
      <c r="DD14"/>
      <c r="DE14"/>
      <c r="DF14"/>
      <c r="DG14"/>
      <c r="DH14"/>
    </row>
    <row r="15" spans="1:116" ht="12" customHeight="1">
      <c r="A15" s="76" t="s">
        <v>64</v>
      </c>
      <c r="B15" s="112"/>
      <c r="C15" s="112">
        <f>C14/B14-1</f>
        <v>-1.1518587202549169E-3</v>
      </c>
      <c r="D15" s="112">
        <f>D14/C14-1</f>
        <v>5.3906483018776763E-2</v>
      </c>
      <c r="E15" s="112">
        <f>E14/D14-1</f>
        <v>7.3659392432397164E-2</v>
      </c>
      <c r="F15" s="112">
        <f>F14/E14-1</f>
        <v>0.14343368241502086</v>
      </c>
      <c r="G15" s="113"/>
      <c r="H15" s="114"/>
      <c r="I15" s="114"/>
      <c r="J15" s="114"/>
      <c r="K15" s="112">
        <f>K14/F14-1</f>
        <v>4.1890572422539574E-2</v>
      </c>
      <c r="L15" s="114">
        <f t="shared" ref="L15:BS15" si="14">L14/G14-1</f>
        <v>0.1365318376160165</v>
      </c>
      <c r="M15" s="114">
        <f t="shared" si="14"/>
        <v>0.12479910549162931</v>
      </c>
      <c r="N15" s="114">
        <f t="shared" si="14"/>
        <v>9.8077357382676533E-2</v>
      </c>
      <c r="O15" s="114">
        <f t="shared" si="14"/>
        <v>-1.5465902633431061E-2</v>
      </c>
      <c r="P15" s="112">
        <f t="shared" si="14"/>
        <v>8.2674914606200467E-2</v>
      </c>
      <c r="Q15" s="114">
        <f t="shared" si="14"/>
        <v>-6.0587711679412237E-2</v>
      </c>
      <c r="R15" s="114">
        <f t="shared" si="14"/>
        <v>-2.6163746617785533E-2</v>
      </c>
      <c r="S15" s="114">
        <f t="shared" si="14"/>
        <v>-6.3736405368199911E-2</v>
      </c>
      <c r="T15" s="114">
        <f t="shared" si="14"/>
        <v>-9.8280677433986718E-2</v>
      </c>
      <c r="U15" s="112">
        <f t="shared" si="14"/>
        <v>-6.1607898431857877E-2</v>
      </c>
      <c r="V15" s="114">
        <f t="shared" si="14"/>
        <v>-5.7201460581621566E-2</v>
      </c>
      <c r="W15" s="114">
        <f t="shared" si="14"/>
        <v>-0.12433773102840329</v>
      </c>
      <c r="X15" s="114">
        <f t="shared" si="14"/>
        <v>-8.4273636700461507E-2</v>
      </c>
      <c r="Y15" s="114">
        <f t="shared" si="14"/>
        <v>3.3258019892356883E-2</v>
      </c>
      <c r="Z15" s="112">
        <f t="shared" si="14"/>
        <v>-6.3457043251395784E-2</v>
      </c>
      <c r="AA15" s="114">
        <f t="shared" si="14"/>
        <v>3.674685836264735E-2</v>
      </c>
      <c r="AB15" s="114">
        <f t="shared" si="14"/>
        <v>6.0879891890417426E-3</v>
      </c>
      <c r="AC15" s="114">
        <f t="shared" si="14"/>
        <v>4.2804452042563002E-2</v>
      </c>
      <c r="AD15" s="114">
        <f t="shared" si="14"/>
        <v>5.8215019295832171E-2</v>
      </c>
      <c r="AE15" s="112">
        <f t="shared" si="14"/>
        <v>3.638389309285861E-2</v>
      </c>
      <c r="AF15" s="114">
        <f t="shared" si="14"/>
        <v>5.9307795698924748E-2</v>
      </c>
      <c r="AG15" s="114">
        <f t="shared" si="14"/>
        <v>5.623770436198372E-2</v>
      </c>
      <c r="AH15" s="114">
        <f t="shared" si="14"/>
        <v>-2.4639607402106134E-2</v>
      </c>
      <c r="AI15" s="114">
        <f t="shared" si="14"/>
        <v>-0.3512665486798856</v>
      </c>
      <c r="AJ15" s="112">
        <f t="shared" si="14"/>
        <v>1.2591574609079892E-2</v>
      </c>
      <c r="AK15" s="114">
        <f t="shared" si="14"/>
        <v>-0.17922283901665348</v>
      </c>
      <c r="AL15" s="114">
        <f t="shared" si="14"/>
        <v>-0.31149646756583171</v>
      </c>
      <c r="AM15" s="114">
        <f t="shared" si="14"/>
        <v>-0.41509433962264153</v>
      </c>
      <c r="AN15" s="114">
        <f t="shared" si="14"/>
        <v>0.22211155378486058</v>
      </c>
      <c r="AO15" s="112">
        <f t="shared" si="14"/>
        <v>-0.28754402817803393</v>
      </c>
      <c r="AP15" s="114">
        <f t="shared" si="14"/>
        <v>0.1410628019323672</v>
      </c>
      <c r="AQ15" s="114">
        <f t="shared" si="14"/>
        <v>0.16604477611940305</v>
      </c>
      <c r="AR15" s="114">
        <f t="shared" si="14"/>
        <v>3.2258064516129004E-2</v>
      </c>
      <c r="AS15" s="114">
        <f t="shared" si="14"/>
        <v>-1.7114914425427896E-2</v>
      </c>
      <c r="AT15" s="112">
        <f t="shared" si="14"/>
        <v>7.6179775280898809E-2</v>
      </c>
      <c r="AU15" s="115">
        <f t="shared" si="14"/>
        <v>1.2701100762066098E-2</v>
      </c>
      <c r="AV15" s="114">
        <f t="shared" si="14"/>
        <v>4.1600000000000081E-2</v>
      </c>
      <c r="AW15" s="113">
        <f t="shared" si="14"/>
        <v>9.6354166666666741E-2</v>
      </c>
      <c r="AX15" s="113">
        <f t="shared" si="14"/>
        <v>6.9651741293532243E-2</v>
      </c>
      <c r="AY15" s="112">
        <f t="shared" si="14"/>
        <v>5.4708707454583339E-2</v>
      </c>
      <c r="AZ15" s="116">
        <f t="shared" si="14"/>
        <v>6.4381270903010046E-2</v>
      </c>
      <c r="BA15" s="113">
        <f t="shared" si="14"/>
        <v>3.0721966205837115E-2</v>
      </c>
      <c r="BB15" s="113">
        <f t="shared" si="14"/>
        <v>4.829770387965171E-2</v>
      </c>
      <c r="BC15" s="113">
        <f t="shared" si="14"/>
        <v>6.5116279069767469E-2</v>
      </c>
      <c r="BD15" s="112">
        <f t="shared" si="14"/>
        <v>5.1870916650168297E-2</v>
      </c>
      <c r="BE15" s="116">
        <f t="shared" si="14"/>
        <v>5.3417124901806723E-2</v>
      </c>
      <c r="BF15" s="113">
        <f t="shared" si="14"/>
        <v>0.10432190760059612</v>
      </c>
      <c r="BG15" s="113">
        <f t="shared" si="14"/>
        <v>8.6858006042296099E-2</v>
      </c>
      <c r="BH15" s="113">
        <f t="shared" si="14"/>
        <v>1.8195050946142599E-2</v>
      </c>
      <c r="BI15" s="118">
        <f t="shared" si="14"/>
        <v>6.549971767363072E-2</v>
      </c>
      <c r="BJ15" s="117">
        <f t="shared" si="14"/>
        <v>8.3519761372110368E-2</v>
      </c>
      <c r="BK15" s="117">
        <f t="shared" si="14"/>
        <v>1.8218623481781382E-2</v>
      </c>
      <c r="BL15" s="117">
        <f t="shared" si="14"/>
        <v>5.142460041695629E-2</v>
      </c>
      <c r="BM15" s="117">
        <f t="shared" si="14"/>
        <v>0.13581129378127232</v>
      </c>
      <c r="BN15" s="118">
        <f t="shared" si="14"/>
        <v>7.1188835894718139E-2</v>
      </c>
      <c r="BO15" s="117">
        <f t="shared" si="14"/>
        <v>7.8458362009635296E-2</v>
      </c>
      <c r="BP15" s="117">
        <f t="shared" si="14"/>
        <v>8.7065755346177776E-2</v>
      </c>
      <c r="BQ15" s="117">
        <f t="shared" si="14"/>
        <v>7.2920976969293561E-2</v>
      </c>
      <c r="BR15" s="117">
        <f t="shared" si="14"/>
        <v>5.169177663147706E-2</v>
      </c>
      <c r="BS15" s="118">
        <f t="shared" si="14"/>
        <v>7.2204798159521966E-2</v>
      </c>
      <c r="BT15" s="117">
        <f t="shared" ref="BT15" si="15">BT14/BO14-1</f>
        <v>5.0690329293512359E-2</v>
      </c>
      <c r="BU15" s="117">
        <f t="shared" ref="BU15" si="16">BU14/BP14-1</f>
        <v>5.9122032745176245E-2</v>
      </c>
      <c r="BV15" s="117">
        <f t="shared" ref="BV15" si="17">BV14/BQ14-1</f>
        <v>6.0344075490612603E-2</v>
      </c>
      <c r="BW15" s="117">
        <f t="shared" ref="BW15" si="18">BW14/BR14-1</f>
        <v>5.9728720559516724E-2</v>
      </c>
      <c r="BX15" s="118">
        <f t="shared" ref="BX15" si="19">BX14/BS14-1</f>
        <v>5.7550965694005196E-2</v>
      </c>
      <c r="BY15" s="56">
        <f>BY14/BX14-1</f>
        <v>5.1699566441300915E-2</v>
      </c>
      <c r="BZ15" s="56">
        <f>BZ14/BY14-1</f>
        <v>5.2112528658297963E-2</v>
      </c>
      <c r="CA15" s="56">
        <f>CA14/BZ14-1</f>
        <v>4.6853066040446034E-2</v>
      </c>
      <c r="CB15" s="119"/>
      <c r="CC15" s="1362"/>
      <c r="CD15" s="120" t="str">
        <f t="shared" si="12"/>
        <v>Annual Growth</v>
      </c>
      <c r="CE15" s="113">
        <f t="shared" si="12"/>
        <v>0</v>
      </c>
      <c r="CF15" s="113">
        <f t="shared" si="12"/>
        <v>-1.1518587202549169E-3</v>
      </c>
      <c r="CG15" s="113">
        <f t="shared" si="12"/>
        <v>5.3906483018776763E-2</v>
      </c>
      <c r="CH15" s="113">
        <f t="shared" si="12"/>
        <v>7.3659392432397164E-2</v>
      </c>
      <c r="CI15" s="113">
        <f t="shared" si="12"/>
        <v>0.14343368241502086</v>
      </c>
      <c r="CJ15" s="113">
        <f>K15</f>
        <v>4.1890572422539574E-2</v>
      </c>
      <c r="CK15" s="113">
        <f>P15</f>
        <v>8.2674914606200467E-2</v>
      </c>
      <c r="CL15" s="113">
        <f>U15</f>
        <v>-6.1607898431857877E-2</v>
      </c>
      <c r="CM15" s="113">
        <f>Z15</f>
        <v>-6.3457043251395784E-2</v>
      </c>
      <c r="CN15" s="113">
        <f>AE15</f>
        <v>3.638389309285861E-2</v>
      </c>
      <c r="CO15" s="113">
        <f>AJ15</f>
        <v>1.2591574609079892E-2</v>
      </c>
      <c r="CP15" s="113">
        <f>AO15</f>
        <v>-0.28754402817803393</v>
      </c>
      <c r="CQ15" s="113">
        <f>AT15</f>
        <v>7.6179775280898809E-2</v>
      </c>
      <c r="CR15" s="113">
        <f>AY15</f>
        <v>5.4708707454583339E-2</v>
      </c>
      <c r="CS15" s="113">
        <f>BD15</f>
        <v>5.1870916650168297E-2</v>
      </c>
      <c r="CT15" s="113">
        <f>BI15</f>
        <v>6.549971767363072E-2</v>
      </c>
      <c r="CU15" s="113">
        <f>BN15</f>
        <v>7.1188835894718139E-2</v>
      </c>
      <c r="CV15" s="113">
        <f>BS15</f>
        <v>7.2204798159521966E-2</v>
      </c>
      <c r="CW15" s="113">
        <f t="shared" si="13"/>
        <v>5.7550965694005196E-2</v>
      </c>
      <c r="CX15" s="113">
        <f t="shared" si="13"/>
        <v>5.1699566441300915E-2</v>
      </c>
      <c r="CY15" s="113">
        <f t="shared" si="13"/>
        <v>5.2112528658297963E-2</v>
      </c>
      <c r="CZ15" s="121">
        <f t="shared" si="13"/>
        <v>4.6853066040446034E-2</v>
      </c>
      <c r="DA15" s="122"/>
      <c r="DB15" s="123"/>
    </row>
    <row r="16" spans="1:116" ht="6" customHeight="1">
      <c r="A16" s="124"/>
      <c r="B16" s="45"/>
      <c r="C16" s="45"/>
      <c r="D16" s="45"/>
      <c r="E16" s="45"/>
      <c r="F16" s="45"/>
      <c r="G16" s="46"/>
      <c r="H16" s="47"/>
      <c r="I16" s="47"/>
      <c r="J16" s="47"/>
      <c r="K16" s="45"/>
      <c r="L16" s="47"/>
      <c r="M16" s="47"/>
      <c r="N16" s="47"/>
      <c r="O16" s="47"/>
      <c r="P16" s="45"/>
      <c r="Q16" s="47"/>
      <c r="R16" s="47"/>
      <c r="S16" s="47"/>
      <c r="T16" s="47"/>
      <c r="U16" s="45"/>
      <c r="V16" s="47"/>
      <c r="W16" s="47"/>
      <c r="X16" s="47"/>
      <c r="Y16" s="47"/>
      <c r="Z16" s="48"/>
      <c r="AA16" s="49"/>
      <c r="AB16" s="49"/>
      <c r="AC16" s="49"/>
      <c r="AD16" s="49"/>
      <c r="AE16" s="48"/>
      <c r="AF16" s="49"/>
      <c r="AG16" s="49"/>
      <c r="AH16" s="49"/>
      <c r="AI16" s="49"/>
      <c r="AJ16" s="48"/>
      <c r="AK16" s="49"/>
      <c r="AL16" s="49"/>
      <c r="AM16" s="49"/>
      <c r="AN16" s="49"/>
      <c r="AO16" s="48"/>
      <c r="AP16" s="49"/>
      <c r="AQ16" s="49"/>
      <c r="AR16" s="49"/>
      <c r="AS16" s="49"/>
      <c r="AT16" s="48"/>
      <c r="AU16" s="50"/>
      <c r="AV16" s="49"/>
      <c r="AW16" s="51"/>
      <c r="AX16" s="51"/>
      <c r="AY16" s="125"/>
      <c r="AZ16" s="126"/>
      <c r="BA16" s="51"/>
      <c r="BB16" s="51"/>
      <c r="BC16" s="51"/>
      <c r="BD16" s="125"/>
      <c r="BE16" s="126"/>
      <c r="BF16" s="51"/>
      <c r="BG16" s="51"/>
      <c r="BH16" s="51"/>
      <c r="BI16" s="128"/>
      <c r="BJ16" s="127"/>
      <c r="BK16" s="127"/>
      <c r="BL16" s="127"/>
      <c r="BM16" s="127"/>
      <c r="BN16" s="128"/>
      <c r="BO16" s="127"/>
      <c r="BP16" s="127"/>
      <c r="BQ16" s="127"/>
      <c r="BR16" s="127"/>
      <c r="BS16" s="128"/>
      <c r="BT16" s="127"/>
      <c r="BU16" s="127"/>
      <c r="BV16" s="127"/>
      <c r="BW16" s="127"/>
      <c r="BX16" s="128"/>
      <c r="BY16" s="129"/>
      <c r="BZ16" s="129"/>
      <c r="CA16" s="129"/>
      <c r="CB16" s="130"/>
      <c r="CC16" s="1361"/>
      <c r="CD16" s="131"/>
      <c r="CE16" s="113"/>
      <c r="CF16" s="113"/>
      <c r="CG16" s="113"/>
      <c r="CH16" s="113"/>
      <c r="CI16" s="113"/>
      <c r="CJ16" s="113"/>
      <c r="CK16" s="113"/>
      <c r="CL16" s="113"/>
      <c r="CM16" s="113"/>
      <c r="CN16" s="46"/>
      <c r="CO16" s="46"/>
      <c r="CP16" s="46"/>
      <c r="CQ16" s="46"/>
      <c r="CR16" s="46"/>
      <c r="CS16" s="46"/>
      <c r="CT16" s="46"/>
      <c r="CU16" s="46"/>
      <c r="CV16" s="46"/>
      <c r="CW16" s="46"/>
      <c r="CX16" s="46"/>
      <c r="CY16" s="46"/>
      <c r="CZ16" s="44"/>
      <c r="DA16" s="58"/>
      <c r="DB16" s="59"/>
    </row>
    <row r="17" spans="1:112" ht="12" hidden="1" customHeight="1" outlineLevel="1">
      <c r="A17" s="44" t="s">
        <v>65</v>
      </c>
      <c r="B17" s="45"/>
      <c r="C17" s="45"/>
      <c r="D17" s="45"/>
      <c r="E17" s="45"/>
      <c r="F17" s="45"/>
      <c r="G17" s="46"/>
      <c r="H17" s="47"/>
      <c r="I17" s="47"/>
      <c r="J17" s="47"/>
      <c r="K17" s="45"/>
      <c r="L17" s="47"/>
      <c r="M17" s="47"/>
      <c r="N17" s="47"/>
      <c r="O17" s="47"/>
      <c r="P17" s="45"/>
      <c r="Q17" s="47"/>
      <c r="R17" s="47"/>
      <c r="S17" s="47"/>
      <c r="T17" s="47"/>
      <c r="U17" s="45"/>
      <c r="V17" s="47"/>
      <c r="W17" s="47"/>
      <c r="X17" s="47"/>
      <c r="Y17" s="47"/>
      <c r="Z17" s="48"/>
      <c r="AA17" s="49"/>
      <c r="AB17" s="49"/>
      <c r="AC17" s="49"/>
      <c r="AD17" s="49"/>
      <c r="AE17" s="48"/>
      <c r="AF17" s="49"/>
      <c r="AG17" s="49"/>
      <c r="AH17" s="49"/>
      <c r="AI17" s="114"/>
      <c r="AJ17" s="48"/>
      <c r="AK17" s="49"/>
      <c r="AL17" s="49"/>
      <c r="AM17" s="49"/>
      <c r="AN17" s="49"/>
      <c r="AO17" s="48"/>
      <c r="AP17" s="49"/>
      <c r="AQ17" s="49"/>
      <c r="AR17" s="49"/>
      <c r="AS17" s="49"/>
      <c r="AT17" s="48"/>
      <c r="AU17" s="50"/>
      <c r="AV17" s="49"/>
      <c r="AW17" s="51"/>
      <c r="AX17" s="51"/>
      <c r="AY17" s="125"/>
      <c r="AZ17" s="126"/>
      <c r="BA17" s="51"/>
      <c r="BB17" s="51"/>
      <c r="BC17" s="51"/>
      <c r="BD17" s="125"/>
      <c r="BE17" s="126"/>
      <c r="BF17" s="51"/>
      <c r="BG17" s="51"/>
      <c r="BH17" s="51"/>
      <c r="BI17" s="128"/>
      <c r="BJ17" s="127"/>
      <c r="BK17" s="127"/>
      <c r="BL17" s="127"/>
      <c r="BM17" s="127"/>
      <c r="BN17" s="128"/>
      <c r="BO17" s="127"/>
      <c r="BP17" s="127"/>
      <c r="BQ17" s="127"/>
      <c r="BR17" s="127"/>
      <c r="BS17" s="128"/>
      <c r="BT17" s="127"/>
      <c r="BU17" s="127"/>
      <c r="BV17" s="127"/>
      <c r="BW17" s="127"/>
      <c r="BX17" s="128"/>
      <c r="BY17" s="129"/>
      <c r="BZ17" s="129"/>
      <c r="CA17" s="129"/>
      <c r="CB17" s="132"/>
      <c r="CC17" s="1361"/>
      <c r="CD17" s="64" t="str">
        <f>A17</f>
        <v>Operating-Related Expenses</v>
      </c>
      <c r="CE17" s="133"/>
      <c r="CF17" s="133"/>
      <c r="CG17" s="133"/>
      <c r="CH17" s="133"/>
      <c r="CI17" s="133"/>
      <c r="CJ17" s="133"/>
      <c r="CK17" s="133"/>
      <c r="CL17" s="133"/>
      <c r="CM17" s="133"/>
      <c r="CN17" s="46"/>
      <c r="CO17" s="46"/>
      <c r="CP17" s="46"/>
      <c r="CQ17" s="46"/>
      <c r="CR17" s="46"/>
      <c r="CS17" s="46"/>
      <c r="CT17" s="46"/>
      <c r="CU17" s="46"/>
      <c r="CV17" s="46"/>
      <c r="CW17" s="46"/>
      <c r="CX17" s="46"/>
      <c r="CY17" s="46"/>
      <c r="CZ17" s="44"/>
      <c r="DA17" s="58"/>
      <c r="DB17" s="59"/>
    </row>
    <row r="18" spans="1:112" s="70" customFormat="1" ht="12" hidden="1" customHeight="1" outlineLevel="1">
      <c r="A18" s="60" t="s">
        <v>60</v>
      </c>
      <c r="B18" s="61">
        <f t="shared" ref="B18:J18" si="20">B214</f>
        <v>1223.6579999999999</v>
      </c>
      <c r="C18" s="61">
        <f t="shared" si="20"/>
        <v>1166.8879999999999</v>
      </c>
      <c r="D18" s="61">
        <f t="shared" si="20"/>
        <v>1189.5730000000001</v>
      </c>
      <c r="E18" s="61">
        <f t="shared" si="20"/>
        <v>1120.8420000000001</v>
      </c>
      <c r="F18" s="61">
        <f t="shared" si="20"/>
        <v>1092.1590000000001</v>
      </c>
      <c r="G18" s="62">
        <f t="shared" si="20"/>
        <v>172.10900000000001</v>
      </c>
      <c r="H18" s="63">
        <f t="shared" si="20"/>
        <v>261.88900000000001</v>
      </c>
      <c r="I18" s="63">
        <f t="shared" si="20"/>
        <v>407.72800000000001</v>
      </c>
      <c r="J18" s="63">
        <f t="shared" si="20"/>
        <v>250.58299999999986</v>
      </c>
      <c r="K18" s="61">
        <f>SUM(G18:J18)</f>
        <v>1092.309</v>
      </c>
      <c r="L18" s="63">
        <f t="shared" ref="L18:Y18" si="21">L214</f>
        <v>170.97800000000001</v>
      </c>
      <c r="M18" s="63">
        <f t="shared" si="21"/>
        <v>265.16800000000001</v>
      </c>
      <c r="N18" s="63">
        <f t="shared" si="21"/>
        <v>439.928</v>
      </c>
      <c r="O18" s="63">
        <f t="shared" si="21"/>
        <v>253.44499999999994</v>
      </c>
      <c r="P18" s="61">
        <f>SUM(L18:O18)</f>
        <v>1129.519</v>
      </c>
      <c r="Q18" s="63">
        <f t="shared" si="21"/>
        <v>182.04599999999999</v>
      </c>
      <c r="R18" s="63">
        <f t="shared" si="21"/>
        <v>278.22000000000003</v>
      </c>
      <c r="S18" s="63">
        <f t="shared" si="21"/>
        <v>453.798</v>
      </c>
      <c r="T18" s="63">
        <f t="shared" si="21"/>
        <v>267.25799999999981</v>
      </c>
      <c r="U18" s="61">
        <f>SUM(Q18:T18)</f>
        <v>1181.3219999999999</v>
      </c>
      <c r="V18" s="63">
        <f t="shared" si="21"/>
        <v>174.273</v>
      </c>
      <c r="W18" s="63">
        <f t="shared" si="21"/>
        <v>268.23500000000001</v>
      </c>
      <c r="X18" s="63">
        <f t="shared" si="21"/>
        <v>438.40499999999997</v>
      </c>
      <c r="Y18" s="63">
        <f t="shared" si="21"/>
        <v>251.3889999999999</v>
      </c>
      <c r="Z18" s="61">
        <f>SUM(V18:Y18)</f>
        <v>1132.3019999999999</v>
      </c>
      <c r="AA18" s="63">
        <f t="shared" ref="AA18:AI18" si="22">AA214</f>
        <v>173</v>
      </c>
      <c r="AB18" s="63">
        <f t="shared" si="22"/>
        <v>259.10000000000002</v>
      </c>
      <c r="AC18" s="63">
        <f t="shared" si="22"/>
        <v>408.4</v>
      </c>
      <c r="AD18" s="63">
        <f t="shared" si="22"/>
        <v>239.5920000000001</v>
      </c>
      <c r="AE18" s="61">
        <f>SUM(AA18:AD18)</f>
        <v>1080.0920000000001</v>
      </c>
      <c r="AF18" s="63">
        <f t="shared" si="22"/>
        <v>173</v>
      </c>
      <c r="AG18" s="63">
        <f t="shared" si="22"/>
        <v>239</v>
      </c>
      <c r="AH18" s="63">
        <f t="shared" si="22"/>
        <v>374.5</v>
      </c>
      <c r="AI18" s="63">
        <f t="shared" si="22"/>
        <v>221.5</v>
      </c>
      <c r="AJ18" s="61">
        <f>SUM(AF18:AI18)</f>
        <v>1008</v>
      </c>
      <c r="AK18" s="63"/>
      <c r="AL18" s="63"/>
      <c r="AM18" s="63"/>
      <c r="AN18" s="63"/>
      <c r="AO18" s="61"/>
      <c r="AP18" s="63"/>
      <c r="AQ18" s="63"/>
      <c r="AR18" s="63"/>
      <c r="AS18" s="63"/>
      <c r="AT18" s="61"/>
      <c r="AU18" s="64"/>
      <c r="AV18" s="63"/>
      <c r="AW18" s="62"/>
      <c r="AX18" s="65"/>
      <c r="AY18" s="61"/>
      <c r="AZ18" s="134"/>
      <c r="BA18" s="65"/>
      <c r="BB18" s="65"/>
      <c r="BC18" s="65"/>
      <c r="BD18" s="61"/>
      <c r="BE18" s="134"/>
      <c r="BF18" s="65"/>
      <c r="BG18" s="65"/>
      <c r="BH18" s="65"/>
      <c r="BI18" s="67"/>
      <c r="BJ18" s="66"/>
      <c r="BK18" s="66"/>
      <c r="BL18" s="66"/>
      <c r="BM18" s="66"/>
      <c r="BN18" s="67"/>
      <c r="BO18" s="66"/>
      <c r="BP18" s="66"/>
      <c r="BQ18" s="66"/>
      <c r="BR18" s="66"/>
      <c r="BS18" s="67"/>
      <c r="BT18" s="66"/>
      <c r="BU18" s="66"/>
      <c r="BV18" s="66"/>
      <c r="BW18" s="66"/>
      <c r="BX18" s="67"/>
      <c r="BY18" s="135"/>
      <c r="BZ18" s="135"/>
      <c r="CA18" s="135"/>
      <c r="CB18" s="81"/>
      <c r="CC18" s="1359"/>
      <c r="CD18" s="64" t="str">
        <f>A18</f>
        <v>Product</v>
      </c>
      <c r="CE18" s="72">
        <f t="shared" ref="CE18:CI19" si="23">B18</f>
        <v>1223.6579999999999</v>
      </c>
      <c r="CF18" s="72">
        <f t="shared" si="23"/>
        <v>1166.8879999999999</v>
      </c>
      <c r="CG18" s="72">
        <f t="shared" si="23"/>
        <v>1189.5730000000001</v>
      </c>
      <c r="CH18" s="72">
        <f t="shared" si="23"/>
        <v>1120.8420000000001</v>
      </c>
      <c r="CI18" s="72">
        <f t="shared" si="23"/>
        <v>1092.1590000000001</v>
      </c>
      <c r="CJ18" s="72">
        <f>K18</f>
        <v>1092.309</v>
      </c>
      <c r="CK18" s="72">
        <f>P18</f>
        <v>1129.519</v>
      </c>
      <c r="CL18" s="72">
        <f>U18</f>
        <v>1181.3219999999999</v>
      </c>
      <c r="CM18" s="72">
        <f>Z18</f>
        <v>1132.3019999999999</v>
      </c>
      <c r="CN18" s="72">
        <f>AE18</f>
        <v>1080.0920000000001</v>
      </c>
      <c r="CO18" s="72">
        <f>AJ18</f>
        <v>1008</v>
      </c>
      <c r="CP18" s="72"/>
      <c r="CQ18" s="72"/>
      <c r="CR18" s="72"/>
      <c r="CS18" s="72"/>
      <c r="CT18" s="72"/>
      <c r="CU18" s="72"/>
      <c r="CV18" s="72"/>
      <c r="CW18" s="72"/>
      <c r="CX18" s="72"/>
      <c r="CY18" s="72"/>
      <c r="CZ18" s="73"/>
      <c r="DA18" s="74"/>
      <c r="DB18" s="75"/>
      <c r="DC18"/>
      <c r="DD18"/>
      <c r="DE18"/>
      <c r="DF18"/>
      <c r="DG18"/>
      <c r="DH18"/>
    </row>
    <row r="19" spans="1:112" s="82" customFormat="1" ht="12" hidden="1" customHeight="1" outlineLevel="1">
      <c r="A19" s="76" t="s">
        <v>61</v>
      </c>
      <c r="B19" s="45">
        <f t="shared" ref="B19:J19" si="24">B217</f>
        <v>881.11500000000001</v>
      </c>
      <c r="C19" s="45">
        <f t="shared" si="24"/>
        <v>814.423</v>
      </c>
      <c r="D19" s="45">
        <f t="shared" si="24"/>
        <v>828.87699999999995</v>
      </c>
      <c r="E19" s="45">
        <f t="shared" si="24"/>
        <v>925.803</v>
      </c>
      <c r="F19" s="45">
        <f t="shared" si="24"/>
        <v>1224.175</v>
      </c>
      <c r="G19" s="46">
        <f t="shared" si="24"/>
        <v>309.37599999999998</v>
      </c>
      <c r="H19" s="47">
        <f t="shared" si="24"/>
        <v>324.58699999999999</v>
      </c>
      <c r="I19" s="47">
        <f t="shared" si="24"/>
        <v>304.529</v>
      </c>
      <c r="J19" s="47">
        <f t="shared" si="24"/>
        <v>356.44600000000014</v>
      </c>
      <c r="K19" s="45">
        <f>SUM(G19:J19)</f>
        <v>1294.9380000000001</v>
      </c>
      <c r="L19" s="47">
        <f t="shared" ref="L19:Y19" si="25">L217</f>
        <v>333.404</v>
      </c>
      <c r="M19" s="47">
        <f t="shared" si="25"/>
        <v>369.63299999999998</v>
      </c>
      <c r="N19" s="47">
        <f t="shared" si="25"/>
        <v>326.96300000000002</v>
      </c>
      <c r="O19" s="47">
        <f t="shared" si="25"/>
        <v>368.0809999999999</v>
      </c>
      <c r="P19" s="45">
        <f>SUM(L19:O19)</f>
        <v>1398.0809999999999</v>
      </c>
      <c r="Q19" s="47">
        <f t="shared" si="25"/>
        <v>326.26499999999999</v>
      </c>
      <c r="R19" s="47">
        <f t="shared" si="25"/>
        <v>368.93400000000003</v>
      </c>
      <c r="S19" s="47">
        <f t="shared" si="25"/>
        <v>301.29000000000002</v>
      </c>
      <c r="T19" s="47">
        <f>T217</f>
        <v>340.61899999999991</v>
      </c>
      <c r="U19" s="45">
        <f>SUM(Q19:T19)</f>
        <v>1337.1079999999999</v>
      </c>
      <c r="V19" s="47">
        <f t="shared" si="25"/>
        <v>314.666</v>
      </c>
      <c r="W19" s="47">
        <f t="shared" si="25"/>
        <v>314.27</v>
      </c>
      <c r="X19" s="47">
        <f t="shared" si="25"/>
        <v>297.47500000000002</v>
      </c>
      <c r="Y19" s="47">
        <f t="shared" si="25"/>
        <v>327.29399999999998</v>
      </c>
      <c r="Z19" s="45">
        <f>SUM(V19:Y19)</f>
        <v>1253.7049999999999</v>
      </c>
      <c r="AA19" s="47">
        <f t="shared" ref="AA19:AI19" si="26">AA217</f>
        <v>303.2</v>
      </c>
      <c r="AB19" s="47">
        <f t="shared" si="26"/>
        <v>301.8</v>
      </c>
      <c r="AC19" s="47">
        <f t="shared" si="26"/>
        <v>299.60000000000002</v>
      </c>
      <c r="AD19" s="47">
        <f t="shared" si="26"/>
        <v>361.3359999999999</v>
      </c>
      <c r="AE19" s="45">
        <f>SUM(AA19:AD19)</f>
        <v>1265.9359999999999</v>
      </c>
      <c r="AF19" s="47">
        <f t="shared" si="26"/>
        <v>330</v>
      </c>
      <c r="AG19" s="47">
        <f t="shared" si="26"/>
        <v>354</v>
      </c>
      <c r="AH19" s="47">
        <f t="shared" si="26"/>
        <v>336.6</v>
      </c>
      <c r="AI19" s="47">
        <f t="shared" si="26"/>
        <v>371.4</v>
      </c>
      <c r="AJ19" s="45">
        <f>SUM(AF19:AI19)</f>
        <v>1392</v>
      </c>
      <c r="AK19" s="47"/>
      <c r="AL19" s="47"/>
      <c r="AM19" s="47"/>
      <c r="AN19" s="47"/>
      <c r="AO19" s="45"/>
      <c r="AP19" s="47"/>
      <c r="AQ19" s="47"/>
      <c r="AR19" s="47"/>
      <c r="AS19" s="47"/>
      <c r="AT19" s="45"/>
      <c r="AU19" s="57"/>
      <c r="AV19" s="47"/>
      <c r="AW19" s="46"/>
      <c r="AX19" s="77"/>
      <c r="AY19" s="45"/>
      <c r="AZ19" s="136"/>
      <c r="BA19" s="77"/>
      <c r="BB19" s="77"/>
      <c r="BC19" s="77"/>
      <c r="BD19" s="45"/>
      <c r="BE19" s="136"/>
      <c r="BF19" s="77"/>
      <c r="BG19" s="77"/>
      <c r="BH19" s="77"/>
      <c r="BI19" s="79"/>
      <c r="BJ19" s="78"/>
      <c r="BK19" s="78"/>
      <c r="BL19" s="78"/>
      <c r="BM19" s="78"/>
      <c r="BN19" s="79"/>
      <c r="BO19" s="78"/>
      <c r="BP19" s="78"/>
      <c r="BQ19" s="78"/>
      <c r="BR19" s="78"/>
      <c r="BS19" s="79"/>
      <c r="BT19" s="78"/>
      <c r="BU19" s="78"/>
      <c r="BV19" s="78"/>
      <c r="BW19" s="78"/>
      <c r="BX19" s="79"/>
      <c r="BY19" s="137"/>
      <c r="BZ19" s="137"/>
      <c r="CA19" s="137"/>
      <c r="CB19" s="119"/>
      <c r="CC19" s="1360"/>
      <c r="CD19" s="57" t="str">
        <f>A19</f>
        <v>Service</v>
      </c>
      <c r="CE19" s="84">
        <f t="shared" si="23"/>
        <v>881.11500000000001</v>
      </c>
      <c r="CF19" s="84">
        <f t="shared" si="23"/>
        <v>814.423</v>
      </c>
      <c r="CG19" s="84">
        <f t="shared" si="23"/>
        <v>828.87699999999995</v>
      </c>
      <c r="CH19" s="84">
        <f t="shared" si="23"/>
        <v>925.803</v>
      </c>
      <c r="CI19" s="84">
        <f t="shared" si="23"/>
        <v>1224.175</v>
      </c>
      <c r="CJ19" s="84">
        <f>K19</f>
        <v>1294.9380000000001</v>
      </c>
      <c r="CK19" s="84">
        <f>P19</f>
        <v>1398.0809999999999</v>
      </c>
      <c r="CL19" s="84">
        <f>U19</f>
        <v>1337.1079999999999</v>
      </c>
      <c r="CM19" s="84">
        <f>Z19</f>
        <v>1253.7049999999999</v>
      </c>
      <c r="CN19" s="84">
        <f>AE19</f>
        <v>1265.9359999999999</v>
      </c>
      <c r="CO19" s="84">
        <f>AJ19</f>
        <v>1392</v>
      </c>
      <c r="CP19" s="84"/>
      <c r="CQ19" s="84"/>
      <c r="CR19" s="84"/>
      <c r="CS19" s="84"/>
      <c r="CT19" s="84"/>
      <c r="CU19" s="84"/>
      <c r="CV19" s="84"/>
      <c r="CW19" s="84"/>
      <c r="CX19" s="84"/>
      <c r="CY19" s="84"/>
      <c r="CZ19" s="85"/>
      <c r="DA19" s="86"/>
      <c r="DB19" s="87"/>
      <c r="DC19"/>
      <c r="DD19"/>
      <c r="DE19"/>
      <c r="DF19"/>
      <c r="DG19"/>
      <c r="DH19"/>
    </row>
    <row r="20" spans="1:112" ht="5.25" hidden="1" customHeight="1" outlineLevel="1">
      <c r="A20" s="88"/>
      <c r="B20" s="89" t="s">
        <v>62</v>
      </c>
      <c r="C20" s="89" t="s">
        <v>62</v>
      </c>
      <c r="D20" s="89" t="s">
        <v>62</v>
      </c>
      <c r="E20" s="89" t="s">
        <v>62</v>
      </c>
      <c r="F20" s="89" t="s">
        <v>62</v>
      </c>
      <c r="G20" s="90" t="s">
        <v>62</v>
      </c>
      <c r="H20" s="90" t="s">
        <v>62</v>
      </c>
      <c r="I20" s="90" t="s">
        <v>62</v>
      </c>
      <c r="J20" s="90" t="s">
        <v>62</v>
      </c>
      <c r="K20" s="89" t="s">
        <v>62</v>
      </c>
      <c r="L20" s="90" t="s">
        <v>62</v>
      </c>
      <c r="M20" s="90" t="s">
        <v>62</v>
      </c>
      <c r="N20" s="90" t="s">
        <v>62</v>
      </c>
      <c r="O20" s="90" t="s">
        <v>62</v>
      </c>
      <c r="P20" s="89" t="s">
        <v>62</v>
      </c>
      <c r="Q20" s="90" t="s">
        <v>62</v>
      </c>
      <c r="R20" s="90" t="s">
        <v>62</v>
      </c>
      <c r="S20" s="90" t="s">
        <v>62</v>
      </c>
      <c r="T20" s="90" t="s">
        <v>62</v>
      </c>
      <c r="U20" s="89" t="s">
        <v>62</v>
      </c>
      <c r="V20" s="90" t="s">
        <v>62</v>
      </c>
      <c r="W20" s="90" t="s">
        <v>62</v>
      </c>
      <c r="X20" s="90" t="s">
        <v>62</v>
      </c>
      <c r="Y20" s="90" t="s">
        <v>62</v>
      </c>
      <c r="Z20" s="91" t="s">
        <v>62</v>
      </c>
      <c r="AA20" s="92" t="s">
        <v>62</v>
      </c>
      <c r="AB20" s="92" t="s">
        <v>62</v>
      </c>
      <c r="AC20" s="92" t="s">
        <v>62</v>
      </c>
      <c r="AD20" s="92" t="s">
        <v>62</v>
      </c>
      <c r="AE20" s="91" t="s">
        <v>62</v>
      </c>
      <c r="AF20" s="138" t="s">
        <v>62</v>
      </c>
      <c r="AG20" s="138" t="s">
        <v>62</v>
      </c>
      <c r="AH20" s="92" t="s">
        <v>62</v>
      </c>
      <c r="AI20" s="92" t="s">
        <v>62</v>
      </c>
      <c r="AJ20" s="93" t="s">
        <v>62</v>
      </c>
      <c r="AK20" s="92" t="s">
        <v>62</v>
      </c>
      <c r="AL20" s="92" t="s">
        <v>62</v>
      </c>
      <c r="AM20" s="92" t="s">
        <v>62</v>
      </c>
      <c r="AN20" s="92" t="s">
        <v>62</v>
      </c>
      <c r="AO20" s="93" t="s">
        <v>62</v>
      </c>
      <c r="AP20" s="92" t="s">
        <v>62</v>
      </c>
      <c r="AQ20" s="92" t="s">
        <v>62</v>
      </c>
      <c r="AR20" s="92" t="s">
        <v>62</v>
      </c>
      <c r="AS20" s="92" t="s">
        <v>62</v>
      </c>
      <c r="AT20" s="93" t="s">
        <v>62</v>
      </c>
      <c r="AU20" s="94" t="s">
        <v>62</v>
      </c>
      <c r="AV20" s="92" t="s">
        <v>62</v>
      </c>
      <c r="AW20" s="92" t="s">
        <v>62</v>
      </c>
      <c r="AX20" s="92" t="s">
        <v>62</v>
      </c>
      <c r="AY20" s="93" t="s">
        <v>62</v>
      </c>
      <c r="AZ20" s="139" t="s">
        <v>62</v>
      </c>
      <c r="BA20" s="92" t="s">
        <v>62</v>
      </c>
      <c r="BB20" s="92" t="s">
        <v>62</v>
      </c>
      <c r="BC20" s="92" t="s">
        <v>62</v>
      </c>
      <c r="BD20" s="93" t="s">
        <v>62</v>
      </c>
      <c r="BE20" s="139" t="s">
        <v>62</v>
      </c>
      <c r="BF20" s="92" t="s">
        <v>62</v>
      </c>
      <c r="BG20" s="92" t="s">
        <v>62</v>
      </c>
      <c r="BH20" s="92" t="s">
        <v>62</v>
      </c>
      <c r="BI20" s="140" t="s">
        <v>62</v>
      </c>
      <c r="BJ20" s="95" t="s">
        <v>62</v>
      </c>
      <c r="BK20" s="95" t="s">
        <v>62</v>
      </c>
      <c r="BL20" s="95" t="s">
        <v>62</v>
      </c>
      <c r="BM20" s="95" t="s">
        <v>62</v>
      </c>
      <c r="BN20" s="140" t="s">
        <v>62</v>
      </c>
      <c r="BO20" s="95" t="s">
        <v>62</v>
      </c>
      <c r="BP20" s="95" t="s">
        <v>62</v>
      </c>
      <c r="BQ20" s="95" t="s">
        <v>62</v>
      </c>
      <c r="BR20" s="95" t="s">
        <v>62</v>
      </c>
      <c r="BS20" s="140" t="s">
        <v>62</v>
      </c>
      <c r="BT20" s="95" t="s">
        <v>62</v>
      </c>
      <c r="BU20" s="95" t="s">
        <v>62</v>
      </c>
      <c r="BV20" s="95" t="s">
        <v>62</v>
      </c>
      <c r="BW20" s="95" t="s">
        <v>62</v>
      </c>
      <c r="BX20" s="140" t="s">
        <v>62</v>
      </c>
      <c r="BY20" s="96" t="s">
        <v>62</v>
      </c>
      <c r="BZ20" s="96" t="s">
        <v>62</v>
      </c>
      <c r="CA20" s="96" t="s">
        <v>62</v>
      </c>
      <c r="CB20" s="69"/>
      <c r="CC20" s="1361"/>
      <c r="CD20" s="141"/>
      <c r="CE20" s="98" t="s">
        <v>62</v>
      </c>
      <c r="CF20" s="98" t="s">
        <v>62</v>
      </c>
      <c r="CG20" s="98" t="s">
        <v>62</v>
      </c>
      <c r="CH20" s="98" t="s">
        <v>62</v>
      </c>
      <c r="CI20" s="98" t="s">
        <v>62</v>
      </c>
      <c r="CJ20" s="98" t="s">
        <v>62</v>
      </c>
      <c r="CK20" s="98" t="s">
        <v>62</v>
      </c>
      <c r="CL20" s="98" t="s">
        <v>62</v>
      </c>
      <c r="CM20" s="98" t="s">
        <v>62</v>
      </c>
      <c r="CN20" s="90" t="s">
        <v>62</v>
      </c>
      <c r="CO20" s="90" t="s">
        <v>62</v>
      </c>
      <c r="CP20" s="90" t="s">
        <v>62</v>
      </c>
      <c r="CQ20" s="90" t="s">
        <v>62</v>
      </c>
      <c r="CR20" s="90" t="s">
        <v>62</v>
      </c>
      <c r="CS20" s="90" t="s">
        <v>62</v>
      </c>
      <c r="CT20" s="90" t="s">
        <v>62</v>
      </c>
      <c r="CU20" s="90" t="s">
        <v>62</v>
      </c>
      <c r="CV20" s="90" t="s">
        <v>62</v>
      </c>
      <c r="CW20" s="90" t="s">
        <v>62</v>
      </c>
      <c r="CX20" s="90" t="s">
        <v>62</v>
      </c>
      <c r="CY20" s="90" t="s">
        <v>62</v>
      </c>
      <c r="CZ20" s="99" t="s">
        <v>62</v>
      </c>
      <c r="DA20" s="58"/>
      <c r="DB20" s="100"/>
    </row>
    <row r="21" spans="1:112" s="108" customFormat="1" ht="12" customHeight="1" collapsed="1">
      <c r="A21" s="142" t="s">
        <v>66</v>
      </c>
      <c r="B21" s="143">
        <f t="shared" ref="B21:AE21" si="27">SUM(B18:B19)</f>
        <v>2104.7730000000001</v>
      </c>
      <c r="C21" s="143">
        <f t="shared" si="27"/>
        <v>1981.3109999999999</v>
      </c>
      <c r="D21" s="143">
        <f t="shared" si="27"/>
        <v>2018.45</v>
      </c>
      <c r="E21" s="143">
        <f t="shared" si="27"/>
        <v>2046.645</v>
      </c>
      <c r="F21" s="143">
        <f t="shared" si="27"/>
        <v>2316.3339999999998</v>
      </c>
      <c r="G21" s="72">
        <f t="shared" si="27"/>
        <v>481.48500000000001</v>
      </c>
      <c r="H21" s="72">
        <f t="shared" si="27"/>
        <v>586.476</v>
      </c>
      <c r="I21" s="72">
        <f t="shared" si="27"/>
        <v>712.25700000000006</v>
      </c>
      <c r="J21" s="72">
        <f t="shared" si="27"/>
        <v>607.029</v>
      </c>
      <c r="K21" s="143">
        <f t="shared" si="27"/>
        <v>2387.2470000000003</v>
      </c>
      <c r="L21" s="72">
        <f t="shared" si="27"/>
        <v>504.38200000000001</v>
      </c>
      <c r="M21" s="72">
        <f t="shared" si="27"/>
        <v>634.80099999999993</v>
      </c>
      <c r="N21" s="72">
        <f t="shared" si="27"/>
        <v>766.89100000000008</v>
      </c>
      <c r="O21" s="72">
        <f t="shared" si="27"/>
        <v>621.52599999999984</v>
      </c>
      <c r="P21" s="143">
        <f t="shared" si="27"/>
        <v>2527.6</v>
      </c>
      <c r="Q21" s="72">
        <f t="shared" si="27"/>
        <v>508.31099999999998</v>
      </c>
      <c r="R21" s="72">
        <f t="shared" si="27"/>
        <v>647.154</v>
      </c>
      <c r="S21" s="72">
        <f t="shared" si="27"/>
        <v>755.08799999999997</v>
      </c>
      <c r="T21" s="72">
        <f t="shared" si="27"/>
        <v>607.87699999999973</v>
      </c>
      <c r="U21" s="143">
        <f t="shared" si="27"/>
        <v>2518.4299999999998</v>
      </c>
      <c r="V21" s="72">
        <f t="shared" si="27"/>
        <v>488.93899999999996</v>
      </c>
      <c r="W21" s="72">
        <f t="shared" si="27"/>
        <v>582.505</v>
      </c>
      <c r="X21" s="72">
        <f t="shared" si="27"/>
        <v>735.88</v>
      </c>
      <c r="Y21" s="72">
        <f t="shared" si="27"/>
        <v>578.68299999999988</v>
      </c>
      <c r="Z21" s="143">
        <f t="shared" si="27"/>
        <v>2386.0069999999996</v>
      </c>
      <c r="AA21" s="72">
        <f t="shared" si="27"/>
        <v>476.2</v>
      </c>
      <c r="AB21" s="72">
        <f t="shared" si="27"/>
        <v>560.90000000000009</v>
      </c>
      <c r="AC21" s="72">
        <f t="shared" si="27"/>
        <v>708</v>
      </c>
      <c r="AD21" s="72">
        <f t="shared" si="27"/>
        <v>600.928</v>
      </c>
      <c r="AE21" s="143">
        <f t="shared" si="27"/>
        <v>2346.0280000000002</v>
      </c>
      <c r="AF21" s="1867">
        <f>AF220</f>
        <v>503</v>
      </c>
      <c r="AG21" s="1867">
        <f>AG220</f>
        <v>593</v>
      </c>
      <c r="AH21" s="1867">
        <f>AH220</f>
        <v>711</v>
      </c>
      <c r="AI21" s="1867">
        <f>AI220</f>
        <v>593</v>
      </c>
      <c r="AJ21" s="143">
        <f>SUM(AF21:AI21)</f>
        <v>2400</v>
      </c>
      <c r="AK21" s="1867">
        <f>AK220</f>
        <v>361</v>
      </c>
      <c r="AL21" s="1867">
        <f>AL220</f>
        <v>351</v>
      </c>
      <c r="AM21" s="1867">
        <f>AM220</f>
        <v>367</v>
      </c>
      <c r="AN21" s="1867">
        <f>AN220</f>
        <v>407</v>
      </c>
      <c r="AO21" s="143">
        <f>SUM(AK21:AN21)</f>
        <v>1486</v>
      </c>
      <c r="AP21" s="1867">
        <f>AP220</f>
        <v>374</v>
      </c>
      <c r="AQ21" s="1867">
        <f>AQ220</f>
        <v>395</v>
      </c>
      <c r="AR21" s="1867">
        <f>AR220</f>
        <v>371</v>
      </c>
      <c r="AS21" s="1867">
        <f>AS220</f>
        <v>424</v>
      </c>
      <c r="AT21" s="143">
        <f>SUM(AP21:AS21)</f>
        <v>1564</v>
      </c>
      <c r="AU21" s="1868">
        <f>AU220</f>
        <v>411</v>
      </c>
      <c r="AV21" s="1867">
        <f>AV220</f>
        <v>420</v>
      </c>
      <c r="AW21" s="1867">
        <f>AW220</f>
        <v>399</v>
      </c>
      <c r="AX21" s="1867">
        <f>AX220</f>
        <v>397</v>
      </c>
      <c r="AY21" s="143">
        <f>SUM(AU21:AX21)</f>
        <v>1627</v>
      </c>
      <c r="AZ21" s="1869">
        <f>AZ220</f>
        <v>410</v>
      </c>
      <c r="BA21" s="1870">
        <f>BA220</f>
        <v>406</v>
      </c>
      <c r="BB21" s="1870">
        <f>BB220</f>
        <v>419</v>
      </c>
      <c r="BC21" s="1870">
        <f>BC220</f>
        <v>437</v>
      </c>
      <c r="BD21" s="143">
        <f>SUM(AZ21:BC21)</f>
        <v>1672</v>
      </c>
      <c r="BE21" s="1870">
        <f>BE220</f>
        <v>457</v>
      </c>
      <c r="BF21" s="1870">
        <f>BF220</f>
        <v>469</v>
      </c>
      <c r="BG21" s="1870">
        <f>BG220</f>
        <v>438</v>
      </c>
      <c r="BH21" s="1870">
        <f>BH220</f>
        <v>405</v>
      </c>
      <c r="BI21" s="147">
        <f>SUM(BE21:BH21)</f>
        <v>1769</v>
      </c>
      <c r="BJ21" s="1870">
        <f>BJ220</f>
        <v>411</v>
      </c>
      <c r="BK21" s="146">
        <f>BK220</f>
        <v>449</v>
      </c>
      <c r="BL21" s="146">
        <f>BL220</f>
        <v>421</v>
      </c>
      <c r="BM21" s="146">
        <f>BM220</f>
        <v>432</v>
      </c>
      <c r="BN21" s="147">
        <f>SUM(BJ21:BM21)</f>
        <v>1713</v>
      </c>
      <c r="BO21" s="146">
        <f>BO220</f>
        <v>439</v>
      </c>
      <c r="BP21" s="146">
        <f>BP220</f>
        <v>488.09252415043392</v>
      </c>
      <c r="BQ21" s="146">
        <f>BQ220</f>
        <v>451.69973130407254</v>
      </c>
      <c r="BR21" s="146">
        <f>BR220</f>
        <v>454.33084750479821</v>
      </c>
      <c r="BS21" s="147">
        <f>SUM(BO21:BR21)</f>
        <v>1833.1231029593048</v>
      </c>
      <c r="BT21" s="146">
        <f>BT220</f>
        <v>461.25305455985188</v>
      </c>
      <c r="BU21" s="146">
        <f>BU220</f>
        <v>516.94954634593159</v>
      </c>
      <c r="BV21" s="146">
        <f>BV220</f>
        <v>478.95713398897487</v>
      </c>
      <c r="BW21" s="146">
        <f>BW220</f>
        <v>481.46744773698072</v>
      </c>
      <c r="BX21" s="147">
        <f>SUM(BT21:BW21)</f>
        <v>1938.6271826317393</v>
      </c>
      <c r="BY21" s="1871">
        <f>BY220</f>
        <v>2038.8533674651212</v>
      </c>
      <c r="BZ21" s="1871">
        <f>BZ220</f>
        <v>2145.1031720072147</v>
      </c>
      <c r="CA21" s="1871">
        <f>CA220</f>
        <v>2245.6078325888388</v>
      </c>
      <c r="CB21" s="118"/>
      <c r="CC21" s="1359"/>
      <c r="CD21" s="64" t="str">
        <f t="shared" ref="CD21:CI24" si="28">A21</f>
        <v>Total Operating-Related Expenses</v>
      </c>
      <c r="CE21" s="72">
        <f t="shared" si="28"/>
        <v>2104.7730000000001</v>
      </c>
      <c r="CF21" s="72">
        <f t="shared" si="28"/>
        <v>1981.3109999999999</v>
      </c>
      <c r="CG21" s="72">
        <f t="shared" si="28"/>
        <v>2018.45</v>
      </c>
      <c r="CH21" s="72">
        <f t="shared" si="28"/>
        <v>2046.645</v>
      </c>
      <c r="CI21" s="72">
        <f t="shared" si="28"/>
        <v>2316.3339999999998</v>
      </c>
      <c r="CJ21" s="72">
        <f>K21</f>
        <v>2387.2470000000003</v>
      </c>
      <c r="CK21" s="72">
        <f>P21</f>
        <v>2527.6</v>
      </c>
      <c r="CL21" s="72">
        <f>U21</f>
        <v>2518.4299999999998</v>
      </c>
      <c r="CM21" s="72">
        <f>Z21</f>
        <v>2386.0069999999996</v>
      </c>
      <c r="CN21" s="72">
        <f>AE21</f>
        <v>2346.0280000000002</v>
      </c>
      <c r="CO21" s="72">
        <f>AJ21</f>
        <v>2400</v>
      </c>
      <c r="CP21" s="72">
        <f>AO21</f>
        <v>1486</v>
      </c>
      <c r="CQ21" s="72">
        <f>AT21</f>
        <v>1564</v>
      </c>
      <c r="CR21" s="72">
        <f>AY21</f>
        <v>1627</v>
      </c>
      <c r="CS21" s="72">
        <f>BD21</f>
        <v>1672</v>
      </c>
      <c r="CT21" s="72">
        <f>BI21</f>
        <v>1769</v>
      </c>
      <c r="CU21" s="72">
        <f>BN21</f>
        <v>1713</v>
      </c>
      <c r="CV21" s="72">
        <f>BS21</f>
        <v>1833.1231029593048</v>
      </c>
      <c r="CW21" s="72">
        <f t="shared" ref="CW21:CZ24" si="29">BX21</f>
        <v>1938.6271826317393</v>
      </c>
      <c r="CX21" s="72">
        <f t="shared" si="29"/>
        <v>2038.8533674651212</v>
      </c>
      <c r="CY21" s="72">
        <f t="shared" si="29"/>
        <v>2145.1031720072147</v>
      </c>
      <c r="CZ21" s="73">
        <f t="shared" si="29"/>
        <v>2245.6078325888388</v>
      </c>
      <c r="DA21" s="74"/>
      <c r="DB21" s="59">
        <f>SUM(BO21,BP21,BQ21,BR21)</f>
        <v>1833.1231029593048</v>
      </c>
      <c r="DC21"/>
      <c r="DD21"/>
      <c r="DE21"/>
      <c r="DF21"/>
      <c r="DG21"/>
      <c r="DH21"/>
    </row>
    <row r="22" spans="1:112">
      <c r="A22" s="148" t="s">
        <v>67</v>
      </c>
      <c r="B22" s="112">
        <f t="shared" ref="B22:BM22" si="30">B21/B14</f>
        <v>0.45307440370161889</v>
      </c>
      <c r="C22" s="112">
        <f t="shared" si="30"/>
        <v>0.42698974868237982</v>
      </c>
      <c r="D22" s="112">
        <f t="shared" si="30"/>
        <v>0.41274395131606934</v>
      </c>
      <c r="E22" s="112">
        <f t="shared" si="30"/>
        <v>0.38979719792524115</v>
      </c>
      <c r="F22" s="112">
        <f t="shared" si="30"/>
        <v>0.38582147303253589</v>
      </c>
      <c r="G22" s="115">
        <f t="shared" si="30"/>
        <v>0.42210385217927215</v>
      </c>
      <c r="H22" s="113">
        <f t="shared" si="30"/>
        <v>0.3839342002156404</v>
      </c>
      <c r="I22" s="113">
        <f t="shared" si="30"/>
        <v>0.35745645071440402</v>
      </c>
      <c r="J22" s="121">
        <f t="shared" si="30"/>
        <v>0.38073855988599714</v>
      </c>
      <c r="K22" s="112">
        <f t="shared" si="30"/>
        <v>0.38164577663993987</v>
      </c>
      <c r="L22" s="115">
        <f t="shared" si="30"/>
        <v>0.3890581587111564</v>
      </c>
      <c r="M22" s="113">
        <f t="shared" si="30"/>
        <v>0.36946150546596129</v>
      </c>
      <c r="N22" s="113">
        <f t="shared" si="30"/>
        <v>0.35049926965131567</v>
      </c>
      <c r="O22" s="121">
        <f t="shared" si="30"/>
        <v>0.39595511974354136</v>
      </c>
      <c r="P22" s="112">
        <f t="shared" si="30"/>
        <v>0.37322727748597556</v>
      </c>
      <c r="Q22" s="115">
        <f t="shared" si="30"/>
        <v>0.41737671723852526</v>
      </c>
      <c r="R22" s="113">
        <f t="shared" si="30"/>
        <v>0.38677045824679884</v>
      </c>
      <c r="S22" s="113">
        <f t="shared" si="30"/>
        <v>0.36859794360962261</v>
      </c>
      <c r="T22" s="121">
        <f t="shared" si="30"/>
        <v>0.42946818536997533</v>
      </c>
      <c r="U22" s="112">
        <f t="shared" si="30"/>
        <v>0.39628767965029416</v>
      </c>
      <c r="V22" s="115">
        <f t="shared" si="30"/>
        <v>0.42582826964127551</v>
      </c>
      <c r="W22" s="113">
        <f t="shared" si="30"/>
        <v>0.39756548683438214</v>
      </c>
      <c r="X22" s="113">
        <f t="shared" si="30"/>
        <v>0.39228041108735368</v>
      </c>
      <c r="Y22" s="121">
        <f t="shared" si="30"/>
        <v>0.3956828481796823</v>
      </c>
      <c r="Z22" s="112">
        <f t="shared" si="30"/>
        <v>0.40088951510656801</v>
      </c>
      <c r="AA22" s="115">
        <f t="shared" si="30"/>
        <v>0.40003360215053757</v>
      </c>
      <c r="AB22" s="113">
        <f t="shared" si="30"/>
        <v>0.3805033579811411</v>
      </c>
      <c r="AC22" s="113">
        <f t="shared" si="30"/>
        <v>0.36192618341682853</v>
      </c>
      <c r="AD22" s="121">
        <f t="shared" si="30"/>
        <v>0.38828893967618894</v>
      </c>
      <c r="AE22" s="112">
        <f t="shared" si="30"/>
        <v>0.38033432382276505</v>
      </c>
      <c r="AF22" s="115">
        <f t="shared" si="30"/>
        <v>0.39888977002379067</v>
      </c>
      <c r="AG22" s="113">
        <f t="shared" si="30"/>
        <v>0.38086062941554272</v>
      </c>
      <c r="AH22" s="113">
        <f t="shared" si="30"/>
        <v>0.37264150943396224</v>
      </c>
      <c r="AI22" s="121">
        <f t="shared" si="30"/>
        <v>0.59063745019920322</v>
      </c>
      <c r="AJ22" s="112">
        <f t="shared" si="30"/>
        <v>0.38424591738712777</v>
      </c>
      <c r="AK22" s="113">
        <f t="shared" si="30"/>
        <v>0.34879227053140094</v>
      </c>
      <c r="AL22" s="113">
        <f t="shared" si="30"/>
        <v>0.32742537313432835</v>
      </c>
      <c r="AM22" s="113">
        <f t="shared" si="30"/>
        <v>0.3288530465949821</v>
      </c>
      <c r="AN22" s="113">
        <f t="shared" si="30"/>
        <v>0.33170334148329256</v>
      </c>
      <c r="AO22" s="112">
        <f t="shared" si="30"/>
        <v>0.33393258426966294</v>
      </c>
      <c r="AP22" s="113">
        <f t="shared" si="30"/>
        <v>0.31668077900084673</v>
      </c>
      <c r="AQ22" s="113">
        <f t="shared" si="30"/>
        <v>0.316</v>
      </c>
      <c r="AR22" s="113">
        <f t="shared" si="30"/>
        <v>0.3220486111111111</v>
      </c>
      <c r="AS22" s="121">
        <f t="shared" si="30"/>
        <v>0.351575456053068</v>
      </c>
      <c r="AT22" s="112">
        <f t="shared" si="30"/>
        <v>0.32658174984339111</v>
      </c>
      <c r="AU22" s="115">
        <f>AU21/AU14</f>
        <v>0.34364548494983277</v>
      </c>
      <c r="AV22" s="113">
        <f>AV21/AV14</f>
        <v>0.32258064516129031</v>
      </c>
      <c r="AW22" s="113">
        <f>AW21/AW14</f>
        <v>0.31591448931116389</v>
      </c>
      <c r="AX22" s="121">
        <f>AX21/AX14</f>
        <v>0.30775193798449613</v>
      </c>
      <c r="AY22" s="112">
        <f t="shared" si="30"/>
        <v>0.32211443278558699</v>
      </c>
      <c r="AZ22" s="116">
        <f>AZ21/AZ14</f>
        <v>0.32207384131971722</v>
      </c>
      <c r="BA22" s="113">
        <f>BA21/BA14</f>
        <v>0.30253353204172878</v>
      </c>
      <c r="BB22" s="113">
        <f>BB21/BB14</f>
        <v>0.31646525679758308</v>
      </c>
      <c r="BC22" s="121">
        <f>BC21/BC14</f>
        <v>0.31804949053857351</v>
      </c>
      <c r="BD22" s="112">
        <f t="shared" si="30"/>
        <v>0.31469979296066253</v>
      </c>
      <c r="BE22" s="116">
        <f>BE21/BE14</f>
        <v>0.34079045488441462</v>
      </c>
      <c r="BF22" s="113">
        <f>BF21/BF14</f>
        <v>0.31646423751686908</v>
      </c>
      <c r="BG22" s="113">
        <f>BG21/BG14</f>
        <v>0.30437804030576787</v>
      </c>
      <c r="BH22" s="121">
        <f>BH21/BH14</f>
        <v>0.28949249463902788</v>
      </c>
      <c r="BI22" s="118">
        <f t="shared" si="30"/>
        <v>0.31248895954778305</v>
      </c>
      <c r="BJ22" s="117">
        <f t="shared" si="30"/>
        <v>0.28286304198210599</v>
      </c>
      <c r="BK22" s="117">
        <f t="shared" si="30"/>
        <v>0.29754804506295562</v>
      </c>
      <c r="BL22" s="117">
        <f t="shared" si="30"/>
        <v>0.27825512227362853</v>
      </c>
      <c r="BM22" s="149">
        <f t="shared" si="30"/>
        <v>0.27186910006293269</v>
      </c>
      <c r="BN22" s="118">
        <f t="shared" ref="BN22:BZ22" si="31">BN21/BN14</f>
        <v>0.2824868073878628</v>
      </c>
      <c r="BO22" s="117">
        <f t="shared" si="31"/>
        <v>0.2801531589023612</v>
      </c>
      <c r="BP22" s="117">
        <f t="shared" si="31"/>
        <v>0.29754804506295562</v>
      </c>
      <c r="BQ22" s="117">
        <f t="shared" si="31"/>
        <v>0.27825512227362853</v>
      </c>
      <c r="BR22" s="149">
        <f t="shared" si="31"/>
        <v>0.27186910006293274</v>
      </c>
      <c r="BS22" s="118">
        <f t="shared" si="31"/>
        <v>0.28193869933477977</v>
      </c>
      <c r="BT22" s="117">
        <f t="shared" ref="BT22:BX22" si="32">BT21/BT14</f>
        <v>0.28015315890236114</v>
      </c>
      <c r="BU22" s="117">
        <f t="shared" si="32"/>
        <v>0.29754804506295562</v>
      </c>
      <c r="BV22" s="117">
        <f t="shared" si="32"/>
        <v>0.27825512227362853</v>
      </c>
      <c r="BW22" s="149">
        <f t="shared" si="32"/>
        <v>0.27186910006293269</v>
      </c>
      <c r="BX22" s="118">
        <f t="shared" si="32"/>
        <v>0.28193958281760173</v>
      </c>
      <c r="BY22" s="118">
        <f t="shared" si="31"/>
        <v>0.28193958281760179</v>
      </c>
      <c r="BZ22" s="118">
        <f t="shared" si="31"/>
        <v>0.28193958281760173</v>
      </c>
      <c r="CA22" s="118">
        <f t="shared" ref="CA22" si="33">CA21/CA14</f>
        <v>0.28193958281760173</v>
      </c>
      <c r="CB22" s="150"/>
      <c r="CC22" s="1361"/>
      <c r="CD22" s="151" t="str">
        <f t="shared" si="28"/>
        <v>% of Total Revenue</v>
      </c>
      <c r="CE22" s="113">
        <f t="shared" si="28"/>
        <v>0.45307440370161889</v>
      </c>
      <c r="CF22" s="113">
        <f t="shared" si="28"/>
        <v>0.42698974868237982</v>
      </c>
      <c r="CG22" s="113">
        <f t="shared" si="28"/>
        <v>0.41274395131606934</v>
      </c>
      <c r="CH22" s="113">
        <f t="shared" si="28"/>
        <v>0.38979719792524115</v>
      </c>
      <c r="CI22" s="113">
        <f t="shared" si="28"/>
        <v>0.38582147303253589</v>
      </c>
      <c r="CJ22" s="113">
        <f>K22</f>
        <v>0.38164577663993987</v>
      </c>
      <c r="CK22" s="113">
        <f>P22</f>
        <v>0.37322727748597556</v>
      </c>
      <c r="CL22" s="113">
        <f>U22</f>
        <v>0.39628767965029416</v>
      </c>
      <c r="CM22" s="113">
        <f>Z22</f>
        <v>0.40088951510656801</v>
      </c>
      <c r="CN22" s="113">
        <f>AE22</f>
        <v>0.38033432382276505</v>
      </c>
      <c r="CO22" s="113">
        <f>AJ22</f>
        <v>0.38424591738712777</v>
      </c>
      <c r="CP22" s="113">
        <f>AO22</f>
        <v>0.33393258426966294</v>
      </c>
      <c r="CQ22" s="113">
        <f>AT22</f>
        <v>0.32658174984339111</v>
      </c>
      <c r="CR22" s="113">
        <f>AY22</f>
        <v>0.32211443278558699</v>
      </c>
      <c r="CS22" s="113">
        <f>BD22</f>
        <v>0.31469979296066253</v>
      </c>
      <c r="CT22" s="113">
        <f>BI22</f>
        <v>0.31248895954778305</v>
      </c>
      <c r="CU22" s="113">
        <f>BN22</f>
        <v>0.2824868073878628</v>
      </c>
      <c r="CV22" s="113">
        <f>BS22</f>
        <v>0.28193869933477977</v>
      </c>
      <c r="CW22" s="113">
        <f t="shared" si="29"/>
        <v>0.28193958281760173</v>
      </c>
      <c r="CX22" s="113">
        <f t="shared" si="29"/>
        <v>0.28193958281760179</v>
      </c>
      <c r="CY22" s="113">
        <f t="shared" si="29"/>
        <v>0.28193958281760173</v>
      </c>
      <c r="CZ22" s="121">
        <f t="shared" si="29"/>
        <v>0.28193958281760173</v>
      </c>
      <c r="DA22" s="58"/>
      <c r="DB22" s="123">
        <f>DB21/$DB$14</f>
        <v>0.28193869933477977</v>
      </c>
    </row>
    <row r="23" spans="1:112" s="159" customFormat="1" ht="12" customHeight="1">
      <c r="A23" s="152" t="s">
        <v>68</v>
      </c>
      <c r="B23" s="153">
        <f t="shared" ref="B23:Y23" si="34">B224</f>
        <v>1700.5329999999999</v>
      </c>
      <c r="C23" s="153">
        <f t="shared" si="34"/>
        <v>1634.5329999999999</v>
      </c>
      <c r="D23" s="153">
        <f t="shared" si="34"/>
        <v>1766.549</v>
      </c>
      <c r="E23" s="153">
        <f t="shared" si="34"/>
        <v>1904.556</v>
      </c>
      <c r="F23" s="153">
        <f>F224</f>
        <v>2149.1950000000002</v>
      </c>
      <c r="G23" s="154">
        <f>G224</f>
        <v>480.22999999999996</v>
      </c>
      <c r="H23" s="1363">
        <f>H224</f>
        <v>540.24099999999999</v>
      </c>
      <c r="I23" s="1363">
        <f>I224</f>
        <v>609.67899999999997</v>
      </c>
      <c r="J23" s="1363">
        <f>J224</f>
        <v>626.19999999999982</v>
      </c>
      <c r="K23" s="153">
        <f>SUM(G23:J23)</f>
        <v>2256.35</v>
      </c>
      <c r="L23" s="1363">
        <f t="shared" si="34"/>
        <v>536.64300000000003</v>
      </c>
      <c r="M23" s="1363">
        <f t="shared" si="34"/>
        <v>587.68700000000001</v>
      </c>
      <c r="N23" s="1363">
        <f t="shared" si="34"/>
        <v>644.54499999999996</v>
      </c>
      <c r="O23" s="1363">
        <f t="shared" si="34"/>
        <v>625.30899999999997</v>
      </c>
      <c r="P23" s="153">
        <f>SUM(L23:O23)</f>
        <v>2394.1840000000002</v>
      </c>
      <c r="Q23" s="1363">
        <f t="shared" si="34"/>
        <v>516.77300000000002</v>
      </c>
      <c r="R23" s="1363">
        <f>R224</f>
        <v>594.13499999999999</v>
      </c>
      <c r="S23" s="1363">
        <f>S224</f>
        <v>573.548</v>
      </c>
      <c r="T23" s="1363">
        <f t="shared" si="34"/>
        <v>525.73899999999992</v>
      </c>
      <c r="U23" s="153">
        <f>SUM(Q23:T23)</f>
        <v>2210.1949999999997</v>
      </c>
      <c r="V23" s="1363">
        <f t="shared" si="34"/>
        <v>491.31099999999998</v>
      </c>
      <c r="W23" s="1363">
        <f>W224</f>
        <v>530.92599999999993</v>
      </c>
      <c r="X23" s="1363">
        <f>X224</f>
        <v>546.96100000000001</v>
      </c>
      <c r="Y23" s="1363">
        <f t="shared" si="34"/>
        <v>567.05300000000034</v>
      </c>
      <c r="Z23" s="153">
        <f>SUM(V23:Y23)</f>
        <v>2136.2510000000002</v>
      </c>
      <c r="AA23" s="1363">
        <f t="shared" ref="AA23:AI23" si="35">AA224</f>
        <v>488</v>
      </c>
      <c r="AB23" s="1363">
        <f t="shared" si="35"/>
        <v>547.70000000000005</v>
      </c>
      <c r="AC23" s="1363">
        <f t="shared" si="35"/>
        <v>597.6</v>
      </c>
      <c r="AD23" s="1363">
        <f t="shared" si="35"/>
        <v>602.70299999999997</v>
      </c>
      <c r="AE23" s="153">
        <f>SUM(AA23:AD23)</f>
        <v>2236.0030000000002</v>
      </c>
      <c r="AF23" s="1363">
        <f t="shared" si="35"/>
        <v>503</v>
      </c>
      <c r="AG23" s="1363">
        <f t="shared" si="35"/>
        <v>580</v>
      </c>
      <c r="AH23" s="1363">
        <f t="shared" si="35"/>
        <v>552.20000000000005</v>
      </c>
      <c r="AI23" s="1363">
        <f t="shared" si="35"/>
        <v>128.89999999999998</v>
      </c>
      <c r="AJ23" s="153">
        <f>SUM(AF23:AI23)</f>
        <v>1764.1</v>
      </c>
      <c r="AK23" s="1363">
        <f>AK224</f>
        <v>332</v>
      </c>
      <c r="AL23" s="1363">
        <f>AL224</f>
        <v>340</v>
      </c>
      <c r="AM23" s="1363">
        <f>AM224</f>
        <v>354</v>
      </c>
      <c r="AN23" s="1363">
        <f>AN224</f>
        <v>464</v>
      </c>
      <c r="AO23" s="153">
        <f>SUM(AK23:AN23)</f>
        <v>1490</v>
      </c>
      <c r="AP23" s="1363">
        <f>AP224</f>
        <v>373</v>
      </c>
      <c r="AQ23" s="1363">
        <f>AQ224</f>
        <v>374</v>
      </c>
      <c r="AR23" s="1363">
        <f>AR224</f>
        <v>388</v>
      </c>
      <c r="AS23" s="1363">
        <f>AS224</f>
        <v>364</v>
      </c>
      <c r="AT23" s="153">
        <f>SUM(AP23:AS23)</f>
        <v>1499</v>
      </c>
      <c r="AU23" s="155">
        <f>AU224</f>
        <v>331.5</v>
      </c>
      <c r="AV23" s="1363">
        <f>AV224</f>
        <v>364.5</v>
      </c>
      <c r="AW23" s="154">
        <f>AW224</f>
        <v>355</v>
      </c>
      <c r="AX23" s="154">
        <f>AX224</f>
        <v>415</v>
      </c>
      <c r="AY23" s="153">
        <f>SUM(AU23:AX23)</f>
        <v>1466</v>
      </c>
      <c r="AZ23" s="154">
        <f>772-'Op Metrics'!AZ140-AZ34-AZ21</f>
        <v>335</v>
      </c>
      <c r="BA23" s="154">
        <f>771-'Op Metrics'!BA140-BA34-BA21</f>
        <v>362</v>
      </c>
      <c r="BB23" s="154">
        <f>914-'Op Metrics'!BB140-BB34-BB21</f>
        <v>339</v>
      </c>
      <c r="BC23" s="154">
        <f>950-'Op Metrics'!BC140-BC34-BC21</f>
        <v>406</v>
      </c>
      <c r="BD23" s="153">
        <f>SUM(AZ23:BC23)</f>
        <v>1442</v>
      </c>
      <c r="BE23" s="154">
        <f>829-'Op Metrics'!BE140-BE34-BE21</f>
        <v>315</v>
      </c>
      <c r="BF23" s="154">
        <f>831-'Op Metrics'!BF140-BF34-BF21</f>
        <v>339</v>
      </c>
      <c r="BG23" s="154">
        <f>813-'Op Metrics'!BG140-BG34-BG21-721</f>
        <v>340</v>
      </c>
      <c r="BH23" s="154">
        <f>921-'Op Metrics'!BH140-BH34-BH21-379</f>
        <v>383</v>
      </c>
      <c r="BI23" s="157">
        <f>SUM(BE23:BH23)</f>
        <v>1377</v>
      </c>
      <c r="BJ23" s="154">
        <f>805-'Op Metrics'!BJ140-BJ34-BJ21</f>
        <v>334</v>
      </c>
      <c r="BK23" s="156">
        <f>832-'Op Metrics'!BK140-BK34-BK21</f>
        <v>325</v>
      </c>
      <c r="BL23" s="156">
        <f>855-'Op Metrics'!BL140-BL34-BL21</f>
        <v>369</v>
      </c>
      <c r="BM23" s="156">
        <f>961-'Op Metrics'!BM140-BM34-BM21</f>
        <v>384</v>
      </c>
      <c r="BN23" s="157">
        <f>SUM(BJ23:BM23)</f>
        <v>1412</v>
      </c>
      <c r="BO23" s="156">
        <f>856-'Op Metrics'!BO140-BO34-BO21</f>
        <v>372</v>
      </c>
      <c r="BP23" s="156">
        <f>BP224</f>
        <v>359.36113223790898</v>
      </c>
      <c r="BQ23" s="156">
        <f>BQ224</f>
        <v>397.5376509747299</v>
      </c>
      <c r="BR23" s="156">
        <f>BR224</f>
        <v>413.21025751286118</v>
      </c>
      <c r="BS23" s="157">
        <f>SUM(BO23:BR23)</f>
        <v>1542.1090407255001</v>
      </c>
      <c r="BT23" s="156">
        <f>BT224</f>
        <v>370.06453534332366</v>
      </c>
      <c r="BU23" s="156">
        <f>BU224</f>
        <v>353.38835894289633</v>
      </c>
      <c r="BV23" s="156">
        <f>BV224</f>
        <v>394.31478550903938</v>
      </c>
      <c r="BW23" s="156">
        <f>BW224</f>
        <v>408.23156765883067</v>
      </c>
      <c r="BX23" s="157">
        <f>SUM(BT23:BW23)</f>
        <v>1525.9992474540902</v>
      </c>
      <c r="BY23" s="158">
        <f>BY224</f>
        <v>1563.2314137987119</v>
      </c>
      <c r="BZ23" s="158">
        <f>BZ224</f>
        <v>1594.0942891024911</v>
      </c>
      <c r="CA23" s="158">
        <f>CA224</f>
        <v>1624.703545457663</v>
      </c>
      <c r="CB23" s="130"/>
      <c r="CC23" s="1364"/>
      <c r="CD23" s="155" t="str">
        <f t="shared" si="28"/>
        <v>Selling and general expenses</v>
      </c>
      <c r="CE23" s="154">
        <f t="shared" si="28"/>
        <v>1700.5329999999999</v>
      </c>
      <c r="CF23" s="154">
        <f t="shared" si="28"/>
        <v>1634.5329999999999</v>
      </c>
      <c r="CG23" s="154">
        <f t="shared" si="28"/>
        <v>1766.549</v>
      </c>
      <c r="CH23" s="154">
        <f t="shared" si="28"/>
        <v>1904.556</v>
      </c>
      <c r="CI23" s="154">
        <f t="shared" si="28"/>
        <v>2149.1950000000002</v>
      </c>
      <c r="CJ23" s="154">
        <f>K23</f>
        <v>2256.35</v>
      </c>
      <c r="CK23" s="154">
        <f>P23</f>
        <v>2394.1840000000002</v>
      </c>
      <c r="CL23" s="154">
        <f>U23</f>
        <v>2210.1949999999997</v>
      </c>
      <c r="CM23" s="154">
        <f>Z23</f>
        <v>2136.2510000000002</v>
      </c>
      <c r="CN23" s="154">
        <f>AE23</f>
        <v>2236.0030000000002</v>
      </c>
      <c r="CO23" s="154">
        <f>AJ23</f>
        <v>1764.1</v>
      </c>
      <c r="CP23" s="154">
        <f>AO23</f>
        <v>1490</v>
      </c>
      <c r="CQ23" s="154">
        <f>AT23</f>
        <v>1499</v>
      </c>
      <c r="CR23" s="154">
        <f>AY23</f>
        <v>1466</v>
      </c>
      <c r="CS23" s="154">
        <f>BD23</f>
        <v>1442</v>
      </c>
      <c r="CT23" s="154">
        <f>BI23</f>
        <v>1377</v>
      </c>
      <c r="CU23" s="154">
        <f>BN23</f>
        <v>1412</v>
      </c>
      <c r="CV23" s="154">
        <f>BS23</f>
        <v>1542.1090407255001</v>
      </c>
      <c r="CW23" s="154">
        <f t="shared" si="29"/>
        <v>1525.9992474540902</v>
      </c>
      <c r="CX23" s="154">
        <f t="shared" si="29"/>
        <v>1563.2314137987119</v>
      </c>
      <c r="CY23" s="154">
        <f t="shared" si="29"/>
        <v>1594.0942891024911</v>
      </c>
      <c r="CZ23" s="152">
        <f t="shared" si="29"/>
        <v>1624.703545457663</v>
      </c>
      <c r="DA23" s="160"/>
      <c r="DB23" s="59">
        <f>SUM(BO23,BP23,BQ23,BR23)</f>
        <v>1542.1090407255001</v>
      </c>
      <c r="DC23"/>
      <c r="DD23"/>
      <c r="DE23"/>
      <c r="DF23"/>
      <c r="DG23"/>
      <c r="DH23"/>
    </row>
    <row r="24" spans="1:112" ht="12" customHeight="1">
      <c r="A24" s="148" t="s">
        <v>67</v>
      </c>
      <c r="B24" s="112">
        <f t="shared" ref="B24:BM24" si="36">B23/B14</f>
        <v>0.36605751544224724</v>
      </c>
      <c r="C24" s="112">
        <f t="shared" si="36"/>
        <v>0.35225607432808698</v>
      </c>
      <c r="D24" s="112">
        <f t="shared" si="36"/>
        <v>0.36123382518935365</v>
      </c>
      <c r="E24" s="112">
        <f t="shared" si="36"/>
        <v>0.36273539968666063</v>
      </c>
      <c r="F24" s="112">
        <f t="shared" si="36"/>
        <v>0.35798187167056267</v>
      </c>
      <c r="G24" s="113">
        <f t="shared" si="36"/>
        <v>0.42100363029388632</v>
      </c>
      <c r="H24" s="114">
        <f t="shared" si="36"/>
        <v>0.35366663982617835</v>
      </c>
      <c r="I24" s="114">
        <f t="shared" si="36"/>
        <v>0.30597620158890276</v>
      </c>
      <c r="J24" s="114">
        <f t="shared" si="36"/>
        <v>0.39276292598971607</v>
      </c>
      <c r="K24" s="112">
        <f t="shared" si="36"/>
        <v>0.36071945974653158</v>
      </c>
      <c r="L24" s="114">
        <f t="shared" si="36"/>
        <v>0.41394287953422426</v>
      </c>
      <c r="M24" s="114">
        <f t="shared" si="36"/>
        <v>0.34204061392904928</v>
      </c>
      <c r="N24" s="114">
        <f t="shared" si="36"/>
        <v>0.29458234841379966</v>
      </c>
      <c r="O24" s="114">
        <f t="shared" si="36"/>
        <v>0.39836515282017837</v>
      </c>
      <c r="P24" s="112">
        <f t="shared" si="36"/>
        <v>0.35352697266991728</v>
      </c>
      <c r="Q24" s="114">
        <f t="shared" si="36"/>
        <v>0.42432490797465422</v>
      </c>
      <c r="R24" s="114">
        <f t="shared" si="36"/>
        <v>0.35508374546160859</v>
      </c>
      <c r="S24" s="114">
        <f t="shared" si="36"/>
        <v>0.27997877513801284</v>
      </c>
      <c r="T24" s="114">
        <f t="shared" si="36"/>
        <v>0.37143727153392142</v>
      </c>
      <c r="U24" s="112">
        <f t="shared" si="36"/>
        <v>0.34778534568150865</v>
      </c>
      <c r="V24" s="114">
        <f t="shared" si="36"/>
        <v>0.42789409923471988</v>
      </c>
      <c r="W24" s="114">
        <f t="shared" si="36"/>
        <v>0.36236230360774785</v>
      </c>
      <c r="X24" s="114">
        <f t="shared" si="36"/>
        <v>0.29157211220409585</v>
      </c>
      <c r="Y24" s="114">
        <f t="shared" si="36"/>
        <v>0.38773066792844019</v>
      </c>
      <c r="Z24" s="112">
        <f t="shared" si="36"/>
        <v>0.35892628459846149</v>
      </c>
      <c r="AA24" s="114">
        <f t="shared" si="36"/>
        <v>0.40994623655913975</v>
      </c>
      <c r="AB24" s="114">
        <f t="shared" si="36"/>
        <v>0.37154874160504719</v>
      </c>
      <c r="AC24" s="114">
        <f t="shared" si="36"/>
        <v>0.30549023617217053</v>
      </c>
      <c r="AD24" s="114">
        <f t="shared" si="36"/>
        <v>0.38943585389540525</v>
      </c>
      <c r="AE24" s="112">
        <f t="shared" si="36"/>
        <v>0.36249724601354888</v>
      </c>
      <c r="AF24" s="114">
        <f t="shared" si="36"/>
        <v>0.39888977002379067</v>
      </c>
      <c r="AG24" s="114">
        <f t="shared" si="36"/>
        <v>0.37251123956326271</v>
      </c>
      <c r="AH24" s="114">
        <f t="shared" si="36"/>
        <v>0.28941299790356395</v>
      </c>
      <c r="AI24" s="114">
        <f t="shared" si="36"/>
        <v>0.12838645418326691</v>
      </c>
      <c r="AJ24" s="112">
        <f t="shared" si="36"/>
        <v>0.2824367595260967</v>
      </c>
      <c r="AK24" s="114">
        <f t="shared" si="36"/>
        <v>0.32077294685990337</v>
      </c>
      <c r="AL24" s="114">
        <f t="shared" si="36"/>
        <v>0.31716417910447764</v>
      </c>
      <c r="AM24" s="114">
        <f t="shared" si="36"/>
        <v>0.31720430107526881</v>
      </c>
      <c r="AN24" s="114">
        <f t="shared" si="36"/>
        <v>0.37815810920945397</v>
      </c>
      <c r="AO24" s="112">
        <f t="shared" si="36"/>
        <v>0.33483146067415731</v>
      </c>
      <c r="AP24" s="114">
        <f t="shared" si="36"/>
        <v>0.31583403895004236</v>
      </c>
      <c r="AQ24" s="114">
        <f t="shared" si="36"/>
        <v>0.29920000000000002</v>
      </c>
      <c r="AR24" s="114">
        <f t="shared" si="36"/>
        <v>0.33680555555555558</v>
      </c>
      <c r="AS24" s="114">
        <f t="shared" si="36"/>
        <v>0.30182421227197348</v>
      </c>
      <c r="AT24" s="112">
        <f>AT23/AT14</f>
        <v>0.31300897891000207</v>
      </c>
      <c r="AU24" s="115">
        <f t="shared" si="36"/>
        <v>0.27717391304347827</v>
      </c>
      <c r="AV24" s="114">
        <f t="shared" si="36"/>
        <v>0.27995391705069123</v>
      </c>
      <c r="AW24" s="113">
        <f>AW23/AW14</f>
        <v>0.28107680126682499</v>
      </c>
      <c r="AX24" s="113">
        <f>AX23/AX14</f>
        <v>0.32170542635658916</v>
      </c>
      <c r="AY24" s="112">
        <f t="shared" si="36"/>
        <v>0.29023955652346067</v>
      </c>
      <c r="AZ24" s="116">
        <f>AZ23/AZ14</f>
        <v>0.26315789473684209</v>
      </c>
      <c r="BA24" s="113">
        <f>BA23/BA14</f>
        <v>0.26974664679582711</v>
      </c>
      <c r="BB24" s="113">
        <f>BB23/BB14</f>
        <v>0.25604229607250756</v>
      </c>
      <c r="BC24" s="113">
        <f>BC23/BC14</f>
        <v>0.29548762736535661</v>
      </c>
      <c r="BD24" s="112">
        <f t="shared" si="36"/>
        <v>0.27140974967061926</v>
      </c>
      <c r="BE24" s="116">
        <f>BE23/BE14</f>
        <v>0.2348993288590604</v>
      </c>
      <c r="BF24" s="113">
        <f>BF23/BF14</f>
        <v>0.22874493927125505</v>
      </c>
      <c r="BG24" s="113">
        <f>BG23/BG14</f>
        <v>0.23627519110493397</v>
      </c>
      <c r="BH24" s="113">
        <f>BH23/BH14</f>
        <v>0.27376697641172265</v>
      </c>
      <c r="BI24" s="118">
        <f t="shared" si="36"/>
        <v>0.24324324324324326</v>
      </c>
      <c r="BJ24" s="117">
        <f t="shared" si="36"/>
        <v>0.22986923606331727</v>
      </c>
      <c r="BK24" s="117">
        <f t="shared" si="36"/>
        <v>0.21537442014579192</v>
      </c>
      <c r="BL24" s="117">
        <f t="shared" si="36"/>
        <v>0.24388631857237278</v>
      </c>
      <c r="BM24" s="117">
        <f t="shared" si="36"/>
        <v>0.24166142227816237</v>
      </c>
      <c r="BN24" s="118">
        <f t="shared" ref="BN24:BZ24" si="37">BN23/BN14</f>
        <v>0.23284960422163589</v>
      </c>
      <c r="BO24" s="117">
        <f t="shared" si="37"/>
        <v>0.23739629865985962</v>
      </c>
      <c r="BP24" s="117">
        <f t="shared" si="37"/>
        <v>0.21907158392789541</v>
      </c>
      <c r="BQ24" s="117">
        <f t="shared" si="37"/>
        <v>0.24489031100591935</v>
      </c>
      <c r="BR24" s="117">
        <f t="shared" si="37"/>
        <v>0.24726276338876116</v>
      </c>
      <c r="BS24" s="118">
        <f t="shared" si="37"/>
        <v>0.23718004343116095</v>
      </c>
      <c r="BT24" s="117">
        <f t="shared" ref="BT24:BX24" si="38">BT23/BT14</f>
        <v>0.22476761410956431</v>
      </c>
      <c r="BU24" s="117">
        <f t="shared" si="38"/>
        <v>0.20340479277856008</v>
      </c>
      <c r="BV24" s="117">
        <f t="shared" si="38"/>
        <v>0.22908127068140299</v>
      </c>
      <c r="BW24" s="117">
        <f t="shared" si="38"/>
        <v>0.23051516657740162</v>
      </c>
      <c r="BX24" s="118">
        <f t="shared" si="38"/>
        <v>0.22193003124155025</v>
      </c>
      <c r="BY24" s="118">
        <f t="shared" si="37"/>
        <v>0.21616896030230009</v>
      </c>
      <c r="BZ24" s="118">
        <f t="shared" si="37"/>
        <v>0.20951825753953346</v>
      </c>
      <c r="CA24" s="118">
        <f t="shared" ref="CA24" si="39">CA23/CA14</f>
        <v>0.20398407645404856</v>
      </c>
      <c r="CB24" s="147"/>
      <c r="CC24" s="1361"/>
      <c r="CD24" s="151" t="str">
        <f t="shared" si="28"/>
        <v>% of Total Revenue</v>
      </c>
      <c r="CE24" s="113">
        <f t="shared" si="28"/>
        <v>0.36605751544224724</v>
      </c>
      <c r="CF24" s="113">
        <f t="shared" si="28"/>
        <v>0.35225607432808698</v>
      </c>
      <c r="CG24" s="113">
        <f t="shared" si="28"/>
        <v>0.36123382518935365</v>
      </c>
      <c r="CH24" s="113">
        <f t="shared" si="28"/>
        <v>0.36273539968666063</v>
      </c>
      <c r="CI24" s="113">
        <f t="shared" si="28"/>
        <v>0.35798187167056267</v>
      </c>
      <c r="CJ24" s="113">
        <f>K24</f>
        <v>0.36071945974653158</v>
      </c>
      <c r="CK24" s="113">
        <f>P24</f>
        <v>0.35352697266991728</v>
      </c>
      <c r="CL24" s="113">
        <f>U24</f>
        <v>0.34778534568150865</v>
      </c>
      <c r="CM24" s="113">
        <f>Z24</f>
        <v>0.35892628459846149</v>
      </c>
      <c r="CN24" s="113">
        <f>AE24</f>
        <v>0.36249724601354888</v>
      </c>
      <c r="CO24" s="113">
        <f>AJ24</f>
        <v>0.2824367595260967</v>
      </c>
      <c r="CP24" s="113">
        <f>AO24</f>
        <v>0.33483146067415731</v>
      </c>
      <c r="CQ24" s="113">
        <f>AT24</f>
        <v>0.31300897891000207</v>
      </c>
      <c r="CR24" s="113">
        <f>AY24</f>
        <v>0.29023955652346067</v>
      </c>
      <c r="CS24" s="113">
        <f>BD24</f>
        <v>0.27140974967061926</v>
      </c>
      <c r="CT24" s="113">
        <f>BI24</f>
        <v>0.24324324324324326</v>
      </c>
      <c r="CU24" s="113">
        <f>BN24</f>
        <v>0.23284960422163589</v>
      </c>
      <c r="CV24" s="113">
        <f>BS24</f>
        <v>0.23718004343116095</v>
      </c>
      <c r="CW24" s="113">
        <f t="shared" si="29"/>
        <v>0.22193003124155025</v>
      </c>
      <c r="CX24" s="113">
        <f t="shared" si="29"/>
        <v>0.21616896030230009</v>
      </c>
      <c r="CY24" s="113">
        <f t="shared" si="29"/>
        <v>0.20951825753953346</v>
      </c>
      <c r="CZ24" s="121">
        <f t="shared" si="29"/>
        <v>0.20398407645404856</v>
      </c>
      <c r="DA24" s="58"/>
      <c r="DB24" s="123">
        <f>DB23/$DB$14</f>
        <v>0.23718004343116095</v>
      </c>
    </row>
    <row r="25" spans="1:112" ht="6" customHeight="1">
      <c r="A25" s="161"/>
      <c r="B25" s="112"/>
      <c r="C25" s="112"/>
      <c r="D25" s="112"/>
      <c r="E25" s="112"/>
      <c r="F25" s="112"/>
      <c r="G25" s="113"/>
      <c r="H25" s="114"/>
      <c r="I25" s="114"/>
      <c r="J25" s="114"/>
      <c r="K25" s="112"/>
      <c r="L25" s="114"/>
      <c r="M25" s="114"/>
      <c r="N25" s="114"/>
      <c r="O25" s="114"/>
      <c r="P25" s="112"/>
      <c r="Q25" s="114"/>
      <c r="R25" s="114"/>
      <c r="S25" s="114"/>
      <c r="T25" s="114"/>
      <c r="U25" s="112"/>
      <c r="V25" s="114"/>
      <c r="W25" s="114"/>
      <c r="X25" s="114"/>
      <c r="Y25" s="114"/>
      <c r="Z25" s="162"/>
      <c r="AA25" s="163"/>
      <c r="AB25" s="163"/>
      <c r="AC25" s="163"/>
      <c r="AD25" s="163"/>
      <c r="AE25" s="162"/>
      <c r="AF25" s="163"/>
      <c r="AG25" s="163"/>
      <c r="AH25" s="163"/>
      <c r="AI25" s="163"/>
      <c r="AJ25" s="162"/>
      <c r="AK25" s="163"/>
      <c r="AL25" s="163"/>
      <c r="AM25" s="163"/>
      <c r="AN25" s="163"/>
      <c r="AO25" s="162"/>
      <c r="AP25" s="163"/>
      <c r="AQ25" s="163"/>
      <c r="AR25" s="163"/>
      <c r="AS25" s="163"/>
      <c r="AT25" s="162"/>
      <c r="AU25" s="164"/>
      <c r="AV25" s="163"/>
      <c r="AW25" s="165"/>
      <c r="AX25" s="165"/>
      <c r="AY25" s="162"/>
      <c r="AZ25" s="166"/>
      <c r="BA25" s="165"/>
      <c r="BB25" s="165"/>
      <c r="BC25" s="165"/>
      <c r="BD25" s="162"/>
      <c r="BE25" s="166"/>
      <c r="BF25" s="165"/>
      <c r="BG25" s="165"/>
      <c r="BH25" s="165"/>
      <c r="BI25" s="168"/>
      <c r="BJ25" s="167"/>
      <c r="BK25" s="167"/>
      <c r="BL25" s="167"/>
      <c r="BM25" s="167"/>
      <c r="BN25" s="168"/>
      <c r="BO25" s="167"/>
      <c r="BP25" s="167"/>
      <c r="BQ25" s="167"/>
      <c r="BR25" s="167"/>
      <c r="BS25" s="168"/>
      <c r="BT25" s="167"/>
      <c r="BU25" s="167"/>
      <c r="BV25" s="167"/>
      <c r="BW25" s="167"/>
      <c r="BX25" s="168"/>
      <c r="BY25" s="169"/>
      <c r="BZ25" s="169"/>
      <c r="CA25" s="169"/>
      <c r="CB25" s="81"/>
      <c r="CC25" s="1361"/>
      <c r="CD25" s="120"/>
      <c r="CE25" s="170"/>
      <c r="CF25" s="170"/>
      <c r="CG25" s="170"/>
      <c r="CH25" s="170"/>
      <c r="CI25" s="170"/>
      <c r="CJ25" s="170"/>
      <c r="CK25" s="170"/>
      <c r="CL25" s="170"/>
      <c r="CM25" s="170"/>
      <c r="CN25" s="113"/>
      <c r="CO25" s="113"/>
      <c r="CP25" s="113"/>
      <c r="CQ25" s="113"/>
      <c r="CR25" s="113"/>
      <c r="CS25" s="113"/>
      <c r="CT25" s="113"/>
      <c r="CU25" s="113"/>
      <c r="CV25" s="113"/>
      <c r="CW25" s="113"/>
      <c r="CX25" s="113"/>
      <c r="CY25" s="113"/>
      <c r="CZ25" s="121"/>
      <c r="DA25" s="58"/>
      <c r="DB25" s="123"/>
    </row>
    <row r="26" spans="1:112" s="82" customFormat="1" ht="12" customHeight="1">
      <c r="A26" s="44" t="s">
        <v>69</v>
      </c>
      <c r="B26" s="45">
        <v>10.256</v>
      </c>
      <c r="C26" s="45">
        <f>18.66+14.5</f>
        <v>33.159999999999997</v>
      </c>
      <c r="D26" s="45">
        <f>147.85-131.3</f>
        <v>16.549999999999983</v>
      </c>
      <c r="E26" s="45">
        <v>0</v>
      </c>
      <c r="F26" s="45">
        <f>1.236-1.236</f>
        <v>0</v>
      </c>
      <c r="G26" s="46">
        <v>0</v>
      </c>
      <c r="H26" s="47">
        <v>0</v>
      </c>
      <c r="I26" s="47">
        <v>0</v>
      </c>
      <c r="J26" s="47">
        <f>0-SUM(G26:I26)</f>
        <v>0</v>
      </c>
      <c r="K26" s="45">
        <f>SUM(G26:J26)</f>
        <v>0</v>
      </c>
      <c r="L26" s="47">
        <f>17.305-17.305</f>
        <v>0</v>
      </c>
      <c r="M26" s="47">
        <v>0</v>
      </c>
      <c r="N26" s="47">
        <v>0</v>
      </c>
      <c r="O26" s="47">
        <f>17.305-SUM(L26:N26)</f>
        <v>17.305</v>
      </c>
      <c r="P26" s="45">
        <f>SUM(L26:O26)</f>
        <v>17.305</v>
      </c>
      <c r="Q26" s="47">
        <v>0</v>
      </c>
      <c r="R26" s="47">
        <v>0</v>
      </c>
      <c r="S26" s="46">
        <v>0</v>
      </c>
      <c r="T26" s="47">
        <f>0-SUM(Q26:S26)</f>
        <v>0</v>
      </c>
      <c r="U26" s="45">
        <f>SUM(Q26:T26)</f>
        <v>0</v>
      </c>
      <c r="V26" s="47">
        <v>0</v>
      </c>
      <c r="W26" s="47">
        <f>-13.849+13.849</f>
        <v>0</v>
      </c>
      <c r="X26" s="47">
        <v>0</v>
      </c>
      <c r="Y26" s="47">
        <f>-3.304+(13.849-0.4)-SUM(V26:X26)</f>
        <v>10.145</v>
      </c>
      <c r="Z26" s="45">
        <f>SUM(V26:Y26)</f>
        <v>10.145</v>
      </c>
      <c r="AA26" s="47">
        <v>0</v>
      </c>
      <c r="AB26" s="47">
        <v>0</v>
      </c>
      <c r="AC26" s="1363">
        <f>11.1-7.3-3.8</f>
        <v>0</v>
      </c>
      <c r="AD26" s="47">
        <f>11.058-11.058-SUM(AA26:AC26)</f>
        <v>0</v>
      </c>
      <c r="AE26" s="45">
        <f>SUM(AA26:AD26)</f>
        <v>0</v>
      </c>
      <c r="AF26" s="47">
        <v>0</v>
      </c>
      <c r="AG26" s="47">
        <v>13</v>
      </c>
      <c r="AH26" s="47">
        <v>0</v>
      </c>
      <c r="AI26" s="47">
        <f>13-SUM(AF26:AH26)</f>
        <v>0</v>
      </c>
      <c r="AJ26" s="45">
        <f>SUM(AF26:AI26)</f>
        <v>13</v>
      </c>
      <c r="AK26" s="47">
        <v>0</v>
      </c>
      <c r="AL26" s="47">
        <v>0</v>
      </c>
      <c r="AM26" s="47">
        <v>0</v>
      </c>
      <c r="AN26" s="47">
        <f>52-SUM(AK26:AM26)</f>
        <v>52</v>
      </c>
      <c r="AO26" s="45">
        <f>SUM(AK26:AN26)</f>
        <v>52</v>
      </c>
      <c r="AP26" s="47">
        <v>0</v>
      </c>
      <c r="AQ26" s="47">
        <v>0</v>
      </c>
      <c r="AR26" s="47">
        <v>24</v>
      </c>
      <c r="AS26" s="47">
        <f>-12-SUM(AP26:AR26)</f>
        <v>-36</v>
      </c>
      <c r="AT26" s="45">
        <f>SUM(AP26:AS26)</f>
        <v>-12</v>
      </c>
      <c r="AU26" s="57">
        <v>0</v>
      </c>
      <c r="AV26" s="47">
        <v>-9</v>
      </c>
      <c r="AW26" s="47">
        <v>0</v>
      </c>
      <c r="AX26" s="1365">
        <v>0</v>
      </c>
      <c r="AY26" s="45">
        <f>SUM(AU26:AX26)</f>
        <v>-9</v>
      </c>
      <c r="AZ26" s="1875">
        <v>0</v>
      </c>
      <c r="BA26" s="1872">
        <f>11</f>
        <v>11</v>
      </c>
      <c r="BB26" s="1872">
        <v>0</v>
      </c>
      <c r="BC26" s="1872">
        <v>0</v>
      </c>
      <c r="BD26" s="45">
        <f>SUM(AZ26:BC26)</f>
        <v>11</v>
      </c>
      <c r="BE26" s="1874">
        <v>0</v>
      </c>
      <c r="BF26" s="1872">
        <v>0</v>
      </c>
      <c r="BG26" s="1872">
        <v>0</v>
      </c>
      <c r="BH26" s="1872">
        <v>0</v>
      </c>
      <c r="BI26" s="79">
        <f>SUM(BE26:BH26)</f>
        <v>0</v>
      </c>
      <c r="BJ26" s="1874">
        <v>0</v>
      </c>
      <c r="BK26" s="1872">
        <v>0</v>
      </c>
      <c r="BL26" s="1873">
        <v>0</v>
      </c>
      <c r="BM26" s="1873">
        <v>0</v>
      </c>
      <c r="BN26" s="79">
        <f>SUM(BJ26:BM26)</f>
        <v>0</v>
      </c>
      <c r="BO26" s="1873">
        <v>0</v>
      </c>
      <c r="BP26" s="1873">
        <v>0</v>
      </c>
      <c r="BQ26" s="1873">
        <v>0</v>
      </c>
      <c r="BR26" s="1873">
        <v>0</v>
      </c>
      <c r="BS26" s="79">
        <f>SUM(BO26:BR26)</f>
        <v>0</v>
      </c>
      <c r="BT26" s="1873">
        <v>0</v>
      </c>
      <c r="BU26" s="1873">
        <v>0</v>
      </c>
      <c r="BV26" s="1873">
        <v>0</v>
      </c>
      <c r="BW26" s="1873">
        <v>0</v>
      </c>
      <c r="BX26" s="79">
        <f>SUM(BT26:BW26)</f>
        <v>0</v>
      </c>
      <c r="BY26" s="1907">
        <v>0</v>
      </c>
      <c r="BZ26" s="1907">
        <v>0</v>
      </c>
      <c r="CA26" s="1907">
        <v>0</v>
      </c>
      <c r="CB26" s="56"/>
      <c r="CC26" s="1366"/>
      <c r="CD26" s="57" t="str">
        <f t="shared" ref="CD26:CI26" si="40">A26</f>
        <v>Other Income/ (Expense)</v>
      </c>
      <c r="CE26" s="84">
        <f t="shared" si="40"/>
        <v>10.256</v>
      </c>
      <c r="CF26" s="84">
        <f t="shared" si="40"/>
        <v>33.159999999999997</v>
      </c>
      <c r="CG26" s="84">
        <f t="shared" si="40"/>
        <v>16.549999999999983</v>
      </c>
      <c r="CH26" s="84">
        <f t="shared" si="40"/>
        <v>0</v>
      </c>
      <c r="CI26" s="84">
        <f t="shared" si="40"/>
        <v>0</v>
      </c>
      <c r="CJ26" s="84">
        <f>K26</f>
        <v>0</v>
      </c>
      <c r="CK26" s="84">
        <f>P26</f>
        <v>17.305</v>
      </c>
      <c r="CL26" s="84">
        <f>U26</f>
        <v>0</v>
      </c>
      <c r="CM26" s="84">
        <f>Z26</f>
        <v>10.145</v>
      </c>
      <c r="CN26" s="84">
        <f>AE26</f>
        <v>0</v>
      </c>
      <c r="CO26" s="84">
        <f>AJ26</f>
        <v>13</v>
      </c>
      <c r="CP26" s="84">
        <f>AO26</f>
        <v>52</v>
      </c>
      <c r="CQ26" s="84">
        <f>AT26</f>
        <v>-12</v>
      </c>
      <c r="CR26" s="84">
        <f>AY26</f>
        <v>-9</v>
      </c>
      <c r="CS26" s="84">
        <f>BD26</f>
        <v>11</v>
      </c>
      <c r="CT26" s="84">
        <f>BI26</f>
        <v>0</v>
      </c>
      <c r="CU26" s="84">
        <f>BN26</f>
        <v>0</v>
      </c>
      <c r="CV26" s="84">
        <f>BS26</f>
        <v>0</v>
      </c>
      <c r="CW26" s="84">
        <f>BX26</f>
        <v>0</v>
      </c>
      <c r="CX26" s="84">
        <f>BY26</f>
        <v>0</v>
      </c>
      <c r="CY26" s="84">
        <f>BZ26</f>
        <v>0</v>
      </c>
      <c r="CZ26" s="85">
        <f>CA26</f>
        <v>0</v>
      </c>
      <c r="DA26" s="86"/>
      <c r="DB26" s="59">
        <f>SUM(BO26,BP26,BQ26,BR26)</f>
        <v>0</v>
      </c>
      <c r="DC26"/>
      <c r="DD26"/>
      <c r="DE26"/>
      <c r="DF26"/>
      <c r="DG26"/>
      <c r="DH26"/>
    </row>
    <row r="27" spans="1:112" ht="5.25" customHeight="1">
      <c r="A27" s="88"/>
      <c r="B27" s="89" t="s">
        <v>62</v>
      </c>
      <c r="C27" s="89" t="s">
        <v>62</v>
      </c>
      <c r="D27" s="89" t="s">
        <v>62</v>
      </c>
      <c r="E27" s="89" t="s">
        <v>62</v>
      </c>
      <c r="F27" s="89" t="s">
        <v>62</v>
      </c>
      <c r="G27" s="90" t="s">
        <v>62</v>
      </c>
      <c r="H27" s="90" t="s">
        <v>62</v>
      </c>
      <c r="I27" s="90" t="s">
        <v>62</v>
      </c>
      <c r="J27" s="90" t="s">
        <v>62</v>
      </c>
      <c r="K27" s="89" t="s">
        <v>62</v>
      </c>
      <c r="L27" s="90" t="s">
        <v>62</v>
      </c>
      <c r="M27" s="90" t="s">
        <v>62</v>
      </c>
      <c r="N27" s="90" t="s">
        <v>62</v>
      </c>
      <c r="O27" s="90" t="s">
        <v>62</v>
      </c>
      <c r="P27" s="89" t="s">
        <v>62</v>
      </c>
      <c r="Q27" s="90" t="s">
        <v>62</v>
      </c>
      <c r="R27" s="90" t="s">
        <v>62</v>
      </c>
      <c r="S27" s="90" t="s">
        <v>62</v>
      </c>
      <c r="T27" s="90" t="s">
        <v>62</v>
      </c>
      <c r="U27" s="89" t="s">
        <v>62</v>
      </c>
      <c r="V27" s="90" t="s">
        <v>62</v>
      </c>
      <c r="W27" s="90" t="s">
        <v>62</v>
      </c>
      <c r="X27" s="90" t="s">
        <v>62</v>
      </c>
      <c r="Y27" s="90" t="s">
        <v>62</v>
      </c>
      <c r="Z27" s="91" t="s">
        <v>62</v>
      </c>
      <c r="AA27" s="92" t="s">
        <v>62</v>
      </c>
      <c r="AB27" s="92" t="s">
        <v>62</v>
      </c>
      <c r="AC27" s="92" t="s">
        <v>62</v>
      </c>
      <c r="AD27" s="92" t="s">
        <v>62</v>
      </c>
      <c r="AE27" s="91" t="s">
        <v>62</v>
      </c>
      <c r="AF27" s="92" t="s">
        <v>62</v>
      </c>
      <c r="AG27" s="92" t="s">
        <v>62</v>
      </c>
      <c r="AH27" s="92" t="s">
        <v>62</v>
      </c>
      <c r="AI27" s="92" t="s">
        <v>62</v>
      </c>
      <c r="AJ27" s="91" t="s">
        <v>62</v>
      </c>
      <c r="AK27" s="92" t="s">
        <v>62</v>
      </c>
      <c r="AL27" s="92" t="s">
        <v>62</v>
      </c>
      <c r="AM27" s="92" t="s">
        <v>62</v>
      </c>
      <c r="AN27" s="92" t="s">
        <v>62</v>
      </c>
      <c r="AO27" s="91" t="s">
        <v>62</v>
      </c>
      <c r="AP27" s="92" t="s">
        <v>62</v>
      </c>
      <c r="AQ27" s="92" t="s">
        <v>62</v>
      </c>
      <c r="AR27" s="92" t="s">
        <v>62</v>
      </c>
      <c r="AS27" s="92" t="s">
        <v>62</v>
      </c>
      <c r="AT27" s="91" t="s">
        <v>62</v>
      </c>
      <c r="AU27" s="94" t="s">
        <v>62</v>
      </c>
      <c r="AV27" s="92" t="s">
        <v>62</v>
      </c>
      <c r="AW27" s="92" t="s">
        <v>62</v>
      </c>
      <c r="AX27" s="92" t="s">
        <v>62</v>
      </c>
      <c r="AY27" s="91" t="s">
        <v>62</v>
      </c>
      <c r="AZ27" s="139" t="s">
        <v>62</v>
      </c>
      <c r="BA27" s="92" t="s">
        <v>62</v>
      </c>
      <c r="BB27" s="92" t="s">
        <v>62</v>
      </c>
      <c r="BC27" s="92" t="s">
        <v>62</v>
      </c>
      <c r="BD27" s="91" t="s">
        <v>62</v>
      </c>
      <c r="BE27" s="139" t="s">
        <v>62</v>
      </c>
      <c r="BF27" s="92" t="s">
        <v>62</v>
      </c>
      <c r="BG27" s="92" t="s">
        <v>62</v>
      </c>
      <c r="BH27" s="92" t="s">
        <v>62</v>
      </c>
      <c r="BI27" s="96" t="s">
        <v>62</v>
      </c>
      <c r="BJ27" s="95" t="s">
        <v>62</v>
      </c>
      <c r="BK27" s="95" t="s">
        <v>62</v>
      </c>
      <c r="BL27" s="95" t="s">
        <v>62</v>
      </c>
      <c r="BM27" s="95" t="s">
        <v>62</v>
      </c>
      <c r="BN27" s="96" t="s">
        <v>62</v>
      </c>
      <c r="BO27" s="95" t="s">
        <v>62</v>
      </c>
      <c r="BP27" s="95" t="s">
        <v>62</v>
      </c>
      <c r="BQ27" s="95" t="s">
        <v>62</v>
      </c>
      <c r="BR27" s="95" t="s">
        <v>62</v>
      </c>
      <c r="BS27" s="96" t="s">
        <v>62</v>
      </c>
      <c r="BT27" s="95" t="s">
        <v>62</v>
      </c>
      <c r="BU27" s="95" t="s">
        <v>62</v>
      </c>
      <c r="BV27" s="95" t="s">
        <v>62</v>
      </c>
      <c r="BW27" s="95" t="s">
        <v>62</v>
      </c>
      <c r="BX27" s="96" t="s">
        <v>62</v>
      </c>
      <c r="BY27" s="91" t="s">
        <v>62</v>
      </c>
      <c r="BZ27" s="91" t="s">
        <v>62</v>
      </c>
      <c r="CA27" s="91" t="s">
        <v>62</v>
      </c>
      <c r="CB27" s="173"/>
      <c r="CC27" s="1361"/>
      <c r="CD27" s="141"/>
      <c r="CE27" s="98" t="s">
        <v>62</v>
      </c>
      <c r="CF27" s="98" t="s">
        <v>62</v>
      </c>
      <c r="CG27" s="98" t="s">
        <v>62</v>
      </c>
      <c r="CH27" s="98" t="s">
        <v>62</v>
      </c>
      <c r="CI27" s="98" t="s">
        <v>62</v>
      </c>
      <c r="CJ27" s="98" t="s">
        <v>62</v>
      </c>
      <c r="CK27" s="98" t="s">
        <v>62</v>
      </c>
      <c r="CL27" s="98" t="s">
        <v>62</v>
      </c>
      <c r="CM27" s="98" t="s">
        <v>62</v>
      </c>
      <c r="CN27" s="90" t="s">
        <v>62</v>
      </c>
      <c r="CO27" s="90" t="s">
        <v>62</v>
      </c>
      <c r="CP27" s="90" t="s">
        <v>62</v>
      </c>
      <c r="CQ27" s="90" t="s">
        <v>62</v>
      </c>
      <c r="CR27" s="90" t="s">
        <v>62</v>
      </c>
      <c r="CS27" s="90" t="s">
        <v>62</v>
      </c>
      <c r="CT27" s="90" t="s">
        <v>62</v>
      </c>
      <c r="CU27" s="90" t="s">
        <v>62</v>
      </c>
      <c r="CV27" s="90" t="s">
        <v>62</v>
      </c>
      <c r="CW27" s="90" t="s">
        <v>62</v>
      </c>
      <c r="CX27" s="90" t="s">
        <v>62</v>
      </c>
      <c r="CY27" s="90" t="s">
        <v>62</v>
      </c>
      <c r="CZ27" s="99" t="s">
        <v>62</v>
      </c>
      <c r="DA27" s="58"/>
      <c r="DB27" s="100"/>
    </row>
    <row r="28" spans="1:112" s="70" customFormat="1" ht="12" customHeight="1">
      <c r="A28" s="142" t="s">
        <v>70</v>
      </c>
      <c r="B28" s="143">
        <f t="shared" ref="B28:AN28" si="41">B23+B21-B26</f>
        <v>3795.05</v>
      </c>
      <c r="C28" s="143">
        <f t="shared" si="41"/>
        <v>3582.6840000000002</v>
      </c>
      <c r="D28" s="143">
        <f t="shared" si="41"/>
        <v>3768.4489999999996</v>
      </c>
      <c r="E28" s="143">
        <f t="shared" si="41"/>
        <v>3951.201</v>
      </c>
      <c r="F28" s="143">
        <f t="shared" si="41"/>
        <v>4465.5290000000005</v>
      </c>
      <c r="G28" s="72">
        <f t="shared" si="41"/>
        <v>961.71499999999992</v>
      </c>
      <c r="H28" s="72">
        <f t="shared" si="41"/>
        <v>1126.7170000000001</v>
      </c>
      <c r="I28" s="72">
        <f t="shared" si="41"/>
        <v>1321.9360000000001</v>
      </c>
      <c r="J28" s="72">
        <f t="shared" si="41"/>
        <v>1233.2289999999998</v>
      </c>
      <c r="K28" s="143">
        <f t="shared" si="41"/>
        <v>4643.5969999999998</v>
      </c>
      <c r="L28" s="72">
        <f t="shared" si="41"/>
        <v>1041.0250000000001</v>
      </c>
      <c r="M28" s="72">
        <f t="shared" si="41"/>
        <v>1222.4879999999998</v>
      </c>
      <c r="N28" s="72">
        <f t="shared" si="41"/>
        <v>1411.4360000000001</v>
      </c>
      <c r="O28" s="72">
        <f t="shared" si="41"/>
        <v>1229.5299999999997</v>
      </c>
      <c r="P28" s="143">
        <f t="shared" si="41"/>
        <v>4904.4789999999994</v>
      </c>
      <c r="Q28" s="72">
        <f t="shared" si="41"/>
        <v>1025.0840000000001</v>
      </c>
      <c r="R28" s="72">
        <f t="shared" si="41"/>
        <v>1241.289</v>
      </c>
      <c r="S28" s="72">
        <f t="shared" si="41"/>
        <v>1328.636</v>
      </c>
      <c r="T28" s="72">
        <f t="shared" si="41"/>
        <v>1133.6159999999995</v>
      </c>
      <c r="U28" s="143">
        <f t="shared" si="41"/>
        <v>4728.625</v>
      </c>
      <c r="V28" s="72">
        <f t="shared" si="41"/>
        <v>980.25</v>
      </c>
      <c r="W28" s="72">
        <f t="shared" si="41"/>
        <v>1113.431</v>
      </c>
      <c r="X28" s="72">
        <f t="shared" si="41"/>
        <v>1282.8409999999999</v>
      </c>
      <c r="Y28" s="72">
        <f t="shared" si="41"/>
        <v>1135.5910000000003</v>
      </c>
      <c r="Z28" s="143">
        <f t="shared" si="41"/>
        <v>4512.1129999999994</v>
      </c>
      <c r="AA28" s="72">
        <f t="shared" si="41"/>
        <v>964.2</v>
      </c>
      <c r="AB28" s="72">
        <f t="shared" si="41"/>
        <v>1108.6000000000001</v>
      </c>
      <c r="AC28" s="72">
        <f t="shared" si="41"/>
        <v>1305.5999999999999</v>
      </c>
      <c r="AD28" s="72">
        <f t="shared" si="41"/>
        <v>1203.6309999999999</v>
      </c>
      <c r="AE28" s="143">
        <f t="shared" si="41"/>
        <v>4582.0310000000009</v>
      </c>
      <c r="AF28" s="72">
        <f t="shared" si="41"/>
        <v>1006</v>
      </c>
      <c r="AG28" s="72">
        <f t="shared" si="41"/>
        <v>1160</v>
      </c>
      <c r="AH28" s="72">
        <f t="shared" si="41"/>
        <v>1263.2</v>
      </c>
      <c r="AI28" s="72">
        <f t="shared" si="41"/>
        <v>721.9</v>
      </c>
      <c r="AJ28" s="143">
        <f t="shared" si="41"/>
        <v>4151.1000000000004</v>
      </c>
      <c r="AK28" s="72">
        <f t="shared" si="41"/>
        <v>693</v>
      </c>
      <c r="AL28" s="72">
        <f t="shared" si="41"/>
        <v>691</v>
      </c>
      <c r="AM28" s="72">
        <f t="shared" si="41"/>
        <v>721</v>
      </c>
      <c r="AN28" s="72">
        <f t="shared" si="41"/>
        <v>819</v>
      </c>
      <c r="AO28" s="143">
        <f>SUM(AK28:AN28)</f>
        <v>2924</v>
      </c>
      <c r="AP28" s="72">
        <f>AP23+AP21-AP26</f>
        <v>747</v>
      </c>
      <c r="AQ28" s="72">
        <f>AQ23+AQ21-AQ26</f>
        <v>769</v>
      </c>
      <c r="AR28" s="72">
        <f>AR23+AR21-AR26</f>
        <v>735</v>
      </c>
      <c r="AS28" s="72">
        <f>AS23+AS21-AS26</f>
        <v>824</v>
      </c>
      <c r="AT28" s="143">
        <f>SUM(AP28:AS28)</f>
        <v>3075</v>
      </c>
      <c r="AU28" s="144">
        <f>AU23+AU21-AU26</f>
        <v>742.5</v>
      </c>
      <c r="AV28" s="72">
        <f>AV23+AV21-AV26</f>
        <v>793.5</v>
      </c>
      <c r="AW28" s="72">
        <f>AW23+AW21-AW26</f>
        <v>754</v>
      </c>
      <c r="AX28" s="72">
        <f>AX23+AX21-AX26</f>
        <v>812</v>
      </c>
      <c r="AY28" s="143">
        <f>SUM(AU28:AX28)</f>
        <v>3102</v>
      </c>
      <c r="AZ28" s="145">
        <f>AZ23+AZ21-AZ26</f>
        <v>745</v>
      </c>
      <c r="BA28" s="72">
        <f>BA23+BA21-BA26</f>
        <v>757</v>
      </c>
      <c r="BB28" s="72">
        <f>BB23+BB21-BB26</f>
        <v>758</v>
      </c>
      <c r="BC28" s="72">
        <f>BC23+BC21-BC26</f>
        <v>843</v>
      </c>
      <c r="BD28" s="143">
        <f>SUM(AZ28:BC28)</f>
        <v>3103</v>
      </c>
      <c r="BE28" s="145">
        <f>BE23+BE21-BE26</f>
        <v>772</v>
      </c>
      <c r="BF28" s="72">
        <f>BF23+BF21-BF26</f>
        <v>808</v>
      </c>
      <c r="BG28" s="72">
        <f>BG23+BG21-BG26</f>
        <v>778</v>
      </c>
      <c r="BH28" s="72">
        <f>BH23+BH21-BH26</f>
        <v>788</v>
      </c>
      <c r="BI28" s="147">
        <f>SUM(BE28:BH28)</f>
        <v>3146</v>
      </c>
      <c r="BJ28" s="174">
        <f>BJ23+BJ21-BJ26</f>
        <v>745</v>
      </c>
      <c r="BK28" s="174">
        <f>BK23+BK21-BK26</f>
        <v>774</v>
      </c>
      <c r="BL28" s="174">
        <f>BL23+BL21-BL26</f>
        <v>790</v>
      </c>
      <c r="BM28" s="174">
        <f>BM23+BM21-BM26</f>
        <v>816</v>
      </c>
      <c r="BN28" s="147">
        <f>SUM(BJ28:BM28)</f>
        <v>3125</v>
      </c>
      <c r="BO28" s="174">
        <f>BO23+BO21-BO26</f>
        <v>811</v>
      </c>
      <c r="BP28" s="174">
        <f>BP23+BP21-BP26</f>
        <v>847.45365638834289</v>
      </c>
      <c r="BQ28" s="174">
        <f>BQ23+BQ21-BQ26</f>
        <v>849.23738227880244</v>
      </c>
      <c r="BR28" s="174">
        <f>BR23+BR21-BR26</f>
        <v>867.54110501765945</v>
      </c>
      <c r="BS28" s="147">
        <f>SUM(BO28:BR28)</f>
        <v>3375.2321436848047</v>
      </c>
      <c r="BT28" s="174">
        <f>BT23+BT21-BT26</f>
        <v>831.31758990317553</v>
      </c>
      <c r="BU28" s="174">
        <f>BU23+BU21-BU26</f>
        <v>870.33790528882787</v>
      </c>
      <c r="BV28" s="174">
        <f>BV23+BV21-BV26</f>
        <v>873.27191949801431</v>
      </c>
      <c r="BW28" s="174">
        <f>BW23+BW21-BW26</f>
        <v>889.69901539581133</v>
      </c>
      <c r="BX28" s="147">
        <f>SUM(BT28:BW28)</f>
        <v>3464.6264300858293</v>
      </c>
      <c r="BY28" s="175">
        <f>BY23+BY21-BY26</f>
        <v>3602.0847812638331</v>
      </c>
      <c r="BZ28" s="175">
        <f>BZ23+BZ21-BZ26</f>
        <v>3739.1974611097057</v>
      </c>
      <c r="CA28" s="175">
        <f>CA23+CA21-CA26</f>
        <v>3870.3113780465019</v>
      </c>
      <c r="CB28" s="173"/>
      <c r="CC28" s="1359"/>
      <c r="CD28" s="64" t="str">
        <f t="shared" ref="CD28:CI28" si="42">A28</f>
        <v xml:space="preserve"> Total Expenses</v>
      </c>
      <c r="CE28" s="72">
        <f t="shared" si="42"/>
        <v>3795.05</v>
      </c>
      <c r="CF28" s="72">
        <f t="shared" si="42"/>
        <v>3582.6840000000002</v>
      </c>
      <c r="CG28" s="72">
        <f t="shared" si="42"/>
        <v>3768.4489999999996</v>
      </c>
      <c r="CH28" s="72">
        <f t="shared" si="42"/>
        <v>3951.201</v>
      </c>
      <c r="CI28" s="72">
        <f t="shared" si="42"/>
        <v>4465.5290000000005</v>
      </c>
      <c r="CJ28" s="72">
        <f>K28</f>
        <v>4643.5969999999998</v>
      </c>
      <c r="CK28" s="72">
        <f>P28</f>
        <v>4904.4789999999994</v>
      </c>
      <c r="CL28" s="72">
        <f>U28</f>
        <v>4728.625</v>
      </c>
      <c r="CM28" s="72">
        <f>Z28</f>
        <v>4512.1129999999994</v>
      </c>
      <c r="CN28" s="72">
        <f>AE28</f>
        <v>4582.0310000000009</v>
      </c>
      <c r="CO28" s="72">
        <f>AJ28</f>
        <v>4151.1000000000004</v>
      </c>
      <c r="CP28" s="72">
        <f>AO28</f>
        <v>2924</v>
      </c>
      <c r="CQ28" s="72">
        <f>AT28</f>
        <v>3075</v>
      </c>
      <c r="CR28" s="72">
        <f>AY28</f>
        <v>3102</v>
      </c>
      <c r="CS28" s="72">
        <f>BD28</f>
        <v>3103</v>
      </c>
      <c r="CT28" s="72">
        <f>BI28</f>
        <v>3146</v>
      </c>
      <c r="CU28" s="72">
        <f>BN28</f>
        <v>3125</v>
      </c>
      <c r="CV28" s="72">
        <f>BS28</f>
        <v>3375.2321436848047</v>
      </c>
      <c r="CW28" s="72">
        <f>BX28</f>
        <v>3464.6264300858293</v>
      </c>
      <c r="CX28" s="72">
        <f>BY28</f>
        <v>3602.0847812638331</v>
      </c>
      <c r="CY28" s="72">
        <f>BZ28</f>
        <v>3739.1974611097057</v>
      </c>
      <c r="CZ28" s="73">
        <f>CA28</f>
        <v>3870.3113780465019</v>
      </c>
      <c r="DA28" s="74"/>
      <c r="DB28" s="59">
        <f>SUM(BO28,BP28,BQ28,BR28)</f>
        <v>3375.2321436848047</v>
      </c>
      <c r="DC28"/>
      <c r="DD28"/>
      <c r="DE28"/>
      <c r="DF28"/>
      <c r="DG28"/>
      <c r="DH28"/>
    </row>
    <row r="29" spans="1:112" ht="6" customHeight="1">
      <c r="A29" s="176"/>
      <c r="B29" s="48"/>
      <c r="C29" s="48"/>
      <c r="D29" s="48"/>
      <c r="E29" s="48"/>
      <c r="F29" s="48"/>
      <c r="G29" s="51"/>
      <c r="H29" s="49"/>
      <c r="I29" s="49"/>
      <c r="J29" s="49"/>
      <c r="K29" s="48"/>
      <c r="L29" s="49"/>
      <c r="M29" s="49"/>
      <c r="N29" s="49"/>
      <c r="O29" s="49"/>
      <c r="P29" s="48"/>
      <c r="Q29" s="49"/>
      <c r="R29" s="49"/>
      <c r="S29" s="49"/>
      <c r="T29" s="49"/>
      <c r="U29" s="48"/>
      <c r="V29" s="49"/>
      <c r="W29" s="49"/>
      <c r="X29" s="49"/>
      <c r="Y29" s="49"/>
      <c r="Z29" s="48"/>
      <c r="AA29" s="49"/>
      <c r="AB29" s="49"/>
      <c r="AC29" s="49"/>
      <c r="AD29" s="49"/>
      <c r="AE29" s="48"/>
      <c r="AF29" s="49"/>
      <c r="AG29" s="49"/>
      <c r="AH29" s="49"/>
      <c r="AI29" s="49"/>
      <c r="AJ29" s="48"/>
      <c r="AK29" s="49"/>
      <c r="AL29" s="49"/>
      <c r="AM29" s="49"/>
      <c r="AN29" s="49"/>
      <c r="AO29" s="48"/>
      <c r="AP29" s="49"/>
      <c r="AQ29" s="49"/>
      <c r="AR29" s="49"/>
      <c r="AS29" s="49"/>
      <c r="AT29" s="48"/>
      <c r="AU29" s="50"/>
      <c r="AV29" s="49"/>
      <c r="AW29" s="51"/>
      <c r="AX29" s="51"/>
      <c r="AY29" s="48"/>
      <c r="AZ29" s="126"/>
      <c r="BA29" s="51"/>
      <c r="BB29" s="51"/>
      <c r="BC29" s="51"/>
      <c r="BD29" s="48"/>
      <c r="BE29" s="126"/>
      <c r="BF29" s="51"/>
      <c r="BG29" s="51"/>
      <c r="BH29" s="51"/>
      <c r="BI29" s="54"/>
      <c r="BJ29" s="127"/>
      <c r="BK29" s="127"/>
      <c r="BL29" s="127"/>
      <c r="BM29" s="127"/>
      <c r="BN29" s="54"/>
      <c r="BO29" s="127"/>
      <c r="BP29" s="127"/>
      <c r="BQ29" s="127"/>
      <c r="BR29" s="127"/>
      <c r="BS29" s="54"/>
      <c r="BT29" s="127"/>
      <c r="BU29" s="127"/>
      <c r="BV29" s="127"/>
      <c r="BW29" s="127"/>
      <c r="BX29" s="54"/>
      <c r="BY29" s="129"/>
      <c r="BZ29" s="129"/>
      <c r="CA29" s="129"/>
      <c r="CB29" s="177"/>
      <c r="CC29" s="1361"/>
      <c r="CD29" s="141"/>
      <c r="CE29" s="133"/>
      <c r="CF29" s="133"/>
      <c r="CG29" s="133"/>
      <c r="CH29" s="133"/>
      <c r="CI29" s="133"/>
      <c r="CJ29" s="133"/>
      <c r="CK29" s="133"/>
      <c r="CL29" s="133"/>
      <c r="CM29" s="133"/>
      <c r="CN29" s="51"/>
      <c r="CO29" s="51"/>
      <c r="CP29" s="51"/>
      <c r="CQ29" s="51"/>
      <c r="CR29" s="51"/>
      <c r="CS29" s="51"/>
      <c r="CT29" s="51"/>
      <c r="CU29" s="51"/>
      <c r="CV29" s="51"/>
      <c r="CW29" s="51"/>
      <c r="CX29" s="51"/>
      <c r="CY29" s="51"/>
      <c r="CZ29" s="178"/>
      <c r="DA29" s="58"/>
      <c r="DB29" s="179"/>
    </row>
    <row r="30" spans="1:112" s="70" customFormat="1" ht="12" customHeight="1">
      <c r="A30" s="180" t="s">
        <v>71</v>
      </c>
      <c r="B30" s="181">
        <f t="shared" ref="B30:M30" si="43">B14-B28</f>
        <v>850.48499999999967</v>
      </c>
      <c r="C30" s="181">
        <f t="shared" si="43"/>
        <v>1057.5</v>
      </c>
      <c r="D30" s="181">
        <f t="shared" si="43"/>
        <v>1121.8710000000001</v>
      </c>
      <c r="E30" s="181">
        <f t="shared" si="43"/>
        <v>1299.3370000000004</v>
      </c>
      <c r="F30" s="181">
        <f t="shared" si="43"/>
        <v>1538.1129999999994</v>
      </c>
      <c r="G30" s="182">
        <f t="shared" si="43"/>
        <v>178.96400000000017</v>
      </c>
      <c r="H30" s="182">
        <f t="shared" si="43"/>
        <v>400.82600000000002</v>
      </c>
      <c r="I30" s="182">
        <f t="shared" si="43"/>
        <v>670.63400000000001</v>
      </c>
      <c r="J30" s="182">
        <f t="shared" si="43"/>
        <v>361.11700000000019</v>
      </c>
      <c r="K30" s="181">
        <f t="shared" si="43"/>
        <v>1611.5410000000002</v>
      </c>
      <c r="L30" s="182">
        <f t="shared" si="43"/>
        <v>255.39300000000003</v>
      </c>
      <c r="M30" s="182">
        <f t="shared" si="43"/>
        <v>495.69100000000026</v>
      </c>
      <c r="N30" s="182">
        <f>N14-N28+N26+N42</f>
        <v>761.13699999999994</v>
      </c>
      <c r="O30" s="182">
        <f>O14-O28</f>
        <v>340.1579999999999</v>
      </c>
      <c r="P30" s="181">
        <f>P14-P28</f>
        <v>1867.8020000000006</v>
      </c>
      <c r="Q30" s="182">
        <f>Q14-Q28</f>
        <v>192.78699999999981</v>
      </c>
      <c r="R30" s="182">
        <f>R14-R28</f>
        <v>431.93599999999992</v>
      </c>
      <c r="S30" s="182">
        <f>S14-S28</f>
        <v>719.9050000000002</v>
      </c>
      <c r="T30" s="182">
        <f>U30-S30-R30-Q30</f>
        <v>281.80199999999945</v>
      </c>
      <c r="U30" s="181">
        <f t="shared" ref="U30:AJ30" si="44">U14-U28</f>
        <v>1626.4299999999994</v>
      </c>
      <c r="V30" s="182">
        <f t="shared" si="44"/>
        <v>167.95699999999988</v>
      </c>
      <c r="W30" s="182">
        <f t="shared" si="44"/>
        <v>351.7489999999998</v>
      </c>
      <c r="X30" s="182">
        <f t="shared" si="44"/>
        <v>593.06200000000013</v>
      </c>
      <c r="Y30" s="182">
        <f t="shared" si="44"/>
        <v>326.90099999999961</v>
      </c>
      <c r="Z30" s="181">
        <f t="shared" si="44"/>
        <v>1439.6690000000008</v>
      </c>
      <c r="AA30" s="182">
        <f t="shared" si="44"/>
        <v>226.20000000000005</v>
      </c>
      <c r="AB30" s="182">
        <f t="shared" si="44"/>
        <v>365.49999999999977</v>
      </c>
      <c r="AC30" s="182">
        <f t="shared" si="44"/>
        <v>650.60000000000014</v>
      </c>
      <c r="AD30" s="182">
        <f t="shared" si="44"/>
        <v>344.00000000000023</v>
      </c>
      <c r="AE30" s="181">
        <f t="shared" si="44"/>
        <v>1586.2999999999993</v>
      </c>
      <c r="AF30" s="182">
        <f t="shared" si="44"/>
        <v>255</v>
      </c>
      <c r="AG30" s="182">
        <f t="shared" si="44"/>
        <v>397</v>
      </c>
      <c r="AH30" s="182">
        <f t="shared" si="44"/>
        <v>644.79999999999995</v>
      </c>
      <c r="AI30" s="182">
        <f t="shared" si="44"/>
        <v>282.10000000000002</v>
      </c>
      <c r="AJ30" s="181">
        <f t="shared" si="44"/>
        <v>2094.8999999999996</v>
      </c>
      <c r="AK30" s="182">
        <f>AK39+AK34</f>
        <v>342</v>
      </c>
      <c r="AL30" s="182">
        <f>AL39+AL34</f>
        <v>381</v>
      </c>
      <c r="AM30" s="182">
        <f>AM39+AM34</f>
        <v>395</v>
      </c>
      <c r="AN30" s="182">
        <f>AN39+AN34</f>
        <v>408</v>
      </c>
      <c r="AO30" s="181">
        <f>SUM(AK30:AN30)</f>
        <v>1526</v>
      </c>
      <c r="AP30" s="182">
        <f>AP39+AP34</f>
        <v>434</v>
      </c>
      <c r="AQ30" s="182">
        <f>AQ39+AQ34</f>
        <v>481</v>
      </c>
      <c r="AR30" s="182">
        <f>AR39+AR34</f>
        <v>417</v>
      </c>
      <c r="AS30" s="182">
        <f>AS39+AS34</f>
        <v>382</v>
      </c>
      <c r="AT30" s="181">
        <f>SUM(AP30:AS30)</f>
        <v>1714</v>
      </c>
      <c r="AU30" s="183">
        <f>AU39+AU34</f>
        <v>453.5</v>
      </c>
      <c r="AV30" s="182">
        <f>AV39+AV34</f>
        <v>508.5</v>
      </c>
      <c r="AW30" s="182">
        <f>AW39+AW34</f>
        <v>509</v>
      </c>
      <c r="AX30" s="182">
        <f>AX39+AX34</f>
        <v>478</v>
      </c>
      <c r="AY30" s="181">
        <f>SUM(AU30:AX30)</f>
        <v>1949</v>
      </c>
      <c r="AZ30" s="184">
        <f>AZ39+AZ34</f>
        <v>528</v>
      </c>
      <c r="BA30" s="182">
        <f>BA39+BA34</f>
        <v>585</v>
      </c>
      <c r="BB30" s="182">
        <f>BB39+BB34</f>
        <v>566</v>
      </c>
      <c r="BC30" s="182">
        <f>BC39+BC34</f>
        <v>531</v>
      </c>
      <c r="BD30" s="181">
        <f>SUM(AZ30:BC30)</f>
        <v>2210</v>
      </c>
      <c r="BE30" s="184">
        <f>BE39+BE34</f>
        <v>569</v>
      </c>
      <c r="BF30" s="182">
        <f>BF39+BF34</f>
        <v>674</v>
      </c>
      <c r="BG30" s="182">
        <f>BG39+BG34</f>
        <v>661</v>
      </c>
      <c r="BH30" s="182">
        <f>BH39+BH34</f>
        <v>611</v>
      </c>
      <c r="BI30" s="186">
        <f>SUM(BE30:BH30)</f>
        <v>2515</v>
      </c>
      <c r="BJ30" s="185">
        <f>BJ39+BJ34</f>
        <v>708</v>
      </c>
      <c r="BK30" s="185">
        <f>BK39+BK34</f>
        <v>735</v>
      </c>
      <c r="BL30" s="185">
        <f>BL39+BL34</f>
        <v>723</v>
      </c>
      <c r="BM30" s="185">
        <f>BM39+BM34</f>
        <v>773</v>
      </c>
      <c r="BN30" s="186">
        <f>SUM(BJ30:BM30)</f>
        <v>2939</v>
      </c>
      <c r="BO30" s="185">
        <f>BO39+BO34</f>
        <v>756</v>
      </c>
      <c r="BP30" s="185">
        <f>BP39+BP34</f>
        <v>792.9285684290395</v>
      </c>
      <c r="BQ30" s="185">
        <f>BQ39+BQ34</f>
        <v>774.09205587573865</v>
      </c>
      <c r="BR30" s="185">
        <f>BR39+BR34</f>
        <v>803.59712804975766</v>
      </c>
      <c r="BS30" s="186">
        <f>SUM(BO30:BR30)</f>
        <v>3126.6177523545357</v>
      </c>
      <c r="BT30" s="185">
        <f>BT39+BT34</f>
        <v>815.11415609975847</v>
      </c>
      <c r="BU30" s="185">
        <f>BU39+BU34</f>
        <v>867.02705113881302</v>
      </c>
      <c r="BV30" s="185">
        <f>BV39+BV34</f>
        <v>848.01583281865817</v>
      </c>
      <c r="BW30" s="185">
        <f>BW39+BW34</f>
        <v>881.25416621081422</v>
      </c>
      <c r="BX30" s="186">
        <f>SUM(BT30:BW30)</f>
        <v>3411.4112062680438</v>
      </c>
      <c r="BY30" s="186">
        <f>BY39+BY34</f>
        <v>3629.4410197236029</v>
      </c>
      <c r="BZ30" s="186">
        <f>BZ39+BZ34</f>
        <v>3869.18143542491</v>
      </c>
      <c r="CA30" s="186">
        <f>CA39+CA34</f>
        <v>4094.5433973881854</v>
      </c>
      <c r="CB30" s="118">
        <f>(CA30/BN30)^(1/5)-1</f>
        <v>6.8565574210890379E-2</v>
      </c>
      <c r="CC30" s="1359"/>
      <c r="CD30" s="187" t="str">
        <f>A30</f>
        <v>EBITDA</v>
      </c>
      <c r="CE30" s="182">
        <f t="shared" ref="CE30:CO30" si="45">CE14-CE28</f>
        <v>850.48499999999967</v>
      </c>
      <c r="CF30" s="182">
        <f t="shared" si="45"/>
        <v>1057.5</v>
      </c>
      <c r="CG30" s="182">
        <f t="shared" si="45"/>
        <v>1121.8710000000001</v>
      </c>
      <c r="CH30" s="182">
        <f t="shared" si="45"/>
        <v>1299.3370000000004</v>
      </c>
      <c r="CI30" s="182">
        <f t="shared" si="45"/>
        <v>1538.1129999999994</v>
      </c>
      <c r="CJ30" s="182">
        <f t="shared" si="45"/>
        <v>1611.5410000000002</v>
      </c>
      <c r="CK30" s="182">
        <f t="shared" si="45"/>
        <v>1867.8020000000006</v>
      </c>
      <c r="CL30" s="182">
        <f t="shared" si="45"/>
        <v>1626.4299999999994</v>
      </c>
      <c r="CM30" s="182">
        <f t="shared" si="45"/>
        <v>1439.6690000000008</v>
      </c>
      <c r="CN30" s="182">
        <f t="shared" si="45"/>
        <v>1586.2999999999993</v>
      </c>
      <c r="CO30" s="182">
        <f t="shared" si="45"/>
        <v>2094.8999999999996</v>
      </c>
      <c r="CP30" s="182">
        <f>AO30</f>
        <v>1526</v>
      </c>
      <c r="CQ30" s="182">
        <f>AT30</f>
        <v>1714</v>
      </c>
      <c r="CR30" s="182">
        <f>AY30</f>
        <v>1949</v>
      </c>
      <c r="CS30" s="182">
        <f>BD30</f>
        <v>2210</v>
      </c>
      <c r="CT30" s="182">
        <f>BI30</f>
        <v>2515</v>
      </c>
      <c r="CU30" s="182">
        <f>BN30</f>
        <v>2939</v>
      </c>
      <c r="CV30" s="182">
        <f>BS30</f>
        <v>3126.6177523545357</v>
      </c>
      <c r="CW30" s="182">
        <f t="shared" ref="CW30:CZ32" si="46">BX30</f>
        <v>3411.4112062680438</v>
      </c>
      <c r="CX30" s="182">
        <f t="shared" si="46"/>
        <v>3629.4410197236029</v>
      </c>
      <c r="CY30" s="182">
        <f t="shared" si="46"/>
        <v>3869.18143542491</v>
      </c>
      <c r="CZ30" s="188">
        <f t="shared" si="46"/>
        <v>4094.5433973881854</v>
      </c>
      <c r="DA30" s="74"/>
      <c r="DB30" s="59">
        <f>SUM(BO30,BP30,BQ30,BR30)</f>
        <v>3126.6177523545357</v>
      </c>
      <c r="DC30"/>
      <c r="DD30"/>
      <c r="DE30"/>
      <c r="DF30"/>
      <c r="DG30"/>
      <c r="DH30"/>
    </row>
    <row r="31" spans="1:112" ht="12" customHeight="1">
      <c r="A31" s="189" t="s">
        <v>72</v>
      </c>
      <c r="B31" s="190">
        <f t="shared" ref="B31:BM31" si="47">B30/B14</f>
        <v>0.18307579213158434</v>
      </c>
      <c r="C31" s="190">
        <f t="shared" si="47"/>
        <v>0.22790044532716805</v>
      </c>
      <c r="D31" s="190">
        <f t="shared" si="47"/>
        <v>0.22940646010894997</v>
      </c>
      <c r="E31" s="190">
        <f t="shared" si="47"/>
        <v>0.2474674023880982</v>
      </c>
      <c r="F31" s="190">
        <f t="shared" si="47"/>
        <v>0.25619665529690133</v>
      </c>
      <c r="G31" s="191">
        <f t="shared" si="47"/>
        <v>0.15689251752684161</v>
      </c>
      <c r="H31" s="191">
        <f t="shared" si="47"/>
        <v>0.26239915995818119</v>
      </c>
      <c r="I31" s="191">
        <f t="shared" si="47"/>
        <v>0.33656734769669322</v>
      </c>
      <c r="J31" s="191">
        <f t="shared" si="47"/>
        <v>0.22649851412428681</v>
      </c>
      <c r="K31" s="190">
        <f t="shared" si="47"/>
        <v>0.25763476361352861</v>
      </c>
      <c r="L31" s="191">
        <f t="shared" si="47"/>
        <v>0.19699896175461928</v>
      </c>
      <c r="M31" s="191">
        <f t="shared" si="47"/>
        <v>0.28849788060498949</v>
      </c>
      <c r="N31" s="191">
        <f t="shared" si="47"/>
        <v>0.3478694659405227</v>
      </c>
      <c r="O31" s="191">
        <f t="shared" si="47"/>
        <v>0.21670421128275172</v>
      </c>
      <c r="P31" s="190">
        <f t="shared" si="47"/>
        <v>0.27580101888861386</v>
      </c>
      <c r="Q31" s="191">
        <f t="shared" si="47"/>
        <v>0.15829837478682046</v>
      </c>
      <c r="R31" s="191">
        <f t="shared" si="47"/>
        <v>0.25814579629159257</v>
      </c>
      <c r="S31" s="191">
        <f t="shared" si="47"/>
        <v>0.35142328125236455</v>
      </c>
      <c r="T31" s="191">
        <f t="shared" si="47"/>
        <v>0.19909454309610269</v>
      </c>
      <c r="U31" s="190">
        <f t="shared" si="47"/>
        <v>0.25592697466819714</v>
      </c>
      <c r="V31" s="191">
        <f t="shared" si="47"/>
        <v>0.14627763112400455</v>
      </c>
      <c r="W31" s="191">
        <f t="shared" si="47"/>
        <v>0.2400722095578699</v>
      </c>
      <c r="X31" s="191">
        <f t="shared" si="47"/>
        <v>0.31614747670855053</v>
      </c>
      <c r="Y31" s="191">
        <f t="shared" si="47"/>
        <v>0.22352327397346422</v>
      </c>
      <c r="Z31" s="190">
        <f t="shared" si="47"/>
        <v>0.24188873181174994</v>
      </c>
      <c r="AA31" s="191">
        <f t="shared" si="47"/>
        <v>0.19002016129032259</v>
      </c>
      <c r="AB31" s="191">
        <f t="shared" si="47"/>
        <v>0.24794790041381168</v>
      </c>
      <c r="AC31" s="191">
        <f t="shared" si="47"/>
        <v>0.332583580411001</v>
      </c>
      <c r="AD31" s="191">
        <f t="shared" si="47"/>
        <v>0.22227520642840587</v>
      </c>
      <c r="AE31" s="190">
        <f t="shared" si="47"/>
        <v>0.25716843016368596</v>
      </c>
      <c r="AF31" s="191">
        <f t="shared" si="47"/>
        <v>0.20222045995241872</v>
      </c>
      <c r="AG31" s="191">
        <f t="shared" si="47"/>
        <v>0.25497752087347464</v>
      </c>
      <c r="AH31" s="191">
        <f t="shared" si="47"/>
        <v>0.33794549266247376</v>
      </c>
      <c r="AI31" s="191">
        <f t="shared" si="47"/>
        <v>0.2809760956175299</v>
      </c>
      <c r="AJ31" s="190">
        <f t="shared" si="47"/>
        <v>0.33539865513928907</v>
      </c>
      <c r="AK31" s="191">
        <f t="shared" si="47"/>
        <v>0.33043478260869563</v>
      </c>
      <c r="AL31" s="191">
        <f t="shared" si="47"/>
        <v>0.35541044776119401</v>
      </c>
      <c r="AM31" s="191">
        <f t="shared" si="47"/>
        <v>0.35394265232974909</v>
      </c>
      <c r="AN31" s="191">
        <f t="shared" si="47"/>
        <v>0.33251833740831294</v>
      </c>
      <c r="AO31" s="190">
        <f t="shared" si="47"/>
        <v>0.34292134831460674</v>
      </c>
      <c r="AP31" s="191">
        <f t="shared" si="47"/>
        <v>0.3674851820491109</v>
      </c>
      <c r="AQ31" s="191">
        <f t="shared" si="47"/>
        <v>0.38479999999999998</v>
      </c>
      <c r="AR31" s="191">
        <f t="shared" si="47"/>
        <v>0.36197916666666669</v>
      </c>
      <c r="AS31" s="191">
        <f t="shared" si="47"/>
        <v>0.31674958540630183</v>
      </c>
      <c r="AT31" s="190">
        <f t="shared" si="47"/>
        <v>0.35790352892044269</v>
      </c>
      <c r="AU31" s="192">
        <f t="shared" si="47"/>
        <v>0.37918060200668896</v>
      </c>
      <c r="AV31" s="191">
        <f t="shared" si="47"/>
        <v>0.39055299539170507</v>
      </c>
      <c r="AW31" s="191">
        <f t="shared" si="47"/>
        <v>0.40300870942201106</v>
      </c>
      <c r="AX31" s="191">
        <f t="shared" si="47"/>
        <v>0.37054263565891471</v>
      </c>
      <c r="AY31" s="190">
        <f t="shared" si="47"/>
        <v>0.38586418530983962</v>
      </c>
      <c r="AZ31" s="193">
        <f t="shared" si="47"/>
        <v>0.41476826394344068</v>
      </c>
      <c r="BA31" s="191">
        <f t="shared" si="47"/>
        <v>0.43591654247391953</v>
      </c>
      <c r="BB31" s="191">
        <f t="shared" si="47"/>
        <v>0.42749244712990936</v>
      </c>
      <c r="BC31" s="191">
        <f t="shared" si="47"/>
        <v>0.38646288209606988</v>
      </c>
      <c r="BD31" s="190">
        <f t="shared" si="47"/>
        <v>0.41596085074345945</v>
      </c>
      <c r="BE31" s="193">
        <f t="shared" si="47"/>
        <v>0.42431021625652499</v>
      </c>
      <c r="BF31" s="191">
        <f t="shared" si="47"/>
        <v>0.45479082321187586</v>
      </c>
      <c r="BG31" s="191">
        <f t="shared" si="47"/>
        <v>0.45934676858929813</v>
      </c>
      <c r="BH31" s="191">
        <f t="shared" si="47"/>
        <v>0.43674052894924947</v>
      </c>
      <c r="BI31" s="195">
        <f t="shared" si="47"/>
        <v>0.44426779720897369</v>
      </c>
      <c r="BJ31" s="194">
        <f t="shared" si="47"/>
        <v>0.48726772195457674</v>
      </c>
      <c r="BK31" s="194">
        <f t="shared" si="47"/>
        <v>0.48707753479125249</v>
      </c>
      <c r="BL31" s="194">
        <f t="shared" si="47"/>
        <v>0.47785855915399866</v>
      </c>
      <c r="BM31" s="194">
        <f t="shared" si="47"/>
        <v>0.48646947765890497</v>
      </c>
      <c r="BN31" s="195">
        <f t="shared" ref="BN31:BY31" si="48">BN30/BN14</f>
        <v>0.48466358839050133</v>
      </c>
      <c r="BO31" s="194">
        <f t="shared" si="48"/>
        <v>0.48245054243777918</v>
      </c>
      <c r="BP31" s="194">
        <f t="shared" si="48"/>
        <v>0.48338037100914893</v>
      </c>
      <c r="BQ31" s="194">
        <f t="shared" si="48"/>
        <v>0.47685456672045212</v>
      </c>
      <c r="BR31" s="194">
        <f t="shared" si="48"/>
        <v>0.48086813654830607</v>
      </c>
      <c r="BS31" s="195">
        <f t="shared" si="48"/>
        <v>0.48088125723405928</v>
      </c>
      <c r="BT31" s="194">
        <f t="shared" ref="BT31:BX31" si="49">BT30/BT14</f>
        <v>0.49507922698807455</v>
      </c>
      <c r="BU31" s="194">
        <f t="shared" si="49"/>
        <v>0.49904716215848438</v>
      </c>
      <c r="BV31" s="194">
        <f t="shared" si="49"/>
        <v>0.49266360704496853</v>
      </c>
      <c r="BW31" s="194">
        <f t="shared" si="49"/>
        <v>0.49761573335966569</v>
      </c>
      <c r="BX31" s="195">
        <f t="shared" si="49"/>
        <v>0.49613038594084813</v>
      </c>
      <c r="BY31" s="195">
        <f t="shared" si="48"/>
        <v>0.50189145688009817</v>
      </c>
      <c r="BZ31" s="195">
        <f>BZ30/BZ14</f>
        <v>0.50854215964286476</v>
      </c>
      <c r="CA31" s="195">
        <f>CA30/CA14</f>
        <v>0.51407634072834973</v>
      </c>
      <c r="CB31" s="2240"/>
      <c r="CC31" s="1361"/>
      <c r="CD31" s="196" t="str">
        <f>A31</f>
        <v>EBITDA Margin</v>
      </c>
      <c r="CE31" s="191">
        <f>B31</f>
        <v>0.18307579213158434</v>
      </c>
      <c r="CF31" s="191">
        <f>C31</f>
        <v>0.22790044532716805</v>
      </c>
      <c r="CG31" s="191">
        <f>D31</f>
        <v>0.22940646010894997</v>
      </c>
      <c r="CH31" s="191">
        <f>E31</f>
        <v>0.2474674023880982</v>
      </c>
      <c r="CI31" s="191">
        <f>F31</f>
        <v>0.25619665529690133</v>
      </c>
      <c r="CJ31" s="191">
        <f>K31</f>
        <v>0.25763476361352861</v>
      </c>
      <c r="CK31" s="191">
        <f>P31</f>
        <v>0.27580101888861386</v>
      </c>
      <c r="CL31" s="191">
        <f>U31</f>
        <v>0.25592697466819714</v>
      </c>
      <c r="CM31" s="191">
        <f>Z31</f>
        <v>0.24188873181174994</v>
      </c>
      <c r="CN31" s="191">
        <f>AE31</f>
        <v>0.25716843016368596</v>
      </c>
      <c r="CO31" s="191">
        <f>AJ31</f>
        <v>0.33539865513928907</v>
      </c>
      <c r="CP31" s="191">
        <f>AO31</f>
        <v>0.34292134831460674</v>
      </c>
      <c r="CQ31" s="191">
        <f>AT31</f>
        <v>0.35790352892044269</v>
      </c>
      <c r="CR31" s="191">
        <f>AY31</f>
        <v>0.38586418530983962</v>
      </c>
      <c r="CS31" s="191">
        <f>BD31</f>
        <v>0.41596085074345945</v>
      </c>
      <c r="CT31" s="191">
        <f>BI31</f>
        <v>0.44426779720897369</v>
      </c>
      <c r="CU31" s="191">
        <f>BN31</f>
        <v>0.48466358839050133</v>
      </c>
      <c r="CV31" s="191">
        <f>BS31</f>
        <v>0.48088125723405928</v>
      </c>
      <c r="CW31" s="191">
        <f t="shared" si="46"/>
        <v>0.49613038594084813</v>
      </c>
      <c r="CX31" s="191">
        <f t="shared" si="46"/>
        <v>0.50189145688009817</v>
      </c>
      <c r="CY31" s="191">
        <f t="shared" si="46"/>
        <v>0.50854215964286476</v>
      </c>
      <c r="CZ31" s="197">
        <f t="shared" si="46"/>
        <v>0.51407634072834973</v>
      </c>
      <c r="DA31" s="58"/>
      <c r="DB31" s="198">
        <f>DB30/$DB$14</f>
        <v>0.48088125723405928</v>
      </c>
    </row>
    <row r="32" spans="1:112" ht="12" customHeight="1">
      <c r="A32" s="189" t="s">
        <v>73</v>
      </c>
      <c r="B32" s="190"/>
      <c r="C32" s="190">
        <f>C30/B30-1</f>
        <v>0.24340817298365103</v>
      </c>
      <c r="D32" s="190">
        <f>D30/C30-1</f>
        <v>6.0870921985815674E-2</v>
      </c>
      <c r="E32" s="190">
        <f>E30/D30-1</f>
        <v>0.15818752779954237</v>
      </c>
      <c r="F32" s="190">
        <f>F30/E30-1</f>
        <v>0.18376756761332813</v>
      </c>
      <c r="G32" s="191"/>
      <c r="H32" s="191"/>
      <c r="I32" s="191"/>
      <c r="J32" s="191"/>
      <c r="K32" s="190">
        <f>K30/F30-1</f>
        <v>4.7739015273910779E-2</v>
      </c>
      <c r="L32" s="191">
        <f t="shared" ref="L32:BS32" si="50">L30/G30-1</f>
        <v>0.42706354350595532</v>
      </c>
      <c r="M32" s="191">
        <f t="shared" si="50"/>
        <v>0.23667376866770184</v>
      </c>
      <c r="N32" s="191">
        <f t="shared" si="50"/>
        <v>0.13495140419364349</v>
      </c>
      <c r="O32" s="191">
        <f t="shared" si="50"/>
        <v>-5.8039361204264228E-2</v>
      </c>
      <c r="P32" s="190">
        <f t="shared" si="50"/>
        <v>0.15901612183618075</v>
      </c>
      <c r="Q32" s="191">
        <f t="shared" si="50"/>
        <v>-0.24513592776622783</v>
      </c>
      <c r="R32" s="191">
        <f t="shared" si="50"/>
        <v>-0.12861843366129366</v>
      </c>
      <c r="S32" s="191">
        <f t="shared" si="50"/>
        <v>-5.4171588032114748E-2</v>
      </c>
      <c r="T32" s="191">
        <f t="shared" si="50"/>
        <v>-0.17155557123454535</v>
      </c>
      <c r="U32" s="190">
        <f t="shared" si="50"/>
        <v>-0.12922783035889307</v>
      </c>
      <c r="V32" s="191">
        <f t="shared" si="50"/>
        <v>-0.12879499136352535</v>
      </c>
      <c r="W32" s="191">
        <f t="shared" si="50"/>
        <v>-0.18564555860127463</v>
      </c>
      <c r="X32" s="191">
        <f t="shared" si="50"/>
        <v>-0.17619408116348689</v>
      </c>
      <c r="Y32" s="191">
        <f t="shared" si="50"/>
        <v>0.16003789895032772</v>
      </c>
      <c r="Z32" s="190">
        <f t="shared" si="50"/>
        <v>-0.11482879681265024</v>
      </c>
      <c r="AA32" s="191">
        <f t="shared" si="50"/>
        <v>0.34677328125651341</v>
      </c>
      <c r="AB32" s="191">
        <f t="shared" si="50"/>
        <v>3.9093217038285832E-2</v>
      </c>
      <c r="AC32" s="191">
        <f t="shared" si="50"/>
        <v>9.7018524201516909E-2</v>
      </c>
      <c r="AD32" s="191">
        <f t="shared" si="50"/>
        <v>5.2306355746848832E-2</v>
      </c>
      <c r="AE32" s="190">
        <f t="shared" si="50"/>
        <v>0.10185049480123443</v>
      </c>
      <c r="AF32" s="191">
        <f t="shared" si="50"/>
        <v>0.12732095490716167</v>
      </c>
      <c r="AG32" s="191">
        <f t="shared" si="50"/>
        <v>8.6183310533516355E-2</v>
      </c>
      <c r="AH32" s="191">
        <f t="shared" si="50"/>
        <v>-8.9148478327700786E-3</v>
      </c>
      <c r="AI32" s="191">
        <f t="shared" si="50"/>
        <v>-0.17994186046511673</v>
      </c>
      <c r="AJ32" s="190">
        <f t="shared" si="50"/>
        <v>0.32062031141650427</v>
      </c>
      <c r="AK32" s="191">
        <f t="shared" si="50"/>
        <v>0.34117647058823519</v>
      </c>
      <c r="AL32" s="191">
        <f t="shared" si="50"/>
        <v>-4.0302267002518932E-2</v>
      </c>
      <c r="AM32" s="191">
        <f t="shared" si="50"/>
        <v>-0.38740694789081886</v>
      </c>
      <c r="AN32" s="191">
        <f t="shared" si="50"/>
        <v>0.44629563984402676</v>
      </c>
      <c r="AO32" s="190">
        <f t="shared" si="50"/>
        <v>-0.27156427514439818</v>
      </c>
      <c r="AP32" s="191">
        <f t="shared" si="50"/>
        <v>0.26900584795321647</v>
      </c>
      <c r="AQ32" s="191">
        <f t="shared" si="50"/>
        <v>0.26246719160104992</v>
      </c>
      <c r="AR32" s="191">
        <f t="shared" si="50"/>
        <v>5.5696202531645644E-2</v>
      </c>
      <c r="AS32" s="191">
        <f t="shared" si="50"/>
        <v>-6.3725490196078427E-2</v>
      </c>
      <c r="AT32" s="190">
        <f t="shared" si="50"/>
        <v>0.1231979030144168</v>
      </c>
      <c r="AU32" s="192">
        <f t="shared" si="50"/>
        <v>4.4930875576036922E-2</v>
      </c>
      <c r="AV32" s="191">
        <f t="shared" si="50"/>
        <v>5.7172557172557203E-2</v>
      </c>
      <c r="AW32" s="191">
        <f t="shared" si="50"/>
        <v>0.22062350119904073</v>
      </c>
      <c r="AX32" s="191">
        <f t="shared" si="50"/>
        <v>0.25130890052356025</v>
      </c>
      <c r="AY32" s="190">
        <f t="shared" si="50"/>
        <v>0.13710618436406063</v>
      </c>
      <c r="AZ32" s="193">
        <f t="shared" si="50"/>
        <v>0.16427783902976856</v>
      </c>
      <c r="BA32" s="191">
        <f t="shared" si="50"/>
        <v>0.15044247787610621</v>
      </c>
      <c r="BB32" s="191">
        <f t="shared" si="50"/>
        <v>0.11198428290766205</v>
      </c>
      <c r="BC32" s="191">
        <f t="shared" si="50"/>
        <v>0.11087866108786604</v>
      </c>
      <c r="BD32" s="190">
        <f t="shared" si="50"/>
        <v>0.13391482811698308</v>
      </c>
      <c r="BE32" s="193">
        <f t="shared" si="50"/>
        <v>7.7651515151515138E-2</v>
      </c>
      <c r="BF32" s="191">
        <f t="shared" si="50"/>
        <v>0.15213675213675204</v>
      </c>
      <c r="BG32" s="191">
        <f t="shared" si="50"/>
        <v>0.16784452296819796</v>
      </c>
      <c r="BH32" s="191">
        <f t="shared" si="50"/>
        <v>0.15065913370998119</v>
      </c>
      <c r="BI32" s="195">
        <f t="shared" si="50"/>
        <v>0.13800904977375561</v>
      </c>
      <c r="BJ32" s="194">
        <f t="shared" si="50"/>
        <v>0.24428822495606317</v>
      </c>
      <c r="BK32" s="194">
        <f t="shared" si="50"/>
        <v>9.0504451038575739E-2</v>
      </c>
      <c r="BL32" s="194">
        <f t="shared" si="50"/>
        <v>9.3797276853252676E-2</v>
      </c>
      <c r="BM32" s="194">
        <f t="shared" si="50"/>
        <v>0.26513911620294595</v>
      </c>
      <c r="BN32" s="195">
        <f t="shared" si="50"/>
        <v>0.16858846918489068</v>
      </c>
      <c r="BO32" s="194">
        <f t="shared" si="50"/>
        <v>6.7796610169491567E-2</v>
      </c>
      <c r="BP32" s="194">
        <f t="shared" si="50"/>
        <v>7.8814378815019737E-2</v>
      </c>
      <c r="BQ32" s="194">
        <f t="shared" si="50"/>
        <v>7.0666743949846067E-2</v>
      </c>
      <c r="BR32" s="194">
        <f t="shared" si="50"/>
        <v>3.9582313130346325E-2</v>
      </c>
      <c r="BS32" s="195">
        <f t="shared" si="50"/>
        <v>6.3837275384326597E-2</v>
      </c>
      <c r="BT32" s="194">
        <f t="shared" ref="BT32" si="51">BT30/BO30-1</f>
        <v>7.8193328174283705E-2</v>
      </c>
      <c r="BU32" s="194">
        <f t="shared" ref="BU32" si="52">BU30/BP30-1</f>
        <v>9.3449127273316002E-2</v>
      </c>
      <c r="BV32" s="194">
        <f t="shared" ref="BV32" si="53">BV30/BQ30-1</f>
        <v>9.5497397734289891E-2</v>
      </c>
      <c r="BW32" s="194">
        <f t="shared" ref="BW32" si="54">BW30/BR30-1</f>
        <v>9.6636779115328197E-2</v>
      </c>
      <c r="BX32" s="195">
        <f t="shared" ref="BX32" si="55">BX30/BS30-1</f>
        <v>9.108675139423128E-2</v>
      </c>
      <c r="BY32" s="195">
        <f>BY30/BX30-1</f>
        <v>6.3911912188995723E-2</v>
      </c>
      <c r="BZ32" s="195">
        <f>BZ30/BY30-1</f>
        <v>6.6054363302358921E-2</v>
      </c>
      <c r="CA32" s="195">
        <f>CA30/BZ30-1</f>
        <v>5.8245384902330555E-2</v>
      </c>
      <c r="CB32" s="199"/>
      <c r="CC32" s="1361"/>
      <c r="CD32" s="200" t="str">
        <f>A32</f>
        <v>Year-over-Year Growth</v>
      </c>
      <c r="CE32" s="201"/>
      <c r="CF32" s="201">
        <f>C32</f>
        <v>0.24340817298365103</v>
      </c>
      <c r="CG32" s="201">
        <f>D32</f>
        <v>6.0870921985815674E-2</v>
      </c>
      <c r="CH32" s="201">
        <f>E32</f>
        <v>0.15818752779954237</v>
      </c>
      <c r="CI32" s="201">
        <f>F32</f>
        <v>0.18376756761332813</v>
      </c>
      <c r="CJ32" s="201">
        <f>K32</f>
        <v>4.7739015273910779E-2</v>
      </c>
      <c r="CK32" s="201">
        <f>P32</f>
        <v>0.15901612183618075</v>
      </c>
      <c r="CL32" s="201">
        <f>U32</f>
        <v>-0.12922783035889307</v>
      </c>
      <c r="CM32" s="201">
        <f>Z32</f>
        <v>-0.11482879681265024</v>
      </c>
      <c r="CN32" s="201">
        <f>AE32</f>
        <v>0.10185049480123443</v>
      </c>
      <c r="CO32" s="201">
        <f>AJ32</f>
        <v>0.32062031141650427</v>
      </c>
      <c r="CP32" s="201">
        <f>AO32</f>
        <v>-0.27156427514439818</v>
      </c>
      <c r="CQ32" s="201">
        <f>AT32</f>
        <v>0.1231979030144168</v>
      </c>
      <c r="CR32" s="201">
        <f>AY32</f>
        <v>0.13710618436406063</v>
      </c>
      <c r="CS32" s="201">
        <f>BD32</f>
        <v>0.13391482811698308</v>
      </c>
      <c r="CT32" s="201">
        <f>BI32</f>
        <v>0.13800904977375561</v>
      </c>
      <c r="CU32" s="201">
        <f>BN32</f>
        <v>0.16858846918489068</v>
      </c>
      <c r="CV32" s="201">
        <f>BS32</f>
        <v>6.3837275384326597E-2</v>
      </c>
      <c r="CW32" s="201">
        <f t="shared" si="46"/>
        <v>9.108675139423128E-2</v>
      </c>
      <c r="CX32" s="201">
        <f t="shared" si="46"/>
        <v>6.3911912188995723E-2</v>
      </c>
      <c r="CY32" s="201">
        <f t="shared" si="46"/>
        <v>6.6054363302358921E-2</v>
      </c>
      <c r="CZ32" s="202">
        <f t="shared" si="46"/>
        <v>5.8245384902330555E-2</v>
      </c>
      <c r="DA32" s="58"/>
      <c r="DB32" s="203"/>
    </row>
    <row r="33" spans="1:112" ht="12" customHeight="1">
      <c r="A33" s="204"/>
      <c r="B33" s="181"/>
      <c r="C33" s="181"/>
      <c r="D33" s="181"/>
      <c r="E33" s="181"/>
      <c r="F33" s="181"/>
      <c r="G33" s="182"/>
      <c r="H33" s="182"/>
      <c r="I33" s="182"/>
      <c r="J33" s="182"/>
      <c r="K33" s="181"/>
      <c r="L33" s="182"/>
      <c r="M33" s="182"/>
      <c r="N33" s="182"/>
      <c r="O33" s="182"/>
      <c r="P33" s="181"/>
      <c r="Q33" s="182"/>
      <c r="R33" s="182"/>
      <c r="S33" s="182"/>
      <c r="T33" s="182"/>
      <c r="U33" s="181"/>
      <c r="V33" s="182"/>
      <c r="W33" s="182"/>
      <c r="X33" s="182"/>
      <c r="Y33" s="182"/>
      <c r="Z33" s="205"/>
      <c r="AA33" s="206"/>
      <c r="AB33" s="206"/>
      <c r="AC33" s="206"/>
      <c r="AD33" s="206"/>
      <c r="AE33" s="205"/>
      <c r="AF33" s="206"/>
      <c r="AG33" s="206"/>
      <c r="AH33" s="206"/>
      <c r="AI33" s="206"/>
      <c r="AJ33" s="205"/>
      <c r="AK33" s="206"/>
      <c r="AL33" s="207"/>
      <c r="AM33" s="206"/>
      <c r="AN33" s="208"/>
      <c r="AO33" s="205"/>
      <c r="AP33" s="206"/>
      <c r="AQ33" s="207"/>
      <c r="AR33" s="206"/>
      <c r="AS33" s="208"/>
      <c r="AT33" s="205"/>
      <c r="AU33" s="209"/>
      <c r="AV33" s="207"/>
      <c r="AW33" s="208"/>
      <c r="AX33" s="208"/>
      <c r="AY33" s="205"/>
      <c r="AZ33" s="210"/>
      <c r="BA33" s="211"/>
      <c r="BB33" s="211"/>
      <c r="BC33" s="211"/>
      <c r="BD33" s="212"/>
      <c r="BE33" s="211"/>
      <c r="BF33" s="211"/>
      <c r="BG33" s="211"/>
      <c r="BH33" s="211"/>
      <c r="BI33" s="1249"/>
      <c r="BJ33" s="214"/>
      <c r="BK33" s="211"/>
      <c r="BL33" s="211"/>
      <c r="BM33" s="211"/>
      <c r="BN33" s="213"/>
      <c r="BO33" s="214"/>
      <c r="BP33" s="211"/>
      <c r="BQ33" s="211"/>
      <c r="BR33" s="211"/>
      <c r="BS33" s="213"/>
      <c r="BT33" s="214"/>
      <c r="BU33" s="211"/>
      <c r="BV33" s="211"/>
      <c r="BW33" s="211"/>
      <c r="BX33" s="213"/>
      <c r="BY33" s="215"/>
      <c r="BZ33" s="215"/>
      <c r="CA33" s="215"/>
      <c r="CB33" s="69"/>
      <c r="CC33" s="1367"/>
      <c r="CD33" s="216"/>
      <c r="CE33" s="217"/>
      <c r="CF33" s="217"/>
      <c r="CG33" s="217"/>
      <c r="CH33" s="217"/>
      <c r="CI33" s="217"/>
      <c r="CJ33" s="217"/>
      <c r="CK33" s="217"/>
      <c r="CL33" s="217"/>
      <c r="CM33" s="217"/>
      <c r="CN33" s="72"/>
      <c r="CO33" s="72"/>
      <c r="CP33" s="72"/>
      <c r="CQ33" s="72"/>
      <c r="CR33" s="72"/>
      <c r="CS33" s="72"/>
      <c r="CT33" s="72"/>
      <c r="CU33" s="72"/>
      <c r="CV33" s="72"/>
      <c r="CW33" s="72"/>
      <c r="CX33" s="72"/>
      <c r="CY33" s="72"/>
      <c r="CZ33" s="73"/>
      <c r="DA33" s="58"/>
      <c r="DB33" s="218"/>
    </row>
    <row r="34" spans="1:112" s="70" customFormat="1" ht="12" customHeight="1">
      <c r="A34" s="219" t="s">
        <v>74</v>
      </c>
      <c r="B34" s="220">
        <f t="shared" ref="B34:AI34" si="56">B35+B36</f>
        <v>180.35700000000003</v>
      </c>
      <c r="C34" s="221">
        <f t="shared" si="56"/>
        <v>123.08799999999999</v>
      </c>
      <c r="D34" s="221">
        <f t="shared" si="56"/>
        <v>115.797</v>
      </c>
      <c r="E34" s="221">
        <f t="shared" si="56"/>
        <v>124.64700000000001</v>
      </c>
      <c r="F34" s="221">
        <f t="shared" si="56"/>
        <v>150.98500000000001</v>
      </c>
      <c r="G34" s="222">
        <f t="shared" si="56"/>
        <v>39.49</v>
      </c>
      <c r="H34" s="222">
        <f t="shared" si="56"/>
        <v>40.423000000000002</v>
      </c>
      <c r="I34" s="222">
        <f t="shared" si="56"/>
        <v>39.004999999999995</v>
      </c>
      <c r="J34" s="222">
        <f t="shared" si="56"/>
        <v>42.669000000000011</v>
      </c>
      <c r="K34" s="221">
        <f t="shared" si="56"/>
        <v>161.58699999999999</v>
      </c>
      <c r="L34" s="222">
        <f t="shared" si="56"/>
        <v>40.517000000000003</v>
      </c>
      <c r="M34" s="222">
        <f t="shared" si="56"/>
        <v>40.265999999999998</v>
      </c>
      <c r="N34" s="222">
        <f t="shared" si="56"/>
        <v>37.908000000000001</v>
      </c>
      <c r="O34" s="222">
        <f t="shared" si="56"/>
        <v>42.297999999999995</v>
      </c>
      <c r="P34" s="221">
        <f t="shared" si="56"/>
        <v>160.989</v>
      </c>
      <c r="Q34" s="222">
        <f t="shared" si="56"/>
        <v>41.727000000000004</v>
      </c>
      <c r="R34" s="222">
        <f t="shared" si="56"/>
        <v>43.555</v>
      </c>
      <c r="S34" s="222">
        <f t="shared" si="56"/>
        <v>43.588999999999999</v>
      </c>
      <c r="T34" s="222">
        <f t="shared" si="56"/>
        <v>49.475000000000001</v>
      </c>
      <c r="U34" s="221">
        <f t="shared" si="56"/>
        <v>178.346</v>
      </c>
      <c r="V34" s="222">
        <f t="shared" si="56"/>
        <v>43.616</v>
      </c>
      <c r="W34" s="222">
        <f t="shared" si="56"/>
        <v>40.222000000000001</v>
      </c>
      <c r="X34" s="222">
        <f t="shared" si="56"/>
        <v>37.097000000000001</v>
      </c>
      <c r="Y34" s="222">
        <f t="shared" si="56"/>
        <v>44.548999999999999</v>
      </c>
      <c r="Z34" s="221">
        <f t="shared" si="56"/>
        <v>165.48399999999998</v>
      </c>
      <c r="AA34" s="222">
        <f t="shared" si="56"/>
        <v>35.9</v>
      </c>
      <c r="AB34" s="222">
        <f t="shared" si="56"/>
        <v>39.200000000000003</v>
      </c>
      <c r="AC34" s="222">
        <f t="shared" si="56"/>
        <v>31.700000000000003</v>
      </c>
      <c r="AD34" s="222">
        <f t="shared" si="56"/>
        <v>43.299000000000014</v>
      </c>
      <c r="AE34" s="221">
        <f t="shared" si="56"/>
        <v>150.09899999999999</v>
      </c>
      <c r="AF34" s="222">
        <f t="shared" si="56"/>
        <v>39</v>
      </c>
      <c r="AG34" s="222">
        <f t="shared" si="56"/>
        <v>39</v>
      </c>
      <c r="AH34" s="222">
        <f t="shared" si="56"/>
        <v>37.900000000000006</v>
      </c>
      <c r="AI34" s="222">
        <f t="shared" si="56"/>
        <v>40.100000000000009</v>
      </c>
      <c r="AJ34" s="221">
        <f>SUM(AF34:AI34)</f>
        <v>156</v>
      </c>
      <c r="AK34" s="222">
        <f>AK35+AK36</f>
        <v>31</v>
      </c>
      <c r="AL34" s="222">
        <f>AL35+AL36</f>
        <v>34</v>
      </c>
      <c r="AM34" s="222">
        <f>AM35+AM36</f>
        <v>39</v>
      </c>
      <c r="AN34" s="222">
        <f>AN35+AN36</f>
        <v>37</v>
      </c>
      <c r="AO34" s="221">
        <f>SUM(AK34:AN34)</f>
        <v>141</v>
      </c>
      <c r="AP34" s="222">
        <f>AP35+AP36</f>
        <v>35</v>
      </c>
      <c r="AQ34" s="222">
        <f>AQ35+AQ36</f>
        <v>35</v>
      </c>
      <c r="AR34" s="222">
        <f>AR35+AR36</f>
        <v>33</v>
      </c>
      <c r="AS34" s="222">
        <f>AS35+AS36</f>
        <v>34</v>
      </c>
      <c r="AT34" s="221">
        <f>SUM(AP34:AS34)</f>
        <v>137</v>
      </c>
      <c r="AU34" s="220">
        <f>AU35+AU36</f>
        <v>33</v>
      </c>
      <c r="AV34" s="222">
        <f>AV35+AV36</f>
        <v>34</v>
      </c>
      <c r="AW34" s="222">
        <f>AW35+AW36</f>
        <v>33</v>
      </c>
      <c r="AX34" s="222">
        <f>AX35+AX36</f>
        <v>34</v>
      </c>
      <c r="AY34" s="221">
        <f>SUM(AU34:AX34)</f>
        <v>134</v>
      </c>
      <c r="AZ34" s="223">
        <f>AZ35+AZ36</f>
        <v>33</v>
      </c>
      <c r="BA34" s="224">
        <f>BA35+BA36</f>
        <v>33</v>
      </c>
      <c r="BB34" s="224">
        <f>BB35+BB36</f>
        <v>38</v>
      </c>
      <c r="BC34" s="222">
        <f>BC35+BC36</f>
        <v>53</v>
      </c>
      <c r="BD34" s="221">
        <f>SUM(AZ34:BC34)</f>
        <v>157</v>
      </c>
      <c r="BE34" s="222">
        <f>BE35+BE36</f>
        <v>42</v>
      </c>
      <c r="BF34" s="222">
        <f>BF35+BF36</f>
        <v>45</v>
      </c>
      <c r="BG34" s="222">
        <f>BG35+BG36</f>
        <v>47</v>
      </c>
      <c r="BH34" s="222">
        <f>BH35+BH36</f>
        <v>47</v>
      </c>
      <c r="BI34" s="225">
        <f>SUM(BE34:BH34)</f>
        <v>181</v>
      </c>
      <c r="BJ34" s="222">
        <f>BJ35+BJ36</f>
        <v>43</v>
      </c>
      <c r="BK34" s="224">
        <f>BK35+BK36</f>
        <v>45</v>
      </c>
      <c r="BL34" s="224">
        <f>BL35+BL36</f>
        <v>46</v>
      </c>
      <c r="BM34" s="224">
        <f>BM35+BM36</f>
        <v>46</v>
      </c>
      <c r="BN34" s="225">
        <f>SUM(BJ34:BM34)</f>
        <v>180</v>
      </c>
      <c r="BO34" s="224">
        <f>BO35+BO36</f>
        <v>45</v>
      </c>
      <c r="BP34" s="224">
        <f>BP37*BP14</f>
        <v>47.277576765760621</v>
      </c>
      <c r="BQ34" s="224">
        <f>BQ37*BQ14</f>
        <v>47.73103550243296</v>
      </c>
      <c r="BR34" s="224">
        <f>BR37*BR14</f>
        <v>46.706683491980527</v>
      </c>
      <c r="BS34" s="225">
        <f>SUM(BO34:BR34)</f>
        <v>186.71529576017412</v>
      </c>
      <c r="BT34" s="224">
        <f>BT37*BT14</f>
        <v>46.100088888082155</v>
      </c>
      <c r="BU34" s="224">
        <f>BU37*BU14</f>
        <v>48.646218779973943</v>
      </c>
      <c r="BV34" s="224">
        <f>BV37*BV14</f>
        <v>48.196057064866828</v>
      </c>
      <c r="BW34" s="224">
        <f>BW37*BW14</f>
        <v>49.586689084985515</v>
      </c>
      <c r="BX34" s="225">
        <f>SUM(BT34:BW34)</f>
        <v>192.52905381790845</v>
      </c>
      <c r="BY34" s="226">
        <f>BY37*BY14</f>
        <v>195.25119662666077</v>
      </c>
      <c r="BZ34" s="226">
        <f>BZ37*BZ14</f>
        <v>197.81785130989999</v>
      </c>
      <c r="CA34" s="226">
        <f>CA37*CA14</f>
        <v>199.12136938586715</v>
      </c>
      <c r="CB34" s="81"/>
      <c r="CC34" s="1359"/>
      <c r="CD34" s="227" t="str">
        <f>A34</f>
        <v>Depreciation and Amortization</v>
      </c>
      <c r="CE34" s="222">
        <f t="shared" ref="CE34:CL34" si="57">CE35+CE36</f>
        <v>180.35700000000003</v>
      </c>
      <c r="CF34" s="222">
        <f t="shared" si="57"/>
        <v>123.08799999999999</v>
      </c>
      <c r="CG34" s="222">
        <f t="shared" si="57"/>
        <v>115.797</v>
      </c>
      <c r="CH34" s="222">
        <f t="shared" si="57"/>
        <v>124.64700000000001</v>
      </c>
      <c r="CI34" s="222">
        <f t="shared" si="57"/>
        <v>150.98500000000001</v>
      </c>
      <c r="CJ34" s="222">
        <f t="shared" si="57"/>
        <v>161.58699999999999</v>
      </c>
      <c r="CK34" s="222">
        <f t="shared" si="57"/>
        <v>160.989</v>
      </c>
      <c r="CL34" s="222">
        <f t="shared" si="57"/>
        <v>178.346</v>
      </c>
      <c r="CM34" s="222">
        <f>CM35+CM36</f>
        <v>165.48399999999998</v>
      </c>
      <c r="CN34" s="222">
        <f>CN35+CN36</f>
        <v>150.09899999999999</v>
      </c>
      <c r="CO34" s="222">
        <f>CO35+CO36</f>
        <v>156</v>
      </c>
      <c r="CP34" s="222">
        <f>AO34</f>
        <v>141</v>
      </c>
      <c r="CQ34" s="222">
        <f>AT34</f>
        <v>137</v>
      </c>
      <c r="CR34" s="222">
        <f>AY34</f>
        <v>134</v>
      </c>
      <c r="CS34" s="222">
        <f>BD34</f>
        <v>157</v>
      </c>
      <c r="CT34" s="222">
        <f>BI34</f>
        <v>181</v>
      </c>
      <c r="CU34" s="222">
        <f>BN34</f>
        <v>180</v>
      </c>
      <c r="CV34" s="222">
        <f>BS34</f>
        <v>186.71529576017412</v>
      </c>
      <c r="CW34" s="222">
        <f t="shared" ref="CW34:CZ37" si="58">BX34</f>
        <v>192.52905381790845</v>
      </c>
      <c r="CX34" s="222">
        <f t="shared" si="58"/>
        <v>195.25119662666077</v>
      </c>
      <c r="CY34" s="222">
        <f t="shared" si="58"/>
        <v>197.81785130989999</v>
      </c>
      <c r="CZ34" s="228">
        <f t="shared" si="58"/>
        <v>199.12136938586715</v>
      </c>
      <c r="DA34" s="74"/>
      <c r="DB34" s="59">
        <f t="shared" ref="DB34:DB36" si="59">SUM(BO34,BP34,BQ34,BR34)</f>
        <v>186.71529576017412</v>
      </c>
      <c r="DC34"/>
      <c r="DD34"/>
      <c r="DE34"/>
      <c r="DF34"/>
      <c r="DG34"/>
      <c r="DH34"/>
    </row>
    <row r="35" spans="1:112" s="82" customFormat="1" ht="12" customHeight="1">
      <c r="A35" s="76" t="s">
        <v>75</v>
      </c>
      <c r="B35" s="1876">
        <v>88.802000000000007</v>
      </c>
      <c r="C35" s="1876">
        <v>86.817999999999998</v>
      </c>
      <c r="D35" s="1876">
        <v>82.825999999999993</v>
      </c>
      <c r="E35" s="1876">
        <v>92.177000000000007</v>
      </c>
      <c r="F35" s="1876">
        <v>106.75</v>
      </c>
      <c r="G35" s="1872">
        <v>27.564</v>
      </c>
      <c r="H35" s="1877">
        <v>28.315999999999999</v>
      </c>
      <c r="I35" s="1877">
        <v>26.867999999999999</v>
      </c>
      <c r="J35" s="1877">
        <f>113.2-SUM(G35:I35)</f>
        <v>30.452000000000012</v>
      </c>
      <c r="K35" s="45">
        <f>SUM(G35:J35)</f>
        <v>113.2</v>
      </c>
      <c r="L35" s="1877">
        <v>28.905000000000001</v>
      </c>
      <c r="M35" s="1877">
        <v>28.797999999999998</v>
      </c>
      <c r="N35" s="1877">
        <v>26.199000000000002</v>
      </c>
      <c r="O35" s="1877">
        <f>112.586-SUM(L35:N35)</f>
        <v>28.683999999999997</v>
      </c>
      <c r="P35" s="45">
        <f>SUM(L35:O35)</f>
        <v>112.586</v>
      </c>
      <c r="Q35" s="1877">
        <v>27.527000000000001</v>
      </c>
      <c r="R35" s="1877">
        <v>30.411000000000001</v>
      </c>
      <c r="S35" s="1877">
        <v>29.952000000000002</v>
      </c>
      <c r="T35" s="1877">
        <f>119.849-SUM(Q35:S35)</f>
        <v>31.959000000000003</v>
      </c>
      <c r="U35" s="45">
        <f>SUM(Q35:T35)</f>
        <v>119.849</v>
      </c>
      <c r="V35" s="1877">
        <v>29.411999999999999</v>
      </c>
      <c r="W35" s="1877">
        <v>28.782</v>
      </c>
      <c r="X35" s="1877">
        <v>26.030999999999999</v>
      </c>
      <c r="Y35" s="1877">
        <f>112.764-SUM(V35:X35)</f>
        <v>28.539000000000001</v>
      </c>
      <c r="Z35" s="45">
        <f>SUM(V35:Y35)</f>
        <v>112.764</v>
      </c>
      <c r="AA35" s="1877">
        <v>25.9</v>
      </c>
      <c r="AB35" s="1877">
        <v>26.2</v>
      </c>
      <c r="AC35" s="1877">
        <v>23.3</v>
      </c>
      <c r="AD35" s="1877">
        <f>104.504-SUM(AA35:AC35)</f>
        <v>29.104000000000013</v>
      </c>
      <c r="AE35" s="45">
        <f>SUM(AA35:AD35)</f>
        <v>104.504</v>
      </c>
      <c r="AF35" s="1877">
        <v>25</v>
      </c>
      <c r="AG35" s="1877">
        <v>25</v>
      </c>
      <c r="AH35" s="1877">
        <v>23.1</v>
      </c>
      <c r="AI35" s="1877">
        <f>98-SUM(AF35:AH35)</f>
        <v>24.900000000000006</v>
      </c>
      <c r="AJ35" s="45">
        <f>SUM(AF35:AI35)</f>
        <v>98</v>
      </c>
      <c r="AK35" s="1877">
        <v>22</v>
      </c>
      <c r="AL35" s="1877">
        <v>23</v>
      </c>
      <c r="AM35" s="1877">
        <v>24</v>
      </c>
      <c r="AN35" s="1877">
        <f>93-SUM(AK35:AM35)</f>
        <v>24</v>
      </c>
      <c r="AO35" s="45">
        <f>SUM(AK35:AN35)</f>
        <v>93</v>
      </c>
      <c r="AP35" s="1877">
        <v>23</v>
      </c>
      <c r="AQ35" s="1877">
        <v>22</v>
      </c>
      <c r="AR35" s="1877">
        <v>20</v>
      </c>
      <c r="AS35" s="1877">
        <f>86-SUM(AP35:AR35)</f>
        <v>21</v>
      </c>
      <c r="AT35" s="45">
        <f>SUM(AP35:AS35)</f>
        <v>86</v>
      </c>
      <c r="AU35" s="1874">
        <v>21</v>
      </c>
      <c r="AV35" s="1877">
        <v>22</v>
      </c>
      <c r="AW35" s="1872">
        <v>21</v>
      </c>
      <c r="AX35" s="1872">
        <f>86-SUM(AU35:AW35)</f>
        <v>22</v>
      </c>
      <c r="AY35" s="45">
        <f>SUM(AU35:AX35)</f>
        <v>86</v>
      </c>
      <c r="AZ35" s="1875">
        <v>22</v>
      </c>
      <c r="BA35" s="1872">
        <f>43-AZ35</f>
        <v>21</v>
      </c>
      <c r="BB35" s="1872">
        <f>64-BA35-AZ35</f>
        <v>21</v>
      </c>
      <c r="BC35" s="1872">
        <f>90-SUM(AZ35:BB35)</f>
        <v>26</v>
      </c>
      <c r="BD35" s="45">
        <f>SUM(AZ35:BC35)</f>
        <v>90</v>
      </c>
      <c r="BE35" s="1874">
        <v>18</v>
      </c>
      <c r="BF35" s="1872">
        <f>40-BE35</f>
        <v>22</v>
      </c>
      <c r="BG35" s="1872">
        <f>63-BF35-BE35</f>
        <v>23</v>
      </c>
      <c r="BH35" s="1872">
        <f>85-SUM(BE35:BG35)</f>
        <v>22</v>
      </c>
      <c r="BI35" s="79">
        <f>SUM(BE35:BH35)</f>
        <v>85</v>
      </c>
      <c r="BJ35" s="1872">
        <v>19</v>
      </c>
      <c r="BK35" s="1873">
        <f>39-BJ35</f>
        <v>20</v>
      </c>
      <c r="BL35" s="1872">
        <f>61-BK35-BJ35</f>
        <v>22</v>
      </c>
      <c r="BM35" s="1872">
        <f>82-SUM(BJ35:BL35)</f>
        <v>21</v>
      </c>
      <c r="BN35" s="79">
        <f>SUM(BJ35:BM35)</f>
        <v>82</v>
      </c>
      <c r="BO35" s="2167">
        <v>21</v>
      </c>
      <c r="BP35" s="1368">
        <f>BP34-BP36</f>
        <v>12.777576765760621</v>
      </c>
      <c r="BQ35" s="1368">
        <f>BQ34-BQ36</f>
        <v>13.23103550243296</v>
      </c>
      <c r="BR35" s="1368">
        <f>BR34-BR36</f>
        <v>12.206683491980527</v>
      </c>
      <c r="BS35" s="79">
        <f>SUM(BO35:BR35)</f>
        <v>59.215295760174108</v>
      </c>
      <c r="BT35" s="1368">
        <f>BT34-BT36</f>
        <v>15.975088888082155</v>
      </c>
      <c r="BU35" s="1368">
        <f>BU34-BU36</f>
        <v>18.521218779973943</v>
      </c>
      <c r="BV35" s="1368">
        <f>BV34-BV36</f>
        <v>18.071057064866828</v>
      </c>
      <c r="BW35" s="1368">
        <f>BW34-BW36</f>
        <v>19.461689084985515</v>
      </c>
      <c r="BX35" s="79">
        <f>SUM(BT35:BW35)</f>
        <v>72.029053817908448</v>
      </c>
      <c r="BY35" s="1369">
        <f>BY34-BY36</f>
        <v>80.751196626660771</v>
      </c>
      <c r="BZ35" s="1369">
        <f>BZ34-BZ36</f>
        <v>95.317851309899993</v>
      </c>
      <c r="CA35" s="1369">
        <f>CA34-CA36</f>
        <v>98.621369385867155</v>
      </c>
      <c r="CB35" s="56"/>
      <c r="CC35" s="1360"/>
      <c r="CD35" s="1370" t="str">
        <f>A35</f>
        <v>Depreciation</v>
      </c>
      <c r="CE35" s="46">
        <f t="shared" ref="CE35:CI37" si="60">B35</f>
        <v>88.802000000000007</v>
      </c>
      <c r="CF35" s="46">
        <f t="shared" si="60"/>
        <v>86.817999999999998</v>
      </c>
      <c r="CG35" s="46">
        <f t="shared" si="60"/>
        <v>82.825999999999993</v>
      </c>
      <c r="CH35" s="46">
        <f t="shared" si="60"/>
        <v>92.177000000000007</v>
      </c>
      <c r="CI35" s="46">
        <f t="shared" si="60"/>
        <v>106.75</v>
      </c>
      <c r="CJ35" s="46">
        <f>K35</f>
        <v>113.2</v>
      </c>
      <c r="CK35" s="46">
        <f>P35</f>
        <v>112.586</v>
      </c>
      <c r="CL35" s="46">
        <f>U35</f>
        <v>119.849</v>
      </c>
      <c r="CM35" s="46">
        <f>Z35</f>
        <v>112.764</v>
      </c>
      <c r="CN35" s="46">
        <f>AE35</f>
        <v>104.504</v>
      </c>
      <c r="CO35" s="46">
        <f>AJ35</f>
        <v>98</v>
      </c>
      <c r="CP35" s="46">
        <f>AO35</f>
        <v>93</v>
      </c>
      <c r="CQ35" s="46">
        <f>AT35</f>
        <v>86</v>
      </c>
      <c r="CR35" s="46">
        <f>AY35</f>
        <v>86</v>
      </c>
      <c r="CS35" s="46">
        <f>BD35</f>
        <v>90</v>
      </c>
      <c r="CT35" s="46">
        <f>BI35</f>
        <v>85</v>
      </c>
      <c r="CU35" s="46">
        <f>BN35</f>
        <v>82</v>
      </c>
      <c r="CV35" s="46">
        <f>BS35</f>
        <v>59.215295760174108</v>
      </c>
      <c r="CW35" s="46">
        <f t="shared" si="58"/>
        <v>72.029053817908448</v>
      </c>
      <c r="CX35" s="46">
        <f t="shared" si="58"/>
        <v>80.751196626660771</v>
      </c>
      <c r="CY35" s="46">
        <f t="shared" si="58"/>
        <v>95.317851309899993</v>
      </c>
      <c r="CZ35" s="44">
        <f t="shared" si="58"/>
        <v>98.621369385867155</v>
      </c>
      <c r="DA35" s="86"/>
      <c r="DB35" s="59">
        <f t="shared" si="59"/>
        <v>59.215295760174108</v>
      </c>
      <c r="DC35"/>
      <c r="DD35"/>
      <c r="DE35"/>
      <c r="DF35"/>
      <c r="DG35"/>
      <c r="DH35"/>
    </row>
    <row r="36" spans="1:112" s="82" customFormat="1" ht="12" customHeight="1">
      <c r="A36" s="76" t="s">
        <v>76</v>
      </c>
      <c r="B36" s="1876">
        <f>34.919+56.636</f>
        <v>91.555000000000007</v>
      </c>
      <c r="C36" s="1876">
        <v>36.270000000000003</v>
      </c>
      <c r="D36" s="1876">
        <v>32.970999999999997</v>
      </c>
      <c r="E36" s="1876">
        <v>32.47</v>
      </c>
      <c r="F36" s="1876">
        <v>44.234999999999999</v>
      </c>
      <c r="G36" s="1872">
        <v>11.926</v>
      </c>
      <c r="H36" s="1877">
        <v>12.106999999999999</v>
      </c>
      <c r="I36" s="1877">
        <v>12.137</v>
      </c>
      <c r="J36" s="1877">
        <f>48.387-SUM(G36:I36)</f>
        <v>12.216999999999999</v>
      </c>
      <c r="K36" s="45">
        <f>SUM(G36:J36)</f>
        <v>48.387</v>
      </c>
      <c r="L36" s="1877">
        <v>11.612</v>
      </c>
      <c r="M36" s="1877">
        <v>11.468</v>
      </c>
      <c r="N36" s="1877">
        <v>11.709</v>
      </c>
      <c r="O36" s="1877">
        <f>48.403-SUM(L36:N36)</f>
        <v>13.613999999999997</v>
      </c>
      <c r="P36" s="45">
        <f>SUM(L36:O36)</f>
        <v>48.402999999999999</v>
      </c>
      <c r="Q36" s="1877">
        <v>14.2</v>
      </c>
      <c r="R36" s="1877">
        <v>13.144</v>
      </c>
      <c r="S36" s="1877">
        <v>13.637</v>
      </c>
      <c r="T36" s="1877">
        <f>58.497-SUM(Q36:S36)</f>
        <v>17.515999999999998</v>
      </c>
      <c r="U36" s="45">
        <f>SUM(Q36:T36)</f>
        <v>58.497</v>
      </c>
      <c r="V36" s="1877">
        <v>14.204000000000001</v>
      </c>
      <c r="W36" s="1877">
        <v>11.44</v>
      </c>
      <c r="X36" s="1877">
        <v>11.066000000000001</v>
      </c>
      <c r="Y36" s="1877">
        <f>52.72-SUM(V36:X36)</f>
        <v>16.009999999999998</v>
      </c>
      <c r="Z36" s="45">
        <f>SUM(V36:Y36)</f>
        <v>52.72</v>
      </c>
      <c r="AA36" s="1877">
        <v>10</v>
      </c>
      <c r="AB36" s="1877">
        <v>13</v>
      </c>
      <c r="AC36" s="1877">
        <v>8.4</v>
      </c>
      <c r="AD36" s="1877">
        <f>45.595-SUM(AA36:AC36)</f>
        <v>14.195</v>
      </c>
      <c r="AE36" s="45">
        <f>SUM(AA36:AD36)</f>
        <v>45.594999999999999</v>
      </c>
      <c r="AF36" s="1877">
        <v>14</v>
      </c>
      <c r="AG36" s="1877">
        <v>14</v>
      </c>
      <c r="AH36" s="1877">
        <v>14.8</v>
      </c>
      <c r="AI36" s="1877">
        <f>58-SUM(AF36:AH36)</f>
        <v>15.200000000000003</v>
      </c>
      <c r="AJ36" s="45">
        <f>SUM(AF36:AI36)</f>
        <v>58</v>
      </c>
      <c r="AK36" s="1877">
        <v>9</v>
      </c>
      <c r="AL36" s="1877">
        <v>11</v>
      </c>
      <c r="AM36" s="1877">
        <v>15</v>
      </c>
      <c r="AN36" s="1877">
        <f>48-SUM(AK36:AM36)</f>
        <v>13</v>
      </c>
      <c r="AO36" s="45">
        <f>SUM(AK36:AN36)</f>
        <v>48</v>
      </c>
      <c r="AP36" s="1877">
        <v>12</v>
      </c>
      <c r="AQ36" s="1877">
        <v>13</v>
      </c>
      <c r="AR36" s="1877">
        <v>13</v>
      </c>
      <c r="AS36" s="1877">
        <f>51-SUM(AP36:AR36)</f>
        <v>13</v>
      </c>
      <c r="AT36" s="45">
        <f>SUM(AP36:AS36)</f>
        <v>51</v>
      </c>
      <c r="AU36" s="1874">
        <v>12</v>
      </c>
      <c r="AV36" s="1877">
        <v>12</v>
      </c>
      <c r="AW36" s="1872">
        <v>12</v>
      </c>
      <c r="AX36" s="1872">
        <f>48-SUM(AU36:AW36)</f>
        <v>12</v>
      </c>
      <c r="AY36" s="45">
        <f>+SUM(AU36:AX36)</f>
        <v>48</v>
      </c>
      <c r="AZ36" s="1875">
        <v>11</v>
      </c>
      <c r="BA36" s="1872">
        <f>23-AZ36</f>
        <v>12</v>
      </c>
      <c r="BB36" s="1872">
        <f>40-BA36-AZ36</f>
        <v>17</v>
      </c>
      <c r="BC36" s="1872">
        <f>67-SUM(AZ36:BB36)</f>
        <v>27</v>
      </c>
      <c r="BD36" s="45">
        <f>+SUM(AZ36:BC36)</f>
        <v>67</v>
      </c>
      <c r="BE36" s="1874">
        <v>24</v>
      </c>
      <c r="BF36" s="1872">
        <f>47-BE36</f>
        <v>23</v>
      </c>
      <c r="BG36" s="1872">
        <f>71-BF36-BE36</f>
        <v>24</v>
      </c>
      <c r="BH36" s="1872">
        <f>96-SUM(BE36:BG36)</f>
        <v>25</v>
      </c>
      <c r="BI36" s="45">
        <f>+SUM(BE36:BH36)</f>
        <v>96</v>
      </c>
      <c r="BJ36" s="1872">
        <v>24</v>
      </c>
      <c r="BK36" s="1873">
        <f>49-BJ36</f>
        <v>25</v>
      </c>
      <c r="BL36" s="1872">
        <f>73-BK36-BJ36</f>
        <v>24</v>
      </c>
      <c r="BM36" s="1872">
        <f>98-SUM(BJ36:BL36)</f>
        <v>25</v>
      </c>
      <c r="BN36" s="45">
        <f>+SUM(BJ36:BM36)</f>
        <v>98</v>
      </c>
      <c r="BO36" s="2167">
        <v>24</v>
      </c>
      <c r="BP36" s="1368">
        <f>($BS$36-$BO$36)/3</f>
        <v>34.5</v>
      </c>
      <c r="BQ36" s="1368">
        <f>($BS$36-$BO$36)/3</f>
        <v>34.5</v>
      </c>
      <c r="BR36" s="1368">
        <f>+BS36-SUM(BO36:BQ36)</f>
        <v>34.5</v>
      </c>
      <c r="BS36" s="1879">
        <v>127.5</v>
      </c>
      <c r="BT36" s="1368">
        <f>+$BX$36/4</f>
        <v>30.125</v>
      </c>
      <c r="BU36" s="1368">
        <f t="shared" ref="BU36:BV36" si="61">+$BX$36/4</f>
        <v>30.125</v>
      </c>
      <c r="BV36" s="1368">
        <f t="shared" si="61"/>
        <v>30.125</v>
      </c>
      <c r="BW36" s="1368">
        <f>+BX36-SUM(BT36:BV36)</f>
        <v>30.125</v>
      </c>
      <c r="BX36" s="1879">
        <f>88+32.5</f>
        <v>120.5</v>
      </c>
      <c r="BY36" s="1879">
        <f>82+32.5</f>
        <v>114.5</v>
      </c>
      <c r="BZ36" s="1879">
        <f>70+32.5</f>
        <v>102.5</v>
      </c>
      <c r="CA36" s="1879">
        <f>68+32.5</f>
        <v>100.5</v>
      </c>
      <c r="CB36" s="69"/>
      <c r="CC36" s="1360"/>
      <c r="CD36" s="1370" t="str">
        <f>A36</f>
        <v>Amortization</v>
      </c>
      <c r="CE36" s="46">
        <f t="shared" si="60"/>
        <v>91.555000000000007</v>
      </c>
      <c r="CF36" s="46">
        <f t="shared" si="60"/>
        <v>36.270000000000003</v>
      </c>
      <c r="CG36" s="46">
        <f t="shared" si="60"/>
        <v>32.970999999999997</v>
      </c>
      <c r="CH36" s="46">
        <f t="shared" si="60"/>
        <v>32.47</v>
      </c>
      <c r="CI36" s="46">
        <f t="shared" si="60"/>
        <v>44.234999999999999</v>
      </c>
      <c r="CJ36" s="46">
        <f>K36</f>
        <v>48.387</v>
      </c>
      <c r="CK36" s="46">
        <f>P36</f>
        <v>48.402999999999999</v>
      </c>
      <c r="CL36" s="46">
        <f>U36</f>
        <v>58.497</v>
      </c>
      <c r="CM36" s="46">
        <f>Z36</f>
        <v>52.72</v>
      </c>
      <c r="CN36" s="46">
        <f>AE36</f>
        <v>45.594999999999999</v>
      </c>
      <c r="CO36" s="46">
        <f>AJ36</f>
        <v>58</v>
      </c>
      <c r="CP36" s="46">
        <f>AO36</f>
        <v>48</v>
      </c>
      <c r="CQ36" s="46">
        <f>AT36</f>
        <v>51</v>
      </c>
      <c r="CR36" s="46">
        <f>AY36</f>
        <v>48</v>
      </c>
      <c r="CS36" s="46">
        <f>BD36</f>
        <v>67</v>
      </c>
      <c r="CT36" s="46">
        <f>BI36</f>
        <v>96</v>
      </c>
      <c r="CU36" s="46">
        <f>BN36</f>
        <v>98</v>
      </c>
      <c r="CV36" s="46">
        <f>BS36</f>
        <v>127.5</v>
      </c>
      <c r="CW36" s="46">
        <f t="shared" si="58"/>
        <v>120.5</v>
      </c>
      <c r="CX36" s="46">
        <f t="shared" si="58"/>
        <v>114.5</v>
      </c>
      <c r="CY36" s="46">
        <f t="shared" si="58"/>
        <v>102.5</v>
      </c>
      <c r="CZ36" s="44">
        <f t="shared" si="58"/>
        <v>100.5</v>
      </c>
      <c r="DA36" s="86"/>
      <c r="DB36" s="59">
        <f t="shared" si="59"/>
        <v>127.5</v>
      </c>
      <c r="DC36"/>
      <c r="DD36"/>
      <c r="DE36"/>
      <c r="DF36"/>
      <c r="DG36"/>
      <c r="DH36"/>
    </row>
    <row r="37" spans="1:112" ht="12" customHeight="1">
      <c r="A37" s="229" t="s">
        <v>67</v>
      </c>
      <c r="B37" s="112">
        <f t="shared" ref="B37:BO37" si="62">B34/B14</f>
        <v>3.8823730743606504E-2</v>
      </c>
      <c r="C37" s="112">
        <f t="shared" si="62"/>
        <v>2.6526534292605635E-2</v>
      </c>
      <c r="D37" s="112">
        <f t="shared" si="62"/>
        <v>2.3678818564020352E-2</v>
      </c>
      <c r="E37" s="112">
        <f t="shared" si="62"/>
        <v>2.3739852944593486E-2</v>
      </c>
      <c r="F37" s="112">
        <f t="shared" si="62"/>
        <v>2.5148901283587533E-2</v>
      </c>
      <c r="G37" s="113">
        <f t="shared" si="62"/>
        <v>3.4619730879590138E-2</v>
      </c>
      <c r="H37" s="114">
        <f t="shared" si="62"/>
        <v>2.6462757513209121E-2</v>
      </c>
      <c r="I37" s="114">
        <f t="shared" si="62"/>
        <v>1.9575221949542546E-2</v>
      </c>
      <c r="J37" s="114">
        <f t="shared" si="62"/>
        <v>2.6762697682937087E-2</v>
      </c>
      <c r="K37" s="112">
        <f t="shared" si="62"/>
        <v>2.5832683467574974E-2</v>
      </c>
      <c r="L37" s="114">
        <f t="shared" si="62"/>
        <v>3.1253037214848914E-2</v>
      </c>
      <c r="M37" s="114">
        <f t="shared" si="62"/>
        <v>2.3435276534051457E-2</v>
      </c>
      <c r="N37" s="114">
        <f t="shared" si="62"/>
        <v>1.7325443008122502E-2</v>
      </c>
      <c r="O37" s="114">
        <f t="shared" si="62"/>
        <v>2.6946756298066879E-2</v>
      </c>
      <c r="P37" s="112">
        <f t="shared" si="62"/>
        <v>2.3771754302575453E-2</v>
      </c>
      <c r="Q37" s="114">
        <f t="shared" si="62"/>
        <v>3.4262249450064917E-2</v>
      </c>
      <c r="R37" s="114">
        <f t="shared" si="62"/>
        <v>2.603056970819824E-2</v>
      </c>
      <c r="S37" s="114">
        <f t="shared" si="62"/>
        <v>2.1278070587798827E-2</v>
      </c>
      <c r="T37" s="114">
        <f t="shared" si="62"/>
        <v>3.4954338577014001E-2</v>
      </c>
      <c r="U37" s="112">
        <f t="shared" si="62"/>
        <v>2.8063643823696256E-2</v>
      </c>
      <c r="V37" s="114">
        <f t="shared" si="62"/>
        <v>3.7986181934093768E-2</v>
      </c>
      <c r="W37" s="114">
        <f t="shared" si="62"/>
        <v>2.7451917170586555E-2</v>
      </c>
      <c r="X37" s="114">
        <f t="shared" si="62"/>
        <v>1.9775542765270913E-2</v>
      </c>
      <c r="Y37" s="114">
        <f t="shared" si="62"/>
        <v>3.0461021325244857E-2</v>
      </c>
      <c r="Z37" s="112">
        <f t="shared" si="62"/>
        <v>2.7804109760740561E-2</v>
      </c>
      <c r="AA37" s="114">
        <f t="shared" si="62"/>
        <v>3.0157930107526879E-2</v>
      </c>
      <c r="AB37" s="114">
        <f t="shared" si="62"/>
        <v>2.6592497116884883E-2</v>
      </c>
      <c r="AC37" s="114">
        <f t="shared" si="62"/>
        <v>1.6204887025866477E-2</v>
      </c>
      <c r="AD37" s="114">
        <f t="shared" si="62"/>
        <v>2.7977599311463788E-2</v>
      </c>
      <c r="AE37" s="112">
        <f t="shared" si="62"/>
        <v>2.4333810880123E-2</v>
      </c>
      <c r="AF37" s="114">
        <f t="shared" si="62"/>
        <v>3.0927835051546393E-2</v>
      </c>
      <c r="AG37" s="114">
        <f t="shared" si="62"/>
        <v>2.5048169556840076E-2</v>
      </c>
      <c r="AH37" s="114">
        <f t="shared" si="62"/>
        <v>1.9863731656184488E-2</v>
      </c>
      <c r="AI37" s="114">
        <f t="shared" si="62"/>
        <v>3.994023904382471E-2</v>
      </c>
      <c r="AJ37" s="112">
        <f t="shared" si="62"/>
        <v>2.4975984630163303E-2</v>
      </c>
      <c r="AK37" s="114">
        <f t="shared" si="62"/>
        <v>2.9951690821256038E-2</v>
      </c>
      <c r="AL37" s="114">
        <f t="shared" si="62"/>
        <v>3.1716417910447763E-2</v>
      </c>
      <c r="AM37" s="114">
        <f t="shared" si="62"/>
        <v>3.4946236559139782E-2</v>
      </c>
      <c r="AN37" s="114">
        <f t="shared" si="62"/>
        <v>3.0154849225753871E-2</v>
      </c>
      <c r="AO37" s="112">
        <f t="shared" si="62"/>
        <v>3.1685393258426967E-2</v>
      </c>
      <c r="AP37" s="114">
        <f t="shared" si="62"/>
        <v>2.9635901778154106E-2</v>
      </c>
      <c r="AQ37" s="114">
        <f t="shared" si="62"/>
        <v>2.8000000000000001E-2</v>
      </c>
      <c r="AR37" s="114">
        <f t="shared" si="62"/>
        <v>2.8645833333333332E-2</v>
      </c>
      <c r="AS37" s="114">
        <f t="shared" si="62"/>
        <v>2.8192371475953566E-2</v>
      </c>
      <c r="AT37" s="112">
        <f t="shared" si="62"/>
        <v>2.8607224890373772E-2</v>
      </c>
      <c r="AU37" s="115">
        <f t="shared" si="62"/>
        <v>2.7591973244147156E-2</v>
      </c>
      <c r="AV37" s="114">
        <f t="shared" si="62"/>
        <v>2.6113671274961597E-2</v>
      </c>
      <c r="AW37" s="114">
        <f t="shared" si="62"/>
        <v>2.6128266033254157E-2</v>
      </c>
      <c r="AX37" s="114">
        <f t="shared" si="62"/>
        <v>2.6356589147286821E-2</v>
      </c>
      <c r="AY37" s="112">
        <f t="shared" si="62"/>
        <v>2.6529400118788359E-2</v>
      </c>
      <c r="AZ37" s="116">
        <f t="shared" si="62"/>
        <v>2.5923016496465043E-2</v>
      </c>
      <c r="BA37" s="122">
        <f t="shared" si="62"/>
        <v>2.4590163934426229E-2</v>
      </c>
      <c r="BB37" s="122">
        <f t="shared" si="62"/>
        <v>2.8700906344410877E-2</v>
      </c>
      <c r="BC37" s="122">
        <f t="shared" si="62"/>
        <v>3.8573508005822418E-2</v>
      </c>
      <c r="BD37" s="112">
        <f>BD34/BD14</f>
        <v>2.9550159984942592E-2</v>
      </c>
      <c r="BE37" s="122">
        <f t="shared" si="62"/>
        <v>3.1319910514541388E-2</v>
      </c>
      <c r="BF37" s="122">
        <f t="shared" si="62"/>
        <v>3.0364372469635626E-2</v>
      </c>
      <c r="BG37" s="122">
        <f t="shared" si="62"/>
        <v>3.2661570535093817E-2</v>
      </c>
      <c r="BH37" s="122">
        <f t="shared" si="62"/>
        <v>3.3595425303788423E-2</v>
      </c>
      <c r="BI37" s="118">
        <f>BI34/BI14</f>
        <v>3.1973149620208446E-2</v>
      </c>
      <c r="BJ37" s="122">
        <f t="shared" si="62"/>
        <v>2.9593943565037854E-2</v>
      </c>
      <c r="BK37" s="117">
        <f t="shared" si="62"/>
        <v>2.982107355864811E-2</v>
      </c>
      <c r="BL37" s="117">
        <f t="shared" si="62"/>
        <v>3.0403172504957041E-2</v>
      </c>
      <c r="BM37" s="117">
        <f t="shared" si="62"/>
        <v>2.8949024543738201E-2</v>
      </c>
      <c r="BN37" s="118">
        <f>BN34/BN14</f>
        <v>2.9683377308707123E-2</v>
      </c>
      <c r="BO37" s="117">
        <f t="shared" si="62"/>
        <v>2.8717294192724951E-2</v>
      </c>
      <c r="BP37" s="230">
        <f>+BK37-0.001</f>
        <v>2.882107355864811E-2</v>
      </c>
      <c r="BQ37" s="230">
        <f>+BL37-0.001</f>
        <v>2.940317250495704E-2</v>
      </c>
      <c r="BR37" s="230">
        <f>+BM37-0.001</f>
        <v>2.79490245437382E-2</v>
      </c>
      <c r="BS37" s="118">
        <f>BS34/BS14</f>
        <v>2.8717257203048224E-2</v>
      </c>
      <c r="BT37" s="230">
        <v>2.8000000000000001E-2</v>
      </c>
      <c r="BU37" s="230">
        <v>2.8000000000000001E-2</v>
      </c>
      <c r="BV37" s="230">
        <v>2.8000000000000001E-2</v>
      </c>
      <c r="BW37" s="230">
        <v>2.8000000000000001E-2</v>
      </c>
      <c r="BX37" s="118">
        <f>BX34/BX14</f>
        <v>2.8000000000000001E-2</v>
      </c>
      <c r="BY37" s="231">
        <f>BX37-0.1%</f>
        <v>2.7E-2</v>
      </c>
      <c r="BZ37" s="231">
        <f>BY37-0.1%</f>
        <v>2.5999999999999999E-2</v>
      </c>
      <c r="CA37" s="231">
        <f>BZ37-0.1%</f>
        <v>2.4999999999999998E-2</v>
      </c>
      <c r="CB37" s="130"/>
      <c r="CC37" s="1361"/>
      <c r="CD37" s="232" t="str">
        <f>A37</f>
        <v>% of Total Revenue</v>
      </c>
      <c r="CE37" s="113">
        <f t="shared" si="60"/>
        <v>3.8823730743606504E-2</v>
      </c>
      <c r="CF37" s="113">
        <f t="shared" si="60"/>
        <v>2.6526534292605635E-2</v>
      </c>
      <c r="CG37" s="113">
        <f t="shared" si="60"/>
        <v>2.3678818564020352E-2</v>
      </c>
      <c r="CH37" s="113">
        <f t="shared" si="60"/>
        <v>2.3739852944593486E-2</v>
      </c>
      <c r="CI37" s="113">
        <f t="shared" si="60"/>
        <v>2.5148901283587533E-2</v>
      </c>
      <c r="CJ37" s="113">
        <f>K37</f>
        <v>2.5832683467574974E-2</v>
      </c>
      <c r="CK37" s="113">
        <f>P37</f>
        <v>2.3771754302575453E-2</v>
      </c>
      <c r="CL37" s="113">
        <f>U37</f>
        <v>2.8063643823696256E-2</v>
      </c>
      <c r="CM37" s="113">
        <f>Z37</f>
        <v>2.7804109760740561E-2</v>
      </c>
      <c r="CN37" s="113">
        <f>AE37</f>
        <v>2.4333810880123E-2</v>
      </c>
      <c r="CO37" s="113">
        <f>AJ37</f>
        <v>2.4975984630163303E-2</v>
      </c>
      <c r="CP37" s="113">
        <f>AO37</f>
        <v>3.1685393258426967E-2</v>
      </c>
      <c r="CQ37" s="113">
        <f>AT37</f>
        <v>2.8607224890373772E-2</v>
      </c>
      <c r="CR37" s="113">
        <f>AY37</f>
        <v>2.6529400118788359E-2</v>
      </c>
      <c r="CS37" s="113">
        <f>BD37</f>
        <v>2.9550159984942592E-2</v>
      </c>
      <c r="CT37" s="113">
        <f>BI37</f>
        <v>3.1973149620208446E-2</v>
      </c>
      <c r="CU37" s="113">
        <f>BN37</f>
        <v>2.9683377308707123E-2</v>
      </c>
      <c r="CV37" s="113">
        <f>BS37</f>
        <v>2.8717257203048224E-2</v>
      </c>
      <c r="CW37" s="113">
        <f t="shared" si="58"/>
        <v>2.8000000000000001E-2</v>
      </c>
      <c r="CX37" s="113">
        <f t="shared" si="58"/>
        <v>2.7E-2</v>
      </c>
      <c r="CY37" s="113">
        <f t="shared" si="58"/>
        <v>2.5999999999999999E-2</v>
      </c>
      <c r="CZ37" s="121">
        <f t="shared" si="58"/>
        <v>2.4999999999999998E-2</v>
      </c>
      <c r="DA37" s="58"/>
      <c r="DB37" s="123">
        <f>DB36/$DB$14</f>
        <v>1.9609803677206966E-2</v>
      </c>
    </row>
    <row r="38" spans="1:112" ht="6" customHeight="1">
      <c r="A38" s="88"/>
      <c r="B38" s="48"/>
      <c r="C38" s="48"/>
      <c r="D38" s="48"/>
      <c r="E38" s="48"/>
      <c r="F38" s="48"/>
      <c r="G38" s="51"/>
      <c r="H38" s="49"/>
      <c r="I38" s="49"/>
      <c r="J38" s="49"/>
      <c r="K38" s="48"/>
      <c r="L38" s="49"/>
      <c r="M38" s="49"/>
      <c r="N38" s="49"/>
      <c r="O38" s="49"/>
      <c r="P38" s="48"/>
      <c r="Q38" s="49"/>
      <c r="R38" s="49"/>
      <c r="S38" s="49"/>
      <c r="T38" s="49"/>
      <c r="U38" s="48"/>
      <c r="V38" s="49"/>
      <c r="W38" s="49"/>
      <c r="X38" s="49"/>
      <c r="Y38" s="49"/>
      <c r="Z38" s="48"/>
      <c r="AA38" s="49"/>
      <c r="AB38" s="49"/>
      <c r="AC38" s="49"/>
      <c r="AD38" s="49"/>
      <c r="AE38" s="48"/>
      <c r="AF38" s="49"/>
      <c r="AG38" s="49"/>
      <c r="AH38" s="49"/>
      <c r="AI38" s="49"/>
      <c r="AJ38" s="48"/>
      <c r="AK38" s="49"/>
      <c r="AL38" s="49"/>
      <c r="AM38" s="49"/>
      <c r="AN38" s="49"/>
      <c r="AO38" s="48"/>
      <c r="AP38" s="49"/>
      <c r="AQ38" s="49"/>
      <c r="AR38" s="49"/>
      <c r="AS38" s="49"/>
      <c r="AT38" s="48"/>
      <c r="AU38" s="50"/>
      <c r="AV38" s="49"/>
      <c r="AW38" s="51"/>
      <c r="AX38" s="51"/>
      <c r="AY38" s="48"/>
      <c r="AZ38" s="126"/>
      <c r="BA38" s="51"/>
      <c r="BB38" s="51"/>
      <c r="BC38" s="51"/>
      <c r="BD38" s="48"/>
      <c r="BE38" s="126"/>
      <c r="BF38" s="51"/>
      <c r="BG38" s="51"/>
      <c r="BH38" s="51"/>
      <c r="BI38" s="54"/>
      <c r="BJ38" s="127"/>
      <c r="BK38" s="127"/>
      <c r="BL38" s="127"/>
      <c r="BM38" s="127"/>
      <c r="BN38" s="54"/>
      <c r="BO38" s="127"/>
      <c r="BP38" s="127"/>
      <c r="BQ38" s="127"/>
      <c r="BR38" s="127"/>
      <c r="BS38" s="54"/>
      <c r="BT38" s="127"/>
      <c r="BU38" s="127"/>
      <c r="BV38" s="127"/>
      <c r="BW38" s="127"/>
      <c r="BX38" s="54"/>
      <c r="BY38" s="129"/>
      <c r="BZ38" s="129"/>
      <c r="CA38" s="129"/>
      <c r="CB38" s="67"/>
      <c r="CC38" s="1361"/>
      <c r="CD38" s="141"/>
      <c r="CE38" s="133"/>
      <c r="CF38" s="133"/>
      <c r="CG38" s="133"/>
      <c r="CH38" s="133"/>
      <c r="CI38" s="133"/>
      <c r="CJ38" s="133"/>
      <c r="CK38" s="133"/>
      <c r="CL38" s="133"/>
      <c r="CM38" s="133"/>
      <c r="CN38" s="51"/>
      <c r="CO38" s="51"/>
      <c r="CP38" s="51"/>
      <c r="CQ38" s="51"/>
      <c r="CR38" s="51"/>
      <c r="CS38" s="51"/>
      <c r="CT38" s="51"/>
      <c r="CU38" s="51"/>
      <c r="CV38" s="51"/>
      <c r="CW38" s="51"/>
      <c r="CX38" s="51"/>
      <c r="CY38" s="51"/>
      <c r="CZ38" s="178"/>
      <c r="DA38" s="58"/>
      <c r="DB38" s="179"/>
    </row>
    <row r="39" spans="1:112" s="244" customFormat="1" ht="12" customHeight="1">
      <c r="A39" s="233" t="s">
        <v>77</v>
      </c>
      <c r="B39" s="234">
        <f t="shared" ref="B39:AI39" si="63">B14-B28-B34</f>
        <v>670.1279999999997</v>
      </c>
      <c r="C39" s="234">
        <f t="shared" si="63"/>
        <v>934.41200000000003</v>
      </c>
      <c r="D39" s="234">
        <f t="shared" si="63"/>
        <v>1006.0740000000001</v>
      </c>
      <c r="E39" s="234">
        <f t="shared" si="63"/>
        <v>1174.6900000000005</v>
      </c>
      <c r="F39" s="234">
        <f t="shared" si="63"/>
        <v>1387.1279999999992</v>
      </c>
      <c r="G39" s="235">
        <f t="shared" si="63"/>
        <v>139.47400000000016</v>
      </c>
      <c r="H39" s="236">
        <f t="shared" si="63"/>
        <v>360.40300000000002</v>
      </c>
      <c r="I39" s="236">
        <f t="shared" si="63"/>
        <v>631.62900000000002</v>
      </c>
      <c r="J39" s="236">
        <f t="shared" si="63"/>
        <v>318.44800000000021</v>
      </c>
      <c r="K39" s="234">
        <f t="shared" si="63"/>
        <v>1449.9540000000002</v>
      </c>
      <c r="L39" s="236">
        <f t="shared" si="63"/>
        <v>214.87600000000003</v>
      </c>
      <c r="M39" s="236">
        <f t="shared" si="63"/>
        <v>455.42500000000024</v>
      </c>
      <c r="N39" s="236">
        <f t="shared" si="63"/>
        <v>738.65199999999993</v>
      </c>
      <c r="O39" s="236">
        <f t="shared" si="63"/>
        <v>297.8599999999999</v>
      </c>
      <c r="P39" s="234">
        <f t="shared" si="63"/>
        <v>1706.8130000000006</v>
      </c>
      <c r="Q39" s="236">
        <f t="shared" si="63"/>
        <v>151.0599999999998</v>
      </c>
      <c r="R39" s="236">
        <f t="shared" si="63"/>
        <v>388.38099999999991</v>
      </c>
      <c r="S39" s="236">
        <f t="shared" si="63"/>
        <v>676.31600000000026</v>
      </c>
      <c r="T39" s="236">
        <f t="shared" si="63"/>
        <v>232.32700000000037</v>
      </c>
      <c r="U39" s="234">
        <f t="shared" si="63"/>
        <v>1448.0839999999994</v>
      </c>
      <c r="V39" s="236">
        <f t="shared" si="63"/>
        <v>124.34099999999988</v>
      </c>
      <c r="W39" s="236">
        <f t="shared" si="63"/>
        <v>311.52699999999982</v>
      </c>
      <c r="X39" s="236">
        <f t="shared" si="63"/>
        <v>555.96500000000015</v>
      </c>
      <c r="Y39" s="236">
        <f t="shared" si="63"/>
        <v>282.35199999999963</v>
      </c>
      <c r="Z39" s="234">
        <f t="shared" si="63"/>
        <v>1274.1850000000009</v>
      </c>
      <c r="AA39" s="236">
        <f t="shared" si="63"/>
        <v>190.30000000000004</v>
      </c>
      <c r="AB39" s="236">
        <f t="shared" si="63"/>
        <v>326.29999999999978</v>
      </c>
      <c r="AC39" s="236">
        <f t="shared" si="63"/>
        <v>618.90000000000009</v>
      </c>
      <c r="AD39" s="236">
        <f t="shared" si="63"/>
        <v>300.70100000000019</v>
      </c>
      <c r="AE39" s="234">
        <f t="shared" si="63"/>
        <v>1436.2009999999993</v>
      </c>
      <c r="AF39" s="236">
        <f t="shared" si="63"/>
        <v>216</v>
      </c>
      <c r="AG39" s="236">
        <f t="shared" si="63"/>
        <v>358</v>
      </c>
      <c r="AH39" s="236">
        <f t="shared" si="63"/>
        <v>606.9</v>
      </c>
      <c r="AI39" s="236">
        <f t="shared" si="63"/>
        <v>242</v>
      </c>
      <c r="AJ39" s="234">
        <f>SUM(AF39:AI39)</f>
        <v>1422.9</v>
      </c>
      <c r="AK39" s="236">
        <f>AK14-AK28-AK34</f>
        <v>311</v>
      </c>
      <c r="AL39" s="236">
        <f>AL14-AL28-AL34</f>
        <v>347</v>
      </c>
      <c r="AM39" s="236">
        <f>AM14-AM28-AM34</f>
        <v>356</v>
      </c>
      <c r="AN39" s="236">
        <f>AN14-AN28-AN34</f>
        <v>371</v>
      </c>
      <c r="AO39" s="234">
        <f>SUM(AK39:AN39)</f>
        <v>1385</v>
      </c>
      <c r="AP39" s="236">
        <f>AP14-AP28-AP34</f>
        <v>399</v>
      </c>
      <c r="AQ39" s="236">
        <f>AQ14-AQ28-AQ34</f>
        <v>446</v>
      </c>
      <c r="AR39" s="236">
        <f>AR14-AR28-AR34</f>
        <v>384</v>
      </c>
      <c r="AS39" s="236">
        <f>AS14-AS28-AS34</f>
        <v>348</v>
      </c>
      <c r="AT39" s="234">
        <f>SUM(AP39:AS39)</f>
        <v>1577</v>
      </c>
      <c r="AU39" s="237">
        <f>AU14-AU28-AU34</f>
        <v>420.5</v>
      </c>
      <c r="AV39" s="236">
        <f>AV14-AV28-AV34</f>
        <v>474.5</v>
      </c>
      <c r="AW39" s="236">
        <f>AW14-AW28-AW34</f>
        <v>476</v>
      </c>
      <c r="AX39" s="236">
        <f>AX14-AX28-AX34</f>
        <v>444</v>
      </c>
      <c r="AY39" s="234">
        <f>SUM(AU39:AX39)</f>
        <v>1815</v>
      </c>
      <c r="AZ39" s="238">
        <f>AZ14-AZ28-AZ34</f>
        <v>495</v>
      </c>
      <c r="BA39" s="239">
        <f>BA14-BA28-BA34</f>
        <v>552</v>
      </c>
      <c r="BB39" s="239">
        <f>BB14-BB28-BB34</f>
        <v>528</v>
      </c>
      <c r="BC39" s="236">
        <f>BC14-BC28-BC34</f>
        <v>478</v>
      </c>
      <c r="BD39" s="234">
        <f>SUM(AZ39:BC39)</f>
        <v>2053</v>
      </c>
      <c r="BE39" s="236">
        <f>BE14-BE28-BE34</f>
        <v>527</v>
      </c>
      <c r="BF39" s="239">
        <f>BF14-BF28-BF34</f>
        <v>629</v>
      </c>
      <c r="BG39" s="239">
        <f>BG14-BG28-BG34</f>
        <v>614</v>
      </c>
      <c r="BH39" s="239">
        <f>BH14-BH28-BH34</f>
        <v>564</v>
      </c>
      <c r="BI39" s="241">
        <f>SUM(BE39:BH39)</f>
        <v>2334</v>
      </c>
      <c r="BJ39" s="236">
        <f>BJ14-BJ28-BJ34</f>
        <v>665</v>
      </c>
      <c r="BK39" s="584">
        <f>BK14-BK28-BK34</f>
        <v>690</v>
      </c>
      <c r="BL39" s="584">
        <f>BL14-BL28-BL34</f>
        <v>677</v>
      </c>
      <c r="BM39" s="584">
        <f>BM14-BM28-BM34</f>
        <v>727</v>
      </c>
      <c r="BN39" s="241">
        <f>SUM(BJ39:BM39)</f>
        <v>2759</v>
      </c>
      <c r="BO39" s="236">
        <f>BO14-BO28-BO34</f>
        <v>711</v>
      </c>
      <c r="BP39" s="242">
        <f>'Op Metrics'!BP142</f>
        <v>745.65099166327889</v>
      </c>
      <c r="BQ39" s="242">
        <f>'Op Metrics'!BQ142</f>
        <v>726.36102037330568</v>
      </c>
      <c r="BR39" s="240">
        <f>'Op Metrics'!BR142</f>
        <v>756.89044455777719</v>
      </c>
      <c r="BS39" s="241">
        <f>SUM(BO39:BR39)</f>
        <v>2939.9024565943619</v>
      </c>
      <c r="BT39" s="242">
        <f>'Op Metrics'!BT142</f>
        <v>769.01406721167632</v>
      </c>
      <c r="BU39" s="242">
        <f>'Op Metrics'!BU142</f>
        <v>818.38083235883903</v>
      </c>
      <c r="BV39" s="242">
        <f>'Op Metrics'!BV142</f>
        <v>799.8197757537913</v>
      </c>
      <c r="BW39" s="240">
        <f>'Op Metrics'!BW142</f>
        <v>831.66747712582867</v>
      </c>
      <c r="BX39" s="241">
        <f>SUM(BT39:BW39)</f>
        <v>3218.8821524501354</v>
      </c>
      <c r="BY39" s="243">
        <f>'Op Metrics'!BY142</f>
        <v>3434.1898230969423</v>
      </c>
      <c r="BZ39" s="243">
        <f>'Op Metrics'!BZ142</f>
        <v>3671.3635841150099</v>
      </c>
      <c r="CA39" s="243">
        <f>'Op Metrics'!CA142</f>
        <v>3895.4220280023183</v>
      </c>
      <c r="CB39" s="118">
        <f>(CA39/BN39)^(1/5)-1</f>
        <v>7.1422008306532225E-2</v>
      </c>
      <c r="CD39" s="237" t="str">
        <f>A39</f>
        <v>Operating Profit</v>
      </c>
      <c r="CE39" s="235">
        <f t="shared" ref="CE39:CO39" si="64">CE14-CE28-CE34</f>
        <v>670.1279999999997</v>
      </c>
      <c r="CF39" s="235">
        <f t="shared" si="64"/>
        <v>934.41200000000003</v>
      </c>
      <c r="CG39" s="235">
        <f t="shared" si="64"/>
        <v>1006.0740000000001</v>
      </c>
      <c r="CH39" s="235">
        <f t="shared" si="64"/>
        <v>1174.6900000000005</v>
      </c>
      <c r="CI39" s="235">
        <f t="shared" si="64"/>
        <v>1387.1279999999992</v>
      </c>
      <c r="CJ39" s="235">
        <f t="shared" si="64"/>
        <v>1449.9540000000002</v>
      </c>
      <c r="CK39" s="235">
        <f t="shared" si="64"/>
        <v>1706.8130000000006</v>
      </c>
      <c r="CL39" s="235">
        <f t="shared" si="64"/>
        <v>1448.0839999999994</v>
      </c>
      <c r="CM39" s="235">
        <f t="shared" si="64"/>
        <v>1274.1850000000009</v>
      </c>
      <c r="CN39" s="235">
        <f t="shared" si="64"/>
        <v>1436.2009999999993</v>
      </c>
      <c r="CO39" s="235">
        <f t="shared" si="64"/>
        <v>1938.8999999999996</v>
      </c>
      <c r="CP39" s="235">
        <f>AO39</f>
        <v>1385</v>
      </c>
      <c r="CQ39" s="235">
        <f>AT39</f>
        <v>1577</v>
      </c>
      <c r="CR39" s="235">
        <f>AY39</f>
        <v>1815</v>
      </c>
      <c r="CS39" s="235">
        <f>BD39</f>
        <v>2053</v>
      </c>
      <c r="CT39" s="235">
        <f>BI39</f>
        <v>2334</v>
      </c>
      <c r="CU39" s="235">
        <f>BN39</f>
        <v>2759</v>
      </c>
      <c r="CV39" s="235">
        <f>BS39</f>
        <v>2939.9024565943619</v>
      </c>
      <c r="CW39" s="235">
        <f t="shared" ref="CW39:CZ40" si="65">BX39</f>
        <v>3218.8821524501354</v>
      </c>
      <c r="CX39" s="235">
        <f t="shared" si="65"/>
        <v>3434.1898230969423</v>
      </c>
      <c r="CY39" s="235">
        <f t="shared" si="65"/>
        <v>3671.3635841150099</v>
      </c>
      <c r="CZ39" s="233">
        <f t="shared" si="65"/>
        <v>3895.4220280023183</v>
      </c>
      <c r="DA39" s="239"/>
      <c r="DB39" s="59">
        <f>SUM(BO39,BP39,BQ39,BR39)</f>
        <v>2939.9024565943619</v>
      </c>
      <c r="DC39"/>
      <c r="DD39"/>
      <c r="DE39"/>
      <c r="DF39"/>
      <c r="DG39"/>
      <c r="DH39"/>
    </row>
    <row r="40" spans="1:112" ht="12" customHeight="1">
      <c r="A40" s="161" t="s">
        <v>78</v>
      </c>
      <c r="B40" s="112">
        <f t="shared" ref="B40:BK40" si="66">B39/B14</f>
        <v>0.14425206138797786</v>
      </c>
      <c r="C40" s="112">
        <f t="shared" si="66"/>
        <v>0.20137391103456243</v>
      </c>
      <c r="D40" s="112">
        <f t="shared" si="66"/>
        <v>0.20572764154492959</v>
      </c>
      <c r="E40" s="112">
        <f t="shared" si="66"/>
        <v>0.22372754944350473</v>
      </c>
      <c r="F40" s="112">
        <f t="shared" si="66"/>
        <v>0.23104775401331379</v>
      </c>
      <c r="G40" s="113">
        <f t="shared" si="66"/>
        <v>0.12227278664725146</v>
      </c>
      <c r="H40" s="114">
        <f t="shared" si="66"/>
        <v>0.23593640244497208</v>
      </c>
      <c r="I40" s="114">
        <f t="shared" si="66"/>
        <v>0.31699212574715063</v>
      </c>
      <c r="J40" s="114">
        <f t="shared" si="66"/>
        <v>0.19973581644134974</v>
      </c>
      <c r="K40" s="112">
        <f t="shared" si="66"/>
        <v>0.23180208014595366</v>
      </c>
      <c r="L40" s="114">
        <f t="shared" si="66"/>
        <v>0.16574592453977036</v>
      </c>
      <c r="M40" s="114">
        <f t="shared" si="66"/>
        <v>0.26506260407093801</v>
      </c>
      <c r="N40" s="114">
        <f t="shared" si="66"/>
        <v>0.33759293892676218</v>
      </c>
      <c r="O40" s="114">
        <f t="shared" si="66"/>
        <v>0.18975745498468483</v>
      </c>
      <c r="P40" s="112">
        <f t="shared" si="66"/>
        <v>0.25202926458603836</v>
      </c>
      <c r="Q40" s="114">
        <f t="shared" si="66"/>
        <v>0.12403612533675555</v>
      </c>
      <c r="R40" s="114">
        <f t="shared" si="66"/>
        <v>0.23211522658339431</v>
      </c>
      <c r="S40" s="114">
        <f t="shared" si="66"/>
        <v>0.33014521066456576</v>
      </c>
      <c r="T40" s="114">
        <f t="shared" si="66"/>
        <v>0.16414020451908934</v>
      </c>
      <c r="U40" s="112">
        <f t="shared" si="66"/>
        <v>0.22786333084450089</v>
      </c>
      <c r="V40" s="114">
        <f t="shared" si="66"/>
        <v>0.10829144918991078</v>
      </c>
      <c r="W40" s="114">
        <f t="shared" si="66"/>
        <v>0.21262029238728336</v>
      </c>
      <c r="X40" s="114">
        <f t="shared" si="66"/>
        <v>0.29637193394327965</v>
      </c>
      <c r="Y40" s="114">
        <f t="shared" si="66"/>
        <v>0.19306225264821936</v>
      </c>
      <c r="Z40" s="112">
        <f t="shared" si="66"/>
        <v>0.21408462205100939</v>
      </c>
      <c r="AA40" s="114">
        <f t="shared" si="66"/>
        <v>0.15986223118279572</v>
      </c>
      <c r="AB40" s="114">
        <f t="shared" si="66"/>
        <v>0.22135540329692679</v>
      </c>
      <c r="AC40" s="114">
        <f t="shared" si="66"/>
        <v>0.31637869338513447</v>
      </c>
      <c r="AD40" s="114">
        <f t="shared" si="66"/>
        <v>0.19429760711694208</v>
      </c>
      <c r="AE40" s="112">
        <f t="shared" si="66"/>
        <v>0.23283461928356297</v>
      </c>
      <c r="AF40" s="114">
        <f t="shared" si="66"/>
        <v>0.17129262490087233</v>
      </c>
      <c r="AG40" s="114">
        <f t="shared" si="66"/>
        <v>0.22992935131663456</v>
      </c>
      <c r="AH40" s="114">
        <f t="shared" si="66"/>
        <v>0.31808176100628932</v>
      </c>
      <c r="AI40" s="114">
        <f t="shared" si="66"/>
        <v>0.24103585657370519</v>
      </c>
      <c r="AJ40" s="112">
        <f t="shared" si="66"/>
        <v>0.2278097982708934</v>
      </c>
      <c r="AK40" s="114">
        <f t="shared" si="66"/>
        <v>0.30048309178743959</v>
      </c>
      <c r="AL40" s="114">
        <f t="shared" si="66"/>
        <v>0.32369402985074625</v>
      </c>
      <c r="AM40" s="114">
        <f t="shared" si="66"/>
        <v>0.31899641577060933</v>
      </c>
      <c r="AN40" s="114">
        <f t="shared" si="66"/>
        <v>0.30236348818255909</v>
      </c>
      <c r="AO40" s="112">
        <f t="shared" si="66"/>
        <v>0.31123595505617979</v>
      </c>
      <c r="AP40" s="114">
        <f t="shared" si="66"/>
        <v>0.33784928027095684</v>
      </c>
      <c r="AQ40" s="114">
        <f t="shared" si="66"/>
        <v>0.35680000000000001</v>
      </c>
      <c r="AR40" s="114">
        <f t="shared" si="66"/>
        <v>0.33333333333333331</v>
      </c>
      <c r="AS40" s="114">
        <f t="shared" si="66"/>
        <v>0.28855721393034828</v>
      </c>
      <c r="AT40" s="112">
        <f t="shared" si="66"/>
        <v>0.32929630403006893</v>
      </c>
      <c r="AU40" s="115">
        <f t="shared" si="66"/>
        <v>0.35158862876254182</v>
      </c>
      <c r="AV40" s="114">
        <f t="shared" si="66"/>
        <v>0.36443932411674346</v>
      </c>
      <c r="AW40" s="113">
        <f t="shared" si="66"/>
        <v>0.37688044338875692</v>
      </c>
      <c r="AX40" s="113">
        <f t="shared" si="66"/>
        <v>0.34418604651162793</v>
      </c>
      <c r="AY40" s="112">
        <f t="shared" si="66"/>
        <v>0.35933478519105128</v>
      </c>
      <c r="AZ40" s="116">
        <f t="shared" si="66"/>
        <v>0.38884524744697563</v>
      </c>
      <c r="BA40" s="113">
        <f t="shared" si="66"/>
        <v>0.41132637853949328</v>
      </c>
      <c r="BB40" s="113">
        <f t="shared" si="66"/>
        <v>0.3987915407854985</v>
      </c>
      <c r="BC40" s="113">
        <f t="shared" si="66"/>
        <v>0.34788937409024745</v>
      </c>
      <c r="BD40" s="112">
        <f t="shared" si="66"/>
        <v>0.38641069075851686</v>
      </c>
      <c r="BE40" s="116">
        <f t="shared" si="66"/>
        <v>0.39299030574198357</v>
      </c>
      <c r="BF40" s="113">
        <f t="shared" si="66"/>
        <v>0.42442645074224022</v>
      </c>
      <c r="BG40" s="113">
        <f t="shared" si="66"/>
        <v>0.4266851980542043</v>
      </c>
      <c r="BH40" s="113">
        <f t="shared" si="66"/>
        <v>0.40314510364546102</v>
      </c>
      <c r="BI40" s="118">
        <f t="shared" si="66"/>
        <v>0.41229464758876522</v>
      </c>
      <c r="BJ40" s="117">
        <f t="shared" si="66"/>
        <v>0.45767377838953888</v>
      </c>
      <c r="BK40" s="117">
        <f t="shared" si="66"/>
        <v>0.45725646123260438</v>
      </c>
      <c r="BL40" s="117">
        <f t="shared" ref="BL40:BM40" si="67">BL39/BL14</f>
        <v>0.44745538664904166</v>
      </c>
      <c r="BM40" s="117">
        <f t="shared" si="67"/>
        <v>0.45752045311516676</v>
      </c>
      <c r="BN40" s="118">
        <f t="shared" ref="BN40:BY40" si="68">BN39/BN14</f>
        <v>0.45498021108179421</v>
      </c>
      <c r="BO40" s="117">
        <f t="shared" si="68"/>
        <v>0.45373324824505423</v>
      </c>
      <c r="BP40" s="117">
        <f t="shared" si="68"/>
        <v>0.45455929745050083</v>
      </c>
      <c r="BQ40" s="117">
        <f t="shared" si="68"/>
        <v>0.44745139421549507</v>
      </c>
      <c r="BR40" s="117">
        <f t="shared" si="68"/>
        <v>0.45291911200456791</v>
      </c>
      <c r="BS40" s="118">
        <f t="shared" si="68"/>
        <v>0.45216400003101109</v>
      </c>
      <c r="BT40" s="117">
        <f t="shared" ref="BT40:BX40" si="69">BT39/BT14</f>
        <v>0.46707922698807453</v>
      </c>
      <c r="BU40" s="117">
        <f t="shared" si="69"/>
        <v>0.47104716215848436</v>
      </c>
      <c r="BV40" s="117">
        <f t="shared" si="69"/>
        <v>0.46466360704496851</v>
      </c>
      <c r="BW40" s="117">
        <f t="shared" si="69"/>
        <v>0.46961573335966567</v>
      </c>
      <c r="BX40" s="118">
        <f t="shared" si="69"/>
        <v>0.4681303859408481</v>
      </c>
      <c r="BY40" s="56">
        <f t="shared" si="68"/>
        <v>0.47489145688009815</v>
      </c>
      <c r="BZ40" s="56">
        <f>BZ39/BZ14</f>
        <v>0.48254215964286479</v>
      </c>
      <c r="CA40" s="56">
        <f>CA39/CA14</f>
        <v>0.48907634072834971</v>
      </c>
      <c r="CB40" s="245"/>
      <c r="CC40" s="1361"/>
      <c r="CD40" s="120" t="str">
        <f>A40</f>
        <v>Operating Margin</v>
      </c>
      <c r="CE40" s="113">
        <f>B40</f>
        <v>0.14425206138797786</v>
      </c>
      <c r="CF40" s="113">
        <f>C40</f>
        <v>0.20137391103456243</v>
      </c>
      <c r="CG40" s="113">
        <f>D40</f>
        <v>0.20572764154492959</v>
      </c>
      <c r="CH40" s="113">
        <f>E40</f>
        <v>0.22372754944350473</v>
      </c>
      <c r="CI40" s="113">
        <f>F40</f>
        <v>0.23104775401331379</v>
      </c>
      <c r="CJ40" s="113">
        <f>K40</f>
        <v>0.23180208014595366</v>
      </c>
      <c r="CK40" s="113">
        <f>P40</f>
        <v>0.25202926458603836</v>
      </c>
      <c r="CL40" s="113">
        <f>U40</f>
        <v>0.22786333084450089</v>
      </c>
      <c r="CM40" s="113">
        <f>Z40</f>
        <v>0.21408462205100939</v>
      </c>
      <c r="CN40" s="113">
        <f>AE40</f>
        <v>0.23283461928356297</v>
      </c>
      <c r="CO40" s="113">
        <f>AJ40</f>
        <v>0.2278097982708934</v>
      </c>
      <c r="CP40" s="113">
        <f>AO40</f>
        <v>0.31123595505617979</v>
      </c>
      <c r="CQ40" s="113">
        <f>AT40</f>
        <v>0.32929630403006893</v>
      </c>
      <c r="CR40" s="113">
        <f>AY40</f>
        <v>0.35933478519105128</v>
      </c>
      <c r="CS40" s="113">
        <f>BD40</f>
        <v>0.38641069075851686</v>
      </c>
      <c r="CT40" s="113">
        <f>BI40</f>
        <v>0.41229464758876522</v>
      </c>
      <c r="CU40" s="113">
        <f>BN40</f>
        <v>0.45498021108179421</v>
      </c>
      <c r="CV40" s="113">
        <f>BS40</f>
        <v>0.45216400003101109</v>
      </c>
      <c r="CW40" s="113">
        <f t="shared" si="65"/>
        <v>0.4681303859408481</v>
      </c>
      <c r="CX40" s="113">
        <f t="shared" si="65"/>
        <v>0.47489145688009815</v>
      </c>
      <c r="CY40" s="113">
        <f t="shared" si="65"/>
        <v>0.48254215964286479</v>
      </c>
      <c r="CZ40" s="121">
        <f t="shared" si="65"/>
        <v>0.48907634072834971</v>
      </c>
      <c r="DA40" s="246"/>
      <c r="DB40" s="123">
        <f>DB39/$DB$14</f>
        <v>0.45216400003101109</v>
      </c>
    </row>
    <row r="41" spans="1:112" ht="4.5" customHeight="1">
      <c r="A41" s="161"/>
      <c r="B41" s="112"/>
      <c r="C41" s="112"/>
      <c r="D41" s="112"/>
      <c r="E41" s="112"/>
      <c r="F41" s="112"/>
      <c r="G41" s="113"/>
      <c r="H41" s="114"/>
      <c r="I41" s="114"/>
      <c r="J41" s="114"/>
      <c r="K41" s="112"/>
      <c r="L41" s="114"/>
      <c r="M41" s="114"/>
      <c r="N41" s="114"/>
      <c r="O41" s="114"/>
      <c r="P41" s="112"/>
      <c r="Q41" s="114"/>
      <c r="R41" s="114"/>
      <c r="S41" s="114"/>
      <c r="T41" s="114"/>
      <c r="U41" s="112"/>
      <c r="V41" s="114"/>
      <c r="W41" s="114"/>
      <c r="X41" s="114"/>
      <c r="Y41" s="114"/>
      <c r="Z41" s="112"/>
      <c r="AA41" s="114"/>
      <c r="AB41" s="114"/>
      <c r="AC41" s="114"/>
      <c r="AD41" s="114"/>
      <c r="AE41" s="112"/>
      <c r="AF41" s="114"/>
      <c r="AG41" s="114"/>
      <c r="AH41" s="114"/>
      <c r="AI41" s="114"/>
      <c r="AJ41" s="112"/>
      <c r="AK41" s="114"/>
      <c r="AL41" s="114"/>
      <c r="AM41" s="114"/>
      <c r="AN41" s="114"/>
      <c r="AO41" s="112"/>
      <c r="AP41" s="114"/>
      <c r="AQ41" s="114"/>
      <c r="AR41" s="114"/>
      <c r="AS41" s="114"/>
      <c r="AT41" s="112"/>
      <c r="AU41" s="115"/>
      <c r="AV41" s="114"/>
      <c r="AW41" s="113"/>
      <c r="AX41" s="113"/>
      <c r="AY41" s="112"/>
      <c r="AZ41" s="116"/>
      <c r="BA41" s="113"/>
      <c r="BB41" s="113"/>
      <c r="BC41" s="113"/>
      <c r="BD41" s="112"/>
      <c r="BE41" s="116"/>
      <c r="BF41" s="113"/>
      <c r="BG41" s="113"/>
      <c r="BH41" s="113"/>
      <c r="BI41" s="118"/>
      <c r="BJ41" s="117"/>
      <c r="BK41" s="117"/>
      <c r="BL41" s="117"/>
      <c r="BM41" s="117"/>
      <c r="BN41" s="118"/>
      <c r="BO41" s="117"/>
      <c r="BP41" s="117"/>
      <c r="BQ41" s="117"/>
      <c r="BR41" s="117"/>
      <c r="BS41" s="118"/>
      <c r="BT41" s="117"/>
      <c r="BU41" s="117"/>
      <c r="BV41" s="117"/>
      <c r="BW41" s="117"/>
      <c r="BX41" s="118"/>
      <c r="BY41" s="56"/>
      <c r="BZ41" s="56"/>
      <c r="CA41" s="56"/>
      <c r="CB41" s="245"/>
      <c r="CC41" s="1361"/>
      <c r="CD41" s="120"/>
      <c r="CE41" s="113"/>
      <c r="CF41" s="113"/>
      <c r="CG41" s="113"/>
      <c r="CH41" s="113"/>
      <c r="CI41" s="113"/>
      <c r="CJ41" s="113"/>
      <c r="CK41" s="113"/>
      <c r="CL41" s="113"/>
      <c r="CM41" s="113"/>
      <c r="CN41" s="113"/>
      <c r="CO41" s="113"/>
      <c r="CP41" s="113"/>
      <c r="CQ41" s="113"/>
      <c r="CR41" s="113"/>
      <c r="CS41" s="113"/>
      <c r="CT41" s="113"/>
      <c r="CU41" s="113"/>
      <c r="CV41" s="113"/>
      <c r="CW41" s="113"/>
      <c r="CX41" s="113"/>
      <c r="CY41" s="113"/>
      <c r="CZ41" s="121"/>
      <c r="DA41" s="58"/>
      <c r="DB41" s="123"/>
    </row>
    <row r="42" spans="1:112" s="70" customFormat="1" ht="12" customHeight="1">
      <c r="A42" s="142" t="s">
        <v>79</v>
      </c>
      <c r="B42" s="1885">
        <v>-55.07</v>
      </c>
      <c r="C42" s="1885">
        <v>-22.516999999999999</v>
      </c>
      <c r="D42" s="1885">
        <v>-7.0970000000000004</v>
      </c>
      <c r="E42" s="1885">
        <v>-5.7850000000000001</v>
      </c>
      <c r="F42" s="1885">
        <v>-5.202</v>
      </c>
      <c r="G42" s="1878">
        <v>2.5089999999999999</v>
      </c>
      <c r="H42" s="1881">
        <v>-8.5549999999999997</v>
      </c>
      <c r="I42" s="1881">
        <v>-7.5149999999999997</v>
      </c>
      <c r="J42" s="1881">
        <f>-13.631-SUM(G42:I42)</f>
        <v>-7.0000000000000284E-2</v>
      </c>
      <c r="K42" s="61">
        <f>SUM(G42:J42)</f>
        <v>-13.631</v>
      </c>
      <c r="L42" s="1881">
        <v>-1.204</v>
      </c>
      <c r="M42" s="1881">
        <v>-12.099</v>
      </c>
      <c r="N42" s="1881">
        <v>-15.423</v>
      </c>
      <c r="O42" s="1881">
        <f>-40.581-SUM(L42:N42)</f>
        <v>-11.855000000000004</v>
      </c>
      <c r="P42" s="61">
        <f>SUM(L42:O42)</f>
        <v>-40.581000000000003</v>
      </c>
      <c r="Q42" s="1881">
        <v>-17.829999999999998</v>
      </c>
      <c r="R42" s="1881">
        <v>-20.353999999999999</v>
      </c>
      <c r="S42" s="1881">
        <v>-22.001999999999999</v>
      </c>
      <c r="T42" s="1881">
        <f>-75.624-SUM(Q42:S42)</f>
        <v>-15.438000000000002</v>
      </c>
      <c r="U42" s="61">
        <f>SUM(Q42:T42)</f>
        <v>-75.623999999999995</v>
      </c>
      <c r="V42" s="1881">
        <v>-20.591000000000001</v>
      </c>
      <c r="W42" s="1881">
        <v>-18.498999999999999</v>
      </c>
      <c r="X42" s="1881">
        <v>-17.827000000000002</v>
      </c>
      <c r="Y42" s="1881">
        <f>-76.867-SUM(V42:X42)</f>
        <v>-19.950000000000003</v>
      </c>
      <c r="Z42" s="61">
        <f>SUM(V42:Y42)</f>
        <v>-76.867000000000004</v>
      </c>
      <c r="AA42" s="1881">
        <v>-22.1</v>
      </c>
      <c r="AB42" s="1881">
        <v>-20.9</v>
      </c>
      <c r="AC42" s="1881">
        <v>-19.3</v>
      </c>
      <c r="AD42" s="1881">
        <f>-81.643-SUM(AA42:AC42)</f>
        <v>-19.343000000000004</v>
      </c>
      <c r="AE42" s="61">
        <f>SUM(AA42:AD42)</f>
        <v>-81.643000000000001</v>
      </c>
      <c r="AF42" s="1881">
        <v>-19</v>
      </c>
      <c r="AG42" s="1881">
        <v>-20</v>
      </c>
      <c r="AH42" s="1881">
        <v>-18.100000000000001</v>
      </c>
      <c r="AI42" s="1881">
        <v>-19</v>
      </c>
      <c r="AJ42" s="61">
        <f>SUM(AF42:AI42)</f>
        <v>-76.099999999999994</v>
      </c>
      <c r="AK42" s="1881">
        <v>-21</v>
      </c>
      <c r="AL42" s="1881">
        <v>-21</v>
      </c>
      <c r="AM42" s="1881">
        <v>-21</v>
      </c>
      <c r="AN42" s="1881">
        <f>-81-SUM(AK42:AM42)</f>
        <v>-18</v>
      </c>
      <c r="AO42" s="61">
        <f>SUM(AK42:AN42)</f>
        <v>-81</v>
      </c>
      <c r="AP42" s="1881">
        <v>-15</v>
      </c>
      <c r="AQ42" s="1881">
        <v>-16</v>
      </c>
      <c r="AR42" s="1881">
        <v>-14</v>
      </c>
      <c r="AS42" s="1881">
        <f>-59-SUM(AP42:AR42)</f>
        <v>-14</v>
      </c>
      <c r="AT42" s="61">
        <f>SUM(AP42:AS42)</f>
        <v>-59</v>
      </c>
      <c r="AU42" s="1880">
        <v>-14</v>
      </c>
      <c r="AV42" s="1881">
        <v>-14</v>
      </c>
      <c r="AW42" s="1881">
        <v>-12</v>
      </c>
      <c r="AX42" s="1881">
        <v>-19</v>
      </c>
      <c r="AY42" s="61">
        <f>SUM(AU42:AX42)</f>
        <v>-59</v>
      </c>
      <c r="AZ42" s="1882">
        <v>-16</v>
      </c>
      <c r="BA42" s="1883">
        <v>-16</v>
      </c>
      <c r="BB42" s="1883">
        <v>-30</v>
      </c>
      <c r="BC42" s="1884">
        <v>-40</v>
      </c>
      <c r="BD42" s="61">
        <f>SUM(AZ42:BC42)</f>
        <v>-102</v>
      </c>
      <c r="BE42" s="1880">
        <v>-40</v>
      </c>
      <c r="BF42" s="1878">
        <v>-42</v>
      </c>
      <c r="BG42" s="1878">
        <v>-39</v>
      </c>
      <c r="BH42" s="1881">
        <f>-60+21</f>
        <v>-39</v>
      </c>
      <c r="BI42" s="67">
        <f>SUM(BE42:BH42)</f>
        <v>-160</v>
      </c>
      <c r="BJ42" s="1880">
        <v>-37</v>
      </c>
      <c r="BK42" s="1878">
        <v>-37</v>
      </c>
      <c r="BL42" s="2166">
        <v>-37</v>
      </c>
      <c r="BM42" s="2166">
        <v>-39</v>
      </c>
      <c r="BN42" s="67">
        <f>SUM(BJ42:BM42)</f>
        <v>-150</v>
      </c>
      <c r="BO42" s="2166">
        <v>-34</v>
      </c>
      <c r="BP42" s="66">
        <f>-BP293</f>
        <v>-37.128512571788768</v>
      </c>
      <c r="BQ42" s="66">
        <f>-BQ293</f>
        <v>-37.128512571788768</v>
      </c>
      <c r="BR42" s="66">
        <f>-BR293</f>
        <v>-37.128512571788768</v>
      </c>
      <c r="BS42" s="67">
        <f>SUM(BO42:BR42)</f>
        <v>-145.38553771536633</v>
      </c>
      <c r="BT42" s="66">
        <f>-BT293</f>
        <v>-37.03875</v>
      </c>
      <c r="BU42" s="66">
        <f>-BU293</f>
        <v>-37.03875</v>
      </c>
      <c r="BV42" s="66">
        <f>-BV293</f>
        <v>-37.03875</v>
      </c>
      <c r="BW42" s="66">
        <f>-BW293</f>
        <v>-37.03875</v>
      </c>
      <c r="BX42" s="67">
        <f>SUM(BT42:BW42)</f>
        <v>-148.155</v>
      </c>
      <c r="BY42" s="135">
        <f>-BY293</f>
        <v>-148.155</v>
      </c>
      <c r="BZ42" s="135">
        <f>-BZ293</f>
        <v>-148.155</v>
      </c>
      <c r="CA42" s="135">
        <f>-CA293</f>
        <v>-148.155</v>
      </c>
      <c r="CB42" s="81"/>
      <c r="CC42" s="1371"/>
      <c r="CD42" s="64" t="str">
        <f t="shared" ref="CD42:CI43" si="70">A42</f>
        <v>Interest Expense, Net</v>
      </c>
      <c r="CE42" s="62">
        <f t="shared" si="70"/>
        <v>-55.07</v>
      </c>
      <c r="CF42" s="62">
        <f t="shared" si="70"/>
        <v>-22.516999999999999</v>
      </c>
      <c r="CG42" s="62">
        <f t="shared" si="70"/>
        <v>-7.0970000000000004</v>
      </c>
      <c r="CH42" s="62">
        <f t="shared" si="70"/>
        <v>-5.7850000000000001</v>
      </c>
      <c r="CI42" s="62">
        <f t="shared" si="70"/>
        <v>-5.202</v>
      </c>
      <c r="CJ42" s="62">
        <f>K42</f>
        <v>-13.631</v>
      </c>
      <c r="CK42" s="62">
        <f>P42</f>
        <v>-40.581000000000003</v>
      </c>
      <c r="CL42" s="62">
        <f>U42</f>
        <v>-75.623999999999995</v>
      </c>
      <c r="CM42" s="62">
        <f>Z42</f>
        <v>-76.867000000000004</v>
      </c>
      <c r="CN42" s="62">
        <f>AE42</f>
        <v>-81.643000000000001</v>
      </c>
      <c r="CO42" s="62">
        <f>AJ42</f>
        <v>-76.099999999999994</v>
      </c>
      <c r="CP42" s="62">
        <f>AO42</f>
        <v>-81</v>
      </c>
      <c r="CQ42" s="62">
        <f>AT42</f>
        <v>-59</v>
      </c>
      <c r="CR42" s="62">
        <f>AY42</f>
        <v>-59</v>
      </c>
      <c r="CS42" s="62">
        <f>BD42</f>
        <v>-102</v>
      </c>
      <c r="CT42" s="62">
        <f>BI42</f>
        <v>-160</v>
      </c>
      <c r="CU42" s="62">
        <f>BN42</f>
        <v>-150</v>
      </c>
      <c r="CV42" s="62">
        <f>BS42</f>
        <v>-145.38553771536633</v>
      </c>
      <c r="CW42" s="62">
        <f t="shared" ref="CW42:CZ43" si="71">BX42</f>
        <v>-148.155</v>
      </c>
      <c r="CX42" s="62">
        <f t="shared" si="71"/>
        <v>-148.155</v>
      </c>
      <c r="CY42" s="62">
        <f t="shared" si="71"/>
        <v>-148.155</v>
      </c>
      <c r="CZ42" s="142">
        <f t="shared" si="71"/>
        <v>-148.155</v>
      </c>
      <c r="DA42" s="74"/>
      <c r="DB42" s="59">
        <f>SUM(BO42,BP42,BQ42,BR42)</f>
        <v>-145.38553771536633</v>
      </c>
      <c r="DC42"/>
      <c r="DD42"/>
      <c r="DE42"/>
      <c r="DF42"/>
      <c r="DG42"/>
      <c r="DH42"/>
    </row>
    <row r="43" spans="1:112" s="70" customFormat="1" ht="12" customHeight="1">
      <c r="A43" s="142" t="s">
        <v>578</v>
      </c>
      <c r="B43" s="1880"/>
      <c r="C43" s="1885"/>
      <c r="D43" s="1885"/>
      <c r="E43" s="1885"/>
      <c r="F43" s="1885"/>
      <c r="G43" s="1878"/>
      <c r="H43" s="1881"/>
      <c r="I43" s="1881"/>
      <c r="J43" s="1881"/>
      <c r="K43" s="61"/>
      <c r="L43" s="1881"/>
      <c r="M43" s="1881"/>
      <c r="N43" s="1881"/>
      <c r="O43" s="1881"/>
      <c r="P43" s="61"/>
      <c r="Q43" s="1881"/>
      <c r="R43" s="1881"/>
      <c r="S43" s="1881"/>
      <c r="T43" s="1881"/>
      <c r="U43" s="61"/>
      <c r="V43" s="1881"/>
      <c r="W43" s="1881"/>
      <c r="X43" s="1881"/>
      <c r="Y43" s="1881"/>
      <c r="Z43" s="61"/>
      <c r="AA43" s="1881"/>
      <c r="AB43" s="1881"/>
      <c r="AC43" s="1881"/>
      <c r="AD43" s="1881"/>
      <c r="AE43" s="61"/>
      <c r="AF43" s="1881"/>
      <c r="AG43" s="1881"/>
      <c r="AH43" s="1881"/>
      <c r="AI43" s="1881"/>
      <c r="AJ43" s="61"/>
      <c r="AK43" s="1881"/>
      <c r="AL43" s="1881"/>
      <c r="AM43" s="1881"/>
      <c r="AN43" s="1881"/>
      <c r="AO43" s="61"/>
      <c r="AP43" s="1881"/>
      <c r="AQ43" s="1881"/>
      <c r="AR43" s="1881"/>
      <c r="AS43" s="1881"/>
      <c r="AT43" s="61"/>
      <c r="AU43" s="1880"/>
      <c r="AV43" s="1881"/>
      <c r="AW43" s="1881"/>
      <c r="AX43" s="1881"/>
      <c r="AY43" s="61"/>
      <c r="AZ43" s="1882"/>
      <c r="BA43" s="1883"/>
      <c r="BB43" s="1883"/>
      <c r="BC43" s="1884"/>
      <c r="BD43" s="61"/>
      <c r="BE43" s="1880"/>
      <c r="BF43" s="1878"/>
      <c r="BG43" s="1878"/>
      <c r="BH43" s="1881"/>
      <c r="BI43" s="67"/>
      <c r="BJ43" s="1880"/>
      <c r="BK43" s="1878"/>
      <c r="BL43" s="2166"/>
      <c r="BM43" s="2166"/>
      <c r="BN43" s="67"/>
      <c r="BO43" s="2166">
        <f>4</f>
        <v>4</v>
      </c>
      <c r="BP43" s="2166">
        <v>0</v>
      </c>
      <c r="BQ43" s="2166">
        <v>0</v>
      </c>
      <c r="BR43" s="2166">
        <v>0</v>
      </c>
      <c r="BS43" s="67">
        <f>SUM(BO43:BR43)</f>
        <v>4</v>
      </c>
      <c r="BT43" s="2166">
        <v>0</v>
      </c>
      <c r="BU43" s="2166">
        <v>0</v>
      </c>
      <c r="BV43" s="2166">
        <v>0</v>
      </c>
      <c r="BW43" s="2166">
        <v>0</v>
      </c>
      <c r="BX43" s="67">
        <f>SUM(BT43:BW43)</f>
        <v>0</v>
      </c>
      <c r="BY43" s="2135">
        <v>0</v>
      </c>
      <c r="BZ43" s="2135">
        <v>0</v>
      </c>
      <c r="CA43" s="2135">
        <v>0</v>
      </c>
      <c r="CB43" s="81"/>
      <c r="CC43" s="1371"/>
      <c r="CD43" s="64" t="str">
        <f t="shared" si="70"/>
        <v>Other income/ (expense), net</v>
      </c>
      <c r="CE43" s="62"/>
      <c r="CF43" s="62"/>
      <c r="CG43" s="62"/>
      <c r="CH43" s="62"/>
      <c r="CI43" s="62"/>
      <c r="CJ43" s="62"/>
      <c r="CK43" s="62"/>
      <c r="CL43" s="62"/>
      <c r="CM43" s="62"/>
      <c r="CN43" s="62"/>
      <c r="CO43" s="62">
        <f>AJ43</f>
        <v>0</v>
      </c>
      <c r="CP43" s="62">
        <f>AO43</f>
        <v>0</v>
      </c>
      <c r="CQ43" s="62">
        <f>AT43</f>
        <v>0</v>
      </c>
      <c r="CR43" s="62">
        <f>AY43</f>
        <v>0</v>
      </c>
      <c r="CS43" s="62">
        <f>BD43</f>
        <v>0</v>
      </c>
      <c r="CT43" s="62">
        <f>BI43</f>
        <v>0</v>
      </c>
      <c r="CU43" s="62">
        <f>BN43</f>
        <v>0</v>
      </c>
      <c r="CV43" s="62">
        <f>BS43</f>
        <v>4</v>
      </c>
      <c r="CW43" s="62">
        <f t="shared" si="71"/>
        <v>0</v>
      </c>
      <c r="CX43" s="62">
        <f t="shared" si="71"/>
        <v>0</v>
      </c>
      <c r="CY43" s="62">
        <f t="shared" si="71"/>
        <v>0</v>
      </c>
      <c r="CZ43" s="142">
        <f t="shared" si="71"/>
        <v>0</v>
      </c>
      <c r="DA43" s="74"/>
      <c r="DB43" s="59"/>
      <c r="DC43"/>
      <c r="DD43"/>
      <c r="DE43"/>
      <c r="DF43"/>
      <c r="DG43"/>
      <c r="DH43"/>
    </row>
    <row r="44" spans="1:112" ht="6" customHeight="1">
      <c r="A44" s="142"/>
      <c r="B44" s="64"/>
      <c r="C44" s="61"/>
      <c r="D44" s="61"/>
      <c r="E44" s="61"/>
      <c r="F44" s="61"/>
      <c r="G44" s="62"/>
      <c r="H44" s="63"/>
      <c r="I44" s="63"/>
      <c r="J44" s="63"/>
      <c r="K44" s="61"/>
      <c r="L44" s="63"/>
      <c r="M44" s="63"/>
      <c r="N44" s="63"/>
      <c r="O44" s="63"/>
      <c r="P44" s="61"/>
      <c r="Q44" s="63"/>
      <c r="R44" s="63"/>
      <c r="S44" s="63"/>
      <c r="T44" s="63"/>
      <c r="U44" s="61"/>
      <c r="V44" s="63"/>
      <c r="W44" s="63"/>
      <c r="X44" s="63"/>
      <c r="Y44" s="63"/>
      <c r="Z44" s="48"/>
      <c r="AA44" s="49"/>
      <c r="AB44" s="49"/>
      <c r="AC44" s="49"/>
      <c r="AD44" s="49"/>
      <c r="AE44" s="48"/>
      <c r="AF44" s="49"/>
      <c r="AG44" s="49"/>
      <c r="AH44" s="49"/>
      <c r="AI44" s="49"/>
      <c r="AJ44" s="48"/>
      <c r="AK44" s="49"/>
      <c r="AL44" s="49"/>
      <c r="AM44" s="49"/>
      <c r="AN44" s="49"/>
      <c r="AO44" s="48"/>
      <c r="AP44" s="49"/>
      <c r="AQ44" s="49"/>
      <c r="AR44" s="49"/>
      <c r="AS44" s="49"/>
      <c r="AT44" s="48"/>
      <c r="AU44" s="50"/>
      <c r="AV44" s="49"/>
      <c r="AW44" s="51"/>
      <c r="AX44" s="51"/>
      <c r="AY44" s="48"/>
      <c r="AZ44" s="126"/>
      <c r="BA44" s="51"/>
      <c r="BB44" s="51"/>
      <c r="BC44" s="51"/>
      <c r="BD44" s="48"/>
      <c r="BE44" s="126"/>
      <c r="BF44" s="51"/>
      <c r="BG44" s="51"/>
      <c r="BH44" s="51"/>
      <c r="BI44" s="54"/>
      <c r="BJ44" s="126"/>
      <c r="BK44" s="127"/>
      <c r="BL44" s="127"/>
      <c r="BM44" s="127"/>
      <c r="BN44" s="54"/>
      <c r="BO44" s="127"/>
      <c r="BP44" s="127"/>
      <c r="BQ44" s="127"/>
      <c r="BR44" s="127"/>
      <c r="BS44" s="54"/>
      <c r="BT44" s="127"/>
      <c r="BU44" s="127"/>
      <c r="BV44" s="127"/>
      <c r="BW44" s="127"/>
      <c r="BX44" s="54"/>
      <c r="BY44" s="128"/>
      <c r="BZ44" s="128"/>
      <c r="CA44" s="128"/>
      <c r="CB44" s="81"/>
      <c r="CC44" s="1372"/>
      <c r="CD44" s="141"/>
      <c r="CE44" s="62"/>
      <c r="CF44" s="62"/>
      <c r="CG44" s="62"/>
      <c r="CH44" s="62"/>
      <c r="CI44" s="62"/>
      <c r="CJ44" s="62"/>
      <c r="CK44" s="62"/>
      <c r="CL44" s="62"/>
      <c r="CM44" s="62"/>
      <c r="CN44" s="62"/>
      <c r="CO44" s="62"/>
      <c r="CP44" s="62"/>
      <c r="CQ44" s="62"/>
      <c r="CR44" s="62"/>
      <c r="CS44" s="62"/>
      <c r="CT44" s="62"/>
      <c r="CU44" s="62"/>
      <c r="CV44" s="62"/>
      <c r="CW44" s="62"/>
      <c r="CX44" s="62"/>
      <c r="CY44" s="62"/>
      <c r="CZ44" s="142"/>
      <c r="DA44" s="74"/>
      <c r="DB44" s="249"/>
    </row>
    <row r="45" spans="1:112" s="70" customFormat="1" ht="12" customHeight="1">
      <c r="A45" s="219" t="s">
        <v>80</v>
      </c>
      <c r="B45" s="220">
        <f t="shared" ref="B45:BM45" si="72">B39+B42</f>
        <v>615.05799999999965</v>
      </c>
      <c r="C45" s="221">
        <f t="shared" si="72"/>
        <v>911.89499999999998</v>
      </c>
      <c r="D45" s="221">
        <f t="shared" si="72"/>
        <v>998.97700000000009</v>
      </c>
      <c r="E45" s="221">
        <f t="shared" si="72"/>
        <v>1168.9050000000004</v>
      </c>
      <c r="F45" s="221">
        <f t="shared" si="72"/>
        <v>1381.9259999999992</v>
      </c>
      <c r="G45" s="222">
        <f t="shared" si="72"/>
        <v>141.98300000000015</v>
      </c>
      <c r="H45" s="222">
        <f t="shared" si="72"/>
        <v>351.84800000000001</v>
      </c>
      <c r="I45" s="222">
        <f t="shared" si="72"/>
        <v>624.11400000000003</v>
      </c>
      <c r="J45" s="222">
        <f t="shared" si="72"/>
        <v>318.37800000000021</v>
      </c>
      <c r="K45" s="221">
        <f t="shared" si="72"/>
        <v>1436.3230000000001</v>
      </c>
      <c r="L45" s="222">
        <f t="shared" si="72"/>
        <v>213.67200000000003</v>
      </c>
      <c r="M45" s="222">
        <f t="shared" si="72"/>
        <v>443.32600000000025</v>
      </c>
      <c r="N45" s="222">
        <f t="shared" si="72"/>
        <v>723.22899999999993</v>
      </c>
      <c r="O45" s="222">
        <f t="shared" si="72"/>
        <v>286.00499999999988</v>
      </c>
      <c r="P45" s="221">
        <f t="shared" si="72"/>
        <v>1666.2320000000007</v>
      </c>
      <c r="Q45" s="222">
        <f t="shared" si="72"/>
        <v>133.22999999999979</v>
      </c>
      <c r="R45" s="222">
        <f t="shared" si="72"/>
        <v>368.02699999999993</v>
      </c>
      <c r="S45" s="222">
        <f t="shared" si="72"/>
        <v>654.31400000000031</v>
      </c>
      <c r="T45" s="222">
        <f t="shared" si="72"/>
        <v>216.88900000000035</v>
      </c>
      <c r="U45" s="221">
        <f t="shared" si="72"/>
        <v>1372.4599999999994</v>
      </c>
      <c r="V45" s="222">
        <f t="shared" si="72"/>
        <v>103.74999999999989</v>
      </c>
      <c r="W45" s="222">
        <f t="shared" si="72"/>
        <v>293.02799999999979</v>
      </c>
      <c r="X45" s="222">
        <f t="shared" si="72"/>
        <v>538.13800000000015</v>
      </c>
      <c r="Y45" s="222">
        <f t="shared" si="72"/>
        <v>262.40199999999965</v>
      </c>
      <c r="Z45" s="221">
        <f t="shared" si="72"/>
        <v>1197.3180000000009</v>
      </c>
      <c r="AA45" s="222">
        <f t="shared" si="72"/>
        <v>168.20000000000005</v>
      </c>
      <c r="AB45" s="222">
        <f t="shared" si="72"/>
        <v>305.39999999999981</v>
      </c>
      <c r="AC45" s="222">
        <f t="shared" si="72"/>
        <v>599.60000000000014</v>
      </c>
      <c r="AD45" s="222">
        <f t="shared" si="72"/>
        <v>281.35800000000017</v>
      </c>
      <c r="AE45" s="221">
        <f t="shared" si="72"/>
        <v>1354.5579999999993</v>
      </c>
      <c r="AF45" s="222">
        <f t="shared" si="72"/>
        <v>197</v>
      </c>
      <c r="AG45" s="222">
        <f t="shared" si="72"/>
        <v>338</v>
      </c>
      <c r="AH45" s="222">
        <f t="shared" si="72"/>
        <v>588.79999999999995</v>
      </c>
      <c r="AI45" s="222">
        <f t="shared" si="72"/>
        <v>223</v>
      </c>
      <c r="AJ45" s="221">
        <f t="shared" si="72"/>
        <v>1346.8000000000002</v>
      </c>
      <c r="AK45" s="222">
        <f t="shared" si="72"/>
        <v>290</v>
      </c>
      <c r="AL45" s="222">
        <f t="shared" si="72"/>
        <v>326</v>
      </c>
      <c r="AM45" s="222">
        <f t="shared" si="72"/>
        <v>335</v>
      </c>
      <c r="AN45" s="222">
        <f t="shared" si="72"/>
        <v>353</v>
      </c>
      <c r="AO45" s="221">
        <f t="shared" si="72"/>
        <v>1304</v>
      </c>
      <c r="AP45" s="222">
        <f t="shared" si="72"/>
        <v>384</v>
      </c>
      <c r="AQ45" s="222">
        <f t="shared" si="72"/>
        <v>430</v>
      </c>
      <c r="AR45" s="222">
        <f t="shared" si="72"/>
        <v>370</v>
      </c>
      <c r="AS45" s="222">
        <f t="shared" si="72"/>
        <v>334</v>
      </c>
      <c r="AT45" s="221">
        <f t="shared" si="72"/>
        <v>1518</v>
      </c>
      <c r="AU45" s="220">
        <f t="shared" si="72"/>
        <v>406.5</v>
      </c>
      <c r="AV45" s="222">
        <f t="shared" si="72"/>
        <v>460.5</v>
      </c>
      <c r="AW45" s="222">
        <f t="shared" si="72"/>
        <v>464</v>
      </c>
      <c r="AX45" s="222">
        <f t="shared" si="72"/>
        <v>425</v>
      </c>
      <c r="AY45" s="221">
        <f t="shared" si="72"/>
        <v>1756</v>
      </c>
      <c r="AZ45" s="223">
        <f t="shared" si="72"/>
        <v>479</v>
      </c>
      <c r="BA45" s="222">
        <f t="shared" si="72"/>
        <v>536</v>
      </c>
      <c r="BB45" s="222">
        <f t="shared" si="72"/>
        <v>498</v>
      </c>
      <c r="BC45" s="222">
        <f t="shared" si="72"/>
        <v>438</v>
      </c>
      <c r="BD45" s="221">
        <f t="shared" si="72"/>
        <v>1951</v>
      </c>
      <c r="BE45" s="223">
        <f t="shared" si="72"/>
        <v>487</v>
      </c>
      <c r="BF45" s="222">
        <f t="shared" si="72"/>
        <v>587</v>
      </c>
      <c r="BG45" s="222">
        <f t="shared" si="72"/>
        <v>575</v>
      </c>
      <c r="BH45" s="222">
        <f t="shared" si="72"/>
        <v>525</v>
      </c>
      <c r="BI45" s="225">
        <f t="shared" si="72"/>
        <v>2174</v>
      </c>
      <c r="BJ45" s="223">
        <f t="shared" si="72"/>
        <v>628</v>
      </c>
      <c r="BK45" s="224">
        <f t="shared" si="72"/>
        <v>653</v>
      </c>
      <c r="BL45" s="224">
        <f t="shared" si="72"/>
        <v>640</v>
      </c>
      <c r="BM45" s="224">
        <f t="shared" si="72"/>
        <v>688</v>
      </c>
      <c r="BN45" s="225">
        <f t="shared" ref="BN45" si="73">BN39+BN42</f>
        <v>2609</v>
      </c>
      <c r="BO45" s="224">
        <f>BO39+BO42+BO43</f>
        <v>681</v>
      </c>
      <c r="BP45" s="224">
        <f t="shared" ref="BP45:CA45" si="74">BP39+BP42+BP43</f>
        <v>708.52247909149014</v>
      </c>
      <c r="BQ45" s="224">
        <f t="shared" si="74"/>
        <v>689.23250780151693</v>
      </c>
      <c r="BR45" s="224">
        <f t="shared" si="74"/>
        <v>719.76193198598844</v>
      </c>
      <c r="BS45" s="225">
        <f t="shared" si="74"/>
        <v>2798.5169188789955</v>
      </c>
      <c r="BT45" s="224">
        <f t="shared" si="74"/>
        <v>731.97531721167627</v>
      </c>
      <c r="BU45" s="224">
        <f t="shared" si="74"/>
        <v>781.34208235883898</v>
      </c>
      <c r="BV45" s="224">
        <f t="shared" si="74"/>
        <v>762.78102575379125</v>
      </c>
      <c r="BW45" s="224">
        <f t="shared" si="74"/>
        <v>794.62872712582862</v>
      </c>
      <c r="BX45" s="225">
        <f t="shared" si="74"/>
        <v>3070.7271524501352</v>
      </c>
      <c r="BY45" s="226">
        <f t="shared" si="74"/>
        <v>3286.0348230969421</v>
      </c>
      <c r="BZ45" s="226">
        <f t="shared" si="74"/>
        <v>3523.2085841150097</v>
      </c>
      <c r="CA45" s="226">
        <f t="shared" si="74"/>
        <v>3747.2670280023181</v>
      </c>
      <c r="CB45" s="250"/>
      <c r="CC45" s="1359"/>
      <c r="CD45" s="227" t="str">
        <f>A45</f>
        <v>Pretax Income</v>
      </c>
      <c r="CE45" s="222">
        <f t="shared" ref="CE45:CO45" si="75">CE39+CE42</f>
        <v>615.05799999999965</v>
      </c>
      <c r="CF45" s="222">
        <f t="shared" si="75"/>
        <v>911.89499999999998</v>
      </c>
      <c r="CG45" s="222">
        <f t="shared" si="75"/>
        <v>998.97700000000009</v>
      </c>
      <c r="CH45" s="222">
        <f t="shared" si="75"/>
        <v>1168.9050000000004</v>
      </c>
      <c r="CI45" s="222">
        <f t="shared" si="75"/>
        <v>1381.9259999999992</v>
      </c>
      <c r="CJ45" s="222">
        <f t="shared" si="75"/>
        <v>1436.3230000000001</v>
      </c>
      <c r="CK45" s="222">
        <f t="shared" si="75"/>
        <v>1666.2320000000007</v>
      </c>
      <c r="CL45" s="222">
        <f t="shared" si="75"/>
        <v>1372.4599999999994</v>
      </c>
      <c r="CM45" s="222">
        <f t="shared" si="75"/>
        <v>1197.3180000000009</v>
      </c>
      <c r="CN45" s="222">
        <f t="shared" si="75"/>
        <v>1354.5579999999993</v>
      </c>
      <c r="CO45" s="222">
        <f t="shared" si="75"/>
        <v>1862.7999999999997</v>
      </c>
      <c r="CP45" s="222">
        <f>AO45</f>
        <v>1304</v>
      </c>
      <c r="CQ45" s="222">
        <f>AT45</f>
        <v>1518</v>
      </c>
      <c r="CR45" s="222">
        <f>AY45</f>
        <v>1756</v>
      </c>
      <c r="CS45" s="222">
        <f>BD45</f>
        <v>1951</v>
      </c>
      <c r="CT45" s="222">
        <f>BI45</f>
        <v>2174</v>
      </c>
      <c r="CU45" s="222">
        <f>BN45</f>
        <v>2609</v>
      </c>
      <c r="CV45" s="222">
        <f>BS45</f>
        <v>2798.5169188789955</v>
      </c>
      <c r="CW45" s="222">
        <f t="shared" ref="CW45:CZ48" si="76">BX45</f>
        <v>3070.7271524501352</v>
      </c>
      <c r="CX45" s="222">
        <f t="shared" si="76"/>
        <v>3286.0348230969421</v>
      </c>
      <c r="CY45" s="222">
        <f t="shared" si="76"/>
        <v>3523.2085841150097</v>
      </c>
      <c r="CZ45" s="228">
        <f t="shared" si="76"/>
        <v>3747.2670280023181</v>
      </c>
      <c r="DA45" s="74"/>
      <c r="DB45" s="59">
        <f>SUM(BO45,BP45,BQ45,BR45)</f>
        <v>2798.516918878996</v>
      </c>
      <c r="DC45"/>
      <c r="DD45"/>
      <c r="DE45"/>
      <c r="DF45"/>
      <c r="DG45"/>
      <c r="DH45"/>
    </row>
    <row r="46" spans="1:112" s="82" customFormat="1" ht="12" hidden="1" customHeight="1" outlineLevel="1">
      <c r="A46" s="44" t="s">
        <v>81</v>
      </c>
      <c r="B46" s="45">
        <v>-238.02699999999999</v>
      </c>
      <c r="C46" s="45">
        <v>-325.42899999999997</v>
      </c>
      <c r="D46" s="45">
        <v>-442.46600000000001</v>
      </c>
      <c r="E46" s="45">
        <v>-412.495</v>
      </c>
      <c r="F46" s="45">
        <v>-515.65599999999995</v>
      </c>
      <c r="G46" s="46">
        <v>-43.963000000000001</v>
      </c>
      <c r="H46" s="47">
        <v>-130.887</v>
      </c>
      <c r="I46" s="47">
        <v>-226.441</v>
      </c>
      <c r="J46" s="47">
        <f>-522.592-SUM(G46:I46)</f>
        <v>-121.30099999999999</v>
      </c>
      <c r="K46" s="45">
        <f>SUM(G46:J46)</f>
        <v>-522.59199999999998</v>
      </c>
      <c r="L46" s="47">
        <v>-87.138999999999996</v>
      </c>
      <c r="M46" s="47">
        <v>-166.24799999999999</v>
      </c>
      <c r="N46" s="47">
        <v>-271.21100000000001</v>
      </c>
      <c r="O46" s="47">
        <f>-608.973-SUM(L46:N46)</f>
        <v>-84.375</v>
      </c>
      <c r="P46" s="45">
        <f>SUM(L46:O46)</f>
        <v>-608.97299999999996</v>
      </c>
      <c r="Q46" s="47">
        <v>-48.667000000000002</v>
      </c>
      <c r="R46" s="47">
        <v>-127.377</v>
      </c>
      <c r="S46" s="47">
        <v>-234.09899999999999</v>
      </c>
      <c r="T46" s="47">
        <f>-479.695-SUM(Q46:S46)</f>
        <v>-69.552000000000021</v>
      </c>
      <c r="U46" s="45">
        <f>SUM(Q46:T46)</f>
        <v>-479.69499999999999</v>
      </c>
      <c r="V46" s="1877">
        <v>-37.765000000000001</v>
      </c>
      <c r="W46" s="1877">
        <v>-96.087999999999994</v>
      </c>
      <c r="X46" s="1877">
        <v>-195.88200000000001</v>
      </c>
      <c r="Y46" s="1877">
        <f>-429.108-SUM(V46:X46)</f>
        <v>-99.37299999999999</v>
      </c>
      <c r="Z46" s="45">
        <f>SUM(V46:Y46)</f>
        <v>-429.108</v>
      </c>
      <c r="AA46" s="1877">
        <v>-61.2</v>
      </c>
      <c r="AB46" s="1877">
        <v>-111.2</v>
      </c>
      <c r="AC46" s="1877">
        <v>-221.7</v>
      </c>
      <c r="AD46" s="1877">
        <f>-487.547-SUM(AA46:AC46)</f>
        <v>-93.447000000000003</v>
      </c>
      <c r="AE46" s="45">
        <f>SUM(AA46:AD46)</f>
        <v>-487.54700000000003</v>
      </c>
      <c r="AF46" s="1877">
        <v>-72</v>
      </c>
      <c r="AG46" s="1877">
        <v>-122</v>
      </c>
      <c r="AH46" s="1877">
        <v>-213.7</v>
      </c>
      <c r="AI46" s="1886">
        <v>-68</v>
      </c>
      <c r="AJ46" s="45">
        <f>SUM(AF46:AI46)</f>
        <v>-475.7</v>
      </c>
      <c r="AK46" s="1877">
        <v>-98</v>
      </c>
      <c r="AL46" s="1877">
        <v>-107</v>
      </c>
      <c r="AM46" s="1877">
        <v>-82</v>
      </c>
      <c r="AN46" s="1877">
        <v>-117</v>
      </c>
      <c r="AO46" s="45">
        <f>SUM(AK46:AN46)</f>
        <v>-404</v>
      </c>
      <c r="AP46" s="1877">
        <v>-89</v>
      </c>
      <c r="AQ46" s="1877">
        <v>-147</v>
      </c>
      <c r="AR46" s="1877">
        <v>-123</v>
      </c>
      <c r="AS46" s="1877">
        <v>-75</v>
      </c>
      <c r="AT46" s="45">
        <f>SUM(AP46:AS46)</f>
        <v>-434</v>
      </c>
      <c r="AU46" s="1874">
        <f>-141+(253-245)/2-1</f>
        <v>-138</v>
      </c>
      <c r="AV46" s="1877">
        <f>-156+(253-245)/2+1</f>
        <v>-151</v>
      </c>
      <c r="AW46" s="1872">
        <v>-139</v>
      </c>
      <c r="AX46" s="1872">
        <v>183</v>
      </c>
      <c r="AY46" s="45">
        <f>SUM(AU46:AX46)</f>
        <v>-245</v>
      </c>
      <c r="AZ46" s="1875">
        <v>-156</v>
      </c>
      <c r="BA46" s="1872">
        <v>-185</v>
      </c>
      <c r="BB46" s="1872">
        <v>-99</v>
      </c>
      <c r="BC46" s="1873">
        <v>-108</v>
      </c>
      <c r="BD46" s="45">
        <f>SUM(AZ46:BC46)</f>
        <v>-548</v>
      </c>
      <c r="BE46" s="1874">
        <v>-149</v>
      </c>
      <c r="BF46" s="1872">
        <v>-197</v>
      </c>
      <c r="BG46" s="1872">
        <v>-386</v>
      </c>
      <c r="BH46" s="1872">
        <v>-228</v>
      </c>
      <c r="BI46" s="79">
        <f>SUM(BE46:BH46)</f>
        <v>-960</v>
      </c>
      <c r="BJ46" s="1874">
        <v>-181</v>
      </c>
      <c r="BK46" s="1873">
        <v>-183</v>
      </c>
      <c r="BL46" s="2167">
        <v>-169</v>
      </c>
      <c r="BM46" s="2167">
        <v>-290</v>
      </c>
      <c r="BN46" s="79">
        <f>SUM(BJ46:BM46)</f>
        <v>-823</v>
      </c>
      <c r="BO46" s="2167">
        <v>-147</v>
      </c>
      <c r="BP46" s="251">
        <f>-BP45*BP249</f>
        <v>-152.33233300467037</v>
      </c>
      <c r="BQ46" s="251">
        <f>-BQ45*BQ249</f>
        <v>-148.18498917732614</v>
      </c>
      <c r="BR46" s="251">
        <f>-BR45*BR249</f>
        <v>-154.74881537698752</v>
      </c>
      <c r="BS46" s="79">
        <f>SUM(BO46:BR46)</f>
        <v>-602.26613755898404</v>
      </c>
      <c r="BT46" s="251">
        <f>-BT45*BT249</f>
        <v>-157.37469320051039</v>
      </c>
      <c r="BU46" s="251">
        <f>-BU45*BU249</f>
        <v>-167.98854770715039</v>
      </c>
      <c r="BV46" s="251">
        <f>-BV45*BV249</f>
        <v>-163.99792053706511</v>
      </c>
      <c r="BW46" s="251">
        <f>-BW45*BW249</f>
        <v>-170.84517633205314</v>
      </c>
      <c r="BX46" s="79">
        <f>SUM(BT46:BW46)</f>
        <v>-660.20633777677904</v>
      </c>
      <c r="BY46" s="119">
        <f>-BY45*BY249</f>
        <v>-706.49748696584254</v>
      </c>
      <c r="BZ46" s="119">
        <f>-BZ45*BZ249</f>
        <v>-757.48984558472705</v>
      </c>
      <c r="CA46" s="119">
        <f>-CA45*CA249</f>
        <v>-805.66241102049833</v>
      </c>
      <c r="CB46" s="245"/>
      <c r="CC46" s="1360"/>
      <c r="CD46" s="57" t="str">
        <f>A46</f>
        <v>Income Tax Benefit (Expense)- Reported</v>
      </c>
      <c r="CE46" s="46">
        <f t="shared" ref="CE46:CI48" si="77">B46</f>
        <v>-238.02699999999999</v>
      </c>
      <c r="CF46" s="46">
        <f t="shared" si="77"/>
        <v>-325.42899999999997</v>
      </c>
      <c r="CG46" s="46">
        <f t="shared" si="77"/>
        <v>-442.46600000000001</v>
      </c>
      <c r="CH46" s="46">
        <f t="shared" si="77"/>
        <v>-412.495</v>
      </c>
      <c r="CI46" s="46">
        <f t="shared" si="77"/>
        <v>-515.65599999999995</v>
      </c>
      <c r="CJ46" s="46">
        <f>K46</f>
        <v>-522.59199999999998</v>
      </c>
      <c r="CK46" s="46">
        <f>P46</f>
        <v>-608.97299999999996</v>
      </c>
      <c r="CL46" s="46">
        <f>U46</f>
        <v>-479.69499999999999</v>
      </c>
      <c r="CM46" s="46">
        <f>Z46</f>
        <v>-429.108</v>
      </c>
      <c r="CN46" s="46">
        <f>AE46</f>
        <v>-487.54700000000003</v>
      </c>
      <c r="CO46" s="46">
        <f>AJ46</f>
        <v>-475.7</v>
      </c>
      <c r="CP46" s="46">
        <f>AO46</f>
        <v>-404</v>
      </c>
      <c r="CQ46" s="46">
        <f>AT46</f>
        <v>-434</v>
      </c>
      <c r="CR46" s="46">
        <f>AY46</f>
        <v>-245</v>
      </c>
      <c r="CS46" s="46">
        <f>BD46</f>
        <v>-548</v>
      </c>
      <c r="CT46" s="46">
        <f>BI46</f>
        <v>-960</v>
      </c>
      <c r="CU46" s="46">
        <f>BN46</f>
        <v>-823</v>
      </c>
      <c r="CV46" s="46">
        <f>BS46</f>
        <v>-602.26613755898404</v>
      </c>
      <c r="CW46" s="46">
        <f t="shared" si="76"/>
        <v>-660.20633777677904</v>
      </c>
      <c r="CX46" s="46">
        <f t="shared" si="76"/>
        <v>-706.49748696584254</v>
      </c>
      <c r="CY46" s="46">
        <f t="shared" si="76"/>
        <v>-757.48984558472705</v>
      </c>
      <c r="CZ46" s="44">
        <f t="shared" si="76"/>
        <v>-805.66241102049833</v>
      </c>
      <c r="DA46" s="86"/>
      <c r="DB46" s="59">
        <f>SUM(BO46,BP46,BQ46,BR46)</f>
        <v>-602.26613755898404</v>
      </c>
      <c r="DC46"/>
      <c r="DD46"/>
      <c r="DE46"/>
      <c r="DF46"/>
      <c r="DG46"/>
      <c r="DH46"/>
    </row>
    <row r="47" spans="1:112" s="82" customFormat="1" ht="12" hidden="1" customHeight="1" outlineLevel="1">
      <c r="A47" s="44" t="s">
        <v>82</v>
      </c>
      <c r="B47" s="45">
        <v>0</v>
      </c>
      <c r="C47" s="45">
        <f>-14.5*C245</f>
        <v>-5.6404999999999994</v>
      </c>
      <c r="D47" s="45">
        <f>131.3*D245</f>
        <v>51.075699999999998</v>
      </c>
      <c r="E47" s="45">
        <v>0</v>
      </c>
      <c r="F47" s="45">
        <f>(-23.2+1.236)*F245</f>
        <v>-7.8411479999999996</v>
      </c>
      <c r="G47" s="46">
        <f>-23.8*G245</f>
        <v>-9.3295999999999992</v>
      </c>
      <c r="H47" s="47">
        <v>0</v>
      </c>
      <c r="I47" s="47">
        <f>-15.4*I245</f>
        <v>-6.0367999999999995</v>
      </c>
      <c r="J47" s="47">
        <f>-31.5*J242-SUM(G47:I47)</f>
        <v>14.983784730165221</v>
      </c>
      <c r="K47" s="45">
        <f>SUM(G47:J47)</f>
        <v>-0.382615269834778</v>
      </c>
      <c r="L47" s="47">
        <f>17.305*L245</f>
        <v>6.8354749999999989</v>
      </c>
      <c r="M47" s="47">
        <v>0</v>
      </c>
      <c r="N47" s="47">
        <v>0</v>
      </c>
      <c r="O47" s="47">
        <f>-43.7*O245-SUM(L47:N47)</f>
        <v>-24.096974999999997</v>
      </c>
      <c r="P47" s="45">
        <f>SUM(L47:O47)</f>
        <v>-17.261499999999998</v>
      </c>
      <c r="Q47" s="47">
        <v>0</v>
      </c>
      <c r="R47" s="47">
        <f>-23.7*R245</f>
        <v>-9.2903999999999982</v>
      </c>
      <c r="S47" s="47">
        <f>-23.4*(S245)</f>
        <v>-9.1727999999999987</v>
      </c>
      <c r="T47" s="47">
        <f>(-73.4*(T245))-SUM(Q47:S47)</f>
        <v>-10.309600000000003</v>
      </c>
      <c r="U47" s="45">
        <f>SUM(Q47:T47)</f>
        <v>-28.7728</v>
      </c>
      <c r="V47" s="1877">
        <v>0</v>
      </c>
      <c r="W47" s="1877">
        <f>(-15.2-13.849)*(W245)</f>
        <v>-11.300060999999998</v>
      </c>
      <c r="X47" s="1877">
        <v>0</v>
      </c>
      <c r="Y47" s="1877">
        <f>-6.7-SUM(V47:X47)</f>
        <v>4.6000609999999975</v>
      </c>
      <c r="Z47" s="45">
        <f>SUM(V47:Y47)</f>
        <v>-6.7</v>
      </c>
      <c r="AA47" s="1877">
        <v>0</v>
      </c>
      <c r="AB47" s="1877">
        <v>0</v>
      </c>
      <c r="AC47" s="1877">
        <v>4</v>
      </c>
      <c r="AD47" s="1877">
        <f>-5.5-SUM(AA47:AC47)</f>
        <v>-9.5</v>
      </c>
      <c r="AE47" s="45">
        <f>SUM(AA47:AD47)</f>
        <v>-5.5</v>
      </c>
      <c r="AF47" s="1877">
        <v>0</v>
      </c>
      <c r="AG47" s="1877">
        <v>0</v>
      </c>
      <c r="AH47" s="1877">
        <v>0</v>
      </c>
      <c r="AI47" s="1877">
        <v>-15</v>
      </c>
      <c r="AJ47" s="45">
        <f>SUM(AF47:AI47)</f>
        <v>-15</v>
      </c>
      <c r="AK47" s="1877">
        <v>-11</v>
      </c>
      <c r="AL47" s="1877">
        <v>-15</v>
      </c>
      <c r="AM47" s="1877">
        <v>-30</v>
      </c>
      <c r="AN47" s="1877">
        <v>-9</v>
      </c>
      <c r="AO47" s="45">
        <f>SUM(AK47:AN47)</f>
        <v>-65</v>
      </c>
      <c r="AP47" s="1877">
        <v>-46</v>
      </c>
      <c r="AQ47" s="1877">
        <v>-3</v>
      </c>
      <c r="AR47" s="1877">
        <v>-6</v>
      </c>
      <c r="AS47" s="1877">
        <v>-26</v>
      </c>
      <c r="AT47" s="45">
        <f>SUM(AP47:AS47)</f>
        <v>-81</v>
      </c>
      <c r="AU47" s="1874">
        <v>0</v>
      </c>
      <c r="AV47" s="1877">
        <v>0</v>
      </c>
      <c r="AW47" s="1872">
        <v>-17</v>
      </c>
      <c r="AX47" s="1872">
        <v>-319</v>
      </c>
      <c r="AY47" s="45">
        <f>SUM(AU47:AX47)</f>
        <v>-336</v>
      </c>
      <c r="AZ47" s="1875">
        <v>2</v>
      </c>
      <c r="BA47" s="1872">
        <v>12</v>
      </c>
      <c r="BB47" s="1872">
        <v>-45</v>
      </c>
      <c r="BC47" s="1873">
        <v>-18</v>
      </c>
      <c r="BD47" s="45">
        <f>SUM(AZ47:BC47)</f>
        <v>-49</v>
      </c>
      <c r="BE47" s="1874">
        <v>-5</v>
      </c>
      <c r="BF47" s="1872">
        <v>9</v>
      </c>
      <c r="BG47" s="1872">
        <f>206</f>
        <v>206</v>
      </c>
      <c r="BH47" s="1872">
        <v>53</v>
      </c>
      <c r="BI47" s="79">
        <f>SUM(BE47:BH47)</f>
        <v>263</v>
      </c>
      <c r="BJ47" s="1874">
        <v>-9</v>
      </c>
      <c r="BK47" s="1873">
        <v>-5</v>
      </c>
      <c r="BL47" s="2167">
        <v>-7</v>
      </c>
      <c r="BM47" s="2167">
        <v>96</v>
      </c>
      <c r="BN47" s="79">
        <f>SUM(BJ47:BM47)</f>
        <v>75</v>
      </c>
      <c r="BO47" s="1873">
        <v>0</v>
      </c>
      <c r="BP47" s="1873">
        <v>0</v>
      </c>
      <c r="BQ47" s="1873">
        <v>0</v>
      </c>
      <c r="BR47" s="1873">
        <v>0</v>
      </c>
      <c r="BS47" s="79">
        <f>SUM(BO47:BR47)</f>
        <v>0</v>
      </c>
      <c r="BT47" s="1873">
        <v>0</v>
      </c>
      <c r="BU47" s="1873">
        <v>0</v>
      </c>
      <c r="BV47" s="1873">
        <v>0</v>
      </c>
      <c r="BW47" s="1873">
        <v>0</v>
      </c>
      <c r="BX47" s="79">
        <f>SUM(BT47:BW47)</f>
        <v>0</v>
      </c>
      <c r="BY47" s="1879">
        <v>0</v>
      </c>
      <c r="BZ47" s="1879">
        <v>0</v>
      </c>
      <c r="CA47" s="1879">
        <v>0</v>
      </c>
      <c r="CB47" s="81"/>
      <c r="CC47" s="1360"/>
      <c r="CD47" s="57" t="str">
        <f>A47</f>
        <v>Income Tax Benefit (Expense)- Extraordinary income (expenses)</v>
      </c>
      <c r="CE47" s="46">
        <f t="shared" si="77"/>
        <v>0</v>
      </c>
      <c r="CF47" s="46">
        <f t="shared" si="77"/>
        <v>-5.6404999999999994</v>
      </c>
      <c r="CG47" s="46">
        <f t="shared" si="77"/>
        <v>51.075699999999998</v>
      </c>
      <c r="CH47" s="46">
        <f t="shared" si="77"/>
        <v>0</v>
      </c>
      <c r="CI47" s="46">
        <f t="shared" si="77"/>
        <v>-7.8411479999999996</v>
      </c>
      <c r="CJ47" s="46">
        <f>K47</f>
        <v>-0.382615269834778</v>
      </c>
      <c r="CK47" s="46">
        <f>P47</f>
        <v>-17.261499999999998</v>
      </c>
      <c r="CL47" s="46">
        <f>U47</f>
        <v>-28.7728</v>
      </c>
      <c r="CM47" s="46">
        <f>Z47</f>
        <v>-6.7</v>
      </c>
      <c r="CN47" s="46">
        <f>AE47</f>
        <v>-5.5</v>
      </c>
      <c r="CO47" s="46">
        <f>AJ47</f>
        <v>-15</v>
      </c>
      <c r="CP47" s="46">
        <f>AO47</f>
        <v>-65</v>
      </c>
      <c r="CQ47" s="46">
        <f>AT47</f>
        <v>-81</v>
      </c>
      <c r="CR47" s="46">
        <f>AY47</f>
        <v>-336</v>
      </c>
      <c r="CS47" s="46">
        <f>BD47</f>
        <v>-49</v>
      </c>
      <c r="CT47" s="46">
        <f>BI47</f>
        <v>263</v>
      </c>
      <c r="CU47" s="46">
        <f>BN47</f>
        <v>75</v>
      </c>
      <c r="CV47" s="46">
        <f>BS47</f>
        <v>0</v>
      </c>
      <c r="CW47" s="46">
        <f t="shared" si="76"/>
        <v>0</v>
      </c>
      <c r="CX47" s="46">
        <f t="shared" si="76"/>
        <v>0</v>
      </c>
      <c r="CY47" s="46">
        <f t="shared" si="76"/>
        <v>0</v>
      </c>
      <c r="CZ47" s="44">
        <f t="shared" si="76"/>
        <v>0</v>
      </c>
      <c r="DA47" s="86"/>
      <c r="DB47" s="59">
        <f>SUM(BO47,BP47,BQ47,BR47)</f>
        <v>0</v>
      </c>
      <c r="DC47"/>
      <c r="DD47"/>
      <c r="DE47"/>
      <c r="DF47"/>
      <c r="DG47"/>
      <c r="DH47"/>
    </row>
    <row r="48" spans="1:112" s="82" customFormat="1" ht="12" customHeight="1" collapsed="1">
      <c r="A48" s="44" t="s">
        <v>83</v>
      </c>
      <c r="B48" s="45">
        <f t="shared" ref="B48:BM48" si="78">B46+B47</f>
        <v>-238.02699999999999</v>
      </c>
      <c r="C48" s="45">
        <f t="shared" si="78"/>
        <v>-331.06949999999995</v>
      </c>
      <c r="D48" s="45">
        <f t="shared" si="78"/>
        <v>-391.39030000000002</v>
      </c>
      <c r="E48" s="45">
        <f t="shared" si="78"/>
        <v>-412.495</v>
      </c>
      <c r="F48" s="45">
        <f t="shared" si="78"/>
        <v>-523.49714799999992</v>
      </c>
      <c r="G48" s="46">
        <f t="shared" si="78"/>
        <v>-53.2926</v>
      </c>
      <c r="H48" s="47">
        <f t="shared" si="78"/>
        <v>-130.887</v>
      </c>
      <c r="I48" s="47">
        <f t="shared" si="78"/>
        <v>-232.4778</v>
      </c>
      <c r="J48" s="47">
        <f t="shared" si="78"/>
        <v>-106.31721526983476</v>
      </c>
      <c r="K48" s="45">
        <f t="shared" si="78"/>
        <v>-522.97461526983477</v>
      </c>
      <c r="L48" s="47">
        <f t="shared" si="78"/>
        <v>-80.303524999999993</v>
      </c>
      <c r="M48" s="47">
        <f t="shared" si="78"/>
        <v>-166.24799999999999</v>
      </c>
      <c r="N48" s="47">
        <f t="shared" si="78"/>
        <v>-271.21100000000001</v>
      </c>
      <c r="O48" s="47">
        <f t="shared" si="78"/>
        <v>-108.471975</v>
      </c>
      <c r="P48" s="45">
        <f t="shared" si="78"/>
        <v>-626.23449999999991</v>
      </c>
      <c r="Q48" s="47">
        <f t="shared" si="78"/>
        <v>-48.667000000000002</v>
      </c>
      <c r="R48" s="47">
        <f t="shared" si="78"/>
        <v>-136.66739999999999</v>
      </c>
      <c r="S48" s="47">
        <f t="shared" si="78"/>
        <v>-243.27179999999998</v>
      </c>
      <c r="T48" s="47">
        <f t="shared" si="78"/>
        <v>-79.861600000000024</v>
      </c>
      <c r="U48" s="45">
        <f t="shared" si="78"/>
        <v>-508.46780000000001</v>
      </c>
      <c r="V48" s="47">
        <f t="shared" si="78"/>
        <v>-37.765000000000001</v>
      </c>
      <c r="W48" s="47">
        <f t="shared" si="78"/>
        <v>-107.38806099999999</v>
      </c>
      <c r="X48" s="47">
        <f t="shared" si="78"/>
        <v>-195.88200000000001</v>
      </c>
      <c r="Y48" s="47">
        <f t="shared" si="78"/>
        <v>-94.772938999999994</v>
      </c>
      <c r="Z48" s="45">
        <f t="shared" si="78"/>
        <v>-435.80799999999999</v>
      </c>
      <c r="AA48" s="47">
        <f t="shared" si="78"/>
        <v>-61.2</v>
      </c>
      <c r="AB48" s="47">
        <f t="shared" si="78"/>
        <v>-111.2</v>
      </c>
      <c r="AC48" s="47">
        <f t="shared" si="78"/>
        <v>-217.7</v>
      </c>
      <c r="AD48" s="47">
        <f t="shared" si="78"/>
        <v>-102.947</v>
      </c>
      <c r="AE48" s="45">
        <f t="shared" si="78"/>
        <v>-493.04700000000003</v>
      </c>
      <c r="AF48" s="47">
        <f t="shared" si="78"/>
        <v>-72</v>
      </c>
      <c r="AG48" s="47">
        <f t="shared" si="78"/>
        <v>-122</v>
      </c>
      <c r="AH48" s="47">
        <f t="shared" si="78"/>
        <v>-213.7</v>
      </c>
      <c r="AI48" s="47">
        <f t="shared" si="78"/>
        <v>-83</v>
      </c>
      <c r="AJ48" s="45">
        <f t="shared" si="78"/>
        <v>-490.7</v>
      </c>
      <c r="AK48" s="47">
        <f t="shared" si="78"/>
        <v>-109</v>
      </c>
      <c r="AL48" s="47">
        <f t="shared" si="78"/>
        <v>-122</v>
      </c>
      <c r="AM48" s="47">
        <f t="shared" si="78"/>
        <v>-112</v>
      </c>
      <c r="AN48" s="47">
        <f t="shared" si="78"/>
        <v>-126</v>
      </c>
      <c r="AO48" s="45">
        <f t="shared" si="78"/>
        <v>-469</v>
      </c>
      <c r="AP48" s="47">
        <f t="shared" si="78"/>
        <v>-135</v>
      </c>
      <c r="AQ48" s="47">
        <f t="shared" si="78"/>
        <v>-150</v>
      </c>
      <c r="AR48" s="47">
        <f t="shared" si="78"/>
        <v>-129</v>
      </c>
      <c r="AS48" s="47">
        <f t="shared" si="78"/>
        <v>-101</v>
      </c>
      <c r="AT48" s="45">
        <f t="shared" si="78"/>
        <v>-515</v>
      </c>
      <c r="AU48" s="57">
        <f t="shared" si="78"/>
        <v>-138</v>
      </c>
      <c r="AV48" s="47">
        <f t="shared" si="78"/>
        <v>-151</v>
      </c>
      <c r="AW48" s="46">
        <f>AW46+AW47</f>
        <v>-156</v>
      </c>
      <c r="AX48" s="46">
        <f>AX46+AX47</f>
        <v>-136</v>
      </c>
      <c r="AY48" s="45">
        <f t="shared" si="78"/>
        <v>-581</v>
      </c>
      <c r="AZ48" s="171">
        <f>AZ46+AZ47</f>
        <v>-154</v>
      </c>
      <c r="BA48" s="46">
        <f>BA46+BA47</f>
        <v>-173</v>
      </c>
      <c r="BB48" s="46">
        <f>BB46+BB47</f>
        <v>-144</v>
      </c>
      <c r="BC48" s="46">
        <f>BC46+BC47</f>
        <v>-126</v>
      </c>
      <c r="BD48" s="45">
        <f t="shared" si="78"/>
        <v>-597</v>
      </c>
      <c r="BE48" s="171">
        <f>BE46+BE47</f>
        <v>-154</v>
      </c>
      <c r="BF48" s="46">
        <f>BF46+BF47</f>
        <v>-188</v>
      </c>
      <c r="BG48" s="46">
        <f>BG46+BG47</f>
        <v>-180</v>
      </c>
      <c r="BH48" s="46">
        <f>BH46+BH47</f>
        <v>-175</v>
      </c>
      <c r="BI48" s="79">
        <f t="shared" si="78"/>
        <v>-697</v>
      </c>
      <c r="BJ48" s="171">
        <f t="shared" si="78"/>
        <v>-190</v>
      </c>
      <c r="BK48" s="251">
        <f t="shared" si="78"/>
        <v>-188</v>
      </c>
      <c r="BL48" s="251">
        <f t="shared" si="78"/>
        <v>-176</v>
      </c>
      <c r="BM48" s="251">
        <f t="shared" si="78"/>
        <v>-194</v>
      </c>
      <c r="BN48" s="79">
        <f t="shared" ref="BN48:BZ48" si="79">BN46+BN47</f>
        <v>-748</v>
      </c>
      <c r="BO48" s="251">
        <f t="shared" si="79"/>
        <v>-147</v>
      </c>
      <c r="BP48" s="251">
        <f t="shared" si="79"/>
        <v>-152.33233300467037</v>
      </c>
      <c r="BQ48" s="251">
        <f t="shared" si="79"/>
        <v>-148.18498917732614</v>
      </c>
      <c r="BR48" s="251">
        <f t="shared" si="79"/>
        <v>-154.74881537698752</v>
      </c>
      <c r="BS48" s="79">
        <f t="shared" si="79"/>
        <v>-602.26613755898404</v>
      </c>
      <c r="BT48" s="251">
        <f t="shared" ref="BT48:BX48" si="80">BT46+BT47</f>
        <v>-157.37469320051039</v>
      </c>
      <c r="BU48" s="251">
        <f t="shared" si="80"/>
        <v>-167.98854770715039</v>
      </c>
      <c r="BV48" s="251">
        <f t="shared" si="80"/>
        <v>-163.99792053706511</v>
      </c>
      <c r="BW48" s="251">
        <f t="shared" si="80"/>
        <v>-170.84517633205314</v>
      </c>
      <c r="BX48" s="79">
        <f t="shared" si="80"/>
        <v>-660.20633777677904</v>
      </c>
      <c r="BY48" s="119">
        <f t="shared" si="79"/>
        <v>-706.49748696584254</v>
      </c>
      <c r="BZ48" s="119">
        <f t="shared" si="79"/>
        <v>-757.48984558472705</v>
      </c>
      <c r="CA48" s="119">
        <f t="shared" ref="CA48" si="81">CA46+CA47</f>
        <v>-805.66241102049833</v>
      </c>
      <c r="CB48" s="81"/>
      <c r="CC48" s="1360"/>
      <c r="CD48" s="57" t="str">
        <f>A48</f>
        <v>Income Tax Benefit (Expense)</v>
      </c>
      <c r="CE48" s="46">
        <f t="shared" si="77"/>
        <v>-238.02699999999999</v>
      </c>
      <c r="CF48" s="46">
        <f t="shared" si="77"/>
        <v>-331.06949999999995</v>
      </c>
      <c r="CG48" s="46">
        <f t="shared" si="77"/>
        <v>-391.39030000000002</v>
      </c>
      <c r="CH48" s="46">
        <f t="shared" si="77"/>
        <v>-412.495</v>
      </c>
      <c r="CI48" s="46">
        <f t="shared" si="77"/>
        <v>-523.49714799999992</v>
      </c>
      <c r="CJ48" s="46">
        <f>K48</f>
        <v>-522.97461526983477</v>
      </c>
      <c r="CK48" s="46">
        <f>P48</f>
        <v>-626.23449999999991</v>
      </c>
      <c r="CL48" s="46">
        <f>U48</f>
        <v>-508.46780000000001</v>
      </c>
      <c r="CM48" s="46">
        <f>Z48</f>
        <v>-435.80799999999999</v>
      </c>
      <c r="CN48" s="46">
        <f>AE48</f>
        <v>-493.04700000000003</v>
      </c>
      <c r="CO48" s="46">
        <f>AJ48</f>
        <v>-490.7</v>
      </c>
      <c r="CP48" s="46">
        <f>AO48</f>
        <v>-469</v>
      </c>
      <c r="CQ48" s="46">
        <f>AT48</f>
        <v>-515</v>
      </c>
      <c r="CR48" s="46">
        <f>AY48</f>
        <v>-581</v>
      </c>
      <c r="CS48" s="46">
        <f>BD48</f>
        <v>-597</v>
      </c>
      <c r="CT48" s="46">
        <f>BI48</f>
        <v>-697</v>
      </c>
      <c r="CU48" s="46">
        <f>BN48</f>
        <v>-748</v>
      </c>
      <c r="CV48" s="46">
        <f>BS48</f>
        <v>-602.26613755898404</v>
      </c>
      <c r="CW48" s="46">
        <f t="shared" si="76"/>
        <v>-660.20633777677904</v>
      </c>
      <c r="CX48" s="46">
        <f t="shared" si="76"/>
        <v>-706.49748696584254</v>
      </c>
      <c r="CY48" s="46">
        <f t="shared" si="76"/>
        <v>-757.48984558472705</v>
      </c>
      <c r="CZ48" s="44">
        <f t="shared" si="76"/>
        <v>-805.66241102049833</v>
      </c>
      <c r="DA48" s="86"/>
      <c r="DB48" s="59">
        <f>SUM(BO48,BP48,BQ48,BR48)</f>
        <v>-602.26613755898404</v>
      </c>
      <c r="DC48"/>
      <c r="DD48"/>
      <c r="DE48"/>
      <c r="DF48"/>
      <c r="DG48"/>
      <c r="DH48"/>
    </row>
    <row r="49" spans="1:112" s="82" customFormat="1" ht="12" customHeight="1">
      <c r="A49" s="161" t="s">
        <v>84</v>
      </c>
      <c r="B49" s="45"/>
      <c r="C49" s="45"/>
      <c r="D49" s="45"/>
      <c r="E49" s="45"/>
      <c r="F49" s="45"/>
      <c r="G49" s="46"/>
      <c r="H49" s="47"/>
      <c r="I49" s="47"/>
      <c r="J49" s="47"/>
      <c r="K49" s="252">
        <f>-K48/K45</f>
        <v>0.36410655212639131</v>
      </c>
      <c r="L49" s="253">
        <f t="shared" ref="L49:BY49" si="82">-L48/L45</f>
        <v>0.3758261494252873</v>
      </c>
      <c r="M49" s="253">
        <f t="shared" si="82"/>
        <v>0.37500169175730702</v>
      </c>
      <c r="N49" s="253">
        <f t="shared" si="82"/>
        <v>0.37500017283598974</v>
      </c>
      <c r="O49" s="253">
        <f t="shared" si="82"/>
        <v>0.37926600933550131</v>
      </c>
      <c r="P49" s="252">
        <f t="shared" si="82"/>
        <v>0.37583871873784663</v>
      </c>
      <c r="Q49" s="253">
        <f t="shared" si="82"/>
        <v>0.3652855963371619</v>
      </c>
      <c r="R49" s="253">
        <f t="shared" si="82"/>
        <v>0.37135155844544016</v>
      </c>
      <c r="S49" s="253">
        <f t="shared" si="82"/>
        <v>0.37179672145177983</v>
      </c>
      <c r="T49" s="253">
        <f t="shared" si="82"/>
        <v>0.36821415562799353</v>
      </c>
      <c r="U49" s="252">
        <f t="shared" si="82"/>
        <v>0.37047913964705731</v>
      </c>
      <c r="V49" s="253">
        <f t="shared" si="82"/>
        <v>0.36400000000000038</v>
      </c>
      <c r="W49" s="253">
        <f t="shared" si="82"/>
        <v>0.36647713187818254</v>
      </c>
      <c r="X49" s="253">
        <f t="shared" si="82"/>
        <v>0.36399956888381779</v>
      </c>
      <c r="Y49" s="253">
        <f t="shared" si="82"/>
        <v>0.36117460613867319</v>
      </c>
      <c r="Z49" s="252">
        <f t="shared" si="82"/>
        <v>0.36398684392951552</v>
      </c>
      <c r="AA49" s="253">
        <f t="shared" si="82"/>
        <v>0.3638525564803804</v>
      </c>
      <c r="AB49" s="253">
        <f t="shared" si="82"/>
        <v>0.36411263916175529</v>
      </c>
      <c r="AC49" s="253">
        <f t="shared" si="82"/>
        <v>0.36307538358905928</v>
      </c>
      <c r="AD49" s="253">
        <f t="shared" si="82"/>
        <v>0.36589327476026962</v>
      </c>
      <c r="AE49" s="252">
        <f t="shared" si="82"/>
        <v>0.36399105833784917</v>
      </c>
      <c r="AF49" s="253">
        <f t="shared" si="82"/>
        <v>0.36548223350253806</v>
      </c>
      <c r="AG49" s="253">
        <f t="shared" si="82"/>
        <v>0.36094674556213019</v>
      </c>
      <c r="AH49" s="253">
        <f t="shared" si="82"/>
        <v>0.36294157608695654</v>
      </c>
      <c r="AI49" s="253">
        <f t="shared" si="82"/>
        <v>0.37219730941704038</v>
      </c>
      <c r="AJ49" s="252">
        <f t="shared" si="82"/>
        <v>0.3643451143451143</v>
      </c>
      <c r="AK49" s="253">
        <f t="shared" si="82"/>
        <v>0.37586206896551722</v>
      </c>
      <c r="AL49" s="253">
        <f t="shared" si="82"/>
        <v>0.37423312883435583</v>
      </c>
      <c r="AM49" s="253">
        <f t="shared" si="82"/>
        <v>0.33432835820895523</v>
      </c>
      <c r="AN49" s="253">
        <f t="shared" si="82"/>
        <v>0.35694050991501414</v>
      </c>
      <c r="AO49" s="252">
        <f t="shared" si="82"/>
        <v>0.35966257668711654</v>
      </c>
      <c r="AP49" s="253">
        <f t="shared" si="82"/>
        <v>0.3515625</v>
      </c>
      <c r="AQ49" s="253">
        <f t="shared" si="82"/>
        <v>0.34883720930232559</v>
      </c>
      <c r="AR49" s="253">
        <f t="shared" si="82"/>
        <v>0.34864864864864864</v>
      </c>
      <c r="AS49" s="253">
        <f t="shared" si="82"/>
        <v>0.30239520958083832</v>
      </c>
      <c r="AT49" s="252">
        <f t="shared" si="82"/>
        <v>0.33926218708827405</v>
      </c>
      <c r="AU49" s="254">
        <f t="shared" si="82"/>
        <v>0.33948339483394835</v>
      </c>
      <c r="AV49" s="253">
        <f t="shared" si="82"/>
        <v>0.32790445168295329</v>
      </c>
      <c r="AW49" s="255">
        <f t="shared" si="82"/>
        <v>0.33620689655172414</v>
      </c>
      <c r="AX49" s="255">
        <f t="shared" si="82"/>
        <v>0.32</v>
      </c>
      <c r="AY49" s="252">
        <f t="shared" si="82"/>
        <v>0.3308656036446469</v>
      </c>
      <c r="AZ49" s="256">
        <f t="shared" si="82"/>
        <v>0.32150313152400833</v>
      </c>
      <c r="BA49" s="257">
        <f t="shared" si="82"/>
        <v>0.32276119402985076</v>
      </c>
      <c r="BB49" s="257">
        <f t="shared" si="82"/>
        <v>0.28915662650602408</v>
      </c>
      <c r="BC49" s="255">
        <f t="shared" si="82"/>
        <v>0.28767123287671231</v>
      </c>
      <c r="BD49" s="258">
        <f t="shared" si="82"/>
        <v>0.30599692465402356</v>
      </c>
      <c r="BE49" s="256">
        <f t="shared" si="82"/>
        <v>0.31622176591375772</v>
      </c>
      <c r="BF49" s="257">
        <f t="shared" si="82"/>
        <v>0.32027257240204432</v>
      </c>
      <c r="BG49" s="257">
        <f t="shared" si="82"/>
        <v>0.31304347826086959</v>
      </c>
      <c r="BH49" s="257">
        <f t="shared" si="82"/>
        <v>0.33333333333333331</v>
      </c>
      <c r="BI49" s="260">
        <f t="shared" si="82"/>
        <v>0.32060717571297148</v>
      </c>
      <c r="BJ49" s="256">
        <f t="shared" si="82"/>
        <v>0.30254777070063693</v>
      </c>
      <c r="BK49" s="259">
        <f t="shared" si="82"/>
        <v>0.28790199081163859</v>
      </c>
      <c r="BL49" s="259">
        <f t="shared" si="82"/>
        <v>0.27500000000000002</v>
      </c>
      <c r="BM49" s="259">
        <f t="shared" si="82"/>
        <v>0.28197674418604651</v>
      </c>
      <c r="BN49" s="260">
        <f t="shared" si="82"/>
        <v>0.28669988501341509</v>
      </c>
      <c r="BO49" s="259">
        <f t="shared" si="82"/>
        <v>0.21585903083700442</v>
      </c>
      <c r="BP49" s="259">
        <f t="shared" si="82"/>
        <v>0.215</v>
      </c>
      <c r="BQ49" s="259">
        <f t="shared" si="82"/>
        <v>0.215</v>
      </c>
      <c r="BR49" s="259">
        <f t="shared" si="82"/>
        <v>0.21500000000000002</v>
      </c>
      <c r="BS49" s="260">
        <f t="shared" si="82"/>
        <v>0.21520903929365356</v>
      </c>
      <c r="BT49" s="259">
        <f t="shared" ref="BT49:BX49" si="83">-BT48/BT45</f>
        <v>0.215</v>
      </c>
      <c r="BU49" s="259">
        <f t="shared" si="83"/>
        <v>0.215</v>
      </c>
      <c r="BV49" s="259">
        <f t="shared" si="83"/>
        <v>0.215</v>
      </c>
      <c r="BW49" s="259">
        <f t="shared" si="83"/>
        <v>0.215</v>
      </c>
      <c r="BX49" s="260">
        <f t="shared" si="83"/>
        <v>0.215</v>
      </c>
      <c r="BY49" s="261">
        <f t="shared" si="82"/>
        <v>0.215</v>
      </c>
      <c r="BZ49" s="261">
        <f>-BZ48/BZ45</f>
        <v>0.215</v>
      </c>
      <c r="CA49" s="261">
        <f>-CA48/CA45</f>
        <v>0.215</v>
      </c>
      <c r="CB49" s="81"/>
      <c r="CC49" s="1360"/>
      <c r="CD49" s="57" t="str">
        <f>A49</f>
        <v>Tax rate</v>
      </c>
      <c r="CE49" s="46"/>
      <c r="CF49" s="46"/>
      <c r="CG49" s="255">
        <f>-CG48/CG45</f>
        <v>0.39179110229765046</v>
      </c>
      <c r="CH49" s="255">
        <f t="shared" ref="CH49:CX49" si="84">-CH48/CH45</f>
        <v>0.35289009799769855</v>
      </c>
      <c r="CI49" s="255">
        <f t="shared" si="84"/>
        <v>0.37881706256340802</v>
      </c>
      <c r="CJ49" s="255">
        <f t="shared" si="84"/>
        <v>0.36410655212639131</v>
      </c>
      <c r="CK49" s="255">
        <f t="shared" si="84"/>
        <v>0.37583871873784663</v>
      </c>
      <c r="CL49" s="255">
        <f t="shared" si="84"/>
        <v>0.37047913964705731</v>
      </c>
      <c r="CM49" s="255">
        <f t="shared" si="84"/>
        <v>0.36398684392951552</v>
      </c>
      <c r="CN49" s="255">
        <f t="shared" si="84"/>
        <v>0.36399105833784917</v>
      </c>
      <c r="CO49" s="255">
        <f t="shared" si="84"/>
        <v>0.26342065707537043</v>
      </c>
      <c r="CP49" s="255">
        <f t="shared" si="84"/>
        <v>0.35966257668711654</v>
      </c>
      <c r="CQ49" s="255">
        <f t="shared" si="84"/>
        <v>0.33926218708827405</v>
      </c>
      <c r="CR49" s="255">
        <f t="shared" si="84"/>
        <v>0.3308656036446469</v>
      </c>
      <c r="CS49" s="255">
        <f t="shared" si="84"/>
        <v>0.30599692465402356</v>
      </c>
      <c r="CT49" s="255">
        <f t="shared" si="84"/>
        <v>0.32060717571297148</v>
      </c>
      <c r="CU49" s="255">
        <f t="shared" si="84"/>
        <v>0.28669988501341509</v>
      </c>
      <c r="CV49" s="255">
        <f t="shared" si="84"/>
        <v>0.21520903929365356</v>
      </c>
      <c r="CW49" s="255">
        <f t="shared" si="84"/>
        <v>0.215</v>
      </c>
      <c r="CX49" s="255">
        <f t="shared" si="84"/>
        <v>0.215</v>
      </c>
      <c r="CY49" s="255">
        <f>-CY48/CY45</f>
        <v>0.215</v>
      </c>
      <c r="CZ49" s="262">
        <f>-CZ48/CZ45</f>
        <v>0.215</v>
      </c>
      <c r="DA49" s="86"/>
      <c r="DB49" s="59"/>
      <c r="DC49"/>
      <c r="DD49"/>
      <c r="DE49"/>
      <c r="DF49"/>
      <c r="DG49"/>
      <c r="DH49"/>
    </row>
    <row r="50" spans="1:112" ht="5.25" customHeight="1">
      <c r="A50" s="88"/>
      <c r="B50" s="89" t="s">
        <v>62</v>
      </c>
      <c r="C50" s="89" t="s">
        <v>62</v>
      </c>
      <c r="D50" s="89" t="s">
        <v>62</v>
      </c>
      <c r="E50" s="89" t="s">
        <v>62</v>
      </c>
      <c r="F50" s="89" t="s">
        <v>62</v>
      </c>
      <c r="G50" s="90" t="s">
        <v>62</v>
      </c>
      <c r="H50" s="90" t="s">
        <v>62</v>
      </c>
      <c r="I50" s="90" t="s">
        <v>62</v>
      </c>
      <c r="J50" s="90" t="s">
        <v>62</v>
      </c>
      <c r="K50" s="89" t="s">
        <v>62</v>
      </c>
      <c r="L50" s="90" t="s">
        <v>62</v>
      </c>
      <c r="M50" s="90" t="s">
        <v>62</v>
      </c>
      <c r="N50" s="90" t="s">
        <v>62</v>
      </c>
      <c r="O50" s="90" t="s">
        <v>62</v>
      </c>
      <c r="P50" s="89" t="s">
        <v>62</v>
      </c>
      <c r="Q50" s="90" t="s">
        <v>62</v>
      </c>
      <c r="R50" s="90" t="s">
        <v>62</v>
      </c>
      <c r="S50" s="90" t="s">
        <v>62</v>
      </c>
      <c r="T50" s="90" t="s">
        <v>62</v>
      </c>
      <c r="U50" s="89" t="s">
        <v>62</v>
      </c>
      <c r="V50" s="90" t="s">
        <v>62</v>
      </c>
      <c r="W50" s="90" t="s">
        <v>62</v>
      </c>
      <c r="X50" s="90" t="s">
        <v>62</v>
      </c>
      <c r="Y50" s="90" t="s">
        <v>62</v>
      </c>
      <c r="Z50" s="91" t="s">
        <v>62</v>
      </c>
      <c r="AA50" s="92" t="s">
        <v>62</v>
      </c>
      <c r="AB50" s="92" t="s">
        <v>62</v>
      </c>
      <c r="AC50" s="92" t="s">
        <v>62</v>
      </c>
      <c r="AD50" s="92" t="s">
        <v>62</v>
      </c>
      <c r="AE50" s="91" t="s">
        <v>62</v>
      </c>
      <c r="AF50" s="92" t="s">
        <v>62</v>
      </c>
      <c r="AG50" s="92" t="s">
        <v>62</v>
      </c>
      <c r="AH50" s="92" t="s">
        <v>62</v>
      </c>
      <c r="AI50" s="92" t="s">
        <v>62</v>
      </c>
      <c r="AJ50" s="91" t="s">
        <v>62</v>
      </c>
      <c r="AK50" s="92" t="s">
        <v>62</v>
      </c>
      <c r="AL50" s="92" t="s">
        <v>62</v>
      </c>
      <c r="AM50" s="92" t="s">
        <v>62</v>
      </c>
      <c r="AN50" s="92" t="s">
        <v>62</v>
      </c>
      <c r="AO50" s="91" t="s">
        <v>62</v>
      </c>
      <c r="AP50" s="92" t="s">
        <v>62</v>
      </c>
      <c r="AQ50" s="92" t="s">
        <v>62</v>
      </c>
      <c r="AR50" s="92" t="s">
        <v>62</v>
      </c>
      <c r="AS50" s="92" t="s">
        <v>62</v>
      </c>
      <c r="AT50" s="91" t="s">
        <v>62</v>
      </c>
      <c r="AU50" s="94" t="s">
        <v>62</v>
      </c>
      <c r="AV50" s="92" t="s">
        <v>62</v>
      </c>
      <c r="AW50" s="92" t="s">
        <v>62</v>
      </c>
      <c r="AX50" s="92" t="s">
        <v>62</v>
      </c>
      <c r="AY50" s="91" t="s">
        <v>62</v>
      </c>
      <c r="AZ50" s="139" t="s">
        <v>62</v>
      </c>
      <c r="BA50" s="92" t="s">
        <v>62</v>
      </c>
      <c r="BB50" s="92" t="s">
        <v>62</v>
      </c>
      <c r="BC50" s="92" t="s">
        <v>62</v>
      </c>
      <c r="BD50" s="91" t="s">
        <v>62</v>
      </c>
      <c r="BE50" s="139" t="s">
        <v>62</v>
      </c>
      <c r="BF50" s="92" t="s">
        <v>62</v>
      </c>
      <c r="BG50" s="92" t="s">
        <v>62</v>
      </c>
      <c r="BH50" s="92" t="s">
        <v>62</v>
      </c>
      <c r="BI50" s="96" t="s">
        <v>62</v>
      </c>
      <c r="BJ50" s="139" t="s">
        <v>62</v>
      </c>
      <c r="BK50" s="95" t="s">
        <v>62</v>
      </c>
      <c r="BL50" s="95" t="s">
        <v>62</v>
      </c>
      <c r="BM50" s="95" t="s">
        <v>62</v>
      </c>
      <c r="BN50" s="96" t="s">
        <v>62</v>
      </c>
      <c r="BO50" s="95" t="s">
        <v>62</v>
      </c>
      <c r="BP50" s="95" t="s">
        <v>62</v>
      </c>
      <c r="BQ50" s="95" t="s">
        <v>62</v>
      </c>
      <c r="BR50" s="95" t="s">
        <v>62</v>
      </c>
      <c r="BS50" s="96" t="s">
        <v>62</v>
      </c>
      <c r="BT50" s="95" t="s">
        <v>62</v>
      </c>
      <c r="BU50" s="95" t="s">
        <v>62</v>
      </c>
      <c r="BV50" s="95" t="s">
        <v>62</v>
      </c>
      <c r="BW50" s="95" t="s">
        <v>62</v>
      </c>
      <c r="BX50" s="96" t="s">
        <v>62</v>
      </c>
      <c r="BY50" s="91" t="s">
        <v>62</v>
      </c>
      <c r="BZ50" s="91" t="s">
        <v>62</v>
      </c>
      <c r="CA50" s="91" t="s">
        <v>62</v>
      </c>
      <c r="CB50" s="81"/>
      <c r="CC50" s="1361"/>
      <c r="CD50" s="141"/>
      <c r="CE50" s="90" t="s">
        <v>62</v>
      </c>
      <c r="CF50" s="90" t="s">
        <v>62</v>
      </c>
      <c r="CG50" s="90" t="s">
        <v>62</v>
      </c>
      <c r="CH50" s="90" t="s">
        <v>62</v>
      </c>
      <c r="CI50" s="90" t="s">
        <v>62</v>
      </c>
      <c r="CJ50" s="90" t="s">
        <v>62</v>
      </c>
      <c r="CK50" s="90" t="s">
        <v>62</v>
      </c>
      <c r="CL50" s="90" t="s">
        <v>62</v>
      </c>
      <c r="CM50" s="90" t="s">
        <v>62</v>
      </c>
      <c r="CN50" s="90" t="s">
        <v>62</v>
      </c>
      <c r="CO50" s="90" t="s">
        <v>62</v>
      </c>
      <c r="CP50" s="90" t="s">
        <v>62</v>
      </c>
      <c r="CQ50" s="90" t="s">
        <v>62</v>
      </c>
      <c r="CR50" s="90" t="s">
        <v>62</v>
      </c>
      <c r="CS50" s="90" t="s">
        <v>62</v>
      </c>
      <c r="CT50" s="90" t="s">
        <v>62</v>
      </c>
      <c r="CU50" s="90" t="s">
        <v>62</v>
      </c>
      <c r="CV50" s="90" t="s">
        <v>62</v>
      </c>
      <c r="CW50" s="90" t="s">
        <v>62</v>
      </c>
      <c r="CX50" s="90" t="s">
        <v>62</v>
      </c>
      <c r="CY50" s="90" t="s">
        <v>62</v>
      </c>
      <c r="CZ50" s="99" t="s">
        <v>62</v>
      </c>
      <c r="DA50" s="58"/>
      <c r="DB50" s="100"/>
    </row>
    <row r="51" spans="1:112" s="108" customFormat="1" ht="12" customHeight="1">
      <c r="A51" s="263" t="s">
        <v>85</v>
      </c>
      <c r="B51" s="264">
        <f t="shared" ref="B51:BM51" si="85">B45+B48</f>
        <v>377.03099999999966</v>
      </c>
      <c r="C51" s="265">
        <f t="shared" si="85"/>
        <v>580.82550000000003</v>
      </c>
      <c r="D51" s="265">
        <f t="shared" si="85"/>
        <v>607.58670000000006</v>
      </c>
      <c r="E51" s="265">
        <f t="shared" si="85"/>
        <v>756.41000000000042</v>
      </c>
      <c r="F51" s="265">
        <f t="shared" si="85"/>
        <v>858.42885199999932</v>
      </c>
      <c r="G51" s="266">
        <f t="shared" si="85"/>
        <v>88.690400000000153</v>
      </c>
      <c r="H51" s="266">
        <f t="shared" si="85"/>
        <v>220.96100000000001</v>
      </c>
      <c r="I51" s="266">
        <f t="shared" si="85"/>
        <v>391.63620000000003</v>
      </c>
      <c r="J51" s="266">
        <f t="shared" si="85"/>
        <v>212.06078473016544</v>
      </c>
      <c r="K51" s="265">
        <f t="shared" si="85"/>
        <v>913.34838473016532</v>
      </c>
      <c r="L51" s="266">
        <f t="shared" si="85"/>
        <v>133.36847500000005</v>
      </c>
      <c r="M51" s="266">
        <f t="shared" si="85"/>
        <v>277.07800000000026</v>
      </c>
      <c r="N51" s="266">
        <f t="shared" si="85"/>
        <v>452.01799999999992</v>
      </c>
      <c r="O51" s="266">
        <f t="shared" si="85"/>
        <v>177.5330249999999</v>
      </c>
      <c r="P51" s="265">
        <f t="shared" si="85"/>
        <v>1039.9975000000009</v>
      </c>
      <c r="Q51" s="266">
        <f t="shared" si="85"/>
        <v>84.562999999999789</v>
      </c>
      <c r="R51" s="266">
        <f t="shared" si="85"/>
        <v>231.35959999999994</v>
      </c>
      <c r="S51" s="266">
        <f t="shared" si="85"/>
        <v>411.04220000000032</v>
      </c>
      <c r="T51" s="266">
        <f t="shared" si="85"/>
        <v>137.02740000000034</v>
      </c>
      <c r="U51" s="265">
        <f t="shared" si="85"/>
        <v>863.99219999999934</v>
      </c>
      <c r="V51" s="266">
        <f t="shared" si="85"/>
        <v>65.984999999999886</v>
      </c>
      <c r="W51" s="266">
        <f t="shared" si="85"/>
        <v>185.6399389999998</v>
      </c>
      <c r="X51" s="266">
        <f t="shared" si="85"/>
        <v>342.25600000000014</v>
      </c>
      <c r="Y51" s="266">
        <f t="shared" si="85"/>
        <v>167.62906099999964</v>
      </c>
      <c r="Z51" s="265">
        <f t="shared" si="85"/>
        <v>761.5100000000009</v>
      </c>
      <c r="AA51" s="266">
        <f t="shared" si="85"/>
        <v>107.00000000000004</v>
      </c>
      <c r="AB51" s="266">
        <f t="shared" si="85"/>
        <v>194.19999999999982</v>
      </c>
      <c r="AC51" s="266">
        <f t="shared" si="85"/>
        <v>381.90000000000015</v>
      </c>
      <c r="AD51" s="266">
        <f t="shared" si="85"/>
        <v>178.41100000000017</v>
      </c>
      <c r="AE51" s="265">
        <f t="shared" si="85"/>
        <v>861.51099999999929</v>
      </c>
      <c r="AF51" s="266">
        <f t="shared" si="85"/>
        <v>125</v>
      </c>
      <c r="AG51" s="266">
        <f t="shared" si="85"/>
        <v>216</v>
      </c>
      <c r="AH51" s="266">
        <f t="shared" si="85"/>
        <v>375.09999999999997</v>
      </c>
      <c r="AI51" s="266">
        <f t="shared" si="85"/>
        <v>140</v>
      </c>
      <c r="AJ51" s="265">
        <f t="shared" si="85"/>
        <v>856.10000000000014</v>
      </c>
      <c r="AK51" s="266">
        <f t="shared" si="85"/>
        <v>181</v>
      </c>
      <c r="AL51" s="266">
        <f t="shared" si="85"/>
        <v>204</v>
      </c>
      <c r="AM51" s="266">
        <f t="shared" si="85"/>
        <v>223</v>
      </c>
      <c r="AN51" s="266">
        <f t="shared" si="85"/>
        <v>227</v>
      </c>
      <c r="AO51" s="265">
        <f t="shared" si="85"/>
        <v>835</v>
      </c>
      <c r="AP51" s="266">
        <f t="shared" si="85"/>
        <v>249</v>
      </c>
      <c r="AQ51" s="266">
        <f t="shared" si="85"/>
        <v>280</v>
      </c>
      <c r="AR51" s="266">
        <f t="shared" si="85"/>
        <v>241</v>
      </c>
      <c r="AS51" s="266">
        <f t="shared" si="85"/>
        <v>233</v>
      </c>
      <c r="AT51" s="265">
        <f t="shared" si="85"/>
        <v>1003</v>
      </c>
      <c r="AU51" s="267">
        <f t="shared" si="85"/>
        <v>268.5</v>
      </c>
      <c r="AV51" s="268">
        <f t="shared" si="85"/>
        <v>309.5</v>
      </c>
      <c r="AW51" s="266">
        <f>AW45+AW48</f>
        <v>308</v>
      </c>
      <c r="AX51" s="266">
        <f>AX45+AX48</f>
        <v>289</v>
      </c>
      <c r="AY51" s="265">
        <f>AY45+AY48</f>
        <v>1175</v>
      </c>
      <c r="AZ51" s="267">
        <f>AZ45+AZ48</f>
        <v>325</v>
      </c>
      <c r="BA51" s="266">
        <f>BA45+BA48</f>
        <v>363</v>
      </c>
      <c r="BB51" s="266">
        <f t="shared" si="85"/>
        <v>354</v>
      </c>
      <c r="BC51" s="266">
        <f t="shared" si="85"/>
        <v>312</v>
      </c>
      <c r="BD51" s="265">
        <f t="shared" si="85"/>
        <v>1354</v>
      </c>
      <c r="BE51" s="267">
        <f t="shared" si="85"/>
        <v>333</v>
      </c>
      <c r="BF51" s="266">
        <f t="shared" si="85"/>
        <v>399</v>
      </c>
      <c r="BG51" s="266">
        <f t="shared" si="85"/>
        <v>395</v>
      </c>
      <c r="BH51" s="266">
        <f t="shared" si="85"/>
        <v>350</v>
      </c>
      <c r="BI51" s="269">
        <f t="shared" si="85"/>
        <v>1477</v>
      </c>
      <c r="BJ51" s="267">
        <f t="shared" si="85"/>
        <v>438</v>
      </c>
      <c r="BK51" s="268">
        <f t="shared" si="85"/>
        <v>465</v>
      </c>
      <c r="BL51" s="268">
        <f t="shared" si="85"/>
        <v>464</v>
      </c>
      <c r="BM51" s="268">
        <f t="shared" si="85"/>
        <v>494</v>
      </c>
      <c r="BN51" s="269">
        <f t="shared" ref="BN51:BY51" si="86">BN45+BN48</f>
        <v>1861</v>
      </c>
      <c r="BO51" s="268">
        <f t="shared" si="86"/>
        <v>534</v>
      </c>
      <c r="BP51" s="268">
        <f t="shared" si="86"/>
        <v>556.19014608681982</v>
      </c>
      <c r="BQ51" s="268">
        <f t="shared" si="86"/>
        <v>541.04751862419084</v>
      </c>
      <c r="BR51" s="268">
        <f t="shared" si="86"/>
        <v>565.01311660900092</v>
      </c>
      <c r="BS51" s="269">
        <f t="shared" si="86"/>
        <v>2196.2507813200114</v>
      </c>
      <c r="BT51" s="268">
        <f t="shared" ref="BT51:BX51" si="87">BT45+BT48</f>
        <v>574.60062401116591</v>
      </c>
      <c r="BU51" s="268">
        <f t="shared" si="87"/>
        <v>613.35353465168862</v>
      </c>
      <c r="BV51" s="268">
        <f t="shared" si="87"/>
        <v>598.7831052167262</v>
      </c>
      <c r="BW51" s="268">
        <f t="shared" si="87"/>
        <v>623.78355079377548</v>
      </c>
      <c r="BX51" s="269">
        <f t="shared" si="87"/>
        <v>2410.5208146733562</v>
      </c>
      <c r="BY51" s="270">
        <f t="shared" si="86"/>
        <v>2579.5373361310994</v>
      </c>
      <c r="BZ51" s="270">
        <f>BZ45+BZ48</f>
        <v>2765.7187385302827</v>
      </c>
      <c r="CA51" s="270">
        <f>CA45+CA48</f>
        <v>2941.6046169818196</v>
      </c>
      <c r="CB51" s="271"/>
      <c r="CD51" s="272" t="str">
        <f>A51</f>
        <v>Income from Continuing Operations</v>
      </c>
      <c r="CE51" s="266">
        <f t="shared" ref="CE51:CN51" si="88">CE45+CE48</f>
        <v>377.03099999999966</v>
      </c>
      <c r="CF51" s="266">
        <f t="shared" si="88"/>
        <v>580.82550000000003</v>
      </c>
      <c r="CG51" s="266">
        <f t="shared" si="88"/>
        <v>607.58670000000006</v>
      </c>
      <c r="CH51" s="266">
        <f t="shared" si="88"/>
        <v>756.41000000000042</v>
      </c>
      <c r="CI51" s="266">
        <f t="shared" si="88"/>
        <v>858.42885199999932</v>
      </c>
      <c r="CJ51" s="266">
        <f t="shared" si="88"/>
        <v>913.34838473016532</v>
      </c>
      <c r="CK51" s="266">
        <f t="shared" si="88"/>
        <v>1039.9975000000009</v>
      </c>
      <c r="CL51" s="266">
        <f t="shared" si="88"/>
        <v>863.99219999999934</v>
      </c>
      <c r="CM51" s="266">
        <f t="shared" si="88"/>
        <v>761.5100000000009</v>
      </c>
      <c r="CN51" s="266">
        <f t="shared" si="88"/>
        <v>861.51099999999929</v>
      </c>
      <c r="CO51" s="266">
        <f>CO45+CO48</f>
        <v>1372.0999999999997</v>
      </c>
      <c r="CP51" s="266">
        <f>AO51</f>
        <v>835</v>
      </c>
      <c r="CQ51" s="266">
        <f>AT51</f>
        <v>1003</v>
      </c>
      <c r="CR51" s="266">
        <f>AY51</f>
        <v>1175</v>
      </c>
      <c r="CS51" s="266">
        <f>BD51</f>
        <v>1354</v>
      </c>
      <c r="CT51" s="266">
        <f>BI51</f>
        <v>1477</v>
      </c>
      <c r="CU51" s="266">
        <f>BN51</f>
        <v>1861</v>
      </c>
      <c r="CV51" s="266">
        <f>BS51</f>
        <v>2196.2507813200114</v>
      </c>
      <c r="CW51" s="266">
        <f>BX51</f>
        <v>2410.5208146733562</v>
      </c>
      <c r="CX51" s="266">
        <f>BY51</f>
        <v>2579.5373361310994</v>
      </c>
      <c r="CY51" s="266">
        <f>BZ51</f>
        <v>2765.7187385302827</v>
      </c>
      <c r="CZ51" s="273">
        <f>CA51</f>
        <v>2941.6046169818196</v>
      </c>
      <c r="DA51" s="111"/>
      <c r="DB51" s="59">
        <f>SUM(BO51,BP51,BQ51,BR51)</f>
        <v>2196.2507813200118</v>
      </c>
      <c r="DC51"/>
      <c r="DD51"/>
      <c r="DE51"/>
      <c r="DF51"/>
      <c r="DG51"/>
      <c r="DH51"/>
    </row>
    <row r="52" spans="1:112" ht="6" customHeight="1">
      <c r="A52" s="274"/>
      <c r="B52" s="220"/>
      <c r="C52" s="221"/>
      <c r="D52" s="221"/>
      <c r="E52" s="221"/>
      <c r="F52" s="221"/>
      <c r="G52" s="222"/>
      <c r="H52" s="222"/>
      <c r="I52" s="222"/>
      <c r="J52" s="222"/>
      <c r="K52" s="221"/>
      <c r="L52" s="222"/>
      <c r="M52" s="222"/>
      <c r="N52" s="222"/>
      <c r="O52" s="222"/>
      <c r="P52" s="221"/>
      <c r="Q52" s="222"/>
      <c r="R52" s="222"/>
      <c r="S52" s="222"/>
      <c r="T52" s="222"/>
      <c r="U52" s="221"/>
      <c r="V52" s="222"/>
      <c r="W52" s="222"/>
      <c r="X52" s="222"/>
      <c r="Y52" s="222"/>
      <c r="Z52" s="275"/>
      <c r="AA52" s="276"/>
      <c r="AB52" s="276"/>
      <c r="AC52" s="276"/>
      <c r="AD52" s="276"/>
      <c r="AE52" s="275"/>
      <c r="AF52" s="276"/>
      <c r="AG52" s="276"/>
      <c r="AH52" s="276"/>
      <c r="AI52" s="276"/>
      <c r="AJ52" s="275"/>
      <c r="AK52" s="276"/>
      <c r="AL52" s="276"/>
      <c r="AM52" s="276"/>
      <c r="AN52" s="276"/>
      <c r="AO52" s="275"/>
      <c r="AP52" s="276"/>
      <c r="AQ52" s="276"/>
      <c r="AR52" s="276"/>
      <c r="AS52" s="276"/>
      <c r="AT52" s="275"/>
      <c r="AU52" s="277"/>
      <c r="AV52" s="278"/>
      <c r="AW52" s="276"/>
      <c r="AX52" s="276"/>
      <c r="AY52" s="275"/>
      <c r="AZ52" s="277"/>
      <c r="BA52" s="276"/>
      <c r="BB52" s="276"/>
      <c r="BC52" s="276"/>
      <c r="BD52" s="275"/>
      <c r="BE52" s="277"/>
      <c r="BF52" s="276"/>
      <c r="BG52" s="276"/>
      <c r="BH52" s="276"/>
      <c r="BI52" s="279"/>
      <c r="BJ52" s="277"/>
      <c r="BK52" s="278"/>
      <c r="BL52" s="278"/>
      <c r="BM52" s="278"/>
      <c r="BN52" s="279"/>
      <c r="BO52" s="278"/>
      <c r="BP52" s="278"/>
      <c r="BQ52" s="278"/>
      <c r="BR52" s="278"/>
      <c r="BS52" s="279"/>
      <c r="BT52" s="278"/>
      <c r="BU52" s="278"/>
      <c r="BV52" s="278"/>
      <c r="BW52" s="278"/>
      <c r="BX52" s="279"/>
      <c r="BY52" s="280"/>
      <c r="BZ52" s="280"/>
      <c r="CA52" s="280"/>
      <c r="CB52" s="245"/>
      <c r="CC52" s="1361"/>
      <c r="CD52" s="281"/>
      <c r="CE52" s="222"/>
      <c r="CF52" s="222"/>
      <c r="CG52" s="222"/>
      <c r="CH52" s="222"/>
      <c r="CI52" s="222"/>
      <c r="CJ52" s="222"/>
      <c r="CK52" s="222"/>
      <c r="CL52" s="222"/>
      <c r="CM52" s="222"/>
      <c r="CN52" s="222"/>
      <c r="CO52" s="222"/>
      <c r="CP52" s="222"/>
      <c r="CQ52" s="222"/>
      <c r="CR52" s="222"/>
      <c r="CS52" s="222"/>
      <c r="CT52" s="222"/>
      <c r="CU52" s="222"/>
      <c r="CV52" s="222"/>
      <c r="CW52" s="222"/>
      <c r="CX52" s="222"/>
      <c r="CY52" s="222"/>
      <c r="CZ52" s="228"/>
      <c r="DA52" s="58"/>
      <c r="DB52" s="282"/>
    </row>
    <row r="53" spans="1:112" s="82" customFormat="1" ht="12" customHeight="1">
      <c r="A53" s="44" t="s">
        <v>86</v>
      </c>
      <c r="B53" s="2131">
        <v>0</v>
      </c>
      <c r="C53" s="2131">
        <f>5.517-0.723</f>
        <v>4.7940000000000005</v>
      </c>
      <c r="D53" s="2131">
        <v>-0.161</v>
      </c>
      <c r="E53" s="2131">
        <v>-0.58699999999999997</v>
      </c>
      <c r="F53" s="2131">
        <v>0</v>
      </c>
      <c r="G53" s="2129">
        <v>0</v>
      </c>
      <c r="H53" s="2130">
        <v>0</v>
      </c>
      <c r="I53" s="2130">
        <v>0</v>
      </c>
      <c r="J53" s="2130">
        <f>0-SUM(G53:I53)</f>
        <v>0</v>
      </c>
      <c r="K53" s="45">
        <f>SUM(G53:J53)</f>
        <v>0</v>
      </c>
      <c r="L53" s="2130">
        <v>0</v>
      </c>
      <c r="M53" s="2130">
        <v>0</v>
      </c>
      <c r="N53" s="2130">
        <v>0</v>
      </c>
      <c r="O53" s="2130">
        <f>0-SUM(L53:N53)</f>
        <v>0</v>
      </c>
      <c r="P53" s="45">
        <f>SUM(L53:O53)</f>
        <v>0</v>
      </c>
      <c r="Q53" s="2130">
        <v>0</v>
      </c>
      <c r="R53" s="2130">
        <v>0</v>
      </c>
      <c r="S53" s="2130">
        <v>0</v>
      </c>
      <c r="T53" s="2130">
        <f>0-SUM(Q53:S53)</f>
        <v>0</v>
      </c>
      <c r="U53" s="45">
        <f>SUM(Q53:T53)</f>
        <v>0</v>
      </c>
      <c r="V53" s="2130">
        <v>0</v>
      </c>
      <c r="W53" s="2130">
        <v>0</v>
      </c>
      <c r="X53" s="2130">
        <v>0</v>
      </c>
      <c r="Y53" s="2130">
        <f>0-SUM(V53:X53)</f>
        <v>0</v>
      </c>
      <c r="Z53" s="45">
        <f>SUM(V53:Y53)</f>
        <v>0</v>
      </c>
      <c r="AA53" s="2130">
        <v>0</v>
      </c>
      <c r="AB53" s="2130">
        <v>0</v>
      </c>
      <c r="AC53" s="2130">
        <v>0.7</v>
      </c>
      <c r="AD53" s="2130">
        <f>0-SUM(AA53:AC53)</f>
        <v>-0.7</v>
      </c>
      <c r="AE53" s="45">
        <f>SUM(AA53:AD53)</f>
        <v>0</v>
      </c>
      <c r="AF53" s="2130">
        <v>-1</v>
      </c>
      <c r="AG53" s="2130">
        <v>0</v>
      </c>
      <c r="AH53" s="2130">
        <v>-1.1000000000000001</v>
      </c>
      <c r="AI53" s="2130">
        <f>108</f>
        <v>108</v>
      </c>
      <c r="AJ53" s="45">
        <f>SUM(AF53:AI53)</f>
        <v>105.9</v>
      </c>
      <c r="AK53" s="1877">
        <v>-36</v>
      </c>
      <c r="AL53" s="1877">
        <v>40</v>
      </c>
      <c r="AM53" s="1877">
        <v>165</v>
      </c>
      <c r="AN53" s="1877">
        <v>-404</v>
      </c>
      <c r="AO53" s="45">
        <f>SUM(AK53:AN53)</f>
        <v>-235</v>
      </c>
      <c r="AP53" s="1877">
        <f>-31+612+1</f>
        <v>582</v>
      </c>
      <c r="AQ53" s="1877">
        <v>4</v>
      </c>
      <c r="AR53" s="1877">
        <f>7-20</f>
        <v>-13</v>
      </c>
      <c r="AS53" s="1877">
        <v>6</v>
      </c>
      <c r="AT53" s="45">
        <f>SUM(AP53:AS53)</f>
        <v>579</v>
      </c>
      <c r="AU53" s="1875">
        <v>7</v>
      </c>
      <c r="AV53" s="1888">
        <v>6</v>
      </c>
      <c r="AW53" s="1877">
        <v>2</v>
      </c>
      <c r="AX53" s="1877">
        <f>3+160</f>
        <v>163</v>
      </c>
      <c r="AY53" s="45">
        <f>SUM(AU53:AX53)</f>
        <v>178</v>
      </c>
      <c r="AZ53" s="1875">
        <v>0</v>
      </c>
      <c r="BA53" s="1872">
        <v>0</v>
      </c>
      <c r="BB53" s="1872">
        <v>0</v>
      </c>
      <c r="BC53" s="1877">
        <v>0</v>
      </c>
      <c r="BD53" s="45">
        <f>SUM(AZ53:BC53)</f>
        <v>0</v>
      </c>
      <c r="BE53" s="1874">
        <v>0</v>
      </c>
      <c r="BF53" s="1872">
        <v>0</v>
      </c>
      <c r="BG53" s="1872">
        <v>0</v>
      </c>
      <c r="BH53" s="1877">
        <v>0</v>
      </c>
      <c r="BI53" s="79">
        <f>SUM(BE53:BH53)</f>
        <v>0</v>
      </c>
      <c r="BJ53" s="1874">
        <v>0</v>
      </c>
      <c r="BK53" s="1873">
        <v>0</v>
      </c>
      <c r="BL53" s="2168">
        <v>0</v>
      </c>
      <c r="BM53" s="1873">
        <v>0</v>
      </c>
      <c r="BN53" s="79">
        <f>SUM(BJ53:BM53)</f>
        <v>0</v>
      </c>
      <c r="BO53" s="1873">
        <v>0</v>
      </c>
      <c r="BP53" s="1873">
        <v>0</v>
      </c>
      <c r="BQ53" s="1873">
        <v>0</v>
      </c>
      <c r="BR53" s="1873">
        <v>0</v>
      </c>
      <c r="BS53" s="79">
        <f>SUM(BO53:BR53)</f>
        <v>0</v>
      </c>
      <c r="BT53" s="1873">
        <v>0</v>
      </c>
      <c r="BU53" s="1873">
        <v>0</v>
      </c>
      <c r="BV53" s="1873">
        <v>0</v>
      </c>
      <c r="BW53" s="1873">
        <v>0</v>
      </c>
      <c r="BX53" s="79">
        <f>SUM(BT53:BW53)</f>
        <v>0</v>
      </c>
      <c r="BY53" s="1879">
        <v>0</v>
      </c>
      <c r="BZ53" s="1879">
        <v>0</v>
      </c>
      <c r="CA53" s="1879">
        <v>0</v>
      </c>
      <c r="CB53" s="81"/>
      <c r="CC53" s="1360"/>
      <c r="CD53" s="57" t="str">
        <f t="shared" ref="CD53:CI54" si="89">A53</f>
        <v>Income (loss) from Discontinued Operations, net</v>
      </c>
      <c r="CE53" s="46">
        <f t="shared" si="89"/>
        <v>0</v>
      </c>
      <c r="CF53" s="46">
        <f t="shared" si="89"/>
        <v>4.7940000000000005</v>
      </c>
      <c r="CG53" s="46">
        <f t="shared" si="89"/>
        <v>-0.161</v>
      </c>
      <c r="CH53" s="46">
        <f t="shared" si="89"/>
        <v>-0.58699999999999997</v>
      </c>
      <c r="CI53" s="46">
        <f t="shared" si="89"/>
        <v>0</v>
      </c>
      <c r="CJ53" s="46">
        <f>K53</f>
        <v>0</v>
      </c>
      <c r="CK53" s="46">
        <f>P53</f>
        <v>0</v>
      </c>
      <c r="CL53" s="46">
        <f>U53</f>
        <v>0</v>
      </c>
      <c r="CM53" s="46">
        <f>Z53</f>
        <v>0</v>
      </c>
      <c r="CN53" s="46">
        <f>AE53</f>
        <v>0</v>
      </c>
      <c r="CO53" s="46">
        <f>AJ53</f>
        <v>105.9</v>
      </c>
      <c r="CP53" s="46">
        <f>AO53</f>
        <v>-235</v>
      </c>
      <c r="CQ53" s="46">
        <f>AT53</f>
        <v>579</v>
      </c>
      <c r="CR53" s="46">
        <f>AY53</f>
        <v>178</v>
      </c>
      <c r="CS53" s="46">
        <f>BD53</f>
        <v>0</v>
      </c>
      <c r="CT53" s="46">
        <f>BI53</f>
        <v>0</v>
      </c>
      <c r="CU53" s="46">
        <f>BN53</f>
        <v>0</v>
      </c>
      <c r="CV53" s="46">
        <f>BS53</f>
        <v>0</v>
      </c>
      <c r="CW53" s="46">
        <f t="shared" ref="CW53:CZ54" si="90">BX53</f>
        <v>0</v>
      </c>
      <c r="CX53" s="46">
        <f t="shared" si="90"/>
        <v>0</v>
      </c>
      <c r="CY53" s="46">
        <f t="shared" si="90"/>
        <v>0</v>
      </c>
      <c r="CZ53" s="44">
        <f t="shared" si="90"/>
        <v>0</v>
      </c>
      <c r="DA53" s="86"/>
      <c r="DB53" s="59">
        <f>SUM(BO53,BP53,BQ53,BR53)</f>
        <v>0</v>
      </c>
      <c r="DC53"/>
      <c r="DD53"/>
      <c r="DE53"/>
      <c r="DF53"/>
      <c r="DG53"/>
      <c r="DH53"/>
    </row>
    <row r="54" spans="1:112" s="82" customFormat="1" ht="12" customHeight="1">
      <c r="A54" s="44" t="s">
        <v>87</v>
      </c>
      <c r="B54" s="45">
        <v>0</v>
      </c>
      <c r="C54" s="45">
        <f>-14.5*(1-C245)</f>
        <v>-8.8595000000000006</v>
      </c>
      <c r="D54" s="45">
        <f>131.3*(1-D245)</f>
        <v>80.224299999999999</v>
      </c>
      <c r="E54" s="45">
        <v>0</v>
      </c>
      <c r="F54" s="45">
        <f>(-23.2+1.236)*(1-F245)</f>
        <v>-14.122852</v>
      </c>
      <c r="G54" s="46">
        <f>-23.8*(1-G245)</f>
        <v>-14.470400000000003</v>
      </c>
      <c r="H54" s="47">
        <v>0</v>
      </c>
      <c r="I54" s="47">
        <f>-15.4*(1-I245)</f>
        <v>-9.3632000000000009</v>
      </c>
      <c r="J54" s="47">
        <f>-31.5*(1-J242)-SUM(G54:I54)</f>
        <v>-7.2837847301652161</v>
      </c>
      <c r="K54" s="45">
        <f>SUM(G54:J54)</f>
        <v>-31.11738473016522</v>
      </c>
      <c r="L54" s="47">
        <f>17.305*(1-L245)</f>
        <v>10.469524999999999</v>
      </c>
      <c r="M54" s="47">
        <v>0</v>
      </c>
      <c r="N54" s="47">
        <v>0</v>
      </c>
      <c r="O54" s="47">
        <f>-43.7*(1-O245)-SUM(L54:N54)</f>
        <v>-36.908025000000002</v>
      </c>
      <c r="P54" s="45">
        <f>SUM(L54:O54)</f>
        <v>-26.438500000000005</v>
      </c>
      <c r="Q54" s="47">
        <v>0</v>
      </c>
      <c r="R54" s="47">
        <f>-23.7*(1-R245)</f>
        <v>-14.409600000000001</v>
      </c>
      <c r="S54" s="47">
        <f>-23.4*(1-S245)</f>
        <v>-14.227200000000002</v>
      </c>
      <c r="T54" s="47">
        <f>-73.4*(1-T245)-SUM(Q54:S54)</f>
        <v>-15.990400000000008</v>
      </c>
      <c r="U54" s="45">
        <f>SUM(Q54:T54)</f>
        <v>-44.627200000000009</v>
      </c>
      <c r="V54" s="47">
        <v>0</v>
      </c>
      <c r="W54" s="47">
        <f>(-15.2-13.849)*(1-W245)</f>
        <v>-17.748939</v>
      </c>
      <c r="X54" s="47">
        <v>0</v>
      </c>
      <c r="Y54" s="47">
        <f>-11.8-SUM(V54:X54)</f>
        <v>5.9489389999999993</v>
      </c>
      <c r="Z54" s="45">
        <f>SUM(V54:Y54)</f>
        <v>-11.8</v>
      </c>
      <c r="AA54" s="47">
        <v>0</v>
      </c>
      <c r="AB54" s="47">
        <v>0</v>
      </c>
      <c r="AC54" s="47">
        <f>7.1-2.3</f>
        <v>4.8</v>
      </c>
      <c r="AD54" s="47">
        <f>-9.6-2.3-SUM(AA54:AC54)</f>
        <v>-16.7</v>
      </c>
      <c r="AE54" s="45">
        <f>SUM(AA54:AD54)</f>
        <v>-11.899999999999999</v>
      </c>
      <c r="AF54" s="47">
        <v>0</v>
      </c>
      <c r="AG54" s="47">
        <v>0</v>
      </c>
      <c r="AH54" s="47">
        <v>0</v>
      </c>
      <c r="AI54" s="47">
        <f>-'Op Metrics'!AI140-AI47</f>
        <v>-27</v>
      </c>
      <c r="AJ54" s="45">
        <f>SUM(AF54:AI54)</f>
        <v>-27</v>
      </c>
      <c r="AK54" s="47">
        <f>-'Op Metrics'!AK140-AK47</f>
        <v>-18</v>
      </c>
      <c r="AL54" s="47">
        <f>-'Op Metrics'!AL140-AL47</f>
        <v>-24</v>
      </c>
      <c r="AM54" s="47">
        <f>-'Op Metrics'!AM140-AM47</f>
        <v>-51</v>
      </c>
      <c r="AN54" s="47">
        <f>-'Op Metrics'!AN140-AN47</f>
        <v>-16</v>
      </c>
      <c r="AO54" s="45">
        <f>SUM(AK54:AN54)</f>
        <v>-109</v>
      </c>
      <c r="AP54" s="47">
        <f>-'Op Metrics'!AP140-AP47</f>
        <v>-75</v>
      </c>
      <c r="AQ54" s="47">
        <f>-'Op Metrics'!AQ140-AQ47</f>
        <v>-7</v>
      </c>
      <c r="AR54" s="47">
        <f>-'Op Metrics'!AR140-AR47</f>
        <v>17</v>
      </c>
      <c r="AS54" s="47">
        <f>-'Op Metrics'!AS140-AS47</f>
        <v>-51</v>
      </c>
      <c r="AT54" s="45">
        <f>SUM(AP54:AS54)</f>
        <v>-116</v>
      </c>
      <c r="AU54" s="47">
        <f>-'Op Metrics'!AU140-AU47</f>
        <v>0</v>
      </c>
      <c r="AV54" s="47">
        <f>-'Op Metrics'!AV140-AV47</f>
        <v>0</v>
      </c>
      <c r="AW54" s="47">
        <f>-'Op Metrics'!AW140-AW47</f>
        <v>-93</v>
      </c>
      <c r="AX54" s="47">
        <f>-'Op Metrics'!AX140-AX47</f>
        <v>-1273</v>
      </c>
      <c r="AY54" s="45">
        <f>SUM(AU54:AX54)</f>
        <v>-1366</v>
      </c>
      <c r="AZ54" s="47">
        <f>-'Op Metrics'!AZ140-AZ47</f>
        <v>4</v>
      </c>
      <c r="BA54" s="47">
        <f>-'Op Metrics'!BA140-BA47</f>
        <v>18</v>
      </c>
      <c r="BB54" s="47">
        <f>-'Op Metrics'!BB140-BB47</f>
        <v>-73</v>
      </c>
      <c r="BC54" s="47">
        <f>-'Op Metrics'!BC140-BC47</f>
        <v>-36</v>
      </c>
      <c r="BD54" s="45">
        <f>SUM(AZ54:BC54)</f>
        <v>-87</v>
      </c>
      <c r="BE54" s="86">
        <f>-'Op Metrics'!BE140-BE47</f>
        <v>-10</v>
      </c>
      <c r="BF54" s="86">
        <f>-'Op Metrics'!BF140-BF47</f>
        <v>13</v>
      </c>
      <c r="BG54" s="86">
        <f>-'Op Metrics'!BG140-BG47</f>
        <v>527</v>
      </c>
      <c r="BH54" s="47">
        <f>-'Op Metrics'!BH140-BH47-21</f>
        <v>219</v>
      </c>
      <c r="BI54" s="79">
        <f>SUM(BE54:BH54)</f>
        <v>749</v>
      </c>
      <c r="BJ54" s="86">
        <f>-'Op Metrics'!BJ140-BJ47</f>
        <v>-8</v>
      </c>
      <c r="BK54" s="251">
        <f>-'Op Metrics'!BK140-BK47</f>
        <v>-8</v>
      </c>
      <c r="BL54" s="2169">
        <f>-'Op Metrics'!BL140-BL47</f>
        <v>-12</v>
      </c>
      <c r="BM54" s="251">
        <f>-'Op Metrics'!BM140-BM47</f>
        <v>-195</v>
      </c>
      <c r="BN54" s="79">
        <f>SUM(BJ54:BM54)</f>
        <v>-223</v>
      </c>
      <c r="BO54" s="251">
        <f>-'Op Metrics'!BO140-BO47</f>
        <v>0</v>
      </c>
      <c r="BP54" s="251">
        <f>-'Op Metrics'!BP140-BP47</f>
        <v>-10.833333333333334</v>
      </c>
      <c r="BQ54" s="251">
        <f>-'Op Metrics'!BQ140-BQ47</f>
        <v>-10.833333333333334</v>
      </c>
      <c r="BR54" s="251">
        <f>-'Op Metrics'!BR140-BR47</f>
        <v>-10.833333333333334</v>
      </c>
      <c r="BS54" s="79">
        <f>SUM(BO54:BR54)</f>
        <v>-32.5</v>
      </c>
      <c r="BT54" s="251">
        <f>-'Op Metrics'!BT140-BT47</f>
        <v>0</v>
      </c>
      <c r="BU54" s="251">
        <f>-'Op Metrics'!BU140-BU47</f>
        <v>0</v>
      </c>
      <c r="BV54" s="251">
        <f>-'Op Metrics'!BV140-BV47</f>
        <v>0</v>
      </c>
      <c r="BW54" s="251">
        <f>-'Op Metrics'!BW140-BW47</f>
        <v>0</v>
      </c>
      <c r="BX54" s="79">
        <f>SUM(BT54:BW54)</f>
        <v>0</v>
      </c>
      <c r="BY54" s="119">
        <v>0</v>
      </c>
      <c r="BZ54" s="119">
        <v>0</v>
      </c>
      <c r="CA54" s="119">
        <v>0</v>
      </c>
      <c r="CB54" s="81"/>
      <c r="CC54" s="1360"/>
      <c r="CD54" s="57" t="str">
        <f t="shared" si="89"/>
        <v>Extraordinary (charges) / gains</v>
      </c>
      <c r="CE54" s="46">
        <f t="shared" si="89"/>
        <v>0</v>
      </c>
      <c r="CF54" s="46">
        <f t="shared" si="89"/>
        <v>-8.8595000000000006</v>
      </c>
      <c r="CG54" s="46">
        <f t="shared" si="89"/>
        <v>80.224299999999999</v>
      </c>
      <c r="CH54" s="46">
        <f t="shared" si="89"/>
        <v>0</v>
      </c>
      <c r="CI54" s="46">
        <f t="shared" si="89"/>
        <v>-14.122852</v>
      </c>
      <c r="CJ54" s="46">
        <f>K54</f>
        <v>-31.11738473016522</v>
      </c>
      <c r="CK54" s="46">
        <f>P54</f>
        <v>-26.438500000000005</v>
      </c>
      <c r="CL54" s="46">
        <f>U54</f>
        <v>-44.627200000000009</v>
      </c>
      <c r="CM54" s="46">
        <f>Z54</f>
        <v>-11.8</v>
      </c>
      <c r="CN54" s="46">
        <f>AE54</f>
        <v>-11.899999999999999</v>
      </c>
      <c r="CO54" s="46">
        <f>AJ54</f>
        <v>-27</v>
      </c>
      <c r="CP54" s="46">
        <f>AO54</f>
        <v>-109</v>
      </c>
      <c r="CQ54" s="46">
        <f>AT54</f>
        <v>-116</v>
      </c>
      <c r="CR54" s="46">
        <f>AY54</f>
        <v>-1366</v>
      </c>
      <c r="CS54" s="46">
        <f>BD54</f>
        <v>-87</v>
      </c>
      <c r="CT54" s="46">
        <f>BI54</f>
        <v>749</v>
      </c>
      <c r="CU54" s="46">
        <f>BN54</f>
        <v>-223</v>
      </c>
      <c r="CV54" s="46">
        <f>BS54</f>
        <v>-32.5</v>
      </c>
      <c r="CW54" s="46">
        <f t="shared" si="90"/>
        <v>0</v>
      </c>
      <c r="CX54" s="46">
        <f t="shared" si="90"/>
        <v>0</v>
      </c>
      <c r="CY54" s="46">
        <f t="shared" si="90"/>
        <v>0</v>
      </c>
      <c r="CZ54" s="44">
        <f t="shared" si="90"/>
        <v>0</v>
      </c>
      <c r="DA54" s="86"/>
      <c r="DB54" s="59">
        <f>SUM(BO54,BP54,BQ54,BR54)</f>
        <v>-32.5</v>
      </c>
      <c r="DC54"/>
      <c r="DD54"/>
      <c r="DE54"/>
      <c r="DF54"/>
      <c r="DG54"/>
      <c r="DH54"/>
    </row>
    <row r="55" spans="1:112" s="9" customFormat="1" ht="5.25" customHeight="1">
      <c r="A55" s="88"/>
      <c r="B55" s="89" t="s">
        <v>62</v>
      </c>
      <c r="C55" s="89" t="s">
        <v>62</v>
      </c>
      <c r="D55" s="89" t="s">
        <v>62</v>
      </c>
      <c r="E55" s="89" t="s">
        <v>62</v>
      </c>
      <c r="F55" s="89" t="s">
        <v>62</v>
      </c>
      <c r="G55" s="90" t="s">
        <v>62</v>
      </c>
      <c r="H55" s="90" t="s">
        <v>62</v>
      </c>
      <c r="I55" s="90" t="s">
        <v>62</v>
      </c>
      <c r="J55" s="90" t="s">
        <v>62</v>
      </c>
      <c r="K55" s="89" t="s">
        <v>62</v>
      </c>
      <c r="L55" s="90" t="s">
        <v>62</v>
      </c>
      <c r="M55" s="90" t="s">
        <v>62</v>
      </c>
      <c r="N55" s="90" t="s">
        <v>62</v>
      </c>
      <c r="O55" s="90" t="s">
        <v>62</v>
      </c>
      <c r="P55" s="89" t="s">
        <v>62</v>
      </c>
      <c r="Q55" s="90" t="s">
        <v>62</v>
      </c>
      <c r="R55" s="90" t="s">
        <v>62</v>
      </c>
      <c r="S55" s="90" t="s">
        <v>62</v>
      </c>
      <c r="T55" s="90" t="s">
        <v>62</v>
      </c>
      <c r="U55" s="89" t="s">
        <v>62</v>
      </c>
      <c r="V55" s="90" t="s">
        <v>62</v>
      </c>
      <c r="W55" s="90" t="s">
        <v>62</v>
      </c>
      <c r="X55" s="90" t="s">
        <v>62</v>
      </c>
      <c r="Y55" s="90" t="s">
        <v>62</v>
      </c>
      <c r="Z55" s="91" t="s">
        <v>62</v>
      </c>
      <c r="AA55" s="92" t="s">
        <v>62</v>
      </c>
      <c r="AB55" s="92" t="s">
        <v>62</v>
      </c>
      <c r="AC55" s="92" t="s">
        <v>62</v>
      </c>
      <c r="AD55" s="92" t="s">
        <v>62</v>
      </c>
      <c r="AE55" s="91" t="s">
        <v>62</v>
      </c>
      <c r="AF55" s="92" t="s">
        <v>62</v>
      </c>
      <c r="AG55" s="92" t="s">
        <v>62</v>
      </c>
      <c r="AH55" s="92" t="s">
        <v>62</v>
      </c>
      <c r="AI55" s="92" t="s">
        <v>62</v>
      </c>
      <c r="AJ55" s="91" t="s">
        <v>62</v>
      </c>
      <c r="AK55" s="92" t="s">
        <v>62</v>
      </c>
      <c r="AL55" s="92" t="s">
        <v>62</v>
      </c>
      <c r="AM55" s="92" t="s">
        <v>62</v>
      </c>
      <c r="AN55" s="92" t="s">
        <v>62</v>
      </c>
      <c r="AO55" s="91" t="s">
        <v>62</v>
      </c>
      <c r="AP55" s="92" t="s">
        <v>62</v>
      </c>
      <c r="AQ55" s="92" t="s">
        <v>62</v>
      </c>
      <c r="AR55" s="92" t="s">
        <v>62</v>
      </c>
      <c r="AS55" s="92" t="s">
        <v>62</v>
      </c>
      <c r="AT55" s="91" t="s">
        <v>62</v>
      </c>
      <c r="AU55" s="94" t="s">
        <v>62</v>
      </c>
      <c r="AV55" s="92" t="s">
        <v>62</v>
      </c>
      <c r="AW55" s="92" t="s">
        <v>62</v>
      </c>
      <c r="AX55" s="92" t="s">
        <v>62</v>
      </c>
      <c r="AY55" s="91" t="s">
        <v>62</v>
      </c>
      <c r="AZ55" s="139" t="s">
        <v>62</v>
      </c>
      <c r="BA55" s="92" t="s">
        <v>62</v>
      </c>
      <c r="BB55" s="92" t="s">
        <v>62</v>
      </c>
      <c r="BC55" s="92" t="s">
        <v>62</v>
      </c>
      <c r="BD55" s="91" t="s">
        <v>62</v>
      </c>
      <c r="BE55" s="139" t="s">
        <v>62</v>
      </c>
      <c r="BF55" s="92" t="s">
        <v>62</v>
      </c>
      <c r="BG55" s="92" t="s">
        <v>62</v>
      </c>
      <c r="BH55" s="92" t="s">
        <v>62</v>
      </c>
      <c r="BI55" s="96" t="s">
        <v>62</v>
      </c>
      <c r="BJ55" s="139" t="s">
        <v>62</v>
      </c>
      <c r="BK55" s="95" t="s">
        <v>62</v>
      </c>
      <c r="BL55" s="95" t="s">
        <v>62</v>
      </c>
      <c r="BM55" s="95" t="s">
        <v>62</v>
      </c>
      <c r="BN55" s="96" t="s">
        <v>62</v>
      </c>
      <c r="BO55" s="95" t="s">
        <v>62</v>
      </c>
      <c r="BP55" s="95" t="s">
        <v>62</v>
      </c>
      <c r="BQ55" s="95" t="s">
        <v>62</v>
      </c>
      <c r="BR55" s="95" t="s">
        <v>62</v>
      </c>
      <c r="BS55" s="96" t="s">
        <v>62</v>
      </c>
      <c r="BT55" s="95" t="s">
        <v>62</v>
      </c>
      <c r="BU55" s="95" t="s">
        <v>62</v>
      </c>
      <c r="BV55" s="95" t="s">
        <v>62</v>
      </c>
      <c r="BW55" s="95" t="s">
        <v>62</v>
      </c>
      <c r="BX55" s="96" t="s">
        <v>62</v>
      </c>
      <c r="BY55" s="91" t="s">
        <v>62</v>
      </c>
      <c r="BZ55" s="91" t="s">
        <v>62</v>
      </c>
      <c r="CA55" s="91" t="s">
        <v>62</v>
      </c>
      <c r="CB55" s="130"/>
      <c r="CC55" s="283"/>
      <c r="CD55" s="141"/>
      <c r="CE55" s="90" t="s">
        <v>62</v>
      </c>
      <c r="CF55" s="90" t="s">
        <v>62</v>
      </c>
      <c r="CG55" s="90" t="s">
        <v>62</v>
      </c>
      <c r="CH55" s="90" t="s">
        <v>62</v>
      </c>
      <c r="CI55" s="90" t="s">
        <v>62</v>
      </c>
      <c r="CJ55" s="90" t="s">
        <v>62</v>
      </c>
      <c r="CK55" s="90" t="s">
        <v>62</v>
      </c>
      <c r="CL55" s="90" t="s">
        <v>62</v>
      </c>
      <c r="CM55" s="90" t="s">
        <v>62</v>
      </c>
      <c r="CN55" s="90" t="s">
        <v>62</v>
      </c>
      <c r="CO55" s="90" t="s">
        <v>62</v>
      </c>
      <c r="CP55" s="90" t="s">
        <v>62</v>
      </c>
      <c r="CQ55" s="90" t="s">
        <v>62</v>
      </c>
      <c r="CR55" s="90" t="s">
        <v>62</v>
      </c>
      <c r="CS55" s="90" t="s">
        <v>62</v>
      </c>
      <c r="CT55" s="90" t="s">
        <v>62</v>
      </c>
      <c r="CU55" s="90" t="s">
        <v>62</v>
      </c>
      <c r="CV55" s="90" t="s">
        <v>62</v>
      </c>
      <c r="CW55" s="90" t="s">
        <v>62</v>
      </c>
      <c r="CX55" s="90" t="s">
        <v>62</v>
      </c>
      <c r="CY55" s="90" t="s">
        <v>62</v>
      </c>
      <c r="CZ55" s="99" t="s">
        <v>62</v>
      </c>
      <c r="DA55" s="58"/>
      <c r="DB55" s="100"/>
      <c r="DC55"/>
      <c r="DD55"/>
      <c r="DE55"/>
      <c r="DF55"/>
      <c r="DG55"/>
      <c r="DH55"/>
    </row>
    <row r="56" spans="1:112" s="70" customFormat="1" ht="12" customHeight="1">
      <c r="A56" s="219" t="s">
        <v>88</v>
      </c>
      <c r="B56" s="220">
        <f t="shared" ref="B56:BM56" si="91">SUM(B51:B54)</f>
        <v>377.03099999999966</v>
      </c>
      <c r="C56" s="221">
        <f t="shared" si="91"/>
        <v>576.76</v>
      </c>
      <c r="D56" s="221">
        <f t="shared" si="91"/>
        <v>687.65000000000009</v>
      </c>
      <c r="E56" s="221">
        <f t="shared" si="91"/>
        <v>755.82300000000043</v>
      </c>
      <c r="F56" s="221">
        <f t="shared" si="91"/>
        <v>844.30599999999936</v>
      </c>
      <c r="G56" s="222">
        <f t="shared" si="91"/>
        <v>74.220000000000155</v>
      </c>
      <c r="H56" s="222">
        <f t="shared" si="91"/>
        <v>220.96100000000001</v>
      </c>
      <c r="I56" s="222">
        <f t="shared" si="91"/>
        <v>382.27300000000002</v>
      </c>
      <c r="J56" s="222">
        <f t="shared" si="91"/>
        <v>204.77700000000021</v>
      </c>
      <c r="K56" s="221">
        <f t="shared" si="91"/>
        <v>882.23100000000011</v>
      </c>
      <c r="L56" s="222">
        <f t="shared" si="91"/>
        <v>143.83800000000005</v>
      </c>
      <c r="M56" s="222">
        <f t="shared" si="91"/>
        <v>277.07800000000026</v>
      </c>
      <c r="N56" s="222">
        <f t="shared" si="91"/>
        <v>452.01799999999992</v>
      </c>
      <c r="O56" s="222">
        <f t="shared" si="91"/>
        <v>140.62499999999989</v>
      </c>
      <c r="P56" s="221">
        <f t="shared" si="91"/>
        <v>1013.5590000000009</v>
      </c>
      <c r="Q56" s="222">
        <f t="shared" si="91"/>
        <v>84.562999999999789</v>
      </c>
      <c r="R56" s="222">
        <f t="shared" si="91"/>
        <v>216.94999999999993</v>
      </c>
      <c r="S56" s="222">
        <f t="shared" si="91"/>
        <v>396.81500000000034</v>
      </c>
      <c r="T56" s="222">
        <f t="shared" si="91"/>
        <v>121.03700000000033</v>
      </c>
      <c r="U56" s="221">
        <f t="shared" si="91"/>
        <v>819.36499999999933</v>
      </c>
      <c r="V56" s="222">
        <f t="shared" si="91"/>
        <v>65.984999999999886</v>
      </c>
      <c r="W56" s="222">
        <f t="shared" si="91"/>
        <v>167.89099999999979</v>
      </c>
      <c r="X56" s="222">
        <f t="shared" si="91"/>
        <v>342.25600000000014</v>
      </c>
      <c r="Y56" s="222">
        <f t="shared" si="91"/>
        <v>173.57799999999963</v>
      </c>
      <c r="Z56" s="221">
        <f t="shared" si="91"/>
        <v>749.71000000000095</v>
      </c>
      <c r="AA56" s="222">
        <f t="shared" si="91"/>
        <v>107.00000000000004</v>
      </c>
      <c r="AB56" s="222">
        <f t="shared" si="91"/>
        <v>194.19999999999982</v>
      </c>
      <c r="AC56" s="222">
        <f t="shared" si="91"/>
        <v>387.40000000000015</v>
      </c>
      <c r="AD56" s="222">
        <f t="shared" si="91"/>
        <v>161.01100000000019</v>
      </c>
      <c r="AE56" s="221">
        <f t="shared" si="91"/>
        <v>849.61099999999931</v>
      </c>
      <c r="AF56" s="222">
        <f t="shared" si="91"/>
        <v>124</v>
      </c>
      <c r="AG56" s="222">
        <f t="shared" si="91"/>
        <v>216</v>
      </c>
      <c r="AH56" s="222">
        <f t="shared" si="91"/>
        <v>373.99999999999994</v>
      </c>
      <c r="AI56" s="222">
        <f t="shared" si="91"/>
        <v>221</v>
      </c>
      <c r="AJ56" s="221">
        <f t="shared" si="91"/>
        <v>935.00000000000011</v>
      </c>
      <c r="AK56" s="222">
        <f t="shared" si="91"/>
        <v>127</v>
      </c>
      <c r="AL56" s="222">
        <f t="shared" si="91"/>
        <v>220</v>
      </c>
      <c r="AM56" s="222">
        <f t="shared" si="91"/>
        <v>337</v>
      </c>
      <c r="AN56" s="222">
        <f t="shared" si="91"/>
        <v>-193</v>
      </c>
      <c r="AO56" s="221">
        <f t="shared" si="91"/>
        <v>491</v>
      </c>
      <c r="AP56" s="222">
        <f t="shared" si="91"/>
        <v>756</v>
      </c>
      <c r="AQ56" s="222">
        <f t="shared" si="91"/>
        <v>277</v>
      </c>
      <c r="AR56" s="222">
        <f t="shared" si="91"/>
        <v>245</v>
      </c>
      <c r="AS56" s="222">
        <f t="shared" si="91"/>
        <v>188</v>
      </c>
      <c r="AT56" s="221">
        <f>SUM(AT51:AT54)</f>
        <v>1466</v>
      </c>
      <c r="AU56" s="220">
        <f t="shared" si="91"/>
        <v>275.5</v>
      </c>
      <c r="AV56" s="222">
        <f t="shared" si="91"/>
        <v>315.5</v>
      </c>
      <c r="AW56" s="222">
        <f>SUM(AW51:AW54)</f>
        <v>217</v>
      </c>
      <c r="AX56" s="222">
        <f>SUM(AX51:AX54)</f>
        <v>-821</v>
      </c>
      <c r="AY56" s="221">
        <f>SUM(AY51:AY54)</f>
        <v>-13</v>
      </c>
      <c r="AZ56" s="223">
        <f>SUM(AZ51:AZ54)</f>
        <v>329</v>
      </c>
      <c r="BA56" s="222">
        <f>SUM(BA51:BA54)</f>
        <v>381</v>
      </c>
      <c r="BB56" s="222">
        <f t="shared" si="91"/>
        <v>281</v>
      </c>
      <c r="BC56" s="222">
        <f t="shared" si="91"/>
        <v>276</v>
      </c>
      <c r="BD56" s="221">
        <f t="shared" si="91"/>
        <v>1267</v>
      </c>
      <c r="BE56" s="223">
        <f t="shared" si="91"/>
        <v>323</v>
      </c>
      <c r="BF56" s="222">
        <f t="shared" si="91"/>
        <v>412</v>
      </c>
      <c r="BG56" s="222">
        <f t="shared" si="91"/>
        <v>922</v>
      </c>
      <c r="BH56" s="222">
        <f t="shared" si="91"/>
        <v>569</v>
      </c>
      <c r="BI56" s="225">
        <f t="shared" si="91"/>
        <v>2226</v>
      </c>
      <c r="BJ56" s="223">
        <f t="shared" si="91"/>
        <v>430</v>
      </c>
      <c r="BK56" s="224">
        <f t="shared" si="91"/>
        <v>457</v>
      </c>
      <c r="BL56" s="224">
        <f t="shared" si="91"/>
        <v>452</v>
      </c>
      <c r="BM56" s="224">
        <f t="shared" si="91"/>
        <v>299</v>
      </c>
      <c r="BN56" s="225">
        <f t="shared" ref="BN56:BY56" si="92">SUM(BN51:BN54)</f>
        <v>1638</v>
      </c>
      <c r="BO56" s="224">
        <f t="shared" si="92"/>
        <v>534</v>
      </c>
      <c r="BP56" s="224">
        <f t="shared" si="92"/>
        <v>545.35681275348645</v>
      </c>
      <c r="BQ56" s="224">
        <f t="shared" si="92"/>
        <v>530.21418529085747</v>
      </c>
      <c r="BR56" s="224">
        <f t="shared" si="92"/>
        <v>554.17978327566755</v>
      </c>
      <c r="BS56" s="225">
        <f t="shared" si="92"/>
        <v>2163.7507813200114</v>
      </c>
      <c r="BT56" s="224">
        <f t="shared" ref="BT56:BX56" si="93">SUM(BT51:BT54)</f>
        <v>574.60062401116591</v>
      </c>
      <c r="BU56" s="224">
        <f t="shared" si="93"/>
        <v>613.35353465168862</v>
      </c>
      <c r="BV56" s="224">
        <f t="shared" si="93"/>
        <v>598.7831052167262</v>
      </c>
      <c r="BW56" s="224">
        <f t="shared" si="93"/>
        <v>623.78355079377548</v>
      </c>
      <c r="BX56" s="225">
        <f t="shared" si="93"/>
        <v>2410.5208146733562</v>
      </c>
      <c r="BY56" s="226">
        <f t="shared" si="92"/>
        <v>2579.5373361310994</v>
      </c>
      <c r="BZ56" s="226">
        <f>SUM(BZ51:BZ54)</f>
        <v>2765.7187385302827</v>
      </c>
      <c r="CA56" s="226">
        <f>SUM(CA51:CA54)</f>
        <v>2941.6046169818196</v>
      </c>
      <c r="CB56" s="56"/>
      <c r="CC56" s="1359"/>
      <c r="CD56" s="227" t="str">
        <f>A56</f>
        <v>Net Income</v>
      </c>
      <c r="CE56" s="222">
        <f t="shared" ref="CE56:CN56" si="94">SUM(CE51:CE54)</f>
        <v>377.03099999999966</v>
      </c>
      <c r="CF56" s="222">
        <f t="shared" si="94"/>
        <v>576.76</v>
      </c>
      <c r="CG56" s="222">
        <f t="shared" si="94"/>
        <v>687.65000000000009</v>
      </c>
      <c r="CH56" s="222">
        <f t="shared" si="94"/>
        <v>755.82300000000043</v>
      </c>
      <c r="CI56" s="222">
        <f t="shared" si="94"/>
        <v>844.30599999999936</v>
      </c>
      <c r="CJ56" s="222">
        <f t="shared" si="94"/>
        <v>882.23100000000011</v>
      </c>
      <c r="CK56" s="222">
        <f t="shared" si="94"/>
        <v>1013.5590000000009</v>
      </c>
      <c r="CL56" s="222">
        <f t="shared" si="94"/>
        <v>819.36499999999933</v>
      </c>
      <c r="CM56" s="222">
        <f t="shared" si="94"/>
        <v>749.71000000000095</v>
      </c>
      <c r="CN56" s="222">
        <f t="shared" si="94"/>
        <v>849.61099999999931</v>
      </c>
      <c r="CO56" s="222">
        <f>SUM(CO51:CO54)</f>
        <v>1450.9999999999998</v>
      </c>
      <c r="CP56" s="222">
        <f>AO56</f>
        <v>491</v>
      </c>
      <c r="CQ56" s="222">
        <f>AT56</f>
        <v>1466</v>
      </c>
      <c r="CR56" s="222">
        <f>AY56</f>
        <v>-13</v>
      </c>
      <c r="CS56" s="222">
        <f>BD56</f>
        <v>1267</v>
      </c>
      <c r="CT56" s="222">
        <f>BI56</f>
        <v>2226</v>
      </c>
      <c r="CU56" s="222">
        <f>BN56</f>
        <v>1638</v>
      </c>
      <c r="CV56" s="222">
        <f>BS56</f>
        <v>2163.7507813200114</v>
      </c>
      <c r="CW56" s="222">
        <f>BX56</f>
        <v>2410.5208146733562</v>
      </c>
      <c r="CX56" s="222">
        <f>BY56</f>
        <v>2579.5373361310994</v>
      </c>
      <c r="CY56" s="222">
        <f>BZ56</f>
        <v>2765.7187385302827</v>
      </c>
      <c r="CZ56" s="228">
        <f>CA56</f>
        <v>2941.6046169818196</v>
      </c>
      <c r="DA56" s="74"/>
      <c r="DB56" s="59">
        <f>SUM(BO56,BP56,BQ56,BR56)</f>
        <v>2163.7507813200114</v>
      </c>
      <c r="DC56"/>
      <c r="DD56"/>
      <c r="DE56"/>
      <c r="DF56"/>
      <c r="DG56"/>
      <c r="DH56"/>
    </row>
    <row r="57" spans="1:112" ht="6" customHeight="1">
      <c r="A57" s="274"/>
      <c r="B57" s="220"/>
      <c r="C57" s="221"/>
      <c r="D57" s="221"/>
      <c r="E57" s="221"/>
      <c r="F57" s="221"/>
      <c r="G57" s="222"/>
      <c r="H57" s="222"/>
      <c r="I57" s="222"/>
      <c r="J57" s="222"/>
      <c r="K57" s="221"/>
      <c r="L57" s="222"/>
      <c r="M57" s="222"/>
      <c r="N57" s="222"/>
      <c r="O57" s="222"/>
      <c r="P57" s="221"/>
      <c r="Q57" s="222"/>
      <c r="R57" s="222"/>
      <c r="S57" s="222"/>
      <c r="T57" s="222"/>
      <c r="U57" s="221"/>
      <c r="V57" s="222"/>
      <c r="W57" s="222"/>
      <c r="X57" s="222"/>
      <c r="Y57" s="222"/>
      <c r="Z57" s="275"/>
      <c r="AA57" s="276"/>
      <c r="AB57" s="276"/>
      <c r="AC57" s="276"/>
      <c r="AD57" s="276"/>
      <c r="AE57" s="275"/>
      <c r="AF57" s="276"/>
      <c r="AG57" s="276"/>
      <c r="AH57" s="276"/>
      <c r="AI57" s="276"/>
      <c r="AJ57" s="275"/>
      <c r="AK57" s="276"/>
      <c r="AL57" s="276"/>
      <c r="AM57" s="276"/>
      <c r="AN57" s="276"/>
      <c r="AO57" s="275"/>
      <c r="AP57" s="276"/>
      <c r="AQ57" s="276"/>
      <c r="AR57" s="276"/>
      <c r="AS57" s="276"/>
      <c r="AT57" s="275"/>
      <c r="AU57" s="284"/>
      <c r="AV57" s="276"/>
      <c r="AW57" s="276"/>
      <c r="AX57" s="276"/>
      <c r="AY57" s="275"/>
      <c r="AZ57" s="277"/>
      <c r="BA57" s="276"/>
      <c r="BB57" s="276"/>
      <c r="BC57" s="276"/>
      <c r="BD57" s="275"/>
      <c r="BE57" s="277"/>
      <c r="BF57" s="276"/>
      <c r="BG57" s="276"/>
      <c r="BH57" s="276"/>
      <c r="BI57" s="279"/>
      <c r="BJ57" s="277"/>
      <c r="BK57" s="278"/>
      <c r="BL57" s="278"/>
      <c r="BM57" s="278"/>
      <c r="BN57" s="279"/>
      <c r="BO57" s="278"/>
      <c r="BP57" s="278"/>
      <c r="BQ57" s="278"/>
      <c r="BR57" s="278"/>
      <c r="BS57" s="279"/>
      <c r="BT57" s="278"/>
      <c r="BU57" s="278"/>
      <c r="BV57" s="278"/>
      <c r="BW57" s="278"/>
      <c r="BX57" s="279"/>
      <c r="BY57" s="280"/>
      <c r="BZ57" s="280"/>
      <c r="CA57" s="280"/>
      <c r="CB57" s="173"/>
      <c r="CC57" s="1361"/>
      <c r="CD57" s="281"/>
      <c r="CE57" s="222"/>
      <c r="CF57" s="222"/>
      <c r="CG57" s="222"/>
      <c r="CH57" s="222"/>
      <c r="CI57" s="222"/>
      <c r="CJ57" s="222"/>
      <c r="CK57" s="222"/>
      <c r="CL57" s="222"/>
      <c r="CM57" s="222"/>
      <c r="CN57" s="222"/>
      <c r="CO57" s="222"/>
      <c r="CP57" s="222"/>
      <c r="CQ57" s="222"/>
      <c r="CR57" s="222"/>
      <c r="CS57" s="222"/>
      <c r="CT57" s="222"/>
      <c r="CU57" s="222"/>
      <c r="CV57" s="222"/>
      <c r="CW57" s="222"/>
      <c r="CX57" s="222"/>
      <c r="CY57" s="222"/>
      <c r="CZ57" s="228"/>
      <c r="DA57" s="58"/>
      <c r="DB57" s="282"/>
    </row>
    <row r="58" spans="1:112" s="82" customFormat="1" ht="12" customHeight="1">
      <c r="A58" s="44" t="s">
        <v>89</v>
      </c>
      <c r="B58" s="2131">
        <v>0</v>
      </c>
      <c r="C58" s="2131">
        <v>0</v>
      </c>
      <c r="D58" s="2131">
        <v>0</v>
      </c>
      <c r="E58" s="2131">
        <v>0</v>
      </c>
      <c r="F58" s="2131">
        <v>0</v>
      </c>
      <c r="G58" s="2129">
        <v>0</v>
      </c>
      <c r="H58" s="2130">
        <v>0</v>
      </c>
      <c r="I58" s="2130">
        <v>0</v>
      </c>
      <c r="J58" s="2130">
        <v>0</v>
      </c>
      <c r="K58" s="45">
        <f>SUM(G58:J58)</f>
        <v>0</v>
      </c>
      <c r="L58" s="2130">
        <v>0</v>
      </c>
      <c r="M58" s="2130">
        <v>0</v>
      </c>
      <c r="N58" s="2130">
        <v>0</v>
      </c>
      <c r="O58" s="2130">
        <v>0</v>
      </c>
      <c r="P58" s="45">
        <f>SUM(L58:O58)</f>
        <v>0</v>
      </c>
      <c r="Q58" s="2130">
        <v>-3.4529999999999998</v>
      </c>
      <c r="R58" s="2130">
        <v>-4.6559999999999997</v>
      </c>
      <c r="S58" s="2130">
        <v>-6.649</v>
      </c>
      <c r="T58" s="2130">
        <f>-19.874-SUM(Q58:S58)</f>
        <v>-5.1159999999999997</v>
      </c>
      <c r="U58" s="45">
        <f>SUM(Q58:T58)</f>
        <v>-19.873999999999999</v>
      </c>
      <c r="V58" s="2130">
        <v>-2.9809999999999999</v>
      </c>
      <c r="W58" s="2130">
        <v>-3.798</v>
      </c>
      <c r="X58" s="2130">
        <v>-6.1449999999999996</v>
      </c>
      <c r="Y58" s="2130">
        <f>-19.259-SUM(V58:X58)</f>
        <v>-6.3350000000000009</v>
      </c>
      <c r="Z58" s="45">
        <f>SUM(V58:Y58)</f>
        <v>-19.259</v>
      </c>
      <c r="AA58" s="2130">
        <v>-3.7</v>
      </c>
      <c r="AB58" s="2130">
        <v>-3.1</v>
      </c>
      <c r="AC58" s="2130">
        <f>-9.8+2.3</f>
        <v>-7.5000000000000009</v>
      </c>
      <c r="AD58" s="2130">
        <f>-23.806+2.3-SUM(AA58:AC58)</f>
        <v>-7.2059999999999995</v>
      </c>
      <c r="AE58" s="45">
        <f>SUM(AA58:AD58)</f>
        <v>-21.506</v>
      </c>
      <c r="AF58" s="2130">
        <v>-4</v>
      </c>
      <c r="AG58" s="2130">
        <v>-5</v>
      </c>
      <c r="AH58" s="2130">
        <v>-8.3000000000000007</v>
      </c>
      <c r="AI58" s="2130">
        <f>+-5+-2</f>
        <v>-7</v>
      </c>
      <c r="AJ58" s="45">
        <f>SUM(AF58:AI58)</f>
        <v>-24.3</v>
      </c>
      <c r="AK58" s="1877">
        <f>+-5+1</f>
        <v>-4</v>
      </c>
      <c r="AL58" s="1877">
        <f>+-3-1</f>
        <v>-4</v>
      </c>
      <c r="AM58" s="1877">
        <f>+-21+-2</f>
        <v>-23</v>
      </c>
      <c r="AN58" s="1877">
        <f>-52-SUM(AK58:AM58)</f>
        <v>-21</v>
      </c>
      <c r="AO58" s="45">
        <f>SUM(AK58:AN58)</f>
        <v>-52</v>
      </c>
      <c r="AP58" s="1877">
        <v>-21</v>
      </c>
      <c r="AQ58" s="1877">
        <v>-23</v>
      </c>
      <c r="AR58" s="1877">
        <v>-30</v>
      </c>
      <c r="AS58" s="1877">
        <f>-91-SUM(AP58:AR58)</f>
        <v>-17</v>
      </c>
      <c r="AT58" s="45">
        <f>SUM(AP58:AS58)</f>
        <v>-91</v>
      </c>
      <c r="AU58" s="1875">
        <v>-27.49</v>
      </c>
      <c r="AV58" s="1888">
        <v>-24</v>
      </c>
      <c r="AW58" s="1877">
        <v>-27</v>
      </c>
      <c r="AX58" s="1877">
        <v>-24</v>
      </c>
      <c r="AY58" s="45">
        <f>SUM(AU58:AX58)</f>
        <v>-102.49</v>
      </c>
      <c r="AZ58" s="1875">
        <v>-26</v>
      </c>
      <c r="BA58" s="1872">
        <v>-28.1</v>
      </c>
      <c r="BB58" s="1872">
        <v>-29</v>
      </c>
      <c r="BC58" s="1877">
        <v>-28</v>
      </c>
      <c r="BD58" s="45">
        <f>SUM(AZ58:BC58)</f>
        <v>-111.1</v>
      </c>
      <c r="BE58" s="1874">
        <v>-29</v>
      </c>
      <c r="BF58" s="1872">
        <v>-29</v>
      </c>
      <c r="BG58" s="1872">
        <v>-31</v>
      </c>
      <c r="BH58" s="1877">
        <v>-32</v>
      </c>
      <c r="BI58" s="79">
        <f>SUM(BE58:BH58)</f>
        <v>-121</v>
      </c>
      <c r="BJ58" s="1874">
        <v>-31</v>
      </c>
      <c r="BK58" s="1873">
        <v>-36</v>
      </c>
      <c r="BL58" s="2167">
        <v>-38</v>
      </c>
      <c r="BM58" s="2167">
        <v>-36</v>
      </c>
      <c r="BN58" s="79">
        <f>SUM(BJ58:BM58)</f>
        <v>-141</v>
      </c>
      <c r="BO58" s="2167">
        <v>-43</v>
      </c>
      <c r="BP58" s="285">
        <f>-'Op Metrics'!BP148</f>
        <v>-39.912492105058256</v>
      </c>
      <c r="BQ58" s="285">
        <f>-'Op Metrics'!BQ148</f>
        <v>-39.461538379244985</v>
      </c>
      <c r="BR58" s="285">
        <f>-'Op Metrics'!BR148</f>
        <v>-40.996688085494434</v>
      </c>
      <c r="BS58" s="79">
        <f>SUM(BO58:BR58)</f>
        <v>-163.37071856979767</v>
      </c>
      <c r="BT58" s="285">
        <f>-'Op Metrics'!BT148</f>
        <v>-44.879024026628279</v>
      </c>
      <c r="BU58" s="285">
        <f>-'Op Metrics'!BU148</f>
        <v>-43.962956833119357</v>
      </c>
      <c r="BV58" s="285">
        <f>-'Op Metrics'!BV148</f>
        <v>-43.886208221950461</v>
      </c>
      <c r="BW58" s="285">
        <f>-'Op Metrics'!BW148</f>
        <v>-45.416186416960059</v>
      </c>
      <c r="BX58" s="79">
        <f>SUM(BT58:BW58)</f>
        <v>-178.14437549865818</v>
      </c>
      <c r="BY58" s="80">
        <f>-'Op Metrics'!BY148</f>
        <v>-193.66001065010886</v>
      </c>
      <c r="BZ58" s="80">
        <f>-'Op Metrics'!BZ148</f>
        <v>-210.29138638372311</v>
      </c>
      <c r="CA58" s="80">
        <f>-'Op Metrics'!CA148</f>
        <v>-227.13479350747724</v>
      </c>
      <c r="CB58" s="56"/>
      <c r="CC58" s="1360"/>
      <c r="CD58" s="57" t="str">
        <f t="shared" ref="CD58:CI58" si="95">A58</f>
        <v>Less: Net Income Attributable to Noncontrolling Interests</v>
      </c>
      <c r="CE58" s="46">
        <f t="shared" si="95"/>
        <v>0</v>
      </c>
      <c r="CF58" s="46">
        <f t="shared" si="95"/>
        <v>0</v>
      </c>
      <c r="CG58" s="46">
        <f t="shared" si="95"/>
        <v>0</v>
      </c>
      <c r="CH58" s="46">
        <f t="shared" si="95"/>
        <v>0</v>
      </c>
      <c r="CI58" s="46">
        <f t="shared" si="95"/>
        <v>0</v>
      </c>
      <c r="CJ58" s="46">
        <f>K58</f>
        <v>0</v>
      </c>
      <c r="CK58" s="46">
        <f>P58</f>
        <v>0</v>
      </c>
      <c r="CL58" s="46">
        <f>U58</f>
        <v>-19.873999999999999</v>
      </c>
      <c r="CM58" s="46">
        <f>Z58</f>
        <v>-19.259</v>
      </c>
      <c r="CN58" s="46">
        <f>AE58</f>
        <v>-21.506</v>
      </c>
      <c r="CO58" s="46">
        <f>AJ58</f>
        <v>-24.3</v>
      </c>
      <c r="CP58" s="46">
        <f>AO58</f>
        <v>-52</v>
      </c>
      <c r="CQ58" s="46">
        <f>AT58</f>
        <v>-91</v>
      </c>
      <c r="CR58" s="46">
        <f>AY58</f>
        <v>-102.49</v>
      </c>
      <c r="CS58" s="46">
        <f>BD58</f>
        <v>-111.1</v>
      </c>
      <c r="CT58" s="46">
        <f>BI58</f>
        <v>-121</v>
      </c>
      <c r="CU58" s="46">
        <f>BN58</f>
        <v>-141</v>
      </c>
      <c r="CV58" s="46">
        <f>BS58</f>
        <v>-163.37071856979767</v>
      </c>
      <c r="CW58" s="46">
        <f>BX58</f>
        <v>-178.14437549865818</v>
      </c>
      <c r="CX58" s="46">
        <f>BY58</f>
        <v>-193.66001065010886</v>
      </c>
      <c r="CY58" s="46">
        <f>BZ58</f>
        <v>-210.29138638372311</v>
      </c>
      <c r="CZ58" s="44">
        <f>CA58</f>
        <v>-227.13479350747724</v>
      </c>
      <c r="DA58" s="86"/>
      <c r="DB58" s="59">
        <f>SUM(BO58,BP58,BQ58,BR58)</f>
        <v>-163.37071856979767</v>
      </c>
      <c r="DC58"/>
      <c r="DD58"/>
      <c r="DE58"/>
      <c r="DF58"/>
      <c r="DG58"/>
      <c r="DH58"/>
    </row>
    <row r="59" spans="1:112" ht="5.25" customHeight="1">
      <c r="A59" s="88"/>
      <c r="B59" s="89" t="s">
        <v>62</v>
      </c>
      <c r="C59" s="89" t="s">
        <v>62</v>
      </c>
      <c r="D59" s="89" t="s">
        <v>62</v>
      </c>
      <c r="E59" s="89" t="s">
        <v>62</v>
      </c>
      <c r="F59" s="89" t="s">
        <v>62</v>
      </c>
      <c r="G59" s="90" t="s">
        <v>62</v>
      </c>
      <c r="H59" s="90" t="s">
        <v>62</v>
      </c>
      <c r="I59" s="90" t="s">
        <v>62</v>
      </c>
      <c r="J59" s="90" t="s">
        <v>62</v>
      </c>
      <c r="K59" s="89" t="s">
        <v>62</v>
      </c>
      <c r="L59" s="90" t="s">
        <v>62</v>
      </c>
      <c r="M59" s="90" t="s">
        <v>62</v>
      </c>
      <c r="N59" s="90" t="s">
        <v>62</v>
      </c>
      <c r="O59" s="90" t="s">
        <v>62</v>
      </c>
      <c r="P59" s="89" t="s">
        <v>62</v>
      </c>
      <c r="Q59" s="90" t="s">
        <v>62</v>
      </c>
      <c r="R59" s="90" t="s">
        <v>62</v>
      </c>
      <c r="S59" s="90" t="s">
        <v>62</v>
      </c>
      <c r="T59" s="90" t="s">
        <v>62</v>
      </c>
      <c r="U59" s="89" t="s">
        <v>62</v>
      </c>
      <c r="V59" s="90" t="s">
        <v>62</v>
      </c>
      <c r="W59" s="90" t="s">
        <v>62</v>
      </c>
      <c r="X59" s="90" t="s">
        <v>62</v>
      </c>
      <c r="Y59" s="90" t="s">
        <v>62</v>
      </c>
      <c r="Z59" s="91" t="s">
        <v>62</v>
      </c>
      <c r="AA59" s="92" t="s">
        <v>62</v>
      </c>
      <c r="AB59" s="92" t="s">
        <v>62</v>
      </c>
      <c r="AC59" s="92" t="s">
        <v>62</v>
      </c>
      <c r="AD59" s="92" t="s">
        <v>62</v>
      </c>
      <c r="AE59" s="91" t="s">
        <v>62</v>
      </c>
      <c r="AF59" s="92" t="s">
        <v>62</v>
      </c>
      <c r="AG59" s="92" t="s">
        <v>62</v>
      </c>
      <c r="AH59" s="92" t="s">
        <v>62</v>
      </c>
      <c r="AI59" s="92" t="s">
        <v>62</v>
      </c>
      <c r="AJ59" s="91" t="s">
        <v>62</v>
      </c>
      <c r="AK59" s="92" t="s">
        <v>62</v>
      </c>
      <c r="AL59" s="92" t="s">
        <v>62</v>
      </c>
      <c r="AM59" s="92" t="s">
        <v>62</v>
      </c>
      <c r="AN59" s="92" t="s">
        <v>62</v>
      </c>
      <c r="AO59" s="91" t="s">
        <v>62</v>
      </c>
      <c r="AP59" s="92" t="s">
        <v>62</v>
      </c>
      <c r="AQ59" s="92" t="s">
        <v>62</v>
      </c>
      <c r="AR59" s="92" t="s">
        <v>62</v>
      </c>
      <c r="AS59" s="92" t="s">
        <v>62</v>
      </c>
      <c r="AT59" s="91" t="s">
        <v>62</v>
      </c>
      <c r="AU59" s="94" t="s">
        <v>62</v>
      </c>
      <c r="AV59" s="92" t="s">
        <v>62</v>
      </c>
      <c r="AW59" s="92" t="s">
        <v>62</v>
      </c>
      <c r="AX59" s="92" t="s">
        <v>62</v>
      </c>
      <c r="AY59" s="91" t="s">
        <v>62</v>
      </c>
      <c r="AZ59" s="139" t="s">
        <v>62</v>
      </c>
      <c r="BA59" s="92" t="s">
        <v>62</v>
      </c>
      <c r="BB59" s="92" t="s">
        <v>62</v>
      </c>
      <c r="BC59" s="92" t="s">
        <v>62</v>
      </c>
      <c r="BD59" s="91" t="s">
        <v>62</v>
      </c>
      <c r="BE59" s="139" t="s">
        <v>62</v>
      </c>
      <c r="BF59" s="92" t="s">
        <v>62</v>
      </c>
      <c r="BG59" s="92" t="s">
        <v>62</v>
      </c>
      <c r="BH59" s="92" t="s">
        <v>62</v>
      </c>
      <c r="BI59" s="96" t="s">
        <v>62</v>
      </c>
      <c r="BJ59" s="139" t="s">
        <v>62</v>
      </c>
      <c r="BK59" s="95" t="s">
        <v>62</v>
      </c>
      <c r="BL59" s="95" t="s">
        <v>62</v>
      </c>
      <c r="BM59" s="95" t="s">
        <v>62</v>
      </c>
      <c r="BN59" s="96" t="s">
        <v>62</v>
      </c>
      <c r="BO59" s="95" t="s">
        <v>62</v>
      </c>
      <c r="BP59" s="95" t="s">
        <v>62</v>
      </c>
      <c r="BQ59" s="95" t="s">
        <v>62</v>
      </c>
      <c r="BR59" s="95" t="s">
        <v>62</v>
      </c>
      <c r="BS59" s="96" t="s">
        <v>62</v>
      </c>
      <c r="BT59" s="95" t="s">
        <v>62</v>
      </c>
      <c r="BU59" s="95" t="s">
        <v>62</v>
      </c>
      <c r="BV59" s="95" t="s">
        <v>62</v>
      </c>
      <c r="BW59" s="95" t="s">
        <v>62</v>
      </c>
      <c r="BX59" s="96" t="s">
        <v>62</v>
      </c>
      <c r="BY59" s="91" t="s">
        <v>62</v>
      </c>
      <c r="BZ59" s="91" t="s">
        <v>62</v>
      </c>
      <c r="CA59" s="91" t="s">
        <v>62</v>
      </c>
      <c r="CB59" s="56"/>
      <c r="CC59" s="1361"/>
      <c r="CD59" s="141"/>
      <c r="CE59" s="90"/>
      <c r="CF59" s="90"/>
      <c r="CG59" s="90"/>
      <c r="CH59" s="90"/>
      <c r="CI59" s="90"/>
      <c r="CJ59" s="90"/>
      <c r="CK59" s="90"/>
      <c r="CL59" s="90"/>
      <c r="CM59" s="90"/>
      <c r="CN59" s="90"/>
      <c r="CO59" s="90"/>
      <c r="CP59" s="90"/>
      <c r="CQ59" s="90"/>
      <c r="CR59" s="90"/>
      <c r="CS59" s="90"/>
      <c r="CT59" s="90"/>
      <c r="CU59" s="90"/>
      <c r="CV59" s="90"/>
      <c r="CW59" s="90"/>
      <c r="CX59" s="90"/>
      <c r="CY59" s="90"/>
      <c r="CZ59" s="99"/>
      <c r="DA59" s="58"/>
      <c r="DB59" s="286"/>
    </row>
    <row r="60" spans="1:112" s="70" customFormat="1" ht="12" customHeight="1">
      <c r="A60" s="219" t="s">
        <v>90</v>
      </c>
      <c r="B60" s="220">
        <f t="shared" ref="B60:V60" si="96">SUM(B56:B58)</f>
        <v>377.03099999999966</v>
      </c>
      <c r="C60" s="221">
        <f t="shared" si="96"/>
        <v>576.76</v>
      </c>
      <c r="D60" s="221">
        <f t="shared" si="96"/>
        <v>687.65000000000009</v>
      </c>
      <c r="E60" s="221">
        <f t="shared" si="96"/>
        <v>755.82300000000043</v>
      </c>
      <c r="F60" s="221">
        <f t="shared" si="96"/>
        <v>844.30599999999936</v>
      </c>
      <c r="G60" s="222">
        <f t="shared" si="96"/>
        <v>74.220000000000155</v>
      </c>
      <c r="H60" s="222">
        <f t="shared" si="96"/>
        <v>220.96100000000001</v>
      </c>
      <c r="I60" s="222">
        <f t="shared" si="96"/>
        <v>382.27300000000002</v>
      </c>
      <c r="J60" s="222">
        <f t="shared" si="96"/>
        <v>204.77700000000021</v>
      </c>
      <c r="K60" s="221">
        <f t="shared" si="96"/>
        <v>882.23100000000011</v>
      </c>
      <c r="L60" s="222">
        <f t="shared" si="96"/>
        <v>143.83800000000005</v>
      </c>
      <c r="M60" s="222">
        <f t="shared" si="96"/>
        <v>277.07800000000026</v>
      </c>
      <c r="N60" s="222">
        <f t="shared" si="96"/>
        <v>452.01799999999992</v>
      </c>
      <c r="O60" s="222">
        <f t="shared" si="96"/>
        <v>140.62499999999989</v>
      </c>
      <c r="P60" s="221">
        <f t="shared" si="96"/>
        <v>1013.5590000000009</v>
      </c>
      <c r="Q60" s="222">
        <f t="shared" si="96"/>
        <v>81.109999999999786</v>
      </c>
      <c r="R60" s="222">
        <f t="shared" si="96"/>
        <v>212.29399999999993</v>
      </c>
      <c r="S60" s="222">
        <f t="shared" si="96"/>
        <v>390.16600000000034</v>
      </c>
      <c r="T60" s="222">
        <f t="shared" si="96"/>
        <v>115.92100000000033</v>
      </c>
      <c r="U60" s="221">
        <f t="shared" si="96"/>
        <v>799.4909999999993</v>
      </c>
      <c r="V60" s="222">
        <f t="shared" si="96"/>
        <v>63.003999999999884</v>
      </c>
      <c r="W60" s="222">
        <f>SUM(W56:W58)</f>
        <v>164.09299999999979</v>
      </c>
      <c r="X60" s="222">
        <f>SUM(X56:X58)</f>
        <v>336.11100000000016</v>
      </c>
      <c r="Y60" s="222">
        <f t="shared" ref="Y60:BY60" si="97">SUM(Y56:Y58)</f>
        <v>167.24299999999963</v>
      </c>
      <c r="Z60" s="221">
        <f t="shared" si="97"/>
        <v>730.45100000000093</v>
      </c>
      <c r="AA60" s="222">
        <f t="shared" si="97"/>
        <v>103.30000000000004</v>
      </c>
      <c r="AB60" s="222">
        <f t="shared" si="97"/>
        <v>191.09999999999982</v>
      </c>
      <c r="AC60" s="222">
        <f t="shared" si="97"/>
        <v>379.90000000000015</v>
      </c>
      <c r="AD60" s="222">
        <f t="shared" si="97"/>
        <v>153.80500000000021</v>
      </c>
      <c r="AE60" s="221">
        <f t="shared" si="97"/>
        <v>828.10499999999934</v>
      </c>
      <c r="AF60" s="222">
        <f t="shared" si="97"/>
        <v>120</v>
      </c>
      <c r="AG60" s="222">
        <f t="shared" si="97"/>
        <v>211</v>
      </c>
      <c r="AH60" s="222">
        <f t="shared" si="97"/>
        <v>365.69999999999993</v>
      </c>
      <c r="AI60" s="222">
        <f t="shared" si="97"/>
        <v>214</v>
      </c>
      <c r="AJ60" s="221">
        <f t="shared" si="97"/>
        <v>910.70000000000016</v>
      </c>
      <c r="AK60" s="222">
        <f t="shared" si="97"/>
        <v>123</v>
      </c>
      <c r="AL60" s="222">
        <f t="shared" si="97"/>
        <v>216</v>
      </c>
      <c r="AM60" s="222">
        <f t="shared" si="97"/>
        <v>314</v>
      </c>
      <c r="AN60" s="222">
        <f t="shared" si="97"/>
        <v>-214</v>
      </c>
      <c r="AO60" s="221">
        <f t="shared" si="97"/>
        <v>439</v>
      </c>
      <c r="AP60" s="222">
        <f t="shared" si="97"/>
        <v>735</v>
      </c>
      <c r="AQ60" s="222">
        <f t="shared" si="97"/>
        <v>254</v>
      </c>
      <c r="AR60" s="222">
        <f t="shared" si="97"/>
        <v>215</v>
      </c>
      <c r="AS60" s="222">
        <f t="shared" si="97"/>
        <v>171</v>
      </c>
      <c r="AT60" s="221">
        <f t="shared" si="97"/>
        <v>1375</v>
      </c>
      <c r="AU60" s="220">
        <f t="shared" si="97"/>
        <v>248.01</v>
      </c>
      <c r="AV60" s="222">
        <f t="shared" si="97"/>
        <v>291.5</v>
      </c>
      <c r="AW60" s="222">
        <f t="shared" si="97"/>
        <v>190</v>
      </c>
      <c r="AX60" s="222">
        <f t="shared" si="97"/>
        <v>-845</v>
      </c>
      <c r="AY60" s="221">
        <f t="shared" si="97"/>
        <v>-115.49</v>
      </c>
      <c r="AZ60" s="223">
        <f t="shared" si="97"/>
        <v>303</v>
      </c>
      <c r="BA60" s="222">
        <f t="shared" si="97"/>
        <v>352.9</v>
      </c>
      <c r="BB60" s="222">
        <f t="shared" si="97"/>
        <v>252</v>
      </c>
      <c r="BC60" s="222">
        <f t="shared" si="97"/>
        <v>248</v>
      </c>
      <c r="BD60" s="221">
        <f t="shared" si="97"/>
        <v>1155.9000000000001</v>
      </c>
      <c r="BE60" s="223">
        <f t="shared" si="97"/>
        <v>294</v>
      </c>
      <c r="BF60" s="222">
        <f t="shared" si="97"/>
        <v>383</v>
      </c>
      <c r="BG60" s="222">
        <f t="shared" si="97"/>
        <v>891</v>
      </c>
      <c r="BH60" s="222">
        <f t="shared" si="97"/>
        <v>537</v>
      </c>
      <c r="BI60" s="225">
        <f t="shared" si="97"/>
        <v>2105</v>
      </c>
      <c r="BJ60" s="223">
        <f t="shared" si="97"/>
        <v>399</v>
      </c>
      <c r="BK60" s="224">
        <f t="shared" si="97"/>
        <v>421</v>
      </c>
      <c r="BL60" s="224">
        <f t="shared" si="97"/>
        <v>414</v>
      </c>
      <c r="BM60" s="224">
        <f t="shared" si="97"/>
        <v>263</v>
      </c>
      <c r="BN60" s="225">
        <f t="shared" si="97"/>
        <v>1497</v>
      </c>
      <c r="BO60" s="224">
        <f t="shared" si="97"/>
        <v>491</v>
      </c>
      <c r="BP60" s="224">
        <f t="shared" si="97"/>
        <v>505.44432064842817</v>
      </c>
      <c r="BQ60" s="224">
        <f t="shared" si="97"/>
        <v>490.75264691161249</v>
      </c>
      <c r="BR60" s="224">
        <f t="shared" si="97"/>
        <v>513.18309519017316</v>
      </c>
      <c r="BS60" s="225">
        <f t="shared" si="97"/>
        <v>2000.3800627502137</v>
      </c>
      <c r="BT60" s="224">
        <f t="shared" ref="BT60:BX60" si="98">SUM(BT56:BT58)</f>
        <v>529.72159998453765</v>
      </c>
      <c r="BU60" s="224">
        <f t="shared" si="98"/>
        <v>569.39057781856923</v>
      </c>
      <c r="BV60" s="224">
        <f t="shared" si="98"/>
        <v>554.89689699477572</v>
      </c>
      <c r="BW60" s="224">
        <f t="shared" si="98"/>
        <v>578.36736437681543</v>
      </c>
      <c r="BX60" s="225">
        <f t="shared" si="98"/>
        <v>2232.3764391746981</v>
      </c>
      <c r="BY60" s="226">
        <f t="shared" si="97"/>
        <v>2385.8773254809907</v>
      </c>
      <c r="BZ60" s="226">
        <f>SUM(BZ56:BZ58)</f>
        <v>2555.4273521465598</v>
      </c>
      <c r="CA60" s="226">
        <f>SUM(CA56:CA58)</f>
        <v>2714.4698234743423</v>
      </c>
      <c r="CB60" s="56"/>
      <c r="CC60" s="1359"/>
      <c r="CD60" s="227" t="str">
        <f>A60</f>
        <v>Net Income to The McGraw-Hill Companies, Inc.</v>
      </c>
      <c r="CE60" s="222">
        <f t="shared" ref="CE60:CN60" si="99">SUM(CE56:CE58)</f>
        <v>377.03099999999966</v>
      </c>
      <c r="CF60" s="222">
        <f t="shared" si="99"/>
        <v>576.76</v>
      </c>
      <c r="CG60" s="222">
        <f t="shared" si="99"/>
        <v>687.65000000000009</v>
      </c>
      <c r="CH60" s="222">
        <f t="shared" si="99"/>
        <v>755.82300000000043</v>
      </c>
      <c r="CI60" s="222">
        <f t="shared" si="99"/>
        <v>844.30599999999936</v>
      </c>
      <c r="CJ60" s="222">
        <f t="shared" si="99"/>
        <v>882.23100000000011</v>
      </c>
      <c r="CK60" s="222">
        <f t="shared" si="99"/>
        <v>1013.5590000000009</v>
      </c>
      <c r="CL60" s="222">
        <f t="shared" si="99"/>
        <v>799.4909999999993</v>
      </c>
      <c r="CM60" s="222">
        <f t="shared" si="99"/>
        <v>730.45100000000093</v>
      </c>
      <c r="CN60" s="222">
        <f t="shared" si="99"/>
        <v>828.10499999999934</v>
      </c>
      <c r="CO60" s="222">
        <f>SUM(CO56:CO58)</f>
        <v>1426.6999999999998</v>
      </c>
      <c r="CP60" s="222">
        <f>AO60</f>
        <v>439</v>
      </c>
      <c r="CQ60" s="222">
        <f>AT60</f>
        <v>1375</v>
      </c>
      <c r="CR60" s="222">
        <f>AY60</f>
        <v>-115.49</v>
      </c>
      <c r="CS60" s="222">
        <f>BD60</f>
        <v>1155.9000000000001</v>
      </c>
      <c r="CT60" s="222">
        <f>BI60</f>
        <v>2105</v>
      </c>
      <c r="CU60" s="222">
        <f>BN60</f>
        <v>1497</v>
      </c>
      <c r="CV60" s="222">
        <f>BS60</f>
        <v>2000.3800627502137</v>
      </c>
      <c r="CW60" s="222">
        <f t="shared" ref="CW60:CZ61" si="100">BX60</f>
        <v>2232.3764391746981</v>
      </c>
      <c r="CX60" s="222">
        <f t="shared" si="100"/>
        <v>2385.8773254809907</v>
      </c>
      <c r="CY60" s="222">
        <f t="shared" si="100"/>
        <v>2555.4273521465598</v>
      </c>
      <c r="CZ60" s="228">
        <f t="shared" si="100"/>
        <v>2714.4698234743423</v>
      </c>
      <c r="DA60" s="74"/>
      <c r="DB60" s="59">
        <f>SUM(BO60,BP60,BQ60,BR60)</f>
        <v>2000.3800627502139</v>
      </c>
      <c r="DC60"/>
      <c r="DD60"/>
      <c r="DE60"/>
      <c r="DF60"/>
      <c r="DG60"/>
      <c r="DH60"/>
    </row>
    <row r="61" spans="1:112" s="82" customFormat="1" hidden="1">
      <c r="A61" s="44" t="s">
        <v>91</v>
      </c>
      <c r="B61" s="45"/>
      <c r="C61" s="45"/>
      <c r="D61" s="45"/>
      <c r="E61" s="45"/>
      <c r="F61" s="45"/>
      <c r="G61" s="46"/>
      <c r="H61" s="47"/>
      <c r="I61" s="47"/>
      <c r="J61" s="47"/>
      <c r="K61" s="45">
        <f>SUM(G61:J61)</f>
        <v>0</v>
      </c>
      <c r="L61" s="47"/>
      <c r="M61" s="47"/>
      <c r="N61" s="47"/>
      <c r="O61" s="47"/>
      <c r="P61" s="45">
        <f>SUM(L61:O61)</f>
        <v>0</v>
      </c>
      <c r="Q61" s="47"/>
      <c r="R61" s="47"/>
      <c r="S61" s="47"/>
      <c r="T61" s="47"/>
      <c r="U61" s="45">
        <f>SUM(Q61:T61)</f>
        <v>0</v>
      </c>
      <c r="V61" s="47"/>
      <c r="W61" s="47"/>
      <c r="X61" s="47"/>
      <c r="Y61" s="47"/>
      <c r="Z61" s="45">
        <f>SUM(V61:Y61)</f>
        <v>0</v>
      </c>
      <c r="AA61" s="47"/>
      <c r="AB61" s="47"/>
      <c r="AC61" s="47"/>
      <c r="AD61" s="47"/>
      <c r="AE61" s="45">
        <f>SUM(AA61:AD61)</f>
        <v>0</v>
      </c>
      <c r="AF61" s="47">
        <v>0</v>
      </c>
      <c r="AG61" s="47">
        <v>0</v>
      </c>
      <c r="AH61" s="47">
        <v>0</v>
      </c>
      <c r="AI61" s="47">
        <v>0</v>
      </c>
      <c r="AJ61" s="45">
        <f>SUM(AF61:AI61)</f>
        <v>0</v>
      </c>
      <c r="AK61" s="47">
        <v>0</v>
      </c>
      <c r="AL61" s="47">
        <v>0</v>
      </c>
      <c r="AM61" s="47">
        <v>0</v>
      </c>
      <c r="AN61" s="47">
        <v>0</v>
      </c>
      <c r="AO61" s="45">
        <f>SUM(AK61:AN61)</f>
        <v>0</v>
      </c>
      <c r="AP61" s="47">
        <v>0</v>
      </c>
      <c r="AQ61" s="47">
        <v>0</v>
      </c>
      <c r="AR61" s="47">
        <v>0</v>
      </c>
      <c r="AS61" s="47">
        <v>0</v>
      </c>
      <c r="AT61" s="45">
        <f>SUM(AP61:AS61)</f>
        <v>0</v>
      </c>
      <c r="AU61" s="57">
        <v>0</v>
      </c>
      <c r="AV61" s="46">
        <v>0</v>
      </c>
      <c r="AW61" s="46">
        <v>0</v>
      </c>
      <c r="AX61" s="46">
        <v>0</v>
      </c>
      <c r="AY61" s="45">
        <f>SUM(AU61:AX61)</f>
        <v>0</v>
      </c>
      <c r="AZ61" s="171">
        <v>0</v>
      </c>
      <c r="BA61" s="46">
        <v>0</v>
      </c>
      <c r="BB61" s="46">
        <v>0</v>
      </c>
      <c r="BC61" s="46">
        <v>0</v>
      </c>
      <c r="BD61" s="45">
        <f>SUM(AZ61:BC61)</f>
        <v>0</v>
      </c>
      <c r="BE61" s="171">
        <v>0</v>
      </c>
      <c r="BF61" s="46">
        <v>0</v>
      </c>
      <c r="BG61" s="46">
        <v>0</v>
      </c>
      <c r="BH61" s="46">
        <v>0</v>
      </c>
      <c r="BI61" s="79">
        <f>SUM(BE61:BH61)</f>
        <v>0</v>
      </c>
      <c r="BJ61" s="171">
        <v>0</v>
      </c>
      <c r="BK61" s="251">
        <v>0</v>
      </c>
      <c r="BL61" s="251">
        <v>0</v>
      </c>
      <c r="BM61" s="251">
        <v>0</v>
      </c>
      <c r="BN61" s="79">
        <f>SUM(BJ61:BM61)</f>
        <v>0</v>
      </c>
      <c r="BO61" s="251">
        <v>0</v>
      </c>
      <c r="BP61" s="251">
        <v>0</v>
      </c>
      <c r="BQ61" s="251">
        <v>0</v>
      </c>
      <c r="BR61" s="251">
        <v>0</v>
      </c>
      <c r="BS61" s="79">
        <f>SUM(BO61:BR61)</f>
        <v>0</v>
      </c>
      <c r="BT61" s="251">
        <v>0</v>
      </c>
      <c r="BU61" s="251">
        <v>0</v>
      </c>
      <c r="BV61" s="251">
        <v>0</v>
      </c>
      <c r="BW61" s="251">
        <v>0</v>
      </c>
      <c r="BX61" s="79">
        <f>SUM(BT61:BW61)</f>
        <v>0</v>
      </c>
      <c r="BY61" s="119">
        <v>0</v>
      </c>
      <c r="BZ61" s="119">
        <v>0</v>
      </c>
      <c r="CA61" s="119">
        <v>0</v>
      </c>
      <c r="CB61" s="287"/>
      <c r="CC61" s="1360"/>
      <c r="CD61" s="57" t="str">
        <f>A61</f>
        <v xml:space="preserve">  Non-GAAP Adjustments</v>
      </c>
      <c r="CE61" s="46">
        <f>B61</f>
        <v>0</v>
      </c>
      <c r="CF61" s="46">
        <f>C61</f>
        <v>0</v>
      </c>
      <c r="CG61" s="46">
        <f>D61</f>
        <v>0</v>
      </c>
      <c r="CH61" s="46">
        <f>E61</f>
        <v>0</v>
      </c>
      <c r="CI61" s="46">
        <f>F61</f>
        <v>0</v>
      </c>
      <c r="CJ61" s="46">
        <f>K61</f>
        <v>0</v>
      </c>
      <c r="CK61" s="46">
        <f>P61</f>
        <v>0</v>
      </c>
      <c r="CL61" s="46">
        <f>U61</f>
        <v>0</v>
      </c>
      <c r="CM61" s="46">
        <f>Z61</f>
        <v>0</v>
      </c>
      <c r="CN61" s="46">
        <f>AE61</f>
        <v>0</v>
      </c>
      <c r="CO61" s="46">
        <f>AJ61</f>
        <v>0</v>
      </c>
      <c r="CP61" s="46">
        <f>AO61</f>
        <v>0</v>
      </c>
      <c r="CQ61" s="46">
        <f>AT61</f>
        <v>0</v>
      </c>
      <c r="CR61" s="46">
        <f>AY61</f>
        <v>0</v>
      </c>
      <c r="CS61" s="46">
        <f>BD61</f>
        <v>0</v>
      </c>
      <c r="CT61" s="46">
        <f>BI61</f>
        <v>0</v>
      </c>
      <c r="CU61" s="46">
        <f>BN61</f>
        <v>0</v>
      </c>
      <c r="CV61" s="46">
        <f>BS61</f>
        <v>0</v>
      </c>
      <c r="CW61" s="46">
        <f t="shared" si="100"/>
        <v>0</v>
      </c>
      <c r="CX61" s="46">
        <f t="shared" si="100"/>
        <v>0</v>
      </c>
      <c r="CY61" s="46">
        <f t="shared" si="100"/>
        <v>0</v>
      </c>
      <c r="CZ61" s="44">
        <f t="shared" si="100"/>
        <v>0</v>
      </c>
      <c r="DA61" s="86"/>
      <c r="DB61" s="59">
        <f>SUM(BC61,AZ61,BA61,BB61)</f>
        <v>0</v>
      </c>
      <c r="DC61"/>
      <c r="DD61"/>
      <c r="DE61"/>
      <c r="DF61"/>
      <c r="DG61"/>
      <c r="DH61"/>
    </row>
    <row r="62" spans="1:112" ht="6" customHeight="1">
      <c r="A62" s="274"/>
      <c r="B62" s="220"/>
      <c r="C62" s="221"/>
      <c r="D62" s="221"/>
      <c r="E62" s="221"/>
      <c r="F62" s="221"/>
      <c r="G62" s="222"/>
      <c r="H62" s="222"/>
      <c r="I62" s="222"/>
      <c r="J62" s="222"/>
      <c r="K62" s="221"/>
      <c r="L62" s="222"/>
      <c r="M62" s="222"/>
      <c r="N62" s="222"/>
      <c r="O62" s="222"/>
      <c r="P62" s="221"/>
      <c r="Q62" s="222"/>
      <c r="R62" s="222"/>
      <c r="S62" s="222"/>
      <c r="T62" s="222"/>
      <c r="U62" s="221"/>
      <c r="V62" s="222"/>
      <c r="W62" s="222"/>
      <c r="X62" s="222"/>
      <c r="Y62" s="222"/>
      <c r="Z62" s="275"/>
      <c r="AA62" s="276"/>
      <c r="AB62" s="276"/>
      <c r="AC62" s="276"/>
      <c r="AD62" s="276"/>
      <c r="AE62" s="275"/>
      <c r="AF62" s="276"/>
      <c r="AG62" s="276"/>
      <c r="AH62" s="276"/>
      <c r="AI62" s="276"/>
      <c r="AJ62" s="275"/>
      <c r="AK62" s="276"/>
      <c r="AL62" s="276"/>
      <c r="AM62" s="276"/>
      <c r="AN62" s="276"/>
      <c r="AO62" s="275"/>
      <c r="AP62" s="276"/>
      <c r="AQ62" s="276"/>
      <c r="AR62" s="276"/>
      <c r="AS62" s="276"/>
      <c r="AT62" s="275"/>
      <c r="AU62" s="284"/>
      <c r="AV62" s="276"/>
      <c r="AW62" s="276"/>
      <c r="AX62" s="276"/>
      <c r="AY62" s="275"/>
      <c r="AZ62" s="277"/>
      <c r="BA62" s="276"/>
      <c r="BB62" s="276"/>
      <c r="BC62" s="276"/>
      <c r="BD62" s="275"/>
      <c r="BE62" s="277"/>
      <c r="BF62" s="276"/>
      <c r="BG62" s="276"/>
      <c r="BH62" s="276"/>
      <c r="BI62" s="279"/>
      <c r="BJ62" s="277"/>
      <c r="BK62" s="278"/>
      <c r="BL62" s="278"/>
      <c r="BM62" s="278"/>
      <c r="BN62" s="279"/>
      <c r="BO62" s="278"/>
      <c r="BP62" s="278"/>
      <c r="BQ62" s="278"/>
      <c r="BR62" s="278"/>
      <c r="BS62" s="279"/>
      <c r="BT62" s="278"/>
      <c r="BU62" s="278"/>
      <c r="BV62" s="278"/>
      <c r="BW62" s="278"/>
      <c r="BX62" s="279"/>
      <c r="BY62" s="280"/>
      <c r="BZ62" s="280"/>
      <c r="CA62" s="280"/>
      <c r="CB62" s="173"/>
      <c r="CC62" s="1361"/>
      <c r="CD62" s="281"/>
      <c r="CE62" s="222"/>
      <c r="CF62" s="222"/>
      <c r="CG62" s="222"/>
      <c r="CH62" s="222"/>
      <c r="CI62" s="222"/>
      <c r="CJ62" s="222"/>
      <c r="CK62" s="222"/>
      <c r="CL62" s="222"/>
      <c r="CM62" s="222"/>
      <c r="CN62" s="222"/>
      <c r="CO62" s="222"/>
      <c r="CP62" s="222"/>
      <c r="CQ62" s="222"/>
      <c r="CR62" s="222"/>
      <c r="CS62" s="222"/>
      <c r="CT62" s="222"/>
      <c r="CU62" s="222"/>
      <c r="CV62" s="222"/>
      <c r="CW62" s="222"/>
      <c r="CX62" s="222"/>
      <c r="CY62" s="222"/>
      <c r="CZ62" s="228"/>
      <c r="DA62" s="58"/>
      <c r="DB62" s="282"/>
    </row>
    <row r="63" spans="1:112" s="70" customFormat="1" ht="12" customHeight="1">
      <c r="A63" s="219" t="s">
        <v>92</v>
      </c>
      <c r="B63" s="220">
        <f t="shared" ref="B63:BM63" si="101">B51+B58</f>
        <v>377.03099999999966</v>
      </c>
      <c r="C63" s="221">
        <f t="shared" si="101"/>
        <v>580.82550000000003</v>
      </c>
      <c r="D63" s="221">
        <f t="shared" si="101"/>
        <v>607.58670000000006</v>
      </c>
      <c r="E63" s="221">
        <f t="shared" si="101"/>
        <v>756.41000000000042</v>
      </c>
      <c r="F63" s="221">
        <f t="shared" si="101"/>
        <v>858.42885199999932</v>
      </c>
      <c r="G63" s="222">
        <f t="shared" si="101"/>
        <v>88.690400000000153</v>
      </c>
      <c r="H63" s="222">
        <f t="shared" si="101"/>
        <v>220.96100000000001</v>
      </c>
      <c r="I63" s="222">
        <f t="shared" si="101"/>
        <v>391.63620000000003</v>
      </c>
      <c r="J63" s="222">
        <f t="shared" si="101"/>
        <v>212.06078473016544</v>
      </c>
      <c r="K63" s="221">
        <f t="shared" si="101"/>
        <v>913.34838473016532</v>
      </c>
      <c r="L63" s="222">
        <f t="shared" si="101"/>
        <v>133.36847500000005</v>
      </c>
      <c r="M63" s="222">
        <f t="shared" si="101"/>
        <v>277.07800000000026</v>
      </c>
      <c r="N63" s="222">
        <f t="shared" si="101"/>
        <v>452.01799999999992</v>
      </c>
      <c r="O63" s="222">
        <f t="shared" si="101"/>
        <v>177.5330249999999</v>
      </c>
      <c r="P63" s="221">
        <f t="shared" si="101"/>
        <v>1039.9975000000009</v>
      </c>
      <c r="Q63" s="222">
        <f t="shared" si="101"/>
        <v>81.109999999999786</v>
      </c>
      <c r="R63" s="222">
        <f t="shared" si="101"/>
        <v>226.70359999999994</v>
      </c>
      <c r="S63" s="222">
        <f t="shared" si="101"/>
        <v>404.39320000000032</v>
      </c>
      <c r="T63" s="222">
        <f t="shared" si="101"/>
        <v>131.91140000000036</v>
      </c>
      <c r="U63" s="221">
        <f t="shared" si="101"/>
        <v>844.11819999999932</v>
      </c>
      <c r="V63" s="222">
        <f t="shared" si="101"/>
        <v>63.003999999999884</v>
      </c>
      <c r="W63" s="222">
        <f t="shared" si="101"/>
        <v>181.8419389999998</v>
      </c>
      <c r="X63" s="222">
        <f t="shared" si="101"/>
        <v>336.11100000000016</v>
      </c>
      <c r="Y63" s="222">
        <f t="shared" si="101"/>
        <v>161.29406099999963</v>
      </c>
      <c r="Z63" s="221">
        <f t="shared" si="101"/>
        <v>742.25100000000089</v>
      </c>
      <c r="AA63" s="222">
        <f t="shared" si="101"/>
        <v>103.30000000000004</v>
      </c>
      <c r="AB63" s="222">
        <f t="shared" si="101"/>
        <v>191.09999999999982</v>
      </c>
      <c r="AC63" s="222">
        <f t="shared" si="101"/>
        <v>374.40000000000015</v>
      </c>
      <c r="AD63" s="222">
        <f t="shared" si="101"/>
        <v>171.20500000000018</v>
      </c>
      <c r="AE63" s="221">
        <f t="shared" si="101"/>
        <v>840.00499999999931</v>
      </c>
      <c r="AF63" s="222">
        <f t="shared" si="101"/>
        <v>121</v>
      </c>
      <c r="AG63" s="222">
        <f t="shared" si="101"/>
        <v>211</v>
      </c>
      <c r="AH63" s="222">
        <f t="shared" si="101"/>
        <v>366.79999999999995</v>
      </c>
      <c r="AI63" s="222">
        <f t="shared" si="101"/>
        <v>133</v>
      </c>
      <c r="AJ63" s="221">
        <f t="shared" si="101"/>
        <v>831.80000000000018</v>
      </c>
      <c r="AK63" s="222">
        <f t="shared" si="101"/>
        <v>177</v>
      </c>
      <c r="AL63" s="222">
        <f t="shared" si="101"/>
        <v>200</v>
      </c>
      <c r="AM63" s="222">
        <f t="shared" si="101"/>
        <v>200</v>
      </c>
      <c r="AN63" s="222">
        <f t="shared" si="101"/>
        <v>206</v>
      </c>
      <c r="AO63" s="221">
        <f t="shared" si="101"/>
        <v>783</v>
      </c>
      <c r="AP63" s="222">
        <f t="shared" si="101"/>
        <v>228</v>
      </c>
      <c r="AQ63" s="222">
        <f t="shared" si="101"/>
        <v>257</v>
      </c>
      <c r="AR63" s="222">
        <f t="shared" si="101"/>
        <v>211</v>
      </c>
      <c r="AS63" s="222">
        <f t="shared" si="101"/>
        <v>216</v>
      </c>
      <c r="AT63" s="221">
        <f t="shared" si="101"/>
        <v>912</v>
      </c>
      <c r="AU63" s="220">
        <f t="shared" si="101"/>
        <v>241.01</v>
      </c>
      <c r="AV63" s="222">
        <f t="shared" si="101"/>
        <v>285.5</v>
      </c>
      <c r="AW63" s="222">
        <f t="shared" si="101"/>
        <v>281</v>
      </c>
      <c r="AX63" s="222">
        <f t="shared" si="101"/>
        <v>265</v>
      </c>
      <c r="AY63" s="221">
        <f t="shared" si="101"/>
        <v>1072.51</v>
      </c>
      <c r="AZ63" s="223">
        <f t="shared" si="101"/>
        <v>299</v>
      </c>
      <c r="BA63" s="222">
        <f t="shared" si="101"/>
        <v>334.9</v>
      </c>
      <c r="BB63" s="222">
        <f t="shared" si="101"/>
        <v>325</v>
      </c>
      <c r="BC63" s="222">
        <f t="shared" si="101"/>
        <v>284</v>
      </c>
      <c r="BD63" s="221">
        <f t="shared" si="101"/>
        <v>1242.9000000000001</v>
      </c>
      <c r="BE63" s="223">
        <f t="shared" si="101"/>
        <v>304</v>
      </c>
      <c r="BF63" s="222">
        <f t="shared" si="101"/>
        <v>370</v>
      </c>
      <c r="BG63" s="222">
        <f t="shared" si="101"/>
        <v>364</v>
      </c>
      <c r="BH63" s="222">
        <f t="shared" si="101"/>
        <v>318</v>
      </c>
      <c r="BI63" s="225">
        <f t="shared" si="101"/>
        <v>1356</v>
      </c>
      <c r="BJ63" s="223">
        <f t="shared" si="101"/>
        <v>407</v>
      </c>
      <c r="BK63" s="224">
        <f t="shared" si="101"/>
        <v>429</v>
      </c>
      <c r="BL63" s="224">
        <f t="shared" si="101"/>
        <v>426</v>
      </c>
      <c r="BM63" s="224">
        <f t="shared" si="101"/>
        <v>458</v>
      </c>
      <c r="BN63" s="225">
        <f t="shared" ref="BN63:BZ63" si="102">BN51+BN58</f>
        <v>1720</v>
      </c>
      <c r="BO63" s="224">
        <f t="shared" si="102"/>
        <v>491</v>
      </c>
      <c r="BP63" s="224">
        <f t="shared" si="102"/>
        <v>516.27765398176155</v>
      </c>
      <c r="BQ63" s="224">
        <f t="shared" si="102"/>
        <v>501.58598024494586</v>
      </c>
      <c r="BR63" s="224">
        <f t="shared" si="102"/>
        <v>524.01642852350653</v>
      </c>
      <c r="BS63" s="225">
        <f t="shared" si="102"/>
        <v>2032.8800627502137</v>
      </c>
      <c r="BT63" s="224">
        <f t="shared" ref="BT63:BX63" si="103">BT51+BT58</f>
        <v>529.72159998453765</v>
      </c>
      <c r="BU63" s="224">
        <f t="shared" si="103"/>
        <v>569.39057781856923</v>
      </c>
      <c r="BV63" s="224">
        <f t="shared" si="103"/>
        <v>554.89689699477572</v>
      </c>
      <c r="BW63" s="224">
        <f t="shared" si="103"/>
        <v>578.36736437681543</v>
      </c>
      <c r="BX63" s="225">
        <f t="shared" si="103"/>
        <v>2232.3764391746981</v>
      </c>
      <c r="BY63" s="226">
        <f t="shared" si="102"/>
        <v>2385.8773254809907</v>
      </c>
      <c r="BZ63" s="226">
        <f t="shared" si="102"/>
        <v>2555.4273521465598</v>
      </c>
      <c r="CA63" s="226">
        <f t="shared" ref="CA63" si="104">CA51+CA58</f>
        <v>2714.4698234743423</v>
      </c>
      <c r="CB63" s="118">
        <f t="shared" ref="CB63:CB64" si="105">(CA63/BN63)^(1/5)-1</f>
        <v>9.5547757483476881E-2</v>
      </c>
      <c r="CC63" s="1359"/>
      <c r="CD63" s="227" t="str">
        <f>A63</f>
        <v>Adjusted Net Income - Cont Ops plus adjustments</v>
      </c>
      <c r="CE63" s="222">
        <f t="shared" ref="CE63:CN63" si="106">CE51+CE58</f>
        <v>377.03099999999966</v>
      </c>
      <c r="CF63" s="222">
        <f t="shared" si="106"/>
        <v>580.82550000000003</v>
      </c>
      <c r="CG63" s="222">
        <f t="shared" si="106"/>
        <v>607.58670000000006</v>
      </c>
      <c r="CH63" s="222">
        <f t="shared" si="106"/>
        <v>756.41000000000042</v>
      </c>
      <c r="CI63" s="222">
        <f t="shared" si="106"/>
        <v>858.42885199999932</v>
      </c>
      <c r="CJ63" s="222">
        <f t="shared" si="106"/>
        <v>913.34838473016532</v>
      </c>
      <c r="CK63" s="222">
        <f t="shared" si="106"/>
        <v>1039.9975000000009</v>
      </c>
      <c r="CL63" s="222">
        <f t="shared" si="106"/>
        <v>844.11819999999932</v>
      </c>
      <c r="CM63" s="222">
        <f t="shared" si="106"/>
        <v>742.25100000000089</v>
      </c>
      <c r="CN63" s="222">
        <f t="shared" si="106"/>
        <v>840.00499999999931</v>
      </c>
      <c r="CO63" s="222">
        <f>CO51+CO58</f>
        <v>1347.7999999999997</v>
      </c>
      <c r="CP63" s="222">
        <f>AO63</f>
        <v>783</v>
      </c>
      <c r="CQ63" s="222">
        <f>AT63</f>
        <v>912</v>
      </c>
      <c r="CR63" s="222">
        <f>AY63</f>
        <v>1072.51</v>
      </c>
      <c r="CS63" s="222">
        <f>BD63</f>
        <v>1242.9000000000001</v>
      </c>
      <c r="CT63" s="222">
        <f>BI63</f>
        <v>1356</v>
      </c>
      <c r="CU63" s="222">
        <f>BN63</f>
        <v>1720</v>
      </c>
      <c r="CV63" s="222">
        <f>BS63</f>
        <v>2032.8800627502137</v>
      </c>
      <c r="CW63" s="222">
        <f t="shared" ref="CW63:CZ64" si="107">BX63</f>
        <v>2232.3764391746981</v>
      </c>
      <c r="CX63" s="222">
        <f t="shared" si="107"/>
        <v>2385.8773254809907</v>
      </c>
      <c r="CY63" s="222">
        <f t="shared" si="107"/>
        <v>2555.4273521465598</v>
      </c>
      <c r="CZ63" s="228">
        <f t="shared" si="107"/>
        <v>2714.4698234743423</v>
      </c>
      <c r="DA63" s="74"/>
      <c r="DB63" s="59">
        <f>SUM(BO63,BP63,BQ63,BR63)</f>
        <v>2032.8800627502137</v>
      </c>
      <c r="DC63"/>
      <c r="DD63"/>
      <c r="DE63"/>
      <c r="DF63"/>
      <c r="DG63"/>
      <c r="DH63"/>
    </row>
    <row r="64" spans="1:112" s="14" customFormat="1" ht="10.5" customHeight="1">
      <c r="A64" s="219" t="s">
        <v>93</v>
      </c>
      <c r="B64" s="220">
        <f t="shared" ref="B64:BM64" si="108">B63+B53</f>
        <v>377.03099999999966</v>
      </c>
      <c r="C64" s="221">
        <f t="shared" si="108"/>
        <v>585.61950000000002</v>
      </c>
      <c r="D64" s="221">
        <f t="shared" si="108"/>
        <v>607.42570000000012</v>
      </c>
      <c r="E64" s="221">
        <f t="shared" si="108"/>
        <v>755.82300000000043</v>
      </c>
      <c r="F64" s="221">
        <f t="shared" si="108"/>
        <v>858.42885199999932</v>
      </c>
      <c r="G64" s="222">
        <f t="shared" si="108"/>
        <v>88.690400000000153</v>
      </c>
      <c r="H64" s="222">
        <f t="shared" si="108"/>
        <v>220.96100000000001</v>
      </c>
      <c r="I64" s="222">
        <f t="shared" si="108"/>
        <v>391.63620000000003</v>
      </c>
      <c r="J64" s="222">
        <f t="shared" si="108"/>
        <v>212.06078473016544</v>
      </c>
      <c r="K64" s="221">
        <f t="shared" si="108"/>
        <v>913.34838473016532</v>
      </c>
      <c r="L64" s="222">
        <f t="shared" si="108"/>
        <v>133.36847500000005</v>
      </c>
      <c r="M64" s="222">
        <f t="shared" si="108"/>
        <v>277.07800000000026</v>
      </c>
      <c r="N64" s="222">
        <f t="shared" si="108"/>
        <v>452.01799999999992</v>
      </c>
      <c r="O64" s="222">
        <f t="shared" si="108"/>
        <v>177.5330249999999</v>
      </c>
      <c r="P64" s="221">
        <f t="shared" si="108"/>
        <v>1039.9975000000009</v>
      </c>
      <c r="Q64" s="222">
        <f t="shared" si="108"/>
        <v>81.109999999999786</v>
      </c>
      <c r="R64" s="222">
        <f t="shared" si="108"/>
        <v>226.70359999999994</v>
      </c>
      <c r="S64" s="222">
        <f t="shared" si="108"/>
        <v>404.39320000000032</v>
      </c>
      <c r="T64" s="222">
        <f t="shared" si="108"/>
        <v>131.91140000000036</v>
      </c>
      <c r="U64" s="221">
        <f t="shared" si="108"/>
        <v>844.11819999999932</v>
      </c>
      <c r="V64" s="222">
        <f t="shared" si="108"/>
        <v>63.003999999999884</v>
      </c>
      <c r="W64" s="222">
        <f t="shared" si="108"/>
        <v>181.8419389999998</v>
      </c>
      <c r="X64" s="222">
        <f t="shared" si="108"/>
        <v>336.11100000000016</v>
      </c>
      <c r="Y64" s="222">
        <f t="shared" si="108"/>
        <v>161.29406099999963</v>
      </c>
      <c r="Z64" s="221">
        <f t="shared" si="108"/>
        <v>742.25100000000089</v>
      </c>
      <c r="AA64" s="222">
        <f t="shared" si="108"/>
        <v>103.30000000000004</v>
      </c>
      <c r="AB64" s="222">
        <f t="shared" si="108"/>
        <v>191.09999999999982</v>
      </c>
      <c r="AC64" s="222">
        <f t="shared" si="108"/>
        <v>375.10000000000014</v>
      </c>
      <c r="AD64" s="222">
        <f t="shared" si="108"/>
        <v>170.50500000000019</v>
      </c>
      <c r="AE64" s="221">
        <f t="shared" si="108"/>
        <v>840.00499999999931</v>
      </c>
      <c r="AF64" s="222">
        <f t="shared" si="108"/>
        <v>120</v>
      </c>
      <c r="AG64" s="222">
        <f t="shared" si="108"/>
        <v>211</v>
      </c>
      <c r="AH64" s="222">
        <f t="shared" si="108"/>
        <v>365.69999999999993</v>
      </c>
      <c r="AI64" s="228">
        <f t="shared" si="108"/>
        <v>241</v>
      </c>
      <c r="AJ64" s="228">
        <f t="shared" si="108"/>
        <v>937.70000000000016</v>
      </c>
      <c r="AK64" s="222">
        <f t="shared" si="108"/>
        <v>141</v>
      </c>
      <c r="AL64" s="222">
        <f t="shared" si="108"/>
        <v>240</v>
      </c>
      <c r="AM64" s="222">
        <f t="shared" si="108"/>
        <v>365</v>
      </c>
      <c r="AN64" s="222">
        <f t="shared" si="108"/>
        <v>-198</v>
      </c>
      <c r="AO64" s="221">
        <f t="shared" si="108"/>
        <v>548</v>
      </c>
      <c r="AP64" s="222">
        <f t="shared" si="108"/>
        <v>810</v>
      </c>
      <c r="AQ64" s="222">
        <f t="shared" si="108"/>
        <v>261</v>
      </c>
      <c r="AR64" s="222">
        <f t="shared" si="108"/>
        <v>198</v>
      </c>
      <c r="AS64" s="222">
        <f t="shared" si="108"/>
        <v>222</v>
      </c>
      <c r="AT64" s="221">
        <f t="shared" si="108"/>
        <v>1491</v>
      </c>
      <c r="AU64" s="220">
        <f t="shared" si="108"/>
        <v>248.01</v>
      </c>
      <c r="AV64" s="222">
        <f t="shared" si="108"/>
        <v>291.5</v>
      </c>
      <c r="AW64" s="222">
        <f t="shared" si="108"/>
        <v>283</v>
      </c>
      <c r="AX64" s="222">
        <f t="shared" si="108"/>
        <v>428</v>
      </c>
      <c r="AY64" s="221">
        <f t="shared" si="108"/>
        <v>1250.51</v>
      </c>
      <c r="AZ64" s="223">
        <f t="shared" si="108"/>
        <v>299</v>
      </c>
      <c r="BA64" s="222">
        <f t="shared" si="108"/>
        <v>334.9</v>
      </c>
      <c r="BB64" s="222">
        <f t="shared" si="108"/>
        <v>325</v>
      </c>
      <c r="BC64" s="222">
        <f t="shared" si="108"/>
        <v>284</v>
      </c>
      <c r="BD64" s="221">
        <f t="shared" si="108"/>
        <v>1242.9000000000001</v>
      </c>
      <c r="BE64" s="223">
        <f t="shared" si="108"/>
        <v>304</v>
      </c>
      <c r="BF64" s="222">
        <f t="shared" si="108"/>
        <v>370</v>
      </c>
      <c r="BG64" s="222">
        <f t="shared" si="108"/>
        <v>364</v>
      </c>
      <c r="BH64" s="222">
        <f t="shared" si="108"/>
        <v>318</v>
      </c>
      <c r="BI64" s="225">
        <f t="shared" si="108"/>
        <v>1356</v>
      </c>
      <c r="BJ64" s="223">
        <f t="shared" si="108"/>
        <v>407</v>
      </c>
      <c r="BK64" s="224">
        <f t="shared" si="108"/>
        <v>429</v>
      </c>
      <c r="BL64" s="224">
        <f t="shared" si="108"/>
        <v>426</v>
      </c>
      <c r="BM64" s="224">
        <f t="shared" si="108"/>
        <v>458</v>
      </c>
      <c r="BN64" s="225">
        <f t="shared" ref="BN64:BY64" si="109">BN63+BN53</f>
        <v>1720</v>
      </c>
      <c r="BO64" s="224">
        <f t="shared" si="109"/>
        <v>491</v>
      </c>
      <c r="BP64" s="224">
        <f t="shared" si="109"/>
        <v>516.27765398176155</v>
      </c>
      <c r="BQ64" s="224">
        <f t="shared" si="109"/>
        <v>501.58598024494586</v>
      </c>
      <c r="BR64" s="224">
        <f t="shared" si="109"/>
        <v>524.01642852350653</v>
      </c>
      <c r="BS64" s="225">
        <f t="shared" si="109"/>
        <v>2032.8800627502137</v>
      </c>
      <c r="BT64" s="224">
        <f t="shared" ref="BT64:BX64" si="110">BT63+BT53</f>
        <v>529.72159998453765</v>
      </c>
      <c r="BU64" s="224">
        <f t="shared" si="110"/>
        <v>569.39057781856923</v>
      </c>
      <c r="BV64" s="224">
        <f t="shared" si="110"/>
        <v>554.89689699477572</v>
      </c>
      <c r="BW64" s="224">
        <f t="shared" si="110"/>
        <v>578.36736437681543</v>
      </c>
      <c r="BX64" s="225">
        <f t="shared" si="110"/>
        <v>2232.3764391746981</v>
      </c>
      <c r="BY64" s="225">
        <f t="shared" si="109"/>
        <v>2385.8773254809907</v>
      </c>
      <c r="BZ64" s="225">
        <f>BZ63+BZ53</f>
        <v>2555.4273521465598</v>
      </c>
      <c r="CA64" s="225">
        <f>CA63+CA53</f>
        <v>2714.4698234743423</v>
      </c>
      <c r="CB64" s="118">
        <f t="shared" si="105"/>
        <v>9.5547757483476881E-2</v>
      </c>
      <c r="CC64" s="1371"/>
      <c r="CD64" s="227" t="str">
        <f>A64</f>
        <v>Adjusted Net Income</v>
      </c>
      <c r="CE64" s="222">
        <f t="shared" ref="CE64:CN64" si="111">CE63+CE53</f>
        <v>377.03099999999966</v>
      </c>
      <c r="CF64" s="222">
        <f t="shared" si="111"/>
        <v>585.61950000000002</v>
      </c>
      <c r="CG64" s="222">
        <f t="shared" si="111"/>
        <v>607.42570000000012</v>
      </c>
      <c r="CH64" s="222">
        <f t="shared" si="111"/>
        <v>755.82300000000043</v>
      </c>
      <c r="CI64" s="222">
        <f t="shared" si="111"/>
        <v>858.42885199999932</v>
      </c>
      <c r="CJ64" s="222">
        <f t="shared" si="111"/>
        <v>913.34838473016532</v>
      </c>
      <c r="CK64" s="222">
        <f t="shared" si="111"/>
        <v>1039.9975000000009</v>
      </c>
      <c r="CL64" s="222">
        <f t="shared" si="111"/>
        <v>844.11819999999932</v>
      </c>
      <c r="CM64" s="222">
        <f t="shared" si="111"/>
        <v>742.25100000000089</v>
      </c>
      <c r="CN64" s="222">
        <f t="shared" si="111"/>
        <v>840.00499999999931</v>
      </c>
      <c r="CO64" s="222">
        <f>CO63+CO53</f>
        <v>1453.6999999999998</v>
      </c>
      <c r="CP64" s="222">
        <f>AO64</f>
        <v>548</v>
      </c>
      <c r="CQ64" s="222">
        <f>AT64</f>
        <v>1491</v>
      </c>
      <c r="CR64" s="222">
        <f>AY64</f>
        <v>1250.51</v>
      </c>
      <c r="CS64" s="222">
        <f>BD64</f>
        <v>1242.9000000000001</v>
      </c>
      <c r="CT64" s="222">
        <f>BI64</f>
        <v>1356</v>
      </c>
      <c r="CU64" s="222">
        <f>BN64</f>
        <v>1720</v>
      </c>
      <c r="CV64" s="222">
        <f>BS64</f>
        <v>2032.8800627502137</v>
      </c>
      <c r="CW64" s="222">
        <f t="shared" si="107"/>
        <v>2232.3764391746981</v>
      </c>
      <c r="CX64" s="222">
        <f t="shared" si="107"/>
        <v>2385.8773254809907</v>
      </c>
      <c r="CY64" s="222">
        <f t="shared" si="107"/>
        <v>2555.4273521465598</v>
      </c>
      <c r="CZ64" s="228">
        <f t="shared" si="107"/>
        <v>2714.4698234743423</v>
      </c>
      <c r="DA64" s="74"/>
      <c r="DB64" s="59">
        <f>SUM(BO64,BP64,BQ64,BR64)</f>
        <v>2032.8800627502137</v>
      </c>
      <c r="DC64"/>
      <c r="DD64"/>
      <c r="DE64"/>
      <c r="DF64"/>
      <c r="DG64"/>
      <c r="DH64"/>
    </row>
    <row r="65" spans="1:261" ht="6" customHeight="1">
      <c r="A65" s="44"/>
      <c r="B65" s="45"/>
      <c r="C65" s="45"/>
      <c r="D65" s="45"/>
      <c r="E65" s="45"/>
      <c r="F65" s="45"/>
      <c r="G65" s="46"/>
      <c r="H65" s="47"/>
      <c r="I65" s="47"/>
      <c r="J65" s="47"/>
      <c r="K65" s="45"/>
      <c r="L65" s="47"/>
      <c r="M65" s="47"/>
      <c r="N65" s="47"/>
      <c r="O65" s="47"/>
      <c r="P65" s="45"/>
      <c r="Q65" s="47"/>
      <c r="R65" s="47"/>
      <c r="S65" s="47"/>
      <c r="T65" s="47"/>
      <c r="U65" s="45"/>
      <c r="V65" s="47"/>
      <c r="W65" s="47"/>
      <c r="X65" s="47"/>
      <c r="Y65" s="47"/>
      <c r="Z65" s="288"/>
      <c r="AA65" s="289"/>
      <c r="AB65" s="289"/>
      <c r="AC65" s="289"/>
      <c r="AD65" s="289"/>
      <c r="AE65" s="288"/>
      <c r="AF65" s="289"/>
      <c r="AG65" s="289"/>
      <c r="AH65" s="289"/>
      <c r="AI65" s="289"/>
      <c r="AJ65" s="288"/>
      <c r="AK65" s="289"/>
      <c r="AL65" s="289"/>
      <c r="AM65" s="289"/>
      <c r="AN65" s="289"/>
      <c r="AO65" s="290"/>
      <c r="AP65" s="289"/>
      <c r="AQ65" s="289"/>
      <c r="AR65" s="289"/>
      <c r="AS65" s="289"/>
      <c r="AT65" s="288"/>
      <c r="AU65" s="141"/>
      <c r="AV65" s="289"/>
      <c r="AW65" s="133"/>
      <c r="AX65" s="133"/>
      <c r="AY65" s="288"/>
      <c r="AZ65" s="291"/>
      <c r="BA65" s="133"/>
      <c r="BB65" s="133"/>
      <c r="BC65" s="133"/>
      <c r="BD65" s="288"/>
      <c r="BE65" s="291"/>
      <c r="BF65" s="133"/>
      <c r="BG65" s="133"/>
      <c r="BH65" s="133"/>
      <c r="BI65" s="150"/>
      <c r="BJ65" s="291"/>
      <c r="BK65" s="292"/>
      <c r="BL65" s="292"/>
      <c r="BM65" s="292"/>
      <c r="BN65" s="150"/>
      <c r="BO65" s="292"/>
      <c r="BP65" s="292"/>
      <c r="BQ65" s="292"/>
      <c r="BR65" s="292"/>
      <c r="BS65" s="150"/>
      <c r="BT65" s="292"/>
      <c r="BU65" s="292"/>
      <c r="BV65" s="292"/>
      <c r="BW65" s="292"/>
      <c r="BX65" s="150"/>
      <c r="BY65" s="293"/>
      <c r="BZ65" s="293"/>
      <c r="CA65" s="293"/>
      <c r="CB65" s="294"/>
      <c r="CC65" s="1361"/>
      <c r="CD65" s="141"/>
      <c r="CE65" s="46"/>
      <c r="CF65" s="46"/>
      <c r="CG65" s="46"/>
      <c r="CH65" s="46"/>
      <c r="CI65" s="46"/>
      <c r="CJ65" s="46"/>
      <c r="CK65" s="46"/>
      <c r="CL65" s="46"/>
      <c r="CM65" s="46"/>
      <c r="CN65" s="46"/>
      <c r="CO65" s="46"/>
      <c r="CP65" s="46"/>
      <c r="CQ65" s="46"/>
      <c r="CR65" s="46"/>
      <c r="CS65" s="46"/>
      <c r="CT65" s="46"/>
      <c r="CU65" s="46"/>
      <c r="CV65" s="46"/>
      <c r="CW65" s="46"/>
      <c r="CX65" s="46"/>
      <c r="CY65" s="46"/>
      <c r="CZ65" s="44"/>
      <c r="DA65" s="58"/>
      <c r="DB65" s="59"/>
    </row>
    <row r="66" spans="1:261" s="82" customFormat="1" ht="12" hidden="1" customHeight="1" outlineLevel="1">
      <c r="A66" s="44" t="s">
        <v>94</v>
      </c>
      <c r="B66" s="45">
        <f>205.83891-12.620573</f>
        <v>193.21833699999999</v>
      </c>
      <c r="C66" s="45">
        <f>205.853583-14.021056</f>
        <v>191.832527</v>
      </c>
      <c r="D66" s="45">
        <f>205.854086-15.45788</f>
        <v>190.39620600000001</v>
      </c>
      <c r="E66" s="45">
        <f>411.709328-32.08241</f>
        <v>379.62691800000005</v>
      </c>
      <c r="F66" s="45">
        <f>411.709328-39.011219</f>
        <v>372.69810900000004</v>
      </c>
      <c r="G66" s="46">
        <v>357.8</v>
      </c>
      <c r="H66" s="47">
        <v>351.9</v>
      </c>
      <c r="I66" s="47">
        <v>354.2</v>
      </c>
      <c r="J66" s="47">
        <f>411.709328-57.750506</f>
        <v>353.95882200000005</v>
      </c>
      <c r="K66" s="45">
        <f>J66</f>
        <v>353.95882200000005</v>
      </c>
      <c r="L66" s="47">
        <v>343.2</v>
      </c>
      <c r="M66" s="47">
        <v>338.9</v>
      </c>
      <c r="N66" s="47">
        <v>329</v>
      </c>
      <c r="O66" s="47">
        <f>411.709328-89.341682</f>
        <v>322.36764600000004</v>
      </c>
      <c r="P66" s="45">
        <f>O66</f>
        <v>322.36764600000004</v>
      </c>
      <c r="Q66" s="47">
        <v>321.3</v>
      </c>
      <c r="R66" s="47">
        <v>317.60000000000002</v>
      </c>
      <c r="S66" s="47">
        <v>314.5</v>
      </c>
      <c r="T66" s="47">
        <f>411.709328-97.303901</f>
        <v>314.40542700000003</v>
      </c>
      <c r="U66" s="45">
        <f>T66</f>
        <v>314.40542700000003</v>
      </c>
      <c r="V66" s="47">
        <v>314.5</v>
      </c>
      <c r="W66" s="47">
        <v>314.8</v>
      </c>
      <c r="X66" s="47">
        <v>314.89999999999998</v>
      </c>
      <c r="Y66" s="47">
        <f>411.709328-96.368589</f>
        <v>315.34073900000004</v>
      </c>
      <c r="Z66" s="45">
        <f>Y66</f>
        <v>315.34073900000004</v>
      </c>
      <c r="AA66" s="1373" t="s">
        <v>95</v>
      </c>
      <c r="AB66" s="47">
        <v>309.10000000000002</v>
      </c>
      <c r="AC66" s="47">
        <v>307</v>
      </c>
      <c r="AD66" s="47">
        <f>411.709328-104.087656</f>
        <v>307.62167200000005</v>
      </c>
      <c r="AE66" s="45">
        <f>AD66</f>
        <v>307.62167200000005</v>
      </c>
      <c r="AF66" s="47">
        <v>304.7</v>
      </c>
      <c r="AG66" s="47">
        <v>301.3</v>
      </c>
      <c r="AH66" s="47">
        <v>293.39999999999998</v>
      </c>
      <c r="AI66" s="1374">
        <v>278</v>
      </c>
      <c r="AJ66" s="1375">
        <f>AJ312</f>
        <v>278</v>
      </c>
      <c r="AK66" s="1374">
        <v>279.7</v>
      </c>
      <c r="AL66" s="1374">
        <v>280.2</v>
      </c>
      <c r="AM66" s="1374">
        <v>277.7</v>
      </c>
      <c r="AN66" s="1374">
        <f>412-133</f>
        <v>279</v>
      </c>
      <c r="AO66" s="1375">
        <f>AO312</f>
        <v>279</v>
      </c>
      <c r="AP66" s="1374">
        <v>274.10000000000002</v>
      </c>
      <c r="AQ66" s="1374">
        <v>275.2</v>
      </c>
      <c r="AR66" s="1374">
        <v>270.8</v>
      </c>
      <c r="AS66" s="1374">
        <v>271</v>
      </c>
      <c r="AT66" s="1375">
        <f>AT312</f>
        <v>271</v>
      </c>
      <c r="AU66" s="1376">
        <v>272.2</v>
      </c>
      <c r="AV66" s="1374">
        <v>270.89999999999998</v>
      </c>
      <c r="AW66" s="1374">
        <v>271.39999999999998</v>
      </c>
      <c r="AX66" s="1374">
        <v>272</v>
      </c>
      <c r="AY66" s="1375">
        <f>AY312</f>
        <v>272</v>
      </c>
      <c r="AZ66" s="1976">
        <v>273.7</v>
      </c>
      <c r="BA66" s="1974">
        <v>272.5</v>
      </c>
      <c r="BB66" s="1974">
        <v>270.3</v>
      </c>
      <c r="BC66" s="1971">
        <v>265.2</v>
      </c>
      <c r="BD66" s="1375">
        <f>BD312</f>
        <v>265.2</v>
      </c>
      <c r="BE66" s="1970">
        <v>264.5</v>
      </c>
      <c r="BF66" s="1974">
        <v>263.89999999999998</v>
      </c>
      <c r="BG66" s="1872">
        <v>259.10000000000002</v>
      </c>
      <c r="BH66" s="1974">
        <v>258.3</v>
      </c>
      <c r="BI66" s="1378">
        <f t="shared" ref="BI66:BZ66" si="112">BI312</f>
        <v>258.3</v>
      </c>
      <c r="BJ66" s="1970">
        <v>257.8</v>
      </c>
      <c r="BK66" s="1971">
        <v>257</v>
      </c>
      <c r="BL66" s="2170">
        <v>255</v>
      </c>
      <c r="BM66" s="2170">
        <v>253.7</v>
      </c>
      <c r="BN66" s="1378">
        <f t="shared" si="112"/>
        <v>253.7</v>
      </c>
      <c r="BO66" s="2170">
        <v>249.4</v>
      </c>
      <c r="BP66" s="1377">
        <f t="shared" si="112"/>
        <v>247.96147289671933</v>
      </c>
      <c r="BQ66" s="1377">
        <f t="shared" si="112"/>
        <v>247.10465837051555</v>
      </c>
      <c r="BR66" s="1377">
        <f t="shared" si="112"/>
        <v>245.59456283779141</v>
      </c>
      <c r="BS66" s="1378">
        <f t="shared" si="112"/>
        <v>245.59456283779141</v>
      </c>
      <c r="BT66" s="1377">
        <f t="shared" ref="BT66:BX66" si="113">BT312</f>
        <v>244.70809529367142</v>
      </c>
      <c r="BU66" s="1377">
        <f t="shared" si="113"/>
        <v>243.41029526158971</v>
      </c>
      <c r="BV66" s="1377">
        <f t="shared" si="113"/>
        <v>242.69118782455328</v>
      </c>
      <c r="BW66" s="1377">
        <f t="shared" si="113"/>
        <v>241.3158442073304</v>
      </c>
      <c r="BX66" s="1378">
        <f t="shared" si="113"/>
        <v>241.3158442073304</v>
      </c>
      <c r="BY66" s="287">
        <f t="shared" si="112"/>
        <v>237.18462535017972</v>
      </c>
      <c r="BZ66" s="287">
        <f t="shared" si="112"/>
        <v>233.00199495233548</v>
      </c>
      <c r="CA66" s="287">
        <f t="shared" ref="CA66" si="114">CA312</f>
        <v>228.76751226937421</v>
      </c>
      <c r="CB66" s="1379"/>
      <c r="CC66" s="1360"/>
      <c r="CD66" s="57" t="str">
        <f t="shared" ref="CD66:CI71" si="115">A66</f>
        <v>Basic Shares Outstanding</v>
      </c>
      <c r="CE66" s="46">
        <f t="shared" si="115"/>
        <v>193.21833699999999</v>
      </c>
      <c r="CF66" s="46">
        <f t="shared" si="115"/>
        <v>191.832527</v>
      </c>
      <c r="CG66" s="46">
        <f t="shared" si="115"/>
        <v>190.39620600000001</v>
      </c>
      <c r="CH66" s="46">
        <f t="shared" si="115"/>
        <v>379.62691800000005</v>
      </c>
      <c r="CI66" s="46">
        <f t="shared" si="115"/>
        <v>372.69810900000004</v>
      </c>
      <c r="CJ66" s="46">
        <f t="shared" ref="CJ66:CJ71" si="116">K66</f>
        <v>353.95882200000005</v>
      </c>
      <c r="CK66" s="46">
        <f t="shared" ref="CK66:CK71" si="117">P66</f>
        <v>322.36764600000004</v>
      </c>
      <c r="CL66" s="46">
        <f t="shared" ref="CL66:CL71" si="118">U66</f>
        <v>314.40542700000003</v>
      </c>
      <c r="CM66" s="46">
        <f t="shared" ref="CM66:CM71" si="119">Z66</f>
        <v>315.34073900000004</v>
      </c>
      <c r="CN66" s="46">
        <f t="shared" ref="CN66:CN71" si="120">AE66</f>
        <v>307.62167200000005</v>
      </c>
      <c r="CO66" s="46">
        <f t="shared" ref="CO66:CO71" si="121">AJ66</f>
        <v>278</v>
      </c>
      <c r="CP66" s="46">
        <f t="shared" ref="CP66:CP71" si="122">AO66</f>
        <v>279</v>
      </c>
      <c r="CQ66" s="46">
        <f t="shared" ref="CQ66:CQ71" si="123">AT66</f>
        <v>271</v>
      </c>
      <c r="CR66" s="46">
        <f t="shared" ref="CR66:CR71" si="124">AY66</f>
        <v>272</v>
      </c>
      <c r="CS66" s="46">
        <f t="shared" ref="CS66:CS71" si="125">BD66</f>
        <v>265.2</v>
      </c>
      <c r="CT66" s="46">
        <f t="shared" ref="CT66:CT71" si="126">BI66</f>
        <v>258.3</v>
      </c>
      <c r="CU66" s="46">
        <f t="shared" ref="CU66:CU71" si="127">BN66</f>
        <v>253.7</v>
      </c>
      <c r="CV66" s="46">
        <f t="shared" ref="CV66:CV71" si="128">BS66</f>
        <v>245.59456283779141</v>
      </c>
      <c r="CW66" s="46">
        <f t="shared" ref="CW66:CZ71" si="129">BX66</f>
        <v>241.3158442073304</v>
      </c>
      <c r="CX66" s="46">
        <f t="shared" si="129"/>
        <v>237.18462535017972</v>
      </c>
      <c r="CY66" s="46">
        <f t="shared" si="129"/>
        <v>233.00199495233548</v>
      </c>
      <c r="CZ66" s="44">
        <f t="shared" si="129"/>
        <v>228.76751226937421</v>
      </c>
      <c r="DA66" s="86"/>
      <c r="DB66" s="59"/>
      <c r="DC66"/>
      <c r="DD66"/>
      <c r="DE66"/>
      <c r="DF66"/>
      <c r="DG66"/>
      <c r="DH66"/>
    </row>
    <row r="67" spans="1:261" s="82" customFormat="1" ht="12" hidden="1" customHeight="1" outlineLevel="1">
      <c r="A67" s="44" t="s">
        <v>96</v>
      </c>
      <c r="B67" s="45">
        <v>193.88800000000001</v>
      </c>
      <c r="C67" s="45">
        <v>192.88800000000001</v>
      </c>
      <c r="D67" s="45">
        <v>190.49199999999999</v>
      </c>
      <c r="E67" s="45">
        <v>379.68799999999999</v>
      </c>
      <c r="F67" s="45">
        <v>375.00599999999997</v>
      </c>
      <c r="G67" s="46">
        <v>367.45600000000002</v>
      </c>
      <c r="H67" s="47">
        <v>351.9</v>
      </c>
      <c r="I67" s="47">
        <v>351.13900000000001</v>
      </c>
      <c r="J67" s="47">
        <v>352.96499999999997</v>
      </c>
      <c r="K67" s="45">
        <v>356.46699999999998</v>
      </c>
      <c r="L67" s="47">
        <v>351.21499999999997</v>
      </c>
      <c r="M67" s="47">
        <v>340.18299999999999</v>
      </c>
      <c r="N67" s="47">
        <v>330.24900000000002</v>
      </c>
      <c r="O67" s="47">
        <v>324.35000000000002</v>
      </c>
      <c r="P67" s="45">
        <v>336.21</v>
      </c>
      <c r="Q67" s="47">
        <v>319.94499999999999</v>
      </c>
      <c r="R67" s="47">
        <v>317.74599999999998</v>
      </c>
      <c r="S67" s="47">
        <v>313.10500000000002</v>
      </c>
      <c r="T67" s="47">
        <v>311.21499999999997</v>
      </c>
      <c r="U67" s="45">
        <v>315.55900000000003</v>
      </c>
      <c r="V67" s="47">
        <v>312.017</v>
      </c>
      <c r="W67" s="47">
        <v>312.226</v>
      </c>
      <c r="X67" s="47">
        <v>312.471</v>
      </c>
      <c r="Y67" s="47">
        <v>312.68700000000001</v>
      </c>
      <c r="Z67" s="45">
        <v>312.22300000000001</v>
      </c>
      <c r="AA67" s="47">
        <v>313.39999999999998</v>
      </c>
      <c r="AB67" s="47">
        <v>311.2</v>
      </c>
      <c r="AC67" s="47">
        <v>307.2</v>
      </c>
      <c r="AD67" s="47">
        <v>305.928</v>
      </c>
      <c r="AE67" s="45">
        <v>309.37900000000002</v>
      </c>
      <c r="AF67" s="47">
        <v>305.2</v>
      </c>
      <c r="AG67" s="47">
        <v>303.60000000000002</v>
      </c>
      <c r="AH67" s="47">
        <v>297.8</v>
      </c>
      <c r="AI67" s="1380">
        <v>286</v>
      </c>
      <c r="AJ67" s="1381">
        <v>298</v>
      </c>
      <c r="AK67" s="1380">
        <v>278</v>
      </c>
      <c r="AL67" s="1380">
        <v>279.7</v>
      </c>
      <c r="AM67" s="1380">
        <f>278.7</f>
        <v>278.7</v>
      </c>
      <c r="AN67" s="1380">
        <v>277.89999999999998</v>
      </c>
      <c r="AO67" s="1381">
        <v>278.60000000000002</v>
      </c>
      <c r="AP67" s="1380">
        <v>280.5</v>
      </c>
      <c r="AQ67" s="1380">
        <v>274.3</v>
      </c>
      <c r="AR67" s="1380">
        <v>272.8</v>
      </c>
      <c r="AS67" s="1380">
        <v>270.39999999999998</v>
      </c>
      <c r="AT67" s="1381">
        <v>274.5</v>
      </c>
      <c r="AU67" s="1382">
        <v>271.8</v>
      </c>
      <c r="AV67" s="1380">
        <v>271.5</v>
      </c>
      <c r="AW67" s="1380">
        <f>AVERAGE(AV66:AW66)</f>
        <v>271.14999999999998</v>
      </c>
      <c r="AX67" s="1380">
        <f>AVERAGE(AW66:AX66)</f>
        <v>271.7</v>
      </c>
      <c r="AY67" s="1383">
        <f>AVERAGE(AU67:AX67)</f>
        <v>271.53749999999997</v>
      </c>
      <c r="AZ67" s="1977">
        <v>273.5</v>
      </c>
      <c r="BA67" s="1975">
        <v>273.10000000000002</v>
      </c>
      <c r="BB67" s="1975">
        <v>271.3</v>
      </c>
      <c r="BC67" s="1973">
        <v>268.5</v>
      </c>
      <c r="BD67" s="1383">
        <f>AVERAGE(AZ67:BC67)</f>
        <v>271.60000000000002</v>
      </c>
      <c r="BE67" s="1972">
        <v>265</v>
      </c>
      <c r="BF67" s="1975">
        <v>264.5</v>
      </c>
      <c r="BG67" s="1872">
        <v>262.89999999999998</v>
      </c>
      <c r="BH67" s="1975">
        <v>258.89999999999998</v>
      </c>
      <c r="BI67" s="1385">
        <f>AVERAGE(BE67:BH67)</f>
        <v>262.82499999999999</v>
      </c>
      <c r="BJ67" s="1972">
        <v>258.2</v>
      </c>
      <c r="BK67" s="1973">
        <v>257.3</v>
      </c>
      <c r="BL67" s="2171">
        <v>255.5</v>
      </c>
      <c r="BM67" s="2171">
        <v>254.4</v>
      </c>
      <c r="BN67" s="1385">
        <f>AVERAGE(BJ67:BM67)</f>
        <v>256.35000000000002</v>
      </c>
      <c r="BO67" s="2171">
        <v>252.4</v>
      </c>
      <c r="BP67" s="1384">
        <f>AVERAGE(BO66:BP66)</f>
        <v>248.68073644835965</v>
      </c>
      <c r="BQ67" s="1384">
        <f>AVERAGE(BP66:BQ66)</f>
        <v>247.53306563361744</v>
      </c>
      <c r="BR67" s="1384">
        <f>AVERAGE(BQ66:BR66)</f>
        <v>246.3496106041535</v>
      </c>
      <c r="BS67" s="1385">
        <f>AVERAGE(BO67:BR67)</f>
        <v>248.74085317153265</v>
      </c>
      <c r="BT67" s="1384">
        <f>AVERAGE(BT66,BR66)</f>
        <v>245.15132906573143</v>
      </c>
      <c r="BU67" s="1384">
        <f>AVERAGE(BT66:BU66)</f>
        <v>244.05919527763058</v>
      </c>
      <c r="BV67" s="1384">
        <f>AVERAGE(BU66:BV66)</f>
        <v>243.0507415430715</v>
      </c>
      <c r="BW67" s="1384">
        <f>AVERAGE(BV66:BW66)</f>
        <v>242.00351601594184</v>
      </c>
      <c r="BX67" s="1385">
        <f>AVERAGE(BT67:BW67)</f>
        <v>243.56619547559384</v>
      </c>
      <c r="BY67" s="1386">
        <f>AVERAGE(BX66:BY66)</f>
        <v>239.25023477875504</v>
      </c>
      <c r="BZ67" s="1386">
        <f>AVERAGE(BY66:BZ66)</f>
        <v>235.09331015125758</v>
      </c>
      <c r="CA67" s="1386">
        <f>AVERAGE(BZ66:CA66)</f>
        <v>230.88475361085483</v>
      </c>
      <c r="CB67" s="56"/>
      <c r="CC67" s="1360"/>
      <c r="CD67" s="57" t="str">
        <f t="shared" si="115"/>
        <v>Average Basic Shares Outstanding</v>
      </c>
      <c r="CE67" s="46">
        <f t="shared" si="115"/>
        <v>193.88800000000001</v>
      </c>
      <c r="CF67" s="46">
        <f t="shared" si="115"/>
        <v>192.88800000000001</v>
      </c>
      <c r="CG67" s="46">
        <f t="shared" si="115"/>
        <v>190.49199999999999</v>
      </c>
      <c r="CH67" s="46">
        <f t="shared" si="115"/>
        <v>379.68799999999999</v>
      </c>
      <c r="CI67" s="46">
        <f t="shared" si="115"/>
        <v>375.00599999999997</v>
      </c>
      <c r="CJ67" s="46">
        <f t="shared" si="116"/>
        <v>356.46699999999998</v>
      </c>
      <c r="CK67" s="46">
        <f t="shared" si="117"/>
        <v>336.21</v>
      </c>
      <c r="CL67" s="46">
        <f t="shared" si="118"/>
        <v>315.55900000000003</v>
      </c>
      <c r="CM67" s="46">
        <f t="shared" si="119"/>
        <v>312.22300000000001</v>
      </c>
      <c r="CN67" s="46">
        <f t="shared" si="120"/>
        <v>309.37900000000002</v>
      </c>
      <c r="CO67" s="46">
        <f t="shared" si="121"/>
        <v>298</v>
      </c>
      <c r="CP67" s="46">
        <f t="shared" si="122"/>
        <v>278.60000000000002</v>
      </c>
      <c r="CQ67" s="46">
        <f t="shared" si="123"/>
        <v>274.5</v>
      </c>
      <c r="CR67" s="46">
        <f t="shared" si="124"/>
        <v>271.53749999999997</v>
      </c>
      <c r="CS67" s="46">
        <f t="shared" si="125"/>
        <v>271.60000000000002</v>
      </c>
      <c r="CT67" s="46">
        <f t="shared" si="126"/>
        <v>262.82499999999999</v>
      </c>
      <c r="CU67" s="46">
        <f t="shared" si="127"/>
        <v>256.35000000000002</v>
      </c>
      <c r="CV67" s="46">
        <f t="shared" si="128"/>
        <v>248.74085317153265</v>
      </c>
      <c r="CW67" s="46">
        <f t="shared" si="129"/>
        <v>243.56619547559384</v>
      </c>
      <c r="CX67" s="46">
        <f t="shared" si="129"/>
        <v>239.25023477875504</v>
      </c>
      <c r="CY67" s="46">
        <f t="shared" si="129"/>
        <v>235.09331015125758</v>
      </c>
      <c r="CZ67" s="44">
        <f t="shared" si="129"/>
        <v>230.88475361085483</v>
      </c>
      <c r="DA67" s="86"/>
      <c r="DB67" s="59"/>
      <c r="DC67"/>
      <c r="DD67"/>
      <c r="DE67"/>
      <c r="DF67"/>
      <c r="DG67"/>
      <c r="DH67"/>
    </row>
    <row r="68" spans="1:261" s="82" customFormat="1" ht="12" hidden="1" customHeight="1" outlineLevel="1">
      <c r="A68" s="44" t="s">
        <v>97</v>
      </c>
      <c r="B68" s="45">
        <v>195.87299999999999</v>
      </c>
      <c r="C68" s="45">
        <v>194.57300000000001</v>
      </c>
      <c r="D68" s="45">
        <v>192.005</v>
      </c>
      <c r="E68" s="45">
        <v>385.82400000000001</v>
      </c>
      <c r="F68" s="45">
        <v>382.57</v>
      </c>
      <c r="G68" s="46">
        <v>377.33300000000003</v>
      </c>
      <c r="H68" s="47">
        <v>365.50700000000001</v>
      </c>
      <c r="I68" s="47">
        <v>360.935</v>
      </c>
      <c r="J68" s="47">
        <v>364.16</v>
      </c>
      <c r="K68" s="45">
        <v>366.87799999999999</v>
      </c>
      <c r="L68" s="47">
        <v>361.49700000000001</v>
      </c>
      <c r="M68" s="47">
        <v>350.298</v>
      </c>
      <c r="N68" s="47">
        <v>337.733</v>
      </c>
      <c r="O68" s="47">
        <v>330.76499999999999</v>
      </c>
      <c r="P68" s="45">
        <v>344.78500000000003</v>
      </c>
      <c r="Q68" s="47">
        <v>323.39999999999998</v>
      </c>
      <c r="R68" s="47">
        <v>321.08699999999999</v>
      </c>
      <c r="S68" s="47">
        <v>317.20299999999997</v>
      </c>
      <c r="T68" s="47">
        <v>312.834</v>
      </c>
      <c r="U68" s="45">
        <v>318.68700000000001</v>
      </c>
      <c r="V68" s="47">
        <v>312.017</v>
      </c>
      <c r="W68" s="47">
        <v>313.03300000000002</v>
      </c>
      <c r="X68" s="47">
        <v>313.642</v>
      </c>
      <c r="Y68" s="47">
        <v>314.48200000000003</v>
      </c>
      <c r="Z68" s="45">
        <v>313.29599999999999</v>
      </c>
      <c r="AA68" s="47">
        <v>316.3</v>
      </c>
      <c r="AB68" s="47">
        <v>313.2</v>
      </c>
      <c r="AC68" s="47">
        <v>309.3</v>
      </c>
      <c r="AD68" s="47">
        <v>310.32299999999998</v>
      </c>
      <c r="AE68" s="45">
        <v>312.22000000000003</v>
      </c>
      <c r="AF68" s="47">
        <v>309.60000000000002</v>
      </c>
      <c r="AG68" s="47">
        <v>309.2</v>
      </c>
      <c r="AH68" s="47">
        <v>303.60000000000002</v>
      </c>
      <c r="AI68" s="1380">
        <v>292</v>
      </c>
      <c r="AJ68" s="1381">
        <v>303.89999999999998</v>
      </c>
      <c r="AK68" s="1380">
        <v>283.8</v>
      </c>
      <c r="AL68" s="1380">
        <v>285.3</v>
      </c>
      <c r="AM68" s="1380">
        <v>284.60000000000002</v>
      </c>
      <c r="AN68" s="1380">
        <v>284.7</v>
      </c>
      <c r="AO68" s="1381">
        <v>284.60000000000002</v>
      </c>
      <c r="AP68" s="1380">
        <v>284.3</v>
      </c>
      <c r="AQ68" s="1380">
        <v>278.3</v>
      </c>
      <c r="AR68" s="1380">
        <v>278.8</v>
      </c>
      <c r="AS68" s="1380">
        <v>278</v>
      </c>
      <c r="AT68" s="1381">
        <v>279.8</v>
      </c>
      <c r="AU68" s="1382">
        <v>277.2</v>
      </c>
      <c r="AV68" s="1380">
        <v>276.10000000000002</v>
      </c>
      <c r="AW68" s="1380">
        <v>275.39999999999998</v>
      </c>
      <c r="AX68" s="1380">
        <f>+AW68-AW66+AX66</f>
        <v>276</v>
      </c>
      <c r="AY68" s="1383">
        <f>AVERAGE(AU68:AX68)</f>
        <v>276.17499999999995</v>
      </c>
      <c r="AZ68" s="1977">
        <v>276.3</v>
      </c>
      <c r="BA68" s="1975">
        <v>275.7</v>
      </c>
      <c r="BB68" s="1975">
        <v>274.39999999999998</v>
      </c>
      <c r="BC68" s="1973">
        <v>272.10000000000002</v>
      </c>
      <c r="BD68" s="1383">
        <f>AVERAGE(AZ68:BC68)</f>
        <v>274.625</v>
      </c>
      <c r="BE68" s="1972">
        <v>267.2</v>
      </c>
      <c r="BF68" s="1975">
        <v>266.7</v>
      </c>
      <c r="BG68" s="1872">
        <v>265.3</v>
      </c>
      <c r="BH68" s="1975">
        <v>261.60000000000002</v>
      </c>
      <c r="BI68" s="1385">
        <f>AVERAGE(BE68:BH68)</f>
        <v>265.20000000000005</v>
      </c>
      <c r="BJ68" s="1972">
        <v>260.8</v>
      </c>
      <c r="BK68" s="1973">
        <v>259.89999999999998</v>
      </c>
      <c r="BL68" s="2171">
        <v>257.89999999999998</v>
      </c>
      <c r="BM68" s="2171">
        <v>257</v>
      </c>
      <c r="BN68" s="1385">
        <f>AVERAGE(BJ68:BM68)</f>
        <v>258.89999999999998</v>
      </c>
      <c r="BO68" s="2171">
        <v>254.4</v>
      </c>
      <c r="BP68" s="1384">
        <f>BP67*BO68/BO67</f>
        <v>250.65126526332287</v>
      </c>
      <c r="BQ68" s="1384">
        <f>BQ67*BP68/BP67</f>
        <v>249.4945003850724</v>
      </c>
      <c r="BR68" s="1384">
        <f>BR67*BQ68/BQ67</f>
        <v>248.301667740478</v>
      </c>
      <c r="BS68" s="1385">
        <f>AVERAGE(BO68:BR68)</f>
        <v>250.71185834721831</v>
      </c>
      <c r="BT68" s="1384">
        <f>BT67*BR68/BR67</f>
        <v>247.09389110270234</v>
      </c>
      <c r="BU68" s="1384">
        <f>BU67*BT68/BT67</f>
        <v>245.9931033226197</v>
      </c>
      <c r="BV68" s="1384">
        <f>BV67*BU68/BU67</f>
        <v>244.97665867098803</v>
      </c>
      <c r="BW68" s="1384">
        <f>BW67*BV68/BV67</f>
        <v>243.92113500180506</v>
      </c>
      <c r="BX68" s="1385">
        <f>AVERAGE(BT68:BW68)</f>
        <v>245.49619702452878</v>
      </c>
      <c r="BY68" s="1386">
        <f>BY67*BX68/BX67</f>
        <v>241.14603695608272</v>
      </c>
      <c r="BZ68" s="1386">
        <f>BZ67*BY68/BY67</f>
        <v>236.95617314770175</v>
      </c>
      <c r="CA68" s="1386">
        <f>CA67*BZ68/BZ67</f>
        <v>232.71426829873798</v>
      </c>
      <c r="CB68" s="56"/>
      <c r="CC68" s="1360"/>
      <c r="CD68" s="57" t="str">
        <f t="shared" si="115"/>
        <v>Diluted Shares Outstanding</v>
      </c>
      <c r="CE68" s="46">
        <f t="shared" si="115"/>
        <v>195.87299999999999</v>
      </c>
      <c r="CF68" s="46">
        <f t="shared" si="115"/>
        <v>194.57300000000001</v>
      </c>
      <c r="CG68" s="46">
        <f t="shared" si="115"/>
        <v>192.005</v>
      </c>
      <c r="CH68" s="46">
        <f t="shared" si="115"/>
        <v>385.82400000000001</v>
      </c>
      <c r="CI68" s="46">
        <f t="shared" si="115"/>
        <v>382.57</v>
      </c>
      <c r="CJ68" s="46">
        <f t="shared" si="116"/>
        <v>366.87799999999999</v>
      </c>
      <c r="CK68" s="46">
        <f t="shared" si="117"/>
        <v>344.78500000000003</v>
      </c>
      <c r="CL68" s="46">
        <f t="shared" si="118"/>
        <v>318.68700000000001</v>
      </c>
      <c r="CM68" s="46">
        <f t="shared" si="119"/>
        <v>313.29599999999999</v>
      </c>
      <c r="CN68" s="46">
        <f t="shared" si="120"/>
        <v>312.22000000000003</v>
      </c>
      <c r="CO68" s="46">
        <f t="shared" si="121"/>
        <v>303.89999999999998</v>
      </c>
      <c r="CP68" s="46">
        <f t="shared" si="122"/>
        <v>284.60000000000002</v>
      </c>
      <c r="CQ68" s="46">
        <f t="shared" si="123"/>
        <v>279.8</v>
      </c>
      <c r="CR68" s="46">
        <f t="shared" si="124"/>
        <v>276.17499999999995</v>
      </c>
      <c r="CS68" s="46">
        <f t="shared" si="125"/>
        <v>274.625</v>
      </c>
      <c r="CT68" s="46">
        <f t="shared" si="126"/>
        <v>265.20000000000005</v>
      </c>
      <c r="CU68" s="46">
        <f t="shared" si="127"/>
        <v>258.89999999999998</v>
      </c>
      <c r="CV68" s="46">
        <f t="shared" si="128"/>
        <v>250.71185834721831</v>
      </c>
      <c r="CW68" s="46">
        <f t="shared" si="129"/>
        <v>245.49619702452878</v>
      </c>
      <c r="CX68" s="46">
        <f t="shared" si="129"/>
        <v>241.14603695608272</v>
      </c>
      <c r="CY68" s="46">
        <f t="shared" si="129"/>
        <v>236.95617314770175</v>
      </c>
      <c r="CZ68" s="44">
        <f t="shared" si="129"/>
        <v>232.71426829873798</v>
      </c>
      <c r="DA68" s="86"/>
      <c r="DB68" s="59"/>
      <c r="DC68"/>
      <c r="DD68"/>
      <c r="DE68"/>
      <c r="DF68"/>
      <c r="DG68"/>
      <c r="DH68"/>
    </row>
    <row r="69" spans="1:261" s="311" customFormat="1" ht="12" customHeight="1" collapsed="1">
      <c r="A69" s="295" t="s">
        <v>98</v>
      </c>
      <c r="B69" s="296">
        <v>0.98</v>
      </c>
      <c r="C69" s="296">
        <v>1.02</v>
      </c>
      <c r="D69" s="296">
        <v>1.08</v>
      </c>
      <c r="E69" s="296">
        <v>0.6</v>
      </c>
      <c r="F69" s="296">
        <v>0.66</v>
      </c>
      <c r="G69" s="297">
        <v>0.18149999999999999</v>
      </c>
      <c r="H69" s="297">
        <v>0.18149999999999999</v>
      </c>
      <c r="I69" s="297">
        <v>0.18149999999999999</v>
      </c>
      <c r="J69" s="297">
        <v>0.18149999999999999</v>
      </c>
      <c r="K69" s="298">
        <v>0.72599999999999998</v>
      </c>
      <c r="L69" s="297">
        <v>0.20499999999999999</v>
      </c>
      <c r="M69" s="297">
        <v>0.20499999999999999</v>
      </c>
      <c r="N69" s="297">
        <v>0.20499999999999999</v>
      </c>
      <c r="O69" s="297">
        <v>0.20499999999999999</v>
      </c>
      <c r="P69" s="298">
        <v>0.82</v>
      </c>
      <c r="Q69" s="297">
        <v>0.22</v>
      </c>
      <c r="R69" s="297">
        <v>0.22</v>
      </c>
      <c r="S69" s="297">
        <v>0.22</v>
      </c>
      <c r="T69" s="297">
        <v>0.22</v>
      </c>
      <c r="U69" s="298">
        <v>0.88</v>
      </c>
      <c r="V69" s="297">
        <v>0.22500000000000001</v>
      </c>
      <c r="W69" s="297">
        <v>0.22500000000000001</v>
      </c>
      <c r="X69" s="297">
        <v>0.22500000000000001</v>
      </c>
      <c r="Y69" s="297">
        <v>0.22500000000000001</v>
      </c>
      <c r="Z69" s="298">
        <v>0.9</v>
      </c>
      <c r="AA69" s="297">
        <v>0.23499999999999999</v>
      </c>
      <c r="AB69" s="297">
        <v>0.23499999999999999</v>
      </c>
      <c r="AC69" s="297">
        <v>0.23499999999999999</v>
      </c>
      <c r="AD69" s="297">
        <v>0.23499999999999999</v>
      </c>
      <c r="AE69" s="298">
        <v>0.94</v>
      </c>
      <c r="AF69" s="297">
        <v>0.25</v>
      </c>
      <c r="AG69" s="297">
        <v>0.25</v>
      </c>
      <c r="AH69" s="297">
        <v>0.25</v>
      </c>
      <c r="AI69" s="297">
        <f>1-SUM(AF69:AH69)</f>
        <v>0.25</v>
      </c>
      <c r="AJ69" s="298">
        <f>SUM(AF69:AI69)</f>
        <v>1</v>
      </c>
      <c r="AK69" s="297">
        <v>0.255</v>
      </c>
      <c r="AL69" s="297">
        <v>0.255</v>
      </c>
      <c r="AM69" s="297">
        <v>0.255</v>
      </c>
      <c r="AN69" s="297">
        <v>0.255</v>
      </c>
      <c r="AO69" s="298">
        <f>SUM(AK69:AN69)</f>
        <v>1.02</v>
      </c>
      <c r="AP69" s="297">
        <v>0.28000000000000003</v>
      </c>
      <c r="AQ69" s="297">
        <v>0.28000000000000003</v>
      </c>
      <c r="AR69" s="297">
        <v>0.28000000000000003</v>
      </c>
      <c r="AS69" s="297">
        <v>0.28000000000000003</v>
      </c>
      <c r="AT69" s="298">
        <f>SUM(AP69:AS69)</f>
        <v>1.1200000000000001</v>
      </c>
      <c r="AU69" s="299">
        <v>0.3</v>
      </c>
      <c r="AV69" s="297">
        <v>0.3</v>
      </c>
      <c r="AW69" s="300">
        <v>0.3</v>
      </c>
      <c r="AX69" s="301">
        <v>0.3</v>
      </c>
      <c r="AY69" s="302">
        <f>SUM(AU69:AX69)</f>
        <v>1.2</v>
      </c>
      <c r="AZ69" s="303">
        <v>0.33</v>
      </c>
      <c r="BA69" s="301">
        <v>0.33</v>
      </c>
      <c r="BB69" s="301">
        <v>0.33</v>
      </c>
      <c r="BC69" s="304">
        <v>0.33</v>
      </c>
      <c r="BD69" s="302">
        <f>SUM(AZ69:BC69)</f>
        <v>1.32</v>
      </c>
      <c r="BE69" s="303">
        <v>0.36</v>
      </c>
      <c r="BF69" s="301">
        <f>-BF119/BF67</f>
        <v>0.35916824196597352</v>
      </c>
      <c r="BG69" s="301">
        <f>-BG119/BG67</f>
        <v>0.36135412704450365</v>
      </c>
      <c r="BH69" s="304">
        <f>-BH119/BH67</f>
        <v>0.36307454615681733</v>
      </c>
      <c r="BI69" s="305">
        <f>SUM(BE69:BH69)</f>
        <v>1.4435969151672943</v>
      </c>
      <c r="BJ69" s="303">
        <f>-BJ119/BJ67</f>
        <v>0.41053446940356314</v>
      </c>
      <c r="BK69" s="304">
        <f>-BK119/BK67</f>
        <v>0.41197046249514185</v>
      </c>
      <c r="BL69" s="304">
        <f>-BL119/BL67</f>
        <v>0.40704500978473579</v>
      </c>
      <c r="BM69" s="304">
        <f>-BM119/BM67</f>
        <v>0.41273584905660377</v>
      </c>
      <c r="BN69" s="305">
        <f>SUM(BJ69:BM69)</f>
        <v>1.6422857907400445</v>
      </c>
      <c r="BO69" s="304">
        <f>-BO119/BO67</f>
        <v>0.50316957210776547</v>
      </c>
      <c r="BP69" s="304">
        <f>-BP119/BP67</f>
        <v>0.50774930122557993</v>
      </c>
      <c r="BQ69" s="304">
        <f>-BQ119/BQ67</f>
        <v>0.5083408186987155</v>
      </c>
      <c r="BR69" s="304">
        <f>-BR119/BR67</f>
        <v>0.50766139578667302</v>
      </c>
      <c r="BS69" s="305">
        <f>SUM(BO69:BR69)</f>
        <v>2.0269210878187338</v>
      </c>
      <c r="BT69" s="304">
        <f>-BT119/BT67</f>
        <v>0.88496737428389716</v>
      </c>
      <c r="BU69" s="304">
        <f>-BU119/BU67</f>
        <v>0.88421309749892596</v>
      </c>
      <c r="BV69" s="304">
        <f>-BV119/BV67</f>
        <v>0.88525875861003256</v>
      </c>
      <c r="BW69" s="304">
        <f>-BW119/BW67</f>
        <v>0.88405103555817566</v>
      </c>
      <c r="BX69" s="305">
        <f>SUM(BT69:BW69)</f>
        <v>3.5384902659510313</v>
      </c>
      <c r="BY69" s="306">
        <f>-BY119/BY67</f>
        <v>3.8692880913042393</v>
      </c>
      <c r="BZ69" s="306">
        <f>-BZ119/BZ67</f>
        <v>4.2332438725826451</v>
      </c>
      <c r="CA69" s="306">
        <f>-CA119/CA67</f>
        <v>4.5600642786151315</v>
      </c>
      <c r="CB69" s="294"/>
      <c r="CC69" s="1387"/>
      <c r="CD69" s="307" t="str">
        <f t="shared" si="115"/>
        <v>Common Dividend Per Share</v>
      </c>
      <c r="CE69" s="300">
        <f t="shared" si="115"/>
        <v>0.98</v>
      </c>
      <c r="CF69" s="300">
        <f t="shared" si="115"/>
        <v>1.02</v>
      </c>
      <c r="CG69" s="300">
        <f t="shared" si="115"/>
        <v>1.08</v>
      </c>
      <c r="CH69" s="300">
        <f t="shared" si="115"/>
        <v>0.6</v>
      </c>
      <c r="CI69" s="300">
        <f t="shared" si="115"/>
        <v>0.66</v>
      </c>
      <c r="CJ69" s="300">
        <f t="shared" si="116"/>
        <v>0.72599999999999998</v>
      </c>
      <c r="CK69" s="300">
        <f t="shared" si="117"/>
        <v>0.82</v>
      </c>
      <c r="CL69" s="300">
        <f t="shared" si="118"/>
        <v>0.88</v>
      </c>
      <c r="CM69" s="300">
        <f t="shared" si="119"/>
        <v>0.9</v>
      </c>
      <c r="CN69" s="300">
        <f t="shared" si="120"/>
        <v>0.94</v>
      </c>
      <c r="CO69" s="300">
        <f t="shared" si="121"/>
        <v>1</v>
      </c>
      <c r="CP69" s="300">
        <f t="shared" si="122"/>
        <v>1.02</v>
      </c>
      <c r="CQ69" s="300">
        <f t="shared" si="123"/>
        <v>1.1200000000000001</v>
      </c>
      <c r="CR69" s="300">
        <f t="shared" si="124"/>
        <v>1.2</v>
      </c>
      <c r="CS69" s="300">
        <f t="shared" si="125"/>
        <v>1.32</v>
      </c>
      <c r="CT69" s="300">
        <f t="shared" si="126"/>
        <v>1.4435969151672943</v>
      </c>
      <c r="CU69" s="300">
        <f t="shared" si="127"/>
        <v>1.6422857907400445</v>
      </c>
      <c r="CV69" s="300">
        <f t="shared" si="128"/>
        <v>2.0269210878187338</v>
      </c>
      <c r="CW69" s="300">
        <f t="shared" si="129"/>
        <v>3.5384902659510313</v>
      </c>
      <c r="CX69" s="300">
        <f t="shared" si="129"/>
        <v>3.8692880913042393</v>
      </c>
      <c r="CY69" s="300">
        <f t="shared" si="129"/>
        <v>4.2332438725826451</v>
      </c>
      <c r="CZ69" s="308">
        <f t="shared" si="129"/>
        <v>4.5600642786151315</v>
      </c>
      <c r="DA69" s="309"/>
      <c r="DB69" s="310"/>
      <c r="DC69"/>
      <c r="DD69"/>
      <c r="DE69"/>
      <c r="DF69"/>
      <c r="DG69"/>
      <c r="DH69"/>
    </row>
    <row r="70" spans="1:261" s="82" customFormat="1" ht="12" customHeight="1">
      <c r="A70" s="312" t="s">
        <v>99</v>
      </c>
      <c r="B70" s="153">
        <f t="shared" ref="B70:AJ70" si="130">B68</f>
        <v>195.87299999999999</v>
      </c>
      <c r="C70" s="153">
        <f t="shared" si="130"/>
        <v>194.57300000000001</v>
      </c>
      <c r="D70" s="153">
        <f t="shared" si="130"/>
        <v>192.005</v>
      </c>
      <c r="E70" s="153">
        <f t="shared" si="130"/>
        <v>385.82400000000001</v>
      </c>
      <c r="F70" s="153">
        <f t="shared" si="130"/>
        <v>382.57</v>
      </c>
      <c r="G70" s="154">
        <f t="shared" si="130"/>
        <v>377.33300000000003</v>
      </c>
      <c r="H70" s="1363">
        <f t="shared" si="130"/>
        <v>365.50700000000001</v>
      </c>
      <c r="I70" s="1363">
        <f t="shared" si="130"/>
        <v>360.935</v>
      </c>
      <c r="J70" s="1363">
        <f t="shared" si="130"/>
        <v>364.16</v>
      </c>
      <c r="K70" s="153">
        <f t="shared" si="130"/>
        <v>366.87799999999999</v>
      </c>
      <c r="L70" s="1363">
        <f t="shared" si="130"/>
        <v>361.49700000000001</v>
      </c>
      <c r="M70" s="1363">
        <f t="shared" si="130"/>
        <v>350.298</v>
      </c>
      <c r="N70" s="1363">
        <f t="shared" si="130"/>
        <v>337.733</v>
      </c>
      <c r="O70" s="1363">
        <f t="shared" si="130"/>
        <v>330.76499999999999</v>
      </c>
      <c r="P70" s="153">
        <f t="shared" si="130"/>
        <v>344.78500000000003</v>
      </c>
      <c r="Q70" s="1363">
        <f t="shared" si="130"/>
        <v>323.39999999999998</v>
      </c>
      <c r="R70" s="1363">
        <f t="shared" si="130"/>
        <v>321.08699999999999</v>
      </c>
      <c r="S70" s="1363">
        <f t="shared" si="130"/>
        <v>317.20299999999997</v>
      </c>
      <c r="T70" s="1363">
        <f t="shared" si="130"/>
        <v>312.834</v>
      </c>
      <c r="U70" s="153">
        <f t="shared" si="130"/>
        <v>318.68700000000001</v>
      </c>
      <c r="V70" s="1363">
        <f t="shared" si="130"/>
        <v>312.017</v>
      </c>
      <c r="W70" s="1363">
        <f t="shared" si="130"/>
        <v>313.03300000000002</v>
      </c>
      <c r="X70" s="1363">
        <f t="shared" si="130"/>
        <v>313.642</v>
      </c>
      <c r="Y70" s="1363">
        <f t="shared" si="130"/>
        <v>314.48200000000003</v>
      </c>
      <c r="Z70" s="153">
        <f t="shared" si="130"/>
        <v>313.29599999999999</v>
      </c>
      <c r="AA70" s="1363">
        <f t="shared" si="130"/>
        <v>316.3</v>
      </c>
      <c r="AB70" s="1363">
        <f t="shared" si="130"/>
        <v>313.2</v>
      </c>
      <c r="AC70" s="1363">
        <f t="shared" si="130"/>
        <v>309.3</v>
      </c>
      <c r="AD70" s="1363">
        <f t="shared" si="130"/>
        <v>310.32299999999998</v>
      </c>
      <c r="AE70" s="153">
        <f t="shared" si="130"/>
        <v>312.22000000000003</v>
      </c>
      <c r="AF70" s="1363">
        <f t="shared" si="130"/>
        <v>309.60000000000002</v>
      </c>
      <c r="AG70" s="1363">
        <f t="shared" si="130"/>
        <v>309.2</v>
      </c>
      <c r="AH70" s="1363">
        <f t="shared" si="130"/>
        <v>303.60000000000002</v>
      </c>
      <c r="AI70" s="1363">
        <f>AI68</f>
        <v>292</v>
      </c>
      <c r="AJ70" s="153">
        <f t="shared" si="130"/>
        <v>303.89999999999998</v>
      </c>
      <c r="AK70" s="1363">
        <f>AK68</f>
        <v>283.8</v>
      </c>
      <c r="AL70" s="1363">
        <f>AL68</f>
        <v>285.3</v>
      </c>
      <c r="AM70" s="1363">
        <f>AM68</f>
        <v>284.60000000000002</v>
      </c>
      <c r="AN70" s="1363">
        <f>AN68</f>
        <v>284.7</v>
      </c>
      <c r="AO70" s="153">
        <f>AVERAGE(AK70:AN70)</f>
        <v>284.60000000000002</v>
      </c>
      <c r="AP70" s="1363">
        <f>AP68</f>
        <v>284.3</v>
      </c>
      <c r="AQ70" s="1363">
        <f>AQ68</f>
        <v>278.3</v>
      </c>
      <c r="AR70" s="1363">
        <f>AR68</f>
        <v>278.8</v>
      </c>
      <c r="AS70" s="1363">
        <f>AS68</f>
        <v>278</v>
      </c>
      <c r="AT70" s="153">
        <f>AVERAGE(AP70:AS70)</f>
        <v>279.85000000000002</v>
      </c>
      <c r="AU70" s="155">
        <f>AU68</f>
        <v>277.2</v>
      </c>
      <c r="AV70" s="1363">
        <f>AV68</f>
        <v>276.10000000000002</v>
      </c>
      <c r="AW70" s="154">
        <f>AW68</f>
        <v>275.39999999999998</v>
      </c>
      <c r="AX70" s="154">
        <v>276.2</v>
      </c>
      <c r="AY70" s="313">
        <f>AVERAGE(AU70:AX70)</f>
        <v>276.22499999999997</v>
      </c>
      <c r="AZ70" s="155">
        <f>AZ68</f>
        <v>276.3</v>
      </c>
      <c r="BA70" s="154">
        <f>BA68</f>
        <v>275.7</v>
      </c>
      <c r="BB70" s="154">
        <f>BB68</f>
        <v>274.39999999999998</v>
      </c>
      <c r="BC70" s="154">
        <f>BC68</f>
        <v>272.10000000000002</v>
      </c>
      <c r="BD70" s="313">
        <f>AVERAGE(AZ70:BC70)</f>
        <v>274.625</v>
      </c>
      <c r="BE70" s="155">
        <f>BE68</f>
        <v>267.2</v>
      </c>
      <c r="BF70" s="154">
        <f>BF68</f>
        <v>266.7</v>
      </c>
      <c r="BG70" s="154">
        <f>BG68</f>
        <v>265.3</v>
      </c>
      <c r="BH70" s="154">
        <f>BH68</f>
        <v>261.60000000000002</v>
      </c>
      <c r="BI70" s="315">
        <f>AVERAGE(BE70:BH70)</f>
        <v>265.20000000000005</v>
      </c>
      <c r="BJ70" s="155">
        <f>BJ68</f>
        <v>260.8</v>
      </c>
      <c r="BK70" s="314">
        <f>BK68</f>
        <v>259.89999999999998</v>
      </c>
      <c r="BL70" s="314">
        <f>BL68</f>
        <v>257.89999999999998</v>
      </c>
      <c r="BM70" s="314">
        <f>BM68</f>
        <v>257</v>
      </c>
      <c r="BN70" s="315">
        <f>AVERAGE(BJ70:BM70)</f>
        <v>258.89999999999998</v>
      </c>
      <c r="BO70" s="314">
        <f>BO68</f>
        <v>254.4</v>
      </c>
      <c r="BP70" s="314">
        <f>BP68</f>
        <v>250.65126526332287</v>
      </c>
      <c r="BQ70" s="314">
        <f>BQ68</f>
        <v>249.4945003850724</v>
      </c>
      <c r="BR70" s="314">
        <f>BR68</f>
        <v>248.301667740478</v>
      </c>
      <c r="BS70" s="315">
        <f>AVERAGE(BO70:BR70)</f>
        <v>250.71185834721831</v>
      </c>
      <c r="BT70" s="314">
        <f>BT68</f>
        <v>247.09389110270234</v>
      </c>
      <c r="BU70" s="314">
        <f>BU68</f>
        <v>245.9931033226197</v>
      </c>
      <c r="BV70" s="314">
        <f>BV68</f>
        <v>244.97665867098803</v>
      </c>
      <c r="BW70" s="314">
        <f>BW68</f>
        <v>243.92113500180506</v>
      </c>
      <c r="BX70" s="315">
        <f>AVERAGE(BT70:BW70)</f>
        <v>245.49619702452878</v>
      </c>
      <c r="BY70" s="158">
        <f>BY68</f>
        <v>241.14603695608272</v>
      </c>
      <c r="BZ70" s="158">
        <f>BZ68</f>
        <v>236.95617314770175</v>
      </c>
      <c r="CA70" s="158">
        <f>CA68</f>
        <v>232.71426829873798</v>
      </c>
      <c r="CB70" s="158"/>
      <c r="CC70" s="1360"/>
      <c r="CD70" s="155" t="str">
        <f t="shared" si="115"/>
        <v>Avg. Diluted Shares Outstanding</v>
      </c>
      <c r="CE70" s="154">
        <f t="shared" si="115"/>
        <v>195.87299999999999</v>
      </c>
      <c r="CF70" s="154">
        <f t="shared" si="115"/>
        <v>194.57300000000001</v>
      </c>
      <c r="CG70" s="154">
        <f t="shared" si="115"/>
        <v>192.005</v>
      </c>
      <c r="CH70" s="154">
        <f t="shared" si="115"/>
        <v>385.82400000000001</v>
      </c>
      <c r="CI70" s="154">
        <f t="shared" si="115"/>
        <v>382.57</v>
      </c>
      <c r="CJ70" s="154">
        <f t="shared" si="116"/>
        <v>366.87799999999999</v>
      </c>
      <c r="CK70" s="154">
        <f t="shared" si="117"/>
        <v>344.78500000000003</v>
      </c>
      <c r="CL70" s="154">
        <f t="shared" si="118"/>
        <v>318.68700000000001</v>
      </c>
      <c r="CM70" s="154">
        <f t="shared" si="119"/>
        <v>313.29599999999999</v>
      </c>
      <c r="CN70" s="154">
        <f t="shared" si="120"/>
        <v>312.22000000000003</v>
      </c>
      <c r="CO70" s="154">
        <f t="shared" si="121"/>
        <v>303.89999999999998</v>
      </c>
      <c r="CP70" s="154">
        <f t="shared" si="122"/>
        <v>284.60000000000002</v>
      </c>
      <c r="CQ70" s="154">
        <f t="shared" si="123"/>
        <v>279.85000000000002</v>
      </c>
      <c r="CR70" s="154">
        <f t="shared" si="124"/>
        <v>276.22499999999997</v>
      </c>
      <c r="CS70" s="154">
        <f t="shared" si="125"/>
        <v>274.625</v>
      </c>
      <c r="CT70" s="154">
        <f t="shared" si="126"/>
        <v>265.20000000000005</v>
      </c>
      <c r="CU70" s="154">
        <f t="shared" si="127"/>
        <v>258.89999999999998</v>
      </c>
      <c r="CV70" s="154">
        <f t="shared" si="128"/>
        <v>250.71185834721831</v>
      </c>
      <c r="CW70" s="154">
        <f t="shared" si="129"/>
        <v>245.49619702452878</v>
      </c>
      <c r="CX70" s="154">
        <f t="shared" si="129"/>
        <v>241.14603695608272</v>
      </c>
      <c r="CY70" s="154">
        <f t="shared" si="129"/>
        <v>236.95617314770175</v>
      </c>
      <c r="CZ70" s="152">
        <f t="shared" si="129"/>
        <v>232.71426829873798</v>
      </c>
      <c r="DA70" s="86"/>
      <c r="DB70" s="59"/>
      <c r="DC70"/>
      <c r="DD70"/>
      <c r="DE70"/>
      <c r="DF70"/>
      <c r="DG70"/>
      <c r="DH70"/>
    </row>
    <row r="71" spans="1:261" s="311" customFormat="1" ht="12" customHeight="1">
      <c r="A71" s="316" t="s">
        <v>100</v>
      </c>
      <c r="B71" s="317">
        <f t="shared" ref="B71:AR71" si="131">B60/B70</f>
        <v>1.9248747913188631</v>
      </c>
      <c r="C71" s="317">
        <f t="shared" si="131"/>
        <v>2.9642345032455681</v>
      </c>
      <c r="D71" s="317">
        <f t="shared" si="131"/>
        <v>3.581417150595037</v>
      </c>
      <c r="E71" s="317">
        <f t="shared" si="131"/>
        <v>1.9589838890271223</v>
      </c>
      <c r="F71" s="317">
        <f t="shared" si="131"/>
        <v>2.2069320647201804</v>
      </c>
      <c r="G71" s="318">
        <f t="shared" si="131"/>
        <v>0.19669628683417606</v>
      </c>
      <c r="H71" s="318">
        <f t="shared" si="131"/>
        <v>0.60453288172319553</v>
      </c>
      <c r="I71" s="318">
        <f t="shared" si="131"/>
        <v>1.0591186778782884</v>
      </c>
      <c r="J71" s="318">
        <f t="shared" si="131"/>
        <v>0.56232699912126594</v>
      </c>
      <c r="K71" s="317">
        <f t="shared" si="131"/>
        <v>2.4046985646454684</v>
      </c>
      <c r="L71" s="318">
        <f t="shared" si="131"/>
        <v>0.39789541821923846</v>
      </c>
      <c r="M71" s="318">
        <f t="shared" si="131"/>
        <v>0.79097796733067349</v>
      </c>
      <c r="N71" s="318">
        <f t="shared" si="131"/>
        <v>1.3383886087530681</v>
      </c>
      <c r="O71" s="318">
        <f t="shared" si="131"/>
        <v>0.42515078681238916</v>
      </c>
      <c r="P71" s="317">
        <f t="shared" si="131"/>
        <v>2.9396841509926501</v>
      </c>
      <c r="Q71" s="318">
        <f t="shared" si="131"/>
        <v>0.25080395794681443</v>
      </c>
      <c r="R71" s="318">
        <f t="shared" si="131"/>
        <v>0.66117282854802573</v>
      </c>
      <c r="S71" s="318">
        <f t="shared" si="131"/>
        <v>1.2300198926239676</v>
      </c>
      <c r="T71" s="318">
        <f t="shared" si="131"/>
        <v>0.37055115492561658</v>
      </c>
      <c r="U71" s="317">
        <f t="shared" si="131"/>
        <v>2.5087028965724967</v>
      </c>
      <c r="V71" s="318">
        <f t="shared" si="131"/>
        <v>0.20192489511789385</v>
      </c>
      <c r="W71" s="318">
        <f t="shared" si="131"/>
        <v>0.52420351847888169</v>
      </c>
      <c r="X71" s="318">
        <f t="shared" si="131"/>
        <v>1.0716390024295221</v>
      </c>
      <c r="Y71" s="318">
        <f t="shared" si="131"/>
        <v>0.53180468198497721</v>
      </c>
      <c r="Z71" s="317">
        <f t="shared" si="131"/>
        <v>2.3315043920126683</v>
      </c>
      <c r="AA71" s="318">
        <f t="shared" si="131"/>
        <v>0.32658868163136273</v>
      </c>
      <c r="AB71" s="318">
        <f t="shared" si="131"/>
        <v>0.61015325670498033</v>
      </c>
      <c r="AC71" s="318">
        <f t="shared" si="131"/>
        <v>1.2282573553184615</v>
      </c>
      <c r="AD71" s="318">
        <f t="shared" si="131"/>
        <v>0.49562874811084007</v>
      </c>
      <c r="AE71" s="317">
        <f t="shared" si="131"/>
        <v>2.652312471974887</v>
      </c>
      <c r="AF71" s="318">
        <f t="shared" si="131"/>
        <v>0.38759689922480617</v>
      </c>
      <c r="AG71" s="318">
        <f t="shared" si="131"/>
        <v>0.68240620957309184</v>
      </c>
      <c r="AH71" s="318">
        <f t="shared" si="131"/>
        <v>1.2045454545454541</v>
      </c>
      <c r="AI71" s="318">
        <f t="shared" si="131"/>
        <v>0.73287671232876717</v>
      </c>
      <c r="AJ71" s="317">
        <f t="shared" si="131"/>
        <v>2.9967094438960191</v>
      </c>
      <c r="AK71" s="318">
        <f t="shared" si="131"/>
        <v>0.43340380549682872</v>
      </c>
      <c r="AL71" s="318">
        <f t="shared" si="131"/>
        <v>0.75709779179810721</v>
      </c>
      <c r="AM71" s="318">
        <f t="shared" si="131"/>
        <v>1.1033028812368235</v>
      </c>
      <c r="AN71" s="318">
        <f t="shared" si="131"/>
        <v>-0.75166842290129965</v>
      </c>
      <c r="AO71" s="317">
        <f>AO60/AO70</f>
        <v>1.5425158116654953</v>
      </c>
      <c r="AP71" s="318">
        <f t="shared" si="131"/>
        <v>2.5852972212451633</v>
      </c>
      <c r="AQ71" s="318">
        <f t="shared" si="131"/>
        <v>0.91268415379087309</v>
      </c>
      <c r="AR71" s="318">
        <f t="shared" si="131"/>
        <v>0.7711621233859397</v>
      </c>
      <c r="AS71" s="318">
        <f>AS60/AS70</f>
        <v>0.6151079136690647</v>
      </c>
      <c r="AT71" s="317">
        <f>AT60/AT70</f>
        <v>4.9133464355904941</v>
      </c>
      <c r="AU71" s="319">
        <f>AU60/AU70</f>
        <v>0.89469696969696966</v>
      </c>
      <c r="AV71" s="318">
        <f>AV60/AV70</f>
        <v>1.0557768924302788</v>
      </c>
      <c r="AW71" s="318">
        <f>AW60/AW70</f>
        <v>0.68990559186637623</v>
      </c>
      <c r="AX71" s="318">
        <f>AX60/AX67</f>
        <v>-3.1100478468899522</v>
      </c>
      <c r="AY71" s="317">
        <f t="shared" ref="AY71:BY71" si="132">AY60/AY70</f>
        <v>-0.41810118562765863</v>
      </c>
      <c r="AZ71" s="319">
        <f>AZ60/AZ70</f>
        <v>1.0966340933767644</v>
      </c>
      <c r="BA71" s="318">
        <f t="shared" si="132"/>
        <v>1.2800145085237578</v>
      </c>
      <c r="BB71" s="318">
        <f t="shared" si="132"/>
        <v>0.91836734693877564</v>
      </c>
      <c r="BC71" s="318">
        <f t="shared" si="132"/>
        <v>0.91142962146269746</v>
      </c>
      <c r="BD71" s="317">
        <f t="shared" si="132"/>
        <v>4.2090122894856625</v>
      </c>
      <c r="BE71" s="319">
        <f t="shared" si="132"/>
        <v>1.1002994011976048</v>
      </c>
      <c r="BF71" s="318">
        <f t="shared" si="132"/>
        <v>1.4360704911886015</v>
      </c>
      <c r="BG71" s="318">
        <f t="shared" si="132"/>
        <v>3.3584621183565773</v>
      </c>
      <c r="BH71" s="318">
        <f t="shared" si="132"/>
        <v>2.0527522935779814</v>
      </c>
      <c r="BI71" s="321">
        <f t="shared" si="132"/>
        <v>7.937405731523377</v>
      </c>
      <c r="BJ71" s="319">
        <f t="shared" si="132"/>
        <v>1.5299079754601226</v>
      </c>
      <c r="BK71" s="320">
        <f t="shared" si="132"/>
        <v>1.6198537899191998</v>
      </c>
      <c r="BL71" s="320">
        <f t="shared" si="132"/>
        <v>1.6052733617681274</v>
      </c>
      <c r="BM71" s="320">
        <f t="shared" si="132"/>
        <v>1.0233463035019454</v>
      </c>
      <c r="BN71" s="321">
        <f t="shared" si="132"/>
        <v>5.7821552723059098</v>
      </c>
      <c r="BO71" s="320">
        <f t="shared" si="132"/>
        <v>1.9300314465408805</v>
      </c>
      <c r="BP71" s="320">
        <f t="shared" si="132"/>
        <v>2.0165241141608892</v>
      </c>
      <c r="BQ71" s="320">
        <f t="shared" si="132"/>
        <v>1.9669878340171016</v>
      </c>
      <c r="BR71" s="320">
        <f t="shared" si="132"/>
        <v>2.0667726474014105</v>
      </c>
      <c r="BS71" s="321">
        <f t="shared" si="132"/>
        <v>7.9788011462139448</v>
      </c>
      <c r="BT71" s="320">
        <f t="shared" ref="BT71:BX71" si="133">BT60/BT70</f>
        <v>2.1438069456940303</v>
      </c>
      <c r="BU71" s="320">
        <f t="shared" si="133"/>
        <v>2.314660736938686</v>
      </c>
      <c r="BV71" s="320">
        <f t="shared" si="133"/>
        <v>2.2651010916922543</v>
      </c>
      <c r="BW71" s="320">
        <f t="shared" si="133"/>
        <v>2.3711244389402149</v>
      </c>
      <c r="BX71" s="321">
        <f t="shared" si="133"/>
        <v>9.093323913900182</v>
      </c>
      <c r="BY71" s="321">
        <f t="shared" si="132"/>
        <v>9.8939105763347222</v>
      </c>
      <c r="BZ71" s="321">
        <f>BZ60/BZ70</f>
        <v>10.784388176938048</v>
      </c>
      <c r="CA71" s="321">
        <f>CA60/CA70</f>
        <v>11.664389310197974</v>
      </c>
      <c r="CB71" s="56"/>
      <c r="CC71" s="1388"/>
      <c r="CD71" s="307" t="str">
        <f t="shared" si="115"/>
        <v>Diluted GAAP EPS Reported</v>
      </c>
      <c r="CE71" s="322">
        <f t="shared" si="115"/>
        <v>1.9248747913188631</v>
      </c>
      <c r="CF71" s="322">
        <f t="shared" si="115"/>
        <v>2.9642345032455681</v>
      </c>
      <c r="CG71" s="322">
        <f t="shared" si="115"/>
        <v>3.581417150595037</v>
      </c>
      <c r="CH71" s="322">
        <f t="shared" si="115"/>
        <v>1.9589838890271223</v>
      </c>
      <c r="CI71" s="322">
        <f t="shared" si="115"/>
        <v>2.2069320647201804</v>
      </c>
      <c r="CJ71" s="322">
        <f t="shared" si="116"/>
        <v>2.4046985646454684</v>
      </c>
      <c r="CK71" s="322">
        <f t="shared" si="117"/>
        <v>2.9396841509926501</v>
      </c>
      <c r="CL71" s="322">
        <f t="shared" si="118"/>
        <v>2.5087028965724967</v>
      </c>
      <c r="CM71" s="322">
        <f t="shared" si="119"/>
        <v>2.3315043920126683</v>
      </c>
      <c r="CN71" s="322">
        <f t="shared" si="120"/>
        <v>2.652312471974887</v>
      </c>
      <c r="CO71" s="322">
        <f t="shared" si="121"/>
        <v>2.9967094438960191</v>
      </c>
      <c r="CP71" s="322">
        <f t="shared" si="122"/>
        <v>1.5425158116654953</v>
      </c>
      <c r="CQ71" s="322">
        <f t="shared" si="123"/>
        <v>4.9133464355904941</v>
      </c>
      <c r="CR71" s="322">
        <f t="shared" si="124"/>
        <v>-0.41810118562765863</v>
      </c>
      <c r="CS71" s="322">
        <f t="shared" si="125"/>
        <v>4.2090122894856625</v>
      </c>
      <c r="CT71" s="322">
        <f t="shared" si="126"/>
        <v>7.937405731523377</v>
      </c>
      <c r="CU71" s="322">
        <f t="shared" si="127"/>
        <v>5.7821552723059098</v>
      </c>
      <c r="CV71" s="322">
        <f t="shared" si="128"/>
        <v>7.9788011462139448</v>
      </c>
      <c r="CW71" s="322">
        <f t="shared" si="129"/>
        <v>9.093323913900182</v>
      </c>
      <c r="CX71" s="322">
        <f t="shared" si="129"/>
        <v>9.8939105763347222</v>
      </c>
      <c r="CY71" s="322">
        <f t="shared" si="129"/>
        <v>10.784388176938048</v>
      </c>
      <c r="CZ71" s="323">
        <f t="shared" si="129"/>
        <v>11.664389310197974</v>
      </c>
      <c r="DA71" s="309"/>
      <c r="DB71" s="324"/>
      <c r="DC71"/>
      <c r="DD71"/>
      <c r="DE71"/>
      <c r="DF71"/>
      <c r="DG71"/>
      <c r="DH71"/>
    </row>
    <row r="72" spans="1:261" s="328" customFormat="1" ht="12" customHeight="1">
      <c r="A72" s="325" t="s">
        <v>101</v>
      </c>
      <c r="B72" s="321">
        <f t="shared" ref="B72:AV72" si="134">B63/B68</f>
        <v>1.9248747913188631</v>
      </c>
      <c r="C72" s="321">
        <f t="shared" si="134"/>
        <v>2.9851289747292791</v>
      </c>
      <c r="D72" s="321">
        <f t="shared" si="134"/>
        <v>3.1644316554256404</v>
      </c>
      <c r="E72" s="321">
        <f t="shared" si="134"/>
        <v>1.9605053081197654</v>
      </c>
      <c r="F72" s="321">
        <f t="shared" si="134"/>
        <v>2.2438477977886384</v>
      </c>
      <c r="G72" s="320">
        <f t="shared" si="134"/>
        <v>0.23504543731929131</v>
      </c>
      <c r="H72" s="320">
        <f t="shared" si="134"/>
        <v>0.60453288172319553</v>
      </c>
      <c r="I72" s="320">
        <f t="shared" si="134"/>
        <v>1.0850601908930972</v>
      </c>
      <c r="J72" s="320">
        <f t="shared" si="134"/>
        <v>0.58232860481701842</v>
      </c>
      <c r="K72" s="321">
        <f t="shared" si="134"/>
        <v>2.489515274097017</v>
      </c>
      <c r="L72" s="320">
        <f t="shared" si="134"/>
        <v>0.36893383624207127</v>
      </c>
      <c r="M72" s="320">
        <f t="shared" si="134"/>
        <v>0.79097796733067349</v>
      </c>
      <c r="N72" s="320">
        <f t="shared" si="134"/>
        <v>1.3383886087530681</v>
      </c>
      <c r="O72" s="320">
        <f t="shared" si="134"/>
        <v>0.53673461521019428</v>
      </c>
      <c r="P72" s="321">
        <f t="shared" si="134"/>
        <v>3.0163652711109843</v>
      </c>
      <c r="Q72" s="320">
        <f t="shared" si="134"/>
        <v>0.25080395794681443</v>
      </c>
      <c r="R72" s="320">
        <f t="shared" si="134"/>
        <v>0.70605038509811968</v>
      </c>
      <c r="S72" s="320">
        <f t="shared" si="134"/>
        <v>1.2748719274407883</v>
      </c>
      <c r="T72" s="320">
        <f t="shared" si="134"/>
        <v>0.42166580358912509</v>
      </c>
      <c r="U72" s="321">
        <f t="shared" si="134"/>
        <v>2.6487374759560298</v>
      </c>
      <c r="V72" s="320">
        <f t="shared" si="134"/>
        <v>0.20192489511789385</v>
      </c>
      <c r="W72" s="320">
        <f t="shared" si="134"/>
        <v>0.5809034159337827</v>
      </c>
      <c r="X72" s="320">
        <f t="shared" si="134"/>
        <v>1.0716390024295221</v>
      </c>
      <c r="Y72" s="320">
        <f t="shared" si="134"/>
        <v>0.51288805400626936</v>
      </c>
      <c r="Z72" s="321">
        <f t="shared" si="134"/>
        <v>2.3691684541136846</v>
      </c>
      <c r="AA72" s="320">
        <f t="shared" si="134"/>
        <v>0.32658868163136273</v>
      </c>
      <c r="AB72" s="320">
        <f t="shared" si="134"/>
        <v>0.61015325670498033</v>
      </c>
      <c r="AC72" s="320">
        <f t="shared" si="134"/>
        <v>1.2104752667313292</v>
      </c>
      <c r="AD72" s="320">
        <f t="shared" si="134"/>
        <v>0.55169935841043105</v>
      </c>
      <c r="AE72" s="321">
        <f t="shared" si="134"/>
        <v>2.6904266222535367</v>
      </c>
      <c r="AF72" s="320">
        <f>AF63/AF68</f>
        <v>0.39082687338501287</v>
      </c>
      <c r="AG72" s="320">
        <f>AG63/AG68</f>
        <v>0.68240620957309184</v>
      </c>
      <c r="AH72" s="320">
        <f>AH63/AH68</f>
        <v>1.2081686429512515</v>
      </c>
      <c r="AI72" s="320">
        <f>AI63/AI68</f>
        <v>0.45547945205479451</v>
      </c>
      <c r="AJ72" s="321">
        <f>+SUM(AF72:AI72)</f>
        <v>2.7368811779641509</v>
      </c>
      <c r="AK72" s="320">
        <f t="shared" si="134"/>
        <v>0.62367864693446085</v>
      </c>
      <c r="AL72" s="320">
        <f t="shared" si="134"/>
        <v>0.70101647388713628</v>
      </c>
      <c r="AM72" s="320">
        <f t="shared" si="134"/>
        <v>0.7027406886858748</v>
      </c>
      <c r="AN72" s="320">
        <f>AN63/AN68</f>
        <v>0.72356866877414827</v>
      </c>
      <c r="AO72" s="321">
        <f>+SUM(AK72:AN72)</f>
        <v>2.7510044782816201</v>
      </c>
      <c r="AP72" s="320">
        <f t="shared" si="134"/>
        <v>0.80196975026380579</v>
      </c>
      <c r="AQ72" s="320">
        <f>AQ63/AQ68</f>
        <v>0.92346388789076528</v>
      </c>
      <c r="AR72" s="320">
        <f>AR63/AR68</f>
        <v>0.75681492109038739</v>
      </c>
      <c r="AS72" s="320">
        <f t="shared" si="134"/>
        <v>0.7769784172661871</v>
      </c>
      <c r="AT72" s="321">
        <f>+SUM(AP72:AS72)</f>
        <v>3.2592269765111457</v>
      </c>
      <c r="AU72" s="326">
        <f t="shared" si="134"/>
        <v>0.86944444444444446</v>
      </c>
      <c r="AV72" s="320">
        <f t="shared" si="134"/>
        <v>1.0340456356392611</v>
      </c>
      <c r="AW72" s="320">
        <f>AW63/AW70</f>
        <v>1.0203340595497459</v>
      </c>
      <c r="AX72" s="320">
        <f>AX63/AX70</f>
        <v>0.95944967414916726</v>
      </c>
      <c r="AY72" s="321">
        <f>+SUM(AU72:AX72)</f>
        <v>3.8832738137826186</v>
      </c>
      <c r="AZ72" s="326">
        <f>AZ63/AZ70+0.004</f>
        <v>1.0861570756424177</v>
      </c>
      <c r="BA72" s="320">
        <f>BA63/BA70</f>
        <v>1.2147261516140733</v>
      </c>
      <c r="BB72" s="320">
        <f>BB63/BB70</f>
        <v>1.184402332361516</v>
      </c>
      <c r="BC72" s="320">
        <f>BC63/BC70</f>
        <v>1.0437339213524439</v>
      </c>
      <c r="BD72" s="321">
        <f t="shared" ref="BD72:BZ72" si="135">BD63/BD68</f>
        <v>4.5258079198907604</v>
      </c>
      <c r="BE72" s="320">
        <f t="shared" si="135"/>
        <v>1.1377245508982037</v>
      </c>
      <c r="BF72" s="320">
        <f t="shared" si="135"/>
        <v>1.387326584176978</v>
      </c>
      <c r="BG72" s="320">
        <f t="shared" si="135"/>
        <v>1.3720316622691293</v>
      </c>
      <c r="BH72" s="320">
        <f t="shared" si="135"/>
        <v>1.2155963302752293</v>
      </c>
      <c r="BI72" s="321">
        <f t="shared" si="135"/>
        <v>5.1131221719457001</v>
      </c>
      <c r="BJ72" s="320">
        <f t="shared" si="135"/>
        <v>1.5605828220858895</v>
      </c>
      <c r="BK72" s="320">
        <f t="shared" si="135"/>
        <v>1.6506348595613698</v>
      </c>
      <c r="BL72" s="320">
        <f t="shared" si="135"/>
        <v>1.651803024428073</v>
      </c>
      <c r="BM72" s="320">
        <f t="shared" si="135"/>
        <v>1.7821011673151752</v>
      </c>
      <c r="BN72" s="321">
        <f t="shared" si="135"/>
        <v>6.6434916956353813</v>
      </c>
      <c r="BO72" s="320">
        <f t="shared" si="135"/>
        <v>1.9300314465408805</v>
      </c>
      <c r="BP72" s="320">
        <f t="shared" si="135"/>
        <v>2.0597448548260213</v>
      </c>
      <c r="BQ72" s="320">
        <f t="shared" si="135"/>
        <v>2.0104089648100172</v>
      </c>
      <c r="BR72" s="320">
        <f t="shared" si="135"/>
        <v>2.1104023718084823</v>
      </c>
      <c r="BS72" s="321">
        <f t="shared" si="135"/>
        <v>8.1084320309046483</v>
      </c>
      <c r="BT72" s="320">
        <f t="shared" ref="BT72:BX72" si="136">BT63/BT68</f>
        <v>2.1438069456940303</v>
      </c>
      <c r="BU72" s="320">
        <f t="shared" si="136"/>
        <v>2.314660736938686</v>
      </c>
      <c r="BV72" s="320">
        <f t="shared" si="136"/>
        <v>2.2651010916922543</v>
      </c>
      <c r="BW72" s="320">
        <f t="shared" si="136"/>
        <v>2.3711244389402149</v>
      </c>
      <c r="BX72" s="321">
        <f t="shared" si="136"/>
        <v>9.093323913900182</v>
      </c>
      <c r="BY72" s="321">
        <f t="shared" si="135"/>
        <v>9.8939105763347222</v>
      </c>
      <c r="BZ72" s="321">
        <f t="shared" si="135"/>
        <v>10.784388176938048</v>
      </c>
      <c r="CA72" s="321">
        <f t="shared" ref="CA72" si="137">CA63/CA68</f>
        <v>11.664389310197974</v>
      </c>
      <c r="CB72" s="327">
        <f t="shared" ref="CB72:CB73" si="138">(CA72/BN72)^(1/5)-1</f>
        <v>0.11916242839011115</v>
      </c>
      <c r="CD72" s="329"/>
      <c r="CE72" s="320"/>
      <c r="CF72" s="320"/>
      <c r="CG72" s="320"/>
      <c r="CH72" s="320"/>
      <c r="CI72" s="320"/>
      <c r="CJ72" s="320"/>
      <c r="CK72" s="320"/>
      <c r="CL72" s="320"/>
      <c r="CM72" s="320"/>
      <c r="CN72" s="320"/>
      <c r="CO72" s="320"/>
      <c r="CP72" s="320"/>
      <c r="CQ72" s="320"/>
      <c r="CR72" s="320"/>
      <c r="CS72" s="320"/>
      <c r="CT72" s="320"/>
      <c r="CU72" s="320"/>
      <c r="CV72" s="320"/>
      <c r="CW72" s="320"/>
      <c r="CX72" s="320"/>
      <c r="CY72" s="320"/>
      <c r="CZ72" s="330"/>
      <c r="DA72" s="309"/>
      <c r="DB72" s="331"/>
      <c r="DC72"/>
      <c r="DD72"/>
      <c r="DE72"/>
      <c r="DF72"/>
      <c r="DG72"/>
      <c r="DH72"/>
    </row>
    <row r="73" spans="1:261" s="328" customFormat="1" ht="12" customHeight="1">
      <c r="A73" s="325" t="s">
        <v>102</v>
      </c>
      <c r="B73" s="321">
        <f t="shared" ref="B73:J73" si="139">B63/B70</f>
        <v>1.9248747913188631</v>
      </c>
      <c r="C73" s="321">
        <f t="shared" si="139"/>
        <v>2.9851289747292791</v>
      </c>
      <c r="D73" s="321">
        <f t="shared" si="139"/>
        <v>3.1644316554256404</v>
      </c>
      <c r="E73" s="321">
        <f t="shared" si="139"/>
        <v>1.9605053081197654</v>
      </c>
      <c r="F73" s="321">
        <f t="shared" si="139"/>
        <v>2.2438477977886384</v>
      </c>
      <c r="G73" s="320">
        <f t="shared" si="139"/>
        <v>0.23504543731929131</v>
      </c>
      <c r="H73" s="320">
        <f t="shared" si="139"/>
        <v>0.60453288172319553</v>
      </c>
      <c r="I73" s="320">
        <f t="shared" si="139"/>
        <v>1.0850601908930972</v>
      </c>
      <c r="J73" s="320">
        <f t="shared" si="139"/>
        <v>0.58232860481701842</v>
      </c>
      <c r="K73" s="321">
        <f t="shared" ref="K73:AV73" si="140">K64/K70</f>
        <v>2.489515274097017</v>
      </c>
      <c r="L73" s="320">
        <f t="shared" si="140"/>
        <v>0.36893383624207127</v>
      </c>
      <c r="M73" s="320">
        <f t="shared" si="140"/>
        <v>0.79097796733067349</v>
      </c>
      <c r="N73" s="320">
        <f t="shared" si="140"/>
        <v>1.3383886087530681</v>
      </c>
      <c r="O73" s="320">
        <f t="shared" si="140"/>
        <v>0.53673461521019428</v>
      </c>
      <c r="P73" s="321">
        <f t="shared" si="140"/>
        <v>3.0163652711109843</v>
      </c>
      <c r="Q73" s="320">
        <f t="shared" si="140"/>
        <v>0.25080395794681443</v>
      </c>
      <c r="R73" s="320">
        <f t="shared" si="140"/>
        <v>0.70605038509811968</v>
      </c>
      <c r="S73" s="320">
        <f t="shared" si="140"/>
        <v>1.2748719274407883</v>
      </c>
      <c r="T73" s="320">
        <f t="shared" si="140"/>
        <v>0.42166580358912509</v>
      </c>
      <c r="U73" s="321">
        <f t="shared" si="140"/>
        <v>2.6487374759560298</v>
      </c>
      <c r="V73" s="320">
        <f t="shared" si="140"/>
        <v>0.20192489511789385</v>
      </c>
      <c r="W73" s="320">
        <f t="shared" si="140"/>
        <v>0.5809034159337827</v>
      </c>
      <c r="X73" s="320">
        <f t="shared" si="140"/>
        <v>1.0716390024295221</v>
      </c>
      <c r="Y73" s="320">
        <f t="shared" si="140"/>
        <v>0.51288805400626936</v>
      </c>
      <c r="Z73" s="321">
        <f t="shared" si="140"/>
        <v>2.3691684541136846</v>
      </c>
      <c r="AA73" s="320">
        <f t="shared" si="140"/>
        <v>0.32658868163136273</v>
      </c>
      <c r="AB73" s="320">
        <f t="shared" si="140"/>
        <v>0.61015325670498033</v>
      </c>
      <c r="AC73" s="320">
        <f t="shared" si="140"/>
        <v>1.2127384416424187</v>
      </c>
      <c r="AD73" s="320">
        <f t="shared" si="140"/>
        <v>0.54944364420297631</v>
      </c>
      <c r="AE73" s="321">
        <f t="shared" si="140"/>
        <v>2.6904266222535367</v>
      </c>
      <c r="AF73" s="320">
        <f>AF63/AF70</f>
        <v>0.39082687338501287</v>
      </c>
      <c r="AG73" s="320">
        <f>AG63/AG70</f>
        <v>0.68240620957309184</v>
      </c>
      <c r="AH73" s="320">
        <f>AH63/AH70</f>
        <v>1.2081686429512515</v>
      </c>
      <c r="AI73" s="320">
        <f>AI63/AI70</f>
        <v>0.45547945205479451</v>
      </c>
      <c r="AJ73" s="321">
        <f>+SUM(AF73:AI73)</f>
        <v>2.7368811779641509</v>
      </c>
      <c r="AK73" s="320">
        <f>AK63/AK70</f>
        <v>0.62367864693446085</v>
      </c>
      <c r="AL73" s="320">
        <f>AL63/AL70</f>
        <v>0.70101647388713628</v>
      </c>
      <c r="AM73" s="320">
        <f>AM63/AM70</f>
        <v>0.7027406886858748</v>
      </c>
      <c r="AN73" s="320">
        <f>AN63/AN70</f>
        <v>0.72356866877414827</v>
      </c>
      <c r="AO73" s="321">
        <f>+SUM(AK73:AN73)</f>
        <v>2.7510044782816201</v>
      </c>
      <c r="AP73" s="320">
        <f>AP63/AP70</f>
        <v>0.80196975026380579</v>
      </c>
      <c r="AQ73" s="320">
        <f>AQ63/AQ70</f>
        <v>0.92346388789076528</v>
      </c>
      <c r="AR73" s="320">
        <f>AR63/AR70</f>
        <v>0.75681492109038739</v>
      </c>
      <c r="AS73" s="320">
        <f>AS63/AS70</f>
        <v>0.7769784172661871</v>
      </c>
      <c r="AT73" s="321">
        <f>+SUM(AP73:AS73)</f>
        <v>3.2592269765111457</v>
      </c>
      <c r="AU73" s="326">
        <f t="shared" si="140"/>
        <v>0.89469696969696966</v>
      </c>
      <c r="AV73" s="320">
        <f t="shared" si="140"/>
        <v>1.0557768924302788</v>
      </c>
      <c r="AW73" s="320">
        <f>AW63/AW70</f>
        <v>1.0203340595497459</v>
      </c>
      <c r="AX73" s="320">
        <f>AX63/AX70</f>
        <v>0.95944967414916726</v>
      </c>
      <c r="AY73" s="321">
        <f>+SUM(AU73:AX73)</f>
        <v>3.9302575958261614</v>
      </c>
      <c r="AZ73" s="326">
        <f>AZ63/AZ70</f>
        <v>1.0821570756424177</v>
      </c>
      <c r="BA73" s="320">
        <f>BA63/BA70</f>
        <v>1.2147261516140733</v>
      </c>
      <c r="BB73" s="320">
        <f>BB63/BB70</f>
        <v>1.184402332361516</v>
      </c>
      <c r="BC73" s="320">
        <f>BC63/BC70</f>
        <v>1.0437339213524439</v>
      </c>
      <c r="BD73" s="321">
        <f t="shared" ref="BD73:BZ73" si="141">BD64/BD70</f>
        <v>4.5258079198907604</v>
      </c>
      <c r="BE73" s="320">
        <f t="shared" si="141"/>
        <v>1.1377245508982037</v>
      </c>
      <c r="BF73" s="320">
        <f t="shared" si="141"/>
        <v>1.387326584176978</v>
      </c>
      <c r="BG73" s="320">
        <f t="shared" si="141"/>
        <v>1.3720316622691293</v>
      </c>
      <c r="BH73" s="320">
        <f t="shared" si="141"/>
        <v>1.2155963302752293</v>
      </c>
      <c r="BI73" s="321">
        <f t="shared" si="141"/>
        <v>5.1131221719457001</v>
      </c>
      <c r="BJ73" s="320">
        <f t="shared" si="141"/>
        <v>1.5605828220858895</v>
      </c>
      <c r="BK73" s="320">
        <f t="shared" si="141"/>
        <v>1.6506348595613698</v>
      </c>
      <c r="BL73" s="320">
        <f t="shared" si="141"/>
        <v>1.651803024428073</v>
      </c>
      <c r="BM73" s="320">
        <f t="shared" si="141"/>
        <v>1.7821011673151752</v>
      </c>
      <c r="BN73" s="321">
        <f t="shared" si="141"/>
        <v>6.6434916956353813</v>
      </c>
      <c r="BO73" s="320">
        <f t="shared" si="141"/>
        <v>1.9300314465408805</v>
      </c>
      <c r="BP73" s="320">
        <f t="shared" si="141"/>
        <v>2.0597448548260213</v>
      </c>
      <c r="BQ73" s="320">
        <f t="shared" si="141"/>
        <v>2.0104089648100172</v>
      </c>
      <c r="BR73" s="320">
        <f t="shared" si="141"/>
        <v>2.1104023718084823</v>
      </c>
      <c r="BS73" s="321">
        <f t="shared" si="141"/>
        <v>8.1084320309046483</v>
      </c>
      <c r="BT73" s="320">
        <f t="shared" ref="BT73:BX73" si="142">BT64/BT70</f>
        <v>2.1438069456940303</v>
      </c>
      <c r="BU73" s="320">
        <f t="shared" si="142"/>
        <v>2.314660736938686</v>
      </c>
      <c r="BV73" s="320">
        <f t="shared" si="142"/>
        <v>2.2651010916922543</v>
      </c>
      <c r="BW73" s="320">
        <f t="shared" si="142"/>
        <v>2.3711244389402149</v>
      </c>
      <c r="BX73" s="321">
        <f t="shared" si="142"/>
        <v>9.093323913900182</v>
      </c>
      <c r="BY73" s="321">
        <f t="shared" si="141"/>
        <v>9.8939105763347222</v>
      </c>
      <c r="BZ73" s="321">
        <f t="shared" si="141"/>
        <v>10.784388176938048</v>
      </c>
      <c r="CA73" s="321">
        <f t="shared" ref="CA73" si="143">CA64/CA70</f>
        <v>11.664389310197974</v>
      </c>
      <c r="CB73" s="327">
        <f t="shared" si="138"/>
        <v>0.11916242839011115</v>
      </c>
      <c r="CD73" s="329" t="str">
        <f t="shared" ref="CD73:CI73" si="144">A73</f>
        <v>Adj. Diluted EPS</v>
      </c>
      <c r="CE73" s="320">
        <f t="shared" si="144"/>
        <v>1.9248747913188631</v>
      </c>
      <c r="CF73" s="320">
        <f t="shared" si="144"/>
        <v>2.9851289747292791</v>
      </c>
      <c r="CG73" s="320">
        <f t="shared" si="144"/>
        <v>3.1644316554256404</v>
      </c>
      <c r="CH73" s="320">
        <f t="shared" si="144"/>
        <v>1.9605053081197654</v>
      </c>
      <c r="CI73" s="320">
        <f t="shared" si="144"/>
        <v>2.2438477977886384</v>
      </c>
      <c r="CJ73" s="320">
        <f>K73</f>
        <v>2.489515274097017</v>
      </c>
      <c r="CK73" s="320">
        <f>P73</f>
        <v>3.0163652711109843</v>
      </c>
      <c r="CL73" s="320">
        <f>U73</f>
        <v>2.6487374759560298</v>
      </c>
      <c r="CM73" s="320">
        <f>Z73</f>
        <v>2.3691684541136846</v>
      </c>
      <c r="CN73" s="320">
        <f>AE73</f>
        <v>2.6904266222535367</v>
      </c>
      <c r="CO73" s="320">
        <f>AJ73</f>
        <v>2.7368811779641509</v>
      </c>
      <c r="CP73" s="320">
        <f>AO73</f>
        <v>2.7510044782816201</v>
      </c>
      <c r="CQ73" s="320">
        <f>AT73</f>
        <v>3.2592269765111457</v>
      </c>
      <c r="CR73" s="320">
        <f>AY73</f>
        <v>3.9302575958261614</v>
      </c>
      <c r="CS73" s="320">
        <f>BD73</f>
        <v>4.5258079198907604</v>
      </c>
      <c r="CT73" s="320">
        <f>BI73</f>
        <v>5.1131221719457001</v>
      </c>
      <c r="CU73" s="320">
        <f>BN73</f>
        <v>6.6434916956353813</v>
      </c>
      <c r="CV73" s="320">
        <f>BS73</f>
        <v>8.1084320309046483</v>
      </c>
      <c r="CW73" s="320">
        <f>BX73</f>
        <v>9.093323913900182</v>
      </c>
      <c r="CX73" s="320">
        <f>BY73</f>
        <v>9.8939105763347222</v>
      </c>
      <c r="CY73" s="320">
        <f>BZ73</f>
        <v>10.784388176938048</v>
      </c>
      <c r="CZ73" s="330">
        <f>CA73</f>
        <v>11.664389310197974</v>
      </c>
      <c r="DA73" s="309"/>
      <c r="DB73" s="2214">
        <f>SUM(BO73,BP73,BQ73,BR73)</f>
        <v>8.1105876379854003</v>
      </c>
      <c r="DC73"/>
      <c r="DD73"/>
      <c r="DE73"/>
      <c r="DF73"/>
      <c r="DG73"/>
      <c r="DH73"/>
    </row>
    <row r="74" spans="1:261" s="311" customFormat="1" ht="12" customHeight="1">
      <c r="A74" s="295"/>
      <c r="B74" s="332"/>
      <c r="C74" s="322"/>
      <c r="D74" s="322"/>
      <c r="E74" s="322"/>
      <c r="F74" s="322"/>
      <c r="G74" s="322"/>
      <c r="H74" s="322"/>
      <c r="I74" s="322"/>
      <c r="J74" s="322"/>
      <c r="K74" s="322"/>
      <c r="L74" s="322"/>
      <c r="M74" s="322"/>
      <c r="N74" s="322"/>
      <c r="O74" s="322"/>
      <c r="P74" s="322"/>
      <c r="Q74" s="322"/>
      <c r="R74" s="322"/>
      <c r="S74" s="322"/>
      <c r="T74" s="322"/>
      <c r="U74" s="322"/>
      <c r="V74" s="322"/>
      <c r="W74" s="322"/>
      <c r="X74" s="322"/>
      <c r="Y74" s="322"/>
      <c r="Z74" s="322"/>
      <c r="AA74" s="322"/>
      <c r="AB74" s="322"/>
      <c r="AC74" s="322"/>
      <c r="AD74" s="322"/>
      <c r="AE74" s="322"/>
      <c r="AF74" s="322"/>
      <c r="AG74" s="322"/>
      <c r="AH74" s="322"/>
      <c r="AI74" s="322"/>
      <c r="AJ74" s="322"/>
      <c r="AK74" s="322"/>
      <c r="AL74" s="322"/>
      <c r="AM74" s="322"/>
      <c r="AN74" s="322"/>
      <c r="AO74" s="322"/>
      <c r="AP74" s="322"/>
      <c r="AQ74" s="322"/>
      <c r="AR74" s="322"/>
      <c r="AS74" s="322"/>
      <c r="AT74" s="322"/>
      <c r="AU74" s="322"/>
      <c r="AV74" s="322"/>
      <c r="AW74" s="322"/>
      <c r="AX74" s="322"/>
      <c r="AY74" s="333"/>
      <c r="AZ74" s="332"/>
      <c r="BA74" s="322"/>
      <c r="BB74" s="322"/>
      <c r="BC74" s="322"/>
      <c r="BD74" s="333"/>
      <c r="BE74" s="322"/>
      <c r="BF74" s="322"/>
      <c r="BG74" s="322"/>
      <c r="BH74" s="322"/>
      <c r="BI74" s="334"/>
      <c r="BJ74" s="322"/>
      <c r="BK74" s="322"/>
      <c r="BL74" s="322"/>
      <c r="BM74" s="322"/>
      <c r="BN74" s="335"/>
      <c r="BO74" s="322"/>
      <c r="BP74" s="322"/>
      <c r="BQ74" s="322"/>
      <c r="BR74" s="322"/>
      <c r="BS74" s="335"/>
      <c r="BT74" s="322"/>
      <c r="BU74" s="322"/>
      <c r="BV74" s="322"/>
      <c r="BW74" s="322"/>
      <c r="BX74" s="335"/>
      <c r="BY74" s="333"/>
      <c r="BZ74" s="333"/>
      <c r="CA74" s="322"/>
      <c r="CB74" s="336"/>
      <c r="CC74" s="1388"/>
      <c r="CD74" s="337"/>
      <c r="CE74" s="322"/>
      <c r="CF74" s="322"/>
      <c r="CG74" s="322"/>
      <c r="CH74" s="322"/>
      <c r="CI74" s="322"/>
      <c r="CJ74" s="322"/>
      <c r="CK74" s="322"/>
      <c r="CL74" s="322"/>
      <c r="CM74" s="322"/>
      <c r="CN74" s="322"/>
      <c r="CO74" s="322"/>
      <c r="CP74" s="322"/>
      <c r="CQ74" s="322"/>
      <c r="CR74" s="322"/>
      <c r="CS74" s="322"/>
      <c r="CT74" s="322"/>
      <c r="CU74" s="322"/>
      <c r="CV74" s="322"/>
      <c r="CW74" s="322"/>
      <c r="CX74" s="322"/>
      <c r="CY74" s="322"/>
      <c r="CZ74" s="322"/>
      <c r="DA74" s="309"/>
      <c r="DB74" s="324"/>
      <c r="DC74"/>
      <c r="DD74"/>
      <c r="DE74"/>
      <c r="DF74"/>
      <c r="DG74"/>
      <c r="DH74"/>
    </row>
    <row r="75" spans="1:261" s="345" customFormat="1" ht="15.75">
      <c r="A75" s="342" t="s">
        <v>103</v>
      </c>
      <c r="B75" s="338"/>
      <c r="C75" s="338"/>
      <c r="D75" s="338"/>
      <c r="E75" s="338"/>
      <c r="F75" s="338"/>
      <c r="G75" s="339"/>
      <c r="H75" s="339"/>
      <c r="I75" s="339"/>
      <c r="J75" s="339"/>
      <c r="K75" s="338"/>
      <c r="L75" s="339"/>
      <c r="M75" s="339"/>
      <c r="N75" s="339"/>
      <c r="O75" s="339"/>
      <c r="P75" s="338"/>
      <c r="Q75" s="339"/>
      <c r="R75" s="339"/>
      <c r="S75" s="339"/>
      <c r="T75" s="339"/>
      <c r="U75" s="338"/>
      <c r="V75" s="339"/>
      <c r="W75" s="339"/>
      <c r="X75" s="339"/>
      <c r="Y75" s="339"/>
      <c r="Z75" s="338"/>
      <c r="AA75" s="339"/>
      <c r="AB75" s="339"/>
      <c r="AC75" s="339"/>
      <c r="AD75" s="339"/>
      <c r="AE75" s="338"/>
      <c r="AF75" s="339"/>
      <c r="AG75" s="339"/>
      <c r="AH75" s="339"/>
      <c r="AI75" s="339"/>
      <c r="AJ75" s="338"/>
      <c r="AK75" s="339"/>
      <c r="AL75" s="339"/>
      <c r="AM75" s="339"/>
      <c r="AN75" s="339"/>
      <c r="AO75" s="338"/>
      <c r="AP75" s="339"/>
      <c r="AQ75" s="339"/>
      <c r="AR75" s="339"/>
      <c r="AS75" s="339"/>
      <c r="AT75" s="338"/>
      <c r="AU75" s="340"/>
      <c r="AV75" s="339"/>
      <c r="AW75" s="339"/>
      <c r="AX75" s="339"/>
      <c r="AY75" s="338"/>
      <c r="AZ75" s="340"/>
      <c r="BA75" s="339"/>
      <c r="BB75" s="339"/>
      <c r="BC75" s="339"/>
      <c r="BD75" s="338"/>
      <c r="BE75" s="339"/>
      <c r="BF75" s="339"/>
      <c r="BG75" s="339"/>
      <c r="BH75" s="339"/>
      <c r="BI75" s="338"/>
      <c r="BJ75" s="339"/>
      <c r="BK75" s="339"/>
      <c r="BL75" s="339"/>
      <c r="BM75" s="339"/>
      <c r="BN75" s="338"/>
      <c r="BO75" s="339"/>
      <c r="BP75" s="339"/>
      <c r="BQ75" s="339"/>
      <c r="BR75" s="339"/>
      <c r="BS75" s="338"/>
      <c r="BT75" s="339"/>
      <c r="BU75" s="339"/>
      <c r="BV75" s="339"/>
      <c r="BW75" s="339"/>
      <c r="BX75" s="338"/>
      <c r="BY75" s="338"/>
      <c r="BZ75" s="338"/>
      <c r="CA75" s="338"/>
      <c r="CB75" s="341"/>
      <c r="CC75" s="1387"/>
      <c r="CD75" s="342" t="str">
        <f>+A75</f>
        <v>Cash EPS (Ex-Amort)</v>
      </c>
      <c r="CE75" s="339"/>
      <c r="CF75" s="339"/>
      <c r="CG75" s="339"/>
      <c r="CH75" s="339"/>
      <c r="CI75" s="339"/>
      <c r="CJ75" s="339"/>
      <c r="CK75" s="339"/>
      <c r="CL75" s="339"/>
      <c r="CM75" s="339"/>
      <c r="CN75" s="339"/>
      <c r="CO75" s="339"/>
      <c r="CP75" s="339"/>
      <c r="CQ75" s="339"/>
      <c r="CR75" s="339"/>
      <c r="CS75" s="339"/>
      <c r="CT75" s="339"/>
      <c r="CU75" s="339"/>
      <c r="CV75" s="339"/>
      <c r="CW75" s="339"/>
      <c r="CX75" s="339"/>
      <c r="CY75" s="339"/>
      <c r="CZ75" s="343"/>
      <c r="DA75" s="309"/>
      <c r="DB75" s="344"/>
      <c r="DC75"/>
      <c r="DD75"/>
      <c r="DE75"/>
      <c r="DF75"/>
      <c r="DG75"/>
      <c r="DH75"/>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16"/>
      <c r="FG75" s="16"/>
      <c r="FH75" s="16"/>
      <c r="FI75" s="16"/>
      <c r="FJ75" s="16"/>
      <c r="FK75" s="16"/>
      <c r="FL75" s="16"/>
      <c r="FM75" s="16"/>
      <c r="FN75" s="16"/>
      <c r="FO75" s="16"/>
      <c r="FP75" s="16"/>
      <c r="FQ75" s="16"/>
      <c r="FR75" s="16"/>
      <c r="FS75" s="16"/>
      <c r="FT75" s="16"/>
      <c r="FU75" s="16"/>
      <c r="FV75" s="16"/>
      <c r="FW75" s="16"/>
      <c r="FX75" s="16"/>
      <c r="FY75" s="16"/>
      <c r="FZ75" s="16"/>
      <c r="GA75" s="16"/>
      <c r="GB75" s="16"/>
      <c r="GC75" s="16"/>
      <c r="GD75" s="16"/>
      <c r="GE75" s="16"/>
      <c r="GF75" s="16"/>
      <c r="GG75" s="16"/>
      <c r="GH75" s="16"/>
      <c r="GI75" s="16"/>
      <c r="GJ75" s="16"/>
      <c r="GK75" s="16"/>
      <c r="GL75" s="16"/>
      <c r="GM75" s="16"/>
      <c r="GN75" s="16"/>
      <c r="GO75" s="16"/>
      <c r="GP75" s="16"/>
      <c r="GQ75" s="16"/>
      <c r="GR75" s="16"/>
      <c r="GS75" s="16"/>
      <c r="GT75" s="16"/>
      <c r="GU75" s="16"/>
      <c r="GV75" s="16"/>
      <c r="GW75" s="16"/>
      <c r="GX75" s="16"/>
      <c r="GY75" s="16"/>
      <c r="GZ75" s="16"/>
      <c r="HA75" s="16"/>
      <c r="HB75" s="16"/>
      <c r="HC75" s="16"/>
      <c r="HD75" s="16"/>
      <c r="HE75" s="16"/>
      <c r="HF75" s="16"/>
      <c r="HG75" s="16"/>
      <c r="HH75" s="16"/>
      <c r="HI75" s="16"/>
      <c r="HJ75" s="16"/>
      <c r="HK75" s="16"/>
      <c r="HL75" s="16"/>
      <c r="HM75" s="16"/>
      <c r="HN75" s="16"/>
      <c r="HO75" s="16"/>
      <c r="HP75" s="16"/>
      <c r="HQ75" s="16"/>
      <c r="HR75" s="16"/>
      <c r="HS75" s="16"/>
      <c r="HT75" s="16"/>
      <c r="HU75" s="16"/>
      <c r="HV75" s="16"/>
      <c r="HW75" s="16"/>
      <c r="HX75" s="16"/>
      <c r="HY75" s="16"/>
      <c r="HZ75" s="16"/>
      <c r="IA75" s="16"/>
      <c r="IB75" s="16"/>
      <c r="IC75" s="16"/>
      <c r="ID75" s="16"/>
      <c r="IE75" s="16"/>
      <c r="IF75" s="16"/>
      <c r="IG75" s="16"/>
      <c r="IH75" s="16"/>
      <c r="II75" s="16"/>
      <c r="IJ75" s="16"/>
      <c r="IK75" s="16"/>
      <c r="IL75" s="16"/>
      <c r="IM75" s="16"/>
      <c r="IN75" s="16"/>
      <c r="IO75" s="16"/>
      <c r="IP75" s="16"/>
      <c r="IQ75" s="16"/>
      <c r="IR75" s="16"/>
      <c r="IS75" s="16"/>
      <c r="IT75" s="16"/>
      <c r="IU75" s="16"/>
      <c r="IV75" s="16"/>
      <c r="IW75" s="16"/>
      <c r="IX75" s="16"/>
      <c r="IY75" s="16"/>
      <c r="IZ75" s="16"/>
      <c r="JA75" s="16"/>
    </row>
    <row r="76" spans="1:261" s="418" customFormat="1" ht="12" customHeight="1" collapsed="1">
      <c r="A76" s="346" t="s">
        <v>93</v>
      </c>
      <c r="B76" s="2062">
        <f t="shared" ref="B76:J76" si="145">+B63</f>
        <v>377.03099999999966</v>
      </c>
      <c r="C76" s="2062">
        <f t="shared" si="145"/>
        <v>580.82550000000003</v>
      </c>
      <c r="D76" s="2062">
        <f t="shared" si="145"/>
        <v>607.58670000000006</v>
      </c>
      <c r="E76" s="2062">
        <f t="shared" si="145"/>
        <v>756.41000000000042</v>
      </c>
      <c r="F76" s="2062">
        <f t="shared" si="145"/>
        <v>858.42885199999932</v>
      </c>
      <c r="G76" s="2062">
        <f t="shared" si="145"/>
        <v>88.690400000000153</v>
      </c>
      <c r="H76" s="2063">
        <f t="shared" si="145"/>
        <v>220.96100000000001</v>
      </c>
      <c r="I76" s="2063">
        <f t="shared" si="145"/>
        <v>391.63620000000003</v>
      </c>
      <c r="J76" s="2064">
        <f t="shared" si="145"/>
        <v>212.06078473016544</v>
      </c>
      <c r="K76" s="349">
        <f>+SUM(G76:J76)</f>
        <v>913.34838473016566</v>
      </c>
      <c r="L76" s="2062">
        <f>+L63</f>
        <v>133.36847500000005</v>
      </c>
      <c r="M76" s="2063">
        <f>+M63</f>
        <v>277.07800000000026</v>
      </c>
      <c r="N76" s="2063">
        <f>+N63</f>
        <v>452.01799999999992</v>
      </c>
      <c r="O76" s="2064">
        <f>+O63</f>
        <v>177.5330249999999</v>
      </c>
      <c r="P76" s="349">
        <f>+SUM(L76:O76)</f>
        <v>1039.9975000000002</v>
      </c>
      <c r="Q76" s="2062">
        <f>+Q63</f>
        <v>81.109999999999786</v>
      </c>
      <c r="R76" s="2063">
        <f>+R63</f>
        <v>226.70359999999994</v>
      </c>
      <c r="S76" s="2063">
        <f>+S63</f>
        <v>404.39320000000032</v>
      </c>
      <c r="T76" s="2064">
        <f>+T63</f>
        <v>131.91140000000036</v>
      </c>
      <c r="U76" s="349">
        <f>+SUM(Q76:T76)</f>
        <v>844.11820000000034</v>
      </c>
      <c r="V76" s="2062">
        <f>+V63</f>
        <v>63.003999999999884</v>
      </c>
      <c r="W76" s="2063">
        <f>+W63</f>
        <v>181.8419389999998</v>
      </c>
      <c r="X76" s="2063">
        <f>+X63</f>
        <v>336.11100000000016</v>
      </c>
      <c r="Y76" s="2064">
        <f>+Y63</f>
        <v>161.29406099999963</v>
      </c>
      <c r="Z76" s="349">
        <f>+SUM(V76:Y76)</f>
        <v>742.25099999999941</v>
      </c>
      <c r="AA76" s="2062">
        <f>+AA63</f>
        <v>103.30000000000004</v>
      </c>
      <c r="AB76" s="2063">
        <f>+AB63</f>
        <v>191.09999999999982</v>
      </c>
      <c r="AC76" s="2063">
        <f>+AC63</f>
        <v>374.40000000000015</v>
      </c>
      <c r="AD76" s="2064">
        <f>+AD63</f>
        <v>171.20500000000018</v>
      </c>
      <c r="AE76" s="349">
        <f>+SUM(AA76:AD76)</f>
        <v>840.00500000000011</v>
      </c>
      <c r="AF76" s="2062">
        <f>+AF63</f>
        <v>121</v>
      </c>
      <c r="AG76" s="2063">
        <f>+AG63</f>
        <v>211</v>
      </c>
      <c r="AH76" s="2063">
        <f>+AH63</f>
        <v>366.79999999999995</v>
      </c>
      <c r="AI76" s="2064">
        <f>+AI63</f>
        <v>133</v>
      </c>
      <c r="AJ76" s="349">
        <f>+SUM(AF76:AI76)</f>
        <v>831.8</v>
      </c>
      <c r="AK76" s="2062">
        <f>+AK63</f>
        <v>177</v>
      </c>
      <c r="AL76" s="2063">
        <f>+AL63</f>
        <v>200</v>
      </c>
      <c r="AM76" s="2063">
        <f>+AM63</f>
        <v>200</v>
      </c>
      <c r="AN76" s="2064">
        <f>+AN63</f>
        <v>206</v>
      </c>
      <c r="AO76" s="349">
        <f>+SUM(AK76:AN76)</f>
        <v>783</v>
      </c>
      <c r="AP76" s="2062">
        <f>+AP63</f>
        <v>228</v>
      </c>
      <c r="AQ76" s="2063">
        <f>+AQ63</f>
        <v>257</v>
      </c>
      <c r="AR76" s="2063">
        <f>+AR63</f>
        <v>211</v>
      </c>
      <c r="AS76" s="2064">
        <f>+AS63</f>
        <v>216</v>
      </c>
      <c r="AT76" s="349">
        <f>+SUM(AP76:AS76)</f>
        <v>912</v>
      </c>
      <c r="AU76" s="2062">
        <f>+AU63</f>
        <v>241.01</v>
      </c>
      <c r="AV76" s="2063">
        <f>+AV63</f>
        <v>285.5</v>
      </c>
      <c r="AW76" s="2063">
        <f>+AW63</f>
        <v>281</v>
      </c>
      <c r="AX76" s="2064">
        <f>+AX63</f>
        <v>265</v>
      </c>
      <c r="AY76" s="349">
        <f>+SUM(AU76:AX76)</f>
        <v>1072.51</v>
      </c>
      <c r="AZ76" s="1980">
        <f>+AZ63</f>
        <v>299</v>
      </c>
      <c r="BA76" s="1981">
        <f>+BA63</f>
        <v>334.9</v>
      </c>
      <c r="BB76" s="1981">
        <f>+BB63</f>
        <v>325</v>
      </c>
      <c r="BC76" s="1981">
        <f>+BC63</f>
        <v>284</v>
      </c>
      <c r="BD76" s="349">
        <f>+SUM(AZ76:BC76)</f>
        <v>1242.9000000000001</v>
      </c>
      <c r="BE76" s="1981">
        <f>+BE63</f>
        <v>304</v>
      </c>
      <c r="BF76" s="1981">
        <f>+BF63</f>
        <v>370</v>
      </c>
      <c r="BG76" s="1981">
        <f>+BG63</f>
        <v>364</v>
      </c>
      <c r="BH76" s="1981">
        <f>+BH63</f>
        <v>318</v>
      </c>
      <c r="BI76" s="349">
        <f>+SUM(BE76:BH76)</f>
        <v>1356</v>
      </c>
      <c r="BJ76" s="1981">
        <f>+BJ63</f>
        <v>407</v>
      </c>
      <c r="BK76" s="1981">
        <f>+BK63</f>
        <v>429</v>
      </c>
      <c r="BL76" s="1981">
        <f>+BL63</f>
        <v>426</v>
      </c>
      <c r="BM76" s="1981">
        <f>+BM63</f>
        <v>458</v>
      </c>
      <c r="BN76" s="349">
        <f>+SUM(BJ76:BM76)</f>
        <v>1720</v>
      </c>
      <c r="BO76" s="1981">
        <f>+BO63</f>
        <v>491</v>
      </c>
      <c r="BP76" s="1981">
        <f>+BP63</f>
        <v>516.27765398176155</v>
      </c>
      <c r="BQ76" s="1981">
        <f>+BQ63</f>
        <v>501.58598024494586</v>
      </c>
      <c r="BR76" s="1981">
        <f>+BR63</f>
        <v>524.01642852350653</v>
      </c>
      <c r="BS76" s="349">
        <f>+SUM(BO76:BR76)</f>
        <v>2032.8800627502137</v>
      </c>
      <c r="BT76" s="1981">
        <f>+BT63</f>
        <v>529.72159998453765</v>
      </c>
      <c r="BU76" s="1981">
        <f>+BU63</f>
        <v>569.39057781856923</v>
      </c>
      <c r="BV76" s="1981">
        <f>+BV63</f>
        <v>554.89689699477572</v>
      </c>
      <c r="BW76" s="1981">
        <f>+BW63</f>
        <v>578.36736437681543</v>
      </c>
      <c r="BX76" s="349">
        <f>+SUM(BT76:BW76)</f>
        <v>2232.3764391746981</v>
      </c>
      <c r="BY76" s="1982">
        <f>+BY63</f>
        <v>2385.8773254809907</v>
      </c>
      <c r="BZ76" s="1982">
        <f>+BZ63</f>
        <v>2555.4273521465598</v>
      </c>
      <c r="CA76" s="1982">
        <f>+CA63</f>
        <v>2714.4698234743423</v>
      </c>
      <c r="CB76" s="336"/>
      <c r="CC76" s="1388"/>
      <c r="CD76" s="350" t="str">
        <f>+A76</f>
        <v>Adjusted Net Income</v>
      </c>
      <c r="CE76" s="687">
        <f t="shared" ref="CE76:CI80" si="146">B76</f>
        <v>377.03099999999966</v>
      </c>
      <c r="CF76" s="687">
        <f t="shared" si="146"/>
        <v>580.82550000000003</v>
      </c>
      <c r="CG76" s="687">
        <f t="shared" si="146"/>
        <v>607.58670000000006</v>
      </c>
      <c r="CH76" s="687">
        <f t="shared" si="146"/>
        <v>756.41000000000042</v>
      </c>
      <c r="CI76" s="687">
        <f t="shared" si="146"/>
        <v>858.42885199999932</v>
      </c>
      <c r="CJ76" s="687">
        <f>K76</f>
        <v>913.34838473016566</v>
      </c>
      <c r="CK76" s="687">
        <f>P76</f>
        <v>1039.9975000000002</v>
      </c>
      <c r="CL76" s="687">
        <f>U76</f>
        <v>844.11820000000034</v>
      </c>
      <c r="CM76" s="687">
        <f>Z76</f>
        <v>742.25099999999941</v>
      </c>
      <c r="CN76" s="687">
        <f>AE76</f>
        <v>840.00500000000011</v>
      </c>
      <c r="CO76" s="687">
        <f>AJ76</f>
        <v>831.8</v>
      </c>
      <c r="CP76" s="687">
        <f>AO76</f>
        <v>783</v>
      </c>
      <c r="CQ76" s="687">
        <f>AT76</f>
        <v>912</v>
      </c>
      <c r="CR76" s="154">
        <f>AY76</f>
        <v>1072.51</v>
      </c>
      <c r="CS76" s="154">
        <f>BD76</f>
        <v>1242.9000000000001</v>
      </c>
      <c r="CT76" s="154">
        <f>BI76</f>
        <v>1356</v>
      </c>
      <c r="CU76" s="154">
        <f t="shared" ref="CU76:CU80" si="147">BN76</f>
        <v>1720</v>
      </c>
      <c r="CV76" s="154">
        <f>BS76</f>
        <v>2032.8800627502137</v>
      </c>
      <c r="CW76" s="154">
        <f t="shared" ref="CW76:CZ80" si="148">BX76</f>
        <v>2232.3764391746981</v>
      </c>
      <c r="CX76" s="154">
        <f t="shared" si="148"/>
        <v>2385.8773254809907</v>
      </c>
      <c r="CY76" s="154">
        <f t="shared" si="148"/>
        <v>2555.4273521465598</v>
      </c>
      <c r="CZ76" s="152">
        <f t="shared" si="148"/>
        <v>2714.4698234743423</v>
      </c>
      <c r="DA76" s="309"/>
      <c r="DB76" s="324"/>
      <c r="DC76"/>
      <c r="DD76"/>
      <c r="DE76"/>
      <c r="DF76"/>
      <c r="DG76"/>
      <c r="DH76"/>
    </row>
    <row r="77" spans="1:261" s="418" customFormat="1" ht="12" customHeight="1" collapsed="1">
      <c r="A77" s="351" t="s">
        <v>76</v>
      </c>
      <c r="B77" s="2062">
        <f t="shared" ref="B77:J77" si="149">+B36</f>
        <v>91.555000000000007</v>
      </c>
      <c r="C77" s="2062">
        <f t="shared" si="149"/>
        <v>36.270000000000003</v>
      </c>
      <c r="D77" s="2062">
        <f t="shared" si="149"/>
        <v>32.970999999999997</v>
      </c>
      <c r="E77" s="2062">
        <f t="shared" si="149"/>
        <v>32.47</v>
      </c>
      <c r="F77" s="2062">
        <f t="shared" si="149"/>
        <v>44.234999999999999</v>
      </c>
      <c r="G77" s="2062">
        <f t="shared" si="149"/>
        <v>11.926</v>
      </c>
      <c r="H77" s="2063">
        <f t="shared" si="149"/>
        <v>12.106999999999999</v>
      </c>
      <c r="I77" s="2063">
        <f t="shared" si="149"/>
        <v>12.137</v>
      </c>
      <c r="J77" s="2063">
        <f t="shared" si="149"/>
        <v>12.216999999999999</v>
      </c>
      <c r="K77" s="349">
        <f>+SUM(G77:J77)</f>
        <v>48.387</v>
      </c>
      <c r="L77" s="2062">
        <f>+L36</f>
        <v>11.612</v>
      </c>
      <c r="M77" s="2063">
        <f>+M36</f>
        <v>11.468</v>
      </c>
      <c r="N77" s="2063">
        <f>+N36</f>
        <v>11.709</v>
      </c>
      <c r="O77" s="2063">
        <f>+O36</f>
        <v>13.613999999999997</v>
      </c>
      <c r="P77" s="349">
        <f>+SUM(L77:O77)</f>
        <v>48.402999999999999</v>
      </c>
      <c r="Q77" s="2062">
        <f>+Q36</f>
        <v>14.2</v>
      </c>
      <c r="R77" s="2063">
        <f>+R36</f>
        <v>13.144</v>
      </c>
      <c r="S77" s="2063">
        <f>+S36</f>
        <v>13.637</v>
      </c>
      <c r="T77" s="2063">
        <f>+T36</f>
        <v>17.515999999999998</v>
      </c>
      <c r="U77" s="349">
        <f>+SUM(Q77:T77)</f>
        <v>58.497</v>
      </c>
      <c r="V77" s="2062">
        <f>+V36</f>
        <v>14.204000000000001</v>
      </c>
      <c r="W77" s="2063">
        <f>+W36</f>
        <v>11.44</v>
      </c>
      <c r="X77" s="2063">
        <f>+X36</f>
        <v>11.066000000000001</v>
      </c>
      <c r="Y77" s="2063">
        <f>+Y36</f>
        <v>16.009999999999998</v>
      </c>
      <c r="Z77" s="349">
        <f>+SUM(V77:Y77)</f>
        <v>52.72</v>
      </c>
      <c r="AA77" s="2062">
        <f>+AA36</f>
        <v>10</v>
      </c>
      <c r="AB77" s="2063">
        <f>+AB36</f>
        <v>13</v>
      </c>
      <c r="AC77" s="2063">
        <f>+AC36</f>
        <v>8.4</v>
      </c>
      <c r="AD77" s="2063">
        <f>+AD36</f>
        <v>14.195</v>
      </c>
      <c r="AE77" s="349">
        <f>+SUM(AA77:AD77)</f>
        <v>45.594999999999999</v>
      </c>
      <c r="AF77" s="2062">
        <f>+AF36</f>
        <v>14</v>
      </c>
      <c r="AG77" s="2063">
        <f>+AG36</f>
        <v>14</v>
      </c>
      <c r="AH77" s="2063">
        <f>+AH36</f>
        <v>14.8</v>
      </c>
      <c r="AI77" s="2063">
        <f>+AI36</f>
        <v>15.200000000000003</v>
      </c>
      <c r="AJ77" s="349">
        <f>+SUM(AF77:AI77)</f>
        <v>58</v>
      </c>
      <c r="AK77" s="2062">
        <f>+AK36</f>
        <v>9</v>
      </c>
      <c r="AL77" s="2063">
        <f>+AL36</f>
        <v>11</v>
      </c>
      <c r="AM77" s="2063">
        <f>+AM36</f>
        <v>15</v>
      </c>
      <c r="AN77" s="2063">
        <f>+AN36</f>
        <v>13</v>
      </c>
      <c r="AO77" s="349">
        <f>+SUM(AK77:AN77)</f>
        <v>48</v>
      </c>
      <c r="AP77" s="2062">
        <f>+AP36</f>
        <v>12</v>
      </c>
      <c r="AQ77" s="2063">
        <f>+AQ36</f>
        <v>13</v>
      </c>
      <c r="AR77" s="2063">
        <f>+AR36</f>
        <v>13</v>
      </c>
      <c r="AS77" s="2063">
        <f>+AS36</f>
        <v>13</v>
      </c>
      <c r="AT77" s="349">
        <f>+SUM(AP77:AS77)</f>
        <v>51</v>
      </c>
      <c r="AU77" s="2062">
        <f>+AU36</f>
        <v>12</v>
      </c>
      <c r="AV77" s="2063">
        <f>+AV36</f>
        <v>12</v>
      </c>
      <c r="AW77" s="2063">
        <f>+AW36</f>
        <v>12</v>
      </c>
      <c r="AX77" s="2063">
        <f>+AX36</f>
        <v>12</v>
      </c>
      <c r="AY77" s="349">
        <f>+SUM(AU77:AX77)</f>
        <v>48</v>
      </c>
      <c r="AZ77" s="1980">
        <f>+AZ36</f>
        <v>11</v>
      </c>
      <c r="BA77" s="1981">
        <f>+BA36</f>
        <v>12</v>
      </c>
      <c r="BB77" s="1981">
        <f>+BB36</f>
        <v>17</v>
      </c>
      <c r="BC77" s="1981">
        <f>+BC36</f>
        <v>27</v>
      </c>
      <c r="BD77" s="349">
        <f>+SUM(AZ77:BC77)</f>
        <v>67</v>
      </c>
      <c r="BE77" s="1981">
        <f>+BE36</f>
        <v>24</v>
      </c>
      <c r="BF77" s="1981">
        <f>+BF36</f>
        <v>23</v>
      </c>
      <c r="BG77" s="1981">
        <f>+BG36</f>
        <v>24</v>
      </c>
      <c r="BH77" s="1981">
        <f>+BH36</f>
        <v>25</v>
      </c>
      <c r="BI77" s="349">
        <f>+SUM(BE77:BH77)</f>
        <v>96</v>
      </c>
      <c r="BJ77" s="1981">
        <f>+BJ36</f>
        <v>24</v>
      </c>
      <c r="BK77" s="1981">
        <f>+BK36</f>
        <v>25</v>
      </c>
      <c r="BL77" s="1981">
        <f>+BL36</f>
        <v>24</v>
      </c>
      <c r="BM77" s="1981">
        <f>+BM36</f>
        <v>25</v>
      </c>
      <c r="BN77" s="349">
        <f>+SUM(BJ77:BM77)</f>
        <v>98</v>
      </c>
      <c r="BO77" s="1981">
        <f>+BO36</f>
        <v>24</v>
      </c>
      <c r="BP77" s="1981">
        <f>+BP36</f>
        <v>34.5</v>
      </c>
      <c r="BQ77" s="1981">
        <f>+BQ36</f>
        <v>34.5</v>
      </c>
      <c r="BR77" s="1981">
        <f>+BR36</f>
        <v>34.5</v>
      </c>
      <c r="BS77" s="349">
        <f>+SUM(BO77:BR77)</f>
        <v>127.5</v>
      </c>
      <c r="BT77" s="1981">
        <f>+BT36</f>
        <v>30.125</v>
      </c>
      <c r="BU77" s="1981">
        <f>+BU36</f>
        <v>30.125</v>
      </c>
      <c r="BV77" s="1981">
        <f>+BV36</f>
        <v>30.125</v>
      </c>
      <c r="BW77" s="1981">
        <f>+BW36</f>
        <v>30.125</v>
      </c>
      <c r="BX77" s="349">
        <f>+SUM(BT77:BW77)</f>
        <v>120.5</v>
      </c>
      <c r="BY77" s="1982">
        <f>+BY36</f>
        <v>114.5</v>
      </c>
      <c r="BZ77" s="1982">
        <f>+BZ36</f>
        <v>102.5</v>
      </c>
      <c r="CA77" s="1982">
        <f>+CA36</f>
        <v>100.5</v>
      </c>
      <c r="CB77" s="336"/>
      <c r="CC77" s="1388"/>
      <c r="CD77" s="352" t="str">
        <f>+A77</f>
        <v>Amortization</v>
      </c>
      <c r="CE77" s="154">
        <f t="shared" si="146"/>
        <v>91.555000000000007</v>
      </c>
      <c r="CF77" s="154">
        <f t="shared" si="146"/>
        <v>36.270000000000003</v>
      </c>
      <c r="CG77" s="154">
        <f t="shared" si="146"/>
        <v>32.970999999999997</v>
      </c>
      <c r="CH77" s="154">
        <f t="shared" si="146"/>
        <v>32.47</v>
      </c>
      <c r="CI77" s="154">
        <f t="shared" si="146"/>
        <v>44.234999999999999</v>
      </c>
      <c r="CJ77" s="154">
        <f>K77</f>
        <v>48.387</v>
      </c>
      <c r="CK77" s="154">
        <f>P77</f>
        <v>48.402999999999999</v>
      </c>
      <c r="CL77" s="154">
        <f>U77</f>
        <v>58.497</v>
      </c>
      <c r="CM77" s="154">
        <f>Z77</f>
        <v>52.72</v>
      </c>
      <c r="CN77" s="154">
        <f>AE77</f>
        <v>45.594999999999999</v>
      </c>
      <c r="CO77" s="154">
        <f>AJ77</f>
        <v>58</v>
      </c>
      <c r="CP77" s="154">
        <f>AO77</f>
        <v>48</v>
      </c>
      <c r="CQ77" s="154">
        <f>AT77</f>
        <v>51</v>
      </c>
      <c r="CR77" s="154">
        <f>AY77</f>
        <v>48</v>
      </c>
      <c r="CS77" s="154">
        <f>BD77</f>
        <v>67</v>
      </c>
      <c r="CT77" s="154">
        <f>BI77</f>
        <v>96</v>
      </c>
      <c r="CU77" s="154">
        <f t="shared" si="147"/>
        <v>98</v>
      </c>
      <c r="CV77" s="154">
        <f>BS77</f>
        <v>127.5</v>
      </c>
      <c r="CW77" s="154">
        <f t="shared" si="148"/>
        <v>120.5</v>
      </c>
      <c r="CX77" s="154">
        <f t="shared" si="148"/>
        <v>114.5</v>
      </c>
      <c r="CY77" s="154">
        <f t="shared" si="148"/>
        <v>102.5</v>
      </c>
      <c r="CZ77" s="152">
        <f t="shared" si="148"/>
        <v>100.5</v>
      </c>
      <c r="DA77" s="309"/>
      <c r="DB77" s="324"/>
      <c r="DC77"/>
      <c r="DD77"/>
      <c r="DE77"/>
      <c r="DF77"/>
      <c r="DG77"/>
      <c r="DH77"/>
    </row>
    <row r="78" spans="1:261" customFormat="1" ht="12" customHeight="1">
      <c r="A78" s="351" t="s">
        <v>104</v>
      </c>
      <c r="B78" s="2062">
        <f t="shared" ref="B78:J78" si="150">+-B77*B245</f>
        <v>-35.614894999999997</v>
      </c>
      <c r="C78" s="2062">
        <f t="shared" si="150"/>
        <v>-14.109029999999999</v>
      </c>
      <c r="D78" s="2062">
        <f t="shared" si="150"/>
        <v>-12.825718999999998</v>
      </c>
      <c r="E78" s="2062">
        <f t="shared" si="150"/>
        <v>-12.793179999999998</v>
      </c>
      <c r="F78" s="2062">
        <f t="shared" si="150"/>
        <v>-15.791894999999998</v>
      </c>
      <c r="G78" s="2062">
        <f t="shared" si="150"/>
        <v>-4.6749919999999996</v>
      </c>
      <c r="H78" s="2063">
        <f t="shared" si="150"/>
        <v>-4.7459439999999988</v>
      </c>
      <c r="I78" s="2063">
        <f t="shared" si="150"/>
        <v>-4.7577039999999995</v>
      </c>
      <c r="J78" s="2063">
        <f t="shared" si="150"/>
        <v>-4.7890639999999989</v>
      </c>
      <c r="K78" s="349">
        <f>+SUM(G78:J78)</f>
        <v>-18.967703999999998</v>
      </c>
      <c r="L78" s="2062">
        <f>+-L77*L245</f>
        <v>-4.5867399999999998</v>
      </c>
      <c r="M78" s="2063">
        <f>+-M77*M245</f>
        <v>-4.5298599999999993</v>
      </c>
      <c r="N78" s="2063">
        <f>+-N77*N245</f>
        <v>-4.6250549999999997</v>
      </c>
      <c r="O78" s="2063">
        <f>+-O77*O245</f>
        <v>-5.3775299999999984</v>
      </c>
      <c r="P78" s="349">
        <f>+SUM(L78:O78)</f>
        <v>-19.119184999999995</v>
      </c>
      <c r="Q78" s="2062">
        <f>+-Q77*Q245</f>
        <v>-5.5663999999999989</v>
      </c>
      <c r="R78" s="2063">
        <f>+-R77*R245</f>
        <v>-5.1524479999999997</v>
      </c>
      <c r="S78" s="2063">
        <f>+-S77*S245</f>
        <v>-5.3457039999999996</v>
      </c>
      <c r="T78" s="2063">
        <f>+-T77*T245</f>
        <v>-6.8662719999999986</v>
      </c>
      <c r="U78" s="349">
        <f>+SUM(Q78:T78)</f>
        <v>-22.930823999999998</v>
      </c>
      <c r="V78" s="2062">
        <f>+-V77*V245</f>
        <v>-5.5253559999999995</v>
      </c>
      <c r="W78" s="2063">
        <f>+-W77*W245</f>
        <v>-4.4501599999999994</v>
      </c>
      <c r="X78" s="2063">
        <f>+-X77*X245</f>
        <v>-4.3046739999999994</v>
      </c>
      <c r="Y78" s="2063">
        <f>+-Y77*Y245</f>
        <v>-6.2278899999999986</v>
      </c>
      <c r="Z78" s="349">
        <f>+SUM(V78:Y78)</f>
        <v>-20.508079999999996</v>
      </c>
      <c r="AA78" s="2062">
        <f>+-AA77*AA245</f>
        <v>-3.8899999999999997</v>
      </c>
      <c r="AB78" s="2063">
        <f>+-AB77*AB245</f>
        <v>-5.0569999999999995</v>
      </c>
      <c r="AC78" s="2063">
        <f>+-AC77*AC245</f>
        <v>-3.2675999999999998</v>
      </c>
      <c r="AD78" s="2063">
        <f>+-AD77*AD245</f>
        <v>-5.5218549999999995</v>
      </c>
      <c r="AE78" s="349">
        <f>+SUM(AA78:AD78)</f>
        <v>-17.736454999999999</v>
      </c>
      <c r="AF78" s="2062">
        <f>+-AF77*AF245</f>
        <v>-5.2359999999999998</v>
      </c>
      <c r="AG78" s="2063">
        <f>+-AG77*AG245</f>
        <v>-5.2359999999999998</v>
      </c>
      <c r="AH78" s="2063">
        <f>+-AH77*AH245</f>
        <v>-5.5352000000000006</v>
      </c>
      <c r="AI78" s="2063">
        <f>+-AI77*AI245</f>
        <v>-5.684800000000001</v>
      </c>
      <c r="AJ78" s="349">
        <f>+SUM(AF78:AI78)</f>
        <v>-21.692</v>
      </c>
      <c r="AK78" s="2062">
        <f>+-AK77*AK245</f>
        <v>-3.4739999999999998</v>
      </c>
      <c r="AL78" s="2063">
        <f>+-AL77*AL245</f>
        <v>-4.2459999999999996</v>
      </c>
      <c r="AM78" s="2063">
        <f>+-AM77*AM245</f>
        <v>-5.7899999999999991</v>
      </c>
      <c r="AN78" s="2063">
        <f>+-AN77*AN245</f>
        <v>-5.0179999999999998</v>
      </c>
      <c r="AO78" s="349">
        <f>+SUM(AK78:AN78)</f>
        <v>-18.527999999999999</v>
      </c>
      <c r="AP78" s="2062">
        <f>+-AP77*AP245</f>
        <v>-4.6319999999999997</v>
      </c>
      <c r="AQ78" s="2063">
        <f>+-AQ77*AQ245</f>
        <v>-5.0179999999999998</v>
      </c>
      <c r="AR78" s="2063">
        <f>+-AR77*AR245</f>
        <v>-5.0179999999999998</v>
      </c>
      <c r="AS78" s="2063">
        <f>+-AS77*AS245</f>
        <v>-4.9139999999999997</v>
      </c>
      <c r="AT78" s="349">
        <f>+SUM(AP78:AS78)</f>
        <v>-19.582000000000001</v>
      </c>
      <c r="AU78" s="2062">
        <f>+-AU77*AU245</f>
        <v>-4.5359999999999996</v>
      </c>
      <c r="AV78" s="2063">
        <f>+-AV77*AV245</f>
        <v>-4.5359999999999996</v>
      </c>
      <c r="AW78" s="2063">
        <f>+-AW77*AW245</f>
        <v>-4.3559999999999999</v>
      </c>
      <c r="AX78" s="2063">
        <f>+-AX77*AX245</f>
        <v>-4.3559999999999999</v>
      </c>
      <c r="AY78" s="349">
        <f>+SUM(AU78:AX78)</f>
        <v>-17.783999999999999</v>
      </c>
      <c r="AZ78" s="1978">
        <v>-4</v>
      </c>
      <c r="BA78" s="1979">
        <f>+-BA77*BA245</f>
        <v>-4.3559999999999999</v>
      </c>
      <c r="BB78" s="1979">
        <f>+-BB77*BB245</f>
        <v>-6.1709999999999994</v>
      </c>
      <c r="BC78" s="1979">
        <f>20-BC77</f>
        <v>-7</v>
      </c>
      <c r="BD78" s="349">
        <f>+SUM(AZ78:BC78)</f>
        <v>-21.527000000000001</v>
      </c>
      <c r="BE78" s="1979">
        <v>-8</v>
      </c>
      <c r="BF78" s="1979">
        <v>-8</v>
      </c>
      <c r="BG78" s="1979">
        <v>-8</v>
      </c>
      <c r="BH78" s="1979">
        <v>-9</v>
      </c>
      <c r="BI78" s="349">
        <f>+SUM(BE78:BH78)</f>
        <v>-33</v>
      </c>
      <c r="BJ78" s="1979">
        <v>-9</v>
      </c>
      <c r="BK78" s="1979">
        <v>-8</v>
      </c>
      <c r="BL78" s="2172">
        <v>-9</v>
      </c>
      <c r="BM78" s="2172">
        <v>-9</v>
      </c>
      <c r="BN78" s="349">
        <f>+SUM(BJ78:BM78)</f>
        <v>-35</v>
      </c>
      <c r="BO78" s="2172">
        <v>-6</v>
      </c>
      <c r="BP78" s="348">
        <f>+-BP77*BP245</f>
        <v>-7.6935000000000002</v>
      </c>
      <c r="BQ78" s="348">
        <f>+-BQ77*BQ245</f>
        <v>-7.6935000000000002</v>
      </c>
      <c r="BR78" s="348">
        <f>+-BR77*BR245</f>
        <v>-7.6935000000000002</v>
      </c>
      <c r="BS78" s="349">
        <f>+SUM(BO78:BR78)</f>
        <v>-29.080500000000001</v>
      </c>
      <c r="BT78" s="348">
        <f>+-BT77*BT245</f>
        <v>-6.7178750000000003</v>
      </c>
      <c r="BU78" s="348">
        <f>+-BU77*BU245</f>
        <v>-6.7178750000000003</v>
      </c>
      <c r="BV78" s="348">
        <f>+-BV77*BV245</f>
        <v>-6.7178750000000003</v>
      </c>
      <c r="BW78" s="348">
        <f>+-BW77*BW245</f>
        <v>-6.7178750000000003</v>
      </c>
      <c r="BX78" s="349">
        <f>+SUM(BT78:BW78)</f>
        <v>-26.871500000000001</v>
      </c>
      <c r="BY78" s="349">
        <f>+-BY77*BY245</f>
        <v>-25.5335</v>
      </c>
      <c r="BZ78" s="349">
        <f>+-BZ77*BZ245</f>
        <v>-22.857500000000002</v>
      </c>
      <c r="CA78" s="349">
        <f>+-CA77*CA245</f>
        <v>-22.4115</v>
      </c>
      <c r="CB78" s="336"/>
      <c r="CC78" s="1388"/>
      <c r="CD78" s="352" t="str">
        <f>+A78</f>
        <v>Tax Impact</v>
      </c>
      <c r="CE78" s="154">
        <f t="shared" si="146"/>
        <v>-35.614894999999997</v>
      </c>
      <c r="CF78" s="154">
        <f t="shared" si="146"/>
        <v>-14.109029999999999</v>
      </c>
      <c r="CG78" s="154">
        <f t="shared" si="146"/>
        <v>-12.825718999999998</v>
      </c>
      <c r="CH78" s="154">
        <f t="shared" si="146"/>
        <v>-12.793179999999998</v>
      </c>
      <c r="CI78" s="154">
        <f t="shared" si="146"/>
        <v>-15.791894999999998</v>
      </c>
      <c r="CJ78" s="154">
        <f>K78</f>
        <v>-18.967703999999998</v>
      </c>
      <c r="CK78" s="154">
        <f>P78</f>
        <v>-19.119184999999995</v>
      </c>
      <c r="CL78" s="154">
        <f>U78</f>
        <v>-22.930823999999998</v>
      </c>
      <c r="CM78" s="154">
        <f>Z78</f>
        <v>-20.508079999999996</v>
      </c>
      <c r="CN78" s="154">
        <f>AE78</f>
        <v>-17.736454999999999</v>
      </c>
      <c r="CO78" s="154">
        <f>AJ78</f>
        <v>-21.692</v>
      </c>
      <c r="CP78" s="154">
        <f>AO78</f>
        <v>-18.527999999999999</v>
      </c>
      <c r="CQ78" s="154">
        <f>AT78</f>
        <v>-19.582000000000001</v>
      </c>
      <c r="CR78" s="154">
        <f>AY78</f>
        <v>-17.783999999999999</v>
      </c>
      <c r="CS78" s="154">
        <f>BD78</f>
        <v>-21.527000000000001</v>
      </c>
      <c r="CT78" s="154">
        <f>BI78</f>
        <v>-33</v>
      </c>
      <c r="CU78" s="154">
        <f t="shared" si="147"/>
        <v>-35</v>
      </c>
      <c r="CV78" s="154">
        <f>BS78</f>
        <v>-29.080500000000001</v>
      </c>
      <c r="CW78" s="154">
        <f t="shared" si="148"/>
        <v>-26.871500000000001</v>
      </c>
      <c r="CX78" s="154">
        <f t="shared" si="148"/>
        <v>-25.5335</v>
      </c>
      <c r="CY78" s="154">
        <f t="shared" si="148"/>
        <v>-22.857500000000002</v>
      </c>
      <c r="CZ78" s="152">
        <f t="shared" si="148"/>
        <v>-22.4115</v>
      </c>
      <c r="DA78" s="309"/>
      <c r="DB78" s="324"/>
    </row>
    <row r="79" spans="1:261" s="311" customFormat="1" ht="12" customHeight="1">
      <c r="A79" s="346" t="s">
        <v>105</v>
      </c>
      <c r="B79" s="347">
        <f t="shared" ref="B79:J79" si="151">+SUM(B76:B78)</f>
        <v>432.97110499999968</v>
      </c>
      <c r="C79" s="347">
        <f t="shared" si="151"/>
        <v>602.98647000000005</v>
      </c>
      <c r="D79" s="347">
        <f t="shared" si="151"/>
        <v>627.73198100000002</v>
      </c>
      <c r="E79" s="347">
        <f t="shared" si="151"/>
        <v>776.08682000000044</v>
      </c>
      <c r="F79" s="347">
        <f t="shared" si="151"/>
        <v>886.87195699999938</v>
      </c>
      <c r="G79" s="347">
        <f t="shared" si="151"/>
        <v>95.941408000000152</v>
      </c>
      <c r="H79" s="322">
        <f t="shared" si="151"/>
        <v>228.322056</v>
      </c>
      <c r="I79" s="322">
        <f t="shared" si="151"/>
        <v>399.01549600000004</v>
      </c>
      <c r="J79" s="322">
        <f t="shared" si="151"/>
        <v>219.48872073016543</v>
      </c>
      <c r="K79" s="349">
        <f>+SUM(G79:J79)</f>
        <v>942.76768073016569</v>
      </c>
      <c r="L79" s="347">
        <f>+SUM(L76:L78)</f>
        <v>140.39373500000005</v>
      </c>
      <c r="M79" s="322">
        <f>+SUM(M76:M78)</f>
        <v>284.01614000000029</v>
      </c>
      <c r="N79" s="322">
        <f>+SUM(N76:N78)</f>
        <v>459.10194499999994</v>
      </c>
      <c r="O79" s="322">
        <f>+SUM(O76:O78)</f>
        <v>185.76949499999989</v>
      </c>
      <c r="P79" s="349">
        <f>+SUM(L79:O79)</f>
        <v>1069.2813150000002</v>
      </c>
      <c r="Q79" s="347">
        <f>+SUM(Q76:Q78)</f>
        <v>89.743599999999788</v>
      </c>
      <c r="R79" s="322">
        <f>+SUM(R76:R78)</f>
        <v>234.69515199999995</v>
      </c>
      <c r="S79" s="322">
        <f>+SUM(S76:S78)</f>
        <v>412.68449600000031</v>
      </c>
      <c r="T79" s="322">
        <f>+SUM(T76:T78)</f>
        <v>142.56112800000034</v>
      </c>
      <c r="U79" s="349">
        <f>+SUM(Q79:T79)</f>
        <v>879.68437600000038</v>
      </c>
      <c r="V79" s="347">
        <f>+SUM(V76:V78)</f>
        <v>71.682643999999883</v>
      </c>
      <c r="W79" s="322">
        <f>+SUM(W76:W78)</f>
        <v>188.83177899999978</v>
      </c>
      <c r="X79" s="322">
        <f>+SUM(X76:X78)</f>
        <v>342.87232600000016</v>
      </c>
      <c r="Y79" s="322">
        <f>+SUM(Y76:Y78)</f>
        <v>171.07617099999962</v>
      </c>
      <c r="Z79" s="349">
        <f>+SUM(V79:Y79)</f>
        <v>774.46291999999937</v>
      </c>
      <c r="AA79" s="347">
        <f>+SUM(AA76:AA78)</f>
        <v>109.41000000000004</v>
      </c>
      <c r="AB79" s="322">
        <f>+SUM(AB76:AB78)</f>
        <v>199.04299999999984</v>
      </c>
      <c r="AC79" s="322">
        <f>+SUM(AC76:AC78)</f>
        <v>379.53240000000011</v>
      </c>
      <c r="AD79" s="322">
        <f>+SUM(AD76:AD78)</f>
        <v>179.87814500000019</v>
      </c>
      <c r="AE79" s="349">
        <f>+SUM(AA79:AD79)</f>
        <v>867.86354500000016</v>
      </c>
      <c r="AF79" s="347">
        <f>+SUM(AF76:AF78)</f>
        <v>129.76400000000001</v>
      </c>
      <c r="AG79" s="322">
        <f>+SUM(AG76:AG78)</f>
        <v>219.76400000000001</v>
      </c>
      <c r="AH79" s="322">
        <f>+SUM(AH76:AH78)</f>
        <v>376.06479999999999</v>
      </c>
      <c r="AI79" s="322">
        <f>+SUM(AI76:AI78)</f>
        <v>142.51519999999999</v>
      </c>
      <c r="AJ79" s="349">
        <f>+SUM(AF79:AI79)</f>
        <v>868.10799999999995</v>
      </c>
      <c r="AK79" s="347">
        <f>+SUM(AK76:AK78)</f>
        <v>182.52600000000001</v>
      </c>
      <c r="AL79" s="322">
        <f>+SUM(AL76:AL78)</f>
        <v>206.75399999999999</v>
      </c>
      <c r="AM79" s="322">
        <f>+SUM(AM76:AM78)</f>
        <v>209.21</v>
      </c>
      <c r="AN79" s="322">
        <f>+SUM(AN76:AN78)</f>
        <v>213.982</v>
      </c>
      <c r="AO79" s="349">
        <f>+SUM(AK79:AN79)</f>
        <v>812.47199999999998</v>
      </c>
      <c r="AP79" s="347">
        <f>+SUM(AP76:AP78)</f>
        <v>235.36799999999999</v>
      </c>
      <c r="AQ79" s="322">
        <f>+SUM(AQ76:AQ78)</f>
        <v>264.98200000000003</v>
      </c>
      <c r="AR79" s="322">
        <f>+SUM(AR76:AR78)</f>
        <v>218.982</v>
      </c>
      <c r="AS79" s="322">
        <f>+SUM(AS76:AS78)</f>
        <v>224.08600000000001</v>
      </c>
      <c r="AT79" s="349">
        <f>+SUM(AP79:AS79)</f>
        <v>943.41800000000001</v>
      </c>
      <c r="AU79" s="347">
        <f>+SUM(AU76:AU78)</f>
        <v>248.47399999999999</v>
      </c>
      <c r="AV79" s="322">
        <f>+SUM(AV76:AV78)</f>
        <v>292.964</v>
      </c>
      <c r="AW79" s="322">
        <f>+SUM(AW76:AW78)</f>
        <v>288.64400000000001</v>
      </c>
      <c r="AX79" s="322">
        <f>+SUM(AX76:AX78)</f>
        <v>272.64400000000001</v>
      </c>
      <c r="AY79" s="349">
        <f>+SUM(AU79:AX79)</f>
        <v>1102.7260000000001</v>
      </c>
      <c r="AZ79" s="347">
        <f>+SUM(AZ76:AZ78)</f>
        <v>306</v>
      </c>
      <c r="BA79" s="348">
        <f>+SUM(BA76:BA78)</f>
        <v>342.54399999999998</v>
      </c>
      <c r="BB79" s="348">
        <f>+SUM(BB76:BB78)</f>
        <v>335.82900000000001</v>
      </c>
      <c r="BC79" s="348">
        <f>+SUM(BC76:BC78)</f>
        <v>304</v>
      </c>
      <c r="BD79" s="349">
        <f>+SUM(AZ79:BC79)</f>
        <v>1288.373</v>
      </c>
      <c r="BE79" s="348">
        <f>+SUM(BE76:BE78)</f>
        <v>320</v>
      </c>
      <c r="BF79" s="348">
        <f>+SUM(BF76:BF78)</f>
        <v>385</v>
      </c>
      <c r="BG79" s="348">
        <f>+SUM(BG76:BG78)</f>
        <v>380</v>
      </c>
      <c r="BH79" s="348">
        <f>+SUM(BH76:BH78)</f>
        <v>334</v>
      </c>
      <c r="BI79" s="349">
        <f>+SUM(BE79:BH79)</f>
        <v>1419</v>
      </c>
      <c r="BJ79" s="348">
        <f>+SUM(BJ76:BJ78)</f>
        <v>422</v>
      </c>
      <c r="BK79" s="415">
        <f>+SUM(BK76:BK78)</f>
        <v>446</v>
      </c>
      <c r="BL79" s="348">
        <f>+SUM(BL76:BL78)</f>
        <v>441</v>
      </c>
      <c r="BM79" s="348">
        <f>+SUM(BM76:BM78)</f>
        <v>474</v>
      </c>
      <c r="BN79" s="349">
        <f>+SUM(BJ79:BM79)</f>
        <v>1783</v>
      </c>
      <c r="BO79" s="348">
        <f>+SUM(BO76:BO78)</f>
        <v>509</v>
      </c>
      <c r="BP79" s="348">
        <f>+SUM(BP76:BP78)</f>
        <v>543.08415398176157</v>
      </c>
      <c r="BQ79" s="348">
        <f>+SUM(BQ76:BQ78)</f>
        <v>528.39248024494589</v>
      </c>
      <c r="BR79" s="348">
        <f>+SUM(BR76:BR78)</f>
        <v>550.82292852350656</v>
      </c>
      <c r="BS79" s="349">
        <f>+SUM(BO79:BR79)</f>
        <v>2131.2995627502141</v>
      </c>
      <c r="BT79" s="348">
        <f>+SUM(BT76:BT78)</f>
        <v>553.1287249845376</v>
      </c>
      <c r="BU79" s="348">
        <f>+SUM(BU76:BU78)</f>
        <v>592.79770281856918</v>
      </c>
      <c r="BV79" s="348">
        <f>+SUM(BV76:BV78)</f>
        <v>578.30402199477567</v>
      </c>
      <c r="BW79" s="348">
        <f>+SUM(BW76:BW78)</f>
        <v>601.77448937681538</v>
      </c>
      <c r="BX79" s="349">
        <f>+SUM(BT79:BW79)</f>
        <v>2326.0049391746979</v>
      </c>
      <c r="BY79" s="353">
        <f>+SUM(BY76:BY78)</f>
        <v>2474.8438254809907</v>
      </c>
      <c r="BZ79" s="353">
        <f>+SUM(BZ76:BZ78)</f>
        <v>2635.0698521465597</v>
      </c>
      <c r="CA79" s="353">
        <f>+SUM(CA76:CA78)</f>
        <v>2792.5583234743422</v>
      </c>
      <c r="CB79" s="336"/>
      <c r="CC79" s="1388"/>
      <c r="CD79" s="350" t="str">
        <f>+A79</f>
        <v>Adj. Net Income (Ex- Amort)</v>
      </c>
      <c r="CE79" s="154">
        <f t="shared" si="146"/>
        <v>432.97110499999968</v>
      </c>
      <c r="CF79" s="154">
        <f t="shared" si="146"/>
        <v>602.98647000000005</v>
      </c>
      <c r="CG79" s="154">
        <f t="shared" si="146"/>
        <v>627.73198100000002</v>
      </c>
      <c r="CH79" s="154">
        <f t="shared" si="146"/>
        <v>776.08682000000044</v>
      </c>
      <c r="CI79" s="154">
        <f t="shared" si="146"/>
        <v>886.87195699999938</v>
      </c>
      <c r="CJ79" s="154">
        <f>K79</f>
        <v>942.76768073016569</v>
      </c>
      <c r="CK79" s="154">
        <f>P79</f>
        <v>1069.2813150000002</v>
      </c>
      <c r="CL79" s="154">
        <f>U79</f>
        <v>879.68437600000038</v>
      </c>
      <c r="CM79" s="154">
        <f>Z79</f>
        <v>774.46291999999937</v>
      </c>
      <c r="CN79" s="154">
        <f>AE79</f>
        <v>867.86354500000016</v>
      </c>
      <c r="CO79" s="154">
        <f>AJ79</f>
        <v>868.10799999999995</v>
      </c>
      <c r="CP79" s="154">
        <f>AO79</f>
        <v>812.47199999999998</v>
      </c>
      <c r="CQ79" s="154">
        <f>AT79</f>
        <v>943.41800000000001</v>
      </c>
      <c r="CR79" s="154">
        <f>AY79</f>
        <v>1102.7260000000001</v>
      </c>
      <c r="CS79" s="154">
        <f>BD79</f>
        <v>1288.373</v>
      </c>
      <c r="CT79" s="154">
        <f>BI79</f>
        <v>1419</v>
      </c>
      <c r="CU79" s="154">
        <f t="shared" si="147"/>
        <v>1783</v>
      </c>
      <c r="CV79" s="154">
        <f>BS79</f>
        <v>2131.2995627502141</v>
      </c>
      <c r="CW79" s="154">
        <f t="shared" si="148"/>
        <v>2326.0049391746979</v>
      </c>
      <c r="CX79" s="154">
        <f t="shared" si="148"/>
        <v>2474.8438254809907</v>
      </c>
      <c r="CY79" s="154">
        <f t="shared" si="148"/>
        <v>2635.0698521465597</v>
      </c>
      <c r="CZ79" s="152">
        <f t="shared" si="148"/>
        <v>2792.5583234743422</v>
      </c>
      <c r="DA79" s="309"/>
      <c r="DB79" s="324"/>
      <c r="DC79"/>
      <c r="DD79"/>
      <c r="DE79"/>
      <c r="DF79"/>
      <c r="DG79"/>
      <c r="DH79"/>
    </row>
    <row r="80" spans="1:261" s="365" customFormat="1" ht="12" customHeight="1">
      <c r="A80" s="354" t="s">
        <v>106</v>
      </c>
      <c r="B80" s="357">
        <f t="shared" ref="B80:J80" si="152">+B79/B70</f>
        <v>2.2104685433929112</v>
      </c>
      <c r="C80" s="357">
        <f t="shared" si="152"/>
        <v>3.0990243764551098</v>
      </c>
      <c r="D80" s="357">
        <f t="shared" si="152"/>
        <v>3.2693522616598529</v>
      </c>
      <c r="E80" s="357">
        <f t="shared" si="152"/>
        <v>2.0115047793812733</v>
      </c>
      <c r="F80" s="357">
        <f t="shared" si="152"/>
        <v>2.3181952505423826</v>
      </c>
      <c r="G80" s="357">
        <f t="shared" si="152"/>
        <v>0.25426190659179065</v>
      </c>
      <c r="H80" s="356">
        <f t="shared" si="152"/>
        <v>0.62467218411685688</v>
      </c>
      <c r="I80" s="356">
        <f t="shared" si="152"/>
        <v>1.1055051352736642</v>
      </c>
      <c r="J80" s="356">
        <f t="shared" si="152"/>
        <v>0.60272605648661415</v>
      </c>
      <c r="K80" s="355">
        <f>+SUM(G80:J80)</f>
        <v>2.5871652824689262</v>
      </c>
      <c r="L80" s="357">
        <f>+L79/L70</f>
        <v>0.38836763513943418</v>
      </c>
      <c r="M80" s="356">
        <f>+M79/M70</f>
        <v>0.8107843607442814</v>
      </c>
      <c r="N80" s="356">
        <f>+N79/N70</f>
        <v>1.3593635949107725</v>
      </c>
      <c r="O80" s="356">
        <f>+O79/O70</f>
        <v>0.56163588952881927</v>
      </c>
      <c r="P80" s="355">
        <f>+SUM(L80:O80)</f>
        <v>3.1201514803233072</v>
      </c>
      <c r="Q80" s="357">
        <f>+Q79/Q70</f>
        <v>0.27750030921459429</v>
      </c>
      <c r="R80" s="356">
        <f>+R79/R70</f>
        <v>0.730939440089446</v>
      </c>
      <c r="S80" s="356">
        <f>+S79/S70</f>
        <v>1.3010106966201465</v>
      </c>
      <c r="T80" s="356">
        <f>+T79/T70</f>
        <v>0.45570854830357421</v>
      </c>
      <c r="U80" s="355">
        <f>+SUM(Q80:T80)</f>
        <v>2.7651589942277606</v>
      </c>
      <c r="V80" s="357">
        <f>+V79/V70</f>
        <v>0.22973954624267229</v>
      </c>
      <c r="W80" s="356">
        <f>+W79/W70</f>
        <v>0.60323281890407654</v>
      </c>
      <c r="X80" s="356">
        <f>+X79/X70</f>
        <v>1.0931964660345239</v>
      </c>
      <c r="Y80" s="356">
        <f>+Y79/Y70</f>
        <v>0.54399352268174206</v>
      </c>
      <c r="Z80" s="355">
        <f>+SUM(V80:Y80)</f>
        <v>2.4701623538630146</v>
      </c>
      <c r="AA80" s="357">
        <f>+AA79/AA70</f>
        <v>0.34590578564653823</v>
      </c>
      <c r="AB80" s="356">
        <f>+AB79/AB70</f>
        <v>0.63551404853128945</v>
      </c>
      <c r="AC80" s="356">
        <f>+AC79/AC70</f>
        <v>1.2270688651794377</v>
      </c>
      <c r="AD80" s="356">
        <f>+AD79/AD70</f>
        <v>0.57964812469588201</v>
      </c>
      <c r="AE80" s="355">
        <f>+SUM(AA80:AD80)</f>
        <v>2.7881368240531472</v>
      </c>
      <c r="AF80" s="357">
        <f>+AF79/AF70</f>
        <v>0.41913436692506462</v>
      </c>
      <c r="AG80" s="356">
        <f>+AG79/AG70</f>
        <v>0.71075032341526523</v>
      </c>
      <c r="AH80" s="356">
        <f>+AH79/AH70</f>
        <v>1.2386851119894597</v>
      </c>
      <c r="AI80" s="356">
        <f>+AI79/AI70</f>
        <v>0.48806575342465752</v>
      </c>
      <c r="AJ80" s="355">
        <f>+SUM(AF80:AI80)</f>
        <v>2.8566355557544472</v>
      </c>
      <c r="AK80" s="357">
        <f>+AK79/AK70</f>
        <v>0.64315010570824527</v>
      </c>
      <c r="AL80" s="356">
        <f>+AL79/AL70</f>
        <v>0.72468980021030494</v>
      </c>
      <c r="AM80" s="356">
        <f>+AM79/AM70</f>
        <v>0.73510189739985943</v>
      </c>
      <c r="AN80" s="356">
        <f>+AN79/AN70</f>
        <v>0.75160519845451357</v>
      </c>
      <c r="AO80" s="355">
        <f>+SUM(AK80:AN80)</f>
        <v>2.8545470017729233</v>
      </c>
      <c r="AP80" s="357">
        <f>+AP79/AP70</f>
        <v>0.82788603587759402</v>
      </c>
      <c r="AQ80" s="356">
        <f>+AQ79/AQ70</f>
        <v>0.9521451670858786</v>
      </c>
      <c r="AR80" s="356">
        <f>+AR79/AR70</f>
        <v>0.78544476327116208</v>
      </c>
      <c r="AS80" s="356">
        <f>+AS79/AS70</f>
        <v>0.80606474820143892</v>
      </c>
      <c r="AT80" s="355">
        <f>+SUM(AP80:AS80)</f>
        <v>3.3715407144360734</v>
      </c>
      <c r="AU80" s="357">
        <f>+AU79/AU70</f>
        <v>0.89637085137085137</v>
      </c>
      <c r="AV80" s="356">
        <f>+AV79/AV70</f>
        <v>1.0610793190872871</v>
      </c>
      <c r="AW80" s="356">
        <f>+AW79/AW70</f>
        <v>1.0480900508351489</v>
      </c>
      <c r="AX80" s="356">
        <f>+AX79/AX70</f>
        <v>0.98712527154236063</v>
      </c>
      <c r="AY80" s="355">
        <f>+SUM(AU80:AX80)</f>
        <v>3.9926654928356484</v>
      </c>
      <c r="AZ80" s="357">
        <f>+AZ79/AZ70</f>
        <v>1.1074918566775245</v>
      </c>
      <c r="BA80" s="356">
        <f>+BA79/BA70</f>
        <v>1.2424519405150525</v>
      </c>
      <c r="BB80" s="356">
        <f>+BB79/BB70</f>
        <v>1.2238666180758018</v>
      </c>
      <c r="BC80" s="356">
        <f>+BC79/BC70</f>
        <v>1.1172363101800808</v>
      </c>
      <c r="BD80" s="355">
        <f>+SUM(AZ80:BC80)</f>
        <v>4.6910467254484596</v>
      </c>
      <c r="BE80" s="356">
        <f>+BE79/BE70</f>
        <v>1.1976047904191618</v>
      </c>
      <c r="BF80" s="356">
        <f>+BF79/BF70</f>
        <v>1.4435695538057742</v>
      </c>
      <c r="BG80" s="356">
        <f>+BG79/BG70</f>
        <v>1.4323407463249151</v>
      </c>
      <c r="BH80" s="356">
        <f>+BH79/BH70</f>
        <v>1.2767584097859326</v>
      </c>
      <c r="BI80" s="355">
        <f>+SUM(BE80:BH80)</f>
        <v>5.3502735003357831</v>
      </c>
      <c r="BJ80" s="356">
        <f>+BJ79/BJ70</f>
        <v>1.6180981595092023</v>
      </c>
      <c r="BK80" s="356">
        <f>+BK79/BK70</f>
        <v>1.7160446325509813</v>
      </c>
      <c r="BL80" s="356">
        <f>+BL79/BL70</f>
        <v>1.7099651027530052</v>
      </c>
      <c r="BM80" s="356">
        <f>+BM79/BM70</f>
        <v>1.8443579766536966</v>
      </c>
      <c r="BN80" s="355">
        <f>+SUM(BJ80:BM80)</f>
        <v>6.8884658714668863</v>
      </c>
      <c r="BO80" s="356">
        <f>+BO79/BO70</f>
        <v>2.0007861635220126</v>
      </c>
      <c r="BP80" s="356">
        <f>+BP79/BP70</f>
        <v>2.16669225033124</v>
      </c>
      <c r="BQ80" s="356">
        <f>+BQ79/BQ70</f>
        <v>2.1178522148961978</v>
      </c>
      <c r="BR80" s="356">
        <f>+BR79/BR70</f>
        <v>2.2183617755609286</v>
      </c>
      <c r="BS80" s="355">
        <f>+SUM(BO80:BR80)</f>
        <v>8.5036924043103799</v>
      </c>
      <c r="BT80" s="356">
        <f>+BT79/BT70</f>
        <v>2.238536624746561</v>
      </c>
      <c r="BU80" s="356">
        <f>+BU79/BU70</f>
        <v>2.4098143192295747</v>
      </c>
      <c r="BV80" s="356">
        <f>+BV79/BV70</f>
        <v>2.3606494803713427</v>
      </c>
      <c r="BW80" s="356">
        <f>+BW79/BW70</f>
        <v>2.4670862956273232</v>
      </c>
      <c r="BX80" s="355">
        <f>+SUM(BT80:BW80)</f>
        <v>9.476086719974802</v>
      </c>
      <c r="BY80" s="355">
        <f>+BY79/BY70</f>
        <v>10.262842619021381</v>
      </c>
      <c r="BZ80" s="355">
        <f>+BZ79/BZ70</f>
        <v>11.120494634693662</v>
      </c>
      <c r="CA80" s="355">
        <f>+CA79/CA70</f>
        <v>11.999944583928576</v>
      </c>
      <c r="CB80" s="358">
        <f t="shared" ref="CB80" si="153">(CA80/BN80)^(1/5)-1</f>
        <v>0.1174068924770344</v>
      </c>
      <c r="CC80" s="359"/>
      <c r="CD80" s="360" t="str">
        <f>A80</f>
        <v>Cash EPS (Ex- Amort) - Diluted</v>
      </c>
      <c r="CE80" s="361">
        <f t="shared" si="146"/>
        <v>2.2104685433929112</v>
      </c>
      <c r="CF80" s="361">
        <f t="shared" si="146"/>
        <v>3.0990243764551098</v>
      </c>
      <c r="CG80" s="361">
        <f t="shared" si="146"/>
        <v>3.2693522616598529</v>
      </c>
      <c r="CH80" s="361">
        <f t="shared" si="146"/>
        <v>2.0115047793812733</v>
      </c>
      <c r="CI80" s="361">
        <f t="shared" si="146"/>
        <v>2.3181952505423826</v>
      </c>
      <c r="CJ80" s="361">
        <f>K80</f>
        <v>2.5871652824689262</v>
      </c>
      <c r="CK80" s="361">
        <f>P80</f>
        <v>3.1201514803233072</v>
      </c>
      <c r="CL80" s="361">
        <f>U80</f>
        <v>2.7651589942277606</v>
      </c>
      <c r="CM80" s="361">
        <f>Z80</f>
        <v>2.4701623538630146</v>
      </c>
      <c r="CN80" s="361">
        <f>AE80</f>
        <v>2.7881368240531472</v>
      </c>
      <c r="CO80" s="361">
        <f>AJ80</f>
        <v>2.8566355557544472</v>
      </c>
      <c r="CP80" s="361">
        <f>AO80</f>
        <v>2.8545470017729233</v>
      </c>
      <c r="CQ80" s="361">
        <f>AT80</f>
        <v>3.3715407144360734</v>
      </c>
      <c r="CR80" s="361">
        <f>AY80</f>
        <v>3.9926654928356484</v>
      </c>
      <c r="CS80" s="361">
        <f>BD80</f>
        <v>4.6910467254484596</v>
      </c>
      <c r="CT80" s="361">
        <f>BI80</f>
        <v>5.3502735003357831</v>
      </c>
      <c r="CU80" s="361">
        <f t="shared" si="147"/>
        <v>6.8884658714668863</v>
      </c>
      <c r="CV80" s="361">
        <f>BS80</f>
        <v>8.5036924043103799</v>
      </c>
      <c r="CW80" s="361">
        <f t="shared" si="148"/>
        <v>9.476086719974802</v>
      </c>
      <c r="CX80" s="361">
        <f t="shared" si="148"/>
        <v>10.262842619021381</v>
      </c>
      <c r="CY80" s="361">
        <f t="shared" si="148"/>
        <v>11.120494634693662</v>
      </c>
      <c r="CZ80" s="362">
        <f t="shared" si="148"/>
        <v>11.999944583928576</v>
      </c>
      <c r="DA80" s="363"/>
      <c r="DB80" s="364"/>
      <c r="DC80"/>
      <c r="DD80"/>
      <c r="DE80"/>
      <c r="DF80"/>
      <c r="DG80"/>
      <c r="DH80"/>
      <c r="DI80" s="311"/>
      <c r="DJ80" s="311"/>
      <c r="DK80" s="311"/>
      <c r="DL80" s="311"/>
      <c r="DM80" s="311"/>
      <c r="DN80" s="311"/>
      <c r="DO80" s="311"/>
      <c r="DP80" s="311"/>
      <c r="DQ80" s="311"/>
      <c r="DR80" s="311"/>
      <c r="DS80" s="311"/>
      <c r="DT80" s="311"/>
      <c r="DU80" s="311"/>
      <c r="DV80" s="311"/>
      <c r="DW80" s="311"/>
      <c r="DX80" s="311"/>
      <c r="DY80" s="311"/>
      <c r="DZ80" s="311"/>
      <c r="EA80" s="311"/>
      <c r="EB80" s="311"/>
      <c r="EC80" s="311"/>
      <c r="ED80" s="311"/>
      <c r="EE80" s="311"/>
      <c r="EF80" s="311"/>
      <c r="EG80" s="311"/>
      <c r="EH80" s="311"/>
      <c r="EI80" s="311"/>
      <c r="EJ80" s="311"/>
      <c r="EK80" s="311"/>
      <c r="EL80" s="311"/>
      <c r="EM80" s="311"/>
      <c r="EN80" s="311"/>
      <c r="EO80" s="311"/>
      <c r="EP80" s="311"/>
      <c r="EQ80" s="311"/>
      <c r="ER80" s="311"/>
      <c r="ES80" s="311"/>
      <c r="ET80" s="311"/>
      <c r="EU80" s="311"/>
      <c r="EV80" s="311"/>
      <c r="EW80" s="311"/>
      <c r="EX80" s="311"/>
      <c r="EY80" s="311"/>
      <c r="EZ80" s="311"/>
      <c r="FA80" s="311"/>
      <c r="FB80" s="311"/>
      <c r="FC80" s="311"/>
      <c r="FD80" s="311"/>
      <c r="FE80" s="311"/>
      <c r="FF80" s="311"/>
      <c r="FG80" s="311"/>
      <c r="FH80" s="311"/>
      <c r="FI80" s="311"/>
      <c r="FJ80" s="311"/>
      <c r="FK80" s="311"/>
      <c r="FL80" s="311"/>
      <c r="FM80" s="311"/>
      <c r="FN80" s="311"/>
      <c r="FO80" s="311"/>
      <c r="FP80" s="311"/>
      <c r="FQ80" s="311"/>
      <c r="FR80" s="311"/>
      <c r="FS80" s="311"/>
      <c r="FT80" s="311"/>
      <c r="FU80" s="311"/>
      <c r="FV80" s="311"/>
      <c r="FW80" s="311"/>
      <c r="FX80" s="311"/>
      <c r="FY80" s="311"/>
      <c r="FZ80" s="311"/>
      <c r="GA80" s="311"/>
      <c r="GB80" s="311"/>
      <c r="GC80" s="311"/>
      <c r="GD80" s="311"/>
      <c r="GE80" s="311"/>
      <c r="GF80" s="311"/>
      <c r="GG80" s="311"/>
      <c r="GH80" s="311"/>
      <c r="GI80" s="311"/>
      <c r="GJ80" s="311"/>
      <c r="GK80" s="311"/>
      <c r="GL80" s="311"/>
      <c r="GM80" s="311"/>
      <c r="GN80" s="311"/>
      <c r="GO80" s="311"/>
      <c r="GP80" s="311"/>
      <c r="GQ80" s="311"/>
      <c r="GR80" s="311"/>
      <c r="GS80" s="311"/>
      <c r="GT80" s="311"/>
      <c r="GU80" s="311"/>
      <c r="GV80" s="311"/>
      <c r="GW80" s="311"/>
      <c r="GX80" s="311"/>
      <c r="GY80" s="311"/>
      <c r="GZ80" s="311"/>
      <c r="HA80" s="311"/>
      <c r="HB80" s="311"/>
      <c r="HC80" s="311"/>
      <c r="HD80" s="311"/>
      <c r="HE80" s="311"/>
      <c r="HF80" s="311"/>
      <c r="HG80" s="311"/>
      <c r="HH80" s="311"/>
      <c r="HI80" s="311"/>
      <c r="HJ80" s="311"/>
      <c r="HK80" s="311"/>
      <c r="HL80" s="311"/>
      <c r="HM80" s="311"/>
      <c r="HN80" s="311"/>
      <c r="HO80" s="311"/>
      <c r="HP80" s="311"/>
      <c r="HQ80" s="311"/>
      <c r="HR80" s="311"/>
      <c r="HS80" s="311"/>
      <c r="HT80" s="311"/>
      <c r="HU80" s="311"/>
      <c r="HV80" s="311"/>
      <c r="HW80" s="311"/>
      <c r="HX80" s="311"/>
      <c r="HY80" s="311"/>
      <c r="HZ80" s="311"/>
      <c r="IA80" s="311"/>
      <c r="IB80" s="311"/>
      <c r="IC80" s="311"/>
      <c r="ID80" s="311"/>
      <c r="IE80" s="311"/>
      <c r="IF80" s="311"/>
      <c r="IG80" s="311"/>
      <c r="IH80" s="311"/>
      <c r="II80" s="311"/>
      <c r="IJ80" s="311"/>
      <c r="IK80" s="311"/>
      <c r="IL80" s="311"/>
      <c r="IM80" s="311"/>
      <c r="IN80" s="311"/>
      <c r="IO80" s="311"/>
      <c r="IP80" s="311"/>
      <c r="IQ80" s="311"/>
      <c r="IR80" s="311"/>
      <c r="IS80" s="311"/>
      <c r="IT80" s="311"/>
      <c r="IU80" s="311"/>
      <c r="IV80" s="311"/>
      <c r="IW80" s="311"/>
      <c r="IX80" s="311"/>
      <c r="IY80" s="311"/>
      <c r="IZ80" s="311"/>
      <c r="JA80" s="311"/>
    </row>
    <row r="81" spans="1:112" s="311" customFormat="1" ht="12" customHeight="1" thickBot="1">
      <c r="A81" s="366"/>
      <c r="B81" s="332"/>
      <c r="C81" s="322"/>
      <c r="D81" s="322"/>
      <c r="E81" s="322"/>
      <c r="F81" s="322"/>
      <c r="G81" s="322"/>
      <c r="H81" s="322"/>
      <c r="I81" s="322"/>
      <c r="J81" s="322"/>
      <c r="K81" s="322"/>
      <c r="L81" s="322"/>
      <c r="M81" s="322"/>
      <c r="N81" s="322"/>
      <c r="O81" s="322"/>
      <c r="P81" s="322"/>
      <c r="Q81" s="322"/>
      <c r="R81" s="322"/>
      <c r="S81" s="322"/>
      <c r="T81" s="322"/>
      <c r="U81" s="322"/>
      <c r="V81" s="322"/>
      <c r="W81" s="322"/>
      <c r="X81" s="322"/>
      <c r="Y81" s="322"/>
      <c r="Z81" s="322"/>
      <c r="AA81" s="322"/>
      <c r="AB81" s="322"/>
      <c r="AC81" s="322"/>
      <c r="AD81" s="322"/>
      <c r="AE81" s="322"/>
      <c r="AF81" s="322"/>
      <c r="AG81" s="322"/>
      <c r="AH81" s="322"/>
      <c r="AI81" s="322"/>
      <c r="AJ81" s="322"/>
      <c r="AK81" s="322"/>
      <c r="AL81" s="322"/>
      <c r="AM81" s="322"/>
      <c r="AN81" s="322"/>
      <c r="AO81" s="322"/>
      <c r="AP81" s="322"/>
      <c r="AQ81" s="322"/>
      <c r="AR81" s="322"/>
      <c r="AS81" s="322"/>
      <c r="AT81" s="322"/>
      <c r="AU81" s="322"/>
      <c r="AV81" s="322"/>
      <c r="AW81" s="322"/>
      <c r="AX81" s="322"/>
      <c r="AY81" s="322"/>
      <c r="AZ81" s="322"/>
      <c r="BA81" s="322"/>
      <c r="BB81" s="322"/>
      <c r="BC81" s="322"/>
      <c r="BD81" s="367"/>
      <c r="BE81" s="367"/>
      <c r="BF81" s="367"/>
      <c r="BG81" s="367"/>
      <c r="BH81" s="367"/>
      <c r="BI81" s="1389"/>
      <c r="BJ81" s="367"/>
      <c r="BK81" s="367"/>
      <c r="BL81" s="367"/>
      <c r="BM81" s="367"/>
      <c r="BN81" s="368"/>
      <c r="BO81" s="322"/>
      <c r="BP81" s="322"/>
      <c r="BQ81" s="322"/>
      <c r="BR81" s="322"/>
      <c r="BS81" s="368"/>
      <c r="BT81" s="322"/>
      <c r="BU81" s="322"/>
      <c r="BV81" s="322"/>
      <c r="BW81" s="322"/>
      <c r="BX81" s="368"/>
      <c r="BY81" s="368"/>
      <c r="BZ81" s="368"/>
      <c r="CA81" s="368"/>
      <c r="CB81" s="336"/>
      <c r="CC81" s="1388"/>
      <c r="CD81" s="337"/>
      <c r="CE81" s="322"/>
      <c r="CF81" s="322"/>
      <c r="CG81" s="322"/>
      <c r="CH81" s="322"/>
      <c r="CI81" s="322"/>
      <c r="CJ81" s="322"/>
      <c r="CK81" s="322"/>
      <c r="CL81" s="322"/>
      <c r="CM81" s="322"/>
      <c r="CN81" s="322"/>
      <c r="CO81" s="322"/>
      <c r="CP81" s="322"/>
      <c r="CQ81" s="322"/>
      <c r="CR81" s="322"/>
      <c r="CS81" s="322"/>
      <c r="CT81" s="368"/>
      <c r="CU81" s="368"/>
      <c r="CV81" s="368"/>
      <c r="CW81" s="368"/>
      <c r="CX81" s="368"/>
      <c r="CY81" s="368"/>
      <c r="CZ81" s="368"/>
      <c r="DA81" s="309"/>
      <c r="DB81" s="324"/>
      <c r="DC81"/>
      <c r="DD81"/>
      <c r="DE81"/>
      <c r="DF81"/>
      <c r="DG81"/>
      <c r="DH81"/>
    </row>
    <row r="82" spans="1:112">
      <c r="A82" s="30" t="s">
        <v>57</v>
      </c>
      <c r="B82" s="1891">
        <v>2001</v>
      </c>
      <c r="C82" s="1891">
        <v>2002</v>
      </c>
      <c r="D82" s="1891">
        <v>2003</v>
      </c>
      <c r="E82" s="1891">
        <v>2004</v>
      </c>
      <c r="F82" s="1891">
        <v>2005</v>
      </c>
      <c r="G82" s="32" t="s">
        <v>0</v>
      </c>
      <c r="H82" s="32" t="s">
        <v>1</v>
      </c>
      <c r="I82" s="32" t="s">
        <v>2</v>
      </c>
      <c r="J82" s="32" t="s">
        <v>3</v>
      </c>
      <c r="K82" s="1891">
        <v>2006</v>
      </c>
      <c r="L82" s="32" t="s">
        <v>4</v>
      </c>
      <c r="M82" s="32" t="s">
        <v>5</v>
      </c>
      <c r="N82" s="32" t="s">
        <v>6</v>
      </c>
      <c r="O82" s="32" t="s">
        <v>7</v>
      </c>
      <c r="P82" s="1891">
        <v>2007</v>
      </c>
      <c r="Q82" s="32" t="s">
        <v>8</v>
      </c>
      <c r="R82" s="32" t="s">
        <v>9</v>
      </c>
      <c r="S82" s="32" t="s">
        <v>10</v>
      </c>
      <c r="T82" s="32" t="s">
        <v>11</v>
      </c>
      <c r="U82" s="1891">
        <v>2008</v>
      </c>
      <c r="V82" s="33" t="s">
        <v>12</v>
      </c>
      <c r="W82" s="33" t="s">
        <v>13</v>
      </c>
      <c r="X82" s="33" t="s">
        <v>14</v>
      </c>
      <c r="Y82" s="33" t="s">
        <v>15</v>
      </c>
      <c r="Z82" s="1891">
        <v>2009</v>
      </c>
      <c r="AA82" s="33" t="s">
        <v>16</v>
      </c>
      <c r="AB82" s="33" t="s">
        <v>17</v>
      </c>
      <c r="AC82" s="33" t="s">
        <v>18</v>
      </c>
      <c r="AD82" s="33" t="s">
        <v>19</v>
      </c>
      <c r="AE82" s="1891">
        <v>2010</v>
      </c>
      <c r="AF82" s="33" t="s">
        <v>20</v>
      </c>
      <c r="AG82" s="33" t="s">
        <v>21</v>
      </c>
      <c r="AH82" s="1892" t="str">
        <f t="shared" ref="AH82:CA82" si="154">AH9</f>
        <v>3Q11</v>
      </c>
      <c r="AI82" s="1892" t="str">
        <f t="shared" si="154"/>
        <v>4Q11</v>
      </c>
      <c r="AJ82" s="1893">
        <f t="shared" si="154"/>
        <v>2011</v>
      </c>
      <c r="AK82" s="1892" t="str">
        <f t="shared" si="154"/>
        <v>1Q12</v>
      </c>
      <c r="AL82" s="1892" t="str">
        <f t="shared" si="154"/>
        <v>2Q12</v>
      </c>
      <c r="AM82" s="1892" t="str">
        <f t="shared" si="154"/>
        <v>3Q12</v>
      </c>
      <c r="AN82" s="1892" t="str">
        <f t="shared" si="154"/>
        <v>4Q12</v>
      </c>
      <c r="AO82" s="1893">
        <f t="shared" si="154"/>
        <v>2012</v>
      </c>
      <c r="AP82" s="1892" t="str">
        <f t="shared" si="154"/>
        <v>1Q13</v>
      </c>
      <c r="AQ82" s="1892" t="str">
        <f t="shared" si="154"/>
        <v>2Q13</v>
      </c>
      <c r="AR82" s="1892" t="str">
        <f t="shared" si="154"/>
        <v>3Q13</v>
      </c>
      <c r="AS82" s="1892" t="str">
        <f t="shared" si="154"/>
        <v>4Q13</v>
      </c>
      <c r="AT82" s="1893">
        <f t="shared" si="154"/>
        <v>2013</v>
      </c>
      <c r="AU82" s="1894" t="str">
        <f t="shared" si="154"/>
        <v>1Q14</v>
      </c>
      <c r="AV82" s="1892" t="str">
        <f t="shared" si="154"/>
        <v>2Q14</v>
      </c>
      <c r="AW82" s="1892" t="str">
        <f t="shared" si="154"/>
        <v>3Q14</v>
      </c>
      <c r="AX82" s="1892" t="str">
        <f t="shared" si="154"/>
        <v>4Q14</v>
      </c>
      <c r="AY82" s="1893">
        <f t="shared" si="154"/>
        <v>2014</v>
      </c>
      <c r="AZ82" s="1892" t="str">
        <f t="shared" si="154"/>
        <v>1Q15</v>
      </c>
      <c r="BA82" s="1895" t="str">
        <f t="shared" si="154"/>
        <v>2Q15</v>
      </c>
      <c r="BB82" s="1895" t="str">
        <f t="shared" si="154"/>
        <v>3Q15</v>
      </c>
      <c r="BC82" s="1892" t="str">
        <f t="shared" si="154"/>
        <v>4Q15</v>
      </c>
      <c r="BD82" s="1896">
        <f t="shared" si="154"/>
        <v>2015</v>
      </c>
      <c r="BE82" s="1892" t="str">
        <f t="shared" si="154"/>
        <v>1Q16</v>
      </c>
      <c r="BF82" s="1895" t="str">
        <f t="shared" si="154"/>
        <v>2Q16</v>
      </c>
      <c r="BG82" s="1895" t="str">
        <f t="shared" si="154"/>
        <v>3Q16</v>
      </c>
      <c r="BH82" s="1892" t="str">
        <f t="shared" si="154"/>
        <v>4Q16</v>
      </c>
      <c r="BI82" s="1896">
        <f t="shared" si="154"/>
        <v>2016</v>
      </c>
      <c r="BJ82" s="1895" t="str">
        <f t="shared" si="154"/>
        <v>1Q17</v>
      </c>
      <c r="BK82" s="1895" t="str">
        <f t="shared" si="154"/>
        <v>2Q17</v>
      </c>
      <c r="BL82" s="1895" t="str">
        <f t="shared" si="154"/>
        <v>3Q17</v>
      </c>
      <c r="BM82" s="1895" t="str">
        <f t="shared" si="154"/>
        <v>4Q17</v>
      </c>
      <c r="BN82" s="1896">
        <f t="shared" si="154"/>
        <v>2017</v>
      </c>
      <c r="BO82" s="1895" t="str">
        <f t="shared" si="154"/>
        <v>1Q18E</v>
      </c>
      <c r="BP82" s="1895" t="str">
        <f t="shared" si="154"/>
        <v>2Q18E</v>
      </c>
      <c r="BQ82" s="1895" t="str">
        <f t="shared" si="154"/>
        <v>3Q18E</v>
      </c>
      <c r="BR82" s="1895" t="str">
        <f t="shared" si="154"/>
        <v>4Q18E</v>
      </c>
      <c r="BS82" s="1896" t="str">
        <f t="shared" si="154"/>
        <v>2018E</v>
      </c>
      <c r="BT82" s="1895" t="str">
        <f t="shared" si="154"/>
        <v>1Q19E</v>
      </c>
      <c r="BU82" s="1895" t="str">
        <f t="shared" si="154"/>
        <v>2Q19E</v>
      </c>
      <c r="BV82" s="1895" t="str">
        <f t="shared" si="154"/>
        <v>3Q19E</v>
      </c>
      <c r="BW82" s="1895" t="str">
        <f t="shared" si="154"/>
        <v>4Q19E</v>
      </c>
      <c r="BX82" s="1896" t="str">
        <f t="shared" si="154"/>
        <v>2019E</v>
      </c>
      <c r="BY82" s="1897" t="str">
        <f t="shared" si="154"/>
        <v>2020E</v>
      </c>
      <c r="BZ82" s="1897" t="str">
        <f t="shared" si="154"/>
        <v>2021E</v>
      </c>
      <c r="CA82" s="1897" t="str">
        <f t="shared" si="154"/>
        <v>2022E</v>
      </c>
      <c r="CB82" s="38"/>
      <c r="CD82" s="374" t="str">
        <f t="shared" ref="CD82:CI82" si="155">A82</f>
        <v>Fiscal Year Ending December 31</v>
      </c>
      <c r="CE82" s="32">
        <f t="shared" si="155"/>
        <v>2001</v>
      </c>
      <c r="CF82" s="32">
        <f t="shared" si="155"/>
        <v>2002</v>
      </c>
      <c r="CG82" s="32">
        <f t="shared" si="155"/>
        <v>2003</v>
      </c>
      <c r="CH82" s="32">
        <f t="shared" si="155"/>
        <v>2004</v>
      </c>
      <c r="CI82" s="32">
        <f t="shared" si="155"/>
        <v>2005</v>
      </c>
      <c r="CJ82" s="32">
        <f>K82</f>
        <v>2006</v>
      </c>
      <c r="CK82" s="32">
        <f>P82</f>
        <v>2007</v>
      </c>
      <c r="CL82" s="32">
        <f>U82</f>
        <v>2008</v>
      </c>
      <c r="CM82" s="32">
        <f>Z82</f>
        <v>2009</v>
      </c>
      <c r="CN82" s="32">
        <f>AE82</f>
        <v>2010</v>
      </c>
      <c r="CO82" s="32">
        <f>AJ82</f>
        <v>2011</v>
      </c>
      <c r="CP82" s="32">
        <f>AO82</f>
        <v>2012</v>
      </c>
      <c r="CQ82" s="32">
        <f>AT82</f>
        <v>2013</v>
      </c>
      <c r="CR82" s="32">
        <f>AY82</f>
        <v>2014</v>
      </c>
      <c r="CS82" s="32">
        <f>BD82</f>
        <v>2015</v>
      </c>
      <c r="CT82" s="32">
        <f>BI82</f>
        <v>2016</v>
      </c>
      <c r="CU82" s="32">
        <f>BN82</f>
        <v>2017</v>
      </c>
      <c r="CV82" s="32" t="str">
        <f>BS82</f>
        <v>2018E</v>
      </c>
      <c r="CW82" s="32" t="str">
        <f>BX82</f>
        <v>2019E</v>
      </c>
      <c r="CX82" s="32" t="str">
        <f>BY82</f>
        <v>2020E</v>
      </c>
      <c r="CY82" s="32" t="str">
        <f>BZ82</f>
        <v>2021E</v>
      </c>
      <c r="CZ82" s="375" t="str">
        <f>CA82</f>
        <v>2022E</v>
      </c>
      <c r="DA82" s="42"/>
      <c r="DB82" s="43" t="s">
        <v>58</v>
      </c>
    </row>
    <row r="83" spans="1:112" ht="12" customHeight="1">
      <c r="A83" s="42" t="s">
        <v>107</v>
      </c>
      <c r="B83" s="54"/>
      <c r="C83" s="54"/>
      <c r="D83" s="54"/>
      <c r="E83" s="54"/>
      <c r="F83" s="54"/>
      <c r="G83" s="127"/>
      <c r="H83" s="377"/>
      <c r="I83" s="377"/>
      <c r="J83" s="377"/>
      <c r="K83" s="54"/>
      <c r="L83" s="377"/>
      <c r="M83" s="377"/>
      <c r="N83" s="377"/>
      <c r="O83" s="377"/>
      <c r="P83" s="54"/>
      <c r="Q83" s="377"/>
      <c r="R83" s="377"/>
      <c r="S83" s="377"/>
      <c r="T83" s="377"/>
      <c r="U83" s="54"/>
      <c r="V83" s="377"/>
      <c r="W83" s="377"/>
      <c r="X83" s="377"/>
      <c r="Y83" s="377"/>
      <c r="Z83" s="54"/>
      <c r="AA83" s="377"/>
      <c r="AB83" s="377"/>
      <c r="AC83" s="377"/>
      <c r="AD83" s="377"/>
      <c r="AE83" s="54"/>
      <c r="AF83" s="377"/>
      <c r="AG83" s="377"/>
      <c r="AH83" s="377"/>
      <c r="AI83" s="58"/>
      <c r="AJ83" s="378"/>
      <c r="AK83" s="42"/>
      <c r="AL83" s="42"/>
      <c r="AM83" s="42"/>
      <c r="AN83" s="42"/>
      <c r="AO83" s="379"/>
      <c r="AP83" s="58"/>
      <c r="AQ83" s="58"/>
      <c r="AR83" s="58"/>
      <c r="AS83" s="58"/>
      <c r="AT83" s="67"/>
      <c r="AU83" s="58"/>
      <c r="AV83" s="58"/>
      <c r="AW83" s="370"/>
      <c r="AX83" s="370"/>
      <c r="AY83" s="378"/>
      <c r="AZ83" s="370"/>
      <c r="BA83" s="248"/>
      <c r="BB83" s="248"/>
      <c r="BC83" s="370"/>
      <c r="BD83" s="378"/>
      <c r="BE83" s="370"/>
      <c r="BF83" s="248"/>
      <c r="BG83" s="248"/>
      <c r="BH83" s="370"/>
      <c r="BI83" s="378"/>
      <c r="BJ83" s="370"/>
      <c r="BK83" s="248"/>
      <c r="BL83" s="370"/>
      <c r="BM83" s="370"/>
      <c r="BN83" s="378"/>
      <c r="BO83" s="370"/>
      <c r="BP83" s="370"/>
      <c r="BQ83" s="370"/>
      <c r="BR83" s="370"/>
      <c r="BS83" s="378"/>
      <c r="BT83" s="370"/>
      <c r="BU83" s="370"/>
      <c r="BV83" s="370"/>
      <c r="BW83" s="370"/>
      <c r="BX83" s="378"/>
      <c r="BY83" s="381"/>
      <c r="BZ83" s="381"/>
      <c r="CA83" s="381"/>
      <c r="CB83" s="369"/>
      <c r="CD83" s="382" t="str">
        <f t="shared" ref="CD83:CD94" si="156">A83</f>
        <v xml:space="preserve">Cash Flows from Operations </v>
      </c>
      <c r="CE83" s="51"/>
      <c r="CF83" s="51"/>
      <c r="CG83" s="51"/>
      <c r="CH83" s="51"/>
      <c r="CI83" s="51"/>
      <c r="CJ83" s="51"/>
      <c r="CK83" s="51"/>
      <c r="CL83" s="51"/>
      <c r="CM83" s="51"/>
      <c r="CN83" s="51"/>
      <c r="CO83" s="51"/>
      <c r="CP83" s="51"/>
      <c r="CQ83" s="51"/>
      <c r="CR83" s="51"/>
      <c r="CS83" s="51"/>
      <c r="CT83" s="51"/>
      <c r="CU83" s="51"/>
      <c r="CV83" s="51"/>
      <c r="CW83" s="51"/>
      <c r="CX83" s="51"/>
      <c r="CY83" s="51"/>
      <c r="CZ83" s="178"/>
      <c r="DA83" s="58"/>
      <c r="DB83" s="179"/>
    </row>
    <row r="84" spans="1:112" s="70" customFormat="1" ht="12" customHeight="1">
      <c r="A84" s="1898" t="s">
        <v>88</v>
      </c>
      <c r="B84" s="1899">
        <v>377.03100000000001</v>
      </c>
      <c r="C84" s="1900">
        <v>576.76</v>
      </c>
      <c r="D84" s="1900">
        <v>687.65</v>
      </c>
      <c r="E84" s="1900">
        <v>755.82299999999998</v>
      </c>
      <c r="F84" s="1900">
        <v>844.30600000000004</v>
      </c>
      <c r="G84" s="1901">
        <v>74.22</v>
      </c>
      <c r="H84" s="1901">
        <f>295.181-G84</f>
        <v>220.96099999999998</v>
      </c>
      <c r="I84" s="1901">
        <f>677.454-H84-G84</f>
        <v>382.27299999999991</v>
      </c>
      <c r="J84" s="1901">
        <f>882.231-I84-H84-G84</f>
        <v>204.77700000000007</v>
      </c>
      <c r="K84" s="1903">
        <f>SUM(G84:J84)</f>
        <v>882.23099999999999</v>
      </c>
      <c r="L84" s="1901">
        <v>143.83799999999999</v>
      </c>
      <c r="M84" s="1901">
        <f>420.916-L84</f>
        <v>277.07799999999997</v>
      </c>
      <c r="N84" s="1901">
        <f>872.934-M84-L84</f>
        <v>452.01800000000003</v>
      </c>
      <c r="O84" s="1901">
        <f>1013.559-N84-M84-L84</f>
        <v>140.62499999999997</v>
      </c>
      <c r="P84" s="1903">
        <f>SUM(L84:O84)</f>
        <v>1013.559</v>
      </c>
      <c r="Q84" s="1901">
        <v>81.11</v>
      </c>
      <c r="R84" s="1902">
        <f>301.513-Q84</f>
        <v>220.40299999999996</v>
      </c>
      <c r="S84" s="1902">
        <f>698.328-R84-Q84</f>
        <v>396.815</v>
      </c>
      <c r="T84" s="1902">
        <f>819.365-S84-R84-Q84</f>
        <v>121.03700000000005</v>
      </c>
      <c r="U84" s="1903">
        <f>SUM(Q84:T84)</f>
        <v>819.36500000000001</v>
      </c>
      <c r="V84" s="1901">
        <v>65.984999999999999</v>
      </c>
      <c r="W84" s="1902">
        <f>233.876-V84</f>
        <v>167.89100000000002</v>
      </c>
      <c r="X84" s="1902">
        <f>576.132-W84-V84</f>
        <v>342.25599999999991</v>
      </c>
      <c r="Y84" s="1902">
        <f>749.761-X84-W84-V84</f>
        <v>173.62900000000002</v>
      </c>
      <c r="Z84" s="1903">
        <f>SUM(V84:Y84)</f>
        <v>749.76099999999997</v>
      </c>
      <c r="AA84" s="1901">
        <v>107</v>
      </c>
      <c r="AB84" s="1902">
        <f>301.2-AA84</f>
        <v>194.2</v>
      </c>
      <c r="AC84" s="1902">
        <f>690.9-AB84-AA84</f>
        <v>389.7</v>
      </c>
      <c r="AD84" s="1902">
        <f>851.869-AC84-AB84-AA84</f>
        <v>160.96900000000005</v>
      </c>
      <c r="AE84" s="1903">
        <f>SUM(AA84:AD84)</f>
        <v>851.86900000000003</v>
      </c>
      <c r="AF84" s="1902">
        <f>AF56</f>
        <v>124</v>
      </c>
      <c r="AG84" s="1902">
        <f>AG56</f>
        <v>216</v>
      </c>
      <c r="AH84" s="1902">
        <f>713.8-AG84-AF84</f>
        <v>373.79999999999995</v>
      </c>
      <c r="AI84" s="1902">
        <f>AI56</f>
        <v>221</v>
      </c>
      <c r="AJ84" s="1903">
        <f>SUM(AF84:AI84)</f>
        <v>934.8</v>
      </c>
      <c r="AK84" s="1902">
        <f>AK56-AK53</f>
        <v>163</v>
      </c>
      <c r="AL84" s="1902">
        <f>AL56-AL53</f>
        <v>180</v>
      </c>
      <c r="AM84" s="1902">
        <f>AM56-AM53</f>
        <v>172</v>
      </c>
      <c r="AN84" s="1902">
        <f>AN56-AN53</f>
        <v>211</v>
      </c>
      <c r="AO84" s="1903">
        <f>SUM(AK84:AN84)</f>
        <v>726</v>
      </c>
      <c r="AP84" s="1902">
        <f>AP56-AP53</f>
        <v>174</v>
      </c>
      <c r="AQ84" s="1902">
        <f>AQ56-AQ53</f>
        <v>273</v>
      </c>
      <c r="AR84" s="1902">
        <f>AR56-AR53</f>
        <v>258</v>
      </c>
      <c r="AS84" s="1902">
        <f>AS56-AS53</f>
        <v>182</v>
      </c>
      <c r="AT84" s="1903">
        <f>SUM(AP84:AS84)</f>
        <v>887</v>
      </c>
      <c r="AU84" s="1902">
        <f>AU56-AU53</f>
        <v>268.5</v>
      </c>
      <c r="AV84" s="1902">
        <f>AV56-AV53</f>
        <v>309.5</v>
      </c>
      <c r="AW84" s="1902">
        <f>AW56-AW53</f>
        <v>215</v>
      </c>
      <c r="AX84" s="1902">
        <f>AX56-AX53</f>
        <v>-984</v>
      </c>
      <c r="AY84" s="1903">
        <f>SUM(AU84:AX84)</f>
        <v>-191</v>
      </c>
      <c r="AZ84" s="1902">
        <f>AZ56-AZ53</f>
        <v>329</v>
      </c>
      <c r="BA84" s="1902">
        <f>BA56-BA53</f>
        <v>381</v>
      </c>
      <c r="BB84" s="1902">
        <f>BB56-BB53</f>
        <v>281</v>
      </c>
      <c r="BC84" s="1902">
        <f>BC56-BC53</f>
        <v>276</v>
      </c>
      <c r="BD84" s="1903">
        <f>SUM(AZ84:BC84)</f>
        <v>1267</v>
      </c>
      <c r="BE84" s="1902">
        <f>BE56-BE53</f>
        <v>323</v>
      </c>
      <c r="BF84" s="1902">
        <f>BF56-BF53</f>
        <v>412</v>
      </c>
      <c r="BG84" s="1902">
        <f>BG56-BG53</f>
        <v>922</v>
      </c>
      <c r="BH84" s="1902">
        <f>BH56-BH53</f>
        <v>569</v>
      </c>
      <c r="BI84" s="1903">
        <f>SUM(BE84:BH84)</f>
        <v>2226</v>
      </c>
      <c r="BJ84" s="1902">
        <f>BJ56-BJ53</f>
        <v>430</v>
      </c>
      <c r="BK84" s="1902">
        <f>BK56-BK53</f>
        <v>457</v>
      </c>
      <c r="BL84" s="1902">
        <f>BL56-BL53</f>
        <v>452</v>
      </c>
      <c r="BM84" s="1902">
        <f>BM56-BM53</f>
        <v>299</v>
      </c>
      <c r="BN84" s="1903">
        <f>SUM(BJ84:BM84)</f>
        <v>1638</v>
      </c>
      <c r="BO84" s="1902">
        <f>BO56-BO53</f>
        <v>534</v>
      </c>
      <c r="BP84" s="1904">
        <f>BP51</f>
        <v>556.19014608681982</v>
      </c>
      <c r="BQ84" s="1904">
        <f>BQ51</f>
        <v>541.04751862419084</v>
      </c>
      <c r="BR84" s="1904">
        <f>BR51</f>
        <v>565.01311660900092</v>
      </c>
      <c r="BS84" s="1903">
        <f>SUM(BO84:BR84)</f>
        <v>2196.2507813200118</v>
      </c>
      <c r="BT84" s="1904">
        <f>BT51</f>
        <v>574.60062401116591</v>
      </c>
      <c r="BU84" s="1904">
        <f>BU51</f>
        <v>613.35353465168862</v>
      </c>
      <c r="BV84" s="1904">
        <f>BV51</f>
        <v>598.7831052167262</v>
      </c>
      <c r="BW84" s="1904">
        <f>BW51</f>
        <v>623.78355079377548</v>
      </c>
      <c r="BX84" s="1903">
        <f>SUM(BT84:BW84)</f>
        <v>2410.5208146733562</v>
      </c>
      <c r="BY84" s="1905">
        <f>BY51</f>
        <v>2579.5373361310994</v>
      </c>
      <c r="BZ84" s="1905">
        <f>BZ51</f>
        <v>2765.7187385302827</v>
      </c>
      <c r="CA84" s="1905">
        <f>CA51</f>
        <v>2941.6046169818196</v>
      </c>
      <c r="CB84" s="383"/>
      <c r="CC84" s="1359"/>
      <c r="CD84" s="227" t="str">
        <f t="shared" si="156"/>
        <v>Net Income</v>
      </c>
      <c r="CE84" s="222">
        <f>B84</f>
        <v>377.03100000000001</v>
      </c>
      <c r="CF84" s="222">
        <f>C84</f>
        <v>576.76</v>
      </c>
      <c r="CG84" s="222">
        <f>D84</f>
        <v>687.65</v>
      </c>
      <c r="CH84" s="222">
        <f>E84</f>
        <v>755.82299999999998</v>
      </c>
      <c r="CI84" s="222">
        <f>F84</f>
        <v>844.30600000000004</v>
      </c>
      <c r="CJ84" s="222">
        <f>K84</f>
        <v>882.23099999999999</v>
      </c>
      <c r="CK84" s="222">
        <f>P84</f>
        <v>1013.559</v>
      </c>
      <c r="CL84" s="222">
        <f>U84</f>
        <v>819.36500000000001</v>
      </c>
      <c r="CM84" s="222">
        <f>Z84</f>
        <v>749.76099999999997</v>
      </c>
      <c r="CN84" s="222">
        <f>AE84</f>
        <v>851.86900000000003</v>
      </c>
      <c r="CO84" s="222">
        <f>AJ84</f>
        <v>934.8</v>
      </c>
      <c r="CP84" s="222">
        <f>AO84</f>
        <v>726</v>
      </c>
      <c r="CQ84" s="222">
        <f>AT84</f>
        <v>887</v>
      </c>
      <c r="CR84" s="222">
        <f>AY84</f>
        <v>-191</v>
      </c>
      <c r="CS84" s="222">
        <f>BD84</f>
        <v>1267</v>
      </c>
      <c r="CT84" s="222">
        <f>BI84</f>
        <v>2226</v>
      </c>
      <c r="CU84" s="222">
        <f>BN84</f>
        <v>1638</v>
      </c>
      <c r="CV84" s="222">
        <f>BS84</f>
        <v>2196.2507813200118</v>
      </c>
      <c r="CW84" s="222">
        <f>BX84</f>
        <v>2410.5208146733562</v>
      </c>
      <c r="CX84" s="222">
        <f>BY84</f>
        <v>2579.5373361310994</v>
      </c>
      <c r="CY84" s="222">
        <f>BZ84</f>
        <v>2765.7187385302827</v>
      </c>
      <c r="CZ84" s="228">
        <f>CA84</f>
        <v>2941.6046169818196</v>
      </c>
      <c r="DA84" s="74"/>
      <c r="DB84" s="59"/>
      <c r="DC84"/>
      <c r="DD84"/>
      <c r="DE84"/>
      <c r="DF84"/>
      <c r="DG84"/>
      <c r="DH84"/>
    </row>
    <row r="85" spans="1:112" ht="12" customHeight="1">
      <c r="A85" s="86" t="s">
        <v>108</v>
      </c>
      <c r="B85" s="79"/>
      <c r="C85" s="79"/>
      <c r="D85" s="79"/>
      <c r="E85" s="79"/>
      <c r="F85" s="79"/>
      <c r="G85" s="251"/>
      <c r="H85" s="1888"/>
      <c r="I85" s="1888"/>
      <c r="J85" s="1888"/>
      <c r="K85" s="79"/>
      <c r="L85" s="1888"/>
      <c r="M85" s="1888"/>
      <c r="N85" s="1888"/>
      <c r="O85" s="1888"/>
      <c r="P85" s="79"/>
      <c r="Q85" s="86"/>
      <c r="R85" s="86"/>
      <c r="S85" s="86"/>
      <c r="T85" s="86"/>
      <c r="U85" s="79"/>
      <c r="V85" s="86"/>
      <c r="W85" s="86"/>
      <c r="X85" s="86"/>
      <c r="Y85" s="86"/>
      <c r="Z85" s="79"/>
      <c r="AA85" s="86"/>
      <c r="AB85" s="86"/>
      <c r="AC85" s="86"/>
      <c r="AD85" s="86"/>
      <c r="AE85" s="79"/>
      <c r="AF85" s="86"/>
      <c r="AG85" s="86"/>
      <c r="AH85" s="86"/>
      <c r="AI85" s="86"/>
      <c r="AJ85" s="79"/>
      <c r="AK85" s="86"/>
      <c r="AL85" s="86"/>
      <c r="AM85" s="86"/>
      <c r="AN85" s="86"/>
      <c r="AO85" s="79"/>
      <c r="AP85" s="86"/>
      <c r="AQ85" s="86"/>
      <c r="AR85" s="86"/>
      <c r="AS85" s="86"/>
      <c r="AT85" s="79"/>
      <c r="AU85" s="86"/>
      <c r="AV85" s="86"/>
      <c r="AW85" s="251"/>
      <c r="AX85" s="251"/>
      <c r="AY85" s="79"/>
      <c r="AZ85" s="251"/>
      <c r="BA85" s="251"/>
      <c r="BB85" s="251"/>
      <c r="BC85" s="251"/>
      <c r="BD85" s="79"/>
      <c r="BE85" s="251"/>
      <c r="BF85" s="251"/>
      <c r="BG85" s="251"/>
      <c r="BH85" s="251"/>
      <c r="BI85" s="79"/>
      <c r="BJ85" s="251"/>
      <c r="BK85" s="251"/>
      <c r="BL85" s="251"/>
      <c r="BM85" s="251"/>
      <c r="BN85" s="79"/>
      <c r="BO85" s="251"/>
      <c r="BP85" s="251"/>
      <c r="BQ85" s="251"/>
      <c r="BR85" s="251"/>
      <c r="BS85" s="79"/>
      <c r="BT85" s="251"/>
      <c r="BU85" s="251"/>
      <c r="BV85" s="251"/>
      <c r="BW85" s="251"/>
      <c r="BX85" s="79"/>
      <c r="BY85" s="384"/>
      <c r="BZ85" s="384"/>
      <c r="CA85" s="384"/>
      <c r="CB85" s="251"/>
      <c r="CD85" s="57" t="str">
        <f t="shared" si="156"/>
        <v>Adjustments to Reconcile Net Income to Cash Provided by Operating Activities</v>
      </c>
      <c r="CE85" s="46"/>
      <c r="CF85" s="46"/>
      <c r="CG85" s="46"/>
      <c r="CH85" s="46"/>
      <c r="CI85" s="46"/>
      <c r="CJ85" s="46"/>
      <c r="CK85" s="46"/>
      <c r="CL85" s="46"/>
      <c r="CM85" s="46"/>
      <c r="CN85" s="46"/>
      <c r="CO85" s="46"/>
      <c r="CP85" s="46"/>
      <c r="CQ85" s="46"/>
      <c r="CR85" s="46"/>
      <c r="CS85" s="46"/>
      <c r="CT85" s="46"/>
      <c r="CU85" s="46"/>
      <c r="CV85" s="46"/>
      <c r="CW85" s="46"/>
      <c r="CX85" s="46"/>
      <c r="CY85" s="46"/>
      <c r="CZ85" s="44"/>
      <c r="DA85" s="58"/>
      <c r="DB85" s="59"/>
    </row>
    <row r="86" spans="1:112" s="82" customFormat="1" ht="12" customHeight="1">
      <c r="A86" s="1906" t="s">
        <v>109</v>
      </c>
      <c r="B86" s="1907">
        <v>88.802000000000007</v>
      </c>
      <c r="C86" s="1907">
        <v>89.588999999999999</v>
      </c>
      <c r="D86" s="1907">
        <v>83.953000000000003</v>
      </c>
      <c r="E86" s="1907">
        <v>92.268000000000001</v>
      </c>
      <c r="F86" s="1907">
        <v>106.75</v>
      </c>
      <c r="G86" s="1873">
        <v>27.564</v>
      </c>
      <c r="H86" s="1888">
        <f>55.88-G86</f>
        <v>28.316000000000003</v>
      </c>
      <c r="I86" s="1888">
        <f>82.748-H86-G86</f>
        <v>26.868000000000002</v>
      </c>
      <c r="J86" s="1888">
        <f>113.2-I86-H86-G86</f>
        <v>30.451999999999991</v>
      </c>
      <c r="K86" s="1909">
        <f t="shared" ref="K86:K91" si="157">SUM(G86:J86)</f>
        <v>113.19999999999999</v>
      </c>
      <c r="L86" s="1888">
        <v>28.905000000000001</v>
      </c>
      <c r="M86" s="1888">
        <f>57.703-L86</f>
        <v>28.798000000000002</v>
      </c>
      <c r="N86" s="1888">
        <f>83.902-M86-L86</f>
        <v>26.198999999999998</v>
      </c>
      <c r="O86" s="1888">
        <f>112.586-N86-M86-L86</f>
        <v>28.683999999999997</v>
      </c>
      <c r="P86" s="1909">
        <f t="shared" ref="P86:P91" si="158">SUM(L86:O86)</f>
        <v>112.586</v>
      </c>
      <c r="Q86" s="1888">
        <v>27.527000000000001</v>
      </c>
      <c r="R86" s="1908">
        <f>57.938-Q86</f>
        <v>30.411000000000001</v>
      </c>
      <c r="S86" s="1908">
        <f>87.89-R86-Q86</f>
        <v>29.951999999999998</v>
      </c>
      <c r="T86" s="1908">
        <f>119.849-S86-R86-Q86</f>
        <v>31.959000000000003</v>
      </c>
      <c r="U86" s="1909">
        <f t="shared" ref="U86:U91" si="159">SUM(Q86:T86)</f>
        <v>119.849</v>
      </c>
      <c r="V86" s="1888">
        <v>29.411999999999999</v>
      </c>
      <c r="W86" s="1908">
        <f>58.194-V86</f>
        <v>28.782000000000004</v>
      </c>
      <c r="X86" s="1908">
        <f>84.225-W86-V86</f>
        <v>26.030999999999992</v>
      </c>
      <c r="Y86" s="1908">
        <f>137.339-X86-W86-V86</f>
        <v>53.114000000000011</v>
      </c>
      <c r="Z86" s="1909">
        <f t="shared" ref="Z86:Z91" si="160">SUM(V86:Y86)</f>
        <v>137.339</v>
      </c>
      <c r="AA86" s="1888">
        <v>30.4</v>
      </c>
      <c r="AB86" s="1908">
        <f>61.3-AA86</f>
        <v>30.9</v>
      </c>
      <c r="AC86" s="1908">
        <f>91.3-AB86-AA86</f>
        <v>30</v>
      </c>
      <c r="AD86" s="1908">
        <f>125.492-AC86-AB86-AA86</f>
        <v>34.192000000000014</v>
      </c>
      <c r="AE86" s="1909">
        <f t="shared" ref="AE86:AE94" si="161">SUM(AA86:AD86)</f>
        <v>125.49200000000002</v>
      </c>
      <c r="AF86" s="1888">
        <v>32.200000000000003</v>
      </c>
      <c r="AG86" s="1908">
        <f>64.4-AF86</f>
        <v>32.200000000000003</v>
      </c>
      <c r="AH86" s="1908">
        <f>95-AG86-AF86</f>
        <v>30.599999999999994</v>
      </c>
      <c r="AI86" s="1908">
        <f>127-SUM(AF86:AH86)</f>
        <v>32</v>
      </c>
      <c r="AJ86" s="1909">
        <f t="shared" ref="AJ86:AJ94" si="162">SUM(AF86:AI86)</f>
        <v>127</v>
      </c>
      <c r="AK86" s="1888">
        <v>22</v>
      </c>
      <c r="AL86" s="1908">
        <f>45-AK86</f>
        <v>23</v>
      </c>
      <c r="AM86" s="1908">
        <f>69-SUM(AK86:AL86)</f>
        <v>24</v>
      </c>
      <c r="AN86" s="1908">
        <f>93-SUM(AK86:AM86)</f>
        <v>24</v>
      </c>
      <c r="AO86" s="1909">
        <f t="shared" ref="AO86:AO91" si="163">SUM(AK86:AN86)</f>
        <v>93</v>
      </c>
      <c r="AP86" s="1888">
        <v>23</v>
      </c>
      <c r="AQ86" s="1908">
        <f>45-AP86</f>
        <v>22</v>
      </c>
      <c r="AR86" s="1908">
        <f>65-SUM(AP86:AQ86)</f>
        <v>20</v>
      </c>
      <c r="AS86" s="1908">
        <f>86-SUM(AP86:AR86)</f>
        <v>21</v>
      </c>
      <c r="AT86" s="1909">
        <f t="shared" ref="AT86:AT94" si="164">SUM(AP86:AS86)</f>
        <v>86</v>
      </c>
      <c r="AU86" s="1888">
        <v>21</v>
      </c>
      <c r="AV86" s="1908">
        <f>42-AU86</f>
        <v>21</v>
      </c>
      <c r="AW86" s="1910">
        <f>64-AV86-AU86</f>
        <v>22</v>
      </c>
      <c r="AX86" s="1910">
        <f>86-SUM(AU86:AW86)</f>
        <v>22</v>
      </c>
      <c r="AY86" s="1909">
        <f t="shared" ref="AY86:AY91" si="165">SUM(AU86:AX86)</f>
        <v>86</v>
      </c>
      <c r="AZ86" s="1872">
        <v>22</v>
      </c>
      <c r="BA86" s="1872">
        <f>43-AZ86</f>
        <v>21</v>
      </c>
      <c r="BB86" s="1872">
        <f>64-SUM(AZ86:BA86)</f>
        <v>21</v>
      </c>
      <c r="BC86" s="1872">
        <f>90-SUM(AZ86:BB86)</f>
        <v>26</v>
      </c>
      <c r="BD86" s="1909">
        <f t="shared" ref="BD86:BD91" si="166">SUM(AZ86:BC86)</f>
        <v>90</v>
      </c>
      <c r="BE86" s="1872">
        <v>18</v>
      </c>
      <c r="BF86" s="1872">
        <f>40-BE86</f>
        <v>22</v>
      </c>
      <c r="BG86" s="1872">
        <f>63-SUM(BE86:BF86)</f>
        <v>23</v>
      </c>
      <c r="BH86" s="1872">
        <f>85-SUM(BE86:BG86)</f>
        <v>22</v>
      </c>
      <c r="BI86" s="1909">
        <f t="shared" ref="BI86:BI91" si="167">SUM(BE86:BH86)</f>
        <v>85</v>
      </c>
      <c r="BJ86" s="1872">
        <v>19</v>
      </c>
      <c r="BK86" s="1872">
        <f>39-BJ86</f>
        <v>20</v>
      </c>
      <c r="BL86" s="2167">
        <f>61-SUM(BJ86:BK86)</f>
        <v>22</v>
      </c>
      <c r="BM86" s="2167">
        <f>82-SUM(BJ86:BL86)</f>
        <v>21</v>
      </c>
      <c r="BN86" s="1909">
        <f t="shared" ref="BN86:BN91" si="168">SUM(BJ86:BM86)</f>
        <v>82</v>
      </c>
      <c r="BO86" s="2167">
        <v>21</v>
      </c>
      <c r="BP86" s="1887">
        <f t="shared" ref="BP86:BR87" si="169">BP35</f>
        <v>12.777576765760621</v>
      </c>
      <c r="BQ86" s="1887">
        <f t="shared" si="169"/>
        <v>13.23103550243296</v>
      </c>
      <c r="BR86" s="1887">
        <f t="shared" si="169"/>
        <v>12.206683491980527</v>
      </c>
      <c r="BS86" s="1909">
        <f t="shared" ref="BS86:BS91" si="170">SUM(BO86:BR86)</f>
        <v>59.215295760174108</v>
      </c>
      <c r="BT86" s="1887">
        <f t="shared" ref="BT86:BW87" si="171">BT35</f>
        <v>15.975088888082155</v>
      </c>
      <c r="BU86" s="1887">
        <f t="shared" si="171"/>
        <v>18.521218779973943</v>
      </c>
      <c r="BV86" s="1887">
        <f t="shared" si="171"/>
        <v>18.071057064866828</v>
      </c>
      <c r="BW86" s="1887">
        <f t="shared" si="171"/>
        <v>19.461689084985515</v>
      </c>
      <c r="BX86" s="1909">
        <f t="shared" ref="BX86:BX91" si="172">SUM(BT86:BW86)</f>
        <v>72.029053817908448</v>
      </c>
      <c r="BY86" s="1936">
        <f t="shared" ref="BY86:CA87" si="173">BY35</f>
        <v>80.751196626660771</v>
      </c>
      <c r="BZ86" s="1936">
        <f t="shared" si="173"/>
        <v>95.317851309899993</v>
      </c>
      <c r="CA86" s="1936">
        <f t="shared" si="173"/>
        <v>98.621369385867155</v>
      </c>
      <c r="CB86" s="251"/>
      <c r="CC86" s="1360"/>
      <c r="CD86" s="83" t="str">
        <f t="shared" si="156"/>
        <v>Depreciation (including amortization of technology projects)</v>
      </c>
      <c r="CE86" s="46">
        <f t="shared" ref="CE86:CE94" si="174">B86</f>
        <v>88.802000000000007</v>
      </c>
      <c r="CF86" s="46">
        <f t="shared" ref="CF86:CF94" si="175">C86</f>
        <v>89.588999999999999</v>
      </c>
      <c r="CG86" s="46">
        <f t="shared" ref="CG86:CG94" si="176">D86</f>
        <v>83.953000000000003</v>
      </c>
      <c r="CH86" s="46">
        <f t="shared" ref="CH86:CH94" si="177">E86</f>
        <v>92.268000000000001</v>
      </c>
      <c r="CI86" s="46">
        <f t="shared" ref="CI86:CI94" si="178">F86</f>
        <v>106.75</v>
      </c>
      <c r="CJ86" s="46">
        <f t="shared" ref="CJ86:CJ94" si="179">K86</f>
        <v>113.19999999999999</v>
      </c>
      <c r="CK86" s="46">
        <f t="shared" ref="CK86:CK94" si="180">P86</f>
        <v>112.586</v>
      </c>
      <c r="CL86" s="46">
        <f t="shared" ref="CL86:CL94" si="181">U86</f>
        <v>119.849</v>
      </c>
      <c r="CM86" s="46">
        <f t="shared" ref="CM86:CM94" si="182">Z86</f>
        <v>137.339</v>
      </c>
      <c r="CN86" s="46">
        <f t="shared" ref="CN86:CN94" si="183">AE86</f>
        <v>125.49200000000002</v>
      </c>
      <c r="CO86" s="46">
        <f t="shared" ref="CO86:CO94" si="184">AJ86</f>
        <v>127</v>
      </c>
      <c r="CP86" s="46">
        <f t="shared" ref="CP86:CP94" si="185">AO86</f>
        <v>93</v>
      </c>
      <c r="CQ86" s="46">
        <f t="shared" ref="CQ86:CQ94" si="186">AT86</f>
        <v>86</v>
      </c>
      <c r="CR86" s="46">
        <f t="shared" ref="CR86:CR94" si="187">AY86</f>
        <v>86</v>
      </c>
      <c r="CS86" s="46">
        <f t="shared" ref="CS86:CS94" si="188">BD86</f>
        <v>90</v>
      </c>
      <c r="CT86" s="46">
        <f t="shared" ref="CT86:CT94" si="189">BI86</f>
        <v>85</v>
      </c>
      <c r="CU86" s="46">
        <f t="shared" ref="CU86:CU94" si="190">BN86</f>
        <v>82</v>
      </c>
      <c r="CV86" s="46">
        <f t="shared" ref="CV86:CV94" si="191">BS86</f>
        <v>59.215295760174108</v>
      </c>
      <c r="CW86" s="46">
        <f t="shared" ref="CW86:CW94" si="192">BX86</f>
        <v>72.029053817908448</v>
      </c>
      <c r="CX86" s="46">
        <f t="shared" ref="CX86:CX94" si="193">BY86</f>
        <v>80.751196626660771</v>
      </c>
      <c r="CY86" s="46">
        <f t="shared" ref="CY86:CZ94" si="194">BZ86</f>
        <v>95.317851309899993</v>
      </c>
      <c r="CZ86" s="44">
        <f t="shared" si="194"/>
        <v>98.621369385867155</v>
      </c>
      <c r="DA86" s="86"/>
      <c r="DB86" s="59"/>
      <c r="DC86"/>
      <c r="DD86"/>
      <c r="DE86"/>
      <c r="DF86"/>
      <c r="DG86"/>
      <c r="DH86"/>
    </row>
    <row r="87" spans="1:112" s="82" customFormat="1" ht="12" customHeight="1">
      <c r="A87" s="1906" t="s">
        <v>110</v>
      </c>
      <c r="B87" s="1907">
        <v>91.555000000000007</v>
      </c>
      <c r="C87" s="1907">
        <v>38.789000000000001</v>
      </c>
      <c r="D87" s="1907">
        <v>33.738999999999997</v>
      </c>
      <c r="E87" s="1907">
        <v>32.47</v>
      </c>
      <c r="F87" s="1907">
        <v>44.234999999999999</v>
      </c>
      <c r="G87" s="1873">
        <v>11.926</v>
      </c>
      <c r="H87" s="1888">
        <f>24.033-G87</f>
        <v>12.107000000000001</v>
      </c>
      <c r="I87" s="1888">
        <f>36.17-H87-G87</f>
        <v>12.137000000000002</v>
      </c>
      <c r="J87" s="1888">
        <f>48.387-I87-H87-G87</f>
        <v>12.217000000000001</v>
      </c>
      <c r="K87" s="1909">
        <f t="shared" si="157"/>
        <v>48.387</v>
      </c>
      <c r="L87" s="1888">
        <v>11.612</v>
      </c>
      <c r="M87" s="1888">
        <f>23.08-L87</f>
        <v>11.467999999999998</v>
      </c>
      <c r="N87" s="1888">
        <f>34.789-M87-L87</f>
        <v>11.709000000000005</v>
      </c>
      <c r="O87" s="1888">
        <f>48.403-N87-M87-L87</f>
        <v>13.613999999999999</v>
      </c>
      <c r="P87" s="1909">
        <f t="shared" si="158"/>
        <v>48.402999999999999</v>
      </c>
      <c r="Q87" s="1888">
        <v>14.2</v>
      </c>
      <c r="R87" s="1908">
        <f>27.344-Q87</f>
        <v>13.144000000000002</v>
      </c>
      <c r="S87" s="1908">
        <f>40.981-R87-Q87</f>
        <v>13.637</v>
      </c>
      <c r="T87" s="1908">
        <f>58.497-S87-R87-Q87</f>
        <v>17.515999999999998</v>
      </c>
      <c r="U87" s="1909">
        <f t="shared" si="159"/>
        <v>58.497</v>
      </c>
      <c r="V87" s="1888">
        <v>14.204000000000001</v>
      </c>
      <c r="W87" s="1908">
        <f>25.644-V87</f>
        <v>11.439999999999998</v>
      </c>
      <c r="X87" s="1908">
        <f>36.71-W87-V87</f>
        <v>11.066000000000003</v>
      </c>
      <c r="Y87" s="1908">
        <f>52.72-X87-W87-V87</f>
        <v>16.009999999999998</v>
      </c>
      <c r="Z87" s="1909">
        <f t="shared" si="160"/>
        <v>52.72</v>
      </c>
      <c r="AA87" s="1888">
        <v>10</v>
      </c>
      <c r="AB87" s="1908">
        <f>23-AA87</f>
        <v>13</v>
      </c>
      <c r="AC87" s="1908">
        <f>32-AB87-AA87</f>
        <v>9</v>
      </c>
      <c r="AD87" s="1908">
        <f>45.595-AC87-AB87-AA87</f>
        <v>13.594999999999999</v>
      </c>
      <c r="AE87" s="1909">
        <f t="shared" si="161"/>
        <v>45.594999999999999</v>
      </c>
      <c r="AF87" s="1888">
        <v>14.8</v>
      </c>
      <c r="AG87" s="1908">
        <f>29.7-AF87</f>
        <v>14.899999999999999</v>
      </c>
      <c r="AH87" s="1908">
        <f>45.1-AG87-AF87</f>
        <v>15.400000000000002</v>
      </c>
      <c r="AI87" s="1908">
        <f>60-SUM(AF87:AH87)</f>
        <v>14.899999999999999</v>
      </c>
      <c r="AJ87" s="1909">
        <f t="shared" si="162"/>
        <v>60</v>
      </c>
      <c r="AK87" s="1888">
        <v>9</v>
      </c>
      <c r="AL87" s="1908">
        <f>20-AK87</f>
        <v>11</v>
      </c>
      <c r="AM87" s="1908">
        <f>35-SUM(AK87:AL87)</f>
        <v>15</v>
      </c>
      <c r="AN87" s="1908">
        <f>48-SUM(AK87:AM87)</f>
        <v>13</v>
      </c>
      <c r="AO87" s="1909">
        <f t="shared" si="163"/>
        <v>48</v>
      </c>
      <c r="AP87" s="1888">
        <v>12</v>
      </c>
      <c r="AQ87" s="1908">
        <f>25-AP87</f>
        <v>13</v>
      </c>
      <c r="AR87" s="1908">
        <f>38-SUM(AP87:AQ87)</f>
        <v>13</v>
      </c>
      <c r="AS87" s="1908">
        <f>51-SUM(AP87:AR87)</f>
        <v>13</v>
      </c>
      <c r="AT87" s="1909">
        <f t="shared" si="164"/>
        <v>51</v>
      </c>
      <c r="AU87" s="1888">
        <v>12</v>
      </c>
      <c r="AV87" s="1908">
        <f>24-AU87</f>
        <v>12</v>
      </c>
      <c r="AW87" s="1910">
        <f>36-AV87-AU87</f>
        <v>12</v>
      </c>
      <c r="AX87" s="1910">
        <f>48-SUM(AU87:AW87)</f>
        <v>12</v>
      </c>
      <c r="AY87" s="1909">
        <f t="shared" si="165"/>
        <v>48</v>
      </c>
      <c r="AZ87" s="1872">
        <v>11</v>
      </c>
      <c r="BA87" s="1872">
        <f>23-AZ87</f>
        <v>12</v>
      </c>
      <c r="BB87" s="1873">
        <f>40-SUM(AZ87:BA87)</f>
        <v>17</v>
      </c>
      <c r="BC87" s="1872">
        <f>67-SUM(AZ87:BB87)</f>
        <v>27</v>
      </c>
      <c r="BD87" s="1909">
        <f t="shared" si="166"/>
        <v>67</v>
      </c>
      <c r="BE87" s="1872">
        <v>24</v>
      </c>
      <c r="BF87" s="1872">
        <f>47-BE87</f>
        <v>23</v>
      </c>
      <c r="BG87" s="1873">
        <f>71-SUM(BE87:BF87)</f>
        <v>24</v>
      </c>
      <c r="BH87" s="1872">
        <f>96-SUM(BE87:BG87)</f>
        <v>25</v>
      </c>
      <c r="BI87" s="1909">
        <f t="shared" si="167"/>
        <v>96</v>
      </c>
      <c r="BJ87" s="1872">
        <v>24</v>
      </c>
      <c r="BK87" s="1872">
        <f>49-BJ87</f>
        <v>25</v>
      </c>
      <c r="BL87" s="2167">
        <f>73-SUM(BJ87:BK87)</f>
        <v>24</v>
      </c>
      <c r="BM87" s="2167">
        <f>98-SUM(BJ87:BL87)</f>
        <v>25</v>
      </c>
      <c r="BN87" s="1909">
        <f t="shared" si="168"/>
        <v>98</v>
      </c>
      <c r="BO87" s="2167">
        <v>24</v>
      </c>
      <c r="BP87" s="1887">
        <f t="shared" si="169"/>
        <v>34.5</v>
      </c>
      <c r="BQ87" s="1887">
        <f t="shared" si="169"/>
        <v>34.5</v>
      </c>
      <c r="BR87" s="1887">
        <f t="shared" si="169"/>
        <v>34.5</v>
      </c>
      <c r="BS87" s="1909">
        <f t="shared" si="170"/>
        <v>127.5</v>
      </c>
      <c r="BT87" s="1887">
        <f t="shared" si="171"/>
        <v>30.125</v>
      </c>
      <c r="BU87" s="1887">
        <f t="shared" si="171"/>
        <v>30.125</v>
      </c>
      <c r="BV87" s="1887">
        <f t="shared" si="171"/>
        <v>30.125</v>
      </c>
      <c r="BW87" s="1887">
        <f t="shared" si="171"/>
        <v>30.125</v>
      </c>
      <c r="BX87" s="1909">
        <f t="shared" si="172"/>
        <v>120.5</v>
      </c>
      <c r="BY87" s="1936">
        <f t="shared" si="173"/>
        <v>114.5</v>
      </c>
      <c r="BZ87" s="1936">
        <f t="shared" si="173"/>
        <v>102.5</v>
      </c>
      <c r="CA87" s="1936">
        <f t="shared" si="173"/>
        <v>100.5</v>
      </c>
      <c r="CB87" s="251"/>
      <c r="CC87" s="1360"/>
      <c r="CD87" s="83" t="str">
        <f t="shared" si="156"/>
        <v>Amortization of Intangibles</v>
      </c>
      <c r="CE87" s="46">
        <f t="shared" si="174"/>
        <v>91.555000000000007</v>
      </c>
      <c r="CF87" s="46">
        <f t="shared" si="175"/>
        <v>38.789000000000001</v>
      </c>
      <c r="CG87" s="46">
        <f t="shared" si="176"/>
        <v>33.738999999999997</v>
      </c>
      <c r="CH87" s="46">
        <f t="shared" si="177"/>
        <v>32.47</v>
      </c>
      <c r="CI87" s="46">
        <f t="shared" si="178"/>
        <v>44.234999999999999</v>
      </c>
      <c r="CJ87" s="46">
        <f t="shared" si="179"/>
        <v>48.387</v>
      </c>
      <c r="CK87" s="46">
        <f t="shared" si="180"/>
        <v>48.402999999999999</v>
      </c>
      <c r="CL87" s="46">
        <f t="shared" si="181"/>
        <v>58.497</v>
      </c>
      <c r="CM87" s="46">
        <f t="shared" si="182"/>
        <v>52.72</v>
      </c>
      <c r="CN87" s="46">
        <f t="shared" si="183"/>
        <v>45.594999999999999</v>
      </c>
      <c r="CO87" s="46">
        <f t="shared" si="184"/>
        <v>60</v>
      </c>
      <c r="CP87" s="46">
        <f t="shared" si="185"/>
        <v>48</v>
      </c>
      <c r="CQ87" s="46">
        <f t="shared" si="186"/>
        <v>51</v>
      </c>
      <c r="CR87" s="46">
        <f t="shared" si="187"/>
        <v>48</v>
      </c>
      <c r="CS87" s="46">
        <f t="shared" si="188"/>
        <v>67</v>
      </c>
      <c r="CT87" s="46">
        <f t="shared" si="189"/>
        <v>96</v>
      </c>
      <c r="CU87" s="46">
        <f t="shared" si="190"/>
        <v>98</v>
      </c>
      <c r="CV87" s="46">
        <f t="shared" si="191"/>
        <v>127.5</v>
      </c>
      <c r="CW87" s="46">
        <f t="shared" si="192"/>
        <v>120.5</v>
      </c>
      <c r="CX87" s="46">
        <f t="shared" si="193"/>
        <v>114.5</v>
      </c>
      <c r="CY87" s="46">
        <f t="shared" si="194"/>
        <v>102.5</v>
      </c>
      <c r="CZ87" s="44">
        <f t="shared" si="194"/>
        <v>100.5</v>
      </c>
      <c r="DA87" s="86"/>
      <c r="DB87" s="59"/>
      <c r="DC87"/>
      <c r="DD87"/>
      <c r="DE87"/>
      <c r="DF87"/>
      <c r="DG87"/>
      <c r="DH87"/>
    </row>
    <row r="88" spans="1:112" s="82" customFormat="1" ht="12" customHeight="1">
      <c r="A88" s="1906" t="s">
        <v>111</v>
      </c>
      <c r="B88" s="1907">
        <v>240.24100000000001</v>
      </c>
      <c r="C88" s="1907">
        <v>280.39299999999997</v>
      </c>
      <c r="D88" s="1907">
        <v>285.48700000000002</v>
      </c>
      <c r="E88" s="1907">
        <v>267.97500000000002</v>
      </c>
      <c r="F88" s="1907">
        <v>234.27600000000001</v>
      </c>
      <c r="G88" s="1873">
        <v>22.52</v>
      </c>
      <c r="H88" s="1888">
        <f>75.559-G88</f>
        <v>53.039000000000001</v>
      </c>
      <c r="I88" s="1888">
        <f>178.878-H88-G88</f>
        <v>103.31899999999999</v>
      </c>
      <c r="J88" s="1888">
        <f>228.405-I88-H88-G88</f>
        <v>49.527000000000015</v>
      </c>
      <c r="K88" s="1909">
        <f t="shared" si="157"/>
        <v>228.405</v>
      </c>
      <c r="L88" s="1888">
        <v>28.097000000000001</v>
      </c>
      <c r="M88" s="1888">
        <f>84.939-L88</f>
        <v>56.841999999999992</v>
      </c>
      <c r="N88" s="1888">
        <f>195.417-M88-L88</f>
        <v>110.47800000000001</v>
      </c>
      <c r="O88" s="1888">
        <f>240.182-N88-M88-L88</f>
        <v>44.764999999999993</v>
      </c>
      <c r="P88" s="1909">
        <f t="shared" si="158"/>
        <v>240.18199999999999</v>
      </c>
      <c r="Q88" s="1888">
        <v>28.181999999999999</v>
      </c>
      <c r="R88" s="1908">
        <f>94.229-Q88</f>
        <v>66.046999999999997</v>
      </c>
      <c r="S88" s="1908">
        <f>218.788-R88-Q88</f>
        <v>124.55900000000001</v>
      </c>
      <c r="T88" s="1908">
        <f>270.442-S88-R88-Q88</f>
        <v>51.653999999999982</v>
      </c>
      <c r="U88" s="1909">
        <f t="shared" si="159"/>
        <v>270.44200000000001</v>
      </c>
      <c r="V88" s="1888">
        <v>27.291</v>
      </c>
      <c r="W88" s="1908">
        <f>98.429-V88</f>
        <v>71.138000000000005</v>
      </c>
      <c r="X88" s="1908">
        <f>225.602-W88-V88</f>
        <v>127.173</v>
      </c>
      <c r="Y88" s="1908">
        <f>270.469-X88-W88-V88</f>
        <v>44.86699999999999</v>
      </c>
      <c r="Z88" s="1909">
        <f t="shared" si="160"/>
        <v>270.46899999999999</v>
      </c>
      <c r="AA88" s="1888">
        <v>25.8</v>
      </c>
      <c r="AB88" s="1908">
        <f>95.2-AA88</f>
        <v>69.400000000000006</v>
      </c>
      <c r="AC88" s="1908">
        <f>207.2-AB88-AA88</f>
        <v>111.99999999999999</v>
      </c>
      <c r="AD88" s="1908">
        <f>246.312-AC88-AB88-AA88</f>
        <v>39.112000000000009</v>
      </c>
      <c r="AE88" s="1909">
        <f t="shared" si="161"/>
        <v>246.31200000000001</v>
      </c>
      <c r="AF88" s="1888">
        <v>22.9</v>
      </c>
      <c r="AG88" s="1908">
        <f>75.5-AF88</f>
        <v>52.6</v>
      </c>
      <c r="AH88" s="1908">
        <f>164.5-AG88-AF88</f>
        <v>89</v>
      </c>
      <c r="AI88" s="1908">
        <f>198-SUM(AF88:AH88)</f>
        <v>33.5</v>
      </c>
      <c r="AJ88" s="1909">
        <f t="shared" si="162"/>
        <v>198</v>
      </c>
      <c r="AK88" s="1888">
        <v>0</v>
      </c>
      <c r="AL88" s="1908">
        <f>0-AK88</f>
        <v>0</v>
      </c>
      <c r="AM88" s="1908">
        <f>0-SUM(AK88:AL88)</f>
        <v>0</v>
      </c>
      <c r="AN88" s="1908">
        <f>0-SUM(AK88:AM88)</f>
        <v>0</v>
      </c>
      <c r="AO88" s="1909">
        <f t="shared" si="163"/>
        <v>0</v>
      </c>
      <c r="AP88" s="1888">
        <v>0</v>
      </c>
      <c r="AQ88" s="1908">
        <f>0-AP88</f>
        <v>0</v>
      </c>
      <c r="AR88" s="1908">
        <f>0-SUM(AP88:AQ88)</f>
        <v>0</v>
      </c>
      <c r="AS88" s="1908">
        <f>0-SUM(AP88:AR88)</f>
        <v>0</v>
      </c>
      <c r="AT88" s="1909">
        <f t="shared" si="164"/>
        <v>0</v>
      </c>
      <c r="AU88" s="1888">
        <v>0</v>
      </c>
      <c r="AV88" s="1888">
        <v>0</v>
      </c>
      <c r="AW88" s="1910">
        <f>0-AV88-AU88</f>
        <v>0</v>
      </c>
      <c r="AX88" s="1873">
        <v>0</v>
      </c>
      <c r="AY88" s="1909">
        <f t="shared" si="165"/>
        <v>0</v>
      </c>
      <c r="AZ88" s="1872">
        <v>0</v>
      </c>
      <c r="BA88" s="1872">
        <v>0</v>
      </c>
      <c r="BB88" s="1872">
        <v>0</v>
      </c>
      <c r="BC88" s="1872">
        <v>0</v>
      </c>
      <c r="BD88" s="1909">
        <f t="shared" si="166"/>
        <v>0</v>
      </c>
      <c r="BE88" s="1872">
        <v>0</v>
      </c>
      <c r="BF88" s="1872">
        <v>0</v>
      </c>
      <c r="BG88" s="1872">
        <v>0</v>
      </c>
      <c r="BH88" s="1872">
        <v>0</v>
      </c>
      <c r="BI88" s="1909">
        <f t="shared" si="167"/>
        <v>0</v>
      </c>
      <c r="BJ88" s="1872">
        <v>0</v>
      </c>
      <c r="BK88" s="1872">
        <v>0</v>
      </c>
      <c r="BL88" s="2167">
        <v>0</v>
      </c>
      <c r="BM88" s="2167">
        <v>0</v>
      </c>
      <c r="BN88" s="1909">
        <f t="shared" si="168"/>
        <v>0</v>
      </c>
      <c r="BO88" s="2167">
        <v>0</v>
      </c>
      <c r="BP88" s="1873">
        <v>0</v>
      </c>
      <c r="BQ88" s="1873">
        <v>0</v>
      </c>
      <c r="BR88" s="1873">
        <v>0</v>
      </c>
      <c r="BS88" s="1909">
        <f t="shared" si="170"/>
        <v>0</v>
      </c>
      <c r="BT88" s="1873">
        <v>0</v>
      </c>
      <c r="BU88" s="1873">
        <v>0</v>
      </c>
      <c r="BV88" s="1873">
        <v>0</v>
      </c>
      <c r="BW88" s="1873">
        <v>0</v>
      </c>
      <c r="BX88" s="1909">
        <f t="shared" si="172"/>
        <v>0</v>
      </c>
      <c r="BY88" s="1913">
        <v>0</v>
      </c>
      <c r="BZ88" s="1913">
        <v>0</v>
      </c>
      <c r="CA88" s="1913">
        <v>0</v>
      </c>
      <c r="CB88" s="251"/>
      <c r="CC88" s="1360"/>
      <c r="CD88" s="83" t="str">
        <f t="shared" si="156"/>
        <v>Amortization of Prepublication Costs</v>
      </c>
      <c r="CE88" s="46">
        <f t="shared" si="174"/>
        <v>240.24100000000001</v>
      </c>
      <c r="CF88" s="46">
        <f t="shared" si="175"/>
        <v>280.39299999999997</v>
      </c>
      <c r="CG88" s="46">
        <f t="shared" si="176"/>
        <v>285.48700000000002</v>
      </c>
      <c r="CH88" s="46">
        <f t="shared" si="177"/>
        <v>267.97500000000002</v>
      </c>
      <c r="CI88" s="46">
        <f t="shared" si="178"/>
        <v>234.27600000000001</v>
      </c>
      <c r="CJ88" s="46">
        <f t="shared" si="179"/>
        <v>228.405</v>
      </c>
      <c r="CK88" s="46">
        <f t="shared" si="180"/>
        <v>240.18199999999999</v>
      </c>
      <c r="CL88" s="46">
        <f t="shared" si="181"/>
        <v>270.44200000000001</v>
      </c>
      <c r="CM88" s="46">
        <f t="shared" si="182"/>
        <v>270.46899999999999</v>
      </c>
      <c r="CN88" s="46">
        <f t="shared" si="183"/>
        <v>246.31200000000001</v>
      </c>
      <c r="CO88" s="46">
        <f t="shared" si="184"/>
        <v>198</v>
      </c>
      <c r="CP88" s="46">
        <f t="shared" si="185"/>
        <v>0</v>
      </c>
      <c r="CQ88" s="46">
        <f t="shared" si="186"/>
        <v>0</v>
      </c>
      <c r="CR88" s="46">
        <f t="shared" si="187"/>
        <v>0</v>
      </c>
      <c r="CS88" s="46">
        <f t="shared" si="188"/>
        <v>0</v>
      </c>
      <c r="CT88" s="46">
        <f t="shared" si="189"/>
        <v>0</v>
      </c>
      <c r="CU88" s="46">
        <f t="shared" si="190"/>
        <v>0</v>
      </c>
      <c r="CV88" s="46">
        <f t="shared" si="191"/>
        <v>0</v>
      </c>
      <c r="CW88" s="46">
        <f t="shared" si="192"/>
        <v>0</v>
      </c>
      <c r="CX88" s="46">
        <f t="shared" si="193"/>
        <v>0</v>
      </c>
      <c r="CY88" s="46">
        <f t="shared" si="194"/>
        <v>0</v>
      </c>
      <c r="CZ88" s="44">
        <f t="shared" si="194"/>
        <v>0</v>
      </c>
      <c r="DA88" s="86"/>
      <c r="DB88" s="59"/>
      <c r="DC88"/>
      <c r="DD88"/>
      <c r="DE88"/>
      <c r="DF88"/>
      <c r="DG88"/>
      <c r="DH88"/>
    </row>
    <row r="89" spans="1:112" s="82" customFormat="1" ht="12" customHeight="1">
      <c r="A89" s="1906" t="s">
        <v>112</v>
      </c>
      <c r="B89" s="1907">
        <v>55.253999999999998</v>
      </c>
      <c r="C89" s="1907">
        <v>33.024000000000001</v>
      </c>
      <c r="D89" s="1907">
        <v>29.838999999999999</v>
      </c>
      <c r="E89" s="1907">
        <v>7.7960000000000003</v>
      </c>
      <c r="F89" s="1907">
        <v>18.896000000000001</v>
      </c>
      <c r="G89" s="1873">
        <v>6.5309999999999997</v>
      </c>
      <c r="H89" s="1888">
        <f>12.025-G89</f>
        <v>5.4940000000000007</v>
      </c>
      <c r="I89" s="1888">
        <f>18.513-H89-G89</f>
        <v>6.4880000000000022</v>
      </c>
      <c r="J89" s="1888">
        <f>19.577-I89-H89-G89</f>
        <v>1.0639999999999983</v>
      </c>
      <c r="K89" s="1909">
        <f t="shared" si="157"/>
        <v>19.576999999999998</v>
      </c>
      <c r="L89" s="1888">
        <v>5.032</v>
      </c>
      <c r="M89" s="1888">
        <f>9.594-L89</f>
        <v>4.5619999999999994</v>
      </c>
      <c r="N89" s="1888">
        <f>8.047-M89-L89</f>
        <v>-1.5469999999999988</v>
      </c>
      <c r="O89" s="1888">
        <f>14.991-N89-M89-L89</f>
        <v>6.9439999999999973</v>
      </c>
      <c r="P89" s="1909">
        <f t="shared" si="158"/>
        <v>14.990999999999998</v>
      </c>
      <c r="Q89" s="1888">
        <v>1.4650000000000001</v>
      </c>
      <c r="R89" s="1908">
        <f>9.215-Q89</f>
        <v>7.75</v>
      </c>
      <c r="S89" s="1908">
        <f>13.856-R89-Q89</f>
        <v>4.641</v>
      </c>
      <c r="T89" s="1908">
        <f>27.098-S89-R89-Q89</f>
        <v>13.242000000000001</v>
      </c>
      <c r="U89" s="1909">
        <f t="shared" si="159"/>
        <v>27.097999999999999</v>
      </c>
      <c r="V89" s="1888">
        <v>10.272</v>
      </c>
      <c r="W89" s="1908">
        <f>15.88-V89</f>
        <v>5.6080000000000005</v>
      </c>
      <c r="X89" s="1908">
        <f>22.386-W89-V89</f>
        <v>6.5059999999999985</v>
      </c>
      <c r="Y89" s="1908">
        <f>31.635-X89-W89-V89</f>
        <v>9.2490000000000041</v>
      </c>
      <c r="Z89" s="1909">
        <f t="shared" si="160"/>
        <v>31.635000000000005</v>
      </c>
      <c r="AA89" s="1888">
        <v>9.8000000000000007</v>
      </c>
      <c r="AB89" s="1908">
        <f>6.1-AA89</f>
        <v>-3.7000000000000011</v>
      </c>
      <c r="AC89" s="1908">
        <f>11.5-AB89-AA89</f>
        <v>5.4</v>
      </c>
      <c r="AD89" s="1908">
        <f>19.316-AC89-AB89-AA89</f>
        <v>7.8159999999999989</v>
      </c>
      <c r="AE89" s="1909">
        <f t="shared" si="161"/>
        <v>19.315999999999999</v>
      </c>
      <c r="AF89" s="1888">
        <v>5.4</v>
      </c>
      <c r="AG89" s="1908">
        <f>3.8-AF89</f>
        <v>-1.6000000000000005</v>
      </c>
      <c r="AH89" s="1908">
        <f>4.9-AG89-AF89</f>
        <v>1.1000000000000005</v>
      </c>
      <c r="AI89" s="1908">
        <f>1-SUM(AF89:AH89)</f>
        <v>-3.9000000000000004</v>
      </c>
      <c r="AJ89" s="1909">
        <f t="shared" si="162"/>
        <v>1</v>
      </c>
      <c r="AK89" s="1888">
        <v>4</v>
      </c>
      <c r="AL89" s="1908">
        <f>9-AK89</f>
        <v>5</v>
      </c>
      <c r="AM89" s="1908">
        <f>20-SUM(AK89:AL89)</f>
        <v>11</v>
      </c>
      <c r="AN89" s="1908">
        <f>32-SUM(AK89:AM89)</f>
        <v>12</v>
      </c>
      <c r="AO89" s="1909">
        <f t="shared" si="163"/>
        <v>32</v>
      </c>
      <c r="AP89" s="1888">
        <v>11</v>
      </c>
      <c r="AQ89" s="1908">
        <f>14-AP89</f>
        <v>3</v>
      </c>
      <c r="AR89" s="1908">
        <f>18-SUM(AP89:AQ89)</f>
        <v>4</v>
      </c>
      <c r="AS89" s="1908">
        <f>22-SUM(AP89:AR89)</f>
        <v>4</v>
      </c>
      <c r="AT89" s="1909">
        <f t="shared" si="164"/>
        <v>22</v>
      </c>
      <c r="AU89" s="1888">
        <v>-4</v>
      </c>
      <c r="AV89" s="1908">
        <f>0-AU89</f>
        <v>4</v>
      </c>
      <c r="AW89" s="1910">
        <f>5-AV89-AU89</f>
        <v>5</v>
      </c>
      <c r="AX89" s="1910">
        <f>11-SUM(AU89:AW89)</f>
        <v>6</v>
      </c>
      <c r="AY89" s="1909">
        <f t="shared" si="165"/>
        <v>11</v>
      </c>
      <c r="AZ89" s="1872">
        <v>0</v>
      </c>
      <c r="BA89" s="1872">
        <f>4-AZ89</f>
        <v>4</v>
      </c>
      <c r="BB89" s="1872">
        <f>3-SUM(AZ89:BA89)</f>
        <v>-1</v>
      </c>
      <c r="BC89" s="1872">
        <f>8-SUM(AZ89:BB89)</f>
        <v>5</v>
      </c>
      <c r="BD89" s="1909">
        <f t="shared" si="166"/>
        <v>8</v>
      </c>
      <c r="BE89" s="1872">
        <v>3</v>
      </c>
      <c r="BF89" s="1872">
        <f>8-BE89</f>
        <v>5</v>
      </c>
      <c r="BG89" s="1872">
        <f>10-SUM(BE89:BF89)</f>
        <v>2</v>
      </c>
      <c r="BH89" s="1872">
        <f>9-SUM(BE89:BG89)</f>
        <v>-1</v>
      </c>
      <c r="BI89" s="1909">
        <f t="shared" si="167"/>
        <v>9</v>
      </c>
      <c r="BJ89" s="1872">
        <v>5</v>
      </c>
      <c r="BK89" s="1872">
        <f>13-BJ89</f>
        <v>8</v>
      </c>
      <c r="BL89" s="2167">
        <f>17-SUM(BJ89:BK89)</f>
        <v>4</v>
      </c>
      <c r="BM89" s="2167">
        <f>16-SUM(BJ89:BL89)</f>
        <v>-1</v>
      </c>
      <c r="BN89" s="1909">
        <f t="shared" si="168"/>
        <v>16</v>
      </c>
      <c r="BO89" s="2167">
        <v>8</v>
      </c>
      <c r="BP89" s="1873">
        <v>0</v>
      </c>
      <c r="BQ89" s="1873">
        <v>0</v>
      </c>
      <c r="BR89" s="1873">
        <v>0</v>
      </c>
      <c r="BS89" s="1909">
        <f t="shared" si="170"/>
        <v>8</v>
      </c>
      <c r="BT89" s="1873">
        <v>0</v>
      </c>
      <c r="BU89" s="1873">
        <v>0</v>
      </c>
      <c r="BV89" s="1873">
        <v>0</v>
      </c>
      <c r="BW89" s="1873">
        <v>0</v>
      </c>
      <c r="BX89" s="1909">
        <f t="shared" si="172"/>
        <v>0</v>
      </c>
      <c r="BY89" s="1913">
        <v>0</v>
      </c>
      <c r="BZ89" s="1913">
        <v>0</v>
      </c>
      <c r="CA89" s="1913">
        <v>0</v>
      </c>
      <c r="CB89" s="251"/>
      <c r="CC89" s="1360"/>
      <c r="CD89" s="83" t="str">
        <f t="shared" si="156"/>
        <v>Provision for Losses on Accounts Receivable</v>
      </c>
      <c r="CE89" s="46">
        <f t="shared" si="174"/>
        <v>55.253999999999998</v>
      </c>
      <c r="CF89" s="46">
        <f t="shared" si="175"/>
        <v>33.024000000000001</v>
      </c>
      <c r="CG89" s="46">
        <f t="shared" si="176"/>
        <v>29.838999999999999</v>
      </c>
      <c r="CH89" s="46">
        <f t="shared" si="177"/>
        <v>7.7960000000000003</v>
      </c>
      <c r="CI89" s="46">
        <f t="shared" si="178"/>
        <v>18.896000000000001</v>
      </c>
      <c r="CJ89" s="46">
        <f t="shared" si="179"/>
        <v>19.576999999999998</v>
      </c>
      <c r="CK89" s="46">
        <f t="shared" si="180"/>
        <v>14.990999999999998</v>
      </c>
      <c r="CL89" s="46">
        <f t="shared" si="181"/>
        <v>27.097999999999999</v>
      </c>
      <c r="CM89" s="46">
        <f t="shared" si="182"/>
        <v>31.635000000000005</v>
      </c>
      <c r="CN89" s="46">
        <f t="shared" si="183"/>
        <v>19.315999999999999</v>
      </c>
      <c r="CO89" s="46">
        <f t="shared" si="184"/>
        <v>1</v>
      </c>
      <c r="CP89" s="46">
        <f t="shared" si="185"/>
        <v>32</v>
      </c>
      <c r="CQ89" s="46">
        <f t="shared" si="186"/>
        <v>22</v>
      </c>
      <c r="CR89" s="46">
        <f t="shared" si="187"/>
        <v>11</v>
      </c>
      <c r="CS89" s="46">
        <f t="shared" si="188"/>
        <v>8</v>
      </c>
      <c r="CT89" s="46">
        <f t="shared" si="189"/>
        <v>9</v>
      </c>
      <c r="CU89" s="46">
        <f t="shared" si="190"/>
        <v>16</v>
      </c>
      <c r="CV89" s="46">
        <f t="shared" si="191"/>
        <v>8</v>
      </c>
      <c r="CW89" s="46">
        <f t="shared" si="192"/>
        <v>0</v>
      </c>
      <c r="CX89" s="46">
        <f t="shared" si="193"/>
        <v>0</v>
      </c>
      <c r="CY89" s="46">
        <f t="shared" si="194"/>
        <v>0</v>
      </c>
      <c r="CZ89" s="44">
        <f t="shared" si="194"/>
        <v>0</v>
      </c>
      <c r="DA89" s="86"/>
      <c r="DB89" s="59"/>
      <c r="DC89"/>
      <c r="DD89"/>
      <c r="DE89"/>
      <c r="DF89"/>
      <c r="DG89"/>
      <c r="DH89"/>
    </row>
    <row r="90" spans="1:112" s="82" customFormat="1" ht="12" customHeight="1">
      <c r="A90" s="1906" t="s">
        <v>113</v>
      </c>
      <c r="B90" s="1907">
        <v>0</v>
      </c>
      <c r="C90" s="1907">
        <v>0</v>
      </c>
      <c r="D90" s="1907">
        <v>0</v>
      </c>
      <c r="E90" s="1907">
        <v>0</v>
      </c>
      <c r="F90" s="1907">
        <v>-18.73</v>
      </c>
      <c r="G90" s="1873">
        <v>-21.715</v>
      </c>
      <c r="H90" s="1888">
        <f>-36.545-G90</f>
        <v>-14.830000000000002</v>
      </c>
      <c r="I90" s="1888">
        <f>-48.519-H90-G90</f>
        <v>-11.973999999999993</v>
      </c>
      <c r="J90" s="1888">
        <f>-86.613-I90-H90-G90</f>
        <v>-38.094000000000008</v>
      </c>
      <c r="K90" s="1909">
        <f t="shared" si="157"/>
        <v>-86.613</v>
      </c>
      <c r="L90" s="1888">
        <v>-39.012</v>
      </c>
      <c r="M90" s="1888">
        <f>-60.701-L90</f>
        <v>-21.689</v>
      </c>
      <c r="N90" s="1888">
        <f>-68.256-M90-L90</f>
        <v>-7.5549999999999997</v>
      </c>
      <c r="O90" s="1888">
        <f>-46.615-N90-M90-L90</f>
        <v>21.640999999999998</v>
      </c>
      <c r="P90" s="1909">
        <f t="shared" si="158"/>
        <v>-46.615000000000002</v>
      </c>
      <c r="Q90" s="1888">
        <v>-13.625</v>
      </c>
      <c r="R90" s="1908">
        <f>-21.632-Q90</f>
        <v>-8.0070000000000014</v>
      </c>
      <c r="S90" s="1908">
        <f>-4.791-R90-Q90</f>
        <v>16.841000000000001</v>
      </c>
      <c r="T90" s="1908">
        <f>-0.017-S90-R90-Q90</f>
        <v>4.7740000000000009</v>
      </c>
      <c r="U90" s="1909">
        <f t="shared" si="159"/>
        <v>-1.699999999999946E-2</v>
      </c>
      <c r="V90" s="1888">
        <v>-2.1739999999999999</v>
      </c>
      <c r="W90" s="1908">
        <f>-4.465-V90</f>
        <v>-2.2909999999999999</v>
      </c>
      <c r="X90" s="1908">
        <f>-2.178-W90-V90</f>
        <v>2.2869999999999999</v>
      </c>
      <c r="Y90" s="1908">
        <f>5.688-X90-W90-V90</f>
        <v>7.8659999999999997</v>
      </c>
      <c r="Z90" s="1909">
        <f t="shared" si="160"/>
        <v>5.6879999999999997</v>
      </c>
      <c r="AA90" s="1888">
        <v>-10.8</v>
      </c>
      <c r="AB90" s="1908">
        <f>-16.8-AA90</f>
        <v>-6</v>
      </c>
      <c r="AC90" s="1908">
        <f>-23.4-AB90-AA90</f>
        <v>-6.5999999999999979</v>
      </c>
      <c r="AD90" s="1908">
        <f>74.406-AC90-AB90-AA90</f>
        <v>97.805999999999997</v>
      </c>
      <c r="AE90" s="1909">
        <f t="shared" si="161"/>
        <v>74.406000000000006</v>
      </c>
      <c r="AF90" s="1888">
        <v>4.5</v>
      </c>
      <c r="AG90" s="1908">
        <f>0.1-AF90</f>
        <v>-4.4000000000000004</v>
      </c>
      <c r="AH90" s="1908">
        <f>-4.8-AG90-AF90</f>
        <v>-4.8999999999999995</v>
      </c>
      <c r="AI90" s="1908">
        <f>10-SUM(AF90:AH90)</f>
        <v>14.8</v>
      </c>
      <c r="AJ90" s="1909">
        <f t="shared" si="162"/>
        <v>10</v>
      </c>
      <c r="AK90" s="1888">
        <v>2</v>
      </c>
      <c r="AL90" s="1908">
        <f>3-AK90</f>
        <v>1</v>
      </c>
      <c r="AM90" s="1908">
        <f>5-SUM(AK90:AL90)</f>
        <v>2</v>
      </c>
      <c r="AN90" s="1908">
        <f>53-SUM(AK90:AM90)</f>
        <v>48</v>
      </c>
      <c r="AO90" s="1909">
        <f t="shared" si="163"/>
        <v>53</v>
      </c>
      <c r="AP90" s="1888">
        <v>1</v>
      </c>
      <c r="AQ90" s="1908">
        <f>4-AP90</f>
        <v>3</v>
      </c>
      <c r="AR90" s="1908">
        <f>3-SUM(AP90:AQ90)</f>
        <v>-1</v>
      </c>
      <c r="AS90" s="1908">
        <f>43-SUM(AP90:AR90)</f>
        <v>40</v>
      </c>
      <c r="AT90" s="1909">
        <f t="shared" si="164"/>
        <v>43</v>
      </c>
      <c r="AU90" s="1888">
        <v>0</v>
      </c>
      <c r="AV90" s="1888">
        <v>0</v>
      </c>
      <c r="AW90" s="1910">
        <f>-33-AV90-AU90</f>
        <v>-33</v>
      </c>
      <c r="AX90" s="1910">
        <f>-245-SUM(AU90:AW90)</f>
        <v>-212</v>
      </c>
      <c r="AY90" s="1909">
        <f t="shared" si="165"/>
        <v>-245</v>
      </c>
      <c r="AZ90" s="1872">
        <v>39</v>
      </c>
      <c r="BA90" s="1872">
        <f>166-AZ90</f>
        <v>127</v>
      </c>
      <c r="BB90" s="1872">
        <f>166-SUM(AZ90:BA90)</f>
        <v>0</v>
      </c>
      <c r="BC90" s="1872">
        <f>280-SUM(AZ90:BB90)</f>
        <v>114</v>
      </c>
      <c r="BD90" s="1909">
        <f t="shared" si="166"/>
        <v>280</v>
      </c>
      <c r="BE90" s="1872">
        <v>-1</v>
      </c>
      <c r="BF90" s="1872">
        <f>+-4-BE90</f>
        <v>-3</v>
      </c>
      <c r="BG90" s="1872">
        <f>+-8-SUM(BE90:BF90)</f>
        <v>-4</v>
      </c>
      <c r="BH90" s="1872">
        <f>79-SUM(BE90:BG90)</f>
        <v>87</v>
      </c>
      <c r="BI90" s="1909">
        <f t="shared" si="167"/>
        <v>79</v>
      </c>
      <c r="BJ90" s="1872">
        <v>-1</v>
      </c>
      <c r="BK90" s="1872">
        <f>0-BJ90</f>
        <v>1</v>
      </c>
      <c r="BL90" s="2167">
        <f>0-SUM(BJ90:BK90)</f>
        <v>0</v>
      </c>
      <c r="BM90" s="2167">
        <v>0</v>
      </c>
      <c r="BN90" s="1909">
        <f t="shared" si="168"/>
        <v>0</v>
      </c>
      <c r="BO90" s="2167">
        <v>0</v>
      </c>
      <c r="BP90" s="1910">
        <f>(BO146-BP146)</f>
        <v>0</v>
      </c>
      <c r="BQ90" s="1910">
        <f>(BP146-BQ146)</f>
        <v>0</v>
      </c>
      <c r="BR90" s="1910">
        <f>(BQ146-BR146)</f>
        <v>0</v>
      </c>
      <c r="BS90" s="1909">
        <f t="shared" si="170"/>
        <v>0</v>
      </c>
      <c r="BT90" s="1910">
        <f>(BS146-BT146)</f>
        <v>0</v>
      </c>
      <c r="BU90" s="1910">
        <f>(BT146-BU146)</f>
        <v>0</v>
      </c>
      <c r="BV90" s="1910">
        <f>(BU146-BV146)</f>
        <v>0</v>
      </c>
      <c r="BW90" s="1910">
        <f>(BV146-BW146)</f>
        <v>0</v>
      </c>
      <c r="BX90" s="1909">
        <f t="shared" si="172"/>
        <v>0</v>
      </c>
      <c r="BY90" s="1912">
        <f>(BX146-BY146)</f>
        <v>0</v>
      </c>
      <c r="BZ90" s="1912">
        <f>(BY146-BZ146)</f>
        <v>0</v>
      </c>
      <c r="CA90" s="1912">
        <f>(BZ146-CA146)</f>
        <v>0</v>
      </c>
      <c r="CB90" s="251"/>
      <c r="CC90" s="1360"/>
      <c r="CD90" s="83" t="str">
        <f t="shared" si="156"/>
        <v>Deferred Income Taxes</v>
      </c>
      <c r="CE90" s="46">
        <f t="shared" si="174"/>
        <v>0</v>
      </c>
      <c r="CF90" s="46">
        <f t="shared" si="175"/>
        <v>0</v>
      </c>
      <c r="CG90" s="46">
        <f t="shared" si="176"/>
        <v>0</v>
      </c>
      <c r="CH90" s="46">
        <f t="shared" si="177"/>
        <v>0</v>
      </c>
      <c r="CI90" s="46">
        <f t="shared" si="178"/>
        <v>-18.73</v>
      </c>
      <c r="CJ90" s="46">
        <f t="shared" si="179"/>
        <v>-86.613</v>
      </c>
      <c r="CK90" s="46">
        <f t="shared" si="180"/>
        <v>-46.615000000000002</v>
      </c>
      <c r="CL90" s="46">
        <f t="shared" si="181"/>
        <v>-1.699999999999946E-2</v>
      </c>
      <c r="CM90" s="46">
        <f t="shared" si="182"/>
        <v>5.6879999999999997</v>
      </c>
      <c r="CN90" s="46">
        <f t="shared" si="183"/>
        <v>74.406000000000006</v>
      </c>
      <c r="CO90" s="46">
        <f t="shared" si="184"/>
        <v>10</v>
      </c>
      <c r="CP90" s="46">
        <f t="shared" si="185"/>
        <v>53</v>
      </c>
      <c r="CQ90" s="46">
        <f t="shared" si="186"/>
        <v>43</v>
      </c>
      <c r="CR90" s="46">
        <f t="shared" si="187"/>
        <v>-245</v>
      </c>
      <c r="CS90" s="46">
        <f t="shared" si="188"/>
        <v>280</v>
      </c>
      <c r="CT90" s="46">
        <f t="shared" si="189"/>
        <v>79</v>
      </c>
      <c r="CU90" s="46">
        <f t="shared" si="190"/>
        <v>0</v>
      </c>
      <c r="CV90" s="46">
        <f t="shared" si="191"/>
        <v>0</v>
      </c>
      <c r="CW90" s="46">
        <f t="shared" si="192"/>
        <v>0</v>
      </c>
      <c r="CX90" s="46">
        <f t="shared" si="193"/>
        <v>0</v>
      </c>
      <c r="CY90" s="46">
        <f t="shared" si="194"/>
        <v>0</v>
      </c>
      <c r="CZ90" s="44">
        <f t="shared" si="194"/>
        <v>0</v>
      </c>
      <c r="DA90" s="86"/>
      <c r="DB90" s="59"/>
      <c r="DC90"/>
      <c r="DD90"/>
      <c r="DE90"/>
      <c r="DF90"/>
      <c r="DG90"/>
      <c r="DH90"/>
    </row>
    <row r="91" spans="1:112" s="82" customFormat="1" ht="12" customHeight="1">
      <c r="A91" s="1906" t="s">
        <v>114</v>
      </c>
      <c r="B91" s="1907">
        <v>0</v>
      </c>
      <c r="C91" s="1907">
        <v>0</v>
      </c>
      <c r="D91" s="1907">
        <v>0</v>
      </c>
      <c r="E91" s="1907">
        <v>0</v>
      </c>
      <c r="F91" s="1907">
        <v>51.116</v>
      </c>
      <c r="G91" s="1873">
        <v>54.011000000000003</v>
      </c>
      <c r="H91" s="1888">
        <f>77.016-G91</f>
        <v>23.005000000000003</v>
      </c>
      <c r="I91" s="1888">
        <f>106.242-H91-G91</f>
        <v>29.225999999999992</v>
      </c>
      <c r="J91" s="1888">
        <f>136.181-I91-H91-G91</f>
        <v>29.939000000000014</v>
      </c>
      <c r="K91" s="1909">
        <f t="shared" si="157"/>
        <v>136.18100000000001</v>
      </c>
      <c r="L91" s="1888">
        <v>31.113</v>
      </c>
      <c r="M91" s="1888">
        <f>62.811-L91</f>
        <v>31.698</v>
      </c>
      <c r="N91" s="1888">
        <f>94.368-M91-L91</f>
        <v>31.556999999999995</v>
      </c>
      <c r="O91" s="1888">
        <f>124.692-N91-M91-L91</f>
        <v>30.323999999999991</v>
      </c>
      <c r="P91" s="1909">
        <f t="shared" si="158"/>
        <v>124.69199999999998</v>
      </c>
      <c r="Q91" s="1888">
        <v>21.044</v>
      </c>
      <c r="R91" s="1908">
        <f>43-Q91</f>
        <v>21.956</v>
      </c>
      <c r="S91" s="1908">
        <f>3.564-R91-Q91</f>
        <v>-39.436</v>
      </c>
      <c r="T91" s="1908">
        <f>-1.934-S91-R91-Q91</f>
        <v>-5.4979999999999976</v>
      </c>
      <c r="U91" s="1909">
        <f t="shared" si="159"/>
        <v>-1.9339999999999975</v>
      </c>
      <c r="V91" s="1888">
        <v>7.83</v>
      </c>
      <c r="W91" s="1908">
        <f>17.233-V91</f>
        <v>9.4030000000000005</v>
      </c>
      <c r="X91" s="1908">
        <f>12.483-W91-V91</f>
        <v>-4.75</v>
      </c>
      <c r="Y91" s="1908">
        <f>22.268-X91-W91-V91</f>
        <v>9.7850000000000019</v>
      </c>
      <c r="Z91" s="1909">
        <f t="shared" si="160"/>
        <v>22.268000000000001</v>
      </c>
      <c r="AA91" s="1888">
        <v>8.3000000000000007</v>
      </c>
      <c r="AB91" s="1908">
        <f>23-AA91</f>
        <v>14.7</v>
      </c>
      <c r="AC91" s="1908">
        <f>44.8-AB91-AA91</f>
        <v>21.799999999999997</v>
      </c>
      <c r="AD91" s="1908">
        <f>66.485-AC91-AB91-AA91</f>
        <v>21.685000000000002</v>
      </c>
      <c r="AE91" s="1909">
        <f t="shared" si="161"/>
        <v>66.484999999999999</v>
      </c>
      <c r="AF91" s="1888">
        <v>18.100000000000001</v>
      </c>
      <c r="AG91" s="1908">
        <f>41.2-AF91</f>
        <v>23.1</v>
      </c>
      <c r="AH91" s="1908">
        <f>64.8-AG91-AF91</f>
        <v>23.599999999999994</v>
      </c>
      <c r="AI91" s="1908">
        <f>97-SUM(AF91:AH91)</f>
        <v>32.200000000000003</v>
      </c>
      <c r="AJ91" s="1909">
        <f t="shared" si="162"/>
        <v>97</v>
      </c>
      <c r="AK91" s="1888">
        <v>17</v>
      </c>
      <c r="AL91" s="1908">
        <f>40-AK91</f>
        <v>23</v>
      </c>
      <c r="AM91" s="1908">
        <f>63-SUM(AK91:AL91)</f>
        <v>23</v>
      </c>
      <c r="AN91" s="1908">
        <f>93-SUM(AK91:AM91)</f>
        <v>30</v>
      </c>
      <c r="AO91" s="1909">
        <f t="shared" si="163"/>
        <v>93</v>
      </c>
      <c r="AP91" s="1888">
        <v>21</v>
      </c>
      <c r="AQ91" s="1908">
        <f>47-AP91</f>
        <v>26</v>
      </c>
      <c r="AR91" s="1908">
        <f>70-SUM(AP91:AQ91)</f>
        <v>23</v>
      </c>
      <c r="AS91" s="1908">
        <f>96-SUM(AP91:AR91)</f>
        <v>26</v>
      </c>
      <c r="AT91" s="1909">
        <f>SUM(AP91:AS91)</f>
        <v>96</v>
      </c>
      <c r="AU91" s="1888">
        <v>18</v>
      </c>
      <c r="AV91" s="1908">
        <f>48-AU91</f>
        <v>30</v>
      </c>
      <c r="AW91" s="1910">
        <f>72-AV91-AU91</f>
        <v>24</v>
      </c>
      <c r="AX91" s="1910">
        <f>100-SUM(AU91:AW91)</f>
        <v>28</v>
      </c>
      <c r="AY91" s="1909">
        <f t="shared" si="165"/>
        <v>100</v>
      </c>
      <c r="AZ91" s="1872">
        <v>18</v>
      </c>
      <c r="BA91" s="1872">
        <f>37-AZ91</f>
        <v>19</v>
      </c>
      <c r="BB91" s="1872">
        <f>55-SUM(AZ91:BA91)</f>
        <v>18</v>
      </c>
      <c r="BC91" s="1872">
        <f>78-SUM(AZ91:BB91)</f>
        <v>23</v>
      </c>
      <c r="BD91" s="1909">
        <f t="shared" si="166"/>
        <v>78</v>
      </c>
      <c r="BE91" s="1872">
        <v>14</v>
      </c>
      <c r="BF91" s="1872">
        <f>34-BE91</f>
        <v>20</v>
      </c>
      <c r="BG91" s="1872">
        <f>54-SUM(BE91:BF91)</f>
        <v>20</v>
      </c>
      <c r="BH91" s="1872">
        <f>76-SUM(BE91:BG91)</f>
        <v>22</v>
      </c>
      <c r="BI91" s="1909">
        <f t="shared" si="167"/>
        <v>76</v>
      </c>
      <c r="BJ91" s="1872">
        <v>19</v>
      </c>
      <c r="BK91" s="1872">
        <f>41-BJ91</f>
        <v>22</v>
      </c>
      <c r="BL91" s="2167">
        <f>65-SUM(BJ91:BK91)</f>
        <v>24</v>
      </c>
      <c r="BM91" s="2167">
        <f>99-SUM(BJ91:BL91)</f>
        <v>34</v>
      </c>
      <c r="BN91" s="1909">
        <f t="shared" si="168"/>
        <v>99</v>
      </c>
      <c r="BO91" s="2167">
        <v>13</v>
      </c>
      <c r="BP91" s="1887">
        <f>BP227</f>
        <v>23.915446617615913</v>
      </c>
      <c r="BQ91" s="1887">
        <f>BQ227</f>
        <v>25.750103447263047</v>
      </c>
      <c r="BR91" s="1887">
        <f>BR227</f>
        <v>35.757520405470224</v>
      </c>
      <c r="BS91" s="1909">
        <f t="shared" si="170"/>
        <v>98.423070470349188</v>
      </c>
      <c r="BT91" s="1887">
        <f>BT227</f>
        <v>13.658974280815661</v>
      </c>
      <c r="BU91" s="1887">
        <f>BU227</f>
        <v>25.329376435658119</v>
      </c>
      <c r="BV91" s="1887">
        <f>BV227</f>
        <v>27.303969633575768</v>
      </c>
      <c r="BW91" s="1887">
        <f>BW227</f>
        <v>37.893271349669774</v>
      </c>
      <c r="BX91" s="1909">
        <f t="shared" si="172"/>
        <v>104.18559169971932</v>
      </c>
      <c r="BY91" s="1936">
        <f>BY227</f>
        <v>109.57194162002523</v>
      </c>
      <c r="BZ91" s="1936">
        <f>BZ227</f>
        <v>115.28201256784415</v>
      </c>
      <c r="CA91" s="1936">
        <f>CA227</f>
        <v>120.68332831596088</v>
      </c>
      <c r="CB91" s="251"/>
      <c r="CC91" s="1360"/>
      <c r="CD91" s="83" t="str">
        <f t="shared" si="156"/>
        <v>Stock-Based Compensation</v>
      </c>
      <c r="CE91" s="46">
        <f t="shared" si="174"/>
        <v>0</v>
      </c>
      <c r="CF91" s="46">
        <f t="shared" si="175"/>
        <v>0</v>
      </c>
      <c r="CG91" s="46">
        <f t="shared" si="176"/>
        <v>0</v>
      </c>
      <c r="CH91" s="46">
        <f t="shared" si="177"/>
        <v>0</v>
      </c>
      <c r="CI91" s="46">
        <f t="shared" si="178"/>
        <v>51.116</v>
      </c>
      <c r="CJ91" s="46">
        <f t="shared" si="179"/>
        <v>136.18100000000001</v>
      </c>
      <c r="CK91" s="46">
        <f t="shared" si="180"/>
        <v>124.69199999999998</v>
      </c>
      <c r="CL91" s="46">
        <f t="shared" si="181"/>
        <v>-1.9339999999999975</v>
      </c>
      <c r="CM91" s="46">
        <f t="shared" si="182"/>
        <v>22.268000000000001</v>
      </c>
      <c r="CN91" s="46">
        <f t="shared" si="183"/>
        <v>66.484999999999999</v>
      </c>
      <c r="CO91" s="46">
        <f t="shared" si="184"/>
        <v>97</v>
      </c>
      <c r="CP91" s="46">
        <f t="shared" si="185"/>
        <v>93</v>
      </c>
      <c r="CQ91" s="46">
        <f t="shared" si="186"/>
        <v>96</v>
      </c>
      <c r="CR91" s="46">
        <f t="shared" si="187"/>
        <v>100</v>
      </c>
      <c r="CS91" s="46">
        <f t="shared" si="188"/>
        <v>78</v>
      </c>
      <c r="CT91" s="46">
        <f t="shared" si="189"/>
        <v>76</v>
      </c>
      <c r="CU91" s="46">
        <f t="shared" si="190"/>
        <v>99</v>
      </c>
      <c r="CV91" s="46">
        <f t="shared" si="191"/>
        <v>98.423070470349188</v>
      </c>
      <c r="CW91" s="46">
        <f t="shared" si="192"/>
        <v>104.18559169971932</v>
      </c>
      <c r="CX91" s="46">
        <f t="shared" si="193"/>
        <v>109.57194162002523</v>
      </c>
      <c r="CY91" s="46">
        <f t="shared" si="194"/>
        <v>115.28201256784415</v>
      </c>
      <c r="CZ91" s="44">
        <f t="shared" si="194"/>
        <v>120.68332831596088</v>
      </c>
      <c r="DA91" s="86"/>
      <c r="DB91" s="59"/>
      <c r="DC91"/>
      <c r="DD91"/>
      <c r="DE91"/>
      <c r="DF91"/>
      <c r="DG91"/>
      <c r="DH91"/>
    </row>
    <row r="92" spans="1:112" s="82" customFormat="1" ht="12" customHeight="1">
      <c r="A92" s="1906" t="s">
        <v>115</v>
      </c>
      <c r="B92" s="1907">
        <v>0</v>
      </c>
      <c r="C92" s="1907">
        <v>0</v>
      </c>
      <c r="D92" s="1907">
        <v>75.918999999999997</v>
      </c>
      <c r="E92" s="1907">
        <v>0</v>
      </c>
      <c r="F92" s="1907">
        <v>0</v>
      </c>
      <c r="G92" s="1873">
        <v>0</v>
      </c>
      <c r="H92" s="1888">
        <v>0</v>
      </c>
      <c r="I92" s="1888">
        <v>0</v>
      </c>
      <c r="J92" s="1888">
        <v>0</v>
      </c>
      <c r="K92" s="1907">
        <v>0</v>
      </c>
      <c r="L92" s="1888">
        <v>0</v>
      </c>
      <c r="M92" s="1888">
        <v>0</v>
      </c>
      <c r="N92" s="1888">
        <v>0</v>
      </c>
      <c r="O92" s="1888">
        <v>0</v>
      </c>
      <c r="P92" s="1907">
        <v>0</v>
      </c>
      <c r="Q92" s="1888">
        <v>0</v>
      </c>
      <c r="R92" s="1888">
        <v>0</v>
      </c>
      <c r="S92" s="1888">
        <v>0</v>
      </c>
      <c r="T92" s="1888">
        <v>0</v>
      </c>
      <c r="U92" s="1907">
        <v>0</v>
      </c>
      <c r="V92" s="1888">
        <v>0</v>
      </c>
      <c r="W92" s="1888">
        <v>0</v>
      </c>
      <c r="X92" s="1888">
        <v>0</v>
      </c>
      <c r="Y92" s="1888">
        <v>0</v>
      </c>
      <c r="Z92" s="1907">
        <v>0</v>
      </c>
      <c r="AA92" s="1888">
        <v>0</v>
      </c>
      <c r="AB92" s="1888">
        <v>0</v>
      </c>
      <c r="AC92" s="1888">
        <v>0</v>
      </c>
      <c r="AD92" s="1888">
        <v>0</v>
      </c>
      <c r="AE92" s="1909">
        <f t="shared" si="161"/>
        <v>0</v>
      </c>
      <c r="AF92" s="1888">
        <v>0</v>
      </c>
      <c r="AG92" s="1888">
        <v>0</v>
      </c>
      <c r="AH92" s="1888">
        <v>0</v>
      </c>
      <c r="AI92" s="1888">
        <v>0</v>
      </c>
      <c r="AJ92" s="1909">
        <f>SUM(AF92:AI92)</f>
        <v>0</v>
      </c>
      <c r="AK92" s="1888">
        <v>0</v>
      </c>
      <c r="AL92" s="1888">
        <f>0</f>
        <v>0</v>
      </c>
      <c r="AM92" s="1888">
        <v>0</v>
      </c>
      <c r="AN92" s="1888">
        <v>0</v>
      </c>
      <c r="AO92" s="1909">
        <f>SUM(AK92:AN92)</f>
        <v>0</v>
      </c>
      <c r="AP92" s="1888">
        <v>0</v>
      </c>
      <c r="AQ92" s="1908">
        <f>0-AP92</f>
        <v>0</v>
      </c>
      <c r="AR92" s="1908">
        <f>0-AQ92-AP92</f>
        <v>0</v>
      </c>
      <c r="AS92" s="1888">
        <v>0</v>
      </c>
      <c r="AT92" s="1909">
        <f>SUM(AP92:AS92)</f>
        <v>0</v>
      </c>
      <c r="AU92" s="1888">
        <v>0</v>
      </c>
      <c r="AV92" s="1888">
        <v>0</v>
      </c>
      <c r="AW92" s="1910">
        <f>0-AV92-AU92</f>
        <v>0</v>
      </c>
      <c r="AX92" s="1873">
        <v>0</v>
      </c>
      <c r="AY92" s="1909">
        <f>SUM(AU92:AX92)</f>
        <v>0</v>
      </c>
      <c r="AZ92" s="1872">
        <v>0</v>
      </c>
      <c r="BA92" s="1872">
        <v>0</v>
      </c>
      <c r="BB92" s="1872">
        <v>0</v>
      </c>
      <c r="BC92" s="1872">
        <v>0</v>
      </c>
      <c r="BD92" s="1909">
        <f>SUM(AZ92:BC92)</f>
        <v>0</v>
      </c>
      <c r="BE92" s="1872">
        <v>0</v>
      </c>
      <c r="BF92" s="1872">
        <v>0</v>
      </c>
      <c r="BG92" s="1872">
        <v>0</v>
      </c>
      <c r="BH92" s="1872">
        <v>0</v>
      </c>
      <c r="BI92" s="1909">
        <f>SUM(BE92:BH92)</f>
        <v>0</v>
      </c>
      <c r="BJ92" s="1872">
        <v>0</v>
      </c>
      <c r="BK92" s="1872">
        <v>0</v>
      </c>
      <c r="BL92" s="2167">
        <v>0</v>
      </c>
      <c r="BM92" s="2167">
        <v>0</v>
      </c>
      <c r="BN92" s="1909">
        <f>SUM(BJ92:BM92)</f>
        <v>0</v>
      </c>
      <c r="BO92" s="2167">
        <v>0</v>
      </c>
      <c r="BP92" s="1873">
        <v>0</v>
      </c>
      <c r="BQ92" s="1873">
        <v>0</v>
      </c>
      <c r="BR92" s="1873">
        <v>0</v>
      </c>
      <c r="BS92" s="1909">
        <f>SUM(BO92:BR92)</f>
        <v>0</v>
      </c>
      <c r="BT92" s="1873">
        <v>0</v>
      </c>
      <c r="BU92" s="1873">
        <v>0</v>
      </c>
      <c r="BV92" s="1873">
        <v>0</v>
      </c>
      <c r="BW92" s="1873">
        <v>0</v>
      </c>
      <c r="BX92" s="1909">
        <f>SUM(BT92:BW92)</f>
        <v>0</v>
      </c>
      <c r="BY92" s="1913">
        <v>0</v>
      </c>
      <c r="BZ92" s="1913">
        <v>0</v>
      </c>
      <c r="CA92" s="1913">
        <v>0</v>
      </c>
      <c r="CB92" s="251"/>
      <c r="CC92" s="1360"/>
      <c r="CD92" s="83" t="str">
        <f t="shared" si="156"/>
        <v>Goodwill Impairment</v>
      </c>
      <c r="CE92" s="46">
        <f t="shared" si="174"/>
        <v>0</v>
      </c>
      <c r="CF92" s="46">
        <f t="shared" si="175"/>
        <v>0</v>
      </c>
      <c r="CG92" s="46">
        <f t="shared" si="176"/>
        <v>75.918999999999997</v>
      </c>
      <c r="CH92" s="46">
        <f t="shared" si="177"/>
        <v>0</v>
      </c>
      <c r="CI92" s="46">
        <f t="shared" si="178"/>
        <v>0</v>
      </c>
      <c r="CJ92" s="46">
        <f t="shared" si="179"/>
        <v>0</v>
      </c>
      <c r="CK92" s="46">
        <f t="shared" si="180"/>
        <v>0</v>
      </c>
      <c r="CL92" s="46">
        <f t="shared" si="181"/>
        <v>0</v>
      </c>
      <c r="CM92" s="46">
        <f t="shared" si="182"/>
        <v>0</v>
      </c>
      <c r="CN92" s="46">
        <f t="shared" si="183"/>
        <v>0</v>
      </c>
      <c r="CO92" s="46">
        <f t="shared" si="184"/>
        <v>0</v>
      </c>
      <c r="CP92" s="46">
        <f t="shared" si="185"/>
        <v>0</v>
      </c>
      <c r="CQ92" s="46">
        <f t="shared" si="186"/>
        <v>0</v>
      </c>
      <c r="CR92" s="46">
        <f t="shared" si="187"/>
        <v>0</v>
      </c>
      <c r="CS92" s="46">
        <f t="shared" si="188"/>
        <v>0</v>
      </c>
      <c r="CT92" s="46">
        <f t="shared" si="189"/>
        <v>0</v>
      </c>
      <c r="CU92" s="46">
        <f t="shared" si="190"/>
        <v>0</v>
      </c>
      <c r="CV92" s="46">
        <f t="shared" si="191"/>
        <v>0</v>
      </c>
      <c r="CW92" s="46">
        <f t="shared" si="192"/>
        <v>0</v>
      </c>
      <c r="CX92" s="46">
        <f t="shared" si="193"/>
        <v>0</v>
      </c>
      <c r="CY92" s="46">
        <f t="shared" si="194"/>
        <v>0</v>
      </c>
      <c r="CZ92" s="44">
        <f t="shared" si="194"/>
        <v>0</v>
      </c>
      <c r="DA92" s="86"/>
      <c r="DB92" s="59"/>
      <c r="DC92"/>
      <c r="DD92"/>
      <c r="DE92"/>
      <c r="DF92"/>
      <c r="DG92"/>
      <c r="DH92"/>
    </row>
    <row r="93" spans="1:112" s="82" customFormat="1" ht="12" customHeight="1">
      <c r="A93" s="1906" t="s">
        <v>116</v>
      </c>
      <c r="B93" s="1907">
        <f>-6.925</f>
        <v>-6.9249999999999998</v>
      </c>
      <c r="C93" s="1907">
        <f>14.534</f>
        <v>14.534000000000001</v>
      </c>
      <c r="D93" s="1907">
        <f>-86.953-131.25</f>
        <v>-218.203</v>
      </c>
      <c r="E93" s="1907">
        <v>0</v>
      </c>
      <c r="F93" s="1907">
        <v>0</v>
      </c>
      <c r="G93" s="1873">
        <v>0</v>
      </c>
      <c r="H93" s="1888">
        <f>0-G93</f>
        <v>0</v>
      </c>
      <c r="I93" s="1888">
        <f>0-H93-G93</f>
        <v>0</v>
      </c>
      <c r="J93" s="1888">
        <f>0-I93-H93-G93</f>
        <v>0</v>
      </c>
      <c r="K93" s="1909">
        <f>SUM(G93:J93)</f>
        <v>0</v>
      </c>
      <c r="L93" s="1888">
        <f>-17.305</f>
        <v>-17.305</v>
      </c>
      <c r="M93" s="1888">
        <f>-17.305-L93</f>
        <v>0</v>
      </c>
      <c r="N93" s="1888">
        <f>-21.432-M93-L93</f>
        <v>-4.1269999999999989</v>
      </c>
      <c r="O93" s="1888">
        <f>-21.432-N93-M93-L93</f>
        <v>0</v>
      </c>
      <c r="P93" s="1909">
        <f>SUM(L93:O93)</f>
        <v>-21.431999999999999</v>
      </c>
      <c r="Q93" s="1888">
        <v>0</v>
      </c>
      <c r="R93" s="1888">
        <v>0</v>
      </c>
      <c r="S93" s="1888">
        <v>0</v>
      </c>
      <c r="T93" s="1888">
        <v>0</v>
      </c>
      <c r="U93" s="1909">
        <f>SUM(Q93:T93)</f>
        <v>0</v>
      </c>
      <c r="V93" s="1888">
        <v>0</v>
      </c>
      <c r="W93" s="1908">
        <f>13.849-V93</f>
        <v>13.849</v>
      </c>
      <c r="X93" s="1908">
        <f>13.849-W93-V93</f>
        <v>0</v>
      </c>
      <c r="Y93" s="1908">
        <f>3.304-X93-W93-V93</f>
        <v>-10.545</v>
      </c>
      <c r="Z93" s="1909">
        <f>SUM(V93:Y93)</f>
        <v>3.3040000000000003</v>
      </c>
      <c r="AA93" s="1888">
        <v>0</v>
      </c>
      <c r="AB93" s="1888">
        <v>0</v>
      </c>
      <c r="AC93" s="1888">
        <v>0</v>
      </c>
      <c r="AD93" s="1908">
        <f>-11.058-AC93-AB93-AA93</f>
        <v>-11.058</v>
      </c>
      <c r="AE93" s="1909">
        <f t="shared" si="161"/>
        <v>-11.058</v>
      </c>
      <c r="AF93" s="1888">
        <v>0</v>
      </c>
      <c r="AG93" s="1888">
        <v>0</v>
      </c>
      <c r="AH93" s="1888">
        <v>0</v>
      </c>
      <c r="AI93" s="1908">
        <f>-136-SUM(AF93:AH93)</f>
        <v>-136</v>
      </c>
      <c r="AJ93" s="1909">
        <f t="shared" si="162"/>
        <v>-136</v>
      </c>
      <c r="AK93" s="1888">
        <v>0</v>
      </c>
      <c r="AL93" s="1888">
        <v>0</v>
      </c>
      <c r="AM93" s="1908">
        <f>0-SUM(AK93:AL93)</f>
        <v>0</v>
      </c>
      <c r="AN93" s="1908">
        <f>0-SUM(AK93:AM93)</f>
        <v>0</v>
      </c>
      <c r="AO93" s="1909">
        <f>SUM(AK93:AN93)</f>
        <v>0</v>
      </c>
      <c r="AP93" s="1888">
        <v>0</v>
      </c>
      <c r="AQ93" s="1888">
        <v>0</v>
      </c>
      <c r="AR93" s="1908">
        <f>0-AQ93-AP93</f>
        <v>0</v>
      </c>
      <c r="AS93" s="1888">
        <v>0</v>
      </c>
      <c r="AT93" s="1909">
        <f t="shared" si="164"/>
        <v>0</v>
      </c>
      <c r="AU93" s="1888">
        <v>0</v>
      </c>
      <c r="AV93" s="1888">
        <v>0</v>
      </c>
      <c r="AW93" s="1873">
        <v>0</v>
      </c>
      <c r="AX93" s="1873">
        <v>0</v>
      </c>
      <c r="AY93" s="1909">
        <f>SUM(AU93:AX93)</f>
        <v>0</v>
      </c>
      <c r="AZ93" s="1872">
        <v>0</v>
      </c>
      <c r="BA93" s="1872">
        <v>0</v>
      </c>
      <c r="BB93" s="1872">
        <v>0</v>
      </c>
      <c r="BC93" s="1872">
        <v>0</v>
      </c>
      <c r="BD93" s="1909">
        <f>SUM(AZ93:BC93)</f>
        <v>0</v>
      </c>
      <c r="BE93" s="1872">
        <v>0</v>
      </c>
      <c r="BF93" s="1872">
        <v>0</v>
      </c>
      <c r="BG93" s="1872">
        <f>+-722-SUM(BE93:BF93)</f>
        <v>-722</v>
      </c>
      <c r="BH93" s="1872">
        <f>+-1101-SUM(BE93:BG93)</f>
        <v>-379</v>
      </c>
      <c r="BI93" s="1909">
        <f>SUM(BE93:BH93)</f>
        <v>-1101</v>
      </c>
      <c r="BJ93" s="1872">
        <v>0</v>
      </c>
      <c r="BK93" s="1872">
        <v>0</v>
      </c>
      <c r="BL93" s="2167">
        <v>0</v>
      </c>
      <c r="BM93" s="2167">
        <v>0</v>
      </c>
      <c r="BN93" s="1909">
        <f>SUM(BJ93:BM93)</f>
        <v>0</v>
      </c>
      <c r="BO93" s="2167">
        <v>0</v>
      </c>
      <c r="BP93" s="1873">
        <v>0</v>
      </c>
      <c r="BQ93" s="1873">
        <v>0</v>
      </c>
      <c r="BR93" s="1873">
        <v>0</v>
      </c>
      <c r="BS93" s="1909">
        <f>SUM(BO93:BR93)</f>
        <v>0</v>
      </c>
      <c r="BT93" s="1873">
        <v>0</v>
      </c>
      <c r="BU93" s="1873">
        <v>0</v>
      </c>
      <c r="BV93" s="1873">
        <v>0</v>
      </c>
      <c r="BW93" s="1873">
        <v>0</v>
      </c>
      <c r="BX93" s="1909">
        <f>SUM(BT93:BW93)</f>
        <v>0</v>
      </c>
      <c r="BY93" s="1913">
        <v>0</v>
      </c>
      <c r="BZ93" s="1913">
        <v>0</v>
      </c>
      <c r="CA93" s="1913">
        <v>0</v>
      </c>
      <c r="CB93" s="251"/>
      <c r="CC93" s="1360"/>
      <c r="CD93" s="83" t="str">
        <f t="shared" si="156"/>
        <v>(Gain) Loss on Dispositions</v>
      </c>
      <c r="CE93" s="46">
        <f t="shared" si="174"/>
        <v>-6.9249999999999998</v>
      </c>
      <c r="CF93" s="46">
        <f t="shared" si="175"/>
        <v>14.534000000000001</v>
      </c>
      <c r="CG93" s="46">
        <f t="shared" si="176"/>
        <v>-218.203</v>
      </c>
      <c r="CH93" s="46">
        <f t="shared" si="177"/>
        <v>0</v>
      </c>
      <c r="CI93" s="46">
        <f t="shared" si="178"/>
        <v>0</v>
      </c>
      <c r="CJ93" s="46">
        <f t="shared" si="179"/>
        <v>0</v>
      </c>
      <c r="CK93" s="46">
        <f t="shared" si="180"/>
        <v>-21.431999999999999</v>
      </c>
      <c r="CL93" s="46">
        <f t="shared" si="181"/>
        <v>0</v>
      </c>
      <c r="CM93" s="46">
        <f t="shared" si="182"/>
        <v>3.3040000000000003</v>
      </c>
      <c r="CN93" s="46">
        <f t="shared" si="183"/>
        <v>-11.058</v>
      </c>
      <c r="CO93" s="46">
        <f t="shared" si="184"/>
        <v>-136</v>
      </c>
      <c r="CP93" s="46">
        <f t="shared" si="185"/>
        <v>0</v>
      </c>
      <c r="CQ93" s="46">
        <f t="shared" si="186"/>
        <v>0</v>
      </c>
      <c r="CR93" s="46">
        <f t="shared" si="187"/>
        <v>0</v>
      </c>
      <c r="CS93" s="46">
        <f t="shared" si="188"/>
        <v>0</v>
      </c>
      <c r="CT93" s="46">
        <f t="shared" si="189"/>
        <v>-1101</v>
      </c>
      <c r="CU93" s="46">
        <f t="shared" si="190"/>
        <v>0</v>
      </c>
      <c r="CV93" s="46">
        <f t="shared" si="191"/>
        <v>0</v>
      </c>
      <c r="CW93" s="46">
        <f t="shared" si="192"/>
        <v>0</v>
      </c>
      <c r="CX93" s="46">
        <f t="shared" si="193"/>
        <v>0</v>
      </c>
      <c r="CY93" s="46">
        <f t="shared" si="194"/>
        <v>0</v>
      </c>
      <c r="CZ93" s="44">
        <f t="shared" si="194"/>
        <v>0</v>
      </c>
      <c r="DA93" s="86"/>
      <c r="DB93" s="59"/>
      <c r="DC93"/>
      <c r="DD93"/>
      <c r="DE93"/>
      <c r="DF93"/>
      <c r="DG93"/>
      <c r="DH93"/>
    </row>
    <row r="94" spans="1:112" s="82" customFormat="1" ht="12" customHeight="1">
      <c r="A94" s="1906" t="s">
        <v>117</v>
      </c>
      <c r="B94" s="1907">
        <f>-8.347+158.962</f>
        <v>150.61499999999998</v>
      </c>
      <c r="C94" s="1907">
        <f>-9.618</f>
        <v>-9.6180000000000003</v>
      </c>
      <c r="D94" s="1907">
        <f>-12.468+103.5</f>
        <v>91.031999999999996</v>
      </c>
      <c r="E94" s="1907">
        <v>9.3379999999999992</v>
      </c>
      <c r="F94" s="1907">
        <v>5.78</v>
      </c>
      <c r="G94" s="1873">
        <v>-6.766</v>
      </c>
      <c r="H94" s="1888">
        <f>-4.982-G94</f>
        <v>1.7839999999999998</v>
      </c>
      <c r="I94" s="1888">
        <f>-0.347-H94-G94</f>
        <v>4.6349999999999998</v>
      </c>
      <c r="J94" s="1888">
        <f>2.896-I94-H94-G94</f>
        <v>3.2430000000000003</v>
      </c>
      <c r="K94" s="1909">
        <f>SUM(G94:J94)</f>
        <v>2.8959999999999999</v>
      </c>
      <c r="L94" s="1888">
        <f>3.685</f>
        <v>3.6850000000000001</v>
      </c>
      <c r="M94" s="1888">
        <f>2.799-L94</f>
        <v>-0.88600000000000012</v>
      </c>
      <c r="N94" s="1888">
        <f>7.27-M94-L94</f>
        <v>4.4709999999999983</v>
      </c>
      <c r="O94" s="1888">
        <f>12.639-N94-M94-L94</f>
        <v>5.3690000000000015</v>
      </c>
      <c r="P94" s="1909">
        <f>SUM(L94:O94)</f>
        <v>12.638999999999999</v>
      </c>
      <c r="Q94" s="1888">
        <f>2.055+2.462</f>
        <v>4.5170000000000003</v>
      </c>
      <c r="R94" s="1908">
        <f>-1.976-Q94</f>
        <v>-6.4930000000000003</v>
      </c>
      <c r="S94" s="1908">
        <f>-6.946-R94-Q94</f>
        <v>-4.97</v>
      </c>
      <c r="T94" s="1908">
        <f>-16.029-S94-R94-Q94</f>
        <v>-9.083000000000002</v>
      </c>
      <c r="U94" s="1909">
        <f>SUM(Q94:T94)</f>
        <v>-16.029000000000003</v>
      </c>
      <c r="V94" s="1888">
        <v>-1.3480000000000001</v>
      </c>
      <c r="W94" s="1908">
        <f>2.866-V94</f>
        <v>4.2140000000000004</v>
      </c>
      <c r="X94" s="1908">
        <f>4.172-W94-V94</f>
        <v>1.3059999999999994</v>
      </c>
      <c r="Y94" s="1908">
        <f>11.539-X94-W94-V94</f>
        <v>7.367</v>
      </c>
      <c r="Z94" s="1909">
        <f>SUM(V94:Y94)</f>
        <v>11.539</v>
      </c>
      <c r="AA94" s="1888">
        <v>1.7</v>
      </c>
      <c r="AB94" s="1908">
        <f>2.4-AA94</f>
        <v>0.7</v>
      </c>
      <c r="AC94" s="1908">
        <f>-4.5-AB94-AA94</f>
        <v>-6.9</v>
      </c>
      <c r="AD94" s="1908">
        <f>35.111-AC94-AB94-AA94</f>
        <v>39.61099999999999</v>
      </c>
      <c r="AE94" s="1909">
        <f t="shared" si="161"/>
        <v>35.11099999999999</v>
      </c>
      <c r="AF94" s="1888">
        <v>4.8</v>
      </c>
      <c r="AG94" s="1908">
        <f>16.5-AF94</f>
        <v>11.7</v>
      </c>
      <c r="AH94" s="1908">
        <f>12.9-AG94-AF94</f>
        <v>-3.5999999999999988</v>
      </c>
      <c r="AI94" s="1908">
        <f>93-SUM(AF94:AH94)</f>
        <v>80.099999999999994</v>
      </c>
      <c r="AJ94" s="1909">
        <f t="shared" si="162"/>
        <v>93</v>
      </c>
      <c r="AK94" s="1888">
        <v>19</v>
      </c>
      <c r="AL94" s="1908">
        <f>18-AK94</f>
        <v>-1</v>
      </c>
      <c r="AM94" s="1908">
        <f>46-SUM(AK94:AL94)</f>
        <v>28</v>
      </c>
      <c r="AN94" s="1908">
        <f>16-SUM(AK94:AM94)</f>
        <v>-30</v>
      </c>
      <c r="AO94" s="1909">
        <f>SUM(AK94:AN94)</f>
        <v>16</v>
      </c>
      <c r="AP94" s="1888">
        <v>87</v>
      </c>
      <c r="AQ94" s="1908">
        <f>9-AP94</f>
        <v>-78</v>
      </c>
      <c r="AR94" s="1908">
        <f>0-SUM(AP94:AQ94)-38</f>
        <v>-47</v>
      </c>
      <c r="AS94" s="1908">
        <f>96-SUM(AP94:AR94)</f>
        <v>134</v>
      </c>
      <c r="AT94" s="1909">
        <f t="shared" si="164"/>
        <v>96</v>
      </c>
      <c r="AU94" s="1888">
        <v>4</v>
      </c>
      <c r="AV94" s="1908">
        <f>22-AU94-1</f>
        <v>17</v>
      </c>
      <c r="AW94" s="1910">
        <f>106-AV94-AU94</f>
        <v>85</v>
      </c>
      <c r="AX94" s="1911">
        <f>1587+80-SUM(AU94:AW94)</f>
        <v>1561</v>
      </c>
      <c r="AY94" s="1909">
        <f>SUM(AU94:AX94)</f>
        <v>1667</v>
      </c>
      <c r="AZ94" s="1872">
        <v>33</v>
      </c>
      <c r="BA94" s="1872">
        <f>22-AZ94</f>
        <v>-11</v>
      </c>
      <c r="BB94" s="1872">
        <f>139-SUM(AZ94:BA94)</f>
        <v>117</v>
      </c>
      <c r="BC94" s="1872">
        <f>119+46-SUM(AZ94:BB94)</f>
        <v>26</v>
      </c>
      <c r="BD94" s="1909">
        <f>SUM(AZ94:BC94)</f>
        <v>165</v>
      </c>
      <c r="BE94" s="1872">
        <v>31</v>
      </c>
      <c r="BF94" s="1872">
        <f>47-BE94+0.6</f>
        <v>16.600000000000001</v>
      </c>
      <c r="BG94" s="1872">
        <f>56-SUM(BE94:BF94)+1.6</f>
        <v>9.9999999999999982</v>
      </c>
      <c r="BH94" s="1872">
        <f>54+30-SUM(BE94:BG94)+2</f>
        <v>28.4</v>
      </c>
      <c r="BI94" s="1909">
        <f>SUM(BE94:BH94)</f>
        <v>86</v>
      </c>
      <c r="BJ94" s="1872">
        <v>14</v>
      </c>
      <c r="BK94" s="1872">
        <f>26-BJ94</f>
        <v>12</v>
      </c>
      <c r="BL94" s="2167">
        <f>42-SUM(BJ94:BK94)</f>
        <v>16</v>
      </c>
      <c r="BM94" s="2167">
        <f>55+96-SUM(BJ94:BL94)</f>
        <v>109</v>
      </c>
      <c r="BN94" s="1909">
        <f>SUM(BJ94:BM94)</f>
        <v>151</v>
      </c>
      <c r="BO94" s="2167">
        <v>16</v>
      </c>
      <c r="BP94" s="1910">
        <f>BP53+BP54</f>
        <v>-10.833333333333334</v>
      </c>
      <c r="BQ94" s="1910">
        <f>BQ53+BQ54</f>
        <v>-10.833333333333334</v>
      </c>
      <c r="BR94" s="1910">
        <f>BR53+BR54</f>
        <v>-10.833333333333334</v>
      </c>
      <c r="BS94" s="1909">
        <f>SUM(BO94:BR94)</f>
        <v>-16.5</v>
      </c>
      <c r="BT94" s="1910">
        <f>BT53+BT54</f>
        <v>0</v>
      </c>
      <c r="BU94" s="1910">
        <f>BU53+BU54</f>
        <v>0</v>
      </c>
      <c r="BV94" s="1910">
        <f>BV53+BV54</f>
        <v>0</v>
      </c>
      <c r="BW94" s="1910">
        <f>BW53+BW54</f>
        <v>0</v>
      </c>
      <c r="BX94" s="1909">
        <f>SUM(BT94:BW94)</f>
        <v>0</v>
      </c>
      <c r="BY94" s="1912">
        <f>BY53+BY54</f>
        <v>0</v>
      </c>
      <c r="BZ94" s="1912">
        <f>BZ53+BZ54</f>
        <v>0</v>
      </c>
      <c r="CA94" s="1912">
        <f>CA53+CA54</f>
        <v>0</v>
      </c>
      <c r="CB94" s="251"/>
      <c r="CC94" s="1360"/>
      <c r="CD94" s="83" t="str">
        <f t="shared" si="156"/>
        <v>Other</v>
      </c>
      <c r="CE94" s="46">
        <f t="shared" si="174"/>
        <v>150.61499999999998</v>
      </c>
      <c r="CF94" s="46">
        <f t="shared" si="175"/>
        <v>-9.6180000000000003</v>
      </c>
      <c r="CG94" s="46">
        <f t="shared" si="176"/>
        <v>91.031999999999996</v>
      </c>
      <c r="CH94" s="46">
        <f t="shared" si="177"/>
        <v>9.3379999999999992</v>
      </c>
      <c r="CI94" s="46">
        <f t="shared" si="178"/>
        <v>5.78</v>
      </c>
      <c r="CJ94" s="46">
        <f t="shared" si="179"/>
        <v>2.8959999999999999</v>
      </c>
      <c r="CK94" s="46">
        <f t="shared" si="180"/>
        <v>12.638999999999999</v>
      </c>
      <c r="CL94" s="46">
        <f t="shared" si="181"/>
        <v>-16.029000000000003</v>
      </c>
      <c r="CM94" s="46">
        <f t="shared" si="182"/>
        <v>11.539</v>
      </c>
      <c r="CN94" s="46">
        <f t="shared" si="183"/>
        <v>35.11099999999999</v>
      </c>
      <c r="CO94" s="46">
        <f t="shared" si="184"/>
        <v>93</v>
      </c>
      <c r="CP94" s="46">
        <f t="shared" si="185"/>
        <v>16</v>
      </c>
      <c r="CQ94" s="46">
        <f t="shared" si="186"/>
        <v>96</v>
      </c>
      <c r="CR94" s="46">
        <f t="shared" si="187"/>
        <v>1667</v>
      </c>
      <c r="CS94" s="46">
        <f t="shared" si="188"/>
        <v>165</v>
      </c>
      <c r="CT94" s="46">
        <f t="shared" si="189"/>
        <v>86</v>
      </c>
      <c r="CU94" s="46">
        <f t="shared" si="190"/>
        <v>151</v>
      </c>
      <c r="CV94" s="46">
        <f t="shared" si="191"/>
        <v>-16.5</v>
      </c>
      <c r="CW94" s="46">
        <f t="shared" si="192"/>
        <v>0</v>
      </c>
      <c r="CX94" s="46">
        <f t="shared" si="193"/>
        <v>0</v>
      </c>
      <c r="CY94" s="46">
        <f t="shared" si="194"/>
        <v>0</v>
      </c>
      <c r="CZ94" s="44">
        <f t="shared" si="194"/>
        <v>0</v>
      </c>
      <c r="DA94" s="86"/>
      <c r="DB94" s="59"/>
      <c r="DC94"/>
      <c r="DD94"/>
      <c r="DE94"/>
      <c r="DF94"/>
      <c r="DG94"/>
      <c r="DH94"/>
    </row>
    <row r="95" spans="1:112" s="82" customFormat="1" ht="12" customHeight="1">
      <c r="A95" s="386"/>
      <c r="B95" s="79"/>
      <c r="C95" s="79"/>
      <c r="D95" s="79"/>
      <c r="E95" s="79"/>
      <c r="F95" s="79"/>
      <c r="G95" s="251"/>
      <c r="H95" s="1888"/>
      <c r="I95" s="1888"/>
      <c r="J95" s="1888"/>
      <c r="K95" s="79"/>
      <c r="L95" s="1888"/>
      <c r="M95" s="1888"/>
      <c r="N95" s="1888"/>
      <c r="O95" s="1888"/>
      <c r="P95" s="79"/>
      <c r="Q95" s="86"/>
      <c r="R95" s="86"/>
      <c r="S95" s="86"/>
      <c r="T95" s="86"/>
      <c r="U95" s="79"/>
      <c r="V95" s="86"/>
      <c r="W95" s="86"/>
      <c r="X95" s="86"/>
      <c r="Y95" s="86"/>
      <c r="Z95" s="79"/>
      <c r="AA95" s="86"/>
      <c r="AB95" s="86"/>
      <c r="AC95" s="86"/>
      <c r="AD95" s="86"/>
      <c r="AE95" s="79"/>
      <c r="AF95" s="86"/>
      <c r="AG95" s="86"/>
      <c r="AH95" s="86"/>
      <c r="AI95" s="86"/>
      <c r="AJ95" s="79"/>
      <c r="AK95" s="86"/>
      <c r="AL95" s="86"/>
      <c r="AM95" s="86"/>
      <c r="AN95" s="86"/>
      <c r="AO95" s="79"/>
      <c r="AP95" s="86"/>
      <c r="AQ95" s="86"/>
      <c r="AR95" s="86"/>
      <c r="AS95" s="86"/>
      <c r="AT95" s="79"/>
      <c r="AU95" s="86"/>
      <c r="AV95" s="86"/>
      <c r="AW95" s="251"/>
      <c r="AX95" s="251"/>
      <c r="AY95" s="79"/>
      <c r="AZ95" s="46"/>
      <c r="BA95" s="251"/>
      <c r="BB95" s="251"/>
      <c r="BC95" s="46"/>
      <c r="BD95" s="79"/>
      <c r="BE95" s="46"/>
      <c r="BF95" s="251"/>
      <c r="BG95" s="251"/>
      <c r="BH95" s="46"/>
      <c r="BI95" s="79"/>
      <c r="BJ95" s="46"/>
      <c r="BK95" s="251"/>
      <c r="BL95" s="251"/>
      <c r="BM95" s="251"/>
      <c r="BN95" s="79"/>
      <c r="BO95" s="251"/>
      <c r="BP95" s="251"/>
      <c r="BQ95" s="251"/>
      <c r="BR95" s="251"/>
      <c r="BS95" s="79"/>
      <c r="BT95" s="251"/>
      <c r="BU95" s="251"/>
      <c r="BV95" s="251"/>
      <c r="BW95" s="251"/>
      <c r="BX95" s="79"/>
      <c r="BY95" s="384"/>
      <c r="BZ95" s="384"/>
      <c r="CA95" s="384"/>
      <c r="CB95" s="251"/>
      <c r="CC95" s="1360"/>
      <c r="CD95" s="83"/>
      <c r="CE95" s="46"/>
      <c r="CF95" s="46"/>
      <c r="CG95" s="46"/>
      <c r="CH95" s="46"/>
      <c r="CI95" s="46"/>
      <c r="CJ95" s="46"/>
      <c r="CK95" s="46"/>
      <c r="CL95" s="46"/>
      <c r="CM95" s="46"/>
      <c r="CN95" s="46"/>
      <c r="CO95" s="46"/>
      <c r="CP95" s="46"/>
      <c r="CQ95" s="46"/>
      <c r="CR95" s="46"/>
      <c r="CS95" s="46"/>
      <c r="CT95" s="46"/>
      <c r="CU95" s="46"/>
      <c r="CV95" s="46"/>
      <c r="CW95" s="46"/>
      <c r="CX95" s="46"/>
      <c r="CY95" s="46"/>
      <c r="CZ95" s="44"/>
      <c r="DA95" s="86"/>
      <c r="DB95" s="59"/>
      <c r="DC95"/>
      <c r="DD95"/>
      <c r="DE95"/>
      <c r="DF95"/>
      <c r="DG95"/>
      <c r="DH95"/>
    </row>
    <row r="96" spans="1:112" s="82" customFormat="1" ht="12" customHeight="1">
      <c r="A96" s="86" t="s">
        <v>118</v>
      </c>
      <c r="B96" s="79"/>
      <c r="C96" s="79"/>
      <c r="D96" s="79"/>
      <c r="E96" s="79"/>
      <c r="F96" s="79"/>
      <c r="G96" s="251"/>
      <c r="H96" s="1888"/>
      <c r="I96" s="1888"/>
      <c r="J96" s="1888"/>
      <c r="K96" s="79"/>
      <c r="L96" s="1888"/>
      <c r="M96" s="1888"/>
      <c r="N96" s="1888"/>
      <c r="O96" s="1888"/>
      <c r="P96" s="79"/>
      <c r="Q96" s="86"/>
      <c r="R96" s="86"/>
      <c r="S96" s="86"/>
      <c r="T96" s="86"/>
      <c r="U96" s="79"/>
      <c r="V96" s="86"/>
      <c r="W96" s="86"/>
      <c r="X96" s="86"/>
      <c r="Y96" s="86"/>
      <c r="Z96" s="79"/>
      <c r="AA96" s="86"/>
      <c r="AB96" s="86"/>
      <c r="AC96" s="86"/>
      <c r="AD96" s="86"/>
      <c r="AE96" s="79"/>
      <c r="AF96" s="86"/>
      <c r="AG96" s="86"/>
      <c r="AH96" s="86"/>
      <c r="AI96" s="86"/>
      <c r="AJ96" s="79"/>
      <c r="AK96" s="86"/>
      <c r="AL96" s="86"/>
      <c r="AM96" s="86"/>
      <c r="AN96" s="86"/>
      <c r="AO96" s="79"/>
      <c r="AP96" s="86"/>
      <c r="AQ96" s="86"/>
      <c r="AR96" s="86"/>
      <c r="AS96" s="86"/>
      <c r="AT96" s="79"/>
      <c r="AU96" s="86"/>
      <c r="AV96" s="86"/>
      <c r="AW96" s="251"/>
      <c r="AX96" s="251"/>
      <c r="AY96" s="79"/>
      <c r="AZ96" s="46"/>
      <c r="BA96" s="251"/>
      <c r="BB96" s="251"/>
      <c r="BC96" s="46"/>
      <c r="BD96" s="79"/>
      <c r="BE96" s="46"/>
      <c r="BF96" s="251"/>
      <c r="BG96" s="251"/>
      <c r="BH96" s="46"/>
      <c r="BI96" s="79"/>
      <c r="BJ96" s="46"/>
      <c r="BK96" s="251"/>
      <c r="BL96" s="251"/>
      <c r="BM96" s="251"/>
      <c r="BN96" s="79"/>
      <c r="BO96" s="251"/>
      <c r="BP96" s="251"/>
      <c r="BQ96" s="251"/>
      <c r="BR96" s="251"/>
      <c r="BS96" s="79"/>
      <c r="BT96" s="251"/>
      <c r="BU96" s="251"/>
      <c r="BV96" s="251"/>
      <c r="BW96" s="251"/>
      <c r="BX96" s="79"/>
      <c r="BY96" s="384"/>
      <c r="BZ96" s="384"/>
      <c r="CA96" s="384"/>
      <c r="CB96" s="251"/>
      <c r="CC96" s="1360"/>
      <c r="CD96" s="57" t="str">
        <f t="shared" ref="CD96:CD104" si="195">A96</f>
        <v>Changes in Operating Assets and Liabilities, Net of Effect of Acquisitions and Dispositions</v>
      </c>
      <c r="CE96" s="46"/>
      <c r="CF96" s="46"/>
      <c r="CG96" s="46"/>
      <c r="CH96" s="46"/>
      <c r="CI96" s="46"/>
      <c r="CJ96" s="46"/>
      <c r="CK96" s="46"/>
      <c r="CL96" s="46"/>
      <c r="CM96" s="46"/>
      <c r="CN96" s="46"/>
      <c r="CO96" s="46"/>
      <c r="CP96" s="46"/>
      <c r="CQ96" s="46"/>
      <c r="CR96" s="46"/>
      <c r="CS96" s="46"/>
      <c r="CT96" s="46"/>
      <c r="CU96" s="46"/>
      <c r="CV96" s="46"/>
      <c r="CW96" s="46"/>
      <c r="CX96" s="46"/>
      <c r="CY96" s="46"/>
      <c r="CZ96" s="44"/>
      <c r="DA96" s="86"/>
      <c r="DB96" s="59"/>
      <c r="DC96"/>
      <c r="DD96"/>
      <c r="DE96"/>
      <c r="DF96"/>
      <c r="DG96"/>
      <c r="DH96"/>
    </row>
    <row r="97" spans="1:112" s="82" customFormat="1" ht="12" customHeight="1">
      <c r="A97" s="1906" t="s">
        <v>119</v>
      </c>
      <c r="B97" s="1907">
        <v>23.308</v>
      </c>
      <c r="C97" s="1907">
        <v>61.622999999999998</v>
      </c>
      <c r="D97" s="1907">
        <v>77.055000000000007</v>
      </c>
      <c r="E97" s="1907">
        <v>-100.176</v>
      </c>
      <c r="F97" s="1907">
        <v>-134.97499999999999</v>
      </c>
      <c r="G97" s="1873">
        <v>226.87899999999999</v>
      </c>
      <c r="H97" s="1888">
        <f>-15.405-G97</f>
        <v>-242.28399999999999</v>
      </c>
      <c r="I97" s="1888">
        <f>-214.064-H97-G97</f>
        <v>-198.65899999999999</v>
      </c>
      <c r="J97" s="1888">
        <f>-131.686-I97-H97-G97</f>
        <v>82.377999999999957</v>
      </c>
      <c r="K97" s="1909">
        <f t="shared" ref="K97:K104" si="196">SUM(G97:J97)</f>
        <v>-131.68600000000004</v>
      </c>
      <c r="L97" s="1888">
        <v>262.14800000000002</v>
      </c>
      <c r="M97" s="1888">
        <f>-49.702-L97</f>
        <v>-311.85000000000002</v>
      </c>
      <c r="N97" s="1888">
        <f>-242.221-M97-L97</f>
        <v>-192.51900000000001</v>
      </c>
      <c r="O97" s="1888">
        <f>71.448-N97-M97-L97</f>
        <v>313.66899999999998</v>
      </c>
      <c r="P97" s="1909">
        <f t="shared" ref="P97:P104" si="197">SUM(L97:O97)</f>
        <v>71.447999999999979</v>
      </c>
      <c r="Q97" s="1888">
        <v>230.74199999999999</v>
      </c>
      <c r="R97" s="1908">
        <f>-77.385-Q97</f>
        <v>-308.12700000000001</v>
      </c>
      <c r="S97" s="1908">
        <f>-138.744-R97-Q97</f>
        <v>-61.35899999999998</v>
      </c>
      <c r="T97" s="1908">
        <f>95.07-S97-R97-Q97</f>
        <v>233.81399999999999</v>
      </c>
      <c r="U97" s="1909">
        <f t="shared" ref="U97:U104" si="198">SUM(Q97:T97)</f>
        <v>95.07</v>
      </c>
      <c r="V97" s="1888">
        <v>211.76599999999999</v>
      </c>
      <c r="W97" s="1908">
        <f>-1.397-V97</f>
        <v>-213.16299999999998</v>
      </c>
      <c r="X97" s="1908">
        <f>-126.289-W97-V97</f>
        <v>-124.89200000000001</v>
      </c>
      <c r="Y97" s="1908">
        <f>50.313-X97-W97-V97</f>
        <v>176.602</v>
      </c>
      <c r="Z97" s="1909">
        <f t="shared" ref="Z97:Z104" si="199">SUM(V97:Y97)</f>
        <v>50.313000000000002</v>
      </c>
      <c r="AA97" s="1888">
        <v>190.6</v>
      </c>
      <c r="AB97" s="1908">
        <f>-42.4-AA97</f>
        <v>-233</v>
      </c>
      <c r="AC97" s="1908">
        <f>-165.3-AB97-AA97</f>
        <v>-122.9</v>
      </c>
      <c r="AD97" s="1908">
        <f>-37.039-AC97-AB97-AA97</f>
        <v>128.261</v>
      </c>
      <c r="AE97" s="1909">
        <f t="shared" ref="AE97:AE104" si="200">SUM(AA97:AD97)</f>
        <v>-37.039000000000016</v>
      </c>
      <c r="AF97" s="1888">
        <v>197.4</v>
      </c>
      <c r="AG97" s="1908">
        <f>2.7-AF97</f>
        <v>-194.70000000000002</v>
      </c>
      <c r="AH97" s="1908">
        <f>-146.9-AG97-AF97</f>
        <v>-149.6</v>
      </c>
      <c r="AI97" s="1908">
        <f>-55-SUM(AF97:AH97)</f>
        <v>91.9</v>
      </c>
      <c r="AJ97" s="1909">
        <f t="shared" ref="AJ97:AJ104" si="201">SUM(AF97:AI97)</f>
        <v>-55</v>
      </c>
      <c r="AK97" s="1888">
        <v>-47</v>
      </c>
      <c r="AL97" s="1908">
        <f>-48-AK97</f>
        <v>-1</v>
      </c>
      <c r="AM97" s="1908">
        <f>-122-SUM(AK97:AL97)</f>
        <v>-74</v>
      </c>
      <c r="AN97" s="1908">
        <f>-239-SUM(AK97:AM97)</f>
        <v>-117</v>
      </c>
      <c r="AO97" s="1909">
        <f t="shared" ref="AO97:AO104" si="202">SUM(AK97:AN97)</f>
        <v>-239</v>
      </c>
      <c r="AP97" s="1888">
        <v>-46</v>
      </c>
      <c r="AQ97" s="1908">
        <f>-11-AP97</f>
        <v>35</v>
      </c>
      <c r="AR97" s="1908">
        <f>-15-SUM(AP97:AQ97)</f>
        <v>-4</v>
      </c>
      <c r="AS97" s="1908">
        <f>-35-SUM(AP97:AR97)</f>
        <v>-20</v>
      </c>
      <c r="AT97" s="1909">
        <f t="shared" ref="AT97:AT104" si="203">SUM(AP97:AS97)</f>
        <v>-35</v>
      </c>
      <c r="AU97" s="1888">
        <v>-9</v>
      </c>
      <c r="AV97" s="1908">
        <f>-7-AU97</f>
        <v>2</v>
      </c>
      <c r="AW97" s="1910">
        <f>12-AV97-AU97</f>
        <v>19</v>
      </c>
      <c r="AX97" s="1911">
        <f>+-9-SUM(AU97:AW97)</f>
        <v>-21</v>
      </c>
      <c r="AY97" s="1909">
        <f t="shared" ref="AY97:AY104" si="204">SUM(AU97:AX97)</f>
        <v>-9</v>
      </c>
      <c r="AZ97" s="1872">
        <v>-69</v>
      </c>
      <c r="BA97" s="1872">
        <f>+-136-AZ97</f>
        <v>-67</v>
      </c>
      <c r="BB97" s="1872">
        <f>+-44-SUM(AZ97:BA97)</f>
        <v>92</v>
      </c>
      <c r="BC97" s="1873">
        <f>+-118-SUM(AZ97:BB97)</f>
        <v>-74</v>
      </c>
      <c r="BD97" s="1909">
        <f t="shared" ref="BD97:BD104" si="205">SUM(AZ97:BC97)</f>
        <v>-118</v>
      </c>
      <c r="BE97" s="1872">
        <v>-7</v>
      </c>
      <c r="BF97" s="1872">
        <f>+-39-BE97</f>
        <v>-32</v>
      </c>
      <c r="BG97" s="1872">
        <f>+-26-SUM(BE97:BF97)</f>
        <v>13</v>
      </c>
      <c r="BH97" s="1873">
        <f>+-177-SUM(BE97:BG97)</f>
        <v>-151</v>
      </c>
      <c r="BI97" s="1909">
        <f t="shared" ref="BI97:BI104" si="206">SUM(BE97:BH97)</f>
        <v>-177</v>
      </c>
      <c r="BJ97" s="1872">
        <v>12</v>
      </c>
      <c r="BK97" s="1872">
        <f>-49-BJ97</f>
        <v>-61</v>
      </c>
      <c r="BL97" s="2167">
        <f>-64-SUM(BJ97:BK97)</f>
        <v>-15</v>
      </c>
      <c r="BM97" s="2167">
        <f>-196-SUM(BJ97:BL97)</f>
        <v>-132</v>
      </c>
      <c r="BN97" s="1909">
        <f t="shared" ref="BN97:BN104" si="207">SUM(BJ97:BM97)</f>
        <v>-196</v>
      </c>
      <c r="BO97" s="2167">
        <v>7</v>
      </c>
      <c r="BP97" s="1910">
        <f t="shared" ref="BP97:BR98" si="208">BO144-BP144</f>
        <v>36.368094684037715</v>
      </c>
      <c r="BQ97" s="1910">
        <f t="shared" si="208"/>
        <v>-7.0167122021948671</v>
      </c>
      <c r="BR97" s="1910">
        <f t="shared" si="208"/>
        <v>-122.10103844839909</v>
      </c>
      <c r="BS97" s="1909">
        <f t="shared" ref="BS97:BS104" si="209">SUM(BO97:BR97)</f>
        <v>-85.749655966556247</v>
      </c>
      <c r="BT97" s="1910">
        <f t="shared" ref="BT97:BT98" si="210">BS144-BT144</f>
        <v>17.046410570824719</v>
      </c>
      <c r="BU97" s="1910">
        <f t="shared" ref="BU97:BU98" si="211">BT144-BU144</f>
        <v>26.942239234433146</v>
      </c>
      <c r="BV97" s="1910">
        <f t="shared" ref="BV97:BV98" si="212">BU144-BV144</f>
        <v>-8.9109101708872913</v>
      </c>
      <c r="BW97" s="1910">
        <f t="shared" ref="BW97:BW98" si="213">BV144-BW144</f>
        <v>-197.75039830586161</v>
      </c>
      <c r="BX97" s="1909">
        <f t="shared" ref="BX97:BX104" si="214">SUM(BT97:BW97)</f>
        <v>-162.67265867149104</v>
      </c>
      <c r="BY97" s="1912">
        <f t="shared" ref="BY97:CA98" si="215">BX144-BY144</f>
        <v>-137.74033684841947</v>
      </c>
      <c r="BZ97" s="1912">
        <f t="shared" si="215"/>
        <v>-130.60219744957817</v>
      </c>
      <c r="CA97" s="1912">
        <f t="shared" si="215"/>
        <v>-129.7011046333655</v>
      </c>
      <c r="CB97" s="251"/>
      <c r="CC97" s="1360"/>
      <c r="CD97" s="83" t="str">
        <f t="shared" si="195"/>
        <v>Accounts Receivable</v>
      </c>
      <c r="CE97" s="46">
        <f t="shared" ref="CE97:CI104" si="216">B97</f>
        <v>23.308</v>
      </c>
      <c r="CF97" s="46">
        <f t="shared" si="216"/>
        <v>61.622999999999998</v>
      </c>
      <c r="CG97" s="46">
        <f t="shared" si="216"/>
        <v>77.055000000000007</v>
      </c>
      <c r="CH97" s="46">
        <f t="shared" si="216"/>
        <v>-100.176</v>
      </c>
      <c r="CI97" s="46">
        <f t="shared" si="216"/>
        <v>-134.97499999999999</v>
      </c>
      <c r="CJ97" s="46">
        <f t="shared" ref="CJ97:CJ104" si="217">K97</f>
        <v>-131.68600000000004</v>
      </c>
      <c r="CK97" s="46">
        <f t="shared" ref="CK97:CK104" si="218">P97</f>
        <v>71.447999999999979</v>
      </c>
      <c r="CL97" s="46">
        <f t="shared" ref="CL97:CL104" si="219">U97</f>
        <v>95.07</v>
      </c>
      <c r="CM97" s="46">
        <f t="shared" ref="CM97:CM104" si="220">Z97</f>
        <v>50.313000000000002</v>
      </c>
      <c r="CN97" s="46">
        <f t="shared" ref="CN97:CN104" si="221">AE97</f>
        <v>-37.039000000000016</v>
      </c>
      <c r="CO97" s="46">
        <f t="shared" ref="CO97:CO104" si="222">AJ97</f>
        <v>-55</v>
      </c>
      <c r="CP97" s="46">
        <f t="shared" ref="CP97:CP104" si="223">AO97</f>
        <v>-239</v>
      </c>
      <c r="CQ97" s="46">
        <f t="shared" ref="CQ97:CQ104" si="224">AT97</f>
        <v>-35</v>
      </c>
      <c r="CR97" s="46">
        <f t="shared" ref="CR97:CR104" si="225">AY97</f>
        <v>-9</v>
      </c>
      <c r="CS97" s="46">
        <f t="shared" ref="CS97:CS104" si="226">BD97</f>
        <v>-118</v>
      </c>
      <c r="CT97" s="46">
        <f t="shared" ref="CT97:CT104" si="227">BI97</f>
        <v>-177</v>
      </c>
      <c r="CU97" s="46">
        <f t="shared" ref="CU97:CU104" si="228">BN97</f>
        <v>-196</v>
      </c>
      <c r="CV97" s="46">
        <f t="shared" ref="CV97:CV104" si="229">BS97</f>
        <v>-85.749655966556247</v>
      </c>
      <c r="CW97" s="46">
        <f t="shared" ref="CW97:CZ104" si="230">BX97</f>
        <v>-162.67265867149104</v>
      </c>
      <c r="CX97" s="46">
        <f t="shared" si="230"/>
        <v>-137.74033684841947</v>
      </c>
      <c r="CY97" s="46">
        <f t="shared" si="230"/>
        <v>-130.60219744957817</v>
      </c>
      <c r="CZ97" s="44">
        <f t="shared" si="230"/>
        <v>-129.7011046333655</v>
      </c>
      <c r="DA97" s="86"/>
      <c r="DB97" s="59"/>
      <c r="DC97"/>
      <c r="DD97"/>
      <c r="DE97"/>
      <c r="DF97"/>
      <c r="DG97"/>
      <c r="DH97"/>
    </row>
    <row r="98" spans="1:112" s="82" customFormat="1" ht="12" customHeight="1">
      <c r="A98" s="1906" t="s">
        <v>120</v>
      </c>
      <c r="B98" s="1907">
        <v>0</v>
      </c>
      <c r="C98" s="1907">
        <v>0</v>
      </c>
      <c r="D98" s="1907">
        <v>0</v>
      </c>
      <c r="E98" s="1907">
        <v>-27.393000000000001</v>
      </c>
      <c r="F98" s="1907">
        <v>-9.484</v>
      </c>
      <c r="G98" s="1873">
        <v>-35.149000000000001</v>
      </c>
      <c r="H98" s="1888">
        <f>-53.441-G98</f>
        <v>-18.292000000000002</v>
      </c>
      <c r="I98" s="1888">
        <f>-3.858-H98-G98</f>
        <v>49.582999999999998</v>
      </c>
      <c r="J98" s="1888">
        <f>21.619-I98-H98-G98</f>
        <v>25.477000000000004</v>
      </c>
      <c r="K98" s="1909">
        <f t="shared" si="196"/>
        <v>21.619</v>
      </c>
      <c r="L98" s="1888">
        <v>-61.945</v>
      </c>
      <c r="M98" s="1888">
        <f>-98.947-L98</f>
        <v>-37.002000000000002</v>
      </c>
      <c r="N98" s="1888">
        <f>-41.916-M98-L98</f>
        <v>57.031000000000006</v>
      </c>
      <c r="O98" s="1888">
        <f>-11.601-N98-M98-L98</f>
        <v>30.314999999999998</v>
      </c>
      <c r="P98" s="1909">
        <f t="shared" si="197"/>
        <v>-11.600999999999999</v>
      </c>
      <c r="Q98" s="1888">
        <v>-88.331999999999994</v>
      </c>
      <c r="R98" s="1908">
        <f>-143.096-Q98</f>
        <v>-54.76400000000001</v>
      </c>
      <c r="S98" s="1908">
        <f>-74.125-R98-Q98</f>
        <v>68.971000000000004</v>
      </c>
      <c r="T98" s="1908">
        <f>-26.482-S98-R98-Q98</f>
        <v>47.643000000000001</v>
      </c>
      <c r="U98" s="1909">
        <f t="shared" si="198"/>
        <v>-26.481999999999999</v>
      </c>
      <c r="V98" s="1888">
        <v>-20.797000000000001</v>
      </c>
      <c r="W98" s="1908">
        <f>-20.907-V98</f>
        <v>-0.10999999999999943</v>
      </c>
      <c r="X98" s="1908">
        <f>31.717-W98-V98</f>
        <v>52.623999999999995</v>
      </c>
      <c r="Y98" s="1908">
        <f>67.645-X98-W98-V98</f>
        <v>35.927999999999997</v>
      </c>
      <c r="Z98" s="1909">
        <f t="shared" si="199"/>
        <v>67.644999999999996</v>
      </c>
      <c r="AA98" s="1888">
        <v>-17.100000000000001</v>
      </c>
      <c r="AB98" s="1908">
        <f>-38.6-AA98</f>
        <v>-21.5</v>
      </c>
      <c r="AC98" s="1908">
        <f>6.6-AB98-AA98</f>
        <v>45.2</v>
      </c>
      <c r="AD98" s="1908">
        <f>26.923-AC98-AB98-AA98</f>
        <v>20.322999999999997</v>
      </c>
      <c r="AE98" s="1909">
        <f t="shared" si="200"/>
        <v>26.922999999999998</v>
      </c>
      <c r="AF98" s="1888">
        <v>-40.9</v>
      </c>
      <c r="AG98" s="1908">
        <f>-63.1-AF98</f>
        <v>-22.200000000000003</v>
      </c>
      <c r="AH98" s="1908">
        <f>-11.9-AG98-AF98</f>
        <v>51.2</v>
      </c>
      <c r="AI98" s="1908">
        <f>13-SUM(AF98:AH98)</f>
        <v>24.9</v>
      </c>
      <c r="AJ98" s="1909">
        <f t="shared" si="201"/>
        <v>13</v>
      </c>
      <c r="AK98" s="1888">
        <v>0</v>
      </c>
      <c r="AL98" s="1908">
        <f>0-AK98</f>
        <v>0</v>
      </c>
      <c r="AM98" s="1908">
        <f>0-SUM(AK98:AL98)</f>
        <v>0</v>
      </c>
      <c r="AN98" s="1908">
        <f>0-SUM(AK98:AM98)</f>
        <v>0</v>
      </c>
      <c r="AO98" s="1909">
        <f t="shared" si="202"/>
        <v>0</v>
      </c>
      <c r="AP98" s="1888">
        <v>0</v>
      </c>
      <c r="AQ98" s="1908">
        <f>0-AP98</f>
        <v>0</v>
      </c>
      <c r="AR98" s="1908">
        <f>0-SUM(AP98:AQ98)</f>
        <v>0</v>
      </c>
      <c r="AS98" s="1908">
        <f>0-SUM(AP98:AR98)</f>
        <v>0</v>
      </c>
      <c r="AT98" s="1909">
        <f t="shared" si="203"/>
        <v>0</v>
      </c>
      <c r="AU98" s="1888">
        <v>0</v>
      </c>
      <c r="AV98" s="1888">
        <v>0</v>
      </c>
      <c r="AW98" s="1910">
        <f>0-AV98-AU98</f>
        <v>0</v>
      </c>
      <c r="AX98" s="1872">
        <v>0</v>
      </c>
      <c r="AY98" s="1909">
        <f t="shared" si="204"/>
        <v>0</v>
      </c>
      <c r="AZ98" s="1872">
        <v>0</v>
      </c>
      <c r="BA98" s="1872">
        <f>AZ145-BA145</f>
        <v>0</v>
      </c>
      <c r="BB98" s="1872">
        <f>BA145-BB145</f>
        <v>0</v>
      </c>
      <c r="BC98" s="1873">
        <f>BB145-BC145</f>
        <v>0</v>
      </c>
      <c r="BD98" s="1909">
        <f t="shared" si="205"/>
        <v>0</v>
      </c>
      <c r="BE98" s="1872">
        <v>0</v>
      </c>
      <c r="BF98" s="1872">
        <v>0</v>
      </c>
      <c r="BG98" s="1872">
        <v>0</v>
      </c>
      <c r="BH98" s="1873">
        <v>0</v>
      </c>
      <c r="BI98" s="1909">
        <f t="shared" si="206"/>
        <v>0</v>
      </c>
      <c r="BJ98" s="1872">
        <v>0</v>
      </c>
      <c r="BK98" s="1872">
        <v>0</v>
      </c>
      <c r="BL98" s="2167">
        <v>0</v>
      </c>
      <c r="BM98" s="2167">
        <v>0</v>
      </c>
      <c r="BN98" s="1909">
        <f t="shared" si="207"/>
        <v>0</v>
      </c>
      <c r="BO98" s="2167">
        <v>0</v>
      </c>
      <c r="BP98" s="1910">
        <f t="shared" si="208"/>
        <v>0</v>
      </c>
      <c r="BQ98" s="1910">
        <f t="shared" si="208"/>
        <v>0</v>
      </c>
      <c r="BR98" s="1910">
        <f t="shared" si="208"/>
        <v>0</v>
      </c>
      <c r="BS98" s="1909">
        <f t="shared" si="209"/>
        <v>0</v>
      </c>
      <c r="BT98" s="1910">
        <f t="shared" si="210"/>
        <v>0</v>
      </c>
      <c r="BU98" s="1910">
        <f t="shared" si="211"/>
        <v>0</v>
      </c>
      <c r="BV98" s="1910">
        <f t="shared" si="212"/>
        <v>0</v>
      </c>
      <c r="BW98" s="1910">
        <f t="shared" si="213"/>
        <v>0</v>
      </c>
      <c r="BX98" s="1909">
        <f t="shared" si="214"/>
        <v>0</v>
      </c>
      <c r="BY98" s="1912">
        <f t="shared" si="215"/>
        <v>0</v>
      </c>
      <c r="BZ98" s="1912">
        <f t="shared" si="215"/>
        <v>0</v>
      </c>
      <c r="CA98" s="1912">
        <f t="shared" si="215"/>
        <v>0</v>
      </c>
      <c r="CB98" s="251"/>
      <c r="CC98" s="1360"/>
      <c r="CD98" s="83" t="str">
        <f t="shared" si="195"/>
        <v>Inventories</v>
      </c>
      <c r="CE98" s="46">
        <f t="shared" si="216"/>
        <v>0</v>
      </c>
      <c r="CF98" s="46">
        <f t="shared" si="216"/>
        <v>0</v>
      </c>
      <c r="CG98" s="46">
        <f t="shared" si="216"/>
        <v>0</v>
      </c>
      <c r="CH98" s="46">
        <f t="shared" si="216"/>
        <v>-27.393000000000001</v>
      </c>
      <c r="CI98" s="46">
        <f t="shared" si="216"/>
        <v>-9.484</v>
      </c>
      <c r="CJ98" s="46">
        <f t="shared" si="217"/>
        <v>21.619</v>
      </c>
      <c r="CK98" s="46">
        <f t="shared" si="218"/>
        <v>-11.600999999999999</v>
      </c>
      <c r="CL98" s="46">
        <f t="shared" si="219"/>
        <v>-26.481999999999999</v>
      </c>
      <c r="CM98" s="46">
        <f t="shared" si="220"/>
        <v>67.644999999999996</v>
      </c>
      <c r="CN98" s="46">
        <f t="shared" si="221"/>
        <v>26.922999999999998</v>
      </c>
      <c r="CO98" s="46">
        <f t="shared" si="222"/>
        <v>13</v>
      </c>
      <c r="CP98" s="46">
        <f t="shared" si="223"/>
        <v>0</v>
      </c>
      <c r="CQ98" s="46">
        <f t="shared" si="224"/>
        <v>0</v>
      </c>
      <c r="CR98" s="46">
        <f t="shared" si="225"/>
        <v>0</v>
      </c>
      <c r="CS98" s="46">
        <f t="shared" si="226"/>
        <v>0</v>
      </c>
      <c r="CT98" s="46">
        <f t="shared" si="227"/>
        <v>0</v>
      </c>
      <c r="CU98" s="46">
        <f t="shared" si="228"/>
        <v>0</v>
      </c>
      <c r="CV98" s="46">
        <f t="shared" si="229"/>
        <v>0</v>
      </c>
      <c r="CW98" s="46">
        <f t="shared" si="230"/>
        <v>0</v>
      </c>
      <c r="CX98" s="46">
        <f t="shared" si="230"/>
        <v>0</v>
      </c>
      <c r="CY98" s="46">
        <f t="shared" si="230"/>
        <v>0</v>
      </c>
      <c r="CZ98" s="44">
        <f t="shared" si="230"/>
        <v>0</v>
      </c>
      <c r="DA98" s="86"/>
      <c r="DB98" s="59"/>
      <c r="DC98"/>
      <c r="DD98"/>
      <c r="DE98"/>
      <c r="DF98"/>
      <c r="DG98"/>
      <c r="DH98"/>
    </row>
    <row r="99" spans="1:112" s="82" customFormat="1" ht="12" customHeight="1">
      <c r="A99" s="1906" t="s">
        <v>121</v>
      </c>
      <c r="B99" s="1907">
        <v>27.023</v>
      </c>
      <c r="C99" s="1907">
        <v>7.1849999999999996</v>
      </c>
      <c r="D99" s="1907">
        <v>18.927</v>
      </c>
      <c r="E99" s="1907">
        <v>-80.828000000000003</v>
      </c>
      <c r="F99" s="1907">
        <v>57.912999999999997</v>
      </c>
      <c r="G99" s="1873">
        <v>-25.992000000000001</v>
      </c>
      <c r="H99" s="1888">
        <f>-14.086-G99</f>
        <v>11.906000000000001</v>
      </c>
      <c r="I99" s="1888">
        <f>-0.498-H99-G99</f>
        <v>13.588000000000001</v>
      </c>
      <c r="J99" s="1888">
        <f>10.588-I99-H99-G99</f>
        <v>11.085999999999999</v>
      </c>
      <c r="K99" s="1909">
        <f t="shared" si="196"/>
        <v>10.587999999999999</v>
      </c>
      <c r="L99" s="1888">
        <v>-12.657</v>
      </c>
      <c r="M99" s="1888">
        <f>-2.907-L99</f>
        <v>9.75</v>
      </c>
      <c r="N99" s="1888">
        <f>11.372-M99-L99</f>
        <v>14.279</v>
      </c>
      <c r="O99" s="1888">
        <f>-4.717-N99-M99-L99</f>
        <v>-16.088999999999999</v>
      </c>
      <c r="P99" s="1909">
        <f t="shared" si="197"/>
        <v>-4.7169999999999987</v>
      </c>
      <c r="Q99" s="1888">
        <v>-14.912000000000001</v>
      </c>
      <c r="R99" s="1908">
        <f>-9.257-Q99</f>
        <v>5.6550000000000011</v>
      </c>
      <c r="S99" s="1908">
        <f>13.146-R99-Q99</f>
        <v>22.402999999999999</v>
      </c>
      <c r="T99" s="1908">
        <f>1.702-S99-R99-Q99</f>
        <v>-11.444000000000001</v>
      </c>
      <c r="U99" s="1909">
        <f t="shared" si="198"/>
        <v>1.7019999999999982</v>
      </c>
      <c r="V99" s="1888">
        <v>-19.861999999999998</v>
      </c>
      <c r="W99" s="1908">
        <f>-14.221-V99</f>
        <v>5.6409999999999982</v>
      </c>
      <c r="X99" s="1908">
        <f>-6.239-W99-V99</f>
        <v>7.9819999999999993</v>
      </c>
      <c r="Y99" s="1908">
        <f>-11.807-X99-W99-V99</f>
        <v>-5.5680000000000014</v>
      </c>
      <c r="Z99" s="1909">
        <f t="shared" si="199"/>
        <v>-11.807000000000002</v>
      </c>
      <c r="AA99" s="1888">
        <v>-26.9</v>
      </c>
      <c r="AB99" s="1908">
        <f>-13-AA99</f>
        <v>13.899999999999999</v>
      </c>
      <c r="AC99" s="1908">
        <f>5.8-AB99-AA99</f>
        <v>18.8</v>
      </c>
      <c r="AD99" s="1908">
        <f>0.506-AC99-AB99-AA99</f>
        <v>-5.294000000000004</v>
      </c>
      <c r="AE99" s="1909">
        <f t="shared" si="200"/>
        <v>0.50599999999999667</v>
      </c>
      <c r="AF99" s="1888">
        <v>-31.6</v>
      </c>
      <c r="AG99" s="1908">
        <f>-15.7-AF99</f>
        <v>15.900000000000002</v>
      </c>
      <c r="AH99" s="1908">
        <f>-3.4-AG99-AF99</f>
        <v>12.3</v>
      </c>
      <c r="AI99" s="1908">
        <f>-11-SUM(AF99:AH99)</f>
        <v>-7.6000000000000014</v>
      </c>
      <c r="AJ99" s="1909">
        <f t="shared" si="201"/>
        <v>-11</v>
      </c>
      <c r="AK99" s="1888">
        <v>-13</v>
      </c>
      <c r="AL99" s="1908">
        <f>-3-AK99</f>
        <v>10</v>
      </c>
      <c r="AM99" s="1908">
        <f>-28-SUM(AK99:AL99)</f>
        <v>-25</v>
      </c>
      <c r="AN99" s="1908">
        <f>3-SUM(AK99:AM99)</f>
        <v>31</v>
      </c>
      <c r="AO99" s="1909">
        <f t="shared" si="202"/>
        <v>3</v>
      </c>
      <c r="AP99" s="1888">
        <v>-25</v>
      </c>
      <c r="AQ99" s="1908">
        <f>-9-AP99</f>
        <v>16</v>
      </c>
      <c r="AR99" s="1908">
        <f>-43-SUM(AP99:AQ99)</f>
        <v>-34</v>
      </c>
      <c r="AS99" s="1908">
        <f>-29-SUM(AP99:AR99)</f>
        <v>14</v>
      </c>
      <c r="AT99" s="1909">
        <f t="shared" si="203"/>
        <v>-29</v>
      </c>
      <c r="AU99" s="1888">
        <v>-6</v>
      </c>
      <c r="AV99" s="1908">
        <f>-11-AU99</f>
        <v>-5</v>
      </c>
      <c r="AW99" s="1910">
        <f>-8-AV99-AU99</f>
        <v>3</v>
      </c>
      <c r="AX99" s="1911">
        <f>+-7-SUM(AU99:AW99)</f>
        <v>1</v>
      </c>
      <c r="AY99" s="1909">
        <f t="shared" si="204"/>
        <v>-7</v>
      </c>
      <c r="AZ99" s="1872">
        <v>-10</v>
      </c>
      <c r="BA99" s="1872">
        <f>+-24-AZ99</f>
        <v>-14</v>
      </c>
      <c r="BB99" s="1872">
        <f>+-6-SUM(AZ99:BA99)</f>
        <v>18</v>
      </c>
      <c r="BC99" s="1873">
        <f>+-4-SUM(AZ99:BB99)</f>
        <v>2</v>
      </c>
      <c r="BD99" s="1909">
        <f t="shared" si="205"/>
        <v>-4</v>
      </c>
      <c r="BE99" s="1872">
        <v>-19</v>
      </c>
      <c r="BF99" s="1872">
        <f>+-21-BE99</f>
        <v>-2</v>
      </c>
      <c r="BG99" s="1872">
        <f>+-2-SUM(BE99:BF99)</f>
        <v>19</v>
      </c>
      <c r="BH99" s="1873">
        <f>-2-SUM(BE99:BG99)</f>
        <v>0</v>
      </c>
      <c r="BI99" s="1909">
        <f t="shared" si="206"/>
        <v>-2</v>
      </c>
      <c r="BJ99" s="1872">
        <v>9</v>
      </c>
      <c r="BK99" s="1872">
        <f>-13-BJ99</f>
        <v>-22</v>
      </c>
      <c r="BL99" s="2167">
        <f>3-SUM(BJ99:BK99)</f>
        <v>16</v>
      </c>
      <c r="BM99" s="2167">
        <f>10-SUM(BJ99:BL99)</f>
        <v>7</v>
      </c>
      <c r="BN99" s="1909">
        <f t="shared" si="207"/>
        <v>10</v>
      </c>
      <c r="BO99" s="2167">
        <v>-21</v>
      </c>
      <c r="BP99" s="1910">
        <f>BO147-BP147</f>
        <v>26.937624325111216</v>
      </c>
      <c r="BQ99" s="1910">
        <f>BP147-BQ147</f>
        <v>23.905466198586879</v>
      </c>
      <c r="BR99" s="1910">
        <f>BQ147-BR147</f>
        <v>-60.905130722834201</v>
      </c>
      <c r="BS99" s="1909">
        <f t="shared" si="209"/>
        <v>-31.062040199136106</v>
      </c>
      <c r="BT99" s="1910">
        <f>BS147-BT147</f>
        <v>-0.8363805989690718</v>
      </c>
      <c r="BU99" s="1910">
        <f>BT147-BU147</f>
        <v>26.717415190429961</v>
      </c>
      <c r="BV99" s="1910">
        <f>BU147-BV147</f>
        <v>25.118199193629692</v>
      </c>
      <c r="BW99" s="1910">
        <f>BV147-BW147</f>
        <v>-64.441901492699515</v>
      </c>
      <c r="BX99" s="1909">
        <f t="shared" si="214"/>
        <v>-13.442667707608933</v>
      </c>
      <c r="BY99" s="1912">
        <f>BX147-BY147</f>
        <v>-12.330589992987825</v>
      </c>
      <c r="BZ99" s="1912">
        <f>BY147-BZ147</f>
        <v>-13.071661650312564</v>
      </c>
      <c r="CA99" s="1912">
        <f>BZ147-CA147</f>
        <v>-12.36485020433156</v>
      </c>
      <c r="CB99" s="251"/>
      <c r="CC99" s="1360"/>
      <c r="CD99" s="83" t="str">
        <f t="shared" si="195"/>
        <v>Prepaid and Other Current Assets</v>
      </c>
      <c r="CE99" s="46">
        <f t="shared" si="216"/>
        <v>27.023</v>
      </c>
      <c r="CF99" s="46">
        <f t="shared" si="216"/>
        <v>7.1849999999999996</v>
      </c>
      <c r="CG99" s="46">
        <f t="shared" si="216"/>
        <v>18.927</v>
      </c>
      <c r="CH99" s="46">
        <f t="shared" si="216"/>
        <v>-80.828000000000003</v>
      </c>
      <c r="CI99" s="46">
        <f t="shared" si="216"/>
        <v>57.912999999999997</v>
      </c>
      <c r="CJ99" s="46">
        <f t="shared" si="217"/>
        <v>10.587999999999999</v>
      </c>
      <c r="CK99" s="46">
        <f t="shared" si="218"/>
        <v>-4.7169999999999987</v>
      </c>
      <c r="CL99" s="46">
        <f t="shared" si="219"/>
        <v>1.7019999999999982</v>
      </c>
      <c r="CM99" s="46">
        <f t="shared" si="220"/>
        <v>-11.807000000000002</v>
      </c>
      <c r="CN99" s="46">
        <f t="shared" si="221"/>
        <v>0.50599999999999667</v>
      </c>
      <c r="CO99" s="46">
        <f t="shared" si="222"/>
        <v>-11</v>
      </c>
      <c r="CP99" s="46">
        <f t="shared" si="223"/>
        <v>3</v>
      </c>
      <c r="CQ99" s="46">
        <f t="shared" si="224"/>
        <v>-29</v>
      </c>
      <c r="CR99" s="46">
        <f t="shared" si="225"/>
        <v>-7</v>
      </c>
      <c r="CS99" s="46">
        <f t="shared" si="226"/>
        <v>-4</v>
      </c>
      <c r="CT99" s="46">
        <f t="shared" si="227"/>
        <v>-2</v>
      </c>
      <c r="CU99" s="46">
        <f t="shared" si="228"/>
        <v>10</v>
      </c>
      <c r="CV99" s="46">
        <f t="shared" si="229"/>
        <v>-31.062040199136106</v>
      </c>
      <c r="CW99" s="46">
        <f t="shared" si="230"/>
        <v>-13.442667707608933</v>
      </c>
      <c r="CX99" s="46">
        <f t="shared" si="230"/>
        <v>-12.330589992987825</v>
      </c>
      <c r="CY99" s="46">
        <f t="shared" si="230"/>
        <v>-13.071661650312564</v>
      </c>
      <c r="CZ99" s="44">
        <f t="shared" si="230"/>
        <v>-12.36485020433156</v>
      </c>
      <c r="DA99" s="86"/>
      <c r="DB99" s="59"/>
      <c r="DC99"/>
      <c r="DD99"/>
      <c r="DE99"/>
      <c r="DF99"/>
      <c r="DG99"/>
      <c r="DH99"/>
    </row>
    <row r="100" spans="1:112" s="82" customFormat="1" ht="12" customHeight="1">
      <c r="A100" s="1906" t="s">
        <v>122</v>
      </c>
      <c r="B100" s="1907">
        <v>42.201999999999998</v>
      </c>
      <c r="C100" s="1907">
        <v>4.3730000000000002</v>
      </c>
      <c r="D100" s="1907">
        <v>32.692</v>
      </c>
      <c r="E100" s="1907">
        <v>53.253</v>
      </c>
      <c r="F100" s="1907">
        <v>93.879000000000005</v>
      </c>
      <c r="G100" s="1873">
        <v>-371.39</v>
      </c>
      <c r="H100" s="1888">
        <f>-271.965-G100</f>
        <v>99.425000000000011</v>
      </c>
      <c r="I100" s="1888">
        <f>-109.958-H100-G100</f>
        <v>162.00699999999998</v>
      </c>
      <c r="J100" s="1888">
        <f>44.334-I100-H100-G100</f>
        <v>154.292</v>
      </c>
      <c r="K100" s="1909">
        <f t="shared" si="196"/>
        <v>44.334000000000003</v>
      </c>
      <c r="L100" s="1888">
        <v>-323.755</v>
      </c>
      <c r="M100" s="1888">
        <f>-187.447-L100</f>
        <v>136.30799999999999</v>
      </c>
      <c r="N100" s="1888">
        <f>-65.365-M100-L100</f>
        <v>122.08199999999999</v>
      </c>
      <c r="O100" s="1888">
        <f>34.84-N100-M100-L100</f>
        <v>100.20500000000001</v>
      </c>
      <c r="P100" s="1909">
        <f t="shared" si="197"/>
        <v>34.840000000000003</v>
      </c>
      <c r="Q100" s="1888">
        <v>-397.73899999999998</v>
      </c>
      <c r="R100" s="1908">
        <f>-324.595-Q100</f>
        <v>73.143999999999949</v>
      </c>
      <c r="S100" s="1908">
        <f>-291.444-R100-Q100</f>
        <v>33.15100000000001</v>
      </c>
      <c r="T100" s="1908">
        <f>-242.327-S100-R100-Q100</f>
        <v>49.117000000000019</v>
      </c>
      <c r="U100" s="1909">
        <f t="shared" si="198"/>
        <v>-242.327</v>
      </c>
      <c r="V100" s="1888">
        <v>-265.577</v>
      </c>
      <c r="W100" s="1908">
        <f>-207.234-V100</f>
        <v>58.342999999999989</v>
      </c>
      <c r="X100" s="1908">
        <f>-71.117-W100-V100</f>
        <v>136.11700000000002</v>
      </c>
      <c r="Y100" s="1908">
        <f>0.079-X100-W100-V100</f>
        <v>71.195999999999998</v>
      </c>
      <c r="Z100" s="1909">
        <f t="shared" si="199"/>
        <v>7.9000000000007731E-2</v>
      </c>
      <c r="AA100" s="1888">
        <v>-253.5</v>
      </c>
      <c r="AB100" s="1908">
        <f>-141.9-AA100</f>
        <v>111.6</v>
      </c>
      <c r="AC100" s="1908">
        <f>-4.2-AB100-AA100</f>
        <v>137.69999999999999</v>
      </c>
      <c r="AD100" s="1908">
        <f>134.003-AC100-AB100-AA100</f>
        <v>138.203</v>
      </c>
      <c r="AE100" s="1909">
        <f t="shared" si="200"/>
        <v>134.00299999999999</v>
      </c>
      <c r="AF100" s="1888">
        <v>-370.2</v>
      </c>
      <c r="AG100" s="1908">
        <f>-269-AF100</f>
        <v>101.19999999999999</v>
      </c>
      <c r="AH100" s="1908">
        <f>-174.2-AG100-AF100</f>
        <v>94.800000000000011</v>
      </c>
      <c r="AI100" s="1908">
        <f>-67-SUM(AF100:AH100)</f>
        <v>107.19999999999999</v>
      </c>
      <c r="AJ100" s="1909">
        <f t="shared" si="201"/>
        <v>-67</v>
      </c>
      <c r="AK100" s="1888">
        <v>-189</v>
      </c>
      <c r="AL100" s="1908">
        <f>-205-AK100</f>
        <v>-16</v>
      </c>
      <c r="AM100" s="1908">
        <f>-17-SUM(AK100:AL100)</f>
        <v>188</v>
      </c>
      <c r="AN100" s="1908">
        <f>60-SUM(AK100:AM100)</f>
        <v>77</v>
      </c>
      <c r="AO100" s="1909">
        <f t="shared" si="202"/>
        <v>60</v>
      </c>
      <c r="AP100" s="1888">
        <v>-242</v>
      </c>
      <c r="AQ100" s="1908">
        <f>-193-AP100</f>
        <v>49</v>
      </c>
      <c r="AR100" s="1908">
        <f>-165-SUM(AP100:AQ100)</f>
        <v>28</v>
      </c>
      <c r="AS100" s="1908">
        <f>-94-SUM(AP100:AR100)</f>
        <v>71</v>
      </c>
      <c r="AT100" s="1909">
        <f t="shared" si="203"/>
        <v>-94</v>
      </c>
      <c r="AU100" s="1888">
        <v>-297</v>
      </c>
      <c r="AV100" s="1908">
        <f>-251-AU100</f>
        <v>46</v>
      </c>
      <c r="AW100" s="1910">
        <f>-211-AV100-AU100</f>
        <v>40</v>
      </c>
      <c r="AX100" s="1911">
        <f>+-130-SUM(AU100:AW100)</f>
        <v>81</v>
      </c>
      <c r="AY100" s="1909">
        <f t="shared" si="204"/>
        <v>-130</v>
      </c>
      <c r="AZ100" s="1872">
        <v>-305</v>
      </c>
      <c r="BA100" s="1872">
        <f>+-257-AZ100</f>
        <v>48</v>
      </c>
      <c r="BB100" s="1872">
        <f>+-186-SUM(AZ100:BA100)</f>
        <v>71</v>
      </c>
      <c r="BC100" s="1873">
        <f>+-92-SUM(AZ100:BB100)</f>
        <v>94</v>
      </c>
      <c r="BD100" s="1909">
        <f t="shared" si="205"/>
        <v>-92</v>
      </c>
      <c r="BE100" s="1872">
        <v>-274</v>
      </c>
      <c r="BF100" s="1872">
        <f>+-212-BE100</f>
        <v>62</v>
      </c>
      <c r="BG100" s="1872">
        <f>+-127-SUM(BE100:BF100)</f>
        <v>85</v>
      </c>
      <c r="BH100" s="1873">
        <f>+-26-SUM(BE100:BG100)</f>
        <v>101</v>
      </c>
      <c r="BI100" s="1909">
        <f t="shared" si="206"/>
        <v>-26</v>
      </c>
      <c r="BJ100" s="1872">
        <v>-235</v>
      </c>
      <c r="BK100" s="1872">
        <f>-139-BJ100</f>
        <v>96</v>
      </c>
      <c r="BL100" s="2167">
        <f>-50-SUM(BJ100:BK100)</f>
        <v>89</v>
      </c>
      <c r="BM100" s="2167">
        <f>75-SUM(BJ100:BL100)</f>
        <v>125</v>
      </c>
      <c r="BN100" s="1909">
        <f t="shared" si="207"/>
        <v>75</v>
      </c>
      <c r="BO100" s="2167">
        <v>-289</v>
      </c>
      <c r="BP100" s="1910">
        <f>BP161-BO161+BP162-BO162+BP163-BO163</f>
        <v>104.70198443785716</v>
      </c>
      <c r="BQ100" s="1910">
        <f>BQ161-BP161+BQ162-BP162+BQ163-BP163</f>
        <v>86.894106056469298</v>
      </c>
      <c r="BR100" s="1910">
        <f>BR161-BQ161+BR162-BQ162+BR163-BQ163</f>
        <v>118.88232451886881</v>
      </c>
      <c r="BS100" s="1909">
        <f t="shared" si="209"/>
        <v>21.478415013195274</v>
      </c>
      <c r="BT100" s="1910">
        <f>BT161-BS161+BT162-BS162+BT163-BS163</f>
        <v>-290.6584962594319</v>
      </c>
      <c r="BU100" s="1910">
        <f>BU161-BT161+BU162-BT162+BU163-BT163</f>
        <v>114.18897463987767</v>
      </c>
      <c r="BV100" s="1910">
        <f>BV161-BU161+BV162-BU162+BV163-BU163</f>
        <v>92.743419566010743</v>
      </c>
      <c r="BW100" s="1910">
        <f>BW161-BV161+BW162-BV162+BW163-BV163</f>
        <v>125.6245102823994</v>
      </c>
      <c r="BX100" s="1909">
        <f t="shared" si="214"/>
        <v>41.898408228855914</v>
      </c>
      <c r="BY100" s="1912">
        <f>BY161-BX161+BY162-BX162+BY163-BX163</f>
        <v>35.301233789407547</v>
      </c>
      <c r="BZ100" s="1912">
        <f>BZ161-BY161+BZ162-BY162+BZ163-BY163</f>
        <v>40.578882562639706</v>
      </c>
      <c r="CA100" s="1912">
        <f>CA161-BZ161+CA162-BZ162+CA163-BZ163</f>
        <v>38.384699494895813</v>
      </c>
      <c r="CB100" s="251"/>
      <c r="CC100" s="1360"/>
      <c r="CD100" s="83" t="str">
        <f t="shared" si="195"/>
        <v>Accounts Payable and Accrued Expenses</v>
      </c>
      <c r="CE100" s="46">
        <f t="shared" si="216"/>
        <v>42.201999999999998</v>
      </c>
      <c r="CF100" s="46">
        <f t="shared" si="216"/>
        <v>4.3730000000000002</v>
      </c>
      <c r="CG100" s="46">
        <f t="shared" si="216"/>
        <v>32.692</v>
      </c>
      <c r="CH100" s="46">
        <f t="shared" si="216"/>
        <v>53.253</v>
      </c>
      <c r="CI100" s="46">
        <f t="shared" si="216"/>
        <v>93.879000000000005</v>
      </c>
      <c r="CJ100" s="46">
        <f t="shared" si="217"/>
        <v>44.334000000000003</v>
      </c>
      <c r="CK100" s="46">
        <f t="shared" si="218"/>
        <v>34.840000000000003</v>
      </c>
      <c r="CL100" s="46">
        <f t="shared" si="219"/>
        <v>-242.327</v>
      </c>
      <c r="CM100" s="46">
        <f t="shared" si="220"/>
        <v>7.9000000000007731E-2</v>
      </c>
      <c r="CN100" s="46">
        <f t="shared" si="221"/>
        <v>134.00299999999999</v>
      </c>
      <c r="CO100" s="46">
        <f t="shared" si="222"/>
        <v>-67</v>
      </c>
      <c r="CP100" s="46">
        <f t="shared" si="223"/>
        <v>60</v>
      </c>
      <c r="CQ100" s="46">
        <f t="shared" si="224"/>
        <v>-94</v>
      </c>
      <c r="CR100" s="46">
        <f t="shared" si="225"/>
        <v>-130</v>
      </c>
      <c r="CS100" s="46">
        <f t="shared" si="226"/>
        <v>-92</v>
      </c>
      <c r="CT100" s="46">
        <f t="shared" si="227"/>
        <v>-26</v>
      </c>
      <c r="CU100" s="46">
        <f t="shared" si="228"/>
        <v>75</v>
      </c>
      <c r="CV100" s="46">
        <f t="shared" si="229"/>
        <v>21.478415013195274</v>
      </c>
      <c r="CW100" s="46">
        <f t="shared" si="230"/>
        <v>41.898408228855914</v>
      </c>
      <c r="CX100" s="46">
        <f t="shared" si="230"/>
        <v>35.301233789407547</v>
      </c>
      <c r="CY100" s="46">
        <f t="shared" si="230"/>
        <v>40.578882562639706</v>
      </c>
      <c r="CZ100" s="44">
        <f t="shared" si="230"/>
        <v>38.384699494895813</v>
      </c>
      <c r="DA100" s="86"/>
      <c r="DB100" s="59"/>
      <c r="DC100"/>
      <c r="DD100"/>
      <c r="DE100"/>
      <c r="DF100"/>
      <c r="DG100"/>
      <c r="DH100"/>
    </row>
    <row r="101" spans="1:112" s="82" customFormat="1" ht="12" customHeight="1">
      <c r="A101" s="1906" t="s">
        <v>123</v>
      </c>
      <c r="B101" s="1907">
        <v>-42.695999999999998</v>
      </c>
      <c r="C101" s="1907">
        <v>-56.149000000000001</v>
      </c>
      <c r="D101" s="1907">
        <v>51.451000000000001</v>
      </c>
      <c r="E101" s="1907">
        <v>115.636</v>
      </c>
      <c r="F101" s="1907">
        <v>123.414</v>
      </c>
      <c r="G101" s="1873">
        <v>16.003</v>
      </c>
      <c r="H101" s="1888">
        <f>38.385-G101</f>
        <v>22.381999999999998</v>
      </c>
      <c r="I101" s="1888">
        <f>25.508-H101-G101</f>
        <v>-12.876999999999999</v>
      </c>
      <c r="J101" s="1888">
        <f>120.805-I101-H101-G101</f>
        <v>95.297000000000011</v>
      </c>
      <c r="K101" s="1909">
        <f t="shared" si="196"/>
        <v>120.80500000000001</v>
      </c>
      <c r="L101" s="1888">
        <v>9.6880000000000006</v>
      </c>
      <c r="M101" s="1888">
        <f>40.92-L101</f>
        <v>31.231999999999999</v>
      </c>
      <c r="N101" s="1888">
        <f>7.306-M101-L101</f>
        <v>-33.613999999999997</v>
      </c>
      <c r="O101" s="1888">
        <f>86.877-N101-M101-L101</f>
        <v>79.570999999999984</v>
      </c>
      <c r="P101" s="1909">
        <f t="shared" si="197"/>
        <v>86.876999999999981</v>
      </c>
      <c r="Q101" s="1888">
        <v>-3.883</v>
      </c>
      <c r="R101" s="1908">
        <f>8.111-Q101</f>
        <v>11.994</v>
      </c>
      <c r="S101" s="1908">
        <f>-13.697-R101-Q101</f>
        <v>-21.808</v>
      </c>
      <c r="T101" s="1908">
        <f>25.145-S101-R101-Q101</f>
        <v>38.842000000000006</v>
      </c>
      <c r="U101" s="1909">
        <f t="shared" si="198"/>
        <v>25.145000000000007</v>
      </c>
      <c r="V101" s="1888">
        <v>-7.7249999999999996</v>
      </c>
      <c r="W101" s="1908">
        <f>-6.575-V101</f>
        <v>1.1499999999999995</v>
      </c>
      <c r="X101" s="1908">
        <f>-32.915-W101-V101</f>
        <v>-26.339999999999996</v>
      </c>
      <c r="Y101" s="1908">
        <f>25.619-X101-W101-V101</f>
        <v>58.533999999999999</v>
      </c>
      <c r="Z101" s="1909">
        <f t="shared" si="199"/>
        <v>25.619</v>
      </c>
      <c r="AA101" s="1888">
        <v>9.1999999999999993</v>
      </c>
      <c r="AB101" s="1908">
        <f>42.8-AA101</f>
        <v>33.599999999999994</v>
      </c>
      <c r="AC101" s="1908">
        <f>2.2-AB101-AA101</f>
        <v>-40.599999999999994</v>
      </c>
      <c r="AD101" s="1908">
        <f>74.855-AC101-AB101-AA101</f>
        <v>72.655000000000001</v>
      </c>
      <c r="AE101" s="1909">
        <f t="shared" si="200"/>
        <v>74.855000000000004</v>
      </c>
      <c r="AF101" s="1888">
        <v>1.6</v>
      </c>
      <c r="AG101" s="1908">
        <f>16.4-AF101</f>
        <v>14.799999999999999</v>
      </c>
      <c r="AH101" s="1908">
        <f>23.7-AG101-AF101</f>
        <v>7.3000000000000007</v>
      </c>
      <c r="AI101" s="1908">
        <f>83-SUM(AF101:AH101)</f>
        <v>59.3</v>
      </c>
      <c r="AJ101" s="1909">
        <f t="shared" si="201"/>
        <v>83</v>
      </c>
      <c r="AK101" s="1888">
        <v>8</v>
      </c>
      <c r="AL101" s="1908">
        <f>-3-AK101</f>
        <v>-11</v>
      </c>
      <c r="AM101" s="1908">
        <f>-29-SUM(AK101:AL101)</f>
        <v>-26</v>
      </c>
      <c r="AN101" s="1908">
        <f>17-SUM(AK101:AM101)</f>
        <v>46</v>
      </c>
      <c r="AO101" s="1909">
        <f t="shared" si="202"/>
        <v>17</v>
      </c>
      <c r="AP101" s="1888">
        <v>63</v>
      </c>
      <c r="AQ101" s="1908">
        <f>71-AP101</f>
        <v>8</v>
      </c>
      <c r="AR101" s="1908">
        <f>44-SUM(AP101:AQ101)</f>
        <v>-27</v>
      </c>
      <c r="AS101" s="1908">
        <f>109-SUM(AP101:AR101)</f>
        <v>65</v>
      </c>
      <c r="AT101" s="1909">
        <f t="shared" si="203"/>
        <v>109</v>
      </c>
      <c r="AU101" s="1888">
        <v>1</v>
      </c>
      <c r="AV101" s="1908">
        <f>11-AU101</f>
        <v>10</v>
      </c>
      <c r="AW101" s="1910">
        <f>7-AV101-AU101</f>
        <v>-4</v>
      </c>
      <c r="AX101" s="1911">
        <f>78-SUM(AU101:AW101)</f>
        <v>71</v>
      </c>
      <c r="AY101" s="1909">
        <f t="shared" si="204"/>
        <v>78</v>
      </c>
      <c r="AZ101" s="1872">
        <v>48</v>
      </c>
      <c r="BA101" s="1872">
        <f>71-AZ101</f>
        <v>23</v>
      </c>
      <c r="BB101" s="1872">
        <f>18-SUM(AZ101:BA101)</f>
        <v>-53</v>
      </c>
      <c r="BC101" s="1873">
        <f>129-SUM(AZ101:BB101)</f>
        <v>111</v>
      </c>
      <c r="BD101" s="1909">
        <f t="shared" si="205"/>
        <v>129</v>
      </c>
      <c r="BE101" s="1872">
        <v>39</v>
      </c>
      <c r="BF101" s="1872">
        <f>38-BE101</f>
        <v>-1</v>
      </c>
      <c r="BG101" s="1872">
        <f>+-6-SUM(BE101:BF101)</f>
        <v>-44</v>
      </c>
      <c r="BH101" s="1873">
        <f>107-SUM(BE101:BG101)</f>
        <v>113</v>
      </c>
      <c r="BI101" s="1909">
        <f t="shared" si="206"/>
        <v>107</v>
      </c>
      <c r="BJ101" s="1872">
        <v>-6</v>
      </c>
      <c r="BK101" s="1872">
        <f>-17-BJ101</f>
        <v>-11</v>
      </c>
      <c r="BL101" s="2167">
        <f>-107-SUM(BJ101:BK101)</f>
        <v>-90</v>
      </c>
      <c r="BM101" s="2167">
        <f>85-SUM(BJ101:BL101)</f>
        <v>192</v>
      </c>
      <c r="BN101" s="1909">
        <f t="shared" si="207"/>
        <v>85</v>
      </c>
      <c r="BO101" s="2167">
        <v>27</v>
      </c>
      <c r="BP101" s="1910">
        <f t="shared" ref="BP101:BR102" si="231">BP166-BO166</f>
        <v>-46.227235470040796</v>
      </c>
      <c r="BQ101" s="1910">
        <f t="shared" si="231"/>
        <v>-104.93329332568533</v>
      </c>
      <c r="BR101" s="1910">
        <f t="shared" si="231"/>
        <v>168.53936450229867</v>
      </c>
      <c r="BS101" s="1909">
        <f t="shared" si="209"/>
        <v>44.378835706572545</v>
      </c>
      <c r="BT101" s="1910">
        <f t="shared" ref="BT101:BT102" si="232">BT166-BS166</f>
        <v>67.730227177235065</v>
      </c>
      <c r="BU101" s="1910">
        <f t="shared" ref="BU101:BU102" si="233">BU166-BT166</f>
        <v>-34.803453503875971</v>
      </c>
      <c r="BV101" s="1910">
        <f t="shared" ref="BV101:BV102" si="234">BV166-BU166</f>
        <v>-109.27007778776942</v>
      </c>
      <c r="BW101" s="1910">
        <f t="shared" ref="BW101:BW102" si="235">BW166-BV166</f>
        <v>177.66584155540681</v>
      </c>
      <c r="BX101" s="1909">
        <f t="shared" si="214"/>
        <v>101.32253744099648</v>
      </c>
      <c r="BY101" s="1912">
        <f t="shared" ref="BY101:CA102" si="236">BY166-BX166</f>
        <v>92.940381582660848</v>
      </c>
      <c r="BZ101" s="1912">
        <f t="shared" si="236"/>
        <v>98.526122625954031</v>
      </c>
      <c r="CA101" s="1912">
        <f t="shared" si="236"/>
        <v>93.198613923303128</v>
      </c>
      <c r="CB101" s="251"/>
      <c r="CC101" s="1360"/>
      <c r="CD101" s="83" t="str">
        <f t="shared" si="195"/>
        <v>Unearned Revenue</v>
      </c>
      <c r="CE101" s="46">
        <f t="shared" si="216"/>
        <v>-42.695999999999998</v>
      </c>
      <c r="CF101" s="46">
        <f t="shared" si="216"/>
        <v>-56.149000000000001</v>
      </c>
      <c r="CG101" s="46">
        <f t="shared" si="216"/>
        <v>51.451000000000001</v>
      </c>
      <c r="CH101" s="46">
        <f t="shared" si="216"/>
        <v>115.636</v>
      </c>
      <c r="CI101" s="46">
        <f t="shared" si="216"/>
        <v>123.414</v>
      </c>
      <c r="CJ101" s="46">
        <f t="shared" si="217"/>
        <v>120.80500000000001</v>
      </c>
      <c r="CK101" s="46">
        <f t="shared" si="218"/>
        <v>86.876999999999981</v>
      </c>
      <c r="CL101" s="46">
        <f t="shared" si="219"/>
        <v>25.145000000000007</v>
      </c>
      <c r="CM101" s="46">
        <f t="shared" si="220"/>
        <v>25.619</v>
      </c>
      <c r="CN101" s="46">
        <f t="shared" si="221"/>
        <v>74.855000000000004</v>
      </c>
      <c r="CO101" s="46">
        <f t="shared" si="222"/>
        <v>83</v>
      </c>
      <c r="CP101" s="46">
        <f t="shared" si="223"/>
        <v>17</v>
      </c>
      <c r="CQ101" s="46">
        <f t="shared" si="224"/>
        <v>109</v>
      </c>
      <c r="CR101" s="46">
        <f t="shared" si="225"/>
        <v>78</v>
      </c>
      <c r="CS101" s="46">
        <f t="shared" si="226"/>
        <v>129</v>
      </c>
      <c r="CT101" s="46">
        <f t="shared" si="227"/>
        <v>107</v>
      </c>
      <c r="CU101" s="46">
        <f t="shared" si="228"/>
        <v>85</v>
      </c>
      <c r="CV101" s="46">
        <f t="shared" si="229"/>
        <v>44.378835706572545</v>
      </c>
      <c r="CW101" s="46">
        <f t="shared" si="230"/>
        <v>101.32253744099648</v>
      </c>
      <c r="CX101" s="46">
        <f t="shared" si="230"/>
        <v>92.940381582660848</v>
      </c>
      <c r="CY101" s="46">
        <f t="shared" si="230"/>
        <v>98.526122625954031</v>
      </c>
      <c r="CZ101" s="44">
        <f t="shared" si="230"/>
        <v>93.198613923303128</v>
      </c>
      <c r="DA101" s="86"/>
      <c r="DB101" s="59"/>
      <c r="DC101"/>
      <c r="DD101"/>
      <c r="DE101"/>
      <c r="DF101"/>
      <c r="DG101"/>
      <c r="DH101"/>
    </row>
    <row r="102" spans="1:112" s="82" customFormat="1" ht="12" customHeight="1">
      <c r="A102" s="1906" t="s">
        <v>124</v>
      </c>
      <c r="B102" s="1907">
        <v>0</v>
      </c>
      <c r="C102" s="1907">
        <v>0</v>
      </c>
      <c r="D102" s="1907">
        <v>0</v>
      </c>
      <c r="E102" s="1907">
        <v>-11.568</v>
      </c>
      <c r="F102" s="1907">
        <v>44.000999999999998</v>
      </c>
      <c r="G102" s="1873">
        <v>-14.134</v>
      </c>
      <c r="H102" s="1888">
        <f>-21.498-G102</f>
        <v>-7.3640000000000008</v>
      </c>
      <c r="I102" s="1888">
        <f>-15.709-H102-G102</f>
        <v>5.7890000000000015</v>
      </c>
      <c r="J102" s="1888">
        <f>20.468-I102-H102-G102</f>
        <v>36.177</v>
      </c>
      <c r="K102" s="1909">
        <f t="shared" si="196"/>
        <v>20.468</v>
      </c>
      <c r="L102" s="1888">
        <v>27.571000000000002</v>
      </c>
      <c r="M102" s="1888">
        <f>6.336-L102</f>
        <v>-21.234999999999999</v>
      </c>
      <c r="N102" s="1888">
        <f>8.604-M102-L102</f>
        <v>2.2679999999999971</v>
      </c>
      <c r="O102" s="1888">
        <f>71.636-N102-M102-L102</f>
        <v>63.031999999999996</v>
      </c>
      <c r="P102" s="1909">
        <f t="shared" si="197"/>
        <v>71.635999999999996</v>
      </c>
      <c r="Q102" s="1888">
        <v>1.419</v>
      </c>
      <c r="R102" s="1908">
        <f>-9.222-Q102</f>
        <v>-10.641</v>
      </c>
      <c r="S102" s="1908">
        <f>0.497-R102-Q102</f>
        <v>9.7189999999999994</v>
      </c>
      <c r="T102" s="1908">
        <f>26.317-S102-R102-Q102</f>
        <v>25.819999999999997</v>
      </c>
      <c r="U102" s="1909">
        <f t="shared" si="198"/>
        <v>26.316999999999997</v>
      </c>
      <c r="V102" s="1888">
        <v>20.236000000000001</v>
      </c>
      <c r="W102" s="1908">
        <f>22.389-V102</f>
        <v>2.1529999999999987</v>
      </c>
      <c r="X102" s="1908">
        <f>6.609-W102-V102</f>
        <v>-15.78</v>
      </c>
      <c r="Y102" s="1908">
        <f>-14.453-X102-W102-V102</f>
        <v>-21.061999999999998</v>
      </c>
      <c r="Z102" s="1909">
        <f t="shared" si="199"/>
        <v>-14.452999999999998</v>
      </c>
      <c r="AA102" s="1888">
        <v>9.1999999999999993</v>
      </c>
      <c r="AB102" s="1908">
        <f>-6.8-AA102</f>
        <v>-16</v>
      </c>
      <c r="AC102" s="1908">
        <f>-9.8-AB102-AA102</f>
        <v>-3</v>
      </c>
      <c r="AD102" s="1908">
        <f>-18.761-AC102-AB102-AA102</f>
        <v>-8.9609999999999985</v>
      </c>
      <c r="AE102" s="1909">
        <f t="shared" si="200"/>
        <v>-18.760999999999999</v>
      </c>
      <c r="AF102" s="1888">
        <v>1</v>
      </c>
      <c r="AG102" s="1908">
        <f>-12.7-AF102</f>
        <v>-13.7</v>
      </c>
      <c r="AH102" s="1908">
        <f>-50.6-AG102-AF102</f>
        <v>-37.900000000000006</v>
      </c>
      <c r="AI102" s="1908">
        <f>-67-SUM(AF102:AH102)</f>
        <v>-16.399999999999991</v>
      </c>
      <c r="AJ102" s="1909">
        <f t="shared" si="201"/>
        <v>-67</v>
      </c>
      <c r="AK102" s="1888">
        <v>-6</v>
      </c>
      <c r="AL102" s="1908">
        <f>-64-AK102</f>
        <v>-58</v>
      </c>
      <c r="AM102" s="1908">
        <f>-32-SUM(AK102:AL102)</f>
        <v>32</v>
      </c>
      <c r="AN102" s="1908">
        <f>-70-SUM(AK102:AM102)</f>
        <v>-38</v>
      </c>
      <c r="AO102" s="1909">
        <f t="shared" si="202"/>
        <v>-70</v>
      </c>
      <c r="AP102" s="1888">
        <v>14</v>
      </c>
      <c r="AQ102" s="1908">
        <f>-40-AP102</f>
        <v>-54</v>
      </c>
      <c r="AR102" s="1908">
        <f>-44-SUM(AP102:AQ102)</f>
        <v>-4</v>
      </c>
      <c r="AS102" s="1908">
        <f>-89-SUM(AP102:AR102)</f>
        <v>-45</v>
      </c>
      <c r="AT102" s="1909">
        <f t="shared" si="203"/>
        <v>-89</v>
      </c>
      <c r="AU102" s="1888">
        <v>33</v>
      </c>
      <c r="AV102" s="1908">
        <f>-69-AU102</f>
        <v>-102</v>
      </c>
      <c r="AW102" s="1910">
        <f>-65-AV102-AU102</f>
        <v>4</v>
      </c>
      <c r="AX102" s="1911">
        <f>+-51-SUM(AU102:AW102)</f>
        <v>14</v>
      </c>
      <c r="AY102" s="1909">
        <f t="shared" si="204"/>
        <v>-51</v>
      </c>
      <c r="AZ102" s="1872">
        <f>+-1559-17</f>
        <v>-1576</v>
      </c>
      <c r="BA102" s="1872">
        <f>+-1609+-36-AZ102</f>
        <v>-69</v>
      </c>
      <c r="BB102" s="1872">
        <f>+-1624-53-SUM(AZ102:BA102)</f>
        <v>-32</v>
      </c>
      <c r="BC102" s="1873">
        <f>+-1624-78-SUM(AZ102:BB102)</f>
        <v>-25</v>
      </c>
      <c r="BD102" s="1909">
        <f t="shared" si="205"/>
        <v>-1702</v>
      </c>
      <c r="BE102" s="1872">
        <v>22</v>
      </c>
      <c r="BF102" s="1872">
        <f>+-23-BE102</f>
        <v>-45</v>
      </c>
      <c r="BG102" s="1872">
        <f>+-12-SUM(BE102:BF102)</f>
        <v>11</v>
      </c>
      <c r="BH102" s="1873">
        <f>+-21-SUM(BE102:BG102)</f>
        <v>-9</v>
      </c>
      <c r="BI102" s="1909">
        <f t="shared" si="206"/>
        <v>-21</v>
      </c>
      <c r="BJ102" s="1872">
        <v>-58</v>
      </c>
      <c r="BK102" s="1872">
        <f>-85-4-BJ102</f>
        <v>-31</v>
      </c>
      <c r="BL102" s="2167">
        <f>-4-94-SUM(BJ102:BK102)</f>
        <v>-9</v>
      </c>
      <c r="BM102" s="2167">
        <f>-4-85-SUM(BJ102:BL102)</f>
        <v>9</v>
      </c>
      <c r="BN102" s="1909">
        <f t="shared" si="207"/>
        <v>-89</v>
      </c>
      <c r="BO102" s="2167">
        <f>19-29</f>
        <v>-10</v>
      </c>
      <c r="BP102" s="1910">
        <f t="shared" si="231"/>
        <v>0</v>
      </c>
      <c r="BQ102" s="1910">
        <f t="shared" si="231"/>
        <v>0</v>
      </c>
      <c r="BR102" s="1910">
        <f t="shared" si="231"/>
        <v>0</v>
      </c>
      <c r="BS102" s="1909">
        <f t="shared" si="209"/>
        <v>-10</v>
      </c>
      <c r="BT102" s="1910">
        <f t="shared" si="232"/>
        <v>0</v>
      </c>
      <c r="BU102" s="1910">
        <f t="shared" si="233"/>
        <v>0</v>
      </c>
      <c r="BV102" s="1910">
        <f t="shared" si="234"/>
        <v>0</v>
      </c>
      <c r="BW102" s="1910">
        <f t="shared" si="235"/>
        <v>0</v>
      </c>
      <c r="BX102" s="1909">
        <f t="shared" si="214"/>
        <v>0</v>
      </c>
      <c r="BY102" s="1912">
        <f t="shared" si="236"/>
        <v>0</v>
      </c>
      <c r="BZ102" s="1912">
        <f t="shared" si="236"/>
        <v>0</v>
      </c>
      <c r="CA102" s="1912">
        <f t="shared" si="236"/>
        <v>0</v>
      </c>
      <c r="CB102" s="251"/>
      <c r="CC102" s="1360"/>
      <c r="CD102" s="83" t="str">
        <f t="shared" si="195"/>
        <v>Other Current Liabilities</v>
      </c>
      <c r="CE102" s="46">
        <f t="shared" si="216"/>
        <v>0</v>
      </c>
      <c r="CF102" s="46">
        <f t="shared" si="216"/>
        <v>0</v>
      </c>
      <c r="CG102" s="46">
        <f t="shared" si="216"/>
        <v>0</v>
      </c>
      <c r="CH102" s="46">
        <f t="shared" si="216"/>
        <v>-11.568</v>
      </c>
      <c r="CI102" s="46">
        <f t="shared" si="216"/>
        <v>44.000999999999998</v>
      </c>
      <c r="CJ102" s="46">
        <f t="shared" si="217"/>
        <v>20.468</v>
      </c>
      <c r="CK102" s="46">
        <f t="shared" si="218"/>
        <v>71.635999999999996</v>
      </c>
      <c r="CL102" s="46">
        <f t="shared" si="219"/>
        <v>26.316999999999997</v>
      </c>
      <c r="CM102" s="46">
        <f t="shared" si="220"/>
        <v>-14.452999999999998</v>
      </c>
      <c r="CN102" s="46">
        <f t="shared" si="221"/>
        <v>-18.760999999999999</v>
      </c>
      <c r="CO102" s="46">
        <f t="shared" si="222"/>
        <v>-67</v>
      </c>
      <c r="CP102" s="46">
        <f t="shared" si="223"/>
        <v>-70</v>
      </c>
      <c r="CQ102" s="46">
        <f t="shared" si="224"/>
        <v>-89</v>
      </c>
      <c r="CR102" s="46">
        <f t="shared" si="225"/>
        <v>-51</v>
      </c>
      <c r="CS102" s="46">
        <f t="shared" si="226"/>
        <v>-1702</v>
      </c>
      <c r="CT102" s="46">
        <f t="shared" si="227"/>
        <v>-21</v>
      </c>
      <c r="CU102" s="46">
        <f t="shared" si="228"/>
        <v>-89</v>
      </c>
      <c r="CV102" s="46">
        <f t="shared" si="229"/>
        <v>-10</v>
      </c>
      <c r="CW102" s="46">
        <f t="shared" si="230"/>
        <v>0</v>
      </c>
      <c r="CX102" s="46">
        <f t="shared" si="230"/>
        <v>0</v>
      </c>
      <c r="CY102" s="46">
        <f t="shared" si="230"/>
        <v>0</v>
      </c>
      <c r="CZ102" s="44">
        <f t="shared" si="230"/>
        <v>0</v>
      </c>
      <c r="DA102" s="86"/>
      <c r="DB102" s="59"/>
      <c r="DC102"/>
      <c r="DD102"/>
      <c r="DE102"/>
      <c r="DF102"/>
      <c r="DG102"/>
      <c r="DH102"/>
    </row>
    <row r="103" spans="1:112" s="82" customFormat="1" ht="12" customHeight="1">
      <c r="A103" s="1906" t="s">
        <v>125</v>
      </c>
      <c r="B103" s="1907">
        <f>42.618+7.357</f>
        <v>49.975000000000001</v>
      </c>
      <c r="C103" s="1907">
        <f>18.475+64.492</f>
        <v>82.967000000000013</v>
      </c>
      <c r="D103" s="1907">
        <v>169.935</v>
      </c>
      <c r="E103" s="1907">
        <f>-106.8+28.664</f>
        <v>-78.135999999999996</v>
      </c>
      <c r="F103" s="1907">
        <v>48.048000000000002</v>
      </c>
      <c r="G103" s="1873">
        <v>11.004</v>
      </c>
      <c r="H103" s="1873">
        <f>107.702-G103</f>
        <v>96.697999999999993</v>
      </c>
      <c r="I103" s="1888">
        <f>179.06-H103-G103</f>
        <v>71.358000000000004</v>
      </c>
      <c r="J103" s="1888">
        <f>51.983-I103-H103-G103</f>
        <v>-127.07700000000001</v>
      </c>
      <c r="K103" s="1909">
        <f t="shared" si="196"/>
        <v>51.98299999999999</v>
      </c>
      <c r="L103" s="1888">
        <v>19.175999999999998</v>
      </c>
      <c r="M103" s="1888">
        <f>58.786-L103</f>
        <v>39.61</v>
      </c>
      <c r="N103" s="1888">
        <f>132.672-M103-L103</f>
        <v>73.885999999999996</v>
      </c>
      <c r="O103" s="1888">
        <f>-36.94-N103-M103-L103</f>
        <v>-169.61199999999997</v>
      </c>
      <c r="P103" s="1909">
        <f t="shared" si="197"/>
        <v>-36.939999999999969</v>
      </c>
      <c r="Q103" s="1888">
        <v>11.516</v>
      </c>
      <c r="R103" s="1908">
        <f>90.828-Q103</f>
        <v>79.311999999999998</v>
      </c>
      <c r="S103" s="1908">
        <f>170.148-R103-Q103</f>
        <v>79.319999999999993</v>
      </c>
      <c r="T103" s="1908">
        <f>7.354-S103-R103-Q103</f>
        <v>-162.79399999999998</v>
      </c>
      <c r="U103" s="1909">
        <f t="shared" si="198"/>
        <v>7.3540000000000134</v>
      </c>
      <c r="V103" s="1888">
        <v>1.6080000000000001</v>
      </c>
      <c r="W103" s="1908">
        <f>67.926-V103</f>
        <v>66.317999999999998</v>
      </c>
      <c r="X103" s="1908">
        <f>161.624-W103-V103</f>
        <v>93.697999999999993</v>
      </c>
      <c r="Y103" s="1908">
        <f>-17.892-X103-W103-V103</f>
        <v>-179.51599999999999</v>
      </c>
      <c r="Z103" s="1909">
        <f t="shared" si="199"/>
        <v>-17.891999999999996</v>
      </c>
      <c r="AA103" s="1888">
        <v>12.3</v>
      </c>
      <c r="AB103" s="1908">
        <f>61.5-AA103</f>
        <v>49.2</v>
      </c>
      <c r="AC103" s="1908">
        <f>181.5-AB103-AA103</f>
        <v>120.00000000000001</v>
      </c>
      <c r="AD103" s="1908">
        <f>-38.433-AC103-AB103-AA103</f>
        <v>-219.93300000000005</v>
      </c>
      <c r="AE103" s="1909">
        <f t="shared" si="200"/>
        <v>-38.43300000000005</v>
      </c>
      <c r="AF103" s="1888">
        <v>50.7</v>
      </c>
      <c r="AG103" s="1908">
        <f>100-AF103</f>
        <v>49.3</v>
      </c>
      <c r="AH103" s="1908">
        <f>288.4-AG103-AF103</f>
        <v>188.39999999999998</v>
      </c>
      <c r="AI103" s="1908">
        <f>49-SUM(AF103:AH103)</f>
        <v>-239.39999999999998</v>
      </c>
      <c r="AJ103" s="1909">
        <f t="shared" si="201"/>
        <v>49</v>
      </c>
      <c r="AK103" s="1888">
        <v>53</v>
      </c>
      <c r="AL103" s="1908">
        <f>94-AK103</f>
        <v>41</v>
      </c>
      <c r="AM103" s="1908">
        <f>115-SUM(AK103:AL103)</f>
        <v>21</v>
      </c>
      <c r="AN103" s="1908">
        <f>119-SUM(AK103:AM103)</f>
        <v>4</v>
      </c>
      <c r="AO103" s="1909">
        <f t="shared" si="202"/>
        <v>119</v>
      </c>
      <c r="AP103" s="1888">
        <v>-148</v>
      </c>
      <c r="AQ103" s="1908">
        <f>-166-AP103</f>
        <v>-18</v>
      </c>
      <c r="AR103" s="1908">
        <f>-121-SUM(AP103:AQ103)</f>
        <v>45</v>
      </c>
      <c r="AS103" s="1908">
        <f>-238-SUM(AP103:AR103)</f>
        <v>-117</v>
      </c>
      <c r="AT103" s="1909">
        <f t="shared" si="203"/>
        <v>-238</v>
      </c>
      <c r="AU103" s="1888">
        <v>95</v>
      </c>
      <c r="AV103" s="1908">
        <f>111-AU103</f>
        <v>16</v>
      </c>
      <c r="AW103" s="1910">
        <f>93-AV103-AU103</f>
        <v>-18</v>
      </c>
      <c r="AX103" s="1911">
        <f>+-93-SUM(AU103:AW103)</f>
        <v>-186</v>
      </c>
      <c r="AY103" s="1909">
        <f t="shared" si="204"/>
        <v>-93</v>
      </c>
      <c r="AZ103" s="1872">
        <v>110</v>
      </c>
      <c r="BA103" s="1872">
        <f>119-AZ103</f>
        <v>9</v>
      </c>
      <c r="BB103" s="1872">
        <f>140-SUM(AZ103:BA103)</f>
        <v>21</v>
      </c>
      <c r="BC103" s="1873">
        <f>61-SUM(AZ103:BB103)</f>
        <v>-79</v>
      </c>
      <c r="BD103" s="1909">
        <f t="shared" si="205"/>
        <v>61</v>
      </c>
      <c r="BE103" s="1872">
        <v>99</v>
      </c>
      <c r="BF103" s="1872">
        <f>73-BE103</f>
        <v>-26</v>
      </c>
      <c r="BG103" s="1872">
        <f>352-SUM(BE103:BF103)</f>
        <v>279</v>
      </c>
      <c r="BH103" s="1873">
        <f>132-SUM(BE103:BG103)</f>
        <v>-220</v>
      </c>
      <c r="BI103" s="1909">
        <f t="shared" si="206"/>
        <v>132</v>
      </c>
      <c r="BJ103" s="1872">
        <v>146</v>
      </c>
      <c r="BK103" s="1872">
        <f>-45-BJ103</f>
        <v>-191</v>
      </c>
      <c r="BL103" s="2167">
        <f>-42-SUM(BJ103:BK103)</f>
        <v>3</v>
      </c>
      <c r="BM103" s="2167">
        <f>32-SUM(BJ103:BL103)</f>
        <v>74</v>
      </c>
      <c r="BN103" s="1909">
        <f t="shared" si="207"/>
        <v>32</v>
      </c>
      <c r="BO103" s="2167">
        <v>74</v>
      </c>
      <c r="BP103" s="1910">
        <f>BP165-BO165</f>
        <v>-14.121805327651941</v>
      </c>
      <c r="BQ103" s="1910">
        <f>BQ165-BP165</f>
        <v>-3.2632794457124561</v>
      </c>
      <c r="BR103" s="1910">
        <f>BR165-BQ165</f>
        <v>-49.192150565287257</v>
      </c>
      <c r="BS103" s="1909">
        <f t="shared" si="209"/>
        <v>7.4227646613483458</v>
      </c>
      <c r="BT103" s="1910">
        <f>BT165-BS165</f>
        <v>71.646268268002899</v>
      </c>
      <c r="BU103" s="1910">
        <f>BU165-BT165</f>
        <v>-14.113544819487998</v>
      </c>
      <c r="BV103" s="1910">
        <f>BV165-BU165</f>
        <v>-3.3552522021409885</v>
      </c>
      <c r="BW103" s="1910">
        <f>BW165-BV165</f>
        <v>-52.181172275589738</v>
      </c>
      <c r="BX103" s="1909">
        <f t="shared" si="214"/>
        <v>1.9962989707841743</v>
      </c>
      <c r="BY103" s="1912">
        <f>BY165-BX165</f>
        <v>1.8311502335381036</v>
      </c>
      <c r="BZ103" s="1912">
        <f>BZ165-BY165</f>
        <v>1.9412028376024963</v>
      </c>
      <c r="CA103" s="1912">
        <f>CA165-BZ165</f>
        <v>1.8362380350170895</v>
      </c>
      <c r="CB103" s="251"/>
      <c r="CC103" s="1360"/>
      <c r="CD103" s="83" t="str">
        <f t="shared" si="195"/>
        <v xml:space="preserve">Net Change in Prepaid/Accrued Income Taxes </v>
      </c>
      <c r="CE103" s="46">
        <f t="shared" si="216"/>
        <v>49.975000000000001</v>
      </c>
      <c r="CF103" s="46">
        <f t="shared" si="216"/>
        <v>82.967000000000013</v>
      </c>
      <c r="CG103" s="46">
        <f t="shared" si="216"/>
        <v>169.935</v>
      </c>
      <c r="CH103" s="46">
        <f t="shared" si="216"/>
        <v>-78.135999999999996</v>
      </c>
      <c r="CI103" s="46">
        <f t="shared" si="216"/>
        <v>48.048000000000002</v>
      </c>
      <c r="CJ103" s="46">
        <f t="shared" si="217"/>
        <v>51.98299999999999</v>
      </c>
      <c r="CK103" s="46">
        <f t="shared" si="218"/>
        <v>-36.939999999999969</v>
      </c>
      <c r="CL103" s="46">
        <f t="shared" si="219"/>
        <v>7.3540000000000134</v>
      </c>
      <c r="CM103" s="46">
        <f t="shared" si="220"/>
        <v>-17.891999999999996</v>
      </c>
      <c r="CN103" s="46">
        <f t="shared" si="221"/>
        <v>-38.43300000000005</v>
      </c>
      <c r="CO103" s="46">
        <f t="shared" si="222"/>
        <v>49</v>
      </c>
      <c r="CP103" s="46">
        <f t="shared" si="223"/>
        <v>119</v>
      </c>
      <c r="CQ103" s="46">
        <f t="shared" si="224"/>
        <v>-238</v>
      </c>
      <c r="CR103" s="46">
        <f t="shared" si="225"/>
        <v>-93</v>
      </c>
      <c r="CS103" s="46">
        <f t="shared" si="226"/>
        <v>61</v>
      </c>
      <c r="CT103" s="46">
        <f t="shared" si="227"/>
        <v>132</v>
      </c>
      <c r="CU103" s="46">
        <f t="shared" si="228"/>
        <v>32</v>
      </c>
      <c r="CV103" s="46">
        <f t="shared" si="229"/>
        <v>7.4227646613483458</v>
      </c>
      <c r="CW103" s="46">
        <f t="shared" si="230"/>
        <v>1.9962989707841743</v>
      </c>
      <c r="CX103" s="46">
        <f t="shared" si="230"/>
        <v>1.8311502335381036</v>
      </c>
      <c r="CY103" s="46">
        <f t="shared" si="230"/>
        <v>1.9412028376024963</v>
      </c>
      <c r="CZ103" s="44">
        <f t="shared" si="230"/>
        <v>1.8362380350170895</v>
      </c>
      <c r="DA103" s="86"/>
      <c r="DB103" s="59"/>
      <c r="DC103"/>
      <c r="DD103"/>
      <c r="DE103"/>
      <c r="DF103"/>
      <c r="DG103"/>
      <c r="DH103"/>
    </row>
    <row r="104" spans="1:112" s="82" customFormat="1" ht="12" customHeight="1">
      <c r="A104" s="1906" t="s">
        <v>126</v>
      </c>
      <c r="B104" s="1907">
        <f>3.196</f>
        <v>3.1960000000000002</v>
      </c>
      <c r="C104" s="1907">
        <v>18.920999999999999</v>
      </c>
      <c r="D104" s="1907">
        <f>12.886-50.017</f>
        <v>-37.131</v>
      </c>
      <c r="E104" s="1907">
        <v>27.013999999999999</v>
      </c>
      <c r="F104" s="1907">
        <v>50.465000000000003</v>
      </c>
      <c r="G104" s="1873">
        <v>4.2229999999999999</v>
      </c>
      <c r="H104" s="1888">
        <f>25.405-G104</f>
        <v>21.182000000000002</v>
      </c>
      <c r="I104" s="1888">
        <f>39.157-H104-G104</f>
        <v>13.751999999999995</v>
      </c>
      <c r="J104" s="1888">
        <f>26.929-I104-H104-G104</f>
        <v>-12.227999999999998</v>
      </c>
      <c r="K104" s="1909">
        <f t="shared" si="196"/>
        <v>26.928999999999998</v>
      </c>
      <c r="L104" s="1888">
        <v>12.535</v>
      </c>
      <c r="M104" s="1888">
        <f>37.656-L104</f>
        <v>25.120999999999999</v>
      </c>
      <c r="N104" s="1888">
        <f>59.41-M104-L104</f>
        <v>21.754000000000001</v>
      </c>
      <c r="O104" s="1888">
        <f>6.403-N104-M104-L104</f>
        <v>-53.007000000000005</v>
      </c>
      <c r="P104" s="1909">
        <f t="shared" si="197"/>
        <v>6.4029999999999916</v>
      </c>
      <c r="Q104" s="1888">
        <v>-15.488</v>
      </c>
      <c r="R104" s="1908">
        <f>-7.603-Q104</f>
        <v>7.8849999999999998</v>
      </c>
      <c r="S104" s="1908">
        <f>-3.504-R104-Q104</f>
        <v>4.0990000000000002</v>
      </c>
      <c r="T104" s="1908">
        <f>4.703-S104-R104-Q104</f>
        <v>8.2070000000000007</v>
      </c>
      <c r="U104" s="1909">
        <f t="shared" si="198"/>
        <v>4.7030000000000012</v>
      </c>
      <c r="V104" s="1888">
        <v>-3.99</v>
      </c>
      <c r="W104" s="1908">
        <f>-7.361-V104</f>
        <v>-3.3709999999999996</v>
      </c>
      <c r="X104" s="1908">
        <f>-33.24-W104-V104</f>
        <v>-25.879000000000005</v>
      </c>
      <c r="Y104" s="1908">
        <f>-54.286-X104-W104-V104</f>
        <v>-21.045999999999999</v>
      </c>
      <c r="Z104" s="1909">
        <f t="shared" si="199"/>
        <v>-54.286000000000001</v>
      </c>
      <c r="AA104" s="1888">
        <v>0.4</v>
      </c>
      <c r="AB104" s="1908">
        <f>2.5-AA104</f>
        <v>2.1</v>
      </c>
      <c r="AC104" s="1908">
        <f>-13.3-AB104-AA104</f>
        <v>-15.8</v>
      </c>
      <c r="AD104" s="1908">
        <f>-137.403-AC104-AB104-AA104</f>
        <v>-124.10299999999999</v>
      </c>
      <c r="AE104" s="1909">
        <f t="shared" si="200"/>
        <v>-137.40299999999999</v>
      </c>
      <c r="AF104" s="1888">
        <v>14.4</v>
      </c>
      <c r="AG104" s="1908">
        <f>8.6-AF104</f>
        <v>-5.8000000000000007</v>
      </c>
      <c r="AH104" s="1908">
        <f>16.3-AG104-AF104</f>
        <v>7.7000000000000011</v>
      </c>
      <c r="AI104" s="1908">
        <f>15-SUM(AF104:AH104)</f>
        <v>-1.3000000000000007</v>
      </c>
      <c r="AJ104" s="1909">
        <f t="shared" si="201"/>
        <v>15</v>
      </c>
      <c r="AK104" s="1888">
        <v>-16</v>
      </c>
      <c r="AL104" s="1908">
        <f>-30-AK104</f>
        <v>-14</v>
      </c>
      <c r="AM104" s="1908">
        <f>-42-SUM(AK104:AL104)</f>
        <v>-12</v>
      </c>
      <c r="AN104" s="1908">
        <f>-204-SUM(AK104:AM104)</f>
        <v>-162</v>
      </c>
      <c r="AO104" s="1909">
        <f t="shared" si="202"/>
        <v>-204</v>
      </c>
      <c r="AP104" s="1888">
        <v>8</v>
      </c>
      <c r="AQ104" s="1908">
        <f>-17-AP104</f>
        <v>-25</v>
      </c>
      <c r="AR104" s="1908">
        <f>-41-SUM(AP104:AQ104)</f>
        <v>-24</v>
      </c>
      <c r="AS104" s="1908">
        <f>-110-SUM(AP104:AR104)</f>
        <v>-69</v>
      </c>
      <c r="AT104" s="1909">
        <f t="shared" si="203"/>
        <v>-110</v>
      </c>
      <c r="AU104" s="1888">
        <v>-23</v>
      </c>
      <c r="AV104" s="1908">
        <f>-51-AU104</f>
        <v>-28</v>
      </c>
      <c r="AW104" s="1910">
        <f>-51-AV104-AU104</f>
        <v>0</v>
      </c>
      <c r="AX104" s="1911">
        <f>+-55-SUM(AU104:AW104)</f>
        <v>-4</v>
      </c>
      <c r="AY104" s="1909">
        <f t="shared" si="204"/>
        <v>-55</v>
      </c>
      <c r="AZ104" s="1872">
        <v>1</v>
      </c>
      <c r="BA104" s="1872">
        <f>+-31-AZ104+1</f>
        <v>-31</v>
      </c>
      <c r="BB104" s="1872">
        <f>+-60-SUM(AZ104:BA104)+1</f>
        <v>-29</v>
      </c>
      <c r="BC104" s="1872">
        <f>+-35-SUM(AZ104:BB104)</f>
        <v>24</v>
      </c>
      <c r="BD104" s="1909">
        <f t="shared" si="205"/>
        <v>-35</v>
      </c>
      <c r="BE104" s="1872">
        <f>+-31-108</f>
        <v>-139</v>
      </c>
      <c r="BF104" s="1872">
        <f>+-44-108-BE104</f>
        <v>-13</v>
      </c>
      <c r="BG104" s="1872">
        <f>+-134-57-SUM(BE104:BF104)</f>
        <v>-39</v>
      </c>
      <c r="BH104" s="1872">
        <f>45-150-SUM(BE104:BG104)</f>
        <v>86</v>
      </c>
      <c r="BI104" s="1909">
        <f t="shared" si="206"/>
        <v>-105</v>
      </c>
      <c r="BJ104" s="1872">
        <f>-24-1</f>
        <v>-25</v>
      </c>
      <c r="BK104" s="1872">
        <f>-29-BJ104</f>
        <v>-4</v>
      </c>
      <c r="BL104" s="2167">
        <f>-36-SUM(BJ104:BK104)</f>
        <v>-7</v>
      </c>
      <c r="BM104" s="2167">
        <f>15-SUM(BJ104:BL104)</f>
        <v>51</v>
      </c>
      <c r="BN104" s="1909">
        <f t="shared" si="207"/>
        <v>15</v>
      </c>
      <c r="BO104" s="2167">
        <v>-44</v>
      </c>
      <c r="BP104" s="1910">
        <f>BP172-BO172+BP173-BO173</f>
        <v>0</v>
      </c>
      <c r="BQ104" s="1910">
        <f>BQ172-BP172+BQ173-BP173</f>
        <v>0</v>
      </c>
      <c r="BR104" s="1910">
        <f>BR172-BQ172+BR173-BQ173</f>
        <v>0</v>
      </c>
      <c r="BS104" s="1909">
        <f t="shared" si="209"/>
        <v>-44</v>
      </c>
      <c r="BT104" s="1910">
        <f>BT172-BS172+BT173-BS173</f>
        <v>0</v>
      </c>
      <c r="BU104" s="1910">
        <f>BU172-BT172+BU173-BT173</f>
        <v>0</v>
      </c>
      <c r="BV104" s="1910">
        <f>BV172-BU172+BV173-BU173</f>
        <v>0</v>
      </c>
      <c r="BW104" s="1910">
        <f>BW172-BV172+BW173-BV173</f>
        <v>0</v>
      </c>
      <c r="BX104" s="1909">
        <f t="shared" si="214"/>
        <v>0</v>
      </c>
      <c r="BY104" s="1912">
        <f>BY172-BX172+BY173-BX173</f>
        <v>0</v>
      </c>
      <c r="BZ104" s="1912">
        <f>BZ172-BY172+BZ173-BY173</f>
        <v>0</v>
      </c>
      <c r="CA104" s="1912">
        <f>CA172-BZ172+CA173-BZ173</f>
        <v>0</v>
      </c>
      <c r="CB104" s="251"/>
      <c r="CC104" s="1360"/>
      <c r="CD104" s="83" t="str">
        <f t="shared" si="195"/>
        <v>Net change in Other Assets and Liabilities</v>
      </c>
      <c r="CE104" s="46">
        <f t="shared" si="216"/>
        <v>3.1960000000000002</v>
      </c>
      <c r="CF104" s="46">
        <f t="shared" si="216"/>
        <v>18.920999999999999</v>
      </c>
      <c r="CG104" s="46">
        <f t="shared" si="216"/>
        <v>-37.131</v>
      </c>
      <c r="CH104" s="46">
        <f t="shared" si="216"/>
        <v>27.013999999999999</v>
      </c>
      <c r="CI104" s="46">
        <f t="shared" si="216"/>
        <v>50.465000000000003</v>
      </c>
      <c r="CJ104" s="46">
        <f t="shared" si="217"/>
        <v>26.928999999999998</v>
      </c>
      <c r="CK104" s="46">
        <f t="shared" si="218"/>
        <v>6.4029999999999916</v>
      </c>
      <c r="CL104" s="46">
        <f t="shared" si="219"/>
        <v>4.7030000000000012</v>
      </c>
      <c r="CM104" s="46">
        <f t="shared" si="220"/>
        <v>-54.286000000000001</v>
      </c>
      <c r="CN104" s="46">
        <f t="shared" si="221"/>
        <v>-137.40299999999999</v>
      </c>
      <c r="CO104" s="46">
        <f t="shared" si="222"/>
        <v>15</v>
      </c>
      <c r="CP104" s="46">
        <f t="shared" si="223"/>
        <v>-204</v>
      </c>
      <c r="CQ104" s="46">
        <f t="shared" si="224"/>
        <v>-110</v>
      </c>
      <c r="CR104" s="46">
        <f t="shared" si="225"/>
        <v>-55</v>
      </c>
      <c r="CS104" s="46">
        <f t="shared" si="226"/>
        <v>-35</v>
      </c>
      <c r="CT104" s="46">
        <f t="shared" si="227"/>
        <v>-105</v>
      </c>
      <c r="CU104" s="46">
        <f t="shared" si="228"/>
        <v>15</v>
      </c>
      <c r="CV104" s="46">
        <f t="shared" si="229"/>
        <v>-44</v>
      </c>
      <c r="CW104" s="46">
        <f t="shared" si="230"/>
        <v>0</v>
      </c>
      <c r="CX104" s="46">
        <f t="shared" si="230"/>
        <v>0</v>
      </c>
      <c r="CY104" s="46">
        <f t="shared" si="230"/>
        <v>0</v>
      </c>
      <c r="CZ104" s="44">
        <f t="shared" si="230"/>
        <v>0</v>
      </c>
      <c r="DA104" s="86"/>
      <c r="DB104" s="59"/>
      <c r="DC104"/>
      <c r="DD104"/>
      <c r="DE104"/>
      <c r="DF104"/>
      <c r="DG104"/>
      <c r="DH104"/>
    </row>
    <row r="105" spans="1:112" ht="5.25" customHeight="1">
      <c r="A105" s="42"/>
      <c r="B105" s="387" t="s">
        <v>62</v>
      </c>
      <c r="C105" s="387" t="s">
        <v>62</v>
      </c>
      <c r="D105" s="387" t="s">
        <v>62</v>
      </c>
      <c r="E105" s="387" t="s">
        <v>62</v>
      </c>
      <c r="F105" s="387" t="s">
        <v>62</v>
      </c>
      <c r="G105" s="388" t="s">
        <v>62</v>
      </c>
      <c r="H105" s="388" t="s">
        <v>62</v>
      </c>
      <c r="I105" s="388" t="s">
        <v>62</v>
      </c>
      <c r="J105" s="388" t="s">
        <v>62</v>
      </c>
      <c r="K105" s="387" t="s">
        <v>62</v>
      </c>
      <c r="L105" s="388" t="s">
        <v>62</v>
      </c>
      <c r="M105" s="388" t="s">
        <v>62</v>
      </c>
      <c r="N105" s="388" t="s">
        <v>62</v>
      </c>
      <c r="O105" s="388" t="s">
        <v>62</v>
      </c>
      <c r="P105" s="387" t="s">
        <v>62</v>
      </c>
      <c r="Q105" s="388" t="s">
        <v>62</v>
      </c>
      <c r="R105" s="388" t="s">
        <v>62</v>
      </c>
      <c r="S105" s="388" t="s">
        <v>62</v>
      </c>
      <c r="T105" s="388" t="s">
        <v>62</v>
      </c>
      <c r="U105" s="387" t="s">
        <v>62</v>
      </c>
      <c r="V105" s="388" t="s">
        <v>62</v>
      </c>
      <c r="W105" s="388" t="s">
        <v>62</v>
      </c>
      <c r="X105" s="388" t="s">
        <v>62</v>
      </c>
      <c r="Y105" s="388" t="s">
        <v>62</v>
      </c>
      <c r="Z105" s="387" t="s">
        <v>62</v>
      </c>
      <c r="AA105" s="388" t="s">
        <v>62</v>
      </c>
      <c r="AB105" s="388" t="s">
        <v>62</v>
      </c>
      <c r="AC105" s="388" t="s">
        <v>62</v>
      </c>
      <c r="AD105" s="388" t="s">
        <v>62</v>
      </c>
      <c r="AE105" s="387" t="s">
        <v>62</v>
      </c>
      <c r="AF105" s="388" t="s">
        <v>62</v>
      </c>
      <c r="AG105" s="388" t="s">
        <v>62</v>
      </c>
      <c r="AH105" s="388" t="s">
        <v>62</v>
      </c>
      <c r="AI105" s="388" t="s">
        <v>62</v>
      </c>
      <c r="AJ105" s="387" t="s">
        <v>62</v>
      </c>
      <c r="AK105" s="388" t="s">
        <v>62</v>
      </c>
      <c r="AL105" s="388" t="s">
        <v>62</v>
      </c>
      <c r="AM105" s="388" t="s">
        <v>62</v>
      </c>
      <c r="AN105" s="388" t="s">
        <v>62</v>
      </c>
      <c r="AO105" s="387" t="s">
        <v>62</v>
      </c>
      <c r="AP105" s="388" t="s">
        <v>62</v>
      </c>
      <c r="AQ105" s="388" t="s">
        <v>62</v>
      </c>
      <c r="AR105" s="388" t="s">
        <v>62</v>
      </c>
      <c r="AS105" s="388" t="s">
        <v>62</v>
      </c>
      <c r="AT105" s="387" t="s">
        <v>62</v>
      </c>
      <c r="AU105" s="388" t="s">
        <v>62</v>
      </c>
      <c r="AV105" s="388" t="s">
        <v>62</v>
      </c>
      <c r="AW105" s="388" t="s">
        <v>62</v>
      </c>
      <c r="AX105" s="388" t="s">
        <v>62</v>
      </c>
      <c r="AY105" s="387" t="s">
        <v>62</v>
      </c>
      <c r="AZ105" s="388" t="s">
        <v>62</v>
      </c>
      <c r="BA105" s="388" t="s">
        <v>62</v>
      </c>
      <c r="BB105" s="388" t="s">
        <v>62</v>
      </c>
      <c r="BC105" s="90" t="s">
        <v>62</v>
      </c>
      <c r="BD105" s="387" t="s">
        <v>62</v>
      </c>
      <c r="BE105" s="388" t="s">
        <v>62</v>
      </c>
      <c r="BF105" s="388" t="s">
        <v>62</v>
      </c>
      <c r="BG105" s="388" t="s">
        <v>62</v>
      </c>
      <c r="BH105" s="90" t="s">
        <v>62</v>
      </c>
      <c r="BI105" s="387" t="s">
        <v>62</v>
      </c>
      <c r="BJ105" s="90" t="s">
        <v>62</v>
      </c>
      <c r="BK105" s="388" t="s">
        <v>62</v>
      </c>
      <c r="BL105" s="388" t="s">
        <v>62</v>
      </c>
      <c r="BM105" s="388" t="s">
        <v>62</v>
      </c>
      <c r="BN105" s="387" t="s">
        <v>62</v>
      </c>
      <c r="BO105" s="388" t="s">
        <v>62</v>
      </c>
      <c r="BP105" s="388" t="s">
        <v>62</v>
      </c>
      <c r="BQ105" s="388" t="s">
        <v>62</v>
      </c>
      <c r="BR105" s="388" t="s">
        <v>62</v>
      </c>
      <c r="BS105" s="387" t="s">
        <v>62</v>
      </c>
      <c r="BT105" s="388" t="s">
        <v>62</v>
      </c>
      <c r="BU105" s="388" t="s">
        <v>62</v>
      </c>
      <c r="BV105" s="388" t="s">
        <v>62</v>
      </c>
      <c r="BW105" s="388" t="s">
        <v>62</v>
      </c>
      <c r="BX105" s="387" t="s">
        <v>62</v>
      </c>
      <c r="BY105" s="389" t="s">
        <v>62</v>
      </c>
      <c r="BZ105" s="389" t="s">
        <v>62</v>
      </c>
      <c r="CA105" s="389" t="s">
        <v>62</v>
      </c>
      <c r="CB105" s="10"/>
      <c r="CD105" s="382"/>
      <c r="CE105" s="90" t="s">
        <v>62</v>
      </c>
      <c r="CF105" s="90" t="s">
        <v>62</v>
      </c>
      <c r="CG105" s="90" t="s">
        <v>62</v>
      </c>
      <c r="CH105" s="90" t="s">
        <v>62</v>
      </c>
      <c r="CI105" s="90" t="s">
        <v>62</v>
      </c>
      <c r="CJ105" s="90" t="s">
        <v>62</v>
      </c>
      <c r="CK105" s="90" t="s">
        <v>62</v>
      </c>
      <c r="CL105" s="90" t="s">
        <v>62</v>
      </c>
      <c r="CM105" s="90" t="s">
        <v>62</v>
      </c>
      <c r="CN105" s="90" t="s">
        <v>62</v>
      </c>
      <c r="CO105" s="90" t="s">
        <v>62</v>
      </c>
      <c r="CP105" s="90" t="s">
        <v>62</v>
      </c>
      <c r="CQ105" s="90" t="s">
        <v>62</v>
      </c>
      <c r="CR105" s="90" t="s">
        <v>62</v>
      </c>
      <c r="CS105" s="90" t="s">
        <v>62</v>
      </c>
      <c r="CT105" s="90" t="s">
        <v>62</v>
      </c>
      <c r="CU105" s="90" t="s">
        <v>62</v>
      </c>
      <c r="CV105" s="90" t="s">
        <v>62</v>
      </c>
      <c r="CW105" s="90" t="s">
        <v>62</v>
      </c>
      <c r="CX105" s="90" t="s">
        <v>62</v>
      </c>
      <c r="CY105" s="90" t="s">
        <v>62</v>
      </c>
      <c r="CZ105" s="99" t="s">
        <v>62</v>
      </c>
      <c r="DA105" s="58"/>
      <c r="DB105" s="100"/>
    </row>
    <row r="106" spans="1:112" s="70" customFormat="1" ht="12" customHeight="1">
      <c r="A106" s="1898" t="s">
        <v>127</v>
      </c>
      <c r="B106" s="1914">
        <f t="shared" ref="B106:AH106" si="237">SUM(B84:B104)</f>
        <v>1099.5809999999999</v>
      </c>
      <c r="C106" s="1903">
        <f t="shared" si="237"/>
        <v>1142.3909999999998</v>
      </c>
      <c r="D106" s="1903">
        <f t="shared" si="237"/>
        <v>1382.3449999999998</v>
      </c>
      <c r="E106" s="1903">
        <f t="shared" si="237"/>
        <v>1063.4720000000002</v>
      </c>
      <c r="F106" s="1903">
        <f t="shared" si="237"/>
        <v>1559.8899999999999</v>
      </c>
      <c r="G106" s="1902">
        <f t="shared" si="237"/>
        <v>-20.26500000000005</v>
      </c>
      <c r="H106" s="1902">
        <f t="shared" si="237"/>
        <v>313.52900000000005</v>
      </c>
      <c r="I106" s="1902">
        <f t="shared" si="237"/>
        <v>657.51299999999992</v>
      </c>
      <c r="J106" s="1902">
        <f t="shared" si="237"/>
        <v>558.52700000000016</v>
      </c>
      <c r="K106" s="1903">
        <f t="shared" si="237"/>
        <v>1509.3040000000001</v>
      </c>
      <c r="L106" s="1902">
        <f t="shared" si="237"/>
        <v>128.72600000000008</v>
      </c>
      <c r="M106" s="1902">
        <f t="shared" si="237"/>
        <v>259.80499999999989</v>
      </c>
      <c r="N106" s="1902">
        <f t="shared" si="237"/>
        <v>688.37</v>
      </c>
      <c r="O106" s="1902">
        <f t="shared" si="237"/>
        <v>640.05000000000018</v>
      </c>
      <c r="P106" s="1903">
        <f t="shared" si="237"/>
        <v>1716.9509999999996</v>
      </c>
      <c r="Q106" s="1902">
        <f t="shared" si="237"/>
        <v>-112.25699999999991</v>
      </c>
      <c r="R106" s="1902">
        <f t="shared" si="237"/>
        <v>149.66899999999993</v>
      </c>
      <c r="S106" s="1902">
        <f t="shared" si="237"/>
        <v>676.53499999999997</v>
      </c>
      <c r="T106" s="1902">
        <f t="shared" si="237"/>
        <v>454.80600000000004</v>
      </c>
      <c r="U106" s="1903">
        <f t="shared" si="237"/>
        <v>1168.7529999999999</v>
      </c>
      <c r="V106" s="1902">
        <f t="shared" si="237"/>
        <v>67.130999999999901</v>
      </c>
      <c r="W106" s="1902">
        <f t="shared" si="237"/>
        <v>226.99500000000003</v>
      </c>
      <c r="X106" s="1902">
        <f t="shared" si="237"/>
        <v>609.40499999999986</v>
      </c>
      <c r="Y106" s="1902">
        <f t="shared" si="237"/>
        <v>426.41000000000014</v>
      </c>
      <c r="Z106" s="1903">
        <f t="shared" si="237"/>
        <v>1329.941</v>
      </c>
      <c r="AA106" s="1902">
        <f t="shared" si="237"/>
        <v>106.40000000000002</v>
      </c>
      <c r="AB106" s="1902">
        <f t="shared" si="237"/>
        <v>253.1</v>
      </c>
      <c r="AC106" s="1902">
        <f t="shared" si="237"/>
        <v>693.79999999999984</v>
      </c>
      <c r="AD106" s="1902">
        <f t="shared" si="237"/>
        <v>404.87899999999996</v>
      </c>
      <c r="AE106" s="1903">
        <f t="shared" si="237"/>
        <v>1458.1789999999999</v>
      </c>
      <c r="AF106" s="1902">
        <f t="shared" si="237"/>
        <v>49.100000000000037</v>
      </c>
      <c r="AG106" s="1902">
        <f t="shared" si="237"/>
        <v>289.29999999999995</v>
      </c>
      <c r="AH106" s="1902">
        <f t="shared" si="237"/>
        <v>699.2</v>
      </c>
      <c r="AI106" s="1902">
        <f>SUM(AI84:AI104)</f>
        <v>307.2</v>
      </c>
      <c r="AJ106" s="1903">
        <f>SUM(AJ84:AJ104)</f>
        <v>1344.8</v>
      </c>
      <c r="AK106" s="1902">
        <f>SUM(AK84:AK104)</f>
        <v>26</v>
      </c>
      <c r="AL106" s="1902">
        <f>SUM(AL84:AL104)</f>
        <v>193</v>
      </c>
      <c r="AM106" s="1902">
        <f>SUM(AM84:AM104)</f>
        <v>379</v>
      </c>
      <c r="AN106" s="1902">
        <f t="shared" ref="AN106:AT106" si="238">SUM(AN84:AN104)</f>
        <v>149</v>
      </c>
      <c r="AO106" s="1903">
        <f t="shared" si="238"/>
        <v>747</v>
      </c>
      <c r="AP106" s="1902">
        <f t="shared" si="238"/>
        <v>-47</v>
      </c>
      <c r="AQ106" s="1902">
        <f t="shared" si="238"/>
        <v>273</v>
      </c>
      <c r="AR106" s="1902">
        <f t="shared" si="238"/>
        <v>250</v>
      </c>
      <c r="AS106" s="1902">
        <f t="shared" si="238"/>
        <v>319</v>
      </c>
      <c r="AT106" s="1903">
        <f t="shared" si="238"/>
        <v>795</v>
      </c>
      <c r="AU106" s="1902">
        <f>+SUM(AU84:AU104)</f>
        <v>113.5</v>
      </c>
      <c r="AV106" s="1902">
        <f>+SUM(AV84:AV104)</f>
        <v>332.5</v>
      </c>
      <c r="AW106" s="1902">
        <f>+SUM(AW84:AW104)</f>
        <v>374</v>
      </c>
      <c r="AX106" s="1902">
        <f>+SUM(AX84:AX104)</f>
        <v>389</v>
      </c>
      <c r="AY106" s="1903">
        <f>SUM(AY84:AY104)</f>
        <v>1209</v>
      </c>
      <c r="AZ106" s="1902">
        <f t="shared" ref="AZ106:BY106" si="239">SUM(AZ84:AZ104)</f>
        <v>-1349</v>
      </c>
      <c r="BA106" s="1902">
        <f t="shared" si="239"/>
        <v>452</v>
      </c>
      <c r="BB106" s="1902">
        <f t="shared" si="239"/>
        <v>541</v>
      </c>
      <c r="BC106" s="1915">
        <f t="shared" si="239"/>
        <v>550</v>
      </c>
      <c r="BD106" s="1903">
        <f t="shared" si="239"/>
        <v>194</v>
      </c>
      <c r="BE106" s="1902">
        <f t="shared" si="239"/>
        <v>133</v>
      </c>
      <c r="BF106" s="1902">
        <f t="shared" si="239"/>
        <v>438.6</v>
      </c>
      <c r="BG106" s="1902">
        <f t="shared" si="239"/>
        <v>599</v>
      </c>
      <c r="BH106" s="1915">
        <f t="shared" si="239"/>
        <v>293.39999999999998</v>
      </c>
      <c r="BI106" s="1903">
        <f t="shared" si="239"/>
        <v>1464</v>
      </c>
      <c r="BJ106" s="1915">
        <f t="shared" si="239"/>
        <v>353</v>
      </c>
      <c r="BK106" s="1902">
        <f t="shared" si="239"/>
        <v>321</v>
      </c>
      <c r="BL106" s="1902">
        <f t="shared" si="239"/>
        <v>529</v>
      </c>
      <c r="BM106" s="1902">
        <f t="shared" si="239"/>
        <v>813</v>
      </c>
      <c r="BN106" s="1903">
        <f t="shared" si="239"/>
        <v>2016</v>
      </c>
      <c r="BO106" s="1902">
        <f t="shared" si="239"/>
        <v>360</v>
      </c>
      <c r="BP106" s="1902">
        <f t="shared" si="239"/>
        <v>724.20849878617628</v>
      </c>
      <c r="BQ106" s="1902">
        <f t="shared" si="239"/>
        <v>599.2816115220171</v>
      </c>
      <c r="BR106" s="1902">
        <f t="shared" si="239"/>
        <v>691.86735645776525</v>
      </c>
      <c r="BS106" s="1903">
        <f t="shared" si="239"/>
        <v>2375.35746676596</v>
      </c>
      <c r="BT106" s="1902">
        <f t="shared" ref="BT106:BX106" si="240">SUM(BT84:BT104)</f>
        <v>499.28771633772544</v>
      </c>
      <c r="BU106" s="1902">
        <f t="shared" si="240"/>
        <v>806.26076060869752</v>
      </c>
      <c r="BV106" s="1902">
        <f t="shared" si="240"/>
        <v>670.60851051401164</v>
      </c>
      <c r="BW106" s="1902">
        <f t="shared" si="240"/>
        <v>700.18039099208625</v>
      </c>
      <c r="BX106" s="1903">
        <f t="shared" si="240"/>
        <v>2676.3373784525197</v>
      </c>
      <c r="BY106" s="1916">
        <f t="shared" si="239"/>
        <v>2864.3623131419845</v>
      </c>
      <c r="BZ106" s="1916">
        <f>SUM(BZ84:BZ104)</f>
        <v>3076.1909513343321</v>
      </c>
      <c r="CA106" s="1916">
        <f>SUM(CA84:CA104)</f>
        <v>3252.7629112991667</v>
      </c>
      <c r="CB106" s="248"/>
      <c r="CC106" s="1359"/>
      <c r="CD106" s="227" t="str">
        <f>A106</f>
        <v>Cash provided by operating activities</v>
      </c>
      <c r="CE106" s="222">
        <f>SUM(CE84:CE104)</f>
        <v>1099.5809999999999</v>
      </c>
      <c r="CF106" s="222">
        <f t="shared" ref="CF106:CT106" si="241">SUM(CF84:CF104)</f>
        <v>1142.3909999999998</v>
      </c>
      <c r="CG106" s="222">
        <f t="shared" si="241"/>
        <v>1382.3449999999998</v>
      </c>
      <c r="CH106" s="222">
        <f t="shared" si="241"/>
        <v>1063.4720000000002</v>
      </c>
      <c r="CI106" s="222">
        <f t="shared" si="241"/>
        <v>1559.8899999999999</v>
      </c>
      <c r="CJ106" s="222">
        <f t="shared" si="241"/>
        <v>1509.3040000000001</v>
      </c>
      <c r="CK106" s="222">
        <f t="shared" si="241"/>
        <v>1716.9509999999996</v>
      </c>
      <c r="CL106" s="222">
        <f t="shared" si="241"/>
        <v>1168.7529999999999</v>
      </c>
      <c r="CM106" s="222">
        <f t="shared" si="241"/>
        <v>1329.941</v>
      </c>
      <c r="CN106" s="222">
        <f t="shared" si="241"/>
        <v>1458.1789999999999</v>
      </c>
      <c r="CO106" s="222">
        <f t="shared" si="241"/>
        <v>1344.8</v>
      </c>
      <c r="CP106" s="222">
        <f t="shared" si="241"/>
        <v>747</v>
      </c>
      <c r="CQ106" s="222">
        <f t="shared" si="241"/>
        <v>795</v>
      </c>
      <c r="CR106" s="222">
        <f t="shared" si="241"/>
        <v>1209</v>
      </c>
      <c r="CS106" s="222">
        <f t="shared" si="241"/>
        <v>194</v>
      </c>
      <c r="CT106" s="222">
        <f t="shared" si="241"/>
        <v>1464</v>
      </c>
      <c r="CU106" s="222">
        <f t="shared" ref="CU106:CZ106" si="242">SUM(CU84:CU104)</f>
        <v>2016</v>
      </c>
      <c r="CV106" s="222">
        <f t="shared" si="242"/>
        <v>2375.35746676596</v>
      </c>
      <c r="CW106" s="222">
        <f t="shared" si="242"/>
        <v>2676.3373784525197</v>
      </c>
      <c r="CX106" s="222">
        <f t="shared" si="242"/>
        <v>2864.3623131419845</v>
      </c>
      <c r="CY106" s="222">
        <f t="shared" si="242"/>
        <v>3076.1909513343321</v>
      </c>
      <c r="CZ106" s="228">
        <f t="shared" si="242"/>
        <v>3252.7629112991667</v>
      </c>
      <c r="DA106" s="74"/>
      <c r="DB106" s="59"/>
      <c r="DC106"/>
      <c r="DD106"/>
      <c r="DE106"/>
      <c r="DF106"/>
      <c r="DG106"/>
      <c r="DH106"/>
    </row>
    <row r="107" spans="1:112" ht="12" customHeight="1">
      <c r="A107" s="390"/>
      <c r="B107" s="79"/>
      <c r="C107" s="79"/>
      <c r="D107" s="79"/>
      <c r="E107" s="79"/>
      <c r="F107" s="79"/>
      <c r="G107" s="251"/>
      <c r="H107" s="86"/>
      <c r="I107" s="86"/>
      <c r="J107" s="86"/>
      <c r="K107" s="79"/>
      <c r="L107" s="86"/>
      <c r="M107" s="86"/>
      <c r="N107" s="86"/>
      <c r="O107" s="86"/>
      <c r="P107" s="79"/>
      <c r="Q107" s="86"/>
      <c r="R107" s="86"/>
      <c r="S107" s="86"/>
      <c r="T107" s="86"/>
      <c r="U107" s="79"/>
      <c r="V107" s="86"/>
      <c r="W107" s="86"/>
      <c r="X107" s="86"/>
      <c r="Y107" s="86"/>
      <c r="Z107" s="79"/>
      <c r="AA107" s="86"/>
      <c r="AB107" s="86"/>
      <c r="AC107" s="86"/>
      <c r="AD107" s="86"/>
      <c r="AE107" s="79"/>
      <c r="AF107" s="86"/>
      <c r="AG107" s="86"/>
      <c r="AH107" s="86"/>
      <c r="AI107" s="86"/>
      <c r="AJ107" s="79"/>
      <c r="AK107" s="86"/>
      <c r="AL107" s="86"/>
      <c r="AM107" s="86"/>
      <c r="AN107" s="86"/>
      <c r="AO107" s="79"/>
      <c r="AP107" s="86"/>
      <c r="AQ107" s="86"/>
      <c r="AR107" s="86"/>
      <c r="AS107" s="86"/>
      <c r="AT107" s="79"/>
      <c r="AU107" s="86"/>
      <c r="AV107" s="86"/>
      <c r="AW107" s="251"/>
      <c r="AX107" s="251"/>
      <c r="AY107" s="79"/>
      <c r="AZ107" s="251"/>
      <c r="BA107" s="251"/>
      <c r="BB107" s="251"/>
      <c r="BC107" s="251"/>
      <c r="BD107" s="79"/>
      <c r="BE107" s="251"/>
      <c r="BF107" s="251"/>
      <c r="BG107" s="251"/>
      <c r="BH107" s="251"/>
      <c r="BI107" s="79"/>
      <c r="BJ107" s="251"/>
      <c r="BK107" s="251"/>
      <c r="BL107" s="251"/>
      <c r="BM107" s="251"/>
      <c r="BN107" s="79"/>
      <c r="BO107" s="251"/>
      <c r="BP107" s="251"/>
      <c r="BQ107" s="251"/>
      <c r="BR107" s="251"/>
      <c r="BS107" s="79"/>
      <c r="BT107" s="251"/>
      <c r="BU107" s="251"/>
      <c r="BV107" s="251"/>
      <c r="BW107" s="251"/>
      <c r="BX107" s="79"/>
      <c r="BY107" s="384"/>
      <c r="BZ107" s="384"/>
      <c r="CA107" s="384"/>
      <c r="CB107" s="251"/>
      <c r="CD107" s="57"/>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4"/>
      <c r="DA107" s="58"/>
      <c r="DB107" s="59"/>
    </row>
    <row r="108" spans="1:112" ht="12" customHeight="1">
      <c r="A108" s="390" t="s">
        <v>128</v>
      </c>
      <c r="B108" s="79"/>
      <c r="C108" s="79"/>
      <c r="D108" s="79"/>
      <c r="E108" s="79"/>
      <c r="F108" s="79"/>
      <c r="G108" s="251"/>
      <c r="H108" s="86"/>
      <c r="I108" s="86"/>
      <c r="J108" s="86"/>
      <c r="K108" s="79"/>
      <c r="L108" s="86"/>
      <c r="M108" s="86"/>
      <c r="N108" s="86"/>
      <c r="O108" s="86"/>
      <c r="P108" s="79"/>
      <c r="Q108" s="86"/>
      <c r="R108" s="86"/>
      <c r="S108" s="86"/>
      <c r="T108" s="86"/>
      <c r="U108" s="79"/>
      <c r="V108" s="86"/>
      <c r="W108" s="86"/>
      <c r="X108" s="86"/>
      <c r="Y108" s="86"/>
      <c r="Z108" s="79"/>
      <c r="AA108" s="86"/>
      <c r="AB108" s="86"/>
      <c r="AC108" s="86"/>
      <c r="AD108" s="86"/>
      <c r="AE108" s="79"/>
      <c r="AF108" s="86"/>
      <c r="AG108" s="86"/>
      <c r="AH108" s="86"/>
      <c r="AI108" s="86"/>
      <c r="AJ108" s="79"/>
      <c r="AK108" s="86"/>
      <c r="AL108" s="86"/>
      <c r="AM108" s="86"/>
      <c r="AN108" s="86"/>
      <c r="AO108" s="79"/>
      <c r="AP108" s="86"/>
      <c r="AQ108" s="86"/>
      <c r="AR108" s="86"/>
      <c r="AS108" s="86"/>
      <c r="AT108" s="79"/>
      <c r="AU108" s="86"/>
      <c r="AV108" s="86"/>
      <c r="AW108" s="251"/>
      <c r="AX108" s="251"/>
      <c r="AY108" s="79"/>
      <c r="AZ108" s="251"/>
      <c r="BA108" s="251"/>
      <c r="BB108" s="251"/>
      <c r="BC108" s="251"/>
      <c r="BD108" s="79"/>
      <c r="BE108" s="251"/>
      <c r="BF108" s="251"/>
      <c r="BG108" s="251"/>
      <c r="BH108" s="251"/>
      <c r="BI108" s="79"/>
      <c r="BJ108" s="251"/>
      <c r="BK108" s="251"/>
      <c r="BL108" s="251"/>
      <c r="BM108" s="251"/>
      <c r="BN108" s="79"/>
      <c r="BO108" s="251"/>
      <c r="BP108" s="251"/>
      <c r="BQ108" s="251"/>
      <c r="BR108" s="251"/>
      <c r="BS108" s="79"/>
      <c r="BT108" s="251"/>
      <c r="BU108" s="251"/>
      <c r="BV108" s="251"/>
      <c r="BW108" s="251"/>
      <c r="BX108" s="79"/>
      <c r="BY108" s="384"/>
      <c r="BZ108" s="384"/>
      <c r="CA108" s="384"/>
      <c r="CB108" s="251"/>
      <c r="CD108" s="57" t="str">
        <f t="shared" ref="CD108:CD113" si="243">A108</f>
        <v>Cash Flows from Investing Activities</v>
      </c>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4"/>
      <c r="DA108" s="58"/>
      <c r="DB108" s="59"/>
    </row>
    <row r="109" spans="1:112" s="70" customFormat="1" ht="12" customHeight="1">
      <c r="A109" s="1917" t="s">
        <v>129</v>
      </c>
      <c r="B109" s="1899">
        <v>-294.53800000000001</v>
      </c>
      <c r="C109" s="1900">
        <v>-249.31700000000001</v>
      </c>
      <c r="D109" s="1900">
        <v>-218.04900000000001</v>
      </c>
      <c r="E109" s="1900">
        <v>-237.76</v>
      </c>
      <c r="F109" s="1900">
        <v>-257.79500000000002</v>
      </c>
      <c r="G109" s="1901">
        <v>-61.59</v>
      </c>
      <c r="H109" s="1901">
        <f>-125.061-G109</f>
        <v>-63.471000000000004</v>
      </c>
      <c r="I109" s="1901">
        <f>-189.358-H109-G109</f>
        <v>-64.296999999999997</v>
      </c>
      <c r="J109" s="1901">
        <f>-276.81-I109-H109-G109</f>
        <v>-87.451999999999998</v>
      </c>
      <c r="K109" s="1903">
        <f>SUM(G109:J109)</f>
        <v>-276.81</v>
      </c>
      <c r="L109" s="1901">
        <v>-57.408999999999999</v>
      </c>
      <c r="M109" s="1901">
        <f>-132.646-L109</f>
        <v>-75.236999999999995</v>
      </c>
      <c r="N109" s="1901">
        <f>-209.539-M109-L109</f>
        <v>-76.893000000000001</v>
      </c>
      <c r="O109" s="1901">
        <f>-298.984-N109-M109-L109</f>
        <v>-89.444999999999993</v>
      </c>
      <c r="P109" s="1903">
        <f>SUM(L109:O109)</f>
        <v>-298.98399999999998</v>
      </c>
      <c r="Q109" s="1901">
        <v>-66.635000000000005</v>
      </c>
      <c r="R109" s="1902">
        <f>-131.9-Q109</f>
        <v>-65.265000000000001</v>
      </c>
      <c r="S109" s="1902">
        <f>-197.264-R109-Q109</f>
        <v>-65.364000000000019</v>
      </c>
      <c r="T109" s="1902">
        <f>-254.106-S109-R109-Q109</f>
        <v>-56.841999999999956</v>
      </c>
      <c r="U109" s="1903">
        <f>SUM(Q109:T109)</f>
        <v>-254.10599999999997</v>
      </c>
      <c r="V109" s="1901">
        <v>-42.722999999999999</v>
      </c>
      <c r="W109" s="1902">
        <f>-85.053-V109</f>
        <v>-42.33</v>
      </c>
      <c r="X109" s="1902">
        <f>-129.779-W109-V109</f>
        <v>-44.725999999999999</v>
      </c>
      <c r="Y109" s="1902">
        <f>-176.996-X109-W109-V109</f>
        <v>-47.217000000000013</v>
      </c>
      <c r="Z109" s="1903">
        <f>SUM(V109:Y109)</f>
        <v>-176.99600000000001</v>
      </c>
      <c r="AA109" s="1901">
        <v>-29.9</v>
      </c>
      <c r="AB109" s="1902">
        <f>-60-AA109</f>
        <v>-30.1</v>
      </c>
      <c r="AC109" s="1902">
        <f>-99.3-AB109-AA109</f>
        <v>-39.29999999999999</v>
      </c>
      <c r="AD109" s="1902">
        <f>-150.842-AC109-AB109-AA109</f>
        <v>-51.542000000000037</v>
      </c>
      <c r="AE109" s="1903">
        <f>SUM(AA109:AD109)</f>
        <v>-150.84200000000001</v>
      </c>
      <c r="AF109" s="1901">
        <v>-28.1</v>
      </c>
      <c r="AG109" s="1902">
        <f>-60.2-AF109</f>
        <v>-32.1</v>
      </c>
      <c r="AH109" s="1902">
        <f>-105.1-AG109-AF109</f>
        <v>-44.9</v>
      </c>
      <c r="AI109" s="1902">
        <f>-158-SUM(AF109:AH109)</f>
        <v>-52.900000000000006</v>
      </c>
      <c r="AJ109" s="1903">
        <f>SUM(AF109:AI109)</f>
        <v>-158</v>
      </c>
      <c r="AK109" s="1901">
        <v>0</v>
      </c>
      <c r="AL109" s="1902">
        <f>0-AK109</f>
        <v>0</v>
      </c>
      <c r="AM109" s="1902">
        <f>0-SUM(AK109:AL109)</f>
        <v>0</v>
      </c>
      <c r="AN109" s="1902">
        <f>0-SUM(AK109:AM109)</f>
        <v>0</v>
      </c>
      <c r="AO109" s="1903">
        <f>SUM(AK109:AN109)</f>
        <v>0</v>
      </c>
      <c r="AP109" s="1901">
        <v>0</v>
      </c>
      <c r="AQ109" s="1902">
        <f>0-AP109</f>
        <v>0</v>
      </c>
      <c r="AR109" s="1902">
        <f>0-SUM(AP109:AQ109)</f>
        <v>0</v>
      </c>
      <c r="AS109" s="1902">
        <f>0-SUM(AP109:AR109)</f>
        <v>0</v>
      </c>
      <c r="AT109" s="1903">
        <f>SUM(AP109:AS109)</f>
        <v>0</v>
      </c>
      <c r="AU109" s="1901">
        <v>0</v>
      </c>
      <c r="AV109" s="1901">
        <v>0</v>
      </c>
      <c r="AW109" s="1902">
        <f>0-AV109-AU109</f>
        <v>0</v>
      </c>
      <c r="AX109" s="1901">
        <v>0</v>
      </c>
      <c r="AY109" s="1903">
        <f>SUM(AU109:AX109)</f>
        <v>0</v>
      </c>
      <c r="AZ109" s="1918">
        <v>0</v>
      </c>
      <c r="BA109" s="1918">
        <v>0</v>
      </c>
      <c r="BB109" s="1918">
        <v>0</v>
      </c>
      <c r="BC109" s="1918">
        <v>0</v>
      </c>
      <c r="BD109" s="1903">
        <f>SUM(AZ109:BC109)</f>
        <v>0</v>
      </c>
      <c r="BE109" s="1918">
        <v>0</v>
      </c>
      <c r="BF109" s="1918">
        <v>0</v>
      </c>
      <c r="BG109" s="1918">
        <v>0</v>
      </c>
      <c r="BH109" s="1918">
        <v>0</v>
      </c>
      <c r="BI109" s="1903">
        <f>SUM(BE109:BH109)</f>
        <v>0</v>
      </c>
      <c r="BJ109" s="1918">
        <v>0</v>
      </c>
      <c r="BK109" s="1918">
        <v>0</v>
      </c>
      <c r="BL109" s="2185">
        <v>0</v>
      </c>
      <c r="BM109" s="2185">
        <v>0</v>
      </c>
      <c r="BN109" s="1903">
        <f>SUM(BJ109:BM109)</f>
        <v>0</v>
      </c>
      <c r="BO109" s="2185">
        <v>0</v>
      </c>
      <c r="BP109" s="1901">
        <v>0</v>
      </c>
      <c r="BQ109" s="1901">
        <v>0</v>
      </c>
      <c r="BR109" s="1901">
        <v>0</v>
      </c>
      <c r="BS109" s="1903">
        <f>SUM(BO109:BR109)</f>
        <v>0</v>
      </c>
      <c r="BT109" s="1901">
        <v>0</v>
      </c>
      <c r="BU109" s="1901">
        <v>0</v>
      </c>
      <c r="BV109" s="1901">
        <v>0</v>
      </c>
      <c r="BW109" s="1901">
        <v>0</v>
      </c>
      <c r="BX109" s="1903">
        <f>SUM(BT109:BW109)</f>
        <v>0</v>
      </c>
      <c r="BY109" s="1919">
        <v>0</v>
      </c>
      <c r="BZ109" s="1919">
        <v>0</v>
      </c>
      <c r="CA109" s="1919">
        <v>0</v>
      </c>
      <c r="CB109" s="248"/>
      <c r="CC109" s="1359"/>
      <c r="CD109" s="227" t="str">
        <f t="shared" si="243"/>
        <v>Investment in Prepublication Costs</v>
      </c>
      <c r="CE109" s="222">
        <f t="shared" ref="CE109:CI113" si="244">B109</f>
        <v>-294.53800000000001</v>
      </c>
      <c r="CF109" s="222">
        <f t="shared" si="244"/>
        <v>-249.31700000000001</v>
      </c>
      <c r="CG109" s="222">
        <f t="shared" si="244"/>
        <v>-218.04900000000001</v>
      </c>
      <c r="CH109" s="222">
        <f t="shared" si="244"/>
        <v>-237.76</v>
      </c>
      <c r="CI109" s="222">
        <f t="shared" si="244"/>
        <v>-257.79500000000002</v>
      </c>
      <c r="CJ109" s="222">
        <f>K109</f>
        <v>-276.81</v>
      </c>
      <c r="CK109" s="222">
        <f>P109</f>
        <v>-298.98399999999998</v>
      </c>
      <c r="CL109" s="222">
        <f>U109</f>
        <v>-254.10599999999997</v>
      </c>
      <c r="CM109" s="222">
        <f>Z109</f>
        <v>-176.99600000000001</v>
      </c>
      <c r="CN109" s="222">
        <f>AE109</f>
        <v>-150.84200000000001</v>
      </c>
      <c r="CO109" s="222">
        <f>AJ109</f>
        <v>-158</v>
      </c>
      <c r="CP109" s="222">
        <f>AO109</f>
        <v>0</v>
      </c>
      <c r="CQ109" s="222">
        <f>AT109</f>
        <v>0</v>
      </c>
      <c r="CR109" s="222">
        <f>AY109</f>
        <v>0</v>
      </c>
      <c r="CS109" s="222">
        <f>BD109</f>
        <v>0</v>
      </c>
      <c r="CT109" s="222">
        <f>BI109</f>
        <v>0</v>
      </c>
      <c r="CU109" s="222">
        <f>BN109</f>
        <v>0</v>
      </c>
      <c r="CV109" s="222">
        <f>BS109</f>
        <v>0</v>
      </c>
      <c r="CW109" s="222">
        <f t="shared" ref="CW109:CZ113" si="245">BX109</f>
        <v>0</v>
      </c>
      <c r="CX109" s="222">
        <f t="shared" si="245"/>
        <v>0</v>
      </c>
      <c r="CY109" s="222">
        <f t="shared" si="245"/>
        <v>0</v>
      </c>
      <c r="CZ109" s="228">
        <f t="shared" si="245"/>
        <v>0</v>
      </c>
      <c r="DA109" s="74"/>
      <c r="DB109" s="59"/>
      <c r="DC109"/>
      <c r="DD109"/>
      <c r="DE109"/>
      <c r="DF109"/>
      <c r="DG109"/>
      <c r="DH109"/>
    </row>
    <row r="110" spans="1:112" s="82" customFormat="1" ht="12" customHeight="1">
      <c r="A110" s="1906" t="s">
        <v>130</v>
      </c>
      <c r="B110" s="1907">
        <f>-116.895-28.84</f>
        <v>-145.73499999999999</v>
      </c>
      <c r="C110" s="1907">
        <f>-70.019-55.477</f>
        <v>-125.49600000000001</v>
      </c>
      <c r="D110" s="1907">
        <f>-114.984-28.145</f>
        <v>-143.12899999999999</v>
      </c>
      <c r="E110" s="1907">
        <f>-139.003-10.623</f>
        <v>-149.62599999999998</v>
      </c>
      <c r="F110" s="1907">
        <f>-120.232-16.456</f>
        <v>-136.68799999999999</v>
      </c>
      <c r="G110" s="1873">
        <f>-11.648-2.933</f>
        <v>-14.581</v>
      </c>
      <c r="H110" s="1888">
        <f>-32.176-10.716-G110</f>
        <v>-28.311000000000003</v>
      </c>
      <c r="I110" s="1888">
        <f>-56.798-15.434-H110-G110</f>
        <v>-29.339999999999993</v>
      </c>
      <c r="J110" s="1888">
        <f>-126.593-22.978-I110-H110-G110</f>
        <v>-77.338999999999999</v>
      </c>
      <c r="K110" s="1909">
        <f>SUM(G110:J110)</f>
        <v>-149.571</v>
      </c>
      <c r="L110" s="1888">
        <f>-22.7-2.333</f>
        <v>-25.033000000000001</v>
      </c>
      <c r="M110" s="1888">
        <f>-83.449-L110-7.791</f>
        <v>-66.206999999999994</v>
      </c>
      <c r="N110" s="1888">
        <f>-146.453-10.483-M110-L110</f>
        <v>-65.696000000000012</v>
      </c>
      <c r="O110" s="1888">
        <f>-229.609-16.654-N110-M110-L110</f>
        <v>-89.327000000000012</v>
      </c>
      <c r="P110" s="1909">
        <f>SUM(L110:O110)</f>
        <v>-246.26300000000003</v>
      </c>
      <c r="Q110" s="1888">
        <f>-23.572-6.006</f>
        <v>-29.577999999999999</v>
      </c>
      <c r="R110" s="1908">
        <f>-48.756-10.141-Q110</f>
        <v>-29.318999999999999</v>
      </c>
      <c r="S110" s="1908">
        <f>-66.437-18.581-R110-Q110</f>
        <v>-26.120999999999999</v>
      </c>
      <c r="T110" s="1908">
        <f>-105.978-25.353-S110-R110-Q110</f>
        <v>-46.312999999999988</v>
      </c>
      <c r="U110" s="1909">
        <f>SUM(Q110:T110)</f>
        <v>-131.33099999999999</v>
      </c>
      <c r="V110" s="1888">
        <f>-8.025-1.711</f>
        <v>-9.7360000000000007</v>
      </c>
      <c r="W110" s="1908">
        <f>-16.898-V110-7.671</f>
        <v>-14.832999999999998</v>
      </c>
      <c r="X110" s="1908">
        <f>-32.603-14.801-W110-V110</f>
        <v>-22.835000000000004</v>
      </c>
      <c r="Y110" s="1908">
        <f>-92.29-X110-W110-V110</f>
        <v>-44.885999999999996</v>
      </c>
      <c r="Z110" s="1909">
        <f>SUM(V110:Y110)</f>
        <v>-92.289999999999992</v>
      </c>
      <c r="AA110" s="1888">
        <v>-11.7</v>
      </c>
      <c r="AB110" s="1908">
        <f>-39-AA110</f>
        <v>-27.3</v>
      </c>
      <c r="AC110" s="1908">
        <f>-65.3-AB110-AA110</f>
        <v>-26.3</v>
      </c>
      <c r="AD110" s="1908">
        <f>-115.443-AC110-AB110-AA110</f>
        <v>-50.143000000000001</v>
      </c>
      <c r="AE110" s="1909">
        <f>SUM(AA110:AD110)</f>
        <v>-115.443</v>
      </c>
      <c r="AF110" s="1888">
        <v>-18.399999999999999</v>
      </c>
      <c r="AG110" s="1908">
        <f>-44.6-AF110</f>
        <v>-26.200000000000003</v>
      </c>
      <c r="AH110" s="1908">
        <f>-69.6-AG110-AF110</f>
        <v>-24.999999999999993</v>
      </c>
      <c r="AI110" s="1908">
        <f>-119-SUM(AF110:AH110)</f>
        <v>-49.400000000000006</v>
      </c>
      <c r="AJ110" s="1909">
        <f>SUM(AF110:AI110)</f>
        <v>-119</v>
      </c>
      <c r="AK110" s="1888">
        <v>-10</v>
      </c>
      <c r="AL110" s="1908">
        <f>-36-AK110</f>
        <v>-26</v>
      </c>
      <c r="AM110" s="1908">
        <f>-70-SUM(AK110:AL110)</f>
        <v>-34</v>
      </c>
      <c r="AN110" s="1908">
        <f>-97-SUM(AK110:AM110)</f>
        <v>-27</v>
      </c>
      <c r="AO110" s="1909">
        <f>SUM(AK110:AN110)</f>
        <v>-97</v>
      </c>
      <c r="AP110" s="1888">
        <v>-22</v>
      </c>
      <c r="AQ110" s="1908">
        <f>-43-AP110</f>
        <v>-21</v>
      </c>
      <c r="AR110" s="1908">
        <f>-55-SUM(AP110:AQ110)</f>
        <v>-12</v>
      </c>
      <c r="AS110" s="1908">
        <f>-117-SUM(AP110:AR110)</f>
        <v>-62</v>
      </c>
      <c r="AT110" s="1909">
        <f>SUM(AP110:AS110)</f>
        <v>-117</v>
      </c>
      <c r="AU110" s="1888">
        <v>-20</v>
      </c>
      <c r="AV110" s="1908">
        <f>-37-AU110</f>
        <v>-17</v>
      </c>
      <c r="AW110" s="1910">
        <f>-52-AV110-AU110</f>
        <v>-15</v>
      </c>
      <c r="AX110" s="1910">
        <f>+-92-SUM(AU110:AW110)</f>
        <v>-40</v>
      </c>
      <c r="AY110" s="1909">
        <f>SUM(AU110:AX110)</f>
        <v>-92</v>
      </c>
      <c r="AZ110" s="1872">
        <v>-16</v>
      </c>
      <c r="BA110" s="1872">
        <f>+-42-AZ110</f>
        <v>-26</v>
      </c>
      <c r="BB110" s="1872">
        <f>+-74-SUM(AZ110:BA110)</f>
        <v>-32</v>
      </c>
      <c r="BC110" s="1872">
        <f>+-139-SUM(AZ110:BB110)</f>
        <v>-65</v>
      </c>
      <c r="BD110" s="1909">
        <f>SUM(AZ110:BC110)</f>
        <v>-139</v>
      </c>
      <c r="BE110" s="1872">
        <v>-16</v>
      </c>
      <c r="BF110" s="1872">
        <f>+-36-BE110</f>
        <v>-20</v>
      </c>
      <c r="BG110" s="1872">
        <f>+-67-SUM(BE110:BF110)</f>
        <v>-31</v>
      </c>
      <c r="BH110" s="1872">
        <f>+-115-SUM(BE110:BG110)</f>
        <v>-48</v>
      </c>
      <c r="BI110" s="1909">
        <f>SUM(BE110:BH110)</f>
        <v>-115</v>
      </c>
      <c r="BJ110" s="1872">
        <v>-23</v>
      </c>
      <c r="BK110" s="1872">
        <f>-56-BJ110</f>
        <v>-33</v>
      </c>
      <c r="BL110" s="2167">
        <f>-77-SUM(BJ110:BK110)</f>
        <v>-21</v>
      </c>
      <c r="BM110" s="2167">
        <f>-123-SUM(BJ110:BL110)</f>
        <v>-46</v>
      </c>
      <c r="BN110" s="1909">
        <f>SUM(BJ110:BM110)</f>
        <v>-123</v>
      </c>
      <c r="BO110" s="2167">
        <v>-33</v>
      </c>
      <c r="BP110" s="1887">
        <f>-BP252</f>
        <v>-31.167262271530266</v>
      </c>
      <c r="BQ110" s="1887">
        <f>-BQ252</f>
        <v>-30.84325932493628</v>
      </c>
      <c r="BR110" s="1887">
        <f>-BR252</f>
        <v>-31.751626428280925</v>
      </c>
      <c r="BS110" s="1909">
        <f>SUM(BO110:BR110)</f>
        <v>-126.76214802474748</v>
      </c>
      <c r="BT110" s="1887">
        <f>-BT252</f>
        <v>-32.928634920058684</v>
      </c>
      <c r="BU110" s="1887">
        <f>-BU252</f>
        <v>-34.747299128552818</v>
      </c>
      <c r="BV110" s="1887">
        <f>-BV252</f>
        <v>-34.42575504633345</v>
      </c>
      <c r="BW110" s="1887">
        <f>-BW252</f>
        <v>-35.419063632132513</v>
      </c>
      <c r="BX110" s="1909">
        <f>SUM(BT110:BW110)</f>
        <v>-137.52075272707748</v>
      </c>
      <c r="BY110" s="1936">
        <f>-BY252</f>
        <v>-137.39899021876127</v>
      </c>
      <c r="BZ110" s="1936">
        <f>-BZ252</f>
        <v>-144.5591990341577</v>
      </c>
      <c r="CA110" s="1936">
        <f>-CA252</f>
        <v>-151.33224073325906</v>
      </c>
      <c r="CB110" s="251"/>
      <c r="CC110" s="1360"/>
      <c r="CD110" s="83" t="str">
        <f t="shared" si="243"/>
        <v>Capital Expenditures</v>
      </c>
      <c r="CE110" s="46">
        <f t="shared" si="244"/>
        <v>-145.73499999999999</v>
      </c>
      <c r="CF110" s="46">
        <f t="shared" si="244"/>
        <v>-125.49600000000001</v>
      </c>
      <c r="CG110" s="46">
        <f t="shared" si="244"/>
        <v>-143.12899999999999</v>
      </c>
      <c r="CH110" s="46">
        <f t="shared" si="244"/>
        <v>-149.62599999999998</v>
      </c>
      <c r="CI110" s="46">
        <f t="shared" si="244"/>
        <v>-136.68799999999999</v>
      </c>
      <c r="CJ110" s="46">
        <f>K110</f>
        <v>-149.571</v>
      </c>
      <c r="CK110" s="46">
        <f>P110</f>
        <v>-246.26300000000003</v>
      </c>
      <c r="CL110" s="46">
        <f>U110</f>
        <v>-131.33099999999999</v>
      </c>
      <c r="CM110" s="46">
        <f>Z110</f>
        <v>-92.289999999999992</v>
      </c>
      <c r="CN110" s="46">
        <f>AE110</f>
        <v>-115.443</v>
      </c>
      <c r="CO110" s="46">
        <f>AJ110</f>
        <v>-119</v>
      </c>
      <c r="CP110" s="46">
        <f>AO110</f>
        <v>-97</v>
      </c>
      <c r="CQ110" s="46">
        <f>AT110</f>
        <v>-117</v>
      </c>
      <c r="CR110" s="46">
        <f>AY110</f>
        <v>-92</v>
      </c>
      <c r="CS110" s="46">
        <f>BD110</f>
        <v>-139</v>
      </c>
      <c r="CT110" s="46">
        <f>BI110</f>
        <v>-115</v>
      </c>
      <c r="CU110" s="46">
        <f>BN110</f>
        <v>-123</v>
      </c>
      <c r="CV110" s="46">
        <f>BS110</f>
        <v>-126.76214802474748</v>
      </c>
      <c r="CW110" s="46">
        <f t="shared" si="245"/>
        <v>-137.52075272707748</v>
      </c>
      <c r="CX110" s="46">
        <f t="shared" si="245"/>
        <v>-137.39899021876127</v>
      </c>
      <c r="CY110" s="46">
        <f t="shared" si="245"/>
        <v>-144.5591990341577</v>
      </c>
      <c r="CZ110" s="44">
        <f t="shared" si="245"/>
        <v>-151.33224073325906</v>
      </c>
      <c r="DA110" s="86"/>
      <c r="DB110" s="59"/>
      <c r="DC110"/>
      <c r="DD110"/>
      <c r="DE110"/>
      <c r="DF110"/>
      <c r="DG110"/>
      <c r="DH110"/>
    </row>
    <row r="111" spans="1:112" s="82" customFormat="1" ht="12" customHeight="1">
      <c r="A111" s="1906" t="s">
        <v>131</v>
      </c>
      <c r="B111" s="1907">
        <v>-333.23399999999998</v>
      </c>
      <c r="C111" s="1907">
        <v>-19.309999999999999</v>
      </c>
      <c r="D111" s="1907">
        <v>-3.6779999999999999</v>
      </c>
      <c r="E111" s="1907">
        <v>-306.23200000000003</v>
      </c>
      <c r="F111" s="1907">
        <v>-461.84199999999998</v>
      </c>
      <c r="G111" s="1873">
        <v>0</v>
      </c>
      <c r="H111" s="1888">
        <f>-0.893-G111</f>
        <v>-0.89300000000000002</v>
      </c>
      <c r="I111" s="1888">
        <f>-9.784-H111-G111</f>
        <v>-8.891</v>
      </c>
      <c r="J111" s="1888">
        <f>-13.48-I111-H111-G111</f>
        <v>-3.6960000000000006</v>
      </c>
      <c r="K111" s="1909">
        <f>SUM(G111:J111)</f>
        <v>-13.48</v>
      </c>
      <c r="L111" s="1888">
        <v>0</v>
      </c>
      <c r="M111" s="1888">
        <f>-40.07-L111</f>
        <v>-40.07</v>
      </c>
      <c r="N111" s="1888">
        <f>-84.251-M111-L111</f>
        <v>-44.181000000000004</v>
      </c>
      <c r="O111" s="1888">
        <f>-86.707-N111-M111-L111</f>
        <v>-2.4559999999999889</v>
      </c>
      <c r="P111" s="1909">
        <f>SUM(L111:O111)</f>
        <v>-86.706999999999994</v>
      </c>
      <c r="Q111" s="1888">
        <v>-11.875999999999999</v>
      </c>
      <c r="R111" s="1908">
        <f>-34.666-Q111</f>
        <v>-22.79</v>
      </c>
      <c r="S111" s="1908">
        <f>-39.461-R111-Q111</f>
        <v>-4.7949999999999999</v>
      </c>
      <c r="T111" s="1908">
        <f>-48.261-S111-R111-Q111</f>
        <v>-8.8000000000000025</v>
      </c>
      <c r="U111" s="1909">
        <f>SUM(Q111:T111)</f>
        <v>-48.261000000000003</v>
      </c>
      <c r="V111" s="1888">
        <v>0</v>
      </c>
      <c r="W111" s="1908">
        <f>0-V111</f>
        <v>0</v>
      </c>
      <c r="X111" s="1908">
        <f>0-W111-V111</f>
        <v>0</v>
      </c>
      <c r="Y111" s="1908">
        <f>0-X111-W111-V111</f>
        <v>0</v>
      </c>
      <c r="Z111" s="1909">
        <f>SUM(V111:Y111)</f>
        <v>0</v>
      </c>
      <c r="AA111" s="1888">
        <v>0</v>
      </c>
      <c r="AB111" s="1908">
        <f>-5-AA111</f>
        <v>-5</v>
      </c>
      <c r="AC111" s="1908">
        <f>-325-AB111-AA111</f>
        <v>-320</v>
      </c>
      <c r="AD111" s="1908">
        <f>-364.396-AC111-AB111-AA111</f>
        <v>-39.396000000000015</v>
      </c>
      <c r="AE111" s="1909">
        <f>SUM(AA111:AD111)</f>
        <v>-364.39600000000002</v>
      </c>
      <c r="AF111" s="1888">
        <v>-126.2</v>
      </c>
      <c r="AG111" s="1908">
        <f>-126.1-AF111</f>
        <v>0.10000000000000853</v>
      </c>
      <c r="AH111" s="1908">
        <f>-198.9-AG111-AF111</f>
        <v>-72.8</v>
      </c>
      <c r="AI111" s="1908">
        <f>-200-SUM(AF111:AH111)</f>
        <v>-1.1000000000000227</v>
      </c>
      <c r="AJ111" s="1909">
        <f>SUM(AF111:AI111)</f>
        <v>-200</v>
      </c>
      <c r="AK111" s="1888">
        <v>-16</v>
      </c>
      <c r="AL111" s="1908">
        <f>-148-AK111</f>
        <v>-132</v>
      </c>
      <c r="AM111" s="1908">
        <f>-156-SUM(AK111:AL111)</f>
        <v>-8</v>
      </c>
      <c r="AN111" s="1908">
        <f>-177-SUM(AK111:AM111)</f>
        <v>-21</v>
      </c>
      <c r="AO111" s="1909">
        <f>SUM(AK111:AN111)</f>
        <v>-177</v>
      </c>
      <c r="AP111" s="1888">
        <v>0</v>
      </c>
      <c r="AQ111" s="1908">
        <f>0-AP111</f>
        <v>0</v>
      </c>
      <c r="AR111" s="1908">
        <f>0-SUM(AP111:AQ111)</f>
        <v>0</v>
      </c>
      <c r="AS111" s="1908">
        <f>-47-SUM(AP111:AR111)</f>
        <v>-47</v>
      </c>
      <c r="AT111" s="1909">
        <f>SUM(AP111:AS111)</f>
        <v>-47</v>
      </c>
      <c r="AU111" s="1888">
        <v>-15</v>
      </c>
      <c r="AV111" s="1908">
        <f>-16-AU111</f>
        <v>-1</v>
      </c>
      <c r="AW111" s="1910">
        <f>-65-AV111-AU111</f>
        <v>-49</v>
      </c>
      <c r="AX111" s="1910">
        <f>+-71-SUM(AU111:AW111)</f>
        <v>-6</v>
      </c>
      <c r="AY111" s="1909">
        <f>SUM(AU111:AX111)</f>
        <v>-71</v>
      </c>
      <c r="AZ111" s="1872">
        <v>-2</v>
      </c>
      <c r="BA111" s="1872">
        <f>+-2-AZ111</f>
        <v>0</v>
      </c>
      <c r="BB111" s="1872">
        <f>+-2393-SUM(AZ111:BA111)</f>
        <v>-2391</v>
      </c>
      <c r="BC111" s="1872">
        <f>+-2396-SUM(AZ111:BB111)</f>
        <v>-3</v>
      </c>
      <c r="BD111" s="1909">
        <f>SUM(AZ111:BC111)</f>
        <v>-2396</v>
      </c>
      <c r="BE111" s="1872">
        <v>-7</v>
      </c>
      <c r="BF111" s="1872">
        <f>+-52-BE111</f>
        <v>-45</v>
      </c>
      <c r="BG111" s="1872">
        <f>+-145-SUM(BE111:BF111)</f>
        <v>-93</v>
      </c>
      <c r="BH111" s="1872">
        <f>+-177-SUM(BE111:BG111)</f>
        <v>-32</v>
      </c>
      <c r="BI111" s="1909">
        <f>SUM(BE111:BH111)</f>
        <v>-177</v>
      </c>
      <c r="BJ111" s="1872">
        <v>-1</v>
      </c>
      <c r="BK111" s="1872">
        <f>-70-BJ111</f>
        <v>-69</v>
      </c>
      <c r="BL111" s="2167">
        <f>-80-SUM(BJ111:BK111)</f>
        <v>-10</v>
      </c>
      <c r="BM111" s="2167">
        <f>-83-SUM(BJ111:BL111)</f>
        <v>-3</v>
      </c>
      <c r="BN111" s="1909">
        <f>SUM(BJ111:BM111)</f>
        <v>-83</v>
      </c>
      <c r="BO111" s="2167">
        <v>-57</v>
      </c>
      <c r="BP111" s="1873">
        <v>0</v>
      </c>
      <c r="BQ111" s="1873">
        <v>0</v>
      </c>
      <c r="BR111" s="1873">
        <v>0</v>
      </c>
      <c r="BS111" s="1909">
        <f>SUM(BO111:BR111)</f>
        <v>-57</v>
      </c>
      <c r="BT111" s="1873">
        <v>0</v>
      </c>
      <c r="BU111" s="1873">
        <v>0</v>
      </c>
      <c r="BV111" s="1873">
        <v>0</v>
      </c>
      <c r="BW111" s="1873">
        <v>0</v>
      </c>
      <c r="BX111" s="1909">
        <f>SUM(BT111:BW111)</f>
        <v>0</v>
      </c>
      <c r="BY111" s="1913">
        <v>0</v>
      </c>
      <c r="BZ111" s="1913">
        <v>0</v>
      </c>
      <c r="CA111" s="1913">
        <v>0</v>
      </c>
      <c r="CB111" s="251"/>
      <c r="CC111" s="1360"/>
      <c r="CD111" s="83" t="str">
        <f t="shared" si="243"/>
        <v>Acquisitions, Including Contingent Payments, Net of Cash Acquired</v>
      </c>
      <c r="CE111" s="46">
        <f t="shared" si="244"/>
        <v>-333.23399999999998</v>
      </c>
      <c r="CF111" s="46">
        <f t="shared" si="244"/>
        <v>-19.309999999999999</v>
      </c>
      <c r="CG111" s="46">
        <f t="shared" si="244"/>
        <v>-3.6779999999999999</v>
      </c>
      <c r="CH111" s="46">
        <f t="shared" si="244"/>
        <v>-306.23200000000003</v>
      </c>
      <c r="CI111" s="46">
        <f t="shared" si="244"/>
        <v>-461.84199999999998</v>
      </c>
      <c r="CJ111" s="46">
        <f>K111</f>
        <v>-13.48</v>
      </c>
      <c r="CK111" s="46">
        <f>P111</f>
        <v>-86.706999999999994</v>
      </c>
      <c r="CL111" s="46">
        <f>U111</f>
        <v>-48.261000000000003</v>
      </c>
      <c r="CM111" s="46">
        <f>Z111</f>
        <v>0</v>
      </c>
      <c r="CN111" s="46">
        <f>AE111</f>
        <v>-364.39600000000002</v>
      </c>
      <c r="CO111" s="46">
        <f>AJ111</f>
        <v>-200</v>
      </c>
      <c r="CP111" s="46">
        <f>AO111</f>
        <v>-177</v>
      </c>
      <c r="CQ111" s="46">
        <f>AT111</f>
        <v>-47</v>
      </c>
      <c r="CR111" s="46">
        <f>AY111</f>
        <v>-71</v>
      </c>
      <c r="CS111" s="46">
        <f>BD111</f>
        <v>-2396</v>
      </c>
      <c r="CT111" s="46">
        <f>BI111</f>
        <v>-177</v>
      </c>
      <c r="CU111" s="46">
        <f>BN111</f>
        <v>-83</v>
      </c>
      <c r="CV111" s="46">
        <f>BS111</f>
        <v>-57</v>
      </c>
      <c r="CW111" s="46">
        <f t="shared" si="245"/>
        <v>0</v>
      </c>
      <c r="CX111" s="46">
        <f t="shared" si="245"/>
        <v>0</v>
      </c>
      <c r="CY111" s="46">
        <f t="shared" si="245"/>
        <v>0</v>
      </c>
      <c r="CZ111" s="44">
        <f t="shared" si="245"/>
        <v>0</v>
      </c>
      <c r="DA111" s="86"/>
      <c r="DB111" s="59"/>
      <c r="DC111"/>
      <c r="DD111"/>
      <c r="DE111"/>
      <c r="DF111"/>
      <c r="DG111"/>
      <c r="DH111"/>
    </row>
    <row r="112" spans="1:112" s="82" customFormat="1" ht="12" customHeight="1">
      <c r="A112" s="1906" t="s">
        <v>132</v>
      </c>
      <c r="B112" s="1907">
        <v>17.876000000000001</v>
      </c>
      <c r="C112" s="1907">
        <v>24.303999999999998</v>
      </c>
      <c r="D112" s="1907">
        <v>502.66500000000002</v>
      </c>
      <c r="E112" s="1907">
        <v>46.904000000000003</v>
      </c>
      <c r="F112" s="1907">
        <v>131.33500000000001</v>
      </c>
      <c r="G112" s="1873">
        <v>12.257</v>
      </c>
      <c r="H112" s="1888">
        <f>12.286-G112</f>
        <v>2.8999999999999915E-2</v>
      </c>
      <c r="I112" s="1888">
        <f>12.286-H112-G112</f>
        <v>0</v>
      </c>
      <c r="J112" s="1888">
        <f>12.381-I112-H112-G112</f>
        <v>9.5000000000000639E-2</v>
      </c>
      <c r="K112" s="1909">
        <f>SUM(G112:J112)</f>
        <v>12.381</v>
      </c>
      <c r="L112" s="1888">
        <v>55.08</v>
      </c>
      <c r="M112" s="1888">
        <f>55.204-L112</f>
        <v>0.12400000000000233</v>
      </c>
      <c r="N112" s="1888">
        <f>60.464-M112-L112</f>
        <v>5.259999999999998</v>
      </c>
      <c r="O112" s="1888">
        <f>62.261-N112-M112-L112</f>
        <v>1.7970000000000041</v>
      </c>
      <c r="P112" s="1909">
        <f>SUM(L112:O112)</f>
        <v>62.261000000000003</v>
      </c>
      <c r="Q112" s="1888">
        <v>2.5999999999999999E-2</v>
      </c>
      <c r="R112" s="1908">
        <f>0.165-Q112</f>
        <v>0.13900000000000001</v>
      </c>
      <c r="S112" s="1908">
        <f>0.281-R112-Q112</f>
        <v>0.11600000000000002</v>
      </c>
      <c r="T112" s="1908">
        <f>0.44-S112-R112-Q112</f>
        <v>0.15899999999999995</v>
      </c>
      <c r="U112" s="1909">
        <f>SUM(Q112:T112)</f>
        <v>0.43999999999999995</v>
      </c>
      <c r="V112" s="1888">
        <v>3.1E-2</v>
      </c>
      <c r="W112" s="1908">
        <f>9.731+0.06-V112</f>
        <v>9.76</v>
      </c>
      <c r="X112" s="1908">
        <f>9.731+0.088-W112-V112</f>
        <v>2.7999999999999275E-2</v>
      </c>
      <c r="Y112" s="1908">
        <f>15.196-X112-W112-V112</f>
        <v>5.3770000000000016</v>
      </c>
      <c r="Z112" s="1909">
        <f>SUM(V112:Y112)</f>
        <v>15.196000000000002</v>
      </c>
      <c r="AA112" s="1888">
        <v>5.0999999999999996</v>
      </c>
      <c r="AB112" s="1908">
        <f>5.3-AA112</f>
        <v>0.20000000000000018</v>
      </c>
      <c r="AC112" s="1908">
        <f>30.6-AB112-AA112</f>
        <v>25.300000000000004</v>
      </c>
      <c r="AD112" s="1908">
        <f>30.685-AC112-AB112-AA112</f>
        <v>8.4999999999994635E-2</v>
      </c>
      <c r="AE112" s="1909">
        <f>SUM(AA112:AD112)</f>
        <v>30.684999999999999</v>
      </c>
      <c r="AF112" s="1888">
        <v>0</v>
      </c>
      <c r="AG112" s="1908">
        <f>19.9-AF112</f>
        <v>19.899999999999999</v>
      </c>
      <c r="AH112" s="1908">
        <f>21.4-AG112-AF112</f>
        <v>1.5</v>
      </c>
      <c r="AI112" s="1908">
        <f>238-SUM(AF112:AH112)</f>
        <v>216.6</v>
      </c>
      <c r="AJ112" s="1909">
        <f>SUM(AF112:AI112)</f>
        <v>238</v>
      </c>
      <c r="AK112" s="1888">
        <v>0</v>
      </c>
      <c r="AL112" s="1908">
        <f>0-AK112</f>
        <v>0</v>
      </c>
      <c r="AM112" s="1908">
        <f>0-SUM(AK112:AL112)</f>
        <v>0</v>
      </c>
      <c r="AN112" s="1908">
        <f>0-SUM(AK112:AM112)</f>
        <v>0</v>
      </c>
      <c r="AO112" s="1909">
        <f>SUM(AK112:AN112)</f>
        <v>0</v>
      </c>
      <c r="AP112" s="1888">
        <v>0</v>
      </c>
      <c r="AQ112" s="1908">
        <f>0-AP112</f>
        <v>0</v>
      </c>
      <c r="AR112" s="1908">
        <f>52-SUM(AP112:AQ112)</f>
        <v>52</v>
      </c>
      <c r="AS112" s="1908">
        <f>51-SUM(AP112:AR112)</f>
        <v>-1</v>
      </c>
      <c r="AT112" s="1909">
        <f>SUM(AP112:AS112)</f>
        <v>51</v>
      </c>
      <c r="AU112" s="1888">
        <v>0</v>
      </c>
      <c r="AV112" s="1888">
        <v>0</v>
      </c>
      <c r="AW112" s="1910">
        <f>83-AV112-AU112</f>
        <v>83</v>
      </c>
      <c r="AX112" s="1910">
        <f>83-SUM(AU112:AW112)</f>
        <v>0</v>
      </c>
      <c r="AY112" s="1909">
        <f>SUM(AU112:AX112)</f>
        <v>83</v>
      </c>
      <c r="AZ112" s="1872">
        <v>0</v>
      </c>
      <c r="BA112" s="1872">
        <f>14-AZ112</f>
        <v>14</v>
      </c>
      <c r="BB112" s="1872">
        <f>14-SUM(AZ112:BA112)</f>
        <v>0</v>
      </c>
      <c r="BC112" s="1872">
        <f>14-SUM(AZ112:BB112)</f>
        <v>0</v>
      </c>
      <c r="BD112" s="1909">
        <f>SUM(AZ112:BC112)</f>
        <v>14</v>
      </c>
      <c r="BE112" s="1872">
        <v>0</v>
      </c>
      <c r="BF112" s="1872">
        <v>0</v>
      </c>
      <c r="BG112" s="1872">
        <f>1071-SUM(BE112:BF112)</f>
        <v>1071</v>
      </c>
      <c r="BH112" s="1872">
        <f>1498-SUM(BE112:BG112)</f>
        <v>427</v>
      </c>
      <c r="BI112" s="1909">
        <f>SUM(BE112:BH112)</f>
        <v>1498</v>
      </c>
      <c r="BJ112" s="1872">
        <v>2</v>
      </c>
      <c r="BK112" s="1872">
        <f>2-BJ112</f>
        <v>0</v>
      </c>
      <c r="BL112" s="2167">
        <f>2-SUM(BJ112:BK112)</f>
        <v>0</v>
      </c>
      <c r="BM112" s="2167">
        <f>2-SUM(BJ112:BL112)</f>
        <v>0</v>
      </c>
      <c r="BN112" s="1909">
        <f>SUM(BJ112:BM112)</f>
        <v>2</v>
      </c>
      <c r="BO112" s="2167">
        <v>0</v>
      </c>
      <c r="BP112" s="1873">
        <v>0</v>
      </c>
      <c r="BQ112" s="1873">
        <v>0</v>
      </c>
      <c r="BR112" s="1873">
        <v>0</v>
      </c>
      <c r="BS112" s="1909">
        <f>SUM(BO112:BR112)</f>
        <v>0</v>
      </c>
      <c r="BT112" s="1873">
        <v>0</v>
      </c>
      <c r="BU112" s="1873">
        <v>0</v>
      </c>
      <c r="BV112" s="1873">
        <v>0</v>
      </c>
      <c r="BW112" s="1873">
        <v>0</v>
      </c>
      <c r="BX112" s="1909">
        <f>SUM(BT112:BW112)</f>
        <v>0</v>
      </c>
      <c r="BY112" s="1913">
        <v>0</v>
      </c>
      <c r="BZ112" s="1913">
        <v>0</v>
      </c>
      <c r="CA112" s="1913">
        <v>0</v>
      </c>
      <c r="CB112" s="251"/>
      <c r="CC112" s="1360"/>
      <c r="CD112" s="83" t="str">
        <f t="shared" si="243"/>
        <v>Proceeds from Dispositions</v>
      </c>
      <c r="CE112" s="46">
        <f t="shared" si="244"/>
        <v>17.876000000000001</v>
      </c>
      <c r="CF112" s="46">
        <f t="shared" si="244"/>
        <v>24.303999999999998</v>
      </c>
      <c r="CG112" s="46">
        <f t="shared" si="244"/>
        <v>502.66500000000002</v>
      </c>
      <c r="CH112" s="46">
        <f t="shared" si="244"/>
        <v>46.904000000000003</v>
      </c>
      <c r="CI112" s="46">
        <f t="shared" si="244"/>
        <v>131.33500000000001</v>
      </c>
      <c r="CJ112" s="46">
        <f>K112</f>
        <v>12.381</v>
      </c>
      <c r="CK112" s="46">
        <f>P112</f>
        <v>62.261000000000003</v>
      </c>
      <c r="CL112" s="46">
        <f>U112</f>
        <v>0.43999999999999995</v>
      </c>
      <c r="CM112" s="46">
        <f>Z112</f>
        <v>15.196000000000002</v>
      </c>
      <c r="CN112" s="46">
        <f>AE112</f>
        <v>30.684999999999999</v>
      </c>
      <c r="CO112" s="46">
        <f>AJ112</f>
        <v>238</v>
      </c>
      <c r="CP112" s="46">
        <f>AO112</f>
        <v>0</v>
      </c>
      <c r="CQ112" s="46">
        <f>AT112</f>
        <v>51</v>
      </c>
      <c r="CR112" s="46">
        <f>AY112</f>
        <v>83</v>
      </c>
      <c r="CS112" s="46">
        <f>BD112</f>
        <v>14</v>
      </c>
      <c r="CT112" s="46">
        <f>BI112</f>
        <v>1498</v>
      </c>
      <c r="CU112" s="46">
        <f>BN112</f>
        <v>2</v>
      </c>
      <c r="CV112" s="46">
        <f>BS112</f>
        <v>0</v>
      </c>
      <c r="CW112" s="46">
        <f t="shared" si="245"/>
        <v>0</v>
      </c>
      <c r="CX112" s="46">
        <f t="shared" si="245"/>
        <v>0</v>
      </c>
      <c r="CY112" s="46">
        <f t="shared" si="245"/>
        <v>0</v>
      </c>
      <c r="CZ112" s="44">
        <f t="shared" si="245"/>
        <v>0</v>
      </c>
      <c r="DA112" s="86"/>
      <c r="DB112" s="59"/>
      <c r="DC112"/>
      <c r="DD112"/>
      <c r="DE112"/>
      <c r="DF112"/>
      <c r="DG112"/>
      <c r="DH112"/>
    </row>
    <row r="113" spans="1:112" s="82" customFormat="1" ht="12" customHeight="1">
      <c r="A113" s="1906" t="s">
        <v>133</v>
      </c>
      <c r="B113" s="1907">
        <v>0</v>
      </c>
      <c r="C113" s="1907">
        <v>3.2989999999999999</v>
      </c>
      <c r="D113" s="1907">
        <v>0</v>
      </c>
      <c r="E113" s="1907">
        <v>0</v>
      </c>
      <c r="F113" s="1907">
        <v>0</v>
      </c>
      <c r="G113" s="1873">
        <v>0</v>
      </c>
      <c r="H113" s="1888">
        <f>0-G113</f>
        <v>0</v>
      </c>
      <c r="I113" s="1888">
        <f>0-H113-G113</f>
        <v>0</v>
      </c>
      <c r="J113" s="1888">
        <f>0-I113-H113-G113</f>
        <v>0</v>
      </c>
      <c r="K113" s="1909">
        <f>SUM(G113:J113)</f>
        <v>0</v>
      </c>
      <c r="L113" s="1888">
        <v>0</v>
      </c>
      <c r="M113" s="1888">
        <f>0-L113</f>
        <v>0</v>
      </c>
      <c r="N113" s="1888">
        <f>0-M113-L113</f>
        <v>0</v>
      </c>
      <c r="O113" s="1888">
        <f>0-N113-M113-L113</f>
        <v>0</v>
      </c>
      <c r="P113" s="1909">
        <f>SUM(L113:O113)</f>
        <v>0</v>
      </c>
      <c r="Q113" s="1888">
        <v>0</v>
      </c>
      <c r="R113" s="1908">
        <f>0-Q113</f>
        <v>0</v>
      </c>
      <c r="S113" s="1908">
        <f>0-R113-Q113</f>
        <v>0</v>
      </c>
      <c r="T113" s="1908">
        <f>0-S113-R113-Q113</f>
        <v>0</v>
      </c>
      <c r="U113" s="1909">
        <f>SUM(Q113:T113)</f>
        <v>0</v>
      </c>
      <c r="V113" s="1888">
        <v>0</v>
      </c>
      <c r="W113" s="1908">
        <f>0-V113</f>
        <v>0</v>
      </c>
      <c r="X113" s="1908">
        <f>0-W113-V113</f>
        <v>0</v>
      </c>
      <c r="Y113" s="1908">
        <f>-24.602-X113-W113-V113:V113</f>
        <v>-24.602</v>
      </c>
      <c r="Z113" s="1909">
        <f>SUM(V113:Y113)</f>
        <v>-24.602</v>
      </c>
      <c r="AA113" s="1888">
        <v>-0.5</v>
      </c>
      <c r="AB113" s="1908">
        <f>-2.2-AA113</f>
        <v>-1.7000000000000002</v>
      </c>
      <c r="AC113" s="1908">
        <f>-8.2-AB113-AA113</f>
        <v>-5.9999999999999991</v>
      </c>
      <c r="AD113" s="1908">
        <f>2.446-AC113-AB113-AA113</f>
        <v>10.646000000000001</v>
      </c>
      <c r="AE113" s="1909">
        <f>SUM(AA113:AD113)</f>
        <v>2.4460000000000015</v>
      </c>
      <c r="AF113" s="1888">
        <v>-6.3</v>
      </c>
      <c r="AG113" s="1908">
        <f>-2.6-AF113</f>
        <v>3.6999999999999997</v>
      </c>
      <c r="AH113" s="1908">
        <f>-14-AG113-AF113</f>
        <v>-11.399999999999999</v>
      </c>
      <c r="AI113" s="1908">
        <f>-7-SUM(AF113:AH113)</f>
        <v>6.9999999999999982</v>
      </c>
      <c r="AJ113" s="1909">
        <f>SUM(AF113:AI113)</f>
        <v>-7</v>
      </c>
      <c r="AK113" s="1888">
        <v>5</v>
      </c>
      <c r="AL113" s="1908">
        <f>26-AK113</f>
        <v>21</v>
      </c>
      <c r="AM113" s="1908">
        <f>27-SUM(AK113:AL113)</f>
        <v>1</v>
      </c>
      <c r="AN113" s="1908">
        <f>27-SUM(AK113:AM113)</f>
        <v>0</v>
      </c>
      <c r="AO113" s="1909">
        <f>SUM(AK113:AN113)</f>
        <v>27</v>
      </c>
      <c r="AP113" s="1888">
        <v>0</v>
      </c>
      <c r="AQ113" s="1908">
        <f>0-AP113</f>
        <v>0</v>
      </c>
      <c r="AR113" s="1908">
        <f>-15-SUM(AP113:AQ113)</f>
        <v>-15</v>
      </c>
      <c r="AS113" s="1908">
        <f>-17-SUM(AP113:AR113)</f>
        <v>-2</v>
      </c>
      <c r="AT113" s="1909">
        <f>SUM(AP113:AS113)</f>
        <v>-17</v>
      </c>
      <c r="AU113" s="1888">
        <v>0</v>
      </c>
      <c r="AV113" s="1908">
        <f>1-AU113</f>
        <v>1</v>
      </c>
      <c r="AW113" s="1910">
        <f>-1-AV113-AU113</f>
        <v>-2</v>
      </c>
      <c r="AX113" s="1910">
        <f>15-SUM(AU113:AW113)</f>
        <v>16</v>
      </c>
      <c r="AY113" s="1909">
        <f>SUM(AU113:AX113)</f>
        <v>15</v>
      </c>
      <c r="AZ113" s="1872">
        <v>-1</v>
      </c>
      <c r="BA113" s="1872">
        <f>+-7-AZ113</f>
        <v>-6</v>
      </c>
      <c r="BB113" s="1872">
        <f>+-3-SUM(AZ113:BA113)</f>
        <v>4</v>
      </c>
      <c r="BC113" s="1872">
        <f>+-4-SUM(AZ113:BB113)</f>
        <v>-1</v>
      </c>
      <c r="BD113" s="1909">
        <f>SUM(AZ113:BC113)</f>
        <v>-4</v>
      </c>
      <c r="BE113" s="1872">
        <v>-1</v>
      </c>
      <c r="BF113" s="1872">
        <f>0-BE113</f>
        <v>1</v>
      </c>
      <c r="BG113" s="1872">
        <f>+-1-SUM(BE113:BF113)</f>
        <v>-1</v>
      </c>
      <c r="BH113" s="1872">
        <f>-1-SUM(BE113:BG113)</f>
        <v>0</v>
      </c>
      <c r="BI113" s="1909">
        <f>SUM(BE113:BH113)</f>
        <v>-1</v>
      </c>
      <c r="BJ113" s="1872">
        <v>0</v>
      </c>
      <c r="BK113" s="1872">
        <v>0</v>
      </c>
      <c r="BL113" s="2167">
        <v>0</v>
      </c>
      <c r="BM113" s="2167">
        <f>-5-SUM(BJ113:BL113)</f>
        <v>-5</v>
      </c>
      <c r="BN113" s="1909">
        <f>SUM(BJ113:BM113)</f>
        <v>-5</v>
      </c>
      <c r="BO113" s="2167">
        <v>3</v>
      </c>
      <c r="BP113" s="1910">
        <f>BO143-BP143</f>
        <v>0</v>
      </c>
      <c r="BQ113" s="1910">
        <f>BP143-BQ143</f>
        <v>0</v>
      </c>
      <c r="BR113" s="1910">
        <f>BQ143-BR143</f>
        <v>0</v>
      </c>
      <c r="BS113" s="1909">
        <f>SUM(BO113:BR113)</f>
        <v>3</v>
      </c>
      <c r="BT113" s="1910">
        <f>BS143-BT143</f>
        <v>0</v>
      </c>
      <c r="BU113" s="1910">
        <f>BT143-BU143</f>
        <v>0</v>
      </c>
      <c r="BV113" s="1910">
        <f>BU143-BV143</f>
        <v>0</v>
      </c>
      <c r="BW113" s="1910">
        <f>BV143-BW143</f>
        <v>0</v>
      </c>
      <c r="BX113" s="1909">
        <f>SUM(BT113:BW113)</f>
        <v>0</v>
      </c>
      <c r="BY113" s="1912">
        <f>BX143-BY143</f>
        <v>0</v>
      </c>
      <c r="BZ113" s="1912">
        <f>BY143-BZ143</f>
        <v>0</v>
      </c>
      <c r="CA113" s="1912">
        <f>BZ143-CA143</f>
        <v>0</v>
      </c>
      <c r="CB113" s="251"/>
      <c r="CC113" s="1360"/>
      <c r="CD113" s="83" t="str">
        <f t="shared" si="243"/>
        <v>Changes in Short-Term Investments</v>
      </c>
      <c r="CE113" s="46">
        <f t="shared" si="244"/>
        <v>0</v>
      </c>
      <c r="CF113" s="46">
        <f t="shared" si="244"/>
        <v>3.2989999999999999</v>
      </c>
      <c r="CG113" s="46">
        <f t="shared" si="244"/>
        <v>0</v>
      </c>
      <c r="CH113" s="46">
        <f t="shared" si="244"/>
        <v>0</v>
      </c>
      <c r="CI113" s="46">
        <f t="shared" si="244"/>
        <v>0</v>
      </c>
      <c r="CJ113" s="46">
        <f>K113</f>
        <v>0</v>
      </c>
      <c r="CK113" s="46">
        <f>P113</f>
        <v>0</v>
      </c>
      <c r="CL113" s="46">
        <f>U113</f>
        <v>0</v>
      </c>
      <c r="CM113" s="46">
        <f>Z113</f>
        <v>-24.602</v>
      </c>
      <c r="CN113" s="46">
        <f>AE113</f>
        <v>2.4460000000000015</v>
      </c>
      <c r="CO113" s="46">
        <f>AJ113</f>
        <v>-7</v>
      </c>
      <c r="CP113" s="46">
        <f>AO113</f>
        <v>27</v>
      </c>
      <c r="CQ113" s="46">
        <f>AT113</f>
        <v>-17</v>
      </c>
      <c r="CR113" s="46">
        <f>AY113</f>
        <v>15</v>
      </c>
      <c r="CS113" s="46">
        <f>BD113</f>
        <v>-4</v>
      </c>
      <c r="CT113" s="46">
        <f>BI113</f>
        <v>-1</v>
      </c>
      <c r="CU113" s="46">
        <f>BN113</f>
        <v>-5</v>
      </c>
      <c r="CV113" s="46">
        <f>BS113</f>
        <v>3</v>
      </c>
      <c r="CW113" s="46">
        <f t="shared" si="245"/>
        <v>0</v>
      </c>
      <c r="CX113" s="46">
        <f t="shared" si="245"/>
        <v>0</v>
      </c>
      <c r="CY113" s="46">
        <f t="shared" si="245"/>
        <v>0</v>
      </c>
      <c r="CZ113" s="44">
        <f t="shared" si="245"/>
        <v>0</v>
      </c>
      <c r="DA113" s="86"/>
      <c r="DB113" s="59"/>
      <c r="DC113"/>
      <c r="DD113"/>
      <c r="DE113"/>
      <c r="DF113"/>
      <c r="DG113"/>
      <c r="DH113"/>
    </row>
    <row r="114" spans="1:112" ht="5.25" customHeight="1">
      <c r="A114" s="42"/>
      <c r="B114" s="387" t="s">
        <v>62</v>
      </c>
      <c r="C114" s="387" t="s">
        <v>62</v>
      </c>
      <c r="D114" s="387" t="s">
        <v>62</v>
      </c>
      <c r="E114" s="387" t="s">
        <v>62</v>
      </c>
      <c r="F114" s="387" t="s">
        <v>62</v>
      </c>
      <c r="G114" s="388" t="s">
        <v>62</v>
      </c>
      <c r="H114" s="388" t="s">
        <v>62</v>
      </c>
      <c r="I114" s="388" t="s">
        <v>62</v>
      </c>
      <c r="J114" s="388" t="s">
        <v>62</v>
      </c>
      <c r="K114" s="387" t="s">
        <v>62</v>
      </c>
      <c r="L114" s="388" t="s">
        <v>62</v>
      </c>
      <c r="M114" s="388" t="s">
        <v>62</v>
      </c>
      <c r="N114" s="388" t="s">
        <v>62</v>
      </c>
      <c r="O114" s="388" t="s">
        <v>62</v>
      </c>
      <c r="P114" s="387" t="s">
        <v>62</v>
      </c>
      <c r="Q114" s="388" t="s">
        <v>62</v>
      </c>
      <c r="R114" s="388" t="s">
        <v>62</v>
      </c>
      <c r="S114" s="388" t="s">
        <v>62</v>
      </c>
      <c r="T114" s="388" t="s">
        <v>62</v>
      </c>
      <c r="U114" s="387" t="s">
        <v>62</v>
      </c>
      <c r="V114" s="388" t="s">
        <v>62</v>
      </c>
      <c r="W114" s="388" t="s">
        <v>62</v>
      </c>
      <c r="X114" s="388" t="s">
        <v>62</v>
      </c>
      <c r="Y114" s="388" t="s">
        <v>62</v>
      </c>
      <c r="Z114" s="387" t="s">
        <v>62</v>
      </c>
      <c r="AA114" s="388" t="s">
        <v>62</v>
      </c>
      <c r="AB114" s="388" t="s">
        <v>62</v>
      </c>
      <c r="AC114" s="388" t="s">
        <v>62</v>
      </c>
      <c r="AD114" s="388" t="s">
        <v>62</v>
      </c>
      <c r="AE114" s="387" t="s">
        <v>62</v>
      </c>
      <c r="AF114" s="388" t="s">
        <v>62</v>
      </c>
      <c r="AG114" s="388" t="s">
        <v>62</v>
      </c>
      <c r="AH114" s="388" t="s">
        <v>62</v>
      </c>
      <c r="AI114" s="388" t="s">
        <v>62</v>
      </c>
      <c r="AJ114" s="387" t="s">
        <v>62</v>
      </c>
      <c r="AK114" s="388" t="s">
        <v>62</v>
      </c>
      <c r="AL114" s="388" t="s">
        <v>62</v>
      </c>
      <c r="AM114" s="388" t="s">
        <v>62</v>
      </c>
      <c r="AN114" s="388" t="s">
        <v>62</v>
      </c>
      <c r="AO114" s="387" t="s">
        <v>62</v>
      </c>
      <c r="AP114" s="388" t="s">
        <v>62</v>
      </c>
      <c r="AQ114" s="388" t="s">
        <v>62</v>
      </c>
      <c r="AR114" s="388" t="s">
        <v>62</v>
      </c>
      <c r="AS114" s="388" t="s">
        <v>62</v>
      </c>
      <c r="AT114" s="387" t="s">
        <v>62</v>
      </c>
      <c r="AU114" s="388" t="s">
        <v>62</v>
      </c>
      <c r="AV114" s="388" t="s">
        <v>62</v>
      </c>
      <c r="AW114" s="388" t="s">
        <v>62</v>
      </c>
      <c r="AX114" s="388" t="s">
        <v>62</v>
      </c>
      <c r="AY114" s="387" t="s">
        <v>62</v>
      </c>
      <c r="AZ114" s="388" t="s">
        <v>62</v>
      </c>
      <c r="BA114" s="388" t="s">
        <v>62</v>
      </c>
      <c r="BB114" s="388" t="s">
        <v>62</v>
      </c>
      <c r="BC114" s="388" t="s">
        <v>62</v>
      </c>
      <c r="BD114" s="387" t="s">
        <v>62</v>
      </c>
      <c r="BE114" s="388" t="s">
        <v>62</v>
      </c>
      <c r="BF114" s="388" t="s">
        <v>62</v>
      </c>
      <c r="BG114" s="388" t="s">
        <v>62</v>
      </c>
      <c r="BH114" s="388" t="s">
        <v>62</v>
      </c>
      <c r="BI114" s="387" t="s">
        <v>62</v>
      </c>
      <c r="BJ114" s="388" t="s">
        <v>62</v>
      </c>
      <c r="BK114" s="388" t="s">
        <v>62</v>
      </c>
      <c r="BL114" s="388" t="s">
        <v>62</v>
      </c>
      <c r="BM114" s="388" t="s">
        <v>62</v>
      </c>
      <c r="BN114" s="387" t="s">
        <v>62</v>
      </c>
      <c r="BO114" s="388" t="s">
        <v>62</v>
      </c>
      <c r="BP114" s="388" t="s">
        <v>62</v>
      </c>
      <c r="BQ114" s="388" t="s">
        <v>62</v>
      </c>
      <c r="BR114" s="388" t="s">
        <v>62</v>
      </c>
      <c r="BS114" s="387" t="s">
        <v>62</v>
      </c>
      <c r="BT114" s="388" t="s">
        <v>62</v>
      </c>
      <c r="BU114" s="388" t="s">
        <v>62</v>
      </c>
      <c r="BV114" s="388" t="s">
        <v>62</v>
      </c>
      <c r="BW114" s="388" t="s">
        <v>62</v>
      </c>
      <c r="BX114" s="387" t="s">
        <v>62</v>
      </c>
      <c r="BY114" s="389" t="s">
        <v>62</v>
      </c>
      <c r="BZ114" s="389" t="s">
        <v>62</v>
      </c>
      <c r="CA114" s="389" t="s">
        <v>62</v>
      </c>
      <c r="CB114" s="10"/>
      <c r="CD114" s="382"/>
      <c r="CE114" s="90" t="s">
        <v>62</v>
      </c>
      <c r="CF114" s="90" t="s">
        <v>62</v>
      </c>
      <c r="CG114" s="90" t="s">
        <v>62</v>
      </c>
      <c r="CH114" s="90" t="s">
        <v>62</v>
      </c>
      <c r="CI114" s="90" t="s">
        <v>62</v>
      </c>
      <c r="CJ114" s="90" t="s">
        <v>62</v>
      </c>
      <c r="CK114" s="90" t="s">
        <v>62</v>
      </c>
      <c r="CL114" s="90" t="s">
        <v>62</v>
      </c>
      <c r="CM114" s="90" t="s">
        <v>62</v>
      </c>
      <c r="CN114" s="90" t="s">
        <v>62</v>
      </c>
      <c r="CO114" s="90" t="s">
        <v>62</v>
      </c>
      <c r="CP114" s="90" t="s">
        <v>62</v>
      </c>
      <c r="CQ114" s="90" t="s">
        <v>62</v>
      </c>
      <c r="CR114" s="90" t="s">
        <v>62</v>
      </c>
      <c r="CS114" s="90" t="s">
        <v>62</v>
      </c>
      <c r="CT114" s="90" t="s">
        <v>62</v>
      </c>
      <c r="CU114" s="90" t="s">
        <v>62</v>
      </c>
      <c r="CV114" s="90" t="s">
        <v>62</v>
      </c>
      <c r="CW114" s="90" t="s">
        <v>62</v>
      </c>
      <c r="CX114" s="90" t="s">
        <v>62</v>
      </c>
      <c r="CY114" s="90" t="s">
        <v>62</v>
      </c>
      <c r="CZ114" s="99" t="s">
        <v>62</v>
      </c>
      <c r="DA114" s="58"/>
      <c r="DB114" s="100"/>
    </row>
    <row r="115" spans="1:112" s="70" customFormat="1" ht="12" customHeight="1">
      <c r="A115" s="1898" t="s">
        <v>134</v>
      </c>
      <c r="B115" s="1914">
        <f t="shared" ref="B115:BM115" si="246">SUM(B109:B113)</f>
        <v>-755.63100000000009</v>
      </c>
      <c r="C115" s="1903">
        <f t="shared" si="246"/>
        <v>-366.52000000000004</v>
      </c>
      <c r="D115" s="1903">
        <f t="shared" si="246"/>
        <v>137.80900000000003</v>
      </c>
      <c r="E115" s="1903">
        <f t="shared" si="246"/>
        <v>-646.71399999999994</v>
      </c>
      <c r="F115" s="1903">
        <f t="shared" si="246"/>
        <v>-724.99</v>
      </c>
      <c r="G115" s="1902">
        <f t="shared" si="246"/>
        <v>-63.914000000000009</v>
      </c>
      <c r="H115" s="1902">
        <f t="shared" si="246"/>
        <v>-92.646000000000015</v>
      </c>
      <c r="I115" s="1902">
        <f t="shared" si="246"/>
        <v>-102.52799999999999</v>
      </c>
      <c r="J115" s="1902">
        <f t="shared" si="246"/>
        <v>-168.392</v>
      </c>
      <c r="K115" s="1903">
        <f t="shared" si="246"/>
        <v>-427.48</v>
      </c>
      <c r="L115" s="1902">
        <f t="shared" si="246"/>
        <v>-27.362000000000009</v>
      </c>
      <c r="M115" s="1902">
        <f t="shared" si="246"/>
        <v>-181.39</v>
      </c>
      <c r="N115" s="1902">
        <f t="shared" si="246"/>
        <v>-181.51000000000002</v>
      </c>
      <c r="O115" s="1902">
        <f t="shared" si="246"/>
        <v>-179.43099999999998</v>
      </c>
      <c r="P115" s="1903">
        <f t="shared" si="246"/>
        <v>-569.6930000000001</v>
      </c>
      <c r="Q115" s="1902">
        <f t="shared" si="246"/>
        <v>-108.06300000000002</v>
      </c>
      <c r="R115" s="1902">
        <f t="shared" si="246"/>
        <v>-117.235</v>
      </c>
      <c r="S115" s="1902">
        <f t="shared" si="246"/>
        <v>-96.164000000000016</v>
      </c>
      <c r="T115" s="1902">
        <f t="shared" si="246"/>
        <v>-111.79599999999994</v>
      </c>
      <c r="U115" s="1903">
        <f t="shared" si="246"/>
        <v>-433.25799999999998</v>
      </c>
      <c r="V115" s="1902">
        <f t="shared" si="246"/>
        <v>-52.428000000000004</v>
      </c>
      <c r="W115" s="1902">
        <f t="shared" si="246"/>
        <v>-47.402999999999999</v>
      </c>
      <c r="X115" s="1902">
        <f t="shared" si="246"/>
        <v>-67.533000000000001</v>
      </c>
      <c r="Y115" s="1902">
        <f t="shared" si="246"/>
        <v>-111.32800000000002</v>
      </c>
      <c r="Z115" s="1903">
        <f t="shared" si="246"/>
        <v>-278.69200000000001</v>
      </c>
      <c r="AA115" s="1902">
        <f t="shared" si="246"/>
        <v>-36.999999999999993</v>
      </c>
      <c r="AB115" s="1902">
        <f t="shared" si="246"/>
        <v>-63.900000000000006</v>
      </c>
      <c r="AC115" s="1902">
        <f t="shared" si="246"/>
        <v>-366.3</v>
      </c>
      <c r="AD115" s="1902">
        <f t="shared" si="246"/>
        <v>-130.35000000000002</v>
      </c>
      <c r="AE115" s="1903">
        <f t="shared" si="246"/>
        <v>-597.55000000000007</v>
      </c>
      <c r="AF115" s="1902">
        <f t="shared" si="246"/>
        <v>-179</v>
      </c>
      <c r="AG115" s="1902">
        <f t="shared" si="246"/>
        <v>-34.599999999999994</v>
      </c>
      <c r="AH115" s="1902">
        <f t="shared" si="246"/>
        <v>-152.6</v>
      </c>
      <c r="AI115" s="1902">
        <f t="shared" si="246"/>
        <v>120.19999999999996</v>
      </c>
      <c r="AJ115" s="1903">
        <f t="shared" si="246"/>
        <v>-246</v>
      </c>
      <c r="AK115" s="1902">
        <f t="shared" si="246"/>
        <v>-21</v>
      </c>
      <c r="AL115" s="1902">
        <f t="shared" si="246"/>
        <v>-137</v>
      </c>
      <c r="AM115" s="1902">
        <f t="shared" si="246"/>
        <v>-41</v>
      </c>
      <c r="AN115" s="1902">
        <f t="shared" si="246"/>
        <v>-48</v>
      </c>
      <c r="AO115" s="1903">
        <f t="shared" si="246"/>
        <v>-247</v>
      </c>
      <c r="AP115" s="1902">
        <f t="shared" si="246"/>
        <v>-22</v>
      </c>
      <c r="AQ115" s="1902">
        <f t="shared" si="246"/>
        <v>-21</v>
      </c>
      <c r="AR115" s="1902">
        <f t="shared" si="246"/>
        <v>25</v>
      </c>
      <c r="AS115" s="1902">
        <f t="shared" si="246"/>
        <v>-112</v>
      </c>
      <c r="AT115" s="1903">
        <f t="shared" si="246"/>
        <v>-130</v>
      </c>
      <c r="AU115" s="1902">
        <f t="shared" si="246"/>
        <v>-35</v>
      </c>
      <c r="AV115" s="1902">
        <f t="shared" si="246"/>
        <v>-17</v>
      </c>
      <c r="AW115" s="1902">
        <f t="shared" si="246"/>
        <v>17</v>
      </c>
      <c r="AX115" s="1902">
        <f t="shared" si="246"/>
        <v>-30</v>
      </c>
      <c r="AY115" s="1903">
        <f t="shared" si="246"/>
        <v>-65</v>
      </c>
      <c r="AZ115" s="1902">
        <f t="shared" si="246"/>
        <v>-19</v>
      </c>
      <c r="BA115" s="1902">
        <f t="shared" si="246"/>
        <v>-18</v>
      </c>
      <c r="BB115" s="1902">
        <f t="shared" si="246"/>
        <v>-2419</v>
      </c>
      <c r="BC115" s="1902">
        <f t="shared" si="246"/>
        <v>-69</v>
      </c>
      <c r="BD115" s="1903">
        <f t="shared" si="246"/>
        <v>-2525</v>
      </c>
      <c r="BE115" s="1902">
        <f t="shared" si="246"/>
        <v>-24</v>
      </c>
      <c r="BF115" s="1902">
        <f t="shared" si="246"/>
        <v>-64</v>
      </c>
      <c r="BG115" s="1902">
        <f t="shared" si="246"/>
        <v>946</v>
      </c>
      <c r="BH115" s="1902">
        <f t="shared" si="246"/>
        <v>347</v>
      </c>
      <c r="BI115" s="1903">
        <f t="shared" si="246"/>
        <v>1205</v>
      </c>
      <c r="BJ115" s="1902">
        <f t="shared" si="246"/>
        <v>-22</v>
      </c>
      <c r="BK115" s="1902">
        <f t="shared" si="246"/>
        <v>-102</v>
      </c>
      <c r="BL115" s="1902">
        <f t="shared" si="246"/>
        <v>-31</v>
      </c>
      <c r="BM115" s="1902">
        <f t="shared" si="246"/>
        <v>-54</v>
      </c>
      <c r="BN115" s="1903">
        <f t="shared" ref="BN115:BY115" si="247">SUM(BN109:BN113)</f>
        <v>-209</v>
      </c>
      <c r="BO115" s="1902">
        <f t="shared" si="247"/>
        <v>-87</v>
      </c>
      <c r="BP115" s="1902">
        <f t="shared" si="247"/>
        <v>-31.167262271530266</v>
      </c>
      <c r="BQ115" s="1902">
        <f t="shared" si="247"/>
        <v>-30.84325932493628</v>
      </c>
      <c r="BR115" s="1902">
        <f t="shared" si="247"/>
        <v>-31.751626428280925</v>
      </c>
      <c r="BS115" s="1903">
        <f t="shared" si="247"/>
        <v>-180.76214802474749</v>
      </c>
      <c r="BT115" s="1902">
        <f t="shared" ref="BT115:BX115" si="248">SUM(BT109:BT113)</f>
        <v>-32.928634920058684</v>
      </c>
      <c r="BU115" s="1902">
        <f t="shared" si="248"/>
        <v>-34.747299128552818</v>
      </c>
      <c r="BV115" s="1902">
        <f t="shared" si="248"/>
        <v>-34.42575504633345</v>
      </c>
      <c r="BW115" s="1902">
        <f t="shared" si="248"/>
        <v>-35.419063632132513</v>
      </c>
      <c r="BX115" s="1903">
        <f t="shared" si="248"/>
        <v>-137.52075272707748</v>
      </c>
      <c r="BY115" s="1916">
        <f t="shared" si="247"/>
        <v>-137.39899021876127</v>
      </c>
      <c r="BZ115" s="1916">
        <f>SUM(BZ109:BZ113)</f>
        <v>-144.5591990341577</v>
      </c>
      <c r="CA115" s="1916">
        <f>SUM(CA109:CA113)</f>
        <v>-151.33224073325906</v>
      </c>
      <c r="CB115" s="248"/>
      <c r="CC115" s="1359"/>
      <c r="CD115" s="227" t="str">
        <f>A115</f>
        <v>Cash provided by Investing Activities</v>
      </c>
      <c r="CE115" s="222">
        <f t="shared" ref="CE115:CY115" si="249">SUM(CE109:CE113)</f>
        <v>-755.63100000000009</v>
      </c>
      <c r="CF115" s="222">
        <f t="shared" si="249"/>
        <v>-366.52000000000004</v>
      </c>
      <c r="CG115" s="222">
        <f t="shared" si="249"/>
        <v>137.80900000000003</v>
      </c>
      <c r="CH115" s="222">
        <f t="shared" si="249"/>
        <v>-646.71399999999994</v>
      </c>
      <c r="CI115" s="222">
        <f t="shared" si="249"/>
        <v>-724.99</v>
      </c>
      <c r="CJ115" s="222">
        <f t="shared" si="249"/>
        <v>-427.48</v>
      </c>
      <c r="CK115" s="222">
        <f t="shared" si="249"/>
        <v>-569.6930000000001</v>
      </c>
      <c r="CL115" s="222">
        <f t="shared" si="249"/>
        <v>-433.25799999999998</v>
      </c>
      <c r="CM115" s="222">
        <f t="shared" si="249"/>
        <v>-278.69200000000001</v>
      </c>
      <c r="CN115" s="222">
        <f t="shared" si="249"/>
        <v>-597.55000000000007</v>
      </c>
      <c r="CO115" s="222">
        <f t="shared" si="249"/>
        <v>-246</v>
      </c>
      <c r="CP115" s="222">
        <f t="shared" si="249"/>
        <v>-247</v>
      </c>
      <c r="CQ115" s="222">
        <f t="shared" si="249"/>
        <v>-130</v>
      </c>
      <c r="CR115" s="222">
        <f t="shared" si="249"/>
        <v>-65</v>
      </c>
      <c r="CS115" s="222">
        <f t="shared" si="249"/>
        <v>-2525</v>
      </c>
      <c r="CT115" s="222">
        <f t="shared" si="249"/>
        <v>1205</v>
      </c>
      <c r="CU115" s="222">
        <f t="shared" si="249"/>
        <v>-209</v>
      </c>
      <c r="CV115" s="222">
        <f t="shared" si="249"/>
        <v>-180.76214802474749</v>
      </c>
      <c r="CW115" s="222">
        <f t="shared" si="249"/>
        <v>-137.52075272707748</v>
      </c>
      <c r="CX115" s="222">
        <f t="shared" si="249"/>
        <v>-137.39899021876127</v>
      </c>
      <c r="CY115" s="222">
        <f t="shared" si="249"/>
        <v>-144.5591990341577</v>
      </c>
      <c r="CZ115" s="228">
        <f t="shared" ref="CZ115" si="250">SUM(CZ109:CZ113)</f>
        <v>-151.33224073325906</v>
      </c>
      <c r="DA115" s="74"/>
      <c r="DB115" s="59"/>
      <c r="DC115"/>
      <c r="DD115"/>
      <c r="DE115"/>
      <c r="DF115"/>
      <c r="DG115"/>
      <c r="DH115"/>
    </row>
    <row r="116" spans="1:112" ht="12" customHeight="1">
      <c r="A116" s="390"/>
      <c r="B116" s="79"/>
      <c r="C116" s="79"/>
      <c r="D116" s="79"/>
      <c r="E116" s="79"/>
      <c r="F116" s="79"/>
      <c r="G116" s="251"/>
      <c r="H116" s="86"/>
      <c r="I116" s="86"/>
      <c r="J116" s="86"/>
      <c r="K116" s="79"/>
      <c r="L116" s="86"/>
      <c r="M116" s="86"/>
      <c r="N116" s="86"/>
      <c r="O116" s="86"/>
      <c r="P116" s="79"/>
      <c r="Q116" s="86"/>
      <c r="R116" s="86"/>
      <c r="S116" s="86"/>
      <c r="T116" s="86"/>
      <c r="U116" s="79"/>
      <c r="V116" s="86"/>
      <c r="W116" s="86"/>
      <c r="X116" s="86"/>
      <c r="Y116" s="86"/>
      <c r="Z116" s="79"/>
      <c r="AA116" s="86"/>
      <c r="AB116" s="86"/>
      <c r="AC116" s="86"/>
      <c r="AD116" s="86"/>
      <c r="AE116" s="79"/>
      <c r="AF116" s="86"/>
      <c r="AG116" s="86"/>
      <c r="AH116" s="86"/>
      <c r="AI116" s="86"/>
      <c r="AJ116" s="79"/>
      <c r="AK116" s="86"/>
      <c r="AL116" s="86"/>
      <c r="AM116" s="86"/>
      <c r="AN116" s="86"/>
      <c r="AO116" s="79"/>
      <c r="AP116" s="86"/>
      <c r="AQ116" s="86"/>
      <c r="AR116" s="86"/>
      <c r="AS116" s="86"/>
      <c r="AT116" s="79"/>
      <c r="AU116" s="86"/>
      <c r="AV116" s="86"/>
      <c r="AW116" s="251"/>
      <c r="AX116" s="251"/>
      <c r="AY116" s="79"/>
      <c r="AZ116" s="251"/>
      <c r="BA116" s="251"/>
      <c r="BB116" s="251"/>
      <c r="BC116" s="251"/>
      <c r="BD116" s="79"/>
      <c r="BE116" s="251"/>
      <c r="BF116" s="251"/>
      <c r="BG116" s="251"/>
      <c r="BH116" s="251"/>
      <c r="BI116" s="79"/>
      <c r="BJ116" s="251"/>
      <c r="BK116" s="251"/>
      <c r="BL116" s="251"/>
      <c r="BM116" s="251"/>
      <c r="BN116" s="79"/>
      <c r="BO116" s="251"/>
      <c r="BP116" s="251"/>
      <c r="BQ116" s="251"/>
      <c r="BR116" s="251"/>
      <c r="BS116" s="79"/>
      <c r="BT116" s="251"/>
      <c r="BU116" s="251"/>
      <c r="BV116" s="251"/>
      <c r="BW116" s="251"/>
      <c r="BX116" s="79"/>
      <c r="BY116" s="384"/>
      <c r="BZ116" s="384"/>
      <c r="CA116" s="384"/>
      <c r="CB116" s="251"/>
      <c r="CD116" s="57"/>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4"/>
      <c r="DA116" s="58"/>
      <c r="DB116" s="59"/>
    </row>
    <row r="117" spans="1:112" ht="12" customHeight="1">
      <c r="A117" s="390" t="s">
        <v>135</v>
      </c>
      <c r="B117" s="79"/>
      <c r="C117" s="79"/>
      <c r="D117" s="79"/>
      <c r="E117" s="79"/>
      <c r="F117" s="79"/>
      <c r="G117" s="251"/>
      <c r="H117" s="86"/>
      <c r="I117" s="86"/>
      <c r="J117" s="86"/>
      <c r="K117" s="79"/>
      <c r="L117" s="86"/>
      <c r="M117" s="86"/>
      <c r="N117" s="86"/>
      <c r="O117" s="86"/>
      <c r="P117" s="79"/>
      <c r="Q117" s="86"/>
      <c r="R117" s="86"/>
      <c r="S117" s="86"/>
      <c r="T117" s="86"/>
      <c r="U117" s="79"/>
      <c r="V117" s="86"/>
      <c r="W117" s="86"/>
      <c r="X117" s="86"/>
      <c r="Y117" s="86"/>
      <c r="Z117" s="79"/>
      <c r="AA117" s="86"/>
      <c r="AB117" s="86"/>
      <c r="AC117" s="86"/>
      <c r="AD117" s="86"/>
      <c r="AE117" s="79"/>
      <c r="AF117" s="86"/>
      <c r="AG117" s="86"/>
      <c r="AH117" s="86"/>
      <c r="AI117" s="86"/>
      <c r="AJ117" s="79"/>
      <c r="AK117" s="86"/>
      <c r="AL117" s="86"/>
      <c r="AM117" s="86"/>
      <c r="AN117" s="86"/>
      <c r="AO117" s="79"/>
      <c r="AP117" s="86"/>
      <c r="AQ117" s="86"/>
      <c r="AR117" s="86"/>
      <c r="AS117" s="86"/>
      <c r="AT117" s="79"/>
      <c r="AU117" s="86"/>
      <c r="AV117" s="86"/>
      <c r="AW117" s="251"/>
      <c r="AX117" s="251"/>
      <c r="AY117" s="79"/>
      <c r="AZ117" s="251"/>
      <c r="BA117" s="251"/>
      <c r="BB117" s="251"/>
      <c r="BC117" s="251"/>
      <c r="BD117" s="79"/>
      <c r="BE117" s="251"/>
      <c r="BF117" s="251"/>
      <c r="BG117" s="251"/>
      <c r="BH117" s="251"/>
      <c r="BI117" s="79"/>
      <c r="BJ117" s="251"/>
      <c r="BK117" s="251"/>
      <c r="BL117" s="251"/>
      <c r="BM117" s="251"/>
      <c r="BN117" s="79"/>
      <c r="BO117" s="251"/>
      <c r="BP117" s="251"/>
      <c r="BQ117" s="251"/>
      <c r="BR117" s="251"/>
      <c r="BS117" s="79"/>
      <c r="BT117" s="251"/>
      <c r="BU117" s="251"/>
      <c r="BV117" s="251"/>
      <c r="BW117" s="251"/>
      <c r="BX117" s="79"/>
      <c r="BY117" s="384"/>
      <c r="BZ117" s="384"/>
      <c r="CA117" s="384"/>
      <c r="CB117" s="251"/>
      <c r="CD117" s="57" t="str">
        <f t="shared" ref="CD117:CD124" si="251">A117</f>
        <v>Cash From Financing Activities</v>
      </c>
      <c r="CE117" s="46"/>
      <c r="CF117" s="46"/>
      <c r="CG117" s="46"/>
      <c r="CH117" s="46"/>
      <c r="CI117" s="46"/>
      <c r="CJ117" s="46"/>
      <c r="CK117" s="46"/>
      <c r="CL117" s="46"/>
      <c r="CM117" s="46"/>
      <c r="CN117" s="46"/>
      <c r="CO117" s="46"/>
      <c r="CP117" s="46"/>
      <c r="CQ117" s="46"/>
      <c r="CR117" s="46"/>
      <c r="CS117" s="46"/>
      <c r="CT117" s="46"/>
      <c r="CU117" s="46"/>
      <c r="CV117" s="46"/>
      <c r="CW117" s="46"/>
      <c r="CX117" s="46"/>
      <c r="CY117" s="46"/>
      <c r="CZ117" s="44"/>
      <c r="DA117" s="58"/>
      <c r="DB117" s="59"/>
    </row>
    <row r="118" spans="1:112" s="70" customFormat="1" ht="12" customHeight="1">
      <c r="A118" s="1917" t="s">
        <v>136</v>
      </c>
      <c r="B118" s="1899">
        <f>12.137-0.741</f>
        <v>11.396000000000001</v>
      </c>
      <c r="C118" s="1900">
        <v>-478.50099999999998</v>
      </c>
      <c r="D118" s="1900">
        <v>-552.71900000000005</v>
      </c>
      <c r="E118" s="1900">
        <v>-22.718</v>
      </c>
      <c r="F118" s="1900">
        <v>-12.677</v>
      </c>
      <c r="G118" s="1901">
        <v>-7.4999999999999997E-2</v>
      </c>
      <c r="H118" s="1901">
        <f>678.298-G118</f>
        <v>678.37300000000005</v>
      </c>
      <c r="I118" s="1901">
        <f>232.112-H118-G118</f>
        <v>-446.18600000000009</v>
      </c>
      <c r="J118" s="1901">
        <f>-0.605-I118-H118-G118</f>
        <v>-232.71699999999998</v>
      </c>
      <c r="K118" s="1903">
        <f t="shared" ref="K118:K124" si="252">SUM(G118:J118)</f>
        <v>-0.60500000000007503</v>
      </c>
      <c r="L118" s="1901">
        <v>604.77700000000004</v>
      </c>
      <c r="M118" s="1901">
        <f>991.812-L118</f>
        <v>387.03499999999997</v>
      </c>
      <c r="N118" s="1901">
        <f>1328.603-M118-L118</f>
        <v>336.79100000000005</v>
      </c>
      <c r="O118" s="1901">
        <f>-2.345-N118-M118-L118+1188.803</f>
        <v>-142.14499999999998</v>
      </c>
      <c r="P118" s="1903">
        <f t="shared" ref="P118:P124" si="253">SUM(L118:O118)</f>
        <v>1186.4580000000001</v>
      </c>
      <c r="Q118" s="1901">
        <v>396.2</v>
      </c>
      <c r="R118" s="1902">
        <f>526.2-Q118</f>
        <v>130.00000000000006</v>
      </c>
      <c r="S118" s="1902">
        <f>307.1-R118-Q118</f>
        <v>-219.10000000000002</v>
      </c>
      <c r="T118" s="1902">
        <f>70-S118-R118-Q118</f>
        <v>-237.10000000000002</v>
      </c>
      <c r="U118" s="1903">
        <f t="shared" ref="U118:U124" si="254">SUM(Q118:T118)</f>
        <v>70</v>
      </c>
      <c r="V118" s="1901">
        <v>89.9</v>
      </c>
      <c r="W118" s="1902">
        <f>19.6-V118</f>
        <v>-70.300000000000011</v>
      </c>
      <c r="X118" s="1902">
        <f>-70-W118-V118</f>
        <v>-89.6</v>
      </c>
      <c r="Y118" s="1902">
        <f>-70-X118-W118-V118</f>
        <v>0</v>
      </c>
      <c r="Z118" s="1903">
        <f t="shared" ref="Z118:Z124" si="255">SUM(V118:Y118)</f>
        <v>-70</v>
      </c>
      <c r="AA118" s="1901">
        <v>0</v>
      </c>
      <c r="AB118" s="1901">
        <v>0</v>
      </c>
      <c r="AC118" s="1901">
        <v>0</v>
      </c>
      <c r="AD118" s="1901">
        <v>0</v>
      </c>
      <c r="AE118" s="1903">
        <f t="shared" ref="AE118:AE124" si="256">SUM(AA118:AD118)</f>
        <v>0</v>
      </c>
      <c r="AF118" s="1901">
        <v>0</v>
      </c>
      <c r="AG118" s="1901">
        <v>0</v>
      </c>
      <c r="AH118" s="1901">
        <v>0</v>
      </c>
      <c r="AI118" s="1901">
        <v>0</v>
      </c>
      <c r="AJ118" s="1903">
        <f t="shared" ref="AJ118:AJ124" si="257">SUM(AF118:AI118)</f>
        <v>0</v>
      </c>
      <c r="AK118" s="1901">
        <v>0</v>
      </c>
      <c r="AL118" s="1902">
        <f>0-AK118</f>
        <v>0</v>
      </c>
      <c r="AM118" s="1920">
        <f>0-SUM(AK118:AL118)</f>
        <v>0</v>
      </c>
      <c r="AN118" s="1902">
        <f>457-400-AK118-AL118-AM118</f>
        <v>57</v>
      </c>
      <c r="AO118" s="1903">
        <f t="shared" ref="AO118:AO124" si="258">SUM(AK118:AN118)</f>
        <v>57</v>
      </c>
      <c r="AP118" s="1901">
        <v>-457</v>
      </c>
      <c r="AQ118" s="1902">
        <f>-457-AP118</f>
        <v>0</v>
      </c>
      <c r="AR118" s="1920">
        <f>-457-SUM(AP118:AQ118)</f>
        <v>0</v>
      </c>
      <c r="AS118" s="1902">
        <f>-457-AP118-AQ118-AR118</f>
        <v>0</v>
      </c>
      <c r="AT118" s="1903">
        <f t="shared" ref="AT118:AT124" si="259">SUM(AP118:AS118)</f>
        <v>-457</v>
      </c>
      <c r="AU118" s="1901">
        <v>0</v>
      </c>
      <c r="AV118" s="1901">
        <v>0</v>
      </c>
      <c r="AW118" s="1902">
        <f>0-AV118-AU118</f>
        <v>0</v>
      </c>
      <c r="AX118" s="1901">
        <v>0</v>
      </c>
      <c r="AY118" s="1903">
        <f t="shared" ref="AY118:AY124" si="260">SUM(AU118:AX118)</f>
        <v>0</v>
      </c>
      <c r="AZ118" s="1918">
        <v>365</v>
      </c>
      <c r="BA118" s="1918">
        <f>690-AZ118</f>
        <v>325</v>
      </c>
      <c r="BB118" s="1918">
        <f>2674-SUM(AZ118:BA118)</f>
        <v>1984</v>
      </c>
      <c r="BC118" s="1918">
        <f>143+2674-SUM(AZ118:BB118)</f>
        <v>143</v>
      </c>
      <c r="BD118" s="1903">
        <f t="shared" ref="BD118:BD124" si="261">SUM(AZ118:BC118)</f>
        <v>2817</v>
      </c>
      <c r="BE118" s="1918">
        <v>329</v>
      </c>
      <c r="BF118" s="1918">
        <f>166-BE118</f>
        <v>-163</v>
      </c>
      <c r="BG118" s="1918">
        <f>+-143+493-SUM(BE118:BF118)</f>
        <v>184</v>
      </c>
      <c r="BH118" s="1918">
        <f>+-143+493-421-SUM(BE118:BG118)</f>
        <v>-421</v>
      </c>
      <c r="BI118" s="1903">
        <f t="shared" ref="BI118:BI124" si="262">SUM(BE118:BH118)</f>
        <v>-71</v>
      </c>
      <c r="BJ118" s="1918">
        <v>0</v>
      </c>
      <c r="BK118" s="1918">
        <v>0</v>
      </c>
      <c r="BL118" s="2185">
        <v>0</v>
      </c>
      <c r="BM118" s="2185">
        <v>0</v>
      </c>
      <c r="BN118" s="1903">
        <f>SUM(BJ118:BM118)</f>
        <v>0</v>
      </c>
      <c r="BO118" s="2185">
        <v>0</v>
      </c>
      <c r="BP118" s="1901">
        <v>0</v>
      </c>
      <c r="BQ118" s="1901">
        <v>0</v>
      </c>
      <c r="BR118" s="1901">
        <v>0</v>
      </c>
      <c r="BS118" s="1903">
        <f>SUM(BO118:BR118)</f>
        <v>0</v>
      </c>
      <c r="BT118" s="1901">
        <v>0</v>
      </c>
      <c r="BU118" s="1901">
        <v>0</v>
      </c>
      <c r="BV118" s="1901">
        <v>0</v>
      </c>
      <c r="BW118" s="1901">
        <v>0</v>
      </c>
      <c r="BX118" s="1903">
        <f>SUM(BT118:BW118)</f>
        <v>0</v>
      </c>
      <c r="BY118" s="1919">
        <v>0</v>
      </c>
      <c r="BZ118" s="1919">
        <v>0</v>
      </c>
      <c r="CA118" s="1919">
        <v>0</v>
      </c>
      <c r="CB118" s="248"/>
      <c r="CC118" s="1359"/>
      <c r="CD118" s="227" t="str">
        <f t="shared" si="251"/>
        <v>Payment/Additions to Short-Term Debt and Long-Term debt – net</v>
      </c>
      <c r="CE118" s="222">
        <f t="shared" ref="CE118:CI124" si="263">B118</f>
        <v>11.396000000000001</v>
      </c>
      <c r="CF118" s="222">
        <f t="shared" si="263"/>
        <v>-478.50099999999998</v>
      </c>
      <c r="CG118" s="222">
        <f t="shared" si="263"/>
        <v>-552.71900000000005</v>
      </c>
      <c r="CH118" s="222">
        <f t="shared" si="263"/>
        <v>-22.718</v>
      </c>
      <c r="CI118" s="222">
        <f t="shared" si="263"/>
        <v>-12.677</v>
      </c>
      <c r="CJ118" s="222">
        <f t="shared" ref="CJ118:CJ124" si="264">K118</f>
        <v>-0.60500000000007503</v>
      </c>
      <c r="CK118" s="222">
        <f t="shared" ref="CK118:CK124" si="265">P118</f>
        <v>1186.4580000000001</v>
      </c>
      <c r="CL118" s="222">
        <f t="shared" ref="CL118:CL124" si="266">U118</f>
        <v>70</v>
      </c>
      <c r="CM118" s="222">
        <f t="shared" ref="CM118:CM124" si="267">Z118</f>
        <v>-70</v>
      </c>
      <c r="CN118" s="222">
        <f t="shared" ref="CN118:CN124" si="268">AE118</f>
        <v>0</v>
      </c>
      <c r="CO118" s="222">
        <f t="shared" ref="CO118:CO124" si="269">AJ118</f>
        <v>0</v>
      </c>
      <c r="CP118" s="222">
        <f t="shared" ref="CP118:CP124" si="270">AO118</f>
        <v>57</v>
      </c>
      <c r="CQ118" s="222">
        <f t="shared" ref="CQ118:CQ124" si="271">AT118</f>
        <v>-457</v>
      </c>
      <c r="CR118" s="222">
        <f t="shared" ref="CR118:CR124" si="272">AY118</f>
        <v>0</v>
      </c>
      <c r="CS118" s="222">
        <f t="shared" ref="CS118:CS124" si="273">BD118</f>
        <v>2817</v>
      </c>
      <c r="CT118" s="222">
        <f t="shared" ref="CT118:CT124" si="274">BI118</f>
        <v>-71</v>
      </c>
      <c r="CU118" s="222">
        <f t="shared" ref="CU118:CU124" si="275">BN118</f>
        <v>0</v>
      </c>
      <c r="CV118" s="222">
        <f t="shared" ref="CV118:CV124" si="276">BS118</f>
        <v>0</v>
      </c>
      <c r="CW118" s="222">
        <f t="shared" ref="CW118:CZ124" si="277">BX118</f>
        <v>0</v>
      </c>
      <c r="CX118" s="222">
        <f t="shared" si="277"/>
        <v>0</v>
      </c>
      <c r="CY118" s="222">
        <f t="shared" si="277"/>
        <v>0</v>
      </c>
      <c r="CZ118" s="228">
        <f t="shared" si="277"/>
        <v>0</v>
      </c>
      <c r="DA118" s="74"/>
      <c r="DB118" s="59"/>
      <c r="DC118"/>
      <c r="DD118"/>
      <c r="DE118"/>
      <c r="DF118"/>
      <c r="DG118"/>
      <c r="DH118"/>
    </row>
    <row r="119" spans="1:112" s="82" customFormat="1" ht="12" customHeight="1">
      <c r="A119" s="1906" t="s">
        <v>137</v>
      </c>
      <c r="B119" s="1907">
        <v>-189.834</v>
      </c>
      <c r="C119" s="1907">
        <v>-197.01599999999999</v>
      </c>
      <c r="D119" s="1907">
        <v>-206.54300000000001</v>
      </c>
      <c r="E119" s="1907">
        <v>-228.166</v>
      </c>
      <c r="F119" s="1907">
        <v>-246.048</v>
      </c>
      <c r="G119" s="1873">
        <v>-66.325999999999993</v>
      </c>
      <c r="H119" s="1888">
        <f>-131.86-G119</f>
        <v>-65.53400000000002</v>
      </c>
      <c r="I119" s="1888">
        <f>-196.025-H119-G119</f>
        <v>-64.164999999999992</v>
      </c>
      <c r="J119" s="1888">
        <f>-260.323-I119-H119-G119</f>
        <v>-64.297999999999973</v>
      </c>
      <c r="K119" s="1909">
        <f t="shared" si="252"/>
        <v>-260.32299999999998</v>
      </c>
      <c r="L119" s="1888">
        <v>-72.759</v>
      </c>
      <c r="M119" s="1888">
        <f>-142.326-L119</f>
        <v>-69.566999999999993</v>
      </c>
      <c r="N119" s="1888">
        <f>-210.973-M119-L119</f>
        <v>-68.647000000000006</v>
      </c>
      <c r="O119" s="1888">
        <f>-277.746-N119-M119-L119</f>
        <v>-66.772999999999982</v>
      </c>
      <c r="P119" s="1909">
        <f t="shared" si="253"/>
        <v>-277.74599999999998</v>
      </c>
      <c r="Q119" s="1888">
        <v>-71.015000000000001</v>
      </c>
      <c r="R119" s="1908">
        <f>-142.112-Q119</f>
        <v>-71.096999999999994</v>
      </c>
      <c r="S119" s="1908">
        <f>-211.156-R119-Q119</f>
        <v>-69.044000000000025</v>
      </c>
      <c r="T119" s="1908">
        <f>-280.455-S119-R119-Q119</f>
        <v>-69.298999999999964</v>
      </c>
      <c r="U119" s="1909">
        <f t="shared" si="254"/>
        <v>-280.45499999999998</v>
      </c>
      <c r="V119" s="1888">
        <v>-70.850999999999999</v>
      </c>
      <c r="W119" s="1908">
        <f>-141.75-V119</f>
        <v>-70.899000000000001</v>
      </c>
      <c r="X119" s="1908">
        <f>-212.678-W119-V119</f>
        <v>-70.927999999999997</v>
      </c>
      <c r="Y119" s="1908">
        <f>-281.553-X119-W119-V119</f>
        <v>-68.875</v>
      </c>
      <c r="Z119" s="1909">
        <f t="shared" si="255"/>
        <v>-281.553</v>
      </c>
      <c r="AA119" s="1888">
        <v>-74.099999999999994</v>
      </c>
      <c r="AB119" s="1908">
        <f>-148.2-AA119</f>
        <v>-74.099999999999994</v>
      </c>
      <c r="AC119" s="1908">
        <f>-221.3-AB119-AA119</f>
        <v>-73.100000000000023</v>
      </c>
      <c r="AD119" s="1908">
        <f>-292.257-AC119-AB119-AA119</f>
        <v>-70.956999999999994</v>
      </c>
      <c r="AE119" s="1909">
        <f t="shared" si="256"/>
        <v>-292.25700000000001</v>
      </c>
      <c r="AF119" s="1888">
        <v>-76.7</v>
      </c>
      <c r="AG119" s="1908">
        <f>-152.4-AF119</f>
        <v>-75.7</v>
      </c>
      <c r="AH119" s="1908">
        <f>-224.7-AG119-AF119</f>
        <v>-72.3</v>
      </c>
      <c r="AI119" s="1908">
        <f>-296-SUM(AF119:AH119)</f>
        <v>-71.300000000000011</v>
      </c>
      <c r="AJ119" s="1909">
        <f t="shared" si="257"/>
        <v>-296</v>
      </c>
      <c r="AK119" s="1888">
        <v>-74</v>
      </c>
      <c r="AL119" s="1908">
        <f>-145-AK119</f>
        <v>-71</v>
      </c>
      <c r="AM119" s="1908">
        <f>-216-SUM(AK119:AL119)</f>
        <v>-71</v>
      </c>
      <c r="AN119" s="1908">
        <f>-984-SUM(AK119:AM119)</f>
        <v>-768</v>
      </c>
      <c r="AO119" s="1909">
        <f t="shared" si="258"/>
        <v>-984</v>
      </c>
      <c r="AP119" s="1888">
        <v>-79</v>
      </c>
      <c r="AQ119" s="1908">
        <f>-156-AP119</f>
        <v>-77</v>
      </c>
      <c r="AR119" s="1908">
        <f>-232-SUM(AP119:AQ119)</f>
        <v>-76</v>
      </c>
      <c r="AS119" s="1908">
        <f>-308-SUM(AP119:AR119)</f>
        <v>-76</v>
      </c>
      <c r="AT119" s="1909">
        <f t="shared" si="259"/>
        <v>-308</v>
      </c>
      <c r="AU119" s="1888">
        <v>-82</v>
      </c>
      <c r="AV119" s="1908">
        <f>-163-AU119</f>
        <v>-81</v>
      </c>
      <c r="AW119" s="1910">
        <f>-245-AV119-AU119</f>
        <v>-82</v>
      </c>
      <c r="AX119" s="1910">
        <f>+-326-SUM(AU119:AW119)</f>
        <v>-81</v>
      </c>
      <c r="AY119" s="1909">
        <f t="shared" si="260"/>
        <v>-326</v>
      </c>
      <c r="AZ119" s="1872">
        <v>-94</v>
      </c>
      <c r="BA119" s="1872">
        <f>+-185-AZ119</f>
        <v>-91</v>
      </c>
      <c r="BB119" s="1872">
        <f>+-274-SUM(AZ119:BA119)</f>
        <v>-89</v>
      </c>
      <c r="BC119" s="1872">
        <f>+-363-SUM(AZ119:BB119)</f>
        <v>-89</v>
      </c>
      <c r="BD119" s="1909">
        <f t="shared" si="261"/>
        <v>-363</v>
      </c>
      <c r="BE119" s="1872">
        <v>-96</v>
      </c>
      <c r="BF119" s="1872">
        <f>+-191-BE119</f>
        <v>-95</v>
      </c>
      <c r="BG119" s="1872">
        <f>+-286-SUM(BE119:BF119)</f>
        <v>-95</v>
      </c>
      <c r="BH119" s="1872">
        <f>+-380-SUM(BE119:BG119)</f>
        <v>-94</v>
      </c>
      <c r="BI119" s="1909">
        <f t="shared" ref="BI119" si="278">SUM(BE119:BH119)</f>
        <v>-380</v>
      </c>
      <c r="BJ119" s="1872">
        <v>-106</v>
      </c>
      <c r="BK119" s="1872">
        <f>-212-BJ119</f>
        <v>-106</v>
      </c>
      <c r="BL119" s="2167">
        <f>-316-SUM(BJ119:BK119)</f>
        <v>-104</v>
      </c>
      <c r="BM119" s="1873">
        <f>+-421-SUM(BJ119:BL119)</f>
        <v>-105</v>
      </c>
      <c r="BN119" s="1909">
        <f t="shared" ref="BN119" si="279">SUM(BJ119:BM119)</f>
        <v>-421</v>
      </c>
      <c r="BO119" s="2167">
        <v>-127</v>
      </c>
      <c r="BP119" s="1887">
        <f t="shared" ref="BP119:BZ119" si="280">-BP302</f>
        <v>-126.26747015991721</v>
      </c>
      <c r="BQ119" s="1887">
        <f t="shared" si="280"/>
        <v>-125.83116123919596</v>
      </c>
      <c r="BR119" s="1887">
        <f t="shared" si="280"/>
        <v>-125.06218717080796</v>
      </c>
      <c r="BS119" s="1909">
        <f t="shared" ref="BS119" si="281">SUM(BO119:BR119)</f>
        <v>-504.16081856992116</v>
      </c>
      <c r="BT119" s="1887">
        <f t="shared" ref="BT119:BW119" si="282">-BT302</f>
        <v>-216.95092798550797</v>
      </c>
      <c r="BU119" s="1887">
        <f t="shared" si="282"/>
        <v>-215.80033702952898</v>
      </c>
      <c r="BV119" s="1887">
        <f t="shared" si="282"/>
        <v>-215.16279773766735</v>
      </c>
      <c r="BW119" s="1887">
        <f t="shared" si="282"/>
        <v>-213.94345894261292</v>
      </c>
      <c r="BX119" s="1909">
        <f t="shared" ref="BX119" si="283">SUM(BT119:BW119)</f>
        <v>-861.85752169531713</v>
      </c>
      <c r="BY119" s="1936">
        <f t="shared" si="280"/>
        <v>-925.72808427118025</v>
      </c>
      <c r="BZ119" s="1936">
        <f t="shared" si="280"/>
        <v>-995.20731468298243</v>
      </c>
      <c r="CA119" s="1936">
        <f t="shared" ref="CA119" si="284">-CA302</f>
        <v>-1052.8493174177152</v>
      </c>
      <c r="CB119" s="86"/>
      <c r="CC119" s="1360"/>
      <c r="CD119" s="83" t="str">
        <f t="shared" si="251"/>
        <v>Dividends Paid to Shareholders</v>
      </c>
      <c r="CE119" s="46">
        <f t="shared" si="263"/>
        <v>-189.834</v>
      </c>
      <c r="CF119" s="46">
        <f t="shared" si="263"/>
        <v>-197.01599999999999</v>
      </c>
      <c r="CG119" s="46">
        <f t="shared" si="263"/>
        <v>-206.54300000000001</v>
      </c>
      <c r="CH119" s="46">
        <f t="shared" si="263"/>
        <v>-228.166</v>
      </c>
      <c r="CI119" s="46">
        <f t="shared" si="263"/>
        <v>-246.048</v>
      </c>
      <c r="CJ119" s="46">
        <f t="shared" si="264"/>
        <v>-260.32299999999998</v>
      </c>
      <c r="CK119" s="46">
        <f t="shared" si="265"/>
        <v>-277.74599999999998</v>
      </c>
      <c r="CL119" s="46">
        <f t="shared" si="266"/>
        <v>-280.45499999999998</v>
      </c>
      <c r="CM119" s="46">
        <f t="shared" si="267"/>
        <v>-281.553</v>
      </c>
      <c r="CN119" s="46">
        <f t="shared" si="268"/>
        <v>-292.25700000000001</v>
      </c>
      <c r="CO119" s="46">
        <f t="shared" si="269"/>
        <v>-296</v>
      </c>
      <c r="CP119" s="46">
        <f t="shared" si="270"/>
        <v>-984</v>
      </c>
      <c r="CQ119" s="46">
        <f t="shared" si="271"/>
        <v>-308</v>
      </c>
      <c r="CR119" s="46">
        <f t="shared" si="272"/>
        <v>-326</v>
      </c>
      <c r="CS119" s="46">
        <f t="shared" si="273"/>
        <v>-363</v>
      </c>
      <c r="CT119" s="46">
        <f t="shared" si="274"/>
        <v>-380</v>
      </c>
      <c r="CU119" s="46">
        <f t="shared" si="275"/>
        <v>-421</v>
      </c>
      <c r="CV119" s="46">
        <f t="shared" si="276"/>
        <v>-504.16081856992116</v>
      </c>
      <c r="CW119" s="46">
        <f t="shared" si="277"/>
        <v>-861.85752169531713</v>
      </c>
      <c r="CX119" s="46">
        <f t="shared" si="277"/>
        <v>-925.72808427118025</v>
      </c>
      <c r="CY119" s="46">
        <f t="shared" si="277"/>
        <v>-995.20731468298243</v>
      </c>
      <c r="CZ119" s="44">
        <f t="shared" si="277"/>
        <v>-1052.8493174177152</v>
      </c>
      <c r="DA119" s="86"/>
      <c r="DB119" s="59"/>
      <c r="DC119"/>
      <c r="DD119"/>
      <c r="DE119"/>
      <c r="DF119"/>
      <c r="DG119"/>
      <c r="DH119"/>
    </row>
    <row r="120" spans="1:112" s="82" customFormat="1" ht="12" customHeight="1">
      <c r="A120" s="1906" t="s">
        <v>138</v>
      </c>
      <c r="B120" s="1907">
        <v>0</v>
      </c>
      <c r="C120" s="1907">
        <v>0</v>
      </c>
      <c r="D120" s="1907">
        <v>0</v>
      </c>
      <c r="E120" s="1907">
        <v>0</v>
      </c>
      <c r="F120" s="1907">
        <v>0</v>
      </c>
      <c r="G120" s="1873">
        <v>0</v>
      </c>
      <c r="H120" s="1888">
        <f>0-G120</f>
        <v>0</v>
      </c>
      <c r="I120" s="1888">
        <f>0-H120-G120</f>
        <v>0</v>
      </c>
      <c r="J120" s="1888">
        <f>0-I120-H120-G120</f>
        <v>0</v>
      </c>
      <c r="K120" s="1909">
        <f t="shared" si="252"/>
        <v>0</v>
      </c>
      <c r="L120" s="1888">
        <v>0</v>
      </c>
      <c r="M120" s="1888">
        <f>0-L120</f>
        <v>0</v>
      </c>
      <c r="N120" s="1888">
        <f>0-M120-L120</f>
        <v>0</v>
      </c>
      <c r="O120" s="1888">
        <f>0-N120-M120-L120</f>
        <v>0</v>
      </c>
      <c r="P120" s="1909">
        <f t="shared" si="253"/>
        <v>0</v>
      </c>
      <c r="Q120" s="1888">
        <v>0</v>
      </c>
      <c r="R120" s="1908">
        <f>0-Q120</f>
        <v>0</v>
      </c>
      <c r="S120" s="1908">
        <f>0-R120-Q120</f>
        <v>0</v>
      </c>
      <c r="T120" s="1908">
        <f>0-S120-R120-Q120</f>
        <v>0</v>
      </c>
      <c r="U120" s="1909">
        <f t="shared" si="254"/>
        <v>0</v>
      </c>
      <c r="V120" s="1888">
        <v>0</v>
      </c>
      <c r="W120" s="1908">
        <f>-5.074-V120</f>
        <v>-5.0739999999999998</v>
      </c>
      <c r="X120" s="1908">
        <f>-7.137-W120-V120</f>
        <v>-2.0629999999999997</v>
      </c>
      <c r="Y120" s="1908">
        <f>-9.162-X120-W120-V120</f>
        <v>-2.0250000000000012</v>
      </c>
      <c r="Z120" s="1909">
        <f t="shared" si="255"/>
        <v>-9.1620000000000008</v>
      </c>
      <c r="AA120" s="1888">
        <v>-3.5</v>
      </c>
      <c r="AB120" s="1908">
        <f>-14.2-AA120</f>
        <v>-10.7</v>
      </c>
      <c r="AC120" s="1908">
        <f>-16.8-AB120-AA120</f>
        <v>-2.6000000000000014</v>
      </c>
      <c r="AD120" s="1908">
        <f>-18.906-17.844-AC120-AB120-AA120</f>
        <v>-19.95</v>
      </c>
      <c r="AE120" s="1909">
        <f t="shared" si="256"/>
        <v>-36.75</v>
      </c>
      <c r="AF120" s="1888">
        <v>-0.2</v>
      </c>
      <c r="AG120" s="1908">
        <f>-8.7-AF120</f>
        <v>-8.5</v>
      </c>
      <c r="AH120" s="1908">
        <f>-10.9-AG120-AF120</f>
        <v>-2.2000000000000002</v>
      </c>
      <c r="AI120" s="1908">
        <f>-12+-15-SUM(AF120:AH120)</f>
        <v>-16.100000000000001</v>
      </c>
      <c r="AJ120" s="1909">
        <f t="shared" si="257"/>
        <v>-27</v>
      </c>
      <c r="AK120" s="1888">
        <v>0</v>
      </c>
      <c r="AL120" s="1908">
        <f>-6-AK120</f>
        <v>-6</v>
      </c>
      <c r="AM120" s="1908">
        <f>-8-SUM(AK120:AL120)</f>
        <v>-2</v>
      </c>
      <c r="AN120" s="1908">
        <f>-24-SUM(AK120:AM120)</f>
        <v>-16</v>
      </c>
      <c r="AO120" s="1909">
        <f t="shared" si="258"/>
        <v>-24</v>
      </c>
      <c r="AP120" s="1888">
        <v>-17</v>
      </c>
      <c r="AQ120" s="1908">
        <f>-38-AP120</f>
        <v>-21</v>
      </c>
      <c r="AR120" s="1908">
        <f>-56-SUM(AP120:AQ120)</f>
        <v>-18</v>
      </c>
      <c r="AS120" s="1908">
        <f>-75-SUM(AP120:AR120)</f>
        <v>-19</v>
      </c>
      <c r="AT120" s="1909">
        <f t="shared" si="259"/>
        <v>-75</v>
      </c>
      <c r="AU120" s="1888">
        <v>-15</v>
      </c>
      <c r="AV120" s="1908">
        <f>-30-AU120</f>
        <v>-15</v>
      </c>
      <c r="AW120" s="1910">
        <f>-31-AV120-AU120</f>
        <v>-1</v>
      </c>
      <c r="AX120" s="1910">
        <f>+-84-SUM(AU120:AW120)</f>
        <v>-53</v>
      </c>
      <c r="AY120" s="1909">
        <f t="shared" si="260"/>
        <v>-84</v>
      </c>
      <c r="AZ120" s="1872">
        <v>-30</v>
      </c>
      <c r="BA120" s="1872">
        <f>+-49-AZ120</f>
        <v>-19</v>
      </c>
      <c r="BB120" s="1872">
        <f>+-67-SUM(AZ120:BA120)</f>
        <v>-18</v>
      </c>
      <c r="BC120" s="1872">
        <f>+-104-SUM(AZ120:BB120)</f>
        <v>-37</v>
      </c>
      <c r="BD120" s="1909">
        <f t="shared" si="261"/>
        <v>-104</v>
      </c>
      <c r="BE120" s="1872">
        <v>-33</v>
      </c>
      <c r="BF120" s="1872">
        <f>+-57-BE120</f>
        <v>-24</v>
      </c>
      <c r="BG120" s="1872">
        <f>+-59-SUM(BE120:BF120)</f>
        <v>-2</v>
      </c>
      <c r="BH120" s="1872">
        <f>+-116-SUM(BE120:BG120)</f>
        <v>-57</v>
      </c>
      <c r="BI120" s="1909">
        <f t="shared" si="262"/>
        <v>-116</v>
      </c>
      <c r="BJ120" s="1872">
        <v>-24</v>
      </c>
      <c r="BK120" s="1872">
        <f>-54-BJ120</f>
        <v>-30</v>
      </c>
      <c r="BL120" s="2167">
        <f>-69-SUM(BJ120:BK120)</f>
        <v>-15</v>
      </c>
      <c r="BM120" s="1873">
        <f>+-111-SUM(BJ120:BL120)</f>
        <v>-42</v>
      </c>
      <c r="BN120" s="1909">
        <f>SUM(BJ120:BM120)</f>
        <v>-111</v>
      </c>
      <c r="BO120" s="2167">
        <v>-50</v>
      </c>
      <c r="BP120" s="1873">
        <f t="shared" ref="BP120:BR120" si="285">BK120</f>
        <v>-30</v>
      </c>
      <c r="BQ120" s="1873">
        <f t="shared" si="285"/>
        <v>-15</v>
      </c>
      <c r="BR120" s="1873">
        <f t="shared" si="285"/>
        <v>-42</v>
      </c>
      <c r="BS120" s="1909">
        <f>SUM(BO120:BR120)</f>
        <v>-137</v>
      </c>
      <c r="BT120" s="1873">
        <f>BO120</f>
        <v>-50</v>
      </c>
      <c r="BU120" s="1873">
        <f t="shared" ref="BU120" si="286">BP120</f>
        <v>-30</v>
      </c>
      <c r="BV120" s="1873">
        <f t="shared" ref="BV120" si="287">BQ120</f>
        <v>-15</v>
      </c>
      <c r="BW120" s="1873">
        <f t="shared" ref="BW120" si="288">BR120</f>
        <v>-42</v>
      </c>
      <c r="BX120" s="1909">
        <f>SUM(BT120:BW120)</f>
        <v>-137</v>
      </c>
      <c r="BY120" s="1907">
        <f t="shared" ref="BY120:BZ120" si="289">BX120</f>
        <v>-137</v>
      </c>
      <c r="BZ120" s="1907">
        <f t="shared" si="289"/>
        <v>-137</v>
      </c>
      <c r="CA120" s="1913">
        <v>0</v>
      </c>
      <c r="CB120" s="251"/>
      <c r="CC120" s="1360"/>
      <c r="CD120" s="83" t="str">
        <f t="shared" si="251"/>
        <v>Dividends and other payments paid to Noncontrolling Interests</v>
      </c>
      <c r="CE120" s="46">
        <f t="shared" si="263"/>
        <v>0</v>
      </c>
      <c r="CF120" s="46">
        <f t="shared" si="263"/>
        <v>0</v>
      </c>
      <c r="CG120" s="46">
        <f t="shared" si="263"/>
        <v>0</v>
      </c>
      <c r="CH120" s="46">
        <f t="shared" si="263"/>
        <v>0</v>
      </c>
      <c r="CI120" s="46">
        <f t="shared" si="263"/>
        <v>0</v>
      </c>
      <c r="CJ120" s="46">
        <f t="shared" si="264"/>
        <v>0</v>
      </c>
      <c r="CK120" s="46">
        <f t="shared" si="265"/>
        <v>0</v>
      </c>
      <c r="CL120" s="46">
        <f t="shared" si="266"/>
        <v>0</v>
      </c>
      <c r="CM120" s="46">
        <f t="shared" si="267"/>
        <v>-9.1620000000000008</v>
      </c>
      <c r="CN120" s="46">
        <f t="shared" si="268"/>
        <v>-36.75</v>
      </c>
      <c r="CO120" s="46">
        <f t="shared" si="269"/>
        <v>-27</v>
      </c>
      <c r="CP120" s="46">
        <f t="shared" si="270"/>
        <v>-24</v>
      </c>
      <c r="CQ120" s="46">
        <f t="shared" si="271"/>
        <v>-75</v>
      </c>
      <c r="CR120" s="46">
        <f t="shared" si="272"/>
        <v>-84</v>
      </c>
      <c r="CS120" s="46">
        <f t="shared" si="273"/>
        <v>-104</v>
      </c>
      <c r="CT120" s="46">
        <f t="shared" si="274"/>
        <v>-116</v>
      </c>
      <c r="CU120" s="46">
        <f t="shared" si="275"/>
        <v>-111</v>
      </c>
      <c r="CV120" s="46">
        <f t="shared" si="276"/>
        <v>-137</v>
      </c>
      <c r="CW120" s="46">
        <f t="shared" si="277"/>
        <v>-137</v>
      </c>
      <c r="CX120" s="46">
        <f t="shared" si="277"/>
        <v>-137</v>
      </c>
      <c r="CY120" s="46">
        <f t="shared" si="277"/>
        <v>-137</v>
      </c>
      <c r="CZ120" s="44">
        <f t="shared" si="277"/>
        <v>0</v>
      </c>
      <c r="DA120" s="86"/>
      <c r="DB120" s="59"/>
      <c r="DC120"/>
      <c r="DD120"/>
      <c r="DE120"/>
      <c r="DF120"/>
      <c r="DG120"/>
      <c r="DH120"/>
    </row>
    <row r="121" spans="1:112" s="82" customFormat="1" ht="12" customHeight="1">
      <c r="A121" s="1906" t="s">
        <v>139</v>
      </c>
      <c r="B121" s="1907">
        <v>-176.46799999999999</v>
      </c>
      <c r="C121" s="1907">
        <v>-183.11099999999999</v>
      </c>
      <c r="D121" s="1907">
        <v>-216.35599999999999</v>
      </c>
      <c r="E121" s="1907">
        <v>-409.35</v>
      </c>
      <c r="F121" s="1907">
        <v>-677.65899999999999</v>
      </c>
      <c r="G121" s="1873">
        <v>-525.71500000000003</v>
      </c>
      <c r="H121" s="1888">
        <f>-1359.322-G121</f>
        <v>-833.60699999999986</v>
      </c>
      <c r="I121" s="1888">
        <f>-1386.769-H121-G121</f>
        <v>-27.447000000000116</v>
      </c>
      <c r="J121" s="1888">
        <f>-1540.126-I121-H121-G121</f>
        <v>-153.35699999999997</v>
      </c>
      <c r="K121" s="1909">
        <f t="shared" si="252"/>
        <v>-1540.126</v>
      </c>
      <c r="L121" s="1888">
        <v>-611.05700000000002</v>
      </c>
      <c r="M121" s="1888">
        <f>-1178.287-L121</f>
        <v>-567.23</v>
      </c>
      <c r="N121" s="1888">
        <f>-1889.923-M121-L121</f>
        <v>-711.63599999999997</v>
      </c>
      <c r="O121" s="1888">
        <f>-2212.655-N121-M121-L121</f>
        <v>-322.7320000000002</v>
      </c>
      <c r="P121" s="1909">
        <f t="shared" si="253"/>
        <v>-2212.6550000000002</v>
      </c>
      <c r="Q121" s="1888">
        <v>-134.01300000000001</v>
      </c>
      <c r="R121" s="1908">
        <f>-275.549-Q121</f>
        <v>-141.53599999999997</v>
      </c>
      <c r="S121" s="1908">
        <f>-434.108-R121-Q121</f>
        <v>-158.559</v>
      </c>
      <c r="T121" s="1908">
        <f>-447.233-S121-R121-Q121</f>
        <v>-13.125</v>
      </c>
      <c r="U121" s="1909">
        <f t="shared" si="254"/>
        <v>-447.23299999999995</v>
      </c>
      <c r="V121" s="1888">
        <v>0</v>
      </c>
      <c r="W121" s="1908">
        <f>0-V121</f>
        <v>0</v>
      </c>
      <c r="X121" s="1908">
        <f>0-W121-V121</f>
        <v>0</v>
      </c>
      <c r="Y121" s="1908">
        <f>0-X121-W121-V121</f>
        <v>0</v>
      </c>
      <c r="Z121" s="1909">
        <f t="shared" si="255"/>
        <v>0</v>
      </c>
      <c r="AA121" s="1888">
        <v>0</v>
      </c>
      <c r="AB121" s="1908">
        <f>-186.9-AA121</f>
        <v>-186.9</v>
      </c>
      <c r="AC121" s="1908">
        <f>-255.8-AB121-AA121</f>
        <v>-68.900000000000006</v>
      </c>
      <c r="AD121" s="1908">
        <f>-255.808-AC121-AB121-AA121</f>
        <v>-7.9999999999813554E-3</v>
      </c>
      <c r="AE121" s="1909">
        <f t="shared" si="256"/>
        <v>-255.80799999999999</v>
      </c>
      <c r="AF121" s="1888">
        <v>-123.6</v>
      </c>
      <c r="AG121" s="1908">
        <f>-300.3-AF121</f>
        <v>-176.70000000000002</v>
      </c>
      <c r="AH121" s="1908">
        <f>-635.6-AG121-AF121</f>
        <v>-335.29999999999995</v>
      </c>
      <c r="AI121" s="1908">
        <f>-1500-SUM(AF121:AH121)</f>
        <v>-864.40000000000009</v>
      </c>
      <c r="AJ121" s="1909">
        <f>SUM(AF121:AI121)</f>
        <v>-1500</v>
      </c>
      <c r="AK121" s="1888">
        <v>0</v>
      </c>
      <c r="AL121" s="1908">
        <f>0-AK121</f>
        <v>0</v>
      </c>
      <c r="AM121" s="1908">
        <f>-269-SUM(AK121:AL121)</f>
        <v>-269</v>
      </c>
      <c r="AN121" s="1908">
        <f>-295-SUM(AK121:AM121)</f>
        <v>-26</v>
      </c>
      <c r="AO121" s="1909">
        <f t="shared" si="258"/>
        <v>-295</v>
      </c>
      <c r="AP121" s="1888">
        <v>-500</v>
      </c>
      <c r="AQ121" s="1908">
        <f>-500-AP121</f>
        <v>0</v>
      </c>
      <c r="AR121" s="1908">
        <f>-850-SUM(AP121:AQ121)</f>
        <v>-350</v>
      </c>
      <c r="AS121" s="1908">
        <f>-978-SUM(AP121:AR121)</f>
        <v>-128</v>
      </c>
      <c r="AT121" s="1909">
        <f t="shared" si="259"/>
        <v>-978</v>
      </c>
      <c r="AU121" s="1888">
        <v>-164</v>
      </c>
      <c r="AV121" s="1908">
        <f>-362-AU121</f>
        <v>-198</v>
      </c>
      <c r="AW121" s="1910">
        <f>-362-AV121-AU121</f>
        <v>0</v>
      </c>
      <c r="AX121" s="1910">
        <f>+-362-SUM(AU121:AW121)</f>
        <v>0</v>
      </c>
      <c r="AY121" s="1909">
        <f t="shared" si="260"/>
        <v>-362</v>
      </c>
      <c r="AZ121" s="1872">
        <v>-110</v>
      </c>
      <c r="BA121" s="1872">
        <f>+-274-AZ121</f>
        <v>-164</v>
      </c>
      <c r="BB121" s="1872">
        <f>+-501-SUM(AZ121:BA121)</f>
        <v>-227</v>
      </c>
      <c r="BC121" s="1872">
        <f>+-974-SUM(AZ121:BB121)</f>
        <v>-473</v>
      </c>
      <c r="BD121" s="1909">
        <f t="shared" si="261"/>
        <v>-974</v>
      </c>
      <c r="BE121" s="1872">
        <v>-226</v>
      </c>
      <c r="BF121" s="1872">
        <f>+-373-BE121</f>
        <v>-147</v>
      </c>
      <c r="BG121" s="1872">
        <f>+-1123-SUM(BE121:BF121)</f>
        <v>-750</v>
      </c>
      <c r="BH121" s="1872">
        <f>+-1123-SUM(BE121:BG121)</f>
        <v>0</v>
      </c>
      <c r="BI121" s="1909">
        <f t="shared" si="262"/>
        <v>-1123</v>
      </c>
      <c r="BJ121" s="1872">
        <v>-201</v>
      </c>
      <c r="BK121" s="1872">
        <f>-346-BJ121</f>
        <v>-145</v>
      </c>
      <c r="BL121" s="2167">
        <f>-846-SUM(BJ121:BK121)</f>
        <v>-500</v>
      </c>
      <c r="BM121" s="1873">
        <f>+-1001-SUM(BJ121:BL121)</f>
        <v>-155</v>
      </c>
      <c r="BN121" s="1909">
        <f>SUM(BJ121:BM121)</f>
        <v>-1001</v>
      </c>
      <c r="BO121" s="2167">
        <v>-1100</v>
      </c>
      <c r="BP121" s="2167">
        <v>-325</v>
      </c>
      <c r="BQ121" s="1910">
        <f>BP121</f>
        <v>-325</v>
      </c>
      <c r="BR121" s="1910">
        <f>BQ121</f>
        <v>-325</v>
      </c>
      <c r="BS121" s="1909">
        <f>SUM(BO121:BR121)</f>
        <v>-2075</v>
      </c>
      <c r="BT121" s="1873">
        <v>-325</v>
      </c>
      <c r="BU121" s="1910">
        <f>BT121</f>
        <v>-325</v>
      </c>
      <c r="BV121" s="1910">
        <f>BU121</f>
        <v>-325</v>
      </c>
      <c r="BW121" s="1910">
        <f>BV121</f>
        <v>-325</v>
      </c>
      <c r="BX121" s="1909">
        <f>SUM(BT121:BW121)</f>
        <v>-1300</v>
      </c>
      <c r="BY121" s="1909">
        <f>+BX121*1.1</f>
        <v>-1430.0000000000002</v>
      </c>
      <c r="BZ121" s="1909">
        <f>+BY121*1.1</f>
        <v>-1573.0000000000005</v>
      </c>
      <c r="CA121" s="1909">
        <f>+BZ121*1.1</f>
        <v>-1730.3000000000006</v>
      </c>
      <c r="CB121" s="251"/>
      <c r="CC121" s="1360"/>
      <c r="CD121" s="83" t="str">
        <f t="shared" si="251"/>
        <v>Repurchase of Treasury Shares</v>
      </c>
      <c r="CE121" s="46">
        <f t="shared" si="263"/>
        <v>-176.46799999999999</v>
      </c>
      <c r="CF121" s="46">
        <f t="shared" si="263"/>
        <v>-183.11099999999999</v>
      </c>
      <c r="CG121" s="46">
        <f t="shared" si="263"/>
        <v>-216.35599999999999</v>
      </c>
      <c r="CH121" s="46">
        <f t="shared" si="263"/>
        <v>-409.35</v>
      </c>
      <c r="CI121" s="46">
        <f t="shared" si="263"/>
        <v>-677.65899999999999</v>
      </c>
      <c r="CJ121" s="46">
        <f t="shared" si="264"/>
        <v>-1540.126</v>
      </c>
      <c r="CK121" s="46">
        <f t="shared" si="265"/>
        <v>-2212.6550000000002</v>
      </c>
      <c r="CL121" s="46">
        <f t="shared" si="266"/>
        <v>-447.23299999999995</v>
      </c>
      <c r="CM121" s="46">
        <f t="shared" si="267"/>
        <v>0</v>
      </c>
      <c r="CN121" s="46">
        <f t="shared" si="268"/>
        <v>-255.80799999999999</v>
      </c>
      <c r="CO121" s="46">
        <f t="shared" si="269"/>
        <v>-1500</v>
      </c>
      <c r="CP121" s="46">
        <f t="shared" si="270"/>
        <v>-295</v>
      </c>
      <c r="CQ121" s="46">
        <f t="shared" si="271"/>
        <v>-978</v>
      </c>
      <c r="CR121" s="46">
        <f t="shared" si="272"/>
        <v>-362</v>
      </c>
      <c r="CS121" s="46">
        <f t="shared" si="273"/>
        <v>-974</v>
      </c>
      <c r="CT121" s="46">
        <f t="shared" si="274"/>
        <v>-1123</v>
      </c>
      <c r="CU121" s="46">
        <f t="shared" si="275"/>
        <v>-1001</v>
      </c>
      <c r="CV121" s="46">
        <f t="shared" si="276"/>
        <v>-2075</v>
      </c>
      <c r="CW121" s="46">
        <f t="shared" si="277"/>
        <v>-1300</v>
      </c>
      <c r="CX121" s="46">
        <f t="shared" si="277"/>
        <v>-1430.0000000000002</v>
      </c>
      <c r="CY121" s="46">
        <f t="shared" si="277"/>
        <v>-1573.0000000000005</v>
      </c>
      <c r="CZ121" s="44">
        <f t="shared" si="277"/>
        <v>-1730.3000000000006</v>
      </c>
      <c r="DA121" s="86"/>
      <c r="DB121" s="59"/>
      <c r="DC121"/>
      <c r="DD121"/>
      <c r="DE121"/>
      <c r="DF121"/>
      <c r="DG121"/>
      <c r="DH121"/>
    </row>
    <row r="122" spans="1:112" s="82" customFormat="1" ht="12" customHeight="1">
      <c r="A122" s="1906" t="s">
        <v>140</v>
      </c>
      <c r="B122" s="1907">
        <v>63.917000000000002</v>
      </c>
      <c r="C122" s="1907">
        <v>77.465000000000003</v>
      </c>
      <c r="D122" s="1907">
        <v>79.162000000000006</v>
      </c>
      <c r="E122" s="1907">
        <v>218.791</v>
      </c>
      <c r="F122" s="1907">
        <v>192.76400000000001</v>
      </c>
      <c r="G122" s="1873">
        <v>84.459000000000003</v>
      </c>
      <c r="H122" s="1888">
        <f>114.811-G122</f>
        <v>30.352000000000004</v>
      </c>
      <c r="I122" s="1888">
        <f>188.08-H122-G122</f>
        <v>73.269000000000005</v>
      </c>
      <c r="J122" s="1888">
        <f>262.856-I122-H122-G122</f>
        <v>74.775999999999982</v>
      </c>
      <c r="K122" s="1909">
        <f t="shared" si="252"/>
        <v>262.85599999999999</v>
      </c>
      <c r="L122" s="1888">
        <v>39.920999999999999</v>
      </c>
      <c r="M122" s="1888">
        <f>114.092-L122</f>
        <v>74.170999999999992</v>
      </c>
      <c r="N122" s="1888">
        <f>131.704-M122-L122</f>
        <v>17.612000000000016</v>
      </c>
      <c r="O122" s="1888">
        <f>146.867-N122-M122-L122</f>
        <v>15.162999999999975</v>
      </c>
      <c r="P122" s="1909">
        <f t="shared" si="253"/>
        <v>146.86699999999999</v>
      </c>
      <c r="Q122" s="1888">
        <v>20.917999999999999</v>
      </c>
      <c r="R122" s="1908">
        <f>30.732-Q122</f>
        <v>9.8140000000000001</v>
      </c>
      <c r="S122" s="1908">
        <f>41.199-R122-Q122</f>
        <v>10.466999999999999</v>
      </c>
      <c r="T122" s="1908">
        <f>41.42-S122-R122-Q122</f>
        <v>0.22100000000000364</v>
      </c>
      <c r="U122" s="1909">
        <f t="shared" si="254"/>
        <v>41.42</v>
      </c>
      <c r="V122" s="1888">
        <v>0</v>
      </c>
      <c r="W122" s="1908">
        <f>7.108-V122</f>
        <v>7.1079999999999997</v>
      </c>
      <c r="X122" s="1908">
        <f>12.782-W122-V122</f>
        <v>5.6740000000000004</v>
      </c>
      <c r="Y122" s="1908">
        <f>25.174-X122-W122-V122</f>
        <v>12.391999999999999</v>
      </c>
      <c r="Z122" s="1909">
        <f t="shared" si="255"/>
        <v>25.173999999999999</v>
      </c>
      <c r="AA122" s="1888">
        <v>22.2</v>
      </c>
      <c r="AB122" s="1908">
        <f>26.5-AA122</f>
        <v>4.3000000000000007</v>
      </c>
      <c r="AC122" s="1908">
        <f>28.6-AB122-AA122</f>
        <v>2.1000000000000014</v>
      </c>
      <c r="AD122" s="1908">
        <f>49.892-AC122-AB122-AA122</f>
        <v>21.292000000000005</v>
      </c>
      <c r="AE122" s="1909">
        <f t="shared" si="256"/>
        <v>49.89200000000001</v>
      </c>
      <c r="AF122" s="1888">
        <v>48.8</v>
      </c>
      <c r="AG122" s="1908">
        <f>80.5-AF122</f>
        <v>31.700000000000003</v>
      </c>
      <c r="AH122" s="1908">
        <f>115-AG122-AF122</f>
        <v>34.5</v>
      </c>
      <c r="AI122" s="1908">
        <f>139-SUM(AF122:AH122)</f>
        <v>24</v>
      </c>
      <c r="AJ122" s="1909">
        <f t="shared" si="257"/>
        <v>139</v>
      </c>
      <c r="AK122" s="1888">
        <v>112</v>
      </c>
      <c r="AL122" s="1908">
        <f>134-AK122</f>
        <v>22</v>
      </c>
      <c r="AM122" s="1908">
        <f>253-SUM(AK122:AL122)</f>
        <v>119</v>
      </c>
      <c r="AN122" s="1908">
        <f>299-SUM(AK122:AM122)</f>
        <v>46</v>
      </c>
      <c r="AO122" s="1909">
        <f t="shared" si="258"/>
        <v>299</v>
      </c>
      <c r="AP122" s="1888">
        <v>74</v>
      </c>
      <c r="AQ122" s="1908">
        <f>107-AP122</f>
        <v>33</v>
      </c>
      <c r="AR122" s="1908">
        <f>195-SUM(AP122:AQ122)</f>
        <v>88</v>
      </c>
      <c r="AS122" s="1908">
        <f>258-SUM(AP122:AR122)</f>
        <v>63</v>
      </c>
      <c r="AT122" s="1909">
        <f t="shared" si="259"/>
        <v>258</v>
      </c>
      <c r="AU122" s="1888">
        <v>93</v>
      </c>
      <c r="AV122" s="1908">
        <f>133-AU122</f>
        <v>40</v>
      </c>
      <c r="AW122" s="1910">
        <f>159-AV122-AU122</f>
        <v>26</v>
      </c>
      <c r="AX122" s="1911">
        <f>193-SUM(AU122:AW122)</f>
        <v>34</v>
      </c>
      <c r="AY122" s="1909">
        <f t="shared" si="260"/>
        <v>193</v>
      </c>
      <c r="AZ122" s="1872">
        <v>57</v>
      </c>
      <c r="BA122" s="1872">
        <f>73-AZ122</f>
        <v>16</v>
      </c>
      <c r="BB122" s="1872">
        <f>77-SUM(AZ122:BA122)</f>
        <v>4</v>
      </c>
      <c r="BC122" s="1872">
        <f>86-SUM(AZ122:BB122)</f>
        <v>9</v>
      </c>
      <c r="BD122" s="1909">
        <f t="shared" si="261"/>
        <v>86</v>
      </c>
      <c r="BE122" s="1872">
        <v>31</v>
      </c>
      <c r="BF122" s="1872">
        <f>65-BE122</f>
        <v>34</v>
      </c>
      <c r="BG122" s="1872">
        <f>84-SUM(BE122:BF122)</f>
        <v>19</v>
      </c>
      <c r="BH122" s="1872">
        <f>88-SUM(BE122:BG122)</f>
        <v>4</v>
      </c>
      <c r="BI122" s="1909">
        <f t="shared" si="262"/>
        <v>88</v>
      </c>
      <c r="BJ122" s="1872">
        <v>29</v>
      </c>
      <c r="BK122" s="2129">
        <f>38-BJ122</f>
        <v>9</v>
      </c>
      <c r="BL122" s="2167">
        <v>0</v>
      </c>
      <c r="BM122" s="2167">
        <f>75-SUM(BJ122:BL122)</f>
        <v>37</v>
      </c>
      <c r="BN122" s="1909">
        <f>SUM(BJ122:BM122)</f>
        <v>75</v>
      </c>
      <c r="BO122" s="2167">
        <v>10</v>
      </c>
      <c r="BP122" s="1873">
        <v>0</v>
      </c>
      <c r="BQ122" s="1873">
        <v>0</v>
      </c>
      <c r="BR122" s="1873">
        <v>0</v>
      </c>
      <c r="BS122" s="1909">
        <f>SUM(BO122:BR122)</f>
        <v>10</v>
      </c>
      <c r="BT122" s="1873">
        <v>0</v>
      </c>
      <c r="BU122" s="1873">
        <v>0</v>
      </c>
      <c r="BV122" s="1873">
        <v>0</v>
      </c>
      <c r="BW122" s="1873">
        <v>0</v>
      </c>
      <c r="BX122" s="1909">
        <f>SUM(BT122:BW122)</f>
        <v>0</v>
      </c>
      <c r="BY122" s="1913">
        <v>0</v>
      </c>
      <c r="BZ122" s="1913">
        <v>0</v>
      </c>
      <c r="CA122" s="1913">
        <v>0</v>
      </c>
      <c r="CB122" s="251"/>
      <c r="CC122" s="1360"/>
      <c r="CD122" s="83" t="str">
        <f t="shared" si="251"/>
        <v>Exercise of Stock Options</v>
      </c>
      <c r="CE122" s="46">
        <f t="shared" si="263"/>
        <v>63.917000000000002</v>
      </c>
      <c r="CF122" s="46">
        <f t="shared" si="263"/>
        <v>77.465000000000003</v>
      </c>
      <c r="CG122" s="46">
        <f t="shared" si="263"/>
        <v>79.162000000000006</v>
      </c>
      <c r="CH122" s="46">
        <f t="shared" si="263"/>
        <v>218.791</v>
      </c>
      <c r="CI122" s="46">
        <f t="shared" si="263"/>
        <v>192.76400000000001</v>
      </c>
      <c r="CJ122" s="46">
        <f t="shared" si="264"/>
        <v>262.85599999999999</v>
      </c>
      <c r="CK122" s="46">
        <f t="shared" si="265"/>
        <v>146.86699999999999</v>
      </c>
      <c r="CL122" s="46">
        <f t="shared" si="266"/>
        <v>41.42</v>
      </c>
      <c r="CM122" s="46">
        <f t="shared" si="267"/>
        <v>25.173999999999999</v>
      </c>
      <c r="CN122" s="46">
        <f t="shared" si="268"/>
        <v>49.89200000000001</v>
      </c>
      <c r="CO122" s="46">
        <f t="shared" si="269"/>
        <v>139</v>
      </c>
      <c r="CP122" s="46">
        <f t="shared" si="270"/>
        <v>299</v>
      </c>
      <c r="CQ122" s="46">
        <f t="shared" si="271"/>
        <v>258</v>
      </c>
      <c r="CR122" s="46">
        <f t="shared" si="272"/>
        <v>193</v>
      </c>
      <c r="CS122" s="46">
        <f t="shared" si="273"/>
        <v>86</v>
      </c>
      <c r="CT122" s="46">
        <f t="shared" si="274"/>
        <v>88</v>
      </c>
      <c r="CU122" s="46">
        <f t="shared" si="275"/>
        <v>75</v>
      </c>
      <c r="CV122" s="46">
        <f t="shared" si="276"/>
        <v>10</v>
      </c>
      <c r="CW122" s="46">
        <f t="shared" si="277"/>
        <v>0</v>
      </c>
      <c r="CX122" s="46">
        <f t="shared" si="277"/>
        <v>0</v>
      </c>
      <c r="CY122" s="46">
        <f t="shared" si="277"/>
        <v>0</v>
      </c>
      <c r="CZ122" s="44">
        <f t="shared" si="277"/>
        <v>0</v>
      </c>
      <c r="DA122" s="86"/>
      <c r="DB122" s="59"/>
      <c r="DC122"/>
      <c r="DD122"/>
      <c r="DE122"/>
      <c r="DF122"/>
      <c r="DG122"/>
      <c r="DH122"/>
    </row>
    <row r="123" spans="1:112" s="82" customFormat="1" ht="12" customHeight="1">
      <c r="A123" s="1906" t="s">
        <v>141</v>
      </c>
      <c r="B123" s="1907">
        <v>-0.376</v>
      </c>
      <c r="C123" s="1907">
        <v>-0.57499999999999996</v>
      </c>
      <c r="D123" s="1907">
        <v>-0.40799999999999997</v>
      </c>
      <c r="E123" s="1907">
        <v>-0.30199999999999999</v>
      </c>
      <c r="F123" s="1907">
        <v>-0.16900000000000001</v>
      </c>
      <c r="G123" s="1873">
        <v>22.393999999999998</v>
      </c>
      <c r="H123" s="1888">
        <f>26.394-G123</f>
        <v>4</v>
      </c>
      <c r="I123" s="1888">
        <f>36.78-0.063-H123-G123</f>
        <v>10.323</v>
      </c>
      <c r="J123" s="1888">
        <f>58.329-0.075-I123-H123-G123</f>
        <v>21.536999999999999</v>
      </c>
      <c r="K123" s="1909">
        <f t="shared" si="252"/>
        <v>58.253999999999998</v>
      </c>
      <c r="L123" s="1888">
        <v>13.023999999999999</v>
      </c>
      <c r="M123" s="1888">
        <f>32.018-L123</f>
        <v>18.994</v>
      </c>
      <c r="N123" s="1888">
        <f>-0.006-M123-L123+34.443</f>
        <v>2.4189999999999969</v>
      </c>
      <c r="O123" s="1888">
        <f>35.849-N123-M123-L123</f>
        <v>1.4120000000000008</v>
      </c>
      <c r="P123" s="1909">
        <f t="shared" si="253"/>
        <v>35.848999999999997</v>
      </c>
      <c r="Q123" s="1888">
        <v>1.3149999999999999</v>
      </c>
      <c r="R123" s="1908">
        <f>1.32-Q123</f>
        <v>5.0000000000001155E-3</v>
      </c>
      <c r="S123" s="1908">
        <f>4.108-R123-Q123</f>
        <v>2.7879999999999998</v>
      </c>
      <c r="T123" s="1908">
        <f>3.981-S123-R123-Q123</f>
        <v>-0.127</v>
      </c>
      <c r="U123" s="1909">
        <f t="shared" si="254"/>
        <v>3.9809999999999999</v>
      </c>
      <c r="V123" s="1888">
        <v>0</v>
      </c>
      <c r="W123" s="1908">
        <f>0.01-V123</f>
        <v>0.01</v>
      </c>
      <c r="X123" s="1908">
        <f>0.074-W123-V123</f>
        <v>6.4000000000000001E-2</v>
      </c>
      <c r="Y123" s="1908">
        <f>0.329-X123-W123-V123</f>
        <v>0.255</v>
      </c>
      <c r="Z123" s="1909">
        <f t="shared" si="255"/>
        <v>0.32900000000000001</v>
      </c>
      <c r="AA123" s="1888">
        <v>1.1000000000000001</v>
      </c>
      <c r="AB123" s="1908">
        <f>1.3-AA123</f>
        <v>0.19999999999999996</v>
      </c>
      <c r="AC123" s="1908">
        <f>1.3-AB123-AA123</f>
        <v>0</v>
      </c>
      <c r="AD123" s="1908">
        <f>1.514-AC123-AB123-AA123</f>
        <v>0.21399999999999997</v>
      </c>
      <c r="AE123" s="1909">
        <f t="shared" si="256"/>
        <v>1.514</v>
      </c>
      <c r="AF123" s="1888">
        <v>0.8</v>
      </c>
      <c r="AG123" s="1908">
        <f>1.9-AF123</f>
        <v>1.0999999999999999</v>
      </c>
      <c r="AH123" s="1908">
        <f>3.3-AG123-AF123</f>
        <v>1.4000000000000001</v>
      </c>
      <c r="AI123" s="1908">
        <f>19-SUM(AF123:AH123)</f>
        <v>15.7</v>
      </c>
      <c r="AJ123" s="1909">
        <f t="shared" si="257"/>
        <v>19</v>
      </c>
      <c r="AK123" s="1888">
        <v>5</v>
      </c>
      <c r="AL123" s="1908">
        <f>7-AK123</f>
        <v>2</v>
      </c>
      <c r="AM123" s="1908">
        <f>18-SUM(AK123:AL123)</f>
        <v>11</v>
      </c>
      <c r="AN123" s="1908">
        <f>42-SUM(AK123:AM123)</f>
        <v>24</v>
      </c>
      <c r="AO123" s="1909">
        <f t="shared" si="258"/>
        <v>42</v>
      </c>
      <c r="AP123" s="1888">
        <v>8</v>
      </c>
      <c r="AQ123" s="1908">
        <f>12-AP123</f>
        <v>4</v>
      </c>
      <c r="AR123" s="1908">
        <f>26-SUM(AP123:AQ123)</f>
        <v>14</v>
      </c>
      <c r="AS123" s="1908">
        <f>43-SUM(AP123:AR123)</f>
        <v>17</v>
      </c>
      <c r="AT123" s="1909">
        <f t="shared" si="259"/>
        <v>43</v>
      </c>
      <c r="AU123" s="1888">
        <v>72</v>
      </c>
      <c r="AV123" s="1908">
        <f>82-AU123</f>
        <v>10</v>
      </c>
      <c r="AW123" s="1910">
        <f>89-AV123-AU123</f>
        <v>7</v>
      </c>
      <c r="AX123" s="1911">
        <f>128-SUM(AU123:AW123)</f>
        <v>39</v>
      </c>
      <c r="AY123" s="1909">
        <f t="shared" si="260"/>
        <v>128</v>
      </c>
      <c r="AZ123" s="1872">
        <v>32</v>
      </c>
      <c r="BA123" s="1872">
        <f>38-AZ123</f>
        <v>6</v>
      </c>
      <c r="BB123" s="1872">
        <f>39-SUM(AZ123:BA123)</f>
        <v>1</v>
      </c>
      <c r="BC123" s="1872">
        <f>69-SUM(AZ123:BB123)</f>
        <v>30</v>
      </c>
      <c r="BD123" s="1909">
        <f t="shared" si="261"/>
        <v>69</v>
      </c>
      <c r="BE123" s="1872">
        <v>6</v>
      </c>
      <c r="BF123" s="1872">
        <f>19-BE123</f>
        <v>13</v>
      </c>
      <c r="BG123" s="1872">
        <f>31-SUM(BE123:BF123)</f>
        <v>12</v>
      </c>
      <c r="BH123" s="1872">
        <f>41-SUM(BE123:BG123)</f>
        <v>10</v>
      </c>
      <c r="BI123" s="1909">
        <f t="shared" si="262"/>
        <v>41</v>
      </c>
      <c r="BJ123" s="1872">
        <v>-44</v>
      </c>
      <c r="BK123" s="2129">
        <f>-44-BJ123</f>
        <v>0</v>
      </c>
      <c r="BL123" s="2167">
        <f>69-49-SUM(BJ122:BK123)</f>
        <v>26</v>
      </c>
      <c r="BM123" s="2167">
        <f>-49-SUM(BJ123:BL123)</f>
        <v>-31</v>
      </c>
      <c r="BN123" s="1909">
        <f>SUM(BJ123:BM123)</f>
        <v>-49</v>
      </c>
      <c r="BO123" s="2167">
        <v>-49</v>
      </c>
      <c r="BP123" s="1873">
        <v>0</v>
      </c>
      <c r="BQ123" s="1873">
        <v>0</v>
      </c>
      <c r="BR123" s="1873">
        <v>0</v>
      </c>
      <c r="BS123" s="1909">
        <f>SUM(BO123:BR123)</f>
        <v>-49</v>
      </c>
      <c r="BT123" s="1873">
        <v>0</v>
      </c>
      <c r="BU123" s="1873">
        <v>0</v>
      </c>
      <c r="BV123" s="1873">
        <v>0</v>
      </c>
      <c r="BW123" s="1873">
        <v>0</v>
      </c>
      <c r="BX123" s="1909">
        <f>SUM(BT123:BW123)</f>
        <v>0</v>
      </c>
      <c r="BY123" s="1913">
        <v>0</v>
      </c>
      <c r="BZ123" s="1913">
        <v>0</v>
      </c>
      <c r="CA123" s="1913">
        <v>0</v>
      </c>
      <c r="CB123" s="251"/>
      <c r="CC123" s="1360"/>
      <c r="CD123" s="83" t="str">
        <f t="shared" si="251"/>
        <v>ExcessTax Benefits from Share-Based Payments</v>
      </c>
      <c r="CE123" s="46">
        <f t="shared" si="263"/>
        <v>-0.376</v>
      </c>
      <c r="CF123" s="46">
        <f t="shared" si="263"/>
        <v>-0.57499999999999996</v>
      </c>
      <c r="CG123" s="46">
        <f t="shared" si="263"/>
        <v>-0.40799999999999997</v>
      </c>
      <c r="CH123" s="46">
        <f t="shared" si="263"/>
        <v>-0.30199999999999999</v>
      </c>
      <c r="CI123" s="46">
        <f t="shared" si="263"/>
        <v>-0.16900000000000001</v>
      </c>
      <c r="CJ123" s="46">
        <f t="shared" si="264"/>
        <v>58.253999999999998</v>
      </c>
      <c r="CK123" s="46">
        <f t="shared" si="265"/>
        <v>35.848999999999997</v>
      </c>
      <c r="CL123" s="46">
        <f t="shared" si="266"/>
        <v>3.9809999999999999</v>
      </c>
      <c r="CM123" s="46">
        <f t="shared" si="267"/>
        <v>0.32900000000000001</v>
      </c>
      <c r="CN123" s="46">
        <f t="shared" si="268"/>
        <v>1.514</v>
      </c>
      <c r="CO123" s="46">
        <f t="shared" si="269"/>
        <v>19</v>
      </c>
      <c r="CP123" s="46">
        <f t="shared" si="270"/>
        <v>42</v>
      </c>
      <c r="CQ123" s="46">
        <f t="shared" si="271"/>
        <v>43</v>
      </c>
      <c r="CR123" s="46">
        <f t="shared" si="272"/>
        <v>128</v>
      </c>
      <c r="CS123" s="46">
        <f t="shared" si="273"/>
        <v>69</v>
      </c>
      <c r="CT123" s="46">
        <f t="shared" si="274"/>
        <v>41</v>
      </c>
      <c r="CU123" s="46">
        <f t="shared" si="275"/>
        <v>-49</v>
      </c>
      <c r="CV123" s="46">
        <f t="shared" si="276"/>
        <v>-49</v>
      </c>
      <c r="CW123" s="46">
        <f t="shared" si="277"/>
        <v>0</v>
      </c>
      <c r="CX123" s="46">
        <f t="shared" si="277"/>
        <v>0</v>
      </c>
      <c r="CY123" s="46">
        <f t="shared" si="277"/>
        <v>0</v>
      </c>
      <c r="CZ123" s="44">
        <f t="shared" si="277"/>
        <v>0</v>
      </c>
      <c r="DA123" s="86"/>
      <c r="DB123" s="59"/>
      <c r="DC123"/>
      <c r="DD123"/>
      <c r="DE123"/>
      <c r="DF123"/>
      <c r="DG123"/>
      <c r="DH123"/>
    </row>
    <row r="124" spans="1:112" s="82" customFormat="1" ht="12" customHeight="1">
      <c r="A124" s="1906" t="s">
        <v>142</v>
      </c>
      <c r="B124" s="1907">
        <v>0</v>
      </c>
      <c r="C124" s="1907">
        <v>0</v>
      </c>
      <c r="D124" s="1907">
        <v>0</v>
      </c>
      <c r="E124" s="1907">
        <v>0</v>
      </c>
      <c r="F124" s="1907">
        <v>0</v>
      </c>
      <c r="G124" s="1875">
        <v>0</v>
      </c>
      <c r="H124" s="1873">
        <v>0</v>
      </c>
      <c r="I124" s="1873">
        <v>0</v>
      </c>
      <c r="J124" s="1913">
        <v>0</v>
      </c>
      <c r="K124" s="1909">
        <f t="shared" si="252"/>
        <v>0</v>
      </c>
      <c r="L124" s="1875">
        <v>0</v>
      </c>
      <c r="M124" s="1873">
        <v>0</v>
      </c>
      <c r="N124" s="1873">
        <v>0</v>
      </c>
      <c r="O124" s="1913">
        <v>0</v>
      </c>
      <c r="P124" s="1909">
        <f t="shared" si="253"/>
        <v>0</v>
      </c>
      <c r="Q124" s="1875">
        <v>0</v>
      </c>
      <c r="R124" s="1873">
        <v>0</v>
      </c>
      <c r="S124" s="1873">
        <v>0</v>
      </c>
      <c r="T124" s="1913">
        <v>0</v>
      </c>
      <c r="U124" s="1909">
        <f t="shared" si="254"/>
        <v>0</v>
      </c>
      <c r="V124" s="1875">
        <v>0</v>
      </c>
      <c r="W124" s="1873">
        <v>0</v>
      </c>
      <c r="X124" s="1873">
        <v>0</v>
      </c>
      <c r="Y124" s="1913">
        <v>0</v>
      </c>
      <c r="Z124" s="1909">
        <f t="shared" si="255"/>
        <v>0</v>
      </c>
      <c r="AA124" s="1875">
        <v>0</v>
      </c>
      <c r="AB124" s="1873">
        <v>0</v>
      </c>
      <c r="AC124" s="1873">
        <v>0</v>
      </c>
      <c r="AD124" s="1913">
        <v>0</v>
      </c>
      <c r="AE124" s="1909">
        <f t="shared" si="256"/>
        <v>0</v>
      </c>
      <c r="AF124" s="1875">
        <v>0</v>
      </c>
      <c r="AG124" s="1873">
        <v>0</v>
      </c>
      <c r="AH124" s="1873">
        <v>0</v>
      </c>
      <c r="AI124" s="1913">
        <v>0</v>
      </c>
      <c r="AJ124" s="1909">
        <f t="shared" si="257"/>
        <v>0</v>
      </c>
      <c r="AK124" s="1875">
        <v>0</v>
      </c>
      <c r="AL124" s="1873">
        <v>0</v>
      </c>
      <c r="AM124" s="1910">
        <f>0-SUM(AK124:AL124)</f>
        <v>0</v>
      </c>
      <c r="AN124" s="1913">
        <v>0</v>
      </c>
      <c r="AO124" s="1909">
        <f t="shared" si="258"/>
        <v>0</v>
      </c>
      <c r="AP124" s="1875">
        <v>0</v>
      </c>
      <c r="AQ124" s="1873">
        <v>-12</v>
      </c>
      <c r="AR124" s="1910">
        <f>-12-214-SUM(AP124:AQ124)</f>
        <v>-214</v>
      </c>
      <c r="AS124" s="1910">
        <f>-12-214-AP124-AQ124-AR124</f>
        <v>0</v>
      </c>
      <c r="AT124" s="1909">
        <f t="shared" si="259"/>
        <v>-226</v>
      </c>
      <c r="AU124" s="1875">
        <v>0</v>
      </c>
      <c r="AV124" s="1910">
        <f>-11-AU124</f>
        <v>-11</v>
      </c>
      <c r="AW124" s="1910">
        <f>-11-AV124-AU124</f>
        <v>0</v>
      </c>
      <c r="AX124" s="1911">
        <f>+-11-SUM(AU124:AW124)</f>
        <v>0</v>
      </c>
      <c r="AY124" s="1909">
        <f t="shared" si="260"/>
        <v>-11</v>
      </c>
      <c r="AZ124" s="1872">
        <v>0</v>
      </c>
      <c r="BA124" s="1872">
        <f>293-SUM(BA118:BA123)-AZ126</f>
        <v>0</v>
      </c>
      <c r="BB124" s="1872">
        <f>+-5-16-SUM(AZ124:BA124)</f>
        <v>-21</v>
      </c>
      <c r="BC124" s="1872">
        <f>+-5-16-SUM(AZ124:BB124)</f>
        <v>0</v>
      </c>
      <c r="BD124" s="1909">
        <f t="shared" si="261"/>
        <v>-21</v>
      </c>
      <c r="BE124" s="1872">
        <v>0</v>
      </c>
      <c r="BF124" s="1872">
        <v>0</v>
      </c>
      <c r="BG124" s="1872">
        <f>+-15-SUM(BE124:BF124)</f>
        <v>-15</v>
      </c>
      <c r="BH124" s="1872">
        <f>+-39-SUM(BE124:BG124)</f>
        <v>-24</v>
      </c>
      <c r="BI124" s="1909">
        <f t="shared" si="262"/>
        <v>-39</v>
      </c>
      <c r="BJ124" s="1872">
        <v>0</v>
      </c>
      <c r="BK124" s="1872">
        <v>0</v>
      </c>
      <c r="BL124" s="2167">
        <v>0</v>
      </c>
      <c r="BM124" s="2233">
        <v>0</v>
      </c>
      <c r="BN124" s="1909">
        <f>SUM(BJ124:BM124)</f>
        <v>0</v>
      </c>
      <c r="BO124" s="2167">
        <v>0</v>
      </c>
      <c r="BP124" s="1873">
        <v>0</v>
      </c>
      <c r="BQ124" s="1873">
        <v>0</v>
      </c>
      <c r="BR124" s="1913">
        <v>0</v>
      </c>
      <c r="BS124" s="1909">
        <f>SUM(BO124:BR124)</f>
        <v>0</v>
      </c>
      <c r="BT124" s="1873">
        <v>0</v>
      </c>
      <c r="BU124" s="1873">
        <v>0</v>
      </c>
      <c r="BV124" s="1873">
        <v>0</v>
      </c>
      <c r="BW124" s="1913">
        <v>0</v>
      </c>
      <c r="BX124" s="1909">
        <f>SUM(BT124:BW124)</f>
        <v>0</v>
      </c>
      <c r="BY124" s="1913">
        <v>0</v>
      </c>
      <c r="BZ124" s="1913">
        <v>0</v>
      </c>
      <c r="CA124" s="1913">
        <v>0</v>
      </c>
      <c r="CB124" s="251"/>
      <c r="CC124" s="1360"/>
      <c r="CD124" s="83" t="str">
        <f t="shared" si="251"/>
        <v>Others</v>
      </c>
      <c r="CE124" s="46">
        <f t="shared" si="263"/>
        <v>0</v>
      </c>
      <c r="CF124" s="46">
        <f t="shared" si="263"/>
        <v>0</v>
      </c>
      <c r="CG124" s="46">
        <f t="shared" si="263"/>
        <v>0</v>
      </c>
      <c r="CH124" s="46">
        <f t="shared" si="263"/>
        <v>0</v>
      </c>
      <c r="CI124" s="46">
        <f t="shared" si="263"/>
        <v>0</v>
      </c>
      <c r="CJ124" s="46">
        <f t="shared" si="264"/>
        <v>0</v>
      </c>
      <c r="CK124" s="46">
        <f t="shared" si="265"/>
        <v>0</v>
      </c>
      <c r="CL124" s="46">
        <f t="shared" si="266"/>
        <v>0</v>
      </c>
      <c r="CM124" s="46">
        <f t="shared" si="267"/>
        <v>0</v>
      </c>
      <c r="CN124" s="46">
        <f t="shared" si="268"/>
        <v>0</v>
      </c>
      <c r="CO124" s="46">
        <f t="shared" si="269"/>
        <v>0</v>
      </c>
      <c r="CP124" s="46">
        <f t="shared" si="270"/>
        <v>0</v>
      </c>
      <c r="CQ124" s="46">
        <f t="shared" si="271"/>
        <v>-226</v>
      </c>
      <c r="CR124" s="46">
        <f t="shared" si="272"/>
        <v>-11</v>
      </c>
      <c r="CS124" s="46">
        <f t="shared" si="273"/>
        <v>-21</v>
      </c>
      <c r="CT124" s="46">
        <f t="shared" si="274"/>
        <v>-39</v>
      </c>
      <c r="CU124" s="46">
        <f t="shared" si="275"/>
        <v>0</v>
      </c>
      <c r="CV124" s="46">
        <f t="shared" si="276"/>
        <v>0</v>
      </c>
      <c r="CW124" s="46">
        <f t="shared" si="277"/>
        <v>0</v>
      </c>
      <c r="CX124" s="46">
        <f t="shared" si="277"/>
        <v>0</v>
      </c>
      <c r="CY124" s="46">
        <f t="shared" si="277"/>
        <v>0</v>
      </c>
      <c r="CZ124" s="44">
        <f t="shared" si="277"/>
        <v>0</v>
      </c>
      <c r="DA124" s="86"/>
      <c r="DB124" s="59"/>
      <c r="DC124"/>
      <c r="DD124"/>
      <c r="DE124"/>
      <c r="DF124"/>
      <c r="DG124"/>
      <c r="DH124"/>
    </row>
    <row r="125" spans="1:112" ht="5.25" customHeight="1">
      <c r="A125" s="42"/>
      <c r="B125" s="387" t="s">
        <v>62</v>
      </c>
      <c r="C125" s="387" t="s">
        <v>62</v>
      </c>
      <c r="D125" s="387" t="s">
        <v>62</v>
      </c>
      <c r="E125" s="387" t="s">
        <v>62</v>
      </c>
      <c r="F125" s="387" t="s">
        <v>62</v>
      </c>
      <c r="G125" s="388" t="s">
        <v>62</v>
      </c>
      <c r="H125" s="388" t="s">
        <v>62</v>
      </c>
      <c r="I125" s="388" t="s">
        <v>62</v>
      </c>
      <c r="J125" s="388" t="s">
        <v>62</v>
      </c>
      <c r="K125" s="387" t="s">
        <v>62</v>
      </c>
      <c r="L125" s="388" t="s">
        <v>62</v>
      </c>
      <c r="M125" s="388" t="s">
        <v>62</v>
      </c>
      <c r="N125" s="388" t="s">
        <v>62</v>
      </c>
      <c r="O125" s="388" t="s">
        <v>62</v>
      </c>
      <c r="P125" s="387" t="s">
        <v>62</v>
      </c>
      <c r="Q125" s="388" t="s">
        <v>62</v>
      </c>
      <c r="R125" s="388" t="s">
        <v>62</v>
      </c>
      <c r="S125" s="388" t="s">
        <v>62</v>
      </c>
      <c r="T125" s="388" t="s">
        <v>62</v>
      </c>
      <c r="U125" s="387" t="s">
        <v>62</v>
      </c>
      <c r="V125" s="388" t="s">
        <v>62</v>
      </c>
      <c r="W125" s="388" t="s">
        <v>62</v>
      </c>
      <c r="X125" s="388" t="s">
        <v>62</v>
      </c>
      <c r="Y125" s="388" t="s">
        <v>62</v>
      </c>
      <c r="Z125" s="387" t="s">
        <v>62</v>
      </c>
      <c r="AA125" s="388" t="s">
        <v>62</v>
      </c>
      <c r="AB125" s="388" t="s">
        <v>62</v>
      </c>
      <c r="AC125" s="388" t="s">
        <v>62</v>
      </c>
      <c r="AD125" s="388" t="s">
        <v>62</v>
      </c>
      <c r="AE125" s="387" t="s">
        <v>62</v>
      </c>
      <c r="AF125" s="388" t="s">
        <v>62</v>
      </c>
      <c r="AG125" s="388" t="s">
        <v>62</v>
      </c>
      <c r="AH125" s="388" t="s">
        <v>62</v>
      </c>
      <c r="AI125" s="388" t="s">
        <v>62</v>
      </c>
      <c r="AJ125" s="387" t="s">
        <v>62</v>
      </c>
      <c r="AK125" s="388" t="s">
        <v>62</v>
      </c>
      <c r="AL125" s="388" t="s">
        <v>62</v>
      </c>
      <c r="AM125" s="388" t="s">
        <v>62</v>
      </c>
      <c r="AN125" s="388" t="s">
        <v>62</v>
      </c>
      <c r="AO125" s="387" t="s">
        <v>62</v>
      </c>
      <c r="AP125" s="388" t="s">
        <v>62</v>
      </c>
      <c r="AQ125" s="388" t="s">
        <v>62</v>
      </c>
      <c r="AR125" s="388" t="s">
        <v>62</v>
      </c>
      <c r="AS125" s="388" t="s">
        <v>62</v>
      </c>
      <c r="AT125" s="387" t="s">
        <v>62</v>
      </c>
      <c r="AU125" s="388" t="s">
        <v>62</v>
      </c>
      <c r="AV125" s="388" t="s">
        <v>62</v>
      </c>
      <c r="AW125" s="388" t="s">
        <v>62</v>
      </c>
      <c r="AX125" s="388" t="s">
        <v>62</v>
      </c>
      <c r="AY125" s="387" t="s">
        <v>62</v>
      </c>
      <c r="AZ125" s="388" t="s">
        <v>62</v>
      </c>
      <c r="BA125" s="388" t="s">
        <v>62</v>
      </c>
      <c r="BB125" s="90" t="s">
        <v>62</v>
      </c>
      <c r="BC125" s="90" t="s">
        <v>62</v>
      </c>
      <c r="BD125" s="387" t="s">
        <v>62</v>
      </c>
      <c r="BE125" s="388" t="s">
        <v>62</v>
      </c>
      <c r="BF125" s="388" t="s">
        <v>62</v>
      </c>
      <c r="BG125" s="90" t="s">
        <v>62</v>
      </c>
      <c r="BH125" s="90" t="s">
        <v>62</v>
      </c>
      <c r="BI125" s="387" t="s">
        <v>62</v>
      </c>
      <c r="BJ125" s="388" t="s">
        <v>62</v>
      </c>
      <c r="BK125" s="388" t="s">
        <v>62</v>
      </c>
      <c r="BL125" s="388" t="s">
        <v>62</v>
      </c>
      <c r="BM125" s="388" t="s">
        <v>62</v>
      </c>
      <c r="BN125" s="387" t="s">
        <v>62</v>
      </c>
      <c r="BO125" s="388" t="s">
        <v>62</v>
      </c>
      <c r="BP125" s="388" t="s">
        <v>62</v>
      </c>
      <c r="BQ125" s="388" t="s">
        <v>62</v>
      </c>
      <c r="BR125" s="388" t="s">
        <v>62</v>
      </c>
      <c r="BS125" s="387" t="s">
        <v>62</v>
      </c>
      <c r="BT125" s="388" t="s">
        <v>62</v>
      </c>
      <c r="BU125" s="388" t="s">
        <v>62</v>
      </c>
      <c r="BV125" s="388" t="s">
        <v>62</v>
      </c>
      <c r="BW125" s="388" t="s">
        <v>62</v>
      </c>
      <c r="BX125" s="387" t="s">
        <v>62</v>
      </c>
      <c r="BY125" s="389" t="s">
        <v>62</v>
      </c>
      <c r="BZ125" s="389" t="s">
        <v>62</v>
      </c>
      <c r="CA125" s="389" t="s">
        <v>62</v>
      </c>
      <c r="CB125" s="10"/>
      <c r="CD125" s="382"/>
      <c r="CE125" s="90" t="s">
        <v>62</v>
      </c>
      <c r="CF125" s="90" t="s">
        <v>62</v>
      </c>
      <c r="CG125" s="90" t="s">
        <v>62</v>
      </c>
      <c r="CH125" s="90" t="s">
        <v>62</v>
      </c>
      <c r="CI125" s="90" t="s">
        <v>62</v>
      </c>
      <c r="CJ125" s="90" t="s">
        <v>62</v>
      </c>
      <c r="CK125" s="90" t="s">
        <v>62</v>
      </c>
      <c r="CL125" s="90" t="s">
        <v>62</v>
      </c>
      <c r="CM125" s="90" t="s">
        <v>62</v>
      </c>
      <c r="CN125" s="90" t="s">
        <v>62</v>
      </c>
      <c r="CO125" s="90" t="s">
        <v>62</v>
      </c>
      <c r="CP125" s="90" t="s">
        <v>62</v>
      </c>
      <c r="CQ125" s="90" t="s">
        <v>62</v>
      </c>
      <c r="CR125" s="90" t="s">
        <v>62</v>
      </c>
      <c r="CS125" s="90" t="s">
        <v>62</v>
      </c>
      <c r="CT125" s="90" t="s">
        <v>62</v>
      </c>
      <c r="CU125" s="90" t="s">
        <v>62</v>
      </c>
      <c r="CV125" s="90" t="s">
        <v>62</v>
      </c>
      <c r="CW125" s="90" t="s">
        <v>62</v>
      </c>
      <c r="CX125" s="90" t="s">
        <v>62</v>
      </c>
      <c r="CY125" s="90" t="s">
        <v>62</v>
      </c>
      <c r="CZ125" s="99" t="s">
        <v>62</v>
      </c>
      <c r="DA125" s="58"/>
      <c r="DB125" s="100"/>
    </row>
    <row r="126" spans="1:112" s="70" customFormat="1" ht="12" customHeight="1">
      <c r="A126" s="1898" t="s">
        <v>143</v>
      </c>
      <c r="B126" s="1914">
        <f>SUM(B118:B124)</f>
        <v>-291.3649999999999</v>
      </c>
      <c r="C126" s="1903">
        <f>SUM(C118:C124)</f>
        <v>-781.73799999999994</v>
      </c>
      <c r="D126" s="1903">
        <f t="shared" ref="D126:BO126" si="290">SUM(D118:D124)</f>
        <v>-896.86400000000003</v>
      </c>
      <c r="E126" s="1903">
        <f t="shared" si="290"/>
        <v>-441.74500000000006</v>
      </c>
      <c r="F126" s="1903">
        <f t="shared" si="290"/>
        <v>-743.78899999999999</v>
      </c>
      <c r="G126" s="1902">
        <f t="shared" si="290"/>
        <v>-485.26299999999998</v>
      </c>
      <c r="H126" s="1902">
        <f t="shared" si="290"/>
        <v>-186.4159999999998</v>
      </c>
      <c r="I126" s="1902">
        <f t="shared" si="290"/>
        <v>-454.20600000000024</v>
      </c>
      <c r="J126" s="1902">
        <f t="shared" si="290"/>
        <v>-354.05900000000003</v>
      </c>
      <c r="K126" s="1903">
        <f t="shared" si="290"/>
        <v>-1479.9440000000002</v>
      </c>
      <c r="L126" s="1902">
        <f t="shared" si="290"/>
        <v>-26.093999999999987</v>
      </c>
      <c r="M126" s="1902">
        <f t="shared" si="290"/>
        <v>-156.59700000000007</v>
      </c>
      <c r="N126" s="1902">
        <f t="shared" si="290"/>
        <v>-423.4609999999999</v>
      </c>
      <c r="O126" s="1902">
        <f t="shared" si="290"/>
        <v>-515.07500000000005</v>
      </c>
      <c r="P126" s="1903">
        <f t="shared" si="290"/>
        <v>-1121.2270000000003</v>
      </c>
      <c r="Q126" s="1902">
        <f t="shared" si="290"/>
        <v>213.405</v>
      </c>
      <c r="R126" s="1902">
        <f t="shared" si="290"/>
        <v>-72.813999999999908</v>
      </c>
      <c r="S126" s="1902">
        <f t="shared" si="290"/>
        <v>-433.44800000000009</v>
      </c>
      <c r="T126" s="1902">
        <f t="shared" si="290"/>
        <v>-319.43</v>
      </c>
      <c r="U126" s="1903">
        <f t="shared" si="290"/>
        <v>-612.28699999999992</v>
      </c>
      <c r="V126" s="1902">
        <f t="shared" si="290"/>
        <v>19.049000000000007</v>
      </c>
      <c r="W126" s="1902">
        <f t="shared" si="290"/>
        <v>-139.15500000000003</v>
      </c>
      <c r="X126" s="1902">
        <f t="shared" si="290"/>
        <v>-156.85299999999998</v>
      </c>
      <c r="Y126" s="1902">
        <f t="shared" si="290"/>
        <v>-58.253000000000007</v>
      </c>
      <c r="Z126" s="1903">
        <f t="shared" si="290"/>
        <v>-335.21199999999999</v>
      </c>
      <c r="AA126" s="1902">
        <f t="shared" si="290"/>
        <v>-54.29999999999999</v>
      </c>
      <c r="AB126" s="1902">
        <f t="shared" si="290"/>
        <v>-267.2</v>
      </c>
      <c r="AC126" s="1902">
        <f t="shared" si="290"/>
        <v>-142.50000000000003</v>
      </c>
      <c r="AD126" s="1902">
        <f t="shared" si="290"/>
        <v>-69.408999999999978</v>
      </c>
      <c r="AE126" s="1903">
        <f t="shared" si="290"/>
        <v>-533.40899999999999</v>
      </c>
      <c r="AF126" s="1902">
        <f t="shared" si="290"/>
        <v>-150.89999999999998</v>
      </c>
      <c r="AG126" s="1902">
        <f t="shared" si="290"/>
        <v>-228.10000000000005</v>
      </c>
      <c r="AH126" s="1902">
        <f t="shared" si="290"/>
        <v>-373.9</v>
      </c>
      <c r="AI126" s="1902">
        <f t="shared" si="290"/>
        <v>-912.1</v>
      </c>
      <c r="AJ126" s="1903">
        <f t="shared" si="290"/>
        <v>-1665</v>
      </c>
      <c r="AK126" s="1902">
        <f>SUM(AK118:AK124)</f>
        <v>43</v>
      </c>
      <c r="AL126" s="1902">
        <f>SUM(AL118:AL124)</f>
        <v>-53</v>
      </c>
      <c r="AM126" s="1902">
        <f>SUM(AM118:AM124)</f>
        <v>-212</v>
      </c>
      <c r="AN126" s="1902">
        <f t="shared" si="290"/>
        <v>-683</v>
      </c>
      <c r="AO126" s="1903">
        <f t="shared" si="290"/>
        <v>-905</v>
      </c>
      <c r="AP126" s="1902">
        <f t="shared" si="290"/>
        <v>-971</v>
      </c>
      <c r="AQ126" s="1902">
        <f t="shared" si="290"/>
        <v>-73</v>
      </c>
      <c r="AR126" s="1902">
        <f t="shared" si="290"/>
        <v>-556</v>
      </c>
      <c r="AS126" s="1902">
        <f t="shared" si="290"/>
        <v>-143</v>
      </c>
      <c r="AT126" s="1903">
        <f t="shared" si="290"/>
        <v>-1743</v>
      </c>
      <c r="AU126" s="1902">
        <f t="shared" si="290"/>
        <v>-96</v>
      </c>
      <c r="AV126" s="1902">
        <f t="shared" si="290"/>
        <v>-255</v>
      </c>
      <c r="AW126" s="1902">
        <f t="shared" si="290"/>
        <v>-50</v>
      </c>
      <c r="AX126" s="1902">
        <f t="shared" si="290"/>
        <v>-61</v>
      </c>
      <c r="AY126" s="1903">
        <f t="shared" si="290"/>
        <v>-462</v>
      </c>
      <c r="AZ126" s="1902">
        <f t="shared" si="290"/>
        <v>220</v>
      </c>
      <c r="BA126" s="1902">
        <f t="shared" si="290"/>
        <v>73</v>
      </c>
      <c r="BB126" s="1915">
        <f t="shared" si="290"/>
        <v>1634</v>
      </c>
      <c r="BC126" s="1915">
        <f t="shared" si="290"/>
        <v>-417</v>
      </c>
      <c r="BD126" s="1903">
        <f t="shared" si="290"/>
        <v>1510</v>
      </c>
      <c r="BE126" s="1902">
        <f t="shared" si="290"/>
        <v>11</v>
      </c>
      <c r="BF126" s="1902">
        <f t="shared" si="290"/>
        <v>-382</v>
      </c>
      <c r="BG126" s="1915">
        <f t="shared" si="290"/>
        <v>-647</v>
      </c>
      <c r="BH126" s="1915">
        <f t="shared" si="290"/>
        <v>-582</v>
      </c>
      <c r="BI126" s="1903">
        <f t="shared" si="290"/>
        <v>-1600</v>
      </c>
      <c r="BJ126" s="1902">
        <f t="shared" si="290"/>
        <v>-346</v>
      </c>
      <c r="BK126" s="1902">
        <f t="shared" si="290"/>
        <v>-272</v>
      </c>
      <c r="BL126" s="1902">
        <f t="shared" si="290"/>
        <v>-593</v>
      </c>
      <c r="BM126" s="1902">
        <f t="shared" si="290"/>
        <v>-296</v>
      </c>
      <c r="BN126" s="1903">
        <f t="shared" si="290"/>
        <v>-1507</v>
      </c>
      <c r="BO126" s="1902">
        <f t="shared" si="290"/>
        <v>-1316</v>
      </c>
      <c r="BP126" s="1902">
        <f t="shared" ref="BP126:BY126" si="291">SUM(BP118:BP124)</f>
        <v>-481.2674701599172</v>
      </c>
      <c r="BQ126" s="1902">
        <f t="shared" si="291"/>
        <v>-465.83116123919598</v>
      </c>
      <c r="BR126" s="1902">
        <f t="shared" si="291"/>
        <v>-492.06218717080799</v>
      </c>
      <c r="BS126" s="1903">
        <f t="shared" si="291"/>
        <v>-2755.160818569921</v>
      </c>
      <c r="BT126" s="1902">
        <f t="shared" si="291"/>
        <v>-591.95092798550797</v>
      </c>
      <c r="BU126" s="1902">
        <f t="shared" ref="BU126:BX126" si="292">SUM(BU118:BU124)</f>
        <v>-570.80033702952892</v>
      </c>
      <c r="BV126" s="1902">
        <f t="shared" si="292"/>
        <v>-555.16279773766735</v>
      </c>
      <c r="BW126" s="1902">
        <f t="shared" si="292"/>
        <v>-580.94345894261289</v>
      </c>
      <c r="BX126" s="1903">
        <f t="shared" si="292"/>
        <v>-2298.8575216953172</v>
      </c>
      <c r="BY126" s="1916">
        <f t="shared" si="291"/>
        <v>-2492.7280842711807</v>
      </c>
      <c r="BZ126" s="1916">
        <f>SUM(BZ118:BZ124)</f>
        <v>-2705.207314682983</v>
      </c>
      <c r="CA126" s="1916">
        <f>SUM(CA118:CA124)</f>
        <v>-2783.1493174177158</v>
      </c>
      <c r="CB126" s="248"/>
      <c r="CC126" s="1359"/>
      <c r="CD126" s="227" t="str">
        <f>A126</f>
        <v>Cash provided by Financing Activities</v>
      </c>
      <c r="CE126" s="222">
        <f>SUM(CE118:CE124)</f>
        <v>-291.3649999999999</v>
      </c>
      <c r="CF126" s="222">
        <f t="shared" ref="CF126:CT126" si="293">SUM(CF118:CF124)</f>
        <v>-781.73799999999994</v>
      </c>
      <c r="CG126" s="222">
        <f t="shared" si="293"/>
        <v>-896.86400000000003</v>
      </c>
      <c r="CH126" s="222">
        <f t="shared" si="293"/>
        <v>-441.74500000000006</v>
      </c>
      <c r="CI126" s="222">
        <f t="shared" si="293"/>
        <v>-743.78899999999999</v>
      </c>
      <c r="CJ126" s="222">
        <f t="shared" si="293"/>
        <v>-1479.9440000000002</v>
      </c>
      <c r="CK126" s="222">
        <f t="shared" si="293"/>
        <v>-1121.2270000000003</v>
      </c>
      <c r="CL126" s="222">
        <f t="shared" si="293"/>
        <v>-612.28699999999992</v>
      </c>
      <c r="CM126" s="222">
        <f t="shared" si="293"/>
        <v>-335.21199999999999</v>
      </c>
      <c r="CN126" s="222">
        <f t="shared" si="293"/>
        <v>-533.40899999999999</v>
      </c>
      <c r="CO126" s="222">
        <f t="shared" si="293"/>
        <v>-1665</v>
      </c>
      <c r="CP126" s="222">
        <f t="shared" si="293"/>
        <v>-905</v>
      </c>
      <c r="CQ126" s="222">
        <f t="shared" si="293"/>
        <v>-1743</v>
      </c>
      <c r="CR126" s="222">
        <f t="shared" si="293"/>
        <v>-462</v>
      </c>
      <c r="CS126" s="222">
        <f t="shared" si="293"/>
        <v>1510</v>
      </c>
      <c r="CT126" s="222">
        <f t="shared" si="293"/>
        <v>-1600</v>
      </c>
      <c r="CU126" s="222">
        <f t="shared" ref="CU126:CZ126" si="294">SUM(CU118:CU124)</f>
        <v>-1507</v>
      </c>
      <c r="CV126" s="222">
        <f t="shared" si="294"/>
        <v>-2755.160818569921</v>
      </c>
      <c r="CW126" s="222">
        <f t="shared" si="294"/>
        <v>-2298.8575216953172</v>
      </c>
      <c r="CX126" s="222">
        <f t="shared" si="294"/>
        <v>-2492.7280842711807</v>
      </c>
      <c r="CY126" s="222">
        <f t="shared" si="294"/>
        <v>-2705.207314682983</v>
      </c>
      <c r="CZ126" s="228">
        <f t="shared" si="294"/>
        <v>-2783.1493174177158</v>
      </c>
      <c r="DA126" s="74"/>
      <c r="DB126" s="59"/>
      <c r="DC126"/>
      <c r="DD126"/>
      <c r="DE126"/>
      <c r="DF126"/>
      <c r="DG126"/>
      <c r="DH126"/>
    </row>
    <row r="127" spans="1:112" ht="12" customHeight="1">
      <c r="A127" s="390"/>
      <c r="B127" s="79"/>
      <c r="C127" s="79"/>
      <c r="D127" s="79"/>
      <c r="E127" s="79"/>
      <c r="F127" s="79"/>
      <c r="G127" s="251"/>
      <c r="H127" s="86"/>
      <c r="I127" s="86"/>
      <c r="J127" s="86"/>
      <c r="K127" s="79"/>
      <c r="L127" s="86"/>
      <c r="M127" s="86"/>
      <c r="N127" s="86"/>
      <c r="O127" s="86"/>
      <c r="P127" s="79"/>
      <c r="Q127" s="86"/>
      <c r="R127" s="86"/>
      <c r="S127" s="86"/>
      <c r="T127" s="86"/>
      <c r="U127" s="79"/>
      <c r="V127" s="86"/>
      <c r="W127" s="86"/>
      <c r="X127" s="86"/>
      <c r="Y127" s="86"/>
      <c r="Z127" s="79"/>
      <c r="AA127" s="86"/>
      <c r="AB127" s="86"/>
      <c r="AC127" s="86"/>
      <c r="AD127" s="86"/>
      <c r="AE127" s="79"/>
      <c r="AF127" s="86"/>
      <c r="AG127" s="86"/>
      <c r="AH127" s="86"/>
      <c r="AI127" s="86"/>
      <c r="AJ127" s="79"/>
      <c r="AK127" s="390"/>
      <c r="AL127" s="390"/>
      <c r="AM127" s="390"/>
      <c r="AN127" s="86"/>
      <c r="AO127" s="79"/>
      <c r="AP127" s="390"/>
      <c r="AQ127" s="390"/>
      <c r="AR127" s="390"/>
      <c r="AS127" s="86"/>
      <c r="AT127" s="79"/>
      <c r="AU127" s="390"/>
      <c r="AV127" s="390"/>
      <c r="AW127" s="251"/>
      <c r="AX127" s="251"/>
      <c r="AY127" s="79"/>
      <c r="AZ127" s="251"/>
      <c r="BA127" s="251"/>
      <c r="BB127" s="46"/>
      <c r="BC127" s="46"/>
      <c r="BD127" s="79"/>
      <c r="BE127" s="251"/>
      <c r="BF127" s="251"/>
      <c r="BG127" s="46"/>
      <c r="BH127" s="46"/>
      <c r="BI127" s="79"/>
      <c r="BJ127" s="251"/>
      <c r="BK127" s="251"/>
      <c r="BL127" s="251"/>
      <c r="BM127" s="251"/>
      <c r="BN127" s="79"/>
      <c r="BO127" s="251"/>
      <c r="BP127" s="251"/>
      <c r="BQ127" s="251"/>
      <c r="BR127" s="251"/>
      <c r="BS127" s="79"/>
      <c r="BT127" s="251"/>
      <c r="BU127" s="251"/>
      <c r="BV127" s="251"/>
      <c r="BW127" s="251"/>
      <c r="BX127" s="79"/>
      <c r="BY127" s="394"/>
      <c r="BZ127" s="394"/>
      <c r="CA127" s="394"/>
      <c r="CB127" s="395"/>
      <c r="CD127" s="57"/>
      <c r="CE127" s="46"/>
      <c r="CF127" s="46"/>
      <c r="CG127" s="46"/>
      <c r="CH127" s="46"/>
      <c r="CI127" s="46"/>
      <c r="CJ127" s="46"/>
      <c r="CK127" s="46"/>
      <c r="CL127" s="46"/>
      <c r="CM127" s="46"/>
      <c r="CN127" s="46"/>
      <c r="CO127" s="46"/>
      <c r="CP127" s="46"/>
      <c r="CQ127" s="46"/>
      <c r="CR127" s="46"/>
      <c r="CS127" s="46"/>
      <c r="CT127" s="46"/>
      <c r="CU127" s="46"/>
      <c r="CV127" s="46"/>
      <c r="CW127" s="46"/>
      <c r="CX127" s="46"/>
      <c r="CY127" s="46"/>
      <c r="CZ127" s="44"/>
      <c r="DA127" s="58"/>
      <c r="DB127" s="59"/>
    </row>
    <row r="128" spans="1:112" s="82" customFormat="1" ht="12" customHeight="1">
      <c r="A128" s="1921" t="s">
        <v>144</v>
      </c>
      <c r="B128" s="1907">
        <v>0</v>
      </c>
      <c r="C128" s="1907">
        <v>0</v>
      </c>
      <c r="D128" s="1907">
        <v>0</v>
      </c>
      <c r="E128" s="1907">
        <v>0</v>
      </c>
      <c r="F128" s="1907">
        <v>0</v>
      </c>
      <c r="G128" s="1922">
        <v>0</v>
      </c>
      <c r="H128" s="1922">
        <v>0</v>
      </c>
      <c r="I128" s="1922">
        <v>0</v>
      </c>
      <c r="J128" s="1922">
        <v>0</v>
      </c>
      <c r="K128" s="1909">
        <f>SUM(G128:J128)</f>
        <v>0</v>
      </c>
      <c r="L128" s="1922">
        <v>0</v>
      </c>
      <c r="M128" s="1922">
        <v>0</v>
      </c>
      <c r="N128" s="1922">
        <v>0</v>
      </c>
      <c r="O128" s="1922">
        <v>0</v>
      </c>
      <c r="P128" s="1909">
        <f>SUM(L128:O128)</f>
        <v>0</v>
      </c>
      <c r="Q128" s="1922">
        <v>0</v>
      </c>
      <c r="R128" s="1922">
        <v>0</v>
      </c>
      <c r="S128" s="1922">
        <v>0</v>
      </c>
      <c r="T128" s="1922">
        <v>0</v>
      </c>
      <c r="U128" s="1909">
        <f>SUM(Q128:T128)</f>
        <v>0</v>
      </c>
      <c r="V128" s="1922">
        <v>0</v>
      </c>
      <c r="W128" s="1922">
        <v>0</v>
      </c>
      <c r="X128" s="1922">
        <v>0</v>
      </c>
      <c r="Y128" s="1922">
        <v>0</v>
      </c>
      <c r="Z128" s="1909">
        <f>SUM(V128:Y128)</f>
        <v>0</v>
      </c>
      <c r="AA128" s="1922">
        <v>0</v>
      </c>
      <c r="AB128" s="1922">
        <v>0</v>
      </c>
      <c r="AC128" s="1922">
        <v>0</v>
      </c>
      <c r="AD128" s="1922">
        <v>0</v>
      </c>
      <c r="AE128" s="1909">
        <f>SUM(AA128:AD128)</f>
        <v>0</v>
      </c>
      <c r="AF128" s="1922">
        <v>0</v>
      </c>
      <c r="AG128" s="1922">
        <v>0</v>
      </c>
      <c r="AH128" s="1922">
        <v>0</v>
      </c>
      <c r="AI128" s="1922">
        <v>0</v>
      </c>
      <c r="AJ128" s="1909">
        <f>SUM(AF128:AI128)</f>
        <v>0</v>
      </c>
      <c r="AK128" s="1888">
        <v>-83</v>
      </c>
      <c r="AL128" s="1908">
        <f>-144-AK128</f>
        <v>-61</v>
      </c>
      <c r="AM128" s="1908">
        <f>114-AK128-AL128</f>
        <v>258</v>
      </c>
      <c r="AN128" s="1908">
        <f>325-AK128-AL128-AM128</f>
        <v>211</v>
      </c>
      <c r="AO128" s="1909">
        <f>SUM(AK128:AN128)</f>
        <v>325</v>
      </c>
      <c r="AP128" s="1888">
        <v>2208</v>
      </c>
      <c r="AQ128" s="1908">
        <f>2037-AP128</f>
        <v>-171</v>
      </c>
      <c r="AR128" s="1908">
        <f>1966-AP128-AQ128</f>
        <v>-71</v>
      </c>
      <c r="AS128" s="1923">
        <f>1874-13-AP128-AQ128-AR128</f>
        <v>-105</v>
      </c>
      <c r="AT128" s="1909">
        <f>SUM(AP128:AS128)</f>
        <v>1861</v>
      </c>
      <c r="AU128" s="1888">
        <v>6.5</v>
      </c>
      <c r="AV128" s="1888">
        <v>6.5</v>
      </c>
      <c r="AW128" s="1910">
        <f>16-AV128-AU128</f>
        <v>3</v>
      </c>
      <c r="AX128" s="1910">
        <f>338-SUM(AU128:AW128)</f>
        <v>322</v>
      </c>
      <c r="AY128" s="1909">
        <f>SUM(AU128:AX128)</f>
        <v>338</v>
      </c>
      <c r="AZ128" s="1872">
        <v>-129</v>
      </c>
      <c r="BA128" s="1872">
        <f>+-129-AZ128</f>
        <v>0</v>
      </c>
      <c r="BB128" s="1872">
        <f>+-129-SUM(AZ128:BA128)</f>
        <v>0</v>
      </c>
      <c r="BC128" s="1872">
        <f>+-129-SUM(AZ128:BB128)</f>
        <v>0</v>
      </c>
      <c r="BD128" s="1909">
        <f>SUM(AZ128:BC128)</f>
        <v>-129</v>
      </c>
      <c r="BE128" s="1872">
        <v>0</v>
      </c>
      <c r="BF128" s="1872">
        <v>0</v>
      </c>
      <c r="BG128" s="1872">
        <v>0</v>
      </c>
      <c r="BH128" s="1872">
        <v>0</v>
      </c>
      <c r="BI128" s="1909">
        <f>SUM(BE128:BH128)</f>
        <v>0</v>
      </c>
      <c r="BJ128" s="1872">
        <v>0</v>
      </c>
      <c r="BK128" s="1872">
        <v>0</v>
      </c>
      <c r="BL128" s="1873">
        <v>0</v>
      </c>
      <c r="BM128" s="2167">
        <v>0</v>
      </c>
      <c r="BN128" s="1909">
        <f>SUM(BJ128:BM128)</f>
        <v>0</v>
      </c>
      <c r="BO128" s="1873">
        <v>0</v>
      </c>
      <c r="BP128" s="1873">
        <v>0</v>
      </c>
      <c r="BQ128" s="1873">
        <v>0</v>
      </c>
      <c r="BR128" s="1873">
        <v>0</v>
      </c>
      <c r="BS128" s="1909">
        <f>SUM(BO128:BR128)</f>
        <v>0</v>
      </c>
      <c r="BT128" s="1873">
        <v>0</v>
      </c>
      <c r="BU128" s="1873">
        <v>0</v>
      </c>
      <c r="BV128" s="1873">
        <v>0</v>
      </c>
      <c r="BW128" s="1873">
        <v>0</v>
      </c>
      <c r="BX128" s="1909">
        <f>SUM(BT128:BW128)</f>
        <v>0</v>
      </c>
      <c r="BY128" s="1924">
        <v>0</v>
      </c>
      <c r="BZ128" s="1924">
        <v>0</v>
      </c>
      <c r="CA128" s="1924">
        <v>0</v>
      </c>
      <c r="CB128" s="395"/>
      <c r="CC128" s="1360"/>
      <c r="CD128" s="227" t="str">
        <f t="shared" ref="CD128:CI130" si="295">A128</f>
        <v>Cash provided by discontinued operations</v>
      </c>
      <c r="CE128" s="46">
        <f t="shared" si="295"/>
        <v>0</v>
      </c>
      <c r="CF128" s="46">
        <f t="shared" si="295"/>
        <v>0</v>
      </c>
      <c r="CG128" s="46">
        <f t="shared" si="295"/>
        <v>0</v>
      </c>
      <c r="CH128" s="46">
        <f t="shared" si="295"/>
        <v>0</v>
      </c>
      <c r="CI128" s="46">
        <f t="shared" si="295"/>
        <v>0</v>
      </c>
      <c r="CJ128" s="46">
        <f>K128</f>
        <v>0</v>
      </c>
      <c r="CK128" s="46">
        <f>P128</f>
        <v>0</v>
      </c>
      <c r="CL128" s="46">
        <f>U128</f>
        <v>0</v>
      </c>
      <c r="CM128" s="46">
        <f>Z128</f>
        <v>0</v>
      </c>
      <c r="CN128" s="46">
        <f>AE128</f>
        <v>0</v>
      </c>
      <c r="CO128" s="46">
        <f>AJ128</f>
        <v>0</v>
      </c>
      <c r="CP128" s="46">
        <f>AO128</f>
        <v>325</v>
      </c>
      <c r="CQ128" s="46">
        <f>AT128</f>
        <v>1861</v>
      </c>
      <c r="CR128" s="46">
        <f>AY128</f>
        <v>338</v>
      </c>
      <c r="CS128" s="46">
        <f>BD128</f>
        <v>-129</v>
      </c>
      <c r="CT128" s="46">
        <f>BI128</f>
        <v>0</v>
      </c>
      <c r="CU128" s="46">
        <f>BN128</f>
        <v>0</v>
      </c>
      <c r="CV128" s="46">
        <f>BS128</f>
        <v>0</v>
      </c>
      <c r="CW128" s="46">
        <f t="shared" ref="CW128:CZ130" si="296">BX128</f>
        <v>0</v>
      </c>
      <c r="CX128" s="46">
        <f t="shared" si="296"/>
        <v>0</v>
      </c>
      <c r="CY128" s="46">
        <f t="shared" si="296"/>
        <v>0</v>
      </c>
      <c r="CZ128" s="44">
        <f t="shared" si="296"/>
        <v>0</v>
      </c>
      <c r="DA128" s="86"/>
      <c r="DB128" s="59"/>
      <c r="DC128"/>
      <c r="DD128"/>
      <c r="DE128"/>
      <c r="DF128"/>
      <c r="DG128"/>
      <c r="DH128"/>
    </row>
    <row r="129" spans="1:112" s="82" customFormat="1" ht="12" customHeight="1">
      <c r="A129" s="1925" t="s">
        <v>145</v>
      </c>
      <c r="B129" s="1907">
        <v>-2.2210000000000001</v>
      </c>
      <c r="C129" s="1907">
        <v>10.518000000000001</v>
      </c>
      <c r="D129" s="1907">
        <v>14.115</v>
      </c>
      <c r="E129" s="1907">
        <v>10.019</v>
      </c>
      <c r="F129" s="1907">
        <v>-22.946999999999999</v>
      </c>
      <c r="G129" s="1873">
        <v>0.39300000000000002</v>
      </c>
      <c r="H129" s="1908">
        <f>-2.759-G129</f>
        <v>-3.1520000000000001</v>
      </c>
      <c r="I129" s="1908">
        <f>-4.88-H129-G129</f>
        <v>-2.1209999999999996</v>
      </c>
      <c r="J129" s="1908">
        <f>2.831-I129-H129-G129</f>
        <v>7.7109999999999994</v>
      </c>
      <c r="K129" s="1909">
        <f>SUM(G129:J129)</f>
        <v>2.8309999999999995</v>
      </c>
      <c r="L129" s="1888">
        <v>0.86299999999999999</v>
      </c>
      <c r="M129" s="1908">
        <f>7.496-L129</f>
        <v>6.6330000000000009</v>
      </c>
      <c r="N129" s="1908">
        <f>18.546-M129-L129</f>
        <v>11.049999999999999</v>
      </c>
      <c r="O129" s="1908">
        <f>16.567-N129-M129-L129</f>
        <v>-1.9789999999999996</v>
      </c>
      <c r="P129" s="1909">
        <f>SUM(L129:O129)</f>
        <v>16.567</v>
      </c>
      <c r="Q129" s="1888">
        <v>7.5279999999999996</v>
      </c>
      <c r="R129" s="1908">
        <f>6.503-Q129</f>
        <v>-1.0249999999999995</v>
      </c>
      <c r="S129" s="1908">
        <f>-10.498-R129-Q129</f>
        <v>-17.000999999999998</v>
      </c>
      <c r="T129" s="1908">
        <f>-47.633-S129-R129-Q129</f>
        <v>-37.135000000000005</v>
      </c>
      <c r="U129" s="1909">
        <f>SUM(Q129:T129)</f>
        <v>-47.633000000000003</v>
      </c>
      <c r="V129" s="1888">
        <v>-8.6240000000000006</v>
      </c>
      <c r="W129" s="1908">
        <f>10.271-V129</f>
        <v>18.895000000000003</v>
      </c>
      <c r="X129" s="1908">
        <f>26.386-W129-V129</f>
        <v>16.114999999999995</v>
      </c>
      <c r="Y129" s="1908">
        <f>22.219-X129-W129-V129</f>
        <v>-4.1669999999999963</v>
      </c>
      <c r="Z129" s="1909">
        <f>SUM(V129:Y129)</f>
        <v>22.219000000000001</v>
      </c>
      <c r="AA129" s="1888">
        <v>-15.6</v>
      </c>
      <c r="AB129" s="1908">
        <f>-29.2-AA129</f>
        <v>-13.6</v>
      </c>
      <c r="AC129" s="1908">
        <f>-9.2-AB129-AA129</f>
        <v>20</v>
      </c>
      <c r="AD129" s="1908">
        <f>-11.551-AC129-AB129-AA129</f>
        <v>-2.3510000000000009</v>
      </c>
      <c r="AE129" s="1909">
        <f>SUM(AA129:AD129)</f>
        <v>-11.551</v>
      </c>
      <c r="AF129" s="1888">
        <v>24.6</v>
      </c>
      <c r="AG129" s="1908">
        <f>28.8-AF129</f>
        <v>4.1999999999999993</v>
      </c>
      <c r="AH129" s="1908">
        <f>-6.5-AG129-AF129</f>
        <v>-35.299999999999997</v>
      </c>
      <c r="AI129" s="1908">
        <f>-15-SUM(AF129:AH129)</f>
        <v>-8.5000000000000036</v>
      </c>
      <c r="AJ129" s="1909">
        <f>SUM(AF129:AI129)</f>
        <v>-15</v>
      </c>
      <c r="AK129" s="1922">
        <v>6</v>
      </c>
      <c r="AL129" s="1926">
        <f>-5-AK129</f>
        <v>-11</v>
      </c>
      <c r="AM129" s="1926">
        <f>9-SUM(AK129:AL129)</f>
        <v>14</v>
      </c>
      <c r="AN129" s="1908">
        <f>5-SUM(AK129:AM129)</f>
        <v>-4</v>
      </c>
      <c r="AO129" s="1909">
        <f>SUM(AK129:AN129)</f>
        <v>5</v>
      </c>
      <c r="AP129" s="1922">
        <v>-23</v>
      </c>
      <c r="AQ129" s="1926">
        <f>-36-AP129</f>
        <v>-13</v>
      </c>
      <c r="AR129" s="1926">
        <f>-7-SUM(AP129:AQ129)</f>
        <v>29</v>
      </c>
      <c r="AS129" s="1908">
        <f>-1-SUM(AP129:AR129)</f>
        <v>6</v>
      </c>
      <c r="AT129" s="1909">
        <f>SUM(AP129:AS129)</f>
        <v>-1</v>
      </c>
      <c r="AU129" s="1922">
        <v>0</v>
      </c>
      <c r="AV129" s="1926">
        <f>19-AU129</f>
        <v>19</v>
      </c>
      <c r="AW129" s="1910">
        <f>-24-AV129-AU129</f>
        <v>-43</v>
      </c>
      <c r="AX129" s="1910">
        <f>+-65-SUM(AU129:AW129)</f>
        <v>-41</v>
      </c>
      <c r="AY129" s="1909">
        <f>SUM(AU129:AX129)</f>
        <v>-65</v>
      </c>
      <c r="AZ129" s="1872">
        <v>-44</v>
      </c>
      <c r="BA129" s="1872">
        <f>+-7-AZ129</f>
        <v>37</v>
      </c>
      <c r="BB129" s="1872">
        <f>+-42-SUM(AZ129:BA129)</f>
        <v>-35</v>
      </c>
      <c r="BC129" s="1872">
        <f>+-67-SUM(AZ129:BB129)</f>
        <v>-25</v>
      </c>
      <c r="BD129" s="1909">
        <f>SUM(AZ129:BC129)</f>
        <v>-67</v>
      </c>
      <c r="BE129" s="1872">
        <v>-1</v>
      </c>
      <c r="BF129" s="1872">
        <f>+-26-BE129</f>
        <v>-25</v>
      </c>
      <c r="BG129" s="1872">
        <f>+-93-SUM(BE129:BF129)</f>
        <v>-67</v>
      </c>
      <c r="BH129" s="1872">
        <f>+-158-SUM(BE129:BG129)+0.6</f>
        <v>-64.400000000000006</v>
      </c>
      <c r="BI129" s="1909">
        <f>SUM(BE129:BH129)</f>
        <v>-157.4</v>
      </c>
      <c r="BJ129" s="1872">
        <v>34</v>
      </c>
      <c r="BK129" s="1872">
        <f>60-BJ129</f>
        <v>26</v>
      </c>
      <c r="BL129" s="392">
        <f>83-SUM(BJ129:BK129)</f>
        <v>23</v>
      </c>
      <c r="BM129" s="2167">
        <f>87-SUM(BJ129:BL129)</f>
        <v>4</v>
      </c>
      <c r="BN129" s="1909">
        <f>SUM(BJ129:BM129)</f>
        <v>87</v>
      </c>
      <c r="BO129" s="1873">
        <v>20</v>
      </c>
      <c r="BP129" s="1873">
        <v>0</v>
      </c>
      <c r="BQ129" s="1873">
        <v>0</v>
      </c>
      <c r="BR129" s="1873">
        <v>0</v>
      </c>
      <c r="BS129" s="1909">
        <f>SUM(BO129:BR129)</f>
        <v>20</v>
      </c>
      <c r="BT129" s="1873">
        <v>0</v>
      </c>
      <c r="BU129" s="1873">
        <v>0</v>
      </c>
      <c r="BV129" s="1873">
        <v>0</v>
      </c>
      <c r="BW129" s="1873">
        <v>0</v>
      </c>
      <c r="BX129" s="1909">
        <f>SUM(BT129:BW129)</f>
        <v>0</v>
      </c>
      <c r="BY129" s="1924">
        <v>0</v>
      </c>
      <c r="BZ129" s="1924">
        <v>0</v>
      </c>
      <c r="CA129" s="1924">
        <v>0</v>
      </c>
      <c r="CB129" s="395"/>
      <c r="CC129" s="1360"/>
      <c r="CD129" s="396" t="str">
        <f t="shared" si="295"/>
        <v>Effects Of Exchange Rate On Cash</v>
      </c>
      <c r="CE129" s="46">
        <f t="shared" si="295"/>
        <v>-2.2210000000000001</v>
      </c>
      <c r="CF129" s="46">
        <f t="shared" si="295"/>
        <v>10.518000000000001</v>
      </c>
      <c r="CG129" s="46">
        <f t="shared" si="295"/>
        <v>14.115</v>
      </c>
      <c r="CH129" s="46">
        <f t="shared" si="295"/>
        <v>10.019</v>
      </c>
      <c r="CI129" s="46">
        <f t="shared" si="295"/>
        <v>-22.946999999999999</v>
      </c>
      <c r="CJ129" s="46">
        <f>K129</f>
        <v>2.8309999999999995</v>
      </c>
      <c r="CK129" s="46">
        <f>P129</f>
        <v>16.567</v>
      </c>
      <c r="CL129" s="46">
        <f>U129</f>
        <v>-47.633000000000003</v>
      </c>
      <c r="CM129" s="46">
        <f>Z129</f>
        <v>22.219000000000001</v>
      </c>
      <c r="CN129" s="46">
        <f>AE129</f>
        <v>-11.551</v>
      </c>
      <c r="CO129" s="46">
        <f>AJ129</f>
        <v>-15</v>
      </c>
      <c r="CP129" s="46">
        <f>AO129</f>
        <v>5</v>
      </c>
      <c r="CQ129" s="46">
        <f>AT129</f>
        <v>-1</v>
      </c>
      <c r="CR129" s="46">
        <f>AY129</f>
        <v>-65</v>
      </c>
      <c r="CS129" s="46">
        <f>BD129</f>
        <v>-67</v>
      </c>
      <c r="CT129" s="46">
        <f>BI129</f>
        <v>-157.4</v>
      </c>
      <c r="CU129" s="46">
        <f>BN129</f>
        <v>87</v>
      </c>
      <c r="CV129" s="46">
        <f>BS129</f>
        <v>20</v>
      </c>
      <c r="CW129" s="46">
        <f t="shared" si="296"/>
        <v>0</v>
      </c>
      <c r="CX129" s="46">
        <f t="shared" si="296"/>
        <v>0</v>
      </c>
      <c r="CY129" s="46">
        <f t="shared" si="296"/>
        <v>0</v>
      </c>
      <c r="CZ129" s="44">
        <f t="shared" si="296"/>
        <v>0</v>
      </c>
      <c r="DA129" s="86"/>
      <c r="DB129" s="59"/>
      <c r="DC129"/>
      <c r="DD129"/>
      <c r="DE129"/>
      <c r="DF129"/>
      <c r="DG129"/>
      <c r="DH129"/>
    </row>
    <row r="130" spans="1:112" s="82" customFormat="1" ht="12" customHeight="1">
      <c r="A130" s="390" t="s">
        <v>146</v>
      </c>
      <c r="B130" s="1907">
        <v>0</v>
      </c>
      <c r="C130" s="1907">
        <v>0</v>
      </c>
      <c r="D130" s="1907">
        <v>0</v>
      </c>
      <c r="E130" s="1907">
        <v>0</v>
      </c>
      <c r="F130" s="1907">
        <v>0</v>
      </c>
      <c r="G130" s="1873">
        <v>0</v>
      </c>
      <c r="H130" s="1888">
        <v>0</v>
      </c>
      <c r="I130" s="1888">
        <v>0</v>
      </c>
      <c r="J130" s="1888">
        <v>0</v>
      </c>
      <c r="K130" s="1909">
        <f>SUM(G130:J130)</f>
        <v>0</v>
      </c>
      <c r="L130" s="1873">
        <v>0</v>
      </c>
      <c r="M130" s="1888">
        <v>0</v>
      </c>
      <c r="N130" s="1888">
        <v>0</v>
      </c>
      <c r="O130" s="1888">
        <v>0</v>
      </c>
      <c r="P130" s="1909">
        <f>SUM(L130:O130)</f>
        <v>0</v>
      </c>
      <c r="Q130" s="1873">
        <v>0</v>
      </c>
      <c r="R130" s="1888">
        <v>0</v>
      </c>
      <c r="S130" s="1888">
        <v>0</v>
      </c>
      <c r="T130" s="1888">
        <v>0</v>
      </c>
      <c r="U130" s="1909">
        <f>SUM(Q130:T130)</f>
        <v>0</v>
      </c>
      <c r="V130" s="1873">
        <v>0</v>
      </c>
      <c r="W130" s="1888">
        <v>0</v>
      </c>
      <c r="X130" s="1888">
        <v>0</v>
      </c>
      <c r="Y130" s="1888">
        <v>0</v>
      </c>
      <c r="Z130" s="1909">
        <f>SUM(V130:Y130)</f>
        <v>0</v>
      </c>
      <c r="AA130" s="1888">
        <f>1209.37-1209.427</f>
        <v>-5.7000000000016371E-2</v>
      </c>
      <c r="AB130" s="1908">
        <f>0-AA130</f>
        <v>5.7000000000016371E-2</v>
      </c>
      <c r="AC130" s="1888">
        <f>1322.841-1322.827</f>
        <v>1.3999999999896318E-2</v>
      </c>
      <c r="AD130" s="1908">
        <f>0-SUM(AA130:AC130)</f>
        <v>-1.3999999999896318E-2</v>
      </c>
      <c r="AE130" s="1909">
        <f>SUM(AA130:AD130)</f>
        <v>0</v>
      </c>
      <c r="AF130" s="1888">
        <v>0.20399999999999999</v>
      </c>
      <c r="AG130" s="1888">
        <v>-0.2</v>
      </c>
      <c r="AH130" s="1888">
        <v>0</v>
      </c>
      <c r="AI130" s="1888">
        <v>0</v>
      </c>
      <c r="AJ130" s="1909">
        <f>SUM(AF130:AI130)</f>
        <v>3.9999999999999758E-3</v>
      </c>
      <c r="AK130" s="1888">
        <f>(835-944)+(908-806)</f>
        <v>-7</v>
      </c>
      <c r="AL130" s="1888">
        <f>(836-737)-(908-806)</f>
        <v>-3</v>
      </c>
      <c r="AM130" s="1888">
        <f>(1243-1135)-(836-737)</f>
        <v>9</v>
      </c>
      <c r="AN130" s="1908">
        <f>835-944-AL130-AM130-AK130</f>
        <v>-108</v>
      </c>
      <c r="AO130" s="1909">
        <f>SUM(AK130:AN130)</f>
        <v>-109</v>
      </c>
      <c r="AP130" s="1888">
        <v>0</v>
      </c>
      <c r="AQ130" s="1888">
        <v>0</v>
      </c>
      <c r="AR130" s="1888">
        <v>0</v>
      </c>
      <c r="AS130" s="1877">
        <v>0</v>
      </c>
      <c r="AT130" s="1909">
        <f>SUM(AP130:AS130)</f>
        <v>0</v>
      </c>
      <c r="AU130" s="1877">
        <v>0</v>
      </c>
      <c r="AV130" s="1877">
        <v>0</v>
      </c>
      <c r="AW130" s="1888">
        <v>0</v>
      </c>
      <c r="AX130" s="1872">
        <v>0</v>
      </c>
      <c r="AY130" s="1909">
        <f>SUM(AU130:AX130)</f>
        <v>0</v>
      </c>
      <c r="AZ130" s="1872">
        <v>0</v>
      </c>
      <c r="BA130" s="1872">
        <v>0</v>
      </c>
      <c r="BB130" s="1872">
        <v>0</v>
      </c>
      <c r="BC130" s="1872">
        <v>0</v>
      </c>
      <c r="BD130" s="1909">
        <f>SUM(AZ130:BC130)</f>
        <v>0</v>
      </c>
      <c r="BE130" s="1872">
        <v>0</v>
      </c>
      <c r="BF130" s="1872">
        <v>0</v>
      </c>
      <c r="BG130" s="1872">
        <v>0</v>
      </c>
      <c r="BH130" s="1872">
        <v>0</v>
      </c>
      <c r="BI130" s="1909">
        <f>SUM(BE130:BH130)</f>
        <v>0</v>
      </c>
      <c r="BJ130" s="1872">
        <v>0</v>
      </c>
      <c r="BK130" s="1872">
        <v>0</v>
      </c>
      <c r="BL130" s="1873">
        <v>0</v>
      </c>
      <c r="BM130" s="2167">
        <v>0</v>
      </c>
      <c r="BN130" s="1909">
        <f>SUM(BJ130:BM130)</f>
        <v>0</v>
      </c>
      <c r="BO130" s="1873">
        <v>0</v>
      </c>
      <c r="BP130" s="1873">
        <v>0</v>
      </c>
      <c r="BQ130" s="1873">
        <v>0</v>
      </c>
      <c r="BR130" s="1873">
        <v>0</v>
      </c>
      <c r="BS130" s="1909">
        <f>SUM(BO130:BR130)</f>
        <v>0</v>
      </c>
      <c r="BT130" s="1873">
        <v>0</v>
      </c>
      <c r="BU130" s="1873">
        <v>0</v>
      </c>
      <c r="BV130" s="1873">
        <v>0</v>
      </c>
      <c r="BW130" s="1873">
        <v>0</v>
      </c>
      <c r="BX130" s="1909">
        <f>SUM(BT130:BW130)</f>
        <v>0</v>
      </c>
      <c r="BY130" s="1924">
        <v>0</v>
      </c>
      <c r="BZ130" s="1924">
        <v>0</v>
      </c>
      <c r="CA130" s="1924">
        <v>0</v>
      </c>
      <c r="CB130" s="395"/>
      <c r="CC130" s="1360"/>
      <c r="CD130" s="57" t="str">
        <f t="shared" si="295"/>
        <v>Adjustment</v>
      </c>
      <c r="CE130" s="46">
        <f t="shared" si="295"/>
        <v>0</v>
      </c>
      <c r="CF130" s="46">
        <f t="shared" si="295"/>
        <v>0</v>
      </c>
      <c r="CG130" s="46">
        <f t="shared" si="295"/>
        <v>0</v>
      </c>
      <c r="CH130" s="46">
        <f t="shared" si="295"/>
        <v>0</v>
      </c>
      <c r="CI130" s="46">
        <f t="shared" si="295"/>
        <v>0</v>
      </c>
      <c r="CJ130" s="46">
        <f>K130</f>
        <v>0</v>
      </c>
      <c r="CK130" s="46">
        <f>P130</f>
        <v>0</v>
      </c>
      <c r="CL130" s="46">
        <f>U130</f>
        <v>0</v>
      </c>
      <c r="CM130" s="46">
        <f>Z130</f>
        <v>0</v>
      </c>
      <c r="CN130" s="46">
        <f>AE130</f>
        <v>0</v>
      </c>
      <c r="CO130" s="46">
        <f>AJ130</f>
        <v>3.9999999999999758E-3</v>
      </c>
      <c r="CP130" s="46">
        <f>AO130</f>
        <v>-109</v>
      </c>
      <c r="CQ130" s="46">
        <f>AT130</f>
        <v>0</v>
      </c>
      <c r="CR130" s="46">
        <f>AY130</f>
        <v>0</v>
      </c>
      <c r="CS130" s="46">
        <f>BD130</f>
        <v>0</v>
      </c>
      <c r="CT130" s="46">
        <f>BI130</f>
        <v>0</v>
      </c>
      <c r="CU130" s="46">
        <f>BN130</f>
        <v>0</v>
      </c>
      <c r="CV130" s="46">
        <f>BS130</f>
        <v>0</v>
      </c>
      <c r="CW130" s="46">
        <f t="shared" si="296"/>
        <v>0</v>
      </c>
      <c r="CX130" s="46">
        <f t="shared" si="296"/>
        <v>0</v>
      </c>
      <c r="CY130" s="46">
        <f t="shared" si="296"/>
        <v>0</v>
      </c>
      <c r="CZ130" s="44">
        <f t="shared" si="296"/>
        <v>0</v>
      </c>
      <c r="DA130" s="86"/>
      <c r="DB130" s="59"/>
      <c r="DC130"/>
      <c r="DD130"/>
      <c r="DE130"/>
      <c r="DF130"/>
      <c r="DG130"/>
      <c r="DH130"/>
    </row>
    <row r="131" spans="1:112" ht="12" customHeight="1">
      <c r="A131" s="390"/>
      <c r="B131" s="79"/>
      <c r="C131" s="79"/>
      <c r="D131" s="79"/>
      <c r="E131" s="79"/>
      <c r="F131" s="79"/>
      <c r="G131" s="251"/>
      <c r="H131" s="86"/>
      <c r="I131" s="86"/>
      <c r="J131" s="86"/>
      <c r="K131" s="79"/>
      <c r="L131" s="86"/>
      <c r="M131" s="86"/>
      <c r="N131" s="86"/>
      <c r="O131" s="86"/>
      <c r="P131" s="79"/>
      <c r="Q131" s="86"/>
      <c r="R131" s="86"/>
      <c r="S131" s="86"/>
      <c r="T131" s="86"/>
      <c r="U131" s="79"/>
      <c r="V131" s="86"/>
      <c r="W131" s="86"/>
      <c r="X131" s="86"/>
      <c r="Y131" s="86"/>
      <c r="Z131" s="79"/>
      <c r="AA131" s="86"/>
      <c r="AB131" s="86"/>
      <c r="AC131" s="86"/>
      <c r="AD131" s="86"/>
      <c r="AE131" s="79"/>
      <c r="AF131" s="86"/>
      <c r="AG131" s="86"/>
      <c r="AH131" s="86"/>
      <c r="AI131" s="86"/>
      <c r="AJ131" s="79"/>
      <c r="AK131" s="390"/>
      <c r="AL131" s="390"/>
      <c r="AM131" s="390"/>
      <c r="AN131" s="86"/>
      <c r="AO131" s="79"/>
      <c r="AP131" s="390"/>
      <c r="AQ131" s="390"/>
      <c r="AR131" s="390"/>
      <c r="AS131" s="86"/>
      <c r="AT131" s="79"/>
      <c r="AU131" s="390"/>
      <c r="AV131" s="390"/>
      <c r="AW131" s="251"/>
      <c r="AX131" s="251"/>
      <c r="AY131" s="79"/>
      <c r="AZ131" s="251"/>
      <c r="BA131" s="251"/>
      <c r="BB131" s="251"/>
      <c r="BC131" s="251"/>
      <c r="BD131" s="79"/>
      <c r="BE131" s="251"/>
      <c r="BF131" s="251"/>
      <c r="BG131" s="251"/>
      <c r="BH131" s="251"/>
      <c r="BI131" s="79"/>
      <c r="BJ131" s="251"/>
      <c r="BK131" s="251"/>
      <c r="BL131" s="251"/>
      <c r="BM131" s="251"/>
      <c r="BN131" s="79"/>
      <c r="BO131" s="251"/>
      <c r="BP131" s="251"/>
      <c r="BQ131" s="251"/>
      <c r="BR131" s="251"/>
      <c r="BS131" s="79"/>
      <c r="BT131" s="251"/>
      <c r="BU131" s="251"/>
      <c r="BV131" s="251"/>
      <c r="BW131" s="251"/>
      <c r="BX131" s="79"/>
      <c r="BY131" s="394"/>
      <c r="BZ131" s="394"/>
      <c r="CA131" s="394"/>
      <c r="CB131" s="395"/>
      <c r="CD131" s="57"/>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4"/>
      <c r="DA131" s="58"/>
      <c r="DB131" s="59"/>
    </row>
    <row r="132" spans="1:112" s="70" customFormat="1" ht="12" customHeight="1">
      <c r="A132" s="1898" t="s">
        <v>147</v>
      </c>
      <c r="B132" s="1914">
        <f t="shared" ref="B132:AF132" si="297">SUM(B106,B115,B126,B129,B130,B128)</f>
        <v>50.363999999999919</v>
      </c>
      <c r="C132" s="1903">
        <f t="shared" si="297"/>
        <v>4.6509999999999252</v>
      </c>
      <c r="D132" s="1903">
        <f t="shared" si="297"/>
        <v>637.40499999999975</v>
      </c>
      <c r="E132" s="1903">
        <f t="shared" si="297"/>
        <v>-14.967999999999796</v>
      </c>
      <c r="F132" s="1903">
        <f t="shared" si="297"/>
        <v>68.163999999999874</v>
      </c>
      <c r="G132" s="1902">
        <f t="shared" si="297"/>
        <v>-569.04899999999998</v>
      </c>
      <c r="H132" s="1902">
        <f>SUM(H106,H115,H126,H129,H130,H128)</f>
        <v>31.315000000000239</v>
      </c>
      <c r="I132" s="1902">
        <f t="shared" si="297"/>
        <v>98.65799999999966</v>
      </c>
      <c r="J132" s="1902">
        <f t="shared" si="297"/>
        <v>43.787000000000134</v>
      </c>
      <c r="K132" s="1903">
        <f t="shared" si="297"/>
        <v>-395.2890000000001</v>
      </c>
      <c r="L132" s="1902">
        <f t="shared" si="297"/>
        <v>76.133000000000095</v>
      </c>
      <c r="M132" s="1902">
        <f t="shared" si="297"/>
        <v>-71.549000000000163</v>
      </c>
      <c r="N132" s="1902">
        <f t="shared" si="297"/>
        <v>94.449000000000112</v>
      </c>
      <c r="O132" s="1902">
        <f t="shared" si="297"/>
        <v>-56.434999999999846</v>
      </c>
      <c r="P132" s="1903">
        <f t="shared" si="297"/>
        <v>42.59799999999904</v>
      </c>
      <c r="Q132" s="1902">
        <f t="shared" si="297"/>
        <v>0.61300000000006438</v>
      </c>
      <c r="R132" s="1902">
        <f t="shared" si="297"/>
        <v>-41.40499999999998</v>
      </c>
      <c r="S132" s="1902">
        <f t="shared" si="297"/>
        <v>129.92199999999988</v>
      </c>
      <c r="T132" s="1902">
        <f t="shared" si="297"/>
        <v>-13.554999999999907</v>
      </c>
      <c r="U132" s="1903">
        <f t="shared" si="297"/>
        <v>75.57499999999996</v>
      </c>
      <c r="V132" s="1902">
        <f t="shared" si="297"/>
        <v>25.127999999999901</v>
      </c>
      <c r="W132" s="1902">
        <f t="shared" si="297"/>
        <v>59.332000000000015</v>
      </c>
      <c r="X132" s="1902">
        <f t="shared" si="297"/>
        <v>401.1339999999999</v>
      </c>
      <c r="Y132" s="1902">
        <f t="shared" si="297"/>
        <v>252.66200000000012</v>
      </c>
      <c r="Z132" s="1903">
        <f t="shared" si="297"/>
        <v>738.25600000000009</v>
      </c>
      <c r="AA132" s="1902">
        <f t="shared" si="297"/>
        <v>-0.55699999999997196</v>
      </c>
      <c r="AB132" s="1902">
        <f t="shared" si="297"/>
        <v>-91.542999999999978</v>
      </c>
      <c r="AC132" s="1902">
        <f t="shared" si="297"/>
        <v>205.0139999999997</v>
      </c>
      <c r="AD132" s="1902">
        <f t="shared" si="297"/>
        <v>202.75500000000005</v>
      </c>
      <c r="AE132" s="1903">
        <f t="shared" si="297"/>
        <v>315.66899999999981</v>
      </c>
      <c r="AF132" s="1902">
        <f t="shared" si="297"/>
        <v>-255.99599999999992</v>
      </c>
      <c r="AG132" s="1902">
        <f>SUM(AG106,AG115,AG126,AG129,AG130,AG128)</f>
        <v>30.599999999999909</v>
      </c>
      <c r="AH132" s="1902">
        <f t="shared" ref="AH132:BY132" si="298">SUM(AH106,AH115,AH126,AH129,AH130,AH128)</f>
        <v>137.40000000000003</v>
      </c>
      <c r="AI132" s="1902">
        <f t="shared" si="298"/>
        <v>-493.20000000000005</v>
      </c>
      <c r="AJ132" s="1903">
        <f t="shared" si="298"/>
        <v>-581.19600000000003</v>
      </c>
      <c r="AK132" s="1904">
        <f>SUM(AK106,AK115,AK126,AK129,AK130,AK128)</f>
        <v>-36</v>
      </c>
      <c r="AL132" s="1904">
        <f>SUM(AL106,AL115,AL126,AL129,AL130,AL128)</f>
        <v>-72</v>
      </c>
      <c r="AM132" s="1904">
        <f>SUM(AM106,AM115,AM126,AM129,AM130,AM128)</f>
        <v>407</v>
      </c>
      <c r="AN132" s="1902">
        <f>SUM(AN106,AN115,AN126,AN129,AN130,AN128)</f>
        <v>-483</v>
      </c>
      <c r="AO132" s="1903">
        <f t="shared" si="298"/>
        <v>-184</v>
      </c>
      <c r="AP132" s="1904">
        <f t="shared" si="298"/>
        <v>1145</v>
      </c>
      <c r="AQ132" s="1904">
        <f t="shared" si="298"/>
        <v>-5</v>
      </c>
      <c r="AR132" s="1904">
        <f t="shared" si="298"/>
        <v>-323</v>
      </c>
      <c r="AS132" s="1904">
        <f t="shared" si="298"/>
        <v>-35</v>
      </c>
      <c r="AT132" s="1903">
        <f t="shared" si="298"/>
        <v>782</v>
      </c>
      <c r="AU132" s="1904">
        <f t="shared" si="298"/>
        <v>-11</v>
      </c>
      <c r="AV132" s="1904">
        <f t="shared" si="298"/>
        <v>86</v>
      </c>
      <c r="AW132" s="1904">
        <f t="shared" si="298"/>
        <v>301</v>
      </c>
      <c r="AX132" s="1904">
        <f t="shared" si="298"/>
        <v>579</v>
      </c>
      <c r="AY132" s="1903">
        <f t="shared" si="298"/>
        <v>955</v>
      </c>
      <c r="AZ132" s="1904">
        <f t="shared" si="298"/>
        <v>-1321</v>
      </c>
      <c r="BA132" s="1904">
        <f t="shared" si="298"/>
        <v>544</v>
      </c>
      <c r="BB132" s="1904">
        <f t="shared" si="298"/>
        <v>-279</v>
      </c>
      <c r="BC132" s="1904">
        <f t="shared" si="298"/>
        <v>39</v>
      </c>
      <c r="BD132" s="1903">
        <f t="shared" si="298"/>
        <v>-1017</v>
      </c>
      <c r="BE132" s="1904">
        <f t="shared" si="298"/>
        <v>119</v>
      </c>
      <c r="BF132" s="1904">
        <f t="shared" si="298"/>
        <v>-32.399999999999977</v>
      </c>
      <c r="BG132" s="1904">
        <f t="shared" si="298"/>
        <v>831</v>
      </c>
      <c r="BH132" s="1904">
        <f>SUM(BH106,BH115,BH126,BH129,BH130,BH128)</f>
        <v>-6.0000000000000284</v>
      </c>
      <c r="BI132" s="1903">
        <f t="shared" si="298"/>
        <v>911.6</v>
      </c>
      <c r="BJ132" s="1904">
        <f t="shared" si="298"/>
        <v>19</v>
      </c>
      <c r="BK132" s="1904">
        <f t="shared" si="298"/>
        <v>-27</v>
      </c>
      <c r="BL132" s="1904">
        <f t="shared" si="298"/>
        <v>-72</v>
      </c>
      <c r="BM132" s="1904">
        <f t="shared" si="298"/>
        <v>467</v>
      </c>
      <c r="BN132" s="1903">
        <f t="shared" si="298"/>
        <v>387</v>
      </c>
      <c r="BO132" s="1904">
        <f t="shared" si="298"/>
        <v>-1023</v>
      </c>
      <c r="BP132" s="1904">
        <f t="shared" si="298"/>
        <v>211.77376635472882</v>
      </c>
      <c r="BQ132" s="1904">
        <f t="shared" si="298"/>
        <v>102.60719095788482</v>
      </c>
      <c r="BR132" s="1904">
        <f t="shared" si="298"/>
        <v>168.05354285867634</v>
      </c>
      <c r="BS132" s="1903">
        <f t="shared" si="298"/>
        <v>-540.56549982870865</v>
      </c>
      <c r="BT132" s="1904">
        <f t="shared" ref="BT132:BX132" si="299">SUM(BT106,BT115,BT126,BT129,BT130,BT128)</f>
        <v>-125.59184656784123</v>
      </c>
      <c r="BU132" s="1904">
        <f t="shared" si="299"/>
        <v>200.71312445061574</v>
      </c>
      <c r="BV132" s="1904">
        <f t="shared" si="299"/>
        <v>81.019957730010788</v>
      </c>
      <c r="BW132" s="1904">
        <f t="shared" si="299"/>
        <v>83.817868417340833</v>
      </c>
      <c r="BX132" s="1903">
        <f t="shared" si="299"/>
        <v>239.95910403012522</v>
      </c>
      <c r="BY132" s="1905">
        <f t="shared" si="298"/>
        <v>234.23523865204243</v>
      </c>
      <c r="BZ132" s="1905">
        <f>SUM(BZ106,BZ115,BZ126,BZ129,BZ130,BZ128)</f>
        <v>226.42443761719142</v>
      </c>
      <c r="CA132" s="1905">
        <f>SUM(CA106,CA115,CA126,CA129,CA130,CA128)</f>
        <v>318.28135314819201</v>
      </c>
      <c r="CB132" s="383"/>
      <c r="CC132" s="1359"/>
      <c r="CD132" s="227" t="str">
        <f>A132</f>
        <v>Net increase (decrease) in Cash and Cash Equivalents</v>
      </c>
      <c r="CE132" s="391">
        <f>CE106+CE115+CE126+CE129+CE130+CE128</f>
        <v>50.363999999999919</v>
      </c>
      <c r="CF132" s="391">
        <f t="shared" ref="CF132:CT132" si="300">CF106+CF115+CF126+CF129+CF130+CF128</f>
        <v>4.6509999999999252</v>
      </c>
      <c r="CG132" s="391">
        <f t="shared" si="300"/>
        <v>637.40499999999975</v>
      </c>
      <c r="CH132" s="391">
        <f t="shared" si="300"/>
        <v>-14.967999999999796</v>
      </c>
      <c r="CI132" s="391">
        <f t="shared" si="300"/>
        <v>68.163999999999874</v>
      </c>
      <c r="CJ132" s="391">
        <f t="shared" si="300"/>
        <v>-395.2890000000001</v>
      </c>
      <c r="CK132" s="391">
        <f t="shared" si="300"/>
        <v>42.59799999999904</v>
      </c>
      <c r="CL132" s="391">
        <f t="shared" si="300"/>
        <v>75.57499999999996</v>
      </c>
      <c r="CM132" s="391">
        <f t="shared" si="300"/>
        <v>738.25600000000009</v>
      </c>
      <c r="CN132" s="391">
        <f t="shared" si="300"/>
        <v>315.66899999999981</v>
      </c>
      <c r="CO132" s="391">
        <f t="shared" si="300"/>
        <v>-581.19600000000003</v>
      </c>
      <c r="CP132" s="391">
        <f t="shared" si="300"/>
        <v>-184</v>
      </c>
      <c r="CQ132" s="391">
        <f t="shared" si="300"/>
        <v>782</v>
      </c>
      <c r="CR132" s="391">
        <f t="shared" si="300"/>
        <v>955</v>
      </c>
      <c r="CS132" s="391">
        <f t="shared" si="300"/>
        <v>-1017</v>
      </c>
      <c r="CT132" s="391">
        <f t="shared" si="300"/>
        <v>911.6</v>
      </c>
      <c r="CU132" s="391">
        <f t="shared" ref="CU132:CZ132" si="301">CU106+CU115+CU126+CU129+CU130+CU128</f>
        <v>387</v>
      </c>
      <c r="CV132" s="391">
        <f t="shared" si="301"/>
        <v>-540.56549982870865</v>
      </c>
      <c r="CW132" s="391">
        <f t="shared" si="301"/>
        <v>239.95910403012522</v>
      </c>
      <c r="CX132" s="391">
        <f t="shared" si="301"/>
        <v>234.23523865204243</v>
      </c>
      <c r="CY132" s="391">
        <f t="shared" si="301"/>
        <v>226.42443761719142</v>
      </c>
      <c r="CZ132" s="397">
        <f t="shared" si="301"/>
        <v>318.28135314819201</v>
      </c>
      <c r="DA132" s="74"/>
      <c r="DB132" s="59"/>
      <c r="DC132"/>
      <c r="DD132"/>
      <c r="DE132"/>
      <c r="DF132"/>
      <c r="DG132"/>
      <c r="DH132"/>
    </row>
    <row r="133" spans="1:112" s="82" customFormat="1" ht="12" customHeight="1">
      <c r="A133" s="1921" t="s">
        <v>148</v>
      </c>
      <c r="B133" s="1907">
        <v>3.1709999999999998</v>
      </c>
      <c r="C133" s="1909">
        <f t="shared" ref="C133:J133" si="302">B135</f>
        <v>53.534999999999918</v>
      </c>
      <c r="D133" s="1909">
        <f t="shared" si="302"/>
        <v>58.185999999999844</v>
      </c>
      <c r="E133" s="1909">
        <f t="shared" si="302"/>
        <v>695.59099999999955</v>
      </c>
      <c r="F133" s="1909">
        <f t="shared" si="302"/>
        <v>680.62299999999971</v>
      </c>
      <c r="G133" s="1910">
        <f t="shared" si="302"/>
        <v>748.78699999999958</v>
      </c>
      <c r="H133" s="1908">
        <f t="shared" si="302"/>
        <v>179.7379999999996</v>
      </c>
      <c r="I133" s="1908">
        <f t="shared" si="302"/>
        <v>211.05299999999983</v>
      </c>
      <c r="J133" s="1908">
        <f t="shared" si="302"/>
        <v>309.7109999999995</v>
      </c>
      <c r="K133" s="1909">
        <f>F135</f>
        <v>748.78699999999958</v>
      </c>
      <c r="L133" s="1908">
        <f>K135</f>
        <v>353.49799999999948</v>
      </c>
      <c r="M133" s="1908">
        <f>L135</f>
        <v>429.63099999999957</v>
      </c>
      <c r="N133" s="1908">
        <f>M135</f>
        <v>358.08199999999943</v>
      </c>
      <c r="O133" s="1908">
        <f>N135</f>
        <v>452.53099999999955</v>
      </c>
      <c r="P133" s="1909">
        <f>K135</f>
        <v>353.49799999999948</v>
      </c>
      <c r="Q133" s="1908">
        <f>P135</f>
        <v>396.09599999999853</v>
      </c>
      <c r="R133" s="1908">
        <f>Q135</f>
        <v>396.70899999999858</v>
      </c>
      <c r="S133" s="1908">
        <f>R135</f>
        <v>355.30399999999861</v>
      </c>
      <c r="T133" s="1908">
        <f>S135</f>
        <v>485.22599999999852</v>
      </c>
      <c r="U133" s="1909">
        <f>P135</f>
        <v>396.09599999999853</v>
      </c>
      <c r="V133" s="1908">
        <f>U135</f>
        <v>471.67099999999846</v>
      </c>
      <c r="W133" s="1908">
        <f>V135</f>
        <v>496.79899999999839</v>
      </c>
      <c r="X133" s="1908">
        <f>W135</f>
        <v>556.13099999999838</v>
      </c>
      <c r="Y133" s="1908">
        <f>X135</f>
        <v>957.26499999999828</v>
      </c>
      <c r="Z133" s="1909">
        <f>U135</f>
        <v>471.67099999999846</v>
      </c>
      <c r="AA133" s="1908">
        <f>Z135</f>
        <v>1209.9269999999985</v>
      </c>
      <c r="AB133" s="1908">
        <f>AA135</f>
        <v>1209.3699999999985</v>
      </c>
      <c r="AC133" s="1908">
        <f>AB135</f>
        <v>1117.8269999999986</v>
      </c>
      <c r="AD133" s="1908">
        <f>AC135</f>
        <v>1322.8409999999983</v>
      </c>
      <c r="AE133" s="1909">
        <f>Z135</f>
        <v>1209.9269999999985</v>
      </c>
      <c r="AF133" s="1908">
        <f>AE135</f>
        <v>1525.5959999999984</v>
      </c>
      <c r="AG133" s="1908">
        <f>AF135</f>
        <v>1269.5999999999985</v>
      </c>
      <c r="AH133" s="1908">
        <f>AG135</f>
        <v>1300.1999999999985</v>
      </c>
      <c r="AI133" s="1908">
        <f>AH135</f>
        <v>1437.5999999999985</v>
      </c>
      <c r="AJ133" s="1909">
        <f>AE135</f>
        <v>1525.5959999999984</v>
      </c>
      <c r="AK133" s="1908">
        <f>AJ135</f>
        <v>944.39999999999839</v>
      </c>
      <c r="AL133" s="1926">
        <f>AK135</f>
        <v>908.39999999999839</v>
      </c>
      <c r="AM133" s="1926">
        <f>AL135</f>
        <v>836.39999999999839</v>
      </c>
      <c r="AN133" s="1908">
        <f>AM135</f>
        <v>1243.3999999999983</v>
      </c>
      <c r="AO133" s="1909">
        <f>AK133</f>
        <v>944.39999999999839</v>
      </c>
      <c r="AP133" s="1908">
        <f>AO135</f>
        <v>760.39999999999839</v>
      </c>
      <c r="AQ133" s="1926">
        <f>AP135</f>
        <v>1905.3999999999983</v>
      </c>
      <c r="AR133" s="1926">
        <f>AQ135</f>
        <v>1900.3999999999983</v>
      </c>
      <c r="AS133" s="1908">
        <f>AR135</f>
        <v>1577.3999999999983</v>
      </c>
      <c r="AT133" s="1909">
        <f>AO135</f>
        <v>760.39999999999839</v>
      </c>
      <c r="AU133" s="1908">
        <f>AT135</f>
        <v>1542.3999999999983</v>
      </c>
      <c r="AV133" s="1926">
        <f>AU135</f>
        <v>1531.3999999999983</v>
      </c>
      <c r="AW133" s="1910">
        <f>AV135</f>
        <v>1617.3999999999983</v>
      </c>
      <c r="AX133" s="1910">
        <f>AW135</f>
        <v>1918.3999999999983</v>
      </c>
      <c r="AY133" s="1909">
        <f>AU133</f>
        <v>1542.3999999999983</v>
      </c>
      <c r="AZ133" s="1910">
        <f>AY135</f>
        <v>2497.3999999999983</v>
      </c>
      <c r="BA133" s="1910">
        <f>AZ135</f>
        <v>1176.3999999999983</v>
      </c>
      <c r="BB133" s="1910">
        <f>BA135</f>
        <v>1720.3999999999983</v>
      </c>
      <c r="BC133" s="1910">
        <f>BB135</f>
        <v>1441.3999999999983</v>
      </c>
      <c r="BD133" s="1909">
        <f>AZ133</f>
        <v>2497.3999999999983</v>
      </c>
      <c r="BE133" s="1910">
        <f>BD135</f>
        <v>1480.3999999999983</v>
      </c>
      <c r="BF133" s="1910">
        <f>BE135</f>
        <v>1599.3999999999983</v>
      </c>
      <c r="BG133" s="1910">
        <f>BF135</f>
        <v>1566.9999999999982</v>
      </c>
      <c r="BH133" s="1910">
        <f>BG135</f>
        <v>2397.9999999999982</v>
      </c>
      <c r="BI133" s="1909">
        <f>BE133</f>
        <v>1480.3999999999983</v>
      </c>
      <c r="BJ133" s="1910">
        <f>BI135</f>
        <v>2391.9999999999982</v>
      </c>
      <c r="BK133" s="1910">
        <f>BJ135</f>
        <v>2410.9999999999982</v>
      </c>
      <c r="BL133" s="1910">
        <f>BK135</f>
        <v>2383.9999999999982</v>
      </c>
      <c r="BM133" s="1910">
        <f>BL135</f>
        <v>2311.9999999999982</v>
      </c>
      <c r="BN133" s="1909">
        <f>BJ133</f>
        <v>2391.9999999999982</v>
      </c>
      <c r="BO133" s="1910">
        <f>BN135</f>
        <v>2778.9999999999982</v>
      </c>
      <c r="BP133" s="1910">
        <f>BO135</f>
        <v>1755.9999999999982</v>
      </c>
      <c r="BQ133" s="1910">
        <f>BP135</f>
        <v>1967.7737663547271</v>
      </c>
      <c r="BR133" s="1910">
        <f>BQ135</f>
        <v>2070.3809573126118</v>
      </c>
      <c r="BS133" s="1909">
        <f>BO133</f>
        <v>2778.9999999999982</v>
      </c>
      <c r="BT133" s="1910">
        <f>BS135</f>
        <v>2238.4345001712895</v>
      </c>
      <c r="BU133" s="1910">
        <f>BT135</f>
        <v>2112.8426536034485</v>
      </c>
      <c r="BV133" s="1910">
        <f>BU135</f>
        <v>2313.5557780540644</v>
      </c>
      <c r="BW133" s="1910">
        <f>BV135</f>
        <v>2394.5757357840753</v>
      </c>
      <c r="BX133" s="1909">
        <f>BT133</f>
        <v>2238.4345001712895</v>
      </c>
      <c r="BY133" s="1928">
        <f>BX135</f>
        <v>2478.3936042014147</v>
      </c>
      <c r="BZ133" s="1928">
        <f>BY135</f>
        <v>2712.6288428534572</v>
      </c>
      <c r="CA133" s="1928">
        <f>BZ135</f>
        <v>2939.0532804706486</v>
      </c>
      <c r="CB133" s="395"/>
      <c r="CC133" s="1360"/>
      <c r="CD133" s="398" t="str">
        <f>A133</f>
        <v>Cash &amp; Equivalents - Beginning</v>
      </c>
      <c r="CE133" s="46">
        <f>B133</f>
        <v>3.1709999999999998</v>
      </c>
      <c r="CF133" s="46">
        <f>C133</f>
        <v>53.534999999999918</v>
      </c>
      <c r="CG133" s="46">
        <f>D133</f>
        <v>58.185999999999844</v>
      </c>
      <c r="CH133" s="46">
        <f>E133</f>
        <v>695.59099999999955</v>
      </c>
      <c r="CI133" s="46">
        <f>F133</f>
        <v>680.62299999999971</v>
      </c>
      <c r="CJ133" s="46">
        <f>K133</f>
        <v>748.78699999999958</v>
      </c>
      <c r="CK133" s="46">
        <f>P133</f>
        <v>353.49799999999948</v>
      </c>
      <c r="CL133" s="46">
        <f>U133</f>
        <v>396.09599999999853</v>
      </c>
      <c r="CM133" s="46">
        <f>Z133</f>
        <v>471.67099999999846</v>
      </c>
      <c r="CN133" s="46">
        <f>AE133</f>
        <v>1209.9269999999985</v>
      </c>
      <c r="CO133" s="46">
        <f>AJ133</f>
        <v>1525.5959999999984</v>
      </c>
      <c r="CP133" s="46">
        <f>AO133</f>
        <v>944.39999999999839</v>
      </c>
      <c r="CQ133" s="46">
        <f>AT133</f>
        <v>760.39999999999839</v>
      </c>
      <c r="CR133" s="46">
        <f>AY133</f>
        <v>1542.3999999999983</v>
      </c>
      <c r="CS133" s="46">
        <f>BD133</f>
        <v>2497.3999999999983</v>
      </c>
      <c r="CT133" s="46">
        <f>BI133</f>
        <v>1480.3999999999983</v>
      </c>
      <c r="CU133" s="46">
        <f>BN133</f>
        <v>2391.9999999999982</v>
      </c>
      <c r="CV133" s="46">
        <f>BS133</f>
        <v>2778.9999999999982</v>
      </c>
      <c r="CW133" s="46">
        <f>BX133</f>
        <v>2238.4345001712895</v>
      </c>
      <c r="CX133" s="46">
        <f>BY133</f>
        <v>2478.3936042014147</v>
      </c>
      <c r="CY133" s="46">
        <f>BZ133</f>
        <v>2712.6288428534572</v>
      </c>
      <c r="CZ133" s="44">
        <f>CA133</f>
        <v>2939.0532804706486</v>
      </c>
      <c r="DA133" s="86"/>
      <c r="DB133" s="59"/>
      <c r="DC133"/>
      <c r="DD133"/>
      <c r="DE133"/>
      <c r="DF133"/>
      <c r="DG133"/>
      <c r="DH133"/>
    </row>
    <row r="134" spans="1:112" ht="5.25" customHeight="1">
      <c r="A134" s="390"/>
      <c r="B134" s="79"/>
      <c r="C134" s="79"/>
      <c r="D134" s="79"/>
      <c r="E134" s="79"/>
      <c r="F134" s="79"/>
      <c r="G134" s="251"/>
      <c r="H134" s="86"/>
      <c r="I134" s="86"/>
      <c r="J134" s="86"/>
      <c r="K134" s="79"/>
      <c r="L134" s="86"/>
      <c r="M134" s="86"/>
      <c r="N134" s="86"/>
      <c r="O134" s="86"/>
      <c r="P134" s="79"/>
      <c r="Q134" s="86"/>
      <c r="R134" s="86"/>
      <c r="S134" s="86"/>
      <c r="T134" s="86"/>
      <c r="U134" s="79"/>
      <c r="V134" s="86"/>
      <c r="W134" s="86"/>
      <c r="X134" s="86"/>
      <c r="Y134" s="86"/>
      <c r="Z134" s="79"/>
      <c r="AA134" s="86"/>
      <c r="AB134" s="86"/>
      <c r="AC134" s="86"/>
      <c r="AD134" s="86"/>
      <c r="AE134" s="79"/>
      <c r="AF134" s="86"/>
      <c r="AG134" s="86"/>
      <c r="AH134" s="86"/>
      <c r="AI134" s="86"/>
      <c r="AJ134" s="79"/>
      <c r="AK134" s="390"/>
      <c r="AL134" s="390"/>
      <c r="AM134" s="390"/>
      <c r="AN134" s="86"/>
      <c r="AO134" s="79"/>
      <c r="AP134" s="390"/>
      <c r="AQ134" s="390"/>
      <c r="AR134" s="390"/>
      <c r="AS134" s="86"/>
      <c r="AT134" s="79"/>
      <c r="AU134" s="390"/>
      <c r="AV134" s="390"/>
      <c r="AW134" s="251"/>
      <c r="AX134" s="251"/>
      <c r="AY134" s="79"/>
      <c r="AZ134" s="251"/>
      <c r="BA134" s="251"/>
      <c r="BB134" s="251"/>
      <c r="BC134" s="251"/>
      <c r="BD134" s="79"/>
      <c r="BE134" s="251"/>
      <c r="BF134" s="251"/>
      <c r="BG134" s="251"/>
      <c r="BH134" s="251"/>
      <c r="BI134" s="79"/>
      <c r="BJ134" s="251"/>
      <c r="BK134" s="251"/>
      <c r="BL134" s="251"/>
      <c r="BM134" s="251"/>
      <c r="BN134" s="79"/>
      <c r="BO134" s="251"/>
      <c r="BP134" s="251"/>
      <c r="BQ134" s="251"/>
      <c r="BR134" s="251"/>
      <c r="BS134" s="79"/>
      <c r="BT134" s="251"/>
      <c r="BU134" s="251"/>
      <c r="BV134" s="251"/>
      <c r="BW134" s="251"/>
      <c r="BX134" s="79"/>
      <c r="BY134" s="394"/>
      <c r="BZ134" s="394"/>
      <c r="CA134" s="394"/>
      <c r="CB134" s="395"/>
      <c r="CD134" s="57"/>
      <c r="CE134" s="46"/>
      <c r="CF134" s="46"/>
      <c r="CG134" s="46"/>
      <c r="CH134" s="46"/>
      <c r="CI134" s="46"/>
      <c r="CJ134" s="46"/>
      <c r="CK134" s="46"/>
      <c r="CL134" s="46"/>
      <c r="CM134" s="46"/>
      <c r="CN134" s="46"/>
      <c r="CO134" s="46"/>
      <c r="CP134" s="46"/>
      <c r="CQ134" s="46"/>
      <c r="CR134" s="46"/>
      <c r="CS134" s="46"/>
      <c r="CT134" s="46"/>
      <c r="CU134" s="46"/>
      <c r="CV134" s="46"/>
      <c r="CW134" s="46"/>
      <c r="CX134" s="46"/>
      <c r="CY134" s="46"/>
      <c r="CZ134" s="44"/>
      <c r="DA134" s="58"/>
      <c r="DB134" s="59"/>
    </row>
    <row r="135" spans="1:112" s="70" customFormat="1" ht="12" customHeight="1">
      <c r="A135" s="1929" t="s">
        <v>149</v>
      </c>
      <c r="B135" s="1930">
        <f t="shared" ref="B135:AH135" si="303">SUM(B132:B133)</f>
        <v>53.534999999999918</v>
      </c>
      <c r="C135" s="1930">
        <f t="shared" si="303"/>
        <v>58.185999999999844</v>
      </c>
      <c r="D135" s="1930">
        <f t="shared" si="303"/>
        <v>695.59099999999955</v>
      </c>
      <c r="E135" s="1930">
        <f t="shared" si="303"/>
        <v>680.62299999999971</v>
      </c>
      <c r="F135" s="1930">
        <f t="shared" si="303"/>
        <v>748.78699999999958</v>
      </c>
      <c r="G135" s="1931">
        <f t="shared" si="303"/>
        <v>179.7379999999996</v>
      </c>
      <c r="H135" s="1931">
        <f t="shared" si="303"/>
        <v>211.05299999999983</v>
      </c>
      <c r="I135" s="1931">
        <f t="shared" si="303"/>
        <v>309.7109999999995</v>
      </c>
      <c r="J135" s="1931">
        <f t="shared" si="303"/>
        <v>353.49799999999965</v>
      </c>
      <c r="K135" s="1930">
        <f t="shared" si="303"/>
        <v>353.49799999999948</v>
      </c>
      <c r="L135" s="1931">
        <f t="shared" si="303"/>
        <v>429.63099999999957</v>
      </c>
      <c r="M135" s="1931">
        <f t="shared" si="303"/>
        <v>358.08199999999943</v>
      </c>
      <c r="N135" s="1931">
        <f t="shared" si="303"/>
        <v>452.53099999999955</v>
      </c>
      <c r="O135" s="1931">
        <f t="shared" si="303"/>
        <v>396.09599999999972</v>
      </c>
      <c r="P135" s="1930">
        <f t="shared" si="303"/>
        <v>396.09599999999853</v>
      </c>
      <c r="Q135" s="1931">
        <f t="shared" si="303"/>
        <v>396.70899999999858</v>
      </c>
      <c r="R135" s="1931">
        <f t="shared" si="303"/>
        <v>355.30399999999861</v>
      </c>
      <c r="S135" s="1931">
        <f t="shared" si="303"/>
        <v>485.22599999999852</v>
      </c>
      <c r="T135" s="1931">
        <f t="shared" si="303"/>
        <v>471.67099999999863</v>
      </c>
      <c r="U135" s="1930">
        <f t="shared" si="303"/>
        <v>471.67099999999846</v>
      </c>
      <c r="V135" s="1931">
        <f t="shared" si="303"/>
        <v>496.79899999999839</v>
      </c>
      <c r="W135" s="1931">
        <f t="shared" si="303"/>
        <v>556.13099999999838</v>
      </c>
      <c r="X135" s="1931">
        <f t="shared" si="303"/>
        <v>957.26499999999828</v>
      </c>
      <c r="Y135" s="1931">
        <f t="shared" si="303"/>
        <v>1209.9269999999983</v>
      </c>
      <c r="Z135" s="1930">
        <f t="shared" si="303"/>
        <v>1209.9269999999985</v>
      </c>
      <c r="AA135" s="1931">
        <f t="shared" si="303"/>
        <v>1209.3699999999985</v>
      </c>
      <c r="AB135" s="1931">
        <f t="shared" si="303"/>
        <v>1117.8269999999986</v>
      </c>
      <c r="AC135" s="1931">
        <f t="shared" si="303"/>
        <v>1322.8409999999983</v>
      </c>
      <c r="AD135" s="1931">
        <f t="shared" si="303"/>
        <v>1525.5959999999984</v>
      </c>
      <c r="AE135" s="1930">
        <f t="shared" si="303"/>
        <v>1525.5959999999984</v>
      </c>
      <c r="AF135" s="1931">
        <f t="shared" si="303"/>
        <v>1269.5999999999985</v>
      </c>
      <c r="AG135" s="1931">
        <f t="shared" si="303"/>
        <v>1300.1999999999985</v>
      </c>
      <c r="AH135" s="1931">
        <f t="shared" si="303"/>
        <v>1437.5999999999985</v>
      </c>
      <c r="AI135" s="1931">
        <f t="shared" ref="AI135:BY135" si="304">SUM(AI132:AI133)</f>
        <v>944.3999999999985</v>
      </c>
      <c r="AJ135" s="1930">
        <f t="shared" si="304"/>
        <v>944.39999999999839</v>
      </c>
      <c r="AK135" s="1932">
        <f t="shared" si="304"/>
        <v>908.39999999999839</v>
      </c>
      <c r="AL135" s="1932">
        <f t="shared" si="304"/>
        <v>836.39999999999839</v>
      </c>
      <c r="AM135" s="1932">
        <f t="shared" si="304"/>
        <v>1243.3999999999983</v>
      </c>
      <c r="AN135" s="1931">
        <f t="shared" si="304"/>
        <v>760.39999999999827</v>
      </c>
      <c r="AO135" s="1930">
        <f t="shared" si="304"/>
        <v>760.39999999999839</v>
      </c>
      <c r="AP135" s="1932">
        <f t="shared" si="304"/>
        <v>1905.3999999999983</v>
      </c>
      <c r="AQ135" s="1932">
        <f t="shared" si="304"/>
        <v>1900.3999999999983</v>
      </c>
      <c r="AR135" s="1932">
        <f t="shared" si="304"/>
        <v>1577.3999999999983</v>
      </c>
      <c r="AS135" s="1931">
        <f t="shared" si="304"/>
        <v>1542.3999999999983</v>
      </c>
      <c r="AT135" s="1930">
        <f t="shared" si="304"/>
        <v>1542.3999999999983</v>
      </c>
      <c r="AU135" s="1932">
        <f t="shared" si="304"/>
        <v>1531.3999999999983</v>
      </c>
      <c r="AV135" s="1932">
        <f t="shared" si="304"/>
        <v>1617.3999999999983</v>
      </c>
      <c r="AW135" s="1931">
        <f t="shared" si="304"/>
        <v>1918.3999999999983</v>
      </c>
      <c r="AX135" s="1931">
        <f t="shared" si="304"/>
        <v>2497.3999999999983</v>
      </c>
      <c r="AY135" s="1930">
        <f t="shared" si="304"/>
        <v>2497.3999999999983</v>
      </c>
      <c r="AZ135" s="1931">
        <f t="shared" si="304"/>
        <v>1176.3999999999983</v>
      </c>
      <c r="BA135" s="1931">
        <f t="shared" si="304"/>
        <v>1720.3999999999983</v>
      </c>
      <c r="BB135" s="1931">
        <f t="shared" si="304"/>
        <v>1441.3999999999983</v>
      </c>
      <c r="BC135" s="1931">
        <f t="shared" si="304"/>
        <v>1480.3999999999983</v>
      </c>
      <c r="BD135" s="1930">
        <f t="shared" si="304"/>
        <v>1480.3999999999983</v>
      </c>
      <c r="BE135" s="1931">
        <f t="shared" si="304"/>
        <v>1599.3999999999983</v>
      </c>
      <c r="BF135" s="1931">
        <f t="shared" si="304"/>
        <v>1566.9999999999982</v>
      </c>
      <c r="BG135" s="1931">
        <f t="shared" si="304"/>
        <v>2397.9999999999982</v>
      </c>
      <c r="BH135" s="1931">
        <f>SUM(BH132:BH133)</f>
        <v>2391.9999999999982</v>
      </c>
      <c r="BI135" s="1930">
        <f t="shared" si="304"/>
        <v>2391.9999999999982</v>
      </c>
      <c r="BJ135" s="1931">
        <f t="shared" si="304"/>
        <v>2410.9999999999982</v>
      </c>
      <c r="BK135" s="1931">
        <f t="shared" si="304"/>
        <v>2383.9999999999982</v>
      </c>
      <c r="BL135" s="1931">
        <f t="shared" si="304"/>
        <v>2311.9999999999982</v>
      </c>
      <c r="BM135" s="1931">
        <f t="shared" si="304"/>
        <v>2778.9999999999982</v>
      </c>
      <c r="BN135" s="1930">
        <f t="shared" si="304"/>
        <v>2778.9999999999982</v>
      </c>
      <c r="BO135" s="1931">
        <f t="shared" si="304"/>
        <v>1755.9999999999982</v>
      </c>
      <c r="BP135" s="1931">
        <f t="shared" si="304"/>
        <v>1967.7737663547271</v>
      </c>
      <c r="BQ135" s="1931">
        <f t="shared" si="304"/>
        <v>2070.3809573126118</v>
      </c>
      <c r="BR135" s="1931">
        <f t="shared" si="304"/>
        <v>2238.4345001712882</v>
      </c>
      <c r="BS135" s="1930">
        <f t="shared" si="304"/>
        <v>2238.4345001712895</v>
      </c>
      <c r="BT135" s="1931">
        <f t="shared" ref="BT135:BX135" si="305">SUM(BT132:BT133)</f>
        <v>2112.8426536034485</v>
      </c>
      <c r="BU135" s="1931">
        <f t="shared" si="305"/>
        <v>2313.5557780540644</v>
      </c>
      <c r="BV135" s="1931">
        <f t="shared" si="305"/>
        <v>2394.5757357840753</v>
      </c>
      <c r="BW135" s="1931">
        <f t="shared" si="305"/>
        <v>2478.3936042014161</v>
      </c>
      <c r="BX135" s="1930">
        <f t="shared" si="305"/>
        <v>2478.3936042014147</v>
      </c>
      <c r="BY135" s="1934">
        <f t="shared" si="304"/>
        <v>2712.6288428534572</v>
      </c>
      <c r="BZ135" s="1934">
        <f>SUM(BZ132:BZ133)</f>
        <v>2939.0532804706486</v>
      </c>
      <c r="CA135" s="1934">
        <f>SUM(CA132:CA133)</f>
        <v>3257.3346336188406</v>
      </c>
      <c r="CB135" s="383"/>
      <c r="CC135" s="1359"/>
      <c r="CD135" s="400" t="str">
        <f>A135</f>
        <v>Cash &amp; Equivalents - End</v>
      </c>
      <c r="CE135" s="401">
        <f t="shared" ref="CE135:CT135" si="306">SUM(CE132:CE133)</f>
        <v>53.534999999999918</v>
      </c>
      <c r="CF135" s="401">
        <f t="shared" si="306"/>
        <v>58.185999999999844</v>
      </c>
      <c r="CG135" s="401">
        <f t="shared" si="306"/>
        <v>695.59099999999955</v>
      </c>
      <c r="CH135" s="401">
        <f t="shared" si="306"/>
        <v>680.62299999999971</v>
      </c>
      <c r="CI135" s="401">
        <f t="shared" si="306"/>
        <v>748.78699999999958</v>
      </c>
      <c r="CJ135" s="401">
        <f t="shared" si="306"/>
        <v>353.49799999999948</v>
      </c>
      <c r="CK135" s="401">
        <f t="shared" si="306"/>
        <v>396.09599999999853</v>
      </c>
      <c r="CL135" s="401">
        <f t="shared" si="306"/>
        <v>471.67099999999846</v>
      </c>
      <c r="CM135" s="401">
        <f t="shared" si="306"/>
        <v>1209.9269999999985</v>
      </c>
      <c r="CN135" s="401">
        <f t="shared" si="306"/>
        <v>1525.5959999999984</v>
      </c>
      <c r="CO135" s="401">
        <f t="shared" si="306"/>
        <v>944.39999999999839</v>
      </c>
      <c r="CP135" s="401">
        <f t="shared" si="306"/>
        <v>760.39999999999839</v>
      </c>
      <c r="CQ135" s="401">
        <f t="shared" si="306"/>
        <v>1542.3999999999983</v>
      </c>
      <c r="CR135" s="401">
        <f t="shared" si="306"/>
        <v>2497.3999999999983</v>
      </c>
      <c r="CS135" s="401">
        <f t="shared" si="306"/>
        <v>1480.3999999999983</v>
      </c>
      <c r="CT135" s="401">
        <f t="shared" si="306"/>
        <v>2391.9999999999982</v>
      </c>
      <c r="CU135" s="401">
        <f t="shared" ref="CU135:CZ135" si="307">SUM(CU132:CU133)</f>
        <v>2778.9999999999982</v>
      </c>
      <c r="CV135" s="401">
        <f t="shared" si="307"/>
        <v>2238.4345001712895</v>
      </c>
      <c r="CW135" s="401">
        <f t="shared" si="307"/>
        <v>2478.3936042014147</v>
      </c>
      <c r="CX135" s="401">
        <f t="shared" si="307"/>
        <v>2712.6288428534572</v>
      </c>
      <c r="CY135" s="401">
        <f t="shared" si="307"/>
        <v>2939.0532804706486</v>
      </c>
      <c r="CZ135" s="402">
        <f t="shared" si="307"/>
        <v>3257.3346336188406</v>
      </c>
      <c r="DA135" s="74"/>
      <c r="DB135" s="403"/>
      <c r="DC135"/>
      <c r="DD135"/>
      <c r="DE135"/>
      <c r="DF135"/>
      <c r="DG135"/>
      <c r="DH135"/>
    </row>
    <row r="136" spans="1:112" ht="12" customHeight="1">
      <c r="A136" s="395"/>
      <c r="B136" s="17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c r="AA136" s="251"/>
      <c r="AB136" s="251"/>
      <c r="AC136" s="251"/>
      <c r="AD136" s="251"/>
      <c r="AE136" s="251"/>
      <c r="AF136" s="251"/>
      <c r="AG136" s="251"/>
      <c r="AH136" s="251"/>
      <c r="AI136" s="251"/>
      <c r="AJ136" s="251"/>
      <c r="AK136" s="404"/>
      <c r="AL136" s="404"/>
      <c r="AM136" s="404"/>
      <c r="AN136" s="251"/>
      <c r="AO136" s="251"/>
      <c r="AP136" s="395"/>
      <c r="AQ136" s="395"/>
      <c r="AR136" s="395"/>
      <c r="AS136" s="251"/>
      <c r="AT136" s="251"/>
      <c r="AU136" s="395"/>
      <c r="AV136" s="395"/>
      <c r="AW136" s="251"/>
      <c r="AX136" s="251"/>
      <c r="AY136" s="251"/>
      <c r="AZ136" s="251"/>
      <c r="BA136" s="251"/>
      <c r="BB136" s="251"/>
      <c r="BC136" s="251"/>
      <c r="BD136" s="251"/>
      <c r="BE136" s="251"/>
      <c r="BF136" s="251"/>
      <c r="BG136" s="251"/>
      <c r="BH136" s="251"/>
      <c r="BI136" s="251"/>
      <c r="BJ136" s="251"/>
      <c r="BK136" s="251"/>
      <c r="BL136" s="251"/>
      <c r="BM136" s="251"/>
      <c r="BN136" s="395"/>
      <c r="BO136" s="251"/>
      <c r="BP136" s="251"/>
      <c r="BQ136" s="251"/>
      <c r="BR136" s="251"/>
      <c r="BS136" s="395"/>
      <c r="BT136" s="251"/>
      <c r="BU136" s="251"/>
      <c r="BV136" s="251"/>
      <c r="BW136" s="251"/>
      <c r="BX136" s="395"/>
      <c r="BY136" s="395"/>
      <c r="BZ136" s="395"/>
      <c r="CA136" s="395"/>
      <c r="CB136" s="395"/>
      <c r="CD136" s="251"/>
      <c r="CE136" s="395"/>
      <c r="CF136" s="395"/>
      <c r="CG136" s="395"/>
      <c r="CH136" s="395"/>
      <c r="CI136" s="395"/>
      <c r="CJ136" s="395"/>
      <c r="CK136" s="395"/>
      <c r="CL136" s="395"/>
      <c r="CM136" s="395"/>
      <c r="CN136" s="395"/>
      <c r="CO136" s="395"/>
      <c r="CP136" s="395"/>
      <c r="CQ136" s="395"/>
      <c r="CR136" s="395"/>
      <c r="CS136" s="395"/>
      <c r="CT136" s="395"/>
      <c r="CU136" s="395"/>
      <c r="CV136" s="395"/>
      <c r="CW136" s="395"/>
      <c r="CX136" s="395"/>
      <c r="CY136" s="395"/>
      <c r="CZ136" s="395"/>
      <c r="DA136" s="58"/>
      <c r="DB136" s="59"/>
    </row>
    <row r="137" spans="1:112" ht="12" customHeight="1">
      <c r="A137" s="405" t="s">
        <v>150</v>
      </c>
      <c r="B137" s="406">
        <f t="shared" ref="B137:AH137" si="308">B135-B142</f>
        <v>0</v>
      </c>
      <c r="C137" s="407">
        <f t="shared" si="308"/>
        <v>0</v>
      </c>
      <c r="D137" s="407">
        <f t="shared" si="308"/>
        <v>0</v>
      </c>
      <c r="E137" s="407">
        <f t="shared" si="308"/>
        <v>0</v>
      </c>
      <c r="F137" s="407">
        <f t="shared" si="308"/>
        <v>0</v>
      </c>
      <c r="G137" s="407">
        <f t="shared" si="308"/>
        <v>0</v>
      </c>
      <c r="H137" s="407">
        <f t="shared" si="308"/>
        <v>0</v>
      </c>
      <c r="I137" s="407">
        <f t="shared" si="308"/>
        <v>0</v>
      </c>
      <c r="J137" s="407">
        <f t="shared" si="308"/>
        <v>0</v>
      </c>
      <c r="K137" s="408">
        <f t="shared" si="308"/>
        <v>0</v>
      </c>
      <c r="L137" s="408">
        <f t="shared" si="308"/>
        <v>0</v>
      </c>
      <c r="M137" s="408">
        <f t="shared" si="308"/>
        <v>0</v>
      </c>
      <c r="N137" s="408">
        <f t="shared" si="308"/>
        <v>0</v>
      </c>
      <c r="O137" s="408">
        <f t="shared" si="308"/>
        <v>0</v>
      </c>
      <c r="P137" s="408">
        <f t="shared" si="308"/>
        <v>0</v>
      </c>
      <c r="Q137" s="408">
        <f t="shared" si="308"/>
        <v>0</v>
      </c>
      <c r="R137" s="408">
        <f t="shared" si="308"/>
        <v>0</v>
      </c>
      <c r="S137" s="408">
        <f t="shared" si="308"/>
        <v>0</v>
      </c>
      <c r="T137" s="408">
        <f t="shared" si="308"/>
        <v>0</v>
      </c>
      <c r="U137" s="408">
        <f t="shared" si="308"/>
        <v>0</v>
      </c>
      <c r="V137" s="408">
        <f t="shared" si="308"/>
        <v>0</v>
      </c>
      <c r="W137" s="408">
        <f t="shared" si="308"/>
        <v>0</v>
      </c>
      <c r="X137" s="408">
        <f t="shared" si="308"/>
        <v>0</v>
      </c>
      <c r="Y137" s="408">
        <f t="shared" si="308"/>
        <v>0</v>
      </c>
      <c r="Z137" s="408">
        <f t="shared" si="308"/>
        <v>0</v>
      </c>
      <c r="AA137" s="408">
        <f t="shared" si="308"/>
        <v>0</v>
      </c>
      <c r="AB137" s="408">
        <f t="shared" si="308"/>
        <v>0</v>
      </c>
      <c r="AC137" s="408">
        <f t="shared" si="308"/>
        <v>0</v>
      </c>
      <c r="AD137" s="408">
        <f t="shared" si="308"/>
        <v>0</v>
      </c>
      <c r="AE137" s="408">
        <f t="shared" si="308"/>
        <v>0</v>
      </c>
      <c r="AF137" s="408">
        <f t="shared" si="308"/>
        <v>0</v>
      </c>
      <c r="AG137" s="408">
        <f t="shared" si="308"/>
        <v>0</v>
      </c>
      <c r="AH137" s="408">
        <f t="shared" si="308"/>
        <v>0</v>
      </c>
      <c r="AI137" s="408">
        <f>AI135-AI142</f>
        <v>0</v>
      </c>
      <c r="AJ137" s="408">
        <f>AJ135-AJ142</f>
        <v>0</v>
      </c>
      <c r="AK137" s="408">
        <f>AK135-AK142</f>
        <v>0</v>
      </c>
      <c r="AL137" s="408">
        <f>AL135-AL142</f>
        <v>0</v>
      </c>
      <c r="AM137" s="408">
        <f>AM135-AM142</f>
        <v>0</v>
      </c>
      <c r="AN137" s="408">
        <f t="shared" ref="AN137:BY137" si="309">AN135-AN142</f>
        <v>0</v>
      </c>
      <c r="AO137" s="408">
        <f t="shared" si="309"/>
        <v>0</v>
      </c>
      <c r="AP137" s="408">
        <f t="shared" si="309"/>
        <v>0</v>
      </c>
      <c r="AQ137" s="408">
        <f t="shared" si="309"/>
        <v>0</v>
      </c>
      <c r="AR137" s="408">
        <f t="shared" si="309"/>
        <v>0</v>
      </c>
      <c r="AS137" s="408">
        <f t="shared" si="309"/>
        <v>0</v>
      </c>
      <c r="AT137" s="408">
        <f t="shared" si="309"/>
        <v>0</v>
      </c>
      <c r="AU137" s="409">
        <f t="shared" si="309"/>
        <v>0</v>
      </c>
      <c r="AV137" s="409">
        <f t="shared" si="309"/>
        <v>0</v>
      </c>
      <c r="AW137" s="409">
        <f t="shared" si="309"/>
        <v>0</v>
      </c>
      <c r="AX137" s="405">
        <f t="shared" si="309"/>
        <v>0</v>
      </c>
      <c r="AY137" s="408">
        <f t="shared" si="309"/>
        <v>0</v>
      </c>
      <c r="AZ137" s="405">
        <f t="shared" si="309"/>
        <v>0</v>
      </c>
      <c r="BA137" s="405">
        <f t="shared" si="309"/>
        <v>0</v>
      </c>
      <c r="BB137" s="405">
        <f t="shared" si="309"/>
        <v>0</v>
      </c>
      <c r="BC137" s="405">
        <f t="shared" si="309"/>
        <v>0</v>
      </c>
      <c r="BD137" s="408">
        <f t="shared" si="309"/>
        <v>0</v>
      </c>
      <c r="BE137" s="405">
        <f t="shared" si="309"/>
        <v>0</v>
      </c>
      <c r="BF137" s="405">
        <f t="shared" si="309"/>
        <v>0</v>
      </c>
      <c r="BG137" s="405">
        <f t="shared" si="309"/>
        <v>0</v>
      </c>
      <c r="BH137" s="405">
        <f t="shared" si="309"/>
        <v>0</v>
      </c>
      <c r="BI137" s="408">
        <f t="shared" si="309"/>
        <v>0</v>
      </c>
      <c r="BJ137" s="405">
        <f t="shared" si="309"/>
        <v>0</v>
      </c>
      <c r="BK137" s="405">
        <f t="shared" si="309"/>
        <v>0</v>
      </c>
      <c r="BL137" s="405">
        <f t="shared" si="309"/>
        <v>0</v>
      </c>
      <c r="BM137" s="405">
        <f t="shared" si="309"/>
        <v>0</v>
      </c>
      <c r="BN137" s="408">
        <f t="shared" si="309"/>
        <v>0</v>
      </c>
      <c r="BO137" s="405">
        <f t="shared" ref="BO137:BX137" si="310">BO135-BO142</f>
        <v>0</v>
      </c>
      <c r="BP137" s="405">
        <f t="shared" si="310"/>
        <v>0</v>
      </c>
      <c r="BQ137" s="405">
        <f t="shared" si="310"/>
        <v>0</v>
      </c>
      <c r="BR137" s="405">
        <f t="shared" si="310"/>
        <v>0</v>
      </c>
      <c r="BS137" s="408">
        <f t="shared" si="310"/>
        <v>0</v>
      </c>
      <c r="BT137" s="405">
        <f t="shared" si="310"/>
        <v>0</v>
      </c>
      <c r="BU137" s="405">
        <f t="shared" si="310"/>
        <v>0</v>
      </c>
      <c r="BV137" s="405">
        <f t="shared" si="310"/>
        <v>0</v>
      </c>
      <c r="BW137" s="405">
        <f t="shared" si="310"/>
        <v>0</v>
      </c>
      <c r="BX137" s="408">
        <f t="shared" si="310"/>
        <v>0</v>
      </c>
      <c r="BY137" s="405">
        <f t="shared" si="309"/>
        <v>0</v>
      </c>
      <c r="BZ137" s="405">
        <f>BZ135-BZ142</f>
        <v>0</v>
      </c>
      <c r="CA137" s="405"/>
      <c r="CB137" s="409"/>
      <c r="CC137" s="410"/>
      <c r="CD137" s="408" t="str">
        <f>A137</f>
        <v>Check</v>
      </c>
      <c r="CE137" s="405">
        <f>CE135-CE142</f>
        <v>0</v>
      </c>
      <c r="CF137" s="405">
        <f t="shared" ref="CF137:CT137" si="311">CF135-CF142</f>
        <v>0</v>
      </c>
      <c r="CG137" s="405">
        <f t="shared" si="311"/>
        <v>0</v>
      </c>
      <c r="CH137" s="405">
        <f t="shared" si="311"/>
        <v>0</v>
      </c>
      <c r="CI137" s="405">
        <f t="shared" si="311"/>
        <v>0</v>
      </c>
      <c r="CJ137" s="405">
        <f t="shared" si="311"/>
        <v>0</v>
      </c>
      <c r="CK137" s="405">
        <f t="shared" si="311"/>
        <v>0</v>
      </c>
      <c r="CL137" s="405">
        <f t="shared" si="311"/>
        <v>0</v>
      </c>
      <c r="CM137" s="405">
        <f t="shared" si="311"/>
        <v>0</v>
      </c>
      <c r="CN137" s="405">
        <f t="shared" si="311"/>
        <v>0</v>
      </c>
      <c r="CO137" s="405">
        <f t="shared" si="311"/>
        <v>0</v>
      </c>
      <c r="CP137" s="405">
        <f t="shared" si="311"/>
        <v>0</v>
      </c>
      <c r="CQ137" s="405">
        <f t="shared" si="311"/>
        <v>0</v>
      </c>
      <c r="CR137" s="405">
        <f t="shared" si="311"/>
        <v>0</v>
      </c>
      <c r="CS137" s="405">
        <f t="shared" si="311"/>
        <v>0</v>
      </c>
      <c r="CT137" s="405">
        <f t="shared" si="311"/>
        <v>0</v>
      </c>
      <c r="CU137" s="405">
        <f t="shared" ref="CU137:CZ137" si="312">CU135-CU142</f>
        <v>0</v>
      </c>
      <c r="CV137" s="405">
        <f t="shared" si="312"/>
        <v>0</v>
      </c>
      <c r="CW137" s="405">
        <f t="shared" si="312"/>
        <v>0</v>
      </c>
      <c r="CX137" s="405">
        <f t="shared" si="312"/>
        <v>0</v>
      </c>
      <c r="CY137" s="405">
        <f t="shared" si="312"/>
        <v>0</v>
      </c>
      <c r="CZ137" s="405">
        <f t="shared" si="312"/>
        <v>0</v>
      </c>
      <c r="DA137" s="411"/>
      <c r="DB137" s="412"/>
    </row>
    <row r="138" spans="1:112" ht="12" customHeight="1">
      <c r="A138" s="395"/>
      <c r="B138" s="17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c r="AA138" s="251"/>
      <c r="AB138" s="251"/>
      <c r="AC138" s="251"/>
      <c r="AD138" s="251"/>
      <c r="AE138" s="251"/>
      <c r="AF138" s="251"/>
      <c r="AG138" s="251"/>
      <c r="AH138" s="251"/>
      <c r="AI138" s="251"/>
      <c r="AJ138" s="251"/>
      <c r="AK138" s="395"/>
      <c r="AL138" s="395"/>
      <c r="AM138" s="395"/>
      <c r="AN138" s="395"/>
      <c r="AO138" s="395"/>
      <c r="AP138" s="251"/>
      <c r="AQ138" s="251"/>
      <c r="AR138" s="251"/>
      <c r="AS138" s="251"/>
      <c r="AT138" s="251"/>
      <c r="AU138" s="251"/>
      <c r="AV138" s="251"/>
      <c r="AW138" s="251"/>
      <c r="AX138" s="251"/>
      <c r="AY138" s="251"/>
      <c r="AZ138" s="251"/>
      <c r="BA138" s="251"/>
      <c r="BB138" s="251"/>
      <c r="BC138" s="251"/>
      <c r="BD138" s="251"/>
      <c r="BE138" s="251"/>
      <c r="BF138" s="251"/>
      <c r="BG138" s="251"/>
      <c r="BH138" s="251"/>
      <c r="BI138" s="251"/>
      <c r="BJ138" s="251"/>
      <c r="BK138" s="251"/>
      <c r="BL138" s="251"/>
      <c r="BM138" s="251"/>
      <c r="BN138" s="395"/>
      <c r="BO138" s="395"/>
      <c r="BP138" s="395"/>
      <c r="BQ138" s="395"/>
      <c r="BR138" s="395"/>
      <c r="BS138" s="395"/>
      <c r="BT138" s="395"/>
      <c r="BU138" s="395"/>
      <c r="BV138" s="395"/>
      <c r="BW138" s="395"/>
      <c r="BX138" s="395"/>
      <c r="BY138" s="395"/>
      <c r="BZ138" s="395"/>
      <c r="CA138" s="395"/>
      <c r="CB138" s="395"/>
      <c r="CD138" s="251"/>
      <c r="CE138" s="395"/>
      <c r="CF138" s="395"/>
      <c r="CG138" s="395"/>
      <c r="CH138" s="395"/>
      <c r="CI138" s="395"/>
      <c r="CJ138" s="395"/>
      <c r="CK138" s="395"/>
      <c r="CL138" s="395"/>
      <c r="CM138" s="395"/>
      <c r="CN138" s="395"/>
      <c r="CO138" s="395"/>
      <c r="CP138" s="395"/>
      <c r="CQ138" s="395"/>
      <c r="CR138" s="395"/>
      <c r="CS138" s="395"/>
      <c r="CT138" s="395"/>
      <c r="CU138" s="395"/>
      <c r="CV138" s="395"/>
      <c r="CW138" s="395"/>
      <c r="CX138" s="395"/>
      <c r="CY138" s="395"/>
      <c r="CZ138" s="395"/>
      <c r="DA138" s="370"/>
      <c r="DB138" s="59"/>
    </row>
    <row r="139" spans="1:112" ht="12" customHeight="1">
      <c r="A139" s="372" t="s">
        <v>57</v>
      </c>
      <c r="B139" s="1896">
        <f t="shared" ref="B139:BN139" si="313">B82</f>
        <v>2001</v>
      </c>
      <c r="C139" s="1896">
        <f t="shared" si="313"/>
        <v>2002</v>
      </c>
      <c r="D139" s="1896">
        <f t="shared" si="313"/>
        <v>2003</v>
      </c>
      <c r="E139" s="1896">
        <f t="shared" si="313"/>
        <v>2004</v>
      </c>
      <c r="F139" s="1896">
        <f t="shared" si="313"/>
        <v>2005</v>
      </c>
      <c r="G139" s="1937" t="str">
        <f t="shared" si="313"/>
        <v>1Q06</v>
      </c>
      <c r="H139" s="1937" t="str">
        <f t="shared" si="313"/>
        <v>2Q06</v>
      </c>
      <c r="I139" s="1937" t="str">
        <f t="shared" si="313"/>
        <v>3Q06</v>
      </c>
      <c r="J139" s="1937" t="str">
        <f t="shared" si="313"/>
        <v>4Q06</v>
      </c>
      <c r="K139" s="1896">
        <f t="shared" si="313"/>
        <v>2006</v>
      </c>
      <c r="L139" s="1937" t="str">
        <f t="shared" si="313"/>
        <v>1Q07</v>
      </c>
      <c r="M139" s="1937" t="str">
        <f t="shared" si="313"/>
        <v>2Q07</v>
      </c>
      <c r="N139" s="1937" t="str">
        <f t="shared" si="313"/>
        <v>3Q07</v>
      </c>
      <c r="O139" s="1937" t="str">
        <f t="shared" si="313"/>
        <v>4Q07</v>
      </c>
      <c r="P139" s="1896">
        <f t="shared" si="313"/>
        <v>2007</v>
      </c>
      <c r="Q139" s="1937" t="str">
        <f t="shared" si="313"/>
        <v>1Q08</v>
      </c>
      <c r="R139" s="1937" t="str">
        <f t="shared" si="313"/>
        <v>2Q08</v>
      </c>
      <c r="S139" s="1937" t="str">
        <f t="shared" si="313"/>
        <v>3Q08</v>
      </c>
      <c r="T139" s="1937" t="str">
        <f t="shared" si="313"/>
        <v>4Q08</v>
      </c>
      <c r="U139" s="1896">
        <f t="shared" si="313"/>
        <v>2008</v>
      </c>
      <c r="V139" s="1895" t="str">
        <f t="shared" si="313"/>
        <v>1Q09</v>
      </c>
      <c r="W139" s="1895" t="str">
        <f t="shared" si="313"/>
        <v>2Q09</v>
      </c>
      <c r="X139" s="1895" t="str">
        <f t="shared" si="313"/>
        <v>3Q09</v>
      </c>
      <c r="Y139" s="1895" t="str">
        <f t="shared" si="313"/>
        <v>4Q09</v>
      </c>
      <c r="Z139" s="1896">
        <f t="shared" si="313"/>
        <v>2009</v>
      </c>
      <c r="AA139" s="1895" t="str">
        <f t="shared" si="313"/>
        <v>1Q10</v>
      </c>
      <c r="AB139" s="1895" t="str">
        <f t="shared" si="313"/>
        <v>2Q10</v>
      </c>
      <c r="AC139" s="1895" t="str">
        <f t="shared" si="313"/>
        <v>3Q10</v>
      </c>
      <c r="AD139" s="1895" t="str">
        <f t="shared" si="313"/>
        <v>4Q10</v>
      </c>
      <c r="AE139" s="1896">
        <f t="shared" si="313"/>
        <v>2010</v>
      </c>
      <c r="AF139" s="1895" t="str">
        <f t="shared" si="313"/>
        <v>1Q11</v>
      </c>
      <c r="AG139" s="1895" t="str">
        <f t="shared" si="313"/>
        <v>2Q11</v>
      </c>
      <c r="AH139" s="1895" t="str">
        <f t="shared" si="313"/>
        <v>3Q11</v>
      </c>
      <c r="AI139" s="1895" t="str">
        <f t="shared" si="313"/>
        <v>4Q11</v>
      </c>
      <c r="AJ139" s="1896">
        <f t="shared" si="313"/>
        <v>2011</v>
      </c>
      <c r="AK139" s="1895" t="str">
        <f>AK82</f>
        <v>1Q12</v>
      </c>
      <c r="AL139" s="1938" t="str">
        <f t="shared" si="313"/>
        <v>2Q12</v>
      </c>
      <c r="AM139" s="1938" t="str">
        <f t="shared" si="313"/>
        <v>3Q12</v>
      </c>
      <c r="AN139" s="1938" t="str">
        <f t="shared" si="313"/>
        <v>4Q12</v>
      </c>
      <c r="AO139" s="1896">
        <f t="shared" si="313"/>
        <v>2012</v>
      </c>
      <c r="AP139" s="1895" t="str">
        <f t="shared" si="313"/>
        <v>1Q13</v>
      </c>
      <c r="AQ139" s="1895" t="str">
        <f t="shared" si="313"/>
        <v>2Q13</v>
      </c>
      <c r="AR139" s="1895" t="str">
        <f t="shared" si="313"/>
        <v>3Q13</v>
      </c>
      <c r="AS139" s="1895" t="str">
        <f>AS82</f>
        <v>4Q13</v>
      </c>
      <c r="AT139" s="1939">
        <f>AT82</f>
        <v>2013</v>
      </c>
      <c r="AU139" s="1895" t="str">
        <f t="shared" si="313"/>
        <v>1Q14</v>
      </c>
      <c r="AV139" s="1895" t="str">
        <f t="shared" si="313"/>
        <v>2Q14</v>
      </c>
      <c r="AW139" s="1895" t="str">
        <f>AW82</f>
        <v>3Q14</v>
      </c>
      <c r="AX139" s="1895" t="str">
        <f>AX82</f>
        <v>4Q14</v>
      </c>
      <c r="AY139" s="1896">
        <f>AY82</f>
        <v>2014</v>
      </c>
      <c r="AZ139" s="1895" t="str">
        <f t="shared" si="313"/>
        <v>1Q15</v>
      </c>
      <c r="BA139" s="1895" t="str">
        <f t="shared" si="313"/>
        <v>2Q15</v>
      </c>
      <c r="BB139" s="1895" t="str">
        <f t="shared" si="313"/>
        <v>3Q15</v>
      </c>
      <c r="BC139" s="1895" t="str">
        <f t="shared" si="313"/>
        <v>4Q15</v>
      </c>
      <c r="BD139" s="1896">
        <f t="shared" si="313"/>
        <v>2015</v>
      </c>
      <c r="BE139" s="1895" t="str">
        <f t="shared" si="313"/>
        <v>1Q16</v>
      </c>
      <c r="BF139" s="1895" t="str">
        <f t="shared" si="313"/>
        <v>2Q16</v>
      </c>
      <c r="BG139" s="1895" t="str">
        <f t="shared" si="313"/>
        <v>3Q16</v>
      </c>
      <c r="BH139" s="1895" t="str">
        <f t="shared" si="313"/>
        <v>4Q16</v>
      </c>
      <c r="BI139" s="1896">
        <f t="shared" si="313"/>
        <v>2016</v>
      </c>
      <c r="BJ139" s="1895" t="str">
        <f t="shared" si="313"/>
        <v>1Q17</v>
      </c>
      <c r="BK139" s="1895" t="str">
        <f t="shared" si="313"/>
        <v>2Q17</v>
      </c>
      <c r="BL139" s="1895" t="str">
        <f t="shared" si="313"/>
        <v>3Q17</v>
      </c>
      <c r="BM139" s="1895" t="str">
        <f t="shared" si="313"/>
        <v>4Q17</v>
      </c>
      <c r="BN139" s="1896">
        <f t="shared" si="313"/>
        <v>2017</v>
      </c>
      <c r="BO139" s="1895" t="str">
        <f t="shared" ref="BO139:BZ139" si="314">BO82</f>
        <v>1Q18E</v>
      </c>
      <c r="BP139" s="1895" t="str">
        <f t="shared" si="314"/>
        <v>2Q18E</v>
      </c>
      <c r="BQ139" s="1895" t="str">
        <f t="shared" si="314"/>
        <v>3Q18E</v>
      </c>
      <c r="BR139" s="1895" t="str">
        <f t="shared" si="314"/>
        <v>4Q18E</v>
      </c>
      <c r="BS139" s="1939" t="str">
        <f t="shared" si="314"/>
        <v>2018E</v>
      </c>
      <c r="BT139" s="1895" t="str">
        <f t="shared" si="314"/>
        <v>1Q19E</v>
      </c>
      <c r="BU139" s="1895" t="str">
        <f t="shared" si="314"/>
        <v>2Q19E</v>
      </c>
      <c r="BV139" s="1895" t="str">
        <f t="shared" si="314"/>
        <v>3Q19E</v>
      </c>
      <c r="BW139" s="1895" t="str">
        <f t="shared" si="314"/>
        <v>4Q19E</v>
      </c>
      <c r="BX139" s="1939" t="str">
        <f t="shared" si="314"/>
        <v>2019E</v>
      </c>
      <c r="BY139" s="1940" t="str">
        <f t="shared" si="314"/>
        <v>2020E</v>
      </c>
      <c r="BZ139" s="1940" t="str">
        <f t="shared" si="314"/>
        <v>2021E</v>
      </c>
      <c r="CA139" s="1940" t="str">
        <f t="shared" ref="CA139" si="315">CA82</f>
        <v>2022E</v>
      </c>
      <c r="CB139" s="373"/>
      <c r="CD139" s="374" t="str">
        <f t="shared" ref="CD139:CI139" si="316">A139</f>
        <v>Fiscal Year Ending December 31</v>
      </c>
      <c r="CE139" s="32">
        <f t="shared" si="316"/>
        <v>2001</v>
      </c>
      <c r="CF139" s="32">
        <f t="shared" si="316"/>
        <v>2002</v>
      </c>
      <c r="CG139" s="32">
        <f t="shared" si="316"/>
        <v>2003</v>
      </c>
      <c r="CH139" s="32">
        <f t="shared" si="316"/>
        <v>2004</v>
      </c>
      <c r="CI139" s="32">
        <f t="shared" si="316"/>
        <v>2005</v>
      </c>
      <c r="CJ139" s="32">
        <f>K139</f>
        <v>2006</v>
      </c>
      <c r="CK139" s="32">
        <f>P139</f>
        <v>2007</v>
      </c>
      <c r="CL139" s="32">
        <f>U139</f>
        <v>2008</v>
      </c>
      <c r="CM139" s="32">
        <f>Z139</f>
        <v>2009</v>
      </c>
      <c r="CN139" s="32">
        <f>AE139</f>
        <v>2010</v>
      </c>
      <c r="CO139" s="32">
        <f>AJ139</f>
        <v>2011</v>
      </c>
      <c r="CP139" s="32">
        <f>AO139</f>
        <v>2012</v>
      </c>
      <c r="CQ139" s="32">
        <f>AT139</f>
        <v>2013</v>
      </c>
      <c r="CR139" s="32">
        <f>AY139</f>
        <v>2014</v>
      </c>
      <c r="CS139" s="32">
        <f>BD139</f>
        <v>2015</v>
      </c>
      <c r="CT139" s="32">
        <f>BI139</f>
        <v>2016</v>
      </c>
      <c r="CU139" s="32">
        <f>BN139</f>
        <v>2017</v>
      </c>
      <c r="CV139" s="32" t="str">
        <f>BS139</f>
        <v>2018E</v>
      </c>
      <c r="CW139" s="32" t="str">
        <f>BX139</f>
        <v>2019E</v>
      </c>
      <c r="CX139" s="32" t="str">
        <f>BY139</f>
        <v>2020E</v>
      </c>
      <c r="CY139" s="32" t="str">
        <f>BZ139</f>
        <v>2021E</v>
      </c>
      <c r="CZ139" s="375" t="str">
        <f>CA139</f>
        <v>2022E</v>
      </c>
      <c r="DA139" s="58"/>
      <c r="DB139" s="376"/>
    </row>
    <row r="140" spans="1:112" ht="12" customHeight="1">
      <c r="A140" s="390" t="s">
        <v>151</v>
      </c>
      <c r="B140" s="79"/>
      <c r="C140" s="79"/>
      <c r="D140" s="79"/>
      <c r="E140" s="79"/>
      <c r="F140" s="79"/>
      <c r="G140" s="251"/>
      <c r="H140" s="86"/>
      <c r="I140" s="86"/>
      <c r="J140" s="86"/>
      <c r="K140" s="79"/>
      <c r="L140" s="86"/>
      <c r="M140" s="86"/>
      <c r="N140" s="86"/>
      <c r="O140" s="86"/>
      <c r="P140" s="79"/>
      <c r="Q140" s="86"/>
      <c r="R140" s="86"/>
      <c r="S140" s="86"/>
      <c r="T140" s="86"/>
      <c r="U140" s="79"/>
      <c r="V140" s="86"/>
      <c r="W140" s="86"/>
      <c r="X140" s="86"/>
      <c r="Y140" s="86"/>
      <c r="Z140" s="79"/>
      <c r="AA140" s="86"/>
      <c r="AB140" s="86"/>
      <c r="AC140" s="86"/>
      <c r="AD140" s="86"/>
      <c r="AE140" s="79"/>
      <c r="AF140" s="86"/>
      <c r="AG140" s="86"/>
      <c r="AH140" s="86"/>
      <c r="AI140" s="86"/>
      <c r="AJ140" s="79"/>
      <c r="AK140" s="86"/>
      <c r="AL140" s="390"/>
      <c r="AM140" s="390"/>
      <c r="AN140" s="390"/>
      <c r="AO140" s="119"/>
      <c r="AP140" s="86"/>
      <c r="AQ140" s="86"/>
      <c r="AR140" s="86"/>
      <c r="AS140" s="86"/>
      <c r="AT140" s="79"/>
      <c r="AU140" s="86"/>
      <c r="AV140" s="86"/>
      <c r="AW140" s="251"/>
      <c r="AX140" s="251"/>
      <c r="AY140" s="79"/>
      <c r="AZ140" s="251"/>
      <c r="BA140" s="251"/>
      <c r="BB140" s="251"/>
      <c r="BC140" s="251"/>
      <c r="BD140" s="79"/>
      <c r="BE140" s="251"/>
      <c r="BF140" s="251"/>
      <c r="BG140" s="251"/>
      <c r="BH140" s="251"/>
      <c r="BI140" s="79"/>
      <c r="BJ140" s="251"/>
      <c r="BK140" s="251"/>
      <c r="BL140" s="251"/>
      <c r="BM140" s="251"/>
      <c r="BN140" s="79"/>
      <c r="BO140" s="251"/>
      <c r="BP140" s="251"/>
      <c r="BQ140" s="251"/>
      <c r="BR140" s="251"/>
      <c r="BS140" s="79"/>
      <c r="BT140" s="251"/>
      <c r="BU140" s="251"/>
      <c r="BV140" s="251"/>
      <c r="BW140" s="251"/>
      <c r="BX140" s="79"/>
      <c r="BY140" s="413"/>
      <c r="BZ140" s="413"/>
      <c r="CA140" s="413"/>
      <c r="CB140" s="395"/>
      <c r="CD140" s="57" t="str">
        <f t="shared" ref="CD140:CD147" si="317">A140</f>
        <v>ASSETS</v>
      </c>
      <c r="CE140" s="46"/>
      <c r="CF140" s="46"/>
      <c r="CG140" s="46"/>
      <c r="CH140" s="46"/>
      <c r="CI140" s="46"/>
      <c r="CJ140" s="46"/>
      <c r="CK140" s="46"/>
      <c r="CL140" s="46"/>
      <c r="CM140" s="46"/>
      <c r="CN140" s="46"/>
      <c r="CO140" s="46"/>
      <c r="CP140" s="46"/>
      <c r="CQ140" s="46"/>
      <c r="CR140" s="46"/>
      <c r="CS140" s="46"/>
      <c r="CT140" s="46"/>
      <c r="CU140" s="46"/>
      <c r="CV140" s="46"/>
      <c r="CW140" s="46"/>
      <c r="CX140" s="46"/>
      <c r="CY140" s="46"/>
      <c r="CZ140" s="44"/>
      <c r="DA140" s="58"/>
      <c r="DB140" s="59"/>
    </row>
    <row r="141" spans="1:112" ht="12" customHeight="1">
      <c r="A141" s="390" t="s">
        <v>152</v>
      </c>
      <c r="B141" s="79"/>
      <c r="C141" s="79"/>
      <c r="D141" s="79"/>
      <c r="E141" s="79"/>
      <c r="F141" s="79"/>
      <c r="G141" s="251"/>
      <c r="H141" s="86"/>
      <c r="I141" s="86"/>
      <c r="J141" s="86"/>
      <c r="K141" s="79"/>
      <c r="L141" s="86"/>
      <c r="M141" s="86"/>
      <c r="N141" s="86"/>
      <c r="O141" s="86"/>
      <c r="P141" s="79"/>
      <c r="Q141" s="86"/>
      <c r="R141" s="86"/>
      <c r="S141" s="86"/>
      <c r="T141" s="86"/>
      <c r="U141" s="79"/>
      <c r="V141" s="86"/>
      <c r="W141" s="86"/>
      <c r="X141" s="86"/>
      <c r="Y141" s="86"/>
      <c r="Z141" s="79"/>
      <c r="AA141" s="86"/>
      <c r="AB141" s="86"/>
      <c r="AC141" s="86"/>
      <c r="AD141" s="86"/>
      <c r="AE141" s="79"/>
      <c r="AF141" s="86"/>
      <c r="AG141" s="86"/>
      <c r="AH141" s="86"/>
      <c r="AI141" s="86"/>
      <c r="AJ141" s="79"/>
      <c r="AK141" s="86"/>
      <c r="AL141" s="390"/>
      <c r="AM141" s="390"/>
      <c r="AN141" s="390"/>
      <c r="AO141" s="119"/>
      <c r="AP141" s="86"/>
      <c r="AQ141" s="86"/>
      <c r="AR141" s="86"/>
      <c r="AS141" s="86"/>
      <c r="AT141" s="79"/>
      <c r="AU141" s="86"/>
      <c r="AV141" s="86"/>
      <c r="AW141" s="251"/>
      <c r="AX141" s="251"/>
      <c r="AY141" s="79"/>
      <c r="AZ141" s="251"/>
      <c r="BA141" s="251"/>
      <c r="BB141" s="251"/>
      <c r="BC141" s="251"/>
      <c r="BD141" s="79"/>
      <c r="BE141" s="251"/>
      <c r="BF141" s="251"/>
      <c r="BG141" s="251"/>
      <c r="BH141" s="251"/>
      <c r="BI141" s="79"/>
      <c r="BJ141" s="251"/>
      <c r="BK141" s="251"/>
      <c r="BL141" s="251"/>
      <c r="BM141" s="251"/>
      <c r="BN141" s="79"/>
      <c r="BO141" s="251"/>
      <c r="BP141" s="251"/>
      <c r="BQ141" s="251"/>
      <c r="BR141" s="251"/>
      <c r="BS141" s="79"/>
      <c r="BT141" s="251"/>
      <c r="BU141" s="251"/>
      <c r="BV141" s="251"/>
      <c r="BW141" s="251"/>
      <c r="BX141" s="79"/>
      <c r="BY141" s="394"/>
      <c r="BZ141" s="394"/>
      <c r="CA141" s="394"/>
      <c r="CB141" s="395"/>
      <c r="CD141" s="57" t="str">
        <f t="shared" si="317"/>
        <v>Current Assets</v>
      </c>
      <c r="CE141" s="46"/>
      <c r="CF141" s="46"/>
      <c r="CG141" s="46"/>
      <c r="CH141" s="46"/>
      <c r="CI141" s="46"/>
      <c r="CJ141" s="46"/>
      <c r="CK141" s="46"/>
      <c r="CL141" s="46"/>
      <c r="CM141" s="46"/>
      <c r="CN141" s="46"/>
      <c r="CO141" s="46"/>
      <c r="CP141" s="46"/>
      <c r="CQ141" s="46"/>
      <c r="CR141" s="46"/>
      <c r="CS141" s="46"/>
      <c r="CT141" s="46"/>
      <c r="CU141" s="46"/>
      <c r="CV141" s="46"/>
      <c r="CW141" s="46"/>
      <c r="CX141" s="46"/>
      <c r="CY141" s="46"/>
      <c r="CZ141" s="44"/>
      <c r="DA141" s="58"/>
      <c r="DB141" s="59"/>
    </row>
    <row r="142" spans="1:112" s="70" customFormat="1" ht="12" customHeight="1">
      <c r="A142" s="1898" t="s">
        <v>557</v>
      </c>
      <c r="B142" s="1983">
        <f>B135</f>
        <v>53.534999999999918</v>
      </c>
      <c r="C142" s="1984">
        <f>C135</f>
        <v>58.185999999999844</v>
      </c>
      <c r="D142" s="1984">
        <f>D135</f>
        <v>695.59099999999955</v>
      </c>
      <c r="E142" s="1984">
        <f>E135</f>
        <v>680.62299999999971</v>
      </c>
      <c r="F142" s="1984">
        <v>748.78700000000003</v>
      </c>
      <c r="G142" s="1935">
        <f t="shared" ref="G142:BR142" si="318">G135</f>
        <v>179.7379999999996</v>
      </c>
      <c r="H142" s="1935">
        <f t="shared" si="318"/>
        <v>211.05299999999983</v>
      </c>
      <c r="I142" s="1935">
        <f t="shared" si="318"/>
        <v>309.7109999999995</v>
      </c>
      <c r="J142" s="1935">
        <f t="shared" si="318"/>
        <v>353.49799999999965</v>
      </c>
      <c r="K142" s="1984">
        <f t="shared" si="318"/>
        <v>353.49799999999948</v>
      </c>
      <c r="L142" s="1935">
        <f t="shared" si="318"/>
        <v>429.63099999999957</v>
      </c>
      <c r="M142" s="1935">
        <f t="shared" si="318"/>
        <v>358.08199999999943</v>
      </c>
      <c r="N142" s="1935">
        <f t="shared" si="318"/>
        <v>452.53099999999955</v>
      </c>
      <c r="O142" s="1935">
        <f t="shared" si="318"/>
        <v>396.09599999999972</v>
      </c>
      <c r="P142" s="1984">
        <f t="shared" si="318"/>
        <v>396.09599999999853</v>
      </c>
      <c r="Q142" s="1935">
        <f t="shared" si="318"/>
        <v>396.70899999999858</v>
      </c>
      <c r="R142" s="1935">
        <f t="shared" si="318"/>
        <v>355.30399999999861</v>
      </c>
      <c r="S142" s="1935">
        <f t="shared" si="318"/>
        <v>485.22599999999852</v>
      </c>
      <c r="T142" s="1935">
        <f t="shared" si="318"/>
        <v>471.67099999999863</v>
      </c>
      <c r="U142" s="1984">
        <f t="shared" si="318"/>
        <v>471.67099999999846</v>
      </c>
      <c r="V142" s="1935">
        <f t="shared" si="318"/>
        <v>496.79899999999839</v>
      </c>
      <c r="W142" s="1935">
        <f t="shared" si="318"/>
        <v>556.13099999999838</v>
      </c>
      <c r="X142" s="1935">
        <f t="shared" si="318"/>
        <v>957.26499999999828</v>
      </c>
      <c r="Y142" s="1935">
        <f t="shared" si="318"/>
        <v>1209.9269999999983</v>
      </c>
      <c r="Z142" s="1984">
        <f t="shared" si="318"/>
        <v>1209.9269999999985</v>
      </c>
      <c r="AA142" s="1935">
        <f t="shared" si="318"/>
        <v>1209.3699999999985</v>
      </c>
      <c r="AB142" s="1935">
        <f t="shared" si="318"/>
        <v>1117.8269999999986</v>
      </c>
      <c r="AC142" s="1935">
        <f t="shared" si="318"/>
        <v>1322.8409999999983</v>
      </c>
      <c r="AD142" s="1935">
        <f t="shared" si="318"/>
        <v>1525.5959999999984</v>
      </c>
      <c r="AE142" s="1984">
        <f t="shared" si="318"/>
        <v>1525.5959999999984</v>
      </c>
      <c r="AF142" s="1935">
        <f t="shared" si="318"/>
        <v>1269.5999999999985</v>
      </c>
      <c r="AG142" s="1935">
        <f t="shared" si="318"/>
        <v>1300.1999999999985</v>
      </c>
      <c r="AH142" s="1935">
        <f t="shared" si="318"/>
        <v>1437.5999999999985</v>
      </c>
      <c r="AI142" s="1935">
        <f t="shared" si="318"/>
        <v>944.3999999999985</v>
      </c>
      <c r="AJ142" s="1984">
        <f t="shared" si="318"/>
        <v>944.39999999999839</v>
      </c>
      <c r="AK142" s="1935">
        <f t="shared" si="318"/>
        <v>908.39999999999839</v>
      </c>
      <c r="AL142" s="1985">
        <f t="shared" si="318"/>
        <v>836.39999999999839</v>
      </c>
      <c r="AM142" s="1985">
        <f t="shared" si="318"/>
        <v>1243.3999999999983</v>
      </c>
      <c r="AN142" s="1935">
        <f t="shared" si="318"/>
        <v>760.39999999999827</v>
      </c>
      <c r="AO142" s="1984">
        <f t="shared" si="318"/>
        <v>760.39999999999839</v>
      </c>
      <c r="AP142" s="1935">
        <f t="shared" si="318"/>
        <v>1905.3999999999983</v>
      </c>
      <c r="AQ142" s="1935">
        <f t="shared" si="318"/>
        <v>1900.3999999999983</v>
      </c>
      <c r="AR142" s="1963">
        <f t="shared" si="318"/>
        <v>1577.3999999999983</v>
      </c>
      <c r="AS142" s="1935">
        <f t="shared" si="318"/>
        <v>1542.3999999999983</v>
      </c>
      <c r="AT142" s="1984">
        <f>AT135</f>
        <v>1542.3999999999983</v>
      </c>
      <c r="AU142" s="1935">
        <f t="shared" si="318"/>
        <v>1531.3999999999983</v>
      </c>
      <c r="AV142" s="1935">
        <f t="shared" si="318"/>
        <v>1617.3999999999983</v>
      </c>
      <c r="AW142" s="1935">
        <f>AW135</f>
        <v>1918.3999999999983</v>
      </c>
      <c r="AX142" s="1963">
        <f>AX135</f>
        <v>2497.3999999999983</v>
      </c>
      <c r="AY142" s="1984">
        <f>AY135</f>
        <v>2497.3999999999983</v>
      </c>
      <c r="AZ142" s="1935">
        <f>AZ135</f>
        <v>1176.3999999999983</v>
      </c>
      <c r="BA142" s="1935">
        <f>BA135</f>
        <v>1720.3999999999983</v>
      </c>
      <c r="BB142" s="1935">
        <f t="shared" si="318"/>
        <v>1441.3999999999983</v>
      </c>
      <c r="BC142" s="1963">
        <f t="shared" si="318"/>
        <v>1480.3999999999983</v>
      </c>
      <c r="BD142" s="1984">
        <f t="shared" si="318"/>
        <v>1480.3999999999983</v>
      </c>
      <c r="BE142" s="1935">
        <f t="shared" si="318"/>
        <v>1599.3999999999983</v>
      </c>
      <c r="BF142" s="1935">
        <f t="shared" si="318"/>
        <v>1566.9999999999982</v>
      </c>
      <c r="BG142" s="1935">
        <f t="shared" si="318"/>
        <v>2397.9999999999982</v>
      </c>
      <c r="BH142" s="1963">
        <f t="shared" si="318"/>
        <v>2391.9999999999982</v>
      </c>
      <c r="BI142" s="1984">
        <f t="shared" si="318"/>
        <v>2391.9999999999982</v>
      </c>
      <c r="BJ142" s="1963">
        <f>BJ135</f>
        <v>2410.9999999999982</v>
      </c>
      <c r="BK142" s="1935">
        <f t="shared" si="318"/>
        <v>2383.9999999999982</v>
      </c>
      <c r="BL142" s="1935">
        <f t="shared" si="318"/>
        <v>2311.9999999999982</v>
      </c>
      <c r="BM142" s="1935">
        <f t="shared" si="318"/>
        <v>2778.9999999999982</v>
      </c>
      <c r="BN142" s="1984">
        <f t="shared" si="318"/>
        <v>2778.9999999999982</v>
      </c>
      <c r="BO142" s="1935">
        <f t="shared" si="318"/>
        <v>1755.9999999999982</v>
      </c>
      <c r="BP142" s="1935">
        <f t="shared" si="318"/>
        <v>1967.7737663547271</v>
      </c>
      <c r="BQ142" s="1935">
        <f t="shared" si="318"/>
        <v>2070.3809573126118</v>
      </c>
      <c r="BR142" s="1935">
        <f t="shared" si="318"/>
        <v>2238.4345001712882</v>
      </c>
      <c r="BS142" s="1984">
        <f>BS135</f>
        <v>2238.4345001712895</v>
      </c>
      <c r="BT142" s="1935">
        <f t="shared" ref="BT142:BW142" si="319">BT135</f>
        <v>2112.8426536034485</v>
      </c>
      <c r="BU142" s="1935">
        <f t="shared" si="319"/>
        <v>2313.5557780540644</v>
      </c>
      <c r="BV142" s="1935">
        <f t="shared" si="319"/>
        <v>2394.5757357840753</v>
      </c>
      <c r="BW142" s="1935">
        <f t="shared" si="319"/>
        <v>2478.3936042014161</v>
      </c>
      <c r="BX142" s="1984">
        <f>BX135</f>
        <v>2478.3936042014147</v>
      </c>
      <c r="BY142" s="1986">
        <f>BY135</f>
        <v>2712.6288428534572</v>
      </c>
      <c r="BZ142" s="1986">
        <f>BZ135</f>
        <v>2939.0532804706486</v>
      </c>
      <c r="CA142" s="1986">
        <f>CA135</f>
        <v>3257.3346336188406</v>
      </c>
      <c r="CB142" s="383"/>
      <c r="CC142" s="1359"/>
      <c r="CD142" s="227" t="str">
        <f t="shared" si="317"/>
        <v>Cash and Equivalents</v>
      </c>
      <c r="CE142" s="222">
        <f t="shared" ref="CE142:CI147" si="320">B142</f>
        <v>53.534999999999918</v>
      </c>
      <c r="CF142" s="222">
        <f t="shared" si="320"/>
        <v>58.185999999999844</v>
      </c>
      <c r="CG142" s="222">
        <f t="shared" si="320"/>
        <v>695.59099999999955</v>
      </c>
      <c r="CH142" s="222">
        <f t="shared" si="320"/>
        <v>680.62299999999971</v>
      </c>
      <c r="CI142" s="222">
        <f t="shared" si="320"/>
        <v>748.78700000000003</v>
      </c>
      <c r="CJ142" s="222">
        <f t="shared" ref="CJ142:CJ147" si="321">K142</f>
        <v>353.49799999999948</v>
      </c>
      <c r="CK142" s="222">
        <f t="shared" ref="CK142:CK147" si="322">P142</f>
        <v>396.09599999999853</v>
      </c>
      <c r="CL142" s="222">
        <f t="shared" ref="CL142:CL147" si="323">U142</f>
        <v>471.67099999999846</v>
      </c>
      <c r="CM142" s="222">
        <f t="shared" ref="CM142:CM147" si="324">Z142</f>
        <v>1209.9269999999985</v>
      </c>
      <c r="CN142" s="222">
        <f t="shared" ref="CN142:CN147" si="325">AE142</f>
        <v>1525.5959999999984</v>
      </c>
      <c r="CO142" s="222">
        <f t="shared" ref="CO142:CO147" si="326">AJ142</f>
        <v>944.39999999999839</v>
      </c>
      <c r="CP142" s="222">
        <f t="shared" ref="CP142:CP147" si="327">AO142</f>
        <v>760.39999999999839</v>
      </c>
      <c r="CQ142" s="222">
        <f t="shared" ref="CQ142:CQ147" si="328">AT142</f>
        <v>1542.3999999999983</v>
      </c>
      <c r="CR142" s="222">
        <f t="shared" ref="CR142:CR147" si="329">AY142</f>
        <v>2497.3999999999983</v>
      </c>
      <c r="CS142" s="222">
        <f t="shared" ref="CS142:CS147" si="330">BD142</f>
        <v>1480.3999999999983</v>
      </c>
      <c r="CT142" s="222">
        <f t="shared" ref="CT142:CT147" si="331">BI142</f>
        <v>2391.9999999999982</v>
      </c>
      <c r="CU142" s="222">
        <f t="shared" ref="CU142:CU147" si="332">BN142</f>
        <v>2778.9999999999982</v>
      </c>
      <c r="CV142" s="222">
        <f t="shared" ref="CV142:CV147" si="333">BS142</f>
        <v>2238.4345001712895</v>
      </c>
      <c r="CW142" s="222">
        <f t="shared" ref="CW142:CZ147" si="334">BX142</f>
        <v>2478.3936042014147</v>
      </c>
      <c r="CX142" s="222">
        <f t="shared" si="334"/>
        <v>2712.6288428534572</v>
      </c>
      <c r="CY142" s="222">
        <f t="shared" si="334"/>
        <v>2939.0532804706486</v>
      </c>
      <c r="CZ142" s="228">
        <f t="shared" si="334"/>
        <v>3257.3346336188406</v>
      </c>
      <c r="DA142" s="74"/>
      <c r="DB142" s="282"/>
      <c r="DC142"/>
      <c r="DD142"/>
      <c r="DE142"/>
      <c r="DF142"/>
      <c r="DG142"/>
      <c r="DH142"/>
    </row>
    <row r="143" spans="1:112" s="82" customFormat="1" ht="12" customHeight="1">
      <c r="A143" s="1906" t="s">
        <v>153</v>
      </c>
      <c r="B143" s="1907">
        <v>0</v>
      </c>
      <c r="C143" s="1907">
        <v>0</v>
      </c>
      <c r="D143" s="1907">
        <v>0</v>
      </c>
      <c r="E143" s="1907">
        <v>0</v>
      </c>
      <c r="F143" s="1907">
        <v>0</v>
      </c>
      <c r="G143" s="1873">
        <v>0</v>
      </c>
      <c r="H143" s="1888">
        <v>0</v>
      </c>
      <c r="I143" s="1888">
        <v>0</v>
      </c>
      <c r="J143" s="1888">
        <v>0</v>
      </c>
      <c r="K143" s="1909">
        <f>J143</f>
        <v>0</v>
      </c>
      <c r="L143" s="1888">
        <v>0</v>
      </c>
      <c r="M143" s="1888">
        <v>0</v>
      </c>
      <c r="N143" s="1888">
        <v>0</v>
      </c>
      <c r="O143" s="1888">
        <v>0</v>
      </c>
      <c r="P143" s="1909">
        <f>O143</f>
        <v>0</v>
      </c>
      <c r="Q143" s="1888">
        <v>0</v>
      </c>
      <c r="R143" s="1888">
        <v>0</v>
      </c>
      <c r="S143" s="1888">
        <v>0</v>
      </c>
      <c r="T143" s="1888">
        <v>0</v>
      </c>
      <c r="U143" s="1909">
        <f>T143</f>
        <v>0</v>
      </c>
      <c r="V143" s="1888">
        <v>0</v>
      </c>
      <c r="W143" s="1888">
        <v>0</v>
      </c>
      <c r="X143" s="1888">
        <v>0</v>
      </c>
      <c r="Y143" s="1888">
        <v>24.602</v>
      </c>
      <c r="Z143" s="1909">
        <f>Y143</f>
        <v>24.602</v>
      </c>
      <c r="AA143" s="1888">
        <v>25.14</v>
      </c>
      <c r="AB143" s="1888">
        <v>26.795999999999999</v>
      </c>
      <c r="AC143" s="1888">
        <v>32.835999999999999</v>
      </c>
      <c r="AD143" s="1888">
        <v>22.155999999999999</v>
      </c>
      <c r="AE143" s="1909">
        <f>AD143</f>
        <v>22.155999999999999</v>
      </c>
      <c r="AF143" s="1888">
        <v>28.5</v>
      </c>
      <c r="AG143" s="1888">
        <v>24.8</v>
      </c>
      <c r="AH143" s="1888">
        <v>36.200000000000003</v>
      </c>
      <c r="AI143" s="1888">
        <v>29</v>
      </c>
      <c r="AJ143" s="1909">
        <f>AI143</f>
        <v>29</v>
      </c>
      <c r="AK143" s="1922">
        <v>24</v>
      </c>
      <c r="AL143" s="1922">
        <v>3</v>
      </c>
      <c r="AM143" s="1922">
        <v>2</v>
      </c>
      <c r="AN143" s="1888">
        <v>1</v>
      </c>
      <c r="AO143" s="1909">
        <f>AN143</f>
        <v>1</v>
      </c>
      <c r="AP143" s="1922">
        <v>0</v>
      </c>
      <c r="AQ143" s="1922">
        <v>0</v>
      </c>
      <c r="AR143" s="1922">
        <v>0</v>
      </c>
      <c r="AS143" s="1888">
        <v>18</v>
      </c>
      <c r="AT143" s="1909">
        <f>AS143</f>
        <v>18</v>
      </c>
      <c r="AU143" s="1922">
        <v>0</v>
      </c>
      <c r="AV143" s="1922">
        <v>0</v>
      </c>
      <c r="AW143" s="1873">
        <v>0</v>
      </c>
      <c r="AX143" s="1872">
        <v>3</v>
      </c>
      <c r="AY143" s="1909">
        <f>AX143</f>
        <v>3</v>
      </c>
      <c r="AZ143" s="1873">
        <v>0</v>
      </c>
      <c r="BA143" s="1926">
        <f>AZ143</f>
        <v>0</v>
      </c>
      <c r="BB143" s="1926">
        <f>BA143</f>
        <v>0</v>
      </c>
      <c r="BC143" s="1872">
        <v>6</v>
      </c>
      <c r="BD143" s="1909">
        <f>BC143</f>
        <v>6</v>
      </c>
      <c r="BE143" s="1872">
        <v>0</v>
      </c>
      <c r="BF143" s="1877">
        <v>0</v>
      </c>
      <c r="BG143" s="1877">
        <v>0</v>
      </c>
      <c r="BH143" s="1872">
        <v>8</v>
      </c>
      <c r="BI143" s="1909">
        <f t="shared" ref="BI143:CA143" si="335">BH143</f>
        <v>8</v>
      </c>
      <c r="BJ143" s="1872">
        <v>0</v>
      </c>
      <c r="BK143" s="1877">
        <v>0</v>
      </c>
      <c r="BL143" s="2167">
        <v>0</v>
      </c>
      <c r="BM143" s="2167">
        <v>12</v>
      </c>
      <c r="BN143" s="1909">
        <f t="shared" si="335"/>
        <v>12</v>
      </c>
      <c r="BO143" s="2167">
        <v>0</v>
      </c>
      <c r="BP143" s="1910">
        <f t="shared" si="335"/>
        <v>0</v>
      </c>
      <c r="BQ143" s="1910">
        <f t="shared" si="335"/>
        <v>0</v>
      </c>
      <c r="BR143" s="1910">
        <f t="shared" si="335"/>
        <v>0</v>
      </c>
      <c r="BS143" s="1909">
        <f t="shared" si="335"/>
        <v>0</v>
      </c>
      <c r="BT143" s="1910">
        <f t="shared" ref="BT143" si="336">BS143</f>
        <v>0</v>
      </c>
      <c r="BU143" s="1910">
        <f t="shared" ref="BU143" si="337">BT143</f>
        <v>0</v>
      </c>
      <c r="BV143" s="1910">
        <f t="shared" ref="BV143" si="338">BU143</f>
        <v>0</v>
      </c>
      <c r="BW143" s="1910">
        <f t="shared" ref="BW143" si="339">BV143</f>
        <v>0</v>
      </c>
      <c r="BX143" s="1909">
        <f t="shared" ref="BX143" si="340">BW143</f>
        <v>0</v>
      </c>
      <c r="BY143" s="1928">
        <f t="shared" si="335"/>
        <v>0</v>
      </c>
      <c r="BZ143" s="1928">
        <f t="shared" si="335"/>
        <v>0</v>
      </c>
      <c r="CA143" s="1928">
        <f t="shared" si="335"/>
        <v>0</v>
      </c>
      <c r="CB143" s="395"/>
      <c r="CC143" s="1360"/>
      <c r="CD143" s="83" t="str">
        <f t="shared" si="317"/>
        <v>Short-Term Investments</v>
      </c>
      <c r="CE143" s="46">
        <f t="shared" si="320"/>
        <v>0</v>
      </c>
      <c r="CF143" s="46">
        <f t="shared" si="320"/>
        <v>0</v>
      </c>
      <c r="CG143" s="46">
        <f t="shared" si="320"/>
        <v>0</v>
      </c>
      <c r="CH143" s="46">
        <f t="shared" si="320"/>
        <v>0</v>
      </c>
      <c r="CI143" s="46">
        <f t="shared" si="320"/>
        <v>0</v>
      </c>
      <c r="CJ143" s="46">
        <f t="shared" si="321"/>
        <v>0</v>
      </c>
      <c r="CK143" s="46">
        <f t="shared" si="322"/>
        <v>0</v>
      </c>
      <c r="CL143" s="46">
        <f t="shared" si="323"/>
        <v>0</v>
      </c>
      <c r="CM143" s="46">
        <f t="shared" si="324"/>
        <v>24.602</v>
      </c>
      <c r="CN143" s="46">
        <f t="shared" si="325"/>
        <v>22.155999999999999</v>
      </c>
      <c r="CO143" s="46">
        <f t="shared" si="326"/>
        <v>29</v>
      </c>
      <c r="CP143" s="46">
        <f t="shared" si="327"/>
        <v>1</v>
      </c>
      <c r="CQ143" s="46">
        <f t="shared" si="328"/>
        <v>18</v>
      </c>
      <c r="CR143" s="46">
        <f t="shared" si="329"/>
        <v>3</v>
      </c>
      <c r="CS143" s="46">
        <f t="shared" si="330"/>
        <v>6</v>
      </c>
      <c r="CT143" s="46">
        <f t="shared" si="331"/>
        <v>8</v>
      </c>
      <c r="CU143" s="46">
        <f t="shared" si="332"/>
        <v>12</v>
      </c>
      <c r="CV143" s="46">
        <f t="shared" si="333"/>
        <v>0</v>
      </c>
      <c r="CW143" s="46">
        <f t="shared" si="334"/>
        <v>0</v>
      </c>
      <c r="CX143" s="46">
        <f t="shared" si="334"/>
        <v>0</v>
      </c>
      <c r="CY143" s="46">
        <f t="shared" si="334"/>
        <v>0</v>
      </c>
      <c r="CZ143" s="44">
        <f t="shared" si="334"/>
        <v>0</v>
      </c>
      <c r="DA143" s="86"/>
      <c r="DB143" s="59"/>
      <c r="DC143"/>
      <c r="DD143"/>
      <c r="DE143"/>
      <c r="DF143"/>
      <c r="DG143"/>
      <c r="DH143"/>
    </row>
    <row r="144" spans="1:112" s="82" customFormat="1" ht="12" customHeight="1">
      <c r="A144" s="1906" t="s">
        <v>154</v>
      </c>
      <c r="B144" s="1907">
        <v>1038.308</v>
      </c>
      <c r="C144" s="1907">
        <v>991.80600000000004</v>
      </c>
      <c r="D144" s="1907">
        <v>956.43899999999996</v>
      </c>
      <c r="E144" s="1907">
        <v>1051.4380000000001</v>
      </c>
      <c r="F144" s="1907">
        <v>1114.2909999999999</v>
      </c>
      <c r="G144" s="1873">
        <v>879.83699999999999</v>
      </c>
      <c r="H144" s="1888">
        <v>1117.453</v>
      </c>
      <c r="I144" s="1888">
        <v>1314.502</v>
      </c>
      <c r="J144" s="1888">
        <v>1237.3209999999999</v>
      </c>
      <c r="K144" s="1909">
        <f>J144</f>
        <v>1237.3209999999999</v>
      </c>
      <c r="L144" s="1888">
        <v>966.82799999999997</v>
      </c>
      <c r="M144" s="1888">
        <v>1296.1500000000001</v>
      </c>
      <c r="N144" s="1888">
        <v>1505.7829999999999</v>
      </c>
      <c r="O144" s="1888">
        <v>1189.2049999999999</v>
      </c>
      <c r="P144" s="1909">
        <f>O144</f>
        <v>1189.2049999999999</v>
      </c>
      <c r="Q144" s="1888">
        <v>965.99300000000005</v>
      </c>
      <c r="R144" s="1888">
        <v>1266.221</v>
      </c>
      <c r="S144" s="1888">
        <v>1309.55</v>
      </c>
      <c r="T144" s="1888">
        <v>1060.8579999999999</v>
      </c>
      <c r="U144" s="1909">
        <f>T144</f>
        <v>1060.8579999999999</v>
      </c>
      <c r="V144" s="1888">
        <v>832.33900000000006</v>
      </c>
      <c r="W144" s="1888">
        <v>1049.4469999999999</v>
      </c>
      <c r="X144" s="1888">
        <v>1174.567</v>
      </c>
      <c r="Y144" s="1888">
        <v>969.66200000000003</v>
      </c>
      <c r="Z144" s="1909">
        <f>Y144</f>
        <v>969.66200000000003</v>
      </c>
      <c r="AA144" s="1888">
        <v>766.46699999999998</v>
      </c>
      <c r="AB144" s="1888">
        <v>994.03899999999999</v>
      </c>
      <c r="AC144" s="1888">
        <v>1123.133</v>
      </c>
      <c r="AD144" s="1888">
        <v>990.57299999999998</v>
      </c>
      <c r="AE144" s="1909">
        <f>AD144</f>
        <v>990.57299999999998</v>
      </c>
      <c r="AF144" s="1888">
        <v>825.3</v>
      </c>
      <c r="AG144" s="1888">
        <v>1021.3</v>
      </c>
      <c r="AH144" s="1888">
        <v>1133.3</v>
      </c>
      <c r="AI144" s="1888">
        <v>1045</v>
      </c>
      <c r="AJ144" s="1909">
        <f>AI144</f>
        <v>1045</v>
      </c>
      <c r="AK144" s="1888">
        <v>932</v>
      </c>
      <c r="AL144" s="1888">
        <v>1102</v>
      </c>
      <c r="AM144" s="1888">
        <v>1338</v>
      </c>
      <c r="AN144" s="1888">
        <v>954</v>
      </c>
      <c r="AO144" s="1909">
        <f>AN144</f>
        <v>954</v>
      </c>
      <c r="AP144" s="1888">
        <v>999</v>
      </c>
      <c r="AQ144" s="1888">
        <v>957</v>
      </c>
      <c r="AR144" s="1888">
        <v>957</v>
      </c>
      <c r="AS144" s="1888">
        <v>979</v>
      </c>
      <c r="AT144" s="1909">
        <f>AS144</f>
        <v>979</v>
      </c>
      <c r="AU144" s="1888">
        <v>988</v>
      </c>
      <c r="AV144" s="1888">
        <v>990</v>
      </c>
      <c r="AW144" s="1873">
        <v>928</v>
      </c>
      <c r="AX144" s="1872">
        <v>932</v>
      </c>
      <c r="AY144" s="1909">
        <f>AX144</f>
        <v>932</v>
      </c>
      <c r="AZ144" s="1873">
        <v>992</v>
      </c>
      <c r="BA144" s="1888">
        <v>1063</v>
      </c>
      <c r="BB144" s="1888">
        <v>986</v>
      </c>
      <c r="BC144" s="1872">
        <v>991</v>
      </c>
      <c r="BD144" s="1909">
        <f>BC144</f>
        <v>991</v>
      </c>
      <c r="BE144" s="1872">
        <v>978</v>
      </c>
      <c r="BF144" s="1877">
        <v>1007</v>
      </c>
      <c r="BG144" s="1877">
        <v>980</v>
      </c>
      <c r="BH144" s="1872">
        <v>1122</v>
      </c>
      <c r="BI144" s="1909">
        <f>BH144</f>
        <v>1122</v>
      </c>
      <c r="BJ144" s="1872">
        <v>1108</v>
      </c>
      <c r="BK144" s="1877">
        <v>1166</v>
      </c>
      <c r="BL144" s="2167">
        <v>1188</v>
      </c>
      <c r="BM144" s="2167">
        <v>1319</v>
      </c>
      <c r="BN144" s="1909">
        <f>BM144</f>
        <v>1319</v>
      </c>
      <c r="BO144" s="2167">
        <v>1313</v>
      </c>
      <c r="BP144" s="1910">
        <f>(BP14*BP236)/90</f>
        <v>1276.6319053159623</v>
      </c>
      <c r="BQ144" s="1910">
        <f>(BQ14*BQ236)/90</f>
        <v>1283.6486175181572</v>
      </c>
      <c r="BR144" s="1910">
        <f>(BR14*BR236)/90</f>
        <v>1405.7496559665562</v>
      </c>
      <c r="BS144" s="1909">
        <f>BR144</f>
        <v>1405.7496559665562</v>
      </c>
      <c r="BT144" s="1910">
        <f>(BT14*BT236)/90</f>
        <v>1388.7032453957315</v>
      </c>
      <c r="BU144" s="1910">
        <f>(BU14*BU236)/90</f>
        <v>1361.7610061612984</v>
      </c>
      <c r="BV144" s="1910">
        <f>(BV14*BV236)/90</f>
        <v>1370.6719163321857</v>
      </c>
      <c r="BW144" s="1910">
        <f>(BW14*BW236)/90</f>
        <v>1568.4223146380473</v>
      </c>
      <c r="BX144" s="1909">
        <f>BW144</f>
        <v>1568.4223146380473</v>
      </c>
      <c r="BY144" s="1912">
        <f>(BY14*BY236)/365</f>
        <v>1706.1626514864668</v>
      </c>
      <c r="BZ144" s="1912">
        <f>(BZ14*BZ236)/365</f>
        <v>1836.7648489360449</v>
      </c>
      <c r="CA144" s="1912">
        <f>(CA14*CA236)/365</f>
        <v>1966.4659535694104</v>
      </c>
      <c r="CB144" s="395"/>
      <c r="CC144" s="1360"/>
      <c r="CD144" s="83" t="str">
        <f t="shared" si="317"/>
        <v>Accounts Receivable, Net</v>
      </c>
      <c r="CE144" s="46">
        <f t="shared" si="320"/>
        <v>1038.308</v>
      </c>
      <c r="CF144" s="46">
        <f t="shared" si="320"/>
        <v>991.80600000000004</v>
      </c>
      <c r="CG144" s="46">
        <f t="shared" si="320"/>
        <v>956.43899999999996</v>
      </c>
      <c r="CH144" s="46">
        <f t="shared" si="320"/>
        <v>1051.4380000000001</v>
      </c>
      <c r="CI144" s="46">
        <f t="shared" si="320"/>
        <v>1114.2909999999999</v>
      </c>
      <c r="CJ144" s="46">
        <f t="shared" si="321"/>
        <v>1237.3209999999999</v>
      </c>
      <c r="CK144" s="46">
        <f t="shared" si="322"/>
        <v>1189.2049999999999</v>
      </c>
      <c r="CL144" s="46">
        <f t="shared" si="323"/>
        <v>1060.8579999999999</v>
      </c>
      <c r="CM144" s="46">
        <f t="shared" si="324"/>
        <v>969.66200000000003</v>
      </c>
      <c r="CN144" s="46">
        <f t="shared" si="325"/>
        <v>990.57299999999998</v>
      </c>
      <c r="CO144" s="46">
        <f t="shared" si="326"/>
        <v>1045</v>
      </c>
      <c r="CP144" s="46">
        <f t="shared" si="327"/>
        <v>954</v>
      </c>
      <c r="CQ144" s="46">
        <f t="shared" si="328"/>
        <v>979</v>
      </c>
      <c r="CR144" s="46">
        <f t="shared" si="329"/>
        <v>932</v>
      </c>
      <c r="CS144" s="46">
        <f t="shared" si="330"/>
        <v>991</v>
      </c>
      <c r="CT144" s="46">
        <f t="shared" si="331"/>
        <v>1122</v>
      </c>
      <c r="CU144" s="46">
        <f t="shared" si="332"/>
        <v>1319</v>
      </c>
      <c r="CV144" s="46">
        <f t="shared" si="333"/>
        <v>1405.7496559665562</v>
      </c>
      <c r="CW144" s="46">
        <f t="shared" si="334"/>
        <v>1568.4223146380473</v>
      </c>
      <c r="CX144" s="46">
        <f t="shared" si="334"/>
        <v>1706.1626514864668</v>
      </c>
      <c r="CY144" s="46">
        <f t="shared" si="334"/>
        <v>1836.7648489360449</v>
      </c>
      <c r="CZ144" s="44">
        <f t="shared" si="334"/>
        <v>1966.4659535694104</v>
      </c>
      <c r="DA144" s="86"/>
      <c r="DB144" s="399"/>
      <c r="DC144"/>
      <c r="DD144"/>
      <c r="DE144"/>
      <c r="DF144"/>
      <c r="DG144"/>
      <c r="DH144"/>
    </row>
    <row r="145" spans="1:112" s="82" customFormat="1" ht="12" customHeight="1">
      <c r="A145" s="1906" t="s">
        <v>120</v>
      </c>
      <c r="B145" s="1907">
        <v>402.64699999999999</v>
      </c>
      <c r="C145" s="1907">
        <v>360.75700000000001</v>
      </c>
      <c r="D145" s="1907">
        <v>301.18700000000001</v>
      </c>
      <c r="E145" s="1907">
        <v>300.459</v>
      </c>
      <c r="F145" s="1907">
        <v>335.27800000000002</v>
      </c>
      <c r="G145" s="1873">
        <v>370.53300000000002</v>
      </c>
      <c r="H145" s="1888">
        <v>389.42500000000001</v>
      </c>
      <c r="I145" s="1888">
        <v>346.45600000000002</v>
      </c>
      <c r="J145" s="1888">
        <v>322.17200000000003</v>
      </c>
      <c r="K145" s="1909">
        <f>J145</f>
        <v>322.17200000000003</v>
      </c>
      <c r="L145" s="1888">
        <v>385.15800000000002</v>
      </c>
      <c r="M145" s="1888">
        <v>430.19400000000002</v>
      </c>
      <c r="N145" s="1888">
        <v>379.52</v>
      </c>
      <c r="O145" s="1888">
        <v>350.66800000000001</v>
      </c>
      <c r="P145" s="1909">
        <f>O145</f>
        <v>350.66800000000001</v>
      </c>
      <c r="Q145" s="1888">
        <v>440.80700000000002</v>
      </c>
      <c r="R145" s="1888">
        <v>496.59399999999999</v>
      </c>
      <c r="S145" s="1888">
        <v>423.779</v>
      </c>
      <c r="T145" s="1888">
        <v>369.67899999999997</v>
      </c>
      <c r="U145" s="1909">
        <f>T145</f>
        <v>369.67899999999997</v>
      </c>
      <c r="V145" s="1888">
        <v>386.4</v>
      </c>
      <c r="W145" s="1888">
        <v>389.88499999999999</v>
      </c>
      <c r="X145" s="1888">
        <v>338.99700000000001</v>
      </c>
      <c r="Y145" s="1888">
        <v>301.22899999999998</v>
      </c>
      <c r="Z145" s="1909">
        <f>Y145</f>
        <v>301.22899999999998</v>
      </c>
      <c r="AA145" s="1888">
        <v>319.12599999999998</v>
      </c>
      <c r="AB145" s="1888">
        <v>339.654</v>
      </c>
      <c r="AC145" s="1888">
        <v>295.10399999999998</v>
      </c>
      <c r="AD145" s="1888">
        <v>275.10199999999998</v>
      </c>
      <c r="AE145" s="1909">
        <f>AD145</f>
        <v>275.10199999999998</v>
      </c>
      <c r="AF145" s="1888">
        <v>317.60000000000002</v>
      </c>
      <c r="AG145" s="1888">
        <v>340.3</v>
      </c>
      <c r="AH145" s="1888">
        <v>285.3</v>
      </c>
      <c r="AI145" s="1888">
        <v>263</v>
      </c>
      <c r="AJ145" s="1909">
        <f>AI145</f>
        <v>263</v>
      </c>
      <c r="AK145" s="1888">
        <v>293</v>
      </c>
      <c r="AL145" s="1888">
        <v>296</v>
      </c>
      <c r="AM145" s="1888">
        <v>258</v>
      </c>
      <c r="AN145" s="1888">
        <v>0</v>
      </c>
      <c r="AO145" s="1909">
        <f>AN145</f>
        <v>0</v>
      </c>
      <c r="AP145" s="1888">
        <v>0</v>
      </c>
      <c r="AQ145" s="1888">
        <v>0</v>
      </c>
      <c r="AR145" s="1888">
        <v>0</v>
      </c>
      <c r="AS145" s="1888">
        <v>0</v>
      </c>
      <c r="AT145" s="1909">
        <f>AS145</f>
        <v>0</v>
      </c>
      <c r="AU145" s="1888">
        <v>0</v>
      </c>
      <c r="AV145" s="1888">
        <v>0</v>
      </c>
      <c r="AW145" s="1873">
        <v>0</v>
      </c>
      <c r="AX145" s="1872">
        <v>0</v>
      </c>
      <c r="AY145" s="1909">
        <f>AX145</f>
        <v>0</v>
      </c>
      <c r="AZ145" s="1873">
        <v>0</v>
      </c>
      <c r="BA145" s="1888">
        <v>0</v>
      </c>
      <c r="BB145" s="1888">
        <v>0</v>
      </c>
      <c r="BC145" s="1872">
        <v>0</v>
      </c>
      <c r="BD145" s="1909">
        <f>BC145</f>
        <v>0</v>
      </c>
      <c r="BE145" s="1872">
        <v>0</v>
      </c>
      <c r="BF145" s="1877">
        <v>0</v>
      </c>
      <c r="BG145" s="1877">
        <v>0</v>
      </c>
      <c r="BH145" s="1872">
        <v>0</v>
      </c>
      <c r="BI145" s="1909">
        <f>BH145</f>
        <v>0</v>
      </c>
      <c r="BJ145" s="1872">
        <v>0</v>
      </c>
      <c r="BK145" s="1877">
        <v>0</v>
      </c>
      <c r="BL145" s="2167">
        <v>0</v>
      </c>
      <c r="BM145" s="2167">
        <v>0</v>
      </c>
      <c r="BN145" s="1909">
        <f>BM145</f>
        <v>0</v>
      </c>
      <c r="BO145" s="2167">
        <v>0</v>
      </c>
      <c r="BP145" s="1873">
        <v>0</v>
      </c>
      <c r="BQ145" s="1873">
        <v>0</v>
      </c>
      <c r="BR145" s="1873">
        <v>0</v>
      </c>
      <c r="BS145" s="1909">
        <f>BR145</f>
        <v>0</v>
      </c>
      <c r="BT145" s="1873">
        <v>0</v>
      </c>
      <c r="BU145" s="1873">
        <v>0</v>
      </c>
      <c r="BV145" s="1873">
        <v>0</v>
      </c>
      <c r="BW145" s="1873">
        <v>0</v>
      </c>
      <c r="BX145" s="1909">
        <f>BW145</f>
        <v>0</v>
      </c>
      <c r="BY145" s="1909">
        <f>+BX145</f>
        <v>0</v>
      </c>
      <c r="BZ145" s="1909">
        <f>+BY145</f>
        <v>0</v>
      </c>
      <c r="CA145" s="1909">
        <f>+BZ145</f>
        <v>0</v>
      </c>
      <c r="CB145" s="395"/>
      <c r="CC145" s="1360"/>
      <c r="CD145" s="83" t="str">
        <f t="shared" si="317"/>
        <v>Inventories</v>
      </c>
      <c r="CE145" s="46">
        <f t="shared" si="320"/>
        <v>402.64699999999999</v>
      </c>
      <c r="CF145" s="46">
        <f t="shared" si="320"/>
        <v>360.75700000000001</v>
      </c>
      <c r="CG145" s="46">
        <f t="shared" si="320"/>
        <v>301.18700000000001</v>
      </c>
      <c r="CH145" s="46">
        <f t="shared" si="320"/>
        <v>300.459</v>
      </c>
      <c r="CI145" s="46">
        <f t="shared" si="320"/>
        <v>335.27800000000002</v>
      </c>
      <c r="CJ145" s="46">
        <f t="shared" si="321"/>
        <v>322.17200000000003</v>
      </c>
      <c r="CK145" s="46">
        <f t="shared" si="322"/>
        <v>350.66800000000001</v>
      </c>
      <c r="CL145" s="46">
        <f t="shared" si="323"/>
        <v>369.67899999999997</v>
      </c>
      <c r="CM145" s="46">
        <f t="shared" si="324"/>
        <v>301.22899999999998</v>
      </c>
      <c r="CN145" s="46">
        <f t="shared" si="325"/>
        <v>275.10199999999998</v>
      </c>
      <c r="CO145" s="46">
        <f t="shared" si="326"/>
        <v>263</v>
      </c>
      <c r="CP145" s="46">
        <f t="shared" si="327"/>
        <v>0</v>
      </c>
      <c r="CQ145" s="46">
        <f t="shared" si="328"/>
        <v>0</v>
      </c>
      <c r="CR145" s="46">
        <f t="shared" si="329"/>
        <v>0</v>
      </c>
      <c r="CS145" s="46">
        <f t="shared" si="330"/>
        <v>0</v>
      </c>
      <c r="CT145" s="46">
        <f t="shared" si="331"/>
        <v>0</v>
      </c>
      <c r="CU145" s="46">
        <f t="shared" si="332"/>
        <v>0</v>
      </c>
      <c r="CV145" s="46">
        <f t="shared" si="333"/>
        <v>0</v>
      </c>
      <c r="CW145" s="46">
        <f t="shared" si="334"/>
        <v>0</v>
      </c>
      <c r="CX145" s="46">
        <f t="shared" si="334"/>
        <v>0</v>
      </c>
      <c r="CY145" s="46">
        <f t="shared" si="334"/>
        <v>0</v>
      </c>
      <c r="CZ145" s="44">
        <f t="shared" si="334"/>
        <v>0</v>
      </c>
      <c r="DA145" s="86"/>
      <c r="DB145" s="399"/>
      <c r="DC145"/>
      <c r="DD145"/>
      <c r="DE145"/>
      <c r="DF145"/>
      <c r="DG145"/>
      <c r="DH145"/>
    </row>
    <row r="146" spans="1:112" s="82" customFormat="1" ht="12" customHeight="1">
      <c r="A146" s="1906" t="s">
        <v>113</v>
      </c>
      <c r="B146" s="1907">
        <v>218.67599999999999</v>
      </c>
      <c r="C146" s="1907">
        <v>169.82900000000001</v>
      </c>
      <c r="D146" s="1907">
        <v>226.06800000000001</v>
      </c>
      <c r="E146" s="1907">
        <v>258.15699999999998</v>
      </c>
      <c r="F146" s="1907">
        <v>287.404</v>
      </c>
      <c r="G146" s="1873">
        <v>287.47000000000003</v>
      </c>
      <c r="H146" s="1888">
        <v>298.57100000000003</v>
      </c>
      <c r="I146" s="1888">
        <v>299.851</v>
      </c>
      <c r="J146" s="1888">
        <v>244.67400000000001</v>
      </c>
      <c r="K146" s="1909">
        <f>J146</f>
        <v>244.67400000000001</v>
      </c>
      <c r="L146" s="1888">
        <v>245.59700000000001</v>
      </c>
      <c r="M146" s="1888">
        <v>246.398</v>
      </c>
      <c r="N146" s="1888">
        <v>247.321</v>
      </c>
      <c r="O146" s="1888">
        <v>280.52499999999998</v>
      </c>
      <c r="P146" s="1909">
        <f>O146</f>
        <v>280.52499999999998</v>
      </c>
      <c r="Q146" s="1888">
        <v>281.62400000000002</v>
      </c>
      <c r="R146" s="1888">
        <v>282.08100000000002</v>
      </c>
      <c r="S146" s="1888">
        <v>282.25799999999998</v>
      </c>
      <c r="T146" s="1888">
        <v>285.36399999999998</v>
      </c>
      <c r="U146" s="1909">
        <f>T146</f>
        <v>285.36399999999998</v>
      </c>
      <c r="V146" s="1888">
        <v>281.27499999999998</v>
      </c>
      <c r="W146" s="1888">
        <v>283.63499999999999</v>
      </c>
      <c r="X146" s="1888">
        <v>286.07499999999999</v>
      </c>
      <c r="Y146" s="1888">
        <v>278.41399999999999</v>
      </c>
      <c r="Z146" s="1909">
        <f>Y146</f>
        <v>278.41399999999999</v>
      </c>
      <c r="AA146" s="1888">
        <v>289.524</v>
      </c>
      <c r="AB146" s="1888">
        <v>289.54399999999998</v>
      </c>
      <c r="AC146" s="1888">
        <v>292.17599999999999</v>
      </c>
      <c r="AD146" s="1888">
        <v>281.68900000000002</v>
      </c>
      <c r="AE146" s="1909">
        <f>AD146</f>
        <v>281.68900000000002</v>
      </c>
      <c r="AF146" s="1888">
        <v>281.5</v>
      </c>
      <c r="AG146" s="1888">
        <v>281.3</v>
      </c>
      <c r="AH146" s="1888">
        <v>281.5</v>
      </c>
      <c r="AI146" s="1888">
        <v>260</v>
      </c>
      <c r="AJ146" s="1909">
        <f>AI146</f>
        <v>260</v>
      </c>
      <c r="AK146" s="1888">
        <v>259</v>
      </c>
      <c r="AL146" s="1888">
        <v>259</v>
      </c>
      <c r="AM146" s="1888">
        <v>260</v>
      </c>
      <c r="AN146" s="1888">
        <v>117</v>
      </c>
      <c r="AO146" s="1909">
        <f>AN146</f>
        <v>117</v>
      </c>
      <c r="AP146" s="1888">
        <v>133</v>
      </c>
      <c r="AQ146" s="1888">
        <v>131</v>
      </c>
      <c r="AR146" s="1888">
        <v>130</v>
      </c>
      <c r="AS146" s="1888">
        <v>108</v>
      </c>
      <c r="AT146" s="1909">
        <f>AS146</f>
        <v>108</v>
      </c>
      <c r="AU146" s="1888">
        <v>110</v>
      </c>
      <c r="AV146" s="1888">
        <v>109</v>
      </c>
      <c r="AW146" s="1873">
        <v>108</v>
      </c>
      <c r="AX146" s="1872">
        <v>363</v>
      </c>
      <c r="AY146" s="1909">
        <f>AX146</f>
        <v>363</v>
      </c>
      <c r="AZ146" s="1873">
        <v>329</v>
      </c>
      <c r="BA146" s="1888">
        <v>203</v>
      </c>
      <c r="BB146" s="1888">
        <v>203</v>
      </c>
      <c r="BC146" s="1872">
        <v>109</v>
      </c>
      <c r="BD146" s="1909">
        <f>BC146</f>
        <v>109</v>
      </c>
      <c r="BE146" s="1872">
        <v>110</v>
      </c>
      <c r="BF146" s="1877">
        <v>110</v>
      </c>
      <c r="BG146" s="1877">
        <v>107</v>
      </c>
      <c r="BH146" s="1872">
        <v>0</v>
      </c>
      <c r="BI146" s="1909">
        <f>BH146</f>
        <v>0</v>
      </c>
      <c r="BJ146" s="1872">
        <v>0</v>
      </c>
      <c r="BK146" s="1877">
        <v>0</v>
      </c>
      <c r="BL146" s="2167">
        <v>0</v>
      </c>
      <c r="BM146" s="2167">
        <v>0</v>
      </c>
      <c r="BN146" s="1909">
        <f>BM146</f>
        <v>0</v>
      </c>
      <c r="BO146" s="2167">
        <v>0</v>
      </c>
      <c r="BP146" s="1910">
        <f>BP14*BP238*4</f>
        <v>0</v>
      </c>
      <c r="BQ146" s="1910">
        <f>BQ14*BQ238*4</f>
        <v>0</v>
      </c>
      <c r="BR146" s="1910">
        <f>BR14*BR238*4</f>
        <v>0</v>
      </c>
      <c r="BS146" s="1909">
        <f>BR146</f>
        <v>0</v>
      </c>
      <c r="BT146" s="1910">
        <f>BT14*BT238*4</f>
        <v>0</v>
      </c>
      <c r="BU146" s="1910">
        <f>BU14*BU238*4</f>
        <v>0</v>
      </c>
      <c r="BV146" s="1910">
        <f>BV14*BV238*4</f>
        <v>0</v>
      </c>
      <c r="BW146" s="1910">
        <f>BW14*BW238*4</f>
        <v>0</v>
      </c>
      <c r="BX146" s="1909">
        <f>BW146</f>
        <v>0</v>
      </c>
      <c r="BY146" s="1912">
        <f>BY14*BY238</f>
        <v>0</v>
      </c>
      <c r="BZ146" s="1912">
        <f>BZ14*BZ238</f>
        <v>0</v>
      </c>
      <c r="CA146" s="1912">
        <f>CA14*CA238</f>
        <v>0</v>
      </c>
      <c r="CB146" s="395"/>
      <c r="CC146" s="1360"/>
      <c r="CD146" s="83" t="str">
        <f t="shared" si="317"/>
        <v>Deferred Income Taxes</v>
      </c>
      <c r="CE146" s="46">
        <f t="shared" si="320"/>
        <v>218.67599999999999</v>
      </c>
      <c r="CF146" s="46">
        <f t="shared" si="320"/>
        <v>169.82900000000001</v>
      </c>
      <c r="CG146" s="46">
        <f t="shared" si="320"/>
        <v>226.06800000000001</v>
      </c>
      <c r="CH146" s="46">
        <f t="shared" si="320"/>
        <v>258.15699999999998</v>
      </c>
      <c r="CI146" s="46">
        <f t="shared" si="320"/>
        <v>287.404</v>
      </c>
      <c r="CJ146" s="46">
        <f t="shared" si="321"/>
        <v>244.67400000000001</v>
      </c>
      <c r="CK146" s="46">
        <f t="shared" si="322"/>
        <v>280.52499999999998</v>
      </c>
      <c r="CL146" s="46">
        <f t="shared" si="323"/>
        <v>285.36399999999998</v>
      </c>
      <c r="CM146" s="46">
        <f t="shared" si="324"/>
        <v>278.41399999999999</v>
      </c>
      <c r="CN146" s="46">
        <f t="shared" si="325"/>
        <v>281.68900000000002</v>
      </c>
      <c r="CO146" s="46">
        <f t="shared" si="326"/>
        <v>260</v>
      </c>
      <c r="CP146" s="46">
        <f t="shared" si="327"/>
        <v>117</v>
      </c>
      <c r="CQ146" s="46">
        <f t="shared" si="328"/>
        <v>108</v>
      </c>
      <c r="CR146" s="46">
        <f t="shared" si="329"/>
        <v>363</v>
      </c>
      <c r="CS146" s="46">
        <f t="shared" si="330"/>
        <v>109</v>
      </c>
      <c r="CT146" s="46">
        <f t="shared" si="331"/>
        <v>0</v>
      </c>
      <c r="CU146" s="46">
        <f t="shared" si="332"/>
        <v>0</v>
      </c>
      <c r="CV146" s="46">
        <f t="shared" si="333"/>
        <v>0</v>
      </c>
      <c r="CW146" s="46">
        <f t="shared" si="334"/>
        <v>0</v>
      </c>
      <c r="CX146" s="46">
        <f t="shared" si="334"/>
        <v>0</v>
      </c>
      <c r="CY146" s="46">
        <f t="shared" si="334"/>
        <v>0</v>
      </c>
      <c r="CZ146" s="44">
        <f t="shared" si="334"/>
        <v>0</v>
      </c>
      <c r="DA146" s="86"/>
      <c r="DB146" s="399"/>
      <c r="DC146"/>
      <c r="DD146"/>
      <c r="DE146"/>
      <c r="DF146"/>
      <c r="DG146"/>
      <c r="DH146"/>
    </row>
    <row r="147" spans="1:112" s="82" customFormat="1" ht="12" customHeight="1">
      <c r="A147" s="1906" t="s">
        <v>121</v>
      </c>
      <c r="B147" s="1907">
        <v>99.781000000000006</v>
      </c>
      <c r="C147" s="1907">
        <v>93.728999999999999</v>
      </c>
      <c r="D147" s="1907">
        <v>76.867000000000004</v>
      </c>
      <c r="E147" s="1907">
        <v>157.15299999999999</v>
      </c>
      <c r="F147" s="1907">
        <v>105.179</v>
      </c>
      <c r="G147" s="1873">
        <v>131.38800000000001</v>
      </c>
      <c r="H147" s="1888">
        <v>120.68600000000001</v>
      </c>
      <c r="I147" s="1888">
        <v>109.389</v>
      </c>
      <c r="J147" s="1888">
        <v>100.273</v>
      </c>
      <c r="K147" s="1909">
        <f>J147</f>
        <v>100.273</v>
      </c>
      <c r="L147" s="1888">
        <v>114.465</v>
      </c>
      <c r="M147" s="1888">
        <v>115.49</v>
      </c>
      <c r="N147" s="1888">
        <v>106.69199999999999</v>
      </c>
      <c r="O147" s="1888">
        <v>116.541</v>
      </c>
      <c r="P147" s="1909">
        <f>O147</f>
        <v>116.541</v>
      </c>
      <c r="Q147" s="1888">
        <v>118.95</v>
      </c>
      <c r="R147" s="1888">
        <v>109.464</v>
      </c>
      <c r="S147" s="1888">
        <v>84.042000000000002</v>
      </c>
      <c r="T147" s="1888">
        <v>115.151</v>
      </c>
      <c r="U147" s="1909">
        <f>T147</f>
        <v>115.151</v>
      </c>
      <c r="V147" s="1888">
        <v>131.11199999999999</v>
      </c>
      <c r="W147" s="1888">
        <v>118.124</v>
      </c>
      <c r="X147" s="1888">
        <v>100.035</v>
      </c>
      <c r="Y147" s="1888">
        <v>152.56200000000001</v>
      </c>
      <c r="Z147" s="1909">
        <f>Y147</f>
        <v>152.56200000000001</v>
      </c>
      <c r="AA147" s="1888">
        <v>165.36600000000001</v>
      </c>
      <c r="AB147" s="1888">
        <v>140.09299999999999</v>
      </c>
      <c r="AC147" s="1888">
        <v>112.634</v>
      </c>
      <c r="AD147" s="1888">
        <v>199.495</v>
      </c>
      <c r="AE147" s="1909">
        <f>AD147</f>
        <v>199.495</v>
      </c>
      <c r="AF147" s="1888">
        <v>201.5</v>
      </c>
      <c r="AG147" s="1888">
        <v>158.5</v>
      </c>
      <c r="AH147" s="1888">
        <v>215.6</v>
      </c>
      <c r="AI147" s="1888">
        <v>138</v>
      </c>
      <c r="AJ147" s="1909">
        <f>AI147</f>
        <v>138</v>
      </c>
      <c r="AK147" s="1888">
        <v>162</v>
      </c>
      <c r="AL147" s="1888">
        <v>144</v>
      </c>
      <c r="AM147" s="1888">
        <v>158</v>
      </c>
      <c r="AN147" s="1888">
        <f>127+1940</f>
        <v>2067</v>
      </c>
      <c r="AO147" s="1909">
        <f>AN147</f>
        <v>2067</v>
      </c>
      <c r="AP147" s="1888">
        <v>144</v>
      </c>
      <c r="AQ147" s="1888">
        <v>119</v>
      </c>
      <c r="AR147" s="1888">
        <v>164</v>
      </c>
      <c r="AS147" s="1888">
        <f>228+61</f>
        <v>289</v>
      </c>
      <c r="AT147" s="1909">
        <f>AS147</f>
        <v>289</v>
      </c>
      <c r="AU147" s="1888">
        <v>235</v>
      </c>
      <c r="AV147" s="1888">
        <v>277</v>
      </c>
      <c r="AW147" s="1873">
        <f>207+27</f>
        <v>234</v>
      </c>
      <c r="AX147" s="1872">
        <v>171</v>
      </c>
      <c r="AY147" s="1909">
        <f>AX147</f>
        <v>171</v>
      </c>
      <c r="AZ147" s="1873">
        <v>191</v>
      </c>
      <c r="BA147" s="1888">
        <v>227</v>
      </c>
      <c r="BB147" s="1888">
        <v>206</v>
      </c>
      <c r="BC147" s="1872">
        <f>206+503</f>
        <v>709</v>
      </c>
      <c r="BD147" s="1909">
        <f>BC147</f>
        <v>709</v>
      </c>
      <c r="BE147" s="1872">
        <f>189+571</f>
        <v>760</v>
      </c>
      <c r="BF147" s="1877">
        <f>574+201</f>
        <v>775</v>
      </c>
      <c r="BG147" s="1877">
        <f>152+66</f>
        <v>218</v>
      </c>
      <c r="BH147" s="1872">
        <f>142+7</f>
        <v>149</v>
      </c>
      <c r="BI147" s="1909">
        <f>BH147</f>
        <v>149</v>
      </c>
      <c r="BJ147" s="1872">
        <v>144</v>
      </c>
      <c r="BK147" s="1877">
        <v>173</v>
      </c>
      <c r="BL147" s="2167">
        <v>153</v>
      </c>
      <c r="BM147" s="2167">
        <v>214</v>
      </c>
      <c r="BN147" s="1909">
        <f>BM147</f>
        <v>214</v>
      </c>
      <c r="BO147" s="2167">
        <v>215</v>
      </c>
      <c r="BP147" s="1910">
        <f>BP14*BP239*4</f>
        <v>188.06237567488878</v>
      </c>
      <c r="BQ147" s="1910">
        <f>BQ14*BQ239*4</f>
        <v>164.15690947630191</v>
      </c>
      <c r="BR147" s="1910">
        <f>BR14*BR239*4</f>
        <v>225.06204019913611</v>
      </c>
      <c r="BS147" s="1909">
        <f>BR147</f>
        <v>225.06204019913611</v>
      </c>
      <c r="BT147" s="1910">
        <f>BT14*BT239*4</f>
        <v>225.89842079810518</v>
      </c>
      <c r="BU147" s="1910">
        <f>BU14*BU239*4</f>
        <v>199.18100560767522</v>
      </c>
      <c r="BV147" s="1910">
        <f>BV14*BV239*4</f>
        <v>174.06280641404553</v>
      </c>
      <c r="BW147" s="1910">
        <f>BW14*BW239*4</f>
        <v>238.50470790674504</v>
      </c>
      <c r="BX147" s="1909">
        <f>BW147</f>
        <v>238.50470790674504</v>
      </c>
      <c r="BY147" s="1912">
        <f>BY14*BY239</f>
        <v>250.83529789973286</v>
      </c>
      <c r="BZ147" s="1912">
        <f>BZ14*BZ239</f>
        <v>263.90695955004543</v>
      </c>
      <c r="CA147" s="1912">
        <f>CA14*CA239</f>
        <v>276.27180975437699</v>
      </c>
      <c r="CB147" s="395"/>
      <c r="CC147" s="1360"/>
      <c r="CD147" s="83" t="str">
        <f t="shared" si="317"/>
        <v>Prepaid and Other Current Assets</v>
      </c>
      <c r="CE147" s="46">
        <f t="shared" si="320"/>
        <v>99.781000000000006</v>
      </c>
      <c r="CF147" s="46">
        <f t="shared" si="320"/>
        <v>93.728999999999999</v>
      </c>
      <c r="CG147" s="46">
        <f t="shared" si="320"/>
        <v>76.867000000000004</v>
      </c>
      <c r="CH147" s="46">
        <f t="shared" si="320"/>
        <v>157.15299999999999</v>
      </c>
      <c r="CI147" s="46">
        <f t="shared" si="320"/>
        <v>105.179</v>
      </c>
      <c r="CJ147" s="46">
        <f t="shared" si="321"/>
        <v>100.273</v>
      </c>
      <c r="CK147" s="46">
        <f t="shared" si="322"/>
        <v>116.541</v>
      </c>
      <c r="CL147" s="46">
        <f t="shared" si="323"/>
        <v>115.151</v>
      </c>
      <c r="CM147" s="46">
        <f t="shared" si="324"/>
        <v>152.56200000000001</v>
      </c>
      <c r="CN147" s="46">
        <f t="shared" si="325"/>
        <v>199.495</v>
      </c>
      <c r="CO147" s="46">
        <f t="shared" si="326"/>
        <v>138</v>
      </c>
      <c r="CP147" s="46">
        <f t="shared" si="327"/>
        <v>2067</v>
      </c>
      <c r="CQ147" s="46">
        <f t="shared" si="328"/>
        <v>289</v>
      </c>
      <c r="CR147" s="46">
        <f t="shared" si="329"/>
        <v>171</v>
      </c>
      <c r="CS147" s="46">
        <f t="shared" si="330"/>
        <v>709</v>
      </c>
      <c r="CT147" s="46">
        <f t="shared" si="331"/>
        <v>149</v>
      </c>
      <c r="CU147" s="46">
        <f t="shared" si="332"/>
        <v>214</v>
      </c>
      <c r="CV147" s="46">
        <f t="shared" si="333"/>
        <v>225.06204019913611</v>
      </c>
      <c r="CW147" s="46">
        <f t="shared" si="334"/>
        <v>238.50470790674504</v>
      </c>
      <c r="CX147" s="46">
        <f t="shared" si="334"/>
        <v>250.83529789973286</v>
      </c>
      <c r="CY147" s="46">
        <f t="shared" si="334"/>
        <v>263.90695955004543</v>
      </c>
      <c r="CZ147" s="44">
        <f t="shared" si="334"/>
        <v>276.27180975437699</v>
      </c>
      <c r="DA147" s="86"/>
      <c r="DB147" s="399"/>
      <c r="DC147"/>
      <c r="DD147"/>
      <c r="DE147"/>
      <c r="DF147"/>
      <c r="DG147"/>
      <c r="DH147"/>
    </row>
    <row r="148" spans="1:112" ht="5.25" customHeight="1">
      <c r="A148" s="42"/>
      <c r="B148" s="387" t="s">
        <v>62</v>
      </c>
      <c r="C148" s="387" t="s">
        <v>62</v>
      </c>
      <c r="D148" s="387" t="s">
        <v>62</v>
      </c>
      <c r="E148" s="387" t="s">
        <v>62</v>
      </c>
      <c r="F148" s="387" t="s">
        <v>62</v>
      </c>
      <c r="G148" s="388" t="s">
        <v>62</v>
      </c>
      <c r="H148" s="388" t="s">
        <v>62</v>
      </c>
      <c r="I148" s="388" t="s">
        <v>62</v>
      </c>
      <c r="J148" s="388" t="s">
        <v>62</v>
      </c>
      <c r="K148" s="387" t="s">
        <v>62</v>
      </c>
      <c r="L148" s="388" t="s">
        <v>62</v>
      </c>
      <c r="M148" s="388" t="s">
        <v>62</v>
      </c>
      <c r="N148" s="388" t="s">
        <v>62</v>
      </c>
      <c r="O148" s="388" t="s">
        <v>62</v>
      </c>
      <c r="P148" s="387" t="s">
        <v>62</v>
      </c>
      <c r="Q148" s="388" t="s">
        <v>62</v>
      </c>
      <c r="R148" s="388" t="s">
        <v>62</v>
      </c>
      <c r="S148" s="388" t="s">
        <v>62</v>
      </c>
      <c r="T148" s="388" t="s">
        <v>62</v>
      </c>
      <c r="U148" s="387" t="s">
        <v>62</v>
      </c>
      <c r="V148" s="388" t="s">
        <v>62</v>
      </c>
      <c r="W148" s="388" t="s">
        <v>62</v>
      </c>
      <c r="X148" s="388" t="s">
        <v>62</v>
      </c>
      <c r="Y148" s="388" t="s">
        <v>62</v>
      </c>
      <c r="Z148" s="387" t="s">
        <v>62</v>
      </c>
      <c r="AA148" s="388" t="s">
        <v>62</v>
      </c>
      <c r="AB148" s="388" t="s">
        <v>62</v>
      </c>
      <c r="AC148" s="388" t="s">
        <v>62</v>
      </c>
      <c r="AD148" s="388" t="s">
        <v>62</v>
      </c>
      <c r="AE148" s="387" t="s">
        <v>62</v>
      </c>
      <c r="AF148" s="388" t="s">
        <v>62</v>
      </c>
      <c r="AG148" s="388" t="s">
        <v>62</v>
      </c>
      <c r="AH148" s="388" t="s">
        <v>62</v>
      </c>
      <c r="AI148" s="388" t="s">
        <v>62</v>
      </c>
      <c r="AJ148" s="387" t="s">
        <v>62</v>
      </c>
      <c r="AK148" s="90" t="s">
        <v>62</v>
      </c>
      <c r="AL148" s="90" t="s">
        <v>62</v>
      </c>
      <c r="AM148" s="90" t="s">
        <v>62</v>
      </c>
      <c r="AN148" s="388" t="s">
        <v>62</v>
      </c>
      <c r="AO148" s="387" t="s">
        <v>62</v>
      </c>
      <c r="AP148" s="90" t="s">
        <v>62</v>
      </c>
      <c r="AQ148" s="90" t="s">
        <v>62</v>
      </c>
      <c r="AR148" s="90" t="s">
        <v>62</v>
      </c>
      <c r="AS148" s="388" t="s">
        <v>62</v>
      </c>
      <c r="AT148" s="387" t="s">
        <v>62</v>
      </c>
      <c r="AU148" s="90" t="s">
        <v>62</v>
      </c>
      <c r="AV148" s="90" t="s">
        <v>62</v>
      </c>
      <c r="AW148" s="388" t="s">
        <v>62</v>
      </c>
      <c r="AX148" s="90" t="s">
        <v>62</v>
      </c>
      <c r="AY148" s="387" t="s">
        <v>62</v>
      </c>
      <c r="AZ148" s="388" t="s">
        <v>62</v>
      </c>
      <c r="BA148" s="90" t="s">
        <v>62</v>
      </c>
      <c r="BB148" s="90" t="s">
        <v>62</v>
      </c>
      <c r="BC148" s="90" t="s">
        <v>62</v>
      </c>
      <c r="BD148" s="387" t="s">
        <v>62</v>
      </c>
      <c r="BE148" s="388" t="s">
        <v>62</v>
      </c>
      <c r="BF148" s="90" t="s">
        <v>62</v>
      </c>
      <c r="BG148" s="90" t="s">
        <v>62</v>
      </c>
      <c r="BH148" s="90" t="s">
        <v>62</v>
      </c>
      <c r="BI148" s="387" t="s">
        <v>62</v>
      </c>
      <c r="BJ148" s="388" t="s">
        <v>62</v>
      </c>
      <c r="BK148" s="90" t="s">
        <v>62</v>
      </c>
      <c r="BL148" s="388" t="s">
        <v>62</v>
      </c>
      <c r="BM148" s="388" t="s">
        <v>62</v>
      </c>
      <c r="BN148" s="387" t="s">
        <v>62</v>
      </c>
      <c r="BO148" s="388" t="s">
        <v>62</v>
      </c>
      <c r="BP148" s="388" t="s">
        <v>62</v>
      </c>
      <c r="BQ148" s="388" t="s">
        <v>62</v>
      </c>
      <c r="BR148" s="388" t="s">
        <v>62</v>
      </c>
      <c r="BS148" s="387" t="s">
        <v>62</v>
      </c>
      <c r="BT148" s="388" t="s">
        <v>62</v>
      </c>
      <c r="BU148" s="388" t="s">
        <v>62</v>
      </c>
      <c r="BV148" s="388" t="s">
        <v>62</v>
      </c>
      <c r="BW148" s="388" t="s">
        <v>62</v>
      </c>
      <c r="BX148" s="387" t="s">
        <v>62</v>
      </c>
      <c r="BY148" s="99" t="s">
        <v>62</v>
      </c>
      <c r="BZ148" s="99" t="s">
        <v>62</v>
      </c>
      <c r="CA148" s="99" t="s">
        <v>62</v>
      </c>
      <c r="CB148" s="4"/>
      <c r="CD148" s="382"/>
      <c r="CE148" s="90" t="s">
        <v>62</v>
      </c>
      <c r="CF148" s="90" t="s">
        <v>62</v>
      </c>
      <c r="CG148" s="90" t="s">
        <v>62</v>
      </c>
      <c r="CH148" s="90" t="s">
        <v>62</v>
      </c>
      <c r="CI148" s="90" t="s">
        <v>62</v>
      </c>
      <c r="CJ148" s="90" t="s">
        <v>62</v>
      </c>
      <c r="CK148" s="90" t="s">
        <v>62</v>
      </c>
      <c r="CL148" s="90" t="s">
        <v>62</v>
      </c>
      <c r="CM148" s="90" t="s">
        <v>62</v>
      </c>
      <c r="CN148" s="90" t="s">
        <v>62</v>
      </c>
      <c r="CO148" s="90" t="s">
        <v>62</v>
      </c>
      <c r="CP148" s="90" t="s">
        <v>62</v>
      </c>
      <c r="CQ148" s="90" t="s">
        <v>62</v>
      </c>
      <c r="CR148" s="90" t="s">
        <v>62</v>
      </c>
      <c r="CS148" s="90" t="s">
        <v>62</v>
      </c>
      <c r="CT148" s="90" t="s">
        <v>62</v>
      </c>
      <c r="CU148" s="90" t="s">
        <v>62</v>
      </c>
      <c r="CV148" s="90" t="s">
        <v>62</v>
      </c>
      <c r="CW148" s="90" t="s">
        <v>62</v>
      </c>
      <c r="CX148" s="90" t="s">
        <v>62</v>
      </c>
      <c r="CY148" s="90" t="s">
        <v>62</v>
      </c>
      <c r="CZ148" s="99" t="s">
        <v>62</v>
      </c>
      <c r="DA148" s="58"/>
      <c r="DB148" s="100"/>
    </row>
    <row r="149" spans="1:112" s="70" customFormat="1" ht="12" customHeight="1">
      <c r="A149" s="1898" t="s">
        <v>155</v>
      </c>
      <c r="B149" s="1914">
        <f t="shared" ref="B149:AH149" si="341">SUM(B142:B147)</f>
        <v>1812.9469999999997</v>
      </c>
      <c r="C149" s="1903">
        <f t="shared" si="341"/>
        <v>1674.307</v>
      </c>
      <c r="D149" s="1903">
        <f t="shared" si="341"/>
        <v>2256.152</v>
      </c>
      <c r="E149" s="1903">
        <f t="shared" si="341"/>
        <v>2447.8299999999995</v>
      </c>
      <c r="F149" s="1903">
        <f t="shared" si="341"/>
        <v>2590.9389999999999</v>
      </c>
      <c r="G149" s="1902">
        <f t="shared" si="341"/>
        <v>1848.9659999999997</v>
      </c>
      <c r="H149" s="1902">
        <f t="shared" si="341"/>
        <v>2137.1880000000001</v>
      </c>
      <c r="I149" s="1902">
        <f t="shared" si="341"/>
        <v>2379.9089999999997</v>
      </c>
      <c r="J149" s="1902">
        <f t="shared" si="341"/>
        <v>2257.9379999999996</v>
      </c>
      <c r="K149" s="1903">
        <f t="shared" si="341"/>
        <v>2257.9379999999996</v>
      </c>
      <c r="L149" s="1902">
        <f t="shared" si="341"/>
        <v>2141.6789999999996</v>
      </c>
      <c r="M149" s="1902">
        <f t="shared" si="341"/>
        <v>2446.3139999999994</v>
      </c>
      <c r="N149" s="1902">
        <f t="shared" si="341"/>
        <v>2691.8469999999993</v>
      </c>
      <c r="O149" s="1902">
        <f t="shared" si="341"/>
        <v>2333.0349999999999</v>
      </c>
      <c r="P149" s="1903">
        <f t="shared" si="341"/>
        <v>2333.0349999999989</v>
      </c>
      <c r="Q149" s="1902">
        <f t="shared" si="341"/>
        <v>2204.0829999999987</v>
      </c>
      <c r="R149" s="1902">
        <f t="shared" si="341"/>
        <v>2509.6639999999989</v>
      </c>
      <c r="S149" s="1902">
        <f t="shared" si="341"/>
        <v>2584.8549999999982</v>
      </c>
      <c r="T149" s="1902">
        <f t="shared" si="341"/>
        <v>2302.7229999999986</v>
      </c>
      <c r="U149" s="1903">
        <f t="shared" si="341"/>
        <v>2302.7229999999981</v>
      </c>
      <c r="V149" s="1902">
        <f t="shared" si="341"/>
        <v>2127.9249999999988</v>
      </c>
      <c r="W149" s="1902">
        <f t="shared" si="341"/>
        <v>2397.2219999999979</v>
      </c>
      <c r="X149" s="1902">
        <f t="shared" si="341"/>
        <v>2856.938999999998</v>
      </c>
      <c r="Y149" s="1902">
        <f t="shared" si="341"/>
        <v>2936.3959999999979</v>
      </c>
      <c r="Z149" s="1903">
        <f t="shared" si="341"/>
        <v>2936.3959999999988</v>
      </c>
      <c r="AA149" s="1902">
        <f t="shared" si="341"/>
        <v>2774.9929999999981</v>
      </c>
      <c r="AB149" s="1902">
        <f t="shared" si="341"/>
        <v>2907.9529999999982</v>
      </c>
      <c r="AC149" s="1902">
        <f t="shared" si="341"/>
        <v>3178.7239999999983</v>
      </c>
      <c r="AD149" s="1902">
        <f t="shared" si="341"/>
        <v>3294.6109999999981</v>
      </c>
      <c r="AE149" s="1903">
        <f t="shared" si="341"/>
        <v>3294.6109999999981</v>
      </c>
      <c r="AF149" s="1902">
        <f t="shared" si="341"/>
        <v>2923.9999999999986</v>
      </c>
      <c r="AG149" s="1902">
        <f t="shared" si="341"/>
        <v>3126.3999999999987</v>
      </c>
      <c r="AH149" s="1902">
        <f t="shared" si="341"/>
        <v>3389.4999999999986</v>
      </c>
      <c r="AI149" s="1902">
        <f t="shared" ref="AI149:BY149" si="342">SUM(AI142:AI147)</f>
        <v>2679.3999999999987</v>
      </c>
      <c r="AJ149" s="1903">
        <f t="shared" si="342"/>
        <v>2679.3999999999983</v>
      </c>
      <c r="AK149" s="1904">
        <f t="shared" si="342"/>
        <v>2578.3999999999983</v>
      </c>
      <c r="AL149" s="1904">
        <f t="shared" si="342"/>
        <v>2640.3999999999983</v>
      </c>
      <c r="AM149" s="1904">
        <f t="shared" si="342"/>
        <v>3259.3999999999983</v>
      </c>
      <c r="AN149" s="1902">
        <f t="shared" si="342"/>
        <v>3899.3999999999983</v>
      </c>
      <c r="AO149" s="1903">
        <f t="shared" si="342"/>
        <v>3899.3999999999983</v>
      </c>
      <c r="AP149" s="1904">
        <f t="shared" si="342"/>
        <v>3181.3999999999983</v>
      </c>
      <c r="AQ149" s="1904">
        <f t="shared" si="342"/>
        <v>3107.3999999999983</v>
      </c>
      <c r="AR149" s="1904">
        <f t="shared" si="342"/>
        <v>2828.3999999999983</v>
      </c>
      <c r="AS149" s="1902">
        <f t="shared" si="342"/>
        <v>2936.3999999999983</v>
      </c>
      <c r="AT149" s="1903">
        <f>SUM(AT142:AT147)</f>
        <v>2936.3999999999983</v>
      </c>
      <c r="AU149" s="1904">
        <f t="shared" si="342"/>
        <v>2864.3999999999983</v>
      </c>
      <c r="AV149" s="1904">
        <f t="shared" si="342"/>
        <v>2993.3999999999983</v>
      </c>
      <c r="AW149" s="1902">
        <f>SUM(AW142:AW147)</f>
        <v>3188.3999999999983</v>
      </c>
      <c r="AX149" s="1915">
        <f>SUM(AX142:AX147)</f>
        <v>3966.3999999999983</v>
      </c>
      <c r="AY149" s="1903">
        <f>SUM(AY142:AY147)</f>
        <v>3966.3999999999983</v>
      </c>
      <c r="AZ149" s="1902">
        <f>SUM(AZ142:AZ147)</f>
        <v>2688.3999999999983</v>
      </c>
      <c r="BA149" s="1904">
        <f>SUM(BA142:BA147)</f>
        <v>3213.3999999999983</v>
      </c>
      <c r="BB149" s="1904">
        <f t="shared" si="342"/>
        <v>2836.3999999999983</v>
      </c>
      <c r="BC149" s="1915">
        <f t="shared" si="342"/>
        <v>3295.3999999999983</v>
      </c>
      <c r="BD149" s="1903">
        <f t="shared" si="342"/>
        <v>3295.3999999999983</v>
      </c>
      <c r="BE149" s="1902">
        <f t="shared" si="342"/>
        <v>3447.3999999999983</v>
      </c>
      <c r="BF149" s="1915">
        <f t="shared" si="342"/>
        <v>3458.9999999999982</v>
      </c>
      <c r="BG149" s="1915">
        <f t="shared" si="342"/>
        <v>3702.9999999999982</v>
      </c>
      <c r="BH149" s="1915">
        <f t="shared" si="342"/>
        <v>3670.9999999999982</v>
      </c>
      <c r="BI149" s="1903">
        <f t="shared" si="342"/>
        <v>3670.9999999999982</v>
      </c>
      <c r="BJ149" s="1902">
        <f t="shared" si="342"/>
        <v>3662.9999999999982</v>
      </c>
      <c r="BK149" s="1915">
        <f t="shared" si="342"/>
        <v>3722.9999999999982</v>
      </c>
      <c r="BL149" s="1902">
        <f t="shared" si="342"/>
        <v>3652.9999999999982</v>
      </c>
      <c r="BM149" s="1902">
        <f t="shared" si="342"/>
        <v>4323.9999999999982</v>
      </c>
      <c r="BN149" s="1903">
        <f t="shared" si="342"/>
        <v>4323.9999999999982</v>
      </c>
      <c r="BO149" s="1902">
        <f t="shared" si="342"/>
        <v>3283.9999999999982</v>
      </c>
      <c r="BP149" s="1902">
        <f t="shared" si="342"/>
        <v>3432.4680473455778</v>
      </c>
      <c r="BQ149" s="1902">
        <f t="shared" si="342"/>
        <v>3518.1864843070707</v>
      </c>
      <c r="BR149" s="1902">
        <f t="shared" si="342"/>
        <v>3869.2461963369801</v>
      </c>
      <c r="BS149" s="1903">
        <f t="shared" si="342"/>
        <v>3869.2461963369819</v>
      </c>
      <c r="BT149" s="1902">
        <f t="shared" ref="BT149:BX149" si="343">SUM(BT142:BT147)</f>
        <v>3727.4443197972855</v>
      </c>
      <c r="BU149" s="1902">
        <f t="shared" si="343"/>
        <v>3874.4977898230377</v>
      </c>
      <c r="BV149" s="1902">
        <f t="shared" si="343"/>
        <v>3939.3104585303063</v>
      </c>
      <c r="BW149" s="1902">
        <f t="shared" si="343"/>
        <v>4285.3206267462083</v>
      </c>
      <c r="BX149" s="1903">
        <f t="shared" si="343"/>
        <v>4285.3206267462074</v>
      </c>
      <c r="BY149" s="1905">
        <f t="shared" si="342"/>
        <v>4669.6267922396564</v>
      </c>
      <c r="BZ149" s="1905">
        <f>SUM(BZ142:BZ147)</f>
        <v>5039.7250889567385</v>
      </c>
      <c r="CA149" s="1905">
        <f>SUM(CA142:CA147)</f>
        <v>5500.0723969426272</v>
      </c>
      <c r="CB149" s="383"/>
      <c r="CC149" s="1359"/>
      <c r="CD149" s="227" t="str">
        <f>A149</f>
        <v>Total Current Assets</v>
      </c>
      <c r="CE149" s="222">
        <f t="shared" ref="CE149:CT149" si="344">SUM(CE142:CE147)</f>
        <v>1812.9469999999997</v>
      </c>
      <c r="CF149" s="222">
        <f t="shared" si="344"/>
        <v>1674.307</v>
      </c>
      <c r="CG149" s="222">
        <f t="shared" si="344"/>
        <v>2256.152</v>
      </c>
      <c r="CH149" s="222">
        <f t="shared" si="344"/>
        <v>2447.8299999999995</v>
      </c>
      <c r="CI149" s="222">
        <f t="shared" si="344"/>
        <v>2590.9389999999999</v>
      </c>
      <c r="CJ149" s="222">
        <f t="shared" si="344"/>
        <v>2257.9379999999996</v>
      </c>
      <c r="CK149" s="222">
        <f t="shared" si="344"/>
        <v>2333.0349999999989</v>
      </c>
      <c r="CL149" s="222">
        <f t="shared" si="344"/>
        <v>2302.7229999999981</v>
      </c>
      <c r="CM149" s="222">
        <f t="shared" si="344"/>
        <v>2936.3959999999988</v>
      </c>
      <c r="CN149" s="222">
        <f t="shared" si="344"/>
        <v>3294.6109999999981</v>
      </c>
      <c r="CO149" s="222">
        <f t="shared" si="344"/>
        <v>2679.3999999999983</v>
      </c>
      <c r="CP149" s="222">
        <f t="shared" si="344"/>
        <v>3899.3999999999983</v>
      </c>
      <c r="CQ149" s="222">
        <f t="shared" si="344"/>
        <v>2936.3999999999983</v>
      </c>
      <c r="CR149" s="222">
        <f t="shared" si="344"/>
        <v>3966.3999999999983</v>
      </c>
      <c r="CS149" s="222">
        <f t="shared" si="344"/>
        <v>3295.3999999999983</v>
      </c>
      <c r="CT149" s="222">
        <f t="shared" si="344"/>
        <v>3670.9999999999982</v>
      </c>
      <c r="CU149" s="222">
        <f t="shared" ref="CU149:CZ149" si="345">SUM(CU142:CU147)</f>
        <v>4323.9999999999982</v>
      </c>
      <c r="CV149" s="222">
        <f t="shared" si="345"/>
        <v>3869.2461963369819</v>
      </c>
      <c r="CW149" s="222">
        <f t="shared" si="345"/>
        <v>4285.3206267462074</v>
      </c>
      <c r="CX149" s="222">
        <f t="shared" si="345"/>
        <v>4669.6267922396564</v>
      </c>
      <c r="CY149" s="222">
        <f t="shared" si="345"/>
        <v>5039.7250889567385</v>
      </c>
      <c r="CZ149" s="228">
        <f t="shared" si="345"/>
        <v>5500.0723969426272</v>
      </c>
      <c r="DA149" s="74"/>
      <c r="DB149" s="282"/>
      <c r="DC149"/>
      <c r="DD149"/>
      <c r="DE149"/>
      <c r="DF149"/>
      <c r="DG149"/>
      <c r="DH149"/>
    </row>
    <row r="150" spans="1:112" ht="12" customHeight="1">
      <c r="A150" s="42"/>
      <c r="B150" s="387"/>
      <c r="C150" s="387"/>
      <c r="D150" s="387"/>
      <c r="E150" s="387"/>
      <c r="F150" s="387"/>
      <c r="G150" s="388"/>
      <c r="H150" s="388"/>
      <c r="I150" s="388"/>
      <c r="J150" s="388"/>
      <c r="K150" s="387"/>
      <c r="L150" s="388"/>
      <c r="M150" s="388"/>
      <c r="N150" s="388"/>
      <c r="O150" s="388"/>
      <c r="P150" s="387"/>
      <c r="Q150" s="388"/>
      <c r="R150" s="388"/>
      <c r="S150" s="388"/>
      <c r="T150" s="388"/>
      <c r="U150" s="387"/>
      <c r="V150" s="388"/>
      <c r="W150" s="388"/>
      <c r="X150" s="388"/>
      <c r="Y150" s="388"/>
      <c r="Z150" s="387"/>
      <c r="AA150" s="388"/>
      <c r="AB150" s="388"/>
      <c r="AC150" s="388"/>
      <c r="AD150" s="388"/>
      <c r="AE150" s="387"/>
      <c r="AF150" s="388"/>
      <c r="AG150" s="388"/>
      <c r="AH150" s="388"/>
      <c r="AI150" s="388"/>
      <c r="AJ150" s="387"/>
      <c r="AK150" s="415"/>
      <c r="AL150" s="415"/>
      <c r="AM150" s="415"/>
      <c r="AN150" s="388"/>
      <c r="AO150" s="387"/>
      <c r="AP150" s="415"/>
      <c r="AQ150" s="415"/>
      <c r="AR150" s="415"/>
      <c r="AS150" s="388"/>
      <c r="AT150" s="387"/>
      <c r="AU150" s="415"/>
      <c r="AV150" s="415"/>
      <c r="AW150" s="388"/>
      <c r="AX150" s="90"/>
      <c r="AY150" s="387"/>
      <c r="AZ150" s="388"/>
      <c r="BA150" s="415"/>
      <c r="BB150" s="415"/>
      <c r="BC150" s="90"/>
      <c r="BD150" s="387"/>
      <c r="BE150" s="388"/>
      <c r="BF150" s="415"/>
      <c r="BG150" s="415"/>
      <c r="BH150" s="90"/>
      <c r="BI150" s="387"/>
      <c r="BJ150" s="388"/>
      <c r="BK150" s="415"/>
      <c r="BL150" s="388"/>
      <c r="BM150" s="388"/>
      <c r="BN150" s="387"/>
      <c r="BO150" s="388"/>
      <c r="BP150" s="388"/>
      <c r="BQ150" s="388"/>
      <c r="BR150" s="388"/>
      <c r="BS150" s="387"/>
      <c r="BT150" s="388"/>
      <c r="BU150" s="388"/>
      <c r="BV150" s="388"/>
      <c r="BW150" s="388"/>
      <c r="BX150" s="387"/>
      <c r="BY150" s="99"/>
      <c r="BZ150" s="99"/>
      <c r="CA150" s="99"/>
      <c r="CB150" s="4"/>
      <c r="CD150" s="382"/>
      <c r="CE150" s="90"/>
      <c r="CF150" s="90"/>
      <c r="CG150" s="90"/>
      <c r="CH150" s="90"/>
      <c r="CI150" s="90"/>
      <c r="CJ150" s="90"/>
      <c r="CK150" s="90"/>
      <c r="CL150" s="90"/>
      <c r="CM150" s="90"/>
      <c r="CN150" s="90"/>
      <c r="CO150" s="90"/>
      <c r="CP150" s="90"/>
      <c r="CQ150" s="90"/>
      <c r="CR150" s="90"/>
      <c r="CS150" s="90"/>
      <c r="CT150" s="90"/>
      <c r="CU150" s="90"/>
      <c r="CV150" s="90"/>
      <c r="CW150" s="90"/>
      <c r="CX150" s="90"/>
      <c r="CY150" s="90"/>
      <c r="CZ150" s="99"/>
      <c r="DA150" s="58"/>
      <c r="DB150" s="286"/>
    </row>
    <row r="151" spans="1:112" s="70" customFormat="1" ht="12" hidden="1" customHeight="1" outlineLevel="1">
      <c r="A151" s="1941" t="s">
        <v>156</v>
      </c>
      <c r="B151" s="1899">
        <v>557.29499999999996</v>
      </c>
      <c r="C151" s="1900">
        <v>534.83500000000004</v>
      </c>
      <c r="D151" s="1900">
        <v>463.63499999999999</v>
      </c>
      <c r="E151" s="1900">
        <v>428.20499999999998</v>
      </c>
      <c r="F151" s="1900">
        <v>454.63099999999997</v>
      </c>
      <c r="G151" s="1901">
        <v>494.57499999999999</v>
      </c>
      <c r="H151" s="1901">
        <v>506.88499999999999</v>
      </c>
      <c r="I151" s="1901">
        <v>470.91699999999997</v>
      </c>
      <c r="J151" s="1901">
        <v>507.83800000000002</v>
      </c>
      <c r="K151" s="1903">
        <f>J151</f>
        <v>507.83800000000002</v>
      </c>
      <c r="L151" s="1901">
        <v>537.65099999999995</v>
      </c>
      <c r="M151" s="1901">
        <v>557.94100000000003</v>
      </c>
      <c r="N151" s="1901">
        <v>524.86599999999999</v>
      </c>
      <c r="O151" s="1901">
        <v>573.17899999999997</v>
      </c>
      <c r="P151" s="1903">
        <f>O151</f>
        <v>573.17899999999997</v>
      </c>
      <c r="Q151" s="1901">
        <v>613.79300000000001</v>
      </c>
      <c r="R151" s="1901">
        <v>613.96500000000003</v>
      </c>
      <c r="S151" s="1901">
        <v>551.548</v>
      </c>
      <c r="T151" s="1901">
        <v>552.53399999999999</v>
      </c>
      <c r="U151" s="1903">
        <f>T151</f>
        <v>552.53399999999999</v>
      </c>
      <c r="V151" s="1901">
        <v>567.21199999999999</v>
      </c>
      <c r="W151" s="1901">
        <v>540.27599999999995</v>
      </c>
      <c r="X151" s="1901">
        <v>459.62900000000002</v>
      </c>
      <c r="Y151" s="1901">
        <v>460.84300000000002</v>
      </c>
      <c r="Z151" s="1903">
        <f>Y151</f>
        <v>460.84300000000002</v>
      </c>
      <c r="AA151" s="1901">
        <v>465.245</v>
      </c>
      <c r="AB151" s="1901">
        <v>425.428</v>
      </c>
      <c r="AC151" s="1901">
        <v>352.41899999999998</v>
      </c>
      <c r="AD151" s="1901">
        <v>364.98399999999998</v>
      </c>
      <c r="AE151" s="1903">
        <f>AD151</f>
        <v>364.98399999999998</v>
      </c>
      <c r="AF151" s="1901">
        <v>371.3</v>
      </c>
      <c r="AG151" s="1901">
        <v>351</v>
      </c>
      <c r="AH151" s="1901">
        <v>304.89999999999998</v>
      </c>
      <c r="AI151" s="1901">
        <v>325</v>
      </c>
      <c r="AJ151" s="1903">
        <f>AI151</f>
        <v>325</v>
      </c>
      <c r="AK151" s="1942">
        <v>346</v>
      </c>
      <c r="AL151" s="1942">
        <v>342</v>
      </c>
      <c r="AM151" s="1942">
        <v>303</v>
      </c>
      <c r="AN151" s="1901">
        <v>0</v>
      </c>
      <c r="AO151" s="1903">
        <f>AN151</f>
        <v>0</v>
      </c>
      <c r="AP151" s="1942">
        <v>0</v>
      </c>
      <c r="AQ151" s="1942">
        <v>0</v>
      </c>
      <c r="AR151" s="1942">
        <v>0</v>
      </c>
      <c r="AS151" s="1902">
        <f>AR151-AS88-AS109</f>
        <v>0</v>
      </c>
      <c r="AT151" s="1903">
        <f>AS151</f>
        <v>0</v>
      </c>
      <c r="AU151" s="1942">
        <v>0</v>
      </c>
      <c r="AV151" s="1942">
        <v>0</v>
      </c>
      <c r="AW151" s="1901">
        <v>0</v>
      </c>
      <c r="AX151" s="1901">
        <v>0</v>
      </c>
      <c r="AY151" s="1903">
        <f>AX151</f>
        <v>0</v>
      </c>
      <c r="AZ151" s="1918">
        <v>0</v>
      </c>
      <c r="BA151" s="1904">
        <f>AZ151-BA88-BA109</f>
        <v>0</v>
      </c>
      <c r="BB151" s="1904">
        <f>BA151-BB88-BB109</f>
        <v>0</v>
      </c>
      <c r="BC151" s="1915">
        <f>BB151-BC88-BC109</f>
        <v>0</v>
      </c>
      <c r="BD151" s="1903">
        <f>BC151</f>
        <v>0</v>
      </c>
      <c r="BE151" s="1915">
        <f>BD151-BE88-BE109</f>
        <v>0</v>
      </c>
      <c r="BF151" s="1918">
        <v>0</v>
      </c>
      <c r="BG151" s="1918">
        <v>0</v>
      </c>
      <c r="BH151" s="1918">
        <v>0</v>
      </c>
      <c r="BI151" s="1903">
        <f>BH151</f>
        <v>0</v>
      </c>
      <c r="BJ151" s="1918">
        <v>0</v>
      </c>
      <c r="BK151" s="1915">
        <f>BJ151-BK88-BK109</f>
        <v>0</v>
      </c>
      <c r="BL151" s="1902">
        <f>BK151-BL88-BL109</f>
        <v>0</v>
      </c>
      <c r="BM151" s="1902">
        <f>BL151-BM88-BM109</f>
        <v>0</v>
      </c>
      <c r="BN151" s="1903">
        <f>BM151</f>
        <v>0</v>
      </c>
      <c r="BO151" s="1902">
        <f>BN151-BO88-BO109</f>
        <v>0</v>
      </c>
      <c r="BP151" s="1902">
        <f>BO151-BP88-BP109</f>
        <v>0</v>
      </c>
      <c r="BQ151" s="1902">
        <f>BP151-BQ88-BQ109</f>
        <v>0</v>
      </c>
      <c r="BR151" s="1902">
        <f>BQ151-BR88-BR109</f>
        <v>0</v>
      </c>
      <c r="BS151" s="1903">
        <f>BR151</f>
        <v>0</v>
      </c>
      <c r="BT151" s="1902">
        <f>BS151-BT88-BT109</f>
        <v>0</v>
      </c>
      <c r="BU151" s="1902">
        <f>BT151-BU88-BU109</f>
        <v>0</v>
      </c>
      <c r="BV151" s="1902">
        <f>BU151-BV88-BV109</f>
        <v>0</v>
      </c>
      <c r="BW151" s="1902">
        <f>BV151-BW88-BW109</f>
        <v>0</v>
      </c>
      <c r="BX151" s="1903">
        <f>BW151</f>
        <v>0</v>
      </c>
      <c r="BY151" s="1905">
        <f>BX151-BY88-BY109</f>
        <v>0</v>
      </c>
      <c r="BZ151" s="1905">
        <f>BY151-BZ88-BZ109</f>
        <v>0</v>
      </c>
      <c r="CA151" s="1905">
        <f>BZ151-CA88-CA109</f>
        <v>0</v>
      </c>
      <c r="CB151" s="383"/>
      <c r="CC151" s="1359"/>
      <c r="CD151" s="227" t="str">
        <f t="shared" ref="CD151:CI155" si="346">A151</f>
        <v>Prepublication Costs, Net</v>
      </c>
      <c r="CE151" s="222">
        <f t="shared" si="346"/>
        <v>557.29499999999996</v>
      </c>
      <c r="CF151" s="222">
        <f t="shared" si="346"/>
        <v>534.83500000000004</v>
      </c>
      <c r="CG151" s="222">
        <f t="shared" si="346"/>
        <v>463.63499999999999</v>
      </c>
      <c r="CH151" s="222">
        <f t="shared" si="346"/>
        <v>428.20499999999998</v>
      </c>
      <c r="CI151" s="222">
        <f t="shared" si="346"/>
        <v>454.63099999999997</v>
      </c>
      <c r="CJ151" s="222">
        <f>K151</f>
        <v>507.83800000000002</v>
      </c>
      <c r="CK151" s="222">
        <f>P151</f>
        <v>573.17899999999997</v>
      </c>
      <c r="CL151" s="222">
        <f>U151</f>
        <v>552.53399999999999</v>
      </c>
      <c r="CM151" s="222">
        <f>Z151</f>
        <v>460.84300000000002</v>
      </c>
      <c r="CN151" s="222">
        <f>AE151</f>
        <v>364.98399999999998</v>
      </c>
      <c r="CO151" s="222">
        <f>AJ151</f>
        <v>325</v>
      </c>
      <c r="CP151" s="222">
        <f>AO151</f>
        <v>0</v>
      </c>
      <c r="CQ151" s="222">
        <f>AT151</f>
        <v>0</v>
      </c>
      <c r="CR151" s="222">
        <f>AY151</f>
        <v>0</v>
      </c>
      <c r="CS151" s="222">
        <f>BD151</f>
        <v>0</v>
      </c>
      <c r="CT151" s="222">
        <f>BI151</f>
        <v>0</v>
      </c>
      <c r="CU151" s="222">
        <f>BN151</f>
        <v>0</v>
      </c>
      <c r="CV151" s="222">
        <f>BS151</f>
        <v>0</v>
      </c>
      <c r="CW151" s="222">
        <f t="shared" ref="CW151:CZ155" si="347">BX151</f>
        <v>0</v>
      </c>
      <c r="CX151" s="222">
        <f t="shared" si="347"/>
        <v>0</v>
      </c>
      <c r="CY151" s="222">
        <f t="shared" si="347"/>
        <v>0</v>
      </c>
      <c r="CZ151" s="228">
        <f t="shared" si="347"/>
        <v>0</v>
      </c>
      <c r="DA151" s="74"/>
      <c r="DB151" s="282"/>
      <c r="DC151"/>
      <c r="DD151"/>
      <c r="DE151"/>
      <c r="DF151"/>
      <c r="DG151"/>
      <c r="DH151"/>
    </row>
    <row r="152" spans="1:112" s="82" customFormat="1" ht="12" customHeight="1" collapsed="1">
      <c r="A152" s="1906" t="s">
        <v>157</v>
      </c>
      <c r="B152" s="1907">
        <v>454.94</v>
      </c>
      <c r="C152" s="1907">
        <v>431.46</v>
      </c>
      <c r="D152" s="1907">
        <v>467.32799999999997</v>
      </c>
      <c r="E152" s="1907">
        <v>513.06600000000003</v>
      </c>
      <c r="F152" s="1907">
        <v>526.75</v>
      </c>
      <c r="G152" s="1873">
        <v>506.834</v>
      </c>
      <c r="H152" s="1888">
        <v>501.73599999999999</v>
      </c>
      <c r="I152" s="1888">
        <v>500.29700000000003</v>
      </c>
      <c r="J152" s="1888">
        <v>542.21900000000005</v>
      </c>
      <c r="K152" s="1909">
        <f>J152</f>
        <v>542.21900000000005</v>
      </c>
      <c r="L152" s="1888">
        <v>535.04499999999996</v>
      </c>
      <c r="M152" s="1888">
        <v>569.70799999999997</v>
      </c>
      <c r="N152" s="1888">
        <v>609.39800000000002</v>
      </c>
      <c r="O152" s="1888">
        <v>660.76599999999996</v>
      </c>
      <c r="P152" s="1909">
        <f>O152</f>
        <v>660.76599999999996</v>
      </c>
      <c r="Q152" s="1888">
        <v>656.23400000000004</v>
      </c>
      <c r="R152" s="1888">
        <v>648.15300000000002</v>
      </c>
      <c r="S152" s="1888">
        <v>630.24699999999996</v>
      </c>
      <c r="T152" s="1888">
        <v>621.06200000000001</v>
      </c>
      <c r="U152" s="1909">
        <f>T152</f>
        <v>621.06200000000001</v>
      </c>
      <c r="V152" s="1888">
        <v>596.654</v>
      </c>
      <c r="W152" s="1888">
        <v>584.04300000000001</v>
      </c>
      <c r="X152" s="1888">
        <v>575.12099999999998</v>
      </c>
      <c r="Y152" s="1888">
        <v>579.79600000000005</v>
      </c>
      <c r="Z152" s="1909">
        <f>Y152</f>
        <v>579.79600000000005</v>
      </c>
      <c r="AA152" s="1888">
        <v>558.80700000000002</v>
      </c>
      <c r="AB152" s="1888">
        <v>545.79999999999995</v>
      </c>
      <c r="AC152" s="1888">
        <v>542.202</v>
      </c>
      <c r="AD152" s="1888">
        <v>548.76700000000005</v>
      </c>
      <c r="AE152" s="1909">
        <f>AD152</f>
        <v>548.76700000000005</v>
      </c>
      <c r="AF152" s="1888">
        <v>536.6</v>
      </c>
      <c r="AG152" s="1888">
        <v>526.5</v>
      </c>
      <c r="AH152" s="1888">
        <v>488.3</v>
      </c>
      <c r="AI152" s="1943">
        <v>500</v>
      </c>
      <c r="AJ152" s="1909">
        <f>AJ270</f>
        <v>500.00000000000006</v>
      </c>
      <c r="AK152" s="1888">
        <v>485</v>
      </c>
      <c r="AL152" s="1888">
        <v>482</v>
      </c>
      <c r="AM152" s="1888">
        <v>482</v>
      </c>
      <c r="AN152" s="1943">
        <v>368</v>
      </c>
      <c r="AO152" s="1909">
        <f>AO270</f>
        <v>367.99999999999994</v>
      </c>
      <c r="AP152" s="1888">
        <v>345</v>
      </c>
      <c r="AQ152" s="1888">
        <v>340</v>
      </c>
      <c r="AR152" s="1888">
        <v>336</v>
      </c>
      <c r="AS152" s="1943">
        <v>249</v>
      </c>
      <c r="AT152" s="1909">
        <f>AT270</f>
        <v>249</v>
      </c>
      <c r="AU152" s="1888">
        <v>242</v>
      </c>
      <c r="AV152" s="1888">
        <v>209</v>
      </c>
      <c r="AW152" s="1873">
        <v>199</v>
      </c>
      <c r="AX152" s="1873">
        <v>206</v>
      </c>
      <c r="AY152" s="1909">
        <f>AY270</f>
        <v>206</v>
      </c>
      <c r="AZ152" s="1873">
        <v>200</v>
      </c>
      <c r="BA152" s="1888">
        <v>208</v>
      </c>
      <c r="BB152" s="1888">
        <v>237</v>
      </c>
      <c r="BC152" s="1872">
        <v>270</v>
      </c>
      <c r="BD152" s="1909">
        <f>BD270</f>
        <v>270</v>
      </c>
      <c r="BE152" s="1872">
        <v>251</v>
      </c>
      <c r="BF152" s="1877">
        <v>242</v>
      </c>
      <c r="BG152" s="1877">
        <v>255</v>
      </c>
      <c r="BH152" s="1872">
        <v>271</v>
      </c>
      <c r="BI152" s="1909">
        <f t="shared" ref="BI152:BZ152" si="348">BI270</f>
        <v>271</v>
      </c>
      <c r="BJ152" s="1872">
        <v>265</v>
      </c>
      <c r="BK152" s="1877">
        <v>264</v>
      </c>
      <c r="BL152" s="2167">
        <v>259</v>
      </c>
      <c r="BM152" s="2167">
        <v>275</v>
      </c>
      <c r="BN152" s="1909">
        <f t="shared" si="348"/>
        <v>275</v>
      </c>
      <c r="BO152" s="2167">
        <v>270</v>
      </c>
      <c r="BP152" s="1887">
        <f t="shared" si="348"/>
        <v>288.38968550576965</v>
      </c>
      <c r="BQ152" s="1887">
        <f t="shared" si="348"/>
        <v>306.00190932827297</v>
      </c>
      <c r="BR152" s="1887">
        <f t="shared" si="348"/>
        <v>325.54685226457337</v>
      </c>
      <c r="BS152" s="1909">
        <f t="shared" si="348"/>
        <v>325.54685226457337</v>
      </c>
      <c r="BT152" s="1887">
        <f t="shared" ref="BT152:BX152" si="349">BT270</f>
        <v>342.50039829654992</v>
      </c>
      <c r="BU152" s="1887">
        <f t="shared" si="349"/>
        <v>358.72647864512879</v>
      </c>
      <c r="BV152" s="1887">
        <f t="shared" si="349"/>
        <v>375.08117662659544</v>
      </c>
      <c r="BW152" s="1887">
        <f t="shared" si="349"/>
        <v>391.03855117374246</v>
      </c>
      <c r="BX152" s="1909">
        <f t="shared" si="349"/>
        <v>391.03855117374241</v>
      </c>
      <c r="BY152" s="1987">
        <f t="shared" si="348"/>
        <v>447.68634476584293</v>
      </c>
      <c r="BZ152" s="1987">
        <f t="shared" si="348"/>
        <v>496.92769249010064</v>
      </c>
      <c r="CA152" s="1987">
        <f t="shared" ref="CA152" si="350">CA270</f>
        <v>549.63856383749248</v>
      </c>
      <c r="CB152" s="395"/>
      <c r="CC152" s="1360"/>
      <c r="CD152" s="83" t="str">
        <f t="shared" si="346"/>
        <v>Property and Equipment, Net</v>
      </c>
      <c r="CE152" s="46">
        <f t="shared" si="346"/>
        <v>454.94</v>
      </c>
      <c r="CF152" s="46">
        <f t="shared" si="346"/>
        <v>431.46</v>
      </c>
      <c r="CG152" s="46">
        <f t="shared" si="346"/>
        <v>467.32799999999997</v>
      </c>
      <c r="CH152" s="46">
        <f t="shared" si="346"/>
        <v>513.06600000000003</v>
      </c>
      <c r="CI152" s="46">
        <f t="shared" si="346"/>
        <v>526.75</v>
      </c>
      <c r="CJ152" s="46">
        <f>K152</f>
        <v>542.21900000000005</v>
      </c>
      <c r="CK152" s="46">
        <f>P152</f>
        <v>660.76599999999996</v>
      </c>
      <c r="CL152" s="46">
        <f>U152</f>
        <v>621.06200000000001</v>
      </c>
      <c r="CM152" s="46">
        <f>Z152</f>
        <v>579.79600000000005</v>
      </c>
      <c r="CN152" s="46">
        <f>AE152</f>
        <v>548.76700000000005</v>
      </c>
      <c r="CO152" s="46">
        <f>AJ152</f>
        <v>500.00000000000006</v>
      </c>
      <c r="CP152" s="46">
        <f>AO152</f>
        <v>367.99999999999994</v>
      </c>
      <c r="CQ152" s="46">
        <f>AT152</f>
        <v>249</v>
      </c>
      <c r="CR152" s="46">
        <f>AY152</f>
        <v>206</v>
      </c>
      <c r="CS152" s="46">
        <f>BD152</f>
        <v>270</v>
      </c>
      <c r="CT152" s="46">
        <f>BI152</f>
        <v>271</v>
      </c>
      <c r="CU152" s="46">
        <f>BN152</f>
        <v>275</v>
      </c>
      <c r="CV152" s="46">
        <f>BS152</f>
        <v>325.54685226457337</v>
      </c>
      <c r="CW152" s="46">
        <f t="shared" si="347"/>
        <v>391.03855117374241</v>
      </c>
      <c r="CX152" s="46">
        <f t="shared" si="347"/>
        <v>447.68634476584293</v>
      </c>
      <c r="CY152" s="46">
        <f t="shared" si="347"/>
        <v>496.92769249010064</v>
      </c>
      <c r="CZ152" s="44">
        <f t="shared" si="347"/>
        <v>549.63856383749248</v>
      </c>
      <c r="DA152" s="86"/>
      <c r="DB152" s="59"/>
      <c r="DC152"/>
      <c r="DD152"/>
      <c r="DE152"/>
      <c r="DF152"/>
      <c r="DG152"/>
      <c r="DH152"/>
    </row>
    <row r="153" spans="1:112" s="82" customFormat="1" ht="12" customHeight="1">
      <c r="A153" s="1906" t="s">
        <v>158</v>
      </c>
      <c r="B153" s="1907">
        <v>1818.4459999999999</v>
      </c>
      <c r="C153" s="1907">
        <v>1294.8309999999999</v>
      </c>
      <c r="D153" s="1907">
        <v>1239.877</v>
      </c>
      <c r="E153" s="1907">
        <v>1505.34</v>
      </c>
      <c r="F153" s="1907">
        <v>1654.6279999999999</v>
      </c>
      <c r="G153" s="1873">
        <v>1649.3969999999999</v>
      </c>
      <c r="H153" s="1888">
        <v>1654.645</v>
      </c>
      <c r="I153" s="1888">
        <v>1660.808</v>
      </c>
      <c r="J153" s="1888">
        <v>1671.479</v>
      </c>
      <c r="K153" s="1909">
        <f>J153</f>
        <v>1671.479</v>
      </c>
      <c r="L153" s="1888">
        <v>1629.85</v>
      </c>
      <c r="M153" s="1888">
        <v>1669.192</v>
      </c>
      <c r="N153" s="1888">
        <v>1698.2059999999999</v>
      </c>
      <c r="O153" s="1888">
        <v>1697.6210000000001</v>
      </c>
      <c r="P153" s="1909">
        <f>O153</f>
        <v>1697.6210000000001</v>
      </c>
      <c r="Q153" s="1888">
        <v>1709.277</v>
      </c>
      <c r="R153" s="1888">
        <v>1724.192</v>
      </c>
      <c r="S153" s="1888">
        <v>1718.61</v>
      </c>
      <c r="T153" s="1888">
        <v>1703.24</v>
      </c>
      <c r="U153" s="1909">
        <f>T153</f>
        <v>1703.24</v>
      </c>
      <c r="V153" s="1888">
        <v>1702.152</v>
      </c>
      <c r="W153" s="1888">
        <v>1688.748</v>
      </c>
      <c r="X153" s="1888">
        <v>1691.837</v>
      </c>
      <c r="Y153" s="1888">
        <v>1690.5070000000001</v>
      </c>
      <c r="Z153" s="1909">
        <f>Y153</f>
        <v>1690.5070000000001</v>
      </c>
      <c r="AA153" s="1888">
        <v>1689.627</v>
      </c>
      <c r="AB153" s="1888">
        <v>1688.646</v>
      </c>
      <c r="AC153" s="1888">
        <v>1865.5119999999999</v>
      </c>
      <c r="AD153" s="1888">
        <v>1886.963</v>
      </c>
      <c r="AE153" s="1909">
        <f>AD153</f>
        <v>1886.963</v>
      </c>
      <c r="AF153" s="1888">
        <v>1985</v>
      </c>
      <c r="AG153" s="1888">
        <v>1984.8</v>
      </c>
      <c r="AH153" s="1888">
        <v>2037.8</v>
      </c>
      <c r="AI153" s="1943">
        <v>2048</v>
      </c>
      <c r="AJ153" s="1909">
        <f>AJ284</f>
        <v>2048</v>
      </c>
      <c r="AK153" s="1888">
        <v>2062</v>
      </c>
      <c r="AL153" s="1888">
        <v>2296</v>
      </c>
      <c r="AM153" s="1888">
        <v>2357</v>
      </c>
      <c r="AN153" s="1943">
        <v>1438</v>
      </c>
      <c r="AO153" s="1909">
        <f>AO284</f>
        <v>1438</v>
      </c>
      <c r="AP153" s="1888">
        <v>1429</v>
      </c>
      <c r="AQ153" s="1888">
        <v>1432</v>
      </c>
      <c r="AR153" s="1888">
        <v>1406</v>
      </c>
      <c r="AS153" s="1943">
        <v>1412</v>
      </c>
      <c r="AT153" s="1909">
        <f>AT284</f>
        <v>1412</v>
      </c>
      <c r="AU153" s="1888">
        <v>1413</v>
      </c>
      <c r="AV153" s="1888">
        <v>1418</v>
      </c>
      <c r="AW153" s="1873">
        <v>1435</v>
      </c>
      <c r="AX153" s="1873">
        <v>1387</v>
      </c>
      <c r="AY153" s="1909">
        <f>AY284</f>
        <v>1387</v>
      </c>
      <c r="AZ153" s="1873">
        <v>1365</v>
      </c>
      <c r="BA153" s="1888">
        <v>1383</v>
      </c>
      <c r="BB153" s="1888">
        <v>2968</v>
      </c>
      <c r="BC153" s="1872">
        <v>2882</v>
      </c>
      <c r="BD153" s="1909">
        <f>BD284</f>
        <v>2882</v>
      </c>
      <c r="BE153" s="1872">
        <v>2869</v>
      </c>
      <c r="BF153" s="1877">
        <v>2882</v>
      </c>
      <c r="BG153" s="1877">
        <v>2958</v>
      </c>
      <c r="BH153" s="1872">
        <v>2949</v>
      </c>
      <c r="BI153" s="1909">
        <f t="shared" ref="BI153:BZ153" si="351">BI284</f>
        <v>2949</v>
      </c>
      <c r="BJ153" s="1872">
        <v>2960</v>
      </c>
      <c r="BK153" s="1877">
        <v>2982</v>
      </c>
      <c r="BL153" s="2167">
        <f>4413-BL154</f>
        <v>2992</v>
      </c>
      <c r="BM153" s="2167">
        <v>2989</v>
      </c>
      <c r="BN153" s="1909">
        <f t="shared" si="351"/>
        <v>2989</v>
      </c>
      <c r="BO153" s="2167">
        <v>3045</v>
      </c>
      <c r="BP153" s="1887">
        <f t="shared" si="351"/>
        <v>3045</v>
      </c>
      <c r="BQ153" s="1887">
        <f t="shared" si="351"/>
        <v>3045</v>
      </c>
      <c r="BR153" s="1887">
        <f t="shared" si="351"/>
        <v>3045</v>
      </c>
      <c r="BS153" s="1909">
        <f t="shared" si="351"/>
        <v>3045</v>
      </c>
      <c r="BT153" s="1887">
        <f t="shared" ref="BT153:BX153" si="352">BT284</f>
        <v>3045</v>
      </c>
      <c r="BU153" s="1887">
        <f t="shared" si="352"/>
        <v>3045</v>
      </c>
      <c r="BV153" s="1887">
        <f t="shared" si="352"/>
        <v>3045</v>
      </c>
      <c r="BW153" s="1887">
        <f t="shared" si="352"/>
        <v>3045</v>
      </c>
      <c r="BX153" s="1909">
        <f t="shared" si="352"/>
        <v>3045</v>
      </c>
      <c r="BY153" s="1987">
        <f t="shared" si="351"/>
        <v>3045</v>
      </c>
      <c r="BZ153" s="1987">
        <f t="shared" si="351"/>
        <v>3045</v>
      </c>
      <c r="CA153" s="1987">
        <f t="shared" ref="CA153" si="353">CA284</f>
        <v>3045</v>
      </c>
      <c r="CB153" s="395"/>
      <c r="CC153" s="1360"/>
      <c r="CD153" s="83" t="str">
        <f t="shared" si="346"/>
        <v>Goodwill</v>
      </c>
      <c r="CE153" s="46">
        <f t="shared" si="346"/>
        <v>1818.4459999999999</v>
      </c>
      <c r="CF153" s="46">
        <f t="shared" si="346"/>
        <v>1294.8309999999999</v>
      </c>
      <c r="CG153" s="46">
        <f t="shared" si="346"/>
        <v>1239.877</v>
      </c>
      <c r="CH153" s="46">
        <f t="shared" si="346"/>
        <v>1505.34</v>
      </c>
      <c r="CI153" s="46">
        <f t="shared" si="346"/>
        <v>1654.6279999999999</v>
      </c>
      <c r="CJ153" s="46">
        <f>K153</f>
        <v>1671.479</v>
      </c>
      <c r="CK153" s="46">
        <f>P153</f>
        <v>1697.6210000000001</v>
      </c>
      <c r="CL153" s="46">
        <f>U153</f>
        <v>1703.24</v>
      </c>
      <c r="CM153" s="46">
        <f>Z153</f>
        <v>1690.5070000000001</v>
      </c>
      <c r="CN153" s="46">
        <f>AE153</f>
        <v>1886.963</v>
      </c>
      <c r="CO153" s="46">
        <f>AJ153</f>
        <v>2048</v>
      </c>
      <c r="CP153" s="46">
        <f>AO153</f>
        <v>1438</v>
      </c>
      <c r="CQ153" s="46">
        <f>AT153</f>
        <v>1412</v>
      </c>
      <c r="CR153" s="46">
        <f>AY153</f>
        <v>1387</v>
      </c>
      <c r="CS153" s="46">
        <f>BD153</f>
        <v>2882</v>
      </c>
      <c r="CT153" s="46">
        <f>BI153</f>
        <v>2949</v>
      </c>
      <c r="CU153" s="46">
        <f>BN153</f>
        <v>2989</v>
      </c>
      <c r="CV153" s="46">
        <f>BS153</f>
        <v>3045</v>
      </c>
      <c r="CW153" s="46">
        <f t="shared" si="347"/>
        <v>3045</v>
      </c>
      <c r="CX153" s="46">
        <f t="shared" si="347"/>
        <v>3045</v>
      </c>
      <c r="CY153" s="46">
        <f t="shared" si="347"/>
        <v>3045</v>
      </c>
      <c r="CZ153" s="44">
        <f t="shared" si="347"/>
        <v>3045</v>
      </c>
      <c r="DA153" s="86"/>
      <c r="DB153" s="59"/>
      <c r="DC153"/>
      <c r="DD153"/>
      <c r="DE153"/>
      <c r="DF153"/>
      <c r="DG153"/>
      <c r="DH153"/>
    </row>
    <row r="154" spans="1:112" s="82" customFormat="1" ht="12" customHeight="1">
      <c r="A154" s="1906" t="s">
        <v>159</v>
      </c>
      <c r="B154" s="1907">
        <v>0</v>
      </c>
      <c r="C154" s="1909">
        <f>1805.652-C153</f>
        <v>510.82100000000014</v>
      </c>
      <c r="D154" s="1909">
        <f>1702.977-D153</f>
        <v>463.10000000000014</v>
      </c>
      <c r="E154" s="1909">
        <f>1953.485-E153</f>
        <v>448.14499999999998</v>
      </c>
      <c r="F154" s="1909">
        <f>2351.971-F153</f>
        <v>697.34300000000007</v>
      </c>
      <c r="G154" s="1910">
        <f>2337.227-G153</f>
        <v>687.82999999999993</v>
      </c>
      <c r="H154" s="1908">
        <f>2330.472-H153</f>
        <v>675.82700000000023</v>
      </c>
      <c r="I154" s="1908">
        <f>2329.715-I153</f>
        <v>668.90700000000015</v>
      </c>
      <c r="J154" s="1908">
        <f>2324.931-J153</f>
        <v>653.452</v>
      </c>
      <c r="K154" s="1909">
        <f>J154</f>
        <v>653.452</v>
      </c>
      <c r="L154" s="1908">
        <f>2268.789-L153</f>
        <v>638.93900000000031</v>
      </c>
      <c r="M154" s="1908">
        <f>2306.679-M153</f>
        <v>637.48700000000008</v>
      </c>
      <c r="N154" s="1908">
        <f>2350.496-N153</f>
        <v>652.29000000000019</v>
      </c>
      <c r="O154" s="1908">
        <f>2336.112-O153</f>
        <v>638.49099999999999</v>
      </c>
      <c r="P154" s="1909">
        <f>O154</f>
        <v>638.49099999999999</v>
      </c>
      <c r="Q154" s="1908">
        <f>2334.441-Q153</f>
        <v>625.16399999999976</v>
      </c>
      <c r="R154" s="1908">
        <f>2344.358-R153</f>
        <v>620.16600000000017</v>
      </c>
      <c r="S154" s="1908">
        <f>2324.771-S153</f>
        <v>606.16100000000029</v>
      </c>
      <c r="T154" s="1908">
        <f>2294.37-T153</f>
        <v>591.12999999999988</v>
      </c>
      <c r="U154" s="1909">
        <f>T154</f>
        <v>591.12999999999988</v>
      </c>
      <c r="V154" s="1908">
        <f>2278.972-V153</f>
        <v>576.82000000000016</v>
      </c>
      <c r="W154" s="1908">
        <f>2254.356-W153</f>
        <v>565.60800000000017</v>
      </c>
      <c r="X154" s="1908">
        <f>2246.591-X153</f>
        <v>554.75399999999991</v>
      </c>
      <c r="Y154" s="1908">
        <f>2229.242-Y153</f>
        <v>538.73500000000013</v>
      </c>
      <c r="Z154" s="1909">
        <f>Y154</f>
        <v>538.73500000000013</v>
      </c>
      <c r="AA154" s="1908">
        <f>2218.431-AA153</f>
        <v>528.80400000000009</v>
      </c>
      <c r="AB154" s="1908">
        <f>2209.382-AB153</f>
        <v>520.7360000000001</v>
      </c>
      <c r="AC154" s="1888">
        <v>656.44899999999996</v>
      </c>
      <c r="AD154" s="1888">
        <v>663.88199999999995</v>
      </c>
      <c r="AE154" s="1909">
        <f>AD154</f>
        <v>663.88199999999995</v>
      </c>
      <c r="AF154" s="1888">
        <v>681.5</v>
      </c>
      <c r="AG154" s="1888">
        <v>666.7</v>
      </c>
      <c r="AH154" s="1888">
        <v>621.29999999999995</v>
      </c>
      <c r="AI154" s="1943">
        <v>608</v>
      </c>
      <c r="AJ154" s="1909">
        <f>AJ277</f>
        <v>607.99999999999989</v>
      </c>
      <c r="AK154" s="1888">
        <v>597</v>
      </c>
      <c r="AL154" s="1888">
        <v>1267</v>
      </c>
      <c r="AM154" s="1888">
        <v>1247</v>
      </c>
      <c r="AN154" s="1943">
        <v>1081</v>
      </c>
      <c r="AO154" s="1909">
        <f>AO277</f>
        <v>1081</v>
      </c>
      <c r="AP154" s="1888">
        <v>1054</v>
      </c>
      <c r="AQ154" s="1888">
        <v>1037</v>
      </c>
      <c r="AR154" s="1888">
        <v>1023</v>
      </c>
      <c r="AS154" s="1943">
        <v>1033</v>
      </c>
      <c r="AT154" s="1909">
        <f>AT277</f>
        <v>1033</v>
      </c>
      <c r="AU154" s="1888">
        <v>1036</v>
      </c>
      <c r="AV154" s="1888">
        <v>1022</v>
      </c>
      <c r="AW154" s="1873">
        <v>1012</v>
      </c>
      <c r="AX154" s="1873">
        <v>1004</v>
      </c>
      <c r="AY154" s="1909">
        <f>AY277</f>
        <v>1004</v>
      </c>
      <c r="AZ154" s="1873">
        <v>986</v>
      </c>
      <c r="BA154" s="1888">
        <v>977</v>
      </c>
      <c r="BB154" s="1888">
        <v>1881</v>
      </c>
      <c r="BC154" s="1872">
        <v>1522</v>
      </c>
      <c r="BD154" s="1909">
        <f>BD277</f>
        <v>1522</v>
      </c>
      <c r="BE154" s="1872">
        <v>1488</v>
      </c>
      <c r="BF154" s="1877">
        <v>1483</v>
      </c>
      <c r="BG154" s="1877">
        <v>1518</v>
      </c>
      <c r="BH154" s="1872">
        <v>1506</v>
      </c>
      <c r="BI154" s="1909">
        <f t="shared" ref="BI154:BZ154" si="354">BI277</f>
        <v>1506</v>
      </c>
      <c r="BJ154" s="1872">
        <v>1474</v>
      </c>
      <c r="BK154" s="2130">
        <v>1442</v>
      </c>
      <c r="BL154" s="2167">
        <v>1421</v>
      </c>
      <c r="BM154" s="2167">
        <v>1388</v>
      </c>
      <c r="BN154" s="1909">
        <f t="shared" si="354"/>
        <v>1388</v>
      </c>
      <c r="BO154" s="2167">
        <v>1390</v>
      </c>
      <c r="BP154" s="1887">
        <f t="shared" si="354"/>
        <v>1355.5</v>
      </c>
      <c r="BQ154" s="1887">
        <f t="shared" si="354"/>
        <v>1321</v>
      </c>
      <c r="BR154" s="1887">
        <f t="shared" si="354"/>
        <v>1286.5</v>
      </c>
      <c r="BS154" s="1909">
        <f t="shared" si="354"/>
        <v>1286.5</v>
      </c>
      <c r="BT154" s="1887">
        <f t="shared" ref="BT154:BX154" si="355">BT277</f>
        <v>1256.375</v>
      </c>
      <c r="BU154" s="1887">
        <f t="shared" si="355"/>
        <v>1226.25</v>
      </c>
      <c r="BV154" s="1887">
        <f t="shared" si="355"/>
        <v>1196.125</v>
      </c>
      <c r="BW154" s="1887">
        <f t="shared" si="355"/>
        <v>1166</v>
      </c>
      <c r="BX154" s="1909">
        <f t="shared" si="355"/>
        <v>1166</v>
      </c>
      <c r="BY154" s="1987">
        <f t="shared" si="354"/>
        <v>1051.5</v>
      </c>
      <c r="BZ154" s="1987">
        <f t="shared" si="354"/>
        <v>949</v>
      </c>
      <c r="CA154" s="1987">
        <f t="shared" ref="CA154" si="356">CA277</f>
        <v>848.5</v>
      </c>
      <c r="CB154" s="395"/>
      <c r="CC154" s="1360"/>
      <c r="CD154" s="83" t="str">
        <f t="shared" si="346"/>
        <v>Other Intangible Assets, net</v>
      </c>
      <c r="CE154" s="46">
        <f t="shared" si="346"/>
        <v>0</v>
      </c>
      <c r="CF154" s="46">
        <f t="shared" si="346"/>
        <v>510.82100000000014</v>
      </c>
      <c r="CG154" s="46">
        <f t="shared" si="346"/>
        <v>463.10000000000014</v>
      </c>
      <c r="CH154" s="46">
        <f t="shared" si="346"/>
        <v>448.14499999999998</v>
      </c>
      <c r="CI154" s="46">
        <f t="shared" si="346"/>
        <v>697.34300000000007</v>
      </c>
      <c r="CJ154" s="46">
        <f>K154</f>
        <v>653.452</v>
      </c>
      <c r="CK154" s="46">
        <f>P154</f>
        <v>638.49099999999999</v>
      </c>
      <c r="CL154" s="46">
        <f>U154</f>
        <v>591.12999999999988</v>
      </c>
      <c r="CM154" s="46">
        <f>Z154</f>
        <v>538.73500000000013</v>
      </c>
      <c r="CN154" s="46">
        <f>AE154</f>
        <v>663.88199999999995</v>
      </c>
      <c r="CO154" s="46">
        <f>AJ154</f>
        <v>607.99999999999989</v>
      </c>
      <c r="CP154" s="46">
        <f>AO154</f>
        <v>1081</v>
      </c>
      <c r="CQ154" s="46">
        <f>AT154</f>
        <v>1033</v>
      </c>
      <c r="CR154" s="46">
        <f>AY154</f>
        <v>1004</v>
      </c>
      <c r="CS154" s="46">
        <f>BD154</f>
        <v>1522</v>
      </c>
      <c r="CT154" s="46">
        <f>BI154</f>
        <v>1506</v>
      </c>
      <c r="CU154" s="46">
        <f>BN154</f>
        <v>1388</v>
      </c>
      <c r="CV154" s="46">
        <f>BS154</f>
        <v>1286.5</v>
      </c>
      <c r="CW154" s="46">
        <f t="shared" si="347"/>
        <v>1166</v>
      </c>
      <c r="CX154" s="46">
        <f t="shared" si="347"/>
        <v>1051.5</v>
      </c>
      <c r="CY154" s="46">
        <f t="shared" si="347"/>
        <v>949</v>
      </c>
      <c r="CZ154" s="44">
        <f t="shared" si="347"/>
        <v>848.5</v>
      </c>
      <c r="DA154" s="86"/>
      <c r="DB154" s="59"/>
      <c r="DC154"/>
      <c r="DD154"/>
      <c r="DE154"/>
      <c r="DF154"/>
      <c r="DG154"/>
      <c r="DH154"/>
    </row>
    <row r="155" spans="1:112" s="82" customFormat="1" ht="12" customHeight="1">
      <c r="A155" s="1906" t="s">
        <v>160</v>
      </c>
      <c r="B155" s="1907">
        <f>105.538+200.443+211.582</f>
        <v>517.56299999999999</v>
      </c>
      <c r="C155" s="1907">
        <f>205.243+119.442+261.243</f>
        <v>585.928</v>
      </c>
      <c r="D155" s="1907">
        <f>215.732+288.244</f>
        <v>503.976</v>
      </c>
      <c r="E155" s="1907">
        <f>299.792+220.611</f>
        <v>520.40300000000002</v>
      </c>
      <c r="F155" s="1907">
        <f>288.868+182.649</f>
        <v>471.517</v>
      </c>
      <c r="G155" s="1873">
        <f>283.061+182.826</f>
        <v>465.88699999999994</v>
      </c>
      <c r="H155" s="1888">
        <f>276.829+182.32</f>
        <v>459.149</v>
      </c>
      <c r="I155" s="1888">
        <f>270.809+180.236</f>
        <v>451.04500000000002</v>
      </c>
      <c r="J155" s="1888">
        <f>228.588+181.376</f>
        <v>409.964</v>
      </c>
      <c r="K155" s="1909">
        <f>J155</f>
        <v>409.964</v>
      </c>
      <c r="L155" s="1888">
        <f>225.377+169.263</f>
        <v>394.64</v>
      </c>
      <c r="M155" s="1888">
        <f>184.485+174.318</f>
        <v>358.803</v>
      </c>
      <c r="N155" s="1888">
        <f>168.802+179.287</f>
        <v>348.089</v>
      </c>
      <c r="O155" s="1888">
        <f>177.757+276.487+0</f>
        <v>454.24400000000003</v>
      </c>
      <c r="P155" s="1909">
        <f>O155</f>
        <v>454.24400000000003</v>
      </c>
      <c r="Q155" s="1888">
        <f>273.498+184.802</f>
        <v>458.29999999999995</v>
      </c>
      <c r="R155" s="1888">
        <f>263.535+179.212</f>
        <v>442.74700000000001</v>
      </c>
      <c r="S155" s="1888">
        <f>180.768+260.989+0</f>
        <v>441.75699999999995</v>
      </c>
      <c r="T155" s="1888">
        <f>52.994+79.559+176.9</f>
        <v>309.45299999999997</v>
      </c>
      <c r="U155" s="1909">
        <f>T155</f>
        <v>309.45299999999997</v>
      </c>
      <c r="V155" s="1888">
        <f>169.334+48.299+61.022</f>
        <v>278.65500000000003</v>
      </c>
      <c r="W155" s="1888">
        <f>57.417+53.484+171.218</f>
        <v>282.11900000000003</v>
      </c>
      <c r="X155" s="1888">
        <f>59.396+47.513+170.278</f>
        <v>277.18700000000001</v>
      </c>
      <c r="Y155" s="1888">
        <f>166.379+78.522+24.072</f>
        <v>268.97300000000001</v>
      </c>
      <c r="Z155" s="1909">
        <f>Y155</f>
        <v>268.97300000000001</v>
      </c>
      <c r="AA155" s="1888">
        <f>80.447+22.694+168.619</f>
        <v>271.76</v>
      </c>
      <c r="AB155" s="1888">
        <f>76.962+21.782+176.719</f>
        <v>275.46299999999997</v>
      </c>
      <c r="AC155" s="1888">
        <v>288.98200000000003</v>
      </c>
      <c r="AD155" s="1888">
        <v>287.35399999999998</v>
      </c>
      <c r="AE155" s="1909">
        <f>AD155</f>
        <v>287.35399999999998</v>
      </c>
      <c r="AF155" s="1888">
        <v>291.3</v>
      </c>
      <c r="AG155" s="1888">
        <v>288.60000000000002</v>
      </c>
      <c r="AH155" s="1888">
        <v>311.89999999999998</v>
      </c>
      <c r="AI155" s="1943">
        <v>267</v>
      </c>
      <c r="AJ155" s="1909">
        <f>AI155</f>
        <v>267</v>
      </c>
      <c r="AK155" s="1888">
        <v>284</v>
      </c>
      <c r="AL155" s="1888">
        <v>283</v>
      </c>
      <c r="AM155" s="1888">
        <v>295</v>
      </c>
      <c r="AN155" s="1943">
        <v>266</v>
      </c>
      <c r="AO155" s="1909">
        <f>AN155</f>
        <v>266</v>
      </c>
      <c r="AP155" s="1888">
        <v>261</v>
      </c>
      <c r="AQ155" s="1888">
        <v>244</v>
      </c>
      <c r="AR155" s="1888">
        <v>255</v>
      </c>
      <c r="AS155" s="1943">
        <f>261+170</f>
        <v>431</v>
      </c>
      <c r="AT155" s="1909">
        <f>AS155</f>
        <v>431</v>
      </c>
      <c r="AU155" s="1943">
        <f>277+179</f>
        <v>456</v>
      </c>
      <c r="AV155" s="1888">
        <f>230+185</f>
        <v>415</v>
      </c>
      <c r="AW155" s="1873">
        <f>241+195</f>
        <v>436</v>
      </c>
      <c r="AX155" s="1873">
        <f>28+180</f>
        <v>208</v>
      </c>
      <c r="AY155" s="1909">
        <f>AX155</f>
        <v>208</v>
      </c>
      <c r="AZ155" s="1873">
        <v>209</v>
      </c>
      <c r="BA155" s="1888">
        <v>232</v>
      </c>
      <c r="BB155" s="1888">
        <v>241</v>
      </c>
      <c r="BC155" s="1872">
        <f>36+177+0.6</f>
        <v>213.6</v>
      </c>
      <c r="BD155" s="1909">
        <f>BC155</f>
        <v>213.6</v>
      </c>
      <c r="BE155" s="1872">
        <f>205+0.6</f>
        <v>205.6</v>
      </c>
      <c r="BF155" s="1877">
        <v>225</v>
      </c>
      <c r="BG155" s="1877">
        <v>241</v>
      </c>
      <c r="BH155" s="1872">
        <v>272</v>
      </c>
      <c r="BI155" s="1909">
        <f t="shared" ref="BI155:CA155" si="357">BH155</f>
        <v>272</v>
      </c>
      <c r="BJ155" s="1872">
        <v>292</v>
      </c>
      <c r="BK155" s="1877">
        <v>380</v>
      </c>
      <c r="BL155" s="2167">
        <v>389</v>
      </c>
      <c r="BM155" s="2167">
        <v>449</v>
      </c>
      <c r="BN155" s="1909">
        <f t="shared" si="357"/>
        <v>449</v>
      </c>
      <c r="BO155" s="2167">
        <v>508</v>
      </c>
      <c r="BP155" s="1910">
        <f t="shared" si="357"/>
        <v>508</v>
      </c>
      <c r="BQ155" s="1910">
        <f t="shared" si="357"/>
        <v>508</v>
      </c>
      <c r="BR155" s="1910">
        <f t="shared" si="357"/>
        <v>508</v>
      </c>
      <c r="BS155" s="1909">
        <f t="shared" si="357"/>
        <v>508</v>
      </c>
      <c r="BT155" s="1910">
        <f t="shared" ref="BT155" si="358">BS155</f>
        <v>508</v>
      </c>
      <c r="BU155" s="1910">
        <f t="shared" ref="BU155" si="359">BT155</f>
        <v>508</v>
      </c>
      <c r="BV155" s="1910">
        <f t="shared" ref="BV155" si="360">BU155</f>
        <v>508</v>
      </c>
      <c r="BW155" s="1910">
        <f t="shared" ref="BW155" si="361">BV155</f>
        <v>508</v>
      </c>
      <c r="BX155" s="1909">
        <f t="shared" ref="BX155" si="362">BW155</f>
        <v>508</v>
      </c>
      <c r="BY155" s="1928">
        <f t="shared" si="357"/>
        <v>508</v>
      </c>
      <c r="BZ155" s="1928">
        <f t="shared" si="357"/>
        <v>508</v>
      </c>
      <c r="CA155" s="1928">
        <f t="shared" si="357"/>
        <v>508</v>
      </c>
      <c r="CB155" s="395"/>
      <c r="CC155" s="1360"/>
      <c r="CD155" s="83" t="str">
        <f t="shared" si="346"/>
        <v>Other Non-Current Assets</v>
      </c>
      <c r="CE155" s="46">
        <f t="shared" si="346"/>
        <v>517.56299999999999</v>
      </c>
      <c r="CF155" s="46">
        <f t="shared" si="346"/>
        <v>585.928</v>
      </c>
      <c r="CG155" s="46">
        <f t="shared" si="346"/>
        <v>503.976</v>
      </c>
      <c r="CH155" s="46">
        <f t="shared" si="346"/>
        <v>520.40300000000002</v>
      </c>
      <c r="CI155" s="46">
        <f t="shared" si="346"/>
        <v>471.517</v>
      </c>
      <c r="CJ155" s="46">
        <f>K155</f>
        <v>409.964</v>
      </c>
      <c r="CK155" s="46">
        <f>P155</f>
        <v>454.24400000000003</v>
      </c>
      <c r="CL155" s="46">
        <f>U155</f>
        <v>309.45299999999997</v>
      </c>
      <c r="CM155" s="46">
        <f>Z155</f>
        <v>268.97300000000001</v>
      </c>
      <c r="CN155" s="46">
        <f>AE155</f>
        <v>287.35399999999998</v>
      </c>
      <c r="CO155" s="46">
        <f>AJ155</f>
        <v>267</v>
      </c>
      <c r="CP155" s="46">
        <f>AO155</f>
        <v>266</v>
      </c>
      <c r="CQ155" s="46">
        <f>AT155</f>
        <v>431</v>
      </c>
      <c r="CR155" s="46">
        <f>AY155</f>
        <v>208</v>
      </c>
      <c r="CS155" s="46">
        <f>BD155</f>
        <v>213.6</v>
      </c>
      <c r="CT155" s="46">
        <f>BI155</f>
        <v>272</v>
      </c>
      <c r="CU155" s="46">
        <f>BN155</f>
        <v>449</v>
      </c>
      <c r="CV155" s="46">
        <f>BS155</f>
        <v>508</v>
      </c>
      <c r="CW155" s="46">
        <f t="shared" si="347"/>
        <v>508</v>
      </c>
      <c r="CX155" s="46">
        <f t="shared" si="347"/>
        <v>508</v>
      </c>
      <c r="CY155" s="46">
        <f t="shared" si="347"/>
        <v>508</v>
      </c>
      <c r="CZ155" s="44">
        <f t="shared" si="347"/>
        <v>508</v>
      </c>
      <c r="DA155" s="86"/>
      <c r="DB155" s="59"/>
      <c r="DC155"/>
      <c r="DD155"/>
      <c r="DE155"/>
      <c r="DF155"/>
      <c r="DG155"/>
      <c r="DH155"/>
    </row>
    <row r="156" spans="1:112" ht="5.25" customHeight="1">
      <c r="A156" s="42"/>
      <c r="B156" s="387" t="s">
        <v>62</v>
      </c>
      <c r="C156" s="387" t="s">
        <v>62</v>
      </c>
      <c r="D156" s="387" t="s">
        <v>62</v>
      </c>
      <c r="E156" s="387" t="s">
        <v>62</v>
      </c>
      <c r="F156" s="387" t="s">
        <v>62</v>
      </c>
      <c r="G156" s="388" t="s">
        <v>62</v>
      </c>
      <c r="H156" s="388" t="s">
        <v>62</v>
      </c>
      <c r="I156" s="388" t="s">
        <v>62</v>
      </c>
      <c r="J156" s="388" t="s">
        <v>62</v>
      </c>
      <c r="K156" s="387" t="s">
        <v>62</v>
      </c>
      <c r="L156" s="388" t="s">
        <v>62</v>
      </c>
      <c r="M156" s="388" t="s">
        <v>62</v>
      </c>
      <c r="N156" s="388" t="s">
        <v>62</v>
      </c>
      <c r="O156" s="388" t="s">
        <v>62</v>
      </c>
      <c r="P156" s="387" t="s">
        <v>62</v>
      </c>
      <c r="Q156" s="388" t="s">
        <v>62</v>
      </c>
      <c r="R156" s="388" t="s">
        <v>62</v>
      </c>
      <c r="S156" s="388" t="s">
        <v>62</v>
      </c>
      <c r="T156" s="388" t="s">
        <v>62</v>
      </c>
      <c r="U156" s="387" t="s">
        <v>62</v>
      </c>
      <c r="V156" s="388" t="s">
        <v>62</v>
      </c>
      <c r="W156" s="388" t="s">
        <v>62</v>
      </c>
      <c r="X156" s="388" t="s">
        <v>62</v>
      </c>
      <c r="Y156" s="388" t="s">
        <v>62</v>
      </c>
      <c r="Z156" s="387" t="s">
        <v>62</v>
      </c>
      <c r="AA156" s="388" t="s">
        <v>62</v>
      </c>
      <c r="AB156" s="388" t="s">
        <v>62</v>
      </c>
      <c r="AC156" s="388" t="s">
        <v>62</v>
      </c>
      <c r="AD156" s="388" t="s">
        <v>62</v>
      </c>
      <c r="AE156" s="387" t="s">
        <v>62</v>
      </c>
      <c r="AF156" s="388" t="s">
        <v>62</v>
      </c>
      <c r="AG156" s="388" t="s">
        <v>62</v>
      </c>
      <c r="AH156" s="388" t="s">
        <v>62</v>
      </c>
      <c r="AI156" s="388" t="s">
        <v>62</v>
      </c>
      <c r="AJ156" s="387" t="s">
        <v>62</v>
      </c>
      <c r="AK156" s="90" t="s">
        <v>62</v>
      </c>
      <c r="AL156" s="90" t="s">
        <v>62</v>
      </c>
      <c r="AM156" s="90" t="s">
        <v>62</v>
      </c>
      <c r="AN156" s="388" t="s">
        <v>62</v>
      </c>
      <c r="AO156" s="387" t="s">
        <v>62</v>
      </c>
      <c r="AP156" s="90" t="s">
        <v>62</v>
      </c>
      <c r="AQ156" s="90" t="s">
        <v>62</v>
      </c>
      <c r="AR156" s="90" t="s">
        <v>62</v>
      </c>
      <c r="AS156" s="388" t="s">
        <v>62</v>
      </c>
      <c r="AT156" s="387" t="s">
        <v>62</v>
      </c>
      <c r="AU156" s="90" t="s">
        <v>62</v>
      </c>
      <c r="AV156" s="90" t="s">
        <v>62</v>
      </c>
      <c r="AW156" s="388" t="s">
        <v>62</v>
      </c>
      <c r="AX156" s="388" t="s">
        <v>62</v>
      </c>
      <c r="AY156" s="387" t="s">
        <v>62</v>
      </c>
      <c r="AZ156" s="388" t="s">
        <v>62</v>
      </c>
      <c r="BA156" s="90" t="s">
        <v>62</v>
      </c>
      <c r="BB156" s="90" t="s">
        <v>62</v>
      </c>
      <c r="BC156" s="388" t="s">
        <v>62</v>
      </c>
      <c r="BD156" s="387" t="s">
        <v>62</v>
      </c>
      <c r="BE156" s="388" t="s">
        <v>62</v>
      </c>
      <c r="BF156" s="90" t="s">
        <v>62</v>
      </c>
      <c r="BG156" s="90" t="s">
        <v>62</v>
      </c>
      <c r="BH156" s="388" t="s">
        <v>62</v>
      </c>
      <c r="BI156" s="387" t="s">
        <v>62</v>
      </c>
      <c r="BJ156" s="388" t="s">
        <v>62</v>
      </c>
      <c r="BK156" s="90" t="s">
        <v>62</v>
      </c>
      <c r="BL156" s="388" t="s">
        <v>62</v>
      </c>
      <c r="BM156" s="388" t="s">
        <v>62</v>
      </c>
      <c r="BN156" s="387" t="s">
        <v>62</v>
      </c>
      <c r="BO156" s="388" t="s">
        <v>62</v>
      </c>
      <c r="BP156" s="388" t="s">
        <v>62</v>
      </c>
      <c r="BQ156" s="388" t="s">
        <v>62</v>
      </c>
      <c r="BR156" s="388" t="s">
        <v>62</v>
      </c>
      <c r="BS156" s="387" t="s">
        <v>62</v>
      </c>
      <c r="BT156" s="388" t="s">
        <v>62</v>
      </c>
      <c r="BU156" s="388" t="s">
        <v>62</v>
      </c>
      <c r="BV156" s="388" t="s">
        <v>62</v>
      </c>
      <c r="BW156" s="388" t="s">
        <v>62</v>
      </c>
      <c r="BX156" s="387" t="s">
        <v>62</v>
      </c>
      <c r="BY156" s="99" t="s">
        <v>62</v>
      </c>
      <c r="BZ156" s="99" t="s">
        <v>62</v>
      </c>
      <c r="CA156" s="99" t="s">
        <v>62</v>
      </c>
      <c r="CB156" s="4"/>
      <c r="CD156" s="382"/>
      <c r="CE156" s="90" t="s">
        <v>62</v>
      </c>
      <c r="CF156" s="90" t="s">
        <v>62</v>
      </c>
      <c r="CG156" s="90" t="s">
        <v>62</v>
      </c>
      <c r="CH156" s="90" t="s">
        <v>62</v>
      </c>
      <c r="CI156" s="90" t="s">
        <v>62</v>
      </c>
      <c r="CJ156" s="90" t="s">
        <v>62</v>
      </c>
      <c r="CK156" s="90" t="s">
        <v>62</v>
      </c>
      <c r="CL156" s="90" t="s">
        <v>62</v>
      </c>
      <c r="CM156" s="90" t="s">
        <v>62</v>
      </c>
      <c r="CN156" s="90" t="s">
        <v>62</v>
      </c>
      <c r="CO156" s="90" t="s">
        <v>62</v>
      </c>
      <c r="CP156" s="90" t="s">
        <v>62</v>
      </c>
      <c r="CQ156" s="90" t="s">
        <v>62</v>
      </c>
      <c r="CR156" s="90" t="s">
        <v>62</v>
      </c>
      <c r="CS156" s="90" t="s">
        <v>62</v>
      </c>
      <c r="CT156" s="90" t="s">
        <v>62</v>
      </c>
      <c r="CU156" s="90" t="s">
        <v>62</v>
      </c>
      <c r="CV156" s="90" t="s">
        <v>62</v>
      </c>
      <c r="CW156" s="90" t="s">
        <v>62</v>
      </c>
      <c r="CX156" s="90" t="s">
        <v>62</v>
      </c>
      <c r="CY156" s="90" t="s">
        <v>62</v>
      </c>
      <c r="CZ156" s="99" t="s">
        <v>62</v>
      </c>
      <c r="DA156" s="58"/>
      <c r="DB156" s="100"/>
    </row>
    <row r="157" spans="1:112" s="70" customFormat="1" ht="12" customHeight="1">
      <c r="A157" s="1898" t="s">
        <v>161</v>
      </c>
      <c r="B157" s="1914">
        <f t="shared" ref="B157:AH157" si="363">SUM(B151:B155,B149)</f>
        <v>5161.1909999999989</v>
      </c>
      <c r="C157" s="1903">
        <f t="shared" si="363"/>
        <v>5032.1819999999998</v>
      </c>
      <c r="D157" s="1903">
        <f t="shared" si="363"/>
        <v>5394.0680000000011</v>
      </c>
      <c r="E157" s="1903">
        <f t="shared" si="363"/>
        <v>5862.9889999999996</v>
      </c>
      <c r="F157" s="1903">
        <f t="shared" si="363"/>
        <v>6395.8079999999991</v>
      </c>
      <c r="G157" s="1902">
        <f t="shared" si="363"/>
        <v>5653.4889999999996</v>
      </c>
      <c r="H157" s="1902">
        <f t="shared" si="363"/>
        <v>5935.43</v>
      </c>
      <c r="I157" s="1902">
        <f t="shared" si="363"/>
        <v>6131.8829999999998</v>
      </c>
      <c r="J157" s="1902">
        <f t="shared" si="363"/>
        <v>6042.8899999999994</v>
      </c>
      <c r="K157" s="1903">
        <f t="shared" si="363"/>
        <v>6042.8899999999994</v>
      </c>
      <c r="L157" s="1902">
        <f t="shared" si="363"/>
        <v>5877.8040000000001</v>
      </c>
      <c r="M157" s="1902">
        <f t="shared" si="363"/>
        <v>6239.4449999999997</v>
      </c>
      <c r="N157" s="1902">
        <f t="shared" si="363"/>
        <v>6524.6959999999999</v>
      </c>
      <c r="O157" s="1902">
        <f t="shared" si="363"/>
        <v>6357.3359999999993</v>
      </c>
      <c r="P157" s="1903">
        <f t="shared" si="363"/>
        <v>6357.3359999999993</v>
      </c>
      <c r="Q157" s="1902">
        <f t="shared" si="363"/>
        <v>6266.8509999999987</v>
      </c>
      <c r="R157" s="1902">
        <f t="shared" si="363"/>
        <v>6558.8869999999988</v>
      </c>
      <c r="S157" s="1902">
        <f t="shared" si="363"/>
        <v>6533.1779999999981</v>
      </c>
      <c r="T157" s="1902">
        <f t="shared" si="363"/>
        <v>6080.1419999999989</v>
      </c>
      <c r="U157" s="1903">
        <f t="shared" si="363"/>
        <v>6080.141999999998</v>
      </c>
      <c r="V157" s="1902">
        <f t="shared" si="363"/>
        <v>5849.4179999999997</v>
      </c>
      <c r="W157" s="1902">
        <f t="shared" si="363"/>
        <v>6058.0159999999978</v>
      </c>
      <c r="X157" s="1902">
        <f t="shared" si="363"/>
        <v>6415.4669999999978</v>
      </c>
      <c r="Y157" s="1902">
        <f t="shared" si="363"/>
        <v>6475.2499999999982</v>
      </c>
      <c r="Z157" s="1903">
        <f t="shared" si="363"/>
        <v>6475.2499999999991</v>
      </c>
      <c r="AA157" s="1902">
        <f t="shared" si="363"/>
        <v>6289.235999999999</v>
      </c>
      <c r="AB157" s="1902">
        <f t="shared" si="363"/>
        <v>6364.025999999998</v>
      </c>
      <c r="AC157" s="1902">
        <f t="shared" si="363"/>
        <v>6884.2879999999986</v>
      </c>
      <c r="AD157" s="1902">
        <f t="shared" si="363"/>
        <v>7046.5609999999979</v>
      </c>
      <c r="AE157" s="1903">
        <f t="shared" si="363"/>
        <v>7046.5609999999979</v>
      </c>
      <c r="AF157" s="1902">
        <f t="shared" si="363"/>
        <v>6789.6999999999989</v>
      </c>
      <c r="AG157" s="1902">
        <f t="shared" si="363"/>
        <v>6943.9999999999982</v>
      </c>
      <c r="AH157" s="1902">
        <f t="shared" si="363"/>
        <v>7153.6999999999989</v>
      </c>
      <c r="AI157" s="1902">
        <f>SUM(AI151:AI155,AI149)</f>
        <v>6427.3999999999987</v>
      </c>
      <c r="AJ157" s="1903">
        <f>SUM(AJ151:AJ155,AJ149)</f>
        <v>6427.3999999999978</v>
      </c>
      <c r="AK157" s="1904">
        <f>SUM(AK151:AK155,AK149)</f>
        <v>6352.3999999999978</v>
      </c>
      <c r="AL157" s="1904">
        <f>SUM(AL151:AL155,AL149)</f>
        <v>7310.3999999999978</v>
      </c>
      <c r="AM157" s="1904">
        <f>SUM(AM151:AM155,AM149)</f>
        <v>7943.3999999999978</v>
      </c>
      <c r="AN157" s="1902">
        <f t="shared" ref="AN157:BY157" si="364">SUM(AN151:AN155,AN149)</f>
        <v>7052.3999999999978</v>
      </c>
      <c r="AO157" s="1903">
        <f t="shared" si="364"/>
        <v>7052.3999999999978</v>
      </c>
      <c r="AP157" s="1904">
        <f t="shared" si="364"/>
        <v>6270.3999999999978</v>
      </c>
      <c r="AQ157" s="1904">
        <f t="shared" si="364"/>
        <v>6160.3999999999978</v>
      </c>
      <c r="AR157" s="1904">
        <f t="shared" si="364"/>
        <v>5848.3999999999978</v>
      </c>
      <c r="AS157" s="1902">
        <f t="shared" si="364"/>
        <v>6061.3999999999978</v>
      </c>
      <c r="AT157" s="1903">
        <f t="shared" si="364"/>
        <v>6061.3999999999978</v>
      </c>
      <c r="AU157" s="1904">
        <f t="shared" si="364"/>
        <v>6011.3999999999978</v>
      </c>
      <c r="AV157" s="1904">
        <f t="shared" si="364"/>
        <v>6057.3999999999978</v>
      </c>
      <c r="AW157" s="1902">
        <f t="shared" si="364"/>
        <v>6270.3999999999978</v>
      </c>
      <c r="AX157" s="1902">
        <f t="shared" si="364"/>
        <v>6771.3999999999978</v>
      </c>
      <c r="AY157" s="1903">
        <f t="shared" si="364"/>
        <v>6771.3999999999978</v>
      </c>
      <c r="AZ157" s="1902">
        <f t="shared" si="364"/>
        <v>5448.3999999999978</v>
      </c>
      <c r="BA157" s="1904">
        <f t="shared" si="364"/>
        <v>6013.3999999999978</v>
      </c>
      <c r="BB157" s="1904">
        <f t="shared" si="364"/>
        <v>8163.3999999999978</v>
      </c>
      <c r="BC157" s="1902">
        <f t="shared" si="364"/>
        <v>8182.9999999999982</v>
      </c>
      <c r="BD157" s="1903">
        <f t="shared" si="364"/>
        <v>8182.9999999999982</v>
      </c>
      <c r="BE157" s="1902">
        <f t="shared" si="364"/>
        <v>8260.9999999999982</v>
      </c>
      <c r="BF157" s="1904">
        <f t="shared" si="364"/>
        <v>8290.9999999999982</v>
      </c>
      <c r="BG157" s="1904">
        <f t="shared" si="364"/>
        <v>8674.9999999999982</v>
      </c>
      <c r="BH157" s="1902">
        <f t="shared" si="364"/>
        <v>8668.9999999999982</v>
      </c>
      <c r="BI157" s="1903">
        <f t="shared" si="364"/>
        <v>8668.9999999999982</v>
      </c>
      <c r="BJ157" s="1902">
        <f t="shared" si="364"/>
        <v>8653.9999999999982</v>
      </c>
      <c r="BK157" s="1904">
        <f t="shared" si="364"/>
        <v>8790.9999999999982</v>
      </c>
      <c r="BL157" s="1902">
        <f t="shared" si="364"/>
        <v>8713.9999999999982</v>
      </c>
      <c r="BM157" s="1902">
        <f t="shared" si="364"/>
        <v>9424.9999999999982</v>
      </c>
      <c r="BN157" s="1903">
        <f t="shared" si="364"/>
        <v>9424.9999999999982</v>
      </c>
      <c r="BO157" s="1902">
        <f t="shared" si="364"/>
        <v>8496.9999999999982</v>
      </c>
      <c r="BP157" s="1902">
        <f t="shared" si="364"/>
        <v>8629.3577328513475</v>
      </c>
      <c r="BQ157" s="1902">
        <f t="shared" si="364"/>
        <v>8698.1883936353443</v>
      </c>
      <c r="BR157" s="1902">
        <f t="shared" si="364"/>
        <v>9034.2930486015539</v>
      </c>
      <c r="BS157" s="1903">
        <f t="shared" si="364"/>
        <v>9034.2930486015557</v>
      </c>
      <c r="BT157" s="1902">
        <f t="shared" ref="BT157:BX157" si="365">SUM(BT151:BT155,BT149)</f>
        <v>8879.319718093835</v>
      </c>
      <c r="BU157" s="1902">
        <f t="shared" si="365"/>
        <v>9012.474268468166</v>
      </c>
      <c r="BV157" s="1902">
        <f t="shared" si="365"/>
        <v>9063.5166351569023</v>
      </c>
      <c r="BW157" s="1902">
        <f t="shared" si="365"/>
        <v>9395.3591779199505</v>
      </c>
      <c r="BX157" s="1903">
        <f t="shared" si="365"/>
        <v>9395.3591779199487</v>
      </c>
      <c r="BY157" s="1905">
        <f t="shared" si="364"/>
        <v>9721.8131370054998</v>
      </c>
      <c r="BZ157" s="1905">
        <f>SUM(BZ151:BZ155,BZ149)</f>
        <v>10038.652781446839</v>
      </c>
      <c r="CA157" s="1905">
        <f>SUM(CA151:CA155,CA149)</f>
        <v>10451.210960780119</v>
      </c>
      <c r="CB157" s="383"/>
      <c r="CC157" s="1359"/>
      <c r="CD157" s="227" t="str">
        <f>A157</f>
        <v>Total Assets</v>
      </c>
      <c r="CE157" s="222">
        <f t="shared" ref="CE157:CT157" si="366">SUM(CE151:CE155,CE149)</f>
        <v>5161.1909999999989</v>
      </c>
      <c r="CF157" s="222">
        <f t="shared" si="366"/>
        <v>5032.1819999999998</v>
      </c>
      <c r="CG157" s="222">
        <f t="shared" si="366"/>
        <v>5394.0680000000011</v>
      </c>
      <c r="CH157" s="222">
        <f t="shared" si="366"/>
        <v>5862.9889999999996</v>
      </c>
      <c r="CI157" s="222">
        <f t="shared" si="366"/>
        <v>6395.8079999999991</v>
      </c>
      <c r="CJ157" s="222">
        <f t="shared" si="366"/>
        <v>6042.8899999999994</v>
      </c>
      <c r="CK157" s="222">
        <f t="shared" si="366"/>
        <v>6357.3359999999993</v>
      </c>
      <c r="CL157" s="222">
        <f t="shared" si="366"/>
        <v>6080.141999999998</v>
      </c>
      <c r="CM157" s="222">
        <f t="shared" si="366"/>
        <v>6475.2499999999991</v>
      </c>
      <c r="CN157" s="222">
        <f t="shared" si="366"/>
        <v>7046.5609999999979</v>
      </c>
      <c r="CO157" s="222">
        <f t="shared" si="366"/>
        <v>6427.3999999999978</v>
      </c>
      <c r="CP157" s="222">
        <f t="shared" si="366"/>
        <v>7052.3999999999978</v>
      </c>
      <c r="CQ157" s="222">
        <f t="shared" si="366"/>
        <v>6061.3999999999978</v>
      </c>
      <c r="CR157" s="222">
        <f t="shared" si="366"/>
        <v>6771.3999999999978</v>
      </c>
      <c r="CS157" s="222">
        <f t="shared" si="366"/>
        <v>8182.9999999999982</v>
      </c>
      <c r="CT157" s="222">
        <f t="shared" si="366"/>
        <v>8668.9999999999982</v>
      </c>
      <c r="CU157" s="222">
        <f t="shared" ref="CU157:CZ157" si="367">SUM(CU151:CU155,CU149)</f>
        <v>9424.9999999999982</v>
      </c>
      <c r="CV157" s="222">
        <f t="shared" si="367"/>
        <v>9034.2930486015557</v>
      </c>
      <c r="CW157" s="222">
        <f t="shared" si="367"/>
        <v>9395.3591779199487</v>
      </c>
      <c r="CX157" s="222">
        <f t="shared" si="367"/>
        <v>9721.8131370054998</v>
      </c>
      <c r="CY157" s="222">
        <f t="shared" si="367"/>
        <v>10038.652781446839</v>
      </c>
      <c r="CZ157" s="228">
        <f t="shared" si="367"/>
        <v>10451.210960780119</v>
      </c>
      <c r="DA157" s="74"/>
      <c r="DB157" s="282"/>
      <c r="DC157"/>
      <c r="DD157"/>
      <c r="DE157"/>
      <c r="DF157"/>
      <c r="DG157"/>
      <c r="DH157"/>
    </row>
    <row r="158" spans="1:112" ht="12" customHeight="1">
      <c r="A158" s="390"/>
      <c r="B158" s="79"/>
      <c r="C158" s="79"/>
      <c r="D158" s="79"/>
      <c r="E158" s="79"/>
      <c r="F158" s="79"/>
      <c r="G158" s="251"/>
      <c r="H158" s="86"/>
      <c r="I158" s="86"/>
      <c r="J158" s="86"/>
      <c r="K158" s="79"/>
      <c r="L158" s="86"/>
      <c r="M158" s="86"/>
      <c r="N158" s="86"/>
      <c r="O158" s="86"/>
      <c r="P158" s="79"/>
      <c r="Q158" s="86"/>
      <c r="R158" s="86"/>
      <c r="S158" s="86"/>
      <c r="T158" s="86"/>
      <c r="U158" s="79"/>
      <c r="V158" s="86"/>
      <c r="W158" s="86"/>
      <c r="X158" s="86"/>
      <c r="Y158" s="86"/>
      <c r="Z158" s="79"/>
      <c r="AA158" s="86"/>
      <c r="AB158" s="86"/>
      <c r="AC158" s="86"/>
      <c r="AD158" s="86"/>
      <c r="AE158" s="79"/>
      <c r="AF158" s="86"/>
      <c r="AG158" s="86"/>
      <c r="AH158" s="86"/>
      <c r="AI158" s="86"/>
      <c r="AJ158" s="79"/>
      <c r="AK158" s="416"/>
      <c r="AL158" s="390"/>
      <c r="AM158" s="390"/>
      <c r="AN158" s="86"/>
      <c r="AO158" s="79"/>
      <c r="AP158" s="416"/>
      <c r="AQ158" s="390"/>
      <c r="AR158" s="390"/>
      <c r="AS158" s="86"/>
      <c r="AT158" s="79"/>
      <c r="AU158" s="416"/>
      <c r="AV158" s="390"/>
      <c r="AW158" s="251"/>
      <c r="AX158" s="46"/>
      <c r="AY158" s="79"/>
      <c r="AZ158" s="251"/>
      <c r="BA158" s="251"/>
      <c r="BB158" s="251"/>
      <c r="BC158" s="46"/>
      <c r="BD158" s="79"/>
      <c r="BE158" s="251"/>
      <c r="BF158" s="251"/>
      <c r="BG158" s="251"/>
      <c r="BH158" s="46"/>
      <c r="BI158" s="79"/>
      <c r="BJ158" s="251"/>
      <c r="BK158" s="251"/>
      <c r="BL158" s="251"/>
      <c r="BM158" s="251"/>
      <c r="BN158" s="79"/>
      <c r="BO158" s="251"/>
      <c r="BP158" s="251"/>
      <c r="BQ158" s="251"/>
      <c r="BR158" s="251"/>
      <c r="BS158" s="79"/>
      <c r="BT158" s="251"/>
      <c r="BU158" s="251"/>
      <c r="BV158" s="251"/>
      <c r="BW158" s="251"/>
      <c r="BX158" s="79"/>
      <c r="BY158" s="394"/>
      <c r="BZ158" s="394"/>
      <c r="CA158" s="394"/>
      <c r="CB158" s="395"/>
      <c r="CD158" s="57"/>
      <c r="CE158" s="46"/>
      <c r="CF158" s="46"/>
      <c r="CG158" s="46"/>
      <c r="CH158" s="46"/>
      <c r="CI158" s="46"/>
      <c r="CJ158" s="46"/>
      <c r="CK158" s="46"/>
      <c r="CL158" s="46"/>
      <c r="CM158" s="46"/>
      <c r="CN158" s="46"/>
      <c r="CO158" s="46"/>
      <c r="CP158" s="46"/>
      <c r="CQ158" s="46"/>
      <c r="CR158" s="46"/>
      <c r="CS158" s="46"/>
      <c r="CT158" s="46"/>
      <c r="CU158" s="46"/>
      <c r="CV158" s="46"/>
      <c r="CW158" s="46"/>
      <c r="CX158" s="46"/>
      <c r="CY158" s="46"/>
      <c r="CZ158" s="44"/>
      <c r="DA158" s="58"/>
      <c r="DB158" s="59"/>
    </row>
    <row r="159" spans="1:112" ht="12" customHeight="1">
      <c r="A159" s="390" t="s">
        <v>162</v>
      </c>
      <c r="B159" s="79"/>
      <c r="C159" s="79"/>
      <c r="D159" s="79"/>
      <c r="E159" s="79"/>
      <c r="F159" s="79"/>
      <c r="G159" s="251"/>
      <c r="H159" s="86"/>
      <c r="I159" s="86"/>
      <c r="J159" s="86"/>
      <c r="K159" s="79"/>
      <c r="L159" s="86"/>
      <c r="M159" s="86"/>
      <c r="N159" s="86"/>
      <c r="O159" s="86"/>
      <c r="P159" s="79"/>
      <c r="Q159" s="86"/>
      <c r="R159" s="86"/>
      <c r="S159" s="86"/>
      <c r="T159" s="86"/>
      <c r="U159" s="79"/>
      <c r="V159" s="86"/>
      <c r="W159" s="86"/>
      <c r="X159" s="86"/>
      <c r="Y159" s="86"/>
      <c r="Z159" s="79"/>
      <c r="AA159" s="86"/>
      <c r="AB159" s="86"/>
      <c r="AC159" s="86"/>
      <c r="AD159" s="86"/>
      <c r="AE159" s="79"/>
      <c r="AF159" s="86"/>
      <c r="AG159" s="86"/>
      <c r="AH159" s="86"/>
      <c r="AI159" s="86"/>
      <c r="AJ159" s="79"/>
      <c r="AK159" s="416"/>
      <c r="AL159" s="390"/>
      <c r="AM159" s="390"/>
      <c r="AN159" s="86"/>
      <c r="AO159" s="79"/>
      <c r="AP159" s="416"/>
      <c r="AQ159" s="390"/>
      <c r="AR159" s="390"/>
      <c r="AS159" s="86"/>
      <c r="AT159" s="79"/>
      <c r="AU159" s="416"/>
      <c r="AV159" s="390"/>
      <c r="AW159" s="251"/>
      <c r="AX159" s="46"/>
      <c r="AY159" s="79"/>
      <c r="AZ159" s="251"/>
      <c r="BA159" s="251"/>
      <c r="BB159" s="251"/>
      <c r="BC159" s="46"/>
      <c r="BD159" s="79"/>
      <c r="BE159" s="251"/>
      <c r="BF159" s="251"/>
      <c r="BG159" s="251"/>
      <c r="BH159" s="46"/>
      <c r="BI159" s="79"/>
      <c r="BJ159" s="251"/>
      <c r="BK159" s="251"/>
      <c r="BL159" s="251"/>
      <c r="BM159" s="251"/>
      <c r="BN159" s="79"/>
      <c r="BO159" s="251"/>
      <c r="BP159" s="251"/>
      <c r="BQ159" s="251"/>
      <c r="BR159" s="251"/>
      <c r="BS159" s="79"/>
      <c r="BT159" s="251"/>
      <c r="BU159" s="251"/>
      <c r="BV159" s="251"/>
      <c r="BW159" s="251"/>
      <c r="BX159" s="79"/>
      <c r="BY159" s="394"/>
      <c r="BZ159" s="394"/>
      <c r="CA159" s="394"/>
      <c r="CB159" s="395"/>
      <c r="CD159" s="57" t="str">
        <f t="shared" ref="CD159:CD167" si="368">A159</f>
        <v>LIABILITIES AND STOCKHOLDERS’ EQUITY</v>
      </c>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4"/>
      <c r="DA159" s="58"/>
      <c r="DB159" s="59"/>
    </row>
    <row r="160" spans="1:112" ht="12" customHeight="1">
      <c r="A160" s="390" t="s">
        <v>163</v>
      </c>
      <c r="B160" s="79"/>
      <c r="C160" s="79"/>
      <c r="D160" s="79"/>
      <c r="E160" s="79"/>
      <c r="F160" s="79"/>
      <c r="G160" s="251"/>
      <c r="H160" s="86"/>
      <c r="I160" s="86"/>
      <c r="J160" s="86"/>
      <c r="K160" s="79"/>
      <c r="L160" s="86"/>
      <c r="M160" s="86"/>
      <c r="N160" s="86"/>
      <c r="O160" s="86"/>
      <c r="P160" s="79"/>
      <c r="Q160" s="86"/>
      <c r="R160" s="86"/>
      <c r="S160" s="86"/>
      <c r="T160" s="86"/>
      <c r="U160" s="79"/>
      <c r="V160" s="86"/>
      <c r="W160" s="86"/>
      <c r="X160" s="86"/>
      <c r="Y160" s="86"/>
      <c r="Z160" s="79"/>
      <c r="AA160" s="86"/>
      <c r="AB160" s="86"/>
      <c r="AC160" s="86"/>
      <c r="AD160" s="86"/>
      <c r="AE160" s="79"/>
      <c r="AF160" s="86"/>
      <c r="AG160" s="86"/>
      <c r="AH160" s="86"/>
      <c r="AI160" s="86"/>
      <c r="AJ160" s="79"/>
      <c r="AK160" s="416"/>
      <c r="AL160" s="390"/>
      <c r="AM160" s="390"/>
      <c r="AN160" s="86"/>
      <c r="AO160" s="79"/>
      <c r="AP160" s="416"/>
      <c r="AQ160" s="390"/>
      <c r="AR160" s="390"/>
      <c r="AS160" s="86"/>
      <c r="AT160" s="79"/>
      <c r="AU160" s="416"/>
      <c r="AV160" s="390"/>
      <c r="AW160" s="251"/>
      <c r="AX160" s="46"/>
      <c r="AY160" s="79"/>
      <c r="AZ160" s="251"/>
      <c r="BA160" s="251"/>
      <c r="BB160" s="251"/>
      <c r="BC160" s="46"/>
      <c r="BD160" s="79"/>
      <c r="BE160" s="251"/>
      <c r="BF160" s="251"/>
      <c r="BG160" s="251"/>
      <c r="BH160" s="46"/>
      <c r="BI160" s="79"/>
      <c r="BJ160" s="251"/>
      <c r="BK160" s="251"/>
      <c r="BL160" s="251"/>
      <c r="BM160" s="251"/>
      <c r="BN160" s="79"/>
      <c r="BO160" s="251"/>
      <c r="BP160" s="251"/>
      <c r="BQ160" s="251"/>
      <c r="BR160" s="251"/>
      <c r="BS160" s="79"/>
      <c r="BT160" s="251"/>
      <c r="BU160" s="251"/>
      <c r="BV160" s="251"/>
      <c r="BW160" s="251"/>
      <c r="BX160" s="79"/>
      <c r="BY160" s="394"/>
      <c r="BZ160" s="394"/>
      <c r="CA160" s="394"/>
      <c r="CB160" s="395"/>
      <c r="CD160" s="57" t="str">
        <f t="shared" si="368"/>
        <v>Current Liabilities</v>
      </c>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4"/>
      <c r="DA160" s="58"/>
      <c r="DB160" s="59"/>
    </row>
    <row r="161" spans="1:112" s="70" customFormat="1" ht="12" customHeight="1">
      <c r="A161" s="1917" t="s">
        <v>164</v>
      </c>
      <c r="B161" s="1899">
        <v>339.541</v>
      </c>
      <c r="C161" s="1900">
        <v>303.35399999999998</v>
      </c>
      <c r="D161" s="1900">
        <v>306.15699999999998</v>
      </c>
      <c r="E161" s="1900">
        <v>318.30099999999999</v>
      </c>
      <c r="F161" s="1900">
        <v>336.28500000000003</v>
      </c>
      <c r="G161" s="1901">
        <v>279.96100000000001</v>
      </c>
      <c r="H161" s="1901">
        <v>294.274</v>
      </c>
      <c r="I161" s="1901">
        <v>303.02699999999999</v>
      </c>
      <c r="J161" s="1901">
        <v>372.471</v>
      </c>
      <c r="K161" s="1903">
        <f t="shared" ref="K161:K167" si="369">J161</f>
        <v>372.471</v>
      </c>
      <c r="L161" s="1901">
        <v>326.45100000000002</v>
      </c>
      <c r="M161" s="1901">
        <v>362.37299999999999</v>
      </c>
      <c r="N161" s="1901">
        <v>360.78</v>
      </c>
      <c r="O161" s="1901">
        <v>388.00799999999998</v>
      </c>
      <c r="P161" s="1903">
        <f t="shared" ref="P161:P167" si="370">O161</f>
        <v>388.00799999999998</v>
      </c>
      <c r="Q161" s="1901">
        <v>360.85599999999999</v>
      </c>
      <c r="R161" s="1901">
        <v>361.46699999999998</v>
      </c>
      <c r="S161" s="1901">
        <v>318.97399999999999</v>
      </c>
      <c r="T161" s="1901">
        <v>337.459</v>
      </c>
      <c r="U161" s="1903">
        <f t="shared" ref="U161:U167" si="371">T161</f>
        <v>337.459</v>
      </c>
      <c r="V161" s="1901">
        <v>275.45699999999999</v>
      </c>
      <c r="W161" s="1901">
        <v>285.50900000000001</v>
      </c>
      <c r="X161" s="1901">
        <v>314.57100000000003</v>
      </c>
      <c r="Y161" s="1901">
        <v>301.82799999999997</v>
      </c>
      <c r="Z161" s="1903">
        <f t="shared" ref="Z161:Z167" si="372">Y161</f>
        <v>301.82799999999997</v>
      </c>
      <c r="AA161" s="1901">
        <v>293.37299999999999</v>
      </c>
      <c r="AB161" s="1901">
        <v>325.029</v>
      </c>
      <c r="AC161" s="1901">
        <v>335.226</v>
      </c>
      <c r="AD161" s="1901">
        <v>396.48</v>
      </c>
      <c r="AE161" s="1903">
        <f t="shared" ref="AE161:AE167" si="373">AD161</f>
        <v>396.48</v>
      </c>
      <c r="AF161" s="1901">
        <v>340.6</v>
      </c>
      <c r="AG161" s="1901">
        <v>339.8</v>
      </c>
      <c r="AH161" s="1901">
        <v>333.5</v>
      </c>
      <c r="AI161" s="1944">
        <v>347</v>
      </c>
      <c r="AJ161" s="1945">
        <f t="shared" ref="AJ161:AJ167" si="374">AI161</f>
        <v>347</v>
      </c>
      <c r="AK161" s="1944">
        <v>337</v>
      </c>
      <c r="AL161" s="1944">
        <v>232</v>
      </c>
      <c r="AM161" s="1944">
        <v>409</v>
      </c>
      <c r="AN161" s="1944">
        <v>249</v>
      </c>
      <c r="AO161" s="1945">
        <f t="shared" ref="AO161:AO166" si="375">AN161</f>
        <v>249</v>
      </c>
      <c r="AP161" s="1944">
        <v>250</v>
      </c>
      <c r="AQ161" s="1944">
        <v>227</v>
      </c>
      <c r="AR161" s="1944">
        <v>227</v>
      </c>
      <c r="AS161" s="1944">
        <v>219</v>
      </c>
      <c r="AT161" s="1945">
        <f t="shared" ref="AT161:AT167" si="376">AS161</f>
        <v>219</v>
      </c>
      <c r="AU161" s="1944">
        <v>206</v>
      </c>
      <c r="AV161" s="1944">
        <v>198</v>
      </c>
      <c r="AW161" s="1946">
        <v>192</v>
      </c>
      <c r="AX161" s="1947">
        <v>191</v>
      </c>
      <c r="AY161" s="1945">
        <f t="shared" ref="AY161:AY166" si="377">AX161</f>
        <v>191</v>
      </c>
      <c r="AZ161" s="1946">
        <v>181</v>
      </c>
      <c r="BA161" s="1946">
        <v>181</v>
      </c>
      <c r="BB161" s="1946">
        <v>211</v>
      </c>
      <c r="BC161" s="1947">
        <v>206</v>
      </c>
      <c r="BD161" s="1945">
        <f t="shared" ref="BD161:BD166" si="378">BC161</f>
        <v>206</v>
      </c>
      <c r="BE161" s="1947">
        <v>168</v>
      </c>
      <c r="BF161" s="1947">
        <v>178</v>
      </c>
      <c r="BG161" s="1947">
        <v>199</v>
      </c>
      <c r="BH161" s="1947">
        <v>183</v>
      </c>
      <c r="BI161" s="1945">
        <f t="shared" ref="BI161:BI166" si="379">BH161</f>
        <v>183</v>
      </c>
      <c r="BJ161" s="1947">
        <v>162</v>
      </c>
      <c r="BK161" s="1947">
        <v>162</v>
      </c>
      <c r="BL161" s="2186">
        <v>170</v>
      </c>
      <c r="BM161" s="2186">
        <v>195</v>
      </c>
      <c r="BN161" s="1945">
        <f t="shared" ref="BN161:BN167" si="380">BM161</f>
        <v>195</v>
      </c>
      <c r="BO161" s="2186">
        <v>196</v>
      </c>
      <c r="BP161" s="1948">
        <f>(BP14*BP237)/90</f>
        <v>176.10465236608084</v>
      </c>
      <c r="BQ161" s="1948">
        <f>(BQ14*BQ237)/90</f>
        <v>182.39656608477992</v>
      </c>
      <c r="BR161" s="1948">
        <f>(BR14*BR237)/90</f>
        <v>205.07989644313804</v>
      </c>
      <c r="BS161" s="1945">
        <f t="shared" ref="BS161:BS167" si="381">BR161</f>
        <v>205.07989644313804</v>
      </c>
      <c r="BT161" s="1948">
        <f>(BT14*BT237)/90</f>
        <v>205.93530454152844</v>
      </c>
      <c r="BU161" s="1948">
        <f>(BU14*BU237)/90</f>
        <v>186.51631738984617</v>
      </c>
      <c r="BV161" s="1948">
        <f>(BV14*BV237)/90</f>
        <v>193.40311823782835</v>
      </c>
      <c r="BW161" s="1948">
        <f>(BW14*BW237)/90</f>
        <v>217.32905627016487</v>
      </c>
      <c r="BX161" s="1945">
        <f t="shared" ref="BX161:BX167" si="382">BW161</f>
        <v>217.32905627016487</v>
      </c>
      <c r="BY161" s="1949">
        <f>(BY14*BY237)/365</f>
        <v>225.43384857971128</v>
      </c>
      <c r="BZ161" s="1949">
        <f>(BZ14*BZ237)/365</f>
        <v>237.18177647437193</v>
      </c>
      <c r="CA161" s="1949">
        <f>(CA14*CA237)/365</f>
        <v>248.29446991111593</v>
      </c>
      <c r="CB161" s="383"/>
      <c r="CC161" s="1359"/>
      <c r="CD161" s="417" t="str">
        <f t="shared" si="368"/>
        <v>Accounts Payable</v>
      </c>
      <c r="CE161" s="222">
        <f t="shared" ref="CE161:CI167" si="383">B161</f>
        <v>339.541</v>
      </c>
      <c r="CF161" s="222">
        <f t="shared" si="383"/>
        <v>303.35399999999998</v>
      </c>
      <c r="CG161" s="222">
        <f t="shared" si="383"/>
        <v>306.15699999999998</v>
      </c>
      <c r="CH161" s="222">
        <f t="shared" si="383"/>
        <v>318.30099999999999</v>
      </c>
      <c r="CI161" s="222">
        <f t="shared" si="383"/>
        <v>336.28500000000003</v>
      </c>
      <c r="CJ161" s="222">
        <f t="shared" ref="CJ161:CJ167" si="384">K161</f>
        <v>372.471</v>
      </c>
      <c r="CK161" s="222">
        <f t="shared" ref="CK161:CK167" si="385">P161</f>
        <v>388.00799999999998</v>
      </c>
      <c r="CL161" s="222">
        <f t="shared" ref="CL161:CL167" si="386">U161</f>
        <v>337.459</v>
      </c>
      <c r="CM161" s="222">
        <f t="shared" ref="CM161:CM167" si="387">Z161</f>
        <v>301.82799999999997</v>
      </c>
      <c r="CN161" s="222">
        <f t="shared" ref="CN161:CN167" si="388">AE161</f>
        <v>396.48</v>
      </c>
      <c r="CO161" s="222">
        <f t="shared" ref="CO161:CO167" si="389">AJ161</f>
        <v>347</v>
      </c>
      <c r="CP161" s="222">
        <f t="shared" ref="CP161:CP167" si="390">AO161</f>
        <v>249</v>
      </c>
      <c r="CQ161" s="222">
        <f t="shared" ref="CQ161:CQ167" si="391">AT161</f>
        <v>219</v>
      </c>
      <c r="CR161" s="222">
        <f t="shared" ref="CR161:CR167" si="392">AY161</f>
        <v>191</v>
      </c>
      <c r="CS161" s="222">
        <f t="shared" ref="CS161:CS167" si="393">BD161</f>
        <v>206</v>
      </c>
      <c r="CT161" s="222">
        <f t="shared" ref="CT161:CT167" si="394">BI161</f>
        <v>183</v>
      </c>
      <c r="CU161" s="222">
        <f t="shared" ref="CU161:CU167" si="395">BN161</f>
        <v>195</v>
      </c>
      <c r="CV161" s="222">
        <f t="shared" ref="CV161:CV167" si="396">BS161</f>
        <v>205.07989644313804</v>
      </c>
      <c r="CW161" s="222">
        <f t="shared" ref="CW161:CZ167" si="397">BX161</f>
        <v>217.32905627016487</v>
      </c>
      <c r="CX161" s="222">
        <f t="shared" si="397"/>
        <v>225.43384857971128</v>
      </c>
      <c r="CY161" s="222">
        <f t="shared" si="397"/>
        <v>237.18177647437193</v>
      </c>
      <c r="CZ161" s="228">
        <f t="shared" si="397"/>
        <v>248.29446991111593</v>
      </c>
      <c r="DA161" s="74"/>
      <c r="DB161" s="282"/>
      <c r="DC161"/>
      <c r="DD161"/>
      <c r="DE161"/>
      <c r="DF161"/>
      <c r="DG161"/>
      <c r="DH161"/>
    </row>
    <row r="162" spans="1:112" s="82" customFormat="1" ht="12" customHeight="1">
      <c r="A162" s="1906" t="s">
        <v>165</v>
      </c>
      <c r="B162" s="1907">
        <v>112.423</v>
      </c>
      <c r="C162" s="1907">
        <v>119.821</v>
      </c>
      <c r="D162" s="1907">
        <v>121.047</v>
      </c>
      <c r="E162" s="1907">
        <v>125.55200000000001</v>
      </c>
      <c r="F162" s="1907">
        <v>115.251</v>
      </c>
      <c r="G162" s="1873">
        <v>35.173000000000002</v>
      </c>
      <c r="H162" s="1888">
        <v>50.106999999999999</v>
      </c>
      <c r="I162" s="1888">
        <v>92.108000000000004</v>
      </c>
      <c r="J162" s="1888">
        <v>105.60599999999999</v>
      </c>
      <c r="K162" s="1909">
        <f t="shared" si="369"/>
        <v>105.60599999999999</v>
      </c>
      <c r="L162" s="1888">
        <v>33.021999999999998</v>
      </c>
      <c r="M162" s="1888">
        <v>53.61</v>
      </c>
      <c r="N162" s="1888">
        <v>99.094999999999999</v>
      </c>
      <c r="O162" s="1888">
        <v>110.849</v>
      </c>
      <c r="P162" s="1909">
        <f t="shared" si="370"/>
        <v>110.849</v>
      </c>
      <c r="Q162" s="1888">
        <v>36.115000000000002</v>
      </c>
      <c r="R162" s="1888">
        <v>57.301000000000002</v>
      </c>
      <c r="S162" s="1888">
        <v>101.315</v>
      </c>
      <c r="T162" s="1888">
        <v>111.471</v>
      </c>
      <c r="U162" s="1909">
        <f t="shared" si="371"/>
        <v>111.471</v>
      </c>
      <c r="V162" s="1888">
        <v>31.408999999999999</v>
      </c>
      <c r="W162" s="1888">
        <v>49.435000000000002</v>
      </c>
      <c r="X162" s="1888">
        <v>98.39</v>
      </c>
      <c r="Y162" s="1888">
        <v>114.157</v>
      </c>
      <c r="Z162" s="1909">
        <f t="shared" si="372"/>
        <v>114.157</v>
      </c>
      <c r="AA162" s="1888">
        <v>30.952999999999999</v>
      </c>
      <c r="AB162" s="1888">
        <v>48.671999999999997</v>
      </c>
      <c r="AC162" s="1888">
        <v>102.956</v>
      </c>
      <c r="AD162" s="1888">
        <v>114.46599999999999</v>
      </c>
      <c r="AE162" s="1909">
        <f t="shared" si="373"/>
        <v>114.46599999999999</v>
      </c>
      <c r="AF162" s="1888">
        <v>30.9</v>
      </c>
      <c r="AG162" s="1888">
        <v>48.5</v>
      </c>
      <c r="AH162" s="1888">
        <v>101.1</v>
      </c>
      <c r="AI162" s="1888">
        <v>119</v>
      </c>
      <c r="AJ162" s="1909">
        <f t="shared" si="374"/>
        <v>119</v>
      </c>
      <c r="AK162" s="1888">
        <v>33</v>
      </c>
      <c r="AL162" s="1888">
        <v>50</v>
      </c>
      <c r="AM162" s="1888">
        <v>98</v>
      </c>
      <c r="AN162" s="1888">
        <v>0</v>
      </c>
      <c r="AO162" s="1909">
        <f t="shared" si="375"/>
        <v>0</v>
      </c>
      <c r="AP162" s="1888">
        <v>0</v>
      </c>
      <c r="AQ162" s="1888">
        <v>0</v>
      </c>
      <c r="AR162" s="1888">
        <v>0</v>
      </c>
      <c r="AS162" s="1888">
        <v>0</v>
      </c>
      <c r="AT162" s="1909">
        <f t="shared" si="376"/>
        <v>0</v>
      </c>
      <c r="AU162" s="1888">
        <v>0</v>
      </c>
      <c r="AV162" s="1888">
        <v>0</v>
      </c>
      <c r="AW162" s="1873">
        <v>0</v>
      </c>
      <c r="AX162" s="1872">
        <v>0</v>
      </c>
      <c r="AY162" s="1909">
        <f t="shared" si="377"/>
        <v>0</v>
      </c>
      <c r="AZ162" s="1873">
        <v>0</v>
      </c>
      <c r="BA162" s="1873">
        <v>0</v>
      </c>
      <c r="BB162" s="1873">
        <v>0</v>
      </c>
      <c r="BC162" s="1872">
        <v>0</v>
      </c>
      <c r="BD162" s="1909">
        <f t="shared" si="378"/>
        <v>0</v>
      </c>
      <c r="BE162" s="1872">
        <v>0</v>
      </c>
      <c r="BF162" s="1872">
        <v>0</v>
      </c>
      <c r="BG162" s="1872">
        <v>0</v>
      </c>
      <c r="BH162" s="1872">
        <v>0</v>
      </c>
      <c r="BI162" s="1909">
        <f t="shared" si="379"/>
        <v>0</v>
      </c>
      <c r="BJ162" s="1872">
        <v>0</v>
      </c>
      <c r="BK162" s="1872">
        <v>0</v>
      </c>
      <c r="BL162" s="2167">
        <v>0</v>
      </c>
      <c r="BM162" s="2167">
        <v>0</v>
      </c>
      <c r="BN162" s="1909">
        <f t="shared" si="380"/>
        <v>0</v>
      </c>
      <c r="BO162" s="2167">
        <v>0</v>
      </c>
      <c r="BP162" s="1910">
        <f>BP14*BP240*4</f>
        <v>0</v>
      </c>
      <c r="BQ162" s="1910">
        <f>BQ14*BQ240*4</f>
        <v>0</v>
      </c>
      <c r="BR162" s="1910">
        <f>BR14*BR240*4</f>
        <v>0</v>
      </c>
      <c r="BS162" s="1909">
        <f t="shared" si="381"/>
        <v>0</v>
      </c>
      <c r="BT162" s="1910">
        <f>BT14*BT240*4</f>
        <v>0</v>
      </c>
      <c r="BU162" s="1910">
        <f>BU14*BU240*4</f>
        <v>0</v>
      </c>
      <c r="BV162" s="1910">
        <f>BV14*BV240*4</f>
        <v>0</v>
      </c>
      <c r="BW162" s="1910">
        <f>BW14*BW240*4</f>
        <v>0</v>
      </c>
      <c r="BX162" s="1909">
        <f t="shared" si="382"/>
        <v>0</v>
      </c>
      <c r="BY162" s="1912">
        <f>BY14*BY240</f>
        <v>0</v>
      </c>
      <c r="BZ162" s="1912">
        <f>BZ14*BZ240</f>
        <v>0</v>
      </c>
      <c r="CA162" s="1912">
        <f>CA14*CA240</f>
        <v>0</v>
      </c>
      <c r="CB162" s="395"/>
      <c r="CC162" s="1360"/>
      <c r="CD162" s="83" t="str">
        <f t="shared" si="368"/>
        <v>Accrued Royalties</v>
      </c>
      <c r="CE162" s="46">
        <f t="shared" si="383"/>
        <v>112.423</v>
      </c>
      <c r="CF162" s="46">
        <f t="shared" si="383"/>
        <v>119.821</v>
      </c>
      <c r="CG162" s="46">
        <f t="shared" si="383"/>
        <v>121.047</v>
      </c>
      <c r="CH162" s="46">
        <f t="shared" si="383"/>
        <v>125.55200000000001</v>
      </c>
      <c r="CI162" s="46">
        <f t="shared" si="383"/>
        <v>115.251</v>
      </c>
      <c r="CJ162" s="46">
        <f t="shared" si="384"/>
        <v>105.60599999999999</v>
      </c>
      <c r="CK162" s="46">
        <f t="shared" si="385"/>
        <v>110.849</v>
      </c>
      <c r="CL162" s="46">
        <f t="shared" si="386"/>
        <v>111.471</v>
      </c>
      <c r="CM162" s="46">
        <f t="shared" si="387"/>
        <v>114.157</v>
      </c>
      <c r="CN162" s="46">
        <f t="shared" si="388"/>
        <v>114.46599999999999</v>
      </c>
      <c r="CO162" s="46">
        <f t="shared" si="389"/>
        <v>119</v>
      </c>
      <c r="CP162" s="46">
        <f t="shared" si="390"/>
        <v>0</v>
      </c>
      <c r="CQ162" s="46">
        <f t="shared" si="391"/>
        <v>0</v>
      </c>
      <c r="CR162" s="46">
        <f t="shared" si="392"/>
        <v>0</v>
      </c>
      <c r="CS162" s="46">
        <f t="shared" si="393"/>
        <v>0</v>
      </c>
      <c r="CT162" s="46">
        <f t="shared" si="394"/>
        <v>0</v>
      </c>
      <c r="CU162" s="46">
        <f t="shared" si="395"/>
        <v>0</v>
      </c>
      <c r="CV162" s="46">
        <f t="shared" si="396"/>
        <v>0</v>
      </c>
      <c r="CW162" s="46">
        <f t="shared" si="397"/>
        <v>0</v>
      </c>
      <c r="CX162" s="46">
        <f t="shared" si="397"/>
        <v>0</v>
      </c>
      <c r="CY162" s="46">
        <f t="shared" si="397"/>
        <v>0</v>
      </c>
      <c r="CZ162" s="44">
        <f t="shared" si="397"/>
        <v>0</v>
      </c>
      <c r="DA162" s="86"/>
      <c r="DB162" s="399"/>
      <c r="DC162"/>
      <c r="DD162"/>
      <c r="DE162"/>
      <c r="DF162"/>
      <c r="DG162"/>
      <c r="DH162"/>
    </row>
    <row r="163" spans="1:112" s="82" customFormat="1" ht="12" customHeight="1">
      <c r="A163" s="1906" t="s">
        <v>166</v>
      </c>
      <c r="B163" s="1907">
        <v>273.28899999999999</v>
      </c>
      <c r="C163" s="1907">
        <v>317.64</v>
      </c>
      <c r="D163" s="1907">
        <v>352.06099999999998</v>
      </c>
      <c r="E163" s="1907">
        <v>411.33</v>
      </c>
      <c r="F163" s="1907">
        <v>499.65499999999997</v>
      </c>
      <c r="G163" s="1873">
        <v>295.517</v>
      </c>
      <c r="H163" s="1888">
        <v>363.16199999999998</v>
      </c>
      <c r="I163" s="1888">
        <v>478.76400000000001</v>
      </c>
      <c r="J163" s="1888">
        <v>551.62699999999995</v>
      </c>
      <c r="K163" s="1909">
        <f t="shared" si="369"/>
        <v>551.62699999999995</v>
      </c>
      <c r="L163" s="1888">
        <v>354.9</v>
      </c>
      <c r="M163" s="1888">
        <v>440.72899999999998</v>
      </c>
      <c r="N163" s="1888">
        <v>532.29999999999995</v>
      </c>
      <c r="O163" s="1888">
        <v>598.55600000000004</v>
      </c>
      <c r="P163" s="1909">
        <f t="shared" si="370"/>
        <v>598.55600000000004</v>
      </c>
      <c r="Q163" s="1888">
        <v>310.98099999999999</v>
      </c>
      <c r="R163" s="1888">
        <v>368.00799999999998</v>
      </c>
      <c r="S163" s="1888">
        <v>394.65699999999998</v>
      </c>
      <c r="T163" s="1888">
        <v>420.51499999999999</v>
      </c>
      <c r="U163" s="1909">
        <f t="shared" si="371"/>
        <v>420.51499999999999</v>
      </c>
      <c r="V163" s="1888">
        <v>294.14999999999998</v>
      </c>
      <c r="W163" s="1888">
        <v>326.822</v>
      </c>
      <c r="X163" s="1888">
        <v>386.09</v>
      </c>
      <c r="Y163" s="1888">
        <v>450.673</v>
      </c>
      <c r="Z163" s="1909">
        <f t="shared" si="372"/>
        <v>450.673</v>
      </c>
      <c r="AA163" s="1888">
        <v>285.13600000000002</v>
      </c>
      <c r="AB163" s="1888">
        <v>342.30200000000002</v>
      </c>
      <c r="AC163" s="1888">
        <v>418.62599999999998</v>
      </c>
      <c r="AD163" s="1888">
        <v>503.01900000000001</v>
      </c>
      <c r="AE163" s="1909">
        <f t="shared" si="373"/>
        <v>503.01900000000001</v>
      </c>
      <c r="AF163" s="1888">
        <v>298.39999999999998</v>
      </c>
      <c r="AG163" s="1888">
        <v>382.7</v>
      </c>
      <c r="AH163" s="1888">
        <v>429.4</v>
      </c>
      <c r="AI163" s="1888">
        <v>510</v>
      </c>
      <c r="AJ163" s="1909">
        <f t="shared" si="374"/>
        <v>510</v>
      </c>
      <c r="AK163" s="1888">
        <v>305</v>
      </c>
      <c r="AL163" s="1888">
        <v>385</v>
      </c>
      <c r="AM163" s="1888">
        <v>470</v>
      </c>
      <c r="AN163" s="1888">
        <v>453</v>
      </c>
      <c r="AO163" s="1909">
        <f t="shared" si="375"/>
        <v>453</v>
      </c>
      <c r="AP163" s="1888">
        <v>250</v>
      </c>
      <c r="AQ163" s="1888">
        <v>310</v>
      </c>
      <c r="AR163" s="1888">
        <v>349</v>
      </c>
      <c r="AS163" s="1888">
        <v>427</v>
      </c>
      <c r="AT163" s="1909">
        <f t="shared" si="376"/>
        <v>427</v>
      </c>
      <c r="AU163" s="1888">
        <v>212</v>
      </c>
      <c r="AV163" s="1888">
        <v>292</v>
      </c>
      <c r="AW163" s="1873">
        <v>334</v>
      </c>
      <c r="AX163" s="1872">
        <v>410</v>
      </c>
      <c r="AY163" s="1909">
        <f t="shared" si="377"/>
        <v>410</v>
      </c>
      <c r="AZ163" s="1873">
        <v>201</v>
      </c>
      <c r="BA163" s="1873">
        <v>264</v>
      </c>
      <c r="BB163" s="1873">
        <v>320</v>
      </c>
      <c r="BC163" s="1872">
        <v>383</v>
      </c>
      <c r="BD163" s="1909">
        <f t="shared" si="378"/>
        <v>383</v>
      </c>
      <c r="BE163" s="1872">
        <v>193</v>
      </c>
      <c r="BF163" s="1872">
        <v>265</v>
      </c>
      <c r="BG163" s="1872">
        <v>315</v>
      </c>
      <c r="BH163" s="1872">
        <v>409</v>
      </c>
      <c r="BI163" s="1909">
        <f t="shared" si="379"/>
        <v>409</v>
      </c>
      <c r="BJ163" s="1872">
        <v>205</v>
      </c>
      <c r="BK163" s="1872">
        <v>294</v>
      </c>
      <c r="BL163" s="2167">
        <v>373</v>
      </c>
      <c r="BM163" s="2167">
        <v>472</v>
      </c>
      <c r="BN163" s="1909">
        <f t="shared" si="380"/>
        <v>472</v>
      </c>
      <c r="BO163" s="2167">
        <v>195</v>
      </c>
      <c r="BP163" s="1910">
        <f>BP14*BP241*4</f>
        <v>319.59733207177629</v>
      </c>
      <c r="BQ163" s="1910">
        <f>BQ14*BQ241*4</f>
        <v>400.19952440954648</v>
      </c>
      <c r="BR163" s="1910">
        <f>BR14*BR241*4</f>
        <v>496.39851857005721</v>
      </c>
      <c r="BS163" s="1909">
        <f t="shared" si="381"/>
        <v>496.39851857005721</v>
      </c>
      <c r="BT163" s="1910">
        <f>BT14*BT241*4</f>
        <v>204.88461421223494</v>
      </c>
      <c r="BU163" s="1910">
        <f>BU14*BU241*4</f>
        <v>338.49257600379485</v>
      </c>
      <c r="BV163" s="1910">
        <f>BV14*BV241*4</f>
        <v>424.34919472182338</v>
      </c>
      <c r="BW163" s="1910">
        <f>BW14*BW241*4</f>
        <v>526.04776697188629</v>
      </c>
      <c r="BX163" s="1909">
        <f t="shared" si="382"/>
        <v>526.04776697188629</v>
      </c>
      <c r="BY163" s="1912">
        <f>BY14*BY241</f>
        <v>553.24420845174745</v>
      </c>
      <c r="BZ163" s="1912">
        <f>BZ14*BZ241</f>
        <v>582.07516311972654</v>
      </c>
      <c r="CA163" s="1912">
        <f>CA14*CA241</f>
        <v>609.34716917787841</v>
      </c>
      <c r="CB163" s="395"/>
      <c r="CC163" s="1360"/>
      <c r="CD163" s="83" t="str">
        <f t="shared" si="368"/>
        <v>Accrued Compensation and Contributions to Retirement Plans</v>
      </c>
      <c r="CE163" s="46">
        <f t="shared" si="383"/>
        <v>273.28899999999999</v>
      </c>
      <c r="CF163" s="46">
        <f t="shared" si="383"/>
        <v>317.64</v>
      </c>
      <c r="CG163" s="46">
        <f t="shared" si="383"/>
        <v>352.06099999999998</v>
      </c>
      <c r="CH163" s="46">
        <f t="shared" si="383"/>
        <v>411.33</v>
      </c>
      <c r="CI163" s="46">
        <f t="shared" si="383"/>
        <v>499.65499999999997</v>
      </c>
      <c r="CJ163" s="46">
        <f t="shared" si="384"/>
        <v>551.62699999999995</v>
      </c>
      <c r="CK163" s="46">
        <f t="shared" si="385"/>
        <v>598.55600000000004</v>
      </c>
      <c r="CL163" s="46">
        <f t="shared" si="386"/>
        <v>420.51499999999999</v>
      </c>
      <c r="CM163" s="46">
        <f t="shared" si="387"/>
        <v>450.673</v>
      </c>
      <c r="CN163" s="46">
        <f t="shared" si="388"/>
        <v>503.01900000000001</v>
      </c>
      <c r="CO163" s="46">
        <f t="shared" si="389"/>
        <v>510</v>
      </c>
      <c r="CP163" s="46">
        <f t="shared" si="390"/>
        <v>453</v>
      </c>
      <c r="CQ163" s="46">
        <f t="shared" si="391"/>
        <v>427</v>
      </c>
      <c r="CR163" s="46">
        <f t="shared" si="392"/>
        <v>410</v>
      </c>
      <c r="CS163" s="46">
        <f t="shared" si="393"/>
        <v>383</v>
      </c>
      <c r="CT163" s="46">
        <f t="shared" si="394"/>
        <v>409</v>
      </c>
      <c r="CU163" s="46">
        <f t="shared" si="395"/>
        <v>472</v>
      </c>
      <c r="CV163" s="46">
        <f t="shared" si="396"/>
        <v>496.39851857005721</v>
      </c>
      <c r="CW163" s="46">
        <f t="shared" si="397"/>
        <v>526.04776697188629</v>
      </c>
      <c r="CX163" s="46">
        <f t="shared" si="397"/>
        <v>553.24420845174745</v>
      </c>
      <c r="CY163" s="46">
        <f t="shared" si="397"/>
        <v>582.07516311972654</v>
      </c>
      <c r="CZ163" s="44">
        <f t="shared" si="397"/>
        <v>609.34716917787841</v>
      </c>
      <c r="DA163" s="86"/>
      <c r="DB163" s="399"/>
      <c r="DC163"/>
      <c r="DD163"/>
      <c r="DE163"/>
      <c r="DF163"/>
      <c r="DG163"/>
      <c r="DH163"/>
    </row>
    <row r="164" spans="1:112" s="82" customFormat="1" ht="12" customHeight="1">
      <c r="A164" s="1906" t="s">
        <v>167</v>
      </c>
      <c r="B164" s="79"/>
      <c r="C164" s="79"/>
      <c r="D164" s="79"/>
      <c r="E164" s="79"/>
      <c r="F164" s="79"/>
      <c r="G164" s="251"/>
      <c r="H164" s="86"/>
      <c r="I164" s="86"/>
      <c r="J164" s="86"/>
      <c r="K164" s="1909">
        <f>J164</f>
        <v>0</v>
      </c>
      <c r="L164" s="86"/>
      <c r="M164" s="86"/>
      <c r="N164" s="86"/>
      <c r="O164" s="86"/>
      <c r="P164" s="1909">
        <f>O164</f>
        <v>0</v>
      </c>
      <c r="Q164" s="86"/>
      <c r="R164" s="86"/>
      <c r="S164" s="86"/>
      <c r="T164" s="86"/>
      <c r="U164" s="1909">
        <f>T164</f>
        <v>0</v>
      </c>
      <c r="V164" s="1888">
        <v>0</v>
      </c>
      <c r="W164" s="1888">
        <v>0</v>
      </c>
      <c r="X164" s="1888">
        <v>0</v>
      </c>
      <c r="Y164" s="1888">
        <v>0</v>
      </c>
      <c r="Z164" s="1909">
        <f>Y164</f>
        <v>0</v>
      </c>
      <c r="AA164" s="1888">
        <v>0</v>
      </c>
      <c r="AB164" s="1888">
        <v>0</v>
      </c>
      <c r="AC164" s="1888">
        <v>0</v>
      </c>
      <c r="AD164" s="1888">
        <v>0</v>
      </c>
      <c r="AE164" s="1909">
        <f>AD164</f>
        <v>0</v>
      </c>
      <c r="AF164" s="1888">
        <v>0</v>
      </c>
      <c r="AG164" s="1888">
        <v>0</v>
      </c>
      <c r="AH164" s="1888">
        <v>0</v>
      </c>
      <c r="AI164" s="1888">
        <v>400</v>
      </c>
      <c r="AJ164" s="1909">
        <f>AI164</f>
        <v>400</v>
      </c>
      <c r="AK164" s="1888">
        <v>400</v>
      </c>
      <c r="AL164" s="1888">
        <v>400</v>
      </c>
      <c r="AM164" s="1888">
        <v>400</v>
      </c>
      <c r="AN164" s="1888">
        <v>457</v>
      </c>
      <c r="AO164" s="1909">
        <f>AN164</f>
        <v>457</v>
      </c>
      <c r="AP164" s="1888">
        <v>0</v>
      </c>
      <c r="AQ164" s="1888">
        <v>0</v>
      </c>
      <c r="AR164" s="1888">
        <v>0</v>
      </c>
      <c r="AS164" s="1908">
        <f>AR164</f>
        <v>0</v>
      </c>
      <c r="AT164" s="1909">
        <f t="shared" si="376"/>
        <v>0</v>
      </c>
      <c r="AU164" s="1888">
        <v>0</v>
      </c>
      <c r="AV164" s="1888">
        <v>0</v>
      </c>
      <c r="AW164" s="1873">
        <v>0</v>
      </c>
      <c r="AX164" s="1872">
        <v>0</v>
      </c>
      <c r="AY164" s="1909">
        <f>AX164</f>
        <v>0</v>
      </c>
      <c r="AZ164" s="1873">
        <v>365</v>
      </c>
      <c r="BA164" s="1873">
        <v>0</v>
      </c>
      <c r="BB164" s="1873">
        <v>0</v>
      </c>
      <c r="BC164" s="1872">
        <v>143</v>
      </c>
      <c r="BD164" s="1909">
        <f>BC164</f>
        <v>143</v>
      </c>
      <c r="BE164" s="1872">
        <v>472</v>
      </c>
      <c r="BF164" s="1872">
        <v>309</v>
      </c>
      <c r="BG164" s="1872">
        <v>400</v>
      </c>
      <c r="BH164" s="1872">
        <v>0</v>
      </c>
      <c r="BI164" s="1909">
        <f>BH164</f>
        <v>0</v>
      </c>
      <c r="BJ164" s="1872">
        <v>0</v>
      </c>
      <c r="BK164" s="1872">
        <v>0</v>
      </c>
      <c r="BL164" s="2167">
        <v>0</v>
      </c>
      <c r="BM164" s="2167">
        <v>399</v>
      </c>
      <c r="BN164" s="1909">
        <f t="shared" si="380"/>
        <v>399</v>
      </c>
      <c r="BO164" s="2167">
        <v>400</v>
      </c>
      <c r="BP164" s="1910">
        <f>BO164</f>
        <v>400</v>
      </c>
      <c r="BQ164" s="1910">
        <f>BP164</f>
        <v>400</v>
      </c>
      <c r="BR164" s="1910">
        <f>BQ164</f>
        <v>400</v>
      </c>
      <c r="BS164" s="1909">
        <f t="shared" si="381"/>
        <v>400</v>
      </c>
      <c r="BT164" s="1910">
        <f>BS164</f>
        <v>400</v>
      </c>
      <c r="BU164" s="1910">
        <f>BT164</f>
        <v>400</v>
      </c>
      <c r="BV164" s="1910">
        <f>BU164</f>
        <v>400</v>
      </c>
      <c r="BW164" s="1910">
        <f>BV164</f>
        <v>400</v>
      </c>
      <c r="BX164" s="1909">
        <f t="shared" si="382"/>
        <v>400</v>
      </c>
      <c r="BY164" s="1912">
        <f>BX164</f>
        <v>400</v>
      </c>
      <c r="BZ164" s="1912">
        <f>BY164</f>
        <v>400</v>
      </c>
      <c r="CA164" s="1912">
        <f>BZ164</f>
        <v>400</v>
      </c>
      <c r="CB164" s="395"/>
      <c r="CC164" s="1360"/>
      <c r="CD164" s="83" t="str">
        <f t="shared" si="368"/>
        <v>Short-Term Debt</v>
      </c>
      <c r="CE164" s="46">
        <f t="shared" si="383"/>
        <v>0</v>
      </c>
      <c r="CF164" s="46">
        <f t="shared" si="383"/>
        <v>0</v>
      </c>
      <c r="CG164" s="46">
        <f t="shared" si="383"/>
        <v>0</v>
      </c>
      <c r="CH164" s="46">
        <f t="shared" si="383"/>
        <v>0</v>
      </c>
      <c r="CI164" s="46">
        <f t="shared" si="383"/>
        <v>0</v>
      </c>
      <c r="CJ164" s="46">
        <f t="shared" si="384"/>
        <v>0</v>
      </c>
      <c r="CK164" s="46">
        <f t="shared" si="385"/>
        <v>0</v>
      </c>
      <c r="CL164" s="46">
        <f t="shared" si="386"/>
        <v>0</v>
      </c>
      <c r="CM164" s="46">
        <f t="shared" si="387"/>
        <v>0</v>
      </c>
      <c r="CN164" s="46">
        <f t="shared" si="388"/>
        <v>0</v>
      </c>
      <c r="CO164" s="46">
        <f t="shared" si="389"/>
        <v>400</v>
      </c>
      <c r="CP164" s="46">
        <f t="shared" si="390"/>
        <v>457</v>
      </c>
      <c r="CQ164" s="46">
        <f t="shared" si="391"/>
        <v>0</v>
      </c>
      <c r="CR164" s="46">
        <f t="shared" si="392"/>
        <v>0</v>
      </c>
      <c r="CS164" s="46">
        <f t="shared" si="393"/>
        <v>143</v>
      </c>
      <c r="CT164" s="46">
        <f t="shared" si="394"/>
        <v>0</v>
      </c>
      <c r="CU164" s="46">
        <f t="shared" si="395"/>
        <v>399</v>
      </c>
      <c r="CV164" s="46">
        <f t="shared" si="396"/>
        <v>400</v>
      </c>
      <c r="CW164" s="46">
        <f t="shared" si="397"/>
        <v>400</v>
      </c>
      <c r="CX164" s="46">
        <f t="shared" si="397"/>
        <v>400</v>
      </c>
      <c r="CY164" s="46">
        <f t="shared" si="397"/>
        <v>400</v>
      </c>
      <c r="CZ164" s="44">
        <f t="shared" si="397"/>
        <v>400</v>
      </c>
      <c r="DA164" s="86"/>
      <c r="DB164" s="399"/>
      <c r="DC164"/>
      <c r="DD164"/>
      <c r="DE164"/>
      <c r="DF164"/>
      <c r="DG164"/>
      <c r="DH164"/>
    </row>
    <row r="165" spans="1:112" s="82" customFormat="1" ht="12" customHeight="1">
      <c r="A165" s="1906" t="s">
        <v>168</v>
      </c>
      <c r="B165" s="1907">
        <v>77.628</v>
      </c>
      <c r="C165" s="1907">
        <v>82.016000000000005</v>
      </c>
      <c r="D165" s="1907">
        <v>246.94300000000001</v>
      </c>
      <c r="E165" s="1907">
        <v>78.775999999999996</v>
      </c>
      <c r="F165" s="1907">
        <v>68.518000000000001</v>
      </c>
      <c r="G165" s="1873">
        <v>61.156999999999996</v>
      </c>
      <c r="H165" s="1888">
        <v>152.79599999999999</v>
      </c>
      <c r="I165" s="1888">
        <v>214.88399999999999</v>
      </c>
      <c r="J165" s="1888">
        <v>77.462999999999994</v>
      </c>
      <c r="K165" s="1909">
        <f t="shared" si="369"/>
        <v>77.462999999999994</v>
      </c>
      <c r="L165" s="1888">
        <v>91.412000000000006</v>
      </c>
      <c r="M165" s="1888">
        <v>123.26300000000001</v>
      </c>
      <c r="N165" s="1888">
        <v>194.93799999999999</v>
      </c>
      <c r="O165" s="1888">
        <v>0</v>
      </c>
      <c r="P165" s="1909">
        <f t="shared" si="370"/>
        <v>0</v>
      </c>
      <c r="Q165" s="1888">
        <v>0</v>
      </c>
      <c r="R165" s="1888">
        <v>74.064999999999998</v>
      </c>
      <c r="S165" s="1888">
        <v>156.75800000000001</v>
      </c>
      <c r="T165" s="1888">
        <v>17.209</v>
      </c>
      <c r="U165" s="1909">
        <f t="shared" si="371"/>
        <v>17.209</v>
      </c>
      <c r="V165" s="1888">
        <v>19.234000000000002</v>
      </c>
      <c r="W165" s="1888">
        <v>75.552000000000007</v>
      </c>
      <c r="X165" s="1888">
        <v>158.47200000000001</v>
      </c>
      <c r="Y165" s="1888">
        <v>17.085999999999999</v>
      </c>
      <c r="Z165" s="1909">
        <f t="shared" si="372"/>
        <v>17.085999999999999</v>
      </c>
      <c r="AA165" s="1888">
        <v>16.55</v>
      </c>
      <c r="AB165" s="1888">
        <v>55.073</v>
      </c>
      <c r="AC165" s="1888">
        <v>160.44999999999999</v>
      </c>
      <c r="AD165" s="1888">
        <v>23.684999999999999</v>
      </c>
      <c r="AE165" s="1909">
        <f t="shared" si="373"/>
        <v>23.684999999999999</v>
      </c>
      <c r="AF165" s="1888">
        <v>40.799999999999997</v>
      </c>
      <c r="AG165" s="1888">
        <v>81.900000000000006</v>
      </c>
      <c r="AH165" s="1888">
        <v>249.9</v>
      </c>
      <c r="AI165" s="1888">
        <v>29</v>
      </c>
      <c r="AJ165" s="1909">
        <f t="shared" si="374"/>
        <v>29</v>
      </c>
      <c r="AK165" s="1888">
        <v>54</v>
      </c>
      <c r="AL165" s="1888">
        <v>111</v>
      </c>
      <c r="AM165" s="1888">
        <v>135</v>
      </c>
      <c r="AN165" s="1888">
        <v>158</v>
      </c>
      <c r="AO165" s="1909">
        <f t="shared" si="375"/>
        <v>158</v>
      </c>
      <c r="AP165" s="1888">
        <v>346</v>
      </c>
      <c r="AQ165" s="1888">
        <v>177</v>
      </c>
      <c r="AR165" s="1888">
        <v>113</v>
      </c>
      <c r="AS165" s="1888">
        <v>15</v>
      </c>
      <c r="AT165" s="1909">
        <f t="shared" si="376"/>
        <v>15</v>
      </c>
      <c r="AU165" s="1888">
        <v>75</v>
      </c>
      <c r="AV165" s="1888">
        <v>96</v>
      </c>
      <c r="AW165" s="1873">
        <v>73</v>
      </c>
      <c r="AX165" s="1872">
        <v>32</v>
      </c>
      <c r="AY165" s="1909">
        <f t="shared" si="377"/>
        <v>32</v>
      </c>
      <c r="AZ165" s="1873">
        <v>0</v>
      </c>
      <c r="BA165" s="1873">
        <v>0</v>
      </c>
      <c r="BB165" s="1873">
        <v>0</v>
      </c>
      <c r="BC165" s="1872">
        <v>56</v>
      </c>
      <c r="BD165" s="1909">
        <f t="shared" si="378"/>
        <v>56</v>
      </c>
      <c r="BE165" s="1872">
        <v>0</v>
      </c>
      <c r="BF165" s="1872">
        <v>0</v>
      </c>
      <c r="BG165" s="1872">
        <v>0</v>
      </c>
      <c r="BH165" s="1872">
        <v>95</v>
      </c>
      <c r="BI165" s="1909">
        <f t="shared" si="379"/>
        <v>95</v>
      </c>
      <c r="BJ165" s="1872">
        <v>243</v>
      </c>
      <c r="BK165" s="1872">
        <v>79</v>
      </c>
      <c r="BL165" s="2167">
        <v>77</v>
      </c>
      <c r="BM165" s="2167">
        <v>77</v>
      </c>
      <c r="BN165" s="1909">
        <f t="shared" si="380"/>
        <v>77</v>
      </c>
      <c r="BO165" s="2167">
        <v>100</v>
      </c>
      <c r="BP165" s="1910">
        <f>BP14*BP242*4</f>
        <v>85.878194672348059</v>
      </c>
      <c r="BQ165" s="1910">
        <f>BQ14*BQ242*4</f>
        <v>82.614915226635603</v>
      </c>
      <c r="BR165" s="1910">
        <f>BR14*BR242*4</f>
        <v>33.422764661348346</v>
      </c>
      <c r="BS165" s="1909">
        <f t="shared" si="381"/>
        <v>33.422764661348346</v>
      </c>
      <c r="BT165" s="1910">
        <f>BT14*BT242*4</f>
        <v>105.06903292935124</v>
      </c>
      <c r="BU165" s="1910">
        <f>BU14*BU242*4</f>
        <v>90.955488109863239</v>
      </c>
      <c r="BV165" s="1910">
        <f>BV14*BV242*4</f>
        <v>87.600235907722251</v>
      </c>
      <c r="BW165" s="1910">
        <f>BW14*BW242*4</f>
        <v>35.419063632132513</v>
      </c>
      <c r="BX165" s="1909">
        <f t="shared" si="382"/>
        <v>35.419063632132513</v>
      </c>
      <c r="BY165" s="1912">
        <f>BY14*BY242</f>
        <v>37.250213865670617</v>
      </c>
      <c r="BZ165" s="1912">
        <f>BZ14*BZ242</f>
        <v>39.191416703273113</v>
      </c>
      <c r="CA165" s="1912">
        <f>CA14*CA242</f>
        <v>41.027654738290202</v>
      </c>
      <c r="CB165" s="395"/>
      <c r="CC165" s="1360"/>
      <c r="CD165" s="83" t="str">
        <f t="shared" si="368"/>
        <v>Income taxes currently payable</v>
      </c>
      <c r="CE165" s="46">
        <f t="shared" si="383"/>
        <v>77.628</v>
      </c>
      <c r="CF165" s="46">
        <f t="shared" si="383"/>
        <v>82.016000000000005</v>
      </c>
      <c r="CG165" s="46">
        <f t="shared" si="383"/>
        <v>246.94300000000001</v>
      </c>
      <c r="CH165" s="46">
        <f t="shared" si="383"/>
        <v>78.775999999999996</v>
      </c>
      <c r="CI165" s="46">
        <f t="shared" si="383"/>
        <v>68.518000000000001</v>
      </c>
      <c r="CJ165" s="46">
        <f t="shared" si="384"/>
        <v>77.462999999999994</v>
      </c>
      <c r="CK165" s="46">
        <f t="shared" si="385"/>
        <v>0</v>
      </c>
      <c r="CL165" s="46">
        <f t="shared" si="386"/>
        <v>17.209</v>
      </c>
      <c r="CM165" s="46">
        <f t="shared" si="387"/>
        <v>17.085999999999999</v>
      </c>
      <c r="CN165" s="46">
        <f t="shared" si="388"/>
        <v>23.684999999999999</v>
      </c>
      <c r="CO165" s="46">
        <f t="shared" si="389"/>
        <v>29</v>
      </c>
      <c r="CP165" s="46">
        <f t="shared" si="390"/>
        <v>158</v>
      </c>
      <c r="CQ165" s="46">
        <f t="shared" si="391"/>
        <v>15</v>
      </c>
      <c r="CR165" s="46">
        <f t="shared" si="392"/>
        <v>32</v>
      </c>
      <c r="CS165" s="46">
        <f t="shared" si="393"/>
        <v>56</v>
      </c>
      <c r="CT165" s="46">
        <f t="shared" si="394"/>
        <v>95</v>
      </c>
      <c r="CU165" s="46">
        <f t="shared" si="395"/>
        <v>77</v>
      </c>
      <c r="CV165" s="46">
        <f t="shared" si="396"/>
        <v>33.422764661348346</v>
      </c>
      <c r="CW165" s="46">
        <f t="shared" si="397"/>
        <v>35.419063632132513</v>
      </c>
      <c r="CX165" s="46">
        <f t="shared" si="397"/>
        <v>37.250213865670617</v>
      </c>
      <c r="CY165" s="46">
        <f t="shared" si="397"/>
        <v>39.191416703273113</v>
      </c>
      <c r="CZ165" s="44">
        <f t="shared" si="397"/>
        <v>41.027654738290202</v>
      </c>
      <c r="DA165" s="86"/>
      <c r="DB165" s="399"/>
      <c r="DC165"/>
      <c r="DD165"/>
      <c r="DE165"/>
      <c r="DF165"/>
      <c r="DG165"/>
      <c r="DH165"/>
    </row>
    <row r="166" spans="1:112" s="82" customFormat="1" ht="12" customHeight="1">
      <c r="A166" s="1906" t="s">
        <v>123</v>
      </c>
      <c r="B166" s="1907">
        <v>508.05500000000001</v>
      </c>
      <c r="C166" s="1907">
        <v>538.96100000000001</v>
      </c>
      <c r="D166" s="1907">
        <v>595.41800000000001</v>
      </c>
      <c r="E166" s="1907">
        <v>719.94799999999998</v>
      </c>
      <c r="F166" s="1907">
        <v>853.25300000000004</v>
      </c>
      <c r="G166" s="1873">
        <v>866.22299999999996</v>
      </c>
      <c r="H166" s="1888">
        <v>892.50800000000004</v>
      </c>
      <c r="I166" s="1888">
        <v>883.59</v>
      </c>
      <c r="J166" s="1888">
        <v>983.21</v>
      </c>
      <c r="K166" s="1909">
        <f t="shared" si="369"/>
        <v>983.21</v>
      </c>
      <c r="L166" s="1888">
        <v>977.99400000000003</v>
      </c>
      <c r="M166" s="1888">
        <v>1025.5360000000001</v>
      </c>
      <c r="N166" s="1888">
        <v>1004.984</v>
      </c>
      <c r="O166" s="1888">
        <v>1085.44</v>
      </c>
      <c r="P166" s="1909">
        <f t="shared" si="370"/>
        <v>1085.44</v>
      </c>
      <c r="Q166" s="1888">
        <v>1090.855</v>
      </c>
      <c r="R166" s="1888">
        <v>1102.692</v>
      </c>
      <c r="S166" s="1888">
        <v>1069.3820000000001</v>
      </c>
      <c r="T166" s="1888">
        <v>1099.1669999999999</v>
      </c>
      <c r="U166" s="1909">
        <f t="shared" si="371"/>
        <v>1099.1669999999999</v>
      </c>
      <c r="V166" s="1888">
        <v>1087.269</v>
      </c>
      <c r="W166" s="1888">
        <v>1098.5050000000001</v>
      </c>
      <c r="X166" s="1888">
        <v>1080.452</v>
      </c>
      <c r="Y166" s="1888">
        <v>1115.357</v>
      </c>
      <c r="Z166" s="1909">
        <f t="shared" si="372"/>
        <v>1115.357</v>
      </c>
      <c r="AA166" s="1888">
        <v>1117.4480000000001</v>
      </c>
      <c r="AB166" s="1888">
        <v>1144.2619999999999</v>
      </c>
      <c r="AC166" s="1888">
        <v>1125.9939999999999</v>
      </c>
      <c r="AD166" s="1888">
        <v>1205.7439999999999</v>
      </c>
      <c r="AE166" s="1909">
        <f t="shared" si="373"/>
        <v>1205.7439999999999</v>
      </c>
      <c r="AF166" s="1888">
        <v>1223.9000000000001</v>
      </c>
      <c r="AG166" s="1888">
        <v>1246</v>
      </c>
      <c r="AH166" s="1888">
        <v>1244.5999999999999</v>
      </c>
      <c r="AI166" s="1888">
        <v>1303</v>
      </c>
      <c r="AJ166" s="1909">
        <f t="shared" si="374"/>
        <v>1303</v>
      </c>
      <c r="AK166" s="1888">
        <v>1306</v>
      </c>
      <c r="AL166" s="1888">
        <v>1323</v>
      </c>
      <c r="AM166" s="1888">
        <v>1377</v>
      </c>
      <c r="AN166" s="1888">
        <v>1229</v>
      </c>
      <c r="AO166" s="1909">
        <f t="shared" si="375"/>
        <v>1229</v>
      </c>
      <c r="AP166" s="1888">
        <v>1279</v>
      </c>
      <c r="AQ166" s="1888">
        <v>1284</v>
      </c>
      <c r="AR166" s="1888">
        <v>1240</v>
      </c>
      <c r="AS166" s="1888">
        <v>1309</v>
      </c>
      <c r="AT166" s="1909">
        <f t="shared" si="376"/>
        <v>1309</v>
      </c>
      <c r="AU166" s="1888">
        <v>1310</v>
      </c>
      <c r="AV166" s="1888">
        <v>1322</v>
      </c>
      <c r="AW166" s="1873">
        <v>1266</v>
      </c>
      <c r="AX166" s="1872">
        <v>1323</v>
      </c>
      <c r="AY166" s="1909">
        <f t="shared" si="377"/>
        <v>1323</v>
      </c>
      <c r="AZ166" s="1873">
        <v>1356</v>
      </c>
      <c r="BA166" s="1873">
        <v>1387</v>
      </c>
      <c r="BB166" s="1873">
        <v>1453</v>
      </c>
      <c r="BC166" s="1872">
        <v>1421</v>
      </c>
      <c r="BD166" s="1909">
        <f t="shared" si="378"/>
        <v>1421</v>
      </c>
      <c r="BE166" s="1872">
        <v>1458</v>
      </c>
      <c r="BF166" s="1872">
        <v>1460</v>
      </c>
      <c r="BG166" s="1872">
        <v>1408</v>
      </c>
      <c r="BH166" s="1872">
        <v>1509</v>
      </c>
      <c r="BI166" s="1909">
        <f t="shared" si="379"/>
        <v>1509</v>
      </c>
      <c r="BJ166" s="1872">
        <v>1510</v>
      </c>
      <c r="BK166" s="1872">
        <v>1502</v>
      </c>
      <c r="BL166" s="2167">
        <v>1424</v>
      </c>
      <c r="BM166" s="2167">
        <v>1613</v>
      </c>
      <c r="BN166" s="1909">
        <f t="shared" si="380"/>
        <v>1613</v>
      </c>
      <c r="BO166" s="2167">
        <v>1679</v>
      </c>
      <c r="BP166" s="1910">
        <f>BP14*BP243*4</f>
        <v>1632.7727645299592</v>
      </c>
      <c r="BQ166" s="1910">
        <f>BQ14*BQ243*4</f>
        <v>1527.8394712042739</v>
      </c>
      <c r="BR166" s="1910">
        <f>BR14*BR243*4</f>
        <v>1696.3788357065725</v>
      </c>
      <c r="BS166" s="1909">
        <f t="shared" si="381"/>
        <v>1696.3788357065725</v>
      </c>
      <c r="BT166" s="1910">
        <f>BT14*BT243*4</f>
        <v>1764.1090628838076</v>
      </c>
      <c r="BU166" s="1910">
        <f>BU14*BU243*4</f>
        <v>1729.3056093799316</v>
      </c>
      <c r="BV166" s="1910">
        <f>BV14*BV243*4</f>
        <v>1620.0355315921622</v>
      </c>
      <c r="BW166" s="1910">
        <f>BW14*BW243*4</f>
        <v>1797.701373147569</v>
      </c>
      <c r="BX166" s="1909">
        <f t="shared" si="382"/>
        <v>1797.701373147569</v>
      </c>
      <c r="BY166" s="1912">
        <f>BY14*BY243</f>
        <v>1890.6417547302299</v>
      </c>
      <c r="BZ166" s="1912">
        <f>BZ14*BZ243</f>
        <v>1989.1678773561839</v>
      </c>
      <c r="CA166" s="1912">
        <f>CA14*CA243</f>
        <v>2082.366491279487</v>
      </c>
      <c r="CB166" s="395"/>
      <c r="CC166" s="1360"/>
      <c r="CD166" s="83" t="str">
        <f t="shared" si="368"/>
        <v>Unearned Revenue</v>
      </c>
      <c r="CE166" s="46">
        <f t="shared" si="383"/>
        <v>508.05500000000001</v>
      </c>
      <c r="CF166" s="46">
        <f t="shared" si="383"/>
        <v>538.96100000000001</v>
      </c>
      <c r="CG166" s="46">
        <f t="shared" si="383"/>
        <v>595.41800000000001</v>
      </c>
      <c r="CH166" s="46">
        <f t="shared" si="383"/>
        <v>719.94799999999998</v>
      </c>
      <c r="CI166" s="46">
        <f t="shared" si="383"/>
        <v>853.25300000000004</v>
      </c>
      <c r="CJ166" s="46">
        <f t="shared" si="384"/>
        <v>983.21</v>
      </c>
      <c r="CK166" s="46">
        <f t="shared" si="385"/>
        <v>1085.44</v>
      </c>
      <c r="CL166" s="46">
        <f t="shared" si="386"/>
        <v>1099.1669999999999</v>
      </c>
      <c r="CM166" s="46">
        <f t="shared" si="387"/>
        <v>1115.357</v>
      </c>
      <c r="CN166" s="46">
        <f t="shared" si="388"/>
        <v>1205.7439999999999</v>
      </c>
      <c r="CO166" s="46">
        <f t="shared" si="389"/>
        <v>1303</v>
      </c>
      <c r="CP166" s="46">
        <f t="shared" si="390"/>
        <v>1229</v>
      </c>
      <c r="CQ166" s="46">
        <f t="shared" si="391"/>
        <v>1309</v>
      </c>
      <c r="CR166" s="46">
        <f t="shared" si="392"/>
        <v>1323</v>
      </c>
      <c r="CS166" s="46">
        <f t="shared" si="393"/>
        <v>1421</v>
      </c>
      <c r="CT166" s="46">
        <f t="shared" si="394"/>
        <v>1509</v>
      </c>
      <c r="CU166" s="46">
        <f t="shared" si="395"/>
        <v>1613</v>
      </c>
      <c r="CV166" s="46">
        <f t="shared" si="396"/>
        <v>1696.3788357065725</v>
      </c>
      <c r="CW166" s="46">
        <f t="shared" si="397"/>
        <v>1797.701373147569</v>
      </c>
      <c r="CX166" s="46">
        <f t="shared" si="397"/>
        <v>1890.6417547302299</v>
      </c>
      <c r="CY166" s="46">
        <f t="shared" si="397"/>
        <v>1989.1678773561839</v>
      </c>
      <c r="CZ166" s="44">
        <f t="shared" si="397"/>
        <v>2082.366491279487</v>
      </c>
      <c r="DA166" s="86"/>
      <c r="DB166" s="399"/>
      <c r="DC166"/>
      <c r="DD166"/>
      <c r="DE166"/>
      <c r="DF166"/>
      <c r="DG166"/>
      <c r="DH166"/>
    </row>
    <row r="167" spans="1:112" s="82" customFormat="1" ht="12" customHeight="1">
      <c r="A167" s="1906" t="s">
        <v>124</v>
      </c>
      <c r="B167" s="1907">
        <f>342.504+222.953</f>
        <v>565.45699999999999</v>
      </c>
      <c r="C167" s="1907">
        <f>294.085+0+119.414</f>
        <v>413.49899999999997</v>
      </c>
      <c r="D167" s="1907">
        <f>338.637+7.516+25.955</f>
        <v>372.108</v>
      </c>
      <c r="E167" s="1907">
        <f>302.626+7.516+4.613</f>
        <v>314.755</v>
      </c>
      <c r="F167" s="1907">
        <f>340.99+7.927+2.947</f>
        <v>351.86400000000003</v>
      </c>
      <c r="G167" s="1873">
        <f>7.927+2.881+794.843</f>
        <v>805.65099999999995</v>
      </c>
      <c r="H167" s="1888">
        <f>347.408+7.927+681.257</f>
        <v>1036.5920000000001</v>
      </c>
      <c r="I167" s="1888">
        <f>7.927+235.08+327.965</f>
        <v>570.97199999999998</v>
      </c>
      <c r="J167" s="1888">
        <f>366.261+9.011+2.367</f>
        <v>377.63900000000007</v>
      </c>
      <c r="K167" s="1909">
        <f t="shared" si="369"/>
        <v>377.63900000000007</v>
      </c>
      <c r="L167" s="1888">
        <f>9.3+607.151+624.383</f>
        <v>1240.8339999999998</v>
      </c>
      <c r="M167" s="1888">
        <f>9.59+994.193+492.798</f>
        <v>1496.5810000000001</v>
      </c>
      <c r="N167" s="1888">
        <f>9.883+1330.992+402.899</f>
        <v>1743.7739999999999</v>
      </c>
      <c r="O167" s="1888">
        <f>10.18+0.022+463.805</f>
        <v>474.00700000000001</v>
      </c>
      <c r="P167" s="1909">
        <f t="shared" si="370"/>
        <v>474.00700000000001</v>
      </c>
      <c r="Q167" s="1888">
        <f>10.359+396.222+461.036</f>
        <v>867.61699999999996</v>
      </c>
      <c r="R167" s="1888">
        <f>10.48+526.222+468.83</f>
        <v>1005.5319999999999</v>
      </c>
      <c r="S167" s="1888">
        <f>459.161+10.602+307.122</f>
        <v>776.88499999999999</v>
      </c>
      <c r="T167" s="1888">
        <f>10.726+70.022+464.134</f>
        <v>544.88200000000006</v>
      </c>
      <c r="U167" s="1909">
        <f t="shared" si="371"/>
        <v>544.88200000000006</v>
      </c>
      <c r="V167" s="1888">
        <f>10.851+159.922+475.726</f>
        <v>646.49900000000002</v>
      </c>
      <c r="W167" s="1888">
        <f>10.978+89.622+481.17</f>
        <v>581.77</v>
      </c>
      <c r="X167" s="1888">
        <f>466.967+11.106+0.022</f>
        <v>478.09499999999997</v>
      </c>
      <c r="Y167" s="1888">
        <f>441.595+11.236+0.022</f>
        <v>452.85300000000001</v>
      </c>
      <c r="Z167" s="1909">
        <f t="shared" si="372"/>
        <v>452.85300000000001</v>
      </c>
      <c r="AA167" s="1888">
        <f>451.518+11.367+0.022</f>
        <v>462.90699999999998</v>
      </c>
      <c r="AB167" s="1888">
        <f>11.499+0.022+432.918</f>
        <v>444.43900000000002</v>
      </c>
      <c r="AC167" s="1888">
        <v>444.44499999999999</v>
      </c>
      <c r="AD167" s="1888">
        <v>437.48</v>
      </c>
      <c r="AE167" s="1909">
        <f t="shared" si="373"/>
        <v>437.48</v>
      </c>
      <c r="AF167" s="1888">
        <v>445.4</v>
      </c>
      <c r="AG167" s="1888">
        <v>424.3</v>
      </c>
      <c r="AH167" s="1888">
        <v>401.7</v>
      </c>
      <c r="AI167" s="1888">
        <v>422</v>
      </c>
      <c r="AJ167" s="1909">
        <f t="shared" si="374"/>
        <v>422</v>
      </c>
      <c r="AK167" s="1922">
        <v>423</v>
      </c>
      <c r="AL167" s="1922">
        <v>378</v>
      </c>
      <c r="AM167" s="1922">
        <v>469</v>
      </c>
      <c r="AN167" s="1888">
        <f>457+664</f>
        <v>1121</v>
      </c>
      <c r="AO167" s="1909">
        <f>AN167</f>
        <v>1121</v>
      </c>
      <c r="AP167" s="1922">
        <v>563</v>
      </c>
      <c r="AQ167" s="1922">
        <v>397</v>
      </c>
      <c r="AR167" s="1922">
        <v>430</v>
      </c>
      <c r="AS167" s="1888">
        <v>402</v>
      </c>
      <c r="AT167" s="1909">
        <f t="shared" si="376"/>
        <v>402</v>
      </c>
      <c r="AU167" s="1922">
        <v>451</v>
      </c>
      <c r="AV167" s="1922">
        <v>344</v>
      </c>
      <c r="AW167" s="1873">
        <f>476+43</f>
        <v>519</v>
      </c>
      <c r="AX167" s="1872">
        <f>402+1609</f>
        <v>2011</v>
      </c>
      <c r="AY167" s="1909">
        <f>AX167</f>
        <v>2011</v>
      </c>
      <c r="AZ167" s="1873">
        <f>68+408</f>
        <v>476</v>
      </c>
      <c r="BA167" s="1873">
        <f>23+385</f>
        <v>408</v>
      </c>
      <c r="BB167" s="1873">
        <f>104+417</f>
        <v>521</v>
      </c>
      <c r="BC167" s="1872">
        <f>121+372+206</f>
        <v>699</v>
      </c>
      <c r="BD167" s="1909">
        <f>BC167</f>
        <v>699</v>
      </c>
      <c r="BE167" s="1872">
        <f>488+203</f>
        <v>691</v>
      </c>
      <c r="BF167" s="1872">
        <f>426+207</f>
        <v>633</v>
      </c>
      <c r="BG167" s="1872">
        <f>321+384+24</f>
        <v>729</v>
      </c>
      <c r="BH167" s="1872">
        <f>56+314+45</f>
        <v>415</v>
      </c>
      <c r="BI167" s="1909">
        <f>BH167</f>
        <v>415</v>
      </c>
      <c r="BJ167" s="1872">
        <v>349</v>
      </c>
      <c r="BK167" s="1872">
        <v>325</v>
      </c>
      <c r="BL167" s="2167">
        <v>364</v>
      </c>
      <c r="BM167" s="2167">
        <f>107+351</f>
        <v>458</v>
      </c>
      <c r="BN167" s="1909">
        <f t="shared" si="380"/>
        <v>458</v>
      </c>
      <c r="BO167" s="2167">
        <f>82+483</f>
        <v>565</v>
      </c>
      <c r="BP167" s="1910">
        <f>BO167</f>
        <v>565</v>
      </c>
      <c r="BQ167" s="1910">
        <f>BP167</f>
        <v>565</v>
      </c>
      <c r="BR167" s="1910">
        <f>BQ167</f>
        <v>565</v>
      </c>
      <c r="BS167" s="1909">
        <f t="shared" si="381"/>
        <v>565</v>
      </c>
      <c r="BT167" s="1910">
        <f>BS167</f>
        <v>565</v>
      </c>
      <c r="BU167" s="1910">
        <f>BT167</f>
        <v>565</v>
      </c>
      <c r="BV167" s="1910">
        <f>BU167</f>
        <v>565</v>
      </c>
      <c r="BW167" s="1910">
        <f>BV167</f>
        <v>565</v>
      </c>
      <c r="BX167" s="1909">
        <f t="shared" si="382"/>
        <v>565</v>
      </c>
      <c r="BY167" s="1928">
        <f>BX167</f>
        <v>565</v>
      </c>
      <c r="BZ167" s="1928">
        <f>BY167</f>
        <v>565</v>
      </c>
      <c r="CA167" s="1928">
        <f>BZ167</f>
        <v>565</v>
      </c>
      <c r="CB167" s="395"/>
      <c r="CC167" s="1360"/>
      <c r="CD167" s="83" t="str">
        <f t="shared" si="368"/>
        <v>Other Current Liabilities</v>
      </c>
      <c r="CE167" s="46">
        <f t="shared" si="383"/>
        <v>565.45699999999999</v>
      </c>
      <c r="CF167" s="46">
        <f t="shared" si="383"/>
        <v>413.49899999999997</v>
      </c>
      <c r="CG167" s="46">
        <f t="shared" si="383"/>
        <v>372.108</v>
      </c>
      <c r="CH167" s="46">
        <f t="shared" si="383"/>
        <v>314.755</v>
      </c>
      <c r="CI167" s="46">
        <f t="shared" si="383"/>
        <v>351.86400000000003</v>
      </c>
      <c r="CJ167" s="46">
        <f t="shared" si="384"/>
        <v>377.63900000000007</v>
      </c>
      <c r="CK167" s="46">
        <f t="shared" si="385"/>
        <v>474.00700000000001</v>
      </c>
      <c r="CL167" s="46">
        <f t="shared" si="386"/>
        <v>544.88200000000006</v>
      </c>
      <c r="CM167" s="46">
        <f t="shared" si="387"/>
        <v>452.85300000000001</v>
      </c>
      <c r="CN167" s="46">
        <f t="shared" si="388"/>
        <v>437.48</v>
      </c>
      <c r="CO167" s="46">
        <f t="shared" si="389"/>
        <v>422</v>
      </c>
      <c r="CP167" s="46">
        <f t="shared" si="390"/>
        <v>1121</v>
      </c>
      <c r="CQ167" s="46">
        <f t="shared" si="391"/>
        <v>402</v>
      </c>
      <c r="CR167" s="46">
        <f t="shared" si="392"/>
        <v>2011</v>
      </c>
      <c r="CS167" s="46">
        <f t="shared" si="393"/>
        <v>699</v>
      </c>
      <c r="CT167" s="46">
        <f t="shared" si="394"/>
        <v>415</v>
      </c>
      <c r="CU167" s="46">
        <f t="shared" si="395"/>
        <v>458</v>
      </c>
      <c r="CV167" s="46">
        <f t="shared" si="396"/>
        <v>565</v>
      </c>
      <c r="CW167" s="46">
        <f t="shared" si="397"/>
        <v>565</v>
      </c>
      <c r="CX167" s="46">
        <f t="shared" si="397"/>
        <v>565</v>
      </c>
      <c r="CY167" s="46">
        <f t="shared" si="397"/>
        <v>565</v>
      </c>
      <c r="CZ167" s="44">
        <f t="shared" si="397"/>
        <v>565</v>
      </c>
      <c r="DA167" s="86"/>
      <c r="DB167" s="59"/>
      <c r="DC167"/>
      <c r="DD167"/>
      <c r="DE167"/>
      <c r="DF167"/>
      <c r="DG167"/>
      <c r="DH167"/>
    </row>
    <row r="168" spans="1:112" ht="5.25" customHeight="1">
      <c r="A168" s="42"/>
      <c r="B168" s="387" t="s">
        <v>62</v>
      </c>
      <c r="C168" s="387" t="s">
        <v>62</v>
      </c>
      <c r="D168" s="387" t="s">
        <v>62</v>
      </c>
      <c r="E168" s="387" t="s">
        <v>62</v>
      </c>
      <c r="F168" s="387" t="s">
        <v>62</v>
      </c>
      <c r="G168" s="388" t="s">
        <v>62</v>
      </c>
      <c r="H168" s="388" t="s">
        <v>62</v>
      </c>
      <c r="I168" s="388" t="s">
        <v>62</v>
      </c>
      <c r="J168" s="388" t="s">
        <v>62</v>
      </c>
      <c r="K168" s="387" t="s">
        <v>62</v>
      </c>
      <c r="L168" s="388" t="s">
        <v>62</v>
      </c>
      <c r="M168" s="388" t="s">
        <v>62</v>
      </c>
      <c r="N168" s="388" t="s">
        <v>62</v>
      </c>
      <c r="O168" s="388" t="s">
        <v>62</v>
      </c>
      <c r="P168" s="387" t="s">
        <v>62</v>
      </c>
      <c r="Q168" s="388" t="s">
        <v>62</v>
      </c>
      <c r="R168" s="388" t="s">
        <v>62</v>
      </c>
      <c r="S168" s="388" t="s">
        <v>62</v>
      </c>
      <c r="T168" s="388" t="s">
        <v>62</v>
      </c>
      <c r="U168" s="387" t="s">
        <v>62</v>
      </c>
      <c r="V168" s="388" t="s">
        <v>62</v>
      </c>
      <c r="W168" s="388" t="s">
        <v>62</v>
      </c>
      <c r="X168" s="388" t="s">
        <v>62</v>
      </c>
      <c r="Y168" s="388" t="s">
        <v>62</v>
      </c>
      <c r="Z168" s="387" t="s">
        <v>62</v>
      </c>
      <c r="AA168" s="388" t="s">
        <v>62</v>
      </c>
      <c r="AB168" s="388" t="s">
        <v>62</v>
      </c>
      <c r="AC168" s="388" t="s">
        <v>62</v>
      </c>
      <c r="AD168" s="388" t="s">
        <v>62</v>
      </c>
      <c r="AE168" s="387" t="s">
        <v>62</v>
      </c>
      <c r="AF168" s="388" t="s">
        <v>62</v>
      </c>
      <c r="AG168" s="388" t="s">
        <v>62</v>
      </c>
      <c r="AH168" s="388" t="s">
        <v>62</v>
      </c>
      <c r="AI168" s="388" t="s">
        <v>62</v>
      </c>
      <c r="AJ168" s="387" t="s">
        <v>62</v>
      </c>
      <c r="AK168" s="90" t="s">
        <v>62</v>
      </c>
      <c r="AL168" s="90" t="s">
        <v>62</v>
      </c>
      <c r="AM168" s="90" t="s">
        <v>62</v>
      </c>
      <c r="AN168" s="388" t="s">
        <v>62</v>
      </c>
      <c r="AO168" s="387" t="s">
        <v>62</v>
      </c>
      <c r="AP168" s="90" t="s">
        <v>62</v>
      </c>
      <c r="AQ168" s="90" t="s">
        <v>62</v>
      </c>
      <c r="AR168" s="90" t="s">
        <v>62</v>
      </c>
      <c r="AS168" s="388" t="s">
        <v>62</v>
      </c>
      <c r="AT168" s="387" t="s">
        <v>62</v>
      </c>
      <c r="AU168" s="90" t="s">
        <v>62</v>
      </c>
      <c r="AV168" s="90" t="s">
        <v>62</v>
      </c>
      <c r="AW168" s="388" t="s">
        <v>62</v>
      </c>
      <c r="AX168" s="90" t="s">
        <v>62</v>
      </c>
      <c r="AY168" s="387" t="s">
        <v>62</v>
      </c>
      <c r="AZ168" s="388" t="s">
        <v>62</v>
      </c>
      <c r="BA168" s="388" t="s">
        <v>62</v>
      </c>
      <c r="BB168" s="388" t="s">
        <v>62</v>
      </c>
      <c r="BC168" s="90" t="s">
        <v>62</v>
      </c>
      <c r="BD168" s="387" t="s">
        <v>62</v>
      </c>
      <c r="BE168" s="388" t="s">
        <v>62</v>
      </c>
      <c r="BF168" s="90" t="s">
        <v>62</v>
      </c>
      <c r="BG168" s="90" t="s">
        <v>62</v>
      </c>
      <c r="BH168" s="90" t="s">
        <v>62</v>
      </c>
      <c r="BI168" s="387" t="s">
        <v>62</v>
      </c>
      <c r="BJ168" s="90" t="s">
        <v>62</v>
      </c>
      <c r="BK168" s="90" t="s">
        <v>62</v>
      </c>
      <c r="BL168" s="388" t="s">
        <v>62</v>
      </c>
      <c r="BM168" s="388" t="s">
        <v>62</v>
      </c>
      <c r="BN168" s="387" t="s">
        <v>62</v>
      </c>
      <c r="BO168" s="388" t="s">
        <v>62</v>
      </c>
      <c r="BP168" s="388" t="s">
        <v>62</v>
      </c>
      <c r="BQ168" s="388" t="s">
        <v>62</v>
      </c>
      <c r="BR168" s="388" t="s">
        <v>62</v>
      </c>
      <c r="BS168" s="387" t="s">
        <v>62</v>
      </c>
      <c r="BT168" s="388" t="s">
        <v>62</v>
      </c>
      <c r="BU168" s="388" t="s">
        <v>62</v>
      </c>
      <c r="BV168" s="388" t="s">
        <v>62</v>
      </c>
      <c r="BW168" s="388" t="s">
        <v>62</v>
      </c>
      <c r="BX168" s="387" t="s">
        <v>62</v>
      </c>
      <c r="BY168" s="99" t="s">
        <v>62</v>
      </c>
      <c r="BZ168" s="99" t="s">
        <v>62</v>
      </c>
      <c r="CA168" s="99" t="s">
        <v>62</v>
      </c>
      <c r="CB168" s="4"/>
      <c r="CD168" s="382"/>
      <c r="CE168" s="90" t="s">
        <v>62</v>
      </c>
      <c r="CF168" s="90" t="s">
        <v>62</v>
      </c>
      <c r="CG168" s="90" t="s">
        <v>62</v>
      </c>
      <c r="CH168" s="90" t="s">
        <v>62</v>
      </c>
      <c r="CI168" s="90" t="s">
        <v>62</v>
      </c>
      <c r="CJ168" s="90" t="s">
        <v>62</v>
      </c>
      <c r="CK168" s="90" t="s">
        <v>62</v>
      </c>
      <c r="CL168" s="90" t="s">
        <v>62</v>
      </c>
      <c r="CM168" s="90" t="s">
        <v>62</v>
      </c>
      <c r="CN168" s="90" t="s">
        <v>62</v>
      </c>
      <c r="CO168" s="90" t="s">
        <v>62</v>
      </c>
      <c r="CP168" s="90" t="s">
        <v>62</v>
      </c>
      <c r="CQ168" s="90" t="s">
        <v>62</v>
      </c>
      <c r="CR168" s="90" t="s">
        <v>62</v>
      </c>
      <c r="CS168" s="90" t="s">
        <v>62</v>
      </c>
      <c r="CT168" s="90" t="s">
        <v>62</v>
      </c>
      <c r="CU168" s="90" t="s">
        <v>62</v>
      </c>
      <c r="CV168" s="90" t="s">
        <v>62</v>
      </c>
      <c r="CW168" s="90" t="s">
        <v>62</v>
      </c>
      <c r="CX168" s="90" t="s">
        <v>62</v>
      </c>
      <c r="CY168" s="90" t="s">
        <v>62</v>
      </c>
      <c r="CZ168" s="99" t="s">
        <v>62</v>
      </c>
      <c r="DA168" s="58"/>
      <c r="DB168" s="100"/>
    </row>
    <row r="169" spans="1:112" s="70" customFormat="1" ht="12" customHeight="1">
      <c r="A169" s="1898" t="s">
        <v>169</v>
      </c>
      <c r="B169" s="1914">
        <f t="shared" ref="B169:AK169" si="398">SUM(B161:B167)</f>
        <v>1876.393</v>
      </c>
      <c r="C169" s="1903">
        <f t="shared" si="398"/>
        <v>1775.2909999999999</v>
      </c>
      <c r="D169" s="1903">
        <f t="shared" si="398"/>
        <v>1993.7339999999997</v>
      </c>
      <c r="E169" s="1903">
        <f t="shared" si="398"/>
        <v>1968.6619999999998</v>
      </c>
      <c r="F169" s="1903">
        <f t="shared" si="398"/>
        <v>2224.826</v>
      </c>
      <c r="G169" s="1902">
        <f t="shared" si="398"/>
        <v>2343.6819999999998</v>
      </c>
      <c r="H169" s="1902">
        <f t="shared" si="398"/>
        <v>2789.4390000000003</v>
      </c>
      <c r="I169" s="1902">
        <f t="shared" si="398"/>
        <v>2543.3450000000003</v>
      </c>
      <c r="J169" s="1902">
        <f t="shared" si="398"/>
        <v>2468.0160000000001</v>
      </c>
      <c r="K169" s="1903">
        <f t="shared" si="398"/>
        <v>2468.0160000000001</v>
      </c>
      <c r="L169" s="1902">
        <f t="shared" si="398"/>
        <v>3024.6129999999998</v>
      </c>
      <c r="M169" s="1902">
        <f t="shared" si="398"/>
        <v>3502.0920000000001</v>
      </c>
      <c r="N169" s="1902">
        <f t="shared" si="398"/>
        <v>3935.8709999999996</v>
      </c>
      <c r="O169" s="1902">
        <f t="shared" si="398"/>
        <v>2656.86</v>
      </c>
      <c r="P169" s="1903">
        <f t="shared" si="398"/>
        <v>2656.86</v>
      </c>
      <c r="Q169" s="1902">
        <f t="shared" si="398"/>
        <v>2666.424</v>
      </c>
      <c r="R169" s="1902">
        <f t="shared" si="398"/>
        <v>2969.0649999999996</v>
      </c>
      <c r="S169" s="1902">
        <f t="shared" si="398"/>
        <v>2817.971</v>
      </c>
      <c r="T169" s="1902">
        <f t="shared" si="398"/>
        <v>2530.703</v>
      </c>
      <c r="U169" s="1903">
        <f t="shared" si="398"/>
        <v>2530.703</v>
      </c>
      <c r="V169" s="1902">
        <f t="shared" si="398"/>
        <v>2354.018</v>
      </c>
      <c r="W169" s="1902">
        <f t="shared" si="398"/>
        <v>2417.5930000000003</v>
      </c>
      <c r="X169" s="1902">
        <f t="shared" si="398"/>
        <v>2516.0699999999997</v>
      </c>
      <c r="Y169" s="1902">
        <f t="shared" si="398"/>
        <v>2451.9539999999997</v>
      </c>
      <c r="Z169" s="1903">
        <f t="shared" si="398"/>
        <v>2451.9539999999997</v>
      </c>
      <c r="AA169" s="1902">
        <f t="shared" si="398"/>
        <v>2206.3670000000002</v>
      </c>
      <c r="AB169" s="1902">
        <f t="shared" si="398"/>
        <v>2359.777</v>
      </c>
      <c r="AC169" s="1902">
        <f t="shared" si="398"/>
        <v>2587.6970000000001</v>
      </c>
      <c r="AD169" s="1902">
        <f t="shared" si="398"/>
        <v>2680.8740000000003</v>
      </c>
      <c r="AE169" s="1903">
        <f t="shared" si="398"/>
        <v>2680.8740000000003</v>
      </c>
      <c r="AF169" s="1902">
        <f t="shared" si="398"/>
        <v>2380</v>
      </c>
      <c r="AG169" s="1902">
        <f t="shared" si="398"/>
        <v>2523.2000000000003</v>
      </c>
      <c r="AH169" s="1902">
        <f t="shared" si="398"/>
        <v>2760.2</v>
      </c>
      <c r="AI169" s="1902">
        <f t="shared" si="398"/>
        <v>3130</v>
      </c>
      <c r="AJ169" s="1903">
        <f t="shared" si="398"/>
        <v>3130</v>
      </c>
      <c r="AK169" s="1904">
        <f t="shared" si="398"/>
        <v>2858</v>
      </c>
      <c r="AL169" s="1904">
        <f t="shared" ref="AL169:AR169" si="399">SUM(AL161:AL167)</f>
        <v>2879</v>
      </c>
      <c r="AM169" s="1904">
        <f t="shared" si="399"/>
        <v>3358</v>
      </c>
      <c r="AN169" s="1902">
        <f t="shared" si="399"/>
        <v>3667</v>
      </c>
      <c r="AO169" s="1903">
        <f t="shared" si="399"/>
        <v>3667</v>
      </c>
      <c r="AP169" s="1904">
        <f t="shared" si="399"/>
        <v>2688</v>
      </c>
      <c r="AQ169" s="1904">
        <f t="shared" si="399"/>
        <v>2395</v>
      </c>
      <c r="AR169" s="1904">
        <f t="shared" si="399"/>
        <v>2359</v>
      </c>
      <c r="AS169" s="1902">
        <f>SUM(AS161:AS167)</f>
        <v>2372</v>
      </c>
      <c r="AT169" s="1903">
        <f>SUM(AT161:AT167)</f>
        <v>2372</v>
      </c>
      <c r="AU169" s="1904">
        <f t="shared" ref="AU169:BY169" si="400">SUM(AU161:AU167)</f>
        <v>2254</v>
      </c>
      <c r="AV169" s="1904">
        <f t="shared" si="400"/>
        <v>2252</v>
      </c>
      <c r="AW169" s="1902">
        <f t="shared" si="400"/>
        <v>2384</v>
      </c>
      <c r="AX169" s="1915">
        <f t="shared" si="400"/>
        <v>3967</v>
      </c>
      <c r="AY169" s="1903">
        <f t="shared" si="400"/>
        <v>3967</v>
      </c>
      <c r="AZ169" s="1902">
        <f t="shared" si="400"/>
        <v>2579</v>
      </c>
      <c r="BA169" s="1902">
        <f t="shared" si="400"/>
        <v>2240</v>
      </c>
      <c r="BB169" s="1902">
        <f t="shared" si="400"/>
        <v>2505</v>
      </c>
      <c r="BC169" s="1915">
        <f t="shared" si="400"/>
        <v>2908</v>
      </c>
      <c r="BD169" s="1903">
        <f t="shared" si="400"/>
        <v>2908</v>
      </c>
      <c r="BE169" s="1902">
        <f t="shared" si="400"/>
        <v>2982</v>
      </c>
      <c r="BF169" s="1915">
        <f t="shared" si="400"/>
        <v>2845</v>
      </c>
      <c r="BG169" s="1915">
        <f t="shared" si="400"/>
        <v>3051</v>
      </c>
      <c r="BH169" s="1915">
        <f t="shared" si="400"/>
        <v>2611</v>
      </c>
      <c r="BI169" s="1903">
        <f t="shared" si="400"/>
        <v>2611</v>
      </c>
      <c r="BJ169" s="1915">
        <f t="shared" si="400"/>
        <v>2469</v>
      </c>
      <c r="BK169" s="1915">
        <f t="shared" si="400"/>
        <v>2362</v>
      </c>
      <c r="BL169" s="1902">
        <f t="shared" si="400"/>
        <v>2408</v>
      </c>
      <c r="BM169" s="1902">
        <f t="shared" si="400"/>
        <v>3214</v>
      </c>
      <c r="BN169" s="1903">
        <f t="shared" si="400"/>
        <v>3214</v>
      </c>
      <c r="BO169" s="1902">
        <f t="shared" si="400"/>
        <v>3135</v>
      </c>
      <c r="BP169" s="1902">
        <f t="shared" si="400"/>
        <v>3179.3529436401645</v>
      </c>
      <c r="BQ169" s="1902">
        <f t="shared" si="400"/>
        <v>3158.0504769252357</v>
      </c>
      <c r="BR169" s="1902">
        <f t="shared" si="400"/>
        <v>3396.2800153811158</v>
      </c>
      <c r="BS169" s="1903">
        <f t="shared" si="400"/>
        <v>3396.2800153811158</v>
      </c>
      <c r="BT169" s="1902">
        <f t="shared" ref="BT169:BX169" si="401">SUM(BT161:BT167)</f>
        <v>3244.9980145669224</v>
      </c>
      <c r="BU169" s="1902">
        <f t="shared" si="401"/>
        <v>3310.2699908834361</v>
      </c>
      <c r="BV169" s="1902">
        <f t="shared" si="401"/>
        <v>3290.3880804595365</v>
      </c>
      <c r="BW169" s="1902">
        <f t="shared" si="401"/>
        <v>3541.4972600217525</v>
      </c>
      <c r="BX169" s="1903">
        <f t="shared" si="401"/>
        <v>3541.4972600217525</v>
      </c>
      <c r="BY169" s="1905">
        <f t="shared" si="400"/>
        <v>3671.570025627359</v>
      </c>
      <c r="BZ169" s="1905">
        <f>SUM(BZ161:BZ167)</f>
        <v>3812.6162336535554</v>
      </c>
      <c r="CA169" s="1905">
        <f>SUM(CA161:CA167)</f>
        <v>3946.035785106772</v>
      </c>
      <c r="CB169" s="383"/>
      <c r="CC169" s="1359"/>
      <c r="CD169" s="227" t="str">
        <f>A169</f>
        <v>Total Current Liabilities</v>
      </c>
      <c r="CE169" s="222">
        <f t="shared" ref="CE169:CY169" si="402">SUM(CE161:CE167)</f>
        <v>1876.393</v>
      </c>
      <c r="CF169" s="222">
        <f t="shared" si="402"/>
        <v>1775.2909999999999</v>
      </c>
      <c r="CG169" s="222">
        <f t="shared" si="402"/>
        <v>1993.7339999999997</v>
      </c>
      <c r="CH169" s="222">
        <f t="shared" si="402"/>
        <v>1968.6619999999998</v>
      </c>
      <c r="CI169" s="222">
        <f t="shared" si="402"/>
        <v>2224.826</v>
      </c>
      <c r="CJ169" s="222">
        <f t="shared" si="402"/>
        <v>2468.0160000000001</v>
      </c>
      <c r="CK169" s="222">
        <f t="shared" si="402"/>
        <v>2656.86</v>
      </c>
      <c r="CL169" s="222">
        <f t="shared" si="402"/>
        <v>2530.703</v>
      </c>
      <c r="CM169" s="222">
        <f t="shared" si="402"/>
        <v>2451.9539999999997</v>
      </c>
      <c r="CN169" s="222">
        <f t="shared" si="402"/>
        <v>2680.8740000000003</v>
      </c>
      <c r="CO169" s="222">
        <f t="shared" si="402"/>
        <v>3130</v>
      </c>
      <c r="CP169" s="222">
        <f t="shared" si="402"/>
        <v>3667</v>
      </c>
      <c r="CQ169" s="222">
        <f t="shared" si="402"/>
        <v>2372</v>
      </c>
      <c r="CR169" s="222">
        <f t="shared" si="402"/>
        <v>3967</v>
      </c>
      <c r="CS169" s="222">
        <f t="shared" si="402"/>
        <v>2908</v>
      </c>
      <c r="CT169" s="222">
        <f t="shared" si="402"/>
        <v>2611</v>
      </c>
      <c r="CU169" s="222">
        <f t="shared" si="402"/>
        <v>3214</v>
      </c>
      <c r="CV169" s="222">
        <f t="shared" si="402"/>
        <v>3396.2800153811158</v>
      </c>
      <c r="CW169" s="222">
        <f t="shared" si="402"/>
        <v>3541.4972600217525</v>
      </c>
      <c r="CX169" s="222">
        <f t="shared" si="402"/>
        <v>3671.570025627359</v>
      </c>
      <c r="CY169" s="222">
        <f t="shared" si="402"/>
        <v>3812.6162336535554</v>
      </c>
      <c r="CZ169" s="228">
        <f t="shared" ref="CZ169" si="403">SUM(CZ161:CZ167)</f>
        <v>3946.035785106772</v>
      </c>
      <c r="DA169" s="74"/>
      <c r="DB169" s="282"/>
      <c r="DC169"/>
      <c r="DD169"/>
      <c r="DE169"/>
      <c r="DF169"/>
      <c r="DG169"/>
      <c r="DH169"/>
    </row>
    <row r="170" spans="1:112" ht="12" customHeight="1">
      <c r="A170" s="390"/>
      <c r="B170" s="79"/>
      <c r="C170" s="79"/>
      <c r="D170" s="79"/>
      <c r="E170" s="79"/>
      <c r="F170" s="79"/>
      <c r="G170" s="251"/>
      <c r="H170" s="86"/>
      <c r="I170" s="86"/>
      <c r="J170" s="86"/>
      <c r="K170" s="79"/>
      <c r="L170" s="86"/>
      <c r="M170" s="86"/>
      <c r="N170" s="86"/>
      <c r="O170" s="86"/>
      <c r="P170" s="79"/>
      <c r="Q170" s="86"/>
      <c r="R170" s="86"/>
      <c r="S170" s="86"/>
      <c r="T170" s="86"/>
      <c r="U170" s="79"/>
      <c r="V170" s="86"/>
      <c r="W170" s="86"/>
      <c r="X170" s="86"/>
      <c r="Y170" s="86"/>
      <c r="Z170" s="79"/>
      <c r="AA170" s="86"/>
      <c r="AB170" s="86"/>
      <c r="AC170" s="86"/>
      <c r="AD170" s="86"/>
      <c r="AE170" s="79"/>
      <c r="AF170" s="86"/>
      <c r="AG170" s="86"/>
      <c r="AH170" s="86"/>
      <c r="AI170" s="86"/>
      <c r="AJ170" s="79"/>
      <c r="AK170" s="416"/>
      <c r="AL170" s="416"/>
      <c r="AM170" s="416"/>
      <c r="AN170" s="86"/>
      <c r="AO170" s="79"/>
      <c r="AP170" s="416"/>
      <c r="AQ170" s="416"/>
      <c r="AR170" s="416"/>
      <c r="AS170" s="86"/>
      <c r="AT170" s="79"/>
      <c r="AU170" s="416"/>
      <c r="AV170" s="416"/>
      <c r="AW170" s="251"/>
      <c r="AX170" s="46"/>
      <c r="AY170" s="79"/>
      <c r="AZ170" s="251"/>
      <c r="BA170" s="251"/>
      <c r="BB170" s="251"/>
      <c r="BC170" s="46"/>
      <c r="BD170" s="79"/>
      <c r="BE170" s="251"/>
      <c r="BF170" s="46"/>
      <c r="BG170" s="46"/>
      <c r="BH170" s="46"/>
      <c r="BI170" s="79"/>
      <c r="BJ170" s="46"/>
      <c r="BK170" s="46"/>
      <c r="BL170" s="251"/>
      <c r="BM170" s="251"/>
      <c r="BN170" s="79"/>
      <c r="BO170" s="251"/>
      <c r="BP170" s="251"/>
      <c r="BQ170" s="251"/>
      <c r="BR170" s="251"/>
      <c r="BS170" s="79"/>
      <c r="BT170" s="251"/>
      <c r="BU170" s="251"/>
      <c r="BV170" s="251"/>
      <c r="BW170" s="251"/>
      <c r="BX170" s="79"/>
      <c r="BY170" s="394"/>
      <c r="BZ170" s="394"/>
      <c r="CA170" s="394"/>
      <c r="CB170" s="395"/>
      <c r="CD170" s="57"/>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4"/>
      <c r="DA170" s="58"/>
      <c r="DB170" s="59"/>
    </row>
    <row r="171" spans="1:112" s="70" customFormat="1" ht="12" customHeight="1">
      <c r="A171" s="1917" t="s">
        <v>170</v>
      </c>
      <c r="B171" s="1899">
        <v>833.57100000000003</v>
      </c>
      <c r="C171" s="1900">
        <v>458.923</v>
      </c>
      <c r="D171" s="1900">
        <v>0.38900000000000001</v>
      </c>
      <c r="E171" s="1900">
        <v>0.51300000000000001</v>
      </c>
      <c r="F171" s="1900">
        <v>0.33900000000000002</v>
      </c>
      <c r="G171" s="1901">
        <v>0.33300000000000002</v>
      </c>
      <c r="H171" s="1901">
        <v>0.32700000000000001</v>
      </c>
      <c r="I171" s="1901">
        <v>0.318</v>
      </c>
      <c r="J171" s="1901">
        <v>0.314</v>
      </c>
      <c r="K171" s="1903">
        <f>J171</f>
        <v>0.314</v>
      </c>
      <c r="L171" s="1901">
        <v>0.307</v>
      </c>
      <c r="M171" s="1901">
        <v>0.3</v>
      </c>
      <c r="N171" s="1901">
        <v>0.29199999999999998</v>
      </c>
      <c r="O171" s="1901">
        <v>1197.425</v>
      </c>
      <c r="P171" s="1903">
        <f>O171</f>
        <v>1197.425</v>
      </c>
      <c r="Q171" s="1901">
        <v>1197.472</v>
      </c>
      <c r="R171" s="1901">
        <v>1197.519</v>
      </c>
      <c r="S171" s="1901">
        <v>1197.5650000000001</v>
      </c>
      <c r="T171" s="1901">
        <v>1197.6110000000001</v>
      </c>
      <c r="U171" s="1903">
        <f>T171</f>
        <v>1197.6110000000001</v>
      </c>
      <c r="V171" s="1901">
        <v>1197.6559999999999</v>
      </c>
      <c r="W171" s="1901">
        <v>1197.701</v>
      </c>
      <c r="X171" s="1901">
        <v>1197.7470000000001</v>
      </c>
      <c r="Y171" s="1901">
        <v>1197.7909999999999</v>
      </c>
      <c r="Z171" s="1903">
        <f>Y171</f>
        <v>1197.7909999999999</v>
      </c>
      <c r="AA171" s="1901">
        <v>1197.835</v>
      </c>
      <c r="AB171" s="1901">
        <v>1197.8789999999999</v>
      </c>
      <c r="AC171" s="1901">
        <v>1197.922</v>
      </c>
      <c r="AD171" s="1901">
        <v>1197.9649999999999</v>
      </c>
      <c r="AE171" s="1903">
        <f>AD171</f>
        <v>1197.9649999999999</v>
      </c>
      <c r="AF171" s="1901">
        <v>1198</v>
      </c>
      <c r="AG171" s="1901">
        <v>1198</v>
      </c>
      <c r="AH171" s="1901">
        <v>1198</v>
      </c>
      <c r="AI171" s="1901">
        <v>798</v>
      </c>
      <c r="AJ171" s="1903">
        <f>AI171</f>
        <v>798</v>
      </c>
      <c r="AK171" s="1942">
        <v>798</v>
      </c>
      <c r="AL171" s="1942">
        <v>799</v>
      </c>
      <c r="AM171" s="1942">
        <v>799</v>
      </c>
      <c r="AN171" s="1901">
        <v>799</v>
      </c>
      <c r="AO171" s="1903">
        <f>AN171</f>
        <v>799</v>
      </c>
      <c r="AP171" s="1942">
        <v>799</v>
      </c>
      <c r="AQ171" s="1942">
        <v>799</v>
      </c>
      <c r="AR171" s="1942">
        <v>799</v>
      </c>
      <c r="AS171" s="1901">
        <v>799</v>
      </c>
      <c r="AT171" s="1903">
        <f>AS171</f>
        <v>799</v>
      </c>
      <c r="AU171" s="1942">
        <v>799</v>
      </c>
      <c r="AV171" s="1942">
        <v>799</v>
      </c>
      <c r="AW171" s="1901">
        <v>799</v>
      </c>
      <c r="AX171" s="1918">
        <v>799</v>
      </c>
      <c r="AY171" s="1903">
        <f>AX171</f>
        <v>799</v>
      </c>
      <c r="AZ171" s="1901">
        <v>799</v>
      </c>
      <c r="BA171" s="1901">
        <v>1494</v>
      </c>
      <c r="BB171" s="1901">
        <v>3489</v>
      </c>
      <c r="BC171" s="1918">
        <v>3468</v>
      </c>
      <c r="BD171" s="1903">
        <f>BC171</f>
        <v>3468</v>
      </c>
      <c r="BE171" s="1918">
        <v>3469</v>
      </c>
      <c r="BF171" s="1918">
        <v>3470</v>
      </c>
      <c r="BG171" s="1918">
        <v>3563</v>
      </c>
      <c r="BH171" s="1918">
        <v>3564</v>
      </c>
      <c r="BI171" s="1903">
        <f>BH171</f>
        <v>3564</v>
      </c>
      <c r="BJ171" s="1918">
        <v>3565</v>
      </c>
      <c r="BK171" s="1918">
        <v>3566</v>
      </c>
      <c r="BL171" s="2185">
        <v>3568</v>
      </c>
      <c r="BM171" s="2185">
        <v>3170</v>
      </c>
      <c r="BN171" s="1903">
        <f>BM171</f>
        <v>3170</v>
      </c>
      <c r="BO171" s="2185">
        <v>3170</v>
      </c>
      <c r="BP171" s="1902">
        <f>BO171+BP118</f>
        <v>3170</v>
      </c>
      <c r="BQ171" s="1902">
        <f>BP171+BQ118</f>
        <v>3170</v>
      </c>
      <c r="BR171" s="1902">
        <f>BQ171+BR118</f>
        <v>3170</v>
      </c>
      <c r="BS171" s="1903">
        <f>BR171</f>
        <v>3170</v>
      </c>
      <c r="BT171" s="1902">
        <f>BS171+BT118</f>
        <v>3170</v>
      </c>
      <c r="BU171" s="1902">
        <f>BT171+BU118</f>
        <v>3170</v>
      </c>
      <c r="BV171" s="1902">
        <f>BU171+BV118</f>
        <v>3170</v>
      </c>
      <c r="BW171" s="1902">
        <f>BV171+BW118</f>
        <v>3170</v>
      </c>
      <c r="BX171" s="1903">
        <f>BW171</f>
        <v>3170</v>
      </c>
      <c r="BY171" s="1905">
        <f>BX171+BY118</f>
        <v>3170</v>
      </c>
      <c r="BZ171" s="1905">
        <f>BY171+BZ118</f>
        <v>3170</v>
      </c>
      <c r="CA171" s="1905">
        <f>BZ171+CA118</f>
        <v>3170</v>
      </c>
      <c r="CB171" s="383"/>
      <c r="CC171" s="1359"/>
      <c r="CD171" s="227" t="str">
        <f t="shared" ref="CD171:CI173" si="404">A171</f>
        <v>Long-Term Debt</v>
      </c>
      <c r="CE171" s="222">
        <f t="shared" si="404"/>
        <v>833.57100000000003</v>
      </c>
      <c r="CF171" s="222">
        <f t="shared" si="404"/>
        <v>458.923</v>
      </c>
      <c r="CG171" s="222">
        <f t="shared" si="404"/>
        <v>0.38900000000000001</v>
      </c>
      <c r="CH171" s="222">
        <f t="shared" si="404"/>
        <v>0.51300000000000001</v>
      </c>
      <c r="CI171" s="222">
        <f t="shared" si="404"/>
        <v>0.33900000000000002</v>
      </c>
      <c r="CJ171" s="222">
        <f>K171</f>
        <v>0.314</v>
      </c>
      <c r="CK171" s="222">
        <f>P171</f>
        <v>1197.425</v>
      </c>
      <c r="CL171" s="222">
        <f>U171</f>
        <v>1197.6110000000001</v>
      </c>
      <c r="CM171" s="222">
        <f>Z171</f>
        <v>1197.7909999999999</v>
      </c>
      <c r="CN171" s="222">
        <f>AE171</f>
        <v>1197.9649999999999</v>
      </c>
      <c r="CO171" s="222">
        <f>AJ171</f>
        <v>798</v>
      </c>
      <c r="CP171" s="222">
        <f>AO171</f>
        <v>799</v>
      </c>
      <c r="CQ171" s="222">
        <f>AT171</f>
        <v>799</v>
      </c>
      <c r="CR171" s="222">
        <f>AY171</f>
        <v>799</v>
      </c>
      <c r="CS171" s="222">
        <f>BD171</f>
        <v>3468</v>
      </c>
      <c r="CT171" s="222">
        <f>BI171</f>
        <v>3564</v>
      </c>
      <c r="CU171" s="222">
        <f>BN171</f>
        <v>3170</v>
      </c>
      <c r="CV171" s="222">
        <f>BS171</f>
        <v>3170</v>
      </c>
      <c r="CW171" s="222">
        <f t="shared" ref="CW171:CZ173" si="405">BX171</f>
        <v>3170</v>
      </c>
      <c r="CX171" s="222">
        <f t="shared" si="405"/>
        <v>3170</v>
      </c>
      <c r="CY171" s="222">
        <f t="shared" si="405"/>
        <v>3170</v>
      </c>
      <c r="CZ171" s="228">
        <f t="shared" si="405"/>
        <v>3170</v>
      </c>
      <c r="DA171" s="74"/>
      <c r="DB171" s="282"/>
      <c r="DC171"/>
      <c r="DD171"/>
      <c r="DE171"/>
      <c r="DF171"/>
      <c r="DG171"/>
      <c r="DH171"/>
    </row>
    <row r="172" spans="1:112" s="82" customFormat="1" ht="12" customHeight="1">
      <c r="A172" s="1906" t="s">
        <v>171</v>
      </c>
      <c r="B172" s="1907">
        <v>175.84399999999999</v>
      </c>
      <c r="C172" s="1907">
        <v>172.06700000000001</v>
      </c>
      <c r="D172" s="1907">
        <v>168.05099999999999</v>
      </c>
      <c r="E172" s="1907">
        <v>164.02099999999999</v>
      </c>
      <c r="F172" s="1907">
        <v>159.94300000000001</v>
      </c>
      <c r="G172" s="1873">
        <v>158.989</v>
      </c>
      <c r="H172" s="1888">
        <v>158.27699999999999</v>
      </c>
      <c r="I172" s="1888">
        <v>157.739</v>
      </c>
      <c r="J172" s="1888">
        <v>129.55799999999999</v>
      </c>
      <c r="K172" s="1909">
        <f>J172</f>
        <v>129.55799999999999</v>
      </c>
      <c r="L172" s="1888">
        <v>129.07599999999999</v>
      </c>
      <c r="M172" s="1888">
        <v>125.54300000000001</v>
      </c>
      <c r="N172" s="1888">
        <v>125.652</v>
      </c>
      <c r="O172" s="1888">
        <v>127.893</v>
      </c>
      <c r="P172" s="1909">
        <f>O172</f>
        <v>127.893</v>
      </c>
      <c r="Q172" s="1888">
        <v>126.697</v>
      </c>
      <c r="R172" s="1888">
        <v>128.38999999999999</v>
      </c>
      <c r="S172" s="1888">
        <v>127.001</v>
      </c>
      <c r="T172" s="1888">
        <v>606.33100000000002</v>
      </c>
      <c r="U172" s="1909">
        <f>T172</f>
        <v>606.33100000000002</v>
      </c>
      <c r="V172" s="1888">
        <v>604.78800000000001</v>
      </c>
      <c r="W172" s="1888">
        <v>599.08100000000002</v>
      </c>
      <c r="X172" s="1888">
        <v>583.197</v>
      </c>
      <c r="Y172" s="1888">
        <v>511.68299999999999</v>
      </c>
      <c r="Z172" s="1909">
        <f>Y172</f>
        <v>511.68299999999999</v>
      </c>
      <c r="AA172" s="1888">
        <v>516.17999999999995</v>
      </c>
      <c r="AB172" s="1888">
        <v>501.36</v>
      </c>
      <c r="AC172" s="1888">
        <v>493.59</v>
      </c>
      <c r="AD172" s="1888">
        <v>436.476</v>
      </c>
      <c r="AE172" s="1909">
        <f>AD172</f>
        <v>436.476</v>
      </c>
      <c r="AF172" s="1888">
        <v>442.2</v>
      </c>
      <c r="AG172" s="1888">
        <v>436.5</v>
      </c>
      <c r="AH172" s="1888">
        <v>470</v>
      </c>
      <c r="AI172" s="1888">
        <v>513</v>
      </c>
      <c r="AJ172" s="1909">
        <f>AI172</f>
        <v>513</v>
      </c>
      <c r="AK172" s="1922">
        <v>508</v>
      </c>
      <c r="AL172" s="1922">
        <v>494</v>
      </c>
      <c r="AM172" s="1922">
        <v>489</v>
      </c>
      <c r="AN172" s="1888">
        <v>529</v>
      </c>
      <c r="AO172" s="1909">
        <f>AN172</f>
        <v>529</v>
      </c>
      <c r="AP172" s="1922">
        <v>511</v>
      </c>
      <c r="AQ172" s="1922">
        <v>511</v>
      </c>
      <c r="AR172" s="1922">
        <v>506</v>
      </c>
      <c r="AS172" s="1888">
        <v>264</v>
      </c>
      <c r="AT172" s="1909">
        <f>AS172</f>
        <v>264</v>
      </c>
      <c r="AU172" s="1922">
        <v>265</v>
      </c>
      <c r="AV172" s="1922">
        <v>260</v>
      </c>
      <c r="AW172" s="1873">
        <v>258</v>
      </c>
      <c r="AX172" s="1872">
        <v>333</v>
      </c>
      <c r="AY172" s="1909">
        <f>AX172</f>
        <v>333</v>
      </c>
      <c r="AZ172" s="1873">
        <v>319</v>
      </c>
      <c r="BA172" s="1873">
        <v>285</v>
      </c>
      <c r="BB172" s="1873">
        <v>278</v>
      </c>
      <c r="BC172" s="1872">
        <v>276</v>
      </c>
      <c r="BD172" s="1909">
        <f>BC172</f>
        <v>276</v>
      </c>
      <c r="BE172" s="1872">
        <v>267</v>
      </c>
      <c r="BF172" s="1872">
        <v>260</v>
      </c>
      <c r="BG172" s="1872">
        <v>259</v>
      </c>
      <c r="BH172" s="1872">
        <v>274</v>
      </c>
      <c r="BI172" s="1909">
        <f>BH172</f>
        <v>274</v>
      </c>
      <c r="BJ172" s="1872">
        <v>271</v>
      </c>
      <c r="BK172" s="1872">
        <v>269</v>
      </c>
      <c r="BL172" s="2167">
        <v>258</v>
      </c>
      <c r="BM172" s="2167">
        <v>244</v>
      </c>
      <c r="BN172" s="1909">
        <f>BM172</f>
        <v>244</v>
      </c>
      <c r="BO172" s="2167">
        <v>235</v>
      </c>
      <c r="BP172" s="1910">
        <f t="shared" ref="BP172:BR173" si="406">BO172</f>
        <v>235</v>
      </c>
      <c r="BQ172" s="1910">
        <f t="shared" si="406"/>
        <v>235</v>
      </c>
      <c r="BR172" s="1910">
        <f t="shared" si="406"/>
        <v>235</v>
      </c>
      <c r="BS172" s="1909">
        <f>BR172</f>
        <v>235</v>
      </c>
      <c r="BT172" s="1910">
        <f t="shared" ref="BT172:BT173" si="407">BS172</f>
        <v>235</v>
      </c>
      <c r="BU172" s="1910">
        <f t="shared" ref="BU172:BU173" si="408">BT172</f>
        <v>235</v>
      </c>
      <c r="BV172" s="1910">
        <f t="shared" ref="BV172:BV173" si="409">BU172</f>
        <v>235</v>
      </c>
      <c r="BW172" s="1910">
        <f t="shared" ref="BW172:BW173" si="410">BV172</f>
        <v>235</v>
      </c>
      <c r="BX172" s="1909">
        <f>BW172</f>
        <v>235</v>
      </c>
      <c r="BY172" s="1928">
        <f t="shared" ref="BY172:CA173" si="411">BX172</f>
        <v>235</v>
      </c>
      <c r="BZ172" s="1928">
        <f t="shared" si="411"/>
        <v>235</v>
      </c>
      <c r="CA172" s="1928">
        <f t="shared" si="411"/>
        <v>235</v>
      </c>
      <c r="CB172" s="395"/>
      <c r="CC172" s="1360"/>
      <c r="CD172" s="83" t="str">
        <f t="shared" si="404"/>
        <v>Pension and Other Postretirement Benefits</v>
      </c>
      <c r="CE172" s="46">
        <f t="shared" si="404"/>
        <v>175.84399999999999</v>
      </c>
      <c r="CF172" s="46">
        <f t="shared" si="404"/>
        <v>172.06700000000001</v>
      </c>
      <c r="CG172" s="46">
        <f t="shared" si="404"/>
        <v>168.05099999999999</v>
      </c>
      <c r="CH172" s="46">
        <f t="shared" si="404"/>
        <v>164.02099999999999</v>
      </c>
      <c r="CI172" s="46">
        <f t="shared" si="404"/>
        <v>159.94300000000001</v>
      </c>
      <c r="CJ172" s="46">
        <f>K172</f>
        <v>129.55799999999999</v>
      </c>
      <c r="CK172" s="46">
        <f>P172</f>
        <v>127.893</v>
      </c>
      <c r="CL172" s="46">
        <f>U172</f>
        <v>606.33100000000002</v>
      </c>
      <c r="CM172" s="46">
        <f>Z172</f>
        <v>511.68299999999999</v>
      </c>
      <c r="CN172" s="46">
        <f>AE172</f>
        <v>436.476</v>
      </c>
      <c r="CO172" s="46">
        <f>AJ172</f>
        <v>513</v>
      </c>
      <c r="CP172" s="46">
        <f>AO172</f>
        <v>529</v>
      </c>
      <c r="CQ172" s="46">
        <f>AT172</f>
        <v>264</v>
      </c>
      <c r="CR172" s="46">
        <f>AY172</f>
        <v>333</v>
      </c>
      <c r="CS172" s="46">
        <f>BD172</f>
        <v>276</v>
      </c>
      <c r="CT172" s="46">
        <f>BI172</f>
        <v>274</v>
      </c>
      <c r="CU172" s="46">
        <f>BN172</f>
        <v>244</v>
      </c>
      <c r="CV172" s="46">
        <f>BS172</f>
        <v>235</v>
      </c>
      <c r="CW172" s="46">
        <f t="shared" si="405"/>
        <v>235</v>
      </c>
      <c r="CX172" s="46">
        <f t="shared" si="405"/>
        <v>235</v>
      </c>
      <c r="CY172" s="46">
        <f t="shared" si="405"/>
        <v>235</v>
      </c>
      <c r="CZ172" s="44">
        <f t="shared" si="405"/>
        <v>235</v>
      </c>
      <c r="DA172" s="86"/>
      <c r="DB172" s="59"/>
      <c r="DC172"/>
      <c r="DD172"/>
      <c r="DE172"/>
      <c r="DF172"/>
      <c r="DG172"/>
      <c r="DH172"/>
    </row>
    <row r="173" spans="1:112" s="82" customFormat="1" ht="12" customHeight="1">
      <c r="A173" s="1906" t="s">
        <v>172</v>
      </c>
      <c r="B173" s="1907">
        <f>231.164+190.334+0</f>
        <v>421.49799999999999</v>
      </c>
      <c r="C173" s="1907">
        <f>259.965+200.114+0</f>
        <v>460.07899999999995</v>
      </c>
      <c r="D173" s="1907">
        <f>269.575+200.485+204.783</f>
        <v>674.84299999999996</v>
      </c>
      <c r="E173" s="1907">
        <f>315.932+232.081+197.267</f>
        <v>745.28</v>
      </c>
      <c r="F173" s="1907">
        <f>390.277+318.015+189.26</f>
        <v>897.55199999999991</v>
      </c>
      <c r="G173" s="1873">
        <f>340.438+293.396+187.305</f>
        <v>821.13900000000012</v>
      </c>
      <c r="H173" s="1888">
        <f>353.727+289.247+185.327</f>
        <v>828.30099999999993</v>
      </c>
      <c r="I173" s="1888">
        <f>362.893+278.435+183.327</f>
        <v>824.65499999999997</v>
      </c>
      <c r="J173" s="1888">
        <f>434.45+150.713+180.221</f>
        <v>765.38400000000001</v>
      </c>
      <c r="K173" s="1909">
        <f>J173</f>
        <v>765.38400000000001</v>
      </c>
      <c r="L173" s="1888">
        <f>459.434+111.104+177.692</f>
        <v>748.23</v>
      </c>
      <c r="M173" s="1888">
        <f>453.076+91.604+175.138</f>
        <v>719.8180000000001</v>
      </c>
      <c r="N173" s="1888">
        <f>476.116+84.305+172.555</f>
        <v>732.97600000000011</v>
      </c>
      <c r="O173" s="1888">
        <f>459.394+139.173+169.941</f>
        <v>768.50800000000004</v>
      </c>
      <c r="P173" s="1909">
        <f>O173</f>
        <v>768.50800000000004</v>
      </c>
      <c r="Q173" s="1888">
        <f>462.663+125.773+167.236</f>
        <v>755.67200000000003</v>
      </c>
      <c r="R173" s="1888">
        <f>477.109+112.069+164.561</f>
        <v>753.73900000000003</v>
      </c>
      <c r="S173" s="1888">
        <f>466.328+129.099+161.854</f>
        <v>757.28099999999995</v>
      </c>
      <c r="T173" s="1888">
        <f>300.64+3.406+159.115</f>
        <v>463.161</v>
      </c>
      <c r="U173" s="1909">
        <f>T173</f>
        <v>463.161</v>
      </c>
      <c r="V173" s="1888">
        <f>228.54+2.087+156.345</f>
        <v>386.97199999999998</v>
      </c>
      <c r="W173" s="1888">
        <f>220.927+3.154+153.542</f>
        <v>377.62299999999999</v>
      </c>
      <c r="X173" s="1888">
        <f>211.149+3.357+150.707</f>
        <v>365.21299999999997</v>
      </c>
      <c r="Y173" s="1888">
        <f>226.842+9.965+147.838</f>
        <v>384.64499999999998</v>
      </c>
      <c r="Z173" s="1909">
        <f>Y173</f>
        <v>384.64499999999998</v>
      </c>
      <c r="AA173" s="1888">
        <f>229.505+9.428+144.936</f>
        <v>383.86900000000003</v>
      </c>
      <c r="AB173" s="1888">
        <f>234.112+142.001+8.971</f>
        <v>385.084</v>
      </c>
      <c r="AC173" s="1888">
        <f>390.593</f>
        <v>390.59300000000002</v>
      </c>
      <c r="AD173" s="1888">
        <f>439.855</f>
        <v>439.85500000000002</v>
      </c>
      <c r="AE173" s="1909">
        <f>AD173</f>
        <v>439.85500000000002</v>
      </c>
      <c r="AF173" s="1888">
        <f>453.8</f>
        <v>453.8</v>
      </c>
      <c r="AG173" s="1888">
        <f>450.5</f>
        <v>450.5</v>
      </c>
      <c r="AH173" s="1888">
        <f>437.4</f>
        <v>437.4</v>
      </c>
      <c r="AI173" s="1888">
        <v>402</v>
      </c>
      <c r="AJ173" s="1909">
        <f>AI173</f>
        <v>402</v>
      </c>
      <c r="AK173" s="1922">
        <v>402</v>
      </c>
      <c r="AL173" s="1922">
        <v>616</v>
      </c>
      <c r="AM173" s="1922">
        <v>625</v>
      </c>
      <c r="AN173" s="1888">
        <v>407</v>
      </c>
      <c r="AO173" s="1909">
        <f>AN173</f>
        <v>407</v>
      </c>
      <c r="AP173" s="1922">
        <v>380</v>
      </c>
      <c r="AQ173" s="1922">
        <v>374</v>
      </c>
      <c r="AR173" s="1922">
        <v>359</v>
      </c>
      <c r="AS173" s="1888">
        <f>205+267</f>
        <v>472</v>
      </c>
      <c r="AT173" s="1909">
        <f>AS173</f>
        <v>472</v>
      </c>
      <c r="AU173" s="1922">
        <v>476</v>
      </c>
      <c r="AV173" s="1922">
        <v>447</v>
      </c>
      <c r="AW173" s="1873">
        <v>429</v>
      </c>
      <c r="AX173" s="1872">
        <f>56+267</f>
        <v>323</v>
      </c>
      <c r="AY173" s="1909">
        <f>AX173</f>
        <v>323</v>
      </c>
      <c r="AZ173" s="1888">
        <v>352</v>
      </c>
      <c r="BA173" s="1873">
        <v>369</v>
      </c>
      <c r="BB173" s="1873">
        <v>377</v>
      </c>
      <c r="BC173" s="1872">
        <f>23+345</f>
        <v>368</v>
      </c>
      <c r="BD173" s="1909">
        <f>BC173</f>
        <v>368</v>
      </c>
      <c r="BE173" s="1877">
        <v>353</v>
      </c>
      <c r="BF173" s="1872">
        <v>371</v>
      </c>
      <c r="BG173" s="1872">
        <v>372</v>
      </c>
      <c r="BH173" s="1872">
        <v>439</v>
      </c>
      <c r="BI173" s="1909">
        <f>BH173</f>
        <v>439</v>
      </c>
      <c r="BJ173" s="1873">
        <v>425</v>
      </c>
      <c r="BK173" s="1872">
        <v>414</v>
      </c>
      <c r="BL173" s="2167">
        <v>426</v>
      </c>
      <c r="BM173" s="2167">
        <v>679</v>
      </c>
      <c r="BN173" s="1909">
        <f>BM173</f>
        <v>679</v>
      </c>
      <c r="BO173" s="2167">
        <v>539</v>
      </c>
      <c r="BP173" s="1910">
        <f t="shared" si="406"/>
        <v>539</v>
      </c>
      <c r="BQ173" s="1910">
        <f t="shared" si="406"/>
        <v>539</v>
      </c>
      <c r="BR173" s="1910">
        <f t="shared" si="406"/>
        <v>539</v>
      </c>
      <c r="BS173" s="1909">
        <f>BR173</f>
        <v>539</v>
      </c>
      <c r="BT173" s="1910">
        <f t="shared" si="407"/>
        <v>539</v>
      </c>
      <c r="BU173" s="1910">
        <f t="shared" si="408"/>
        <v>539</v>
      </c>
      <c r="BV173" s="1910">
        <f t="shared" si="409"/>
        <v>539</v>
      </c>
      <c r="BW173" s="1910">
        <f t="shared" si="410"/>
        <v>539</v>
      </c>
      <c r="BX173" s="1909">
        <f>BW173</f>
        <v>539</v>
      </c>
      <c r="BY173" s="1928">
        <f t="shared" si="411"/>
        <v>539</v>
      </c>
      <c r="BZ173" s="1928">
        <f t="shared" si="411"/>
        <v>539</v>
      </c>
      <c r="CA173" s="1928">
        <f t="shared" si="411"/>
        <v>539</v>
      </c>
      <c r="CB173" s="395"/>
      <c r="CC173" s="1360"/>
      <c r="CD173" s="83" t="str">
        <f t="shared" si="404"/>
        <v>Other Non-Current Liabilities</v>
      </c>
      <c r="CE173" s="46">
        <f t="shared" si="404"/>
        <v>421.49799999999999</v>
      </c>
      <c r="CF173" s="46">
        <f t="shared" si="404"/>
        <v>460.07899999999995</v>
      </c>
      <c r="CG173" s="46">
        <f t="shared" si="404"/>
        <v>674.84299999999996</v>
      </c>
      <c r="CH173" s="46">
        <f t="shared" si="404"/>
        <v>745.28</v>
      </c>
      <c r="CI173" s="46">
        <f t="shared" si="404"/>
        <v>897.55199999999991</v>
      </c>
      <c r="CJ173" s="46">
        <f>K173</f>
        <v>765.38400000000001</v>
      </c>
      <c r="CK173" s="46">
        <f>P173</f>
        <v>768.50800000000004</v>
      </c>
      <c r="CL173" s="46">
        <f>U173</f>
        <v>463.161</v>
      </c>
      <c r="CM173" s="46">
        <f>Z173</f>
        <v>384.64499999999998</v>
      </c>
      <c r="CN173" s="46">
        <f>AE173</f>
        <v>439.85500000000002</v>
      </c>
      <c r="CO173" s="46">
        <f>AJ173</f>
        <v>402</v>
      </c>
      <c r="CP173" s="46">
        <f>AO173</f>
        <v>407</v>
      </c>
      <c r="CQ173" s="46">
        <f>AT173</f>
        <v>472</v>
      </c>
      <c r="CR173" s="46">
        <f>AY173</f>
        <v>323</v>
      </c>
      <c r="CS173" s="46">
        <f>BD173</f>
        <v>368</v>
      </c>
      <c r="CT173" s="46">
        <f>BI173</f>
        <v>439</v>
      </c>
      <c r="CU173" s="46">
        <f>BN173</f>
        <v>679</v>
      </c>
      <c r="CV173" s="46">
        <f>BS173</f>
        <v>539</v>
      </c>
      <c r="CW173" s="46">
        <f t="shared" si="405"/>
        <v>539</v>
      </c>
      <c r="CX173" s="46">
        <f t="shared" si="405"/>
        <v>539</v>
      </c>
      <c r="CY173" s="46">
        <f t="shared" si="405"/>
        <v>539</v>
      </c>
      <c r="CZ173" s="44">
        <f t="shared" si="405"/>
        <v>539</v>
      </c>
      <c r="DA173" s="86"/>
      <c r="DB173" s="59"/>
      <c r="DC173"/>
      <c r="DD173"/>
      <c r="DE173"/>
      <c r="DF173"/>
      <c r="DG173"/>
      <c r="DH173"/>
    </row>
    <row r="174" spans="1:112" ht="5.25" customHeight="1">
      <c r="A174" s="42"/>
      <c r="B174" s="387" t="s">
        <v>62</v>
      </c>
      <c r="C174" s="387" t="s">
        <v>62</v>
      </c>
      <c r="D174" s="387" t="s">
        <v>62</v>
      </c>
      <c r="E174" s="387" t="s">
        <v>62</v>
      </c>
      <c r="F174" s="387" t="s">
        <v>62</v>
      </c>
      <c r="G174" s="388" t="s">
        <v>62</v>
      </c>
      <c r="H174" s="388" t="s">
        <v>62</v>
      </c>
      <c r="I174" s="388" t="s">
        <v>62</v>
      </c>
      <c r="J174" s="388" t="s">
        <v>62</v>
      </c>
      <c r="K174" s="387" t="s">
        <v>62</v>
      </c>
      <c r="L174" s="388" t="s">
        <v>62</v>
      </c>
      <c r="M174" s="388" t="s">
        <v>62</v>
      </c>
      <c r="N174" s="388" t="s">
        <v>62</v>
      </c>
      <c r="O174" s="388" t="s">
        <v>62</v>
      </c>
      <c r="P174" s="387" t="s">
        <v>62</v>
      </c>
      <c r="Q174" s="388" t="s">
        <v>62</v>
      </c>
      <c r="R174" s="388" t="s">
        <v>62</v>
      </c>
      <c r="S174" s="388" t="s">
        <v>62</v>
      </c>
      <c r="T174" s="388" t="s">
        <v>62</v>
      </c>
      <c r="U174" s="387" t="s">
        <v>62</v>
      </c>
      <c r="V174" s="388" t="s">
        <v>62</v>
      </c>
      <c r="W174" s="388" t="s">
        <v>62</v>
      </c>
      <c r="X174" s="388" t="s">
        <v>62</v>
      </c>
      <c r="Y174" s="388" t="s">
        <v>62</v>
      </c>
      <c r="Z174" s="387" t="s">
        <v>62</v>
      </c>
      <c r="AA174" s="388" t="s">
        <v>62</v>
      </c>
      <c r="AB174" s="388" t="s">
        <v>62</v>
      </c>
      <c r="AC174" s="388" t="s">
        <v>62</v>
      </c>
      <c r="AD174" s="388" t="s">
        <v>62</v>
      </c>
      <c r="AE174" s="387" t="s">
        <v>62</v>
      </c>
      <c r="AF174" s="388" t="s">
        <v>62</v>
      </c>
      <c r="AG174" s="388" t="s">
        <v>62</v>
      </c>
      <c r="AH174" s="388" t="s">
        <v>62</v>
      </c>
      <c r="AI174" s="388" t="s">
        <v>62</v>
      </c>
      <c r="AJ174" s="387" t="s">
        <v>62</v>
      </c>
      <c r="AK174" s="90" t="s">
        <v>62</v>
      </c>
      <c r="AL174" s="90" t="s">
        <v>62</v>
      </c>
      <c r="AM174" s="90" t="s">
        <v>62</v>
      </c>
      <c r="AN174" s="388" t="s">
        <v>62</v>
      </c>
      <c r="AO174" s="387" t="s">
        <v>62</v>
      </c>
      <c r="AP174" s="90" t="s">
        <v>62</v>
      </c>
      <c r="AQ174" s="90" t="s">
        <v>62</v>
      </c>
      <c r="AR174" s="90" t="s">
        <v>62</v>
      </c>
      <c r="AS174" s="388" t="s">
        <v>62</v>
      </c>
      <c r="AT174" s="387" t="s">
        <v>62</v>
      </c>
      <c r="AU174" s="90" t="s">
        <v>62</v>
      </c>
      <c r="AV174" s="90" t="s">
        <v>62</v>
      </c>
      <c r="AW174" s="388" t="s">
        <v>62</v>
      </c>
      <c r="AX174" s="90" t="s">
        <v>62</v>
      </c>
      <c r="AY174" s="387" t="s">
        <v>62</v>
      </c>
      <c r="AZ174" s="388" t="s">
        <v>62</v>
      </c>
      <c r="BA174" s="388" t="s">
        <v>62</v>
      </c>
      <c r="BB174" s="388" t="s">
        <v>62</v>
      </c>
      <c r="BC174" s="90" t="s">
        <v>62</v>
      </c>
      <c r="BD174" s="387" t="s">
        <v>62</v>
      </c>
      <c r="BE174" s="388" t="s">
        <v>62</v>
      </c>
      <c r="BF174" s="90" t="s">
        <v>62</v>
      </c>
      <c r="BG174" s="90" t="s">
        <v>62</v>
      </c>
      <c r="BH174" s="90" t="s">
        <v>62</v>
      </c>
      <c r="BI174" s="387" t="s">
        <v>62</v>
      </c>
      <c r="BJ174" s="388" t="s">
        <v>62</v>
      </c>
      <c r="BK174" s="90" t="s">
        <v>62</v>
      </c>
      <c r="BL174" s="388" t="s">
        <v>62</v>
      </c>
      <c r="BM174" s="388" t="s">
        <v>62</v>
      </c>
      <c r="BN174" s="387" t="s">
        <v>62</v>
      </c>
      <c r="BO174" s="388" t="s">
        <v>62</v>
      </c>
      <c r="BP174" s="388" t="s">
        <v>62</v>
      </c>
      <c r="BQ174" s="388" t="s">
        <v>62</v>
      </c>
      <c r="BR174" s="388" t="s">
        <v>62</v>
      </c>
      <c r="BS174" s="387" t="s">
        <v>62</v>
      </c>
      <c r="BT174" s="388" t="s">
        <v>62</v>
      </c>
      <c r="BU174" s="388" t="s">
        <v>62</v>
      </c>
      <c r="BV174" s="388" t="s">
        <v>62</v>
      </c>
      <c r="BW174" s="388" t="s">
        <v>62</v>
      </c>
      <c r="BX174" s="387" t="s">
        <v>62</v>
      </c>
      <c r="BY174" s="99" t="s">
        <v>62</v>
      </c>
      <c r="BZ174" s="99" t="s">
        <v>62</v>
      </c>
      <c r="CA174" s="99" t="s">
        <v>62</v>
      </c>
      <c r="CB174" s="4"/>
      <c r="CD174" s="382"/>
      <c r="CE174" s="90" t="s">
        <v>62</v>
      </c>
      <c r="CF174" s="90" t="s">
        <v>62</v>
      </c>
      <c r="CG174" s="90" t="s">
        <v>62</v>
      </c>
      <c r="CH174" s="90" t="s">
        <v>62</v>
      </c>
      <c r="CI174" s="90" t="s">
        <v>62</v>
      </c>
      <c r="CJ174" s="90" t="s">
        <v>62</v>
      </c>
      <c r="CK174" s="90" t="s">
        <v>62</v>
      </c>
      <c r="CL174" s="90" t="s">
        <v>62</v>
      </c>
      <c r="CM174" s="90" t="s">
        <v>62</v>
      </c>
      <c r="CN174" s="90" t="s">
        <v>62</v>
      </c>
      <c r="CO174" s="90" t="s">
        <v>62</v>
      </c>
      <c r="CP174" s="90" t="s">
        <v>62</v>
      </c>
      <c r="CQ174" s="90" t="s">
        <v>62</v>
      </c>
      <c r="CR174" s="90" t="s">
        <v>62</v>
      </c>
      <c r="CS174" s="90" t="s">
        <v>62</v>
      </c>
      <c r="CT174" s="90" t="s">
        <v>62</v>
      </c>
      <c r="CU174" s="90" t="s">
        <v>62</v>
      </c>
      <c r="CV174" s="90" t="s">
        <v>62</v>
      </c>
      <c r="CW174" s="90" t="s">
        <v>62</v>
      </c>
      <c r="CX174" s="90" t="s">
        <v>62</v>
      </c>
      <c r="CY174" s="90" t="s">
        <v>62</v>
      </c>
      <c r="CZ174" s="99" t="s">
        <v>62</v>
      </c>
      <c r="DA174" s="58"/>
      <c r="DB174" s="100"/>
    </row>
    <row r="175" spans="1:112" s="70" customFormat="1" ht="12" customHeight="1">
      <c r="A175" s="418" t="s">
        <v>173</v>
      </c>
      <c r="B175" s="1950">
        <f t="shared" ref="B175:BM175" si="412">SUM(B169,B171:B173)</f>
        <v>3307.306</v>
      </c>
      <c r="C175" s="1950">
        <f t="shared" si="412"/>
        <v>2866.3599999999997</v>
      </c>
      <c r="D175" s="1950">
        <f t="shared" si="412"/>
        <v>2837.0169999999994</v>
      </c>
      <c r="E175" s="1950">
        <f t="shared" si="412"/>
        <v>2878.4759999999997</v>
      </c>
      <c r="F175" s="1950">
        <f t="shared" si="412"/>
        <v>3282.66</v>
      </c>
      <c r="G175" s="1951">
        <f t="shared" si="412"/>
        <v>3324.143</v>
      </c>
      <c r="H175" s="1920">
        <f t="shared" si="412"/>
        <v>3776.3440000000005</v>
      </c>
      <c r="I175" s="1920">
        <f t="shared" si="412"/>
        <v>3526.0570000000007</v>
      </c>
      <c r="J175" s="1920">
        <f t="shared" si="412"/>
        <v>3363.2719999999999</v>
      </c>
      <c r="K175" s="1950">
        <f t="shared" si="412"/>
        <v>3363.2719999999999</v>
      </c>
      <c r="L175" s="1920">
        <f t="shared" si="412"/>
        <v>3902.2259999999997</v>
      </c>
      <c r="M175" s="1920">
        <f t="shared" si="412"/>
        <v>4347.7530000000006</v>
      </c>
      <c r="N175" s="1920">
        <f t="shared" si="412"/>
        <v>4794.7909999999993</v>
      </c>
      <c r="O175" s="1920">
        <f t="shared" si="412"/>
        <v>4750.6859999999997</v>
      </c>
      <c r="P175" s="1950">
        <f t="shared" si="412"/>
        <v>4750.6859999999997</v>
      </c>
      <c r="Q175" s="1920">
        <f t="shared" si="412"/>
        <v>4746.2649999999994</v>
      </c>
      <c r="R175" s="1920">
        <f t="shared" si="412"/>
        <v>5048.7129999999997</v>
      </c>
      <c r="S175" s="1920">
        <f t="shared" si="412"/>
        <v>4899.8180000000002</v>
      </c>
      <c r="T175" s="1920">
        <f t="shared" si="412"/>
        <v>4797.8060000000005</v>
      </c>
      <c r="U175" s="1950">
        <f t="shared" si="412"/>
        <v>4797.8060000000005</v>
      </c>
      <c r="V175" s="1920">
        <f t="shared" si="412"/>
        <v>4543.4339999999993</v>
      </c>
      <c r="W175" s="1920">
        <f t="shared" si="412"/>
        <v>4591.9979999999996</v>
      </c>
      <c r="X175" s="1920">
        <f t="shared" si="412"/>
        <v>4662.2269999999999</v>
      </c>
      <c r="Y175" s="1920">
        <f t="shared" si="412"/>
        <v>4546.0730000000003</v>
      </c>
      <c r="Z175" s="1950">
        <f t="shared" si="412"/>
        <v>4546.0730000000003</v>
      </c>
      <c r="AA175" s="1920">
        <f t="shared" si="412"/>
        <v>4304.2510000000002</v>
      </c>
      <c r="AB175" s="1920">
        <f t="shared" si="412"/>
        <v>4444.1000000000004</v>
      </c>
      <c r="AC175" s="1920">
        <f t="shared" si="412"/>
        <v>4669.8019999999997</v>
      </c>
      <c r="AD175" s="1920">
        <f t="shared" si="412"/>
        <v>4755.17</v>
      </c>
      <c r="AE175" s="1950">
        <f t="shared" si="412"/>
        <v>4755.17</v>
      </c>
      <c r="AF175" s="1920">
        <f t="shared" si="412"/>
        <v>4474</v>
      </c>
      <c r="AG175" s="1920">
        <f t="shared" si="412"/>
        <v>4608.2000000000007</v>
      </c>
      <c r="AH175" s="1920">
        <f t="shared" si="412"/>
        <v>4865.5999999999995</v>
      </c>
      <c r="AI175" s="1920">
        <f t="shared" si="412"/>
        <v>4843</v>
      </c>
      <c r="AJ175" s="1950">
        <f t="shared" si="412"/>
        <v>4843</v>
      </c>
      <c r="AK175" s="1952">
        <f t="shared" si="412"/>
        <v>4566</v>
      </c>
      <c r="AL175" s="1952">
        <f t="shared" si="412"/>
        <v>4788</v>
      </c>
      <c r="AM175" s="1952">
        <f t="shared" si="412"/>
        <v>5271</v>
      </c>
      <c r="AN175" s="1920">
        <f t="shared" si="412"/>
        <v>5402</v>
      </c>
      <c r="AO175" s="1950">
        <f t="shared" si="412"/>
        <v>5402</v>
      </c>
      <c r="AP175" s="1952">
        <f t="shared" si="412"/>
        <v>4378</v>
      </c>
      <c r="AQ175" s="1952">
        <f t="shared" si="412"/>
        <v>4079</v>
      </c>
      <c r="AR175" s="1952">
        <f t="shared" si="412"/>
        <v>4023</v>
      </c>
      <c r="AS175" s="1920">
        <f>SUM(AS169,AS171:AS173)</f>
        <v>3907</v>
      </c>
      <c r="AT175" s="1950">
        <f>SUM(AT169,AT171:AT173)</f>
        <v>3907</v>
      </c>
      <c r="AU175" s="1952">
        <f t="shared" ref="AU175:BA175" si="413">SUM(AU169,AU171:AU173)</f>
        <v>3794</v>
      </c>
      <c r="AV175" s="1952">
        <f t="shared" si="413"/>
        <v>3758</v>
      </c>
      <c r="AW175" s="1951">
        <f t="shared" si="413"/>
        <v>3870</v>
      </c>
      <c r="AX175" s="1953">
        <f t="shared" si="413"/>
        <v>5422</v>
      </c>
      <c r="AY175" s="1950">
        <f t="shared" si="413"/>
        <v>5422</v>
      </c>
      <c r="AZ175" s="1951">
        <f t="shared" si="413"/>
        <v>4049</v>
      </c>
      <c r="BA175" s="1951">
        <f t="shared" si="413"/>
        <v>4388</v>
      </c>
      <c r="BB175" s="1951">
        <f t="shared" si="412"/>
        <v>6649</v>
      </c>
      <c r="BC175" s="1953">
        <f t="shared" si="412"/>
        <v>7020</v>
      </c>
      <c r="BD175" s="1950">
        <f t="shared" si="412"/>
        <v>7020</v>
      </c>
      <c r="BE175" s="1951">
        <f t="shared" si="412"/>
        <v>7071</v>
      </c>
      <c r="BF175" s="1953">
        <f t="shared" si="412"/>
        <v>6946</v>
      </c>
      <c r="BG175" s="1953">
        <f t="shared" si="412"/>
        <v>7245</v>
      </c>
      <c r="BH175" s="1953">
        <f t="shared" si="412"/>
        <v>6888</v>
      </c>
      <c r="BI175" s="1950">
        <f t="shared" si="412"/>
        <v>6888</v>
      </c>
      <c r="BJ175" s="1951">
        <f t="shared" si="412"/>
        <v>6730</v>
      </c>
      <c r="BK175" s="1953">
        <f t="shared" si="412"/>
        <v>6611</v>
      </c>
      <c r="BL175" s="1951">
        <f t="shared" si="412"/>
        <v>6660</v>
      </c>
      <c r="BM175" s="1951">
        <f t="shared" si="412"/>
        <v>7307</v>
      </c>
      <c r="BN175" s="1950">
        <f t="shared" ref="BN175:BY175" si="414">SUM(BN169,BN171:BN173)</f>
        <v>7307</v>
      </c>
      <c r="BO175" s="1951">
        <f t="shared" si="414"/>
        <v>7079</v>
      </c>
      <c r="BP175" s="1951">
        <f t="shared" si="414"/>
        <v>7123.3529436401641</v>
      </c>
      <c r="BQ175" s="1951">
        <f t="shared" si="414"/>
        <v>7102.0504769252357</v>
      </c>
      <c r="BR175" s="1951">
        <f t="shared" si="414"/>
        <v>7340.2800153811158</v>
      </c>
      <c r="BS175" s="1950">
        <f t="shared" si="414"/>
        <v>7340.2800153811158</v>
      </c>
      <c r="BT175" s="1951">
        <f t="shared" ref="BT175:BX175" si="415">SUM(BT169,BT171:BT173)</f>
        <v>7188.9980145669224</v>
      </c>
      <c r="BU175" s="1951">
        <f t="shared" si="415"/>
        <v>7254.2699908834365</v>
      </c>
      <c r="BV175" s="1951">
        <f t="shared" si="415"/>
        <v>7234.3880804595365</v>
      </c>
      <c r="BW175" s="1951">
        <f t="shared" si="415"/>
        <v>7485.4972600217525</v>
      </c>
      <c r="BX175" s="1950">
        <f t="shared" si="415"/>
        <v>7485.4972600217525</v>
      </c>
      <c r="BY175" s="1954">
        <f t="shared" si="414"/>
        <v>7615.5700256273594</v>
      </c>
      <c r="BZ175" s="1954">
        <f>SUM(BZ169,BZ171:BZ173)</f>
        <v>7756.6162336535554</v>
      </c>
      <c r="CA175" s="1954">
        <f>SUM(CA169,CA171:CA173)</f>
        <v>7890.035785106772</v>
      </c>
      <c r="CB175" s="383"/>
      <c r="CC175" s="1359"/>
      <c r="CD175" s="64" t="str">
        <f t="shared" ref="CD175:CD185" si="416">A175</f>
        <v>Total Liabilities</v>
      </c>
      <c r="CE175" s="62">
        <f t="shared" ref="CE175:CY175" si="417">SUM(CE169,CE171:CE173)</f>
        <v>3307.306</v>
      </c>
      <c r="CF175" s="62">
        <f t="shared" si="417"/>
        <v>2866.3599999999997</v>
      </c>
      <c r="CG175" s="62">
        <f t="shared" si="417"/>
        <v>2837.0169999999994</v>
      </c>
      <c r="CH175" s="62">
        <f t="shared" si="417"/>
        <v>2878.4759999999997</v>
      </c>
      <c r="CI175" s="62">
        <f t="shared" si="417"/>
        <v>3282.66</v>
      </c>
      <c r="CJ175" s="62">
        <f t="shared" si="417"/>
        <v>3363.2719999999999</v>
      </c>
      <c r="CK175" s="62">
        <f t="shared" si="417"/>
        <v>4750.6859999999997</v>
      </c>
      <c r="CL175" s="62">
        <f t="shared" si="417"/>
        <v>4797.8060000000005</v>
      </c>
      <c r="CM175" s="62">
        <f t="shared" si="417"/>
        <v>4546.0730000000003</v>
      </c>
      <c r="CN175" s="62">
        <f t="shared" si="417"/>
        <v>4755.17</v>
      </c>
      <c r="CO175" s="62">
        <f t="shared" si="417"/>
        <v>4843</v>
      </c>
      <c r="CP175" s="62">
        <f t="shared" si="417"/>
        <v>5402</v>
      </c>
      <c r="CQ175" s="62">
        <f t="shared" si="417"/>
        <v>3907</v>
      </c>
      <c r="CR175" s="62">
        <f t="shared" si="417"/>
        <v>5422</v>
      </c>
      <c r="CS175" s="62">
        <f t="shared" si="417"/>
        <v>7020</v>
      </c>
      <c r="CT175" s="62">
        <f t="shared" si="417"/>
        <v>6888</v>
      </c>
      <c r="CU175" s="62">
        <f t="shared" si="417"/>
        <v>7307</v>
      </c>
      <c r="CV175" s="62">
        <f t="shared" si="417"/>
        <v>7340.2800153811158</v>
      </c>
      <c r="CW175" s="62">
        <f t="shared" si="417"/>
        <v>7485.4972600217525</v>
      </c>
      <c r="CX175" s="62">
        <f t="shared" si="417"/>
        <v>7615.5700256273594</v>
      </c>
      <c r="CY175" s="62">
        <f t="shared" si="417"/>
        <v>7756.6162336535554</v>
      </c>
      <c r="CZ175" s="142">
        <f t="shared" ref="CZ175" si="418">SUM(CZ169,CZ171:CZ173)</f>
        <v>7890.035785106772</v>
      </c>
      <c r="DA175" s="74"/>
      <c r="DB175" s="420"/>
      <c r="DC175"/>
      <c r="DD175"/>
      <c r="DE175"/>
      <c r="DF175"/>
      <c r="DG175"/>
      <c r="DH175"/>
    </row>
    <row r="176" spans="1:112" s="82" customFormat="1" ht="12" customHeight="1">
      <c r="A176" s="390" t="s">
        <v>174</v>
      </c>
      <c r="B176" s="79"/>
      <c r="C176" s="79"/>
      <c r="D176" s="79"/>
      <c r="E176" s="79"/>
      <c r="F176" s="79"/>
      <c r="G176" s="251"/>
      <c r="H176" s="86"/>
      <c r="I176" s="86"/>
      <c r="J176" s="86"/>
      <c r="K176" s="1955">
        <v>0</v>
      </c>
      <c r="L176" s="160"/>
      <c r="M176" s="160"/>
      <c r="N176" s="160"/>
      <c r="O176" s="160"/>
      <c r="P176" s="1955">
        <v>0</v>
      </c>
      <c r="Q176" s="160"/>
      <c r="R176" s="160"/>
      <c r="S176" s="160"/>
      <c r="T176" s="160"/>
      <c r="U176" s="1955">
        <v>0</v>
      </c>
      <c r="V176" s="160"/>
      <c r="W176" s="160"/>
      <c r="X176" s="160"/>
      <c r="Y176" s="160"/>
      <c r="Z176" s="1955">
        <v>0</v>
      </c>
      <c r="AA176" s="1943">
        <v>0</v>
      </c>
      <c r="AB176" s="1943">
        <v>0</v>
      </c>
      <c r="AC176" s="1943">
        <v>0</v>
      </c>
      <c r="AD176" s="1943">
        <v>0</v>
      </c>
      <c r="AE176" s="1956">
        <f>AD176</f>
        <v>0</v>
      </c>
      <c r="AF176" s="1943">
        <v>0</v>
      </c>
      <c r="AG176" s="1943">
        <v>0</v>
      </c>
      <c r="AH176" s="1943">
        <v>0</v>
      </c>
      <c r="AI176" s="1943">
        <v>0</v>
      </c>
      <c r="AJ176" s="1956">
        <f>AI176</f>
        <v>0</v>
      </c>
      <c r="AK176" s="1957">
        <v>0</v>
      </c>
      <c r="AL176" s="1957">
        <v>792</v>
      </c>
      <c r="AM176" s="1957">
        <v>810</v>
      </c>
      <c r="AN176" s="1943">
        <v>810</v>
      </c>
      <c r="AO176" s="1956">
        <f>AN176</f>
        <v>810</v>
      </c>
      <c r="AP176" s="1957">
        <v>810</v>
      </c>
      <c r="AQ176" s="1957">
        <v>810</v>
      </c>
      <c r="AR176" s="1957">
        <v>810</v>
      </c>
      <c r="AS176" s="1943">
        <v>810</v>
      </c>
      <c r="AT176" s="1927">
        <f>AS176</f>
        <v>810</v>
      </c>
      <c r="AU176" s="1957">
        <v>810</v>
      </c>
      <c r="AV176" s="1957">
        <v>810</v>
      </c>
      <c r="AW176" s="1958">
        <v>810</v>
      </c>
      <c r="AX176" s="1872">
        <v>810</v>
      </c>
      <c r="AY176" s="1927">
        <f>AX176</f>
        <v>810</v>
      </c>
      <c r="AZ176" s="1958">
        <v>810</v>
      </c>
      <c r="BA176" s="1958">
        <v>810</v>
      </c>
      <c r="BB176" s="1958">
        <v>810</v>
      </c>
      <c r="BC176" s="1872">
        <v>920</v>
      </c>
      <c r="BD176" s="1927">
        <f>BC176</f>
        <v>920</v>
      </c>
      <c r="BE176" s="1872">
        <v>920</v>
      </c>
      <c r="BF176" s="1872">
        <v>920</v>
      </c>
      <c r="BG176" s="1872">
        <v>920</v>
      </c>
      <c r="BH176" s="1872">
        <v>1080</v>
      </c>
      <c r="BI176" s="1927">
        <f t="shared" ref="BI176:CA176" si="419">BH176</f>
        <v>1080</v>
      </c>
      <c r="BJ176" s="1872">
        <v>1080</v>
      </c>
      <c r="BK176" s="1872">
        <v>1107</v>
      </c>
      <c r="BL176" s="2187">
        <v>1161</v>
      </c>
      <c r="BM176" s="2167">
        <v>1350</v>
      </c>
      <c r="BN176" s="1927">
        <f t="shared" si="419"/>
        <v>1350</v>
      </c>
      <c r="BO176" s="2187">
        <v>1350</v>
      </c>
      <c r="BP176" s="1959">
        <f t="shared" si="419"/>
        <v>1350</v>
      </c>
      <c r="BQ176" s="1959">
        <f t="shared" si="419"/>
        <v>1350</v>
      </c>
      <c r="BR176" s="1959">
        <f t="shared" si="419"/>
        <v>1350</v>
      </c>
      <c r="BS176" s="1927">
        <f t="shared" si="419"/>
        <v>1350</v>
      </c>
      <c r="BT176" s="1959">
        <f t="shared" ref="BT176" si="420">BS176</f>
        <v>1350</v>
      </c>
      <c r="BU176" s="1959">
        <f t="shared" ref="BU176" si="421">BT176</f>
        <v>1350</v>
      </c>
      <c r="BV176" s="1959">
        <f t="shared" ref="BV176" si="422">BU176</f>
        <v>1350</v>
      </c>
      <c r="BW176" s="1959">
        <f t="shared" ref="BW176" si="423">BV176</f>
        <v>1350</v>
      </c>
      <c r="BX176" s="1927">
        <f t="shared" ref="BX176" si="424">BW176</f>
        <v>1350</v>
      </c>
      <c r="BY176" s="1928">
        <f t="shared" si="419"/>
        <v>1350</v>
      </c>
      <c r="BZ176" s="1928">
        <f t="shared" si="419"/>
        <v>1350</v>
      </c>
      <c r="CA176" s="1928">
        <f t="shared" si="419"/>
        <v>1350</v>
      </c>
      <c r="CB176" s="395"/>
      <c r="CC176" s="1360"/>
      <c r="CD176" s="57" t="str">
        <f t="shared" si="416"/>
        <v>Redeemable noncontrolling interest</v>
      </c>
      <c r="CE176" s="421">
        <f>B176</f>
        <v>0</v>
      </c>
      <c r="CF176" s="421">
        <f>C176</f>
        <v>0</v>
      </c>
      <c r="CG176" s="421">
        <f>D176</f>
        <v>0</v>
      </c>
      <c r="CH176" s="421">
        <f>E176</f>
        <v>0</v>
      </c>
      <c r="CI176" s="421">
        <f>F176</f>
        <v>0</v>
      </c>
      <c r="CJ176" s="421">
        <f>K176</f>
        <v>0</v>
      </c>
      <c r="CK176" s="421">
        <f>P176</f>
        <v>0</v>
      </c>
      <c r="CL176" s="421">
        <f>U176</f>
        <v>0</v>
      </c>
      <c r="CM176" s="421">
        <f>Z176</f>
        <v>0</v>
      </c>
      <c r="CN176" s="421">
        <f>AE176</f>
        <v>0</v>
      </c>
      <c r="CO176" s="421">
        <f>AJ176</f>
        <v>0</v>
      </c>
      <c r="CP176" s="421">
        <f>AO176</f>
        <v>810</v>
      </c>
      <c r="CQ176" s="421">
        <f>AT176</f>
        <v>810</v>
      </c>
      <c r="CR176" s="421">
        <f>AY176</f>
        <v>810</v>
      </c>
      <c r="CS176" s="421">
        <f>BD176</f>
        <v>920</v>
      </c>
      <c r="CT176" s="421">
        <f>BI176</f>
        <v>1080</v>
      </c>
      <c r="CU176" s="421">
        <f>BN176</f>
        <v>1350</v>
      </c>
      <c r="CV176" s="421">
        <f>BS176</f>
        <v>1350</v>
      </c>
      <c r="CW176" s="421">
        <f>BX176</f>
        <v>1350</v>
      </c>
      <c r="CX176" s="421">
        <f>BY176</f>
        <v>1350</v>
      </c>
      <c r="CY176" s="421">
        <f>BZ176</f>
        <v>1350</v>
      </c>
      <c r="CZ176" s="422">
        <f>CA176</f>
        <v>1350</v>
      </c>
      <c r="DA176" s="86"/>
      <c r="DB176" s="423"/>
      <c r="DC176"/>
      <c r="DD176"/>
      <c r="DE176"/>
      <c r="DF176"/>
      <c r="DG176"/>
      <c r="DH176"/>
    </row>
    <row r="177" spans="1:112" ht="12" customHeight="1">
      <c r="A177" s="390" t="s">
        <v>175</v>
      </c>
      <c r="B177" s="79"/>
      <c r="C177" s="79"/>
      <c r="D177" s="79"/>
      <c r="E177" s="79"/>
      <c r="F177" s="79"/>
      <c r="G177" s="251"/>
      <c r="H177" s="86"/>
      <c r="I177" s="86"/>
      <c r="J177" s="86"/>
      <c r="K177" s="79"/>
      <c r="L177" s="86"/>
      <c r="M177" s="86"/>
      <c r="N177" s="86"/>
      <c r="O177" s="86"/>
      <c r="P177" s="79"/>
      <c r="Q177" s="86"/>
      <c r="R177" s="86"/>
      <c r="S177" s="86"/>
      <c r="T177" s="86"/>
      <c r="U177" s="79"/>
      <c r="V177" s="86"/>
      <c r="W177" s="86"/>
      <c r="X177" s="86"/>
      <c r="Y177" s="86"/>
      <c r="Z177" s="79"/>
      <c r="AA177" s="86"/>
      <c r="AB177" s="86"/>
      <c r="AC177" s="86"/>
      <c r="AD177" s="86"/>
      <c r="AE177" s="79"/>
      <c r="AF177" s="86"/>
      <c r="AG177" s="86"/>
      <c r="AH177" s="86"/>
      <c r="AI177" s="86"/>
      <c r="AJ177" s="79"/>
      <c r="AK177" s="416"/>
      <c r="AL177" s="416"/>
      <c r="AM177" s="416"/>
      <c r="AN177" s="86"/>
      <c r="AO177" s="79"/>
      <c r="AP177" s="416"/>
      <c r="AQ177" s="416"/>
      <c r="AR177" s="416"/>
      <c r="AS177" s="86"/>
      <c r="AT177" s="79"/>
      <c r="AU177" s="416"/>
      <c r="AV177" s="416"/>
      <c r="AW177" s="251"/>
      <c r="AX177" s="46"/>
      <c r="AY177" s="79"/>
      <c r="AZ177" s="251"/>
      <c r="BA177" s="251"/>
      <c r="BB177" s="251"/>
      <c r="BC177" s="46"/>
      <c r="BD177" s="79"/>
      <c r="BE177" s="251"/>
      <c r="BF177" s="46"/>
      <c r="BG177" s="46"/>
      <c r="BH177" s="46"/>
      <c r="BI177" s="79"/>
      <c r="BJ177" s="251"/>
      <c r="BK177" s="46"/>
      <c r="BL177" s="251"/>
      <c r="BM177" s="251"/>
      <c r="BN177" s="79"/>
      <c r="BO177" s="251"/>
      <c r="BP177" s="251"/>
      <c r="BQ177" s="251"/>
      <c r="BR177" s="251"/>
      <c r="BS177" s="79"/>
      <c r="BT177" s="251"/>
      <c r="BU177" s="251"/>
      <c r="BV177" s="251"/>
      <c r="BW177" s="251"/>
      <c r="BX177" s="79"/>
      <c r="BY177" s="394"/>
      <c r="BZ177" s="394"/>
      <c r="CA177" s="394"/>
      <c r="CB177" s="395"/>
      <c r="CD177" s="57" t="str">
        <f t="shared" si="416"/>
        <v>Stockholders' Equity</v>
      </c>
      <c r="CE177" s="46"/>
      <c r="CF177" s="46"/>
      <c r="CG177" s="46"/>
      <c r="CH177" s="46"/>
      <c r="CI177" s="46"/>
      <c r="CJ177" s="46"/>
      <c r="CK177" s="46"/>
      <c r="CL177" s="46"/>
      <c r="CM177" s="46"/>
      <c r="CN177" s="46"/>
      <c r="CO177" s="46"/>
      <c r="CP177" s="46"/>
      <c r="CQ177" s="46"/>
      <c r="CR177" s="46"/>
      <c r="CS177" s="46"/>
      <c r="CT177" s="46"/>
      <c r="CU177" s="46"/>
      <c r="CV177" s="46"/>
      <c r="CW177" s="46"/>
      <c r="CX177" s="46"/>
      <c r="CY177" s="46"/>
      <c r="CZ177" s="44"/>
      <c r="DA177" s="58"/>
      <c r="DB177" s="59"/>
    </row>
    <row r="178" spans="1:112" s="70" customFormat="1" ht="12" customHeight="1">
      <c r="A178" s="1917" t="s">
        <v>176</v>
      </c>
      <c r="B178" s="1899">
        <f>205.839+0.013</f>
        <v>205.852</v>
      </c>
      <c r="C178" s="1900">
        <v>205.85300000000001</v>
      </c>
      <c r="D178" s="1900">
        <v>205.85400000000001</v>
      </c>
      <c r="E178" s="1900">
        <v>205.85499999999999</v>
      </c>
      <c r="F178" s="1900">
        <v>411.709</v>
      </c>
      <c r="G178" s="1901">
        <v>411.709</v>
      </c>
      <c r="H178" s="1901">
        <v>411.709</v>
      </c>
      <c r="I178" s="1901">
        <v>411.709</v>
      </c>
      <c r="J178" s="1901">
        <v>411.709</v>
      </c>
      <c r="K178" s="1903">
        <f>J178</f>
        <v>411.709</v>
      </c>
      <c r="L178" s="1901">
        <v>411.709</v>
      </c>
      <c r="M178" s="1901">
        <v>411.709</v>
      </c>
      <c r="N178" s="1901">
        <v>411.709</v>
      </c>
      <c r="O178" s="1901">
        <v>411.709</v>
      </c>
      <c r="P178" s="1903">
        <f>O178</f>
        <v>411.709</v>
      </c>
      <c r="Q178" s="1901">
        <v>411.709</v>
      </c>
      <c r="R178" s="1901">
        <v>411.709</v>
      </c>
      <c r="S178" s="1901">
        <v>411.709</v>
      </c>
      <c r="T178" s="1901">
        <v>411.709</v>
      </c>
      <c r="U178" s="1903">
        <f>T178</f>
        <v>411.709</v>
      </c>
      <c r="V178" s="1901">
        <v>411.709</v>
      </c>
      <c r="W178" s="1901">
        <v>411.709</v>
      </c>
      <c r="X178" s="1901">
        <v>411.709</v>
      </c>
      <c r="Y178" s="1901">
        <v>411.709</v>
      </c>
      <c r="Z178" s="1903">
        <f>Y178</f>
        <v>411.709</v>
      </c>
      <c r="AA178" s="1901">
        <v>411.709</v>
      </c>
      <c r="AB178" s="1901">
        <v>411.709</v>
      </c>
      <c r="AC178" s="1901">
        <v>411.709</v>
      </c>
      <c r="AD178" s="1901">
        <v>411.709</v>
      </c>
      <c r="AE178" s="1903">
        <f>AD178</f>
        <v>411.709</v>
      </c>
      <c r="AF178" s="1901">
        <v>411.7</v>
      </c>
      <c r="AG178" s="1901">
        <v>411.7</v>
      </c>
      <c r="AH178" s="1901">
        <v>411.7</v>
      </c>
      <c r="AI178" s="1901">
        <v>412</v>
      </c>
      <c r="AJ178" s="1903">
        <f>AI178</f>
        <v>412</v>
      </c>
      <c r="AK178" s="1942">
        <v>412</v>
      </c>
      <c r="AL178" s="1942">
        <v>412</v>
      </c>
      <c r="AM178" s="1942">
        <v>412</v>
      </c>
      <c r="AN178" s="1901">
        <v>412</v>
      </c>
      <c r="AO178" s="1903">
        <f>AN178</f>
        <v>412</v>
      </c>
      <c r="AP178" s="1942">
        <v>412</v>
      </c>
      <c r="AQ178" s="1942">
        <v>412</v>
      </c>
      <c r="AR178" s="1942">
        <v>412</v>
      </c>
      <c r="AS178" s="1901">
        <v>412</v>
      </c>
      <c r="AT178" s="1903">
        <f>AS178</f>
        <v>412</v>
      </c>
      <c r="AU178" s="1942">
        <v>412</v>
      </c>
      <c r="AV178" s="1942">
        <v>412</v>
      </c>
      <c r="AW178" s="1901">
        <v>412</v>
      </c>
      <c r="AX178" s="1918">
        <v>412</v>
      </c>
      <c r="AY178" s="1903">
        <f>AX178</f>
        <v>412</v>
      </c>
      <c r="AZ178" s="1901">
        <v>412</v>
      </c>
      <c r="BA178" s="1942">
        <v>412</v>
      </c>
      <c r="BB178" s="1942">
        <v>412</v>
      </c>
      <c r="BC178" s="1918">
        <v>412</v>
      </c>
      <c r="BD178" s="1903">
        <f>BC178</f>
        <v>412</v>
      </c>
      <c r="BE178" s="1918">
        <v>412</v>
      </c>
      <c r="BF178" s="1918">
        <v>412</v>
      </c>
      <c r="BG178" s="1918">
        <v>412</v>
      </c>
      <c r="BH178" s="1918">
        <v>412</v>
      </c>
      <c r="BI178" s="1903">
        <f t="shared" ref="BI178:CA178" si="425">BH178</f>
        <v>412</v>
      </c>
      <c r="BJ178" s="1918">
        <v>412</v>
      </c>
      <c r="BK178" s="1918">
        <v>412</v>
      </c>
      <c r="BL178" s="2185">
        <v>412</v>
      </c>
      <c r="BM178" s="2185">
        <v>412</v>
      </c>
      <c r="BN178" s="1903">
        <f t="shared" si="425"/>
        <v>412</v>
      </c>
      <c r="BO178" s="2185">
        <v>412</v>
      </c>
      <c r="BP178" s="1902">
        <f t="shared" si="425"/>
        <v>412</v>
      </c>
      <c r="BQ178" s="1902">
        <f t="shared" si="425"/>
        <v>412</v>
      </c>
      <c r="BR178" s="1902">
        <f t="shared" si="425"/>
        <v>412</v>
      </c>
      <c r="BS178" s="1903">
        <f t="shared" si="425"/>
        <v>412</v>
      </c>
      <c r="BT178" s="1902">
        <f t="shared" ref="BT178" si="426">BS178</f>
        <v>412</v>
      </c>
      <c r="BU178" s="1902">
        <f t="shared" ref="BU178" si="427">BT178</f>
        <v>412</v>
      </c>
      <c r="BV178" s="1902">
        <f t="shared" ref="BV178" si="428">BU178</f>
        <v>412</v>
      </c>
      <c r="BW178" s="1902">
        <f t="shared" ref="BW178" si="429">BV178</f>
        <v>412</v>
      </c>
      <c r="BX178" s="1903">
        <f t="shared" ref="BX178" si="430">BW178</f>
        <v>412</v>
      </c>
      <c r="BY178" s="1905">
        <f t="shared" si="425"/>
        <v>412</v>
      </c>
      <c r="BZ178" s="1905">
        <f t="shared" si="425"/>
        <v>412</v>
      </c>
      <c r="CA178" s="1905">
        <f t="shared" si="425"/>
        <v>412</v>
      </c>
      <c r="CB178" s="383"/>
      <c r="CC178" s="1359"/>
      <c r="CD178" s="71" t="str">
        <f t="shared" si="416"/>
        <v>Common Stock</v>
      </c>
      <c r="CE178" s="222">
        <f t="shared" ref="CE178:CI185" si="431">B178</f>
        <v>205.852</v>
      </c>
      <c r="CF178" s="222">
        <f t="shared" si="431"/>
        <v>205.85300000000001</v>
      </c>
      <c r="CG178" s="222">
        <f t="shared" si="431"/>
        <v>205.85400000000001</v>
      </c>
      <c r="CH178" s="222">
        <f t="shared" si="431"/>
        <v>205.85499999999999</v>
      </c>
      <c r="CI178" s="222">
        <f t="shared" si="431"/>
        <v>411.709</v>
      </c>
      <c r="CJ178" s="222">
        <f t="shared" ref="CJ178:CJ185" si="432">K178</f>
        <v>411.709</v>
      </c>
      <c r="CK178" s="222">
        <f t="shared" ref="CK178:CK185" si="433">P178</f>
        <v>411.709</v>
      </c>
      <c r="CL178" s="222">
        <f t="shared" ref="CL178:CL185" si="434">U178</f>
        <v>411.709</v>
      </c>
      <c r="CM178" s="222">
        <f t="shared" ref="CM178:CM185" si="435">Z178</f>
        <v>411.709</v>
      </c>
      <c r="CN178" s="222">
        <f t="shared" ref="CN178:CN185" si="436">AE178</f>
        <v>411.709</v>
      </c>
      <c r="CO178" s="222">
        <f t="shared" ref="CO178:CO185" si="437">AJ178</f>
        <v>412</v>
      </c>
      <c r="CP178" s="222">
        <f t="shared" ref="CP178:CP185" si="438">AO178</f>
        <v>412</v>
      </c>
      <c r="CQ178" s="222">
        <f t="shared" ref="CQ178:CQ185" si="439">AT178</f>
        <v>412</v>
      </c>
      <c r="CR178" s="222">
        <f t="shared" ref="CR178:CR185" si="440">AY178</f>
        <v>412</v>
      </c>
      <c r="CS178" s="222">
        <f t="shared" ref="CS178:CS185" si="441">BD178</f>
        <v>412</v>
      </c>
      <c r="CT178" s="222">
        <f t="shared" ref="CT178:CT185" si="442">BI178</f>
        <v>412</v>
      </c>
      <c r="CU178" s="222">
        <f t="shared" ref="CU178:CU185" si="443">BN178</f>
        <v>412</v>
      </c>
      <c r="CV178" s="222">
        <f t="shared" ref="CV178:CV185" si="444">BS178</f>
        <v>412</v>
      </c>
      <c r="CW178" s="222">
        <f t="shared" ref="CW178:CZ185" si="445">BX178</f>
        <v>412</v>
      </c>
      <c r="CX178" s="222">
        <f t="shared" si="445"/>
        <v>412</v>
      </c>
      <c r="CY178" s="222">
        <f t="shared" si="445"/>
        <v>412</v>
      </c>
      <c r="CZ178" s="228">
        <f t="shared" si="445"/>
        <v>412</v>
      </c>
      <c r="DA178" s="74"/>
      <c r="DB178" s="282"/>
      <c r="DC178"/>
      <c r="DD178"/>
      <c r="DE178"/>
      <c r="DF178"/>
      <c r="DG178"/>
      <c r="DH178"/>
    </row>
    <row r="179" spans="1:112" s="82" customFormat="1" ht="12" customHeight="1">
      <c r="A179" s="1906" t="s">
        <v>177</v>
      </c>
      <c r="B179" s="1907">
        <v>64.638000000000005</v>
      </c>
      <c r="C179" s="1907">
        <v>79.41</v>
      </c>
      <c r="D179" s="1907">
        <v>86.501000000000005</v>
      </c>
      <c r="E179" s="1907">
        <v>113.843</v>
      </c>
      <c r="F179" s="1907">
        <v>1.02</v>
      </c>
      <c r="G179" s="1873">
        <v>70.119</v>
      </c>
      <c r="H179" s="1888">
        <v>52.122999999999998</v>
      </c>
      <c r="I179" s="1888">
        <v>81.492000000000004</v>
      </c>
      <c r="J179" s="1888">
        <v>114.596</v>
      </c>
      <c r="K179" s="1909">
        <f>J179</f>
        <v>114.596</v>
      </c>
      <c r="L179" s="1888">
        <v>129.75800000000001</v>
      </c>
      <c r="M179" s="1888">
        <v>118.499</v>
      </c>
      <c r="N179" s="1888">
        <v>144.75399999999999</v>
      </c>
      <c r="O179" s="1888">
        <v>169.18700000000001</v>
      </c>
      <c r="P179" s="1909">
        <f>O179</f>
        <v>169.18700000000001</v>
      </c>
      <c r="Q179" s="1888">
        <v>159.61000000000001</v>
      </c>
      <c r="R179" s="1888">
        <v>102.574</v>
      </c>
      <c r="S179" s="1888">
        <v>59.087000000000003</v>
      </c>
      <c r="T179" s="1888">
        <v>55.15</v>
      </c>
      <c r="U179" s="1909">
        <f>T179</f>
        <v>55.15</v>
      </c>
      <c r="V179" s="1888">
        <v>11.093</v>
      </c>
      <c r="W179" s="1888">
        <v>15.994</v>
      </c>
      <c r="X179" s="1888">
        <v>4.1059999999999999</v>
      </c>
      <c r="Y179" s="1888">
        <v>5.125</v>
      </c>
      <c r="Z179" s="1909">
        <f>Y179</f>
        <v>5.125</v>
      </c>
      <c r="AA179" s="1888">
        <v>34.71</v>
      </c>
      <c r="AB179" s="1888">
        <v>45.296999999999997</v>
      </c>
      <c r="AC179" s="1888">
        <v>65.650999999999996</v>
      </c>
      <c r="AD179" s="1888">
        <v>67.018000000000001</v>
      </c>
      <c r="AE179" s="1909">
        <f>AD179</f>
        <v>67.018000000000001</v>
      </c>
      <c r="AF179" s="1888">
        <v>125</v>
      </c>
      <c r="AG179" s="1888">
        <v>134.5</v>
      </c>
      <c r="AH179" s="1888">
        <v>147.9</v>
      </c>
      <c r="AI179" s="1888">
        <v>94</v>
      </c>
      <c r="AJ179" s="1909">
        <f>AI179</f>
        <v>94</v>
      </c>
      <c r="AK179" s="1922">
        <v>69</v>
      </c>
      <c r="AL179" s="1922">
        <v>442</v>
      </c>
      <c r="AM179" s="1922">
        <v>449</v>
      </c>
      <c r="AN179" s="1888">
        <v>492</v>
      </c>
      <c r="AO179" s="1909">
        <f>AN179</f>
        <v>492</v>
      </c>
      <c r="AP179" s="1922">
        <v>236</v>
      </c>
      <c r="AQ179" s="1922">
        <v>342</v>
      </c>
      <c r="AR179" s="1922">
        <v>427</v>
      </c>
      <c r="AS179" s="1888">
        <v>447</v>
      </c>
      <c r="AT179" s="1909">
        <f>AS179</f>
        <v>447</v>
      </c>
      <c r="AU179" s="1922">
        <v>348</v>
      </c>
      <c r="AV179" s="1922">
        <v>382</v>
      </c>
      <c r="AW179" s="1873">
        <v>411</v>
      </c>
      <c r="AX179" s="1872">
        <v>493</v>
      </c>
      <c r="AY179" s="1909">
        <f>AX179</f>
        <v>493</v>
      </c>
      <c r="AZ179" s="1873">
        <v>421</v>
      </c>
      <c r="BA179" s="1922">
        <v>435</v>
      </c>
      <c r="BB179" s="1922">
        <v>441</v>
      </c>
      <c r="BC179" s="1872">
        <v>475</v>
      </c>
      <c r="BD179" s="1909">
        <f>BC179</f>
        <v>475</v>
      </c>
      <c r="BE179" s="1872">
        <v>422</v>
      </c>
      <c r="BF179" s="1877">
        <v>444</v>
      </c>
      <c r="BG179" s="1877">
        <v>367</v>
      </c>
      <c r="BH179" s="1872">
        <v>502</v>
      </c>
      <c r="BI179" s="1909">
        <f>BH179</f>
        <v>502</v>
      </c>
      <c r="BJ179" s="1872">
        <v>470</v>
      </c>
      <c r="BK179" s="1877">
        <v>489.96782166279036</v>
      </c>
      <c r="BL179" s="2167">
        <v>418</v>
      </c>
      <c r="BM179" s="2167">
        <v>525</v>
      </c>
      <c r="BN179" s="1909">
        <f>BM179</f>
        <v>525</v>
      </c>
      <c r="BO179" s="2167">
        <v>335</v>
      </c>
      <c r="BP179" s="1910">
        <f>BO179+BP122+BP123+BP91</f>
        <v>358.91544661761588</v>
      </c>
      <c r="BQ179" s="1910">
        <f>BP179+BQ122+BQ123+BQ91</f>
        <v>384.66555006487891</v>
      </c>
      <c r="BR179" s="1910">
        <f>BQ179+BR122+BR123+BR91</f>
        <v>420.42307047034916</v>
      </c>
      <c r="BS179" s="1909">
        <f>BR179</f>
        <v>420.42307047034916</v>
      </c>
      <c r="BT179" s="1910">
        <f>BS179+BT122+BT123+BT91</f>
        <v>434.0820447511648</v>
      </c>
      <c r="BU179" s="1910">
        <f>BT179+BU122+BU123+BU91</f>
        <v>459.41142118682291</v>
      </c>
      <c r="BV179" s="1910">
        <f>BU179+BV122+BV123+BV91</f>
        <v>486.71539082039868</v>
      </c>
      <c r="BW179" s="1910">
        <f>BV179+BW122+BW123+BW91</f>
        <v>524.60866217006844</v>
      </c>
      <c r="BX179" s="1909">
        <f>BW179</f>
        <v>524.60866217006844</v>
      </c>
      <c r="BY179" s="1928">
        <f>BX179+BY122+BY123+BY91</f>
        <v>634.18060379009364</v>
      </c>
      <c r="BZ179" s="1928">
        <f>BY179+BZ122+BZ123+BZ91</f>
        <v>749.4626163579378</v>
      </c>
      <c r="CA179" s="1928">
        <f>BZ179+CA122+CA123+CA91</f>
        <v>870.14594467389873</v>
      </c>
      <c r="CB179" s="395"/>
      <c r="CC179" s="1360"/>
      <c r="CD179" s="83" t="str">
        <f t="shared" si="416"/>
        <v>Additional Paid-In Capital</v>
      </c>
      <c r="CE179" s="46">
        <f t="shared" si="431"/>
        <v>64.638000000000005</v>
      </c>
      <c r="CF179" s="46">
        <f t="shared" si="431"/>
        <v>79.41</v>
      </c>
      <c r="CG179" s="46">
        <f t="shared" si="431"/>
        <v>86.501000000000005</v>
      </c>
      <c r="CH179" s="46">
        <f t="shared" si="431"/>
        <v>113.843</v>
      </c>
      <c r="CI179" s="46">
        <f t="shared" si="431"/>
        <v>1.02</v>
      </c>
      <c r="CJ179" s="46">
        <f t="shared" si="432"/>
        <v>114.596</v>
      </c>
      <c r="CK179" s="46">
        <f t="shared" si="433"/>
        <v>169.18700000000001</v>
      </c>
      <c r="CL179" s="46">
        <f t="shared" si="434"/>
        <v>55.15</v>
      </c>
      <c r="CM179" s="46">
        <f t="shared" si="435"/>
        <v>5.125</v>
      </c>
      <c r="CN179" s="46">
        <f t="shared" si="436"/>
        <v>67.018000000000001</v>
      </c>
      <c r="CO179" s="46">
        <f t="shared" si="437"/>
        <v>94</v>
      </c>
      <c r="CP179" s="46">
        <f t="shared" si="438"/>
        <v>492</v>
      </c>
      <c r="CQ179" s="46">
        <f t="shared" si="439"/>
        <v>447</v>
      </c>
      <c r="CR179" s="46">
        <f t="shared" si="440"/>
        <v>493</v>
      </c>
      <c r="CS179" s="46">
        <f t="shared" si="441"/>
        <v>475</v>
      </c>
      <c r="CT179" s="46">
        <f t="shared" si="442"/>
        <v>502</v>
      </c>
      <c r="CU179" s="46">
        <f t="shared" si="443"/>
        <v>525</v>
      </c>
      <c r="CV179" s="46">
        <f t="shared" si="444"/>
        <v>420.42307047034916</v>
      </c>
      <c r="CW179" s="46">
        <f t="shared" si="445"/>
        <v>524.60866217006844</v>
      </c>
      <c r="CX179" s="46">
        <f t="shared" si="445"/>
        <v>634.18060379009364</v>
      </c>
      <c r="CY179" s="46">
        <f t="shared" si="445"/>
        <v>749.4626163579378</v>
      </c>
      <c r="CZ179" s="44">
        <f t="shared" si="445"/>
        <v>870.14594467389873</v>
      </c>
      <c r="DA179" s="86"/>
      <c r="DB179" s="59"/>
      <c r="DC179"/>
      <c r="DD179"/>
      <c r="DE179"/>
      <c r="DF179"/>
      <c r="DG179"/>
      <c r="DH179"/>
    </row>
    <row r="180" spans="1:112" s="82" customFormat="1" ht="12" customHeight="1">
      <c r="A180" s="1906" t="s">
        <v>178</v>
      </c>
      <c r="B180" s="1907">
        <v>2292.3420000000001</v>
      </c>
      <c r="C180" s="1907">
        <v>2672.0859999999998</v>
      </c>
      <c r="D180" s="1907">
        <v>3153.1950000000002</v>
      </c>
      <c r="E180" s="1907">
        <v>3680.8519999999999</v>
      </c>
      <c r="F180" s="1907">
        <v>4199.21</v>
      </c>
      <c r="G180" s="1873">
        <v>4207.1040000000003</v>
      </c>
      <c r="H180" s="1888">
        <v>4362.5309999999999</v>
      </c>
      <c r="I180" s="1888">
        <v>4680.6390000000001</v>
      </c>
      <c r="J180" s="1888">
        <v>4821.1180000000004</v>
      </c>
      <c r="K180" s="1909">
        <f>J180</f>
        <v>4821.1180000000004</v>
      </c>
      <c r="L180" s="1888">
        <v>4887.0230000000001</v>
      </c>
      <c r="M180" s="1888">
        <v>5093.4089999999997</v>
      </c>
      <c r="N180" s="1888">
        <v>5478.2479999999996</v>
      </c>
      <c r="O180" s="1888">
        <v>5551.7569999999996</v>
      </c>
      <c r="P180" s="1909">
        <f>O180</f>
        <v>5551.7569999999996</v>
      </c>
      <c r="Q180" s="1888">
        <v>5561.8519999999999</v>
      </c>
      <c r="R180" s="1888">
        <v>5703.049</v>
      </c>
      <c r="S180" s="1888">
        <v>6024.1710000000003</v>
      </c>
      <c r="T180" s="1888">
        <v>6070.7929999999997</v>
      </c>
      <c r="U180" s="1909">
        <f>T180</f>
        <v>6070.7929999999997</v>
      </c>
      <c r="V180" s="1888">
        <v>6062.9459999999999</v>
      </c>
      <c r="W180" s="1888">
        <v>6156.14</v>
      </c>
      <c r="X180" s="1888">
        <v>6421.3230000000003</v>
      </c>
      <c r="Y180" s="1888">
        <v>6522.6130000000003</v>
      </c>
      <c r="Z180" s="1909">
        <f>Y180</f>
        <v>6522.6130000000003</v>
      </c>
      <c r="AA180" s="1888">
        <v>6551.8410000000003</v>
      </c>
      <c r="AB180" s="1888">
        <v>6668.8040000000001</v>
      </c>
      <c r="AC180" s="1888">
        <v>6975.5309999999999</v>
      </c>
      <c r="AD180" s="1888">
        <v>7056.6279999999997</v>
      </c>
      <c r="AE180" s="1909">
        <f>AD180</f>
        <v>7056.6279999999997</v>
      </c>
      <c r="AF180" s="1888">
        <v>7098.8</v>
      </c>
      <c r="AG180" s="1888">
        <v>7233</v>
      </c>
      <c r="AH180" s="1888">
        <v>7525.1</v>
      </c>
      <c r="AI180" s="1888">
        <v>7667</v>
      </c>
      <c r="AJ180" s="1909">
        <f>AI180</f>
        <v>7667</v>
      </c>
      <c r="AK180" s="1922">
        <v>7719</v>
      </c>
      <c r="AL180" s="1922">
        <v>7292</v>
      </c>
      <c r="AM180" s="1922">
        <v>7518</v>
      </c>
      <c r="AN180" s="1888">
        <v>6525</v>
      </c>
      <c r="AO180" s="1909">
        <f>AN180</f>
        <v>6525</v>
      </c>
      <c r="AP180" s="1922">
        <v>7168</v>
      </c>
      <c r="AQ180" s="1922">
        <v>7348</v>
      </c>
      <c r="AR180" s="1922">
        <v>7289</v>
      </c>
      <c r="AS180" s="1888">
        <v>7384</v>
      </c>
      <c r="AT180" s="1909">
        <f>AS180</f>
        <v>7384</v>
      </c>
      <c r="AU180" s="1922">
        <v>7565</v>
      </c>
      <c r="AV180" s="1922">
        <v>7766</v>
      </c>
      <c r="AW180" s="1873">
        <v>7877</v>
      </c>
      <c r="AX180" s="1872">
        <v>6946</v>
      </c>
      <c r="AY180" s="1909">
        <f>AX180</f>
        <v>6946</v>
      </c>
      <c r="AZ180" s="1873">
        <v>7166</v>
      </c>
      <c r="BA180" s="1922">
        <v>7438</v>
      </c>
      <c r="BB180" s="1922">
        <v>7592</v>
      </c>
      <c r="BC180" s="1872">
        <v>7636</v>
      </c>
      <c r="BD180" s="1909">
        <f>BC180</f>
        <v>7636</v>
      </c>
      <c r="BE180" s="1872">
        <v>7838</v>
      </c>
      <c r="BF180" s="1877">
        <v>8123</v>
      </c>
      <c r="BG180" s="1877">
        <v>8924</v>
      </c>
      <c r="BH180" s="1872">
        <v>9210</v>
      </c>
      <c r="BI180" s="1909">
        <f>BH180</f>
        <v>9210</v>
      </c>
      <c r="BJ180" s="1872">
        <v>9509</v>
      </c>
      <c r="BK180" s="1877">
        <v>9816</v>
      </c>
      <c r="BL180" s="2167">
        <v>10066</v>
      </c>
      <c r="BM180" s="2167">
        <v>10025</v>
      </c>
      <c r="BN180" s="1909">
        <f>BM180</f>
        <v>10025</v>
      </c>
      <c r="BO180" s="2167">
        <v>10427</v>
      </c>
      <c r="BP180" s="1910">
        <f>BO180+BP119+BP60</f>
        <v>10806.176850488511</v>
      </c>
      <c r="BQ180" s="1910">
        <f>BP180+BQ119+BQ60</f>
        <v>11171.098336160929</v>
      </c>
      <c r="BR180" s="1910">
        <f>BQ180+BR119+BR60</f>
        <v>11559.219244180294</v>
      </c>
      <c r="BS180" s="1909">
        <f>BR180</f>
        <v>11559.219244180294</v>
      </c>
      <c r="BT180" s="1910">
        <f>BS180+BT119+BT60</f>
        <v>11871.989916179324</v>
      </c>
      <c r="BU180" s="1910">
        <f>BT180+BU119+BU60</f>
        <v>12225.580156968364</v>
      </c>
      <c r="BV180" s="1910">
        <f>BU180+BV119+BV60</f>
        <v>12565.314256225474</v>
      </c>
      <c r="BW180" s="1910">
        <f>BV180+BW119+BW60</f>
        <v>12929.738161659678</v>
      </c>
      <c r="BX180" s="1909">
        <f>BW180</f>
        <v>12929.738161659678</v>
      </c>
      <c r="BY180" s="1928">
        <f>BX180+BY119+BY60</f>
        <v>14389.887402869488</v>
      </c>
      <c r="BZ180" s="1928">
        <f>BY180+BZ119+BZ60</f>
        <v>15950.107440333066</v>
      </c>
      <c r="CA180" s="1928">
        <f>BZ180+CA119+CA60</f>
        <v>17611.727946389692</v>
      </c>
      <c r="CB180" s="395"/>
      <c r="CC180" s="1360"/>
      <c r="CD180" s="83" t="str">
        <f t="shared" si="416"/>
        <v>Retained income</v>
      </c>
      <c r="CE180" s="46">
        <f t="shared" si="431"/>
        <v>2292.3420000000001</v>
      </c>
      <c r="CF180" s="46">
        <f t="shared" si="431"/>
        <v>2672.0859999999998</v>
      </c>
      <c r="CG180" s="46">
        <f t="shared" si="431"/>
        <v>3153.1950000000002</v>
      </c>
      <c r="CH180" s="46">
        <f t="shared" si="431"/>
        <v>3680.8519999999999</v>
      </c>
      <c r="CI180" s="46">
        <f t="shared" si="431"/>
        <v>4199.21</v>
      </c>
      <c r="CJ180" s="46">
        <f t="shared" si="432"/>
        <v>4821.1180000000004</v>
      </c>
      <c r="CK180" s="46">
        <f t="shared" si="433"/>
        <v>5551.7569999999996</v>
      </c>
      <c r="CL180" s="46">
        <f t="shared" si="434"/>
        <v>6070.7929999999997</v>
      </c>
      <c r="CM180" s="46">
        <f t="shared" si="435"/>
        <v>6522.6130000000003</v>
      </c>
      <c r="CN180" s="46">
        <f t="shared" si="436"/>
        <v>7056.6279999999997</v>
      </c>
      <c r="CO180" s="46">
        <f t="shared" si="437"/>
        <v>7667</v>
      </c>
      <c r="CP180" s="46">
        <f t="shared" si="438"/>
        <v>6525</v>
      </c>
      <c r="CQ180" s="46">
        <f t="shared" si="439"/>
        <v>7384</v>
      </c>
      <c r="CR180" s="46">
        <f t="shared" si="440"/>
        <v>6946</v>
      </c>
      <c r="CS180" s="46">
        <f t="shared" si="441"/>
        <v>7636</v>
      </c>
      <c r="CT180" s="46">
        <f t="shared" si="442"/>
        <v>9210</v>
      </c>
      <c r="CU180" s="46">
        <f t="shared" si="443"/>
        <v>10025</v>
      </c>
      <c r="CV180" s="46">
        <f t="shared" si="444"/>
        <v>11559.219244180294</v>
      </c>
      <c r="CW180" s="46">
        <f t="shared" si="445"/>
        <v>12929.738161659678</v>
      </c>
      <c r="CX180" s="46">
        <f t="shared" si="445"/>
        <v>14389.887402869488</v>
      </c>
      <c r="CY180" s="46">
        <f t="shared" si="445"/>
        <v>15950.107440333066</v>
      </c>
      <c r="CZ180" s="44">
        <f t="shared" si="445"/>
        <v>17611.727946389692</v>
      </c>
      <c r="DA180" s="86"/>
      <c r="DB180" s="59"/>
      <c r="DC180"/>
      <c r="DD180"/>
      <c r="DE180"/>
      <c r="DF180"/>
      <c r="DG180"/>
      <c r="DH180"/>
    </row>
    <row r="181" spans="1:112" s="82" customFormat="1" ht="12" customHeight="1">
      <c r="A181" s="1906" t="s">
        <v>179</v>
      </c>
      <c r="B181" s="1907">
        <v>-126.86</v>
      </c>
      <c r="C181" s="1907">
        <v>-103.965</v>
      </c>
      <c r="D181" s="1907">
        <v>-69.524000000000001</v>
      </c>
      <c r="E181" s="1907">
        <v>-32.255000000000003</v>
      </c>
      <c r="F181" s="1907">
        <v>-81.06</v>
      </c>
      <c r="G181" s="1873">
        <v>-79.070999999999998</v>
      </c>
      <c r="H181" s="1888">
        <v>-72.677000000000007</v>
      </c>
      <c r="I181" s="1888">
        <v>-66.724999999999994</v>
      </c>
      <c r="J181" s="1888">
        <v>-115.212</v>
      </c>
      <c r="K181" s="1909">
        <f>J181</f>
        <v>-115.212</v>
      </c>
      <c r="L181" s="1888">
        <v>-113.76</v>
      </c>
      <c r="M181" s="1888">
        <v>-106.827</v>
      </c>
      <c r="N181" s="1888">
        <v>-89.775000000000006</v>
      </c>
      <c r="O181" s="1888">
        <v>-12.622999999999999</v>
      </c>
      <c r="P181" s="1909">
        <f>O181</f>
        <v>-12.622999999999999</v>
      </c>
      <c r="Q181" s="1888">
        <v>-9.64</v>
      </c>
      <c r="R181" s="1888">
        <v>-23.588999999999999</v>
      </c>
      <c r="S181" s="1888">
        <v>-51.805999999999997</v>
      </c>
      <c r="T181" s="1888">
        <v>-444.02199999999999</v>
      </c>
      <c r="U181" s="1909">
        <f>T181</f>
        <v>-444.02199999999999</v>
      </c>
      <c r="V181" s="1888">
        <v>-457.64400000000001</v>
      </c>
      <c r="W181" s="1888">
        <v>-410.28899999999999</v>
      </c>
      <c r="X181" s="1888">
        <v>-389.68099999999998</v>
      </c>
      <c r="Y181" s="1888">
        <v>-343.017</v>
      </c>
      <c r="Z181" s="1909">
        <f>Y181</f>
        <v>-343.017</v>
      </c>
      <c r="AA181" s="1888">
        <v>-350.654</v>
      </c>
      <c r="AB181" s="1888">
        <v>-356.79</v>
      </c>
      <c r="AC181" s="1888">
        <v>-330.904</v>
      </c>
      <c r="AD181" s="1888">
        <v>-367.37900000000002</v>
      </c>
      <c r="AE181" s="1909">
        <f>AD181</f>
        <v>-367.37900000000002</v>
      </c>
      <c r="AF181" s="1888">
        <v>-339.3</v>
      </c>
      <c r="AG181" s="1888">
        <v>-326.8</v>
      </c>
      <c r="AH181" s="1888">
        <v>-372.9</v>
      </c>
      <c r="AI181" s="1888">
        <v>-425</v>
      </c>
      <c r="AJ181" s="1909">
        <f>AI181</f>
        <v>-425</v>
      </c>
      <c r="AK181" s="1922">
        <v>-404</v>
      </c>
      <c r="AL181" s="1922">
        <v>-424</v>
      </c>
      <c r="AM181" s="1922">
        <v>-392</v>
      </c>
      <c r="AN181" s="1888">
        <v>-517</v>
      </c>
      <c r="AO181" s="1909">
        <f>AN181</f>
        <v>-517</v>
      </c>
      <c r="AP181" s="1922">
        <v>-454</v>
      </c>
      <c r="AQ181" s="1922">
        <v>-501</v>
      </c>
      <c r="AR181" s="1922">
        <v>-465</v>
      </c>
      <c r="AS181" s="1888">
        <v>-196</v>
      </c>
      <c r="AT181" s="1909">
        <f>AS181</f>
        <v>-196</v>
      </c>
      <c r="AU181" s="1922">
        <v>-190</v>
      </c>
      <c r="AV181" s="1922">
        <v>-214</v>
      </c>
      <c r="AW181" s="1873">
        <v>-281</v>
      </c>
      <c r="AX181" s="1872">
        <v>-514</v>
      </c>
      <c r="AY181" s="1909">
        <f>AX181</f>
        <v>-514</v>
      </c>
      <c r="AZ181" s="1873">
        <v>-593</v>
      </c>
      <c r="BA181" s="1922">
        <v>-511</v>
      </c>
      <c r="BB181" s="1922">
        <v>-553</v>
      </c>
      <c r="BC181" s="1872">
        <v>-600</v>
      </c>
      <c r="BD181" s="1909">
        <f>BC181</f>
        <v>-600</v>
      </c>
      <c r="BE181" s="1872">
        <v>-580</v>
      </c>
      <c r="BF181" s="1877">
        <v>-627</v>
      </c>
      <c r="BG181" s="1877">
        <v>-635</v>
      </c>
      <c r="BH181" s="1872">
        <v>-773</v>
      </c>
      <c r="BI181" s="1909">
        <f>BH181</f>
        <v>-773</v>
      </c>
      <c r="BJ181" s="1872">
        <v>-735</v>
      </c>
      <c r="BK181" s="1877">
        <v>-699</v>
      </c>
      <c r="BL181" s="2167">
        <v>-678</v>
      </c>
      <c r="BM181" s="2167">
        <v>-649</v>
      </c>
      <c r="BN181" s="1909">
        <f>BM181</f>
        <v>-649</v>
      </c>
      <c r="BO181" s="2167">
        <v>-630</v>
      </c>
      <c r="BP181" s="1910">
        <f>BO181+BP129</f>
        <v>-630</v>
      </c>
      <c r="BQ181" s="1910">
        <f>BP181+BQ129</f>
        <v>-630</v>
      </c>
      <c r="BR181" s="1910">
        <f>BQ181+BR129</f>
        <v>-630</v>
      </c>
      <c r="BS181" s="1909">
        <f>BR181</f>
        <v>-630</v>
      </c>
      <c r="BT181" s="1910">
        <f>BS181+BT129</f>
        <v>-630</v>
      </c>
      <c r="BU181" s="1910">
        <f>BT181+BU129</f>
        <v>-630</v>
      </c>
      <c r="BV181" s="1910">
        <f>BU181+BV129</f>
        <v>-630</v>
      </c>
      <c r="BW181" s="1910">
        <f>BV181+BW129</f>
        <v>-630</v>
      </c>
      <c r="BX181" s="1909">
        <f>BW181</f>
        <v>-630</v>
      </c>
      <c r="BY181" s="1928">
        <f>BX181+BY129</f>
        <v>-630</v>
      </c>
      <c r="BZ181" s="1928">
        <f>BY181+BZ129</f>
        <v>-630</v>
      </c>
      <c r="CA181" s="1928">
        <f>BZ181+CA129</f>
        <v>-630</v>
      </c>
      <c r="CB181" s="395"/>
      <c r="CC181" s="1360"/>
      <c r="CD181" s="83" t="str">
        <f t="shared" si="416"/>
        <v>Accumulated Other Comprehensive Loss</v>
      </c>
      <c r="CE181" s="46">
        <f t="shared" si="431"/>
        <v>-126.86</v>
      </c>
      <c r="CF181" s="46">
        <f t="shared" si="431"/>
        <v>-103.965</v>
      </c>
      <c r="CG181" s="46">
        <f t="shared" si="431"/>
        <v>-69.524000000000001</v>
      </c>
      <c r="CH181" s="46">
        <f t="shared" si="431"/>
        <v>-32.255000000000003</v>
      </c>
      <c r="CI181" s="46">
        <f t="shared" si="431"/>
        <v>-81.06</v>
      </c>
      <c r="CJ181" s="46">
        <f t="shared" si="432"/>
        <v>-115.212</v>
      </c>
      <c r="CK181" s="46">
        <f t="shared" si="433"/>
        <v>-12.622999999999999</v>
      </c>
      <c r="CL181" s="46">
        <f t="shared" si="434"/>
        <v>-444.02199999999999</v>
      </c>
      <c r="CM181" s="46">
        <f t="shared" si="435"/>
        <v>-343.017</v>
      </c>
      <c r="CN181" s="46">
        <f t="shared" si="436"/>
        <v>-367.37900000000002</v>
      </c>
      <c r="CO181" s="46">
        <f t="shared" si="437"/>
        <v>-425</v>
      </c>
      <c r="CP181" s="46">
        <f t="shared" si="438"/>
        <v>-517</v>
      </c>
      <c r="CQ181" s="46">
        <f t="shared" si="439"/>
        <v>-196</v>
      </c>
      <c r="CR181" s="46">
        <f t="shared" si="440"/>
        <v>-514</v>
      </c>
      <c r="CS181" s="46">
        <f t="shared" si="441"/>
        <v>-600</v>
      </c>
      <c r="CT181" s="46">
        <f t="shared" si="442"/>
        <v>-773</v>
      </c>
      <c r="CU181" s="46">
        <f t="shared" si="443"/>
        <v>-649</v>
      </c>
      <c r="CV181" s="46">
        <f t="shared" si="444"/>
        <v>-630</v>
      </c>
      <c r="CW181" s="46">
        <f t="shared" si="445"/>
        <v>-630</v>
      </c>
      <c r="CX181" s="46">
        <f t="shared" si="445"/>
        <v>-630</v>
      </c>
      <c r="CY181" s="46">
        <f t="shared" si="445"/>
        <v>-630</v>
      </c>
      <c r="CZ181" s="44">
        <f t="shared" si="445"/>
        <v>-630</v>
      </c>
      <c r="DA181" s="86"/>
      <c r="DB181" s="59"/>
      <c r="DC181"/>
      <c r="DD181"/>
      <c r="DE181"/>
      <c r="DF181"/>
      <c r="DG181"/>
      <c r="DH181"/>
    </row>
    <row r="182" spans="1:112" s="82" customFormat="1" ht="12" customHeight="1">
      <c r="A182" s="1906" t="s">
        <v>180</v>
      </c>
      <c r="B182" s="1907">
        <f>-566.775-15.312</f>
        <v>-582.08699999999999</v>
      </c>
      <c r="C182" s="1907">
        <f>-669.499-18.063</f>
        <v>-687.56200000000001</v>
      </c>
      <c r="D182" s="1907">
        <f>-801.062-17.913</f>
        <v>-818.97500000000002</v>
      </c>
      <c r="E182" s="1907">
        <f>-963.751-20.031</f>
        <v>-983.78199999999993</v>
      </c>
      <c r="F182" s="1907">
        <f>-1401.973-15.758</f>
        <v>-1417.731</v>
      </c>
      <c r="G182" s="1873">
        <v>-2280.5149999999999</v>
      </c>
      <c r="H182" s="1888">
        <v>-2594.6</v>
      </c>
      <c r="I182" s="1888">
        <v>-2501.2890000000002</v>
      </c>
      <c r="J182" s="1888">
        <v>-2552.5929999999998</v>
      </c>
      <c r="K182" s="1909">
        <f>J182</f>
        <v>-2552.5929999999998</v>
      </c>
      <c r="L182" s="1888">
        <v>-3339.152</v>
      </c>
      <c r="M182" s="1888">
        <v>-3625.098</v>
      </c>
      <c r="N182" s="1888">
        <v>-4215.0309999999999</v>
      </c>
      <c r="O182" s="1888">
        <v>-4513.38</v>
      </c>
      <c r="P182" s="1909">
        <f>O182</f>
        <v>-4513.38</v>
      </c>
      <c r="Q182" s="1888">
        <v>-4602.9449999999997</v>
      </c>
      <c r="R182" s="1888">
        <v>-4683.5690000000004</v>
      </c>
      <c r="S182" s="1888">
        <v>-4809.8010000000004</v>
      </c>
      <c r="T182" s="1888">
        <v>-4811.2939999999999</v>
      </c>
      <c r="U182" s="1909">
        <f>T182</f>
        <v>-4811.2939999999999</v>
      </c>
      <c r="V182" s="1888">
        <v>-4792.8980000000001</v>
      </c>
      <c r="W182" s="1888">
        <v>-4780.1139999999996</v>
      </c>
      <c r="X182" s="1888">
        <v>-4770.451</v>
      </c>
      <c r="Y182" s="1888">
        <v>-4749.143</v>
      </c>
      <c r="Z182" s="1909">
        <f>Y182</f>
        <v>-4749.143</v>
      </c>
      <c r="AA182" s="1888">
        <v>-4746.8100000000004</v>
      </c>
      <c r="AB182" s="1888">
        <v>-4926.0739999999996</v>
      </c>
      <c r="AC182" s="1888">
        <v>-4991.9219999999996</v>
      </c>
      <c r="AD182" s="1888">
        <v>-4957.68</v>
      </c>
      <c r="AE182" s="1909">
        <f>AD182</f>
        <v>-4957.68</v>
      </c>
      <c r="AF182" s="1888">
        <v>-5067</v>
      </c>
      <c r="AG182" s="1888">
        <v>-5197.3999999999996</v>
      </c>
      <c r="AH182" s="1888">
        <v>-5503.6</v>
      </c>
      <c r="AI182" s="1888">
        <v>-6240</v>
      </c>
      <c r="AJ182" s="1909">
        <f>AI182</f>
        <v>-6240</v>
      </c>
      <c r="AK182" s="1922">
        <v>-6090</v>
      </c>
      <c r="AL182" s="1922">
        <v>-6059</v>
      </c>
      <c r="AM182" s="1922">
        <v>-6201</v>
      </c>
      <c r="AN182" s="1888">
        <v>-6145</v>
      </c>
      <c r="AO182" s="1909">
        <f>AN182</f>
        <v>-6145</v>
      </c>
      <c r="AP182" s="1922">
        <v>-6332</v>
      </c>
      <c r="AQ182" s="1922">
        <v>-6378</v>
      </c>
      <c r="AR182" s="1922">
        <v>-6686</v>
      </c>
      <c r="AS182" s="1888">
        <v>-6746</v>
      </c>
      <c r="AT182" s="1909">
        <f>AS182</f>
        <v>-6746</v>
      </c>
      <c r="AU182" s="1922">
        <v>-6772</v>
      </c>
      <c r="AV182" s="1922">
        <v>-6904</v>
      </c>
      <c r="AW182" s="1873">
        <v>-6878</v>
      </c>
      <c r="AX182" s="1872">
        <v>-6849</v>
      </c>
      <c r="AY182" s="1909">
        <f>AX182</f>
        <v>-6849</v>
      </c>
      <c r="AZ182" s="1873">
        <v>-6867</v>
      </c>
      <c r="BA182" s="1922">
        <v>-7011</v>
      </c>
      <c r="BB182" s="1922">
        <v>-7234</v>
      </c>
      <c r="BC182" s="1872">
        <v>-7729</v>
      </c>
      <c r="BD182" s="1909">
        <f>BC182</f>
        <v>-7729</v>
      </c>
      <c r="BE182" s="1872">
        <v>-7870</v>
      </c>
      <c r="BF182" s="1877">
        <v>-7976</v>
      </c>
      <c r="BG182" s="1877">
        <v>-8606</v>
      </c>
      <c r="BH182" s="1872">
        <v>-8701</v>
      </c>
      <c r="BI182" s="1909">
        <f>BH182</f>
        <v>-8701</v>
      </c>
      <c r="BJ182" s="1872">
        <v>-8867</v>
      </c>
      <c r="BK182" s="1877">
        <v>-9000</v>
      </c>
      <c r="BL182" s="2167">
        <v>-9379</v>
      </c>
      <c r="BM182" s="2167">
        <v>-9602</v>
      </c>
      <c r="BN182" s="1909">
        <f>BM182</f>
        <v>-9602</v>
      </c>
      <c r="BO182" s="2167">
        <v>-10537</v>
      </c>
      <c r="BP182" s="1910">
        <f>BO182+BP121</f>
        <v>-10862</v>
      </c>
      <c r="BQ182" s="1910">
        <f>BP182+BQ121</f>
        <v>-11187</v>
      </c>
      <c r="BR182" s="1910">
        <f>BQ182+BR121</f>
        <v>-11512</v>
      </c>
      <c r="BS182" s="1909">
        <f>BR182</f>
        <v>-11512</v>
      </c>
      <c r="BT182" s="1910">
        <f>BS182+BT121</f>
        <v>-11837</v>
      </c>
      <c r="BU182" s="1910">
        <f>BT182+BU121</f>
        <v>-12162</v>
      </c>
      <c r="BV182" s="1910">
        <f>BU182+BV121</f>
        <v>-12487</v>
      </c>
      <c r="BW182" s="1910">
        <f>BV182+BW121</f>
        <v>-12812</v>
      </c>
      <c r="BX182" s="1909">
        <f>BW182</f>
        <v>-12812</v>
      </c>
      <c r="BY182" s="1928">
        <f>BX182+BY121</f>
        <v>-14242</v>
      </c>
      <c r="BZ182" s="1928">
        <f>BY182+BZ121</f>
        <v>-15815</v>
      </c>
      <c r="CA182" s="1928">
        <f>BZ182+CA121</f>
        <v>-17545.3</v>
      </c>
      <c r="CB182" s="395"/>
      <c r="CC182" s="1360"/>
      <c r="CD182" s="83" t="str">
        <f t="shared" si="416"/>
        <v>Less: Common Stock In Treasury</v>
      </c>
      <c r="CE182" s="46">
        <f t="shared" si="431"/>
        <v>-582.08699999999999</v>
      </c>
      <c r="CF182" s="46">
        <f t="shared" si="431"/>
        <v>-687.56200000000001</v>
      </c>
      <c r="CG182" s="46">
        <f t="shared" si="431"/>
        <v>-818.97500000000002</v>
      </c>
      <c r="CH182" s="46">
        <f t="shared" si="431"/>
        <v>-983.78199999999993</v>
      </c>
      <c r="CI182" s="46">
        <f t="shared" si="431"/>
        <v>-1417.731</v>
      </c>
      <c r="CJ182" s="46">
        <f t="shared" si="432"/>
        <v>-2552.5929999999998</v>
      </c>
      <c r="CK182" s="46">
        <f t="shared" si="433"/>
        <v>-4513.38</v>
      </c>
      <c r="CL182" s="46">
        <f t="shared" si="434"/>
        <v>-4811.2939999999999</v>
      </c>
      <c r="CM182" s="46">
        <f t="shared" si="435"/>
        <v>-4749.143</v>
      </c>
      <c r="CN182" s="46">
        <f t="shared" si="436"/>
        <v>-4957.68</v>
      </c>
      <c r="CO182" s="46">
        <f t="shared" si="437"/>
        <v>-6240</v>
      </c>
      <c r="CP182" s="46">
        <f t="shared" si="438"/>
        <v>-6145</v>
      </c>
      <c r="CQ182" s="46">
        <f t="shared" si="439"/>
        <v>-6746</v>
      </c>
      <c r="CR182" s="46">
        <f t="shared" si="440"/>
        <v>-6849</v>
      </c>
      <c r="CS182" s="46">
        <f t="shared" si="441"/>
        <v>-7729</v>
      </c>
      <c r="CT182" s="46">
        <f t="shared" si="442"/>
        <v>-8701</v>
      </c>
      <c r="CU182" s="46">
        <f t="shared" si="443"/>
        <v>-9602</v>
      </c>
      <c r="CV182" s="46">
        <f t="shared" si="444"/>
        <v>-11512</v>
      </c>
      <c r="CW182" s="46">
        <f t="shared" si="445"/>
        <v>-12812</v>
      </c>
      <c r="CX182" s="46">
        <f t="shared" si="445"/>
        <v>-14242</v>
      </c>
      <c r="CY182" s="46">
        <f t="shared" si="445"/>
        <v>-15815</v>
      </c>
      <c r="CZ182" s="44">
        <f t="shared" si="445"/>
        <v>-17545.3</v>
      </c>
      <c r="DA182" s="86"/>
      <c r="DB182" s="59"/>
      <c r="DC182"/>
      <c r="DD182"/>
      <c r="DE182"/>
      <c r="DF182"/>
      <c r="DG182"/>
      <c r="DH182"/>
    </row>
    <row r="183" spans="1:112" s="82" customFormat="1" ht="12" customHeight="1">
      <c r="A183" s="1906" t="s">
        <v>181</v>
      </c>
      <c r="B183" s="1909">
        <f t="shared" ref="B183:AH183" si="446">SUM(B178:B182)</f>
        <v>1853.8850000000002</v>
      </c>
      <c r="C183" s="1909">
        <f t="shared" si="446"/>
        <v>2165.8219999999997</v>
      </c>
      <c r="D183" s="1909">
        <f t="shared" si="446"/>
        <v>2557.0510000000004</v>
      </c>
      <c r="E183" s="1909">
        <f t="shared" si="446"/>
        <v>2984.5129999999999</v>
      </c>
      <c r="F183" s="1909">
        <f t="shared" si="446"/>
        <v>3113.1480000000001</v>
      </c>
      <c r="G183" s="1910">
        <f t="shared" si="446"/>
        <v>2329.3460000000009</v>
      </c>
      <c r="H183" s="1908">
        <f t="shared" si="446"/>
        <v>2159.0860000000007</v>
      </c>
      <c r="I183" s="1908">
        <f t="shared" si="446"/>
        <v>2605.8259999999996</v>
      </c>
      <c r="J183" s="1908">
        <f t="shared" si="446"/>
        <v>2679.6180000000004</v>
      </c>
      <c r="K183" s="1909">
        <f t="shared" si="446"/>
        <v>2679.6180000000004</v>
      </c>
      <c r="L183" s="1908">
        <f t="shared" si="446"/>
        <v>1975.5779999999995</v>
      </c>
      <c r="M183" s="1908">
        <f t="shared" si="446"/>
        <v>1891.6919999999991</v>
      </c>
      <c r="N183" s="1908">
        <f t="shared" si="446"/>
        <v>1729.9049999999997</v>
      </c>
      <c r="O183" s="1908">
        <f t="shared" si="446"/>
        <v>1606.6499999999996</v>
      </c>
      <c r="P183" s="1909">
        <f t="shared" si="446"/>
        <v>1606.6499999999996</v>
      </c>
      <c r="Q183" s="1908">
        <f t="shared" si="446"/>
        <v>1520.5860000000002</v>
      </c>
      <c r="R183" s="1908">
        <f t="shared" si="446"/>
        <v>1510.174</v>
      </c>
      <c r="S183" s="1908">
        <f t="shared" si="446"/>
        <v>1633.3600000000006</v>
      </c>
      <c r="T183" s="1908">
        <f t="shared" si="446"/>
        <v>1282.3360000000002</v>
      </c>
      <c r="U183" s="1909">
        <f t="shared" si="446"/>
        <v>1282.3360000000002</v>
      </c>
      <c r="V183" s="1908">
        <f t="shared" si="446"/>
        <v>1235.2059999999992</v>
      </c>
      <c r="W183" s="1908">
        <f t="shared" si="446"/>
        <v>1393.4400000000014</v>
      </c>
      <c r="X183" s="1908">
        <f t="shared" si="446"/>
        <v>1677.0060000000003</v>
      </c>
      <c r="Y183" s="1908">
        <f t="shared" si="446"/>
        <v>1847.2870000000003</v>
      </c>
      <c r="Z183" s="1909">
        <f t="shared" si="446"/>
        <v>1847.2870000000003</v>
      </c>
      <c r="AA183" s="1908">
        <f t="shared" si="446"/>
        <v>1900.7959999999994</v>
      </c>
      <c r="AB183" s="1908">
        <f t="shared" si="446"/>
        <v>1842.9460000000008</v>
      </c>
      <c r="AC183" s="1908">
        <f t="shared" si="446"/>
        <v>2130.0649999999996</v>
      </c>
      <c r="AD183" s="1908">
        <f t="shared" si="446"/>
        <v>2210.2959999999994</v>
      </c>
      <c r="AE183" s="1909">
        <f t="shared" si="446"/>
        <v>2210.2959999999994</v>
      </c>
      <c r="AF183" s="1908">
        <f t="shared" si="446"/>
        <v>2229.1999999999998</v>
      </c>
      <c r="AG183" s="1908">
        <f t="shared" si="446"/>
        <v>2255</v>
      </c>
      <c r="AH183" s="1908">
        <f t="shared" si="446"/>
        <v>2208.2000000000007</v>
      </c>
      <c r="AI183" s="1908">
        <f t="shared" ref="AI183:BZ183" si="447">SUM(AI178:AI182)</f>
        <v>1508</v>
      </c>
      <c r="AJ183" s="1909">
        <f t="shared" si="447"/>
        <v>1508</v>
      </c>
      <c r="AK183" s="1926">
        <f t="shared" si="447"/>
        <v>1706</v>
      </c>
      <c r="AL183" s="1926">
        <f t="shared" si="447"/>
        <v>1663</v>
      </c>
      <c r="AM183" s="1926">
        <f t="shared" si="447"/>
        <v>1786</v>
      </c>
      <c r="AN183" s="1908">
        <f t="shared" si="447"/>
        <v>767</v>
      </c>
      <c r="AO183" s="1909">
        <f t="shared" si="447"/>
        <v>767</v>
      </c>
      <c r="AP183" s="1926">
        <f t="shared" si="447"/>
        <v>1030</v>
      </c>
      <c r="AQ183" s="1926">
        <f t="shared" si="447"/>
        <v>1223</v>
      </c>
      <c r="AR183" s="1926">
        <f t="shared" si="447"/>
        <v>977</v>
      </c>
      <c r="AS183" s="1908">
        <f>SUM(AS178:AS182)</f>
        <v>1301</v>
      </c>
      <c r="AT183" s="1909">
        <f>SUM(AT178:AT182)</f>
        <v>1301</v>
      </c>
      <c r="AU183" s="1926">
        <f t="shared" si="447"/>
        <v>1363</v>
      </c>
      <c r="AV183" s="1926">
        <f t="shared" si="447"/>
        <v>1442</v>
      </c>
      <c r="AW183" s="1926">
        <f t="shared" si="447"/>
        <v>1541</v>
      </c>
      <c r="AX183" s="1911">
        <f>SUM(AX178:AX182)</f>
        <v>488</v>
      </c>
      <c r="AY183" s="1909">
        <f t="shared" si="447"/>
        <v>488</v>
      </c>
      <c r="AZ183" s="1911">
        <f>SUM(AZ178:AZ182)</f>
        <v>539</v>
      </c>
      <c r="BA183" s="1911">
        <f>SUM(BA178:BA182)</f>
        <v>763</v>
      </c>
      <c r="BB183" s="1911">
        <f>SUM(BB178:BB182)</f>
        <v>658</v>
      </c>
      <c r="BC183" s="1911">
        <f>SUM(BC178:BC182)</f>
        <v>194</v>
      </c>
      <c r="BD183" s="1909">
        <f t="shared" si="447"/>
        <v>194</v>
      </c>
      <c r="BE183" s="1911">
        <f>SUM(BE178:BE182)</f>
        <v>222</v>
      </c>
      <c r="BF183" s="1911">
        <f>SUM(BF178:BF182)</f>
        <v>376</v>
      </c>
      <c r="BG183" s="1911">
        <f>SUM(BG178:BG182)</f>
        <v>462</v>
      </c>
      <c r="BH183" s="1911">
        <f>SUM(BH178:BH182)</f>
        <v>650</v>
      </c>
      <c r="BI183" s="1909">
        <f t="shared" si="447"/>
        <v>650</v>
      </c>
      <c r="BJ183" s="1911">
        <f t="shared" si="447"/>
        <v>789</v>
      </c>
      <c r="BK183" s="1911">
        <f t="shared" si="447"/>
        <v>1018.9678216627908</v>
      </c>
      <c r="BL183" s="1910">
        <f t="shared" si="447"/>
        <v>839</v>
      </c>
      <c r="BM183" s="1910">
        <f t="shared" si="447"/>
        <v>711</v>
      </c>
      <c r="BN183" s="1909">
        <f t="shared" si="447"/>
        <v>711</v>
      </c>
      <c r="BO183" s="1910">
        <f t="shared" si="447"/>
        <v>7</v>
      </c>
      <c r="BP183" s="1910">
        <f t="shared" si="447"/>
        <v>85.092297106126352</v>
      </c>
      <c r="BQ183" s="1910">
        <f t="shared" si="447"/>
        <v>150.76388622580816</v>
      </c>
      <c r="BR183" s="1910">
        <f t="shared" si="447"/>
        <v>249.64231465064404</v>
      </c>
      <c r="BS183" s="1909">
        <f t="shared" si="447"/>
        <v>249.64231465064404</v>
      </c>
      <c r="BT183" s="1910">
        <f t="shared" ref="BT183:BX183" si="448">SUM(BT178:BT182)</f>
        <v>251.07196093048879</v>
      </c>
      <c r="BU183" s="1910">
        <f t="shared" si="448"/>
        <v>304.99157815518811</v>
      </c>
      <c r="BV183" s="1910">
        <f t="shared" si="448"/>
        <v>347.02964704587248</v>
      </c>
      <c r="BW183" s="1910">
        <f t="shared" si="448"/>
        <v>424.34682382974643</v>
      </c>
      <c r="BX183" s="1909">
        <f t="shared" si="448"/>
        <v>424.34682382974643</v>
      </c>
      <c r="BY183" s="1928">
        <f t="shared" si="447"/>
        <v>564.06800665958144</v>
      </c>
      <c r="BZ183" s="1928">
        <f t="shared" si="447"/>
        <v>666.57005669100181</v>
      </c>
      <c r="CA183" s="1928">
        <f t="shared" ref="CA183" si="449">SUM(CA178:CA182)</f>
        <v>718.57389106359187</v>
      </c>
      <c r="CB183" s="395"/>
      <c r="CC183" s="1360"/>
      <c r="CD183" s="83" t="str">
        <f t="shared" si="416"/>
        <v>Total Equity — Controlling Interests</v>
      </c>
      <c r="CE183" s="46">
        <f t="shared" si="431"/>
        <v>1853.8850000000002</v>
      </c>
      <c r="CF183" s="46">
        <f t="shared" si="431"/>
        <v>2165.8219999999997</v>
      </c>
      <c r="CG183" s="46">
        <f t="shared" si="431"/>
        <v>2557.0510000000004</v>
      </c>
      <c r="CH183" s="46">
        <f t="shared" si="431"/>
        <v>2984.5129999999999</v>
      </c>
      <c r="CI183" s="46">
        <f t="shared" si="431"/>
        <v>3113.1480000000001</v>
      </c>
      <c r="CJ183" s="46">
        <f t="shared" si="432"/>
        <v>2679.6180000000004</v>
      </c>
      <c r="CK183" s="46">
        <f t="shared" si="433"/>
        <v>1606.6499999999996</v>
      </c>
      <c r="CL183" s="46">
        <f t="shared" si="434"/>
        <v>1282.3360000000002</v>
      </c>
      <c r="CM183" s="46">
        <f t="shared" si="435"/>
        <v>1847.2870000000003</v>
      </c>
      <c r="CN183" s="46">
        <f t="shared" si="436"/>
        <v>2210.2959999999994</v>
      </c>
      <c r="CO183" s="46">
        <f t="shared" si="437"/>
        <v>1508</v>
      </c>
      <c r="CP183" s="46">
        <f t="shared" si="438"/>
        <v>767</v>
      </c>
      <c r="CQ183" s="46">
        <f t="shared" si="439"/>
        <v>1301</v>
      </c>
      <c r="CR183" s="46">
        <f t="shared" si="440"/>
        <v>488</v>
      </c>
      <c r="CS183" s="46">
        <f t="shared" si="441"/>
        <v>194</v>
      </c>
      <c r="CT183" s="46">
        <f t="shared" si="442"/>
        <v>650</v>
      </c>
      <c r="CU183" s="46">
        <f t="shared" si="443"/>
        <v>711</v>
      </c>
      <c r="CV183" s="46">
        <f t="shared" si="444"/>
        <v>249.64231465064404</v>
      </c>
      <c r="CW183" s="46">
        <f t="shared" si="445"/>
        <v>424.34682382974643</v>
      </c>
      <c r="CX183" s="46">
        <f t="shared" si="445"/>
        <v>564.06800665958144</v>
      </c>
      <c r="CY183" s="46">
        <f t="shared" si="445"/>
        <v>666.57005669100181</v>
      </c>
      <c r="CZ183" s="44">
        <f t="shared" si="445"/>
        <v>718.57389106359187</v>
      </c>
      <c r="DA183" s="86"/>
      <c r="DB183" s="59"/>
      <c r="DC183"/>
      <c r="DD183"/>
      <c r="DE183"/>
      <c r="DF183"/>
      <c r="DG183"/>
      <c r="DH183"/>
    </row>
    <row r="184" spans="1:112" s="82" customFormat="1" ht="12" customHeight="1">
      <c r="A184" s="1906" t="s">
        <v>182</v>
      </c>
      <c r="B184" s="1907">
        <v>0</v>
      </c>
      <c r="C184" s="1907">
        <v>0</v>
      </c>
      <c r="D184" s="1907">
        <v>0</v>
      </c>
      <c r="E184" s="1907">
        <v>0</v>
      </c>
      <c r="F184" s="1907">
        <v>0</v>
      </c>
      <c r="G184" s="1873">
        <v>0</v>
      </c>
      <c r="H184" s="1888">
        <v>0</v>
      </c>
      <c r="I184" s="1888">
        <v>0</v>
      </c>
      <c r="J184" s="1888">
        <v>0</v>
      </c>
      <c r="K184" s="1909">
        <f>J184</f>
        <v>0</v>
      </c>
      <c r="L184" s="1888">
        <v>0</v>
      </c>
      <c r="M184" s="1888">
        <v>0</v>
      </c>
      <c r="N184" s="1888">
        <v>0</v>
      </c>
      <c r="O184" s="1888">
        <v>0</v>
      </c>
      <c r="P184" s="1909">
        <f>O184</f>
        <v>0</v>
      </c>
      <c r="Q184" s="1888">
        <v>0</v>
      </c>
      <c r="R184" s="1888">
        <v>0</v>
      </c>
      <c r="S184" s="1888">
        <v>0</v>
      </c>
      <c r="T184" s="1888">
        <v>0</v>
      </c>
      <c r="U184" s="1909">
        <f>T184</f>
        <v>0</v>
      </c>
      <c r="V184" s="1888">
        <v>70.778000000000006</v>
      </c>
      <c r="W184" s="1888">
        <v>72.578000000000003</v>
      </c>
      <c r="X184" s="1888">
        <v>76.233999999999995</v>
      </c>
      <c r="Y184" s="1888">
        <v>81.89</v>
      </c>
      <c r="Z184" s="1909">
        <f>Y184</f>
        <v>81.89</v>
      </c>
      <c r="AA184" s="1888">
        <v>84.188999999999993</v>
      </c>
      <c r="AB184" s="1888">
        <v>76.98</v>
      </c>
      <c r="AC184" s="1888">
        <v>84.421000000000006</v>
      </c>
      <c r="AD184" s="1888">
        <v>81.094999999999999</v>
      </c>
      <c r="AE184" s="1909">
        <f>AD184</f>
        <v>81.094999999999999</v>
      </c>
      <c r="AF184" s="1888">
        <v>86.5</v>
      </c>
      <c r="AG184" s="1888">
        <v>80.8</v>
      </c>
      <c r="AH184" s="1888">
        <v>79.900000000000006</v>
      </c>
      <c r="AI184" s="1888">
        <v>76</v>
      </c>
      <c r="AJ184" s="1909">
        <f>AI184</f>
        <v>76</v>
      </c>
      <c r="AK184" s="1888">
        <v>80</v>
      </c>
      <c r="AL184" s="1888">
        <v>67</v>
      </c>
      <c r="AM184" s="1888">
        <v>76</v>
      </c>
      <c r="AN184" s="1888">
        <v>73</v>
      </c>
      <c r="AO184" s="1909">
        <f>AN184</f>
        <v>73</v>
      </c>
      <c r="AP184" s="1888">
        <v>52</v>
      </c>
      <c r="AQ184" s="1888">
        <v>48</v>
      </c>
      <c r="AR184" s="1888">
        <v>38</v>
      </c>
      <c r="AS184" s="1888">
        <v>43</v>
      </c>
      <c r="AT184" s="1909">
        <f>AS184</f>
        <v>43</v>
      </c>
      <c r="AU184" s="1888">
        <v>44</v>
      </c>
      <c r="AV184" s="1888">
        <v>47</v>
      </c>
      <c r="AW184" s="1873">
        <v>49</v>
      </c>
      <c r="AX184" s="1872">
        <v>51</v>
      </c>
      <c r="AY184" s="1909">
        <f>AX184</f>
        <v>51</v>
      </c>
      <c r="AZ184" s="1873">
        <v>50</v>
      </c>
      <c r="BA184" s="1888">
        <v>52</v>
      </c>
      <c r="BB184" s="1888">
        <v>46</v>
      </c>
      <c r="BC184" s="1872">
        <v>49</v>
      </c>
      <c r="BD184" s="1909">
        <f>BC184</f>
        <v>49</v>
      </c>
      <c r="BE184" s="1872">
        <v>48</v>
      </c>
      <c r="BF184" s="1877">
        <v>49</v>
      </c>
      <c r="BG184" s="1877">
        <v>49</v>
      </c>
      <c r="BH184" s="1872">
        <v>51</v>
      </c>
      <c r="BI184" s="1909">
        <f>BH184</f>
        <v>51</v>
      </c>
      <c r="BJ184" s="1872">
        <v>55</v>
      </c>
      <c r="BK184" s="1877">
        <v>54</v>
      </c>
      <c r="BL184" s="2167">
        <v>54</v>
      </c>
      <c r="BM184" s="2167">
        <v>57</v>
      </c>
      <c r="BN184" s="1909">
        <f>BM184</f>
        <v>57</v>
      </c>
      <c r="BO184" s="2167">
        <v>61</v>
      </c>
      <c r="BP184" s="1910">
        <f>BO184-BP58+BP120</f>
        <v>70.912492105058249</v>
      </c>
      <c r="BQ184" s="1910">
        <f>BP184-BQ58+BQ120</f>
        <v>95.374030484303233</v>
      </c>
      <c r="BR184" s="1910">
        <f>BQ184-BR58+BR120</f>
        <v>94.370718569797674</v>
      </c>
      <c r="BS184" s="1909">
        <f>BR184</f>
        <v>94.370718569797674</v>
      </c>
      <c r="BT184" s="1910">
        <f>BS184-BT58+BT120</f>
        <v>89.249742596425961</v>
      </c>
      <c r="BU184" s="1910">
        <f>BT184-BU58+BU120</f>
        <v>103.21269942954532</v>
      </c>
      <c r="BV184" s="1910">
        <f>BU184-BV58+BV120</f>
        <v>132.09890765149578</v>
      </c>
      <c r="BW184" s="1910">
        <f>BV184-BW58+BW120</f>
        <v>135.51509406845582</v>
      </c>
      <c r="BX184" s="1909">
        <f>BW184</f>
        <v>135.51509406845582</v>
      </c>
      <c r="BY184" s="1912">
        <f>BX184-BY58+BY120</f>
        <v>192.17510471856468</v>
      </c>
      <c r="BZ184" s="1912">
        <f>BY184-BZ58+BZ120</f>
        <v>265.46649110228782</v>
      </c>
      <c r="CA184" s="1912">
        <f>BZ184-CA58+CA120</f>
        <v>492.60128460976506</v>
      </c>
      <c r="CB184" s="395"/>
      <c r="CC184" s="1360"/>
      <c r="CD184" s="83" t="str">
        <f t="shared" si="416"/>
        <v>Total Equity — NonControlling Interests</v>
      </c>
      <c r="CE184" s="46">
        <f t="shared" si="431"/>
        <v>0</v>
      </c>
      <c r="CF184" s="46">
        <f t="shared" si="431"/>
        <v>0</v>
      </c>
      <c r="CG184" s="46">
        <f t="shared" si="431"/>
        <v>0</v>
      </c>
      <c r="CH184" s="46">
        <f t="shared" si="431"/>
        <v>0</v>
      </c>
      <c r="CI184" s="46">
        <f t="shared" si="431"/>
        <v>0</v>
      </c>
      <c r="CJ184" s="46">
        <f t="shared" si="432"/>
        <v>0</v>
      </c>
      <c r="CK184" s="46">
        <f t="shared" si="433"/>
        <v>0</v>
      </c>
      <c r="CL184" s="46">
        <f t="shared" si="434"/>
        <v>0</v>
      </c>
      <c r="CM184" s="46">
        <f t="shared" si="435"/>
        <v>81.89</v>
      </c>
      <c r="CN184" s="46">
        <f t="shared" si="436"/>
        <v>81.094999999999999</v>
      </c>
      <c r="CO184" s="46">
        <f t="shared" si="437"/>
        <v>76</v>
      </c>
      <c r="CP184" s="46">
        <f t="shared" si="438"/>
        <v>73</v>
      </c>
      <c r="CQ184" s="46">
        <f t="shared" si="439"/>
        <v>43</v>
      </c>
      <c r="CR184" s="46">
        <f t="shared" si="440"/>
        <v>51</v>
      </c>
      <c r="CS184" s="46">
        <f t="shared" si="441"/>
        <v>49</v>
      </c>
      <c r="CT184" s="46">
        <f t="shared" si="442"/>
        <v>51</v>
      </c>
      <c r="CU184" s="46">
        <f t="shared" si="443"/>
        <v>57</v>
      </c>
      <c r="CV184" s="46">
        <f t="shared" si="444"/>
        <v>94.370718569797674</v>
      </c>
      <c r="CW184" s="46">
        <f t="shared" si="445"/>
        <v>135.51509406845582</v>
      </c>
      <c r="CX184" s="46">
        <f t="shared" si="445"/>
        <v>192.17510471856468</v>
      </c>
      <c r="CY184" s="46">
        <f t="shared" si="445"/>
        <v>265.46649110228782</v>
      </c>
      <c r="CZ184" s="44">
        <f t="shared" si="445"/>
        <v>492.60128460976506</v>
      </c>
      <c r="DA184" s="86"/>
      <c r="DB184" s="59"/>
      <c r="DC184"/>
      <c r="DD184"/>
      <c r="DE184"/>
      <c r="DF184"/>
      <c r="DG184"/>
      <c r="DH184"/>
    </row>
    <row r="185" spans="1:112" s="70" customFormat="1" ht="12" customHeight="1">
      <c r="A185" s="1898" t="s">
        <v>183</v>
      </c>
      <c r="B185" s="1914">
        <f t="shared" ref="B185:BM185" si="450">SUM(B183,B184)</f>
        <v>1853.8850000000002</v>
      </c>
      <c r="C185" s="1903">
        <f t="shared" si="450"/>
        <v>2165.8219999999997</v>
      </c>
      <c r="D185" s="1903">
        <f t="shared" si="450"/>
        <v>2557.0510000000004</v>
      </c>
      <c r="E185" s="1903">
        <f t="shared" si="450"/>
        <v>2984.5129999999999</v>
      </c>
      <c r="F185" s="1903">
        <f t="shared" si="450"/>
        <v>3113.1480000000001</v>
      </c>
      <c r="G185" s="1902">
        <f t="shared" si="450"/>
        <v>2329.3460000000009</v>
      </c>
      <c r="H185" s="1902">
        <f t="shared" si="450"/>
        <v>2159.0860000000007</v>
      </c>
      <c r="I185" s="1902">
        <f t="shared" si="450"/>
        <v>2605.8259999999996</v>
      </c>
      <c r="J185" s="1902">
        <f t="shared" si="450"/>
        <v>2679.6180000000004</v>
      </c>
      <c r="K185" s="1903">
        <f t="shared" si="450"/>
        <v>2679.6180000000004</v>
      </c>
      <c r="L185" s="1902">
        <f t="shared" si="450"/>
        <v>1975.5779999999995</v>
      </c>
      <c r="M185" s="1902">
        <f t="shared" si="450"/>
        <v>1891.6919999999991</v>
      </c>
      <c r="N185" s="1902">
        <f t="shared" si="450"/>
        <v>1729.9049999999997</v>
      </c>
      <c r="O185" s="1902">
        <f t="shared" si="450"/>
        <v>1606.6499999999996</v>
      </c>
      <c r="P185" s="1903">
        <f t="shared" si="450"/>
        <v>1606.6499999999996</v>
      </c>
      <c r="Q185" s="1902">
        <f t="shared" si="450"/>
        <v>1520.5860000000002</v>
      </c>
      <c r="R185" s="1902">
        <f t="shared" si="450"/>
        <v>1510.174</v>
      </c>
      <c r="S185" s="1902">
        <f t="shared" si="450"/>
        <v>1633.3600000000006</v>
      </c>
      <c r="T185" s="1902">
        <f t="shared" si="450"/>
        <v>1282.3360000000002</v>
      </c>
      <c r="U185" s="1903">
        <f t="shared" si="450"/>
        <v>1282.3360000000002</v>
      </c>
      <c r="V185" s="1902">
        <f t="shared" si="450"/>
        <v>1305.9839999999992</v>
      </c>
      <c r="W185" s="1902">
        <f t="shared" si="450"/>
        <v>1466.0180000000014</v>
      </c>
      <c r="X185" s="1902">
        <f t="shared" si="450"/>
        <v>1753.2400000000002</v>
      </c>
      <c r="Y185" s="1902">
        <f t="shared" si="450"/>
        <v>1929.1770000000004</v>
      </c>
      <c r="Z185" s="1903">
        <f t="shared" si="450"/>
        <v>1929.1770000000004</v>
      </c>
      <c r="AA185" s="1902">
        <f t="shared" si="450"/>
        <v>1984.9849999999994</v>
      </c>
      <c r="AB185" s="1902">
        <f t="shared" si="450"/>
        <v>1919.9260000000008</v>
      </c>
      <c r="AC185" s="1902">
        <f t="shared" si="450"/>
        <v>2214.4859999999994</v>
      </c>
      <c r="AD185" s="1902">
        <f t="shared" si="450"/>
        <v>2291.3909999999992</v>
      </c>
      <c r="AE185" s="1903">
        <f t="shared" si="450"/>
        <v>2291.3909999999992</v>
      </c>
      <c r="AF185" s="1902">
        <f t="shared" si="450"/>
        <v>2315.6999999999998</v>
      </c>
      <c r="AG185" s="1902">
        <f t="shared" si="450"/>
        <v>2335.8000000000002</v>
      </c>
      <c r="AH185" s="1902">
        <f t="shared" si="450"/>
        <v>2288.1000000000008</v>
      </c>
      <c r="AI185" s="1902">
        <f t="shared" si="450"/>
        <v>1584</v>
      </c>
      <c r="AJ185" s="1903">
        <f t="shared" si="450"/>
        <v>1584</v>
      </c>
      <c r="AK185" s="1904">
        <f t="shared" si="450"/>
        <v>1786</v>
      </c>
      <c r="AL185" s="1904">
        <f t="shared" si="450"/>
        <v>1730</v>
      </c>
      <c r="AM185" s="1904">
        <f t="shared" si="450"/>
        <v>1862</v>
      </c>
      <c r="AN185" s="1902">
        <f t="shared" si="450"/>
        <v>840</v>
      </c>
      <c r="AO185" s="1903">
        <f t="shared" si="450"/>
        <v>840</v>
      </c>
      <c r="AP185" s="1904">
        <f t="shared" si="450"/>
        <v>1082</v>
      </c>
      <c r="AQ185" s="1904">
        <f t="shared" si="450"/>
        <v>1271</v>
      </c>
      <c r="AR185" s="1904">
        <f t="shared" si="450"/>
        <v>1015</v>
      </c>
      <c r="AS185" s="1902">
        <f>SUM(AS183,AS184)</f>
        <v>1344</v>
      </c>
      <c r="AT185" s="1903">
        <f>SUM(AT183,AT184)</f>
        <v>1344</v>
      </c>
      <c r="AU185" s="1904">
        <f t="shared" si="450"/>
        <v>1407</v>
      </c>
      <c r="AV185" s="1942">
        <v>1489</v>
      </c>
      <c r="AW185" s="1902">
        <f>SUM(AW183,AW184)</f>
        <v>1590</v>
      </c>
      <c r="AX185" s="1915">
        <f>SUM(AX183,AX184)</f>
        <v>539</v>
      </c>
      <c r="AY185" s="1903">
        <f t="shared" si="450"/>
        <v>539</v>
      </c>
      <c r="AZ185" s="1915">
        <f>SUM(AZ183,AZ184)</f>
        <v>589</v>
      </c>
      <c r="BA185" s="1915">
        <f>SUM(BA183,BA184)</f>
        <v>815</v>
      </c>
      <c r="BB185" s="1915">
        <f>SUM(BB183,BB184)</f>
        <v>704</v>
      </c>
      <c r="BC185" s="1915">
        <f>SUM(BC183,BC184)</f>
        <v>243</v>
      </c>
      <c r="BD185" s="1903">
        <f t="shared" si="450"/>
        <v>243</v>
      </c>
      <c r="BE185" s="1915">
        <f>SUM(BE183,BE184)</f>
        <v>270</v>
      </c>
      <c r="BF185" s="1915">
        <f>SUM(BF183,BF184)</f>
        <v>425</v>
      </c>
      <c r="BG185" s="1915">
        <f>SUM(BG183,BG184)</f>
        <v>511</v>
      </c>
      <c r="BH185" s="1915">
        <f>SUM(BH183,BH184)</f>
        <v>701</v>
      </c>
      <c r="BI185" s="1903">
        <f t="shared" si="450"/>
        <v>701</v>
      </c>
      <c r="BJ185" s="1915">
        <f t="shared" si="450"/>
        <v>844</v>
      </c>
      <c r="BK185" s="1915">
        <f t="shared" si="450"/>
        <v>1072.9678216627908</v>
      </c>
      <c r="BL185" s="1902">
        <f t="shared" si="450"/>
        <v>893</v>
      </c>
      <c r="BM185" s="1902">
        <f t="shared" si="450"/>
        <v>768</v>
      </c>
      <c r="BN185" s="1903">
        <f t="shared" ref="BN185:BZ185" si="451">SUM(BN183,BN184)</f>
        <v>768</v>
      </c>
      <c r="BO185" s="1902">
        <f t="shared" si="451"/>
        <v>68</v>
      </c>
      <c r="BP185" s="1902">
        <f t="shared" si="451"/>
        <v>156.0047892111846</v>
      </c>
      <c r="BQ185" s="1902">
        <f t="shared" si="451"/>
        <v>246.1379167101114</v>
      </c>
      <c r="BR185" s="1902">
        <f t="shared" si="451"/>
        <v>344.01303322044168</v>
      </c>
      <c r="BS185" s="1903">
        <f t="shared" si="451"/>
        <v>344.01303322044168</v>
      </c>
      <c r="BT185" s="1902">
        <f t="shared" ref="BT185:BX185" si="452">SUM(BT183,BT184)</f>
        <v>340.32170352691475</v>
      </c>
      <c r="BU185" s="1902">
        <f t="shared" si="452"/>
        <v>408.2042775847334</v>
      </c>
      <c r="BV185" s="1902">
        <f t="shared" si="452"/>
        <v>479.12855469736826</v>
      </c>
      <c r="BW185" s="1902">
        <f t="shared" si="452"/>
        <v>559.86191789820225</v>
      </c>
      <c r="BX185" s="1903">
        <f t="shared" si="452"/>
        <v>559.86191789820225</v>
      </c>
      <c r="BY185" s="1905">
        <f t="shared" si="451"/>
        <v>756.24311137814607</v>
      </c>
      <c r="BZ185" s="1905">
        <f t="shared" si="451"/>
        <v>932.03654779328963</v>
      </c>
      <c r="CA185" s="1905">
        <f t="shared" ref="CA185" si="453">SUM(CA183,CA184)</f>
        <v>1211.175175673357</v>
      </c>
      <c r="CB185" s="383"/>
      <c r="CC185" s="1359"/>
      <c r="CD185" s="227" t="str">
        <f t="shared" si="416"/>
        <v xml:space="preserve">Total Equity </v>
      </c>
      <c r="CE185" s="222">
        <f t="shared" si="431"/>
        <v>1853.8850000000002</v>
      </c>
      <c r="CF185" s="222">
        <f t="shared" si="431"/>
        <v>2165.8219999999997</v>
      </c>
      <c r="CG185" s="222">
        <f t="shared" si="431"/>
        <v>2557.0510000000004</v>
      </c>
      <c r="CH185" s="222">
        <f t="shared" si="431"/>
        <v>2984.5129999999999</v>
      </c>
      <c r="CI185" s="222">
        <f t="shared" si="431"/>
        <v>3113.1480000000001</v>
      </c>
      <c r="CJ185" s="222">
        <f t="shared" si="432"/>
        <v>2679.6180000000004</v>
      </c>
      <c r="CK185" s="222">
        <f t="shared" si="433"/>
        <v>1606.6499999999996</v>
      </c>
      <c r="CL185" s="222">
        <f t="shared" si="434"/>
        <v>1282.3360000000002</v>
      </c>
      <c r="CM185" s="222">
        <f t="shared" si="435"/>
        <v>1929.1770000000004</v>
      </c>
      <c r="CN185" s="222">
        <f t="shared" si="436"/>
        <v>2291.3909999999992</v>
      </c>
      <c r="CO185" s="222">
        <f t="shared" si="437"/>
        <v>1584</v>
      </c>
      <c r="CP185" s="222">
        <f t="shared" si="438"/>
        <v>840</v>
      </c>
      <c r="CQ185" s="222">
        <f t="shared" si="439"/>
        <v>1344</v>
      </c>
      <c r="CR185" s="222">
        <f t="shared" si="440"/>
        <v>539</v>
      </c>
      <c r="CS185" s="222">
        <f t="shared" si="441"/>
        <v>243</v>
      </c>
      <c r="CT185" s="222">
        <f t="shared" si="442"/>
        <v>701</v>
      </c>
      <c r="CU185" s="222">
        <f t="shared" si="443"/>
        <v>768</v>
      </c>
      <c r="CV185" s="222">
        <f t="shared" si="444"/>
        <v>344.01303322044168</v>
      </c>
      <c r="CW185" s="222">
        <f t="shared" si="445"/>
        <v>559.86191789820225</v>
      </c>
      <c r="CX185" s="222">
        <f t="shared" si="445"/>
        <v>756.24311137814607</v>
      </c>
      <c r="CY185" s="222">
        <f t="shared" si="445"/>
        <v>932.03654779328963</v>
      </c>
      <c r="CZ185" s="228">
        <f t="shared" si="445"/>
        <v>1211.175175673357</v>
      </c>
      <c r="DA185" s="74"/>
      <c r="DB185" s="282"/>
      <c r="DC185"/>
      <c r="DD185"/>
      <c r="DE185"/>
      <c r="DF185"/>
      <c r="DG185"/>
      <c r="DH185"/>
    </row>
    <row r="186" spans="1:112" ht="5.25" customHeight="1">
      <c r="A186" s="42"/>
      <c r="B186" s="387" t="s">
        <v>62</v>
      </c>
      <c r="C186" s="387" t="s">
        <v>62</v>
      </c>
      <c r="D186" s="387" t="s">
        <v>62</v>
      </c>
      <c r="E186" s="387" t="s">
        <v>62</v>
      </c>
      <c r="F186" s="387" t="s">
        <v>62</v>
      </c>
      <c r="G186" s="388" t="s">
        <v>62</v>
      </c>
      <c r="H186" s="388" t="s">
        <v>62</v>
      </c>
      <c r="I186" s="388" t="s">
        <v>62</v>
      </c>
      <c r="J186" s="388" t="s">
        <v>62</v>
      </c>
      <c r="K186" s="387" t="s">
        <v>62</v>
      </c>
      <c r="L186" s="388" t="s">
        <v>62</v>
      </c>
      <c r="M186" s="388" t="s">
        <v>62</v>
      </c>
      <c r="N186" s="388" t="s">
        <v>62</v>
      </c>
      <c r="O186" s="388" t="s">
        <v>62</v>
      </c>
      <c r="P186" s="387" t="s">
        <v>62</v>
      </c>
      <c r="Q186" s="388" t="s">
        <v>62</v>
      </c>
      <c r="R186" s="388" t="s">
        <v>62</v>
      </c>
      <c r="S186" s="388" t="s">
        <v>62</v>
      </c>
      <c r="T186" s="388" t="s">
        <v>62</v>
      </c>
      <c r="U186" s="387" t="s">
        <v>62</v>
      </c>
      <c r="V186" s="388" t="s">
        <v>62</v>
      </c>
      <c r="W186" s="388" t="s">
        <v>62</v>
      </c>
      <c r="X186" s="388" t="s">
        <v>62</v>
      </c>
      <c r="Y186" s="388" t="s">
        <v>62</v>
      </c>
      <c r="Z186" s="387" t="s">
        <v>62</v>
      </c>
      <c r="AA186" s="388" t="s">
        <v>62</v>
      </c>
      <c r="AB186" s="388" t="s">
        <v>62</v>
      </c>
      <c r="AC186" s="388" t="s">
        <v>62</v>
      </c>
      <c r="AD186" s="388" t="s">
        <v>62</v>
      </c>
      <c r="AE186" s="387" t="s">
        <v>62</v>
      </c>
      <c r="AF186" s="388" t="s">
        <v>62</v>
      </c>
      <c r="AG186" s="388" t="s">
        <v>62</v>
      </c>
      <c r="AH186" s="388" t="s">
        <v>62</v>
      </c>
      <c r="AI186" s="388" t="s">
        <v>62</v>
      </c>
      <c r="AJ186" s="140" t="s">
        <v>62</v>
      </c>
      <c r="AK186" s="90" t="s">
        <v>62</v>
      </c>
      <c r="AL186" s="90" t="s">
        <v>62</v>
      </c>
      <c r="AM186" s="90" t="s">
        <v>62</v>
      </c>
      <c r="AN186" s="388" t="s">
        <v>62</v>
      </c>
      <c r="AO186" s="140" t="s">
        <v>62</v>
      </c>
      <c r="AP186" s="90" t="s">
        <v>62</v>
      </c>
      <c r="AQ186" s="90" t="s">
        <v>62</v>
      </c>
      <c r="AR186" s="90" t="s">
        <v>62</v>
      </c>
      <c r="AS186" s="388" t="s">
        <v>62</v>
      </c>
      <c r="AT186" s="387" t="s">
        <v>62</v>
      </c>
      <c r="AU186" s="90" t="s">
        <v>62</v>
      </c>
      <c r="AV186" s="90" t="s">
        <v>62</v>
      </c>
      <c r="AW186" s="388" t="s">
        <v>62</v>
      </c>
      <c r="AX186" s="90" t="s">
        <v>62</v>
      </c>
      <c r="AY186" s="387" t="s">
        <v>62</v>
      </c>
      <c r="AZ186" s="388" t="s">
        <v>62</v>
      </c>
      <c r="BA186" s="90" t="s">
        <v>62</v>
      </c>
      <c r="BB186" s="90" t="s">
        <v>62</v>
      </c>
      <c r="BC186" s="90" t="s">
        <v>62</v>
      </c>
      <c r="BD186" s="387" t="s">
        <v>62</v>
      </c>
      <c r="BE186" s="388" t="s">
        <v>62</v>
      </c>
      <c r="BF186" s="90" t="s">
        <v>62</v>
      </c>
      <c r="BG186" s="90" t="s">
        <v>62</v>
      </c>
      <c r="BH186" s="90" t="s">
        <v>62</v>
      </c>
      <c r="BI186" s="387" t="s">
        <v>62</v>
      </c>
      <c r="BJ186" s="90" t="s">
        <v>62</v>
      </c>
      <c r="BK186" s="90" t="s">
        <v>62</v>
      </c>
      <c r="BL186" s="388" t="s">
        <v>62</v>
      </c>
      <c r="BM186" s="388" t="s">
        <v>62</v>
      </c>
      <c r="BN186" s="387" t="s">
        <v>62</v>
      </c>
      <c r="BO186" s="388" t="s">
        <v>62</v>
      </c>
      <c r="BP186" s="388" t="s">
        <v>62</v>
      </c>
      <c r="BQ186" s="388" t="s">
        <v>62</v>
      </c>
      <c r="BR186" s="388" t="s">
        <v>62</v>
      </c>
      <c r="BS186" s="387" t="s">
        <v>62</v>
      </c>
      <c r="BT186" s="388" t="s">
        <v>62</v>
      </c>
      <c r="BU186" s="388" t="s">
        <v>62</v>
      </c>
      <c r="BV186" s="388" t="s">
        <v>62</v>
      </c>
      <c r="BW186" s="388" t="s">
        <v>62</v>
      </c>
      <c r="BX186" s="387" t="s">
        <v>62</v>
      </c>
      <c r="BY186" s="99" t="s">
        <v>62</v>
      </c>
      <c r="BZ186" s="99" t="s">
        <v>62</v>
      </c>
      <c r="CA186" s="99" t="s">
        <v>62</v>
      </c>
      <c r="CB186" s="4"/>
      <c r="CD186" s="382"/>
      <c r="CE186" s="90" t="s">
        <v>62</v>
      </c>
      <c r="CF186" s="90" t="s">
        <v>62</v>
      </c>
      <c r="CG186" s="90" t="s">
        <v>62</v>
      </c>
      <c r="CH186" s="90" t="s">
        <v>62</v>
      </c>
      <c r="CI186" s="90" t="s">
        <v>62</v>
      </c>
      <c r="CJ186" s="90" t="s">
        <v>62</v>
      </c>
      <c r="CK186" s="90" t="s">
        <v>62</v>
      </c>
      <c r="CL186" s="90" t="s">
        <v>62</v>
      </c>
      <c r="CM186" s="90" t="s">
        <v>62</v>
      </c>
      <c r="CN186" s="90" t="s">
        <v>62</v>
      </c>
      <c r="CO186" s="90" t="s">
        <v>62</v>
      </c>
      <c r="CP186" s="90" t="s">
        <v>62</v>
      </c>
      <c r="CQ186" s="90" t="s">
        <v>62</v>
      </c>
      <c r="CR186" s="90" t="s">
        <v>62</v>
      </c>
      <c r="CS186" s="90" t="s">
        <v>62</v>
      </c>
      <c r="CT186" s="90" t="s">
        <v>62</v>
      </c>
      <c r="CU186" s="90" t="s">
        <v>62</v>
      </c>
      <c r="CV186" s="90" t="s">
        <v>62</v>
      </c>
      <c r="CW186" s="90" t="s">
        <v>62</v>
      </c>
      <c r="CX186" s="90" t="s">
        <v>62</v>
      </c>
      <c r="CY186" s="90" t="s">
        <v>62</v>
      </c>
      <c r="CZ186" s="99" t="s">
        <v>62</v>
      </c>
      <c r="DA186" s="58"/>
      <c r="DB186" s="100"/>
    </row>
    <row r="187" spans="1:112" s="70" customFormat="1" ht="12" customHeight="1">
      <c r="A187" s="1929" t="s">
        <v>184</v>
      </c>
      <c r="B187" s="1960">
        <f t="shared" ref="B187:AH187" si="454">SUM(B185,B175)</f>
        <v>5161.1910000000007</v>
      </c>
      <c r="C187" s="1930">
        <f t="shared" si="454"/>
        <v>5032.1819999999989</v>
      </c>
      <c r="D187" s="1930">
        <f t="shared" si="454"/>
        <v>5394.0679999999993</v>
      </c>
      <c r="E187" s="1930">
        <f t="shared" si="454"/>
        <v>5862.9889999999996</v>
      </c>
      <c r="F187" s="1930">
        <f t="shared" si="454"/>
        <v>6395.808</v>
      </c>
      <c r="G187" s="1931">
        <f t="shared" si="454"/>
        <v>5653.4890000000014</v>
      </c>
      <c r="H187" s="1931">
        <f t="shared" si="454"/>
        <v>5935.4300000000012</v>
      </c>
      <c r="I187" s="1931">
        <f t="shared" si="454"/>
        <v>6131.8829999999998</v>
      </c>
      <c r="J187" s="1931">
        <f t="shared" si="454"/>
        <v>6042.89</v>
      </c>
      <c r="K187" s="1930">
        <f t="shared" si="454"/>
        <v>6042.89</v>
      </c>
      <c r="L187" s="1931">
        <f t="shared" si="454"/>
        <v>5877.8039999999992</v>
      </c>
      <c r="M187" s="1931">
        <f t="shared" si="454"/>
        <v>6239.4449999999997</v>
      </c>
      <c r="N187" s="1931">
        <f t="shared" si="454"/>
        <v>6524.695999999999</v>
      </c>
      <c r="O187" s="1931">
        <f t="shared" si="454"/>
        <v>6357.3359999999993</v>
      </c>
      <c r="P187" s="1930">
        <f t="shared" si="454"/>
        <v>6357.3359999999993</v>
      </c>
      <c r="Q187" s="1931">
        <f t="shared" si="454"/>
        <v>6266.8509999999997</v>
      </c>
      <c r="R187" s="1931">
        <f t="shared" si="454"/>
        <v>6558.8869999999997</v>
      </c>
      <c r="S187" s="1931">
        <f t="shared" si="454"/>
        <v>6533.1780000000008</v>
      </c>
      <c r="T187" s="1931">
        <f t="shared" si="454"/>
        <v>6080.1420000000007</v>
      </c>
      <c r="U187" s="1930">
        <f t="shared" si="454"/>
        <v>6080.1420000000007</v>
      </c>
      <c r="V187" s="1931">
        <f t="shared" si="454"/>
        <v>5849.4179999999988</v>
      </c>
      <c r="W187" s="1931">
        <f t="shared" si="454"/>
        <v>6058.0160000000014</v>
      </c>
      <c r="X187" s="1931">
        <f t="shared" si="454"/>
        <v>6415.4670000000006</v>
      </c>
      <c r="Y187" s="1931">
        <f t="shared" si="454"/>
        <v>6475.2500000000009</v>
      </c>
      <c r="Z187" s="1930">
        <f t="shared" si="454"/>
        <v>6475.2500000000009</v>
      </c>
      <c r="AA187" s="1931">
        <f t="shared" si="454"/>
        <v>6289.2359999999999</v>
      </c>
      <c r="AB187" s="1931">
        <f t="shared" si="454"/>
        <v>6364.0260000000017</v>
      </c>
      <c r="AC187" s="1931">
        <f t="shared" si="454"/>
        <v>6884.2879999999986</v>
      </c>
      <c r="AD187" s="1931">
        <f t="shared" si="454"/>
        <v>7046.5609999999997</v>
      </c>
      <c r="AE187" s="1930">
        <f t="shared" si="454"/>
        <v>7046.5609999999997</v>
      </c>
      <c r="AF187" s="1931">
        <f t="shared" si="454"/>
        <v>6789.7</v>
      </c>
      <c r="AG187" s="1931">
        <f t="shared" si="454"/>
        <v>6944.0000000000009</v>
      </c>
      <c r="AH187" s="1931">
        <f t="shared" si="454"/>
        <v>7153.7000000000007</v>
      </c>
      <c r="AI187" s="1931">
        <f>SUM(AI185,AI175)</f>
        <v>6427</v>
      </c>
      <c r="AJ187" s="1930">
        <f>SUM(AJ185,AJ175)</f>
        <v>6427</v>
      </c>
      <c r="AK187" s="1932">
        <f>SUM(AK185,AK175)</f>
        <v>6352</v>
      </c>
      <c r="AL187" s="1932">
        <f t="shared" ref="AL187:BY187" si="455">SUM(AL185,AL175,AL176)</f>
        <v>7310</v>
      </c>
      <c r="AM187" s="1932">
        <f t="shared" si="455"/>
        <v>7943</v>
      </c>
      <c r="AN187" s="1932">
        <f t="shared" si="455"/>
        <v>7052</v>
      </c>
      <c r="AO187" s="1930">
        <f t="shared" si="455"/>
        <v>7052</v>
      </c>
      <c r="AP187" s="1932">
        <f t="shared" si="455"/>
        <v>6270</v>
      </c>
      <c r="AQ187" s="1932">
        <f t="shared" si="455"/>
        <v>6160</v>
      </c>
      <c r="AR187" s="1932">
        <f t="shared" si="455"/>
        <v>5848</v>
      </c>
      <c r="AS187" s="1932">
        <f>SUM(AS185,AS175,AS176)</f>
        <v>6061</v>
      </c>
      <c r="AT187" s="1933">
        <f>SUM(AT185,AT175,AT176)</f>
        <v>6061</v>
      </c>
      <c r="AU187" s="1932">
        <f t="shared" si="455"/>
        <v>6011</v>
      </c>
      <c r="AV187" s="1932">
        <f t="shared" si="455"/>
        <v>6057</v>
      </c>
      <c r="AW187" s="1932">
        <f t="shared" si="455"/>
        <v>6270</v>
      </c>
      <c r="AX187" s="1961">
        <f t="shared" si="455"/>
        <v>6771</v>
      </c>
      <c r="AY187" s="1933">
        <f t="shared" si="455"/>
        <v>6771</v>
      </c>
      <c r="AZ187" s="1932">
        <f t="shared" si="455"/>
        <v>5448</v>
      </c>
      <c r="BA187" s="1932">
        <f t="shared" si="455"/>
        <v>6013</v>
      </c>
      <c r="BB187" s="1932">
        <f t="shared" si="455"/>
        <v>8163</v>
      </c>
      <c r="BC187" s="1961">
        <f t="shared" si="455"/>
        <v>8183</v>
      </c>
      <c r="BD187" s="1933">
        <f t="shared" si="455"/>
        <v>8183</v>
      </c>
      <c r="BE187" s="1932">
        <f t="shared" si="455"/>
        <v>8261</v>
      </c>
      <c r="BF187" s="1932">
        <f t="shared" si="455"/>
        <v>8291</v>
      </c>
      <c r="BG187" s="1932">
        <f t="shared" si="455"/>
        <v>8676</v>
      </c>
      <c r="BH187" s="1961">
        <f t="shared" si="455"/>
        <v>8669</v>
      </c>
      <c r="BI187" s="1933">
        <f t="shared" si="455"/>
        <v>8669</v>
      </c>
      <c r="BJ187" s="1961">
        <f t="shared" si="455"/>
        <v>8654</v>
      </c>
      <c r="BK187" s="1932">
        <f t="shared" si="455"/>
        <v>8790.9678216627908</v>
      </c>
      <c r="BL187" s="1932">
        <f t="shared" si="455"/>
        <v>8714</v>
      </c>
      <c r="BM187" s="1932">
        <f t="shared" si="455"/>
        <v>9425</v>
      </c>
      <c r="BN187" s="1933">
        <f t="shared" si="455"/>
        <v>9425</v>
      </c>
      <c r="BO187" s="1932">
        <f t="shared" si="455"/>
        <v>8497</v>
      </c>
      <c r="BP187" s="1932">
        <f t="shared" si="455"/>
        <v>8629.3577328513493</v>
      </c>
      <c r="BQ187" s="1932">
        <f t="shared" si="455"/>
        <v>8698.1883936353479</v>
      </c>
      <c r="BR187" s="1932">
        <f t="shared" si="455"/>
        <v>9034.2930486015575</v>
      </c>
      <c r="BS187" s="1933">
        <f t="shared" si="455"/>
        <v>9034.2930486015575</v>
      </c>
      <c r="BT187" s="1932">
        <f t="shared" ref="BT187:BX187" si="456">SUM(BT185,BT175,BT176)</f>
        <v>8879.3197180938369</v>
      </c>
      <c r="BU187" s="1932">
        <f t="shared" si="456"/>
        <v>9012.4742684681696</v>
      </c>
      <c r="BV187" s="1932">
        <f t="shared" si="456"/>
        <v>9063.516635156906</v>
      </c>
      <c r="BW187" s="1932">
        <f t="shared" si="456"/>
        <v>9395.359177919956</v>
      </c>
      <c r="BX187" s="1933">
        <f t="shared" si="456"/>
        <v>9395.359177919956</v>
      </c>
      <c r="BY187" s="1934">
        <f t="shared" si="455"/>
        <v>9721.8131370055053</v>
      </c>
      <c r="BZ187" s="1934">
        <f>SUM(BZ185,BZ175,BZ176)</f>
        <v>10038.652781446845</v>
      </c>
      <c r="CA187" s="1934">
        <f>SUM(CA185,CA175,CA176)</f>
        <v>10451.210960780129</v>
      </c>
      <c r="CB187" s="383"/>
      <c r="CC187" s="1359"/>
      <c r="CD187" s="400" t="str">
        <f>A187</f>
        <v>Total Liabilities and Stockholders' Equity</v>
      </c>
      <c r="CE187" s="401">
        <f>SUM(CE185,CE175,CE176)</f>
        <v>5161.1910000000007</v>
      </c>
      <c r="CF187" s="401">
        <f t="shared" ref="CF187:CT187" si="457">SUM(CF185,CF175,CF176)</f>
        <v>5032.1819999999989</v>
      </c>
      <c r="CG187" s="401">
        <f t="shared" si="457"/>
        <v>5394.0679999999993</v>
      </c>
      <c r="CH187" s="401">
        <f t="shared" si="457"/>
        <v>5862.9889999999996</v>
      </c>
      <c r="CI187" s="401">
        <f t="shared" si="457"/>
        <v>6395.808</v>
      </c>
      <c r="CJ187" s="401">
        <f t="shared" si="457"/>
        <v>6042.89</v>
      </c>
      <c r="CK187" s="401">
        <f t="shared" si="457"/>
        <v>6357.3359999999993</v>
      </c>
      <c r="CL187" s="401">
        <f t="shared" si="457"/>
        <v>6080.1420000000007</v>
      </c>
      <c r="CM187" s="401">
        <f t="shared" si="457"/>
        <v>6475.2500000000009</v>
      </c>
      <c r="CN187" s="401">
        <f t="shared" si="457"/>
        <v>7046.5609999999997</v>
      </c>
      <c r="CO187" s="401">
        <f t="shared" si="457"/>
        <v>6427</v>
      </c>
      <c r="CP187" s="401">
        <f t="shared" si="457"/>
        <v>7052</v>
      </c>
      <c r="CQ187" s="401">
        <f t="shared" si="457"/>
        <v>6061</v>
      </c>
      <c r="CR187" s="401">
        <f t="shared" si="457"/>
        <v>6771</v>
      </c>
      <c r="CS187" s="401">
        <f t="shared" si="457"/>
        <v>8183</v>
      </c>
      <c r="CT187" s="401">
        <f t="shared" si="457"/>
        <v>8669</v>
      </c>
      <c r="CU187" s="401">
        <f t="shared" ref="CU187:CZ187" si="458">SUM(CU185,CU175,CU176)</f>
        <v>9425</v>
      </c>
      <c r="CV187" s="401">
        <f t="shared" si="458"/>
        <v>9034.2930486015575</v>
      </c>
      <c r="CW187" s="401">
        <f t="shared" si="458"/>
        <v>9395.359177919956</v>
      </c>
      <c r="CX187" s="401">
        <f t="shared" si="458"/>
        <v>9721.8131370055053</v>
      </c>
      <c r="CY187" s="401">
        <f t="shared" si="458"/>
        <v>10038.652781446845</v>
      </c>
      <c r="CZ187" s="402">
        <f t="shared" si="458"/>
        <v>10451.210960780129</v>
      </c>
      <c r="DA187" s="74"/>
      <c r="DB187" s="403"/>
      <c r="DC187"/>
      <c r="DD187"/>
      <c r="DE187"/>
      <c r="DF187"/>
      <c r="DG187"/>
      <c r="DH187"/>
    </row>
    <row r="188" spans="1:112" ht="12" customHeight="1">
      <c r="A188" s="395"/>
      <c r="B188" s="17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c r="AA188" s="251"/>
      <c r="AB188" s="251"/>
      <c r="AC188" s="251"/>
      <c r="AD188" s="251"/>
      <c r="AE188" s="251"/>
      <c r="AF188" s="251"/>
      <c r="AG188" s="251"/>
      <c r="AH188" s="251"/>
      <c r="AI188" s="251"/>
      <c r="AJ188" s="251"/>
      <c r="AK188" s="395"/>
      <c r="AL188" s="395"/>
      <c r="AM188" s="395"/>
      <c r="AN188" s="251"/>
      <c r="AO188" s="251"/>
      <c r="AP188" s="395"/>
      <c r="AQ188" s="395"/>
      <c r="AR188" s="395"/>
      <c r="AS188" s="251"/>
      <c r="AT188" s="251"/>
      <c r="AU188" s="395"/>
      <c r="AV188" s="395"/>
      <c r="AW188" s="251"/>
      <c r="AX188" s="251"/>
      <c r="AY188" s="251"/>
      <c r="AZ188" s="251"/>
      <c r="BA188" s="251"/>
      <c r="BB188" s="251"/>
      <c r="BC188" s="251"/>
      <c r="BD188" s="251"/>
      <c r="BE188" s="251"/>
      <c r="BF188" s="251"/>
      <c r="BG188" s="251"/>
      <c r="BH188" s="251"/>
      <c r="BI188" s="251"/>
      <c r="BJ188" s="251"/>
      <c r="BK188" s="251"/>
      <c r="BL188" s="251"/>
      <c r="BM188" s="251"/>
      <c r="BN188" s="251"/>
      <c r="BO188" s="251"/>
      <c r="BP188" s="251"/>
      <c r="BQ188" s="251"/>
      <c r="BR188" s="251"/>
      <c r="BS188" s="251"/>
      <c r="BT188" s="251"/>
      <c r="BU188" s="251"/>
      <c r="BV188" s="251"/>
      <c r="BW188" s="251"/>
      <c r="BX188" s="251"/>
      <c r="BY188" s="395"/>
      <c r="BZ188" s="395"/>
      <c r="CA188" s="395"/>
      <c r="CB188" s="395"/>
      <c r="CD188" s="251"/>
      <c r="CE188" s="395"/>
      <c r="CF188" s="395"/>
      <c r="CG188" s="395"/>
      <c r="CH188" s="395"/>
      <c r="CI188" s="395"/>
      <c r="CJ188" s="395"/>
      <c r="CK188" s="395"/>
      <c r="CL188" s="395"/>
      <c r="CM188" s="395"/>
      <c r="CN188" s="395"/>
      <c r="CO188" s="395"/>
      <c r="CP188" s="395"/>
      <c r="CQ188" s="395"/>
      <c r="CR188" s="395"/>
      <c r="CS188" s="395"/>
      <c r="CT188" s="395"/>
      <c r="CU188" s="395"/>
      <c r="CV188" s="395"/>
      <c r="CW188" s="395"/>
      <c r="CX188" s="395"/>
      <c r="CY188" s="395"/>
      <c r="CZ188" s="395"/>
      <c r="DA188" s="58"/>
      <c r="DB188" s="59"/>
    </row>
    <row r="189" spans="1:112" ht="12" customHeight="1">
      <c r="A189" s="424" t="s">
        <v>185</v>
      </c>
      <c r="B189" s="425">
        <f t="shared" ref="B189:AT189" si="459">B187-B157</f>
        <v>0</v>
      </c>
      <c r="C189" s="426">
        <f t="shared" si="459"/>
        <v>0</v>
      </c>
      <c r="D189" s="426">
        <f t="shared" si="459"/>
        <v>0</v>
      </c>
      <c r="E189" s="426">
        <f t="shared" si="459"/>
        <v>0</v>
      </c>
      <c r="F189" s="426">
        <f t="shared" si="459"/>
        <v>0</v>
      </c>
      <c r="G189" s="426">
        <f t="shared" si="459"/>
        <v>0</v>
      </c>
      <c r="H189" s="426">
        <f t="shared" si="459"/>
        <v>0</v>
      </c>
      <c r="I189" s="426">
        <f t="shared" si="459"/>
        <v>0</v>
      </c>
      <c r="J189" s="426">
        <f t="shared" si="459"/>
        <v>0</v>
      </c>
      <c r="K189" s="426">
        <f t="shared" si="459"/>
        <v>0</v>
      </c>
      <c r="L189" s="426">
        <f t="shared" si="459"/>
        <v>0</v>
      </c>
      <c r="M189" s="426">
        <f t="shared" si="459"/>
        <v>0</v>
      </c>
      <c r="N189" s="426">
        <f t="shared" si="459"/>
        <v>0</v>
      </c>
      <c r="O189" s="426">
        <f t="shared" si="459"/>
        <v>0</v>
      </c>
      <c r="P189" s="426">
        <f t="shared" si="459"/>
        <v>0</v>
      </c>
      <c r="Q189" s="426">
        <f t="shared" si="459"/>
        <v>0</v>
      </c>
      <c r="R189" s="426">
        <f t="shared" si="459"/>
        <v>0</v>
      </c>
      <c r="S189" s="426">
        <f t="shared" si="459"/>
        <v>0</v>
      </c>
      <c r="T189" s="426">
        <f t="shared" si="459"/>
        <v>0</v>
      </c>
      <c r="U189" s="426">
        <f t="shared" si="459"/>
        <v>0</v>
      </c>
      <c r="V189" s="426">
        <f t="shared" si="459"/>
        <v>0</v>
      </c>
      <c r="W189" s="426">
        <f t="shared" si="459"/>
        <v>0</v>
      </c>
      <c r="X189" s="426">
        <f t="shared" si="459"/>
        <v>0</v>
      </c>
      <c r="Y189" s="426">
        <f t="shared" si="459"/>
        <v>0</v>
      </c>
      <c r="Z189" s="426">
        <f t="shared" si="459"/>
        <v>0</v>
      </c>
      <c r="AA189" s="426">
        <f t="shared" si="459"/>
        <v>0</v>
      </c>
      <c r="AB189" s="426">
        <f t="shared" si="459"/>
        <v>0</v>
      </c>
      <c r="AC189" s="426">
        <f t="shared" si="459"/>
        <v>0</v>
      </c>
      <c r="AD189" s="426">
        <f t="shared" si="459"/>
        <v>0</v>
      </c>
      <c r="AE189" s="426">
        <f t="shared" si="459"/>
        <v>0</v>
      </c>
      <c r="AF189" s="426">
        <f>AF187-AF157</f>
        <v>0</v>
      </c>
      <c r="AG189" s="426">
        <f t="shared" si="459"/>
        <v>0</v>
      </c>
      <c r="AH189" s="426">
        <f t="shared" si="459"/>
        <v>0</v>
      </c>
      <c r="AI189" s="427">
        <f t="shared" si="459"/>
        <v>-0.39999999999872671</v>
      </c>
      <c r="AJ189" s="427">
        <f t="shared" si="459"/>
        <v>-0.39999999999781721</v>
      </c>
      <c r="AK189" s="427">
        <f t="shared" si="459"/>
        <v>-0.39999999999781721</v>
      </c>
      <c r="AL189" s="427">
        <f t="shared" si="459"/>
        <v>-0.39999999999781721</v>
      </c>
      <c r="AM189" s="427">
        <f t="shared" si="459"/>
        <v>-0.39999999999781721</v>
      </c>
      <c r="AN189" s="427">
        <f t="shared" si="459"/>
        <v>-0.39999999999781721</v>
      </c>
      <c r="AO189" s="427">
        <f t="shared" si="459"/>
        <v>-0.39999999999781721</v>
      </c>
      <c r="AP189" s="427">
        <f t="shared" si="459"/>
        <v>-0.39999999999781721</v>
      </c>
      <c r="AQ189" s="427">
        <f t="shared" si="459"/>
        <v>-0.39999999999781721</v>
      </c>
      <c r="AR189" s="427">
        <f t="shared" si="459"/>
        <v>-0.39999999999781721</v>
      </c>
      <c r="AS189" s="427">
        <f t="shared" si="459"/>
        <v>-0.39999999999781721</v>
      </c>
      <c r="AT189" s="427">
        <f t="shared" si="459"/>
        <v>-0.39999999999781721</v>
      </c>
      <c r="AU189" s="427">
        <f>AU187-AU157</f>
        <v>-0.39999999999781721</v>
      </c>
      <c r="AV189" s="427">
        <f t="shared" ref="AV189:BY189" si="460">AV187-AV157</f>
        <v>-0.39999999999781721</v>
      </c>
      <c r="AW189" s="427">
        <f t="shared" si="460"/>
        <v>-0.39999999999781721</v>
      </c>
      <c r="AX189" s="427">
        <f t="shared" si="460"/>
        <v>-0.39999999999781721</v>
      </c>
      <c r="AY189" s="428">
        <f t="shared" si="460"/>
        <v>-0.39999999999781721</v>
      </c>
      <c r="AZ189" s="428">
        <f t="shared" si="460"/>
        <v>-0.39999999999781721</v>
      </c>
      <c r="BA189" s="428">
        <f t="shared" si="460"/>
        <v>-0.39999999999781721</v>
      </c>
      <c r="BB189" s="428">
        <f>BB187-BB157</f>
        <v>-0.39999999999781721</v>
      </c>
      <c r="BC189" s="429">
        <f t="shared" si="460"/>
        <v>0</v>
      </c>
      <c r="BD189" s="430">
        <f t="shared" si="460"/>
        <v>0</v>
      </c>
      <c r="BE189" s="428">
        <f t="shared" si="460"/>
        <v>0</v>
      </c>
      <c r="BF189" s="428">
        <f t="shared" si="460"/>
        <v>0</v>
      </c>
      <c r="BG189" s="428">
        <f t="shared" si="460"/>
        <v>1.000000000001819</v>
      </c>
      <c r="BH189" s="428">
        <f t="shared" si="460"/>
        <v>0</v>
      </c>
      <c r="BI189" s="428">
        <f t="shared" si="460"/>
        <v>0</v>
      </c>
      <c r="BJ189" s="428">
        <f t="shared" si="460"/>
        <v>0</v>
      </c>
      <c r="BK189" s="428">
        <f t="shared" si="460"/>
        <v>-3.2178337207369623E-2</v>
      </c>
      <c r="BL189" s="428">
        <f t="shared" si="460"/>
        <v>0</v>
      </c>
      <c r="BM189" s="430">
        <f t="shared" si="460"/>
        <v>0</v>
      </c>
      <c r="BN189" s="428">
        <f>BN187-BN157</f>
        <v>0</v>
      </c>
      <c r="BO189" s="428">
        <f t="shared" si="460"/>
        <v>0</v>
      </c>
      <c r="BP189" s="428">
        <f t="shared" si="460"/>
        <v>0</v>
      </c>
      <c r="BQ189" s="428">
        <f t="shared" si="460"/>
        <v>0</v>
      </c>
      <c r="BR189" s="428">
        <f t="shared" si="460"/>
        <v>0</v>
      </c>
      <c r="BS189" s="428">
        <f t="shared" si="460"/>
        <v>0</v>
      </c>
      <c r="BT189" s="428">
        <f t="shared" ref="BT189:BX189" si="461">BT187-BT157</f>
        <v>0</v>
      </c>
      <c r="BU189" s="428">
        <f t="shared" si="461"/>
        <v>0</v>
      </c>
      <c r="BV189" s="428">
        <f t="shared" si="461"/>
        <v>0</v>
      </c>
      <c r="BW189" s="428">
        <f t="shared" si="461"/>
        <v>0</v>
      </c>
      <c r="BX189" s="428">
        <f t="shared" si="461"/>
        <v>0</v>
      </c>
      <c r="BY189" s="428">
        <f t="shared" si="460"/>
        <v>0</v>
      </c>
      <c r="BZ189" s="428">
        <f>BZ187-BZ157</f>
        <v>0</v>
      </c>
      <c r="CA189" s="428">
        <f>CA187-CA157</f>
        <v>0</v>
      </c>
      <c r="CB189" s="426"/>
      <c r="CD189" s="424" t="str">
        <f>A189</f>
        <v>Out-of-Balance</v>
      </c>
      <c r="CE189" s="424">
        <f t="shared" ref="CE189:CT189" si="462">CE187-CE157</f>
        <v>0</v>
      </c>
      <c r="CF189" s="424">
        <f t="shared" si="462"/>
        <v>0</v>
      </c>
      <c r="CG189" s="424">
        <f t="shared" si="462"/>
        <v>0</v>
      </c>
      <c r="CH189" s="424">
        <f t="shared" si="462"/>
        <v>0</v>
      </c>
      <c r="CI189" s="424">
        <f t="shared" si="462"/>
        <v>0</v>
      </c>
      <c r="CJ189" s="424">
        <f t="shared" si="462"/>
        <v>0</v>
      </c>
      <c r="CK189" s="424">
        <f t="shared" si="462"/>
        <v>0</v>
      </c>
      <c r="CL189" s="424">
        <f t="shared" si="462"/>
        <v>0</v>
      </c>
      <c r="CM189" s="424">
        <f t="shared" si="462"/>
        <v>0</v>
      </c>
      <c r="CN189" s="424">
        <f t="shared" si="462"/>
        <v>0</v>
      </c>
      <c r="CO189" s="428">
        <f t="shared" si="462"/>
        <v>-0.39999999999781721</v>
      </c>
      <c r="CP189" s="428">
        <f t="shared" si="462"/>
        <v>-0.39999999999781721</v>
      </c>
      <c r="CQ189" s="428">
        <f t="shared" si="462"/>
        <v>-0.39999999999781721</v>
      </c>
      <c r="CR189" s="428">
        <f t="shared" si="462"/>
        <v>-0.39999999999781721</v>
      </c>
      <c r="CS189" s="428">
        <f t="shared" si="462"/>
        <v>0</v>
      </c>
      <c r="CT189" s="428">
        <f t="shared" si="462"/>
        <v>0</v>
      </c>
      <c r="CU189" s="428">
        <f t="shared" ref="CU189:CZ189" si="463">CU187-CU157</f>
        <v>0</v>
      </c>
      <c r="CV189" s="428">
        <f t="shared" si="463"/>
        <v>0</v>
      </c>
      <c r="CW189" s="428">
        <f t="shared" si="463"/>
        <v>0</v>
      </c>
      <c r="CX189" s="428">
        <f t="shared" si="463"/>
        <v>0</v>
      </c>
      <c r="CY189" s="428">
        <f t="shared" si="463"/>
        <v>0</v>
      </c>
      <c r="CZ189" s="428">
        <f t="shared" si="463"/>
        <v>0</v>
      </c>
      <c r="DA189" s="431"/>
      <c r="DB189" s="432"/>
    </row>
    <row r="190" spans="1:112" s="371" customFormat="1" ht="12" customHeight="1">
      <c r="A190" s="433"/>
      <c r="B190" s="434"/>
      <c r="C190" s="434"/>
      <c r="D190" s="434"/>
      <c r="E190" s="434"/>
      <c r="F190" s="434"/>
      <c r="G190" s="435"/>
      <c r="H190" s="435"/>
      <c r="I190" s="435"/>
      <c r="J190" s="435"/>
      <c r="K190" s="435"/>
      <c r="L190" s="435"/>
      <c r="M190" s="434"/>
      <c r="N190" s="434"/>
      <c r="O190" s="434"/>
      <c r="P190" s="434"/>
      <c r="Q190" s="434"/>
      <c r="R190" s="434"/>
      <c r="S190" s="434"/>
      <c r="T190" s="434"/>
      <c r="U190" s="435"/>
      <c r="V190" s="434"/>
      <c r="W190" s="434"/>
      <c r="X190" s="434"/>
      <c r="Y190" s="434"/>
      <c r="Z190" s="434"/>
      <c r="AA190" s="434"/>
      <c r="AB190" s="434"/>
      <c r="AC190" s="434"/>
      <c r="AD190" s="434"/>
      <c r="AE190" s="436"/>
      <c r="AF190" s="434"/>
      <c r="AG190" s="434"/>
      <c r="AH190" s="434"/>
      <c r="AI190" s="434"/>
      <c r="AJ190" s="434"/>
      <c r="AK190" s="434"/>
      <c r="AL190" s="434"/>
      <c r="AM190" s="434"/>
      <c r="AN190" s="434"/>
      <c r="AO190" s="434"/>
      <c r="AP190" s="434"/>
      <c r="AQ190" s="434"/>
      <c r="AR190" s="434"/>
      <c r="AS190" s="434"/>
      <c r="AT190" s="434"/>
      <c r="AU190" s="434"/>
      <c r="AV190" s="434"/>
      <c r="AW190" s="434"/>
      <c r="AX190" s="433"/>
      <c r="AY190" s="433"/>
      <c r="AZ190" s="433"/>
      <c r="BA190" s="433"/>
      <c r="BB190" s="433"/>
      <c r="BC190" s="433"/>
      <c r="BD190" s="433"/>
      <c r="BE190" s="433"/>
      <c r="BF190" s="433"/>
      <c r="BG190" s="433"/>
      <c r="BH190" s="433"/>
      <c r="BI190" s="433"/>
      <c r="BJ190" s="433"/>
      <c r="BK190" s="433"/>
      <c r="BL190" s="433"/>
      <c r="BM190" s="433"/>
      <c r="BN190" s="433"/>
      <c r="BO190" s="433"/>
      <c r="BP190" s="433"/>
      <c r="BQ190" s="433"/>
      <c r="BR190" s="433"/>
      <c r="BS190" s="433"/>
      <c r="BT190" s="433"/>
      <c r="BU190" s="433"/>
      <c r="BV190" s="433"/>
      <c r="BW190" s="433"/>
      <c r="BX190" s="433"/>
      <c r="BY190" s="433"/>
      <c r="BZ190" s="433"/>
      <c r="CA190" s="433"/>
      <c r="CB190" s="4"/>
      <c r="CC190" s="1390"/>
      <c r="CD190" s="408"/>
      <c r="CE190" s="407"/>
      <c r="CF190" s="407"/>
      <c r="CG190" s="407"/>
      <c r="CH190" s="407"/>
      <c r="CI190" s="407"/>
      <c r="CJ190" s="407"/>
      <c r="CK190" s="407"/>
      <c r="CL190" s="407"/>
      <c r="CM190" s="407"/>
      <c r="CN190" s="407"/>
      <c r="CO190" s="407"/>
      <c r="CP190" s="407"/>
      <c r="CQ190" s="407"/>
      <c r="CR190" s="407"/>
      <c r="CS190" s="407"/>
      <c r="CT190" s="407"/>
      <c r="CU190" s="407"/>
      <c r="CV190" s="407"/>
      <c r="CW190" s="407"/>
      <c r="CX190" s="407"/>
      <c r="CY190" s="407"/>
      <c r="CZ190" s="407"/>
      <c r="DA190" s="370"/>
      <c r="DB190" s="437"/>
      <c r="DC190"/>
      <c r="DD190"/>
      <c r="DE190"/>
      <c r="DF190"/>
      <c r="DG190"/>
      <c r="DH190"/>
    </row>
    <row r="191" spans="1:112" ht="12" customHeight="1" thickBot="1">
      <c r="A191" s="369"/>
      <c r="B191" s="126"/>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370"/>
      <c r="AJ191" s="370"/>
      <c r="AK191" s="369"/>
      <c r="AL191" s="369"/>
      <c r="AM191" s="369"/>
      <c r="AN191" s="369"/>
      <c r="AO191" s="369"/>
      <c r="AP191" s="370"/>
      <c r="AQ191" s="370"/>
      <c r="AR191" s="370"/>
      <c r="AS191" s="370"/>
      <c r="AT191" s="370"/>
      <c r="AU191" s="370"/>
      <c r="AV191" s="370"/>
      <c r="AW191" s="370"/>
      <c r="AX191" s="370"/>
      <c r="AY191" s="370"/>
      <c r="AZ191" s="370"/>
      <c r="BA191" s="370"/>
      <c r="BB191" s="370"/>
      <c r="BC191" s="370"/>
      <c r="BD191" s="370"/>
      <c r="BE191" s="370"/>
      <c r="BF191" s="370"/>
      <c r="BG191" s="370"/>
      <c r="BH191" s="370"/>
      <c r="BI191" s="370"/>
      <c r="BJ191" s="370"/>
      <c r="BK191" s="370"/>
      <c r="BL191" s="370"/>
      <c r="BM191" s="370"/>
      <c r="BN191" s="369"/>
      <c r="BO191" s="369"/>
      <c r="BP191" s="369"/>
      <c r="BQ191" s="369"/>
      <c r="BR191" s="369"/>
      <c r="BS191" s="369"/>
      <c r="BT191" s="369"/>
      <c r="BU191" s="369"/>
      <c r="BV191" s="369"/>
      <c r="BW191" s="369"/>
      <c r="BX191" s="369"/>
      <c r="BY191" s="369"/>
      <c r="BZ191" s="369"/>
      <c r="CA191" s="369"/>
      <c r="CB191" s="369"/>
      <c r="CD191" s="467"/>
      <c r="CE191" s="467"/>
      <c r="CF191" s="467"/>
      <c r="CG191" s="467"/>
      <c r="CH191" s="467"/>
      <c r="CI191" s="467"/>
      <c r="CJ191" s="467"/>
      <c r="CK191" s="467"/>
      <c r="CL191" s="467"/>
      <c r="CM191" s="467"/>
      <c r="CN191" s="467"/>
      <c r="CO191" s="467"/>
      <c r="CP191" s="467"/>
      <c r="CQ191" s="467"/>
      <c r="CR191" s="467"/>
      <c r="CS191" s="467"/>
      <c r="CT191" s="467"/>
      <c r="CU191" s="467"/>
      <c r="CV191" s="467"/>
      <c r="CW191" s="467"/>
      <c r="CX191" s="467"/>
      <c r="CY191" s="467"/>
      <c r="CZ191" s="467"/>
      <c r="DA191" s="58"/>
      <c r="DB191" s="438"/>
    </row>
    <row r="192" spans="1:112">
      <c r="A192" s="30" t="s">
        <v>57</v>
      </c>
      <c r="B192" s="31">
        <f t="shared" ref="B192:AG192" si="464">B9</f>
        <v>2001</v>
      </c>
      <c r="C192" s="31">
        <f t="shared" si="464"/>
        <v>2002</v>
      </c>
      <c r="D192" s="31">
        <f t="shared" si="464"/>
        <v>2003</v>
      </c>
      <c r="E192" s="31">
        <f t="shared" si="464"/>
        <v>2004</v>
      </c>
      <c r="F192" s="31">
        <f t="shared" si="464"/>
        <v>2005</v>
      </c>
      <c r="G192" s="32" t="str">
        <f t="shared" si="464"/>
        <v>1Q06</v>
      </c>
      <c r="H192" s="32" t="str">
        <f t="shared" si="464"/>
        <v>2Q06</v>
      </c>
      <c r="I192" s="32" t="str">
        <f t="shared" si="464"/>
        <v>3Q06</v>
      </c>
      <c r="J192" s="32" t="str">
        <f t="shared" si="464"/>
        <v>4Q06</v>
      </c>
      <c r="K192" s="31">
        <f t="shared" si="464"/>
        <v>2006</v>
      </c>
      <c r="L192" s="32" t="str">
        <f t="shared" si="464"/>
        <v>1Q07</v>
      </c>
      <c r="M192" s="32" t="str">
        <f t="shared" si="464"/>
        <v>2Q07</v>
      </c>
      <c r="N192" s="32" t="str">
        <f t="shared" si="464"/>
        <v>3Q07</v>
      </c>
      <c r="O192" s="32" t="str">
        <f t="shared" si="464"/>
        <v>4Q07</v>
      </c>
      <c r="P192" s="31">
        <f t="shared" si="464"/>
        <v>2007</v>
      </c>
      <c r="Q192" s="32" t="str">
        <f t="shared" si="464"/>
        <v>1Q08</v>
      </c>
      <c r="R192" s="32" t="str">
        <f t="shared" si="464"/>
        <v>2Q08</v>
      </c>
      <c r="S192" s="32" t="str">
        <f t="shared" si="464"/>
        <v>3Q08</v>
      </c>
      <c r="T192" s="32" t="str">
        <f t="shared" si="464"/>
        <v>4Q08</v>
      </c>
      <c r="U192" s="31">
        <f t="shared" si="464"/>
        <v>2008</v>
      </c>
      <c r="V192" s="33" t="str">
        <f t="shared" si="464"/>
        <v>1Q09</v>
      </c>
      <c r="W192" s="33" t="str">
        <f t="shared" si="464"/>
        <v>2Q09</v>
      </c>
      <c r="X192" s="33" t="str">
        <f t="shared" si="464"/>
        <v>3Q09</v>
      </c>
      <c r="Y192" s="33" t="str">
        <f t="shared" si="464"/>
        <v>4Q09</v>
      </c>
      <c r="Z192" s="31">
        <f t="shared" si="464"/>
        <v>2009</v>
      </c>
      <c r="AA192" s="33" t="str">
        <f t="shared" si="464"/>
        <v>1Q10</v>
      </c>
      <c r="AB192" s="33" t="str">
        <f t="shared" si="464"/>
        <v>2Q10</v>
      </c>
      <c r="AC192" s="33" t="str">
        <f t="shared" si="464"/>
        <v>3Q10</v>
      </c>
      <c r="AD192" s="33" t="str">
        <f t="shared" si="464"/>
        <v>4Q10</v>
      </c>
      <c r="AE192" s="31">
        <f t="shared" si="464"/>
        <v>2010</v>
      </c>
      <c r="AF192" s="33" t="str">
        <f t="shared" si="464"/>
        <v>1Q11</v>
      </c>
      <c r="AG192" s="33" t="str">
        <f t="shared" si="464"/>
        <v>2Q11</v>
      </c>
      <c r="AH192" s="33" t="str">
        <f t="shared" ref="AH192:BM192" si="465">AH9</f>
        <v>3Q11</v>
      </c>
      <c r="AI192" s="33" t="str">
        <f t="shared" si="465"/>
        <v>4Q11</v>
      </c>
      <c r="AJ192" s="31">
        <f t="shared" si="465"/>
        <v>2011</v>
      </c>
      <c r="AK192" s="33" t="str">
        <f t="shared" si="465"/>
        <v>1Q12</v>
      </c>
      <c r="AL192" s="33" t="str">
        <f t="shared" si="465"/>
        <v>2Q12</v>
      </c>
      <c r="AM192" s="33" t="str">
        <f t="shared" si="465"/>
        <v>3Q12</v>
      </c>
      <c r="AN192" s="33" t="str">
        <f t="shared" si="465"/>
        <v>4Q12</v>
      </c>
      <c r="AO192" s="31">
        <f t="shared" si="465"/>
        <v>2012</v>
      </c>
      <c r="AP192" s="33" t="str">
        <f t="shared" si="465"/>
        <v>1Q13</v>
      </c>
      <c r="AQ192" s="33" t="str">
        <f t="shared" si="465"/>
        <v>2Q13</v>
      </c>
      <c r="AR192" s="33" t="str">
        <f t="shared" si="465"/>
        <v>3Q13</v>
      </c>
      <c r="AS192" s="33" t="str">
        <f t="shared" si="465"/>
        <v>4Q13</v>
      </c>
      <c r="AT192" s="31">
        <f t="shared" si="465"/>
        <v>2013</v>
      </c>
      <c r="AU192" s="34" t="str">
        <f t="shared" si="465"/>
        <v>1Q14</v>
      </c>
      <c r="AV192" s="33" t="str">
        <f t="shared" si="465"/>
        <v>2Q14</v>
      </c>
      <c r="AW192" s="33" t="str">
        <f t="shared" si="465"/>
        <v>3Q14</v>
      </c>
      <c r="AX192" s="33" t="str">
        <f t="shared" si="465"/>
        <v>4Q14</v>
      </c>
      <c r="AY192" s="31">
        <f t="shared" si="465"/>
        <v>2014</v>
      </c>
      <c r="AZ192" s="33" t="str">
        <f t="shared" si="465"/>
        <v>1Q15</v>
      </c>
      <c r="BA192" s="33" t="str">
        <f t="shared" si="465"/>
        <v>2Q15</v>
      </c>
      <c r="BB192" s="33" t="str">
        <f t="shared" si="465"/>
        <v>3Q15</v>
      </c>
      <c r="BC192" s="33" t="str">
        <f t="shared" si="465"/>
        <v>4Q15</v>
      </c>
      <c r="BD192" s="31">
        <f t="shared" si="465"/>
        <v>2015</v>
      </c>
      <c r="BE192" s="33" t="str">
        <f t="shared" si="465"/>
        <v>1Q16</v>
      </c>
      <c r="BF192" s="35" t="str">
        <f t="shared" si="465"/>
        <v>2Q16</v>
      </c>
      <c r="BG192" s="35" t="str">
        <f t="shared" si="465"/>
        <v>3Q16</v>
      </c>
      <c r="BH192" s="33" t="str">
        <f t="shared" si="465"/>
        <v>4Q16</v>
      </c>
      <c r="BI192" s="36">
        <f t="shared" si="465"/>
        <v>2016</v>
      </c>
      <c r="BJ192" s="33" t="str">
        <f t="shared" si="465"/>
        <v>1Q17</v>
      </c>
      <c r="BK192" s="35" t="str">
        <f t="shared" si="465"/>
        <v>2Q17</v>
      </c>
      <c r="BL192" s="35" t="str">
        <f t="shared" si="465"/>
        <v>3Q17</v>
      </c>
      <c r="BM192" s="35" t="str">
        <f t="shared" si="465"/>
        <v>4Q17</v>
      </c>
      <c r="BN192" s="36">
        <f t="shared" ref="BN192:CA192" si="466">BN9</f>
        <v>2017</v>
      </c>
      <c r="BO192" s="35" t="str">
        <f t="shared" si="466"/>
        <v>1Q18E</v>
      </c>
      <c r="BP192" s="35" t="str">
        <f t="shared" si="466"/>
        <v>2Q18E</v>
      </c>
      <c r="BQ192" s="35" t="str">
        <f t="shared" si="466"/>
        <v>3Q18E</v>
      </c>
      <c r="BR192" s="35" t="str">
        <f t="shared" si="466"/>
        <v>4Q18E</v>
      </c>
      <c r="BS192" s="36" t="str">
        <f t="shared" si="466"/>
        <v>2018E</v>
      </c>
      <c r="BT192" s="35" t="str">
        <f t="shared" si="466"/>
        <v>1Q19E</v>
      </c>
      <c r="BU192" s="35" t="str">
        <f t="shared" si="466"/>
        <v>2Q19E</v>
      </c>
      <c r="BV192" s="35" t="str">
        <f t="shared" si="466"/>
        <v>3Q19E</v>
      </c>
      <c r="BW192" s="35" t="str">
        <f t="shared" si="466"/>
        <v>4Q19E</v>
      </c>
      <c r="BX192" s="36" t="str">
        <f t="shared" si="466"/>
        <v>2019E</v>
      </c>
      <c r="BY192" s="37" t="str">
        <f t="shared" si="466"/>
        <v>2020E</v>
      </c>
      <c r="BZ192" s="37" t="str">
        <f t="shared" si="466"/>
        <v>2021E</v>
      </c>
      <c r="CA192" s="37" t="str">
        <f t="shared" si="466"/>
        <v>2022E</v>
      </c>
      <c r="CB192" s="38"/>
      <c r="CD192" s="467"/>
      <c r="CE192" s="467"/>
      <c r="CF192" s="467"/>
      <c r="CG192" s="467"/>
      <c r="CH192" s="467"/>
      <c r="CI192" s="467"/>
      <c r="CJ192" s="467"/>
      <c r="CK192" s="467"/>
      <c r="CL192" s="467"/>
      <c r="CM192" s="467"/>
      <c r="CN192" s="467"/>
      <c r="CO192" s="467"/>
      <c r="CP192" s="467"/>
      <c r="CQ192" s="467"/>
      <c r="CR192" s="467"/>
      <c r="CS192" s="467"/>
      <c r="CT192" s="467"/>
      <c r="CU192" s="467"/>
      <c r="CV192" s="467"/>
      <c r="CW192" s="467"/>
      <c r="CX192" s="467"/>
      <c r="CY192" s="467"/>
      <c r="CZ192" s="467"/>
      <c r="DA192" s="42"/>
      <c r="DB192" s="43"/>
    </row>
    <row r="193" spans="1:112" ht="12" customHeight="1">
      <c r="A193" s="441"/>
      <c r="B193" s="54"/>
      <c r="C193" s="54"/>
      <c r="D193" s="54"/>
      <c r="E193" s="54"/>
      <c r="F193" s="54"/>
      <c r="G193" s="127"/>
      <c r="H193" s="377"/>
      <c r="I193" s="377"/>
      <c r="J193" s="377"/>
      <c r="K193" s="54"/>
      <c r="L193" s="377"/>
      <c r="M193" s="377"/>
      <c r="N193" s="377"/>
      <c r="O193" s="377"/>
      <c r="P193" s="54"/>
      <c r="Q193" s="377"/>
      <c r="R193" s="377"/>
      <c r="S193" s="377"/>
      <c r="T193" s="377"/>
      <c r="U193" s="54"/>
      <c r="V193" s="377"/>
      <c r="W193" s="377"/>
      <c r="X193" s="377"/>
      <c r="Y193" s="377"/>
      <c r="Z193" s="54"/>
      <c r="AA193" s="377"/>
      <c r="AB193" s="377"/>
      <c r="AC193" s="377"/>
      <c r="AD193" s="377"/>
      <c r="AE193" s="54"/>
      <c r="AF193" s="377"/>
      <c r="AG193" s="377"/>
      <c r="AH193" s="377"/>
      <c r="AI193" s="58"/>
      <c r="AJ193" s="378"/>
      <c r="AK193" s="42"/>
      <c r="AL193" s="42"/>
      <c r="AM193" s="42"/>
      <c r="AN193" s="42"/>
      <c r="AO193" s="379"/>
      <c r="AP193" s="58"/>
      <c r="AQ193" s="58"/>
      <c r="AR193" s="58"/>
      <c r="AS193" s="58"/>
      <c r="AT193" s="378"/>
      <c r="AU193" s="58"/>
      <c r="AV193" s="58"/>
      <c r="AW193" s="370"/>
      <c r="AX193" s="370"/>
      <c r="AY193" s="442"/>
      <c r="AZ193" s="370"/>
      <c r="BA193" s="370"/>
      <c r="BB193" s="370"/>
      <c r="BC193" s="370"/>
      <c r="BD193" s="378"/>
      <c r="BE193" s="370"/>
      <c r="BF193" s="370"/>
      <c r="BG193" s="370"/>
      <c r="BH193" s="370"/>
      <c r="BI193" s="378"/>
      <c r="BJ193" s="370"/>
      <c r="BK193" s="370"/>
      <c r="BL193" s="370"/>
      <c r="BM193" s="370"/>
      <c r="BN193" s="378"/>
      <c r="BO193" s="370"/>
      <c r="BP193" s="370"/>
      <c r="BQ193" s="370"/>
      <c r="BR193" s="370"/>
      <c r="BS193" s="378"/>
      <c r="BT193" s="370"/>
      <c r="BU193" s="370"/>
      <c r="BV193" s="370"/>
      <c r="BW193" s="370"/>
      <c r="BX193" s="378"/>
      <c r="BY193" s="381"/>
      <c r="BZ193" s="381"/>
      <c r="CA193" s="381"/>
      <c r="CB193" s="369"/>
      <c r="CD193" s="443"/>
      <c r="CE193" s="127"/>
      <c r="CF193" s="127"/>
      <c r="CG193" s="127"/>
      <c r="CH193" s="127"/>
      <c r="CI193" s="127"/>
      <c r="CJ193" s="127"/>
      <c r="CK193" s="127"/>
      <c r="CL193" s="127"/>
      <c r="CM193" s="127"/>
      <c r="CN193" s="127"/>
      <c r="CO193" s="127"/>
      <c r="CP193" s="127"/>
      <c r="CQ193" s="127"/>
      <c r="CR193" s="127"/>
      <c r="CS193" s="127"/>
      <c r="CT193" s="127"/>
      <c r="CU193" s="127"/>
      <c r="CV193" s="127"/>
      <c r="CW193" s="127"/>
      <c r="CX193" s="127"/>
      <c r="CY193" s="127"/>
      <c r="CZ193" s="127"/>
      <c r="DA193" s="58"/>
      <c r="DB193" s="438"/>
    </row>
    <row r="194" spans="1:112" ht="12" hidden="1" customHeight="1" outlineLevel="1">
      <c r="A194" s="441" t="s">
        <v>186</v>
      </c>
      <c r="B194" s="54"/>
      <c r="C194" s="54"/>
      <c r="D194" s="54"/>
      <c r="E194" s="54"/>
      <c r="F194" s="54"/>
      <c r="G194" s="127"/>
      <c r="H194" s="377"/>
      <c r="I194" s="377"/>
      <c r="J194" s="377"/>
      <c r="K194" s="54"/>
      <c r="L194" s="377"/>
      <c r="M194" s="377"/>
      <c r="N194" s="377"/>
      <c r="O194" s="377"/>
      <c r="P194" s="54"/>
      <c r="Q194" s="377"/>
      <c r="R194" s="377"/>
      <c r="S194" s="377"/>
      <c r="T194" s="377"/>
      <c r="U194" s="54"/>
      <c r="V194" s="377"/>
      <c r="W194" s="377"/>
      <c r="X194" s="377"/>
      <c r="Y194" s="377"/>
      <c r="Z194" s="54"/>
      <c r="AA194" s="377"/>
      <c r="AB194" s="377"/>
      <c r="AC194" s="377"/>
      <c r="AD194" s="377"/>
      <c r="AE194" s="54"/>
      <c r="AH194" s="377"/>
      <c r="AI194" s="58"/>
      <c r="AJ194" s="378"/>
      <c r="AK194" s="42"/>
      <c r="AL194" s="42"/>
      <c r="AM194" s="42"/>
      <c r="AN194" s="42"/>
      <c r="AO194" s="379"/>
      <c r="AP194" s="58"/>
      <c r="AQ194" s="58"/>
      <c r="AR194" s="58"/>
      <c r="AS194" s="58"/>
      <c r="AT194" s="378"/>
      <c r="AU194" s="58"/>
      <c r="AV194" s="58"/>
      <c r="AW194" s="370"/>
      <c r="AX194" s="370"/>
      <c r="AY194" s="378"/>
      <c r="AZ194" s="370"/>
      <c r="BA194" s="370"/>
      <c r="BB194" s="370"/>
      <c r="BC194" s="370"/>
      <c r="BD194" s="378"/>
      <c r="BE194" s="370"/>
      <c r="BF194" s="370"/>
      <c r="BG194" s="370"/>
      <c r="BH194" s="370"/>
      <c r="BI194" s="378"/>
      <c r="BJ194" s="370"/>
      <c r="BK194" s="370"/>
      <c r="BL194" s="370"/>
      <c r="BM194" s="370"/>
      <c r="BN194" s="378"/>
      <c r="BO194" s="370"/>
      <c r="BP194" s="370"/>
      <c r="BQ194" s="370"/>
      <c r="BR194" s="370"/>
      <c r="BS194" s="378"/>
      <c r="BT194" s="370"/>
      <c r="BU194" s="370"/>
      <c r="BV194" s="370"/>
      <c r="BW194" s="370"/>
      <c r="BX194" s="378"/>
      <c r="BY194" s="444"/>
      <c r="BZ194" s="444"/>
      <c r="CA194" s="444"/>
      <c r="CB194" s="369"/>
      <c r="CD194" s="370"/>
      <c r="CE194" s="127"/>
      <c r="CF194" s="127"/>
      <c r="CG194" s="127"/>
      <c r="CH194" s="127"/>
      <c r="CI194" s="127"/>
      <c r="CJ194" s="127"/>
      <c r="CK194" s="127"/>
      <c r="CL194" s="127"/>
      <c r="CM194" s="127"/>
      <c r="CN194" s="127"/>
      <c r="CO194" s="127"/>
      <c r="CP194" s="127"/>
      <c r="CQ194" s="127"/>
      <c r="CR194" s="127"/>
      <c r="CS194" s="127"/>
      <c r="CT194" s="127"/>
      <c r="CU194" s="127"/>
      <c r="CV194" s="127"/>
      <c r="CW194" s="127"/>
      <c r="CX194" s="127"/>
      <c r="CY194" s="127"/>
      <c r="CZ194" s="127"/>
      <c r="DA194" s="58"/>
      <c r="DB194" s="438"/>
    </row>
    <row r="195" spans="1:112" s="70" customFormat="1" ht="12" hidden="1" customHeight="1" outlineLevel="1">
      <c r="A195" s="445" t="s">
        <v>60</v>
      </c>
      <c r="B195" s="67">
        <v>2433.402</v>
      </c>
      <c r="C195" s="67">
        <v>2389.77</v>
      </c>
      <c r="D195" s="67">
        <v>2477.0259999999998</v>
      </c>
      <c r="E195" s="67">
        <v>2460.2739999999999</v>
      </c>
      <c r="F195" s="67">
        <v>2536.422</v>
      </c>
      <c r="G195" s="248">
        <v>302.61900000000003</v>
      </c>
      <c r="H195" s="74">
        <v>567.92999999999995</v>
      </c>
      <c r="I195" s="74">
        <v>1069.0920000000001</v>
      </c>
      <c r="J195" s="74">
        <f>2442.783-SUM(G195:I195)</f>
        <v>503.14199999999983</v>
      </c>
      <c r="K195" s="67">
        <f>SUM(G195:J195)</f>
        <v>2442.7829999999999</v>
      </c>
      <c r="L195" s="74">
        <v>312.36900000000003</v>
      </c>
      <c r="M195" s="74">
        <v>605.37300000000005</v>
      </c>
      <c r="N195" s="74">
        <v>1167.288</v>
      </c>
      <c r="O195" s="74">
        <f>2604.432-SUM(L195:N195)</f>
        <v>519.40199999999959</v>
      </c>
      <c r="P195" s="67">
        <f>SUM(L195:O195)</f>
        <v>2604.4319999999998</v>
      </c>
      <c r="Q195" s="74">
        <v>317.64299999999997</v>
      </c>
      <c r="R195" s="74">
        <v>634.11199999999997</v>
      </c>
      <c r="S195" s="74">
        <v>1136.462</v>
      </c>
      <c r="T195" s="74">
        <f>2582.553-S195-R195-Q195</f>
        <v>494.33599999999996</v>
      </c>
      <c r="U195" s="67">
        <f>SUM(Q195:T195)</f>
        <v>2582.5529999999994</v>
      </c>
      <c r="V195" s="74">
        <v>289.39800000000002</v>
      </c>
      <c r="W195" s="74">
        <v>525.81299999999999</v>
      </c>
      <c r="X195" s="74">
        <v>1013.213</v>
      </c>
      <c r="Y195" s="74">
        <f>2362.235-SUM(V195:X195)</f>
        <v>533.81100000000015</v>
      </c>
      <c r="Z195" s="67">
        <f>SUM(V195:Y195)</f>
        <v>2362.2350000000001</v>
      </c>
      <c r="AA195" s="74">
        <v>310.8</v>
      </c>
      <c r="AB195" s="74">
        <v>545</v>
      </c>
      <c r="AC195" s="74">
        <v>1058.4000000000001</v>
      </c>
      <c r="AD195" s="74">
        <f>2411.293-SUM(AA195:AC195)</f>
        <v>497.09300000000007</v>
      </c>
      <c r="AE195" s="67">
        <f>SUM(AA195:AD195)</f>
        <v>2411.2930000000001</v>
      </c>
      <c r="AF195" s="74">
        <v>298</v>
      </c>
      <c r="AG195" s="74">
        <v>523</v>
      </c>
      <c r="AH195" s="74">
        <v>940.5</v>
      </c>
      <c r="AI195" s="74">
        <f>2275-SUM(AF195:AH195)</f>
        <v>513.5</v>
      </c>
      <c r="AJ195" s="67">
        <f>SUM(AF195:AI195)</f>
        <v>2275</v>
      </c>
      <c r="AK195" s="74"/>
      <c r="AL195" s="74"/>
      <c r="AM195" s="74"/>
      <c r="AN195" s="74"/>
      <c r="AO195" s="245"/>
      <c r="AP195" s="74"/>
      <c r="AQ195" s="74"/>
      <c r="AR195" s="74"/>
      <c r="AS195" s="74"/>
      <c r="AT195" s="67"/>
      <c r="AU195" s="74"/>
      <c r="AV195" s="74"/>
      <c r="AW195" s="248"/>
      <c r="AX195" s="248"/>
      <c r="AY195" s="67"/>
      <c r="AZ195" s="248"/>
      <c r="BA195" s="248"/>
      <c r="BB195" s="248"/>
      <c r="BC195" s="248"/>
      <c r="BD195" s="67"/>
      <c r="BE195" s="248"/>
      <c r="BF195" s="248"/>
      <c r="BG195" s="248"/>
      <c r="BH195" s="248"/>
      <c r="BI195" s="67"/>
      <c r="BJ195" s="248"/>
      <c r="BK195" s="248"/>
      <c r="BL195" s="248"/>
      <c r="BM195" s="248"/>
      <c r="BN195" s="67"/>
      <c r="BO195" s="248"/>
      <c r="BP195" s="248"/>
      <c r="BQ195" s="248"/>
      <c r="BR195" s="248"/>
      <c r="BS195" s="67"/>
      <c r="BT195" s="248"/>
      <c r="BU195" s="248"/>
      <c r="BV195" s="248"/>
      <c r="BW195" s="248"/>
      <c r="BX195" s="67"/>
      <c r="BY195" s="446"/>
      <c r="BZ195" s="446"/>
      <c r="CA195" s="446"/>
      <c r="CB195" s="447"/>
      <c r="CC195" s="1359"/>
      <c r="CD195" s="448"/>
      <c r="CE195" s="248"/>
      <c r="CF195" s="248"/>
      <c r="CG195" s="248"/>
      <c r="CH195" s="248"/>
      <c r="CI195" s="248"/>
      <c r="CJ195" s="248"/>
      <c r="CK195" s="248"/>
      <c r="CL195" s="248"/>
      <c r="CM195" s="248"/>
      <c r="CN195" s="248"/>
      <c r="CO195" s="248"/>
      <c r="CP195" s="248"/>
      <c r="CQ195" s="248"/>
      <c r="CR195" s="248"/>
      <c r="CS195" s="248"/>
      <c r="CT195" s="248"/>
      <c r="CU195" s="248"/>
      <c r="CV195" s="248"/>
      <c r="CW195" s="248"/>
      <c r="CX195" s="248"/>
      <c r="CY195" s="248"/>
      <c r="CZ195" s="248"/>
      <c r="DA195" s="74"/>
      <c r="DB195" s="249"/>
      <c r="DC195"/>
      <c r="DD195"/>
      <c r="DE195"/>
      <c r="DF195"/>
      <c r="DG195"/>
      <c r="DH195"/>
    </row>
    <row r="196" spans="1:112" ht="12" hidden="1" customHeight="1" outlineLevel="1">
      <c r="A196" s="449" t="s">
        <v>187</v>
      </c>
      <c r="B196" s="118"/>
      <c r="C196" s="118">
        <f>C195/B195-1</f>
        <v>-1.7930452921465556E-2</v>
      </c>
      <c r="D196" s="118">
        <f>D195/C195-1</f>
        <v>3.6512300346895232E-2</v>
      </c>
      <c r="E196" s="118">
        <f>E195/D195-1</f>
        <v>-6.7629487942395539E-3</v>
      </c>
      <c r="F196" s="118">
        <f>F195/E195-1</f>
        <v>3.0951024154220352E-2</v>
      </c>
      <c r="G196" s="117"/>
      <c r="H196" s="122"/>
      <c r="I196" s="122"/>
      <c r="J196" s="117"/>
      <c r="K196" s="118">
        <f t="shared" ref="K196:AI196" si="467">K195/F195-1</f>
        <v>-3.6917752645261759E-2</v>
      </c>
      <c r="L196" s="117">
        <f t="shared" si="467"/>
        <v>3.2218730482884483E-2</v>
      </c>
      <c r="M196" s="117">
        <f t="shared" si="467"/>
        <v>6.5928899688342035E-2</v>
      </c>
      <c r="N196" s="117">
        <f t="shared" si="467"/>
        <v>9.1849906275605742E-2</v>
      </c>
      <c r="O196" s="117">
        <f t="shared" si="467"/>
        <v>3.2316920471755051E-2</v>
      </c>
      <c r="P196" s="118">
        <f t="shared" si="467"/>
        <v>6.6174113705556259E-2</v>
      </c>
      <c r="Q196" s="117">
        <f t="shared" si="467"/>
        <v>1.6883877721540763E-2</v>
      </c>
      <c r="R196" s="117">
        <f t="shared" si="467"/>
        <v>4.7473210731235005E-2</v>
      </c>
      <c r="S196" s="117">
        <f t="shared" si="467"/>
        <v>-2.6408221450062053E-2</v>
      </c>
      <c r="T196" s="117">
        <f t="shared" si="467"/>
        <v>-4.8259344399905424E-2</v>
      </c>
      <c r="U196" s="118">
        <f t="shared" si="467"/>
        <v>-8.4006800715089591E-3</v>
      </c>
      <c r="V196" s="117">
        <f t="shared" si="467"/>
        <v>-8.8920580651863701E-2</v>
      </c>
      <c r="W196" s="117">
        <f t="shared" si="467"/>
        <v>-0.17078844115865965</v>
      </c>
      <c r="X196" s="117">
        <f t="shared" si="467"/>
        <v>-0.10844973259114699</v>
      </c>
      <c r="Y196" s="117">
        <f t="shared" si="467"/>
        <v>7.9854592827550919E-2</v>
      </c>
      <c r="Z196" s="118">
        <f t="shared" si="467"/>
        <v>-8.5310156267847881E-2</v>
      </c>
      <c r="AA196" s="117">
        <f t="shared" si="467"/>
        <v>7.3953517301432514E-2</v>
      </c>
      <c r="AB196" s="117">
        <f t="shared" si="467"/>
        <v>3.6490159048939486E-2</v>
      </c>
      <c r="AC196" s="117">
        <f t="shared" si="467"/>
        <v>4.4597730190986562E-2</v>
      </c>
      <c r="AD196" s="117">
        <f t="shared" si="467"/>
        <v>-6.8784644752543644E-2</v>
      </c>
      <c r="AE196" s="118">
        <f t="shared" si="467"/>
        <v>2.0767620494997363E-2</v>
      </c>
      <c r="AF196" s="117">
        <f t="shared" si="467"/>
        <v>-4.1184041184041176E-2</v>
      </c>
      <c r="AG196" s="117">
        <f t="shared" si="467"/>
        <v>-4.0366972477064222E-2</v>
      </c>
      <c r="AH196" s="117">
        <f t="shared" si="467"/>
        <v>-0.11139455782312935</v>
      </c>
      <c r="AI196" s="117">
        <f t="shared" si="467"/>
        <v>3.3005896280977387E-2</v>
      </c>
      <c r="AJ196" s="118">
        <f>AJ195/AE195-1</f>
        <v>-5.6522786737240205E-2</v>
      </c>
      <c r="AK196" s="117"/>
      <c r="AL196" s="117"/>
      <c r="AM196" s="117"/>
      <c r="AN196" s="117"/>
      <c r="AO196" s="118"/>
      <c r="AP196" s="117"/>
      <c r="AQ196" s="117"/>
      <c r="AR196" s="117"/>
      <c r="AS196" s="117"/>
      <c r="AT196" s="118"/>
      <c r="AU196" s="117"/>
      <c r="AV196" s="117"/>
      <c r="AW196" s="117"/>
      <c r="AX196" s="450"/>
      <c r="AY196" s="451"/>
      <c r="AZ196" s="450"/>
      <c r="BA196" s="450"/>
      <c r="BB196" s="450"/>
      <c r="BC196" s="450"/>
      <c r="BD196" s="451"/>
      <c r="BE196" s="450"/>
      <c r="BF196" s="450"/>
      <c r="BG196" s="450"/>
      <c r="BH196" s="450"/>
      <c r="BI196" s="451"/>
      <c r="BJ196" s="450"/>
      <c r="BK196" s="450"/>
      <c r="BL196" s="450"/>
      <c r="BM196" s="450"/>
      <c r="BN196" s="451"/>
      <c r="BO196" s="450"/>
      <c r="BP196" s="450"/>
      <c r="BQ196" s="450"/>
      <c r="BR196" s="450"/>
      <c r="BS196" s="451"/>
      <c r="BT196" s="450"/>
      <c r="BU196" s="450"/>
      <c r="BV196" s="450"/>
      <c r="BW196" s="450"/>
      <c r="BX196" s="451"/>
      <c r="BY196" s="452"/>
      <c r="BZ196" s="452"/>
      <c r="CA196" s="452"/>
      <c r="CD196" s="449"/>
      <c r="CE196" s="117"/>
      <c r="CF196" s="117"/>
      <c r="CG196" s="117"/>
      <c r="CH196" s="117"/>
      <c r="CI196" s="117"/>
      <c r="CJ196" s="117"/>
      <c r="CK196" s="117"/>
      <c r="CL196" s="117"/>
      <c r="CM196" s="117"/>
      <c r="CN196" s="117"/>
      <c r="CO196" s="117"/>
      <c r="CP196" s="117"/>
      <c r="CQ196" s="117"/>
      <c r="CR196" s="117"/>
      <c r="CS196" s="117"/>
      <c r="CT196" s="117"/>
      <c r="CU196" s="117"/>
      <c r="CV196" s="117"/>
      <c r="CW196" s="117"/>
      <c r="CX196" s="117"/>
      <c r="CY196" s="117"/>
      <c r="CZ196" s="117"/>
      <c r="DA196" s="58"/>
      <c r="DB196" s="453"/>
    </row>
    <row r="197" spans="1:112" ht="12" hidden="1" customHeight="1" outlineLevel="1">
      <c r="A197" s="454"/>
      <c r="B197" s="54"/>
      <c r="C197" s="54"/>
      <c r="D197" s="54"/>
      <c r="E197" s="54"/>
      <c r="F197" s="455"/>
      <c r="G197" s="456"/>
      <c r="H197" s="377"/>
      <c r="I197" s="377"/>
      <c r="J197" s="377"/>
      <c r="K197" s="54"/>
      <c r="L197" s="377"/>
      <c r="M197" s="377"/>
      <c r="N197" s="377"/>
      <c r="O197" s="377"/>
      <c r="P197" s="54"/>
      <c r="Q197" s="377"/>
      <c r="R197" s="377"/>
      <c r="S197" s="377"/>
      <c r="T197" s="377"/>
      <c r="U197" s="54"/>
      <c r="V197" s="377"/>
      <c r="W197" s="377"/>
      <c r="X197" s="377"/>
      <c r="Y197" s="377"/>
      <c r="Z197" s="54"/>
      <c r="AA197" s="377"/>
      <c r="AB197" s="377"/>
      <c r="AC197" s="58"/>
      <c r="AD197" s="377"/>
      <c r="AE197" s="54"/>
      <c r="AF197" s="377"/>
      <c r="AG197" s="377"/>
      <c r="AH197" s="377"/>
      <c r="AI197" s="377"/>
      <c r="AJ197" s="378"/>
      <c r="AK197" s="42"/>
      <c r="AL197" s="42"/>
      <c r="AM197" s="42"/>
      <c r="AN197" s="42"/>
      <c r="AO197" s="379"/>
      <c r="AP197" s="58"/>
      <c r="AQ197" s="58"/>
      <c r="AR197" s="58"/>
      <c r="AS197" s="58"/>
      <c r="AT197" s="378"/>
      <c r="AU197" s="58"/>
      <c r="AV197" s="58"/>
      <c r="AW197" s="370"/>
      <c r="AX197" s="457"/>
      <c r="AY197" s="458"/>
      <c r="AZ197" s="457"/>
      <c r="BA197" s="457"/>
      <c r="BB197" s="457"/>
      <c r="BC197" s="457"/>
      <c r="BD197" s="458"/>
      <c r="BE197" s="457"/>
      <c r="BF197" s="457"/>
      <c r="BG197" s="457"/>
      <c r="BH197" s="457"/>
      <c r="BI197" s="458"/>
      <c r="BJ197" s="457"/>
      <c r="BK197" s="457"/>
      <c r="BL197" s="457"/>
      <c r="BM197" s="457"/>
      <c r="BN197" s="458"/>
      <c r="BO197" s="457"/>
      <c r="BP197" s="457"/>
      <c r="BQ197" s="457"/>
      <c r="BR197" s="457"/>
      <c r="BS197" s="458"/>
      <c r="BT197" s="457"/>
      <c r="BU197" s="457"/>
      <c r="BV197" s="457"/>
      <c r="BW197" s="457"/>
      <c r="BX197" s="458"/>
      <c r="BY197" s="459"/>
      <c r="BZ197" s="459"/>
      <c r="CA197" s="459"/>
      <c r="CD197" s="460"/>
      <c r="CE197" s="127"/>
      <c r="CF197" s="127"/>
      <c r="CG197" s="127"/>
      <c r="CH197" s="127"/>
      <c r="CI197" s="127"/>
      <c r="CJ197" s="127"/>
      <c r="CK197" s="127"/>
      <c r="CL197" s="127"/>
      <c r="CM197" s="127"/>
      <c r="CN197" s="127"/>
      <c r="CO197" s="127"/>
      <c r="CP197" s="127"/>
      <c r="CQ197" s="127"/>
      <c r="CR197" s="127"/>
      <c r="CS197" s="127"/>
      <c r="CT197" s="127"/>
      <c r="CU197" s="127"/>
      <c r="CV197" s="127"/>
      <c r="CW197" s="127"/>
      <c r="CX197" s="127"/>
      <c r="CY197" s="127"/>
      <c r="CZ197" s="127"/>
      <c r="DA197" s="58"/>
      <c r="DB197" s="438"/>
    </row>
    <row r="198" spans="1:112" s="70" customFormat="1" ht="12" hidden="1" customHeight="1" outlineLevel="1">
      <c r="A198" s="445" t="s">
        <v>61</v>
      </c>
      <c r="B198" s="67">
        <v>2212.1329999999998</v>
      </c>
      <c r="C198" s="67">
        <v>2250.4140000000002</v>
      </c>
      <c r="D198" s="67">
        <v>2413.2939999999999</v>
      </c>
      <c r="E198" s="67">
        <v>2790.2640000000001</v>
      </c>
      <c r="F198" s="67">
        <v>3467.22</v>
      </c>
      <c r="G198" s="248">
        <v>838.06</v>
      </c>
      <c r="H198" s="74">
        <v>959.61300000000006</v>
      </c>
      <c r="I198" s="74">
        <v>923.47799999999995</v>
      </c>
      <c r="J198" s="74">
        <f>3812.355-SUM(G198:I198)</f>
        <v>1091.2040000000002</v>
      </c>
      <c r="K198" s="67">
        <f>SUM(G198:J198)</f>
        <v>3812.355</v>
      </c>
      <c r="L198" s="74">
        <v>984.04899999999998</v>
      </c>
      <c r="M198" s="74">
        <v>1112.806</v>
      </c>
      <c r="N198" s="74">
        <v>1020.708</v>
      </c>
      <c r="O198" s="74">
        <f>4167.849-SUM(L198:N198)</f>
        <v>1050.2860000000001</v>
      </c>
      <c r="P198" s="67">
        <f>SUM(L198:O198)</f>
        <v>4167.8490000000002</v>
      </c>
      <c r="Q198" s="74">
        <v>900.22799999999995</v>
      </c>
      <c r="R198" s="74">
        <v>1039.1130000000001</v>
      </c>
      <c r="S198" s="74">
        <v>912.07899999999995</v>
      </c>
      <c r="T198" s="74">
        <f>3772.502-SUM(Q198:S198)</f>
        <v>921.08199999999988</v>
      </c>
      <c r="U198" s="67">
        <f>SUM(Q198:T198)</f>
        <v>3772.502</v>
      </c>
      <c r="V198" s="74">
        <v>858.80899999999997</v>
      </c>
      <c r="W198" s="74">
        <v>939.36699999999996</v>
      </c>
      <c r="X198" s="74">
        <v>862.69</v>
      </c>
      <c r="Y198" s="74">
        <f>3589.547-SUM(V198:X198)</f>
        <v>928.68100000000004</v>
      </c>
      <c r="Z198" s="67">
        <f>SUM(V198:Y198)</f>
        <v>3589.547</v>
      </c>
      <c r="AA198" s="74">
        <v>879.6</v>
      </c>
      <c r="AB198" s="74">
        <v>929.1</v>
      </c>
      <c r="AC198" s="74">
        <v>897.8</v>
      </c>
      <c r="AD198" s="74">
        <f>3757.038-SUM(AA198:AC198)</f>
        <v>1050.538</v>
      </c>
      <c r="AE198" s="67">
        <f>SUM(AA198:AD198)</f>
        <v>3757.038</v>
      </c>
      <c r="AF198" s="74">
        <v>963</v>
      </c>
      <c r="AG198" s="74">
        <v>1034</v>
      </c>
      <c r="AH198" s="74">
        <v>967.5</v>
      </c>
      <c r="AI198" s="74">
        <f>3971-SUM(AF198:AH198)</f>
        <v>1006.5</v>
      </c>
      <c r="AJ198" s="67">
        <f>SUM(AF198:AI198)</f>
        <v>3971</v>
      </c>
      <c r="AK198" s="74"/>
      <c r="AL198" s="74"/>
      <c r="AM198" s="74"/>
      <c r="AN198" s="74"/>
      <c r="AO198" s="245"/>
      <c r="AP198" s="74"/>
      <c r="AQ198" s="74"/>
      <c r="AR198" s="74"/>
      <c r="AS198" s="74"/>
      <c r="AT198" s="67"/>
      <c r="AU198" s="74"/>
      <c r="AV198" s="74"/>
      <c r="AW198" s="248"/>
      <c r="AX198" s="248"/>
      <c r="AY198" s="67"/>
      <c r="AZ198" s="248"/>
      <c r="BA198" s="248"/>
      <c r="BB198" s="248"/>
      <c r="BC198" s="248"/>
      <c r="BD198" s="67"/>
      <c r="BE198" s="248"/>
      <c r="BF198" s="248"/>
      <c r="BG198" s="248"/>
      <c r="BH198" s="248"/>
      <c r="BI198" s="67"/>
      <c r="BJ198" s="248"/>
      <c r="BK198" s="248"/>
      <c r="BL198" s="248"/>
      <c r="BM198" s="248"/>
      <c r="BN198" s="67"/>
      <c r="BO198" s="248"/>
      <c r="BP198" s="248"/>
      <c r="BQ198" s="248"/>
      <c r="BR198" s="248"/>
      <c r="BS198" s="67"/>
      <c r="BT198" s="248"/>
      <c r="BU198" s="248"/>
      <c r="BV198" s="248"/>
      <c r="BW198" s="248"/>
      <c r="BX198" s="67"/>
      <c r="BY198" s="446"/>
      <c r="BZ198" s="446"/>
      <c r="CA198" s="446"/>
      <c r="CB198" s="447"/>
      <c r="CC198" s="1359"/>
      <c r="CD198" s="448"/>
      <c r="CE198" s="248"/>
      <c r="CF198" s="248"/>
      <c r="CG198" s="248"/>
      <c r="CH198" s="248"/>
      <c r="CI198" s="248"/>
      <c r="CJ198" s="248"/>
      <c r="CK198" s="248"/>
      <c r="CL198" s="248"/>
      <c r="CM198" s="248"/>
      <c r="CN198" s="248"/>
      <c r="CO198" s="248"/>
      <c r="CP198" s="248"/>
      <c r="CQ198" s="248"/>
      <c r="CR198" s="248"/>
      <c r="CS198" s="248"/>
      <c r="CT198" s="248"/>
      <c r="CU198" s="248"/>
      <c r="CV198" s="248"/>
      <c r="CW198" s="248"/>
      <c r="CX198" s="248"/>
      <c r="CY198" s="248"/>
      <c r="CZ198" s="248"/>
      <c r="DA198" s="74"/>
      <c r="DB198" s="249"/>
      <c r="DC198"/>
      <c r="DD198"/>
      <c r="DE198"/>
      <c r="DF198"/>
      <c r="DG198"/>
      <c r="DH198"/>
    </row>
    <row r="199" spans="1:112" ht="12" hidden="1" customHeight="1" outlineLevel="1">
      <c r="A199" s="449" t="s">
        <v>187</v>
      </c>
      <c r="B199" s="118"/>
      <c r="C199" s="118">
        <f>C198/B198-1</f>
        <v>1.7305017374633636E-2</v>
      </c>
      <c r="D199" s="118">
        <f>D198/C198-1</f>
        <v>7.2377793597089068E-2</v>
      </c>
      <c r="E199" s="118">
        <f>E198/D198-1</f>
        <v>0.15620558456615741</v>
      </c>
      <c r="F199" s="118">
        <f>F198/E198-1</f>
        <v>0.24261360215377459</v>
      </c>
      <c r="G199" s="117"/>
      <c r="H199" s="122"/>
      <c r="I199" s="122"/>
      <c r="J199" s="117"/>
      <c r="K199" s="118">
        <f t="shared" ref="K199:AI199" si="468">K198/F198-1</f>
        <v>9.9542284596881636E-2</v>
      </c>
      <c r="L199" s="117">
        <f t="shared" si="468"/>
        <v>0.17419874471994845</v>
      </c>
      <c r="M199" s="117">
        <f t="shared" si="468"/>
        <v>0.15964039670158692</v>
      </c>
      <c r="N199" s="117">
        <f t="shared" si="468"/>
        <v>0.10528675290586254</v>
      </c>
      <c r="O199" s="117">
        <f t="shared" si="468"/>
        <v>-3.7498029699304714E-2</v>
      </c>
      <c r="P199" s="118">
        <f t="shared" si="468"/>
        <v>9.3247874345385062E-2</v>
      </c>
      <c r="Q199" s="117">
        <f t="shared" si="468"/>
        <v>-8.5179701417307463E-2</v>
      </c>
      <c r="R199" s="117">
        <f t="shared" si="468"/>
        <v>-6.6222683917951497E-2</v>
      </c>
      <c r="S199" s="117">
        <f t="shared" si="468"/>
        <v>-0.10642514803450154</v>
      </c>
      <c r="T199" s="117">
        <f t="shared" si="468"/>
        <v>-0.12301792083299234</v>
      </c>
      <c r="U199" s="118">
        <f t="shared" si="468"/>
        <v>-9.4856363558276757E-2</v>
      </c>
      <c r="V199" s="117">
        <f t="shared" si="468"/>
        <v>-4.6009455382414188E-2</v>
      </c>
      <c r="W199" s="117">
        <f t="shared" si="468"/>
        <v>-9.5991485045418656E-2</v>
      </c>
      <c r="X199" s="117">
        <f t="shared" si="468"/>
        <v>-5.4149914645551411E-2</v>
      </c>
      <c r="Y199" s="117">
        <f t="shared" si="468"/>
        <v>8.2500797974558449E-3</v>
      </c>
      <c r="Z199" s="118">
        <f t="shared" si="468"/>
        <v>-4.8496992181846443E-2</v>
      </c>
      <c r="AA199" s="117">
        <f t="shared" si="468"/>
        <v>2.4209108195186735E-2</v>
      </c>
      <c r="AB199" s="117">
        <f t="shared" si="468"/>
        <v>-1.0929700532379738E-2</v>
      </c>
      <c r="AC199" s="117">
        <f t="shared" si="468"/>
        <v>4.0698280958397559E-2</v>
      </c>
      <c r="AD199" s="117">
        <f t="shared" si="468"/>
        <v>0.13121513199903956</v>
      </c>
      <c r="AE199" s="118">
        <f t="shared" si="468"/>
        <v>4.666076248618567E-2</v>
      </c>
      <c r="AF199" s="117">
        <f t="shared" si="468"/>
        <v>9.4815825375170526E-2</v>
      </c>
      <c r="AG199" s="117">
        <f t="shared" si="468"/>
        <v>0.11290496179098053</v>
      </c>
      <c r="AH199" s="117">
        <f t="shared" si="468"/>
        <v>7.7634216974827419E-2</v>
      </c>
      <c r="AI199" s="117">
        <f t="shared" si="468"/>
        <v>-4.1919473641124805E-2</v>
      </c>
      <c r="AJ199" s="118">
        <f>AJ198/AE198-1</f>
        <v>5.6949650229782156E-2</v>
      </c>
      <c r="AK199" s="117"/>
      <c r="AL199" s="117"/>
      <c r="AM199" s="117"/>
      <c r="AN199" s="117"/>
      <c r="AO199" s="118"/>
      <c r="AP199" s="117"/>
      <c r="AQ199" s="117"/>
      <c r="AR199" s="117"/>
      <c r="AS199" s="117"/>
      <c r="AT199" s="118"/>
      <c r="AU199" s="117"/>
      <c r="AV199" s="117"/>
      <c r="AW199" s="117"/>
      <c r="AX199" s="450"/>
      <c r="AY199" s="451"/>
      <c r="AZ199" s="450"/>
      <c r="BA199" s="450"/>
      <c r="BB199" s="450"/>
      <c r="BC199" s="450"/>
      <c r="BD199" s="451"/>
      <c r="BE199" s="450"/>
      <c r="BF199" s="450"/>
      <c r="BG199" s="450"/>
      <c r="BH199" s="450"/>
      <c r="BI199" s="451"/>
      <c r="BJ199" s="450"/>
      <c r="BK199" s="450"/>
      <c r="BL199" s="450"/>
      <c r="BM199" s="450"/>
      <c r="BN199" s="451"/>
      <c r="BO199" s="450"/>
      <c r="BP199" s="450"/>
      <c r="BQ199" s="450"/>
      <c r="BR199" s="450"/>
      <c r="BS199" s="451"/>
      <c r="BT199" s="450"/>
      <c r="BU199" s="450"/>
      <c r="BV199" s="450"/>
      <c r="BW199" s="450"/>
      <c r="BX199" s="451"/>
      <c r="BY199" s="452"/>
      <c r="BZ199" s="452"/>
      <c r="CA199" s="452"/>
      <c r="CD199" s="449"/>
      <c r="CE199" s="117"/>
      <c r="CF199" s="117"/>
      <c r="CG199" s="117"/>
      <c r="CH199" s="117"/>
      <c r="CI199" s="117"/>
      <c r="CJ199" s="117"/>
      <c r="CK199" s="117"/>
      <c r="CL199" s="117"/>
      <c r="CM199" s="117"/>
      <c r="CN199" s="117"/>
      <c r="CO199" s="117"/>
      <c r="CP199" s="117"/>
      <c r="CQ199" s="117"/>
      <c r="CR199" s="117"/>
      <c r="CS199" s="117"/>
      <c r="CT199" s="117"/>
      <c r="CU199" s="117"/>
      <c r="CV199" s="117"/>
      <c r="CW199" s="117"/>
      <c r="CX199" s="117"/>
      <c r="CY199" s="117"/>
      <c r="CZ199" s="117"/>
      <c r="DA199" s="58"/>
      <c r="DB199" s="453"/>
    </row>
    <row r="200" spans="1:112" ht="12" hidden="1" customHeight="1" outlineLevel="1">
      <c r="A200" s="42"/>
      <c r="B200" s="54"/>
      <c r="C200" s="54"/>
      <c r="D200" s="54"/>
      <c r="E200" s="54"/>
      <c r="F200" s="54"/>
      <c r="G200" s="127"/>
      <c r="H200" s="377"/>
      <c r="I200" s="377"/>
      <c r="J200" s="377"/>
      <c r="K200" s="54"/>
      <c r="L200" s="377"/>
      <c r="M200" s="377"/>
      <c r="N200" s="377"/>
      <c r="O200" s="377"/>
      <c r="P200" s="54"/>
      <c r="Q200" s="377"/>
      <c r="R200" s="377"/>
      <c r="S200" s="377"/>
      <c r="T200" s="377"/>
      <c r="U200" s="54"/>
      <c r="V200" s="377"/>
      <c r="W200" s="377"/>
      <c r="X200" s="377"/>
      <c r="Y200" s="377"/>
      <c r="Z200" s="54"/>
      <c r="AA200" s="377"/>
      <c r="AB200" s="377"/>
      <c r="AC200" s="377"/>
      <c r="AD200" s="377"/>
      <c r="AE200" s="54"/>
      <c r="AF200" s="377"/>
      <c r="AG200" s="377"/>
      <c r="AH200" s="377"/>
      <c r="AI200" s="58"/>
      <c r="AJ200" s="378"/>
      <c r="AK200" s="42"/>
      <c r="AL200" s="42"/>
      <c r="AM200" s="42"/>
      <c r="AN200" s="42"/>
      <c r="AO200" s="379"/>
      <c r="AP200" s="58"/>
      <c r="AQ200" s="58"/>
      <c r="AR200" s="58"/>
      <c r="AS200" s="58"/>
      <c r="AT200" s="378"/>
      <c r="AU200" s="58"/>
      <c r="AV200" s="58"/>
      <c r="AW200" s="370"/>
      <c r="AX200" s="370"/>
      <c r="AY200" s="378"/>
      <c r="AZ200" s="370"/>
      <c r="BA200" s="370"/>
      <c r="BB200" s="370"/>
      <c r="BC200" s="370"/>
      <c r="BD200" s="378"/>
      <c r="BE200" s="370"/>
      <c r="BF200" s="370"/>
      <c r="BG200" s="370"/>
      <c r="BH200" s="370"/>
      <c r="BI200" s="378"/>
      <c r="BJ200" s="370"/>
      <c r="BK200" s="370"/>
      <c r="BL200" s="370"/>
      <c r="BM200" s="370"/>
      <c r="BN200" s="378"/>
      <c r="BO200" s="370"/>
      <c r="BP200" s="370"/>
      <c r="BQ200" s="370"/>
      <c r="BR200" s="370"/>
      <c r="BS200" s="378"/>
      <c r="BT200" s="370"/>
      <c r="BU200" s="370"/>
      <c r="BV200" s="370"/>
      <c r="BW200" s="370"/>
      <c r="BX200" s="378"/>
      <c r="BY200" s="444"/>
      <c r="BZ200" s="444"/>
      <c r="CA200" s="444"/>
      <c r="CD200" s="370"/>
      <c r="CE200" s="127"/>
      <c r="CF200" s="127"/>
      <c r="CG200" s="127"/>
      <c r="CH200" s="127"/>
      <c r="CI200" s="127"/>
      <c r="CJ200" s="127"/>
      <c r="CK200" s="127"/>
      <c r="CL200" s="127"/>
      <c r="CM200" s="127"/>
      <c r="CN200" s="127"/>
      <c r="CO200" s="127"/>
      <c r="CP200" s="127"/>
      <c r="CQ200" s="127"/>
      <c r="CR200" s="127"/>
      <c r="CS200" s="127"/>
      <c r="CT200" s="127"/>
      <c r="CU200" s="127"/>
      <c r="CV200" s="127"/>
      <c r="CW200" s="127"/>
      <c r="CX200" s="127"/>
      <c r="CY200" s="127"/>
      <c r="CZ200" s="127"/>
      <c r="DA200" s="58"/>
      <c r="DB200" s="438"/>
    </row>
    <row r="201" spans="1:112" s="466" customFormat="1" ht="12" customHeight="1" collapsed="1">
      <c r="A201" s="461" t="str">
        <f>'Op Metrics'!A12</f>
        <v>S&amp;P Ratings Services</v>
      </c>
      <c r="B201" s="462"/>
      <c r="C201" s="462"/>
      <c r="D201" s="462"/>
      <c r="E201" s="462"/>
      <c r="F201" s="462"/>
      <c r="G201" s="463"/>
      <c r="H201" s="464"/>
      <c r="I201" s="464"/>
      <c r="J201" s="464"/>
      <c r="K201" s="462"/>
      <c r="L201" s="464"/>
      <c r="M201" s="464"/>
      <c r="N201" s="464"/>
      <c r="O201" s="464"/>
      <c r="P201" s="462"/>
      <c r="Q201" s="464"/>
      <c r="R201" s="464"/>
      <c r="S201" s="464"/>
      <c r="T201" s="464"/>
      <c r="U201" s="462"/>
      <c r="V201" s="464"/>
      <c r="W201" s="464"/>
      <c r="X201" s="464"/>
      <c r="Y201" s="464"/>
      <c r="Z201" s="462"/>
      <c r="AA201" s="464"/>
      <c r="AB201" s="464"/>
      <c r="AC201" s="464"/>
      <c r="AD201" s="464"/>
      <c r="AE201" s="462"/>
      <c r="AF201" s="463"/>
      <c r="AG201" s="463"/>
      <c r="AH201" s="463"/>
      <c r="AI201" s="2119">
        <f>'Op Metrics'!AI12</f>
        <v>434</v>
      </c>
      <c r="AJ201" s="2121">
        <f>'Op Metrics'!AJ12</f>
        <v>1767</v>
      </c>
      <c r="AK201" s="2119">
        <f>'Op Metrics'!AK12</f>
        <v>466</v>
      </c>
      <c r="AL201" s="2119">
        <f>'Op Metrics'!AL12</f>
        <v>483</v>
      </c>
      <c r="AM201" s="2119">
        <f>'Op Metrics'!AM12</f>
        <v>502</v>
      </c>
      <c r="AN201" s="2119">
        <f>'Op Metrics'!AN12</f>
        <v>584</v>
      </c>
      <c r="AO201" s="2121">
        <f>'Op Metrics'!AO12</f>
        <v>2035</v>
      </c>
      <c r="AP201" s="2119">
        <f>'Op Metrics'!AP12</f>
        <v>561</v>
      </c>
      <c r="AQ201" s="2119">
        <f>'Op Metrics'!AQ12</f>
        <v>599</v>
      </c>
      <c r="AR201" s="2119">
        <f>'Op Metrics'!AR12</f>
        <v>540</v>
      </c>
      <c r="AS201" s="2119">
        <f>'Op Metrics'!AS12</f>
        <v>574</v>
      </c>
      <c r="AT201" s="2121">
        <f>'Op Metrics'!AT12</f>
        <v>2274</v>
      </c>
      <c r="AU201" s="2119">
        <f>'Op Metrics'!AU12</f>
        <v>569</v>
      </c>
      <c r="AV201" s="2119">
        <f>'Op Metrics'!AV12</f>
        <v>664</v>
      </c>
      <c r="AW201" s="2119">
        <f>'Op Metrics'!AW12</f>
        <v>604</v>
      </c>
      <c r="AX201" s="2119">
        <f>'Op Metrics'!AX12</f>
        <v>618</v>
      </c>
      <c r="AY201" s="2121">
        <f>'Op Metrics'!AY12</f>
        <v>2455</v>
      </c>
      <c r="AZ201" s="2119">
        <f>'Op Metrics'!AZ12</f>
        <v>606</v>
      </c>
      <c r="BA201" s="2119">
        <f>'Op Metrics'!BA12</f>
        <v>658</v>
      </c>
      <c r="BB201" s="2119">
        <f>'Op Metrics'!BB12</f>
        <v>587</v>
      </c>
      <c r="BC201" s="2119">
        <f>'Op Metrics'!BC12</f>
        <v>577</v>
      </c>
      <c r="BD201" s="2121">
        <f>'Op Metrics'!BD12</f>
        <v>2428</v>
      </c>
      <c r="BE201" s="2119">
        <f>'Op Metrics'!BE12</f>
        <v>552</v>
      </c>
      <c r="BF201" s="2119">
        <f>'Op Metrics'!BF12</f>
        <v>682</v>
      </c>
      <c r="BG201" s="2119">
        <f>'Op Metrics'!BG12</f>
        <v>642</v>
      </c>
      <c r="BH201" s="2119">
        <f>'Op Metrics'!BH12</f>
        <v>658</v>
      </c>
      <c r="BI201" s="2121">
        <f>'Op Metrics'!BI12</f>
        <v>2534</v>
      </c>
      <c r="BJ201" s="2119">
        <f>'Op Metrics'!BJ12</f>
        <v>714</v>
      </c>
      <c r="BK201" s="2119">
        <f>'Op Metrics'!BK12</f>
        <v>747</v>
      </c>
      <c r="BL201" s="2119">
        <f>'Op Metrics'!BL12</f>
        <v>739</v>
      </c>
      <c r="BM201" s="2119">
        <f>'Op Metrics'!BM12</f>
        <v>789</v>
      </c>
      <c r="BN201" s="2121">
        <f>'Op Metrics'!BN12</f>
        <v>2989</v>
      </c>
      <c r="BO201" s="2119">
        <f>'Op Metrics'!BO12</f>
        <v>748</v>
      </c>
      <c r="BP201" s="2119">
        <f>'Op Metrics'!BP12</f>
        <v>808.39290742815092</v>
      </c>
      <c r="BQ201" s="2119">
        <f>'Op Metrics'!BQ12</f>
        <v>782.73288123985253</v>
      </c>
      <c r="BR201" s="2119">
        <f>'Op Metrics'!BR12</f>
        <v>802.24752820075207</v>
      </c>
      <c r="BS201" s="2121">
        <f>'Op Metrics'!BS12</f>
        <v>3141.3733168687554</v>
      </c>
      <c r="BT201" s="2119">
        <f>'Op Metrics'!BT12</f>
        <v>781.50286936219618</v>
      </c>
      <c r="BU201" s="2119">
        <f>'Op Metrics'!BU12</f>
        <v>846.21615123603613</v>
      </c>
      <c r="BV201" s="2119">
        <f>'Op Metrics'!BV12</f>
        <v>818.56092347643994</v>
      </c>
      <c r="BW201" s="2119">
        <f>'Op Metrics'!BW12</f>
        <v>838.67884925499334</v>
      </c>
      <c r="BX201" s="2121">
        <f>'Op Metrics'!BX12</f>
        <v>3284.9587933296652</v>
      </c>
      <c r="BY201" s="2122">
        <f>'Op Metrics'!BY12</f>
        <v>3418.6627739168125</v>
      </c>
      <c r="BZ201" s="2122">
        <f>'Op Metrics'!BZ12</f>
        <v>3560.0613933391887</v>
      </c>
      <c r="CA201" s="2122">
        <f>'Op Metrics'!CA12</f>
        <v>3694.692329926907</v>
      </c>
      <c r="CD201" s="467"/>
      <c r="CE201" s="463"/>
      <c r="CF201" s="463"/>
      <c r="CG201" s="463"/>
      <c r="CH201" s="463"/>
      <c r="CI201" s="463"/>
      <c r="CJ201" s="463"/>
      <c r="CK201" s="463"/>
      <c r="CL201" s="463"/>
      <c r="CM201" s="463"/>
      <c r="CN201" s="463"/>
      <c r="CO201" s="463"/>
      <c r="CP201" s="463"/>
      <c r="CQ201" s="463"/>
      <c r="CR201" s="463"/>
      <c r="CS201" s="463"/>
      <c r="CT201" s="463"/>
      <c r="CU201" s="463"/>
      <c r="CV201" s="463"/>
      <c r="CW201" s="463"/>
      <c r="CX201" s="463"/>
      <c r="CY201" s="463"/>
      <c r="CZ201" s="463"/>
      <c r="DA201" s="464"/>
      <c r="DB201" s="468"/>
      <c r="DC201"/>
      <c r="DD201"/>
      <c r="DE201"/>
      <c r="DF201"/>
      <c r="DG201"/>
      <c r="DH201"/>
    </row>
    <row r="202" spans="1:112" s="466" customFormat="1" ht="12" customHeight="1">
      <c r="A202" s="461" t="str">
        <f>+'Op Metrics'!A16</f>
        <v>Market and Commodities Intelligence</v>
      </c>
      <c r="B202" s="462"/>
      <c r="C202" s="462"/>
      <c r="D202" s="462"/>
      <c r="E202" s="462"/>
      <c r="F202" s="462"/>
      <c r="G202" s="463"/>
      <c r="H202" s="464"/>
      <c r="I202" s="464"/>
      <c r="J202" s="464"/>
      <c r="K202" s="462"/>
      <c r="L202" s="464"/>
      <c r="M202" s="464"/>
      <c r="N202" s="464"/>
      <c r="O202" s="464"/>
      <c r="P202" s="462"/>
      <c r="Q202" s="464"/>
      <c r="R202" s="464"/>
      <c r="S202" s="464"/>
      <c r="T202" s="464"/>
      <c r="U202" s="462"/>
      <c r="V202" s="464"/>
      <c r="W202" s="464"/>
      <c r="X202" s="464"/>
      <c r="Y202" s="464"/>
      <c r="Z202" s="462"/>
      <c r="AA202" s="464"/>
      <c r="AB202" s="464"/>
      <c r="AC202" s="464"/>
      <c r="AD202" s="464"/>
      <c r="AE202" s="462"/>
      <c r="AF202" s="463"/>
      <c r="AG202" s="463"/>
      <c r="AH202" s="463"/>
      <c r="AI202" s="463">
        <f t="shared" ref="AI202:BI202" si="469">+AI204+AI205</f>
        <v>507</v>
      </c>
      <c r="AJ202" s="462">
        <f t="shared" si="469"/>
        <v>1927</v>
      </c>
      <c r="AK202" s="463">
        <f t="shared" si="469"/>
        <v>507</v>
      </c>
      <c r="AL202" s="463">
        <f t="shared" si="469"/>
        <v>517</v>
      </c>
      <c r="AM202" s="463">
        <f t="shared" si="469"/>
        <v>523</v>
      </c>
      <c r="AN202" s="463">
        <f t="shared" si="469"/>
        <v>551</v>
      </c>
      <c r="AO202" s="462">
        <f t="shared" si="469"/>
        <v>2097</v>
      </c>
      <c r="AP202" s="463">
        <f t="shared" si="469"/>
        <v>524</v>
      </c>
      <c r="AQ202" s="463">
        <f t="shared" si="469"/>
        <v>546</v>
      </c>
      <c r="AR202" s="463">
        <f t="shared" si="469"/>
        <v>506</v>
      </c>
      <c r="AS202" s="463">
        <f t="shared" si="469"/>
        <v>521</v>
      </c>
      <c r="AT202" s="462">
        <f t="shared" si="469"/>
        <v>2097</v>
      </c>
      <c r="AU202" s="463">
        <f t="shared" si="469"/>
        <v>512</v>
      </c>
      <c r="AV202" s="463">
        <f t="shared" si="469"/>
        <v>526</v>
      </c>
      <c r="AW202" s="463">
        <f t="shared" si="469"/>
        <v>538</v>
      </c>
      <c r="AX202" s="463">
        <f t="shared" si="469"/>
        <v>554</v>
      </c>
      <c r="AY202" s="462">
        <f t="shared" si="469"/>
        <v>2130</v>
      </c>
      <c r="AZ202" s="463">
        <f t="shared" si="469"/>
        <v>545</v>
      </c>
      <c r="BA202" s="463">
        <f t="shared" si="469"/>
        <v>558</v>
      </c>
      <c r="BB202" s="463">
        <f t="shared" si="469"/>
        <v>604</v>
      </c>
      <c r="BC202" s="463">
        <f t="shared" si="469"/>
        <v>669</v>
      </c>
      <c r="BD202" s="462">
        <f t="shared" si="469"/>
        <v>2376</v>
      </c>
      <c r="BE202" s="463">
        <f t="shared" si="469"/>
        <v>661</v>
      </c>
      <c r="BF202" s="463">
        <f t="shared" si="469"/>
        <v>671</v>
      </c>
      <c r="BG202" s="463">
        <f>+BG204+BG205</f>
        <v>658</v>
      </c>
      <c r="BH202" s="2119">
        <f>+'Op Metrics'!BH16</f>
        <v>595</v>
      </c>
      <c r="BI202" s="462">
        <f t="shared" si="469"/>
        <v>2585</v>
      </c>
      <c r="BJ202" s="2119">
        <f>+'Op Metrics'!BJ16</f>
        <v>593</v>
      </c>
      <c r="BK202" s="2119">
        <f>+'Op Metrics'!BK16</f>
        <v>606</v>
      </c>
      <c r="BL202" s="2119">
        <f>+'Op Metrics'!BL16</f>
        <v>615</v>
      </c>
      <c r="BM202" s="2119">
        <f>+'Op Metrics'!BM16</f>
        <v>637</v>
      </c>
      <c r="BN202" s="2121">
        <f>+'Op Metrics'!BN16</f>
        <v>2451</v>
      </c>
      <c r="BO202" s="2119">
        <f>+'Op Metrics'!BO16</f>
        <v>633</v>
      </c>
      <c r="BP202" s="2119">
        <f>+'Op Metrics'!BP16</f>
        <v>650.23322685703772</v>
      </c>
      <c r="BQ202" s="2119">
        <f>+'Op Metrics'!BQ16</f>
        <v>658.50665577282234</v>
      </c>
      <c r="BR202" s="2119">
        <f>+'Op Metrics'!BR16</f>
        <v>681.38598439759085</v>
      </c>
      <c r="BS202" s="2121">
        <f>+'Op Metrics'!BS16</f>
        <v>2623.125867027451</v>
      </c>
      <c r="BT202" s="2119">
        <f>+'Op Metrics'!BT16</f>
        <v>672.01906652728701</v>
      </c>
      <c r="BU202" s="2119">
        <f>+'Op Metrics'!BU16</f>
        <v>689.7015527370304</v>
      </c>
      <c r="BV202" s="2119">
        <f>+'Op Metrics'!BV16</f>
        <v>698.52262167691993</v>
      </c>
      <c r="BW202" s="2119">
        <f>+'Op Metrics'!BW16</f>
        <v>722.87750330542224</v>
      </c>
      <c r="BX202" s="2121">
        <f>+'Op Metrics'!BX16</f>
        <v>2783.1207442466598</v>
      </c>
      <c r="BY202" s="2121">
        <f>+'Op Metrics'!BY16</f>
        <v>2933.3203089014596</v>
      </c>
      <c r="BZ202" s="2121">
        <f>+'Op Metrics'!BZ16</f>
        <v>3091.860340235547</v>
      </c>
      <c r="CA202" s="2121">
        <f>+'Op Metrics'!CA16</f>
        <v>3237.3745799033245</v>
      </c>
      <c r="CD202" s="467"/>
      <c r="CE202" s="463"/>
      <c r="CF202" s="463"/>
      <c r="CG202" s="463"/>
      <c r="CH202" s="463"/>
      <c r="CI202" s="463"/>
      <c r="CJ202" s="463"/>
      <c r="CK202" s="463"/>
      <c r="CL202" s="463"/>
      <c r="CM202" s="463"/>
      <c r="CN202" s="463"/>
      <c r="CO202" s="463"/>
      <c r="CP202" s="463"/>
      <c r="CQ202" s="463"/>
      <c r="CR202" s="463"/>
      <c r="CS202" s="463"/>
      <c r="CT202" s="463"/>
      <c r="CU202" s="463"/>
      <c r="CV202" s="463"/>
      <c r="CW202" s="463"/>
      <c r="CX202" s="463"/>
      <c r="CY202" s="463"/>
      <c r="CZ202" s="463"/>
      <c r="DA202" s="464"/>
      <c r="DB202" s="468"/>
      <c r="DC202"/>
      <c r="DD202"/>
      <c r="DE202"/>
      <c r="DF202"/>
      <c r="DG202"/>
      <c r="DH202"/>
    </row>
    <row r="203" spans="1:112" s="466" customFormat="1" ht="12" customHeight="1" collapsed="1">
      <c r="A203" s="461" t="str">
        <f>'Op Metrics'!A14</f>
        <v>S&amp;P Dow Jones Indices</v>
      </c>
      <c r="B203" s="462"/>
      <c r="C203" s="462"/>
      <c r="D203" s="462"/>
      <c r="E203" s="462"/>
      <c r="F203" s="462"/>
      <c r="G203" s="463"/>
      <c r="H203" s="464"/>
      <c r="I203" s="464"/>
      <c r="J203" s="464"/>
      <c r="K203" s="462"/>
      <c r="L203" s="464"/>
      <c r="M203" s="464"/>
      <c r="N203" s="464"/>
      <c r="O203" s="464"/>
      <c r="P203" s="462"/>
      <c r="Q203" s="464"/>
      <c r="R203" s="464"/>
      <c r="S203" s="464"/>
      <c r="T203" s="464"/>
      <c r="U203" s="462"/>
      <c r="V203" s="464"/>
      <c r="W203" s="464"/>
      <c r="X203" s="464"/>
      <c r="Y203" s="464"/>
      <c r="Z203" s="462"/>
      <c r="AA203" s="464"/>
      <c r="AB203" s="464"/>
      <c r="AC203" s="464"/>
      <c r="AD203" s="464"/>
      <c r="AE203" s="462"/>
      <c r="AF203" s="463"/>
      <c r="AG203" s="463"/>
      <c r="AH203" s="463"/>
      <c r="AI203" s="2119">
        <f>'Op Metrics'!AI14</f>
        <v>80</v>
      </c>
      <c r="AJ203" s="2121">
        <f>'Op Metrics'!AJ14</f>
        <v>323</v>
      </c>
      <c r="AK203" s="2119">
        <f>'Op Metrics'!AK14</f>
        <v>79</v>
      </c>
      <c r="AL203" s="2119">
        <f>'Op Metrics'!AL14</f>
        <v>89</v>
      </c>
      <c r="AM203" s="2119">
        <f>'Op Metrics'!AM14</f>
        <v>109</v>
      </c>
      <c r="AN203" s="2119">
        <f>'Op Metrics'!AN14</f>
        <v>110</v>
      </c>
      <c r="AO203" s="2121">
        <f>'Op Metrics'!AO14</f>
        <v>387</v>
      </c>
      <c r="AP203" s="2119">
        <f>'Op Metrics'!AP14</f>
        <v>115</v>
      </c>
      <c r="AQ203" s="2119">
        <f>'Op Metrics'!AQ14</f>
        <v>123</v>
      </c>
      <c r="AR203" s="2119">
        <f>'Op Metrics'!AR14</f>
        <v>124</v>
      </c>
      <c r="AS203" s="2119">
        <f>'Op Metrics'!AS14</f>
        <v>130</v>
      </c>
      <c r="AT203" s="2121">
        <f>'Op Metrics'!AT14</f>
        <v>492</v>
      </c>
      <c r="AU203" s="2119">
        <f>'Op Metrics'!AU14</f>
        <v>137</v>
      </c>
      <c r="AV203" s="2119">
        <f>'Op Metrics'!AV14</f>
        <v>133</v>
      </c>
      <c r="AW203" s="2119">
        <f>'Op Metrics'!AW14</f>
        <v>143</v>
      </c>
      <c r="AX203" s="2119">
        <f>'Op Metrics'!AX14</f>
        <v>140</v>
      </c>
      <c r="AY203" s="2121">
        <f>'Op Metrics'!AY14</f>
        <v>553</v>
      </c>
      <c r="AZ203" s="2119">
        <f>'Op Metrics'!AZ14</f>
        <v>143</v>
      </c>
      <c r="BA203" s="2119">
        <f>'Op Metrics'!BA14</f>
        <v>148</v>
      </c>
      <c r="BB203" s="2119">
        <f>'Op Metrics'!BB14</f>
        <v>156</v>
      </c>
      <c r="BC203" s="2119">
        <f>'Op Metrics'!BC14</f>
        <v>150</v>
      </c>
      <c r="BD203" s="2121">
        <f>'Op Metrics'!BD14</f>
        <v>597</v>
      </c>
      <c r="BE203" s="2119">
        <f>'Op Metrics'!BE14</f>
        <v>151</v>
      </c>
      <c r="BF203" s="2119">
        <f>'Op Metrics'!BF14</f>
        <v>153</v>
      </c>
      <c r="BG203" s="2119">
        <f>'Op Metrics'!BG14</f>
        <v>164</v>
      </c>
      <c r="BH203" s="2119">
        <f>'Op Metrics'!BH14</f>
        <v>171</v>
      </c>
      <c r="BI203" s="2121">
        <f>'Op Metrics'!BI14</f>
        <v>639</v>
      </c>
      <c r="BJ203" s="2119">
        <f>'Op Metrics'!BJ14</f>
        <v>171</v>
      </c>
      <c r="BK203" s="2119">
        <f>'Op Metrics'!BK14</f>
        <v>184</v>
      </c>
      <c r="BL203" s="2119">
        <f>'Op Metrics'!BL14</f>
        <v>187</v>
      </c>
      <c r="BM203" s="2119">
        <f>'Op Metrics'!BM14</f>
        <v>191</v>
      </c>
      <c r="BN203" s="2121">
        <f>'Op Metrics'!BN14</f>
        <v>733</v>
      </c>
      <c r="BO203" s="2119">
        <f>'Op Metrics'!BO14</f>
        <v>214</v>
      </c>
      <c r="BP203" s="2119">
        <f>'Op Metrics'!BP14</f>
        <v>209.75609053219392</v>
      </c>
      <c r="BQ203" s="2119">
        <f>'Op Metrics'!BQ14</f>
        <v>210.08990114186633</v>
      </c>
      <c r="BR203" s="2119">
        <f>'Op Metrics'!BR14</f>
        <v>215.5047204690743</v>
      </c>
      <c r="BS203" s="2121">
        <f>'Op Metrics'!BS14</f>
        <v>849.35071214313461</v>
      </c>
      <c r="BT203" s="2119">
        <f>'Op Metrics'!BT14</f>
        <v>220.90981011345076</v>
      </c>
      <c r="BU203" s="2119">
        <f>'Op Metrics'!BU14</f>
        <v>229.44725245457428</v>
      </c>
      <c r="BV203" s="2119">
        <f>'Op Metrics'!BV14</f>
        <v>232.20420716331242</v>
      </c>
      <c r="BW203" s="2119">
        <f>'Op Metrics'!BW14</f>
        <v>237.39682904620989</v>
      </c>
      <c r="BX203" s="2121">
        <f>'Op Metrics'!BX14</f>
        <v>919.95809877754732</v>
      </c>
      <c r="BY203" s="2122">
        <f>'Op Metrics'!BY14</f>
        <v>991.54271816916435</v>
      </c>
      <c r="BZ203" s="2122">
        <f>'Op Metrics'!BZ14</f>
        <v>1068.4571629598795</v>
      </c>
      <c r="CA203" s="2122">
        <f>'Op Metrics'!CA14</f>
        <v>1144.7878656044563</v>
      </c>
      <c r="CD203" s="467"/>
      <c r="CE203" s="463"/>
      <c r="CF203" s="463"/>
      <c r="CG203" s="463"/>
      <c r="CH203" s="463"/>
      <c r="CI203" s="463"/>
      <c r="CJ203" s="463"/>
      <c r="CK203" s="463"/>
      <c r="CL203" s="463"/>
      <c r="CM203" s="463"/>
      <c r="CN203" s="463"/>
      <c r="CO203" s="463"/>
      <c r="CP203" s="463"/>
      <c r="CQ203" s="463"/>
      <c r="CR203" s="463"/>
      <c r="CS203" s="463"/>
      <c r="CT203" s="463"/>
      <c r="CU203" s="463"/>
      <c r="CV203" s="463"/>
      <c r="CW203" s="463"/>
      <c r="CX203" s="463"/>
      <c r="CY203" s="463"/>
      <c r="CZ203" s="463"/>
      <c r="DA203" s="464"/>
      <c r="DB203" s="468"/>
      <c r="DC203"/>
      <c r="DD203"/>
      <c r="DE203"/>
      <c r="DF203"/>
      <c r="DG203"/>
      <c r="DH203"/>
    </row>
    <row r="204" spans="1:112" s="470" customFormat="1" ht="12" hidden="1" customHeight="1" outlineLevel="1">
      <c r="A204" s="1215" t="str">
        <f>'Op Metrics'!A18</f>
        <v>Market Intelligence</v>
      </c>
      <c r="B204" s="79"/>
      <c r="C204" s="79"/>
      <c r="D204" s="79"/>
      <c r="E204" s="79"/>
      <c r="F204" s="79"/>
      <c r="G204" s="251"/>
      <c r="H204" s="86"/>
      <c r="I204" s="86"/>
      <c r="J204" s="86"/>
      <c r="K204" s="79"/>
      <c r="L204" s="86"/>
      <c r="M204" s="86"/>
      <c r="N204" s="86"/>
      <c r="O204" s="86"/>
      <c r="P204" s="79"/>
      <c r="Q204" s="86"/>
      <c r="R204" s="86"/>
      <c r="S204" s="86"/>
      <c r="T204" s="86"/>
      <c r="U204" s="79"/>
      <c r="V204" s="86"/>
      <c r="W204" s="86"/>
      <c r="X204" s="86"/>
      <c r="Y204" s="86"/>
      <c r="Z204" s="79"/>
      <c r="AA204" s="86"/>
      <c r="AB204" s="86"/>
      <c r="AC204" s="86"/>
      <c r="AD204" s="86"/>
      <c r="AE204" s="79"/>
      <c r="AF204" s="86"/>
      <c r="AG204" s="86"/>
      <c r="AH204" s="86"/>
      <c r="AI204" s="2128">
        <f>'Op Metrics'!AI18</f>
        <v>268</v>
      </c>
      <c r="AJ204" s="2124">
        <f>'Op Metrics'!AJ18</f>
        <v>1031</v>
      </c>
      <c r="AK204" s="2128">
        <f>'Op Metrics'!AK18</f>
        <v>274</v>
      </c>
      <c r="AL204" s="2128">
        <f>'Op Metrics'!AL18</f>
        <v>277</v>
      </c>
      <c r="AM204" s="2128">
        <f>'Op Metrics'!AM18</f>
        <v>284</v>
      </c>
      <c r="AN204" s="2128">
        <f>'Op Metrics'!AN18</f>
        <v>290</v>
      </c>
      <c r="AO204" s="2124">
        <f>'Op Metrics'!AO18</f>
        <v>1125</v>
      </c>
      <c r="AP204" s="2128">
        <f>'Op Metrics'!AP18</f>
        <v>288</v>
      </c>
      <c r="AQ204" s="2128">
        <f>'Op Metrics'!AQ18</f>
        <v>287</v>
      </c>
      <c r="AR204" s="2128">
        <f>'Op Metrics'!AR18</f>
        <v>293</v>
      </c>
      <c r="AS204" s="2128">
        <f>'Op Metrics'!AS18</f>
        <v>301</v>
      </c>
      <c r="AT204" s="2124">
        <f>'Op Metrics'!AT18</f>
        <v>1169</v>
      </c>
      <c r="AU204" s="2128">
        <f>'Op Metrics'!AU18</f>
        <v>301</v>
      </c>
      <c r="AV204" s="2128">
        <f>'Op Metrics'!AV18</f>
        <v>307</v>
      </c>
      <c r="AW204" s="2123">
        <f>'Op Metrics'!AW18</f>
        <v>311</v>
      </c>
      <c r="AX204" s="2123">
        <f>'Op Metrics'!AX18</f>
        <v>318</v>
      </c>
      <c r="AY204" s="2124">
        <f>'Op Metrics'!AY18</f>
        <v>1237</v>
      </c>
      <c r="AZ204" s="2123">
        <f>'Op Metrics'!AZ18</f>
        <v>320</v>
      </c>
      <c r="BA204" s="2123">
        <f>'Op Metrics'!BA18</f>
        <v>324</v>
      </c>
      <c r="BB204" s="2123">
        <f>'Op Metrics'!BB18</f>
        <v>356</v>
      </c>
      <c r="BC204" s="2123">
        <f>'Op Metrics'!BC18</f>
        <v>405</v>
      </c>
      <c r="BD204" s="2124">
        <f>'Op Metrics'!BD18</f>
        <v>1405</v>
      </c>
      <c r="BE204" s="2123">
        <f>'Op Metrics'!BE18</f>
        <v>407</v>
      </c>
      <c r="BF204" s="2123">
        <f>'Op Metrics'!BF18</f>
        <v>416</v>
      </c>
      <c r="BG204" s="2123">
        <f>'Op Metrics'!BG18</f>
        <v>429</v>
      </c>
      <c r="BH204" s="2123">
        <f>'Op Metrics'!BH18</f>
        <v>407</v>
      </c>
      <c r="BI204" s="2124">
        <f>'Op Metrics'!BI18</f>
        <v>1659</v>
      </c>
      <c r="BJ204" s="2123">
        <f>'Op Metrics'!BJ18</f>
        <v>402</v>
      </c>
      <c r="BK204" s="2123">
        <f>'Op Metrics'!BK18</f>
        <v>414</v>
      </c>
      <c r="BL204" s="2123">
        <f>'Op Metrics'!BL18</f>
        <v>422</v>
      </c>
      <c r="BM204" s="2123">
        <f>'Op Metrics'!BM18</f>
        <v>440</v>
      </c>
      <c r="BN204" s="2124">
        <f>'Op Metrics'!BN18</f>
        <v>1678</v>
      </c>
      <c r="BO204" s="2123">
        <f>'Op Metrics'!BO18</f>
        <v>437</v>
      </c>
      <c r="BP204" s="2123">
        <f>'Op Metrics'!BP18</f>
        <v>448.6332268570377</v>
      </c>
      <c r="BQ204" s="2123">
        <f>'Op Metrics'!BQ18</f>
        <v>455.85665577282236</v>
      </c>
      <c r="BR204" s="2123">
        <f>'Op Metrics'!BR18</f>
        <v>474.53598439759082</v>
      </c>
      <c r="BS204" s="2124">
        <f>'Op Metrics'!BS18</f>
        <v>1816.0258670274507</v>
      </c>
      <c r="BT204" s="2123">
        <f>'Op Metrics'!BT18</f>
        <v>468.17906652728703</v>
      </c>
      <c r="BU204" s="2123">
        <f>'Op Metrics'!BU18</f>
        <v>480.03755273703035</v>
      </c>
      <c r="BV204" s="2123">
        <f>'Op Metrics'!BV18</f>
        <v>487.76662167691995</v>
      </c>
      <c r="BW204" s="2123">
        <f>'Op Metrics'!BW18</f>
        <v>507.75350330542221</v>
      </c>
      <c r="BX204" s="2124">
        <f>'Op Metrics'!BX18</f>
        <v>1943.7367442466598</v>
      </c>
      <c r="BY204" s="2124">
        <f>'Op Metrics'!BY18</f>
        <v>2060.3609489014593</v>
      </c>
      <c r="BZ204" s="2124">
        <f>'Op Metrics'!BZ18</f>
        <v>2183.982605835547</v>
      </c>
      <c r="CA204" s="2124">
        <f>'Op Metrics'!CA18</f>
        <v>2293.1817361273243</v>
      </c>
      <c r="CB204" s="395"/>
      <c r="CD204" s="251"/>
      <c r="CE204" s="471"/>
      <c r="CF204" s="471"/>
      <c r="CG204" s="471"/>
      <c r="CH204" s="471"/>
      <c r="CI204" s="471"/>
      <c r="CJ204" s="471"/>
      <c r="CK204" s="471"/>
      <c r="CL204" s="471"/>
      <c r="CM204" s="471"/>
      <c r="CN204" s="471"/>
      <c r="CO204" s="471"/>
      <c r="CP204" s="471"/>
      <c r="CQ204" s="471"/>
      <c r="CR204" s="471"/>
      <c r="CS204" s="471"/>
      <c r="CT204" s="471"/>
      <c r="CU204" s="471"/>
      <c r="CV204" s="471"/>
      <c r="CW204" s="471"/>
      <c r="CX204" s="471"/>
      <c r="CY204" s="471"/>
      <c r="CZ204" s="471"/>
      <c r="DA204" s="86"/>
      <c r="DB204" s="87"/>
      <c r="DC204"/>
      <c r="DD204"/>
      <c r="DE204"/>
      <c r="DF204"/>
      <c r="DG204"/>
      <c r="DH204"/>
    </row>
    <row r="205" spans="1:112" s="470" customFormat="1" ht="12" hidden="1" customHeight="1" outlineLevel="1">
      <c r="A205" s="1215" t="str">
        <f>'Op Metrics'!A21</f>
        <v>S&amp;P Platts</v>
      </c>
      <c r="B205" s="79"/>
      <c r="C205" s="79"/>
      <c r="D205" s="79"/>
      <c r="E205" s="79"/>
      <c r="F205" s="79"/>
      <c r="G205" s="251"/>
      <c r="H205" s="86"/>
      <c r="I205" s="86"/>
      <c r="J205" s="86"/>
      <c r="K205" s="79"/>
      <c r="L205" s="86"/>
      <c r="M205" s="86"/>
      <c r="N205" s="86"/>
      <c r="O205" s="86"/>
      <c r="P205" s="79"/>
      <c r="Q205" s="86"/>
      <c r="R205" s="86"/>
      <c r="S205" s="86"/>
      <c r="T205" s="86"/>
      <c r="U205" s="79"/>
      <c r="V205" s="86"/>
      <c r="W205" s="86"/>
      <c r="X205" s="86"/>
      <c r="Y205" s="86"/>
      <c r="Z205" s="79"/>
      <c r="AA205" s="86"/>
      <c r="AB205" s="86"/>
      <c r="AC205" s="86"/>
      <c r="AD205" s="86"/>
      <c r="AE205" s="79"/>
      <c r="AF205" s="86"/>
      <c r="AG205" s="86"/>
      <c r="AH205" s="86"/>
      <c r="AI205" s="2128">
        <f>'Op Metrics'!AI21</f>
        <v>239</v>
      </c>
      <c r="AJ205" s="2124">
        <f>'Op Metrics'!AJ21</f>
        <v>896</v>
      </c>
      <c r="AK205" s="2128">
        <f>'Op Metrics'!AK21</f>
        <v>233</v>
      </c>
      <c r="AL205" s="2128">
        <f>'Op Metrics'!AL21</f>
        <v>240</v>
      </c>
      <c r="AM205" s="2128">
        <f>'Op Metrics'!AM21</f>
        <v>239</v>
      </c>
      <c r="AN205" s="2128">
        <f>'Op Metrics'!AN21+1</f>
        <v>261</v>
      </c>
      <c r="AO205" s="2124">
        <f>'Op Metrics'!AO21</f>
        <v>972</v>
      </c>
      <c r="AP205" s="2128">
        <f>'Op Metrics'!AP21</f>
        <v>236</v>
      </c>
      <c r="AQ205" s="2128">
        <f>'Op Metrics'!AQ21</f>
        <v>259</v>
      </c>
      <c r="AR205" s="2128">
        <f>'Op Metrics'!AR21</f>
        <v>213</v>
      </c>
      <c r="AS205" s="2128">
        <f>'Op Metrics'!AS21</f>
        <v>220</v>
      </c>
      <c r="AT205" s="2124">
        <f>'Op Metrics'!AT21</f>
        <v>928</v>
      </c>
      <c r="AU205" s="2128">
        <f>'Op Metrics'!AU21</f>
        <v>211</v>
      </c>
      <c r="AV205" s="2128">
        <f>'Op Metrics'!AV21</f>
        <v>219</v>
      </c>
      <c r="AW205" s="2123">
        <f>'Op Metrics'!AW21</f>
        <v>227</v>
      </c>
      <c r="AX205" s="2123">
        <f>'Op Metrics'!AX21</f>
        <v>236</v>
      </c>
      <c r="AY205" s="2124">
        <f>'Op Metrics'!AY21</f>
        <v>893</v>
      </c>
      <c r="AZ205" s="2123">
        <f>'Op Metrics'!AZ21</f>
        <v>225</v>
      </c>
      <c r="BA205" s="2123">
        <f>'Op Metrics'!BA21</f>
        <v>234</v>
      </c>
      <c r="BB205" s="2123">
        <f>'Op Metrics'!BB21</f>
        <v>248</v>
      </c>
      <c r="BC205" s="2123">
        <f>'Op Metrics'!BC21</f>
        <v>264</v>
      </c>
      <c r="BD205" s="2124">
        <f>'Op Metrics'!BD21</f>
        <v>971</v>
      </c>
      <c r="BE205" s="2123">
        <f>'Op Metrics'!BE21</f>
        <v>254</v>
      </c>
      <c r="BF205" s="2123">
        <f>'Op Metrics'!BF21</f>
        <v>255</v>
      </c>
      <c r="BG205" s="2123">
        <f>'Op Metrics'!BG21</f>
        <v>229</v>
      </c>
      <c r="BH205" s="2123">
        <f>'Op Metrics'!BH21</f>
        <v>188</v>
      </c>
      <c r="BI205" s="2124">
        <f>'Op Metrics'!BI21</f>
        <v>926</v>
      </c>
      <c r="BJ205" s="2123">
        <f>'Op Metrics'!BJ21</f>
        <v>191</v>
      </c>
      <c r="BK205" s="2123">
        <f>'Op Metrics'!BK21</f>
        <v>192</v>
      </c>
      <c r="BL205" s="2123">
        <f>'Op Metrics'!BL21</f>
        <v>184</v>
      </c>
      <c r="BM205" s="2123">
        <f>'Op Metrics'!BM21</f>
        <v>197</v>
      </c>
      <c r="BN205" s="2124">
        <f>'Op Metrics'!BN21</f>
        <v>764</v>
      </c>
      <c r="BO205" s="2123">
        <f>'Op Metrics'!BO21</f>
        <v>196</v>
      </c>
      <c r="BP205" s="2123">
        <f>'Op Metrics'!BP21</f>
        <v>201.60000000000002</v>
      </c>
      <c r="BQ205" s="2123">
        <f>'Op Metrics'!BQ21</f>
        <v>202.65</v>
      </c>
      <c r="BR205" s="2123">
        <f>'Op Metrics'!BR21</f>
        <v>206.85000000000002</v>
      </c>
      <c r="BS205" s="2124">
        <f>'Op Metrics'!BS21</f>
        <v>807.1</v>
      </c>
      <c r="BT205" s="2123">
        <f>'Op Metrics'!BT21</f>
        <v>203.84</v>
      </c>
      <c r="BU205" s="2123">
        <f>'Op Metrics'!BU21</f>
        <v>209.66400000000004</v>
      </c>
      <c r="BV205" s="2123">
        <f>'Op Metrics'!BV21</f>
        <v>210.756</v>
      </c>
      <c r="BW205" s="2123">
        <f>'Op Metrics'!BW21</f>
        <v>215.12400000000002</v>
      </c>
      <c r="BX205" s="2124">
        <f>'Op Metrics'!BX21</f>
        <v>839.38400000000001</v>
      </c>
      <c r="BY205" s="2124">
        <f>'Op Metrics'!BY21</f>
        <v>872.95936000000006</v>
      </c>
      <c r="BZ205" s="2124">
        <f>'Op Metrics'!BZ21</f>
        <v>907.87773440000012</v>
      </c>
      <c r="CA205" s="2124">
        <f>'Op Metrics'!CA21</f>
        <v>944.19284377600013</v>
      </c>
      <c r="CB205" s="395"/>
      <c r="CD205" s="251"/>
      <c r="CE205" s="471"/>
      <c r="CF205" s="471"/>
      <c r="CG205" s="471"/>
      <c r="CH205" s="471"/>
      <c r="CI205" s="471"/>
      <c r="CJ205" s="471"/>
      <c r="CK205" s="471"/>
      <c r="CL205" s="471"/>
      <c r="CM205" s="471"/>
      <c r="CN205" s="471"/>
      <c r="CO205" s="471"/>
      <c r="CP205" s="471"/>
      <c r="CQ205" s="471"/>
      <c r="CR205" s="471"/>
      <c r="CS205" s="471"/>
      <c r="CT205" s="471"/>
      <c r="CU205" s="471"/>
      <c r="CV205" s="471"/>
      <c r="CW205" s="471"/>
      <c r="CX205" s="471"/>
      <c r="CY205" s="471"/>
      <c r="CZ205" s="471"/>
      <c r="DA205" s="86"/>
      <c r="DB205" s="87"/>
      <c r="DC205"/>
      <c r="DD205"/>
      <c r="DE205"/>
      <c r="DF205"/>
      <c r="DG205"/>
      <c r="DH205"/>
    </row>
    <row r="206" spans="1:112" s="470" customFormat="1" ht="12" hidden="1" customHeight="1" outlineLevel="1">
      <c r="A206" s="1215" t="str">
        <f>'Op Metrics'!A20</f>
        <v>S&amp;P Market Intelligence / S&amp;P Indices</v>
      </c>
      <c r="B206" s="79"/>
      <c r="C206" s="79"/>
      <c r="D206" s="79"/>
      <c r="E206" s="79"/>
      <c r="F206" s="79"/>
      <c r="G206" s="251"/>
      <c r="H206" s="86"/>
      <c r="I206" s="86"/>
      <c r="J206" s="86"/>
      <c r="K206" s="79"/>
      <c r="L206" s="86"/>
      <c r="M206" s="86"/>
      <c r="N206" s="86"/>
      <c r="O206" s="86"/>
      <c r="P206" s="79"/>
      <c r="Q206" s="86"/>
      <c r="R206" s="86"/>
      <c r="S206" s="86"/>
      <c r="T206" s="86"/>
      <c r="U206" s="79"/>
      <c r="V206" s="86"/>
      <c r="W206" s="86"/>
      <c r="X206" s="86"/>
      <c r="Y206" s="86"/>
      <c r="Z206" s="79"/>
      <c r="AA206" s="86"/>
      <c r="AB206" s="86"/>
      <c r="AC206" s="86"/>
      <c r="AD206" s="86"/>
      <c r="AE206" s="79"/>
      <c r="AF206" s="86"/>
      <c r="AG206" s="86"/>
      <c r="AH206" s="86"/>
      <c r="AI206" s="2128">
        <f>'Op Metrics'!AI20</f>
        <v>348</v>
      </c>
      <c r="AJ206" s="2124">
        <f>'Op Metrics'!AJ20</f>
        <v>1354</v>
      </c>
      <c r="AK206" s="2128">
        <f>'Op Metrics'!AK20</f>
        <v>353</v>
      </c>
      <c r="AL206" s="2128">
        <f>'Op Metrics'!AL20</f>
        <v>366</v>
      </c>
      <c r="AM206" s="2128">
        <f>'Op Metrics'!AM20</f>
        <v>393</v>
      </c>
      <c r="AN206" s="2128">
        <f>'Op Metrics'!AN20</f>
        <v>400</v>
      </c>
      <c r="AO206" s="2124">
        <f>'Op Metrics'!AO20</f>
        <v>1512</v>
      </c>
      <c r="AP206" s="2128">
        <f>'Op Metrics'!AP20</f>
        <v>403</v>
      </c>
      <c r="AQ206" s="2128">
        <f>'Op Metrics'!AQ20</f>
        <v>410</v>
      </c>
      <c r="AR206" s="2128">
        <f>'Op Metrics'!AR20</f>
        <v>417</v>
      </c>
      <c r="AS206" s="2128">
        <f>'Op Metrics'!AS20</f>
        <v>431</v>
      </c>
      <c r="AT206" s="2124">
        <f>'Op Metrics'!AT20</f>
        <v>1661</v>
      </c>
      <c r="AU206" s="2128">
        <f>'Op Metrics'!AU20</f>
        <v>438</v>
      </c>
      <c r="AV206" s="2128">
        <f>'Op Metrics'!AV20</f>
        <v>440</v>
      </c>
      <c r="AW206" s="2123">
        <f>'Op Metrics'!AW20</f>
        <v>454</v>
      </c>
      <c r="AX206" s="2123">
        <f>'Op Metrics'!AX20</f>
        <v>458</v>
      </c>
      <c r="AY206" s="2124">
        <f>'Op Metrics'!AY20</f>
        <v>1790</v>
      </c>
      <c r="AZ206" s="2123">
        <f>'Op Metrics'!AZ20</f>
        <v>463</v>
      </c>
      <c r="BA206" s="2123">
        <f>'Op Metrics'!BA20</f>
        <v>472</v>
      </c>
      <c r="BB206" s="2123">
        <f>'Op Metrics'!BB20</f>
        <v>512</v>
      </c>
      <c r="BC206" s="2123">
        <f>'Op Metrics'!BC20</f>
        <v>555</v>
      </c>
      <c r="BD206" s="2124">
        <f>'Op Metrics'!BD20</f>
        <v>2002</v>
      </c>
      <c r="BE206" s="2123">
        <f>'Op Metrics'!BE20</f>
        <v>558</v>
      </c>
      <c r="BF206" s="2123">
        <f>'Op Metrics'!BF20</f>
        <v>569</v>
      </c>
      <c r="BG206" s="2123">
        <f>'Op Metrics'!BG20</f>
        <v>593</v>
      </c>
      <c r="BH206" s="2123">
        <f>'Op Metrics'!BH20</f>
        <v>578</v>
      </c>
      <c r="BI206" s="2124">
        <f>'Op Metrics'!BI20</f>
        <v>2298</v>
      </c>
      <c r="BJ206" s="2123">
        <f>'Op Metrics'!BJ20</f>
        <v>573</v>
      </c>
      <c r="BK206" s="2123">
        <f>'Op Metrics'!BK20</f>
        <v>598</v>
      </c>
      <c r="BL206" s="2123">
        <f>'Op Metrics'!BL20</f>
        <v>609</v>
      </c>
      <c r="BM206" s="2123">
        <f>'Op Metrics'!BM20</f>
        <v>631</v>
      </c>
      <c r="BN206" s="2124">
        <f>'Op Metrics'!BN20</f>
        <v>2411</v>
      </c>
      <c r="BO206" s="2123">
        <f>'Op Metrics'!BO20</f>
        <v>651</v>
      </c>
      <c r="BP206" s="2123">
        <f>'Op Metrics'!BP20</f>
        <v>658.38931738923156</v>
      </c>
      <c r="BQ206" s="2123">
        <f>'Op Metrics'!BQ20</f>
        <v>665.9465569146887</v>
      </c>
      <c r="BR206" s="2123">
        <f>'Op Metrics'!BR20</f>
        <v>690.04070486666512</v>
      </c>
      <c r="BS206" s="2124">
        <f>'Op Metrics'!BS20</f>
        <v>2665.3765791705855</v>
      </c>
      <c r="BT206" s="2123">
        <f>'Op Metrics'!BT20</f>
        <v>689.08887664073779</v>
      </c>
      <c r="BU206" s="2123">
        <f>'Op Metrics'!BU20</f>
        <v>709.48480519160466</v>
      </c>
      <c r="BV206" s="2123">
        <f>'Op Metrics'!BV20</f>
        <v>719.97082884023234</v>
      </c>
      <c r="BW206" s="2123">
        <f>'Op Metrics'!BW20</f>
        <v>745.15033235163207</v>
      </c>
      <c r="BX206" s="2124">
        <f>'Op Metrics'!BX20</f>
        <v>2863.6948430242069</v>
      </c>
      <c r="BY206" s="2124">
        <f>'Op Metrics'!BY20</f>
        <v>3051.9036670706237</v>
      </c>
      <c r="BZ206" s="2124">
        <f>'Op Metrics'!BZ20</f>
        <v>3252.4397687954265</v>
      </c>
      <c r="CA206" s="2124">
        <f>'Op Metrics'!CA20</f>
        <v>3437.9696017317806</v>
      </c>
      <c r="CB206" s="395"/>
      <c r="CD206" s="251"/>
      <c r="CE206" s="471"/>
      <c r="CF206" s="471"/>
      <c r="CG206" s="471"/>
      <c r="CH206" s="471"/>
      <c r="CI206" s="471"/>
      <c r="CJ206" s="471"/>
      <c r="CK206" s="471"/>
      <c r="CL206" s="471"/>
      <c r="CM206" s="471"/>
      <c r="CN206" s="471"/>
      <c r="CO206" s="471"/>
      <c r="CP206" s="471"/>
      <c r="CQ206" s="471"/>
      <c r="CR206" s="471"/>
      <c r="CS206" s="471"/>
      <c r="CT206" s="471"/>
      <c r="CU206" s="471"/>
      <c r="CV206" s="471"/>
      <c r="CW206" s="471"/>
      <c r="CX206" s="471"/>
      <c r="CY206" s="471"/>
      <c r="CZ206" s="471"/>
      <c r="DA206" s="86"/>
      <c r="DB206" s="87"/>
      <c r="DC206"/>
      <c r="DD206"/>
      <c r="DE206"/>
      <c r="DF206"/>
      <c r="DG206"/>
      <c r="DH206"/>
    </row>
    <row r="207" spans="1:112" s="470" customFormat="1" ht="12" hidden="1" customHeight="1" outlineLevel="1">
      <c r="A207" s="1215" t="str">
        <f>'Op Metrics'!A22</f>
        <v>Commodities</v>
      </c>
      <c r="B207" s="79"/>
      <c r="C207" s="79"/>
      <c r="D207" s="79"/>
      <c r="E207" s="79"/>
      <c r="F207" s="79"/>
      <c r="G207" s="251"/>
      <c r="H207" s="86"/>
      <c r="I207" s="86"/>
      <c r="J207" s="86"/>
      <c r="K207" s="79"/>
      <c r="L207" s="86"/>
      <c r="M207" s="86"/>
      <c r="N207" s="86"/>
      <c r="O207" s="86"/>
      <c r="P207" s="79"/>
      <c r="Q207" s="86"/>
      <c r="R207" s="86"/>
      <c r="S207" s="86"/>
      <c r="T207" s="86"/>
      <c r="U207" s="79"/>
      <c r="V207" s="86"/>
      <c r="W207" s="86"/>
      <c r="X207" s="86"/>
      <c r="Y207" s="86"/>
      <c r="Z207" s="79"/>
      <c r="AA207" s="86"/>
      <c r="AB207" s="86"/>
      <c r="AC207" s="86"/>
      <c r="AD207" s="86"/>
      <c r="AE207" s="79"/>
      <c r="AF207" s="86"/>
      <c r="AG207" s="86"/>
      <c r="AH207" s="86"/>
      <c r="AI207" s="2128">
        <f>'Op Metrics'!AI22</f>
        <v>113</v>
      </c>
      <c r="AJ207" s="2124">
        <f>'Op Metrics'!AJ22</f>
        <v>419</v>
      </c>
      <c r="AK207" s="2128">
        <f>'Op Metrics'!AK22</f>
        <v>118</v>
      </c>
      <c r="AL207" s="2128">
        <f>'Op Metrics'!AL22</f>
        <v>120</v>
      </c>
      <c r="AM207" s="2128">
        <f>'Op Metrics'!AM22</f>
        <v>121</v>
      </c>
      <c r="AN207" s="2128">
        <f>'Op Metrics'!AN22</f>
        <v>129</v>
      </c>
      <c r="AO207" s="2124">
        <f>'Op Metrics'!AO22</f>
        <v>488</v>
      </c>
      <c r="AP207" s="2128">
        <f>'Op Metrics'!AP22</f>
        <v>130</v>
      </c>
      <c r="AQ207" s="2128">
        <f>'Op Metrics'!AQ22</f>
        <v>137</v>
      </c>
      <c r="AR207" s="2128">
        <f>'Op Metrics'!AR22</f>
        <v>142</v>
      </c>
      <c r="AS207" s="2128">
        <f>'Op Metrics'!AS22</f>
        <v>141</v>
      </c>
      <c r="AT207" s="2124">
        <f>'Op Metrics'!AT22</f>
        <v>550</v>
      </c>
      <c r="AU207" s="2128">
        <f>'Op Metrics'!AU22</f>
        <v>148</v>
      </c>
      <c r="AV207" s="2128">
        <f>'Op Metrics'!AV22</f>
        <v>149</v>
      </c>
      <c r="AW207" s="251"/>
      <c r="AX207" s="251"/>
      <c r="AY207" s="79"/>
      <c r="AZ207" s="251"/>
      <c r="BA207" s="251"/>
      <c r="BB207" s="251"/>
      <c r="BC207" s="251"/>
      <c r="BD207" s="79"/>
      <c r="BE207" s="251"/>
      <c r="BF207" s="251"/>
      <c r="BG207" s="251"/>
      <c r="BH207" s="251"/>
      <c r="BI207" s="79"/>
      <c r="BJ207" s="251"/>
      <c r="BK207" s="251"/>
      <c r="BL207" s="251"/>
      <c r="BM207" s="251"/>
      <c r="BN207" s="79"/>
      <c r="BO207" s="251"/>
      <c r="BP207" s="251"/>
      <c r="BQ207" s="251"/>
      <c r="BR207" s="251"/>
      <c r="BS207" s="79"/>
      <c r="BT207" s="251"/>
      <c r="BU207" s="251"/>
      <c r="BV207" s="251"/>
      <c r="BW207" s="251"/>
      <c r="BX207" s="79"/>
      <c r="BY207" s="79"/>
      <c r="BZ207" s="79"/>
      <c r="CA207" s="79"/>
      <c r="CB207" s="395"/>
      <c r="CD207" s="251"/>
      <c r="CE207" s="471"/>
      <c r="CF207" s="471"/>
      <c r="CG207" s="471"/>
      <c r="CH207" s="471"/>
      <c r="CI207" s="471"/>
      <c r="CJ207" s="471"/>
      <c r="CK207" s="471"/>
      <c r="CL207" s="471"/>
      <c r="CM207" s="471"/>
      <c r="CN207" s="471"/>
      <c r="CO207" s="471"/>
      <c r="CP207" s="471"/>
      <c r="CQ207" s="471"/>
      <c r="CR207" s="471"/>
      <c r="CS207" s="471"/>
      <c r="CT207" s="471"/>
      <c r="CU207" s="471"/>
      <c r="CV207" s="471"/>
      <c r="CW207" s="471"/>
      <c r="CX207" s="471"/>
      <c r="CY207" s="471"/>
      <c r="CZ207" s="471"/>
      <c r="DA207" s="86"/>
      <c r="DB207" s="87"/>
      <c r="DC207"/>
      <c r="DD207"/>
      <c r="DE207"/>
      <c r="DF207"/>
      <c r="DG207"/>
      <c r="DH207"/>
    </row>
    <row r="208" spans="1:112" s="470" customFormat="1" ht="12" hidden="1" customHeight="1" outlineLevel="1">
      <c r="A208" s="1215" t="str">
        <f>'Op Metrics'!A23</f>
        <v>Commercial</v>
      </c>
      <c r="B208" s="79"/>
      <c r="C208" s="79"/>
      <c r="D208" s="79"/>
      <c r="E208" s="79"/>
      <c r="F208" s="79"/>
      <c r="G208" s="251"/>
      <c r="H208" s="86"/>
      <c r="I208" s="86"/>
      <c r="J208" s="86"/>
      <c r="K208" s="79"/>
      <c r="L208" s="86"/>
      <c r="M208" s="86"/>
      <c r="N208" s="86"/>
      <c r="O208" s="86"/>
      <c r="P208" s="79"/>
      <c r="Q208" s="86"/>
      <c r="R208" s="86"/>
      <c r="S208" s="86"/>
      <c r="T208" s="86"/>
      <c r="U208" s="79"/>
      <c r="V208" s="86"/>
      <c r="W208" s="86"/>
      <c r="X208" s="86"/>
      <c r="Y208" s="86"/>
      <c r="Z208" s="79"/>
      <c r="AA208" s="86"/>
      <c r="AB208" s="86"/>
      <c r="AC208" s="86"/>
      <c r="AD208" s="86"/>
      <c r="AE208" s="79"/>
      <c r="AF208" s="86"/>
      <c r="AG208" s="86"/>
      <c r="AH208" s="86"/>
      <c r="AI208" s="2128">
        <f>'Op Metrics'!AI23</f>
        <v>126</v>
      </c>
      <c r="AJ208" s="2124">
        <f>'Op Metrics'!AJ23</f>
        <v>477</v>
      </c>
      <c r="AK208" s="2128">
        <f>'Op Metrics'!AK23</f>
        <v>115</v>
      </c>
      <c r="AL208" s="2128">
        <f>'Op Metrics'!AL23</f>
        <v>120</v>
      </c>
      <c r="AM208" s="2128">
        <f>'Op Metrics'!AM23</f>
        <v>118</v>
      </c>
      <c r="AN208" s="2128">
        <f>'Op Metrics'!AN23</f>
        <v>131</v>
      </c>
      <c r="AO208" s="2124">
        <f>'Op Metrics'!AO23</f>
        <v>484</v>
      </c>
      <c r="AP208" s="2128">
        <f>'Op Metrics'!AP23</f>
        <v>106</v>
      </c>
      <c r="AQ208" s="2128">
        <f>'Op Metrics'!AQ23</f>
        <v>122</v>
      </c>
      <c r="AR208" s="2128">
        <f>'Op Metrics'!AR23</f>
        <v>71</v>
      </c>
      <c r="AS208" s="2128">
        <f>'Op Metrics'!AS23</f>
        <v>79</v>
      </c>
      <c r="AT208" s="2124">
        <f>'Op Metrics'!AT23</f>
        <v>378</v>
      </c>
      <c r="AU208" s="2128">
        <f>'Op Metrics'!AU23</f>
        <v>61</v>
      </c>
      <c r="AV208" s="2128">
        <f>'Op Metrics'!AV23</f>
        <v>72</v>
      </c>
      <c r="AW208" s="251"/>
      <c r="AX208" s="251"/>
      <c r="AY208" s="79"/>
      <c r="AZ208" s="251"/>
      <c r="BA208" s="251"/>
      <c r="BB208" s="251"/>
      <c r="BC208" s="251"/>
      <c r="BD208" s="79"/>
      <c r="BE208" s="251"/>
      <c r="BF208" s="251"/>
      <c r="BG208" s="251"/>
      <c r="BH208" s="251"/>
      <c r="BI208" s="79"/>
      <c r="BJ208" s="251"/>
      <c r="BK208" s="251"/>
      <c r="BL208" s="251"/>
      <c r="BM208" s="251"/>
      <c r="BN208" s="79"/>
      <c r="BO208" s="251"/>
      <c r="BP208" s="251"/>
      <c r="BQ208" s="251"/>
      <c r="BR208" s="251"/>
      <c r="BS208" s="79"/>
      <c r="BT208" s="251"/>
      <c r="BU208" s="251"/>
      <c r="BV208" s="251"/>
      <c r="BW208" s="251"/>
      <c r="BX208" s="79"/>
      <c r="BY208" s="79"/>
      <c r="BZ208" s="79"/>
      <c r="CA208" s="79"/>
      <c r="CB208" s="395"/>
      <c r="CD208" s="251"/>
      <c r="CE208" s="471"/>
      <c r="CF208" s="471"/>
      <c r="CG208" s="471"/>
      <c r="CH208" s="471"/>
      <c r="CI208" s="471"/>
      <c r="CJ208" s="471"/>
      <c r="CK208" s="471"/>
      <c r="CL208" s="471"/>
      <c r="CM208" s="471"/>
      <c r="CN208" s="471"/>
      <c r="CO208" s="471"/>
      <c r="CP208" s="471"/>
      <c r="CQ208" s="471"/>
      <c r="CR208" s="471"/>
      <c r="CS208" s="471"/>
      <c r="CT208" s="471"/>
      <c r="CU208" s="471"/>
      <c r="CV208" s="471"/>
      <c r="CW208" s="471"/>
      <c r="CX208" s="471"/>
      <c r="CY208" s="471"/>
      <c r="CZ208" s="471"/>
      <c r="DA208" s="86"/>
      <c r="DB208" s="87"/>
      <c r="DC208"/>
      <c r="DD208"/>
      <c r="DE208"/>
      <c r="DF208"/>
      <c r="DG208"/>
      <c r="DH208"/>
    </row>
    <row r="209" spans="1:112" s="470" customFormat="1" ht="12" customHeight="1" collapsed="1">
      <c r="A209" s="472" t="str">
        <f>'Op Metrics'!A25</f>
        <v>Intersegment Elimination</v>
      </c>
      <c r="B209" s="473"/>
      <c r="C209" s="473"/>
      <c r="D209" s="473"/>
      <c r="E209" s="473"/>
      <c r="F209" s="473"/>
      <c r="G209" s="474"/>
      <c r="H209" s="474"/>
      <c r="I209" s="474"/>
      <c r="J209" s="474"/>
      <c r="K209" s="473"/>
      <c r="L209" s="474"/>
      <c r="M209" s="474"/>
      <c r="N209" s="474"/>
      <c r="O209" s="474"/>
      <c r="P209" s="473"/>
      <c r="Q209" s="474"/>
      <c r="R209" s="474"/>
      <c r="S209" s="474"/>
      <c r="T209" s="474"/>
      <c r="U209" s="473"/>
      <c r="V209" s="474"/>
      <c r="W209" s="474"/>
      <c r="X209" s="474"/>
      <c r="Y209" s="474"/>
      <c r="Z209" s="473"/>
      <c r="AA209" s="474"/>
      <c r="AB209" s="474"/>
      <c r="AC209" s="474"/>
      <c r="AD209" s="474"/>
      <c r="AE209" s="473"/>
      <c r="AF209" s="474"/>
      <c r="AG209" s="474"/>
      <c r="AH209" s="474"/>
      <c r="AI209" s="2125">
        <f>'Op Metrics'!AI25</f>
        <v>-17</v>
      </c>
      <c r="AJ209" s="2126">
        <f>'Op Metrics'!AJ25</f>
        <v>-63</v>
      </c>
      <c r="AK209" s="2125">
        <f>'Op Metrics'!AK25</f>
        <v>-17</v>
      </c>
      <c r="AL209" s="2125">
        <f>'Op Metrics'!AL25</f>
        <v>-17</v>
      </c>
      <c r="AM209" s="2125">
        <f>'Op Metrics'!AM25</f>
        <v>-18</v>
      </c>
      <c r="AN209" s="2125">
        <f>'Op Metrics'!AN25</f>
        <v>-18</v>
      </c>
      <c r="AO209" s="2126">
        <f>'Op Metrics'!AO25</f>
        <v>-70</v>
      </c>
      <c r="AP209" s="2125">
        <f>'Op Metrics'!AP25</f>
        <v>-19</v>
      </c>
      <c r="AQ209" s="2125">
        <f>'Op Metrics'!AQ25</f>
        <v>-18</v>
      </c>
      <c r="AR209" s="2125">
        <f>'Op Metrics'!AR25</f>
        <v>-18</v>
      </c>
      <c r="AS209" s="2125">
        <f>'Op Metrics'!AS25</f>
        <v>-19</v>
      </c>
      <c r="AT209" s="2126">
        <f>'Op Metrics'!AT25</f>
        <v>-74</v>
      </c>
      <c r="AU209" s="2125">
        <f>'Op Metrics'!AU25</f>
        <v>-22</v>
      </c>
      <c r="AV209" s="2125">
        <f>'Op Metrics'!AV25</f>
        <v>-21</v>
      </c>
      <c r="AW209" s="474">
        <f>'Op Metrics'!AW25</f>
        <v>-22</v>
      </c>
      <c r="AX209" s="474">
        <f>'Op Metrics'!AX25</f>
        <v>-22</v>
      </c>
      <c r="AY209" s="473">
        <f>'Op Metrics'!AY25</f>
        <v>-87</v>
      </c>
      <c r="AZ209" s="2125">
        <f>'Op Metrics'!AZ25</f>
        <v>-21</v>
      </c>
      <c r="BA209" s="2125">
        <f>'Op Metrics'!BA25</f>
        <v>-22</v>
      </c>
      <c r="BB209" s="2125">
        <f>'Op Metrics'!BB25</f>
        <v>-23</v>
      </c>
      <c r="BC209" s="2125">
        <f>'Op Metrics'!BC25</f>
        <v>-22</v>
      </c>
      <c r="BD209" s="2126">
        <f>'Op Metrics'!BD25</f>
        <v>-88</v>
      </c>
      <c r="BE209" s="2125">
        <f>'Op Metrics'!BE25</f>
        <v>-23</v>
      </c>
      <c r="BF209" s="2125">
        <f>'Op Metrics'!BF25</f>
        <v>-24</v>
      </c>
      <c r="BG209" s="2125">
        <f>'Op Metrics'!BG25</f>
        <v>-25</v>
      </c>
      <c r="BH209" s="2125">
        <f>'Op Metrics'!BH25</f>
        <v>-25</v>
      </c>
      <c r="BI209" s="2126">
        <f>'Op Metrics'!BI25</f>
        <v>-97</v>
      </c>
      <c r="BJ209" s="2125">
        <f>'Op Metrics'!BJ25</f>
        <v>-25</v>
      </c>
      <c r="BK209" s="2125">
        <f>'Op Metrics'!BK25</f>
        <v>-28</v>
      </c>
      <c r="BL209" s="2125">
        <f>'Op Metrics'!BL25</f>
        <v>-28</v>
      </c>
      <c r="BM209" s="2125">
        <f>'Op Metrics'!BM25</f>
        <v>-28</v>
      </c>
      <c r="BN209" s="2126">
        <f>'Op Metrics'!BN25</f>
        <v>-109</v>
      </c>
      <c r="BO209" s="2125">
        <f>'Op Metrics'!BO25</f>
        <v>-28</v>
      </c>
      <c r="BP209" s="2125">
        <f>'Op Metrics'!BP25</f>
        <v>-28</v>
      </c>
      <c r="BQ209" s="2125">
        <f>'Op Metrics'!BQ25</f>
        <v>-28</v>
      </c>
      <c r="BR209" s="2125">
        <f>'Op Metrics'!BR25</f>
        <v>-28</v>
      </c>
      <c r="BS209" s="2126">
        <f>'Op Metrics'!BS25</f>
        <v>-112</v>
      </c>
      <c r="BT209" s="2125">
        <f>'Op Metrics'!BT25</f>
        <v>-28</v>
      </c>
      <c r="BU209" s="2125">
        <f>'Op Metrics'!BU25</f>
        <v>-28</v>
      </c>
      <c r="BV209" s="2125">
        <f>'Op Metrics'!BV25</f>
        <v>-28</v>
      </c>
      <c r="BW209" s="2125">
        <f>'Op Metrics'!BW25</f>
        <v>-28</v>
      </c>
      <c r="BX209" s="2126">
        <f>'Op Metrics'!BX25</f>
        <v>-112</v>
      </c>
      <c r="BY209" s="2127">
        <f>'Op Metrics'!BY25</f>
        <v>-112</v>
      </c>
      <c r="BZ209" s="2127">
        <f>'Op Metrics'!BZ25</f>
        <v>-112</v>
      </c>
      <c r="CA209" s="2127">
        <f>'Op Metrics'!CA25</f>
        <v>-112</v>
      </c>
      <c r="CB209" s="469"/>
      <c r="CD209" s="251"/>
      <c r="CE209" s="471"/>
      <c r="CF209" s="471"/>
      <c r="CG209" s="471"/>
      <c r="CH209" s="471"/>
      <c r="CI209" s="471"/>
      <c r="CJ209" s="471"/>
      <c r="CK209" s="471"/>
      <c r="CL209" s="471"/>
      <c r="CM209" s="471"/>
      <c r="CN209" s="471"/>
      <c r="CO209" s="471"/>
      <c r="CP209" s="471"/>
      <c r="CQ209" s="471"/>
      <c r="CR209" s="471"/>
      <c r="CS209" s="471"/>
      <c r="CT209" s="471"/>
      <c r="CU209" s="471"/>
      <c r="CV209" s="471"/>
      <c r="CW209" s="471"/>
      <c r="CX209" s="471"/>
      <c r="CY209" s="471"/>
      <c r="CZ209" s="471"/>
      <c r="DA209" s="86"/>
      <c r="DB209" s="87"/>
      <c r="DC209"/>
      <c r="DD209"/>
      <c r="DE209"/>
      <c r="DF209"/>
      <c r="DG209"/>
      <c r="DH209"/>
    </row>
    <row r="210" spans="1:112" s="466" customFormat="1" ht="12" customHeight="1">
      <c r="A210" s="475" t="s">
        <v>188</v>
      </c>
      <c r="B210" s="462">
        <f t="shared" ref="B210:AH210" si="470">B195+B198</f>
        <v>4645.5349999999999</v>
      </c>
      <c r="C210" s="462">
        <f t="shared" si="470"/>
        <v>4640.1840000000002</v>
      </c>
      <c r="D210" s="462">
        <f t="shared" si="470"/>
        <v>4890.32</v>
      </c>
      <c r="E210" s="462">
        <f t="shared" si="470"/>
        <v>5250.5380000000005</v>
      </c>
      <c r="F210" s="462">
        <f t="shared" si="470"/>
        <v>6003.6419999999998</v>
      </c>
      <c r="G210" s="463">
        <f t="shared" si="470"/>
        <v>1140.6790000000001</v>
      </c>
      <c r="H210" s="464">
        <f t="shared" si="470"/>
        <v>1527.5430000000001</v>
      </c>
      <c r="I210" s="464">
        <f t="shared" si="470"/>
        <v>1992.5700000000002</v>
      </c>
      <c r="J210" s="464">
        <f t="shared" si="470"/>
        <v>1594.346</v>
      </c>
      <c r="K210" s="462">
        <f t="shared" si="470"/>
        <v>6255.1379999999999</v>
      </c>
      <c r="L210" s="464">
        <f t="shared" si="470"/>
        <v>1296.4180000000001</v>
      </c>
      <c r="M210" s="464">
        <f t="shared" si="470"/>
        <v>1718.1790000000001</v>
      </c>
      <c r="N210" s="464">
        <f t="shared" si="470"/>
        <v>2187.9960000000001</v>
      </c>
      <c r="O210" s="464">
        <f t="shared" si="470"/>
        <v>1569.6879999999996</v>
      </c>
      <c r="P210" s="462">
        <f t="shared" si="470"/>
        <v>6772.2809999999999</v>
      </c>
      <c r="Q210" s="464">
        <f t="shared" si="470"/>
        <v>1217.8709999999999</v>
      </c>
      <c r="R210" s="464">
        <f t="shared" si="470"/>
        <v>1673.2249999999999</v>
      </c>
      <c r="S210" s="464">
        <f t="shared" si="470"/>
        <v>2048.5410000000002</v>
      </c>
      <c r="T210" s="464">
        <f t="shared" si="470"/>
        <v>1415.4179999999999</v>
      </c>
      <c r="U210" s="462">
        <f t="shared" si="470"/>
        <v>6355.0549999999994</v>
      </c>
      <c r="V210" s="464">
        <f t="shared" si="470"/>
        <v>1148.2069999999999</v>
      </c>
      <c r="W210" s="464">
        <f t="shared" si="470"/>
        <v>1465.1799999999998</v>
      </c>
      <c r="X210" s="464">
        <f t="shared" si="470"/>
        <v>1875.903</v>
      </c>
      <c r="Y210" s="464">
        <f t="shared" si="470"/>
        <v>1462.4920000000002</v>
      </c>
      <c r="Z210" s="462">
        <f t="shared" si="470"/>
        <v>5951.7820000000002</v>
      </c>
      <c r="AA210" s="464">
        <f t="shared" si="470"/>
        <v>1190.4000000000001</v>
      </c>
      <c r="AB210" s="464">
        <f t="shared" si="470"/>
        <v>1474.1</v>
      </c>
      <c r="AC210" s="464">
        <f t="shared" si="470"/>
        <v>1956.2</v>
      </c>
      <c r="AD210" s="464">
        <f t="shared" si="470"/>
        <v>1547.6310000000001</v>
      </c>
      <c r="AE210" s="462">
        <f t="shared" si="470"/>
        <v>6168.3310000000001</v>
      </c>
      <c r="AF210" s="464">
        <f t="shared" si="470"/>
        <v>1261</v>
      </c>
      <c r="AG210" s="464">
        <f t="shared" si="470"/>
        <v>1557</v>
      </c>
      <c r="AH210" s="464">
        <f t="shared" si="470"/>
        <v>1908</v>
      </c>
      <c r="AI210" s="463">
        <f t="shared" ref="AI210:BG210" si="471">AI201+AI206+AI205+AI209</f>
        <v>1004</v>
      </c>
      <c r="AJ210" s="462">
        <f t="shared" si="471"/>
        <v>3954</v>
      </c>
      <c r="AK210" s="463">
        <f t="shared" si="471"/>
        <v>1035</v>
      </c>
      <c r="AL210" s="463">
        <f t="shared" si="471"/>
        <v>1072</v>
      </c>
      <c r="AM210" s="463">
        <f t="shared" si="471"/>
        <v>1116</v>
      </c>
      <c r="AN210" s="463">
        <f t="shared" si="471"/>
        <v>1227</v>
      </c>
      <c r="AO210" s="462">
        <f t="shared" si="471"/>
        <v>4449</v>
      </c>
      <c r="AP210" s="463">
        <f t="shared" si="471"/>
        <v>1181</v>
      </c>
      <c r="AQ210" s="463">
        <f t="shared" si="471"/>
        <v>1250</v>
      </c>
      <c r="AR210" s="463">
        <f t="shared" si="471"/>
        <v>1152</v>
      </c>
      <c r="AS210" s="463">
        <f t="shared" si="471"/>
        <v>1206</v>
      </c>
      <c r="AT210" s="462">
        <f t="shared" si="471"/>
        <v>4789</v>
      </c>
      <c r="AU210" s="463">
        <f t="shared" si="471"/>
        <v>1196</v>
      </c>
      <c r="AV210" s="463">
        <f t="shared" si="471"/>
        <v>1302</v>
      </c>
      <c r="AW210" s="463">
        <f t="shared" si="471"/>
        <v>1263</v>
      </c>
      <c r="AX210" s="463">
        <f t="shared" si="471"/>
        <v>1290</v>
      </c>
      <c r="AY210" s="462">
        <f t="shared" si="471"/>
        <v>5051</v>
      </c>
      <c r="AZ210" s="463">
        <f t="shared" si="471"/>
        <v>1273</v>
      </c>
      <c r="BA210" s="463">
        <f t="shared" si="471"/>
        <v>1342</v>
      </c>
      <c r="BB210" s="463">
        <f t="shared" si="471"/>
        <v>1324</v>
      </c>
      <c r="BC210" s="463">
        <f t="shared" si="471"/>
        <v>1374</v>
      </c>
      <c r="BD210" s="462">
        <f t="shared" si="471"/>
        <v>5313</v>
      </c>
      <c r="BE210" s="463">
        <f t="shared" si="471"/>
        <v>1341</v>
      </c>
      <c r="BF210" s="463">
        <f t="shared" si="471"/>
        <v>1482</v>
      </c>
      <c r="BG210" s="463">
        <f t="shared" si="471"/>
        <v>1439</v>
      </c>
      <c r="BH210" s="463">
        <f>BH201+BH202+BH203+BH209</f>
        <v>1399</v>
      </c>
      <c r="BI210" s="462">
        <f>BI201+BI206+BI205+BI209</f>
        <v>5661</v>
      </c>
      <c r="BJ210" s="463">
        <f>BJ201+BJ203+BJ202+BJ209</f>
        <v>1453</v>
      </c>
      <c r="BK210" s="463">
        <f t="shared" ref="BK210:BZ210" si="472">BK201+BK203+BK202+BK209</f>
        <v>1509</v>
      </c>
      <c r="BL210" s="463">
        <f t="shared" si="472"/>
        <v>1513</v>
      </c>
      <c r="BM210" s="463">
        <f t="shared" si="472"/>
        <v>1589</v>
      </c>
      <c r="BN210" s="462">
        <f t="shared" si="472"/>
        <v>6064</v>
      </c>
      <c r="BO210" s="463">
        <f t="shared" si="472"/>
        <v>1567</v>
      </c>
      <c r="BP210" s="463">
        <f t="shared" si="472"/>
        <v>1640.3822248173824</v>
      </c>
      <c r="BQ210" s="463">
        <f t="shared" si="472"/>
        <v>1623.3294381545411</v>
      </c>
      <c r="BR210" s="463">
        <f t="shared" si="472"/>
        <v>1671.1382330674173</v>
      </c>
      <c r="BS210" s="462">
        <f t="shared" si="472"/>
        <v>6501.8498960393408</v>
      </c>
      <c r="BT210" s="463">
        <f t="shared" ref="BT210:BX210" si="473">BT201+BT203+BT202+BT209</f>
        <v>1646.4317460029338</v>
      </c>
      <c r="BU210" s="463">
        <f t="shared" si="473"/>
        <v>1737.3649564276409</v>
      </c>
      <c r="BV210" s="463">
        <f t="shared" si="473"/>
        <v>1721.2877523166724</v>
      </c>
      <c r="BW210" s="463">
        <f t="shared" si="473"/>
        <v>1770.9531816066255</v>
      </c>
      <c r="BX210" s="462">
        <f t="shared" si="473"/>
        <v>6876.0376363538726</v>
      </c>
      <c r="BY210" s="465">
        <f t="shared" si="472"/>
        <v>7231.5258009874369</v>
      </c>
      <c r="BZ210" s="465">
        <f t="shared" si="472"/>
        <v>7608.3788965346157</v>
      </c>
      <c r="CA210" s="465">
        <f t="shared" ref="CA210" si="474">CA201+CA203+CA202+CA209</f>
        <v>7964.8547754346873</v>
      </c>
      <c r="CD210" s="467"/>
      <c r="CE210" s="463"/>
      <c r="CF210" s="463"/>
      <c r="CG210" s="463"/>
      <c r="CH210" s="463"/>
      <c r="CI210" s="463"/>
      <c r="CJ210" s="463"/>
      <c r="CK210" s="463"/>
      <c r="CL210" s="463"/>
      <c r="CM210" s="463"/>
      <c r="CN210" s="463"/>
      <c r="CO210" s="463"/>
      <c r="CP210" s="463"/>
      <c r="CQ210" s="463"/>
      <c r="CR210" s="463"/>
      <c r="CS210" s="463"/>
      <c r="CT210" s="463"/>
      <c r="CU210" s="463"/>
      <c r="CV210" s="463"/>
      <c r="CW210" s="463"/>
      <c r="CX210" s="463"/>
      <c r="CY210" s="463"/>
      <c r="CZ210" s="463"/>
      <c r="DA210" s="464"/>
      <c r="DB210" s="468"/>
      <c r="DC210"/>
      <c r="DD210"/>
      <c r="DE210"/>
      <c r="DF210"/>
      <c r="DG210"/>
      <c r="DH210"/>
    </row>
    <row r="211" spans="1:112" ht="12" customHeight="1">
      <c r="A211" s="476" t="s">
        <v>187</v>
      </c>
      <c r="B211" s="327"/>
      <c r="C211" s="327">
        <f>C210/B210-1</f>
        <v>-1.1518587202549169E-3</v>
      </c>
      <c r="D211" s="327">
        <f>D210/C210-1</f>
        <v>5.3906483018776763E-2</v>
      </c>
      <c r="E211" s="327">
        <f>E210/D210-1</f>
        <v>7.3659392432397164E-2</v>
      </c>
      <c r="F211" s="327">
        <f>F210/E210-1</f>
        <v>0.14343368241502086</v>
      </c>
      <c r="G211" s="477"/>
      <c r="H211" s="477"/>
      <c r="I211" s="477"/>
      <c r="J211" s="477"/>
      <c r="K211" s="327">
        <f t="shared" ref="K211:BS211" si="475">K210/F210-1</f>
        <v>4.1890572422539574E-2</v>
      </c>
      <c r="L211" s="477">
        <f t="shared" si="475"/>
        <v>0.1365318376160165</v>
      </c>
      <c r="M211" s="477">
        <f t="shared" si="475"/>
        <v>0.12479910549162931</v>
      </c>
      <c r="N211" s="477">
        <f t="shared" si="475"/>
        <v>9.8077357382676533E-2</v>
      </c>
      <c r="O211" s="477">
        <f t="shared" si="475"/>
        <v>-1.5465902633431061E-2</v>
      </c>
      <c r="P211" s="327">
        <f t="shared" si="475"/>
        <v>8.2674914606200467E-2</v>
      </c>
      <c r="Q211" s="477">
        <f t="shared" si="475"/>
        <v>-6.0587711679412237E-2</v>
      </c>
      <c r="R211" s="477">
        <f t="shared" si="475"/>
        <v>-2.6163746617785533E-2</v>
      </c>
      <c r="S211" s="477">
        <f t="shared" si="475"/>
        <v>-6.3736405368199911E-2</v>
      </c>
      <c r="T211" s="477">
        <f t="shared" si="475"/>
        <v>-9.8280677433986718E-2</v>
      </c>
      <c r="U211" s="327">
        <f t="shared" si="475"/>
        <v>-6.1607898431857877E-2</v>
      </c>
      <c r="V211" s="477">
        <f t="shared" si="475"/>
        <v>-5.7201460581621566E-2</v>
      </c>
      <c r="W211" s="477">
        <f t="shared" si="475"/>
        <v>-0.12433773102840329</v>
      </c>
      <c r="X211" s="477">
        <f t="shared" si="475"/>
        <v>-8.4273636700461507E-2</v>
      </c>
      <c r="Y211" s="477">
        <f t="shared" si="475"/>
        <v>3.3258019892357105E-2</v>
      </c>
      <c r="Z211" s="327">
        <f t="shared" si="475"/>
        <v>-6.3457043251395784E-2</v>
      </c>
      <c r="AA211" s="477">
        <f t="shared" si="475"/>
        <v>3.674685836264735E-2</v>
      </c>
      <c r="AB211" s="477">
        <f t="shared" si="475"/>
        <v>6.0879891890417426E-3</v>
      </c>
      <c r="AC211" s="477">
        <f t="shared" si="475"/>
        <v>4.2804452042563002E-2</v>
      </c>
      <c r="AD211" s="477">
        <f t="shared" si="475"/>
        <v>5.8215019295831949E-2</v>
      </c>
      <c r="AE211" s="327">
        <f t="shared" si="475"/>
        <v>3.638389309285861E-2</v>
      </c>
      <c r="AF211" s="477">
        <f t="shared" si="475"/>
        <v>5.9307795698924748E-2</v>
      </c>
      <c r="AG211" s="477">
        <f t="shared" si="475"/>
        <v>5.623770436198372E-2</v>
      </c>
      <c r="AH211" s="477">
        <f t="shared" si="475"/>
        <v>-2.4639607402106134E-2</v>
      </c>
      <c r="AI211" s="477">
        <f t="shared" si="475"/>
        <v>-0.3512665486798856</v>
      </c>
      <c r="AJ211" s="327">
        <f t="shared" si="475"/>
        <v>-0.35898381588147588</v>
      </c>
      <c r="AK211" s="477">
        <f t="shared" si="475"/>
        <v>-0.17922283901665348</v>
      </c>
      <c r="AL211" s="477">
        <f t="shared" si="475"/>
        <v>-0.31149646756583171</v>
      </c>
      <c r="AM211" s="477">
        <f t="shared" si="475"/>
        <v>-0.41509433962264153</v>
      </c>
      <c r="AN211" s="477">
        <f t="shared" si="475"/>
        <v>0.22211155378486058</v>
      </c>
      <c r="AO211" s="327">
        <f t="shared" si="475"/>
        <v>0.12518968133535657</v>
      </c>
      <c r="AP211" s="477">
        <f t="shared" si="475"/>
        <v>0.1410628019323672</v>
      </c>
      <c r="AQ211" s="477">
        <f t="shared" si="475"/>
        <v>0.16604477611940305</v>
      </c>
      <c r="AR211" s="477">
        <f t="shared" si="475"/>
        <v>3.2258064516129004E-2</v>
      </c>
      <c r="AS211" s="477">
        <f t="shared" si="475"/>
        <v>-1.7114914425427896E-2</v>
      </c>
      <c r="AT211" s="327">
        <f t="shared" si="475"/>
        <v>7.6421667790514736E-2</v>
      </c>
      <c r="AU211" s="477">
        <f t="shared" si="475"/>
        <v>1.2701100762066098E-2</v>
      </c>
      <c r="AV211" s="477">
        <f t="shared" si="475"/>
        <v>4.1600000000000081E-2</v>
      </c>
      <c r="AW211" s="477">
        <f t="shared" si="475"/>
        <v>9.6354166666666741E-2</v>
      </c>
      <c r="AX211" s="478">
        <f t="shared" si="475"/>
        <v>6.9651741293532243E-2</v>
      </c>
      <c r="AY211" s="479">
        <f t="shared" si="475"/>
        <v>5.4708707454583339E-2</v>
      </c>
      <c r="AZ211" s="478">
        <f t="shared" si="475"/>
        <v>6.4381270903010046E-2</v>
      </c>
      <c r="BA211" s="478">
        <f t="shared" si="475"/>
        <v>3.0721966205837115E-2</v>
      </c>
      <c r="BB211" s="478">
        <f t="shared" si="475"/>
        <v>4.829770387965171E-2</v>
      </c>
      <c r="BC211" s="478">
        <f t="shared" si="475"/>
        <v>6.5116279069767469E-2</v>
      </c>
      <c r="BD211" s="479">
        <f t="shared" si="475"/>
        <v>5.1870916650168297E-2</v>
      </c>
      <c r="BE211" s="478">
        <f t="shared" si="475"/>
        <v>5.3417124901806723E-2</v>
      </c>
      <c r="BF211" s="478">
        <f t="shared" si="475"/>
        <v>0.10432190760059612</v>
      </c>
      <c r="BG211" s="478">
        <f t="shared" si="475"/>
        <v>8.6858006042296099E-2</v>
      </c>
      <c r="BH211" s="478">
        <f t="shared" si="475"/>
        <v>1.8195050946142599E-2</v>
      </c>
      <c r="BI211" s="479">
        <f t="shared" si="475"/>
        <v>6.549971767363072E-2</v>
      </c>
      <c r="BJ211" s="478">
        <f t="shared" si="475"/>
        <v>8.3519761372110368E-2</v>
      </c>
      <c r="BK211" s="478">
        <f t="shared" si="475"/>
        <v>1.8218623481781382E-2</v>
      </c>
      <c r="BL211" s="478">
        <f t="shared" si="475"/>
        <v>5.142460041695629E-2</v>
      </c>
      <c r="BM211" s="478">
        <f t="shared" si="475"/>
        <v>0.13581129378127232</v>
      </c>
      <c r="BN211" s="479">
        <f t="shared" si="475"/>
        <v>7.1188835894718139E-2</v>
      </c>
      <c r="BO211" s="478">
        <f t="shared" si="475"/>
        <v>7.8458362009635296E-2</v>
      </c>
      <c r="BP211" s="478">
        <f t="shared" si="475"/>
        <v>8.7065755346177776E-2</v>
      </c>
      <c r="BQ211" s="478">
        <f t="shared" si="475"/>
        <v>7.2920976969293561E-2</v>
      </c>
      <c r="BR211" s="478">
        <f t="shared" si="475"/>
        <v>5.1691776631477282E-2</v>
      </c>
      <c r="BS211" s="479">
        <f t="shared" si="475"/>
        <v>7.2204798159521966E-2</v>
      </c>
      <c r="BT211" s="478">
        <f t="shared" ref="BT211" si="476">BT210/BO210-1</f>
        <v>5.0690329293512359E-2</v>
      </c>
      <c r="BU211" s="478">
        <f t="shared" ref="BU211" si="477">BU210/BP210-1</f>
        <v>5.9122032745176245E-2</v>
      </c>
      <c r="BV211" s="478">
        <f t="shared" ref="BV211" si="478">BV210/BQ210-1</f>
        <v>6.0344075490612603E-2</v>
      </c>
      <c r="BW211" s="478">
        <f t="shared" ref="BW211" si="479">BW210/BR210-1</f>
        <v>5.9728720559516724E-2</v>
      </c>
      <c r="BX211" s="479">
        <f t="shared" ref="BX211" si="480">BX210/BS210-1</f>
        <v>5.7550965694005196E-2</v>
      </c>
      <c r="BY211" s="480">
        <f>BY210/BX210-1</f>
        <v>5.1699566441301137E-2</v>
      </c>
      <c r="BZ211" s="480">
        <f>BZ210/BY210-1</f>
        <v>5.2112528658297963E-2</v>
      </c>
      <c r="CA211" s="480">
        <f>CA210/BZ210-1</f>
        <v>4.6853066040446034E-2</v>
      </c>
      <c r="CD211" s="449"/>
      <c r="CE211" s="117"/>
      <c r="CF211" s="117"/>
      <c r="CG211" s="117"/>
      <c r="CH211" s="117"/>
      <c r="CI211" s="117"/>
      <c r="CJ211" s="117"/>
      <c r="CK211" s="117"/>
      <c r="CL211" s="117"/>
      <c r="CM211" s="117"/>
      <c r="CN211" s="117"/>
      <c r="CO211" s="117"/>
      <c r="CP211" s="117"/>
      <c r="CQ211" s="117"/>
      <c r="CR211" s="117"/>
      <c r="CS211" s="117"/>
      <c r="CT211" s="117"/>
      <c r="CU211" s="117"/>
      <c r="CV211" s="117"/>
      <c r="CW211" s="117"/>
      <c r="CX211" s="117"/>
      <c r="CY211" s="117"/>
      <c r="CZ211" s="117"/>
      <c r="DA211" s="58"/>
      <c r="DB211" s="453"/>
    </row>
    <row r="212" spans="1:112" ht="12" customHeight="1">
      <c r="A212" s="42"/>
      <c r="B212" s="54"/>
      <c r="C212" s="54"/>
      <c r="D212" s="54"/>
      <c r="E212" s="54"/>
      <c r="F212" s="54"/>
      <c r="G212" s="127"/>
      <c r="H212" s="377"/>
      <c r="I212" s="377"/>
      <c r="J212" s="377"/>
      <c r="K212" s="54"/>
      <c r="L212" s="377"/>
      <c r="M212" s="377"/>
      <c r="N212" s="377"/>
      <c r="O212" s="377"/>
      <c r="P212" s="54"/>
      <c r="Q212" s="377"/>
      <c r="R212" s="377"/>
      <c r="S212" s="377"/>
      <c r="T212" s="377"/>
      <c r="U212" s="54"/>
      <c r="V212" s="377"/>
      <c r="W212" s="377"/>
      <c r="X212" s="377"/>
      <c r="Y212" s="377"/>
      <c r="Z212" s="54"/>
      <c r="AA212" s="377"/>
      <c r="AB212" s="377"/>
      <c r="AC212" s="377"/>
      <c r="AD212" s="377"/>
      <c r="AE212" s="54"/>
      <c r="AF212" s="377"/>
      <c r="AG212" s="377"/>
      <c r="AH212" s="377"/>
      <c r="AI212" s="58"/>
      <c r="AJ212" s="378"/>
      <c r="AK212" s="42"/>
      <c r="AL212" s="58"/>
      <c r="AM212" s="58"/>
      <c r="AN212" s="42"/>
      <c r="AO212" s="379"/>
      <c r="AP212" s="58"/>
      <c r="AQ212" s="58"/>
      <c r="AR212" s="58"/>
      <c r="AS212" s="58"/>
      <c r="AT212" s="378"/>
      <c r="AU212" s="58"/>
      <c r="AV212" s="481"/>
      <c r="AW212" s="481"/>
      <c r="AX212" s="370"/>
      <c r="AY212" s="378"/>
      <c r="AZ212" s="370"/>
      <c r="BA212" s="370"/>
      <c r="BB212" s="370"/>
      <c r="BC212" s="370"/>
      <c r="BD212" s="378"/>
      <c r="BE212" s="370"/>
      <c r="BF212" s="370"/>
      <c r="BG212" s="370"/>
      <c r="BH212" s="370"/>
      <c r="BI212" s="378"/>
      <c r="BJ212" s="370"/>
      <c r="BK212" s="370"/>
      <c r="BL212" s="370"/>
      <c r="BM212" s="370"/>
      <c r="BN212" s="378"/>
      <c r="BO212" s="370"/>
      <c r="BP212" s="370"/>
      <c r="BQ212" s="370"/>
      <c r="BR212" s="370"/>
      <c r="BS212" s="378"/>
      <c r="BT212" s="370"/>
      <c r="BU212" s="370"/>
      <c r="BV212" s="370"/>
      <c r="BW212" s="370"/>
      <c r="BX212" s="378"/>
      <c r="BY212" s="444"/>
      <c r="BZ212" s="444"/>
      <c r="CA212" s="444"/>
      <c r="CD212" s="370"/>
      <c r="CE212" s="127"/>
      <c r="CF212" s="127"/>
      <c r="CG212" s="127"/>
      <c r="CH212" s="127"/>
      <c r="CI212" s="127"/>
      <c r="CJ212" s="127"/>
      <c r="CK212" s="127"/>
      <c r="CL212" s="127"/>
      <c r="CM212" s="127"/>
      <c r="CN212" s="127"/>
      <c r="CO212" s="127"/>
      <c r="CP212" s="127"/>
      <c r="CQ212" s="127"/>
      <c r="CR212" s="127"/>
      <c r="CS212" s="127"/>
      <c r="CT212" s="127"/>
      <c r="CU212" s="127"/>
      <c r="CV212" s="127"/>
      <c r="CW212" s="127"/>
      <c r="CX212" s="127"/>
      <c r="CY212" s="127"/>
      <c r="CZ212" s="127"/>
      <c r="DA212" s="58"/>
      <c r="DB212" s="438"/>
    </row>
    <row r="213" spans="1:112" ht="12" hidden="1" customHeight="1">
      <c r="A213" s="42" t="s">
        <v>65</v>
      </c>
      <c r="B213" s="54"/>
      <c r="C213" s="54"/>
      <c r="D213" s="54"/>
      <c r="E213" s="54"/>
      <c r="F213" s="54"/>
      <c r="G213" s="127"/>
      <c r="H213" s="377"/>
      <c r="I213" s="377"/>
      <c r="J213" s="377"/>
      <c r="K213" s="54"/>
      <c r="L213" s="377"/>
      <c r="M213" s="377"/>
      <c r="N213" s="377"/>
      <c r="O213" s="377"/>
      <c r="P213" s="54"/>
      <c r="Q213" s="377"/>
      <c r="R213" s="377"/>
      <c r="S213" s="377"/>
      <c r="T213" s="377"/>
      <c r="U213" s="54"/>
      <c r="V213" s="377"/>
      <c r="W213" s="377"/>
      <c r="X213" s="377"/>
      <c r="Y213" s="377"/>
      <c r="Z213" s="54"/>
      <c r="AA213" s="377"/>
      <c r="AB213" s="377"/>
      <c r="AC213" s="377"/>
      <c r="AD213" s="377"/>
      <c r="AE213" s="54"/>
      <c r="AF213" s="377"/>
      <c r="AG213" s="377"/>
      <c r="AH213" s="377"/>
      <c r="AI213" s="58"/>
      <c r="AJ213" s="378"/>
      <c r="AK213" s="42"/>
      <c r="AL213" s="58"/>
      <c r="AM213" s="58"/>
      <c r="AN213" s="42"/>
      <c r="AO213" s="379"/>
      <c r="AP213" s="58"/>
      <c r="AQ213" s="58"/>
      <c r="AR213" s="58"/>
      <c r="AS213" s="58"/>
      <c r="AT213" s="378"/>
      <c r="AU213" s="58"/>
      <c r="AV213" s="58"/>
      <c r="AW213" s="370"/>
      <c r="AX213" s="370"/>
      <c r="AY213" s="378"/>
      <c r="AZ213" s="370"/>
      <c r="BA213" s="370"/>
      <c r="BB213" s="370"/>
      <c r="BC213" s="370"/>
      <c r="BD213" s="378"/>
      <c r="BE213" s="370"/>
      <c r="BF213" s="370"/>
      <c r="BG213" s="370"/>
      <c r="BH213" s="370"/>
      <c r="BI213" s="378"/>
      <c r="BJ213" s="370"/>
      <c r="BK213" s="370"/>
      <c r="BL213" s="370"/>
      <c r="BM213" s="370"/>
      <c r="BN213" s="378"/>
      <c r="BO213" s="370"/>
      <c r="BP213" s="370"/>
      <c r="BQ213" s="370"/>
      <c r="BR213" s="370"/>
      <c r="BS213" s="378"/>
      <c r="BT213" s="370"/>
      <c r="BU213" s="370"/>
      <c r="BV213" s="370"/>
      <c r="BW213" s="370"/>
      <c r="BX213" s="378"/>
      <c r="BY213" s="444"/>
      <c r="BZ213" s="444"/>
      <c r="CA213" s="444"/>
      <c r="CD213" s="370"/>
      <c r="CE213" s="127"/>
      <c r="CF213" s="127"/>
      <c r="CG213" s="127"/>
      <c r="CH213" s="127"/>
      <c r="CI213" s="127"/>
      <c r="CJ213" s="127"/>
      <c r="CK213" s="127"/>
      <c r="CL213" s="127"/>
      <c r="CM213" s="127"/>
      <c r="CN213" s="127"/>
      <c r="CO213" s="127"/>
      <c r="CP213" s="127"/>
      <c r="CQ213" s="127"/>
      <c r="CR213" s="127"/>
      <c r="CS213" s="127"/>
      <c r="CT213" s="127"/>
      <c r="CU213" s="127"/>
      <c r="CV213" s="127"/>
      <c r="CW213" s="127"/>
      <c r="CX213" s="127"/>
      <c r="CY213" s="127"/>
      <c r="CZ213" s="127"/>
      <c r="DA213" s="58"/>
      <c r="DB213" s="438"/>
    </row>
    <row r="214" spans="1:112" s="70" customFormat="1" ht="12" hidden="1" customHeight="1">
      <c r="A214" s="445" t="s">
        <v>60</v>
      </c>
      <c r="B214" s="67">
        <v>1223.6579999999999</v>
      </c>
      <c r="C214" s="67">
        <v>1166.8879999999999</v>
      </c>
      <c r="D214" s="67">
        <v>1189.5730000000001</v>
      </c>
      <c r="E214" s="67">
        <v>1120.8420000000001</v>
      </c>
      <c r="F214" s="67">
        <v>1092.1590000000001</v>
      </c>
      <c r="G214" s="248">
        <v>172.10900000000001</v>
      </c>
      <c r="H214" s="74">
        <v>261.88900000000001</v>
      </c>
      <c r="I214" s="74">
        <v>407.72800000000001</v>
      </c>
      <c r="J214" s="74">
        <f>1092.309-SUM(G214:I214)</f>
        <v>250.58299999999986</v>
      </c>
      <c r="K214" s="67">
        <f>SUM(G214:J214)</f>
        <v>1092.309</v>
      </c>
      <c r="L214" s="74">
        <v>170.97800000000001</v>
      </c>
      <c r="M214" s="74">
        <v>265.16800000000001</v>
      </c>
      <c r="N214" s="74">
        <v>439.928</v>
      </c>
      <c r="O214" s="74">
        <f>1129.519-SUM(L214:N214)</f>
        <v>253.44499999999994</v>
      </c>
      <c r="P214" s="67">
        <f>SUM(L214:O214)</f>
        <v>1129.519</v>
      </c>
      <c r="Q214" s="74">
        <v>182.04599999999999</v>
      </c>
      <c r="R214" s="74">
        <v>278.22000000000003</v>
      </c>
      <c r="S214" s="74">
        <v>453.798</v>
      </c>
      <c r="T214" s="74">
        <f>1181.322-SUM(Q214:S214)</f>
        <v>267.25799999999981</v>
      </c>
      <c r="U214" s="67">
        <f>SUM(Q214:T214)</f>
        <v>1181.3219999999999</v>
      </c>
      <c r="V214" s="74">
        <v>174.273</v>
      </c>
      <c r="W214" s="74">
        <v>268.23500000000001</v>
      </c>
      <c r="X214" s="74">
        <v>438.40499999999997</v>
      </c>
      <c r="Y214" s="74">
        <f>1132.302-SUM(V214:X214)</f>
        <v>251.3889999999999</v>
      </c>
      <c r="Z214" s="67">
        <f>SUM(V214:Y214)</f>
        <v>1132.3019999999999</v>
      </c>
      <c r="AA214" s="74">
        <v>173</v>
      </c>
      <c r="AB214" s="74">
        <v>259.10000000000002</v>
      </c>
      <c r="AC214" s="74">
        <v>408.4</v>
      </c>
      <c r="AD214" s="74">
        <f>1080.092-SUM(AA214:AC214)</f>
        <v>239.5920000000001</v>
      </c>
      <c r="AE214" s="67">
        <f>SUM(AA214:AD214)</f>
        <v>1080.0920000000001</v>
      </c>
      <c r="AF214" s="74">
        <v>173</v>
      </c>
      <c r="AG214" s="74">
        <v>239</v>
      </c>
      <c r="AH214" s="74">
        <v>374.5</v>
      </c>
      <c r="AI214" s="74">
        <f>1008-SUM(AF214:AH214)</f>
        <v>221.5</v>
      </c>
      <c r="AJ214" s="67">
        <f>SUM(AF214:AI214)</f>
        <v>1008</v>
      </c>
      <c r="AK214" s="74"/>
      <c r="AL214" s="74"/>
      <c r="AM214" s="74"/>
      <c r="AN214" s="74"/>
      <c r="AO214" s="245"/>
      <c r="AP214" s="74"/>
      <c r="AQ214" s="74"/>
      <c r="AR214" s="74"/>
      <c r="AS214" s="74"/>
      <c r="AT214" s="67"/>
      <c r="AU214" s="74"/>
      <c r="AV214" s="74"/>
      <c r="AW214" s="248"/>
      <c r="AX214" s="248"/>
      <c r="AY214" s="67"/>
      <c r="AZ214" s="248"/>
      <c r="BA214" s="248"/>
      <c r="BB214" s="248"/>
      <c r="BC214" s="248"/>
      <c r="BD214" s="67"/>
      <c r="BE214" s="248"/>
      <c r="BF214" s="248"/>
      <c r="BG214" s="248"/>
      <c r="BH214" s="248"/>
      <c r="BI214" s="67"/>
      <c r="BJ214" s="248"/>
      <c r="BK214" s="248"/>
      <c r="BL214" s="248"/>
      <c r="BM214" s="248"/>
      <c r="BN214" s="67"/>
      <c r="BO214" s="248"/>
      <c r="BP214" s="248"/>
      <c r="BQ214" s="248"/>
      <c r="BR214" s="248"/>
      <c r="BS214" s="67"/>
      <c r="BT214" s="248"/>
      <c r="BU214" s="248"/>
      <c r="BV214" s="248"/>
      <c r="BW214" s="248"/>
      <c r="BX214" s="67"/>
      <c r="BY214" s="446"/>
      <c r="BZ214" s="446"/>
      <c r="CA214" s="446"/>
      <c r="CB214" s="447"/>
      <c r="CC214" s="1359"/>
      <c r="CD214" s="448"/>
      <c r="CE214" s="248"/>
      <c r="CF214" s="248"/>
      <c r="CG214" s="248"/>
      <c r="CH214" s="248"/>
      <c r="CI214" s="248"/>
      <c r="CJ214" s="248"/>
      <c r="CK214" s="248"/>
      <c r="CL214" s="248"/>
      <c r="CM214" s="248"/>
      <c r="CN214" s="248"/>
      <c r="CO214" s="248"/>
      <c r="CP214" s="248"/>
      <c r="CQ214" s="248"/>
      <c r="CR214" s="248"/>
      <c r="CS214" s="248"/>
      <c r="CT214" s="248"/>
      <c r="CU214" s="248"/>
      <c r="CV214" s="248"/>
      <c r="CW214" s="248"/>
      <c r="CX214" s="248"/>
      <c r="CY214" s="248"/>
      <c r="CZ214" s="248"/>
      <c r="DA214" s="74"/>
      <c r="DB214" s="249"/>
      <c r="DC214"/>
      <c r="DD214"/>
      <c r="DE214"/>
      <c r="DF214"/>
      <c r="DG214"/>
      <c r="DH214"/>
    </row>
    <row r="215" spans="1:112" ht="12" hidden="1" customHeight="1">
      <c r="A215" s="449" t="s">
        <v>189</v>
      </c>
      <c r="B215" s="118">
        <f t="shared" ref="B215:AJ215" si="481">B214/B195</f>
        <v>0.50285896041837719</v>
      </c>
      <c r="C215" s="118">
        <f t="shared" si="481"/>
        <v>0.48828464663963472</v>
      </c>
      <c r="D215" s="118">
        <f t="shared" si="481"/>
        <v>0.48024243588884419</v>
      </c>
      <c r="E215" s="118">
        <f t="shared" si="481"/>
        <v>0.45557608624080087</v>
      </c>
      <c r="F215" s="118">
        <f t="shared" si="481"/>
        <v>0.43059041437111023</v>
      </c>
      <c r="G215" s="117">
        <f t="shared" si="481"/>
        <v>0.56873163945423122</v>
      </c>
      <c r="H215" s="122">
        <f t="shared" si="481"/>
        <v>0.46112901237828613</v>
      </c>
      <c r="I215" s="122">
        <f t="shared" si="481"/>
        <v>0.38137784213145359</v>
      </c>
      <c r="J215" s="117">
        <f t="shared" si="481"/>
        <v>0.49803633964169147</v>
      </c>
      <c r="K215" s="118">
        <f t="shared" si="481"/>
        <v>0.44715760671332655</v>
      </c>
      <c r="L215" s="117">
        <f t="shared" si="481"/>
        <v>0.54735905291498199</v>
      </c>
      <c r="M215" s="117">
        <f t="shared" si="481"/>
        <v>0.43802416031108093</v>
      </c>
      <c r="N215" s="117">
        <f t="shared" si="481"/>
        <v>0.37688042710967645</v>
      </c>
      <c r="O215" s="117">
        <f t="shared" si="481"/>
        <v>0.48795537945560497</v>
      </c>
      <c r="P215" s="118">
        <f t="shared" si="481"/>
        <v>0.43369110808037992</v>
      </c>
      <c r="Q215" s="117">
        <f t="shared" si="481"/>
        <v>0.57311510091517837</v>
      </c>
      <c r="R215" s="117">
        <f t="shared" si="481"/>
        <v>0.43875529874848612</v>
      </c>
      <c r="S215" s="117">
        <f t="shared" si="481"/>
        <v>0.39930767592757171</v>
      </c>
      <c r="T215" s="117">
        <f t="shared" si="481"/>
        <v>0.54064037415846677</v>
      </c>
      <c r="U215" s="118">
        <f t="shared" si="481"/>
        <v>0.45742410707544051</v>
      </c>
      <c r="V215" s="117">
        <f t="shared" si="481"/>
        <v>0.60219144569070959</v>
      </c>
      <c r="W215" s="117">
        <f t="shared" si="481"/>
        <v>0.51013383084860975</v>
      </c>
      <c r="X215" s="117">
        <f t="shared" si="481"/>
        <v>0.43268789484540759</v>
      </c>
      <c r="Y215" s="117">
        <f t="shared" si="481"/>
        <v>0.47093259599371279</v>
      </c>
      <c r="Z215" s="118">
        <f t="shared" si="481"/>
        <v>0.47933503652261517</v>
      </c>
      <c r="AA215" s="117">
        <f t="shared" si="481"/>
        <v>0.55662805662805659</v>
      </c>
      <c r="AB215" s="117">
        <f t="shared" si="481"/>
        <v>0.47541284403669731</v>
      </c>
      <c r="AC215" s="117">
        <f t="shared" si="481"/>
        <v>0.38586545729402866</v>
      </c>
      <c r="AD215" s="117">
        <f t="shared" si="481"/>
        <v>0.48198626816310042</v>
      </c>
      <c r="AE215" s="118">
        <f t="shared" si="481"/>
        <v>0.44793063306698938</v>
      </c>
      <c r="AF215" s="117">
        <f t="shared" si="481"/>
        <v>0.58053691275167785</v>
      </c>
      <c r="AG215" s="117">
        <f t="shared" si="481"/>
        <v>0.45697896749521988</v>
      </c>
      <c r="AH215" s="117">
        <f t="shared" si="481"/>
        <v>0.39819245082402976</v>
      </c>
      <c r="AI215" s="117">
        <f t="shared" si="481"/>
        <v>0.43135345666991237</v>
      </c>
      <c r="AJ215" s="118">
        <f t="shared" si="481"/>
        <v>0.44307692307692309</v>
      </c>
      <c r="AK215" s="117"/>
      <c r="AL215" s="117"/>
      <c r="AM215" s="117"/>
      <c r="AN215" s="117"/>
      <c r="AO215" s="118"/>
      <c r="AP215" s="117"/>
      <c r="AQ215" s="117"/>
      <c r="AR215" s="117"/>
      <c r="AS215" s="117"/>
      <c r="AT215" s="118"/>
      <c r="AU215" s="117"/>
      <c r="AV215" s="117"/>
      <c r="AW215" s="117"/>
      <c r="AX215" s="450"/>
      <c r="AY215" s="451"/>
      <c r="AZ215" s="450"/>
      <c r="BA215" s="450"/>
      <c r="BB215" s="450"/>
      <c r="BC215" s="450"/>
      <c r="BD215" s="451"/>
      <c r="BE215" s="450"/>
      <c r="BF215" s="450"/>
      <c r="BG215" s="450"/>
      <c r="BH215" s="450"/>
      <c r="BI215" s="451"/>
      <c r="BJ215" s="450"/>
      <c r="BK215" s="450"/>
      <c r="BL215" s="450"/>
      <c r="BM215" s="450"/>
      <c r="BN215" s="451"/>
      <c r="BO215" s="450"/>
      <c r="BP215" s="450"/>
      <c r="BQ215" s="450"/>
      <c r="BR215" s="450"/>
      <c r="BS215" s="451"/>
      <c r="BT215" s="450"/>
      <c r="BU215" s="450"/>
      <c r="BV215" s="450"/>
      <c r="BW215" s="450"/>
      <c r="BX215" s="451"/>
      <c r="BY215" s="452"/>
      <c r="BZ215" s="452"/>
      <c r="CA215" s="452"/>
      <c r="CD215" s="449"/>
      <c r="CE215" s="117"/>
      <c r="CF215" s="117"/>
      <c r="CG215" s="117"/>
      <c r="CH215" s="117"/>
      <c r="CI215" s="117"/>
      <c r="CJ215" s="117"/>
      <c r="CK215" s="117"/>
      <c r="CL215" s="117"/>
      <c r="CM215" s="117"/>
      <c r="CN215" s="117"/>
      <c r="CO215" s="117"/>
      <c r="CP215" s="117"/>
      <c r="CQ215" s="117"/>
      <c r="CR215" s="117"/>
      <c r="CS215" s="117"/>
      <c r="CT215" s="117"/>
      <c r="CU215" s="117"/>
      <c r="CV215" s="117"/>
      <c r="CW215" s="117"/>
      <c r="CX215" s="117"/>
      <c r="CY215" s="117"/>
      <c r="CZ215" s="117"/>
      <c r="DA215" s="58"/>
      <c r="DB215" s="453"/>
    </row>
    <row r="216" spans="1:112" ht="12" hidden="1" customHeight="1">
      <c r="A216" s="454"/>
      <c r="B216" s="54"/>
      <c r="C216" s="54"/>
      <c r="D216" s="54"/>
      <c r="E216" s="54"/>
      <c r="F216" s="54"/>
      <c r="G216" s="127"/>
      <c r="H216" s="377"/>
      <c r="I216" s="377"/>
      <c r="J216" s="377"/>
      <c r="K216" s="54"/>
      <c r="L216" s="377"/>
      <c r="M216" s="377"/>
      <c r="N216" s="377"/>
      <c r="O216" s="377"/>
      <c r="P216" s="54"/>
      <c r="Q216" s="377"/>
      <c r="R216" s="377"/>
      <c r="S216" s="377"/>
      <c r="T216" s="377"/>
      <c r="U216" s="54"/>
      <c r="V216" s="377"/>
      <c r="W216" s="377"/>
      <c r="X216" s="377"/>
      <c r="Y216" s="377"/>
      <c r="Z216" s="54"/>
      <c r="AA216" s="377"/>
      <c r="AB216" s="377"/>
      <c r="AC216" s="58"/>
      <c r="AD216" s="377"/>
      <c r="AE216" s="54"/>
      <c r="AF216" s="377"/>
      <c r="AG216" s="377"/>
      <c r="AH216" s="377"/>
      <c r="AI216" s="58"/>
      <c r="AJ216" s="378"/>
      <c r="AK216" s="58"/>
      <c r="AL216" s="58"/>
      <c r="AM216" s="58"/>
      <c r="AN216" s="42"/>
      <c r="AO216" s="379"/>
      <c r="AP216" s="58"/>
      <c r="AQ216" s="58"/>
      <c r="AR216" s="58"/>
      <c r="AS216" s="58"/>
      <c r="AT216" s="378"/>
      <c r="AU216" s="58"/>
      <c r="AV216" s="58"/>
      <c r="AW216" s="370"/>
      <c r="AX216" s="457"/>
      <c r="AY216" s="458"/>
      <c r="AZ216" s="457"/>
      <c r="BA216" s="457"/>
      <c r="BB216" s="457"/>
      <c r="BC216" s="457"/>
      <c r="BD216" s="458"/>
      <c r="BE216" s="457"/>
      <c r="BF216" s="457"/>
      <c r="BG216" s="457"/>
      <c r="BH216" s="457"/>
      <c r="BI216" s="458"/>
      <c r="BJ216" s="457"/>
      <c r="BK216" s="457"/>
      <c r="BL216" s="457"/>
      <c r="BM216" s="457"/>
      <c r="BN216" s="458"/>
      <c r="BO216" s="457"/>
      <c r="BP216" s="457"/>
      <c r="BQ216" s="457"/>
      <c r="BR216" s="457"/>
      <c r="BS216" s="458"/>
      <c r="BT216" s="457"/>
      <c r="BU216" s="457"/>
      <c r="BV216" s="457"/>
      <c r="BW216" s="457"/>
      <c r="BX216" s="458"/>
      <c r="BY216" s="459"/>
      <c r="BZ216" s="459"/>
      <c r="CA216" s="459"/>
      <c r="CD216" s="460"/>
      <c r="CE216" s="127"/>
      <c r="CF216" s="127"/>
      <c r="CG216" s="127"/>
      <c r="CH216" s="127"/>
      <c r="CI216" s="127"/>
      <c r="CJ216" s="127"/>
      <c r="CK216" s="127"/>
      <c r="CL216" s="127"/>
      <c r="CM216" s="127"/>
      <c r="CN216" s="127"/>
      <c r="CO216" s="127"/>
      <c r="CP216" s="127"/>
      <c r="CQ216" s="127"/>
      <c r="CR216" s="127"/>
      <c r="CS216" s="127"/>
      <c r="CT216" s="127"/>
      <c r="CU216" s="127"/>
      <c r="CV216" s="127"/>
      <c r="CW216" s="127"/>
      <c r="CX216" s="127"/>
      <c r="CY216" s="127"/>
      <c r="CZ216" s="127"/>
      <c r="DA216" s="58"/>
      <c r="DB216" s="438"/>
    </row>
    <row r="217" spans="1:112" s="70" customFormat="1" ht="12" hidden="1" customHeight="1">
      <c r="A217" s="445" t="s">
        <v>61</v>
      </c>
      <c r="B217" s="67">
        <v>881.11500000000001</v>
      </c>
      <c r="C217" s="67">
        <v>814.423</v>
      </c>
      <c r="D217" s="67">
        <v>828.87699999999995</v>
      </c>
      <c r="E217" s="67">
        <v>925.803</v>
      </c>
      <c r="F217" s="67">
        <v>1224.175</v>
      </c>
      <c r="G217" s="248">
        <v>309.37599999999998</v>
      </c>
      <c r="H217" s="74">
        <v>324.58699999999999</v>
      </c>
      <c r="I217" s="74">
        <v>304.529</v>
      </c>
      <c r="J217" s="74">
        <f>1294.938-SUM(G217:I217)</f>
        <v>356.44600000000014</v>
      </c>
      <c r="K217" s="67">
        <f>SUM(G217:J217)</f>
        <v>1294.9380000000001</v>
      </c>
      <c r="L217" s="74">
        <v>333.404</v>
      </c>
      <c r="M217" s="74">
        <v>369.63299999999998</v>
      </c>
      <c r="N217" s="74">
        <v>326.96300000000002</v>
      </c>
      <c r="O217" s="74">
        <f>1398.081-SUM(L217:N217)</f>
        <v>368.0809999999999</v>
      </c>
      <c r="P217" s="67">
        <f>SUM(L217:O217)</f>
        <v>1398.0809999999999</v>
      </c>
      <c r="Q217" s="74">
        <v>326.26499999999999</v>
      </c>
      <c r="R217" s="74">
        <v>368.93400000000003</v>
      </c>
      <c r="S217" s="74">
        <v>301.29000000000002</v>
      </c>
      <c r="T217" s="74">
        <f>1337.108-SUM(Q217:S217)</f>
        <v>340.61899999999991</v>
      </c>
      <c r="U217" s="67">
        <f>SUM(Q217:T217)</f>
        <v>1337.1079999999999</v>
      </c>
      <c r="V217" s="74">
        <v>314.666</v>
      </c>
      <c r="W217" s="74">
        <v>314.27</v>
      </c>
      <c r="X217" s="74">
        <v>297.47500000000002</v>
      </c>
      <c r="Y217" s="74">
        <f>1253.705-SUM(V217:X217)</f>
        <v>327.29399999999998</v>
      </c>
      <c r="Z217" s="67">
        <f>SUM(V217:Y217)</f>
        <v>1253.7049999999999</v>
      </c>
      <c r="AA217" s="74">
        <v>303.2</v>
      </c>
      <c r="AB217" s="74">
        <v>301.8</v>
      </c>
      <c r="AC217" s="74">
        <v>299.60000000000002</v>
      </c>
      <c r="AD217" s="74">
        <f>1265.936-SUM(AA217:AC217)</f>
        <v>361.3359999999999</v>
      </c>
      <c r="AE217" s="67">
        <f>SUM(AA217:AD217)</f>
        <v>1265.9359999999999</v>
      </c>
      <c r="AF217" s="74">
        <v>330</v>
      </c>
      <c r="AG217" s="74">
        <v>354</v>
      </c>
      <c r="AH217" s="74">
        <v>336.6</v>
      </c>
      <c r="AI217" s="74">
        <f>1392-SUM(AF217:AH217)</f>
        <v>371.4</v>
      </c>
      <c r="AJ217" s="67">
        <f>SUM(AF217:AI217)</f>
        <v>1392</v>
      </c>
      <c r="AK217" s="74"/>
      <c r="AL217" s="74"/>
      <c r="AM217" s="74"/>
      <c r="AN217" s="74"/>
      <c r="AO217" s="245"/>
      <c r="AP217" s="74"/>
      <c r="AQ217" s="74"/>
      <c r="AR217" s="74"/>
      <c r="AS217" s="74"/>
      <c r="AT217" s="67"/>
      <c r="AU217" s="74"/>
      <c r="AV217" s="74"/>
      <c r="AW217" s="248"/>
      <c r="AX217" s="248"/>
      <c r="AY217" s="67"/>
      <c r="AZ217" s="248"/>
      <c r="BA217" s="248"/>
      <c r="BB217" s="248"/>
      <c r="BC217" s="248"/>
      <c r="BD217" s="67"/>
      <c r="BE217" s="248"/>
      <c r="BF217" s="248"/>
      <c r="BG217" s="248"/>
      <c r="BH217" s="248"/>
      <c r="BI217" s="67"/>
      <c r="BJ217" s="248"/>
      <c r="BK217" s="248"/>
      <c r="BL217" s="248"/>
      <c r="BM217" s="248"/>
      <c r="BN217" s="67"/>
      <c r="BO217" s="248"/>
      <c r="BP217" s="248"/>
      <c r="BQ217" s="248"/>
      <c r="BR217" s="248"/>
      <c r="BS217" s="67"/>
      <c r="BT217" s="248"/>
      <c r="BU217" s="248"/>
      <c r="BV217" s="248"/>
      <c r="BW217" s="248"/>
      <c r="BX217" s="67"/>
      <c r="BY217" s="446"/>
      <c r="BZ217" s="446"/>
      <c r="CA217" s="446"/>
      <c r="CB217" s="447"/>
      <c r="CC217" s="1359"/>
      <c r="CD217" s="448"/>
      <c r="CE217" s="248"/>
      <c r="CF217" s="248"/>
      <c r="CG217" s="248"/>
      <c r="CH217" s="248"/>
      <c r="CI217" s="248"/>
      <c r="CJ217" s="248"/>
      <c r="CK217" s="248"/>
      <c r="CL217" s="248"/>
      <c r="CM217" s="248"/>
      <c r="CN217" s="248"/>
      <c r="CO217" s="248"/>
      <c r="CP217" s="248"/>
      <c r="CQ217" s="248"/>
      <c r="CR217" s="248"/>
      <c r="CS217" s="248"/>
      <c r="CT217" s="248"/>
      <c r="CU217" s="248"/>
      <c r="CV217" s="248"/>
      <c r="CW217" s="248"/>
      <c r="CX217" s="248"/>
      <c r="CY217" s="248"/>
      <c r="CZ217" s="248"/>
      <c r="DA217" s="74"/>
      <c r="DB217" s="249"/>
      <c r="DC217"/>
      <c r="DD217"/>
      <c r="DE217"/>
      <c r="DF217"/>
      <c r="DG217"/>
      <c r="DH217"/>
    </row>
    <row r="218" spans="1:112" ht="12" hidden="1" customHeight="1">
      <c r="A218" s="449" t="s">
        <v>190</v>
      </c>
      <c r="B218" s="118">
        <f t="shared" ref="B218:AJ218" si="482">B217/B198</f>
        <v>0.39831013777200563</v>
      </c>
      <c r="C218" s="118">
        <f t="shared" si="482"/>
        <v>0.36189918832712553</v>
      </c>
      <c r="D218" s="118">
        <f t="shared" si="482"/>
        <v>0.34346291831828196</v>
      </c>
      <c r="E218" s="118">
        <f t="shared" si="482"/>
        <v>0.33179763635268922</v>
      </c>
      <c r="F218" s="118">
        <f t="shared" si="482"/>
        <v>0.35307104827498687</v>
      </c>
      <c r="G218" s="117">
        <f t="shared" si="482"/>
        <v>0.36915733956995916</v>
      </c>
      <c r="H218" s="122">
        <f t="shared" si="482"/>
        <v>0.33824781448354696</v>
      </c>
      <c r="I218" s="122">
        <f t="shared" si="482"/>
        <v>0.32976313458468964</v>
      </c>
      <c r="J218" s="117">
        <f t="shared" si="482"/>
        <v>0.32665386123951168</v>
      </c>
      <c r="K218" s="118">
        <f t="shared" si="482"/>
        <v>0.33966878740306189</v>
      </c>
      <c r="L218" s="117">
        <f t="shared" si="482"/>
        <v>0.33880833169892965</v>
      </c>
      <c r="M218" s="117">
        <f t="shared" si="482"/>
        <v>0.33216301853153196</v>
      </c>
      <c r="N218" s="117">
        <f t="shared" si="482"/>
        <v>0.32032961434612056</v>
      </c>
      <c r="O218" s="117">
        <f t="shared" si="482"/>
        <v>0.35045787528349409</v>
      </c>
      <c r="P218" s="118">
        <f t="shared" si="482"/>
        <v>0.33544425433838893</v>
      </c>
      <c r="Q218" s="117">
        <f t="shared" si="482"/>
        <v>0.36242485237073274</v>
      </c>
      <c r="R218" s="117">
        <f t="shared" si="482"/>
        <v>0.35504704493159067</v>
      </c>
      <c r="S218" s="117">
        <f t="shared" si="482"/>
        <v>0.33033322771382745</v>
      </c>
      <c r="T218" s="117">
        <f t="shared" si="482"/>
        <v>0.36980312284899713</v>
      </c>
      <c r="U218" s="118">
        <f t="shared" si="482"/>
        <v>0.35443533230731222</v>
      </c>
      <c r="V218" s="117">
        <f t="shared" si="482"/>
        <v>0.36639811646128534</v>
      </c>
      <c r="W218" s="117">
        <f t="shared" si="482"/>
        <v>0.33455507804723816</v>
      </c>
      <c r="X218" s="117">
        <f t="shared" si="482"/>
        <v>0.34482258980630354</v>
      </c>
      <c r="Y218" s="117">
        <f t="shared" si="482"/>
        <v>0.3524288749312196</v>
      </c>
      <c r="Z218" s="118">
        <f t="shared" si="482"/>
        <v>0.34926552013387757</v>
      </c>
      <c r="AA218" s="117">
        <f t="shared" si="482"/>
        <v>0.34470213733515231</v>
      </c>
      <c r="AB218" s="117">
        <f t="shared" si="482"/>
        <v>0.32483048111075236</v>
      </c>
      <c r="AC218" s="117">
        <f t="shared" si="482"/>
        <v>0.33370461127199824</v>
      </c>
      <c r="AD218" s="117">
        <f t="shared" si="482"/>
        <v>0.34395328869588715</v>
      </c>
      <c r="AE218" s="118">
        <f t="shared" si="482"/>
        <v>0.3369505445513194</v>
      </c>
      <c r="AF218" s="117">
        <f t="shared" si="482"/>
        <v>0.34267912772585668</v>
      </c>
      <c r="AG218" s="117">
        <f t="shared" si="482"/>
        <v>0.34235976789168276</v>
      </c>
      <c r="AH218" s="117">
        <f t="shared" si="482"/>
        <v>0.34790697674418608</v>
      </c>
      <c r="AI218" s="117">
        <f t="shared" si="482"/>
        <v>0.3690014903129657</v>
      </c>
      <c r="AJ218" s="118">
        <f t="shared" si="482"/>
        <v>0.35054142533366911</v>
      </c>
      <c r="AK218" s="117"/>
      <c r="AL218" s="117"/>
      <c r="AM218" s="117"/>
      <c r="AN218" s="117"/>
      <c r="AO218" s="118"/>
      <c r="AP218" s="117"/>
      <c r="AQ218" s="117"/>
      <c r="AR218" s="117"/>
      <c r="AS218" s="117"/>
      <c r="AT218" s="118"/>
      <c r="AU218" s="117"/>
      <c r="AV218" s="117"/>
      <c r="AW218" s="117"/>
      <c r="AX218" s="450"/>
      <c r="AY218" s="451"/>
      <c r="AZ218" s="450"/>
      <c r="BA218" s="450"/>
      <c r="BB218" s="450"/>
      <c r="BC218" s="450"/>
      <c r="BD218" s="451"/>
      <c r="BE218" s="450"/>
      <c r="BF218" s="450"/>
      <c r="BG218" s="450"/>
      <c r="BH218" s="450"/>
      <c r="BI218" s="451"/>
      <c r="BJ218" s="450"/>
      <c r="BK218" s="450"/>
      <c r="BL218" s="450"/>
      <c r="BM218" s="450"/>
      <c r="BN218" s="451"/>
      <c r="BO218" s="450"/>
      <c r="BP218" s="450"/>
      <c r="BQ218" s="450"/>
      <c r="BR218" s="450"/>
      <c r="BS218" s="451"/>
      <c r="BT218" s="450"/>
      <c r="BU218" s="450"/>
      <c r="BV218" s="450"/>
      <c r="BW218" s="450"/>
      <c r="BX218" s="451"/>
      <c r="BY218" s="452"/>
      <c r="BZ218" s="452"/>
      <c r="CA218" s="452"/>
      <c r="CD218" s="449"/>
      <c r="CE218" s="117"/>
      <c r="CF218" s="117"/>
      <c r="CG218" s="117"/>
      <c r="CH218" s="117"/>
      <c r="CI218" s="117"/>
      <c r="CJ218" s="117"/>
      <c r="CK218" s="117"/>
      <c r="CL218" s="117"/>
      <c r="CM218" s="117"/>
      <c r="CN218" s="117"/>
      <c r="CO218" s="117"/>
      <c r="CP218" s="117"/>
      <c r="CQ218" s="117"/>
      <c r="CR218" s="117"/>
      <c r="CS218" s="117"/>
      <c r="CT218" s="117"/>
      <c r="CU218" s="117"/>
      <c r="CV218" s="117"/>
      <c r="CW218" s="117"/>
      <c r="CX218" s="117"/>
      <c r="CY218" s="117"/>
      <c r="CZ218" s="117"/>
      <c r="DA218" s="58"/>
      <c r="DB218" s="453"/>
    </row>
    <row r="219" spans="1:112" ht="12" customHeight="1">
      <c r="A219" s="482"/>
      <c r="B219" s="54"/>
      <c r="C219" s="54"/>
      <c r="D219" s="54"/>
      <c r="E219" s="54"/>
      <c r="F219" s="54"/>
      <c r="G219" s="127"/>
      <c r="H219" s="377"/>
      <c r="I219" s="377"/>
      <c r="J219" s="377"/>
      <c r="K219" s="54"/>
      <c r="L219" s="377"/>
      <c r="M219" s="377"/>
      <c r="N219" s="377"/>
      <c r="O219" s="377"/>
      <c r="P219" s="54"/>
      <c r="Q219" s="377"/>
      <c r="R219" s="377"/>
      <c r="S219" s="377"/>
      <c r="T219" s="377"/>
      <c r="U219" s="54"/>
      <c r="V219" s="377"/>
      <c r="W219" s="377"/>
      <c r="X219" s="377"/>
      <c r="Y219" s="377"/>
      <c r="Z219" s="54"/>
      <c r="AA219" s="377"/>
      <c r="AB219" s="377"/>
      <c r="AC219" s="377"/>
      <c r="AD219" s="377"/>
      <c r="AE219" s="54"/>
      <c r="AF219" s="377"/>
      <c r="AG219" s="377"/>
      <c r="AH219" s="117"/>
      <c r="AI219" s="117"/>
      <c r="AJ219" s="118"/>
      <c r="AK219" s="117"/>
      <c r="AL219" s="117"/>
      <c r="AN219" s="117"/>
      <c r="AO219" s="118"/>
      <c r="AQ219" s="117"/>
      <c r="AR219" s="117"/>
      <c r="AS219" s="117"/>
      <c r="AT219" s="118"/>
      <c r="AU219" s="117"/>
      <c r="AV219" s="117"/>
      <c r="AW219" s="117"/>
      <c r="AX219" s="230"/>
      <c r="AY219" s="483"/>
      <c r="AZ219" s="230"/>
      <c r="BA219" s="230"/>
      <c r="BB219" s="230"/>
      <c r="BC219" s="230"/>
      <c r="BD219" s="483"/>
      <c r="BE219" s="230"/>
      <c r="BF219" s="230"/>
      <c r="BG219" s="230"/>
      <c r="BH219" s="230"/>
      <c r="BI219" s="483"/>
      <c r="BJ219" s="230"/>
      <c r="BK219" s="230"/>
      <c r="BL219" s="230"/>
      <c r="BM219" s="230"/>
      <c r="BN219" s="483"/>
      <c r="BO219" s="230"/>
      <c r="BP219" s="230"/>
      <c r="BQ219" s="230"/>
      <c r="BR219" s="230"/>
      <c r="BS219" s="483"/>
      <c r="BT219" s="230"/>
      <c r="BU219" s="230"/>
      <c r="BV219" s="230"/>
      <c r="BW219" s="230"/>
      <c r="BX219" s="483"/>
      <c r="BY219" s="484"/>
      <c r="BZ219" s="484"/>
      <c r="CA219" s="484"/>
      <c r="CD219" s="482"/>
      <c r="CE219" s="127"/>
      <c r="CF219" s="127"/>
      <c r="CG219" s="127"/>
      <c r="CH219" s="127"/>
      <c r="CI219" s="127"/>
      <c r="CJ219" s="127"/>
      <c r="CK219" s="127"/>
      <c r="CL219" s="127"/>
      <c r="CM219" s="127"/>
      <c r="CN219" s="127"/>
      <c r="CO219" s="127"/>
      <c r="CP219" s="127"/>
      <c r="CQ219" s="127"/>
      <c r="CR219" s="127"/>
      <c r="CS219" s="127"/>
      <c r="CT219" s="127"/>
      <c r="CU219" s="127"/>
      <c r="CV219" s="127"/>
      <c r="CW219" s="127"/>
      <c r="CX219" s="127"/>
      <c r="CY219" s="127"/>
      <c r="CZ219" s="127"/>
      <c r="DA219" s="58"/>
      <c r="DB219" s="438"/>
    </row>
    <row r="220" spans="1:112" customFormat="1" ht="12" customHeight="1">
      <c r="A220" s="475" t="s">
        <v>66</v>
      </c>
      <c r="B220" s="462">
        <f t="shared" ref="B220:AJ220" si="483">B214+B217</f>
        <v>2104.7730000000001</v>
      </c>
      <c r="C220" s="462">
        <f t="shared" si="483"/>
        <v>1981.3109999999999</v>
      </c>
      <c r="D220" s="462">
        <f t="shared" si="483"/>
        <v>2018.45</v>
      </c>
      <c r="E220" s="462">
        <f t="shared" si="483"/>
        <v>2046.645</v>
      </c>
      <c r="F220" s="462">
        <f t="shared" si="483"/>
        <v>2316.3339999999998</v>
      </c>
      <c r="G220" s="463">
        <f t="shared" si="483"/>
        <v>481.48500000000001</v>
      </c>
      <c r="H220" s="464">
        <f t="shared" si="483"/>
        <v>586.476</v>
      </c>
      <c r="I220" s="464">
        <f t="shared" si="483"/>
        <v>712.25700000000006</v>
      </c>
      <c r="J220" s="464">
        <f t="shared" si="483"/>
        <v>607.029</v>
      </c>
      <c r="K220" s="462">
        <f t="shared" si="483"/>
        <v>2387.2470000000003</v>
      </c>
      <c r="L220" s="464">
        <f t="shared" si="483"/>
        <v>504.38200000000001</v>
      </c>
      <c r="M220" s="464">
        <f t="shared" si="483"/>
        <v>634.80099999999993</v>
      </c>
      <c r="N220" s="464">
        <f t="shared" si="483"/>
        <v>766.89100000000008</v>
      </c>
      <c r="O220" s="464">
        <f t="shared" si="483"/>
        <v>621.52599999999984</v>
      </c>
      <c r="P220" s="462">
        <f t="shared" si="483"/>
        <v>2527.6</v>
      </c>
      <c r="Q220" s="464">
        <f t="shared" si="483"/>
        <v>508.31099999999998</v>
      </c>
      <c r="R220" s="464">
        <f t="shared" si="483"/>
        <v>647.154</v>
      </c>
      <c r="S220" s="464">
        <f t="shared" si="483"/>
        <v>755.08799999999997</v>
      </c>
      <c r="T220" s="464">
        <f t="shared" si="483"/>
        <v>607.87699999999973</v>
      </c>
      <c r="U220" s="462">
        <f t="shared" si="483"/>
        <v>2518.4299999999998</v>
      </c>
      <c r="V220" s="464">
        <f t="shared" si="483"/>
        <v>488.93899999999996</v>
      </c>
      <c r="W220" s="464">
        <f t="shared" si="483"/>
        <v>582.505</v>
      </c>
      <c r="X220" s="464">
        <f t="shared" si="483"/>
        <v>735.88</v>
      </c>
      <c r="Y220" s="464">
        <f t="shared" si="483"/>
        <v>578.68299999999988</v>
      </c>
      <c r="Z220" s="462">
        <f t="shared" si="483"/>
        <v>2386.0069999999996</v>
      </c>
      <c r="AA220" s="464">
        <f t="shared" si="483"/>
        <v>476.2</v>
      </c>
      <c r="AB220" s="464">
        <f t="shared" si="483"/>
        <v>560.90000000000009</v>
      </c>
      <c r="AC220" s="464">
        <f t="shared" si="483"/>
        <v>708</v>
      </c>
      <c r="AD220" s="464">
        <f t="shared" si="483"/>
        <v>600.928</v>
      </c>
      <c r="AE220" s="462">
        <f t="shared" si="483"/>
        <v>2346.0280000000002</v>
      </c>
      <c r="AF220" s="464">
        <f t="shared" si="483"/>
        <v>503</v>
      </c>
      <c r="AG220" s="2132">
        <v>593</v>
      </c>
      <c r="AH220" s="2132">
        <v>711</v>
      </c>
      <c r="AI220" s="463">
        <f>+AJ220-SUM(AF220:AH220)</f>
        <v>593</v>
      </c>
      <c r="AJ220" s="462">
        <f t="shared" si="483"/>
        <v>2400</v>
      </c>
      <c r="AK220" s="2118">
        <v>361</v>
      </c>
      <c r="AL220" s="2118">
        <v>351</v>
      </c>
      <c r="AM220" s="2118">
        <v>367</v>
      </c>
      <c r="AN220" s="2118">
        <f>1486-SUM(AK220:AM220)</f>
        <v>407</v>
      </c>
      <c r="AO220" s="462">
        <f>SUM(AK220:AN220)</f>
        <v>1486</v>
      </c>
      <c r="AP220" s="2133">
        <v>374</v>
      </c>
      <c r="AQ220" s="2133">
        <v>395</v>
      </c>
      <c r="AR220" s="2118">
        <v>371</v>
      </c>
      <c r="AS220" s="2118">
        <f>1564-SUM(AP220:AR220)</f>
        <v>424</v>
      </c>
      <c r="AT220" s="462">
        <f>SUM(AP220:AS220)</f>
        <v>1564</v>
      </c>
      <c r="AU220" s="2118">
        <v>411</v>
      </c>
      <c r="AV220" s="2118">
        <v>420</v>
      </c>
      <c r="AW220" s="2118">
        <v>399</v>
      </c>
      <c r="AX220" s="2118">
        <f>1627-SUM(AU220:AW220)</f>
        <v>397</v>
      </c>
      <c r="AY220" s="462">
        <f>SUM(AU220:AX220)</f>
        <v>1627</v>
      </c>
      <c r="AZ220" s="2118">
        <v>410</v>
      </c>
      <c r="BA220" s="2118">
        <v>406</v>
      </c>
      <c r="BB220" s="2118">
        <v>419</v>
      </c>
      <c r="BC220" s="2118">
        <f>1672-SUM(AZ220:BB220)</f>
        <v>437</v>
      </c>
      <c r="BD220" s="462">
        <f>SUM(AZ220:BC220)</f>
        <v>1672</v>
      </c>
      <c r="BE220" s="2133">
        <v>457</v>
      </c>
      <c r="BF220" s="2133">
        <v>469</v>
      </c>
      <c r="BG220" s="2133">
        <v>438</v>
      </c>
      <c r="BH220" s="2133">
        <f>1769-SUM(BE220:BG220)</f>
        <v>405</v>
      </c>
      <c r="BI220" s="462">
        <f>SUM(BE220:BH220)</f>
        <v>1769</v>
      </c>
      <c r="BJ220" s="2133">
        <v>411</v>
      </c>
      <c r="BK220" s="2133">
        <v>449</v>
      </c>
      <c r="BL220" s="2118">
        <v>421</v>
      </c>
      <c r="BM220" s="2118">
        <f>1713-SUM(BJ220:BL220)</f>
        <v>432</v>
      </c>
      <c r="BN220" s="462">
        <f>SUM(BJ220:BM220)</f>
        <v>1713</v>
      </c>
      <c r="BO220" s="2118">
        <v>439</v>
      </c>
      <c r="BP220" s="463">
        <f>BP221*BP210</f>
        <v>488.09252415043392</v>
      </c>
      <c r="BQ220" s="463">
        <f>BQ221*BQ210</f>
        <v>451.69973130407254</v>
      </c>
      <c r="BR220" s="463">
        <f>BR221*BR210</f>
        <v>454.33084750479821</v>
      </c>
      <c r="BS220" s="462">
        <f>SUM(BO220:BR220)</f>
        <v>1833.1231029593048</v>
      </c>
      <c r="BT220" s="463">
        <f>BT221*BT210</f>
        <v>461.25305455985188</v>
      </c>
      <c r="BU220" s="463">
        <f>BU221*BU210</f>
        <v>516.94954634593159</v>
      </c>
      <c r="BV220" s="463">
        <f>BV221*BV210</f>
        <v>478.95713398897487</v>
      </c>
      <c r="BW220" s="463">
        <f>BW221*BW210</f>
        <v>481.46744773698072</v>
      </c>
      <c r="BX220" s="462">
        <f>SUM(BT220:BW220)</f>
        <v>1938.6271826317393</v>
      </c>
      <c r="BY220" s="465">
        <f>BY221*BY210</f>
        <v>2038.8533674651212</v>
      </c>
      <c r="BZ220" s="465">
        <f>BZ221*BZ210</f>
        <v>2145.1031720072147</v>
      </c>
      <c r="CA220" s="465">
        <f>CA221*CA210</f>
        <v>2245.6078325888388</v>
      </c>
      <c r="CB220" s="466"/>
      <c r="CC220" s="466"/>
      <c r="CD220" s="467"/>
      <c r="CE220" s="463"/>
      <c r="CF220" s="463"/>
      <c r="CG220" s="463"/>
      <c r="CH220" s="463"/>
      <c r="CI220" s="463"/>
      <c r="CJ220" s="463"/>
      <c r="CK220" s="463"/>
      <c r="CL220" s="463"/>
      <c r="CM220" s="463"/>
      <c r="CN220" s="463"/>
      <c r="CO220" s="463"/>
      <c r="CP220" s="463"/>
      <c r="CQ220" s="463"/>
      <c r="CR220" s="463"/>
      <c r="CS220" s="463"/>
      <c r="CT220" s="463"/>
      <c r="CU220" s="463"/>
      <c r="CV220" s="463"/>
      <c r="CW220" s="463"/>
      <c r="CX220" s="463"/>
      <c r="CY220" s="463"/>
      <c r="CZ220" s="463"/>
      <c r="DA220" s="464"/>
      <c r="DB220" s="468"/>
    </row>
    <row r="221" spans="1:112" ht="12" customHeight="1">
      <c r="A221" s="449" t="s">
        <v>191</v>
      </c>
      <c r="B221" s="118">
        <f t="shared" ref="B221:BG221" si="484">B220/B210</f>
        <v>0.45307440370161889</v>
      </c>
      <c r="C221" s="118">
        <f t="shared" si="484"/>
        <v>0.42698974868237982</v>
      </c>
      <c r="D221" s="118">
        <f t="shared" si="484"/>
        <v>0.41274395131606934</v>
      </c>
      <c r="E221" s="118">
        <f t="shared" si="484"/>
        <v>0.38979719792524115</v>
      </c>
      <c r="F221" s="118">
        <f t="shared" si="484"/>
        <v>0.38582147303253589</v>
      </c>
      <c r="G221" s="117">
        <f t="shared" si="484"/>
        <v>0.42210385217927215</v>
      </c>
      <c r="H221" s="122">
        <f t="shared" si="484"/>
        <v>0.3839342002156404</v>
      </c>
      <c r="I221" s="122">
        <f t="shared" si="484"/>
        <v>0.35745645071440402</v>
      </c>
      <c r="J221" s="117">
        <f t="shared" si="484"/>
        <v>0.38073855988599714</v>
      </c>
      <c r="K221" s="118">
        <f t="shared" si="484"/>
        <v>0.38164577663993987</v>
      </c>
      <c r="L221" s="117">
        <f t="shared" si="484"/>
        <v>0.3890581587111564</v>
      </c>
      <c r="M221" s="117">
        <f t="shared" si="484"/>
        <v>0.36946150546596129</v>
      </c>
      <c r="N221" s="117">
        <f t="shared" si="484"/>
        <v>0.35049926965131567</v>
      </c>
      <c r="O221" s="117">
        <f t="shared" si="484"/>
        <v>0.39595511974354136</v>
      </c>
      <c r="P221" s="118">
        <f t="shared" si="484"/>
        <v>0.37322727748597556</v>
      </c>
      <c r="Q221" s="117">
        <f t="shared" si="484"/>
        <v>0.41737671723852526</v>
      </c>
      <c r="R221" s="117">
        <f t="shared" si="484"/>
        <v>0.38677045824679884</v>
      </c>
      <c r="S221" s="117">
        <f t="shared" si="484"/>
        <v>0.36859794360962261</v>
      </c>
      <c r="T221" s="117">
        <f t="shared" si="484"/>
        <v>0.42946818536997533</v>
      </c>
      <c r="U221" s="118">
        <f t="shared" si="484"/>
        <v>0.39628767965029416</v>
      </c>
      <c r="V221" s="117">
        <f t="shared" si="484"/>
        <v>0.42582826964127551</v>
      </c>
      <c r="W221" s="117">
        <f t="shared" si="484"/>
        <v>0.39756548683438214</v>
      </c>
      <c r="X221" s="117">
        <f t="shared" si="484"/>
        <v>0.39228041108735368</v>
      </c>
      <c r="Y221" s="117">
        <f t="shared" si="484"/>
        <v>0.39568284817968219</v>
      </c>
      <c r="Z221" s="118">
        <f t="shared" si="484"/>
        <v>0.40088951510656801</v>
      </c>
      <c r="AA221" s="117">
        <f t="shared" si="484"/>
        <v>0.40003360215053757</v>
      </c>
      <c r="AB221" s="117">
        <f t="shared" si="484"/>
        <v>0.3805033579811411</v>
      </c>
      <c r="AC221" s="117">
        <f t="shared" si="484"/>
        <v>0.36192618341682853</v>
      </c>
      <c r="AD221" s="117">
        <f t="shared" si="484"/>
        <v>0.38828893967618894</v>
      </c>
      <c r="AE221" s="118">
        <f t="shared" si="484"/>
        <v>0.38033432382276505</v>
      </c>
      <c r="AF221" s="117">
        <f t="shared" si="484"/>
        <v>0.39888977002379067</v>
      </c>
      <c r="AG221" s="117">
        <f t="shared" si="484"/>
        <v>0.38086062941554272</v>
      </c>
      <c r="AH221" s="117">
        <f t="shared" si="484"/>
        <v>0.37264150943396224</v>
      </c>
      <c r="AI221" s="117">
        <f t="shared" si="484"/>
        <v>0.59063745019920322</v>
      </c>
      <c r="AJ221" s="118">
        <f t="shared" si="484"/>
        <v>0.60698027314112291</v>
      </c>
      <c r="AK221" s="117">
        <f t="shared" si="484"/>
        <v>0.34879227053140094</v>
      </c>
      <c r="AL221" s="117">
        <f t="shared" si="484"/>
        <v>0.32742537313432835</v>
      </c>
      <c r="AM221" s="117">
        <f t="shared" si="484"/>
        <v>0.3288530465949821</v>
      </c>
      <c r="AN221" s="117">
        <f t="shared" si="484"/>
        <v>0.33170334148329256</v>
      </c>
      <c r="AO221" s="118">
        <f t="shared" si="484"/>
        <v>0.33400764216677903</v>
      </c>
      <c r="AP221" s="117">
        <f t="shared" si="484"/>
        <v>0.31668077900084673</v>
      </c>
      <c r="AQ221" s="117">
        <f t="shared" si="484"/>
        <v>0.316</v>
      </c>
      <c r="AR221" s="117">
        <f t="shared" si="484"/>
        <v>0.3220486111111111</v>
      </c>
      <c r="AS221" s="117">
        <f t="shared" si="484"/>
        <v>0.351575456053068</v>
      </c>
      <c r="AT221" s="118">
        <f t="shared" si="484"/>
        <v>0.32658174984339111</v>
      </c>
      <c r="AU221" s="117">
        <f t="shared" si="484"/>
        <v>0.34364548494983277</v>
      </c>
      <c r="AV221" s="117">
        <f t="shared" si="484"/>
        <v>0.32258064516129031</v>
      </c>
      <c r="AW221" s="117">
        <f t="shared" si="484"/>
        <v>0.31591448931116389</v>
      </c>
      <c r="AX221" s="117">
        <f t="shared" si="484"/>
        <v>0.30775193798449613</v>
      </c>
      <c r="AY221" s="451">
        <f>AY220/AY210</f>
        <v>0.32211443278558699</v>
      </c>
      <c r="AZ221" s="117">
        <f t="shared" si="484"/>
        <v>0.32207384131971722</v>
      </c>
      <c r="BA221" s="117">
        <f t="shared" si="484"/>
        <v>0.30253353204172878</v>
      </c>
      <c r="BB221" s="117">
        <f t="shared" si="484"/>
        <v>0.31646525679758308</v>
      </c>
      <c r="BC221" s="117">
        <f t="shared" si="484"/>
        <v>0.31804949053857351</v>
      </c>
      <c r="BD221" s="451">
        <f>BD220/BD210</f>
        <v>0.31469979296066253</v>
      </c>
      <c r="BE221" s="117">
        <f t="shared" si="484"/>
        <v>0.34079045488441462</v>
      </c>
      <c r="BF221" s="117">
        <f t="shared" si="484"/>
        <v>0.31646423751686908</v>
      </c>
      <c r="BG221" s="117">
        <f t="shared" si="484"/>
        <v>0.30437804030576787</v>
      </c>
      <c r="BH221" s="117">
        <f t="shared" ref="BH221:BN221" si="485">BH220/BH210</f>
        <v>0.28949249463902788</v>
      </c>
      <c r="BI221" s="451">
        <f t="shared" si="485"/>
        <v>0.31248895954778305</v>
      </c>
      <c r="BJ221" s="117">
        <f t="shared" si="485"/>
        <v>0.28286304198210599</v>
      </c>
      <c r="BK221" s="117">
        <f t="shared" si="485"/>
        <v>0.29754804506295562</v>
      </c>
      <c r="BL221" s="117">
        <f t="shared" si="485"/>
        <v>0.27825512227362853</v>
      </c>
      <c r="BM221" s="117">
        <f t="shared" si="485"/>
        <v>0.27186910006293269</v>
      </c>
      <c r="BN221" s="451">
        <f t="shared" si="485"/>
        <v>0.2824868073878628</v>
      </c>
      <c r="BO221" s="117">
        <f t="shared" ref="BO221" si="486">BO220/BO210</f>
        <v>0.2801531589023612</v>
      </c>
      <c r="BP221" s="230">
        <f>+BK221</f>
        <v>0.29754804506295562</v>
      </c>
      <c r="BQ221" s="230">
        <f>+BL221</f>
        <v>0.27825512227362853</v>
      </c>
      <c r="BR221" s="230">
        <f>+BM221</f>
        <v>0.27186910006293269</v>
      </c>
      <c r="BS221" s="451">
        <f>BS220/BS210</f>
        <v>0.28193869933477977</v>
      </c>
      <c r="BT221" s="230">
        <f>+BO221</f>
        <v>0.2801531589023612</v>
      </c>
      <c r="BU221" s="230">
        <f>+BP221</f>
        <v>0.29754804506295562</v>
      </c>
      <c r="BV221" s="230">
        <f>+BQ221</f>
        <v>0.27825512227362853</v>
      </c>
      <c r="BW221" s="230">
        <f>+BR221</f>
        <v>0.27186910006293269</v>
      </c>
      <c r="BX221" s="451">
        <f>BX220/BX210</f>
        <v>0.28193958281760173</v>
      </c>
      <c r="BY221" s="484">
        <f>BX221</f>
        <v>0.28193958281760173</v>
      </c>
      <c r="BZ221" s="484">
        <f>BY221</f>
        <v>0.28193958281760173</v>
      </c>
      <c r="CA221" s="484">
        <f>BZ221</f>
        <v>0.28193958281760173</v>
      </c>
      <c r="CD221" s="449"/>
      <c r="CE221" s="117"/>
      <c r="CF221" s="117"/>
      <c r="CG221" s="117"/>
      <c r="CH221" s="117"/>
      <c r="CI221" s="117"/>
      <c r="CJ221" s="117"/>
      <c r="CK221" s="117"/>
      <c r="CL221" s="117"/>
      <c r="CM221" s="117"/>
      <c r="CN221" s="117"/>
      <c r="CO221" s="117"/>
      <c r="CP221" s="117"/>
      <c r="CQ221" s="117"/>
      <c r="CR221" s="117"/>
      <c r="CS221" s="117"/>
      <c r="CT221" s="117"/>
      <c r="CU221" s="117"/>
      <c r="CV221" s="117"/>
      <c r="CW221" s="117"/>
      <c r="CX221" s="117"/>
      <c r="CY221" s="117"/>
      <c r="CZ221" s="117"/>
      <c r="DA221" s="58"/>
      <c r="DB221" s="453"/>
    </row>
    <row r="222" spans="1:112" ht="12" customHeight="1">
      <c r="A222" s="449" t="s">
        <v>192</v>
      </c>
      <c r="B222" s="118">
        <f t="shared" ref="B222:BI222" si="487">B220/B230</f>
        <v>0.55311530794106967</v>
      </c>
      <c r="C222" s="118">
        <f t="shared" si="487"/>
        <v>0.54795256653771562</v>
      </c>
      <c r="D222" s="118">
        <f t="shared" si="487"/>
        <v>0.5332762307202723</v>
      </c>
      <c r="E222" s="118">
        <f t="shared" si="487"/>
        <v>0.51798048239003791</v>
      </c>
      <c r="F222" s="118">
        <f t="shared" si="487"/>
        <v>0.51871435612667605</v>
      </c>
      <c r="G222" s="117">
        <f t="shared" si="487"/>
        <v>0.50065248020463449</v>
      </c>
      <c r="H222" s="122">
        <f t="shared" si="487"/>
        <v>0.52051757451072445</v>
      </c>
      <c r="I222" s="122">
        <f t="shared" si="487"/>
        <v>0.53879839871219182</v>
      </c>
      <c r="J222" s="117">
        <f t="shared" si="487"/>
        <v>0.49222731544587428</v>
      </c>
      <c r="K222" s="118">
        <f t="shared" si="487"/>
        <v>0.51409435401047943</v>
      </c>
      <c r="L222" s="117">
        <f t="shared" si="487"/>
        <v>0.48450517518791569</v>
      </c>
      <c r="M222" s="117">
        <f t="shared" si="487"/>
        <v>0.5192697188029658</v>
      </c>
      <c r="N222" s="117">
        <f t="shared" si="487"/>
        <v>0.5433409662216353</v>
      </c>
      <c r="O222" s="117">
        <f t="shared" si="487"/>
        <v>0.49848295885181276</v>
      </c>
      <c r="P222" s="118">
        <f t="shared" si="487"/>
        <v>0.513553622019983</v>
      </c>
      <c r="Q222" s="117">
        <f t="shared" si="487"/>
        <v>0.49587253337287474</v>
      </c>
      <c r="R222" s="117">
        <f t="shared" si="487"/>
        <v>0.5213564286801865</v>
      </c>
      <c r="S222" s="117">
        <f t="shared" si="487"/>
        <v>0.56831818496563391</v>
      </c>
      <c r="T222" s="117">
        <f t="shared" si="487"/>
        <v>0.53622831717265806</v>
      </c>
      <c r="U222" s="118">
        <f t="shared" si="487"/>
        <v>0.53259245552354006</v>
      </c>
      <c r="V222" s="117">
        <f t="shared" si="487"/>
        <v>0.49879010456516193</v>
      </c>
      <c r="W222" s="117">
        <f t="shared" si="487"/>
        <v>0.52316218966420014</v>
      </c>
      <c r="X222" s="117">
        <f t="shared" si="487"/>
        <v>0.57363305351169791</v>
      </c>
      <c r="Y222" s="117">
        <f t="shared" si="487"/>
        <v>0.50507534021799061</v>
      </c>
      <c r="Z222" s="118">
        <f t="shared" si="487"/>
        <v>0.52761408128417253</v>
      </c>
      <c r="AA222" s="117">
        <f t="shared" si="487"/>
        <v>0.49388093756482054</v>
      </c>
      <c r="AB222" s="117">
        <f t="shared" si="487"/>
        <v>0.5059534548078658</v>
      </c>
      <c r="AC222" s="117">
        <f t="shared" si="487"/>
        <v>0.54227941176470595</v>
      </c>
      <c r="AD222" s="117">
        <f t="shared" si="487"/>
        <v>0.49926264777161777</v>
      </c>
      <c r="AE222" s="118">
        <f t="shared" si="487"/>
        <v>0.51200613876248324</v>
      </c>
      <c r="AF222" s="117">
        <f t="shared" si="487"/>
        <v>0.5</v>
      </c>
      <c r="AG222" s="117">
        <f t="shared" si="487"/>
        <v>0.505541346973572</v>
      </c>
      <c r="AH222" s="117">
        <f t="shared" si="487"/>
        <v>0.56285623812539576</v>
      </c>
      <c r="AI222" s="117">
        <f t="shared" si="487"/>
        <v>0.77821522309711288</v>
      </c>
      <c r="AJ222" s="118">
        <f t="shared" si="487"/>
        <v>0.57635503470137595</v>
      </c>
      <c r="AK222" s="117">
        <f t="shared" si="487"/>
        <v>0.49861878453038672</v>
      </c>
      <c r="AL222" s="117">
        <f t="shared" si="487"/>
        <v>0.48413793103448277</v>
      </c>
      <c r="AM222" s="117">
        <f t="shared" si="487"/>
        <v>0.48289473684210527</v>
      </c>
      <c r="AN222" s="117">
        <f t="shared" si="487"/>
        <v>0.47546728971962615</v>
      </c>
      <c r="AO222" s="118">
        <f t="shared" si="487"/>
        <v>0.49932795698924731</v>
      </c>
      <c r="AP222" s="117">
        <f t="shared" si="487"/>
        <v>0.47826086956521741</v>
      </c>
      <c r="AQ222" s="117">
        <f t="shared" si="487"/>
        <v>0.49129353233830847</v>
      </c>
      <c r="AR222" s="117">
        <f t="shared" si="487"/>
        <v>0.48307291666666669</v>
      </c>
      <c r="AS222" s="117">
        <f t="shared" si="487"/>
        <v>0.49417249417249415</v>
      </c>
      <c r="AT222" s="118">
        <f t="shared" si="487"/>
        <v>0.48692403486924035</v>
      </c>
      <c r="AU222" s="117">
        <f t="shared" si="487"/>
        <v>0.52998065764023206</v>
      </c>
      <c r="AV222" s="117">
        <f t="shared" si="487"/>
        <v>0.50755287009063443</v>
      </c>
      <c r="AW222" s="117">
        <f t="shared" si="487"/>
        <v>0.50698856416772553</v>
      </c>
      <c r="AX222" s="450">
        <f t="shared" si="487"/>
        <v>0.46926713947990545</v>
      </c>
      <c r="AY222" s="451">
        <f t="shared" si="487"/>
        <v>0.52739059967585089</v>
      </c>
      <c r="AZ222" s="450">
        <f t="shared" si="487"/>
        <v>0.5310880829015544</v>
      </c>
      <c r="BA222" s="450">
        <f t="shared" si="487"/>
        <v>0.53414024470464416</v>
      </c>
      <c r="BB222" s="450">
        <f t="shared" si="487"/>
        <v>0.45842450765864334</v>
      </c>
      <c r="BC222" s="450">
        <f t="shared" si="487"/>
        <v>0.45903361344537813</v>
      </c>
      <c r="BD222" s="451">
        <f t="shared" si="487"/>
        <v>0.49203966922692094</v>
      </c>
      <c r="BE222" s="450">
        <f t="shared" si="487"/>
        <v>0.55126658624849212</v>
      </c>
      <c r="BF222" s="450">
        <f t="shared" si="487"/>
        <v>0.56438026474127556</v>
      </c>
      <c r="BG222" s="450">
        <f t="shared" si="487"/>
        <v>0.5384142593730793</v>
      </c>
      <c r="BH222" s="450">
        <f>BH220/BH230</f>
        <v>0.45556805399325084</v>
      </c>
      <c r="BI222" s="451">
        <f t="shared" si="487"/>
        <v>0.77147841255996508</v>
      </c>
      <c r="BJ222" s="450">
        <f>BJ220/BJ230</f>
        <v>0.51055900621118011</v>
      </c>
      <c r="BK222" s="450">
        <f>BK220/BK230</f>
        <v>0.53966346153846156</v>
      </c>
      <c r="BL222" s="117">
        <f>BL220/BL230</f>
        <v>0.49239766081871345</v>
      </c>
      <c r="BM222" s="117">
        <f>BM220/BM230</f>
        <v>0.44953173777315297</v>
      </c>
      <c r="BN222" s="451">
        <f t="shared" ref="BN222:BZ222" si="488">BN220/BN230</f>
        <v>0.49609035621198955</v>
      </c>
      <c r="BO222" s="450">
        <f>BO220/BO230</f>
        <v>0.51285046728971961</v>
      </c>
      <c r="BP222" s="450">
        <f t="shared" si="488"/>
        <v>0.54551859381259304</v>
      </c>
      <c r="BQ222" s="450">
        <f t="shared" si="488"/>
        <v>0.50358487807342078</v>
      </c>
      <c r="BR222" s="450">
        <f t="shared" si="488"/>
        <v>0.49694497839084212</v>
      </c>
      <c r="BS222" s="451">
        <f t="shared" si="488"/>
        <v>0.51464069420545433</v>
      </c>
      <c r="BT222" s="450">
        <f t="shared" ref="BT222:BX222" si="489">BT220/BT230</f>
        <v>0.52569382371606677</v>
      </c>
      <c r="BU222" s="450">
        <f t="shared" si="489"/>
        <v>0.56252282581024105</v>
      </c>
      <c r="BV222" s="450">
        <f t="shared" si="489"/>
        <v>0.51977621162214183</v>
      </c>
      <c r="BW222" s="450">
        <f t="shared" si="489"/>
        <v>0.51258892309355275</v>
      </c>
      <c r="BX222" s="451">
        <f t="shared" si="489"/>
        <v>0.5300915400409506</v>
      </c>
      <c r="BY222" s="452">
        <f t="shared" si="488"/>
        <v>0.53691676989765613</v>
      </c>
      <c r="BZ222" s="452">
        <f t="shared" si="488"/>
        <v>0.54485517626520985</v>
      </c>
      <c r="CA222" s="452">
        <f t="shared" ref="CA222" si="490">CA220/CA230</f>
        <v>0.55182330608749275</v>
      </c>
      <c r="CD222" s="449"/>
      <c r="CE222" s="117"/>
      <c r="CF222" s="117"/>
      <c r="CG222" s="117"/>
      <c r="CH222" s="117"/>
      <c r="CI222" s="117"/>
      <c r="CJ222" s="117"/>
      <c r="CK222" s="117"/>
      <c r="CL222" s="117"/>
      <c r="CM222" s="117"/>
      <c r="CN222" s="117"/>
      <c r="CO222" s="117"/>
      <c r="CP222" s="117"/>
      <c r="CQ222" s="117"/>
      <c r="CR222" s="117"/>
      <c r="CS222" s="117"/>
      <c r="CT222" s="117"/>
      <c r="CU222" s="117"/>
      <c r="CV222" s="117"/>
      <c r="CW222" s="117"/>
      <c r="CX222" s="117"/>
      <c r="CY222" s="117"/>
      <c r="CZ222" s="117"/>
      <c r="DA222" s="58"/>
      <c r="DB222" s="453"/>
    </row>
    <row r="223" spans="1:112" ht="12" customHeight="1">
      <c r="A223" s="482"/>
      <c r="B223" s="54"/>
      <c r="C223" s="54"/>
      <c r="D223" s="54"/>
      <c r="E223" s="54"/>
      <c r="F223" s="54"/>
      <c r="G223" s="127"/>
      <c r="H223" s="377"/>
      <c r="I223" s="377"/>
      <c r="J223" s="377"/>
      <c r="K223" s="54"/>
      <c r="L223" s="377"/>
      <c r="M223" s="377"/>
      <c r="N223" s="377"/>
      <c r="O223" s="377"/>
      <c r="P223" s="54"/>
      <c r="Q223" s="377"/>
      <c r="R223" s="377"/>
      <c r="S223" s="377"/>
      <c r="T223" s="377"/>
      <c r="U223" s="54"/>
      <c r="V223" s="377"/>
      <c r="W223" s="377"/>
      <c r="X223" s="377"/>
      <c r="Y223" s="377"/>
      <c r="Z223" s="54"/>
      <c r="AA223" s="377"/>
      <c r="AB223" s="377"/>
      <c r="AC223" s="377"/>
      <c r="AD223" s="377"/>
      <c r="AE223" s="54"/>
      <c r="AF223" s="377"/>
      <c r="AG223" s="377"/>
      <c r="AH223" s="377"/>
      <c r="AI223" s="117"/>
      <c r="AJ223" s="118"/>
      <c r="AK223" s="117"/>
      <c r="AL223" s="117"/>
      <c r="AM223" s="117"/>
      <c r="AN223" s="117"/>
      <c r="AO223" s="118"/>
      <c r="AP223" s="117"/>
      <c r="AQ223" s="117"/>
      <c r="AR223" s="117"/>
      <c r="AS223" s="117"/>
      <c r="AT223" s="118"/>
      <c r="AU223" s="117"/>
      <c r="AV223" s="117"/>
      <c r="AW223" s="117"/>
      <c r="AX223" s="230"/>
      <c r="AY223" s="486"/>
      <c r="AZ223" s="230"/>
      <c r="BA223" s="230"/>
      <c r="BB223" s="230"/>
      <c r="BC223" s="230"/>
      <c r="BD223" s="483"/>
      <c r="BE223" s="230"/>
      <c r="BF223" s="230"/>
      <c r="BG223" s="230"/>
      <c r="BH223" s="230"/>
      <c r="BI223" s="483"/>
      <c r="BJ223" s="230"/>
      <c r="BK223" s="230"/>
      <c r="BL223" s="230"/>
      <c r="BM223" s="230"/>
      <c r="BN223" s="483"/>
      <c r="BO223" s="230"/>
      <c r="BP223" s="230"/>
      <c r="BQ223" s="230"/>
      <c r="BR223" s="230"/>
      <c r="BS223" s="483"/>
      <c r="BT223" s="230"/>
      <c r="BU223" s="230"/>
      <c r="BV223" s="230"/>
      <c r="BW223" s="230"/>
      <c r="BX223" s="483"/>
      <c r="BY223" s="484"/>
      <c r="BZ223" s="484"/>
      <c r="CA223" s="484"/>
      <c r="CD223" s="482"/>
      <c r="CE223" s="127"/>
      <c r="CF223" s="127"/>
      <c r="CG223" s="127"/>
      <c r="CH223" s="127"/>
      <c r="CI223" s="127"/>
      <c r="CJ223" s="127"/>
      <c r="CK223" s="127"/>
      <c r="CL223" s="127"/>
      <c r="CM223" s="127"/>
      <c r="CN223" s="127"/>
      <c r="CO223" s="127"/>
      <c r="CP223" s="127"/>
      <c r="CQ223" s="127"/>
      <c r="CR223" s="127"/>
      <c r="CS223" s="127"/>
      <c r="CT223" s="127"/>
      <c r="CU223" s="127"/>
      <c r="CV223" s="127"/>
      <c r="CW223" s="127"/>
      <c r="CX223" s="127"/>
      <c r="CY223" s="127"/>
      <c r="CZ223" s="127"/>
      <c r="DA223" s="58"/>
      <c r="DB223" s="438"/>
    </row>
    <row r="224" spans="1:112" s="466" customFormat="1" ht="12" customHeight="1">
      <c r="A224" s="487" t="s">
        <v>193</v>
      </c>
      <c r="B224" s="2120">
        <v>1700.5329999999999</v>
      </c>
      <c r="C224" s="2120">
        <v>1634.5329999999999</v>
      </c>
      <c r="D224" s="2120">
        <v>1766.549</v>
      </c>
      <c r="E224" s="2120">
        <v>1904.556</v>
      </c>
      <c r="F224" s="2120">
        <f>2172.395-23.2</f>
        <v>2149.1950000000002</v>
      </c>
      <c r="G224" s="2118">
        <f>504.03-23.8</f>
        <v>480.22999999999996</v>
      </c>
      <c r="H224" s="2132">
        <v>540.24099999999999</v>
      </c>
      <c r="I224" s="2132">
        <f>625.079-15.4</f>
        <v>609.67899999999997</v>
      </c>
      <c r="J224" s="2132">
        <f>2287.85-SUM(G224:I224)-31.5</f>
        <v>626.19999999999982</v>
      </c>
      <c r="K224" s="462">
        <f>SUM(G224:J224)</f>
        <v>2256.35</v>
      </c>
      <c r="L224" s="2132">
        <v>536.64300000000003</v>
      </c>
      <c r="M224" s="2132">
        <v>587.68700000000001</v>
      </c>
      <c r="N224" s="2132">
        <v>644.54499999999996</v>
      </c>
      <c r="O224" s="2132">
        <f>2437.884-SUM(L224:N224)-43.7</f>
        <v>625.30899999999997</v>
      </c>
      <c r="P224" s="462">
        <f>SUM(L224:O224)</f>
        <v>2394.1840000000002</v>
      </c>
      <c r="Q224" s="2132">
        <v>516.77300000000002</v>
      </c>
      <c r="R224" s="2132">
        <f>617.835-23.7</f>
        <v>594.13499999999999</v>
      </c>
      <c r="S224" s="2132">
        <f>596.948-23.4</f>
        <v>573.548</v>
      </c>
      <c r="T224" s="2132">
        <f>2283.595-SUM(Q224:S224)-73.4</f>
        <v>525.73899999999992</v>
      </c>
      <c r="U224" s="462">
        <f>SUM(Q224:T224)</f>
        <v>2210.1949999999997</v>
      </c>
      <c r="V224" s="2132">
        <v>491.31099999999998</v>
      </c>
      <c r="W224" s="2132">
        <f>546.126-15.2</f>
        <v>530.92599999999993</v>
      </c>
      <c r="X224" s="2132">
        <v>546.96100000000001</v>
      </c>
      <c r="Y224" s="2132">
        <f>2141.251-11.6+6.6-SUM(V224:X224)</f>
        <v>567.05300000000034</v>
      </c>
      <c r="Z224" s="462">
        <f>SUM(V224:Y224)</f>
        <v>2136.2510000000002</v>
      </c>
      <c r="AA224" s="2132">
        <v>488</v>
      </c>
      <c r="AB224" s="2132">
        <v>547.70000000000005</v>
      </c>
      <c r="AC224" s="2132">
        <v>597.6</v>
      </c>
      <c r="AD224" s="2132">
        <f>2262.203-10.6-15.6-SUM(AA224:AC224)</f>
        <v>602.70299999999997</v>
      </c>
      <c r="AE224" s="462">
        <f>SUM(AA224:AD224)</f>
        <v>2236.0030000000002</v>
      </c>
      <c r="AF224" s="2132">
        <v>503</v>
      </c>
      <c r="AG224" s="2132">
        <v>580</v>
      </c>
      <c r="AH224" s="2132">
        <v>552.20000000000005</v>
      </c>
      <c r="AI224" s="485">
        <f>+AI230-AI220-AI34+AI26</f>
        <v>128.89999999999998</v>
      </c>
      <c r="AJ224" s="462">
        <f>SUM(AF224:AI224)</f>
        <v>1764.1</v>
      </c>
      <c r="AK224" s="485">
        <f>+AK230-AK220-AK34+AK26</f>
        <v>332</v>
      </c>
      <c r="AL224" s="485">
        <f>+AL230-AL220-AL34+AL26</f>
        <v>340</v>
      </c>
      <c r="AM224" s="485">
        <f>+AM230-AM220-AM34+AM26</f>
        <v>354</v>
      </c>
      <c r="AN224" s="485">
        <f>+AN230-AN220-AN34+AN26</f>
        <v>464</v>
      </c>
      <c r="AO224" s="488">
        <f>SUM(AK224:AN224)</f>
        <v>1490</v>
      </c>
      <c r="AP224" s="485">
        <f>+AP230-AP220-AP34+AP26</f>
        <v>373</v>
      </c>
      <c r="AQ224" s="485">
        <f>+AQ230-AQ220-AQ34+AQ26</f>
        <v>374</v>
      </c>
      <c r="AR224" s="485">
        <f>+AR230-AR220-AR34+AR26</f>
        <v>388</v>
      </c>
      <c r="AS224" s="485">
        <f>+AS230-AS220-AS34+AS26</f>
        <v>364</v>
      </c>
      <c r="AT224" s="488">
        <f>SUM(AP224:AS224)</f>
        <v>1499</v>
      </c>
      <c r="AU224" s="485">
        <f>+AU230-AU220-AU34+AU26</f>
        <v>331.5</v>
      </c>
      <c r="AV224" s="485">
        <f>+AV230-AV220-AV34+AV26</f>
        <v>364.5</v>
      </c>
      <c r="AW224" s="485">
        <f>+AW230-AW220-AW34+AW26</f>
        <v>355</v>
      </c>
      <c r="AX224" s="485">
        <f>+AX230-AX220-AX34+AX26</f>
        <v>415</v>
      </c>
      <c r="AY224" s="462">
        <f>SUM(AU224:AX224)</f>
        <v>1466</v>
      </c>
      <c r="AZ224" s="485">
        <f t="shared" ref="AZ224:CA224" si="491">+AZ230-AZ220-AZ34+AZ26</f>
        <v>329</v>
      </c>
      <c r="BA224" s="485">
        <f t="shared" si="491"/>
        <v>332.1</v>
      </c>
      <c r="BB224" s="485">
        <f t="shared" si="491"/>
        <v>457</v>
      </c>
      <c r="BC224" s="485">
        <f t="shared" si="491"/>
        <v>462</v>
      </c>
      <c r="BD224" s="462">
        <f t="shared" si="491"/>
        <v>1580.1</v>
      </c>
      <c r="BE224" s="463">
        <f t="shared" si="491"/>
        <v>330</v>
      </c>
      <c r="BF224" s="463">
        <f t="shared" si="491"/>
        <v>317</v>
      </c>
      <c r="BG224" s="463">
        <f t="shared" si="491"/>
        <v>328.5</v>
      </c>
      <c r="BH224" s="485">
        <f t="shared" si="491"/>
        <v>437</v>
      </c>
      <c r="BI224" s="462">
        <f t="shared" si="491"/>
        <v>343</v>
      </c>
      <c r="BJ224" s="463">
        <f t="shared" si="491"/>
        <v>351</v>
      </c>
      <c r="BK224" s="463">
        <f t="shared" si="491"/>
        <v>338</v>
      </c>
      <c r="BL224" s="463">
        <f t="shared" si="491"/>
        <v>388</v>
      </c>
      <c r="BM224" s="463">
        <f t="shared" si="491"/>
        <v>483</v>
      </c>
      <c r="BN224" s="462">
        <f t="shared" si="491"/>
        <v>1560</v>
      </c>
      <c r="BO224" s="463">
        <f t="shared" si="491"/>
        <v>372</v>
      </c>
      <c r="BP224" s="463">
        <f t="shared" si="491"/>
        <v>359.36113223790898</v>
      </c>
      <c r="BQ224" s="463">
        <f t="shared" si="491"/>
        <v>397.5376509747299</v>
      </c>
      <c r="BR224" s="463">
        <f t="shared" si="491"/>
        <v>413.21025751286118</v>
      </c>
      <c r="BS224" s="462">
        <f t="shared" si="491"/>
        <v>1542.109040725501</v>
      </c>
      <c r="BT224" s="463">
        <f t="shared" si="491"/>
        <v>370.06453534332366</v>
      </c>
      <c r="BU224" s="463">
        <f t="shared" si="491"/>
        <v>353.38835894289633</v>
      </c>
      <c r="BV224" s="463">
        <f t="shared" si="491"/>
        <v>394.31478550903938</v>
      </c>
      <c r="BW224" s="463">
        <f t="shared" si="491"/>
        <v>408.23156765883067</v>
      </c>
      <c r="BX224" s="462">
        <f t="shared" si="491"/>
        <v>1525.9992474540886</v>
      </c>
      <c r="BY224" s="465">
        <f t="shared" si="491"/>
        <v>1563.2314137987119</v>
      </c>
      <c r="BZ224" s="465">
        <f t="shared" si="491"/>
        <v>1594.0942891024911</v>
      </c>
      <c r="CA224" s="465">
        <f t="shared" si="491"/>
        <v>1624.703545457663</v>
      </c>
      <c r="CD224" s="467"/>
      <c r="CE224" s="463"/>
      <c r="CF224" s="463"/>
      <c r="CG224" s="463"/>
      <c r="CH224" s="463"/>
      <c r="CI224" s="463"/>
      <c r="CJ224" s="463"/>
      <c r="CK224" s="463"/>
      <c r="CL224" s="463"/>
      <c r="CM224" s="463"/>
      <c r="CN224" s="463"/>
      <c r="CO224" s="463"/>
      <c r="CP224" s="463"/>
      <c r="CQ224" s="463"/>
      <c r="CR224" s="463"/>
      <c r="CS224" s="463"/>
      <c r="CT224" s="463"/>
      <c r="CU224" s="463"/>
      <c r="CV224" s="463"/>
      <c r="CW224" s="463"/>
      <c r="CX224" s="463"/>
      <c r="CY224" s="463"/>
      <c r="CZ224" s="463"/>
      <c r="DA224" s="464"/>
      <c r="DB224" s="468"/>
      <c r="DC224"/>
      <c r="DD224"/>
      <c r="DE224"/>
      <c r="DF224"/>
      <c r="DG224"/>
      <c r="DH224"/>
    </row>
    <row r="225" spans="1:112" ht="12" customHeight="1">
      <c r="A225" s="489" t="s">
        <v>194</v>
      </c>
      <c r="B225" s="118">
        <f t="shared" ref="B225:AG225" si="492">B224/B14</f>
        <v>0.36605751544224724</v>
      </c>
      <c r="C225" s="118">
        <f t="shared" si="492"/>
        <v>0.35225607432808698</v>
      </c>
      <c r="D225" s="118">
        <f t="shared" si="492"/>
        <v>0.36123382518935365</v>
      </c>
      <c r="E225" s="118">
        <f t="shared" si="492"/>
        <v>0.36273539968666063</v>
      </c>
      <c r="F225" s="118">
        <f t="shared" si="492"/>
        <v>0.35798187167056267</v>
      </c>
      <c r="G225" s="117">
        <f t="shared" si="492"/>
        <v>0.42100363029388632</v>
      </c>
      <c r="H225" s="122">
        <f t="shared" si="492"/>
        <v>0.35366663982617835</v>
      </c>
      <c r="I225" s="122">
        <f t="shared" si="492"/>
        <v>0.30597620158890276</v>
      </c>
      <c r="J225" s="117">
        <f t="shared" si="492"/>
        <v>0.39276292598971607</v>
      </c>
      <c r="K225" s="118">
        <f t="shared" si="492"/>
        <v>0.36071945974653158</v>
      </c>
      <c r="L225" s="117">
        <f t="shared" si="492"/>
        <v>0.41394287953422426</v>
      </c>
      <c r="M225" s="117">
        <f t="shared" si="492"/>
        <v>0.34204061392904928</v>
      </c>
      <c r="N225" s="117">
        <f t="shared" si="492"/>
        <v>0.29458234841379966</v>
      </c>
      <c r="O225" s="117">
        <f t="shared" si="492"/>
        <v>0.39836515282017837</v>
      </c>
      <c r="P225" s="118">
        <f t="shared" si="492"/>
        <v>0.35352697266991728</v>
      </c>
      <c r="Q225" s="117">
        <f t="shared" si="492"/>
        <v>0.42432490797465422</v>
      </c>
      <c r="R225" s="117">
        <f t="shared" si="492"/>
        <v>0.35508374546160859</v>
      </c>
      <c r="S225" s="117">
        <f t="shared" si="492"/>
        <v>0.27997877513801284</v>
      </c>
      <c r="T225" s="117">
        <f t="shared" si="492"/>
        <v>0.37143727153392142</v>
      </c>
      <c r="U225" s="118">
        <f t="shared" si="492"/>
        <v>0.34778534568150865</v>
      </c>
      <c r="V225" s="117">
        <f t="shared" si="492"/>
        <v>0.42789409923471988</v>
      </c>
      <c r="W225" s="117">
        <f t="shared" si="492"/>
        <v>0.36236230360774785</v>
      </c>
      <c r="X225" s="117">
        <f t="shared" si="492"/>
        <v>0.29157211220409585</v>
      </c>
      <c r="Y225" s="117">
        <f t="shared" si="492"/>
        <v>0.38773066792844019</v>
      </c>
      <c r="Z225" s="118">
        <f t="shared" si="492"/>
        <v>0.35892628459846149</v>
      </c>
      <c r="AA225" s="117">
        <f t="shared" si="492"/>
        <v>0.40994623655913975</v>
      </c>
      <c r="AB225" s="117">
        <f t="shared" si="492"/>
        <v>0.37154874160504719</v>
      </c>
      <c r="AC225" s="117">
        <f t="shared" si="492"/>
        <v>0.30549023617217053</v>
      </c>
      <c r="AD225" s="117">
        <f t="shared" si="492"/>
        <v>0.38943585389540525</v>
      </c>
      <c r="AE225" s="118">
        <f t="shared" si="492"/>
        <v>0.36249724601354888</v>
      </c>
      <c r="AF225" s="117">
        <f t="shared" si="492"/>
        <v>0.39888977002379067</v>
      </c>
      <c r="AG225" s="117">
        <f t="shared" si="492"/>
        <v>0.37251123956326271</v>
      </c>
      <c r="AH225" s="117">
        <f t="shared" ref="AH225:BM225" si="493">AH224/AH14</f>
        <v>0.28941299790356395</v>
      </c>
      <c r="AI225" s="117">
        <f t="shared" si="493"/>
        <v>0.12838645418326691</v>
      </c>
      <c r="AJ225" s="118">
        <f t="shared" si="493"/>
        <v>0.2824367595260967</v>
      </c>
      <c r="AK225" s="117">
        <f t="shared" si="493"/>
        <v>0.32077294685990337</v>
      </c>
      <c r="AL225" s="117">
        <f t="shared" si="493"/>
        <v>0.31716417910447764</v>
      </c>
      <c r="AM225" s="117">
        <f t="shared" si="493"/>
        <v>0.31720430107526881</v>
      </c>
      <c r="AN225" s="117">
        <f t="shared" si="493"/>
        <v>0.37815810920945397</v>
      </c>
      <c r="AO225" s="118">
        <f t="shared" si="493"/>
        <v>0.33483146067415731</v>
      </c>
      <c r="AP225" s="117">
        <f t="shared" si="493"/>
        <v>0.31583403895004236</v>
      </c>
      <c r="AQ225" s="117">
        <f t="shared" si="493"/>
        <v>0.29920000000000002</v>
      </c>
      <c r="AR225" s="117">
        <f t="shared" si="493"/>
        <v>0.33680555555555558</v>
      </c>
      <c r="AS225" s="117">
        <f t="shared" si="493"/>
        <v>0.30182421227197348</v>
      </c>
      <c r="AT225" s="118">
        <f t="shared" si="493"/>
        <v>0.31300897891000207</v>
      </c>
      <c r="AU225" s="117">
        <f t="shared" si="493"/>
        <v>0.27717391304347827</v>
      </c>
      <c r="AV225" s="117">
        <f t="shared" si="493"/>
        <v>0.27995391705069123</v>
      </c>
      <c r="AW225" s="117">
        <f t="shared" si="493"/>
        <v>0.28107680126682499</v>
      </c>
      <c r="AX225" s="450">
        <f t="shared" si="493"/>
        <v>0.32170542635658916</v>
      </c>
      <c r="AY225" s="451">
        <f t="shared" si="493"/>
        <v>0.29023955652346067</v>
      </c>
      <c r="AZ225" s="450">
        <f t="shared" si="493"/>
        <v>0.2584446190102121</v>
      </c>
      <c r="BA225" s="450">
        <f t="shared" si="493"/>
        <v>0.24746646795827126</v>
      </c>
      <c r="BB225" s="450">
        <f t="shared" si="493"/>
        <v>0.34516616314199394</v>
      </c>
      <c r="BC225" s="450">
        <f t="shared" si="493"/>
        <v>0.33624454148471616</v>
      </c>
      <c r="BD225" s="451">
        <f t="shared" si="493"/>
        <v>0.29740259740259739</v>
      </c>
      <c r="BE225" s="450">
        <f t="shared" si="493"/>
        <v>0.24608501118568232</v>
      </c>
      <c r="BF225" s="450">
        <f t="shared" si="493"/>
        <v>0.21390013495276652</v>
      </c>
      <c r="BG225" s="450">
        <f t="shared" si="493"/>
        <v>0.22828353022932593</v>
      </c>
      <c r="BH225" s="450">
        <f t="shared" si="493"/>
        <v>0.31236597569692637</v>
      </c>
      <c r="BI225" s="451">
        <f t="shared" si="493"/>
        <v>6.0590001766472355E-2</v>
      </c>
      <c r="BJ225" s="450">
        <f t="shared" si="493"/>
        <v>0.2415691672401927</v>
      </c>
      <c r="BK225" s="450">
        <f t="shared" si="493"/>
        <v>0.22398939695162359</v>
      </c>
      <c r="BL225" s="450">
        <f t="shared" si="493"/>
        <v>0.25644415069398546</v>
      </c>
      <c r="BM225" s="450">
        <f t="shared" si="493"/>
        <v>0.30396475770925108</v>
      </c>
      <c r="BN225" s="451">
        <f t="shared" ref="BN225:CA225" si="494">BN224/BN14</f>
        <v>0.25725593667546176</v>
      </c>
      <c r="BO225" s="450">
        <f t="shared" si="494"/>
        <v>0.23739629865985962</v>
      </c>
      <c r="BP225" s="450">
        <f t="shared" si="494"/>
        <v>0.21907158392789541</v>
      </c>
      <c r="BQ225" s="450">
        <f t="shared" si="494"/>
        <v>0.24489031100591935</v>
      </c>
      <c r="BR225" s="450">
        <f t="shared" si="494"/>
        <v>0.24726276338876116</v>
      </c>
      <c r="BS225" s="451">
        <f t="shared" si="494"/>
        <v>0.23718004343116109</v>
      </c>
      <c r="BT225" s="450">
        <f t="shared" si="494"/>
        <v>0.22476761410956431</v>
      </c>
      <c r="BU225" s="450">
        <f t="shared" si="494"/>
        <v>0.20340479277856008</v>
      </c>
      <c r="BV225" s="450">
        <f t="shared" si="494"/>
        <v>0.22908127068140299</v>
      </c>
      <c r="BW225" s="450">
        <f t="shared" si="494"/>
        <v>0.23051516657740162</v>
      </c>
      <c r="BX225" s="451">
        <f t="shared" si="494"/>
        <v>0.22193003124155</v>
      </c>
      <c r="BY225" s="452">
        <f t="shared" si="494"/>
        <v>0.21616896030230009</v>
      </c>
      <c r="BZ225" s="452">
        <f t="shared" si="494"/>
        <v>0.20951825753953346</v>
      </c>
      <c r="CA225" s="452">
        <f t="shared" si="494"/>
        <v>0.20398407645404856</v>
      </c>
      <c r="CD225" s="449"/>
      <c r="CE225" s="117"/>
      <c r="CF225" s="117"/>
      <c r="CG225" s="117"/>
      <c r="CH225" s="117"/>
      <c r="CI225" s="117"/>
      <c r="CJ225" s="117"/>
      <c r="CK225" s="117"/>
      <c r="CL225" s="117"/>
      <c r="CM225" s="117"/>
      <c r="CN225" s="117"/>
      <c r="CO225" s="117"/>
      <c r="CP225" s="117"/>
      <c r="CQ225" s="117"/>
      <c r="CR225" s="117"/>
      <c r="CS225" s="117"/>
      <c r="CT225" s="117"/>
      <c r="CU225" s="117"/>
      <c r="CV225" s="117"/>
      <c r="CW225" s="117"/>
      <c r="CX225" s="117"/>
      <c r="CY225" s="117"/>
      <c r="CZ225" s="117"/>
      <c r="DA225" s="58"/>
      <c r="DB225" s="453"/>
    </row>
    <row r="226" spans="1:112" ht="12" customHeight="1">
      <c r="A226" s="489" t="s">
        <v>192</v>
      </c>
      <c r="B226" s="118">
        <f t="shared" ref="B226:BM226" si="495">B224/B230</f>
        <v>0.44688469205893033</v>
      </c>
      <c r="C226" s="118">
        <f t="shared" si="495"/>
        <v>0.45204743346228426</v>
      </c>
      <c r="D226" s="118">
        <f t="shared" si="495"/>
        <v>0.4667237692797277</v>
      </c>
      <c r="E226" s="118">
        <f t="shared" si="495"/>
        <v>0.48201951760996214</v>
      </c>
      <c r="F226" s="118">
        <f t="shared" si="495"/>
        <v>0.48128564387332384</v>
      </c>
      <c r="G226" s="117">
        <f t="shared" si="495"/>
        <v>0.49934751979536557</v>
      </c>
      <c r="H226" s="122">
        <f t="shared" si="495"/>
        <v>0.47948242548927544</v>
      </c>
      <c r="I226" s="122">
        <f t="shared" si="495"/>
        <v>0.46120160128780813</v>
      </c>
      <c r="J226" s="117">
        <f t="shared" si="495"/>
        <v>0.50777268455412572</v>
      </c>
      <c r="K226" s="118">
        <f t="shared" si="495"/>
        <v>0.48590564598952063</v>
      </c>
      <c r="L226" s="117">
        <f t="shared" si="495"/>
        <v>0.5154948248120842</v>
      </c>
      <c r="M226" s="117">
        <f t="shared" si="495"/>
        <v>0.48073028119703431</v>
      </c>
      <c r="N226" s="117">
        <f t="shared" si="495"/>
        <v>0.45665903377836464</v>
      </c>
      <c r="O226" s="117">
        <f t="shared" si="495"/>
        <v>0.50151704114818729</v>
      </c>
      <c r="P226" s="118">
        <f t="shared" si="495"/>
        <v>0.48644637798001705</v>
      </c>
      <c r="Q226" s="117">
        <f t="shared" si="495"/>
        <v>0.50412746662712515</v>
      </c>
      <c r="R226" s="117">
        <f t="shared" si="495"/>
        <v>0.4786435713198135</v>
      </c>
      <c r="S226" s="117">
        <f t="shared" si="495"/>
        <v>0.43168181503436609</v>
      </c>
      <c r="T226" s="117">
        <f t="shared" si="495"/>
        <v>0.46377168282734199</v>
      </c>
      <c r="U226" s="118">
        <f t="shared" si="495"/>
        <v>0.46740754447645982</v>
      </c>
      <c r="V226" s="117">
        <f t="shared" si="495"/>
        <v>0.50120989543483807</v>
      </c>
      <c r="W226" s="117">
        <f t="shared" si="495"/>
        <v>0.47683781033579981</v>
      </c>
      <c r="X226" s="117">
        <f t="shared" si="495"/>
        <v>0.4263669464883022</v>
      </c>
      <c r="Y226" s="117">
        <f t="shared" si="495"/>
        <v>0.49492465978200928</v>
      </c>
      <c r="Z226" s="118">
        <f t="shared" si="495"/>
        <v>0.47238591871582741</v>
      </c>
      <c r="AA226" s="117">
        <f t="shared" si="495"/>
        <v>0.50611906243517935</v>
      </c>
      <c r="AB226" s="117">
        <f t="shared" si="495"/>
        <v>0.4940465451921342</v>
      </c>
      <c r="AC226" s="117">
        <f t="shared" si="495"/>
        <v>0.45772058823529416</v>
      </c>
      <c r="AD226" s="117">
        <f t="shared" si="495"/>
        <v>0.50073735222838234</v>
      </c>
      <c r="AE226" s="118">
        <f t="shared" si="495"/>
        <v>0.48799386123751665</v>
      </c>
      <c r="AF226" s="117">
        <f t="shared" si="495"/>
        <v>0.5</v>
      </c>
      <c r="AG226" s="117">
        <f t="shared" si="495"/>
        <v>0.49445865302642794</v>
      </c>
      <c r="AH226" s="117">
        <f t="shared" si="495"/>
        <v>0.43714376187460419</v>
      </c>
      <c r="AI226" s="117">
        <f t="shared" si="495"/>
        <v>0.16916010498687661</v>
      </c>
      <c r="AJ226" s="118">
        <f t="shared" si="495"/>
        <v>0.42364496529862389</v>
      </c>
      <c r="AK226" s="117">
        <f t="shared" si="495"/>
        <v>0.4585635359116022</v>
      </c>
      <c r="AL226" s="117">
        <f t="shared" si="495"/>
        <v>0.4689655172413793</v>
      </c>
      <c r="AM226" s="117">
        <f t="shared" si="495"/>
        <v>0.46578947368421053</v>
      </c>
      <c r="AN226" s="117">
        <f t="shared" si="495"/>
        <v>0.54205607476635509</v>
      </c>
      <c r="AO226" s="118">
        <f t="shared" si="495"/>
        <v>0.50067204301075274</v>
      </c>
      <c r="AP226" s="117">
        <f t="shared" si="495"/>
        <v>0.47698209718670076</v>
      </c>
      <c r="AQ226" s="117">
        <f t="shared" si="495"/>
        <v>0.46517412935323382</v>
      </c>
      <c r="AR226" s="117">
        <f t="shared" si="495"/>
        <v>0.50520833333333337</v>
      </c>
      <c r="AS226" s="117">
        <f t="shared" si="495"/>
        <v>0.42424242424242425</v>
      </c>
      <c r="AT226" s="118">
        <f t="shared" si="495"/>
        <v>0.4666874221668742</v>
      </c>
      <c r="AU226" s="117">
        <f t="shared" si="495"/>
        <v>0.42746615087040618</v>
      </c>
      <c r="AV226" s="117">
        <f t="shared" si="495"/>
        <v>0.44048338368580059</v>
      </c>
      <c r="AW226" s="117">
        <f t="shared" si="495"/>
        <v>0.45108005082592123</v>
      </c>
      <c r="AX226" s="450">
        <f t="shared" si="495"/>
        <v>0.49054373522458627</v>
      </c>
      <c r="AY226" s="451">
        <f t="shared" si="495"/>
        <v>0.47520259319286873</v>
      </c>
      <c r="AZ226" s="450">
        <f t="shared" si="495"/>
        <v>0.42616580310880831</v>
      </c>
      <c r="BA226" s="450">
        <f t="shared" si="495"/>
        <v>0.43691619523746877</v>
      </c>
      <c r="BB226" s="450">
        <f t="shared" si="495"/>
        <v>0.5</v>
      </c>
      <c r="BC226" s="450">
        <f t="shared" si="495"/>
        <v>0.48529411764705882</v>
      </c>
      <c r="BD226" s="451">
        <f t="shared" si="495"/>
        <v>0.46499514434536948</v>
      </c>
      <c r="BE226" s="450">
        <f t="shared" si="495"/>
        <v>0.39806996381182147</v>
      </c>
      <c r="BF226" s="450">
        <f t="shared" si="495"/>
        <v>0.38146811070998798</v>
      </c>
      <c r="BG226" s="450">
        <f t="shared" si="495"/>
        <v>0.40381069452980944</v>
      </c>
      <c r="BH226" s="450">
        <f t="shared" si="495"/>
        <v>0.49156355455568052</v>
      </c>
      <c r="BI226" s="451">
        <f t="shared" si="495"/>
        <v>0.14958569559529</v>
      </c>
      <c r="BJ226" s="450">
        <f t="shared" si="495"/>
        <v>0.43602484472049691</v>
      </c>
      <c r="BK226" s="450">
        <f>BK224/BK230</f>
        <v>0.40625</v>
      </c>
      <c r="BL226" s="450">
        <f t="shared" si="495"/>
        <v>0.45380116959064326</v>
      </c>
      <c r="BM226" s="450">
        <f t="shared" si="495"/>
        <v>0.5026014568158168</v>
      </c>
      <c r="BN226" s="451">
        <f t="shared" ref="BN226:BZ226" si="496">BN224/BN230</f>
        <v>0.45178105994787143</v>
      </c>
      <c r="BO226" s="450">
        <f t="shared" si="496"/>
        <v>0.43457943925233644</v>
      </c>
      <c r="BP226" s="450">
        <f t="shared" si="496"/>
        <v>0.40164143032214306</v>
      </c>
      <c r="BQ226" s="450">
        <f t="shared" si="496"/>
        <v>0.44320139159201327</v>
      </c>
      <c r="BR226" s="450">
        <f t="shared" si="496"/>
        <v>0.45196746736074195</v>
      </c>
      <c r="BS226" s="451">
        <f t="shared" si="496"/>
        <v>0.43293986420130653</v>
      </c>
      <c r="BT226" s="450">
        <f t="shared" ref="BT226:BX226" si="497">BT224/BT230</f>
        <v>0.42176553343799672</v>
      </c>
      <c r="BU226" s="450">
        <f t="shared" si="497"/>
        <v>0.38454239816273378</v>
      </c>
      <c r="BV226" s="450">
        <f t="shared" si="497"/>
        <v>0.42792022678840352</v>
      </c>
      <c r="BW226" s="450">
        <f t="shared" si="497"/>
        <v>0.43461916402154366</v>
      </c>
      <c r="BX226" s="451">
        <f t="shared" si="497"/>
        <v>0.41726397856762715</v>
      </c>
      <c r="BY226" s="452">
        <f t="shared" si="496"/>
        <v>0.41166528927132817</v>
      </c>
      <c r="BZ226" s="452">
        <f t="shared" si="496"/>
        <v>0.40489918443390421</v>
      </c>
      <c r="CA226" s="452">
        <f t="shared" ref="CA226" si="498">CA224/CA230</f>
        <v>0.39924570481789595</v>
      </c>
      <c r="CD226" s="449"/>
      <c r="CE226" s="117"/>
      <c r="CF226" s="117"/>
      <c r="CG226" s="117"/>
      <c r="CH226" s="117"/>
      <c r="CI226" s="117"/>
      <c r="CJ226" s="117"/>
      <c r="CK226" s="117"/>
      <c r="CL226" s="117"/>
      <c r="CM226" s="117"/>
      <c r="CN226" s="117"/>
      <c r="CO226" s="117"/>
      <c r="CP226" s="117"/>
      <c r="CQ226" s="117"/>
      <c r="CR226" s="117"/>
      <c r="CS226" s="117"/>
      <c r="CT226" s="117"/>
      <c r="CU226" s="117"/>
      <c r="CV226" s="117"/>
      <c r="CW226" s="117"/>
      <c r="CX226" s="117"/>
      <c r="CY226" s="117"/>
      <c r="CZ226" s="117"/>
      <c r="DA226" s="58"/>
      <c r="DB226" s="453"/>
    </row>
    <row r="227" spans="1:112" s="447" customFormat="1" ht="12" customHeight="1">
      <c r="A227" s="445" t="s">
        <v>195</v>
      </c>
      <c r="B227" s="2136">
        <f t="shared" ref="B227:AI227" si="499">B91</f>
        <v>0</v>
      </c>
      <c r="C227" s="2136">
        <f t="shared" si="499"/>
        <v>0</v>
      </c>
      <c r="D227" s="2136">
        <f t="shared" si="499"/>
        <v>0</v>
      </c>
      <c r="E227" s="2136">
        <f t="shared" si="499"/>
        <v>0</v>
      </c>
      <c r="F227" s="2136">
        <f t="shared" si="499"/>
        <v>51.116</v>
      </c>
      <c r="G227" s="2134">
        <f t="shared" si="499"/>
        <v>54.011000000000003</v>
      </c>
      <c r="H227" s="2137">
        <f t="shared" si="499"/>
        <v>23.005000000000003</v>
      </c>
      <c r="I227" s="2137">
        <f t="shared" si="499"/>
        <v>29.225999999999992</v>
      </c>
      <c r="J227" s="2137">
        <f t="shared" si="499"/>
        <v>29.939000000000014</v>
      </c>
      <c r="K227" s="67">
        <f t="shared" si="499"/>
        <v>136.18100000000001</v>
      </c>
      <c r="L227" s="2137">
        <f t="shared" si="499"/>
        <v>31.113</v>
      </c>
      <c r="M227" s="2137">
        <f t="shared" si="499"/>
        <v>31.698</v>
      </c>
      <c r="N227" s="2137">
        <f t="shared" si="499"/>
        <v>31.556999999999995</v>
      </c>
      <c r="O227" s="2137">
        <f t="shared" si="499"/>
        <v>30.323999999999991</v>
      </c>
      <c r="P227" s="67">
        <f t="shared" si="499"/>
        <v>124.69199999999998</v>
      </c>
      <c r="Q227" s="2137">
        <f t="shared" si="499"/>
        <v>21.044</v>
      </c>
      <c r="R227" s="2137">
        <f t="shared" si="499"/>
        <v>21.956</v>
      </c>
      <c r="S227" s="2137">
        <f t="shared" si="499"/>
        <v>-39.436</v>
      </c>
      <c r="T227" s="2137">
        <f t="shared" si="499"/>
        <v>-5.4979999999999976</v>
      </c>
      <c r="U227" s="67">
        <f t="shared" si="499"/>
        <v>-1.9339999999999975</v>
      </c>
      <c r="V227" s="2137">
        <f t="shared" si="499"/>
        <v>7.83</v>
      </c>
      <c r="W227" s="2137">
        <f t="shared" si="499"/>
        <v>9.4030000000000005</v>
      </c>
      <c r="X227" s="2137">
        <f t="shared" si="499"/>
        <v>-4.75</v>
      </c>
      <c r="Y227" s="2137">
        <f t="shared" si="499"/>
        <v>9.7850000000000019</v>
      </c>
      <c r="Z227" s="67">
        <f t="shared" si="499"/>
        <v>22.268000000000001</v>
      </c>
      <c r="AA227" s="2137">
        <f t="shared" si="499"/>
        <v>8.3000000000000007</v>
      </c>
      <c r="AB227" s="2137">
        <f t="shared" si="499"/>
        <v>14.7</v>
      </c>
      <c r="AC227" s="2137">
        <f t="shared" si="499"/>
        <v>21.799999999999997</v>
      </c>
      <c r="AD227" s="2137">
        <f t="shared" si="499"/>
        <v>21.685000000000002</v>
      </c>
      <c r="AE227" s="67">
        <f t="shared" si="499"/>
        <v>66.484999999999999</v>
      </c>
      <c r="AF227" s="2137">
        <f t="shared" si="499"/>
        <v>18.100000000000001</v>
      </c>
      <c r="AG227" s="2137">
        <f t="shared" si="499"/>
        <v>23.1</v>
      </c>
      <c r="AH227" s="2137">
        <f t="shared" si="499"/>
        <v>23.599999999999994</v>
      </c>
      <c r="AI227" s="2137">
        <f t="shared" si="499"/>
        <v>32.200000000000003</v>
      </c>
      <c r="AJ227" s="67">
        <f>SUM(AF227:AI227)</f>
        <v>97</v>
      </c>
      <c r="AK227" s="2138">
        <f>AK91</f>
        <v>17</v>
      </c>
      <c r="AL227" s="2138">
        <f>AL91</f>
        <v>23</v>
      </c>
      <c r="AM227" s="2138">
        <f>AM91</f>
        <v>23</v>
      </c>
      <c r="AN227" s="2137">
        <f>AN91</f>
        <v>30</v>
      </c>
      <c r="AO227" s="67">
        <f>SUM(AK227:AN227)</f>
        <v>93</v>
      </c>
      <c r="AP227" s="2138">
        <f>AP91</f>
        <v>21</v>
      </c>
      <c r="AQ227" s="2138">
        <f>AQ91</f>
        <v>26</v>
      </c>
      <c r="AR227" s="2138">
        <f>AR91</f>
        <v>23</v>
      </c>
      <c r="AS227" s="2138">
        <f>AS91</f>
        <v>26</v>
      </c>
      <c r="AT227" s="67">
        <f>SUM(AP227:AS227)</f>
        <v>96</v>
      </c>
      <c r="AU227" s="2138">
        <f>AU91</f>
        <v>18</v>
      </c>
      <c r="AV227" s="2138">
        <f>AV91</f>
        <v>30</v>
      </c>
      <c r="AW227" s="2138">
        <f>AW91</f>
        <v>24</v>
      </c>
      <c r="AX227" s="2134">
        <f>AX91</f>
        <v>28</v>
      </c>
      <c r="AY227" s="67">
        <f>SUM(AU227:AX227)</f>
        <v>100</v>
      </c>
      <c r="AZ227" s="2138">
        <f>AZ91</f>
        <v>18</v>
      </c>
      <c r="BA227" s="2138">
        <f>BA91</f>
        <v>19</v>
      </c>
      <c r="BB227" s="2138">
        <f>BB91</f>
        <v>18</v>
      </c>
      <c r="BC227" s="2134">
        <f>BC91</f>
        <v>23</v>
      </c>
      <c r="BD227" s="67">
        <f>SUM(AZ227:BC227)</f>
        <v>78</v>
      </c>
      <c r="BE227" s="2134">
        <f>BE91</f>
        <v>14</v>
      </c>
      <c r="BF227" s="2134">
        <f>BF91</f>
        <v>20</v>
      </c>
      <c r="BG227" s="2134">
        <f>BG91</f>
        <v>20</v>
      </c>
      <c r="BH227" s="2134">
        <f>BH91</f>
        <v>22</v>
      </c>
      <c r="BI227" s="67">
        <f>SUM(BE227:BH227)</f>
        <v>76</v>
      </c>
      <c r="BJ227" s="2134">
        <f>BJ91</f>
        <v>19</v>
      </c>
      <c r="BK227" s="2134">
        <f>BK91</f>
        <v>22</v>
      </c>
      <c r="BL227" s="2134">
        <f>BL91</f>
        <v>24</v>
      </c>
      <c r="BM227" s="2134">
        <f>BM91</f>
        <v>34</v>
      </c>
      <c r="BN227" s="67">
        <f>SUM(BJ227:BM227)</f>
        <v>99</v>
      </c>
      <c r="BO227" s="2134">
        <f>BO91</f>
        <v>13</v>
      </c>
      <c r="BP227" s="248">
        <f>BP14*BP228</f>
        <v>23.915446617615913</v>
      </c>
      <c r="BQ227" s="248">
        <f>BQ14*BQ228</f>
        <v>25.750103447263047</v>
      </c>
      <c r="BR227" s="248">
        <f>BR14*BR228</f>
        <v>35.757520405470224</v>
      </c>
      <c r="BS227" s="67">
        <f>SUM(BO227:BR227)</f>
        <v>98.423070470349188</v>
      </c>
      <c r="BT227" s="248">
        <f>BT14*BT228</f>
        <v>13.658974280815661</v>
      </c>
      <c r="BU227" s="248">
        <f>BU14*BU228</f>
        <v>25.329376435658119</v>
      </c>
      <c r="BV227" s="248">
        <f>BV14*BV228</f>
        <v>27.303969633575768</v>
      </c>
      <c r="BW227" s="248">
        <f>BW14*BW228</f>
        <v>37.893271349669774</v>
      </c>
      <c r="BX227" s="67">
        <f>SUM(BT227:BW227)</f>
        <v>104.18559169971932</v>
      </c>
      <c r="BY227" s="419">
        <f>BY14*BY228</f>
        <v>109.57194162002523</v>
      </c>
      <c r="BZ227" s="419">
        <f>BZ14*BZ228</f>
        <v>115.28201256784415</v>
      </c>
      <c r="CA227" s="419">
        <f>CA14*CA228</f>
        <v>120.68332831596088</v>
      </c>
      <c r="CD227" s="248"/>
      <c r="CE227" s="248"/>
      <c r="CF227" s="248"/>
      <c r="CG227" s="248"/>
      <c r="CH227" s="248"/>
      <c r="CI227" s="248"/>
      <c r="CJ227" s="248"/>
      <c r="CK227" s="248"/>
      <c r="CL227" s="248"/>
      <c r="CM227" s="248"/>
      <c r="CN227" s="248"/>
      <c r="CO227" s="248"/>
      <c r="CP227" s="248"/>
      <c r="CQ227" s="248"/>
      <c r="CR227" s="248"/>
      <c r="CS227" s="248"/>
      <c r="CT227" s="248"/>
      <c r="CU227" s="248"/>
      <c r="CV227" s="248"/>
      <c r="CW227" s="248"/>
      <c r="CX227" s="248"/>
      <c r="CY227" s="248"/>
      <c r="CZ227" s="248"/>
      <c r="DA227" s="74"/>
      <c r="DB227" s="249"/>
      <c r="DC227"/>
      <c r="DD227"/>
      <c r="DE227"/>
      <c r="DF227"/>
      <c r="DG227"/>
      <c r="DH227"/>
    </row>
    <row r="228" spans="1:112" ht="12" customHeight="1">
      <c r="A228" s="489" t="s">
        <v>194</v>
      </c>
      <c r="B228" s="118">
        <f t="shared" ref="B228:AG228" si="500">B227/B14</f>
        <v>0</v>
      </c>
      <c r="C228" s="118">
        <f t="shared" si="500"/>
        <v>0</v>
      </c>
      <c r="D228" s="118">
        <f t="shared" si="500"/>
        <v>0</v>
      </c>
      <c r="E228" s="118">
        <f t="shared" si="500"/>
        <v>0</v>
      </c>
      <c r="F228" s="118">
        <f t="shared" si="500"/>
        <v>8.5141652350356669E-3</v>
      </c>
      <c r="G228" s="117">
        <f t="shared" si="500"/>
        <v>4.7349867929540213E-2</v>
      </c>
      <c r="H228" s="122">
        <f t="shared" si="500"/>
        <v>1.5060132513454614E-2</v>
      </c>
      <c r="I228" s="122">
        <f t="shared" si="500"/>
        <v>1.4667489724325865E-2</v>
      </c>
      <c r="J228" s="122">
        <f t="shared" si="500"/>
        <v>1.8778232579377385E-2</v>
      </c>
      <c r="K228" s="118">
        <f t="shared" si="500"/>
        <v>2.177106244498523E-2</v>
      </c>
      <c r="L228" s="122">
        <f t="shared" si="500"/>
        <v>2.3999203960451024E-2</v>
      </c>
      <c r="M228" s="122">
        <f t="shared" si="500"/>
        <v>1.8448601688182662E-2</v>
      </c>
      <c r="N228" s="122">
        <f t="shared" si="500"/>
        <v>1.4422786878952244E-2</v>
      </c>
      <c r="O228" s="122">
        <f t="shared" si="500"/>
        <v>1.9318488769742775E-2</v>
      </c>
      <c r="P228" s="118">
        <f t="shared" si="500"/>
        <v>1.841211255114783E-2</v>
      </c>
      <c r="Q228" s="122">
        <f t="shared" si="500"/>
        <v>1.7279334182355933E-2</v>
      </c>
      <c r="R228" s="122">
        <f t="shared" si="500"/>
        <v>1.3121965067459548E-2</v>
      </c>
      <c r="S228" s="122">
        <f t="shared" si="500"/>
        <v>-1.9250774087509109E-2</v>
      </c>
      <c r="T228" s="122">
        <f t="shared" si="500"/>
        <v>-3.8843649013930851E-3</v>
      </c>
      <c r="U228" s="118">
        <f t="shared" si="500"/>
        <v>-3.0432466752844747E-4</v>
      </c>
      <c r="V228" s="122">
        <f t="shared" si="500"/>
        <v>6.8193278738067275E-3</v>
      </c>
      <c r="W228" s="122">
        <f t="shared" si="500"/>
        <v>6.4176415184482461E-3</v>
      </c>
      <c r="X228" s="122">
        <f t="shared" si="500"/>
        <v>-2.5321138672948439E-3</v>
      </c>
      <c r="Y228" s="122">
        <f t="shared" si="500"/>
        <v>6.6906348889429835E-3</v>
      </c>
      <c r="Z228" s="118">
        <f t="shared" si="500"/>
        <v>3.7414004746813643E-3</v>
      </c>
      <c r="AA228" s="122">
        <f t="shared" si="500"/>
        <v>6.9724462365591397E-3</v>
      </c>
      <c r="AB228" s="122">
        <f t="shared" si="500"/>
        <v>9.9721864188318295E-3</v>
      </c>
      <c r="AC228" s="122">
        <f t="shared" si="500"/>
        <v>1.1144054800122686E-2</v>
      </c>
      <c r="AD228" s="122">
        <f t="shared" si="500"/>
        <v>1.4011737940116217E-2</v>
      </c>
      <c r="AE228" s="118">
        <f t="shared" si="500"/>
        <v>1.0778442337157327E-2</v>
      </c>
      <c r="AF228" s="122">
        <f t="shared" si="500"/>
        <v>1.4353687549563839E-2</v>
      </c>
      <c r="AG228" s="122">
        <f t="shared" si="500"/>
        <v>1.4836223506743738E-2</v>
      </c>
      <c r="AH228" s="122">
        <f t="shared" ref="AH228:BM228" si="501">AH227/AH14</f>
        <v>1.2368972746331234E-2</v>
      </c>
      <c r="AI228" s="122">
        <f t="shared" si="501"/>
        <v>3.2071713147410363E-2</v>
      </c>
      <c r="AJ228" s="118">
        <f t="shared" si="501"/>
        <v>1.5529939161063081E-2</v>
      </c>
      <c r="AK228" s="490">
        <f t="shared" si="501"/>
        <v>1.6425120772946861E-2</v>
      </c>
      <c r="AL228" s="490">
        <f t="shared" si="501"/>
        <v>2.1455223880597014E-2</v>
      </c>
      <c r="AM228" s="490">
        <f t="shared" si="501"/>
        <v>2.0609318996415771E-2</v>
      </c>
      <c r="AN228" s="122">
        <f t="shared" si="501"/>
        <v>2.4449877750611249E-2</v>
      </c>
      <c r="AO228" s="118">
        <f t="shared" si="501"/>
        <v>2.0898876404494383E-2</v>
      </c>
      <c r="AP228" s="490">
        <f t="shared" si="501"/>
        <v>1.7781541066892465E-2</v>
      </c>
      <c r="AQ228" s="490">
        <f t="shared" si="501"/>
        <v>2.0799999999999999E-2</v>
      </c>
      <c r="AR228" s="490">
        <f t="shared" si="501"/>
        <v>1.9965277777777776E-2</v>
      </c>
      <c r="AS228" s="122">
        <f t="shared" si="501"/>
        <v>2.1558872305140961E-2</v>
      </c>
      <c r="AT228" s="118">
        <f t="shared" si="501"/>
        <v>2.0045938609313009E-2</v>
      </c>
      <c r="AU228" s="490">
        <f t="shared" si="501"/>
        <v>1.5050167224080268E-2</v>
      </c>
      <c r="AV228" s="490">
        <f t="shared" si="501"/>
        <v>2.3041474654377881E-2</v>
      </c>
      <c r="AW228" s="490">
        <f t="shared" si="501"/>
        <v>1.9002375296912115E-2</v>
      </c>
      <c r="AX228" s="122">
        <f t="shared" si="501"/>
        <v>2.1705426356589147E-2</v>
      </c>
      <c r="AY228" s="118">
        <f t="shared" si="501"/>
        <v>1.9798059790140567E-2</v>
      </c>
      <c r="AZ228" s="490">
        <f t="shared" si="501"/>
        <v>1.4139827179890024E-2</v>
      </c>
      <c r="BA228" s="490">
        <f t="shared" si="501"/>
        <v>1.4157973174366617E-2</v>
      </c>
      <c r="BB228" s="490">
        <f t="shared" si="501"/>
        <v>1.3595166163141994E-2</v>
      </c>
      <c r="BC228" s="490">
        <f t="shared" si="501"/>
        <v>1.6739446870451237E-2</v>
      </c>
      <c r="BD228" s="118">
        <f t="shared" si="501"/>
        <v>1.4680971202710334E-2</v>
      </c>
      <c r="BE228" s="490">
        <f t="shared" si="501"/>
        <v>1.0439970171513796E-2</v>
      </c>
      <c r="BF228" s="490">
        <f t="shared" si="501"/>
        <v>1.3495276653171391E-2</v>
      </c>
      <c r="BG228" s="490">
        <f t="shared" si="501"/>
        <v>1.3898540653231411E-2</v>
      </c>
      <c r="BH228" s="490">
        <f t="shared" si="501"/>
        <v>1.5725518227305217E-2</v>
      </c>
      <c r="BI228" s="118">
        <f t="shared" si="501"/>
        <v>1.3425189895778131E-2</v>
      </c>
      <c r="BJ228" s="490">
        <f t="shared" si="501"/>
        <v>1.307639366827254E-2</v>
      </c>
      <c r="BK228" s="490">
        <f t="shared" si="501"/>
        <v>1.4579191517561299E-2</v>
      </c>
      <c r="BL228" s="490">
        <f t="shared" si="501"/>
        <v>1.5862524785194978E-2</v>
      </c>
      <c r="BM228" s="490">
        <f t="shared" si="501"/>
        <v>2.1397105097545627E-2</v>
      </c>
      <c r="BN228" s="118">
        <f t="shared" ref="BN228:BO228" si="502">BN227/BN14</f>
        <v>1.6325857519788919E-2</v>
      </c>
      <c r="BO228" s="490">
        <f t="shared" si="502"/>
        <v>8.2961072112316524E-3</v>
      </c>
      <c r="BP228" s="230">
        <f>+BK228</f>
        <v>1.4579191517561299E-2</v>
      </c>
      <c r="BQ228" s="230">
        <f>+BL228</f>
        <v>1.5862524785194978E-2</v>
      </c>
      <c r="BR228" s="230">
        <f>+BM228</f>
        <v>2.1397105097545627E-2</v>
      </c>
      <c r="BS228" s="118">
        <f>BS227/BS14</f>
        <v>1.5137702660638854E-2</v>
      </c>
      <c r="BT228" s="230">
        <f>+BO228</f>
        <v>8.2961072112316524E-3</v>
      </c>
      <c r="BU228" s="230">
        <f>+BP228</f>
        <v>1.4579191517561299E-2</v>
      </c>
      <c r="BV228" s="230">
        <f>+BQ228</f>
        <v>1.5862524785194978E-2</v>
      </c>
      <c r="BW228" s="230">
        <f>+BR228</f>
        <v>2.1397105097545627E-2</v>
      </c>
      <c r="BX228" s="118">
        <f>BX227/BX14</f>
        <v>1.5151981011401994E-2</v>
      </c>
      <c r="BY228" s="491">
        <f>+BX228</f>
        <v>1.5151981011401994E-2</v>
      </c>
      <c r="BZ228" s="491">
        <f>+BY228</f>
        <v>1.5151981011401994E-2</v>
      </c>
      <c r="CA228" s="491">
        <f>+BZ228</f>
        <v>1.5151981011401994E-2</v>
      </c>
      <c r="CD228" s="492"/>
      <c r="CE228" s="127"/>
      <c r="CF228" s="127"/>
      <c r="CG228" s="127"/>
      <c r="CH228" s="127"/>
      <c r="CI228" s="127"/>
      <c r="CJ228" s="127"/>
      <c r="CK228" s="127"/>
      <c r="CL228" s="127"/>
      <c r="CM228" s="127"/>
      <c r="CN228" s="127"/>
      <c r="CO228" s="127"/>
      <c r="CP228" s="127"/>
      <c r="CQ228" s="127"/>
      <c r="CR228" s="127"/>
      <c r="CS228" s="127"/>
      <c r="CT228" s="127"/>
      <c r="CU228" s="127"/>
      <c r="CV228" s="127"/>
      <c r="CW228" s="127"/>
      <c r="CX228" s="127"/>
      <c r="CY228" s="127"/>
      <c r="CZ228" s="127"/>
      <c r="DA228" s="58"/>
      <c r="DB228" s="438"/>
    </row>
    <row r="229" spans="1:112" ht="12" customHeight="1">
      <c r="A229" s="42"/>
      <c r="B229" s="54"/>
      <c r="C229" s="54"/>
      <c r="D229" s="54"/>
      <c r="E229" s="54"/>
      <c r="F229" s="54"/>
      <c r="G229" s="127"/>
      <c r="H229" s="377"/>
      <c r="I229" s="377"/>
      <c r="J229" s="377"/>
      <c r="K229" s="54"/>
      <c r="L229" s="377"/>
      <c r="M229" s="377"/>
      <c r="N229" s="377"/>
      <c r="O229" s="377"/>
      <c r="P229" s="54"/>
      <c r="Q229" s="377"/>
      <c r="R229" s="377"/>
      <c r="S229" s="377"/>
      <c r="T229" s="377"/>
      <c r="U229" s="54"/>
      <c r="V229" s="377"/>
      <c r="W229" s="377"/>
      <c r="X229" s="377"/>
      <c r="Y229" s="377"/>
      <c r="Z229" s="54"/>
      <c r="AA229" s="377"/>
      <c r="AB229" s="377"/>
      <c r="AC229" s="377"/>
      <c r="AD229" s="377"/>
      <c r="AE229" s="54"/>
      <c r="AF229" s="377"/>
      <c r="AG229" s="377"/>
      <c r="AH229" s="377"/>
      <c r="AI229" s="58"/>
      <c r="AJ229" s="378"/>
      <c r="AK229" s="42"/>
      <c r="AL229" s="42"/>
      <c r="AM229" s="42"/>
      <c r="AN229" s="42"/>
      <c r="AO229" s="379"/>
      <c r="AP229" s="58"/>
      <c r="AQ229" s="58"/>
      <c r="AR229" s="58"/>
      <c r="AS229" s="58"/>
      <c r="AT229" s="378"/>
      <c r="AU229" s="58"/>
      <c r="AV229" s="58"/>
      <c r="AW229" s="407"/>
      <c r="AX229" s="407"/>
      <c r="AY229" s="493"/>
      <c r="AZ229" s="494"/>
      <c r="BA229" s="407"/>
      <c r="BB229" s="407"/>
      <c r="BC229" s="407"/>
      <c r="BD229" s="495"/>
      <c r="BE229" s="407"/>
      <c r="BF229" s="407"/>
      <c r="BG229" s="407"/>
      <c r="BH229" s="1288"/>
      <c r="BI229" s="495"/>
      <c r="BJ229" s="407"/>
      <c r="BK229" s="407"/>
      <c r="BL229" s="407"/>
      <c r="BM229" s="407"/>
      <c r="BN229" s="495"/>
      <c r="BO229" s="407"/>
      <c r="BP229" s="407"/>
      <c r="BQ229" s="407"/>
      <c r="BR229" s="407"/>
      <c r="BS229" s="495"/>
      <c r="BT229" s="407"/>
      <c r="BU229" s="407"/>
      <c r="BV229" s="407"/>
      <c r="BW229" s="407"/>
      <c r="BX229" s="495"/>
      <c r="BY229" s="496"/>
      <c r="BZ229" s="496"/>
      <c r="CA229" s="496"/>
      <c r="CD229" s="370"/>
      <c r="CE229" s="439"/>
      <c r="CF229" s="439"/>
      <c r="CG229" s="439"/>
      <c r="CH229" s="439"/>
      <c r="CI229" s="439"/>
      <c r="CJ229" s="439"/>
      <c r="CK229" s="439"/>
      <c r="CL229" s="439"/>
      <c r="CM229" s="439"/>
      <c r="CN229" s="439"/>
      <c r="CO229" s="439"/>
      <c r="CP229" s="439"/>
      <c r="CQ229" s="439"/>
      <c r="CR229" s="439"/>
      <c r="CS229" s="439"/>
      <c r="CT229" s="439"/>
      <c r="CU229" s="439"/>
      <c r="CV229" s="439"/>
      <c r="CW229" s="439"/>
      <c r="CX229" s="439"/>
      <c r="CY229" s="439"/>
      <c r="CZ229" s="439"/>
      <c r="DA229" s="58"/>
      <c r="DB229" s="440"/>
    </row>
    <row r="230" spans="1:112" s="466" customFormat="1" ht="12" customHeight="1">
      <c r="A230" s="475" t="s">
        <v>196</v>
      </c>
      <c r="B230" s="462">
        <f t="shared" ref="B230:AH230" si="503">B220+B224</f>
        <v>3805.306</v>
      </c>
      <c r="C230" s="462">
        <f t="shared" si="503"/>
        <v>3615.8440000000001</v>
      </c>
      <c r="D230" s="462">
        <f t="shared" si="503"/>
        <v>3784.9989999999998</v>
      </c>
      <c r="E230" s="462">
        <f t="shared" si="503"/>
        <v>3951.201</v>
      </c>
      <c r="F230" s="462">
        <f t="shared" si="503"/>
        <v>4465.5290000000005</v>
      </c>
      <c r="G230" s="463">
        <f t="shared" si="503"/>
        <v>961.71499999999992</v>
      </c>
      <c r="H230" s="464">
        <f t="shared" si="503"/>
        <v>1126.7170000000001</v>
      </c>
      <c r="I230" s="464">
        <f t="shared" si="503"/>
        <v>1321.9360000000001</v>
      </c>
      <c r="J230" s="464">
        <f t="shared" si="503"/>
        <v>1233.2289999999998</v>
      </c>
      <c r="K230" s="462">
        <f t="shared" si="503"/>
        <v>4643.5969999999998</v>
      </c>
      <c r="L230" s="464">
        <f t="shared" si="503"/>
        <v>1041.0250000000001</v>
      </c>
      <c r="M230" s="464">
        <f t="shared" si="503"/>
        <v>1222.4879999999998</v>
      </c>
      <c r="N230" s="464">
        <f t="shared" si="503"/>
        <v>1411.4360000000001</v>
      </c>
      <c r="O230" s="464">
        <f t="shared" si="503"/>
        <v>1246.8349999999998</v>
      </c>
      <c r="P230" s="462">
        <f t="shared" si="503"/>
        <v>4921.7839999999997</v>
      </c>
      <c r="Q230" s="464">
        <f t="shared" si="503"/>
        <v>1025.0840000000001</v>
      </c>
      <c r="R230" s="464">
        <f t="shared" si="503"/>
        <v>1241.289</v>
      </c>
      <c r="S230" s="464">
        <f t="shared" si="503"/>
        <v>1328.636</v>
      </c>
      <c r="T230" s="464">
        <f t="shared" si="503"/>
        <v>1133.6159999999995</v>
      </c>
      <c r="U230" s="462">
        <f t="shared" si="503"/>
        <v>4728.625</v>
      </c>
      <c r="V230" s="464">
        <f t="shared" si="503"/>
        <v>980.25</v>
      </c>
      <c r="W230" s="464">
        <f t="shared" si="503"/>
        <v>1113.431</v>
      </c>
      <c r="X230" s="464">
        <f t="shared" si="503"/>
        <v>1282.8409999999999</v>
      </c>
      <c r="Y230" s="464">
        <f t="shared" si="503"/>
        <v>1145.7360000000003</v>
      </c>
      <c r="Z230" s="462">
        <f t="shared" si="503"/>
        <v>4522.2579999999998</v>
      </c>
      <c r="AA230" s="464">
        <f t="shared" si="503"/>
        <v>964.2</v>
      </c>
      <c r="AB230" s="464">
        <f t="shared" si="503"/>
        <v>1108.6000000000001</v>
      </c>
      <c r="AC230" s="464">
        <f t="shared" si="503"/>
        <v>1305.5999999999999</v>
      </c>
      <c r="AD230" s="464">
        <f t="shared" si="503"/>
        <v>1203.6309999999999</v>
      </c>
      <c r="AE230" s="462">
        <f t="shared" si="503"/>
        <v>4582.0310000000009</v>
      </c>
      <c r="AF230" s="464">
        <f t="shared" si="503"/>
        <v>1006</v>
      </c>
      <c r="AG230" s="464">
        <f t="shared" si="503"/>
        <v>1173</v>
      </c>
      <c r="AH230" s="464">
        <f t="shared" si="503"/>
        <v>1263.2</v>
      </c>
      <c r="AI230" s="463">
        <f>'Op Metrics'!AI75</f>
        <v>762</v>
      </c>
      <c r="AJ230" s="462">
        <f>AJ220+AJ224</f>
        <v>4164.1000000000004</v>
      </c>
      <c r="AK230" s="463">
        <f>'Op Metrics'!AK75</f>
        <v>724</v>
      </c>
      <c r="AL230" s="463">
        <f>'Op Metrics'!AL75</f>
        <v>725</v>
      </c>
      <c r="AM230" s="463">
        <f>'Op Metrics'!AM75</f>
        <v>760</v>
      </c>
      <c r="AN230" s="463">
        <f>'Op Metrics'!AN75</f>
        <v>856</v>
      </c>
      <c r="AO230" s="462">
        <f>AO220+AO224</f>
        <v>2976</v>
      </c>
      <c r="AP230" s="463">
        <f>'Op Metrics'!AP75</f>
        <v>782</v>
      </c>
      <c r="AQ230" s="463">
        <f>'Op Metrics'!AQ75</f>
        <v>804</v>
      </c>
      <c r="AR230" s="463">
        <f>'Op Metrics'!AR75</f>
        <v>768</v>
      </c>
      <c r="AS230" s="465">
        <f>'Op Metrics'!AS75</f>
        <v>858</v>
      </c>
      <c r="AT230" s="463">
        <f>'Op Metrics'!AT75</f>
        <v>3212</v>
      </c>
      <c r="AU230" s="497">
        <f>'Op Metrics'!AU75</f>
        <v>775.5</v>
      </c>
      <c r="AV230" s="463">
        <f>'Op Metrics'!AV75</f>
        <v>827.5</v>
      </c>
      <c r="AW230" s="463">
        <f>'Op Metrics'!AW75</f>
        <v>787</v>
      </c>
      <c r="AX230" s="463">
        <f>'Op Metrics'!AX75</f>
        <v>846</v>
      </c>
      <c r="AY230" s="462">
        <f>'Op Metrics'!AY69</f>
        <v>3085</v>
      </c>
      <c r="AZ230" s="463">
        <f>+'Op Metrics'!AZ30-'Op Metrics'!AZ142</f>
        <v>772</v>
      </c>
      <c r="BA230" s="463">
        <f>+'Op Metrics'!BA30-'Op Metrics'!BA142</f>
        <v>760.1</v>
      </c>
      <c r="BB230" s="463">
        <f>+'Op Metrics'!BB30-'Op Metrics'!BB142</f>
        <v>914</v>
      </c>
      <c r="BC230" s="463">
        <f>+'Op Metrics'!BC30-'Op Metrics'!BC142</f>
        <v>952</v>
      </c>
      <c r="BD230" s="462">
        <f>+'Op Metrics'!BD30-'Op Metrics'!BD142</f>
        <v>3398.1</v>
      </c>
      <c r="BE230" s="463">
        <f>+'Op Metrics'!BE30-'Op Metrics'!BE142</f>
        <v>829</v>
      </c>
      <c r="BF230" s="463">
        <f>+'Op Metrics'!BF30-'Op Metrics'!BF142</f>
        <v>831</v>
      </c>
      <c r="BG230" s="463">
        <f>+'Op Metrics'!BG30-'Op Metrics'!BG142+721</f>
        <v>813.5</v>
      </c>
      <c r="BH230" s="463">
        <f>+'Op Metrics'!BH30-'Op Metrics'!BH142+347</f>
        <v>889</v>
      </c>
      <c r="BI230" s="462">
        <f>+'Op Metrics'!BI30-'Op Metrics'!BI142</f>
        <v>2293</v>
      </c>
      <c r="BJ230" s="463">
        <f>+'Op Metrics'!BJ30-'Op Metrics'!BJ142</f>
        <v>805</v>
      </c>
      <c r="BK230" s="463">
        <f>+'Op Metrics'!BK30-'Op Metrics'!BK142</f>
        <v>832</v>
      </c>
      <c r="BL230" s="463">
        <f>+'Op Metrics'!BL30-'Op Metrics'!BL142</f>
        <v>855</v>
      </c>
      <c r="BM230" s="463">
        <f>+'Op Metrics'!BM30-'Op Metrics'!BM142</f>
        <v>961</v>
      </c>
      <c r="BN230" s="462">
        <f>+'Op Metrics'!BN30-'Op Metrics'!BN142</f>
        <v>3453</v>
      </c>
      <c r="BO230" s="463">
        <f>+'Op Metrics'!BO30-'Op Metrics'!BO142</f>
        <v>856</v>
      </c>
      <c r="BP230" s="463">
        <f>+'Op Metrics'!BP30-'Op Metrics'!BP142</f>
        <v>894.73123315410351</v>
      </c>
      <c r="BQ230" s="463">
        <f>+'Op Metrics'!BQ30-'Op Metrics'!BQ142</f>
        <v>896.96841778123542</v>
      </c>
      <c r="BR230" s="463">
        <f>+'Op Metrics'!BR30-'Op Metrics'!BR142</f>
        <v>914.24778850963992</v>
      </c>
      <c r="BS230" s="462">
        <f>+'Op Metrics'!BS30-'Op Metrics'!BS142</f>
        <v>3561.9474394449799</v>
      </c>
      <c r="BT230" s="463">
        <f>+'Op Metrics'!BT30-'Op Metrics'!BT142</f>
        <v>877.41767879125769</v>
      </c>
      <c r="BU230" s="463">
        <f>+'Op Metrics'!BU30-'Op Metrics'!BU142</f>
        <v>918.98412406880186</v>
      </c>
      <c r="BV230" s="463">
        <f>+'Op Metrics'!BV30-'Op Metrics'!BV142</f>
        <v>921.46797656288106</v>
      </c>
      <c r="BW230" s="463">
        <f>+'Op Metrics'!BW30-'Op Metrics'!BW142</f>
        <v>939.28570448079688</v>
      </c>
      <c r="BX230" s="462">
        <f>+'Op Metrics'!BX30-'Op Metrics'!BX142</f>
        <v>3657.1554839037362</v>
      </c>
      <c r="BY230" s="465">
        <f>+'Op Metrics'!BY30-'Op Metrics'!BY142</f>
        <v>3797.3359778904937</v>
      </c>
      <c r="BZ230" s="465">
        <f>+'Op Metrics'!BZ30-'Op Metrics'!BZ142</f>
        <v>3937.0153124196058</v>
      </c>
      <c r="CA230" s="465">
        <f>+'Op Metrics'!CA30-'Op Metrics'!CA142</f>
        <v>4069.4327474323691</v>
      </c>
      <c r="CD230" s="467"/>
      <c r="CE230" s="463"/>
      <c r="CF230" s="463"/>
      <c r="CG230" s="463"/>
      <c r="CH230" s="463"/>
      <c r="CI230" s="463"/>
      <c r="CJ230" s="463"/>
      <c r="CK230" s="463"/>
      <c r="CL230" s="463"/>
      <c r="CM230" s="463"/>
      <c r="CN230" s="463"/>
      <c r="CO230" s="463"/>
      <c r="CP230" s="463"/>
      <c r="CQ230" s="463"/>
      <c r="CR230" s="463"/>
      <c r="CS230" s="463"/>
      <c r="CT230" s="463"/>
      <c r="CU230" s="463"/>
      <c r="CV230" s="463"/>
      <c r="CW230" s="463"/>
      <c r="CX230" s="463"/>
      <c r="CY230" s="463"/>
      <c r="CZ230" s="463"/>
      <c r="DA230" s="464"/>
      <c r="DB230" s="468"/>
      <c r="DC230"/>
      <c r="DD230"/>
      <c r="DE230"/>
      <c r="DF230"/>
      <c r="DG230"/>
      <c r="DH230"/>
    </row>
    <row r="231" spans="1:112" ht="12" customHeight="1" thickBot="1">
      <c r="A231" s="498"/>
      <c r="B231" s="499"/>
      <c r="C231" s="499"/>
      <c r="D231" s="499"/>
      <c r="E231" s="499"/>
      <c r="F231" s="499"/>
      <c r="G231" s="500"/>
      <c r="H231" s="500"/>
      <c r="I231" s="500"/>
      <c r="J231" s="500"/>
      <c r="K231" s="501">
        <f t="shared" ref="K231:BZ231" si="504">+K230/K210</f>
        <v>0.74236523638647134</v>
      </c>
      <c r="L231" s="502">
        <f t="shared" si="504"/>
        <v>0.80300103824538072</v>
      </c>
      <c r="M231" s="502">
        <f t="shared" si="504"/>
        <v>0.71150211939501051</v>
      </c>
      <c r="N231" s="502">
        <f t="shared" si="504"/>
        <v>0.64508161806511533</v>
      </c>
      <c r="O231" s="502">
        <f t="shared" si="504"/>
        <v>0.79432027256371973</v>
      </c>
      <c r="P231" s="501">
        <f t="shared" si="504"/>
        <v>0.72675425015589279</v>
      </c>
      <c r="Q231" s="503">
        <f t="shared" si="504"/>
        <v>0.84170162521317948</v>
      </c>
      <c r="R231" s="503">
        <f t="shared" si="504"/>
        <v>0.74185420370840749</v>
      </c>
      <c r="S231" s="503">
        <f t="shared" si="504"/>
        <v>0.64857671874763545</v>
      </c>
      <c r="T231" s="502">
        <f t="shared" si="504"/>
        <v>0.8009054569038967</v>
      </c>
      <c r="U231" s="501">
        <f t="shared" si="504"/>
        <v>0.74407302533180286</v>
      </c>
      <c r="V231" s="503">
        <f t="shared" si="504"/>
        <v>0.8537223688759954</v>
      </c>
      <c r="W231" s="503">
        <f t="shared" si="504"/>
        <v>0.7599277904421301</v>
      </c>
      <c r="X231" s="503">
        <f t="shared" si="504"/>
        <v>0.68385252329144941</v>
      </c>
      <c r="Y231" s="504">
        <f t="shared" si="504"/>
        <v>0.78341351610812238</v>
      </c>
      <c r="Z231" s="505">
        <f t="shared" si="504"/>
        <v>0.75981579970502944</v>
      </c>
      <c r="AA231" s="503">
        <f t="shared" si="504"/>
        <v>0.80997983870967738</v>
      </c>
      <c r="AB231" s="503">
        <f t="shared" si="504"/>
        <v>0.75205209958618835</v>
      </c>
      <c r="AC231" s="503">
        <f t="shared" si="504"/>
        <v>0.667416419588999</v>
      </c>
      <c r="AD231" s="503">
        <f t="shared" si="504"/>
        <v>0.77772479357159408</v>
      </c>
      <c r="AE231" s="501">
        <f t="shared" si="504"/>
        <v>0.74283156983631404</v>
      </c>
      <c r="AF231" s="503">
        <f t="shared" si="504"/>
        <v>0.79777954004758134</v>
      </c>
      <c r="AG231" s="503">
        <f t="shared" si="504"/>
        <v>0.75337186897880537</v>
      </c>
      <c r="AH231" s="503">
        <f t="shared" si="504"/>
        <v>0.66205450733752624</v>
      </c>
      <c r="AI231" s="503">
        <f t="shared" si="504"/>
        <v>0.75896414342629481</v>
      </c>
      <c r="AJ231" s="501">
        <f t="shared" si="504"/>
        <v>1.0531360647445625</v>
      </c>
      <c r="AK231" s="503">
        <f t="shared" si="504"/>
        <v>0.69951690821256041</v>
      </c>
      <c r="AL231" s="506">
        <f t="shared" si="504"/>
        <v>0.67630597014925375</v>
      </c>
      <c r="AM231" s="506">
        <f t="shared" si="504"/>
        <v>0.68100358422939067</v>
      </c>
      <c r="AN231" s="507">
        <f t="shared" si="504"/>
        <v>0.69763651181744091</v>
      </c>
      <c r="AO231" s="508">
        <f t="shared" si="504"/>
        <v>0.66891436277815242</v>
      </c>
      <c r="AP231" s="502">
        <f t="shared" si="504"/>
        <v>0.66215071972904316</v>
      </c>
      <c r="AQ231" s="502">
        <f t="shared" si="504"/>
        <v>0.64319999999999999</v>
      </c>
      <c r="AR231" s="502">
        <f t="shared" si="504"/>
        <v>0.66666666666666663</v>
      </c>
      <c r="AS231" s="502">
        <f t="shared" si="504"/>
        <v>0.71144278606965172</v>
      </c>
      <c r="AT231" s="501">
        <f t="shared" si="504"/>
        <v>0.67070369596993107</v>
      </c>
      <c r="AU231" s="502">
        <f t="shared" si="504"/>
        <v>0.64841137123745818</v>
      </c>
      <c r="AV231" s="502">
        <f t="shared" si="504"/>
        <v>0.63556067588325649</v>
      </c>
      <c r="AW231" s="502">
        <f t="shared" si="504"/>
        <v>0.62311955661124308</v>
      </c>
      <c r="AX231" s="502">
        <f t="shared" si="504"/>
        <v>0.65581395348837213</v>
      </c>
      <c r="AY231" s="501">
        <f t="shared" si="504"/>
        <v>0.61077014452583644</v>
      </c>
      <c r="AZ231" s="502">
        <f t="shared" si="504"/>
        <v>0.60644147682639438</v>
      </c>
      <c r="BA231" s="502">
        <f t="shared" si="504"/>
        <v>0.56639344262295088</v>
      </c>
      <c r="BB231" s="502">
        <f t="shared" si="504"/>
        <v>0.69033232628398788</v>
      </c>
      <c r="BC231" s="502">
        <f t="shared" si="504"/>
        <v>0.69286754002911211</v>
      </c>
      <c r="BD231" s="501">
        <f t="shared" si="504"/>
        <v>0.63958215697346132</v>
      </c>
      <c r="BE231" s="502">
        <f t="shared" si="504"/>
        <v>0.6181953765846383</v>
      </c>
      <c r="BF231" s="502">
        <f t="shared" si="504"/>
        <v>0.56072874493927127</v>
      </c>
      <c r="BG231" s="502">
        <f t="shared" si="504"/>
        <v>0.56532314107018766</v>
      </c>
      <c r="BH231" s="502">
        <f t="shared" si="504"/>
        <v>0.63545389563974264</v>
      </c>
      <c r="BI231" s="501">
        <f t="shared" si="504"/>
        <v>0.40505211093446386</v>
      </c>
      <c r="BJ231" s="502">
        <f t="shared" si="504"/>
        <v>0.55402615278733658</v>
      </c>
      <c r="BK231" s="502">
        <f>+BK230/BK210</f>
        <v>0.55135851557322735</v>
      </c>
      <c r="BL231" s="502">
        <f t="shared" si="504"/>
        <v>0.56510244547257105</v>
      </c>
      <c r="BM231" s="502">
        <f t="shared" si="504"/>
        <v>0.60478288231592192</v>
      </c>
      <c r="BN231" s="501">
        <f t="shared" si="504"/>
        <v>0.56942612137203164</v>
      </c>
      <c r="BO231" s="502">
        <f t="shared" si="504"/>
        <v>0.54626675175494577</v>
      </c>
      <c r="BP231" s="502">
        <f t="shared" si="504"/>
        <v>0.54544070254949917</v>
      </c>
      <c r="BQ231" s="502">
        <f t="shared" si="504"/>
        <v>0.55254860578450493</v>
      </c>
      <c r="BR231" s="502">
        <f t="shared" si="504"/>
        <v>0.54708088799543197</v>
      </c>
      <c r="BS231" s="501">
        <f t="shared" si="504"/>
        <v>0.54783599996898902</v>
      </c>
      <c r="BT231" s="502">
        <f t="shared" ref="BT231:BX231" si="505">+BT230/BT210</f>
        <v>0.53292077301192553</v>
      </c>
      <c r="BU231" s="502">
        <f t="shared" si="505"/>
        <v>0.5289528378415157</v>
      </c>
      <c r="BV231" s="502">
        <f t="shared" si="505"/>
        <v>0.53533639295503155</v>
      </c>
      <c r="BW231" s="502">
        <f t="shared" si="505"/>
        <v>0.53038426664033433</v>
      </c>
      <c r="BX231" s="501">
        <f t="shared" si="505"/>
        <v>0.53186961405915179</v>
      </c>
      <c r="BY231" s="509">
        <f t="shared" si="504"/>
        <v>0.52510854311990174</v>
      </c>
      <c r="BZ231" s="509">
        <f t="shared" si="504"/>
        <v>0.51745784035713527</v>
      </c>
      <c r="CA231" s="509">
        <f t="shared" ref="CA231" si="506">+CA230/CA210</f>
        <v>0.51092365927165029</v>
      </c>
      <c r="CD231" s="510"/>
      <c r="CE231" s="127"/>
      <c r="CF231" s="127"/>
      <c r="CG231" s="127"/>
      <c r="CH231" s="127"/>
      <c r="CI231" s="127"/>
      <c r="CJ231" s="127"/>
      <c r="CK231" s="127"/>
      <c r="CL231" s="127"/>
      <c r="CM231" s="127"/>
      <c r="CN231" s="127"/>
      <c r="CO231" s="127"/>
      <c r="CP231" s="127"/>
      <c r="CQ231" s="127"/>
      <c r="CR231" s="127"/>
      <c r="CS231" s="127"/>
      <c r="CT231" s="127"/>
      <c r="CU231" s="127"/>
      <c r="CV231" s="127"/>
      <c r="CW231" s="127"/>
      <c r="CX231" s="127"/>
      <c r="CY231" s="127"/>
      <c r="CZ231" s="127"/>
      <c r="DA231" s="58"/>
      <c r="DB231" s="438"/>
    </row>
    <row r="232" spans="1:112" ht="12" customHeight="1" thickBot="1">
      <c r="A232" s="511" t="s">
        <v>197</v>
      </c>
      <c r="B232" s="499"/>
      <c r="C232" s="499"/>
      <c r="D232" s="499"/>
      <c r="E232" s="499"/>
      <c r="F232" s="499"/>
      <c r="G232" s="500"/>
      <c r="H232" s="500"/>
      <c r="I232" s="500"/>
      <c r="J232" s="500"/>
      <c r="K232" s="501"/>
      <c r="L232" s="502"/>
      <c r="M232" s="502"/>
      <c r="N232" s="502"/>
      <c r="O232" s="502"/>
      <c r="P232" s="501"/>
      <c r="Q232" s="503"/>
      <c r="R232" s="503"/>
      <c r="S232" s="503"/>
      <c r="T232" s="502"/>
      <c r="U232" s="501"/>
      <c r="V232" s="503"/>
      <c r="W232" s="503"/>
      <c r="X232" s="503"/>
      <c r="Y232" s="504"/>
      <c r="Z232" s="505"/>
      <c r="AA232" s="503"/>
      <c r="AB232" s="503"/>
      <c r="AC232" s="503"/>
      <c r="AD232" s="503"/>
      <c r="AE232" s="501"/>
      <c r="AF232" s="503"/>
      <c r="AG232" s="503"/>
      <c r="AH232" s="503"/>
      <c r="AI232" s="503"/>
      <c r="AJ232" s="501"/>
      <c r="AK232" s="503"/>
      <c r="AL232" s="506"/>
      <c r="AM232" s="506"/>
      <c r="AN232" s="507"/>
      <c r="AO232" s="508"/>
      <c r="AP232" s="502"/>
      <c r="AQ232" s="502"/>
      <c r="AR232" s="502"/>
      <c r="AS232" s="502"/>
      <c r="AT232" s="501"/>
      <c r="AU232" s="512">
        <f>+AU230-AU233</f>
        <v>33</v>
      </c>
      <c r="AV232" s="512">
        <f>+AV230-AV233</f>
        <v>34</v>
      </c>
      <c r="AW232" s="512">
        <f>+AW230-AW233</f>
        <v>33</v>
      </c>
      <c r="AX232" s="512">
        <f>+AX230-AX233</f>
        <v>34</v>
      </c>
      <c r="AY232" s="513">
        <f>+AY230-AY233</f>
        <v>134</v>
      </c>
      <c r="AZ232" s="512">
        <f t="shared" ref="AZ232:BY232" si="507">+AZ230-AZ233</f>
        <v>33</v>
      </c>
      <c r="BA232" s="512">
        <f t="shared" si="507"/>
        <v>33</v>
      </c>
      <c r="BB232" s="512">
        <f t="shared" si="507"/>
        <v>38</v>
      </c>
      <c r="BC232" s="512">
        <f t="shared" si="507"/>
        <v>53</v>
      </c>
      <c r="BD232" s="513">
        <f t="shared" si="507"/>
        <v>157</v>
      </c>
      <c r="BE232" s="512">
        <f t="shared" si="507"/>
        <v>42</v>
      </c>
      <c r="BF232" s="512">
        <f t="shared" si="507"/>
        <v>45</v>
      </c>
      <c r="BG232" s="512">
        <f t="shared" si="507"/>
        <v>47</v>
      </c>
      <c r="BH232" s="512">
        <f t="shared" si="507"/>
        <v>47</v>
      </c>
      <c r="BI232" s="513">
        <f t="shared" si="507"/>
        <v>181</v>
      </c>
      <c r="BJ232" s="512">
        <f t="shared" si="507"/>
        <v>43</v>
      </c>
      <c r="BK232" s="512">
        <f>+BK230-BK233</f>
        <v>45</v>
      </c>
      <c r="BL232" s="512">
        <f t="shared" si="507"/>
        <v>46</v>
      </c>
      <c r="BM232" s="512">
        <f t="shared" si="507"/>
        <v>46</v>
      </c>
      <c r="BN232" s="513">
        <f t="shared" si="507"/>
        <v>180</v>
      </c>
      <c r="BO232" s="512">
        <f t="shared" si="507"/>
        <v>45</v>
      </c>
      <c r="BP232" s="512">
        <f t="shared" si="507"/>
        <v>47.277576765760614</v>
      </c>
      <c r="BQ232" s="512">
        <f t="shared" si="507"/>
        <v>47.731035502432974</v>
      </c>
      <c r="BR232" s="512">
        <f t="shared" si="507"/>
        <v>46.706683491980471</v>
      </c>
      <c r="BS232" s="513">
        <f t="shared" si="507"/>
        <v>186.71529576017429</v>
      </c>
      <c r="BT232" s="512">
        <f t="shared" ref="BT232:BX232" si="508">+BT230-BT233</f>
        <v>46.100088888082155</v>
      </c>
      <c r="BU232" s="512">
        <f t="shared" si="508"/>
        <v>48.646218779973992</v>
      </c>
      <c r="BV232" s="512">
        <f t="shared" si="508"/>
        <v>48.196057064866864</v>
      </c>
      <c r="BW232" s="512">
        <f t="shared" si="508"/>
        <v>49.586689084985551</v>
      </c>
      <c r="BX232" s="513">
        <f t="shared" si="508"/>
        <v>192.52905381790833</v>
      </c>
      <c r="BY232" s="513">
        <f t="shared" si="507"/>
        <v>195.25119662666066</v>
      </c>
      <c r="BZ232" s="513">
        <f>+BZ230-BZ233</f>
        <v>197.81785130990011</v>
      </c>
      <c r="CA232" s="513">
        <f>+CA230-CA233</f>
        <v>199.12136938586718</v>
      </c>
      <c r="CD232" s="510"/>
      <c r="CE232" s="127"/>
      <c r="CF232" s="127"/>
      <c r="CG232" s="127"/>
      <c r="CH232" s="127"/>
      <c r="CI232" s="127"/>
      <c r="CJ232" s="127"/>
      <c r="CK232" s="127"/>
      <c r="CL232" s="127"/>
      <c r="CM232" s="127"/>
      <c r="CN232" s="127"/>
      <c r="CO232" s="127"/>
      <c r="CP232" s="127"/>
      <c r="CQ232" s="127"/>
      <c r="CR232" s="127"/>
      <c r="CS232" s="127"/>
      <c r="CT232" s="127"/>
      <c r="CU232" s="127"/>
      <c r="CV232" s="127"/>
      <c r="CW232" s="127"/>
      <c r="CX232" s="127"/>
      <c r="CY232" s="127"/>
      <c r="CZ232" s="127"/>
      <c r="DA232" s="58"/>
      <c r="DB232" s="438"/>
    </row>
    <row r="233" spans="1:112" ht="12" customHeight="1" thickBot="1">
      <c r="A233" s="514" t="s">
        <v>198</v>
      </c>
      <c r="B233" s="515"/>
      <c r="C233" s="515"/>
      <c r="D233" s="515"/>
      <c r="E233" s="515"/>
      <c r="F233" s="515"/>
      <c r="G233" s="516"/>
      <c r="H233" s="516"/>
      <c r="I233" s="516"/>
      <c r="J233" s="516"/>
      <c r="K233" s="517"/>
      <c r="L233" s="518"/>
      <c r="M233" s="518"/>
      <c r="N233" s="518"/>
      <c r="O233" s="518"/>
      <c r="P233" s="517"/>
      <c r="Q233" s="519"/>
      <c r="R233" s="519"/>
      <c r="S233" s="519"/>
      <c r="T233" s="518"/>
      <c r="U233" s="517"/>
      <c r="V233" s="519"/>
      <c r="W233" s="519"/>
      <c r="X233" s="519"/>
      <c r="Y233" s="520"/>
      <c r="Z233" s="521"/>
      <c r="AA233" s="519"/>
      <c r="AB233" s="519"/>
      <c r="AC233" s="519"/>
      <c r="AD233" s="519"/>
      <c r="AE233" s="517"/>
      <c r="AF233" s="519"/>
      <c r="AG233" s="519"/>
      <c r="AH233" s="519"/>
      <c r="AI233" s="519"/>
      <c r="AJ233" s="517"/>
      <c r="AK233" s="519"/>
      <c r="AL233" s="522"/>
      <c r="AM233" s="522"/>
      <c r="AN233" s="523"/>
      <c r="AO233" s="524"/>
      <c r="AP233" s="518"/>
      <c r="AQ233" s="518"/>
      <c r="AR233" s="518"/>
      <c r="AS233" s="518"/>
      <c r="AT233" s="517"/>
      <c r="AU233" s="525">
        <f t="shared" ref="AU233:CA233" si="509">+AU230-AU34</f>
        <v>742.5</v>
      </c>
      <c r="AV233" s="525">
        <f t="shared" si="509"/>
        <v>793.5</v>
      </c>
      <c r="AW233" s="525">
        <f t="shared" si="509"/>
        <v>754</v>
      </c>
      <c r="AX233" s="525">
        <f t="shared" si="509"/>
        <v>812</v>
      </c>
      <c r="AY233" s="526">
        <f t="shared" si="509"/>
        <v>2951</v>
      </c>
      <c r="AZ233" s="525">
        <f t="shared" si="509"/>
        <v>739</v>
      </c>
      <c r="BA233" s="525">
        <f t="shared" si="509"/>
        <v>727.1</v>
      </c>
      <c r="BB233" s="525">
        <f t="shared" si="509"/>
        <v>876</v>
      </c>
      <c r="BC233" s="525">
        <f t="shared" si="509"/>
        <v>899</v>
      </c>
      <c r="BD233" s="526">
        <f t="shared" si="509"/>
        <v>3241.1</v>
      </c>
      <c r="BE233" s="525">
        <f t="shared" si="509"/>
        <v>787</v>
      </c>
      <c r="BF233" s="525">
        <f t="shared" si="509"/>
        <v>786</v>
      </c>
      <c r="BG233" s="525">
        <f t="shared" si="509"/>
        <v>766.5</v>
      </c>
      <c r="BH233" s="525">
        <f t="shared" si="509"/>
        <v>842</v>
      </c>
      <c r="BI233" s="526">
        <f t="shared" si="509"/>
        <v>2112</v>
      </c>
      <c r="BJ233" s="525">
        <f t="shared" si="509"/>
        <v>762</v>
      </c>
      <c r="BK233" s="525">
        <f t="shared" si="509"/>
        <v>787</v>
      </c>
      <c r="BL233" s="525">
        <f t="shared" si="509"/>
        <v>809</v>
      </c>
      <c r="BM233" s="525">
        <f t="shared" si="509"/>
        <v>915</v>
      </c>
      <c r="BN233" s="526">
        <f t="shared" si="509"/>
        <v>3273</v>
      </c>
      <c r="BO233" s="525">
        <f t="shared" si="509"/>
        <v>811</v>
      </c>
      <c r="BP233" s="525">
        <f t="shared" si="509"/>
        <v>847.45365638834289</v>
      </c>
      <c r="BQ233" s="525">
        <f t="shared" si="509"/>
        <v>849.23738227880244</v>
      </c>
      <c r="BR233" s="525">
        <f t="shared" si="509"/>
        <v>867.54110501765945</v>
      </c>
      <c r="BS233" s="526">
        <f t="shared" si="509"/>
        <v>3375.2321436848056</v>
      </c>
      <c r="BT233" s="525">
        <f t="shared" si="509"/>
        <v>831.31758990317553</v>
      </c>
      <c r="BU233" s="525">
        <f t="shared" si="509"/>
        <v>870.33790528882787</v>
      </c>
      <c r="BV233" s="525">
        <f t="shared" si="509"/>
        <v>873.2719194980142</v>
      </c>
      <c r="BW233" s="525">
        <f t="shared" si="509"/>
        <v>889.69901539581133</v>
      </c>
      <c r="BX233" s="526">
        <f t="shared" si="509"/>
        <v>3464.6264300858279</v>
      </c>
      <c r="BY233" s="526">
        <f t="shared" si="509"/>
        <v>3602.0847812638331</v>
      </c>
      <c r="BZ233" s="526">
        <f t="shared" si="509"/>
        <v>3739.1974611097057</v>
      </c>
      <c r="CA233" s="526">
        <f t="shared" si="509"/>
        <v>3870.3113780465019</v>
      </c>
      <c r="CD233" s="510"/>
      <c r="CE233" s="127"/>
      <c r="CF233" s="127"/>
      <c r="CG233" s="127"/>
      <c r="CH233" s="127"/>
      <c r="CI233" s="127"/>
      <c r="CJ233" s="127"/>
      <c r="CK233" s="127"/>
      <c r="CL233" s="127"/>
      <c r="CM233" s="127"/>
      <c r="CN233" s="127"/>
      <c r="CO233" s="127"/>
      <c r="CP233" s="127"/>
      <c r="CQ233" s="127"/>
      <c r="CR233" s="127"/>
      <c r="CS233" s="127"/>
      <c r="CT233" s="127"/>
      <c r="CU233" s="127"/>
      <c r="CV233" s="127"/>
      <c r="CW233" s="127"/>
      <c r="CX233" s="127"/>
      <c r="CY233" s="127"/>
      <c r="CZ233" s="127"/>
      <c r="DA233" s="58"/>
      <c r="DB233" s="438"/>
    </row>
    <row r="234" spans="1:112" ht="12" customHeight="1">
      <c r="A234" s="42"/>
      <c r="B234" s="54"/>
      <c r="C234" s="54"/>
      <c r="D234" s="54"/>
      <c r="E234" s="54"/>
      <c r="F234" s="54"/>
      <c r="G234" s="127"/>
      <c r="H234" s="377"/>
      <c r="I234" s="377"/>
      <c r="J234" s="377"/>
      <c r="K234" s="54"/>
      <c r="L234" s="377"/>
      <c r="M234" s="377"/>
      <c r="N234" s="377"/>
      <c r="O234" s="377"/>
      <c r="P234" s="54"/>
      <c r="Q234" s="377"/>
      <c r="R234" s="377"/>
      <c r="S234" s="377"/>
      <c r="T234" s="377"/>
      <c r="U234" s="54"/>
      <c r="V234" s="377"/>
      <c r="W234" s="377"/>
      <c r="X234" s="377"/>
      <c r="Y234" s="377"/>
      <c r="Z234" s="54"/>
      <c r="AA234" s="377"/>
      <c r="AB234" s="377"/>
      <c r="AC234" s="377"/>
      <c r="AD234" s="377"/>
      <c r="AE234" s="54"/>
      <c r="AF234" s="377"/>
      <c r="AG234" s="377"/>
      <c r="AH234" s="377"/>
      <c r="AI234" s="58"/>
      <c r="AJ234" s="378"/>
      <c r="AK234" s="42"/>
      <c r="AL234" s="42"/>
      <c r="AM234" s="42"/>
      <c r="AN234" s="390"/>
      <c r="AO234" s="379"/>
      <c r="AP234" s="58"/>
      <c r="AQ234" s="58"/>
      <c r="AR234" s="58"/>
      <c r="AS234" s="58"/>
      <c r="AT234" s="378"/>
      <c r="AU234" s="58"/>
      <c r="AV234" s="58"/>
      <c r="AW234" s="370"/>
      <c r="AX234" s="370"/>
      <c r="AY234" s="378"/>
      <c r="AZ234" s="370"/>
      <c r="BA234" s="248"/>
      <c r="BB234" s="248"/>
      <c r="BC234" s="370"/>
      <c r="BD234" s="378"/>
      <c r="BE234" s="370"/>
      <c r="BF234" s="248"/>
      <c r="BG234" s="248"/>
      <c r="BH234" s="370"/>
      <c r="BI234" s="378"/>
      <c r="BJ234" s="370"/>
      <c r="BK234" s="248"/>
      <c r="BL234" s="370"/>
      <c r="BM234" s="370"/>
      <c r="BN234" s="378"/>
      <c r="BO234" s="370"/>
      <c r="BP234" s="370"/>
      <c r="BQ234" s="370"/>
      <c r="BR234" s="370"/>
      <c r="BS234" s="378"/>
      <c r="BT234" s="370"/>
      <c r="BU234" s="370"/>
      <c r="BV234" s="370"/>
      <c r="BW234" s="370"/>
      <c r="BX234" s="378"/>
      <c r="BY234" s="528"/>
      <c r="BZ234" s="528"/>
      <c r="CA234" s="528"/>
      <c r="CD234" s="370"/>
      <c r="CE234" s="127"/>
      <c r="CF234" s="127"/>
      <c r="CG234" s="127"/>
      <c r="CH234" s="127"/>
      <c r="CI234" s="127"/>
      <c r="CJ234" s="127"/>
      <c r="CK234" s="127"/>
      <c r="CL234" s="127"/>
      <c r="CM234" s="127"/>
      <c r="CN234" s="127"/>
      <c r="CO234" s="127"/>
      <c r="CP234" s="127"/>
      <c r="CQ234" s="127"/>
      <c r="CR234" s="127"/>
      <c r="CS234" s="127"/>
      <c r="CT234" s="127"/>
      <c r="CU234" s="127"/>
      <c r="CV234" s="127"/>
      <c r="CW234" s="127"/>
      <c r="CX234" s="127"/>
      <c r="CY234" s="127"/>
      <c r="CZ234" s="127"/>
      <c r="DA234" s="58"/>
      <c r="DB234" s="438"/>
    </row>
    <row r="235" spans="1:112" ht="12" customHeight="1">
      <c r="A235" s="441" t="s">
        <v>199</v>
      </c>
      <c r="B235" s="54"/>
      <c r="C235" s="54"/>
      <c r="D235" s="54"/>
      <c r="E235" s="54"/>
      <c r="F235" s="54"/>
      <c r="G235" s="127"/>
      <c r="H235" s="377"/>
      <c r="I235" s="377"/>
      <c r="J235" s="377"/>
      <c r="K235" s="54"/>
      <c r="L235" s="377"/>
      <c r="M235" s="377"/>
      <c r="N235" s="377"/>
      <c r="O235" s="377"/>
      <c r="P235" s="54"/>
      <c r="Q235" s="377"/>
      <c r="R235" s="377"/>
      <c r="S235" s="377"/>
      <c r="T235" s="377"/>
      <c r="U235" s="54"/>
      <c r="V235" s="377"/>
      <c r="W235" s="377"/>
      <c r="X235" s="377"/>
      <c r="Y235" s="377"/>
      <c r="Z235" s="54"/>
      <c r="AA235" s="377"/>
      <c r="AB235" s="377"/>
      <c r="AC235" s="377"/>
      <c r="AD235" s="377"/>
      <c r="AE235" s="54"/>
      <c r="AF235" s="377"/>
      <c r="AG235" s="377"/>
      <c r="AH235" s="377"/>
      <c r="AI235" s="58"/>
      <c r="AJ235" s="378"/>
      <c r="AK235" s="42"/>
      <c r="AL235" s="42"/>
      <c r="AM235" s="529"/>
      <c r="AN235" s="42"/>
      <c r="AO235" s="379"/>
      <c r="AP235" s="58"/>
      <c r="AQ235" s="58"/>
      <c r="AR235" s="58"/>
      <c r="AS235" s="58"/>
      <c r="AT235" s="378"/>
      <c r="AU235" s="58"/>
      <c r="AV235" s="58"/>
      <c r="AW235" s="370"/>
      <c r="AX235" s="370"/>
      <c r="AY235" s="378"/>
      <c r="AZ235" s="370"/>
      <c r="BA235" s="370"/>
      <c r="BB235" s="370"/>
      <c r="BC235" s="370"/>
      <c r="BD235" s="378"/>
      <c r="BE235" s="370"/>
      <c r="BF235" s="370"/>
      <c r="BG235" s="370"/>
      <c r="BH235" s="370"/>
      <c r="BI235" s="378"/>
      <c r="BJ235" s="370"/>
      <c r="BK235" s="370"/>
      <c r="BL235" s="370"/>
      <c r="BM235" s="251"/>
      <c r="BN235" s="378"/>
      <c r="BO235" s="370"/>
      <c r="BP235" s="370"/>
      <c r="BQ235" s="370"/>
      <c r="BR235" s="251"/>
      <c r="BS235" s="378"/>
      <c r="BT235" s="370"/>
      <c r="BU235" s="370"/>
      <c r="BV235" s="370"/>
      <c r="BW235" s="251"/>
      <c r="BX235" s="378"/>
      <c r="BY235" s="444"/>
      <c r="BZ235" s="444"/>
      <c r="CA235" s="444"/>
      <c r="CD235" s="443"/>
      <c r="CE235" s="530"/>
      <c r="CF235" s="530"/>
      <c r="CG235" s="530"/>
      <c r="CH235" s="530"/>
      <c r="CI235" s="530"/>
      <c r="CJ235" s="530"/>
      <c r="CK235" s="530"/>
      <c r="CL235" s="530"/>
      <c r="CM235" s="530"/>
      <c r="CN235" s="530"/>
      <c r="CO235" s="530"/>
      <c r="CP235" s="530"/>
      <c r="CQ235" s="530"/>
      <c r="CR235" s="530"/>
      <c r="CS235" s="530"/>
      <c r="CT235" s="530"/>
      <c r="CU235" s="530"/>
      <c r="CV235" s="530"/>
      <c r="CW235" s="530"/>
      <c r="CX235" s="530"/>
      <c r="CY235" s="530"/>
      <c r="CZ235" s="530"/>
      <c r="DA235" s="58"/>
      <c r="DB235" s="531"/>
    </row>
    <row r="236" spans="1:112" ht="12" customHeight="1">
      <c r="A236" s="42" t="s">
        <v>200</v>
      </c>
      <c r="B236" s="54">
        <f>B144/(B14/360)</f>
        <v>80.462396688433088</v>
      </c>
      <c r="C236" s="54">
        <f>C144/(C14/360)</f>
        <v>76.947414154266298</v>
      </c>
      <c r="D236" s="54">
        <f>D144/(D14/360)</f>
        <v>70.408079634870518</v>
      </c>
      <c r="E236" s="54">
        <f>E144/(E14/360)</f>
        <v>72.091218080890002</v>
      </c>
      <c r="F236" s="54">
        <f>F144/(F14/360)</f>
        <v>66.816902140400771</v>
      </c>
      <c r="G236" s="127">
        <f>IF(ISERROR(G144/(G14/90)),"NM",(G144/(G14/90)))</f>
        <v>69.41946857967929</v>
      </c>
      <c r="H236" s="377">
        <f>IF(ISERROR(H144/(H14/90)),"NM",(H144/(H14/90)))</f>
        <v>65.838257908288014</v>
      </c>
      <c r="I236" s="377">
        <f>IF(ISERROR(I144/(I14/90)),"NM",(I144/(I14/90)))</f>
        <v>59.373161294207982</v>
      </c>
      <c r="J236" s="377">
        <f>IF(ISERROR(J144/(J14/90)),"NM",(J144/(J14/90)))</f>
        <v>69.846124994198249</v>
      </c>
      <c r="K236" s="54">
        <f>K144/(K14/360)</f>
        <v>71.211148339173334</v>
      </c>
      <c r="L236" s="377">
        <f>IF(ISERROR(L144/(L14/90)),"NM",(L144/(L14/90)))</f>
        <v>67.119185324486395</v>
      </c>
      <c r="M236" s="377">
        <f>IF(ISERROR(M144/(M14/90)),"NM",(M144/(M14/90)))</f>
        <v>67.893682788580236</v>
      </c>
      <c r="N236" s="377">
        <f>IF(ISERROR(N144/(N14/90)),"NM",(N144/(N14/90)))</f>
        <v>61.938170819325073</v>
      </c>
      <c r="O236" s="377">
        <f>IF(ISERROR(O144/(O14/90)),"NM",(O144/(O14/90)))</f>
        <v>68.184537309325179</v>
      </c>
      <c r="P236" s="54">
        <f>P144/(P14/360)</f>
        <v>63.215598998328623</v>
      </c>
      <c r="Q236" s="377">
        <f>IF(ISERROR(Q144/(Q14/90)),"NM",(Q144/(Q14/90)))</f>
        <v>71.386353727118887</v>
      </c>
      <c r="R236" s="377">
        <f>IF(ISERROR(R144/(R14/90)),"NM",(R144/(R14/90)))</f>
        <v>68.107929298211545</v>
      </c>
      <c r="S236" s="377">
        <f>IF(ISERROR(S144/(S14/90)),"NM",(S144/(S14/90)))</f>
        <v>57.533385956151228</v>
      </c>
      <c r="T236" s="377">
        <f>IF(ISERROR(T144/(T14/90)),"NM",(T144/(T14/90)))</f>
        <v>67.455140460273924</v>
      </c>
      <c r="U236" s="54">
        <f>U144/(U14/360)</f>
        <v>60.09529107143841</v>
      </c>
      <c r="V236" s="377">
        <f>IF(ISERROR(V144/(V14/90)),"NM",(V144/(V14/90)))</f>
        <v>65.241293599499059</v>
      </c>
      <c r="W236" s="377">
        <f>IF(ISERROR(W144/(W14/90)),"NM",(W144/(W14/90)))</f>
        <v>64.46322636126618</v>
      </c>
      <c r="X236" s="377">
        <f>IF(ISERROR(X144/(X14/90)),"NM",(X144/(X14/90)))</f>
        <v>56.352076839793952</v>
      </c>
      <c r="Y236" s="377">
        <f>IF(ISERROR(Y144/(Y14/90)),"NM",(Y144/(Y14/90)))</f>
        <v>59.671834102340391</v>
      </c>
      <c r="Z236" s="54">
        <f>Z144/(Z14/360)</f>
        <v>58.65105946420752</v>
      </c>
      <c r="AA236" s="377">
        <f>IF(ISERROR(AA144/(AA14/90)),"NM",(AA144/(AA14/90)))</f>
        <v>57.948613911290316</v>
      </c>
      <c r="AB236" s="377">
        <f>IF(ISERROR(AB144/(AB14/90)),"NM",(AB144/(AB14/90)))</f>
        <v>60.690258462790858</v>
      </c>
      <c r="AC236" s="377">
        <f>IF(ISERROR(AC144/(AC14/90)),"NM",(AC144/(AC14/90)))</f>
        <v>51.672615274511806</v>
      </c>
      <c r="AD236" s="377">
        <f>IF(ISERROR(AD144/(AD14/90)),"NM",(AD144/(AD14/90)))</f>
        <v>57.605184956879249</v>
      </c>
      <c r="AE236" s="54">
        <f>AE144/(AE14/360)</f>
        <v>57.812442295979253</v>
      </c>
      <c r="AF236" s="377">
        <f>IF(ISERROR(AF144/(AF14/90)),"NM",(AF144/(AF14/90)))</f>
        <v>58.903251387787471</v>
      </c>
      <c r="AG236" s="377">
        <f>IF(ISERROR(AG144/(AG14/90)),"NM",(AG144/(AG14/90)))</f>
        <v>59.034682080924853</v>
      </c>
      <c r="AH236" s="377">
        <f>IF(ISERROR(AH144/(AH14/90)),"NM",(AH144/(AH14/90)))</f>
        <v>53.45754716981132</v>
      </c>
      <c r="AI236" s="377">
        <f>IF(ISERROR(AI144/(AI14/90)),"NM",(AI144/(AI14/90)))</f>
        <v>93.67529880478088</v>
      </c>
      <c r="AJ236" s="532">
        <f>AJ144/(AJ14/360)</f>
        <v>60.23054755043227</v>
      </c>
      <c r="AK236" s="533">
        <f>IF(ISERROR(AK144/(AK14/90)),"NM",(AK144/(AK14/90)))</f>
        <v>81.043478260869563</v>
      </c>
      <c r="AL236" s="533">
        <f>IF(ISERROR(AL144/(AL14/90)),"NM",(AL144/(AL14/90)))</f>
        <v>92.518656716417908</v>
      </c>
      <c r="AM236" s="533">
        <f>IF(ISERROR(AM144/(AM14/90)),"NM",(AM144/(AM14/90)))</f>
        <v>107.90322580645162</v>
      </c>
      <c r="AN236" s="377">
        <f>IF(ISERROR(AN144/(AN14/90)),"NM",(AN144/(AN14/90)))</f>
        <v>69.975550122249388</v>
      </c>
      <c r="AO236" s="532">
        <f>AO144/(AO14/360)</f>
        <v>77.177528089887645</v>
      </c>
      <c r="AP236" s="533">
        <f>IF(ISERROR(AP144/(AP14/90)),"NM",(AP144/(AP14/90)))</f>
        <v>76.130397967823882</v>
      </c>
      <c r="AQ236" s="533">
        <f>IF(ISERROR(AQ144/(AQ14/90)),"NM",(AQ144/(AQ14/90)))</f>
        <v>68.903999999999996</v>
      </c>
      <c r="AR236" s="533">
        <f>IF(ISERROR(AR144/(AR14/90)),"NM",(AR144/(AR14/90)))</f>
        <v>74.765625</v>
      </c>
      <c r="AS236" s="377">
        <f>IF(ISERROR(AS144/(AS14/90)),"NM",(AS144/(AS14/90)))</f>
        <v>73.059701492537314</v>
      </c>
      <c r="AT236" s="532">
        <f>AT144/(AT14/360)</f>
        <v>73.593652119440392</v>
      </c>
      <c r="AU236" s="533">
        <f>IF(ISERROR(AU144/(AU14/90)),"NM",(AU144/(AU14/90)))</f>
        <v>74.347826086956516</v>
      </c>
      <c r="AV236" s="533">
        <f>IF(ISERROR(AV144/(AV14/90)),"NM",(AV144/(AV14/90)))</f>
        <v>68.433179723502306</v>
      </c>
      <c r="AW236" s="533">
        <f>IF(ISERROR(AW144/(AW14/90)),"NM",(AW144/(AW14/90)))</f>
        <v>66.128266033254164</v>
      </c>
      <c r="AX236" s="377">
        <f>IF(ISERROR(AX144/(AX14/90)),"NM",(AX144/(AX14/90)))</f>
        <v>65.023255813953483</v>
      </c>
      <c r="AY236" s="534">
        <f>AY144/(AY14/360)</f>
        <v>66.426450207879626</v>
      </c>
      <c r="AZ236" s="533">
        <f>IF(ISERROR(AZ144/(AZ14/90)),"NM",(AZ144/(AZ14/90)))</f>
        <v>70.133542812254518</v>
      </c>
      <c r="BA236" s="533">
        <f>IF(ISERROR(BA144/(BA14/90)),"NM",(BA144/(BA14/90)))</f>
        <v>71.289120715350222</v>
      </c>
      <c r="BB236" s="533">
        <f>IF(ISERROR(BB144/(BB14/90)),"NM",(BB144/(BB14/90)))</f>
        <v>67.024169184290031</v>
      </c>
      <c r="BC236" s="533">
        <f>IF(ISERROR(BC144/(BC14/90)),"NM",(BC144/(BC14/90)))</f>
        <v>64.91266375545851</v>
      </c>
      <c r="BD236" s="534">
        <f>BD144/(BD14/360)</f>
        <v>67.148503670242803</v>
      </c>
      <c r="BE236" s="533">
        <f>IF(ISERROR(BE144/(BE14/90)),"NM",(BE144/(BE14/90)))</f>
        <v>65.637583892617442</v>
      </c>
      <c r="BF236" s="533">
        <f>IF(ISERROR(BF144/(BF14/90)),"NM",(BF144/(BF14/90)))</f>
        <v>61.15384615384616</v>
      </c>
      <c r="BG236" s="533">
        <f>IF(ISERROR(BG144/(BG14/90)),"NM",(BG144/(BG14/90)))</f>
        <v>61.292564280750518</v>
      </c>
      <c r="BH236" s="533">
        <f>IF(ISERROR(BH144/(BH14/90)),"NM",(BH144/(BH14/90)))</f>
        <v>72.180128663330947</v>
      </c>
      <c r="BI236" s="534">
        <f>BI144/(BI14/360)</f>
        <v>71.351351351351354</v>
      </c>
      <c r="BJ236" s="533">
        <f>IF(ISERROR(BJ144/(BJ14/90)),"NM",(BJ144/(BJ14/90)))</f>
        <v>68.630419821059874</v>
      </c>
      <c r="BK236" s="533">
        <f>IF(ISERROR(BK144/(BK14/90)),"NM",(BK144/(BK14/90)))</f>
        <v>69.542743538767397</v>
      </c>
      <c r="BL236" s="533">
        <f>IF(ISERROR(BL144/(BL14/90)),"NM",(BL144/(BL14/90)))</f>
        <v>70.667547918043624</v>
      </c>
      <c r="BM236" s="533">
        <f>IF(ISERROR(BM144/(BM14/90)),"NM",(BM144/(BM14/90)))</f>
        <v>74.707363121460034</v>
      </c>
      <c r="BN236" s="534">
        <f>BN144/(BN14/360)</f>
        <v>78.304749340369384</v>
      </c>
      <c r="BO236" s="533">
        <f>IF(ISERROR(BO144/(BO14/90)),"NM",(BO144/(BO14/90)))</f>
        <v>75.41161455009572</v>
      </c>
      <c r="BP236" s="535">
        <f>BK236+0.5</f>
        <v>70.042743538767397</v>
      </c>
      <c r="BQ236" s="535">
        <f>BL236+0.5</f>
        <v>71.167547918043624</v>
      </c>
      <c r="BR236" s="535">
        <f>BM236+1</f>
        <v>75.707363121460034</v>
      </c>
      <c r="BS236" s="534">
        <f>BS144/(BS14/360)</f>
        <v>77.834752299685832</v>
      </c>
      <c r="BT236" s="535">
        <f t="shared" ref="BT236:BV236" si="510">BO236+0.5</f>
        <v>75.91161455009572</v>
      </c>
      <c r="BU236" s="535">
        <f t="shared" si="510"/>
        <v>70.542743538767397</v>
      </c>
      <c r="BV236" s="535">
        <f t="shared" si="510"/>
        <v>71.667547918043624</v>
      </c>
      <c r="BW236" s="535">
        <f>BR236+4</f>
        <v>79.707363121460034</v>
      </c>
      <c r="BX236" s="534">
        <f>BX144/(BX14/360)</f>
        <v>82.11590208355841</v>
      </c>
      <c r="BY236" s="536">
        <f>BX236+4</f>
        <v>86.11590208355841</v>
      </c>
      <c r="BZ236" s="536">
        <f>BY236+2</f>
        <v>88.11590208355841</v>
      </c>
      <c r="CA236" s="536">
        <f>BZ236+2</f>
        <v>90.11590208355841</v>
      </c>
      <c r="CD236" s="370"/>
      <c r="CE236" s="537"/>
      <c r="CF236" s="537"/>
      <c r="CG236" s="537"/>
      <c r="CH236" s="537"/>
      <c r="CI236" s="537"/>
      <c r="CJ236" s="537"/>
      <c r="CK236" s="537"/>
      <c r="CL236" s="537"/>
      <c r="CM236" s="537"/>
      <c r="CN236" s="537"/>
      <c r="CO236" s="537"/>
      <c r="CP236" s="537"/>
      <c r="CQ236" s="537"/>
      <c r="CR236" s="537"/>
      <c r="CS236" s="537"/>
      <c r="CT236" s="537"/>
      <c r="CU236" s="537"/>
      <c r="CV236" s="537"/>
      <c r="CW236" s="537"/>
      <c r="CX236" s="537"/>
      <c r="CY236" s="537"/>
      <c r="CZ236" s="537"/>
      <c r="DA236" s="58"/>
      <c r="DB236" s="538"/>
    </row>
    <row r="237" spans="1:112" ht="12" customHeight="1">
      <c r="A237" s="58" t="s">
        <v>201</v>
      </c>
      <c r="B237" s="54">
        <f>B161/(B14/360)</f>
        <v>26.312310638064293</v>
      </c>
      <c r="C237" s="54">
        <f>C161/(C14/360)</f>
        <v>23.535152916349869</v>
      </c>
      <c r="D237" s="54">
        <f>D161/(D14/360)</f>
        <v>22.537690785061102</v>
      </c>
      <c r="E237" s="54">
        <f>E161/(E14/360)</f>
        <v>21.824117833258228</v>
      </c>
      <c r="F237" s="54">
        <f>F161/(F14/360)</f>
        <v>20.164859930022477</v>
      </c>
      <c r="G237" s="127">
        <f>IF(ISERROR(G161/(G14/90)),"NM",(G161/(G14/90)))</f>
        <v>22.089027675621274</v>
      </c>
      <c r="H237" s="377">
        <f>IF(ISERROR(H161/(H14/90)),"NM",(H161/(H14/90)))</f>
        <v>17.338078207945703</v>
      </c>
      <c r="I237" s="377">
        <f>IF(ISERROR(I161/(I14/90)),"NM",(I161/(I14/90)))</f>
        <v>13.687062436953282</v>
      </c>
      <c r="J237" s="377">
        <f>IF(ISERROR(J161/(J14/90)),"NM",(J161/(J14/90)))</f>
        <v>21.025793648304699</v>
      </c>
      <c r="K237" s="54">
        <f>K161/(K14/360)</f>
        <v>21.436706911981801</v>
      </c>
      <c r="L237" s="377">
        <f>IF(ISERROR(L161/(L14/90)),"NM",(L161/(L14/90)))</f>
        <v>22.662898848982351</v>
      </c>
      <c r="M237" s="377">
        <f>IF(ISERROR(M161/(M14/90)),"NM",(M161/(M14/90)))</f>
        <v>18.981473990777445</v>
      </c>
      <c r="N237" s="377">
        <f>IF(ISERROR(N161/(N14/90)),"NM",(N161/(N14/90)))</f>
        <v>14.840155100831991</v>
      </c>
      <c r="O237" s="377">
        <f>IF(ISERROR(O161/(O14/90)),"NM",(O161/(O14/90)))</f>
        <v>22.246917858835644</v>
      </c>
      <c r="P237" s="54">
        <f>P161/(P14/360)</f>
        <v>20.625676932188725</v>
      </c>
      <c r="Q237" s="377">
        <f>IF(ISERROR(Q161/(Q14/90)),"NM",(Q161/(Q14/90)))</f>
        <v>26.667060797079497</v>
      </c>
      <c r="R237" s="377">
        <f>IF(ISERROR(R161/(R14/90)),"NM",(R161/(R14/90)))</f>
        <v>19.44271093248069</v>
      </c>
      <c r="S237" s="377">
        <f>IF(ISERROR(S161/(S14/90)),"NM",(S161/(S14/90)))</f>
        <v>14.013710245486909</v>
      </c>
      <c r="T237" s="377">
        <f>IF(ISERROR(T161/(T14/90)),"NM",(T161/(T14/90)))</f>
        <v>21.457484644112199</v>
      </c>
      <c r="U237" s="54">
        <f>U161/(U14/360)</f>
        <v>19.116316066501394</v>
      </c>
      <c r="V237" s="377">
        <f>IF(ISERROR(V161/(V14/90)),"NM",(V161/(V14/90)))</f>
        <v>21.591167794657235</v>
      </c>
      <c r="W237" s="377">
        <f>IF(ISERROR(W161/(W14/90)),"NM",(W161/(W14/90)))</f>
        <v>17.537647251532235</v>
      </c>
      <c r="X237" s="377">
        <f>IF(ISERROR(X161/(X14/90)),"NM",(X161/(X14/90)))</f>
        <v>15.092139625556332</v>
      </c>
      <c r="Y237" s="377">
        <f>IF(ISERROR(Y161/(Y14/90)),"NM",(Y161/(Y14/90)))</f>
        <v>18.574132371322371</v>
      </c>
      <c r="Z237" s="54">
        <f>Z161/(Z14/360)</f>
        <v>18.256394471437289</v>
      </c>
      <c r="AA237" s="377">
        <f>IF(ISERROR(AA161/(AA14/90)),"NM",(AA161/(AA14/90)))</f>
        <v>22.180418346774189</v>
      </c>
      <c r="AB237" s="377">
        <f>IF(ISERROR(AB161/(AB14/90)),"NM",(AB161/(AB14/90)))</f>
        <v>19.844386405264231</v>
      </c>
      <c r="AC237" s="377">
        <f>IF(ISERROR(AC161/(AC14/90)),"NM",(AC161/(AC14/90)))</f>
        <v>15.422932215519884</v>
      </c>
      <c r="AD237" s="377">
        <f>IF(ISERROR(AD161/(AD14/90)),"NM",(AD161/(AD14/90)))</f>
        <v>23.056658854726997</v>
      </c>
      <c r="AE237" s="54">
        <f>AE161/(AE14/360)</f>
        <v>23.139614265187781</v>
      </c>
      <c r="AF237" s="377">
        <f>IF(ISERROR(AF161/(AF14/90)),"NM",(AF161/(AF14/90)))</f>
        <v>24.309278350515466</v>
      </c>
      <c r="AG237" s="377">
        <f>IF(ISERROR(AG161/(AG14/90)),"NM",(AG161/(AG14/90)))</f>
        <v>19.641618497109828</v>
      </c>
      <c r="AH237" s="377">
        <f>IF(ISERROR(AH161/(AH14/90)),"NM",(AH161/(AH14/90)))</f>
        <v>15.731132075471699</v>
      </c>
      <c r="AI237" s="377">
        <f>IF(ISERROR(AI161/(AI14/90)),"NM",(AI161/(AI14/90)))</f>
        <v>31.105577689243031</v>
      </c>
      <c r="AJ237" s="532">
        <f>AJ161/(AJ14/360)</f>
        <v>20</v>
      </c>
      <c r="AK237" s="377">
        <f>IF(ISERROR(AK161/(AK14/90)),"NM",(AK161/(AK14/90)))</f>
        <v>29.304347826086957</v>
      </c>
      <c r="AL237" s="377">
        <f>IF(ISERROR(AL161/(AL14/90)),"NM",(AL161/(AL14/90)))</f>
        <v>19.477611940298505</v>
      </c>
      <c r="AM237" s="377">
        <f>IF(ISERROR(AM161/(AM14/90)),"NM",(AM161/(AM14/90)))</f>
        <v>32.983870967741936</v>
      </c>
      <c r="AN237" s="377">
        <f>IF(ISERROR(AN161/(AN14/90)),"NM",(AN161/(AN14/90)))</f>
        <v>18.264058679706601</v>
      </c>
      <c r="AO237" s="532">
        <f>AO161/(AO14/360)</f>
        <v>20.1438202247191</v>
      </c>
      <c r="AP237" s="377">
        <f>IF(ISERROR(AP161/(AP14/90)),"NM",(AP161/(AP14/90)))</f>
        <v>19.051651143099068</v>
      </c>
      <c r="AQ237" s="377">
        <f>IF(ISERROR(AQ161/(AQ14/90)),"NM",(AQ161/(AQ14/90)))</f>
        <v>16.344000000000001</v>
      </c>
      <c r="AR237" s="377">
        <f>IF(ISERROR(AR161/(AR14/90)),"NM",(AR161/(AR14/90)))</f>
        <v>17.734375</v>
      </c>
      <c r="AS237" s="377">
        <f>IF(ISERROR(AS161/(AS14/90)),"NM",(AS161/(AS14/90)))</f>
        <v>16.343283582089551</v>
      </c>
      <c r="AT237" s="532">
        <f>AT161/(AT14/360)</f>
        <v>16.462727082898308</v>
      </c>
      <c r="AU237" s="377">
        <f>IF(ISERROR(AU161/(AU14/90)),"NM",(AU161/(AU14/90)))</f>
        <v>15.501672240802675</v>
      </c>
      <c r="AV237" s="377">
        <f>IF(ISERROR(AV161/(AV14/90)),"NM",(AV161/(AV14/90)))</f>
        <v>13.686635944700461</v>
      </c>
      <c r="AW237" s="377">
        <f>IF(ISERROR(AW161/(AW14/90)),"NM",(AW161/(AW14/90)))</f>
        <v>13.681710213776721</v>
      </c>
      <c r="AX237" s="377">
        <f>IF(ISERROR(AX161/(AX14/90)),"NM",(AX161/(AX14/90)))</f>
        <v>13.325581395348836</v>
      </c>
      <c r="AY237" s="534">
        <f>AY161/(AY14/360)</f>
        <v>13.613145911700654</v>
      </c>
      <c r="AZ237" s="377">
        <f>IF(ISERROR(AZ161/(AZ14/90)),"NM",(AZ161/(AZ14/90)))</f>
        <v>12.796543597800472</v>
      </c>
      <c r="BA237" s="377">
        <f>IF(ISERROR(BA161/(BA14/90)),"NM",(BA161/(BA14/90)))</f>
        <v>12.13859910581222</v>
      </c>
      <c r="BB237" s="377">
        <f>IF(ISERROR(BB161/(BB14/90)),"NM",(BB161/(BB14/90)))</f>
        <v>14.342900302114804</v>
      </c>
      <c r="BC237" s="377">
        <f>IF(ISERROR(BC161/(BC14/90)),"NM",(BC161/(BC14/90)))</f>
        <v>13.493449781659388</v>
      </c>
      <c r="BD237" s="534">
        <f>BD161/(BD14/360)</f>
        <v>13.958215697346132</v>
      </c>
      <c r="BE237" s="377">
        <f>IF(ISERROR(BE161/(BE14/90)),"NM",(BE161/(BE14/90)))</f>
        <v>11.275167785234899</v>
      </c>
      <c r="BF237" s="377">
        <f>IF(ISERROR(BF161/(BF14/90)),"NM",(BF161/(BF14/90)))</f>
        <v>10.809716599190285</v>
      </c>
      <c r="BG237" s="377">
        <f>IF(ISERROR(BG161/(BG14/90)),"NM",(BG161/(BG14/90)))</f>
        <v>12.446143154968729</v>
      </c>
      <c r="BH237" s="377">
        <f>IF(ISERROR(BH161/(BH14/90)),"NM",(BH161/(BH14/90)))</f>
        <v>11.772694781987134</v>
      </c>
      <c r="BI237" s="534">
        <f>BI161/(BI14/360)</f>
        <v>11.637519872813991</v>
      </c>
      <c r="BJ237" s="377">
        <f>IF(ISERROR(BJ161/(BJ14/90)),"NM",(BJ161/(BJ14/90)))</f>
        <v>10.034411562284927</v>
      </c>
      <c r="BK237" s="377">
        <f>IF(ISERROR(BK161/(BK14/90)),"NM",(BK161/(BK14/90)))</f>
        <v>9.6620278330019893</v>
      </c>
      <c r="BL237" s="377">
        <f>IF(ISERROR(BL161/(BL14/90)),"NM",(BL161/(BL14/90)))</f>
        <v>10.112359550561798</v>
      </c>
      <c r="BM237" s="377">
        <f>IF(ISERROR(BM161/(BM14/90)),"NM",(BM161/(BM14/90)))</f>
        <v>11.044682190056641</v>
      </c>
      <c r="BN237" s="534">
        <f>BN161/(BN14/360)</f>
        <v>11.576517150395778</v>
      </c>
      <c r="BO237" s="377">
        <f>IF(ISERROR(BO161/(BO14/90)),"NM",(BO161/(BO14/90)))</f>
        <v>11.257179323548181</v>
      </c>
      <c r="BP237" s="539">
        <f t="shared" ref="BP237:BR243" si="511">BK237</f>
        <v>9.6620278330019893</v>
      </c>
      <c r="BQ237" s="539">
        <f t="shared" si="511"/>
        <v>10.112359550561798</v>
      </c>
      <c r="BR237" s="539">
        <f>BM237</f>
        <v>11.044682190056641</v>
      </c>
      <c r="BS237" s="534">
        <f>BS161/(BS14/360)</f>
        <v>11.355039550282932</v>
      </c>
      <c r="BT237" s="539">
        <f t="shared" ref="BT237:BW243" si="512">BO237</f>
        <v>11.257179323548181</v>
      </c>
      <c r="BU237" s="539">
        <f t="shared" si="512"/>
        <v>9.6620278330019893</v>
      </c>
      <c r="BV237" s="539">
        <f t="shared" si="512"/>
        <v>10.112359550561798</v>
      </c>
      <c r="BW237" s="539">
        <f t="shared" si="512"/>
        <v>11.044682190056641</v>
      </c>
      <c r="BX237" s="534">
        <f>BX161/(BX14/360)</f>
        <v>11.378422340740201</v>
      </c>
      <c r="BY237" s="540">
        <f t="shared" ref="BY237:CA243" si="513">BX237</f>
        <v>11.378422340740201</v>
      </c>
      <c r="BZ237" s="540">
        <f t="shared" si="513"/>
        <v>11.378422340740201</v>
      </c>
      <c r="CA237" s="540">
        <f t="shared" si="513"/>
        <v>11.378422340740201</v>
      </c>
      <c r="CD237" s="370"/>
      <c r="CE237" s="117"/>
      <c r="CF237" s="117"/>
      <c r="CG237" s="117"/>
      <c r="CH237" s="117"/>
      <c r="CI237" s="117"/>
      <c r="CJ237" s="117"/>
      <c r="CK237" s="117"/>
      <c r="CL237" s="117"/>
      <c r="CM237" s="117"/>
      <c r="CN237" s="117"/>
      <c r="CO237" s="117"/>
      <c r="CP237" s="117"/>
      <c r="CQ237" s="117"/>
      <c r="CR237" s="117"/>
      <c r="CS237" s="117"/>
      <c r="CT237" s="117"/>
      <c r="CU237" s="117"/>
      <c r="CV237" s="117"/>
      <c r="CW237" s="117"/>
      <c r="CX237" s="117"/>
      <c r="CY237" s="117"/>
      <c r="CZ237" s="117"/>
      <c r="DA237" s="58"/>
      <c r="DB237" s="453"/>
    </row>
    <row r="238" spans="1:112" ht="12" customHeight="1">
      <c r="A238" s="541" t="s">
        <v>202</v>
      </c>
      <c r="B238" s="118">
        <f>B146/B14</f>
        <v>4.7072296301717671E-2</v>
      </c>
      <c r="C238" s="118">
        <f>C146/C14</f>
        <v>3.6599626221718792E-2</v>
      </c>
      <c r="D238" s="118">
        <f>D146/D14</f>
        <v>4.622764972435342E-2</v>
      </c>
      <c r="E238" s="118">
        <f>E146/E14</f>
        <v>4.916772338377514E-2</v>
      </c>
      <c r="F238" s="118">
        <f>F146/F14</f>
        <v>4.7871608600246321E-2</v>
      </c>
      <c r="G238" s="117">
        <f>IF(ISERROR(G146/(G14*4)),"NM",(G146/(G14*4)))</f>
        <v>6.3004140516306512E-2</v>
      </c>
      <c r="H238" s="117">
        <f>IF(ISERROR(H146/(H14*4)),"NM",(H146/(H14*4)))</f>
        <v>4.88645818808374E-2</v>
      </c>
      <c r="I238" s="117">
        <f>IF(ISERROR(I146/(I14*4)),"NM",(I146/(I14*4)))</f>
        <v>3.7621137525908746E-2</v>
      </c>
      <c r="J238" s="117">
        <f>IF(ISERROR(J146/(J14*4)),"NM",(J146/(J14*4)))</f>
        <v>3.8365887956566515E-2</v>
      </c>
      <c r="K238" s="118">
        <f>K146/K14</f>
        <v>3.9115683778679224E-2</v>
      </c>
      <c r="L238" s="117">
        <f>IF(ISERROR(L146/(L14*4)),"NM",(L146/(L14*4)))</f>
        <v>4.7360689222149026E-2</v>
      </c>
      <c r="M238" s="117">
        <f>IF(ISERROR(M146/(M14*4)),"NM",(M146/(M14*4)))</f>
        <v>3.5851619650804717E-2</v>
      </c>
      <c r="N238" s="117">
        <f>IF(ISERROR(N146/(N14*4)),"NM",(N146/(N14*4)))</f>
        <v>2.8258849650547806E-2</v>
      </c>
      <c r="O238" s="117">
        <f>IF(ISERROR(O146/(O14*4)),"NM",(O146/(O14*4)))</f>
        <v>4.4678464764972406E-2</v>
      </c>
      <c r="P238" s="118">
        <f>P146/P14</f>
        <v>4.1422528096515782E-2</v>
      </c>
      <c r="Q238" s="117">
        <f>IF(ISERROR(Q146/(Q14*4)),"NM",(Q146/(Q14*4)))</f>
        <v>5.7810720511449913E-2</v>
      </c>
      <c r="R238" s="117">
        <f>IF(ISERROR(R146/(R14*4)),"NM",(R146/(R14*4)))</f>
        <v>4.2146304292608593E-2</v>
      </c>
      <c r="S238" s="117">
        <f>IF(ISERROR(S146/(S14*4)),"NM",(S146/(S14*4)))</f>
        <v>3.4446222945989362E-2</v>
      </c>
      <c r="T238" s="117">
        <f>IF(ISERROR(T146/(T14*4)),"NM",(T146/(T14*4)))</f>
        <v>5.0402778543158278E-2</v>
      </c>
      <c r="U238" s="118">
        <f>U146/U14</f>
        <v>4.490346661043846E-2</v>
      </c>
      <c r="V238" s="117">
        <f>IF(ISERROR(V146/(V14*4)),"NM",(V146/(V14*4)))</f>
        <v>6.1242223745369959E-2</v>
      </c>
      <c r="W238" s="117">
        <f>IF(ISERROR(W146/(W14*4)),"NM",(W146/(W14*4)))</f>
        <v>4.8395930875387329E-2</v>
      </c>
      <c r="X238" s="117">
        <f>IF(ISERROR(X146/(X14*4)),"NM",(X146/(X14*4)))</f>
        <v>3.8124972346651187E-2</v>
      </c>
      <c r="Y238" s="117">
        <f>IF(ISERROR(Y146/(Y14*4)),"NM",(Y146/(Y14*4)))</f>
        <v>4.7592397086616542E-2</v>
      </c>
      <c r="Z238" s="118">
        <f>Z146/Z14</f>
        <v>4.6778259015535173E-2</v>
      </c>
      <c r="AA238" s="117">
        <f>IF(ISERROR(AA146/(AA14*4)),"NM",(AA146/(AA14*4)))</f>
        <v>6.0803931451612898E-2</v>
      </c>
      <c r="AB238" s="117">
        <f>IF(ISERROR(AB146/(AB14*4)),"NM",(AB146/(AB14*4)))</f>
        <v>4.9105216742419106E-2</v>
      </c>
      <c r="AC238" s="117">
        <f>IF(ISERROR(AC146/(AC14*4)),"NM",(AC146/(AC14*4)))</f>
        <v>3.7339740312851442E-2</v>
      </c>
      <c r="AD238" s="117">
        <f>IF(ISERROR(AD146/(AD14*4)),"NM",(AD146/(AD14*4)))</f>
        <v>4.5503256267159294E-2</v>
      </c>
      <c r="AE238" s="118">
        <f>AE146/AE14</f>
        <v>4.5666972151786278E-2</v>
      </c>
      <c r="AF238" s="117">
        <f>IF(ISERROR(AF146/(AF14*4)),"NM",(AF146/(AF14*4)))</f>
        <v>5.5808881839809678E-2</v>
      </c>
      <c r="AG238" s="117">
        <f>IF(ISERROR(AG146/(AG14*4)),"NM",(AG146/(AG14*4)))</f>
        <v>4.5166987797045602E-2</v>
      </c>
      <c r="AH238" s="117">
        <f>IF(ISERROR(AH146/(AH14*4)),"NM",(AH146/(AH14*4)))</f>
        <v>3.6884171907756814E-2</v>
      </c>
      <c r="AI238" s="117">
        <f>IF(ISERROR(AI146/(AI14*4)),"NM",(AI146/(AI14*4)))</f>
        <v>6.4741035856573703E-2</v>
      </c>
      <c r="AJ238" s="118">
        <f>AJ146/AJ14</f>
        <v>4.1626641050272174E-2</v>
      </c>
      <c r="AK238" s="117">
        <f>IF(ISERROR(AK146/(AK14*4)),"NM",(AK146/(AK14*4)))</f>
        <v>6.2560386473429958E-2</v>
      </c>
      <c r="AL238" s="117">
        <f>IF(ISERROR(AL146/(AL14*4)),"NM",(AL146/(AL14*4)))</f>
        <v>6.0401119402985072E-2</v>
      </c>
      <c r="AM238" s="117">
        <f>IF(ISERROR(AM146/(AM14*4)),"NM",(AM146/(AM14*4)))</f>
        <v>5.824372759856631E-2</v>
      </c>
      <c r="AN238" s="117">
        <f>IF(ISERROR(AN146/(AN14*4)),"NM",(AN146/(AN14*4)))</f>
        <v>2.3838630806845965E-2</v>
      </c>
      <c r="AO238" s="118">
        <f>AO146/AO14</f>
        <v>2.6292134831460673E-2</v>
      </c>
      <c r="AP238" s="117">
        <f>IF(ISERROR(AP146/(AP14*4)),"NM",(AP146/(AP14*4)))</f>
        <v>2.8154106689246401E-2</v>
      </c>
      <c r="AQ238" s="117">
        <f>IF(ISERROR(AQ146/(AQ14*4)),"NM",(AQ146/(AQ14*4)))</f>
        <v>2.6200000000000001E-2</v>
      </c>
      <c r="AR238" s="117">
        <f>IF(ISERROR(AR146/(AR14*4)),"NM",(AR146/(AR14*4)))</f>
        <v>2.8211805555555556E-2</v>
      </c>
      <c r="AS238" s="117">
        <f>IF(ISERROR(AS146/(AS14*4)),"NM",(AS146/(AS14*4)))</f>
        <v>2.2388059701492536E-2</v>
      </c>
      <c r="AT238" s="118">
        <f>AT146/AT14</f>
        <v>2.2551680935477134E-2</v>
      </c>
      <c r="AU238" s="117">
        <f>IF(ISERROR(AU146/(AU14*4)),"NM",(AU146/(AU14*4)))</f>
        <v>2.2993311036789296E-2</v>
      </c>
      <c r="AV238" s="117">
        <f>IF(ISERROR(AV146/(AV14*4)),"NM",(AV146/(AV14*4)))</f>
        <v>2.0929339477726575E-2</v>
      </c>
      <c r="AW238" s="117">
        <f>IF(ISERROR(AW146/(AW14*4)),"NM",(AW146/(AW14*4)))</f>
        <v>2.1377672209026127E-2</v>
      </c>
      <c r="AX238" s="117">
        <f>IF(ISERROR(AX146/(AX14*4)),"NM",(AX146/(AX14*4)))</f>
        <v>7.0348837209302323E-2</v>
      </c>
      <c r="AY238" s="451">
        <f>AY146/AY14</f>
        <v>7.186695703821025E-2</v>
      </c>
      <c r="AZ238" s="117">
        <f>IF(ISERROR(AZ146/(AZ14*4)),"NM",(AZ146/(AZ14*4)))</f>
        <v>6.4611154752553024E-2</v>
      </c>
      <c r="BA238" s="117">
        <f>IF(ISERROR(BA146/(BA14*4)),"NM",(BA146/(BA14*4)))</f>
        <v>3.7816691505216098E-2</v>
      </c>
      <c r="BB238" s="117">
        <f>IF(ISERROR(BB146/(BB14*4)),"NM",(BB146/(BB14*4)))</f>
        <v>3.8330815709969789E-2</v>
      </c>
      <c r="BC238" s="117">
        <f>IF(ISERROR(BC146/(BC14*4)),"NM",(BC146/(BC14*4)))</f>
        <v>1.9832605531295486E-2</v>
      </c>
      <c r="BD238" s="451">
        <f>BD146/BD14</f>
        <v>2.051571616789008E-2</v>
      </c>
      <c r="BE238" s="117">
        <f>IF(ISERROR(BE146/(BE14*4)),"NM",(BE146/(BE14*4)))</f>
        <v>2.0507084265473527E-2</v>
      </c>
      <c r="BF238" s="117">
        <f>IF(ISERROR(BF146/(BF14*4)),"NM",(BF146/(BF14*4)))</f>
        <v>1.8556005398110663E-2</v>
      </c>
      <c r="BG238" s="117">
        <f>IF(ISERROR(BG146/(BG14*4)),"NM",(BG146/(BG14*4)))</f>
        <v>1.8589298123697012E-2</v>
      </c>
      <c r="BH238" s="117">
        <f>IF(ISERROR(BH146/(BH14*4)),"NM",(BH146/(BH14*4)))</f>
        <v>0</v>
      </c>
      <c r="BI238" s="451">
        <f>BI146/BI14</f>
        <v>0</v>
      </c>
      <c r="BJ238" s="117">
        <f>IF(ISERROR(BJ146/(BJ14*4)),"NM",(BJ146/(BJ14*4)))</f>
        <v>0</v>
      </c>
      <c r="BK238" s="117">
        <f>IF(ISERROR(BK146/(BK14*4)),"NM",(BK146/(BK14*4)))</f>
        <v>0</v>
      </c>
      <c r="BL238" s="117">
        <f>IF(ISERROR(BL146/(BL14*4)),"NM",(BL146/(BL14*4)))</f>
        <v>0</v>
      </c>
      <c r="BM238" s="117">
        <f>IF(ISERROR(BM146/(BM14*4)),"NM",(BM146/(BM14*4)))</f>
        <v>0</v>
      </c>
      <c r="BN238" s="451">
        <f>BN146/BN14</f>
        <v>0</v>
      </c>
      <c r="BO238" s="117">
        <f>IF(ISERROR(BO146/(BO14*4)),"NM",(BO146/(BO14*4)))</f>
        <v>0</v>
      </c>
      <c r="BP238" s="230">
        <f t="shared" si="511"/>
        <v>0</v>
      </c>
      <c r="BQ238" s="230">
        <f t="shared" si="511"/>
        <v>0</v>
      </c>
      <c r="BR238" s="230">
        <f t="shared" si="511"/>
        <v>0</v>
      </c>
      <c r="BS238" s="451">
        <f>BS146/BS14</f>
        <v>0</v>
      </c>
      <c r="BT238" s="230">
        <f t="shared" si="512"/>
        <v>0</v>
      </c>
      <c r="BU238" s="230">
        <f t="shared" si="512"/>
        <v>0</v>
      </c>
      <c r="BV238" s="230">
        <f t="shared" si="512"/>
        <v>0</v>
      </c>
      <c r="BW238" s="230">
        <f t="shared" si="512"/>
        <v>0</v>
      </c>
      <c r="BX238" s="451">
        <f>BX146/BX14</f>
        <v>0</v>
      </c>
      <c r="BY238" s="484">
        <f t="shared" si="513"/>
        <v>0</v>
      </c>
      <c r="BZ238" s="484">
        <f t="shared" si="513"/>
        <v>0</v>
      </c>
      <c r="CA238" s="484">
        <f t="shared" si="513"/>
        <v>0</v>
      </c>
      <c r="CD238" s="542"/>
      <c r="CE238" s="117"/>
      <c r="CF238" s="117"/>
      <c r="CG238" s="117"/>
      <c r="CH238" s="117"/>
      <c r="CI238" s="117"/>
      <c r="CJ238" s="117"/>
      <c r="CK238" s="117"/>
      <c r="CL238" s="117"/>
      <c r="CM238" s="117"/>
      <c r="CN238" s="117"/>
      <c r="CO238" s="117"/>
      <c r="CP238" s="117"/>
      <c r="CQ238" s="117"/>
      <c r="CR238" s="117"/>
      <c r="CS238" s="117"/>
      <c r="CT238" s="117"/>
      <c r="CU238" s="117"/>
      <c r="CV238" s="117"/>
      <c r="CW238" s="117"/>
      <c r="CX238" s="117"/>
      <c r="CY238" s="117"/>
      <c r="CZ238" s="117"/>
      <c r="DA238" s="58"/>
      <c r="DB238" s="453"/>
    </row>
    <row r="239" spans="1:112" ht="12" customHeight="1">
      <c r="A239" s="541" t="s">
        <v>203</v>
      </c>
      <c r="B239" s="118">
        <f>B147/B14</f>
        <v>2.147890393679092E-2</v>
      </c>
      <c r="C239" s="118">
        <f>C147/C14</f>
        <v>2.0199414505976485E-2</v>
      </c>
      <c r="D239" s="118">
        <f>D147/D14</f>
        <v>1.5718194310392779E-2</v>
      </c>
      <c r="E239" s="118">
        <f>E147/E14</f>
        <v>2.9930837563693469E-2</v>
      </c>
      <c r="F239" s="118">
        <f>F147/F14</f>
        <v>1.751919917943142E-2</v>
      </c>
      <c r="G239" s="117">
        <f>IF(ISERROR(G147/(G14*4)),"NM",(G147/(G14*4)))</f>
        <v>2.8796006589057919E-2</v>
      </c>
      <c r="H239" s="122">
        <f>IF(ISERROR(H147/(H14*4)),"NM",(H147/(H14*4)))</f>
        <v>1.9751653472275411E-2</v>
      </c>
      <c r="I239" s="122">
        <f>IF(ISERROR(I147/(I14*4)),"NM",(I147/(I14*4)))</f>
        <v>1.3724611933332327E-2</v>
      </c>
      <c r="J239" s="122">
        <f>IF(ISERROR(J147/(J14*4)),"NM",(J147/(J14*4)))</f>
        <v>1.5723218172216068E-2</v>
      </c>
      <c r="K239" s="118">
        <f>K147/K14</f>
        <v>1.6030501645207508E-2</v>
      </c>
      <c r="L239" s="122">
        <f>IF(ISERROR(L147/(L14*4)),"NM",(L147/(L14*4)))</f>
        <v>2.2073320487682211E-2</v>
      </c>
      <c r="M239" s="122">
        <f>IF(ISERROR(M147/(M14*4)),"NM",(M147/(M14*4)))</f>
        <v>1.6804128091427027E-2</v>
      </c>
      <c r="N239" s="122">
        <f>IF(ISERROR(N147/(N14*4)),"NM",(N147/(N14*4)))</f>
        <v>1.2190607295442952E-2</v>
      </c>
      <c r="O239" s="122">
        <f>IF(ISERROR(O147/(O14*4)),"NM",(O147/(O14*4)))</f>
        <v>1.8561172666160412E-2</v>
      </c>
      <c r="P239" s="118">
        <f>P147/P14</f>
        <v>1.7208529888231159E-2</v>
      </c>
      <c r="Q239" s="122">
        <f>IF(ISERROR(Q147/(Q14*4)),"NM",(Q147/(Q14*4)))</f>
        <v>2.4417610732171146E-2</v>
      </c>
      <c r="R239" s="122">
        <f>IF(ISERROR(R147/(R14*4)),"NM",(R147/(R14*4)))</f>
        <v>1.635524212224895E-2</v>
      </c>
      <c r="S239" s="122">
        <f>IF(ISERROR(S147/(S14*4)),"NM",(S147/(S14*4)))</f>
        <v>1.0256323891003401E-2</v>
      </c>
      <c r="T239" s="122">
        <f>IF(ISERROR(T147/(T14*4)),"NM",(T147/(T14*4)))</f>
        <v>2.0338691467820816E-2</v>
      </c>
      <c r="U239" s="118">
        <f>U147/U14</f>
        <v>1.8119591411876058E-2</v>
      </c>
      <c r="V239" s="122">
        <f>IF(ISERROR(V147/(V14*4)),"NM",(V147/(V14*4)))</f>
        <v>2.8547117375177126E-2</v>
      </c>
      <c r="W239" s="122">
        <f>IF(ISERROR(W147/(W14*4)),"NM",(W147/(W14*4)))</f>
        <v>2.0155202773720637E-2</v>
      </c>
      <c r="X239" s="122">
        <f>IF(ISERROR(X147/(X14*4)),"NM",(X147/(X14*4)))</f>
        <v>1.3331579511307354E-2</v>
      </c>
      <c r="Y239" s="122">
        <f>IF(ISERROR(Y147/(Y14*4)),"NM",(Y147/(Y14*4)))</f>
        <v>2.6079117013973412E-2</v>
      </c>
      <c r="Z239" s="118">
        <f>Z147/Z14</f>
        <v>2.5632995294518516E-2</v>
      </c>
      <c r="AA239" s="122">
        <f>IF(ISERROR(AA147/(AA14*4)),"NM",(AA147/(AA14*4)))</f>
        <v>3.4729082661290323E-2</v>
      </c>
      <c r="AB239" s="122">
        <f>IF(ISERROR(AB147/(AB14*4)),"NM",(AB147/(AB14*4)))</f>
        <v>2.3759073332881079E-2</v>
      </c>
      <c r="AC239" s="122">
        <f>IF(ISERROR(AC147/(AC14*4)),"NM",(AC147/(AC14*4)))</f>
        <v>1.4394489316020857E-2</v>
      </c>
      <c r="AD239" s="122">
        <f>IF(ISERROR(AD147/(AD14*4)),"NM",(AD147/(AD14*4)))</f>
        <v>3.2225866501769479E-2</v>
      </c>
      <c r="AE239" s="118">
        <f>AE147/AE14</f>
        <v>3.2341811747780717E-2</v>
      </c>
      <c r="AF239" s="122">
        <f>IF(ISERROR(AF147/(AF14*4)),"NM",(AF147/(AF14*4)))</f>
        <v>3.994845360824742E-2</v>
      </c>
      <c r="AG239" s="122">
        <f>IF(ISERROR(AG147/(AG14*4)),"NM",(AG147/(AG14*4)))</f>
        <v>2.5449582530507386E-2</v>
      </c>
      <c r="AH239" s="122">
        <f>IF(ISERROR(AH147/(AH14*4)),"NM",(AH147/(AH14*4)))</f>
        <v>2.8249475890985323E-2</v>
      </c>
      <c r="AI239" s="122">
        <f>IF(ISERROR(AI147/(AI14*4)),"NM",(AI147/(AI14*4)))</f>
        <v>3.436254980079681E-2</v>
      </c>
      <c r="AJ239" s="118">
        <f>AJ147/AJ14</f>
        <v>2.2094140249759846E-2</v>
      </c>
      <c r="AK239" s="122">
        <f>IF(ISERROR(AK147/(AK14*4)),"NM",(AK147/(AK14*4)))</f>
        <v>3.9130434782608699E-2</v>
      </c>
      <c r="AL239" s="122">
        <f>IF(ISERROR(AL147/(AL14*4)),"NM",(AL147/(AL14*4)))</f>
        <v>3.3582089552238806E-2</v>
      </c>
      <c r="AM239" s="122">
        <f>IF(ISERROR(AM147/(AM14*4)),"NM",(AM147/(AM14*4)))</f>
        <v>3.5394265232974911E-2</v>
      </c>
      <c r="AN239" s="122">
        <f>IF(ISERROR(AN147/(AN14*4)),"NM",(AN147/(AN14*4)))</f>
        <v>0.42114914425427874</v>
      </c>
      <c r="AO239" s="118">
        <f>AO147/AO14</f>
        <v>0.4644943820224719</v>
      </c>
      <c r="AP239" s="122">
        <f>IF(ISERROR(AP147/(AP14*4)),"NM",(AP147/(AP14*4)))</f>
        <v>3.0482641828958511E-2</v>
      </c>
      <c r="AQ239" s="122">
        <f>IF(ISERROR(AQ147/(AQ14*4)),"NM",(AQ147/(AQ14*4)))</f>
        <v>2.3800000000000002E-2</v>
      </c>
      <c r="AR239" s="122">
        <f>IF(ISERROR(AR147/(AR14*4)),"NM",(AR147/(AR14*4)))</f>
        <v>3.5590277777777776E-2</v>
      </c>
      <c r="AS239" s="122">
        <f>IF(ISERROR(AS147/(AS14*4)),"NM",(AS147/(AS14*4)))</f>
        <v>5.9908789386401325E-2</v>
      </c>
      <c r="AT239" s="118">
        <f>AT147/AT14</f>
        <v>6.0346627688452704E-2</v>
      </c>
      <c r="AU239" s="122">
        <f>IF(ISERROR(AU147/(AU14*4)),"NM",(AU147/(AU14*4)))</f>
        <v>4.912207357859532E-2</v>
      </c>
      <c r="AV239" s="122">
        <f>IF(ISERROR(AV147/(AV14*4)),"NM",(AV147/(AV14*4)))</f>
        <v>5.318740399385561E-2</v>
      </c>
      <c r="AW239" s="122">
        <f>IF(ISERROR(AW147/(AW14*4)),"NM",(AW147/(AW14*4)))</f>
        <v>4.631828978622328E-2</v>
      </c>
      <c r="AX239" s="122">
        <f>IF(ISERROR(AX147/(AX14*4)),"NM",(AX147/(AX14*4)))</f>
        <v>3.3139534883720928E-2</v>
      </c>
      <c r="AY239" s="451">
        <f>AY147/AY14</f>
        <v>3.3854682241140369E-2</v>
      </c>
      <c r="AZ239" s="122">
        <f>IF(ISERROR(AZ147/(AZ14*4)),"NM",(AZ147/(AZ14*4)))</f>
        <v>3.7509819324430482E-2</v>
      </c>
      <c r="BA239" s="122">
        <f>IF(ISERROR(BA147/(BA14*4)),"NM",(BA147/(BA14*4)))</f>
        <v>4.22876304023845E-2</v>
      </c>
      <c r="BB239" s="122">
        <f>IF(ISERROR(BB147/(BB14*4)),"NM",(BB147/(BB14*4)))</f>
        <v>3.8897280966767374E-2</v>
      </c>
      <c r="BC239" s="122">
        <f>IF(ISERROR(BC147/(BC14*4)),"NM",(BC147/(BC14*4)))</f>
        <v>0.12900291120815138</v>
      </c>
      <c r="BD239" s="451">
        <f>BD147/BD14</f>
        <v>0.1334462638810465</v>
      </c>
      <c r="BE239" s="122">
        <f>IF(ISERROR(BE147/(BE14*4)),"NM",(BE147/(BE14*4)))</f>
        <v>0.14168530947054436</v>
      </c>
      <c r="BF239" s="122">
        <f>IF(ISERROR(BF147/(BF14*4)),"NM",(BF147/(BF14*4)))</f>
        <v>0.13073549257759784</v>
      </c>
      <c r="BG239" s="122">
        <f>IF(ISERROR(BG147/(BG14*4)),"NM",(BG147/(BG14*4)))</f>
        <v>3.7873523280055596E-2</v>
      </c>
      <c r="BH239" s="122">
        <f>IF(ISERROR(BH147/(BH14*4)),"NM",(BH147/(BH14*4)))</f>
        <v>2.662616154395997E-2</v>
      </c>
      <c r="BI239" s="451">
        <f>BI147/BI14</f>
        <v>2.6320438085143966E-2</v>
      </c>
      <c r="BJ239" s="122">
        <f>IF(ISERROR(BJ147/(BJ14*4)),"NM",(BJ147/(BJ14*4)))</f>
        <v>2.4776324845147971E-2</v>
      </c>
      <c r="BK239" s="122">
        <f>IF(ISERROR(BK147/(BK14*4)),"NM",(BK147/(BK14*4)))</f>
        <v>2.8661365142478464E-2</v>
      </c>
      <c r="BL239" s="122">
        <f>IF(ISERROR(BL147/(BL14*4)),"NM",(BL147/(BL14*4)))</f>
        <v>2.5280898876404494E-2</v>
      </c>
      <c r="BM239" s="122">
        <f>IF(ISERROR(BM147/(BM14*4)),"NM",(BM147/(BM14*4)))</f>
        <v>3.3668974197608559E-2</v>
      </c>
      <c r="BN239" s="451">
        <f>BN147/BN14</f>
        <v>3.5290237467018468E-2</v>
      </c>
      <c r="BO239" s="122">
        <f>IF(ISERROR(BO147/(BO14*4)),"NM",(BO147/(BO14*4)))</f>
        <v>3.4301212507977026E-2</v>
      </c>
      <c r="BP239" s="230">
        <f t="shared" si="511"/>
        <v>2.8661365142478464E-2</v>
      </c>
      <c r="BQ239" s="230">
        <f t="shared" si="511"/>
        <v>2.5280898876404494E-2</v>
      </c>
      <c r="BR239" s="230">
        <f t="shared" si="511"/>
        <v>3.3668974197608559E-2</v>
      </c>
      <c r="BS239" s="451">
        <f>BS147/BS14</f>
        <v>3.4615077831346833E-2</v>
      </c>
      <c r="BT239" s="230">
        <f t="shared" si="512"/>
        <v>3.4301212507977026E-2</v>
      </c>
      <c r="BU239" s="230">
        <f t="shared" si="512"/>
        <v>2.8661365142478464E-2</v>
      </c>
      <c r="BV239" s="230">
        <f t="shared" si="512"/>
        <v>2.5280898876404494E-2</v>
      </c>
      <c r="BW239" s="230">
        <f t="shared" si="512"/>
        <v>3.3668974197608559E-2</v>
      </c>
      <c r="BX239" s="451">
        <f>BX147/BX14</f>
        <v>3.4686358702541352E-2</v>
      </c>
      <c r="BY239" s="484">
        <f t="shared" si="513"/>
        <v>3.4686358702541352E-2</v>
      </c>
      <c r="BZ239" s="484">
        <f t="shared" si="513"/>
        <v>3.4686358702541352E-2</v>
      </c>
      <c r="CA239" s="484">
        <f t="shared" si="513"/>
        <v>3.4686358702541352E-2</v>
      </c>
      <c r="CD239" s="542"/>
      <c r="CE239" s="117"/>
      <c r="CF239" s="117"/>
      <c r="CG239" s="117"/>
      <c r="CH239" s="117"/>
      <c r="CI239" s="117"/>
      <c r="CJ239" s="117"/>
      <c r="CK239" s="117"/>
      <c r="CL239" s="117"/>
      <c r="CM239" s="117"/>
      <c r="CN239" s="117"/>
      <c r="CO239" s="117"/>
      <c r="CP239" s="117"/>
      <c r="CQ239" s="117"/>
      <c r="CR239" s="117"/>
      <c r="CS239" s="117"/>
      <c r="CT239" s="117"/>
      <c r="CU239" s="117"/>
      <c r="CV239" s="117"/>
      <c r="CW239" s="117"/>
      <c r="CX239" s="117"/>
      <c r="CY239" s="117"/>
      <c r="CZ239" s="117"/>
      <c r="DA239" s="58"/>
      <c r="DB239" s="453"/>
    </row>
    <row r="240" spans="1:112" ht="12" customHeight="1">
      <c r="A240" s="541" t="s">
        <v>204</v>
      </c>
      <c r="B240" s="118">
        <f>B162/B14</f>
        <v>2.4200226669264142E-2</v>
      </c>
      <c r="C240" s="118">
        <f>C162/C14</f>
        <v>2.5822467384914043E-2</v>
      </c>
      <c r="D240" s="118">
        <f>D162/D14</f>
        <v>2.4752367943202083E-2</v>
      </c>
      <c r="E240" s="118">
        <f>E162/E14</f>
        <v>2.3912216233841179E-2</v>
      </c>
      <c r="F240" s="118">
        <f>F162/F14</f>
        <v>1.9196847513559271E-2</v>
      </c>
      <c r="G240" s="117">
        <f>IF(ISERROR(G162/(G14*4)),"NM",(G162/(G14*4)))</f>
        <v>7.708785732006989E-3</v>
      </c>
      <c r="H240" s="122">
        <f>IF(ISERROR(H162/(H14*4)),"NM",(H162/(H14*4)))</f>
        <v>8.2005874793704657E-3</v>
      </c>
      <c r="I240" s="122">
        <f>IF(ISERROR(I162/(I14*4)),"NM",(I162/(I14*4)))</f>
        <v>1.1556432145420235E-2</v>
      </c>
      <c r="J240" s="122">
        <f>IF(ISERROR(J162/(J14*4)),"NM",(J162/(J14*4)))</f>
        <v>1.6559454472241282E-2</v>
      </c>
      <c r="K240" s="118">
        <f>K162/K14</f>
        <v>1.6883080756971307E-2</v>
      </c>
      <c r="L240" s="122">
        <f>IF(ISERROR(L162/(L14*4)),"NM",(L162/(L14*4)))</f>
        <v>6.3679307137049926E-3</v>
      </c>
      <c r="M240" s="122">
        <f>IF(ISERROR(M162/(M14*4)),"NM",(M162/(M14*4)))</f>
        <v>7.8004096197194818E-3</v>
      </c>
      <c r="N240" s="122">
        <f>IF(ISERROR(N162/(N14*4)),"NM",(N162/(N14*4)))</f>
        <v>1.132257554401379E-2</v>
      </c>
      <c r="O240" s="122">
        <f>IF(ISERROR(O162/(O14*4)),"NM",(O162/(O14*4)))</f>
        <v>1.7654623084332688E-2</v>
      </c>
      <c r="P240" s="118">
        <f>P162/P14</f>
        <v>1.6368044976279042E-2</v>
      </c>
      <c r="Q240" s="122">
        <f>IF(ISERROR(Q162/(Q14*4)),"NM",(Q162/(Q14*4)))</f>
        <v>7.4135520100240514E-3</v>
      </c>
      <c r="R240" s="122">
        <f>IF(ISERROR(R162/(R14*4)),"NM",(R162/(R14*4)))</f>
        <v>8.5614606523330694E-3</v>
      </c>
      <c r="S240" s="122">
        <f>IF(ISERROR(S162/(S14*4)),"NM",(S162/(S14*4)))</f>
        <v>1.2364287558804045E-2</v>
      </c>
      <c r="T240" s="122">
        <f>IF(ISERROR(T162/(T14*4)),"NM",(T162/(T14*4)))</f>
        <v>1.9688706798980941E-2</v>
      </c>
      <c r="U240" s="118">
        <f>U162/U14</f>
        <v>1.7540524826299697E-2</v>
      </c>
      <c r="V240" s="122">
        <f>IF(ISERROR(V162/(V14*4)),"NM",(V162/(V14*4)))</f>
        <v>6.838705912784019E-3</v>
      </c>
      <c r="W240" s="122">
        <f>IF(ISERROR(W162/(W14*4)),"NM",(W162/(W14*4)))</f>
        <v>8.4349704473170549E-3</v>
      </c>
      <c r="X240" s="122">
        <f>IF(ISERROR(X162/(X14*4)),"NM",(X162/(X14*4)))</f>
        <v>1.3112351758059984E-2</v>
      </c>
      <c r="Y240" s="122">
        <f>IF(ISERROR(Y162/(Y14*4)),"NM",(Y162/(Y14*4)))</f>
        <v>1.9514123837942363E-2</v>
      </c>
      <c r="Z240" s="118">
        <f>Z162/Z14</f>
        <v>1.9180305999110855E-2</v>
      </c>
      <c r="AA240" s="122">
        <f>IF(ISERROR(AA162/(AA14*4)),"NM",(AA162/(AA14*4)))</f>
        <v>6.5005460349462363E-3</v>
      </c>
      <c r="AB240" s="122">
        <f>IF(ISERROR(AB162/(AB14*4)),"NM",(AB162/(AB14*4)))</f>
        <v>8.2545281866901847E-3</v>
      </c>
      <c r="AC240" s="122">
        <f>IF(ISERROR(AC162/(AC14*4)),"NM",(AC162/(AC14*4)))</f>
        <v>1.3157652591759534E-2</v>
      </c>
      <c r="AD240" s="122">
        <f>IF(ISERROR(AD162/(AD14*4)),"NM",(AD162/(AD14*4)))</f>
        <v>1.8490518734763001E-2</v>
      </c>
      <c r="AE240" s="118">
        <f>AE162/AE14</f>
        <v>1.8557045657893519E-2</v>
      </c>
      <c r="AF240" s="122">
        <f>IF(ISERROR(AF162/(AF14*4)),"NM",(AF162/(AF14*4)))</f>
        <v>6.1260904044409198E-3</v>
      </c>
      <c r="AG240" s="122">
        <f>IF(ISERROR(AG162/(AG14*4)),"NM",(AG162/(AG14*4)))</f>
        <v>7.7874116891457935E-3</v>
      </c>
      <c r="AH240" s="122">
        <f>IF(ISERROR(AH162/(AH14*4)),"NM",(AH162/(AH14*4)))</f>
        <v>1.3246855345911948E-2</v>
      </c>
      <c r="AI240" s="122">
        <f>IF(ISERROR(AI162/(AI14*4)),"NM",(AI162/(AI14*4)))</f>
        <v>2.9631474103585659E-2</v>
      </c>
      <c r="AJ240" s="118">
        <f>AJ162/AJ14</f>
        <v>1.9052193403778419E-2</v>
      </c>
      <c r="AK240" s="122">
        <f>IF(ISERROR(AK162/(AK14*4)),"NM",(AK162/(AK14*4)))</f>
        <v>7.9710144927536229E-3</v>
      </c>
      <c r="AL240" s="122">
        <f>IF(ISERROR(AL162/(AL14*4)),"NM",(AL162/(AL14*4)))</f>
        <v>1.1660447761194031E-2</v>
      </c>
      <c r="AM240" s="122">
        <f>IF(ISERROR(AM162/(AM14*4)),"NM",(AM162/(AM14*4)))</f>
        <v>2.1953405017921146E-2</v>
      </c>
      <c r="AN240" s="122">
        <f>IF(ISERROR(AN162/(AN14*4)),"NM",(AN162/(AN14*4)))</f>
        <v>0</v>
      </c>
      <c r="AO240" s="118">
        <f>AO162/AO14</f>
        <v>0</v>
      </c>
      <c r="AP240" s="122">
        <f>IF(ISERROR(AP162/(AP14*4)),"NM",(AP162/(AP14*4)))</f>
        <v>0</v>
      </c>
      <c r="AQ240" s="122">
        <f>IF(ISERROR(AQ162/(AQ14*4)),"NM",(AQ162/(AQ14*4)))</f>
        <v>0</v>
      </c>
      <c r="AR240" s="122">
        <f>IF(ISERROR(AR162/(AR14*4)),"NM",(AR162/(AR14*4)))</f>
        <v>0</v>
      </c>
      <c r="AS240" s="122">
        <f>IF(ISERROR(AS162/(AS14*4)),"NM",(AS162/(AS14*4)))</f>
        <v>0</v>
      </c>
      <c r="AT240" s="118">
        <f>AT162/AT14</f>
        <v>0</v>
      </c>
      <c r="AU240" s="122">
        <f>IF(ISERROR(AU162/(AU14*4)),"NM",(AU162/(AU14*4)))</f>
        <v>0</v>
      </c>
      <c r="AV240" s="122">
        <f>IF(ISERROR(AV162/(AV14*4)),"NM",(AV162/(AV14*4)))</f>
        <v>0</v>
      </c>
      <c r="AW240" s="122">
        <f>IF(ISERROR(AW162/(AW14*4)),"NM",(AW162/(AW14*4)))</f>
        <v>0</v>
      </c>
      <c r="AX240" s="122">
        <f>IF(ISERROR(AX162/(AX14*4)),"NM",(AX162/(AX14*4)))</f>
        <v>0</v>
      </c>
      <c r="AY240" s="451">
        <f>AY162/AY14</f>
        <v>0</v>
      </c>
      <c r="AZ240" s="122">
        <f>IF(ISERROR(AZ162/(AZ14*4)),"NM",(AZ162/(AZ14*4)))</f>
        <v>0</v>
      </c>
      <c r="BA240" s="122">
        <f>IF(ISERROR(BA162/(BA14*4)),"NM",(BA162/(BA14*4)))</f>
        <v>0</v>
      </c>
      <c r="BB240" s="122">
        <f>IF(ISERROR(BB162/(BB14*4)),"NM",(BB162/(BB14*4)))</f>
        <v>0</v>
      </c>
      <c r="BC240" s="122">
        <f>IF(ISERROR(BC162/(BC14*4)),"NM",(BC162/(BC14*4)))</f>
        <v>0</v>
      </c>
      <c r="BD240" s="451">
        <f>BD162/BD14</f>
        <v>0</v>
      </c>
      <c r="BE240" s="122">
        <f>IF(ISERROR(BE162/(BE14*4)),"NM",(BE162/(BE14*4)))</f>
        <v>0</v>
      </c>
      <c r="BF240" s="122">
        <f>IF(ISERROR(BF162/(BF14*4)),"NM",(BF162/(BF14*4)))</f>
        <v>0</v>
      </c>
      <c r="BG240" s="122">
        <f>IF(ISERROR(BG162/(BG14*4)),"NM",(BG162/(BG14*4)))</f>
        <v>0</v>
      </c>
      <c r="BH240" s="122">
        <f>IF(ISERROR(BH162/(BH14*4)),"NM",(BH162/(BH14*4)))</f>
        <v>0</v>
      </c>
      <c r="BI240" s="451">
        <f>BI162/BI14</f>
        <v>0</v>
      </c>
      <c r="BJ240" s="122">
        <f>IF(ISERROR(BJ162/(BJ14*4)),"NM",(BJ162/(BJ14*4)))</f>
        <v>0</v>
      </c>
      <c r="BK240" s="122">
        <f>IF(ISERROR(BK162/(BK14*4)),"NM",(BK162/(BK14*4)))</f>
        <v>0</v>
      </c>
      <c r="BL240" s="122">
        <f>IF(ISERROR(BL162/(BL14*4)),"NM",(BL162/(BL14*4)))</f>
        <v>0</v>
      </c>
      <c r="BM240" s="122">
        <f>IF(ISERROR(BM162/(BM14*4)),"NM",(BM162/(BM14*4)))</f>
        <v>0</v>
      </c>
      <c r="BN240" s="451">
        <f>BN162/BN14</f>
        <v>0</v>
      </c>
      <c r="BO240" s="122">
        <f>IF(ISERROR(BO162/(BO14*4)),"NM",(BO162/(BO14*4)))</f>
        <v>0</v>
      </c>
      <c r="BP240" s="230">
        <f t="shared" si="511"/>
        <v>0</v>
      </c>
      <c r="BQ240" s="230">
        <f t="shared" si="511"/>
        <v>0</v>
      </c>
      <c r="BR240" s="230">
        <f t="shared" si="511"/>
        <v>0</v>
      </c>
      <c r="BS240" s="451">
        <f>BS162/BS14</f>
        <v>0</v>
      </c>
      <c r="BT240" s="230">
        <f t="shared" si="512"/>
        <v>0</v>
      </c>
      <c r="BU240" s="230">
        <f t="shared" si="512"/>
        <v>0</v>
      </c>
      <c r="BV240" s="230">
        <f t="shared" si="512"/>
        <v>0</v>
      </c>
      <c r="BW240" s="230">
        <f t="shared" si="512"/>
        <v>0</v>
      </c>
      <c r="BX240" s="451">
        <f>BX162/BX14</f>
        <v>0</v>
      </c>
      <c r="BY240" s="484">
        <f t="shared" si="513"/>
        <v>0</v>
      </c>
      <c r="BZ240" s="484">
        <f t="shared" si="513"/>
        <v>0</v>
      </c>
      <c r="CA240" s="484">
        <f t="shared" si="513"/>
        <v>0</v>
      </c>
      <c r="CD240" s="542"/>
      <c r="CE240" s="537"/>
      <c r="CF240" s="537"/>
      <c r="CG240" s="537"/>
      <c r="CH240" s="537"/>
      <c r="CI240" s="537"/>
      <c r="CJ240" s="537"/>
      <c r="CK240" s="537"/>
      <c r="CL240" s="537"/>
      <c r="CM240" s="537"/>
      <c r="CN240" s="537"/>
      <c r="CO240" s="537"/>
      <c r="CP240" s="537"/>
      <c r="CQ240" s="537"/>
      <c r="CR240" s="537"/>
      <c r="CS240" s="537"/>
      <c r="CT240" s="537"/>
      <c r="CU240" s="537"/>
      <c r="CV240" s="537"/>
      <c r="CW240" s="537"/>
      <c r="CX240" s="537"/>
      <c r="CY240" s="537"/>
      <c r="CZ240" s="537"/>
      <c r="DA240" s="58"/>
      <c r="DB240" s="538"/>
    </row>
    <row r="241" spans="1:112" ht="12" customHeight="1">
      <c r="A241" s="541" t="s">
        <v>205</v>
      </c>
      <c r="B241" s="118">
        <f>B163/B14</f>
        <v>5.8828315791399695E-2</v>
      </c>
      <c r="C241" s="118">
        <f>C163/C14</f>
        <v>6.8454181989334895E-2</v>
      </c>
      <c r="D241" s="118">
        <f>D163/D14</f>
        <v>7.1991403425542708E-2</v>
      </c>
      <c r="E241" s="118">
        <f>E163/E14</f>
        <v>7.8340543388125169E-2</v>
      </c>
      <c r="F241" s="118">
        <f>F163/F14</f>
        <v>8.3225315566784294E-2</v>
      </c>
      <c r="G241" s="117">
        <f>IF(ISERROR(G163/(G14*4)),"NM",(G163/(G14*4)))</f>
        <v>6.4767783048517588E-2</v>
      </c>
      <c r="H241" s="122">
        <f>IF(ISERROR(H163/(H14*4)),"NM",(H163/(H14*4)))</f>
        <v>5.9435642728224339E-2</v>
      </c>
      <c r="I241" s="122">
        <f>IF(ISERROR(I163/(I14*4)),"NM",(I163/(I14*4)))</f>
        <v>6.0068655053523837E-2</v>
      </c>
      <c r="J241" s="122">
        <f>IF(ISERROR(J163/(J14*4)),"NM",(J163/(J14*4)))</f>
        <v>8.6497378862555555E-2</v>
      </c>
      <c r="K241" s="118">
        <f>K163/K14</f>
        <v>8.8187822554834122E-2</v>
      </c>
      <c r="L241" s="122">
        <f>IF(ISERROR(L163/(L14*4)),"NM",(L163/(L14*4)))</f>
        <v>6.8438574595539398E-2</v>
      </c>
      <c r="M241" s="122">
        <f>IF(ISERROR(M163/(M14*4)),"NM",(M163/(M14*4)))</f>
        <v>6.4127340632146007E-2</v>
      </c>
      <c r="N241" s="122">
        <f>IF(ISERROR(N163/(N14*4)),"NM",(N163/(N14*4)))</f>
        <v>6.0820495101453563E-2</v>
      </c>
      <c r="O241" s="122">
        <f>IF(ISERROR(O163/(O14*4)),"NM",(O163/(O14*4)))</f>
        <v>9.5330409610062658E-2</v>
      </c>
      <c r="P241" s="118">
        <f>P163/P14</f>
        <v>8.8383219774843966E-2</v>
      </c>
      <c r="Q241" s="122">
        <f>IF(ISERROR(Q163/(Q14*4)),"NM",(Q163/(Q14*4)))</f>
        <v>6.3837015578825679E-2</v>
      </c>
      <c r="R241" s="122">
        <f>IF(ISERROR(R163/(R14*4)),"NM",(R163/(R14*4)))</f>
        <v>5.4984834675551701E-2</v>
      </c>
      <c r="S241" s="122">
        <f>IF(ISERROR(S163/(S14*4)),"NM",(S163/(S14*4)))</f>
        <v>4.8163180527018977E-2</v>
      </c>
      <c r="T241" s="122">
        <f>IF(ISERROR(T163/(T14*4)),"NM",(T163/(T14*4)))</f>
        <v>7.4273995385108857E-2</v>
      </c>
      <c r="U241" s="118">
        <f>U163/U14</f>
        <v>6.617015903088172E-2</v>
      </c>
      <c r="V241" s="122">
        <f>IF(ISERROR(V163/(V14*4)),"NM",(V163/(V14*4)))</f>
        <v>6.4045507473826591E-2</v>
      </c>
      <c r="W241" s="122">
        <f>IF(ISERROR(W163/(W14*4)),"NM",(W163/(W14*4)))</f>
        <v>5.5764820704623332E-2</v>
      </c>
      <c r="X241" s="122">
        <f>IF(ISERROR(X163/(X14*4)),"NM",(X163/(X14*4)))</f>
        <v>5.1453886474940334E-2</v>
      </c>
      <c r="Y241" s="122">
        <f>IF(ISERROR(Y163/(Y14*4)),"NM",(Y163/(Y14*4)))</f>
        <v>7.7038541065523783E-2</v>
      </c>
      <c r="Z241" s="118">
        <f>Z163/Z14</f>
        <v>7.572068331803819E-2</v>
      </c>
      <c r="AA241" s="122">
        <f>IF(ISERROR(AA163/(AA14*4)),"NM",(AA163/(AA14*4)))</f>
        <v>5.988239247311828E-2</v>
      </c>
      <c r="AB241" s="122">
        <f>IF(ISERROR(AB163/(AB14*4)),"NM",(AB163/(AB14*4)))</f>
        <v>5.8052710128213836E-2</v>
      </c>
      <c r="AC241" s="122">
        <f>IF(ISERROR(AC163/(AC14*4)),"NM",(AC163/(AC14*4)))</f>
        <v>5.3499897760965129E-2</v>
      </c>
      <c r="AD241" s="122">
        <f>IF(ISERROR(AD163/(AD14*4)),"NM",(AD163/(AD14*4)))</f>
        <v>8.1256287836053945E-2</v>
      </c>
      <c r="AE241" s="118">
        <f>AE163/AE14</f>
        <v>8.1548639332098105E-2</v>
      </c>
      <c r="AF241" s="122">
        <f>IF(ISERROR(AF163/(AF14*4)),"NM",(AF163/(AF14*4)))</f>
        <v>5.9159397303727199E-2</v>
      </c>
      <c r="AG241" s="122">
        <f>IF(ISERROR(AG163/(AG14*4)),"NM",(AG163/(AG14*4)))</f>
        <v>6.1448298008991646E-2</v>
      </c>
      <c r="AH241" s="122">
        <f>IF(ISERROR(AH163/(AH14*4)),"NM",(AH163/(AH14*4)))</f>
        <v>5.6263102725366873E-2</v>
      </c>
      <c r="AI241" s="122">
        <f>IF(ISERROR(AI163/(AI14*4)),"NM",(AI163/(AI14*4)))</f>
        <v>0.12699203187250996</v>
      </c>
      <c r="AJ241" s="118">
        <f>AJ163/AJ14</f>
        <v>8.1652257444764648E-2</v>
      </c>
      <c r="AK241" s="122">
        <f>IF(ISERROR(AK163/(AK14*4)),"NM",(AK163/(AK14*4)))</f>
        <v>7.3671497584541057E-2</v>
      </c>
      <c r="AL241" s="122">
        <f>IF(ISERROR(AL163/(AL14*4)),"NM",(AL163/(AL14*4)))</f>
        <v>8.9785447761194029E-2</v>
      </c>
      <c r="AM241" s="122">
        <f>IF(ISERROR(AM163/(AM14*4)),"NM",(AM163/(AM14*4)))</f>
        <v>0.10528673835125447</v>
      </c>
      <c r="AN241" s="122">
        <f>IF(ISERROR(AN163/(AN14*4)),"NM",(AN163/(AN14*4)))</f>
        <v>9.2298288508557452E-2</v>
      </c>
      <c r="AO241" s="118">
        <f>AO163/AO14</f>
        <v>0.10179775280898877</v>
      </c>
      <c r="AP241" s="122">
        <f>IF(ISERROR(AP163/(AP14*4)),"NM",(AP163/(AP14*4)))</f>
        <v>5.2921253175275192E-2</v>
      </c>
      <c r="AQ241" s="122">
        <f>IF(ISERROR(AQ163/(AQ14*4)),"NM",(AQ163/(AQ14*4)))</f>
        <v>6.2E-2</v>
      </c>
      <c r="AR241" s="122">
        <f>IF(ISERROR(AR163/(AR14*4)),"NM",(AR163/(AR14*4)))</f>
        <v>7.5737847222222224E-2</v>
      </c>
      <c r="AS241" s="122">
        <f>IF(ISERROR(AS163/(AS14*4)),"NM",(AS163/(AS14*4)))</f>
        <v>8.8515754560530679E-2</v>
      </c>
      <c r="AT241" s="118">
        <f>AT163/AT14</f>
        <v>8.916266443934015E-2</v>
      </c>
      <c r="AU241" s="122">
        <f>IF(ISERROR(AU163/(AU14*4)),"NM",(AU163/(AU14*4)))</f>
        <v>4.4314381270903008E-2</v>
      </c>
      <c r="AV241" s="122">
        <f>IF(ISERROR(AV163/(AV14*4)),"NM",(AV163/(AV14*4)))</f>
        <v>5.606758832565284E-2</v>
      </c>
      <c r="AW241" s="122">
        <f>IF(ISERROR(AW163/(AW14*4)),"NM",(AW163/(AW14*4)))</f>
        <v>6.6112430720506724E-2</v>
      </c>
      <c r="AX241" s="122">
        <f>IF(ISERROR(AX163/(AX14*4)),"NM",(AX163/(AX14*4)))</f>
        <v>7.9457364341085274E-2</v>
      </c>
      <c r="AY241" s="451">
        <f>AY163/AY14</f>
        <v>8.1172045139576321E-2</v>
      </c>
      <c r="AZ241" s="122">
        <f>IF(ISERROR(AZ163/(AZ14*4)),"NM",(AZ163/(AZ14*4)))</f>
        <v>3.9473684210526314E-2</v>
      </c>
      <c r="BA241" s="122">
        <f>IF(ISERROR(BA163/(BA14*4)),"NM",(BA163/(BA14*4)))</f>
        <v>4.9180327868852458E-2</v>
      </c>
      <c r="BB241" s="122">
        <f>IF(ISERROR(BB163/(BB14*4)),"NM",(BB163/(BB14*4)))</f>
        <v>6.0422960725075532E-2</v>
      </c>
      <c r="BC241" s="122">
        <f>IF(ISERROR(BC163/(BC14*4)),"NM",(BC163/(BC14*4)))</f>
        <v>6.9687045123726352E-2</v>
      </c>
      <c r="BD241" s="451">
        <f>BD163/BD14</f>
        <v>7.2087332956898176E-2</v>
      </c>
      <c r="BE241" s="122">
        <f>IF(ISERROR(BE163/(BE14*4)),"NM",(BE163/(BE14*4)))</f>
        <v>3.5980611483967188E-2</v>
      </c>
      <c r="BF241" s="122">
        <f>IF(ISERROR(BF163/(BF14*4)),"NM",(BF163/(BF14*4)))</f>
        <v>4.4703103913630228E-2</v>
      </c>
      <c r="BG241" s="122">
        <f>IF(ISERROR(BG163/(BG14*4)),"NM",(BG163/(BG14*4)))</f>
        <v>5.4725503822098683E-2</v>
      </c>
      <c r="BH241" s="122">
        <f>IF(ISERROR(BH163/(BH14*4)),"NM",(BH163/(BH14*4)))</f>
        <v>7.3087919942816298E-2</v>
      </c>
      <c r="BI241" s="451">
        <f>BI163/BI14</f>
        <v>7.2248719307542841E-2</v>
      </c>
      <c r="BJ241" s="122">
        <f>IF(ISERROR(BJ163/(BJ14*4)),"NM",(BJ163/(BJ14*4)))</f>
        <v>3.5271851342050929E-2</v>
      </c>
      <c r="BK241" s="122">
        <f>IF(ISERROR(BK163/(BK14*4)),"NM",(BK163/(BK14*4)))</f>
        <v>4.8707753479125246E-2</v>
      </c>
      <c r="BL241" s="122">
        <f>IF(ISERROR(BL163/(BL14*4)),"NM",(BL163/(BL14*4)))</f>
        <v>6.1632518175809649E-2</v>
      </c>
      <c r="BM241" s="122">
        <f>IF(ISERROR(BM163/(BM14*4)),"NM",(BM163/(BM14*4)))</f>
        <v>7.426054122089365E-2</v>
      </c>
      <c r="BN241" s="451">
        <f>BN163/BN14</f>
        <v>7.7836411609498682E-2</v>
      </c>
      <c r="BO241" s="122">
        <f>IF(ISERROR(BO163/(BO14*4)),"NM",(BO163/(BO14*4)))</f>
        <v>3.11104020421187E-2</v>
      </c>
      <c r="BP241" s="230">
        <f t="shared" si="511"/>
        <v>4.8707753479125246E-2</v>
      </c>
      <c r="BQ241" s="230">
        <f t="shared" si="511"/>
        <v>6.1632518175809649E-2</v>
      </c>
      <c r="BR241" s="230">
        <f t="shared" si="511"/>
        <v>7.426054122089365E-2</v>
      </c>
      <c r="BS241" s="451">
        <f>BS163/BS14</f>
        <v>7.6347274469138818E-2</v>
      </c>
      <c r="BT241" s="230">
        <f t="shared" si="512"/>
        <v>3.11104020421187E-2</v>
      </c>
      <c r="BU241" s="230">
        <f t="shared" si="512"/>
        <v>4.8707753479125246E-2</v>
      </c>
      <c r="BV241" s="230">
        <f t="shared" si="512"/>
        <v>6.1632518175809649E-2</v>
      </c>
      <c r="BW241" s="230">
        <f t="shared" si="512"/>
        <v>7.426054122089365E-2</v>
      </c>
      <c r="BX241" s="451">
        <f>BX163/BX14</f>
        <v>7.6504492091586551E-2</v>
      </c>
      <c r="BY241" s="484">
        <f t="shared" si="513"/>
        <v>7.6504492091586551E-2</v>
      </c>
      <c r="BZ241" s="484">
        <f t="shared" si="513"/>
        <v>7.6504492091586551E-2</v>
      </c>
      <c r="CA241" s="484">
        <f t="shared" si="513"/>
        <v>7.6504492091586551E-2</v>
      </c>
      <c r="CD241" s="542"/>
      <c r="CE241" s="117"/>
      <c r="CF241" s="117"/>
      <c r="CG241" s="117"/>
      <c r="CH241" s="117"/>
      <c r="CI241" s="117"/>
      <c r="CJ241" s="117"/>
      <c r="CK241" s="117"/>
      <c r="CL241" s="117"/>
      <c r="CM241" s="117"/>
      <c r="CN241" s="117"/>
      <c r="CO241" s="117"/>
      <c r="CP241" s="117"/>
      <c r="CQ241" s="117"/>
      <c r="CR241" s="117"/>
      <c r="CS241" s="117"/>
      <c r="CT241" s="117"/>
      <c r="CU241" s="117"/>
      <c r="CV241" s="117"/>
      <c r="CW241" s="117"/>
      <c r="CX241" s="117"/>
      <c r="CY241" s="117"/>
      <c r="CZ241" s="117"/>
      <c r="DA241" s="58"/>
      <c r="DB241" s="453"/>
    </row>
    <row r="242" spans="1:112" ht="12" customHeight="1">
      <c r="A242" s="541" t="s">
        <v>206</v>
      </c>
      <c r="B242" s="118">
        <f>B165/B14</f>
        <v>1.6710238971399418E-2</v>
      </c>
      <c r="C242" s="118">
        <f>C165/C14</f>
        <v>1.7675161157402378E-2</v>
      </c>
      <c r="D242" s="118">
        <f>D165/D14</f>
        <v>5.0496286541576015E-2</v>
      </c>
      <c r="E242" s="118">
        <f>E165/E14</f>
        <v>1.5003414888150508E-2</v>
      </c>
      <c r="F242" s="118">
        <f>F165/F14</f>
        <v>1.1412739134012322E-2</v>
      </c>
      <c r="G242" s="117">
        <f>IF(ISERROR(G165/(G14*4)),"NM",(G165/(G14*4)))</f>
        <v>1.3403639411262939E-2</v>
      </c>
      <c r="H242" s="122">
        <f>IF(ISERROR(H165/(H14*4)),"NM",(H165/(H14*4)))</f>
        <v>2.5006824685131612E-2</v>
      </c>
      <c r="I242" s="122">
        <f>IF(ISERROR(I165/(I14*4)),"NM",(I165/(I14*4)))</f>
        <v>2.6960658847618901E-2</v>
      </c>
      <c r="J242" s="122">
        <f>IF(ISERROR(J165/(J14*4)),"NM",(J165/(J14*4)))</f>
        <v>1.2146516502691385E-2</v>
      </c>
      <c r="K242" s="118">
        <f>K165/K14</f>
        <v>1.2383899443945121E-2</v>
      </c>
      <c r="L242" s="122">
        <f>IF(ISERROR(L165/(L14*4)),"NM",(L165/(L14*4)))</f>
        <v>1.7627802144061559E-2</v>
      </c>
      <c r="M242" s="122">
        <f>IF(ISERROR(M165/(M14*4)),"NM",(M165/(M14*4)))</f>
        <v>1.7935122009988484E-2</v>
      </c>
      <c r="N242" s="122">
        <f>IF(ISERROR(N165/(N14*4)),"NM",(N165/(N14*4)))</f>
        <v>2.2273578196669461E-2</v>
      </c>
      <c r="O242" s="122">
        <f>IF(ISERROR(O165/(O14*4)),"NM",(O165/(O14*4)))</f>
        <v>0</v>
      </c>
      <c r="P242" s="118">
        <f>P165/P14</f>
        <v>0</v>
      </c>
      <c r="Q242" s="122">
        <f>IF(ISERROR(Q165/(Q14*4)),"NM",(Q165/(Q14*4)))</f>
        <v>0</v>
      </c>
      <c r="R242" s="122">
        <f>IF(ISERROR(R165/(R14*4)),"NM",(R165/(R14*4)))</f>
        <v>1.1066204485350147E-2</v>
      </c>
      <c r="S242" s="122">
        <f>IF(ISERROR(S165/(S14*4)),"NM",(S165/(S14*4)))</f>
        <v>1.9130444545654688E-2</v>
      </c>
      <c r="T242" s="122">
        <f>IF(ISERROR(T165/(T14*4)),"NM",(T165/(T14*4)))</f>
        <v>3.0395614581699543E-3</v>
      </c>
      <c r="U242" s="118">
        <f>U165/U14</f>
        <v>2.7079230628216438E-3</v>
      </c>
      <c r="V242" s="122">
        <f>IF(ISERROR(V165/(V14*4)),"NM",(V165/(V14*4)))</f>
        <v>4.1878337268454217E-3</v>
      </c>
      <c r="W242" s="122">
        <f>IF(ISERROR(W165/(W14*4)),"NM",(W165/(W14*4)))</f>
        <v>1.2891248856795755E-2</v>
      </c>
      <c r="X242" s="122">
        <f>IF(ISERROR(X165/(X14*4)),"NM",(X165/(X14*4)))</f>
        <v>2.1119428883049924E-2</v>
      </c>
      <c r="Y242" s="122">
        <f>IF(ISERROR(Y165/(Y14*4)),"NM",(Y165/(Y14*4)))</f>
        <v>2.9206997371609552E-3</v>
      </c>
      <c r="Z242" s="118">
        <f>Z165/Z14</f>
        <v>2.8707368650263063E-3</v>
      </c>
      <c r="AA242" s="122">
        <f>IF(ISERROR(AA165/(AA14*4)),"NM",(AA165/(AA14*4)))</f>
        <v>3.4757224462365591E-3</v>
      </c>
      <c r="AB242" s="122">
        <f>IF(ISERROR(AB165/(AB14*4)),"NM",(AB165/(AB14*4)))</f>
        <v>9.3401058272844454E-3</v>
      </c>
      <c r="AC242" s="122">
        <f>IF(ISERROR(AC165/(AC14*4)),"NM",(AC165/(AC14*4)))</f>
        <v>2.05053164298129E-2</v>
      </c>
      <c r="AD242" s="122">
        <f>IF(ISERROR(AD165/(AD14*4)),"NM",(AD165/(AD14*4)))</f>
        <v>3.826008912977318E-3</v>
      </c>
      <c r="AE242" s="118">
        <f>AE165/AE14</f>
        <v>3.8397744868101272E-3</v>
      </c>
      <c r="AF242" s="122">
        <f>IF(ISERROR(AF165/(AF14*4)),"NM",(AF165/(AF14*4)))</f>
        <v>8.0888183980967476E-3</v>
      </c>
      <c r="AG242" s="122">
        <f>IF(ISERROR(AG165/(AG14*4)),"NM",(AG165/(AG14*4)))</f>
        <v>1.3150289017341041E-2</v>
      </c>
      <c r="AH242" s="122">
        <f>IF(ISERROR(AH165/(AH14*4)),"NM",(AH165/(AH14*4)))</f>
        <v>3.2743710691823899E-2</v>
      </c>
      <c r="AI242" s="122">
        <f>IF(ISERROR(AI165/(AI14*4)),"NM",(AI165/(AI14*4)))</f>
        <v>7.2211155378486052E-3</v>
      </c>
      <c r="AJ242" s="118">
        <f>AJ165/AJ14</f>
        <v>4.6429715017611275E-3</v>
      </c>
      <c r="AK242" s="122">
        <f>IF(ISERROR(AK165/(AK14*4)),"NM",(AK165/(AK14*4)))</f>
        <v>1.3043478260869565E-2</v>
      </c>
      <c r="AL242" s="122">
        <f>IF(ISERROR(AL165/(AL14*4)),"NM",(AL165/(AL14*4)))</f>
        <v>2.5886194029850745E-2</v>
      </c>
      <c r="AM242" s="122">
        <f>IF(ISERROR(AM165/(AM14*4)),"NM",(AM165/(AM14*4)))</f>
        <v>3.0241935483870969E-2</v>
      </c>
      <c r="AN242" s="122">
        <f>IF(ISERROR(AN165/(AN14*4)),"NM",(AN165/(AN14*4)))</f>
        <v>3.2192339038304811E-2</v>
      </c>
      <c r="AO242" s="118">
        <f>AO165/AO14</f>
        <v>3.5505617977528089E-2</v>
      </c>
      <c r="AP242" s="122">
        <f>IF(ISERROR(AP165/(AP14*4)),"NM",(AP165/(AP14*4)))</f>
        <v>7.3243014394580863E-2</v>
      </c>
      <c r="AQ242" s="122">
        <f>IF(ISERROR(AQ165/(AQ14*4)),"NM",(AQ165/(AQ14*4)))</f>
        <v>3.5400000000000001E-2</v>
      </c>
      <c r="AR242" s="122">
        <f>IF(ISERROR(AR165/(AR14*4)),"NM",(AR165/(AR14*4)))</f>
        <v>2.4522569444444444E-2</v>
      </c>
      <c r="AS242" s="122">
        <f>IF(ISERROR(AS165/(AS14*4)),"NM",(AS165/(AS14*4)))</f>
        <v>3.1094527363184081E-3</v>
      </c>
      <c r="AT242" s="118">
        <f>AT165/AT14</f>
        <v>3.1321779077051574E-3</v>
      </c>
      <c r="AU242" s="122">
        <f>IF(ISERROR(AU165/(AU14*4)),"NM",(AU165/(AU14*4)))</f>
        <v>1.5677257525083612E-2</v>
      </c>
      <c r="AV242" s="122">
        <f>IF(ISERROR(AV165/(AV14*4)),"NM",(AV165/(AV14*4)))</f>
        <v>1.8433179723502304E-2</v>
      </c>
      <c r="AW242" s="122">
        <f>IF(ISERROR(AW165/(AW14*4)),"NM",(AW165/(AW14*4)))</f>
        <v>1.444972288202692E-2</v>
      </c>
      <c r="AX242" s="122">
        <f>IF(ISERROR(AX165/(AX14*4)),"NM",(AX165/(AX14*4)))</f>
        <v>6.2015503875968991E-3</v>
      </c>
      <c r="AY242" s="451">
        <f>AY165/AY14</f>
        <v>6.335379132844981E-3</v>
      </c>
      <c r="AZ242" s="122">
        <f>IF(ISERROR(AZ165/(AZ14*4)),"NM",(AZ165/(AZ14*4)))</f>
        <v>0</v>
      </c>
      <c r="BA242" s="122">
        <f>IF(ISERROR(BA165/(BA14*4)),"NM",(BA165/(BA14*4)))</f>
        <v>0</v>
      </c>
      <c r="BB242" s="122">
        <f>IF(ISERROR(BB165/(BB14*4)),"NM",(BB165/(BB14*4)))</f>
        <v>0</v>
      </c>
      <c r="BC242" s="122">
        <f>IF(ISERROR(BC165/(BC14*4)),"NM",(BC165/(BC14*4)))</f>
        <v>1.0189228529839884E-2</v>
      </c>
      <c r="BD242" s="451">
        <f>BD165/BD14</f>
        <v>1.0540184453227932E-2</v>
      </c>
      <c r="BE242" s="122">
        <f>IF(ISERROR(BE165/(BE14*4)),"NM",(BE165/(BE14*4)))</f>
        <v>0</v>
      </c>
      <c r="BF242" s="122">
        <f>IF(ISERROR(BF165/(BF14*4)),"NM",(BF165/(BF14*4)))</f>
        <v>0</v>
      </c>
      <c r="BG242" s="122">
        <f>IF(ISERROR(BG165/(BG14*4)),"NM",(BG165/(BG14*4)))</f>
        <v>0</v>
      </c>
      <c r="BH242" s="122">
        <f>IF(ISERROR(BH165/(BH14*4)),"NM",(BH165/(BH14*4)))</f>
        <v>1.6976411722659041E-2</v>
      </c>
      <c r="BI242" s="451">
        <f>BI165/BI14</f>
        <v>1.6781487369722663E-2</v>
      </c>
      <c r="BJ242" s="122">
        <f>IF(ISERROR(BJ165/(BJ14*4)),"NM",(BJ165/(BJ14*4)))</f>
        <v>4.1810048176187199E-2</v>
      </c>
      <c r="BK242" s="122">
        <f>IF(ISERROR(BK165/(BK14*4)),"NM",(BK165/(BK14*4)))</f>
        <v>1.3088137839628894E-2</v>
      </c>
      <c r="BL242" s="122">
        <f>IF(ISERROR(BL165/(BL14*4)),"NM",(BL165/(BL14*4)))</f>
        <v>1.2723066754791804E-2</v>
      </c>
      <c r="BM242" s="122">
        <f>IF(ISERROR(BM165/(BM14*4)),"NM",(BM165/(BM14*4)))</f>
        <v>1.2114537444933921E-2</v>
      </c>
      <c r="BN242" s="451">
        <f>BN165/BN14</f>
        <v>1.2697889182058048E-2</v>
      </c>
      <c r="BO242" s="122">
        <f>IF(ISERROR(BO165/(BO14*4)),"NM",(BO165/(BO14*4)))</f>
        <v>1.5954052329291639E-2</v>
      </c>
      <c r="BP242" s="230">
        <f t="shared" si="511"/>
        <v>1.3088137839628894E-2</v>
      </c>
      <c r="BQ242" s="230">
        <f t="shared" si="511"/>
        <v>1.2723066754791804E-2</v>
      </c>
      <c r="BR242" s="230">
        <v>5.0000000000000001E-3</v>
      </c>
      <c r="BS242" s="451">
        <f>BS165/BS14</f>
        <v>5.1405008106551516E-3</v>
      </c>
      <c r="BT242" s="230">
        <f t="shared" si="512"/>
        <v>1.5954052329291639E-2</v>
      </c>
      <c r="BU242" s="230">
        <f t="shared" si="512"/>
        <v>1.3088137839628894E-2</v>
      </c>
      <c r="BV242" s="230">
        <f t="shared" si="512"/>
        <v>1.2723066754791804E-2</v>
      </c>
      <c r="BW242" s="230">
        <f t="shared" si="512"/>
        <v>5.0000000000000001E-3</v>
      </c>
      <c r="BX242" s="451">
        <f>BX165/BX14</f>
        <v>5.1510863531157216E-3</v>
      </c>
      <c r="BY242" s="484">
        <f t="shared" si="513"/>
        <v>5.1510863531157216E-3</v>
      </c>
      <c r="BZ242" s="484">
        <f t="shared" si="513"/>
        <v>5.1510863531157216E-3</v>
      </c>
      <c r="CA242" s="484">
        <f t="shared" si="513"/>
        <v>5.1510863531157216E-3</v>
      </c>
      <c r="CD242" s="542"/>
      <c r="CE242" s="117"/>
      <c r="CF242" s="117"/>
      <c r="CG242" s="117"/>
      <c r="CH242" s="117"/>
      <c r="CI242" s="117"/>
      <c r="CJ242" s="117"/>
      <c r="CK242" s="117"/>
      <c r="CL242" s="117"/>
      <c r="CM242" s="117"/>
      <c r="CN242" s="117"/>
      <c r="CO242" s="117"/>
      <c r="CP242" s="117"/>
      <c r="CQ242" s="117"/>
      <c r="CR242" s="117"/>
      <c r="CS242" s="117"/>
      <c r="CT242" s="117"/>
      <c r="CU242" s="117"/>
      <c r="CV242" s="117"/>
      <c r="CW242" s="117"/>
      <c r="CX242" s="117"/>
      <c r="CY242" s="117"/>
      <c r="CZ242" s="117"/>
      <c r="DA242" s="58"/>
      <c r="DB242" s="453"/>
    </row>
    <row r="243" spans="1:112" ht="12" customHeight="1" thickBot="1">
      <c r="A243" s="543" t="s">
        <v>207</v>
      </c>
      <c r="B243" s="544">
        <f>B166/B14</f>
        <v>0.10936415289089417</v>
      </c>
      <c r="C243" s="544">
        <f>C166/C14</f>
        <v>0.11615078195175019</v>
      </c>
      <c r="D243" s="544">
        <f>D166/D14</f>
        <v>0.12175440461973859</v>
      </c>
      <c r="E243" s="544">
        <f>E166/E14</f>
        <v>0.13711890095833987</v>
      </c>
      <c r="F243" s="544">
        <f>F166/F14</f>
        <v>0.14212256493641695</v>
      </c>
      <c r="G243" s="545">
        <f>IF(ISERROR(G166/(G14*4)),"NM",(G166/(G14*4)))</f>
        <v>0.18984810801285898</v>
      </c>
      <c r="H243" s="545">
        <f>IF(ISERROR(H166/(H14*4)),"NM",(H166/(H14*4)))</f>
        <v>0.14606921049031024</v>
      </c>
      <c r="I243" s="545">
        <f>IF(ISERROR(I166/(I14*4)),"NM",(I166/(I14*4)))</f>
        <v>0.11086059711829446</v>
      </c>
      <c r="J243" s="545">
        <f>IF(ISERROR(J166/(J14*4)),"NM",(J166/(J14*4)))</f>
        <v>0.15417136556305847</v>
      </c>
      <c r="K243" s="544">
        <f>K166/K14</f>
        <v>0.15718438186335779</v>
      </c>
      <c r="L243" s="545">
        <f>IF(ISERROR(L166/(L14*4)),"NM",(L166/(L14*4)))</f>
        <v>0.18859542215550848</v>
      </c>
      <c r="M243" s="545">
        <f>IF(ISERROR(M166/(M14*4)),"NM",(M166/(M14*4)))</f>
        <v>0.14921844580803281</v>
      </c>
      <c r="N243" s="545">
        <f>IF(ISERROR(N166/(N14*4)),"NM",(N166/(N14*4)))</f>
        <v>0.11482927756723504</v>
      </c>
      <c r="O243" s="545">
        <f>IF(ISERROR(O166/(O14*4)),"NM",(O166/(O14*4)))</f>
        <v>0.17287511913195494</v>
      </c>
      <c r="P243" s="544">
        <f>P166/P14</f>
        <v>0.16027686978729916</v>
      </c>
      <c r="Q243" s="545">
        <f>IF(ISERROR(Q166/(Q14*4)),"NM",(Q166/(Q14*4)))</f>
        <v>0.22392663098144222</v>
      </c>
      <c r="R243" s="545">
        <f>IF(ISERROR(R166/(R14*4)),"NM",(R166/(R14*4)))</f>
        <v>0.16475548715803315</v>
      </c>
      <c r="S243" s="545">
        <f>IF(ISERROR(S166/(S14*4)),"NM",(S166/(S14*4)))</f>
        <v>0.13050532061598963</v>
      </c>
      <c r="T243" s="545">
        <f>IF(ISERROR(T166/(T14*4)),"NM",(T166/(T14*4)))</f>
        <v>0.19414176589530444</v>
      </c>
      <c r="U243" s="544">
        <f>U166/U14</f>
        <v>0.17295947871418896</v>
      </c>
      <c r="V243" s="545">
        <f>IF(ISERROR(V166/(V14*4)),"NM",(V166/(V14*4)))</f>
        <v>0.23673192203148041</v>
      </c>
      <c r="W243" s="545">
        <f>IF(ISERROR(W166/(W14*4)),"NM",(W166/(W14*4)))</f>
        <v>0.18743516155011675</v>
      </c>
      <c r="X243" s="545">
        <f>IF(ISERROR(X166/(X14*4)),"NM",(X166/(X14*4)))</f>
        <v>0.14399092063928678</v>
      </c>
      <c r="Y243" s="545">
        <f>IF(ISERROR(Y166/(Y14*4)),"NM",(Y166/(Y14*4)))</f>
        <v>0.19066035916777666</v>
      </c>
      <c r="Z243" s="544">
        <f>Z166/Z14</f>
        <v>0.18739883282015368</v>
      </c>
      <c r="AA243" s="545">
        <f>IF(ISERROR(AA166/(AA14*4)),"NM",(AA166/(AA14*4)))</f>
        <v>0.23467909946236559</v>
      </c>
      <c r="AB243" s="545">
        <f>IF(ISERROR(AB166/(AB14*4)),"NM",(AB166/(AB14*4)))</f>
        <v>0.19406112204056714</v>
      </c>
      <c r="AC243" s="545">
        <f>IF(ISERROR(AC166/(AC14*4)),"NM",(AC166/(AC14*4)))</f>
        <v>0.14390067477763008</v>
      </c>
      <c r="AD243" s="545">
        <f>IF(ISERROR(AD166/(AD14*4)),"NM",(AD166/(AD14*4)))</f>
        <v>0.19477252652602589</v>
      </c>
      <c r="AE243" s="544">
        <f>AE166/AE14</f>
        <v>0.19547329739600547</v>
      </c>
      <c r="AF243" s="545">
        <f>IF(ISERROR(AF166/(AF14*4)),"NM",(AF166/(AF14*4)))</f>
        <v>0.24264472640761303</v>
      </c>
      <c r="AG243" s="545">
        <f>IF(ISERROR(AG166/(AG14*4)),"NM",(AG166/(AG14*4)))</f>
        <v>0.20006422607578678</v>
      </c>
      <c r="AH243" s="545">
        <f>IF(ISERROR(AH166/(AH14*4)),"NM",(AH166/(AH14*4)))</f>
        <v>0.16307651991614255</v>
      </c>
      <c r="AI243" s="545">
        <f>IF(ISERROR(AI166/(AI14*4)),"NM",(AI166/(AI14*4)))</f>
        <v>0.32445219123505975</v>
      </c>
      <c r="AJ243" s="544">
        <f>AJ166/AJ14</f>
        <v>0.20861351264809477</v>
      </c>
      <c r="AK243" s="545">
        <f>IF(ISERROR(AK166/(AK14*4)),"NM",(AK166/(AK14*4)))</f>
        <v>0.31545893719806761</v>
      </c>
      <c r="AL243" s="545">
        <f>IF(ISERROR(AL166/(AL14*4)),"NM",(AL166/(AL14*4)))</f>
        <v>0.30853544776119401</v>
      </c>
      <c r="AM243" s="545">
        <f>IF(ISERROR(AM166/(AM14*4)),"NM",(AM166/(AM14*4)))</f>
        <v>0.30846774193548387</v>
      </c>
      <c r="AN243" s="545">
        <f>IF(ISERROR(AN166/(AN14*4)),"NM",(AN166/(AN14*4)))</f>
        <v>0.25040749796251016</v>
      </c>
      <c r="AO243" s="544">
        <f>AO166/AO14</f>
        <v>0.27617977528089888</v>
      </c>
      <c r="AP243" s="545">
        <f>IF(ISERROR(AP166/(AP14*4)),"NM",(AP166/(AP14*4)))</f>
        <v>0.27074513124470789</v>
      </c>
      <c r="AQ243" s="545">
        <f>IF(ISERROR(AQ166/(AQ14*4)),"NM",(AQ166/(AQ14*4)))</f>
        <v>0.25679999999999997</v>
      </c>
      <c r="AR243" s="545">
        <f>IF(ISERROR(AR166/(AR14*4)),"NM",(AR166/(AR14*4)))</f>
        <v>0.26909722222222221</v>
      </c>
      <c r="AS243" s="545">
        <f>IF(ISERROR(AS166/(AS14*4)),"NM",(AS166/(AS14*4)))</f>
        <v>0.2713515754560531</v>
      </c>
      <c r="AT243" s="544">
        <f>AT166/AT14</f>
        <v>0.27333472541240345</v>
      </c>
      <c r="AU243" s="545">
        <f>IF(ISERROR(AU166/(AU14*4)),"NM",(AU166/(AU14*4)))</f>
        <v>0.2738294314381271</v>
      </c>
      <c r="AV243" s="545">
        <f>IF(ISERROR(AV166/(AV14*4)),"NM",(AV166/(AV14*4)))</f>
        <v>0.25384024577572967</v>
      </c>
      <c r="AW243" s="545">
        <f>IF(ISERROR(AW166/(AW14*4)),"NM",(AW166/(AW14*4)))</f>
        <v>0.25059382422802851</v>
      </c>
      <c r="AX243" s="545">
        <f>IF(ISERROR(AX166/(AX14*4)),"NM",(AX166/(AX14*4)))</f>
        <v>0.25639534883720932</v>
      </c>
      <c r="AY243" s="546">
        <f>AY166/AY14</f>
        <v>0.26192833102355967</v>
      </c>
      <c r="AZ243" s="545">
        <f>IF(ISERROR(AZ166/(AZ14*4)),"NM",(AZ166/(AZ14*4)))</f>
        <v>0.26630007855459542</v>
      </c>
      <c r="BA243" s="545">
        <f>IF(ISERROR(BA166/(BA14*4)),"NM",(BA166/(BA14*4)))</f>
        <v>0.25838301043219075</v>
      </c>
      <c r="BB243" s="545">
        <f>IF(ISERROR(BB166/(BB14*4)),"NM",(BB166/(BB14*4)))</f>
        <v>0.2743580060422961</v>
      </c>
      <c r="BC243" s="545">
        <f>IF(ISERROR(BC166/(BC14*4)),"NM",(BC166/(BC14*4)))</f>
        <v>0.25855167394468703</v>
      </c>
      <c r="BD243" s="546">
        <f>BD166/BD14</f>
        <v>0.26745718050065875</v>
      </c>
      <c r="BE243" s="545">
        <f>IF(ISERROR(BE166/(BE14*4)),"NM",(BE166/(BE14*4)))</f>
        <v>0.27181208053691275</v>
      </c>
      <c r="BF243" s="545">
        <f>IF(ISERROR(BF166/(BF14*4)),"NM",(BF166/(BF14*4)))</f>
        <v>0.24628879892037786</v>
      </c>
      <c r="BG243" s="545">
        <f>IF(ISERROR(BG166/(BG14*4)),"NM",(BG166/(BG14*4)))</f>
        <v>0.24461431549687282</v>
      </c>
      <c r="BH243" s="545">
        <f>IF(ISERROR(BH166/(BH14*4)),"NM",(BH166/(BH14*4)))</f>
        <v>0.26965689778413154</v>
      </c>
      <c r="BI243" s="546">
        <f>BI166/BI14</f>
        <v>0.26656067832538421</v>
      </c>
      <c r="BJ243" s="545">
        <f>IF(ISERROR(BJ166/(BJ14*4)),"NM",(BJ166/(BJ14*4)))</f>
        <v>0.25980729525120438</v>
      </c>
      <c r="BK243" s="545">
        <f>IF(ISERROR(BK166/(BK14*4)),"NM",(BK166/(BK14*4)))</f>
        <v>0.24884029158383036</v>
      </c>
      <c r="BL243" s="545">
        <f>IF(ISERROR(BL166/(BL14*4)),"NM",(BL166/(BL14*4)))</f>
        <v>0.23529411764705882</v>
      </c>
      <c r="BM243" s="545">
        <f>IF(ISERROR(BM166/(BM14*4)),"NM",(BM166/(BM14*4)))</f>
        <v>0.2537759597230963</v>
      </c>
      <c r="BN243" s="546">
        <f>BN166/BN14</f>
        <v>0.26599604221635886</v>
      </c>
      <c r="BO243" s="545">
        <f>IF(ISERROR(BO166/(BO14*4)),"NM",(BO166/(BO14*4)))</f>
        <v>0.26786853860880666</v>
      </c>
      <c r="BP243" s="547">
        <f t="shared" si="511"/>
        <v>0.24884029158383036</v>
      </c>
      <c r="BQ243" s="547">
        <f t="shared" si="511"/>
        <v>0.23529411764705882</v>
      </c>
      <c r="BR243" s="547">
        <f t="shared" si="511"/>
        <v>0.2537759597230963</v>
      </c>
      <c r="BS243" s="546">
        <f>BS166/BS14</f>
        <v>0.26090710533627309</v>
      </c>
      <c r="BT243" s="547">
        <f t="shared" si="512"/>
        <v>0.26786853860880666</v>
      </c>
      <c r="BU243" s="547">
        <f t="shared" si="512"/>
        <v>0.24884029158383036</v>
      </c>
      <c r="BV243" s="547">
        <f t="shared" si="512"/>
        <v>0.23529411764705882</v>
      </c>
      <c r="BW243" s="547">
        <f t="shared" si="512"/>
        <v>0.2537759597230963</v>
      </c>
      <c r="BX243" s="546">
        <f>BX166/BX14</f>
        <v>0.26144437657569725</v>
      </c>
      <c r="BY243" s="548">
        <f t="shared" si="513"/>
        <v>0.26144437657569725</v>
      </c>
      <c r="BZ243" s="548">
        <f t="shared" si="513"/>
        <v>0.26144437657569725</v>
      </c>
      <c r="CA243" s="548">
        <f t="shared" si="513"/>
        <v>0.26144437657569725</v>
      </c>
      <c r="CD243" s="542"/>
      <c r="CE243" s="388"/>
      <c r="CF243" s="388"/>
      <c r="CG243" s="388"/>
      <c r="CH243" s="388"/>
      <c r="CI243" s="388"/>
      <c r="CJ243" s="388"/>
      <c r="CK243" s="388"/>
      <c r="CL243" s="388"/>
      <c r="CM243" s="388"/>
      <c r="CN243" s="388"/>
      <c r="CO243" s="388"/>
      <c r="CP243" s="388"/>
      <c r="CQ243" s="388"/>
      <c r="CR243" s="388"/>
      <c r="CS243" s="388"/>
      <c r="CT243" s="388"/>
      <c r="CU243" s="388"/>
      <c r="CV243" s="388"/>
      <c r="CW243" s="388"/>
      <c r="CX243" s="388"/>
      <c r="CY243" s="388"/>
      <c r="CZ243" s="388"/>
      <c r="DA243" s="58"/>
      <c r="DB243" s="286"/>
    </row>
    <row r="244" spans="1:112" ht="12" customHeight="1">
      <c r="A244" s="42"/>
      <c r="B244" s="54"/>
      <c r="C244" s="54"/>
      <c r="D244" s="54"/>
      <c r="E244" s="54"/>
      <c r="F244" s="54"/>
      <c r="G244" s="127"/>
      <c r="H244" s="377"/>
      <c r="I244" s="377"/>
      <c r="J244" s="377"/>
      <c r="K244" s="54"/>
      <c r="L244" s="377"/>
      <c r="M244" s="377"/>
      <c r="N244" s="377"/>
      <c r="O244" s="377"/>
      <c r="P244" s="54"/>
      <c r="Q244" s="377"/>
      <c r="R244" s="377"/>
      <c r="S244" s="377"/>
      <c r="T244" s="377"/>
      <c r="U244" s="54"/>
      <c r="V244" s="377"/>
      <c r="W244" s="377"/>
      <c r="X244" s="377"/>
      <c r="Y244" s="377"/>
      <c r="Z244" s="54"/>
      <c r="AA244" s="377"/>
      <c r="AB244" s="377"/>
      <c r="AC244" s="377"/>
      <c r="AD244" s="377"/>
      <c r="AE244" s="54"/>
      <c r="AF244" s="377"/>
      <c r="AG244" s="377"/>
      <c r="AH244" s="377"/>
      <c r="AI244" s="377"/>
      <c r="AJ244" s="378"/>
      <c r="AK244" s="42"/>
      <c r="AL244" s="42"/>
      <c r="AM244" s="42"/>
      <c r="AN244" s="42"/>
      <c r="AO244" s="379"/>
      <c r="AP244" s="58"/>
      <c r="AQ244" s="58"/>
      <c r="AR244" s="58"/>
      <c r="AS244" s="58"/>
      <c r="AT244" s="378"/>
      <c r="AU244" s="58"/>
      <c r="AV244" s="58"/>
      <c r="AW244" s="370"/>
      <c r="AX244" s="370"/>
      <c r="AY244" s="378"/>
      <c r="AZ244" s="370"/>
      <c r="BA244" s="370"/>
      <c r="BB244" s="370"/>
      <c r="BC244" s="370"/>
      <c r="BD244" s="378"/>
      <c r="BE244" s="370"/>
      <c r="BF244" s="370"/>
      <c r="BG244" s="370"/>
      <c r="BH244" s="370"/>
      <c r="BI244" s="378"/>
      <c r="BJ244" s="370"/>
      <c r="BK244" s="370"/>
      <c r="BL244" s="370"/>
      <c r="BM244" s="370"/>
      <c r="BN244" s="378"/>
      <c r="BO244" s="370"/>
      <c r="BP244" s="370"/>
      <c r="BQ244" s="370"/>
      <c r="BR244" s="370"/>
      <c r="BS244" s="378"/>
      <c r="BT244" s="370"/>
      <c r="BU244" s="370"/>
      <c r="BV244" s="370"/>
      <c r="BW244" s="370"/>
      <c r="BX244" s="378"/>
      <c r="BY244" s="444"/>
      <c r="BZ244" s="444"/>
      <c r="CA244" s="444"/>
      <c r="CD244" s="370"/>
      <c r="CE244" s="549"/>
      <c r="CF244" s="549"/>
      <c r="CG244" s="549"/>
      <c r="CH244" s="549"/>
      <c r="CI244" s="549"/>
      <c r="CJ244" s="549"/>
      <c r="CK244" s="549"/>
      <c r="CL244" s="549"/>
      <c r="CM244" s="549"/>
      <c r="CN244" s="549"/>
      <c r="CO244" s="549"/>
      <c r="CP244" s="549"/>
      <c r="CQ244" s="549"/>
      <c r="CR244" s="549"/>
      <c r="CS244" s="549"/>
      <c r="CT244" s="549"/>
      <c r="CU244" s="549"/>
      <c r="CV244" s="549"/>
      <c r="CW244" s="549"/>
      <c r="CX244" s="549"/>
      <c r="CY244" s="549"/>
      <c r="CZ244" s="549"/>
      <c r="DA244" s="58"/>
      <c r="DB244" s="550"/>
    </row>
    <row r="245" spans="1:112" ht="12" customHeight="1">
      <c r="A245" s="490" t="s">
        <v>208</v>
      </c>
      <c r="B245" s="118">
        <f>SUM(B246:B247)</f>
        <v>0.38899999999999996</v>
      </c>
      <c r="C245" s="118">
        <f>SUM(C246:C247)</f>
        <v>0.38899999999999996</v>
      </c>
      <c r="D245" s="118">
        <f>SUM(D246:D247)</f>
        <v>0.38899999999999996</v>
      </c>
      <c r="E245" s="118">
        <f>SUM(E246:E247)</f>
        <v>0.39399999999999996</v>
      </c>
      <c r="F245" s="118">
        <f>SUM(F246:F247)</f>
        <v>0.35699999999999998</v>
      </c>
      <c r="G245" s="117">
        <f>G246+G247</f>
        <v>0.39199999999999996</v>
      </c>
      <c r="H245" s="117">
        <f>H246+H247</f>
        <v>0.39199999999999996</v>
      </c>
      <c r="I245" s="117">
        <f>I246+I247</f>
        <v>0.39199999999999996</v>
      </c>
      <c r="J245" s="117">
        <f>J246+J247</f>
        <v>0.39199999999999996</v>
      </c>
      <c r="K245" s="118">
        <f>SUM(K246:K247)</f>
        <v>0.39199999999999996</v>
      </c>
      <c r="L245" s="117">
        <f>L246+L247</f>
        <v>0.39499999999999996</v>
      </c>
      <c r="M245" s="117">
        <f>M246+M247</f>
        <v>0.39499999999999996</v>
      </c>
      <c r="N245" s="117">
        <f>N246+N247</f>
        <v>0.39499999999999996</v>
      </c>
      <c r="O245" s="117">
        <f>O246+O247</f>
        <v>0.39499999999999996</v>
      </c>
      <c r="P245" s="118">
        <f>SUM(P246:P247)</f>
        <v>0.39499999999999996</v>
      </c>
      <c r="Q245" s="117">
        <f>Q246+Q247</f>
        <v>0.39199999999999996</v>
      </c>
      <c r="R245" s="117">
        <f>R246+R247</f>
        <v>0.39199999999999996</v>
      </c>
      <c r="S245" s="117">
        <f>S246+S247</f>
        <v>0.39199999999999996</v>
      </c>
      <c r="T245" s="117">
        <f>T246+T247</f>
        <v>0.39199999999999996</v>
      </c>
      <c r="U245" s="118">
        <f>SUM(U246:U247)</f>
        <v>0.39199999999999996</v>
      </c>
      <c r="V245" s="117">
        <f>V246+V247</f>
        <v>0.38899999999999996</v>
      </c>
      <c r="W245" s="117">
        <f>W246+W247</f>
        <v>0.38899999999999996</v>
      </c>
      <c r="X245" s="117">
        <f>X246+X247</f>
        <v>0.38899999999999996</v>
      </c>
      <c r="Y245" s="117">
        <f>Y246+Y247</f>
        <v>0.38899999999999996</v>
      </c>
      <c r="Z245" s="118">
        <f>Y245</f>
        <v>0.38899999999999996</v>
      </c>
      <c r="AA245" s="117">
        <f>AA246+AA247</f>
        <v>0.38899999999999996</v>
      </c>
      <c r="AB245" s="117">
        <f>AB246+AB247</f>
        <v>0.38899999999999996</v>
      </c>
      <c r="AC245" s="117">
        <f>AC246+AC247</f>
        <v>0.38899999999999996</v>
      </c>
      <c r="AD245" s="117">
        <f>AD246+AD247</f>
        <v>0.38899999999999996</v>
      </c>
      <c r="AE245" s="118">
        <f>AD245</f>
        <v>0.38899999999999996</v>
      </c>
      <c r="AF245" s="122">
        <f>AF246+AF247</f>
        <v>0.374</v>
      </c>
      <c r="AG245" s="122">
        <f>AG246+AG247</f>
        <v>0.374</v>
      </c>
      <c r="AH245" s="122">
        <f>AH246+AH247</f>
        <v>0.374</v>
      </c>
      <c r="AI245" s="122">
        <f>AI246+AI247</f>
        <v>0.374</v>
      </c>
      <c r="AJ245" s="118">
        <f>AI245</f>
        <v>0.374</v>
      </c>
      <c r="AK245" s="122">
        <f>AK246+AK247</f>
        <v>0.38599999999999995</v>
      </c>
      <c r="AL245" s="122">
        <f>AL246+AL247</f>
        <v>0.38599999999999995</v>
      </c>
      <c r="AM245" s="122">
        <f>AM246+AM247</f>
        <v>0.38599999999999995</v>
      </c>
      <c r="AN245" s="122">
        <f>AN246+AN247</f>
        <v>0.38599999999999995</v>
      </c>
      <c r="AO245" s="56">
        <f>-AO46/AO45</f>
        <v>0.30981595092024539</v>
      </c>
      <c r="AP245" s="122">
        <f>AP246+AP247</f>
        <v>0.38599999999999995</v>
      </c>
      <c r="AQ245" s="122">
        <f>AQ246+AQ247</f>
        <v>0.38599999999999995</v>
      </c>
      <c r="AR245" s="122">
        <f>AR246+AR247</f>
        <v>0.38599999999999995</v>
      </c>
      <c r="AS245" s="122">
        <f>AS246+AS247</f>
        <v>0.378</v>
      </c>
      <c r="AT245" s="118">
        <f>-AT46/AT45</f>
        <v>0.28590250329380762</v>
      </c>
      <c r="AU245" s="122">
        <f>AU246+AU247</f>
        <v>0.378</v>
      </c>
      <c r="AV245" s="122">
        <f>AV246+AV247</f>
        <v>0.378</v>
      </c>
      <c r="AW245" s="117">
        <f>AW246+AW247</f>
        <v>0.36299999999999999</v>
      </c>
      <c r="AX245" s="117">
        <f>AX246+AX247</f>
        <v>0.36299999999999999</v>
      </c>
      <c r="AY245" s="118">
        <f>-AY46/AY45</f>
        <v>0.13952164009111617</v>
      </c>
      <c r="AZ245" s="117">
        <f>AZ246+AZ247</f>
        <v>0.36299999999999999</v>
      </c>
      <c r="BA245" s="117">
        <f>BA246+BA247</f>
        <v>0.36299999999999999</v>
      </c>
      <c r="BB245" s="117">
        <f>BB246+BB247</f>
        <v>0.36299999999999999</v>
      </c>
      <c r="BC245" s="117">
        <f>BC246+BC247</f>
        <v>0.36299999999999999</v>
      </c>
      <c r="BD245" s="118">
        <f>-BD46/BD45</f>
        <v>0.28088159917990774</v>
      </c>
      <c r="BE245" s="117">
        <f>BE246+BE247</f>
        <v>0.36299999999999999</v>
      </c>
      <c r="BF245" s="117">
        <f>BF246+BF247</f>
        <v>0.36299999999999999</v>
      </c>
      <c r="BG245" s="117">
        <f>BG246+BG247</f>
        <v>0.36299999999999999</v>
      </c>
      <c r="BH245" s="117">
        <f>BH246+BH247</f>
        <v>0.36299999999999999</v>
      </c>
      <c r="BI245" s="118">
        <f>-BI46/BI45</f>
        <v>0.44158233670653174</v>
      </c>
      <c r="BJ245" s="117">
        <f>BJ246+BJ247</f>
        <v>0.36299999999999999</v>
      </c>
      <c r="BK245" s="117">
        <f>BK246+BK247</f>
        <v>0.36299999999999999</v>
      </c>
      <c r="BL245" s="117">
        <f>BL246+BL247</f>
        <v>0.36299999999999999</v>
      </c>
      <c r="BM245" s="117">
        <f>BM246+BM247</f>
        <v>0.36299999999999999</v>
      </c>
      <c r="BN245" s="118">
        <f>-BN46/BN45</f>
        <v>0.31544653123802224</v>
      </c>
      <c r="BO245" s="117">
        <f>BO246+BO247</f>
        <v>0.223</v>
      </c>
      <c r="BP245" s="117">
        <f>BP246+BP247</f>
        <v>0.223</v>
      </c>
      <c r="BQ245" s="117">
        <f>BQ246+BQ247</f>
        <v>0.223</v>
      </c>
      <c r="BR245" s="117">
        <f>BR246+BR247</f>
        <v>0.223</v>
      </c>
      <c r="BS245" s="118">
        <f>-BS46/BS45</f>
        <v>0.21520903929365356</v>
      </c>
      <c r="BT245" s="117">
        <f>BT246+BT247</f>
        <v>0.223</v>
      </c>
      <c r="BU245" s="117">
        <f>BU246+BU247</f>
        <v>0.223</v>
      </c>
      <c r="BV245" s="117">
        <f>BV246+BV247</f>
        <v>0.223</v>
      </c>
      <c r="BW245" s="117">
        <f>BW246+BW247</f>
        <v>0.223</v>
      </c>
      <c r="BX245" s="118">
        <f>-BX46/BX45</f>
        <v>0.215</v>
      </c>
      <c r="BY245" s="149">
        <f>BY246+BY247</f>
        <v>0.223</v>
      </c>
      <c r="BZ245" s="149">
        <f>BZ246+BZ247</f>
        <v>0.223</v>
      </c>
      <c r="CA245" s="149">
        <f>CA246+CA247</f>
        <v>0.223</v>
      </c>
      <c r="CD245" s="117"/>
      <c r="CE245" s="127"/>
      <c r="CF245" s="127"/>
      <c r="CG245" s="127"/>
      <c r="CH245" s="127"/>
      <c r="CI245" s="127"/>
      <c r="CJ245" s="127"/>
      <c r="CK245" s="127"/>
      <c r="CL245" s="127"/>
      <c r="CM245" s="127"/>
      <c r="CN245" s="127"/>
      <c r="CO245" s="127"/>
      <c r="CP245" s="127"/>
      <c r="CQ245" s="127"/>
      <c r="CR245" s="127"/>
      <c r="CS245" s="127"/>
      <c r="CT245" s="127"/>
      <c r="CU245" s="127"/>
      <c r="CV245" s="127"/>
      <c r="CW245" s="127"/>
      <c r="CX245" s="127"/>
      <c r="CY245" s="127"/>
      <c r="CZ245" s="127"/>
      <c r="DA245" s="58"/>
      <c r="DB245" s="438"/>
    </row>
    <row r="246" spans="1:112" ht="12" hidden="1" customHeight="1" outlineLevel="1">
      <c r="A246" s="551" t="s">
        <v>209</v>
      </c>
      <c r="B246" s="118">
        <v>0.35</v>
      </c>
      <c r="C246" s="118">
        <v>0.35</v>
      </c>
      <c r="D246" s="118">
        <v>0.35</v>
      </c>
      <c r="E246" s="118">
        <v>0.35</v>
      </c>
      <c r="F246" s="118">
        <v>0.35</v>
      </c>
      <c r="G246" s="122">
        <f>K246</f>
        <v>0.35</v>
      </c>
      <c r="H246" s="122">
        <f>K246</f>
        <v>0.35</v>
      </c>
      <c r="I246" s="122">
        <f>K246</f>
        <v>0.35</v>
      </c>
      <c r="J246" s="122">
        <f>K246</f>
        <v>0.35</v>
      </c>
      <c r="K246" s="118">
        <v>0.35</v>
      </c>
      <c r="L246" s="122">
        <f>P246</f>
        <v>0.35</v>
      </c>
      <c r="M246" s="122">
        <f>P246</f>
        <v>0.35</v>
      </c>
      <c r="N246" s="122">
        <f>P246</f>
        <v>0.35</v>
      </c>
      <c r="O246" s="122">
        <f>P246</f>
        <v>0.35</v>
      </c>
      <c r="P246" s="118">
        <v>0.35</v>
      </c>
      <c r="Q246" s="122">
        <f>U246</f>
        <v>0.35</v>
      </c>
      <c r="R246" s="122">
        <f>U246</f>
        <v>0.35</v>
      </c>
      <c r="S246" s="122">
        <f>U246</f>
        <v>0.35</v>
      </c>
      <c r="T246" s="122">
        <f>U246</f>
        <v>0.35</v>
      </c>
      <c r="U246" s="118">
        <v>0.35</v>
      </c>
      <c r="V246" s="122">
        <f>Z246</f>
        <v>0.35</v>
      </c>
      <c r="W246" s="122">
        <f>Z246</f>
        <v>0.35</v>
      </c>
      <c r="X246" s="122">
        <f>Z246</f>
        <v>0.35</v>
      </c>
      <c r="Y246" s="122">
        <f>Z246</f>
        <v>0.35</v>
      </c>
      <c r="Z246" s="118">
        <v>0.35</v>
      </c>
      <c r="AA246" s="122">
        <f>AE246</f>
        <v>0.35</v>
      </c>
      <c r="AB246" s="122">
        <f>AE246</f>
        <v>0.35</v>
      </c>
      <c r="AC246" s="122">
        <f>AE246</f>
        <v>0.35</v>
      </c>
      <c r="AD246" s="122">
        <f>AE246</f>
        <v>0.35</v>
      </c>
      <c r="AE246" s="118">
        <v>0.35</v>
      </c>
      <c r="AF246" s="122">
        <f>AJ246</f>
        <v>0.35</v>
      </c>
      <c r="AG246" s="122">
        <f>AJ246</f>
        <v>0.35</v>
      </c>
      <c r="AH246" s="122">
        <f>AJ246</f>
        <v>0.35</v>
      </c>
      <c r="AI246" s="122">
        <f>AJ246</f>
        <v>0.35</v>
      </c>
      <c r="AJ246" s="118">
        <v>0.35</v>
      </c>
      <c r="AK246" s="122">
        <f>AO246</f>
        <v>0.35</v>
      </c>
      <c r="AL246" s="122">
        <f>AO246</f>
        <v>0.35</v>
      </c>
      <c r="AM246" s="122">
        <f>AO246</f>
        <v>0.35</v>
      </c>
      <c r="AN246" s="122">
        <f>AO246</f>
        <v>0.35</v>
      </c>
      <c r="AO246" s="56">
        <v>0.35</v>
      </c>
      <c r="AP246" s="122">
        <f t="shared" ref="AP246:AR247" si="514">AO246</f>
        <v>0.35</v>
      </c>
      <c r="AQ246" s="122">
        <f t="shared" si="514"/>
        <v>0.35</v>
      </c>
      <c r="AR246" s="122">
        <f t="shared" si="514"/>
        <v>0.35</v>
      </c>
      <c r="AS246" s="122">
        <f>AT246</f>
        <v>0.35</v>
      </c>
      <c r="AT246" s="56">
        <v>0.35</v>
      </c>
      <c r="AU246" s="122">
        <f>AT246</f>
        <v>0.35</v>
      </c>
      <c r="AV246" s="122">
        <f>AU246</f>
        <v>0.35</v>
      </c>
      <c r="AW246" s="117">
        <v>0.35</v>
      </c>
      <c r="AX246" s="117">
        <v>0.35</v>
      </c>
      <c r="AY246" s="118">
        <f>AX246</f>
        <v>0.35</v>
      </c>
      <c r="AZ246" s="117">
        <v>0.35</v>
      </c>
      <c r="BA246" s="117">
        <v>0.35</v>
      </c>
      <c r="BB246" s="117">
        <v>0.35</v>
      </c>
      <c r="BC246" s="117">
        <v>0.35</v>
      </c>
      <c r="BD246" s="118">
        <f>BC246</f>
        <v>0.35</v>
      </c>
      <c r="BE246" s="117">
        <v>0.35</v>
      </c>
      <c r="BF246" s="117">
        <v>0.35</v>
      </c>
      <c r="BG246" s="117">
        <v>0.35</v>
      </c>
      <c r="BH246" s="117">
        <v>0.35</v>
      </c>
      <c r="BI246" s="118">
        <f>BH246</f>
        <v>0.35</v>
      </c>
      <c r="BJ246" s="117">
        <v>0.35</v>
      </c>
      <c r="BK246" s="117">
        <v>0.35</v>
      </c>
      <c r="BL246" s="117">
        <v>0.35</v>
      </c>
      <c r="BM246" s="117">
        <v>0.35</v>
      </c>
      <c r="BN246" s="118">
        <f>BM246</f>
        <v>0.35</v>
      </c>
      <c r="BO246" s="117">
        <v>0.21</v>
      </c>
      <c r="BP246" s="1966">
        <v>0.21</v>
      </c>
      <c r="BQ246" s="1966">
        <v>0.21</v>
      </c>
      <c r="BR246" s="1966">
        <v>0.21</v>
      </c>
      <c r="BS246" s="118">
        <f>BR246</f>
        <v>0.21</v>
      </c>
      <c r="BT246" s="1966">
        <v>0.21</v>
      </c>
      <c r="BU246" s="1966">
        <v>0.21</v>
      </c>
      <c r="BV246" s="1966">
        <v>0.21</v>
      </c>
      <c r="BW246" s="1966">
        <v>0.21</v>
      </c>
      <c r="BX246" s="118">
        <f>BW246</f>
        <v>0.21</v>
      </c>
      <c r="BY246" s="1968">
        <v>0.21</v>
      </c>
      <c r="BZ246" s="1968">
        <v>0.21</v>
      </c>
      <c r="CA246" s="1968">
        <v>0.21</v>
      </c>
      <c r="CD246" s="117"/>
      <c r="CE246" s="552"/>
      <c r="CF246" s="552"/>
      <c r="CG246" s="552"/>
      <c r="CH246" s="552"/>
      <c r="CI246" s="552"/>
      <c r="CJ246" s="552"/>
      <c r="CK246" s="552"/>
      <c r="CL246" s="552"/>
      <c r="CM246" s="552"/>
      <c r="CN246" s="552"/>
      <c r="CO246" s="552"/>
      <c r="CP246" s="552"/>
      <c r="CQ246" s="552"/>
      <c r="CR246" s="552"/>
      <c r="CS246" s="552"/>
      <c r="CT246" s="552"/>
      <c r="CU246" s="552"/>
      <c r="CV246" s="552"/>
      <c r="CW246" s="552"/>
      <c r="CX246" s="552"/>
      <c r="CY246" s="552"/>
      <c r="CZ246" s="552"/>
      <c r="DA246" s="58"/>
      <c r="DB246" s="553"/>
    </row>
    <row r="247" spans="1:112" ht="12" hidden="1" customHeight="1" outlineLevel="1">
      <c r="A247" s="551" t="s">
        <v>210</v>
      </c>
      <c r="B247" s="118">
        <v>3.9E-2</v>
      </c>
      <c r="C247" s="118">
        <v>3.9E-2</v>
      </c>
      <c r="D247" s="118">
        <v>3.9E-2</v>
      </c>
      <c r="E247" s="118">
        <v>4.3999999999999997E-2</v>
      </c>
      <c r="F247" s="118">
        <v>7.0000000000000001E-3</v>
      </c>
      <c r="G247" s="122">
        <f>K247</f>
        <v>4.2000000000000003E-2</v>
      </c>
      <c r="H247" s="122">
        <f>K247</f>
        <v>4.2000000000000003E-2</v>
      </c>
      <c r="I247" s="122">
        <f>K247</f>
        <v>4.2000000000000003E-2</v>
      </c>
      <c r="J247" s="122">
        <f>K247</f>
        <v>4.2000000000000003E-2</v>
      </c>
      <c r="K247" s="118">
        <v>4.2000000000000003E-2</v>
      </c>
      <c r="L247" s="122">
        <f>P247</f>
        <v>4.4999999999999998E-2</v>
      </c>
      <c r="M247" s="122">
        <f>P247</f>
        <v>4.4999999999999998E-2</v>
      </c>
      <c r="N247" s="122">
        <f>P247</f>
        <v>4.4999999999999998E-2</v>
      </c>
      <c r="O247" s="122">
        <f>P247</f>
        <v>4.4999999999999998E-2</v>
      </c>
      <c r="P247" s="118">
        <v>4.4999999999999998E-2</v>
      </c>
      <c r="Q247" s="122">
        <f>U247</f>
        <v>4.2000000000000003E-2</v>
      </c>
      <c r="R247" s="122">
        <f>U247</f>
        <v>4.2000000000000003E-2</v>
      </c>
      <c r="S247" s="122">
        <f>U247</f>
        <v>4.2000000000000003E-2</v>
      </c>
      <c r="T247" s="122">
        <f>U247</f>
        <v>4.2000000000000003E-2</v>
      </c>
      <c r="U247" s="118">
        <v>4.2000000000000003E-2</v>
      </c>
      <c r="V247" s="122">
        <f>Z247</f>
        <v>3.9E-2</v>
      </c>
      <c r="W247" s="122">
        <f>Z247</f>
        <v>3.9E-2</v>
      </c>
      <c r="X247" s="122">
        <f>Z247</f>
        <v>3.9E-2</v>
      </c>
      <c r="Y247" s="122">
        <f>Z247</f>
        <v>3.9E-2</v>
      </c>
      <c r="Z247" s="118">
        <v>3.9E-2</v>
      </c>
      <c r="AA247" s="122">
        <f>AE247</f>
        <v>3.9E-2</v>
      </c>
      <c r="AB247" s="122">
        <f>AE247</f>
        <v>3.9E-2</v>
      </c>
      <c r="AC247" s="122">
        <f>AE247</f>
        <v>3.9E-2</v>
      </c>
      <c r="AD247" s="122">
        <f>AE247</f>
        <v>3.9E-2</v>
      </c>
      <c r="AE247" s="118">
        <v>3.9E-2</v>
      </c>
      <c r="AF247" s="122">
        <f>AJ247</f>
        <v>2.4E-2</v>
      </c>
      <c r="AG247" s="122">
        <f>AJ247</f>
        <v>2.4E-2</v>
      </c>
      <c r="AH247" s="122">
        <f>AJ247</f>
        <v>2.4E-2</v>
      </c>
      <c r="AI247" s="122">
        <f>AJ247</f>
        <v>2.4E-2</v>
      </c>
      <c r="AJ247" s="118">
        <v>2.4E-2</v>
      </c>
      <c r="AK247" s="490">
        <f>AO247</f>
        <v>3.5999999999999997E-2</v>
      </c>
      <c r="AL247" s="122">
        <f>AO247</f>
        <v>3.5999999999999997E-2</v>
      </c>
      <c r="AM247" s="122">
        <f>AO247</f>
        <v>3.5999999999999997E-2</v>
      </c>
      <c r="AN247" s="122">
        <f>AO247</f>
        <v>3.5999999999999997E-2</v>
      </c>
      <c r="AO247" s="56">
        <v>3.5999999999999997E-2</v>
      </c>
      <c r="AP247" s="490">
        <f t="shared" si="514"/>
        <v>3.5999999999999997E-2</v>
      </c>
      <c r="AQ247" s="122">
        <f t="shared" si="514"/>
        <v>3.5999999999999997E-2</v>
      </c>
      <c r="AR247" s="122">
        <f t="shared" si="514"/>
        <v>3.5999999999999997E-2</v>
      </c>
      <c r="AS247" s="122">
        <f>AT247</f>
        <v>2.8000000000000001E-2</v>
      </c>
      <c r="AT247" s="56">
        <v>2.8000000000000001E-2</v>
      </c>
      <c r="AU247" s="490">
        <f>AT247</f>
        <v>2.8000000000000001E-2</v>
      </c>
      <c r="AV247" s="122">
        <f>AU247</f>
        <v>2.8000000000000001E-2</v>
      </c>
      <c r="AW247" s="336">
        <f>0.021-0.008</f>
        <v>1.3000000000000001E-2</v>
      </c>
      <c r="AX247" s="336">
        <f>0.021-0.008</f>
        <v>1.3000000000000001E-2</v>
      </c>
      <c r="AY247" s="118">
        <f>AX247</f>
        <v>1.3000000000000001E-2</v>
      </c>
      <c r="AZ247" s="336">
        <f t="shared" ref="AZ247:CA247" si="515">0.021-0.008</f>
        <v>1.3000000000000001E-2</v>
      </c>
      <c r="BA247" s="336">
        <f t="shared" si="515"/>
        <v>1.3000000000000001E-2</v>
      </c>
      <c r="BB247" s="336">
        <f t="shared" si="515"/>
        <v>1.3000000000000001E-2</v>
      </c>
      <c r="BC247" s="336">
        <f t="shared" si="515"/>
        <v>1.3000000000000001E-2</v>
      </c>
      <c r="BD247" s="118">
        <f>BC247</f>
        <v>1.3000000000000001E-2</v>
      </c>
      <c r="BE247" s="336">
        <f t="shared" si="515"/>
        <v>1.3000000000000001E-2</v>
      </c>
      <c r="BF247" s="336">
        <f t="shared" si="515"/>
        <v>1.3000000000000001E-2</v>
      </c>
      <c r="BG247" s="336">
        <f t="shared" si="515"/>
        <v>1.3000000000000001E-2</v>
      </c>
      <c r="BH247" s="336">
        <f t="shared" si="515"/>
        <v>1.3000000000000001E-2</v>
      </c>
      <c r="BI247" s="118">
        <f>BH247</f>
        <v>1.3000000000000001E-2</v>
      </c>
      <c r="BJ247" s="336">
        <f t="shared" si="515"/>
        <v>1.3000000000000001E-2</v>
      </c>
      <c r="BK247" s="336">
        <f t="shared" si="515"/>
        <v>1.3000000000000001E-2</v>
      </c>
      <c r="BL247" s="336">
        <f t="shared" si="515"/>
        <v>1.3000000000000001E-2</v>
      </c>
      <c r="BM247" s="336">
        <f t="shared" si="515"/>
        <v>1.3000000000000001E-2</v>
      </c>
      <c r="BN247" s="118">
        <f>BM247</f>
        <v>1.3000000000000001E-2</v>
      </c>
      <c r="BO247" s="336">
        <f t="shared" si="515"/>
        <v>1.3000000000000001E-2</v>
      </c>
      <c r="BP247" s="1967">
        <f t="shared" si="515"/>
        <v>1.3000000000000001E-2</v>
      </c>
      <c r="BQ247" s="1967">
        <f t="shared" si="515"/>
        <v>1.3000000000000001E-2</v>
      </c>
      <c r="BR247" s="1967">
        <f t="shared" si="515"/>
        <v>1.3000000000000001E-2</v>
      </c>
      <c r="BS247" s="118">
        <f>BR247</f>
        <v>1.3000000000000001E-2</v>
      </c>
      <c r="BT247" s="1967">
        <f t="shared" si="515"/>
        <v>1.3000000000000001E-2</v>
      </c>
      <c r="BU247" s="1967">
        <f t="shared" si="515"/>
        <v>1.3000000000000001E-2</v>
      </c>
      <c r="BV247" s="1967">
        <f t="shared" si="515"/>
        <v>1.3000000000000001E-2</v>
      </c>
      <c r="BW247" s="1967">
        <f t="shared" si="515"/>
        <v>1.3000000000000001E-2</v>
      </c>
      <c r="BX247" s="118">
        <f>BW247</f>
        <v>1.3000000000000001E-2</v>
      </c>
      <c r="BY247" s="1969">
        <f t="shared" si="515"/>
        <v>1.3000000000000001E-2</v>
      </c>
      <c r="BZ247" s="1969">
        <f t="shared" si="515"/>
        <v>1.3000000000000001E-2</v>
      </c>
      <c r="CA247" s="1969">
        <f t="shared" si="515"/>
        <v>1.3000000000000001E-2</v>
      </c>
      <c r="CD247" s="117"/>
      <c r="CE247" s="127"/>
      <c r="CF247" s="127"/>
      <c r="CG247" s="127"/>
      <c r="CH247" s="127"/>
      <c r="CI247" s="127"/>
      <c r="CJ247" s="127"/>
      <c r="CK247" s="127"/>
      <c r="CL247" s="127"/>
      <c r="CM247" s="127"/>
      <c r="CN247" s="127"/>
      <c r="CO247" s="127"/>
      <c r="CP247" s="127"/>
      <c r="CQ247" s="127"/>
      <c r="CR247" s="127"/>
      <c r="CS247" s="127"/>
      <c r="CT247" s="127"/>
      <c r="CU247" s="127"/>
      <c r="CV247" s="127"/>
      <c r="CW247" s="127"/>
      <c r="CX247" s="127"/>
      <c r="CY247" s="127"/>
      <c r="CZ247" s="127"/>
      <c r="DA247" s="58"/>
      <c r="DB247" s="438"/>
    </row>
    <row r="248" spans="1:112" ht="12" customHeight="1" collapsed="1">
      <c r="A248" s="490"/>
      <c r="B248" s="118"/>
      <c r="C248" s="118"/>
      <c r="D248" s="118"/>
      <c r="E248" s="118"/>
      <c r="F248" s="118"/>
      <c r="G248" s="117"/>
      <c r="H248" s="122"/>
      <c r="I248" s="122"/>
      <c r="J248" s="122"/>
      <c r="K248" s="118"/>
      <c r="L248" s="122"/>
      <c r="M248" s="122"/>
      <c r="N248" s="122"/>
      <c r="O248" s="122"/>
      <c r="P248" s="118"/>
      <c r="Q248" s="122"/>
      <c r="R248" s="122"/>
      <c r="S248" s="122"/>
      <c r="T248" s="122"/>
      <c r="U248" s="118"/>
      <c r="V248" s="122"/>
      <c r="W248" s="122"/>
      <c r="X248" s="122"/>
      <c r="Y248" s="122"/>
      <c r="Z248" s="118"/>
      <c r="AA248" s="122"/>
      <c r="AB248" s="122"/>
      <c r="AC248" s="122"/>
      <c r="AD248" s="122"/>
      <c r="AE248" s="118"/>
      <c r="AF248" s="122"/>
      <c r="AG248" s="122"/>
      <c r="AH248" s="122"/>
      <c r="AI248" s="122"/>
      <c r="AJ248" s="118"/>
      <c r="AK248" s="490"/>
      <c r="AL248" s="490"/>
      <c r="AM248" s="490"/>
      <c r="AN248" s="490"/>
      <c r="AO248" s="56"/>
      <c r="AP248" s="122"/>
      <c r="AQ248" s="122"/>
      <c r="AR248" s="122"/>
      <c r="AS248" s="122"/>
      <c r="AT248" s="118"/>
      <c r="AU248" s="122"/>
      <c r="AV248" s="122"/>
      <c r="AW248" s="117"/>
      <c r="AX248" s="117"/>
      <c r="AY248" s="118"/>
      <c r="AZ248" s="117"/>
      <c r="BA248" s="117"/>
      <c r="BB248" s="117"/>
      <c r="BC248" s="117"/>
      <c r="BD248" s="118"/>
      <c r="BE248" s="117"/>
      <c r="BF248" s="117"/>
      <c r="BG248" s="117"/>
      <c r="BH248" s="117"/>
      <c r="BI248" s="118"/>
      <c r="BJ248" s="117"/>
      <c r="BK248" s="117"/>
      <c r="BL248" s="117"/>
      <c r="BM248" s="117"/>
      <c r="BN248" s="118"/>
      <c r="BO248" s="117"/>
      <c r="BP248" s="1966"/>
      <c r="BQ248" s="1966"/>
      <c r="BR248" s="1966"/>
      <c r="BS248" s="118"/>
      <c r="BT248" s="1966"/>
      <c r="BU248" s="1966"/>
      <c r="BV248" s="1966"/>
      <c r="BW248" s="1966"/>
      <c r="BX248" s="118"/>
      <c r="BY248" s="1969"/>
      <c r="BZ248" s="1969"/>
      <c r="CA248" s="1969"/>
      <c r="CD248" s="117"/>
      <c r="CE248" s="530"/>
      <c r="CF248" s="530"/>
      <c r="CG248" s="530"/>
      <c r="CH248" s="530"/>
      <c r="CI248" s="530"/>
      <c r="CJ248" s="530"/>
      <c r="CK248" s="530"/>
      <c r="CL248" s="530"/>
      <c r="CM248" s="530"/>
      <c r="CN248" s="530"/>
      <c r="CO248" s="530"/>
      <c r="CP248" s="530"/>
      <c r="CQ248" s="530"/>
      <c r="CR248" s="530"/>
      <c r="CS248" s="530"/>
      <c r="CT248" s="530"/>
      <c r="CU248" s="530"/>
      <c r="CV248" s="530"/>
      <c r="CW248" s="530"/>
      <c r="CX248" s="530"/>
      <c r="CY248" s="530"/>
      <c r="CZ248" s="530"/>
      <c r="DA248" s="58"/>
      <c r="DB248" s="531"/>
    </row>
    <row r="249" spans="1:112" ht="12" customHeight="1">
      <c r="A249" s="490" t="s">
        <v>211</v>
      </c>
      <c r="B249" s="118">
        <f t="shared" ref="B249:AI249" si="516">-B46/B45</f>
        <v>0.38699927486513486</v>
      </c>
      <c r="C249" s="118">
        <f t="shared" si="516"/>
        <v>0.35687113099644147</v>
      </c>
      <c r="D249" s="118">
        <f t="shared" si="516"/>
        <v>0.44291910624568931</v>
      </c>
      <c r="E249" s="118">
        <f t="shared" si="516"/>
        <v>0.35289009799769855</v>
      </c>
      <c r="F249" s="118">
        <f t="shared" si="516"/>
        <v>0.37314299029036302</v>
      </c>
      <c r="G249" s="117">
        <f t="shared" si="516"/>
        <v>0.3096356606072555</v>
      </c>
      <c r="H249" s="122">
        <f t="shared" si="516"/>
        <v>0.37199870398581203</v>
      </c>
      <c r="I249" s="122">
        <f t="shared" si="516"/>
        <v>0.36281993353778313</v>
      </c>
      <c r="J249" s="122">
        <f t="shared" si="516"/>
        <v>0.38099680254288898</v>
      </c>
      <c r="K249" s="118">
        <f t="shared" si="516"/>
        <v>0.36384016687054371</v>
      </c>
      <c r="L249" s="122">
        <f t="shared" si="516"/>
        <v>0.40781665356246949</v>
      </c>
      <c r="M249" s="122">
        <f t="shared" si="516"/>
        <v>0.37500169175730702</v>
      </c>
      <c r="N249" s="122">
        <f t="shared" si="516"/>
        <v>0.37500017283598974</v>
      </c>
      <c r="O249" s="122">
        <f t="shared" si="516"/>
        <v>0.29501232495935398</v>
      </c>
      <c r="P249" s="118">
        <f t="shared" si="516"/>
        <v>0.36547911695370133</v>
      </c>
      <c r="Q249" s="122">
        <f t="shared" si="516"/>
        <v>0.3652855963371619</v>
      </c>
      <c r="R249" s="122">
        <f t="shared" si="516"/>
        <v>0.34610775839816105</v>
      </c>
      <c r="S249" s="122">
        <f t="shared" si="516"/>
        <v>0.35777776419272683</v>
      </c>
      <c r="T249" s="122">
        <f t="shared" si="516"/>
        <v>0.32068016358598134</v>
      </c>
      <c r="U249" s="118">
        <f t="shared" si="516"/>
        <v>0.34951473995599158</v>
      </c>
      <c r="V249" s="122">
        <f t="shared" si="516"/>
        <v>0.36400000000000038</v>
      </c>
      <c r="W249" s="122">
        <f t="shared" si="516"/>
        <v>0.32791405599464918</v>
      </c>
      <c r="X249" s="122">
        <f t="shared" si="516"/>
        <v>0.36399956888381779</v>
      </c>
      <c r="Y249" s="122">
        <f t="shared" si="516"/>
        <v>0.37870519279578707</v>
      </c>
      <c r="Z249" s="118">
        <f t="shared" si="516"/>
        <v>0.35839100389370215</v>
      </c>
      <c r="AA249" s="122">
        <f t="shared" si="516"/>
        <v>0.3638525564803804</v>
      </c>
      <c r="AB249" s="122">
        <f t="shared" si="516"/>
        <v>0.36411263916175529</v>
      </c>
      <c r="AC249" s="122">
        <f t="shared" si="516"/>
        <v>0.36974649766510997</v>
      </c>
      <c r="AD249" s="122">
        <f t="shared" si="516"/>
        <v>0.33212846267033441</v>
      </c>
      <c r="AE249" s="118">
        <f t="shared" si="516"/>
        <v>0.35993069325935123</v>
      </c>
      <c r="AF249" s="122">
        <f t="shared" si="516"/>
        <v>0.36548223350253806</v>
      </c>
      <c r="AG249" s="122">
        <f t="shared" si="516"/>
        <v>0.36094674556213019</v>
      </c>
      <c r="AH249" s="122">
        <f t="shared" si="516"/>
        <v>0.36294157608695654</v>
      </c>
      <c r="AI249" s="122">
        <f t="shared" si="516"/>
        <v>0.30493273542600896</v>
      </c>
      <c r="AJ249" s="118">
        <f>AJ245</f>
        <v>0.374</v>
      </c>
      <c r="AK249" s="490">
        <f>-AK46/AK45</f>
        <v>0.33793103448275863</v>
      </c>
      <c r="AL249" s="490">
        <f>-AL46/AL45</f>
        <v>0.32822085889570551</v>
      </c>
      <c r="AM249" s="490">
        <f>-AM46/AM45</f>
        <v>0.24477611940298508</v>
      </c>
      <c r="AN249" s="490">
        <f>-AN46/AN45</f>
        <v>0.33144475920679889</v>
      </c>
      <c r="AO249" s="56">
        <f>AO245</f>
        <v>0.30981595092024539</v>
      </c>
      <c r="AP249" s="490">
        <f>-AP46/AP45</f>
        <v>0.23177083333333334</v>
      </c>
      <c r="AQ249" s="490">
        <f>-AQ46/AQ45</f>
        <v>0.34186046511627904</v>
      </c>
      <c r="AR249" s="490">
        <f>-AR46/AR45</f>
        <v>0.33243243243243242</v>
      </c>
      <c r="AS249" s="114">
        <f>-AS46/AS45</f>
        <v>0.22455089820359281</v>
      </c>
      <c r="AT249" s="118">
        <f>AT245</f>
        <v>0.28590250329380762</v>
      </c>
      <c r="AU249" s="490">
        <f>-AU46/AU45</f>
        <v>0.33948339483394835</v>
      </c>
      <c r="AV249" s="490">
        <f>-AV46/AV45</f>
        <v>0.32790445168295329</v>
      </c>
      <c r="AW249" s="490">
        <f>-AW46/AW45</f>
        <v>0.29956896551724138</v>
      </c>
      <c r="AX249" s="122">
        <f>-AX46/AX45</f>
        <v>-0.43058823529411766</v>
      </c>
      <c r="AY249" s="118">
        <f>AY245</f>
        <v>0.13952164009111617</v>
      </c>
      <c r="AZ249" s="490">
        <f>-AZ46/AZ45</f>
        <v>0.325678496868476</v>
      </c>
      <c r="BA249" s="490">
        <f>-BA46/BA45</f>
        <v>0.34514925373134331</v>
      </c>
      <c r="BB249" s="490">
        <f>-BB46/BB45</f>
        <v>0.19879518072289157</v>
      </c>
      <c r="BC249" s="490">
        <f>-BC46/BC45</f>
        <v>0.24657534246575341</v>
      </c>
      <c r="BD249" s="118">
        <f>BD245</f>
        <v>0.28088159917990774</v>
      </c>
      <c r="BE249" s="490">
        <f t="shared" ref="BE249:BO249" si="517">-BE46/BE45</f>
        <v>0.3059548254620123</v>
      </c>
      <c r="BF249" s="490">
        <f t="shared" si="517"/>
        <v>0.33560477001703576</v>
      </c>
      <c r="BG249" s="490">
        <f t="shared" si="517"/>
        <v>0.67130434782608694</v>
      </c>
      <c r="BH249" s="490">
        <f t="shared" si="517"/>
        <v>0.43428571428571427</v>
      </c>
      <c r="BI249" s="118">
        <f t="shared" si="517"/>
        <v>0.44158233670653174</v>
      </c>
      <c r="BJ249" s="490">
        <f t="shared" si="517"/>
        <v>0.28821656050955413</v>
      </c>
      <c r="BK249" s="490">
        <f t="shared" si="517"/>
        <v>0.28024502297090353</v>
      </c>
      <c r="BL249" s="490">
        <f t="shared" si="517"/>
        <v>0.26406249999999998</v>
      </c>
      <c r="BM249" s="490">
        <f t="shared" si="517"/>
        <v>0.42151162790697677</v>
      </c>
      <c r="BN249" s="118">
        <f t="shared" si="517"/>
        <v>0.31544653123802224</v>
      </c>
      <c r="BO249" s="490">
        <f t="shared" si="517"/>
        <v>0.21585903083700442</v>
      </c>
      <c r="BP249" s="2206">
        <v>0.215</v>
      </c>
      <c r="BQ249" s="2206">
        <v>0.215</v>
      </c>
      <c r="BR249" s="2206">
        <v>0.215</v>
      </c>
      <c r="BS249" s="118">
        <f>-BS46/BS45</f>
        <v>0.21520903929365356</v>
      </c>
      <c r="BT249" s="2206">
        <v>0.215</v>
      </c>
      <c r="BU249" s="2206">
        <v>0.215</v>
      </c>
      <c r="BV249" s="2206">
        <v>0.215</v>
      </c>
      <c r="BW249" s="2206">
        <v>0.215</v>
      </c>
      <c r="BX249" s="118">
        <f>-BX46/BX45</f>
        <v>0.215</v>
      </c>
      <c r="BY249" s="491">
        <f>BX249</f>
        <v>0.215</v>
      </c>
      <c r="BZ249" s="491">
        <f>BY249</f>
        <v>0.215</v>
      </c>
      <c r="CA249" s="491">
        <f>BZ249</f>
        <v>0.215</v>
      </c>
      <c r="CD249" s="117"/>
      <c r="CE249" s="530"/>
      <c r="CF249" s="530"/>
      <c r="CG249" s="530"/>
      <c r="CH249" s="530"/>
      <c r="CI249" s="530"/>
      <c r="CJ249" s="530"/>
      <c r="CK249" s="530"/>
      <c r="CL249" s="530"/>
      <c r="CM249" s="530"/>
      <c r="CN249" s="530"/>
      <c r="CO249" s="530"/>
      <c r="CP249" s="530"/>
      <c r="CQ249" s="530"/>
      <c r="CR249" s="530"/>
      <c r="CS249" s="530"/>
      <c r="CT249" s="530"/>
      <c r="CU249" s="530"/>
      <c r="CV249" s="530"/>
      <c r="CW249" s="530"/>
      <c r="CX249" s="530"/>
      <c r="CY249" s="530"/>
      <c r="CZ249" s="530"/>
      <c r="DA249" s="58"/>
      <c r="DB249" s="531"/>
    </row>
    <row r="250" spans="1:112" ht="12" customHeight="1" thickBot="1">
      <c r="A250" s="555"/>
      <c r="B250" s="544"/>
      <c r="C250" s="544"/>
      <c r="D250" s="544"/>
      <c r="E250" s="544"/>
      <c r="F250" s="544"/>
      <c r="G250" s="545"/>
      <c r="H250" s="545"/>
      <c r="I250" s="545"/>
      <c r="J250" s="545"/>
      <c r="K250" s="544"/>
      <c r="L250" s="545"/>
      <c r="M250" s="545"/>
      <c r="N250" s="545"/>
      <c r="O250" s="545"/>
      <c r="P250" s="544"/>
      <c r="Q250" s="545"/>
      <c r="R250" s="545"/>
      <c r="S250" s="545"/>
      <c r="T250" s="545"/>
      <c r="U250" s="544"/>
      <c r="V250" s="545"/>
      <c r="W250" s="545"/>
      <c r="X250" s="545"/>
      <c r="Y250" s="545"/>
      <c r="Z250" s="544"/>
      <c r="AA250" s="545"/>
      <c r="AB250" s="545"/>
      <c r="AC250" s="545"/>
      <c r="AD250" s="545"/>
      <c r="AE250" s="544"/>
      <c r="AF250" s="545"/>
      <c r="AG250" s="545"/>
      <c r="AH250" s="545"/>
      <c r="AI250" s="545"/>
      <c r="AJ250" s="544"/>
      <c r="AK250" s="555"/>
      <c r="AL250" s="555"/>
      <c r="AM250" s="555"/>
      <c r="AN250" s="555"/>
      <c r="AO250" s="556"/>
      <c r="AP250" s="545"/>
      <c r="AQ250" s="545"/>
      <c r="AR250" s="545"/>
      <c r="AS250" s="545"/>
      <c r="AT250" s="544"/>
      <c r="AU250" s="545"/>
      <c r="AV250" s="545"/>
      <c r="AW250" s="545"/>
      <c r="AX250" s="545"/>
      <c r="AY250" s="544"/>
      <c r="AZ250" s="545"/>
      <c r="BA250" s="545"/>
      <c r="BB250" s="545"/>
      <c r="BC250" s="545"/>
      <c r="BD250" s="544"/>
      <c r="BE250" s="545"/>
      <c r="BF250" s="545"/>
      <c r="BG250" s="545"/>
      <c r="BH250" s="545"/>
      <c r="BI250" s="544"/>
      <c r="BJ250" s="545"/>
      <c r="BK250" s="545"/>
      <c r="BL250" s="545"/>
      <c r="BM250" s="545"/>
      <c r="BN250" s="544"/>
      <c r="BO250" s="545"/>
      <c r="BP250" s="545"/>
      <c r="BQ250" s="545"/>
      <c r="BR250" s="545"/>
      <c r="BS250" s="544"/>
      <c r="BT250" s="545"/>
      <c r="BU250" s="545"/>
      <c r="BV250" s="545"/>
      <c r="BW250" s="545"/>
      <c r="BX250" s="544"/>
      <c r="BY250" s="557"/>
      <c r="BZ250" s="557"/>
      <c r="CA250" s="557"/>
      <c r="CD250" s="117"/>
      <c r="CE250" s="549"/>
      <c r="CF250" s="549"/>
      <c r="CG250" s="549"/>
      <c r="CH250" s="549"/>
      <c r="CI250" s="549"/>
      <c r="CJ250" s="549"/>
      <c r="CK250" s="549"/>
      <c r="CL250" s="549"/>
      <c r="CM250" s="549"/>
      <c r="CN250" s="549"/>
      <c r="CO250" s="549"/>
      <c r="CP250" s="549"/>
      <c r="CQ250" s="549"/>
      <c r="CR250" s="549"/>
      <c r="CS250" s="549"/>
      <c r="CT250" s="549"/>
      <c r="CU250" s="549"/>
      <c r="CV250" s="549"/>
      <c r="CW250" s="549"/>
      <c r="CX250" s="549"/>
      <c r="CY250" s="549"/>
      <c r="CZ250" s="549"/>
      <c r="DA250" s="58"/>
      <c r="DB250" s="550"/>
    </row>
    <row r="251" spans="1:112" ht="12" customHeight="1">
      <c r="A251" s="42"/>
      <c r="B251" s="54"/>
      <c r="C251" s="54"/>
      <c r="D251" s="54"/>
      <c r="E251" s="54"/>
      <c r="F251" s="54"/>
      <c r="G251" s="127"/>
      <c r="H251" s="377"/>
      <c r="I251" s="377"/>
      <c r="J251" s="377"/>
      <c r="K251" s="54"/>
      <c r="L251" s="377"/>
      <c r="M251" s="377"/>
      <c r="N251" s="377"/>
      <c r="O251" s="377"/>
      <c r="P251" s="54"/>
      <c r="Q251" s="377"/>
      <c r="R251" s="377"/>
      <c r="S251" s="377"/>
      <c r="T251" s="377"/>
      <c r="U251" s="54"/>
      <c r="V251" s="377"/>
      <c r="W251" s="377"/>
      <c r="X251" s="377"/>
      <c r="Y251" s="377"/>
      <c r="Z251" s="54"/>
      <c r="AA251" s="377"/>
      <c r="AB251" s="377"/>
      <c r="AC251" s="377"/>
      <c r="AD251" s="377"/>
      <c r="AE251" s="54"/>
      <c r="AF251" s="377"/>
      <c r="AG251" s="377"/>
      <c r="AH251" s="377"/>
      <c r="AI251" s="58"/>
      <c r="AJ251" s="378"/>
      <c r="AK251" s="42"/>
      <c r="AL251" s="42"/>
      <c r="AM251" s="42"/>
      <c r="AN251" s="42"/>
      <c r="AO251" s="379"/>
      <c r="AP251" s="58"/>
      <c r="AQ251" s="58"/>
      <c r="AR251" s="58"/>
      <c r="AS251" s="58"/>
      <c r="AT251" s="378"/>
      <c r="AU251" s="58"/>
      <c r="AV251" s="58"/>
      <c r="AW251" s="370"/>
      <c r="AX251" s="370"/>
      <c r="AY251" s="378"/>
      <c r="AZ251" s="370"/>
      <c r="BA251" s="370"/>
      <c r="BB251" s="370"/>
      <c r="BC251" s="370"/>
      <c r="BD251" s="378"/>
      <c r="BE251" s="370"/>
      <c r="BF251" s="370"/>
      <c r="BG251" s="370"/>
      <c r="BH251" s="370"/>
      <c r="BI251" s="378"/>
      <c r="BJ251" s="370"/>
      <c r="BK251" s="370"/>
      <c r="BL251" s="370"/>
      <c r="BM251" s="370"/>
      <c r="BN251" s="378"/>
      <c r="BO251" s="370"/>
      <c r="BP251" s="370"/>
      <c r="BQ251" s="370"/>
      <c r="BR251" s="370"/>
      <c r="BS251" s="378"/>
      <c r="BT251" s="370"/>
      <c r="BU251" s="370"/>
      <c r="BV251" s="370"/>
      <c r="BW251" s="370"/>
      <c r="BX251" s="378"/>
      <c r="BY251" s="444"/>
      <c r="BZ251" s="444"/>
      <c r="CA251" s="444"/>
      <c r="CD251" s="370"/>
      <c r="CE251" s="117"/>
      <c r="CF251" s="117"/>
      <c r="CG251" s="117"/>
      <c r="CH251" s="117"/>
      <c r="CI251" s="117"/>
      <c r="CJ251" s="117"/>
      <c r="CK251" s="117"/>
      <c r="CL251" s="117"/>
      <c r="CM251" s="117"/>
      <c r="CN251" s="117"/>
      <c r="CO251" s="117"/>
      <c r="CP251" s="117"/>
      <c r="CQ251" s="117"/>
      <c r="CR251" s="117"/>
      <c r="CS251" s="117"/>
      <c r="CT251" s="117"/>
      <c r="CU251" s="117"/>
      <c r="CV251" s="117"/>
      <c r="CW251" s="117"/>
      <c r="CX251" s="117"/>
      <c r="CY251" s="117"/>
      <c r="CZ251" s="117"/>
      <c r="DA251" s="58"/>
      <c r="DB251" s="453"/>
    </row>
    <row r="252" spans="1:112" s="70" customFormat="1" ht="12" customHeight="1">
      <c r="A252" s="558" t="s">
        <v>130</v>
      </c>
      <c r="B252" s="2136">
        <f t="shared" ref="B252:J252" si="518">-B110</f>
        <v>145.73499999999999</v>
      </c>
      <c r="C252" s="2136">
        <f t="shared" si="518"/>
        <v>125.49600000000001</v>
      </c>
      <c r="D252" s="2136">
        <f t="shared" si="518"/>
        <v>143.12899999999999</v>
      </c>
      <c r="E252" s="2136">
        <f t="shared" si="518"/>
        <v>149.62599999999998</v>
      </c>
      <c r="F252" s="2136">
        <f t="shared" si="518"/>
        <v>136.68799999999999</v>
      </c>
      <c r="G252" s="2134">
        <f t="shared" si="518"/>
        <v>14.581</v>
      </c>
      <c r="H252" s="2137">
        <f t="shared" si="518"/>
        <v>28.311000000000003</v>
      </c>
      <c r="I252" s="2137">
        <f t="shared" si="518"/>
        <v>29.339999999999993</v>
      </c>
      <c r="J252" s="2137">
        <f t="shared" si="518"/>
        <v>77.338999999999999</v>
      </c>
      <c r="K252" s="67">
        <f>SUM(G252:J252)</f>
        <v>149.571</v>
      </c>
      <c r="L252" s="2137">
        <f>-L110</f>
        <v>25.033000000000001</v>
      </c>
      <c r="M252" s="2137">
        <f>-M110</f>
        <v>66.206999999999994</v>
      </c>
      <c r="N252" s="2137">
        <f>-N110</f>
        <v>65.696000000000012</v>
      </c>
      <c r="O252" s="2137">
        <f>-O110</f>
        <v>89.327000000000012</v>
      </c>
      <c r="P252" s="67">
        <f>SUM(L252:O252)</f>
        <v>246.26300000000003</v>
      </c>
      <c r="Q252" s="2137">
        <f>-Q110</f>
        <v>29.577999999999999</v>
      </c>
      <c r="R252" s="2137">
        <f>-R110</f>
        <v>29.318999999999999</v>
      </c>
      <c r="S252" s="2137">
        <f>-S110</f>
        <v>26.120999999999999</v>
      </c>
      <c r="T252" s="2137">
        <f>-T110</f>
        <v>46.312999999999988</v>
      </c>
      <c r="U252" s="67">
        <f>SUM(Q252:T252)</f>
        <v>131.33099999999999</v>
      </c>
      <c r="V252" s="2137">
        <f>-V110</f>
        <v>9.7360000000000007</v>
      </c>
      <c r="W252" s="2137">
        <f>-W110</f>
        <v>14.832999999999998</v>
      </c>
      <c r="X252" s="2137">
        <f>-X110</f>
        <v>22.835000000000004</v>
      </c>
      <c r="Y252" s="2137">
        <f>-Y110</f>
        <v>44.885999999999996</v>
      </c>
      <c r="Z252" s="67">
        <f>SUM(V252:Y252)</f>
        <v>92.289999999999992</v>
      </c>
      <c r="AA252" s="2137">
        <f>-AA110</f>
        <v>11.7</v>
      </c>
      <c r="AB252" s="2137">
        <f>-AB110</f>
        <v>27.3</v>
      </c>
      <c r="AC252" s="2137">
        <f>-AC110</f>
        <v>26.3</v>
      </c>
      <c r="AD252" s="2137">
        <f>-AD110</f>
        <v>50.143000000000001</v>
      </c>
      <c r="AE252" s="67">
        <f>SUM(AA252:AD252)</f>
        <v>115.443</v>
      </c>
      <c r="AF252" s="2137">
        <f>-AF110</f>
        <v>18.399999999999999</v>
      </c>
      <c r="AG252" s="2137">
        <f>-AG110</f>
        <v>26.200000000000003</v>
      </c>
      <c r="AH252" s="2137">
        <f>-AH110</f>
        <v>24.999999999999993</v>
      </c>
      <c r="AI252" s="2137">
        <f>-AI110</f>
        <v>49.400000000000006</v>
      </c>
      <c r="AJ252" s="67">
        <f>SUM(AF252:AI252)</f>
        <v>119</v>
      </c>
      <c r="AK252" s="2138">
        <f>-AK110</f>
        <v>10</v>
      </c>
      <c r="AL252" s="2138">
        <f>-AL110</f>
        <v>26</v>
      </c>
      <c r="AM252" s="2137">
        <f>-AM110</f>
        <v>34</v>
      </c>
      <c r="AN252" s="2137">
        <f>-AN110</f>
        <v>27</v>
      </c>
      <c r="AO252" s="67">
        <f>SUM(AK252:AN252)</f>
        <v>97</v>
      </c>
      <c r="AP252" s="2138">
        <f>-AP110</f>
        <v>22</v>
      </c>
      <c r="AQ252" s="2138">
        <f>-AQ110</f>
        <v>21</v>
      </c>
      <c r="AR252" s="2137">
        <f>-AR110</f>
        <v>12</v>
      </c>
      <c r="AS252" s="2137">
        <f>-AS110</f>
        <v>62</v>
      </c>
      <c r="AT252" s="67">
        <f>SUM(AP252:AS252)</f>
        <v>117</v>
      </c>
      <c r="AU252" s="2138">
        <f>-AU110</f>
        <v>20</v>
      </c>
      <c r="AV252" s="2138">
        <f>-AV110</f>
        <v>17</v>
      </c>
      <c r="AW252" s="2138">
        <f>-AW110</f>
        <v>15</v>
      </c>
      <c r="AX252" s="2138">
        <f>-AX110</f>
        <v>40</v>
      </c>
      <c r="AY252" s="67">
        <f>SUM(AU252:AX252)</f>
        <v>92</v>
      </c>
      <c r="AZ252" s="2138">
        <f>-AZ110</f>
        <v>16</v>
      </c>
      <c r="BA252" s="2138">
        <f>-BA110</f>
        <v>26</v>
      </c>
      <c r="BB252" s="2138">
        <f>-BB110</f>
        <v>32</v>
      </c>
      <c r="BC252" s="2138">
        <f>-BC110</f>
        <v>65</v>
      </c>
      <c r="BD252" s="67">
        <f>SUM(AZ252:BC252)</f>
        <v>139</v>
      </c>
      <c r="BE252" s="2138">
        <f>-BE110</f>
        <v>16</v>
      </c>
      <c r="BF252" s="2138">
        <f>-BF110</f>
        <v>20</v>
      </c>
      <c r="BG252" s="2138">
        <f>-BG110</f>
        <v>31</v>
      </c>
      <c r="BH252" s="2138">
        <f>-BH110</f>
        <v>48</v>
      </c>
      <c r="BI252" s="67">
        <f>SUM(BE252:BH252)</f>
        <v>115</v>
      </c>
      <c r="BJ252" s="2138">
        <f>-BJ110</f>
        <v>23</v>
      </c>
      <c r="BK252" s="2138">
        <f>-BK110</f>
        <v>33</v>
      </c>
      <c r="BL252" s="2138">
        <f>-BL110</f>
        <v>21</v>
      </c>
      <c r="BM252" s="2138">
        <f>-BM110</f>
        <v>46</v>
      </c>
      <c r="BN252" s="67">
        <f>SUM(BJ252:BM252)</f>
        <v>123</v>
      </c>
      <c r="BO252" s="2138">
        <f>-BO110</f>
        <v>33</v>
      </c>
      <c r="BP252" s="248">
        <f>BP14*BP253</f>
        <v>31.167262271530266</v>
      </c>
      <c r="BQ252" s="248">
        <f>BQ14*BQ253</f>
        <v>30.84325932493628</v>
      </c>
      <c r="BR252" s="248">
        <f>BR14*BR253</f>
        <v>31.751626428280925</v>
      </c>
      <c r="BS252" s="67">
        <f>SUM(BO252:BR252)</f>
        <v>126.76214802474748</v>
      </c>
      <c r="BT252" s="248">
        <f>BT14*BT253</f>
        <v>32.928634920058684</v>
      </c>
      <c r="BU252" s="248">
        <f>BU14*BU253</f>
        <v>34.747299128552818</v>
      </c>
      <c r="BV252" s="248">
        <f>BV14*BV253</f>
        <v>34.42575504633345</v>
      </c>
      <c r="BW252" s="248">
        <f>BW14*BW253</f>
        <v>35.419063632132513</v>
      </c>
      <c r="BX252" s="67">
        <f>SUM(BT252:BW252)</f>
        <v>137.52075272707748</v>
      </c>
      <c r="BY252" s="419">
        <f>BY14*BY253</f>
        <v>137.39899021876127</v>
      </c>
      <c r="BZ252" s="419">
        <f>BZ14*BZ253</f>
        <v>144.5591990341577</v>
      </c>
      <c r="CA252" s="419">
        <f>CA14*CA253</f>
        <v>151.33224073325906</v>
      </c>
      <c r="CB252" s="447"/>
      <c r="CC252" s="1359"/>
      <c r="CD252" s="559"/>
      <c r="CE252" s="560"/>
      <c r="CF252" s="560"/>
      <c r="CG252" s="560"/>
      <c r="CH252" s="560"/>
      <c r="CI252" s="560"/>
      <c r="CJ252" s="560"/>
      <c r="CK252" s="560"/>
      <c r="CL252" s="560"/>
      <c r="CM252" s="560"/>
      <c r="CN252" s="560"/>
      <c r="CO252" s="560"/>
      <c r="CP252" s="560"/>
      <c r="CQ252" s="560"/>
      <c r="CR252" s="560"/>
      <c r="CS252" s="560"/>
      <c r="CT252" s="560"/>
      <c r="CU252" s="560"/>
      <c r="CV252" s="560"/>
      <c r="CW252" s="560"/>
      <c r="CX252" s="560"/>
      <c r="CY252" s="560"/>
      <c r="CZ252" s="560"/>
      <c r="DA252" s="74"/>
      <c r="DB252" s="561"/>
      <c r="DC252"/>
      <c r="DD252"/>
      <c r="DE252"/>
      <c r="DF252"/>
      <c r="DG252"/>
      <c r="DH252"/>
    </row>
    <row r="253" spans="1:112" ht="12" customHeight="1">
      <c r="A253" s="562" t="s">
        <v>212</v>
      </c>
      <c r="B253" s="118">
        <f t="shared" ref="B253:AG253" si="519">B252/B14</f>
        <v>3.1370983105282815E-2</v>
      </c>
      <c r="C253" s="118">
        <f t="shared" si="519"/>
        <v>2.7045479230996015E-2</v>
      </c>
      <c r="D253" s="118">
        <f t="shared" si="519"/>
        <v>2.9267818874838456E-2</v>
      </c>
      <c r="E253" s="118">
        <f t="shared" si="519"/>
        <v>2.8497270184502991E-2</v>
      </c>
      <c r="F253" s="118">
        <f t="shared" si="519"/>
        <v>2.2767513452667563E-2</v>
      </c>
      <c r="G253" s="117">
        <f t="shared" si="519"/>
        <v>1.2782737299450588E-2</v>
      </c>
      <c r="H253" s="122">
        <f t="shared" si="519"/>
        <v>1.853368448547766E-2</v>
      </c>
      <c r="I253" s="122">
        <f t="shared" si="519"/>
        <v>1.4724702268929067E-2</v>
      </c>
      <c r="J253" s="122">
        <f t="shared" si="519"/>
        <v>4.8508291173935895E-2</v>
      </c>
      <c r="K253" s="118">
        <f t="shared" si="519"/>
        <v>2.3911702667471127E-2</v>
      </c>
      <c r="L253" s="122">
        <f t="shared" si="519"/>
        <v>1.9309358555651031E-2</v>
      </c>
      <c r="M253" s="122">
        <f t="shared" si="519"/>
        <v>3.8533237805839782E-2</v>
      </c>
      <c r="N253" s="122">
        <f t="shared" si="519"/>
        <v>3.0025649041405929E-2</v>
      </c>
      <c r="O253" s="122">
        <f t="shared" si="519"/>
        <v>5.6907487347804167E-2</v>
      </c>
      <c r="P253" s="118">
        <f t="shared" si="519"/>
        <v>3.6363375943792062E-2</v>
      </c>
      <c r="Q253" s="122">
        <f t="shared" si="519"/>
        <v>2.4286644480408848E-2</v>
      </c>
      <c r="R253" s="122">
        <f t="shared" si="519"/>
        <v>1.7522449162545386E-2</v>
      </c>
      <c r="S253" s="122">
        <f t="shared" si="519"/>
        <v>1.2751026218171858E-2</v>
      </c>
      <c r="T253" s="122">
        <f t="shared" si="519"/>
        <v>3.272036953041433E-2</v>
      </c>
      <c r="U253" s="118">
        <f t="shared" si="519"/>
        <v>2.0665596127806919E-2</v>
      </c>
      <c r="V253" s="122">
        <f t="shared" si="519"/>
        <v>8.4793073026031042E-3</v>
      </c>
      <c r="W253" s="122">
        <f t="shared" si="519"/>
        <v>1.0123670811777393E-2</v>
      </c>
      <c r="X253" s="122">
        <f t="shared" si="519"/>
        <v>1.2172804244142689E-2</v>
      </c>
      <c r="Y253" s="122">
        <f t="shared" si="519"/>
        <v>3.06914499361364E-2</v>
      </c>
      <c r="Z253" s="118">
        <f t="shared" si="519"/>
        <v>1.5506280303949302E-2</v>
      </c>
      <c r="AA253" s="122">
        <f t="shared" si="519"/>
        <v>9.8286290322580627E-3</v>
      </c>
      <c r="AB253" s="122">
        <f t="shared" si="519"/>
        <v>1.8519774777830542E-2</v>
      </c>
      <c r="AC253" s="122">
        <f t="shared" si="519"/>
        <v>1.3444433084551682E-2</v>
      </c>
      <c r="AD253" s="122">
        <f t="shared" si="519"/>
        <v>3.2399842081219619E-2</v>
      </c>
      <c r="AE253" s="118">
        <f t="shared" si="519"/>
        <v>1.8715435342234389E-2</v>
      </c>
      <c r="AF253" s="122">
        <f t="shared" si="519"/>
        <v>1.459159397303727E-2</v>
      </c>
      <c r="AG253" s="122">
        <f t="shared" si="519"/>
        <v>1.6827231856133593E-2</v>
      </c>
      <c r="AH253" s="122">
        <f t="shared" ref="AH253:BM253" si="520">AH252/AH14</f>
        <v>1.3102725366876306E-2</v>
      </c>
      <c r="AI253" s="122">
        <f t="shared" si="520"/>
        <v>4.9203187250996025E-2</v>
      </c>
      <c r="AJ253" s="118">
        <f t="shared" si="520"/>
        <v>1.9052193403778419E-2</v>
      </c>
      <c r="AK253" s="490">
        <f t="shared" si="520"/>
        <v>9.6618357487922701E-3</v>
      </c>
      <c r="AL253" s="490">
        <f t="shared" si="520"/>
        <v>2.4253731343283583E-2</v>
      </c>
      <c r="AM253" s="122">
        <f t="shared" si="520"/>
        <v>3.046594982078853E-2</v>
      </c>
      <c r="AN253" s="122">
        <f t="shared" si="520"/>
        <v>2.2004889975550123E-2</v>
      </c>
      <c r="AO253" s="118">
        <f t="shared" si="520"/>
        <v>2.1797752808988765E-2</v>
      </c>
      <c r="AP253" s="490">
        <f t="shared" si="520"/>
        <v>1.8628281117696866E-2</v>
      </c>
      <c r="AQ253" s="490">
        <f t="shared" si="520"/>
        <v>1.6799999999999999E-2</v>
      </c>
      <c r="AR253" s="122">
        <f t="shared" si="520"/>
        <v>1.0416666666666666E-2</v>
      </c>
      <c r="AS253" s="122">
        <f t="shared" si="520"/>
        <v>5.140961857379768E-2</v>
      </c>
      <c r="AT253" s="118">
        <f t="shared" si="520"/>
        <v>2.4430987680100231E-2</v>
      </c>
      <c r="AU253" s="490">
        <f t="shared" si="520"/>
        <v>1.6722408026755852E-2</v>
      </c>
      <c r="AV253" s="490">
        <f t="shared" si="520"/>
        <v>1.3056835637480798E-2</v>
      </c>
      <c r="AW253" s="490">
        <f t="shared" si="520"/>
        <v>1.1876484560570071E-2</v>
      </c>
      <c r="AX253" s="490">
        <f t="shared" si="520"/>
        <v>3.1007751937984496E-2</v>
      </c>
      <c r="AY253" s="118">
        <f t="shared" si="520"/>
        <v>1.8214215006929321E-2</v>
      </c>
      <c r="AZ253" s="490">
        <f t="shared" si="520"/>
        <v>1.2568735271013355E-2</v>
      </c>
      <c r="BA253" s="490">
        <f t="shared" si="520"/>
        <v>1.9374068554396422E-2</v>
      </c>
      <c r="BB253" s="490">
        <f t="shared" si="520"/>
        <v>2.4169184290030211E-2</v>
      </c>
      <c r="BC253" s="490">
        <f t="shared" si="520"/>
        <v>4.730713245997089E-2</v>
      </c>
      <c r="BD253" s="118">
        <f t="shared" si="520"/>
        <v>2.61622435535479E-2</v>
      </c>
      <c r="BE253" s="490">
        <f t="shared" si="520"/>
        <v>1.1931394481730051E-2</v>
      </c>
      <c r="BF253" s="490">
        <f t="shared" si="520"/>
        <v>1.3495276653171391E-2</v>
      </c>
      <c r="BG253" s="490">
        <f t="shared" si="520"/>
        <v>2.1542738012508687E-2</v>
      </c>
      <c r="BH253" s="490">
        <f t="shared" si="520"/>
        <v>3.4310221586847746E-2</v>
      </c>
      <c r="BI253" s="118">
        <f t="shared" si="520"/>
        <v>2.031443207913796E-2</v>
      </c>
      <c r="BJ253" s="490">
        <f t="shared" si="520"/>
        <v>1.5829318651066758E-2</v>
      </c>
      <c r="BK253" s="490">
        <f t="shared" si="520"/>
        <v>2.186878727634195E-2</v>
      </c>
      <c r="BL253" s="490">
        <f t="shared" si="520"/>
        <v>1.3879709187045605E-2</v>
      </c>
      <c r="BM253" s="490">
        <f t="shared" si="520"/>
        <v>2.8949024543738201E-2</v>
      </c>
      <c r="BN253" s="118">
        <f t="shared" ref="BN253:BO253" si="521">BN252/BN14</f>
        <v>2.028364116094987E-2</v>
      </c>
      <c r="BO253" s="490">
        <f t="shared" si="521"/>
        <v>2.1059349074664963E-2</v>
      </c>
      <c r="BP253" s="117">
        <f>CHOOSE($A$3,BP254,BP255,BP256)</f>
        <v>1.9E-2</v>
      </c>
      <c r="BQ253" s="117">
        <f>CHOOSE($A$3,BQ254,BQ255,BQ256)</f>
        <v>1.9E-2</v>
      </c>
      <c r="BR253" s="117">
        <f>CHOOSE($A$3,BR254,BR255,BR256)</f>
        <v>1.9E-2</v>
      </c>
      <c r="BS253" s="118">
        <f>BS252/BS14</f>
        <v>1.9496320286010563E-2</v>
      </c>
      <c r="BT253" s="117">
        <f>CHOOSE($A$3,BT254,BT255,BT256)</f>
        <v>0.02</v>
      </c>
      <c r="BU253" s="117">
        <f>CHOOSE($A$3,BU254,BU255,BU256)</f>
        <v>0.02</v>
      </c>
      <c r="BV253" s="117">
        <f>CHOOSE($A$3,BV254,BV255,BV256)</f>
        <v>0.02</v>
      </c>
      <c r="BW253" s="117">
        <f>CHOOSE($A$3,BW254,BW255,BW256)</f>
        <v>0.02</v>
      </c>
      <c r="BX253" s="118">
        <f>BX252/BX14</f>
        <v>2.0000000000000004E-2</v>
      </c>
      <c r="BY253" s="554">
        <f>CHOOSE($A$3,BY254,BY255,BY256)</f>
        <v>1.9E-2</v>
      </c>
      <c r="BZ253" s="554">
        <f>CHOOSE($A$3,BZ254,BZ255,BZ256)</f>
        <v>1.9E-2</v>
      </c>
      <c r="CA253" s="554">
        <f>CHOOSE($A$3,CA254,CA255,CA256)</f>
        <v>1.9E-2</v>
      </c>
      <c r="CD253" s="492"/>
      <c r="CE253" s="530"/>
      <c r="CF253" s="530"/>
      <c r="CG253" s="530"/>
      <c r="CH253" s="530"/>
      <c r="CI253" s="530"/>
      <c r="CJ253" s="530"/>
      <c r="CK253" s="530"/>
      <c r="CL253" s="530"/>
      <c r="CM253" s="530"/>
      <c r="CN253" s="530"/>
      <c r="CO253" s="530"/>
      <c r="CP253" s="530"/>
      <c r="CQ253" s="530"/>
      <c r="CR253" s="530"/>
      <c r="CS253" s="530"/>
      <c r="CT253" s="530"/>
      <c r="CU253" s="530"/>
      <c r="CV253" s="530"/>
      <c r="CW253" s="530"/>
      <c r="CX253" s="530"/>
      <c r="CY253" s="530"/>
      <c r="CZ253" s="530"/>
      <c r="DA253" s="58"/>
      <c r="DB253" s="531"/>
    </row>
    <row r="254" spans="1:112" ht="12" hidden="1" customHeight="1" outlineLevel="1">
      <c r="A254" s="563" t="s">
        <v>213</v>
      </c>
      <c r="B254" s="564"/>
      <c r="C254" s="564"/>
      <c r="D254" s="564"/>
      <c r="E254" s="564"/>
      <c r="F254" s="564"/>
      <c r="G254" s="565"/>
      <c r="H254" s="566"/>
      <c r="I254" s="566"/>
      <c r="J254" s="566"/>
      <c r="K254" s="564"/>
      <c r="L254" s="566"/>
      <c r="M254" s="566"/>
      <c r="N254" s="566"/>
      <c r="O254" s="566"/>
      <c r="P254" s="564"/>
      <c r="Q254" s="566"/>
      <c r="R254" s="566"/>
      <c r="S254" s="566"/>
      <c r="T254" s="566"/>
      <c r="U254" s="564"/>
      <c r="V254" s="566"/>
      <c r="W254" s="566"/>
      <c r="X254" s="566"/>
      <c r="Y254" s="566"/>
      <c r="Z254" s="564"/>
      <c r="AA254" s="566"/>
      <c r="AB254" s="566"/>
      <c r="AC254" s="566"/>
      <c r="AD254" s="566"/>
      <c r="AE254" s="564"/>
      <c r="AF254" s="566"/>
      <c r="AG254" s="566"/>
      <c r="AH254" s="566"/>
      <c r="AI254" s="567"/>
      <c r="AJ254" s="568"/>
      <c r="AK254" s="567"/>
      <c r="AL254" s="567"/>
      <c r="AM254" s="567"/>
      <c r="AN254" s="567"/>
      <c r="AO254" s="568"/>
      <c r="AP254" s="567"/>
      <c r="AQ254" s="567"/>
      <c r="AR254" s="567"/>
      <c r="AS254" s="567"/>
      <c r="AT254" s="568"/>
      <c r="AU254" s="567"/>
      <c r="AV254" s="567"/>
      <c r="AW254" s="569"/>
      <c r="AX254" s="569"/>
      <c r="AY254" s="568"/>
      <c r="AZ254" s="570"/>
      <c r="BA254" s="570"/>
      <c r="BB254" s="570"/>
      <c r="BC254" s="569"/>
      <c r="BD254" s="568"/>
      <c r="BE254" s="569"/>
      <c r="BF254" s="570"/>
      <c r="BG254" s="570"/>
      <c r="BH254" s="570"/>
      <c r="BI254" s="568"/>
      <c r="BJ254" s="569"/>
      <c r="BK254" s="570"/>
      <c r="BL254" s="570"/>
      <c r="BM254" s="570"/>
      <c r="BN254" s="568"/>
      <c r="BO254" s="569"/>
      <c r="BP254" s="570">
        <f>BP255-0.5%</f>
        <v>1.3999999999999999E-2</v>
      </c>
      <c r="BQ254" s="570">
        <f>BQ255-0.5%</f>
        <v>1.3999999999999999E-2</v>
      </c>
      <c r="BR254" s="570">
        <f>BR255-0.5%</f>
        <v>1.3999999999999999E-2</v>
      </c>
      <c r="BS254" s="568"/>
      <c r="BT254" s="570">
        <f t="shared" ref="BT254:BW254" si="522">BT255-0.5%</f>
        <v>1.4999999999999999E-2</v>
      </c>
      <c r="BU254" s="570">
        <f t="shared" si="522"/>
        <v>1.4999999999999999E-2</v>
      </c>
      <c r="BV254" s="570">
        <f t="shared" si="522"/>
        <v>1.4999999999999999E-2</v>
      </c>
      <c r="BW254" s="570">
        <f t="shared" si="522"/>
        <v>1.4999999999999999E-2</v>
      </c>
      <c r="BX254" s="568"/>
      <c r="BY254" s="571">
        <f>BY255-0.5%</f>
        <v>1.3999999999999999E-2</v>
      </c>
      <c r="BZ254" s="571">
        <f>BZ255-0.5%</f>
        <v>1.3999999999999999E-2</v>
      </c>
      <c r="CA254" s="571">
        <f>CA255-0.5%</f>
        <v>1.3999999999999999E-2</v>
      </c>
      <c r="CD254" s="482"/>
      <c r="CE254" s="388"/>
      <c r="CF254" s="388"/>
      <c r="CG254" s="388"/>
      <c r="CH254" s="388"/>
      <c r="CI254" s="388"/>
      <c r="CJ254" s="388"/>
      <c r="CK254" s="388"/>
      <c r="CL254" s="388"/>
      <c r="CM254" s="388"/>
      <c r="CN254" s="388"/>
      <c r="CO254" s="388"/>
      <c r="CP254" s="388"/>
      <c r="CQ254" s="388"/>
      <c r="CR254" s="388"/>
      <c r="CS254" s="388"/>
      <c r="CT254" s="388"/>
      <c r="CU254" s="388"/>
      <c r="CV254" s="388"/>
      <c r="CW254" s="388"/>
      <c r="CX254" s="388"/>
      <c r="CY254" s="388"/>
      <c r="CZ254" s="388"/>
      <c r="DA254" s="58"/>
      <c r="DB254" s="286"/>
    </row>
    <row r="255" spans="1:112" ht="12" hidden="1" customHeight="1" outlineLevel="1">
      <c r="A255" s="563" t="s">
        <v>214</v>
      </c>
      <c r="B255" s="564"/>
      <c r="C255" s="564"/>
      <c r="D255" s="564"/>
      <c r="E255" s="564"/>
      <c r="F255" s="564"/>
      <c r="G255" s="565"/>
      <c r="H255" s="566"/>
      <c r="I255" s="566"/>
      <c r="J255" s="566"/>
      <c r="K255" s="564"/>
      <c r="L255" s="566"/>
      <c r="M255" s="566"/>
      <c r="N255" s="566"/>
      <c r="O255" s="566"/>
      <c r="P255" s="564"/>
      <c r="Q255" s="566"/>
      <c r="R255" s="566"/>
      <c r="S255" s="566"/>
      <c r="T255" s="566"/>
      <c r="U255" s="564"/>
      <c r="V255" s="566"/>
      <c r="W255" s="566"/>
      <c r="X255" s="566"/>
      <c r="Y255" s="566"/>
      <c r="Z255" s="564"/>
      <c r="AA255" s="566"/>
      <c r="AB255" s="566"/>
      <c r="AC255" s="566"/>
      <c r="AD255" s="566"/>
      <c r="AE255" s="564"/>
      <c r="AF255" s="566"/>
      <c r="AG255" s="566"/>
      <c r="AH255" s="566"/>
      <c r="AI255" s="567"/>
      <c r="AJ255" s="568"/>
      <c r="AK255" s="567"/>
      <c r="AL255" s="567"/>
      <c r="AM255" s="567"/>
      <c r="AN255" s="567"/>
      <c r="AO255" s="568"/>
      <c r="AP255" s="567"/>
      <c r="AQ255" s="567"/>
      <c r="AR255" s="567"/>
      <c r="AS255" s="567"/>
      <c r="AT255" s="568"/>
      <c r="AU255" s="567"/>
      <c r="AV255" s="567"/>
      <c r="AW255" s="569"/>
      <c r="AX255" s="569"/>
      <c r="AY255" s="568"/>
      <c r="AZ255" s="570"/>
      <c r="BA255" s="570"/>
      <c r="BB255" s="570"/>
      <c r="BC255" s="569"/>
      <c r="BD255" s="568"/>
      <c r="BE255" s="569"/>
      <c r="BF255" s="570"/>
      <c r="BG255" s="570"/>
      <c r="BH255" s="570"/>
      <c r="BI255" s="568"/>
      <c r="BJ255" s="569"/>
      <c r="BK255" s="570"/>
      <c r="BL255" s="570"/>
      <c r="BM255" s="570"/>
      <c r="BN255" s="568"/>
      <c r="BO255" s="569"/>
      <c r="BP255" s="570">
        <v>1.9E-2</v>
      </c>
      <c r="BQ255" s="570">
        <v>1.9E-2</v>
      </c>
      <c r="BR255" s="570">
        <v>1.9E-2</v>
      </c>
      <c r="BS255" s="568"/>
      <c r="BT255" s="570">
        <v>0.02</v>
      </c>
      <c r="BU255" s="570">
        <v>0.02</v>
      </c>
      <c r="BV255" s="570">
        <v>0.02</v>
      </c>
      <c r="BW255" s="570">
        <v>0.02</v>
      </c>
      <c r="BX255" s="568"/>
      <c r="BY255" s="571">
        <v>1.9E-2</v>
      </c>
      <c r="BZ255" s="571">
        <v>1.9E-2</v>
      </c>
      <c r="CA255" s="571">
        <v>1.9E-2</v>
      </c>
      <c r="CD255" s="482"/>
      <c r="CE255" s="549"/>
      <c r="CF255" s="549"/>
      <c r="CG255" s="549"/>
      <c r="CH255" s="549"/>
      <c r="CI255" s="549"/>
      <c r="CJ255" s="549"/>
      <c r="CK255" s="549"/>
      <c r="CL255" s="549"/>
      <c r="CM255" s="549"/>
      <c r="CN255" s="549"/>
      <c r="CO255" s="549"/>
      <c r="CP255" s="549"/>
      <c r="CQ255" s="549"/>
      <c r="CR255" s="549"/>
      <c r="CS255" s="549"/>
      <c r="CT255" s="549"/>
      <c r="CU255" s="549"/>
      <c r="CV255" s="549"/>
      <c r="CW255" s="549"/>
      <c r="CX255" s="549"/>
      <c r="CY255" s="549"/>
      <c r="CZ255" s="549"/>
      <c r="DA255" s="58"/>
      <c r="DB255" s="550"/>
    </row>
    <row r="256" spans="1:112" ht="12" hidden="1" customHeight="1" outlineLevel="1">
      <c r="A256" s="563" t="s">
        <v>215</v>
      </c>
      <c r="B256" s="564"/>
      <c r="C256" s="564"/>
      <c r="D256" s="564"/>
      <c r="E256" s="564"/>
      <c r="F256" s="564"/>
      <c r="G256" s="565"/>
      <c r="H256" s="566"/>
      <c r="I256" s="566"/>
      <c r="J256" s="566"/>
      <c r="K256" s="564"/>
      <c r="L256" s="566"/>
      <c r="M256" s="566"/>
      <c r="N256" s="566"/>
      <c r="O256" s="566"/>
      <c r="P256" s="564"/>
      <c r="Q256" s="566"/>
      <c r="R256" s="566"/>
      <c r="S256" s="566"/>
      <c r="T256" s="566"/>
      <c r="U256" s="564"/>
      <c r="V256" s="566"/>
      <c r="W256" s="566"/>
      <c r="X256" s="566"/>
      <c r="Y256" s="566"/>
      <c r="Z256" s="564"/>
      <c r="AA256" s="566"/>
      <c r="AB256" s="566"/>
      <c r="AC256" s="566"/>
      <c r="AD256" s="566"/>
      <c r="AE256" s="564"/>
      <c r="AF256" s="566"/>
      <c r="AG256" s="566"/>
      <c r="AH256" s="566"/>
      <c r="AI256" s="567"/>
      <c r="AJ256" s="568"/>
      <c r="AK256" s="567"/>
      <c r="AL256" s="567"/>
      <c r="AM256" s="567"/>
      <c r="AN256" s="567"/>
      <c r="AO256" s="568"/>
      <c r="AP256" s="567"/>
      <c r="AQ256" s="567"/>
      <c r="AR256" s="567"/>
      <c r="AS256" s="567"/>
      <c r="AT256" s="568"/>
      <c r="AU256" s="567"/>
      <c r="AV256" s="567"/>
      <c r="AW256" s="569"/>
      <c r="AX256" s="569"/>
      <c r="AY256" s="568"/>
      <c r="AZ256" s="570"/>
      <c r="BA256" s="570"/>
      <c r="BB256" s="570"/>
      <c r="BC256" s="569"/>
      <c r="BD256" s="568"/>
      <c r="BE256" s="569"/>
      <c r="BF256" s="570"/>
      <c r="BG256" s="570"/>
      <c r="BH256" s="570"/>
      <c r="BI256" s="568"/>
      <c r="BJ256" s="569"/>
      <c r="BK256" s="570"/>
      <c r="BL256" s="570"/>
      <c r="BM256" s="570"/>
      <c r="BN256" s="568"/>
      <c r="BO256" s="569"/>
      <c r="BP256" s="570">
        <f>BP255+1%</f>
        <v>2.8999999999999998E-2</v>
      </c>
      <c r="BQ256" s="570">
        <f>BQ255+1%</f>
        <v>2.8999999999999998E-2</v>
      </c>
      <c r="BR256" s="570">
        <f>BR255+1%</f>
        <v>2.8999999999999998E-2</v>
      </c>
      <c r="BS256" s="568"/>
      <c r="BT256" s="570">
        <f t="shared" ref="BT256:BW256" si="523">BT255+1%</f>
        <v>0.03</v>
      </c>
      <c r="BU256" s="570">
        <f t="shared" si="523"/>
        <v>0.03</v>
      </c>
      <c r="BV256" s="570">
        <f t="shared" si="523"/>
        <v>0.03</v>
      </c>
      <c r="BW256" s="570">
        <f t="shared" si="523"/>
        <v>0.03</v>
      </c>
      <c r="BX256" s="568"/>
      <c r="BY256" s="571">
        <f>BY255+1%</f>
        <v>2.8999999999999998E-2</v>
      </c>
      <c r="BZ256" s="571">
        <f>BZ255+1%</f>
        <v>2.8999999999999998E-2</v>
      </c>
      <c r="CA256" s="571">
        <f>CA255+1%</f>
        <v>2.8999999999999998E-2</v>
      </c>
      <c r="CD256" s="482"/>
      <c r="CE256" s="530"/>
      <c r="CF256" s="530"/>
      <c r="CG256" s="530"/>
      <c r="CH256" s="530"/>
      <c r="CI256" s="530"/>
      <c r="CJ256" s="530"/>
      <c r="CK256" s="530"/>
      <c r="CL256" s="530"/>
      <c r="CM256" s="530"/>
      <c r="CN256" s="530"/>
      <c r="CO256" s="530"/>
      <c r="CP256" s="530"/>
      <c r="CQ256" s="530"/>
      <c r="CR256" s="530"/>
      <c r="CS256" s="530"/>
      <c r="CT256" s="530"/>
      <c r="CU256" s="530"/>
      <c r="CV256" s="530"/>
      <c r="CW256" s="530"/>
      <c r="CX256" s="530"/>
      <c r="CY256" s="530"/>
      <c r="CZ256" s="530"/>
      <c r="DA256" s="58"/>
      <c r="DB256" s="531"/>
    </row>
    <row r="257" spans="1:112" ht="12" customHeight="1" collapsed="1" thickBot="1">
      <c r="A257" s="572"/>
      <c r="B257" s="573"/>
      <c r="C257" s="573"/>
      <c r="D257" s="573"/>
      <c r="E257" s="573"/>
      <c r="F257" s="573"/>
      <c r="G257" s="574"/>
      <c r="H257" s="574"/>
      <c r="I257" s="574"/>
      <c r="J257" s="574"/>
      <c r="K257" s="573"/>
      <c r="L257" s="574"/>
      <c r="M257" s="574"/>
      <c r="N257" s="574"/>
      <c r="O257" s="574"/>
      <c r="P257" s="573"/>
      <c r="Q257" s="574"/>
      <c r="R257" s="574"/>
      <c r="S257" s="574"/>
      <c r="T257" s="574"/>
      <c r="U257" s="573"/>
      <c r="V257" s="574"/>
      <c r="W257" s="574"/>
      <c r="X257" s="574"/>
      <c r="Y257" s="574"/>
      <c r="Z257" s="573"/>
      <c r="AA257" s="574"/>
      <c r="AB257" s="574"/>
      <c r="AC257" s="574"/>
      <c r="AD257" s="574"/>
      <c r="AE257" s="573"/>
      <c r="AF257" s="574"/>
      <c r="AG257" s="574"/>
      <c r="AH257" s="574"/>
      <c r="AI257" s="545"/>
      <c r="AJ257" s="544"/>
      <c r="AK257" s="545"/>
      <c r="AL257" s="545"/>
      <c r="AM257" s="545"/>
      <c r="AN257" s="545"/>
      <c r="AO257" s="544"/>
      <c r="AP257" s="545"/>
      <c r="AQ257" s="545"/>
      <c r="AR257" s="545"/>
      <c r="AS257" s="545"/>
      <c r="AT257" s="544"/>
      <c r="AU257" s="545"/>
      <c r="AV257" s="545"/>
      <c r="AW257" s="545"/>
      <c r="AX257" s="547"/>
      <c r="AY257" s="544"/>
      <c r="AZ257" s="547"/>
      <c r="BA257" s="547"/>
      <c r="BB257" s="547"/>
      <c r="BC257" s="547"/>
      <c r="BD257" s="544"/>
      <c r="BE257" s="547"/>
      <c r="BF257" s="547"/>
      <c r="BG257" s="547"/>
      <c r="BH257" s="547"/>
      <c r="BI257" s="544"/>
      <c r="BJ257" s="547"/>
      <c r="BK257" s="547"/>
      <c r="BL257" s="547"/>
      <c r="BM257" s="547"/>
      <c r="BN257" s="544"/>
      <c r="BO257" s="547"/>
      <c r="BP257" s="547"/>
      <c r="BQ257" s="547"/>
      <c r="BR257" s="547"/>
      <c r="BS257" s="544"/>
      <c r="BT257" s="547"/>
      <c r="BU257" s="547"/>
      <c r="BV257" s="547"/>
      <c r="BW257" s="547"/>
      <c r="BX257" s="544"/>
      <c r="BY257" s="548"/>
      <c r="BZ257" s="548"/>
      <c r="CA257" s="548"/>
      <c r="CD257" s="482"/>
      <c r="CE257" s="530"/>
      <c r="CF257" s="530"/>
      <c r="CG257" s="530"/>
      <c r="CH257" s="530"/>
      <c r="CI257" s="530"/>
      <c r="CJ257" s="530"/>
      <c r="CK257" s="530"/>
      <c r="CL257" s="530"/>
      <c r="CM257" s="530"/>
      <c r="CN257" s="530"/>
      <c r="CO257" s="530"/>
      <c r="CP257" s="530"/>
      <c r="CQ257" s="530"/>
      <c r="CR257" s="530"/>
      <c r="CS257" s="530"/>
      <c r="CT257" s="530"/>
      <c r="CU257" s="530"/>
      <c r="CV257" s="530"/>
      <c r="CW257" s="530"/>
      <c r="CX257" s="530"/>
      <c r="CY257" s="530"/>
      <c r="CZ257" s="530"/>
      <c r="DA257" s="58"/>
      <c r="DB257" s="531"/>
    </row>
    <row r="258" spans="1:112" ht="12" customHeight="1">
      <c r="A258" s="42"/>
      <c r="B258" s="54"/>
      <c r="C258" s="54"/>
      <c r="D258" s="54"/>
      <c r="E258" s="54"/>
      <c r="F258" s="54"/>
      <c r="G258" s="127"/>
      <c r="H258" s="377"/>
      <c r="I258" s="377"/>
      <c r="J258" s="377"/>
      <c r="K258" s="54"/>
      <c r="L258" s="377"/>
      <c r="M258" s="377"/>
      <c r="N258" s="377"/>
      <c r="O258" s="377"/>
      <c r="P258" s="54"/>
      <c r="Q258" s="377"/>
      <c r="R258" s="377"/>
      <c r="S258" s="377"/>
      <c r="T258" s="377"/>
      <c r="U258" s="54"/>
      <c r="V258" s="377"/>
      <c r="W258" s="377"/>
      <c r="X258" s="377"/>
      <c r="Y258" s="377"/>
      <c r="Z258" s="54"/>
      <c r="AA258" s="377"/>
      <c r="AB258" s="377"/>
      <c r="AC258" s="377"/>
      <c r="AD258" s="377"/>
      <c r="AE258" s="54"/>
      <c r="AF258" s="377"/>
      <c r="AG258" s="377"/>
      <c r="AH258" s="377"/>
      <c r="AI258" s="58"/>
      <c r="AJ258" s="378"/>
      <c r="AK258" s="42"/>
      <c r="AL258" s="42"/>
      <c r="AM258" s="42"/>
      <c r="AN258" s="42"/>
      <c r="AO258" s="379"/>
      <c r="AP258" s="58"/>
      <c r="AQ258" s="58"/>
      <c r="AR258" s="58"/>
      <c r="AS258" s="58"/>
      <c r="AT258" s="378"/>
      <c r="AU258" s="58"/>
      <c r="AV258" s="58"/>
      <c r="AW258" s="370"/>
      <c r="AX258" s="370"/>
      <c r="AY258" s="378"/>
      <c r="AZ258" s="370"/>
      <c r="BA258" s="370"/>
      <c r="BB258" s="370"/>
      <c r="BC258" s="370"/>
      <c r="BD258" s="378"/>
      <c r="BE258" s="370"/>
      <c r="BF258" s="370"/>
      <c r="BG258" s="370"/>
      <c r="BH258" s="370"/>
      <c r="BI258" s="378"/>
      <c r="BJ258" s="370"/>
      <c r="BK258" s="370"/>
      <c r="BL258" s="370"/>
      <c r="BM258" s="370"/>
      <c r="BN258" s="378"/>
      <c r="BO258" s="370"/>
      <c r="BP258" s="370"/>
      <c r="BQ258" s="370"/>
      <c r="BR258" s="370"/>
      <c r="BS258" s="378"/>
      <c r="BT258" s="370"/>
      <c r="BU258" s="370"/>
      <c r="BV258" s="370"/>
      <c r="BW258" s="370"/>
      <c r="BX258" s="378"/>
      <c r="BY258" s="444"/>
      <c r="BZ258" s="444"/>
      <c r="CA258" s="444"/>
      <c r="CD258" s="370"/>
      <c r="CE258" s="530"/>
      <c r="CF258" s="530"/>
      <c r="CG258" s="530"/>
      <c r="CH258" s="530"/>
      <c r="CI258" s="530"/>
      <c r="CJ258" s="530"/>
      <c r="CK258" s="530"/>
      <c r="CL258" s="530"/>
      <c r="CM258" s="530"/>
      <c r="CN258" s="530"/>
      <c r="CO258" s="530"/>
      <c r="CP258" s="530"/>
      <c r="CQ258" s="530"/>
      <c r="CR258" s="530"/>
      <c r="CS258" s="530"/>
      <c r="CT258" s="530"/>
      <c r="CU258" s="530"/>
      <c r="CV258" s="530"/>
      <c r="CW258" s="530"/>
      <c r="CX258" s="530"/>
      <c r="CY258" s="530"/>
      <c r="CZ258" s="530"/>
      <c r="DA258" s="58"/>
      <c r="DB258" s="531"/>
    </row>
    <row r="259" spans="1:112" ht="12" customHeight="1">
      <c r="A259" s="490" t="s">
        <v>216</v>
      </c>
      <c r="B259" s="54"/>
      <c r="C259" s="54"/>
      <c r="D259" s="54"/>
      <c r="E259" s="54"/>
      <c r="F259" s="54"/>
      <c r="G259" s="127"/>
      <c r="H259" s="377"/>
      <c r="I259" s="377"/>
      <c r="J259" s="377"/>
      <c r="K259" s="54"/>
      <c r="L259" s="377"/>
      <c r="M259" s="377"/>
      <c r="N259" s="377"/>
      <c r="O259" s="377"/>
      <c r="P259" s="54"/>
      <c r="Q259" s="377"/>
      <c r="R259" s="377"/>
      <c r="S259" s="377"/>
      <c r="T259" s="377"/>
      <c r="U259" s="54"/>
      <c r="V259" s="377"/>
      <c r="W259" s="377"/>
      <c r="X259" s="377"/>
      <c r="Y259" s="377"/>
      <c r="Z259" s="54"/>
      <c r="AA259" s="377"/>
      <c r="AB259" s="377"/>
      <c r="AC259" s="377"/>
      <c r="AD259" s="377"/>
      <c r="AE259" s="54"/>
      <c r="AF259" s="377"/>
      <c r="AG259" s="377"/>
      <c r="AH259" s="377"/>
      <c r="AI259" s="58"/>
      <c r="AJ259" s="378"/>
      <c r="AK259" s="42"/>
      <c r="AL259" s="42"/>
      <c r="AM259" s="42"/>
      <c r="AN259" s="42"/>
      <c r="AO259" s="379"/>
      <c r="AP259" s="58"/>
      <c r="AQ259" s="58"/>
      <c r="AR259" s="58"/>
      <c r="AS259" s="58"/>
      <c r="AT259" s="378"/>
      <c r="AU259" s="58"/>
      <c r="AV259" s="58"/>
      <c r="AW259" s="370"/>
      <c r="AX259" s="370"/>
      <c r="AY259" s="378"/>
      <c r="AZ259" s="370"/>
      <c r="BA259" s="370"/>
      <c r="BB259" s="370"/>
      <c r="BC259" s="370"/>
      <c r="BD259" s="378"/>
      <c r="BE259" s="370"/>
      <c r="BF259" s="370"/>
      <c r="BG259" s="370"/>
      <c r="BH259" s="370"/>
      <c r="BI259" s="378"/>
      <c r="BJ259" s="370"/>
      <c r="BK259" s="370"/>
      <c r="BL259" s="370"/>
      <c r="BM259" s="370"/>
      <c r="BN259" s="378"/>
      <c r="BO259" s="370"/>
      <c r="BP259" s="370"/>
      <c r="BQ259" s="370"/>
      <c r="BR259" s="370"/>
      <c r="BS259" s="378"/>
      <c r="BT259" s="370"/>
      <c r="BU259" s="370"/>
      <c r="BV259" s="370"/>
      <c r="BW259" s="370"/>
      <c r="BX259" s="378"/>
      <c r="BY259" s="444"/>
      <c r="BZ259" s="444"/>
      <c r="CA259" s="444"/>
      <c r="CD259" s="117"/>
      <c r="CE259" s="575"/>
      <c r="CF259" s="575"/>
      <c r="CG259" s="575"/>
      <c r="CH259" s="575"/>
      <c r="CI259" s="575"/>
      <c r="CJ259" s="575"/>
      <c r="CK259" s="575"/>
      <c r="CL259" s="575"/>
      <c r="CM259" s="575"/>
      <c r="CN259" s="575"/>
      <c r="CO259" s="575"/>
      <c r="CP259" s="575"/>
      <c r="CQ259" s="575"/>
      <c r="CR259" s="575"/>
      <c r="CS259" s="575"/>
      <c r="CT259" s="575"/>
      <c r="CU259" s="575"/>
      <c r="CV259" s="575"/>
      <c r="CW259" s="575"/>
      <c r="CX259" s="575"/>
      <c r="CY259" s="575"/>
      <c r="CZ259" s="575"/>
      <c r="DA259" s="58"/>
      <c r="DB259" s="576"/>
    </row>
    <row r="260" spans="1:112" ht="12" customHeight="1">
      <c r="A260" s="490" t="s">
        <v>217</v>
      </c>
      <c r="B260" s="54"/>
      <c r="C260" s="54"/>
      <c r="D260" s="54"/>
      <c r="E260" s="54"/>
      <c r="F260" s="54"/>
      <c r="G260" s="127"/>
      <c r="H260" s="377"/>
      <c r="I260" s="377"/>
      <c r="J260" s="377"/>
      <c r="K260" s="54"/>
      <c r="L260" s="377"/>
      <c r="M260" s="377"/>
      <c r="N260" s="377"/>
      <c r="O260" s="377"/>
      <c r="P260" s="54"/>
      <c r="Q260" s="377"/>
      <c r="R260" s="377"/>
      <c r="S260" s="377"/>
      <c r="T260" s="377"/>
      <c r="U260" s="54"/>
      <c r="V260" s="377"/>
      <c r="W260" s="377"/>
      <c r="X260" s="377"/>
      <c r="Y260" s="377"/>
      <c r="Z260" s="54"/>
      <c r="AA260" s="377"/>
      <c r="AB260" s="377"/>
      <c r="AC260" s="377"/>
      <c r="AD260" s="377"/>
      <c r="AE260" s="54"/>
      <c r="AF260" s="377"/>
      <c r="AG260" s="377"/>
      <c r="AH260" s="377"/>
      <c r="AI260" s="577"/>
      <c r="AJ260" s="442"/>
      <c r="AK260" s="562"/>
      <c r="AL260" s="562"/>
      <c r="AM260" s="562"/>
      <c r="AN260" s="562"/>
      <c r="AO260" s="578"/>
      <c r="AP260" s="577"/>
      <c r="AQ260" s="577"/>
      <c r="AR260" s="577"/>
      <c r="AS260" s="577"/>
      <c r="AT260" s="442"/>
      <c r="AU260" s="577"/>
      <c r="AV260" s="577"/>
      <c r="AW260" s="492"/>
      <c r="AX260" s="492"/>
      <c r="AY260" s="579"/>
      <c r="AZ260" s="580">
        <v>0.15</v>
      </c>
      <c r="BA260" s="580">
        <v>0.15</v>
      </c>
      <c r="BB260" s="580">
        <v>0.6</v>
      </c>
      <c r="BC260" s="580">
        <v>0.15</v>
      </c>
      <c r="BD260" s="579"/>
      <c r="BE260" s="580">
        <v>0.15</v>
      </c>
      <c r="BF260" s="580">
        <v>0.15</v>
      </c>
      <c r="BG260" s="580">
        <v>0.5</v>
      </c>
      <c r="BH260" s="580">
        <v>0.15</v>
      </c>
      <c r="BI260" s="579"/>
      <c r="BJ260" s="580">
        <v>0.15</v>
      </c>
      <c r="BK260" s="580">
        <v>0.15</v>
      </c>
      <c r="BL260" s="580">
        <v>0.15</v>
      </c>
      <c r="BM260" s="580">
        <v>0.15</v>
      </c>
      <c r="BN260" s="579"/>
      <c r="BO260" s="580">
        <v>0.15</v>
      </c>
      <c r="BP260" s="580">
        <v>0.15</v>
      </c>
      <c r="BQ260" s="580">
        <v>0.15</v>
      </c>
      <c r="BR260" s="580">
        <v>0.15</v>
      </c>
      <c r="BS260" s="579"/>
      <c r="BT260" s="580">
        <v>0.15</v>
      </c>
      <c r="BU260" s="580">
        <v>0.15</v>
      </c>
      <c r="BV260" s="580">
        <v>0.15</v>
      </c>
      <c r="BW260" s="580">
        <v>0.15</v>
      </c>
      <c r="BX260" s="579"/>
      <c r="BY260" s="581">
        <v>0.15</v>
      </c>
      <c r="BZ260" s="581">
        <v>0.15</v>
      </c>
      <c r="CA260" s="581">
        <v>0.15</v>
      </c>
      <c r="CD260" s="117"/>
      <c r="CE260" s="575"/>
      <c r="CF260" s="575"/>
      <c r="CG260" s="575"/>
      <c r="CH260" s="575"/>
      <c r="CI260" s="575"/>
      <c r="CJ260" s="575"/>
      <c r="CK260" s="575"/>
      <c r="CL260" s="575"/>
      <c r="CM260" s="575"/>
      <c r="CN260" s="575"/>
      <c r="CO260" s="575"/>
      <c r="CP260" s="575"/>
      <c r="CQ260" s="575"/>
      <c r="CR260" s="575"/>
      <c r="CS260" s="575"/>
      <c r="CT260" s="575"/>
      <c r="CU260" s="575"/>
      <c r="CV260" s="575"/>
      <c r="CW260" s="575"/>
      <c r="CX260" s="575"/>
      <c r="CY260" s="575"/>
      <c r="CZ260" s="575"/>
      <c r="DA260" s="58"/>
      <c r="DB260" s="576"/>
    </row>
    <row r="261" spans="1:112" ht="12" customHeight="1">
      <c r="A261" s="490" t="s">
        <v>218</v>
      </c>
      <c r="B261" s="54"/>
      <c r="C261" s="54"/>
      <c r="D261" s="54"/>
      <c r="E261" s="54"/>
      <c r="F261" s="54"/>
      <c r="G261" s="127"/>
      <c r="H261" s="377"/>
      <c r="I261" s="377"/>
      <c r="J261" s="377"/>
      <c r="K261" s="54"/>
      <c r="L261" s="377"/>
      <c r="M261" s="377"/>
      <c r="N261" s="377"/>
      <c r="O261" s="377"/>
      <c r="P261" s="54"/>
      <c r="Q261" s="377"/>
      <c r="R261" s="377"/>
      <c r="S261" s="377"/>
      <c r="T261" s="377"/>
      <c r="U261" s="54"/>
      <c r="V261" s="377"/>
      <c r="W261" s="377"/>
      <c r="X261" s="377"/>
      <c r="Y261" s="377"/>
      <c r="Z261" s="54"/>
      <c r="AA261" s="377"/>
      <c r="AB261" s="377"/>
      <c r="AC261" s="377"/>
      <c r="AD261" s="377"/>
      <c r="AE261" s="54"/>
      <c r="AF261" s="377"/>
      <c r="AG261" s="377"/>
      <c r="AH261" s="377"/>
      <c r="AI261" s="577"/>
      <c r="AJ261" s="442"/>
      <c r="AK261" s="562"/>
      <c r="AL261" s="562"/>
      <c r="AM261" s="562"/>
      <c r="AN261" s="562"/>
      <c r="AO261" s="578"/>
      <c r="AP261" s="577"/>
      <c r="AQ261" s="577"/>
      <c r="AR261" s="577"/>
      <c r="AS261" s="577"/>
      <c r="AT261" s="442"/>
      <c r="AU261" s="577"/>
      <c r="AV261" s="577"/>
      <c r="AW261" s="492"/>
      <c r="AX261" s="492"/>
      <c r="AY261" s="579"/>
      <c r="AZ261" s="580">
        <v>0.5</v>
      </c>
      <c r="BA261" s="580">
        <v>0.5</v>
      </c>
      <c r="BB261" s="580">
        <v>0.02</v>
      </c>
      <c r="BC261" s="580">
        <v>0.5</v>
      </c>
      <c r="BD261" s="579"/>
      <c r="BE261" s="580">
        <v>0.5</v>
      </c>
      <c r="BF261" s="580">
        <v>0.5</v>
      </c>
      <c r="BG261" s="580">
        <v>0</v>
      </c>
      <c r="BH261" s="580">
        <v>0.5</v>
      </c>
      <c r="BI261" s="579"/>
      <c r="BJ261" s="580">
        <v>0.5</v>
      </c>
      <c r="BK261" s="580">
        <v>0.5</v>
      </c>
      <c r="BL261" s="580">
        <v>0.5</v>
      </c>
      <c r="BM261" s="580">
        <v>0.5</v>
      </c>
      <c r="BN261" s="579"/>
      <c r="BO261" s="580">
        <v>0.5</v>
      </c>
      <c r="BP261" s="580">
        <v>0.5</v>
      </c>
      <c r="BQ261" s="580">
        <v>0.5</v>
      </c>
      <c r="BR261" s="580">
        <v>0.5</v>
      </c>
      <c r="BS261" s="579"/>
      <c r="BT261" s="580">
        <v>0.5</v>
      </c>
      <c r="BU261" s="580">
        <v>0.5</v>
      </c>
      <c r="BV261" s="580">
        <v>0.5</v>
      </c>
      <c r="BW261" s="580">
        <v>0.5</v>
      </c>
      <c r="BX261" s="579"/>
      <c r="BY261" s="581">
        <v>0.5</v>
      </c>
      <c r="BZ261" s="581">
        <v>0.5</v>
      </c>
      <c r="CA261" s="581">
        <v>0.5</v>
      </c>
      <c r="CD261" s="117"/>
      <c r="CE261" s="549"/>
      <c r="CF261" s="549"/>
      <c r="CG261" s="549"/>
      <c r="CH261" s="549"/>
      <c r="CI261" s="549"/>
      <c r="CJ261" s="549"/>
      <c r="CK261" s="549"/>
      <c r="CL261" s="549"/>
      <c r="CM261" s="549"/>
      <c r="CN261" s="549"/>
      <c r="CO261" s="549"/>
      <c r="CP261" s="549"/>
      <c r="CQ261" s="549"/>
      <c r="CR261" s="549"/>
      <c r="CS261" s="549"/>
      <c r="CT261" s="549"/>
      <c r="CU261" s="549"/>
      <c r="CV261" s="549"/>
      <c r="CW261" s="549"/>
      <c r="CX261" s="549"/>
      <c r="CY261" s="549"/>
      <c r="CZ261" s="549"/>
      <c r="DA261" s="58"/>
      <c r="DB261" s="550"/>
    </row>
    <row r="262" spans="1:112" ht="12" customHeight="1">
      <c r="A262" s="122" t="s">
        <v>219</v>
      </c>
      <c r="B262" s="54"/>
      <c r="C262" s="54"/>
      <c r="D262" s="54"/>
      <c r="E262" s="54"/>
      <c r="F262" s="54"/>
      <c r="G262" s="127"/>
      <c r="H262" s="377"/>
      <c r="I262" s="377"/>
      <c r="J262" s="377"/>
      <c r="K262" s="54"/>
      <c r="L262" s="377"/>
      <c r="M262" s="377"/>
      <c r="N262" s="377"/>
      <c r="O262" s="377"/>
      <c r="P262" s="54"/>
      <c r="Q262" s="377"/>
      <c r="R262" s="377"/>
      <c r="S262" s="377"/>
      <c r="T262" s="377"/>
      <c r="U262" s="54"/>
      <c r="V262" s="377"/>
      <c r="W262" s="377"/>
      <c r="X262" s="377"/>
      <c r="Y262" s="377"/>
      <c r="Z262" s="54"/>
      <c r="AA262" s="377"/>
      <c r="AB262" s="377"/>
      <c r="AC262" s="377"/>
      <c r="AD262" s="377"/>
      <c r="AE262" s="54"/>
      <c r="AF262" s="377"/>
      <c r="AG262" s="377"/>
      <c r="AH262" s="377"/>
      <c r="AI262" s="577"/>
      <c r="AJ262" s="442"/>
      <c r="AK262" s="577"/>
      <c r="AL262" s="577"/>
      <c r="AM262" s="577"/>
      <c r="AN262" s="577"/>
      <c r="AO262" s="442"/>
      <c r="AP262" s="577"/>
      <c r="AQ262" s="577"/>
      <c r="AR262" s="577"/>
      <c r="AS262" s="577"/>
      <c r="AT262" s="442"/>
      <c r="AU262" s="577"/>
      <c r="AV262" s="577"/>
      <c r="AW262" s="492"/>
      <c r="AX262" s="492"/>
      <c r="AY262" s="442"/>
      <c r="AZ262" s="492">
        <f>1-SUM(AZ260:AZ261)</f>
        <v>0.35</v>
      </c>
      <c r="BA262" s="492">
        <f>1-SUM(BA260:BA261)</f>
        <v>0.35</v>
      </c>
      <c r="BB262" s="492">
        <f>1-SUM(BB260:BB261)</f>
        <v>0.38</v>
      </c>
      <c r="BC262" s="492">
        <f>1-SUM(BC260:BC261)</f>
        <v>0.35</v>
      </c>
      <c r="BD262" s="442"/>
      <c r="BE262" s="492">
        <f>1-SUM(BE260:BE261)</f>
        <v>0.35</v>
      </c>
      <c r="BF262" s="492">
        <f>1-SUM(BF260:BF261)</f>
        <v>0.35</v>
      </c>
      <c r="BG262" s="492">
        <f>1-SUM(BG260:BG261)</f>
        <v>0.5</v>
      </c>
      <c r="BH262" s="492">
        <f>1-SUM(BH260:BH261)</f>
        <v>0.35</v>
      </c>
      <c r="BI262" s="442"/>
      <c r="BJ262" s="492">
        <f>1-SUM(BJ260:BJ261)</f>
        <v>0.35</v>
      </c>
      <c r="BK262" s="492">
        <f>1-SUM(BK260:BK261)</f>
        <v>0.35</v>
      </c>
      <c r="BL262" s="492">
        <f>1-SUM(BL260:BL261)</f>
        <v>0.35</v>
      </c>
      <c r="BM262" s="492">
        <f>1-SUM(BM260:BM261)</f>
        <v>0.35</v>
      </c>
      <c r="BN262" s="442"/>
      <c r="BO262" s="492">
        <f>1-SUM(BO260:BO261)</f>
        <v>0.35</v>
      </c>
      <c r="BP262" s="492">
        <f>1-SUM(BP260:BP261)</f>
        <v>0.35</v>
      </c>
      <c r="BQ262" s="492">
        <f>1-SUM(BQ260:BQ261)</f>
        <v>0.35</v>
      </c>
      <c r="BR262" s="492">
        <f>1-SUM(BR260:BR261)</f>
        <v>0.35</v>
      </c>
      <c r="BS262" s="442"/>
      <c r="BT262" s="492">
        <f>1-SUM(BT260:BT261)</f>
        <v>0.35</v>
      </c>
      <c r="BU262" s="492">
        <f>1-SUM(BU260:BU261)</f>
        <v>0.35</v>
      </c>
      <c r="BV262" s="492">
        <f>1-SUM(BV260:BV261)</f>
        <v>0.35</v>
      </c>
      <c r="BW262" s="492">
        <f>1-SUM(BW260:BW261)</f>
        <v>0.35</v>
      </c>
      <c r="BX262" s="442"/>
      <c r="BY262" s="582">
        <f>1-SUM(BY260:BY261)</f>
        <v>0.35</v>
      </c>
      <c r="BZ262" s="582">
        <f>1-SUM(BZ260:BZ261)</f>
        <v>0.35</v>
      </c>
      <c r="CA262" s="582">
        <f>1-SUM(CA260:CA261)</f>
        <v>0.35</v>
      </c>
      <c r="CD262" s="117"/>
      <c r="CE262" s="530"/>
      <c r="CF262" s="530"/>
      <c r="CG262" s="530"/>
      <c r="CH262" s="530"/>
      <c r="CI262" s="530"/>
      <c r="CJ262" s="530"/>
      <c r="CK262" s="530"/>
      <c r="CL262" s="530"/>
      <c r="CM262" s="530"/>
      <c r="CN262" s="530"/>
      <c r="CO262" s="530"/>
      <c r="CP262" s="530"/>
      <c r="CQ262" s="530"/>
      <c r="CR262" s="530"/>
      <c r="CS262" s="530"/>
      <c r="CT262" s="530"/>
      <c r="CU262" s="530"/>
      <c r="CV262" s="530"/>
      <c r="CW262" s="530"/>
      <c r="CX262" s="530"/>
      <c r="CY262" s="530"/>
      <c r="CZ262" s="530"/>
      <c r="DA262" s="58"/>
      <c r="DB262" s="531"/>
    </row>
    <row r="263" spans="1:112" ht="12" customHeight="1">
      <c r="A263" s="42"/>
      <c r="B263" s="54"/>
      <c r="C263" s="54"/>
      <c r="D263" s="54"/>
      <c r="E263" s="54"/>
      <c r="F263" s="54"/>
      <c r="G263" s="127"/>
      <c r="H263" s="377"/>
      <c r="I263" s="377"/>
      <c r="J263" s="377"/>
      <c r="K263" s="54"/>
      <c r="L263" s="377"/>
      <c r="M263" s="377"/>
      <c r="N263" s="377"/>
      <c r="O263" s="377"/>
      <c r="P263" s="54"/>
      <c r="Q263" s="377"/>
      <c r="R263" s="377"/>
      <c r="S263" s="377"/>
      <c r="T263" s="377"/>
      <c r="U263" s="54"/>
      <c r="V263" s="377"/>
      <c r="W263" s="377"/>
      <c r="X263" s="377"/>
      <c r="Y263" s="377"/>
      <c r="Z263" s="54"/>
      <c r="AA263" s="377"/>
      <c r="AB263" s="377"/>
      <c r="AC263" s="377"/>
      <c r="AD263" s="377"/>
      <c r="AE263" s="54"/>
      <c r="AF263" s="377"/>
      <c r="AG263" s="377"/>
      <c r="AH263" s="377"/>
      <c r="AI263" s="58"/>
      <c r="AJ263" s="378"/>
      <c r="AK263" s="42"/>
      <c r="AL263" s="42"/>
      <c r="AM263" s="42"/>
      <c r="AN263" s="42"/>
      <c r="AO263" s="379"/>
      <c r="AP263" s="58"/>
      <c r="AQ263" s="58"/>
      <c r="AR263" s="58"/>
      <c r="AS263" s="58"/>
      <c r="AT263" s="378"/>
      <c r="AU263" s="58"/>
      <c r="AV263" s="58"/>
      <c r="AW263" s="370"/>
      <c r="AX263" s="370"/>
      <c r="AY263" s="378"/>
      <c r="AZ263" s="370"/>
      <c r="BA263" s="370"/>
      <c r="BB263" s="370"/>
      <c r="BC263" s="370"/>
      <c r="BD263" s="378"/>
      <c r="BE263" s="370"/>
      <c r="BF263" s="370"/>
      <c r="BG263" s="370"/>
      <c r="BH263" s="370"/>
      <c r="BI263" s="378"/>
      <c r="BJ263" s="370"/>
      <c r="BK263" s="370"/>
      <c r="BL263" s="370"/>
      <c r="BM263" s="370"/>
      <c r="BN263" s="378"/>
      <c r="BO263" s="370"/>
      <c r="BP263" s="370"/>
      <c r="BQ263" s="370"/>
      <c r="BR263" s="370"/>
      <c r="BS263" s="378"/>
      <c r="BT263" s="370"/>
      <c r="BU263" s="370"/>
      <c r="BV263" s="370"/>
      <c r="BW263" s="370"/>
      <c r="BX263" s="378"/>
      <c r="BY263" s="444"/>
      <c r="BZ263" s="444"/>
      <c r="CA263" s="444"/>
      <c r="CD263" s="370"/>
      <c r="CE263" s="530"/>
      <c r="CF263" s="530"/>
      <c r="CG263" s="530"/>
      <c r="CH263" s="530"/>
      <c r="CI263" s="530"/>
      <c r="CJ263" s="530"/>
      <c r="CK263" s="530"/>
      <c r="CL263" s="530"/>
      <c r="CM263" s="530"/>
      <c r="CN263" s="530"/>
      <c r="CO263" s="530"/>
      <c r="CP263" s="530"/>
      <c r="CQ263" s="530"/>
      <c r="CR263" s="530"/>
      <c r="CS263" s="530"/>
      <c r="CT263" s="530"/>
      <c r="CU263" s="530"/>
      <c r="CV263" s="530"/>
      <c r="CW263" s="530"/>
      <c r="CX263" s="530"/>
      <c r="CY263" s="530"/>
      <c r="CZ263" s="530"/>
      <c r="DA263" s="58"/>
      <c r="DB263" s="531"/>
    </row>
    <row r="264" spans="1:112" ht="12" customHeight="1">
      <c r="A264" s="583" t="s">
        <v>220</v>
      </c>
      <c r="B264" s="79"/>
      <c r="C264" s="79"/>
      <c r="D264" s="79"/>
      <c r="E264" s="79"/>
      <c r="F264" s="79"/>
      <c r="G264" s="251"/>
      <c r="H264" s="86"/>
      <c r="I264" s="86"/>
      <c r="J264" s="86"/>
      <c r="K264" s="79"/>
      <c r="L264" s="86"/>
      <c r="M264" s="86"/>
      <c r="N264" s="86"/>
      <c r="O264" s="86"/>
      <c r="P264" s="79"/>
      <c r="Q264" s="86"/>
      <c r="R264" s="86"/>
      <c r="S264" s="86"/>
      <c r="T264" s="86"/>
      <c r="U264" s="79"/>
      <c r="V264" s="86"/>
      <c r="W264" s="86"/>
      <c r="X264" s="86"/>
      <c r="Y264" s="86"/>
      <c r="Z264" s="79"/>
      <c r="AA264" s="86"/>
      <c r="AB264" s="86"/>
      <c r="AC264" s="86"/>
      <c r="AD264" s="86"/>
      <c r="AE264" s="79"/>
      <c r="AF264" s="86"/>
      <c r="AG264" s="86"/>
      <c r="AH264" s="86"/>
      <c r="AI264" s="86"/>
      <c r="AJ264" s="79"/>
      <c r="AK264" s="390"/>
      <c r="AL264" s="390"/>
      <c r="AM264" s="390"/>
      <c r="AN264" s="390"/>
      <c r="AO264" s="119"/>
      <c r="AP264" s="86"/>
      <c r="AQ264" s="86"/>
      <c r="AR264" s="86"/>
      <c r="AS264" s="86"/>
      <c r="AT264" s="79"/>
      <c r="AU264" s="86"/>
      <c r="AV264" s="86"/>
      <c r="AW264" s="251"/>
      <c r="AX264" s="251"/>
      <c r="AY264" s="79"/>
      <c r="AZ264" s="251"/>
      <c r="BA264" s="251"/>
      <c r="BB264" s="251"/>
      <c r="BC264" s="251"/>
      <c r="BD264" s="79"/>
      <c r="BE264" s="251"/>
      <c r="BF264" s="251"/>
      <c r="BG264" s="251"/>
      <c r="BH264" s="251"/>
      <c r="BI264" s="79"/>
      <c r="BJ264" s="251"/>
      <c r="BK264" s="251"/>
      <c r="BL264" s="251"/>
      <c r="BM264" s="251"/>
      <c r="BN264" s="79"/>
      <c r="BO264" s="251"/>
      <c r="BP264" s="251"/>
      <c r="BQ264" s="251"/>
      <c r="BR264" s="251"/>
      <c r="BS264" s="79"/>
      <c r="BT264" s="251"/>
      <c r="BU264" s="251"/>
      <c r="BV264" s="251"/>
      <c r="BW264" s="251"/>
      <c r="BX264" s="79"/>
      <c r="BY264" s="394"/>
      <c r="BZ264" s="394"/>
      <c r="CA264" s="394"/>
      <c r="CD264" s="584"/>
      <c r="CE264" s="575"/>
      <c r="CF264" s="575"/>
      <c r="CG264" s="575"/>
      <c r="CH264" s="575"/>
      <c r="CI264" s="575"/>
      <c r="CJ264" s="575"/>
      <c r="CK264" s="575"/>
      <c r="CL264" s="575"/>
      <c r="CM264" s="575"/>
      <c r="CN264" s="575"/>
      <c r="CO264" s="575"/>
      <c r="CP264" s="575"/>
      <c r="CQ264" s="575"/>
      <c r="CR264" s="575"/>
      <c r="CS264" s="575"/>
      <c r="CT264" s="575"/>
      <c r="CU264" s="575"/>
      <c r="CV264" s="575"/>
      <c r="CW264" s="575"/>
      <c r="CX264" s="575"/>
      <c r="CY264" s="575"/>
      <c r="CZ264" s="575"/>
      <c r="DA264" s="58"/>
      <c r="DB264" s="576"/>
    </row>
    <row r="265" spans="1:112" s="70" customFormat="1" ht="12" customHeight="1">
      <c r="A265" s="585" t="s">
        <v>221</v>
      </c>
      <c r="B265" s="2135">
        <v>431.90499999999997</v>
      </c>
      <c r="C265" s="2136">
        <f t="shared" ref="C265:J265" si="524">B270</f>
        <v>454.94</v>
      </c>
      <c r="D265" s="2136">
        <f t="shared" si="524"/>
        <v>431.46</v>
      </c>
      <c r="E265" s="2136">
        <f t="shared" si="524"/>
        <v>467.32799999999997</v>
      </c>
      <c r="F265" s="2136">
        <f t="shared" si="524"/>
        <v>513.06600000000003</v>
      </c>
      <c r="G265" s="2134">
        <f t="shared" si="524"/>
        <v>526.75</v>
      </c>
      <c r="H265" s="2137">
        <f t="shared" si="524"/>
        <v>506.834</v>
      </c>
      <c r="I265" s="2137">
        <f t="shared" si="524"/>
        <v>501.73599999999999</v>
      </c>
      <c r="J265" s="2137">
        <f t="shared" si="524"/>
        <v>500.29700000000003</v>
      </c>
      <c r="K265" s="2136">
        <f>F270</f>
        <v>526.75</v>
      </c>
      <c r="L265" s="2137">
        <f>K270</f>
        <v>542.21900000000016</v>
      </c>
      <c r="M265" s="2137">
        <f>L270</f>
        <v>535.04499999999996</v>
      </c>
      <c r="N265" s="2137">
        <f>M270</f>
        <v>569.70799999999997</v>
      </c>
      <c r="O265" s="2137">
        <f>N270</f>
        <v>609.39800000000002</v>
      </c>
      <c r="P265" s="2136">
        <f>K270</f>
        <v>542.21900000000016</v>
      </c>
      <c r="Q265" s="2137">
        <f>P270</f>
        <v>660.76599999999985</v>
      </c>
      <c r="R265" s="2137">
        <f>Q270</f>
        <v>656.23400000000004</v>
      </c>
      <c r="S265" s="2137">
        <f>R270</f>
        <v>648.15300000000002</v>
      </c>
      <c r="T265" s="2137">
        <f>S270</f>
        <v>630.24699999999996</v>
      </c>
      <c r="U265" s="2136">
        <f>P270</f>
        <v>660.76599999999985</v>
      </c>
      <c r="V265" s="2137">
        <f>U270</f>
        <v>621.06200000000013</v>
      </c>
      <c r="W265" s="2137">
        <f>V270</f>
        <v>596.654</v>
      </c>
      <c r="X265" s="2137">
        <f>W270</f>
        <v>584.04300000000001</v>
      </c>
      <c r="Y265" s="2137">
        <f>X270</f>
        <v>575.12099999999998</v>
      </c>
      <c r="Z265" s="2136">
        <f>U270</f>
        <v>621.06200000000013</v>
      </c>
      <c r="AA265" s="2137">
        <f>Z270</f>
        <v>579.79600000000016</v>
      </c>
      <c r="AB265" s="2137">
        <f>AA270</f>
        <v>558.80700000000002</v>
      </c>
      <c r="AC265" s="2137">
        <f>AB270</f>
        <v>545.79999999999995</v>
      </c>
      <c r="AD265" s="2137">
        <f>AC270</f>
        <v>542.202</v>
      </c>
      <c r="AE265" s="2136">
        <f>Z270</f>
        <v>579.79600000000016</v>
      </c>
      <c r="AF265" s="2137">
        <f>AE270</f>
        <v>548.76699999999994</v>
      </c>
      <c r="AG265" s="2137">
        <f>AF270</f>
        <v>536.6</v>
      </c>
      <c r="AH265" s="2137">
        <f>AG270</f>
        <v>526.5</v>
      </c>
      <c r="AI265" s="2137">
        <f>AH270</f>
        <v>488.3</v>
      </c>
      <c r="AJ265" s="2136">
        <f>AE270</f>
        <v>548.76699999999994</v>
      </c>
      <c r="AK265" s="2137">
        <f>AJ270</f>
        <v>500.00000000000006</v>
      </c>
      <c r="AL265" s="2137">
        <f>AK270</f>
        <v>485</v>
      </c>
      <c r="AM265" s="2137">
        <f>AL270</f>
        <v>482</v>
      </c>
      <c r="AN265" s="2137">
        <f>AM270</f>
        <v>482</v>
      </c>
      <c r="AO265" s="2139">
        <f>AJ270</f>
        <v>500.00000000000006</v>
      </c>
      <c r="AP265" s="2137">
        <f>AO270</f>
        <v>367.99999999999994</v>
      </c>
      <c r="AQ265" s="2137">
        <f>AP270</f>
        <v>345</v>
      </c>
      <c r="AR265" s="2137">
        <f>AQ270</f>
        <v>340</v>
      </c>
      <c r="AS265" s="2137">
        <f>AR270</f>
        <v>336</v>
      </c>
      <c r="AT265" s="2136">
        <f>AO270</f>
        <v>367.99999999999994</v>
      </c>
      <c r="AU265" s="2137">
        <f>AT270</f>
        <v>249</v>
      </c>
      <c r="AV265" s="2137">
        <f>AU270</f>
        <v>242</v>
      </c>
      <c r="AW265" s="2134">
        <f>AV270</f>
        <v>209</v>
      </c>
      <c r="AX265" s="2134">
        <f>AW270</f>
        <v>199</v>
      </c>
      <c r="AY265" s="2136">
        <f>AT270</f>
        <v>249</v>
      </c>
      <c r="AZ265" s="2137">
        <f>AY270</f>
        <v>206</v>
      </c>
      <c r="BA265" s="2137">
        <f>AZ270</f>
        <v>200</v>
      </c>
      <c r="BB265" s="2137">
        <f>BA270</f>
        <v>208</v>
      </c>
      <c r="BC265" s="2134">
        <f>BB270</f>
        <v>237</v>
      </c>
      <c r="BD265" s="2136">
        <f>AY270</f>
        <v>206</v>
      </c>
      <c r="BE265" s="2134">
        <f>BD270</f>
        <v>270</v>
      </c>
      <c r="BF265" s="2137">
        <f>BE270</f>
        <v>251</v>
      </c>
      <c r="BG265" s="2137">
        <f>BF270</f>
        <v>242</v>
      </c>
      <c r="BH265" s="2134">
        <f>BG270</f>
        <v>255</v>
      </c>
      <c r="BI265" s="2136">
        <f>BD270</f>
        <v>270</v>
      </c>
      <c r="BJ265" s="2134">
        <f>BI270</f>
        <v>271</v>
      </c>
      <c r="BK265" s="2137">
        <f>BJ270</f>
        <v>265</v>
      </c>
      <c r="BL265" s="2137">
        <f>BK270</f>
        <v>264</v>
      </c>
      <c r="BM265" s="2137">
        <f>BL270</f>
        <v>259</v>
      </c>
      <c r="BN265" s="2136">
        <f>BI270</f>
        <v>271</v>
      </c>
      <c r="BO265" s="2134">
        <f>BN270</f>
        <v>275</v>
      </c>
      <c r="BP265" s="2134">
        <f>BO270</f>
        <v>270</v>
      </c>
      <c r="BQ265" s="2134">
        <f>BP270</f>
        <v>288.38968550576965</v>
      </c>
      <c r="BR265" s="2134">
        <f>BQ270</f>
        <v>306.00190932827297</v>
      </c>
      <c r="BS265" s="2136">
        <f>BN270</f>
        <v>275</v>
      </c>
      <c r="BT265" s="2134">
        <f>BS270</f>
        <v>325.54685226457337</v>
      </c>
      <c r="BU265" s="2134">
        <f>BT270</f>
        <v>342.50039829654992</v>
      </c>
      <c r="BV265" s="2134">
        <f>BU270</f>
        <v>358.72647864512879</v>
      </c>
      <c r="BW265" s="2134">
        <f>BV270</f>
        <v>375.08117662659544</v>
      </c>
      <c r="BX265" s="2136">
        <f>BS270</f>
        <v>325.54685226457337</v>
      </c>
      <c r="BY265" s="2140">
        <f>BX270</f>
        <v>391.03855117374241</v>
      </c>
      <c r="BZ265" s="2140">
        <f>BY270</f>
        <v>447.68634476584293</v>
      </c>
      <c r="CA265" s="2140">
        <f>BZ270</f>
        <v>496.92769249010064</v>
      </c>
      <c r="CB265" s="447"/>
      <c r="CC265" s="1359"/>
      <c r="CD265" s="586"/>
      <c r="CE265" s="248"/>
      <c r="CF265" s="248"/>
      <c r="CG265" s="248"/>
      <c r="CH265" s="248"/>
      <c r="CI265" s="248"/>
      <c r="CJ265" s="248"/>
      <c r="CK265" s="248"/>
      <c r="CL265" s="248"/>
      <c r="CM265" s="248"/>
      <c r="CN265" s="248"/>
      <c r="CO265" s="248"/>
      <c r="CP265" s="248"/>
      <c r="CQ265" s="248"/>
      <c r="CR265" s="248"/>
      <c r="CS265" s="248"/>
      <c r="CT265" s="248"/>
      <c r="CU265" s="248"/>
      <c r="CV265" s="248"/>
      <c r="CW265" s="248"/>
      <c r="CX265" s="248"/>
      <c r="CY265" s="248"/>
      <c r="CZ265" s="248"/>
      <c r="DA265" s="74"/>
      <c r="DB265" s="249"/>
      <c r="DC265"/>
      <c r="DD265"/>
      <c r="DE265"/>
      <c r="DF265"/>
      <c r="DG265"/>
      <c r="DH265"/>
    </row>
    <row r="266" spans="1:112" s="82" customFormat="1" ht="12" customHeight="1">
      <c r="A266" s="390" t="s">
        <v>222</v>
      </c>
      <c r="B266" s="2124">
        <f t="shared" ref="B266:J266" si="525">-B110</f>
        <v>145.73499999999999</v>
      </c>
      <c r="C266" s="2124">
        <f t="shared" si="525"/>
        <v>125.49600000000001</v>
      </c>
      <c r="D266" s="2124">
        <f t="shared" si="525"/>
        <v>143.12899999999999</v>
      </c>
      <c r="E266" s="2124">
        <f t="shared" si="525"/>
        <v>149.62599999999998</v>
      </c>
      <c r="F266" s="2124">
        <f t="shared" si="525"/>
        <v>136.68799999999999</v>
      </c>
      <c r="G266" s="2123">
        <f t="shared" si="525"/>
        <v>14.581</v>
      </c>
      <c r="H266" s="2128">
        <f t="shared" si="525"/>
        <v>28.311000000000003</v>
      </c>
      <c r="I266" s="2128">
        <f t="shared" si="525"/>
        <v>29.339999999999993</v>
      </c>
      <c r="J266" s="2128">
        <f t="shared" si="525"/>
        <v>77.338999999999999</v>
      </c>
      <c r="K266" s="79">
        <f>SUM(G266:J266)</f>
        <v>149.571</v>
      </c>
      <c r="L266" s="2128">
        <f>-L110</f>
        <v>25.033000000000001</v>
      </c>
      <c r="M266" s="2128">
        <f>-M110</f>
        <v>66.206999999999994</v>
      </c>
      <c r="N266" s="2128">
        <f>-N110</f>
        <v>65.696000000000012</v>
      </c>
      <c r="O266" s="2128">
        <f>-O110</f>
        <v>89.327000000000012</v>
      </c>
      <c r="P266" s="79">
        <f>SUM(L266:O266)</f>
        <v>246.26300000000003</v>
      </c>
      <c r="Q266" s="2128">
        <f>-Q110</f>
        <v>29.577999999999999</v>
      </c>
      <c r="R266" s="2128">
        <f>-R110</f>
        <v>29.318999999999999</v>
      </c>
      <c r="S266" s="2128">
        <f>-S110</f>
        <v>26.120999999999999</v>
      </c>
      <c r="T266" s="2128">
        <f>-T110</f>
        <v>46.312999999999988</v>
      </c>
      <c r="U266" s="79">
        <f>SUM(Q266:T266)</f>
        <v>131.33099999999999</v>
      </c>
      <c r="V266" s="2128">
        <f>-V110</f>
        <v>9.7360000000000007</v>
      </c>
      <c r="W266" s="2128">
        <f>-W110</f>
        <v>14.832999999999998</v>
      </c>
      <c r="X266" s="2128">
        <f>-X110</f>
        <v>22.835000000000004</v>
      </c>
      <c r="Y266" s="2128">
        <f>-Y110</f>
        <v>44.885999999999996</v>
      </c>
      <c r="Z266" s="79">
        <f>SUM(V266:Y266)</f>
        <v>92.289999999999992</v>
      </c>
      <c r="AA266" s="2128">
        <f>-AA110</f>
        <v>11.7</v>
      </c>
      <c r="AB266" s="2128">
        <f>-AB110</f>
        <v>27.3</v>
      </c>
      <c r="AC266" s="2128">
        <f>-AC110</f>
        <v>26.3</v>
      </c>
      <c r="AD266" s="2128">
        <f>-AD110</f>
        <v>50.143000000000001</v>
      </c>
      <c r="AE266" s="79">
        <f>SUM(AA266:AD266)</f>
        <v>115.443</v>
      </c>
      <c r="AF266" s="2128">
        <f>-AF110</f>
        <v>18.399999999999999</v>
      </c>
      <c r="AG266" s="2128">
        <f>-AG110</f>
        <v>26.200000000000003</v>
      </c>
      <c r="AH266" s="2128">
        <f>-AH110</f>
        <v>24.999999999999993</v>
      </c>
      <c r="AI266" s="2128">
        <f>-AI110</f>
        <v>49.400000000000006</v>
      </c>
      <c r="AJ266" s="79">
        <f>SUM(AF266:AI266)</f>
        <v>119</v>
      </c>
      <c r="AK266" s="2128">
        <f>-AK110</f>
        <v>10</v>
      </c>
      <c r="AL266" s="2128">
        <f>-AL110</f>
        <v>26</v>
      </c>
      <c r="AM266" s="2128">
        <f>-AM110</f>
        <v>34</v>
      </c>
      <c r="AN266" s="2128">
        <f>-AN110</f>
        <v>27</v>
      </c>
      <c r="AO266" s="119">
        <f>SUM(AK266:AN266)</f>
        <v>97</v>
      </c>
      <c r="AP266" s="2128">
        <f>-AP110</f>
        <v>22</v>
      </c>
      <c r="AQ266" s="2128">
        <f>-AQ110</f>
        <v>21</v>
      </c>
      <c r="AR266" s="2128">
        <f>-AR110</f>
        <v>12</v>
      </c>
      <c r="AS266" s="2128">
        <f>-AS110</f>
        <v>62</v>
      </c>
      <c r="AT266" s="79">
        <f>SUM(AP266:AS266)</f>
        <v>117</v>
      </c>
      <c r="AU266" s="2128">
        <f>-AU110</f>
        <v>20</v>
      </c>
      <c r="AV266" s="2128">
        <f>-AV110</f>
        <v>17</v>
      </c>
      <c r="AW266" s="2128">
        <f>-AW110</f>
        <v>15</v>
      </c>
      <c r="AX266" s="2128">
        <f>-AX110</f>
        <v>40</v>
      </c>
      <c r="AY266" s="79">
        <f>SUM(AU266:AX266)</f>
        <v>92</v>
      </c>
      <c r="AZ266" s="2128">
        <f>-AZ110</f>
        <v>16</v>
      </c>
      <c r="BA266" s="2128">
        <f>-BA110</f>
        <v>26</v>
      </c>
      <c r="BB266" s="2128">
        <f>-BB110</f>
        <v>32</v>
      </c>
      <c r="BC266" s="2128">
        <f>-BC110</f>
        <v>65</v>
      </c>
      <c r="BD266" s="79">
        <f>SUM(AZ266:BC266)</f>
        <v>139</v>
      </c>
      <c r="BE266" s="2123">
        <f>-BE110</f>
        <v>16</v>
      </c>
      <c r="BF266" s="2128">
        <f>-BF110</f>
        <v>20</v>
      </c>
      <c r="BG266" s="2128">
        <f>-BG110</f>
        <v>31</v>
      </c>
      <c r="BH266" s="2128">
        <f>-BH110</f>
        <v>48</v>
      </c>
      <c r="BI266" s="79">
        <f>SUM(BE266:BH266)</f>
        <v>115</v>
      </c>
      <c r="BJ266" s="2123">
        <f>-BJ110</f>
        <v>23</v>
      </c>
      <c r="BK266" s="2128">
        <f>-BK110</f>
        <v>33</v>
      </c>
      <c r="BL266" s="2128">
        <f>-BL110</f>
        <v>21</v>
      </c>
      <c r="BM266" s="2128">
        <f>-BM110</f>
        <v>46</v>
      </c>
      <c r="BN266" s="79">
        <f>SUM(BJ266:BM266)</f>
        <v>123</v>
      </c>
      <c r="BO266" s="2123">
        <f>-BO110</f>
        <v>33</v>
      </c>
      <c r="BP266" s="78">
        <f>-BP110</f>
        <v>31.167262271530266</v>
      </c>
      <c r="BQ266" s="78">
        <f>-BQ110</f>
        <v>30.84325932493628</v>
      </c>
      <c r="BR266" s="78">
        <f>-BR110</f>
        <v>31.751626428280925</v>
      </c>
      <c r="BS266" s="79">
        <f>SUM(BO266:BR266)</f>
        <v>126.76214802474748</v>
      </c>
      <c r="BT266" s="78">
        <f>-BT110</f>
        <v>32.928634920058684</v>
      </c>
      <c r="BU266" s="78">
        <f>-BU110</f>
        <v>34.747299128552818</v>
      </c>
      <c r="BV266" s="78">
        <f>-BV110</f>
        <v>34.42575504633345</v>
      </c>
      <c r="BW266" s="78">
        <f>-BW110</f>
        <v>35.419063632132513</v>
      </c>
      <c r="BX266" s="79">
        <f>SUM(BT266:BW266)</f>
        <v>137.52075272707748</v>
      </c>
      <c r="BY266" s="414">
        <f>-BY110</f>
        <v>137.39899021876127</v>
      </c>
      <c r="BZ266" s="414">
        <f>-BZ110</f>
        <v>144.5591990341577</v>
      </c>
      <c r="CA266" s="414">
        <f>-CA110</f>
        <v>151.33224073325906</v>
      </c>
      <c r="CB266" s="470"/>
      <c r="CC266" s="1360"/>
      <c r="CD266" s="251"/>
      <c r="CE266" s="251"/>
      <c r="CF266" s="251"/>
      <c r="CG266" s="251"/>
      <c r="CH266" s="251"/>
      <c r="CI266" s="251"/>
      <c r="CJ266" s="251"/>
      <c r="CK266" s="251"/>
      <c r="CL266" s="251"/>
      <c r="CM266" s="251"/>
      <c r="CN266" s="251"/>
      <c r="CO266" s="251"/>
      <c r="CP266" s="251"/>
      <c r="CQ266" s="251"/>
      <c r="CR266" s="251"/>
      <c r="CS266" s="251"/>
      <c r="CT266" s="251"/>
      <c r="CU266" s="251"/>
      <c r="CV266" s="251"/>
      <c r="CW266" s="251"/>
      <c r="CX266" s="251"/>
      <c r="CY266" s="251"/>
      <c r="CZ266" s="251"/>
      <c r="DA266" s="86"/>
      <c r="DB266" s="399"/>
      <c r="DC266"/>
      <c r="DD266"/>
      <c r="DE266"/>
      <c r="DF266"/>
      <c r="DG266"/>
      <c r="DH266"/>
    </row>
    <row r="267" spans="1:112" s="82" customFormat="1" ht="12" customHeight="1">
      <c r="A267" s="390" t="s">
        <v>223</v>
      </c>
      <c r="B267" s="2124">
        <f t="shared" ref="B267:J267" si="526">-B86</f>
        <v>-88.802000000000007</v>
      </c>
      <c r="C267" s="2124">
        <f t="shared" si="526"/>
        <v>-89.588999999999999</v>
      </c>
      <c r="D267" s="2124">
        <f t="shared" si="526"/>
        <v>-83.953000000000003</v>
      </c>
      <c r="E267" s="2124">
        <f t="shared" si="526"/>
        <v>-92.268000000000001</v>
      </c>
      <c r="F267" s="2124">
        <f t="shared" si="526"/>
        <v>-106.75</v>
      </c>
      <c r="G267" s="2123">
        <f t="shared" si="526"/>
        <v>-27.564</v>
      </c>
      <c r="H267" s="2128">
        <f t="shared" si="526"/>
        <v>-28.316000000000003</v>
      </c>
      <c r="I267" s="2128">
        <f t="shared" si="526"/>
        <v>-26.868000000000002</v>
      </c>
      <c r="J267" s="2128">
        <f t="shared" si="526"/>
        <v>-30.451999999999991</v>
      </c>
      <c r="K267" s="79">
        <f>SUM(G267:J267)</f>
        <v>-113.19999999999999</v>
      </c>
      <c r="L267" s="2128">
        <f>-L86</f>
        <v>-28.905000000000001</v>
      </c>
      <c r="M267" s="2128">
        <f>-M86</f>
        <v>-28.798000000000002</v>
      </c>
      <c r="N267" s="2128">
        <f>-N86</f>
        <v>-26.198999999999998</v>
      </c>
      <c r="O267" s="2128">
        <f>-O86</f>
        <v>-28.683999999999997</v>
      </c>
      <c r="P267" s="79">
        <f>SUM(L267:O267)</f>
        <v>-112.586</v>
      </c>
      <c r="Q267" s="2128">
        <f>-Q86</f>
        <v>-27.527000000000001</v>
      </c>
      <c r="R267" s="2128">
        <f>-R86</f>
        <v>-30.411000000000001</v>
      </c>
      <c r="S267" s="2128">
        <f>-S86</f>
        <v>-29.951999999999998</v>
      </c>
      <c r="T267" s="2128">
        <f>-T86</f>
        <v>-31.959000000000003</v>
      </c>
      <c r="U267" s="79">
        <f>SUM(Q267:T267)</f>
        <v>-119.849</v>
      </c>
      <c r="V267" s="2128">
        <f>-V86</f>
        <v>-29.411999999999999</v>
      </c>
      <c r="W267" s="2128">
        <f>-W86</f>
        <v>-28.782000000000004</v>
      </c>
      <c r="X267" s="2128">
        <f>-X86</f>
        <v>-26.030999999999992</v>
      </c>
      <c r="Y267" s="2128">
        <f>-Y86</f>
        <v>-53.114000000000011</v>
      </c>
      <c r="Z267" s="79">
        <f>SUM(V267:Y267)</f>
        <v>-137.339</v>
      </c>
      <c r="AA267" s="2128">
        <f>-AA86</f>
        <v>-30.4</v>
      </c>
      <c r="AB267" s="2128">
        <f>-AB86</f>
        <v>-30.9</v>
      </c>
      <c r="AC267" s="2128">
        <f>-AC86</f>
        <v>-30</v>
      </c>
      <c r="AD267" s="2128">
        <f>-AD86</f>
        <v>-34.192000000000014</v>
      </c>
      <c r="AE267" s="79">
        <f>SUM(AA267:AD267)</f>
        <v>-125.49200000000002</v>
      </c>
      <c r="AF267" s="2128">
        <f>-AF86</f>
        <v>-32.200000000000003</v>
      </c>
      <c r="AG267" s="2128">
        <f>-AG86</f>
        <v>-32.200000000000003</v>
      </c>
      <c r="AH267" s="2128">
        <f>-AH86</f>
        <v>-30.599999999999994</v>
      </c>
      <c r="AI267" s="2128">
        <f>-AI86</f>
        <v>-32</v>
      </c>
      <c r="AJ267" s="79">
        <f>SUM(AF267:AI267)</f>
        <v>-127</v>
      </c>
      <c r="AK267" s="2128">
        <f>-AK86</f>
        <v>-22</v>
      </c>
      <c r="AL267" s="2128">
        <f>-AL86</f>
        <v>-23</v>
      </c>
      <c r="AM267" s="2128">
        <f>-AM86</f>
        <v>-24</v>
      </c>
      <c r="AN267" s="2128">
        <f>-AN86</f>
        <v>-24</v>
      </c>
      <c r="AO267" s="119">
        <f>SUM(AK267:AN267)</f>
        <v>-93</v>
      </c>
      <c r="AP267" s="2128">
        <f>-AP86</f>
        <v>-23</v>
      </c>
      <c r="AQ267" s="2128">
        <f>-AQ86</f>
        <v>-22</v>
      </c>
      <c r="AR267" s="2128">
        <f>-AR86</f>
        <v>-20</v>
      </c>
      <c r="AS267" s="2128">
        <f>-AS86</f>
        <v>-21</v>
      </c>
      <c r="AT267" s="79">
        <f>SUM(AP267:AS267)</f>
        <v>-86</v>
      </c>
      <c r="AU267" s="2128">
        <f>-AU86</f>
        <v>-21</v>
      </c>
      <c r="AV267" s="2128">
        <f>-AV86</f>
        <v>-21</v>
      </c>
      <c r="AW267" s="2128">
        <f>-AW86</f>
        <v>-22</v>
      </c>
      <c r="AX267" s="2128">
        <f>-AX86</f>
        <v>-22</v>
      </c>
      <c r="AY267" s="79">
        <f>SUM(AU267:AX267)</f>
        <v>-86</v>
      </c>
      <c r="AZ267" s="2128">
        <f>-AZ86</f>
        <v>-22</v>
      </c>
      <c r="BA267" s="2128">
        <f>-BA86</f>
        <v>-21</v>
      </c>
      <c r="BB267" s="2128">
        <f>-BB86</f>
        <v>-21</v>
      </c>
      <c r="BC267" s="2128">
        <f>-BC86</f>
        <v>-26</v>
      </c>
      <c r="BD267" s="79">
        <f>SUM(AZ267:BC267)</f>
        <v>-90</v>
      </c>
      <c r="BE267" s="2123">
        <f>-BE86</f>
        <v>-18</v>
      </c>
      <c r="BF267" s="2128">
        <f>-BF86</f>
        <v>-22</v>
      </c>
      <c r="BG267" s="2128">
        <f>-BG86</f>
        <v>-23</v>
      </c>
      <c r="BH267" s="2128">
        <f>-BH86</f>
        <v>-22</v>
      </c>
      <c r="BI267" s="79">
        <f>SUM(BE267:BH267)</f>
        <v>-85</v>
      </c>
      <c r="BJ267" s="2123">
        <f>-BJ86</f>
        <v>-19</v>
      </c>
      <c r="BK267" s="2128">
        <f>-BK86</f>
        <v>-20</v>
      </c>
      <c r="BL267" s="2128">
        <f>-BL86</f>
        <v>-22</v>
      </c>
      <c r="BM267" s="2128">
        <f>-BM86</f>
        <v>-21</v>
      </c>
      <c r="BN267" s="79">
        <f>SUM(BJ267:BM267)</f>
        <v>-82</v>
      </c>
      <c r="BO267" s="2123">
        <f>-BO86</f>
        <v>-21</v>
      </c>
      <c r="BP267" s="78">
        <f>-BP86</f>
        <v>-12.777576765760621</v>
      </c>
      <c r="BQ267" s="78">
        <f>-BQ86</f>
        <v>-13.23103550243296</v>
      </c>
      <c r="BR267" s="78">
        <f>-BR86</f>
        <v>-12.206683491980527</v>
      </c>
      <c r="BS267" s="79">
        <f>SUM(BO267:BR267)</f>
        <v>-59.215295760174108</v>
      </c>
      <c r="BT267" s="78">
        <f>-BT86</f>
        <v>-15.975088888082155</v>
      </c>
      <c r="BU267" s="78">
        <f>-BU86</f>
        <v>-18.521218779973943</v>
      </c>
      <c r="BV267" s="78">
        <f>-BV86</f>
        <v>-18.071057064866828</v>
      </c>
      <c r="BW267" s="78">
        <f>-BW86</f>
        <v>-19.461689084985515</v>
      </c>
      <c r="BX267" s="79">
        <f>SUM(BT267:BW267)</f>
        <v>-72.029053817908448</v>
      </c>
      <c r="BY267" s="414">
        <f>-BY86</f>
        <v>-80.751196626660771</v>
      </c>
      <c r="BZ267" s="414">
        <f>-BZ86</f>
        <v>-95.317851309899993</v>
      </c>
      <c r="CA267" s="414">
        <f>-CA86</f>
        <v>-98.621369385867155</v>
      </c>
      <c r="CB267" s="470"/>
      <c r="CC267" s="1360"/>
      <c r="CD267" s="251"/>
      <c r="CE267" s="575"/>
      <c r="CF267" s="575"/>
      <c r="CG267" s="575"/>
      <c r="CH267" s="575"/>
      <c r="CI267" s="575"/>
      <c r="CJ267" s="575"/>
      <c r="CK267" s="575"/>
      <c r="CL267" s="575"/>
      <c r="CM267" s="575"/>
      <c r="CN267" s="575"/>
      <c r="CO267" s="575"/>
      <c r="CP267" s="575"/>
      <c r="CQ267" s="575"/>
      <c r="CR267" s="575"/>
      <c r="CS267" s="575"/>
      <c r="CT267" s="575"/>
      <c r="CU267" s="575"/>
      <c r="CV267" s="575"/>
      <c r="CW267" s="575"/>
      <c r="CX267" s="575"/>
      <c r="CY267" s="575"/>
      <c r="CZ267" s="575"/>
      <c r="DA267" s="86"/>
      <c r="DB267" s="576"/>
      <c r="DC267"/>
      <c r="DD267"/>
      <c r="DE267"/>
      <c r="DF267"/>
      <c r="DG267"/>
      <c r="DH267"/>
    </row>
    <row r="268" spans="1:112" s="82" customFormat="1" ht="12" customHeight="1">
      <c r="A268" s="390" t="s">
        <v>224</v>
      </c>
      <c r="B268" s="79">
        <f t="shared" ref="B268:J268" si="527">B270-SUM(B265:B267)</f>
        <v>-33.897999999999968</v>
      </c>
      <c r="C268" s="79">
        <f t="shared" si="527"/>
        <v>-59.387000000000057</v>
      </c>
      <c r="D268" s="79">
        <f t="shared" si="527"/>
        <v>-23.307999999999993</v>
      </c>
      <c r="E268" s="79">
        <f t="shared" si="527"/>
        <v>-11.619999999999891</v>
      </c>
      <c r="F268" s="79">
        <f t="shared" si="527"/>
        <v>-16.254000000000019</v>
      </c>
      <c r="G268" s="251">
        <f t="shared" si="527"/>
        <v>-6.9330000000000496</v>
      </c>
      <c r="H268" s="86">
        <f t="shared" si="527"/>
        <v>-5.0929999999999609</v>
      </c>
      <c r="I268" s="86">
        <f t="shared" si="527"/>
        <v>-3.9110000000000014</v>
      </c>
      <c r="J268" s="86">
        <f t="shared" si="527"/>
        <v>-4.9649999999999181</v>
      </c>
      <c r="K268" s="79">
        <f>SUM(G268:J268)</f>
        <v>-20.90199999999993</v>
      </c>
      <c r="L268" s="86">
        <f>L270-SUM(L265:L267)</f>
        <v>-3.3020000000002483</v>
      </c>
      <c r="M268" s="86">
        <f>M270-SUM(M265:M267)</f>
        <v>-2.7459999999999809</v>
      </c>
      <c r="N268" s="86">
        <f>N270-SUM(N265:N267)</f>
        <v>0.19299999999998363</v>
      </c>
      <c r="O268" s="86">
        <f>O270-SUM(O265:O267)</f>
        <v>-9.2750000000000909</v>
      </c>
      <c r="P268" s="79">
        <f>SUM(L268:O268)</f>
        <v>-15.130000000000337</v>
      </c>
      <c r="Q268" s="86">
        <f>Q270-SUM(Q265:Q267)</f>
        <v>-6.5829999999997426</v>
      </c>
      <c r="R268" s="86">
        <f>R270-SUM(R265:R267)</f>
        <v>-6.9890000000000327</v>
      </c>
      <c r="S268" s="86">
        <f>S270-SUM(S265:S267)</f>
        <v>-14.075000000000045</v>
      </c>
      <c r="T268" s="86">
        <f>T270-SUM(T265:T267)</f>
        <v>-23.538999999999874</v>
      </c>
      <c r="U268" s="79">
        <f>SUM(Q268:T268)</f>
        <v>-51.185999999999694</v>
      </c>
      <c r="V268" s="86">
        <f>V270-SUM(V265:V267)</f>
        <v>-4.7320000000000846</v>
      </c>
      <c r="W268" s="86">
        <f>W270-SUM(W265:W267)</f>
        <v>1.3380000000000791</v>
      </c>
      <c r="X268" s="86">
        <f>X270-SUM(X265:X267)</f>
        <v>-5.7260000000001128</v>
      </c>
      <c r="Y268" s="86">
        <f>Y270-SUM(Y265:Y267)</f>
        <v>12.903000000000134</v>
      </c>
      <c r="Z268" s="79">
        <f>SUM(V268:Y268)</f>
        <v>3.7830000000000155</v>
      </c>
      <c r="AA268" s="86">
        <f>AA270-SUM(AA265:AA267)</f>
        <v>-2.2890000000002146</v>
      </c>
      <c r="AB268" s="86">
        <f>AB270-SUM(AB265:AB267)</f>
        <v>-9.4070000000000391</v>
      </c>
      <c r="AC268" s="86">
        <f>AC270-SUM(AC265:AC267)</f>
        <v>0.10200000000008913</v>
      </c>
      <c r="AD268" s="86">
        <f>AD270-SUM(AD265:AD267)</f>
        <v>-9.3859999999999673</v>
      </c>
      <c r="AE268" s="79">
        <f>SUM(AA268:AD268)</f>
        <v>-20.980000000000132</v>
      </c>
      <c r="AF268" s="86">
        <f>AF270-SUM(AF265:AF267)</f>
        <v>1.6330000000001519</v>
      </c>
      <c r="AG268" s="86">
        <f>AG270-SUM(AG265:AG267)</f>
        <v>-4.1000000000000227</v>
      </c>
      <c r="AH268" s="86">
        <f>AH270-SUM(AH265:AH267)</f>
        <v>-32.599999999999966</v>
      </c>
      <c r="AI268" s="86">
        <f>AI270-SUM(AI265:AI267)</f>
        <v>-5.7000000000000455</v>
      </c>
      <c r="AJ268" s="79">
        <f>SUM(AF268:AI268)</f>
        <v>-40.766999999999882</v>
      </c>
      <c r="AK268" s="86">
        <f>AK270-SUM(AK265:AK267)</f>
        <v>-3.0000000000000568</v>
      </c>
      <c r="AL268" s="86">
        <f>AL270-SUM(AL265:AL267)</f>
        <v>-6</v>
      </c>
      <c r="AM268" s="86">
        <f>AM270-SUM(AM265:AM267)</f>
        <v>-10</v>
      </c>
      <c r="AN268" s="86">
        <f>AN270-SUM(AN265:AN267)</f>
        <v>-117</v>
      </c>
      <c r="AO268" s="119">
        <f>SUM(AK268:AN268)</f>
        <v>-136.00000000000006</v>
      </c>
      <c r="AP268" s="86">
        <f>AP270-SUM(AP265:AP267)</f>
        <v>-21.999999999999943</v>
      </c>
      <c r="AQ268" s="86">
        <f>AQ270-SUM(AQ265:AQ267)</f>
        <v>-4</v>
      </c>
      <c r="AR268" s="86">
        <f>AR270-SUM(AR265:AR267)</f>
        <v>4</v>
      </c>
      <c r="AS268" s="86">
        <f>AS270-SUM(AS265:AS267)</f>
        <v>-128</v>
      </c>
      <c r="AT268" s="79">
        <f>SUM(AP268:AS268)</f>
        <v>-149.99999999999994</v>
      </c>
      <c r="AU268" s="86">
        <f>AU270-SUM(AU265:AU267)</f>
        <v>-6</v>
      </c>
      <c r="AV268" s="86">
        <f>AV270-SUM(AV265:AV267)</f>
        <v>-29</v>
      </c>
      <c r="AW268" s="86">
        <f>AW270-SUM(AW265:AW267)</f>
        <v>-3</v>
      </c>
      <c r="AX268" s="86">
        <f>AX270-SUM(AX265:AX267)</f>
        <v>-11</v>
      </c>
      <c r="AY268" s="79">
        <f>SUM(AU268:AX268)</f>
        <v>-49</v>
      </c>
      <c r="AZ268" s="86">
        <f>AZ270-SUM(AZ265:AZ267)</f>
        <v>0</v>
      </c>
      <c r="BA268" s="86">
        <f>BA270-SUM(BA265:BA267)</f>
        <v>3</v>
      </c>
      <c r="BB268" s="86">
        <f>BB270-SUM(BB265:BB267)</f>
        <v>18</v>
      </c>
      <c r="BC268" s="86">
        <f>BC270-SUM(BC265:BC267)</f>
        <v>-6</v>
      </c>
      <c r="BD268" s="79">
        <f>SUM(AZ268:BC268)</f>
        <v>15</v>
      </c>
      <c r="BE268" s="86">
        <f>BE270-SUM(BE265:BE267)</f>
        <v>-17</v>
      </c>
      <c r="BF268" s="86">
        <f>BF270-SUM(BF265:BF267)</f>
        <v>-7</v>
      </c>
      <c r="BG268" s="86">
        <f>BG270-SUM(BG265:BG267)</f>
        <v>5</v>
      </c>
      <c r="BH268" s="86">
        <f>BH270-SUM(BH265:BH267)</f>
        <v>-10</v>
      </c>
      <c r="BI268" s="79">
        <f>SUM(BE268:BH268)</f>
        <v>-29</v>
      </c>
      <c r="BJ268" s="86">
        <f>BJ270-SUM(BJ265:BJ267)</f>
        <v>-10</v>
      </c>
      <c r="BK268" s="86">
        <f>BK270-SUM(BK265:BK267)</f>
        <v>-14</v>
      </c>
      <c r="BL268" s="86">
        <f>BL270-SUM(BL265:BL267)</f>
        <v>-4</v>
      </c>
      <c r="BM268" s="86">
        <f>BM270-SUM(BM265:BM267)</f>
        <v>-9</v>
      </c>
      <c r="BN268" s="79">
        <f>SUM(BJ268:BM268)</f>
        <v>-37</v>
      </c>
      <c r="BO268" s="86">
        <f>BO270-SUM(BO265:BO267)</f>
        <v>-17</v>
      </c>
      <c r="BP268" s="587">
        <f>(-BP261*SUM(BP111:BP112))</f>
        <v>0</v>
      </c>
      <c r="BQ268" s="587">
        <f>(-BQ261*SUM(BQ111:BQ112))</f>
        <v>0</v>
      </c>
      <c r="BR268" s="587">
        <f>(-BR261*SUM(BR111:BR112))</f>
        <v>0</v>
      </c>
      <c r="BS268" s="79">
        <f>SUM(BO268:BR268)</f>
        <v>-17</v>
      </c>
      <c r="BT268" s="587">
        <f>(-BT261*SUM(BT111:BT112))</f>
        <v>0</v>
      </c>
      <c r="BU268" s="587">
        <f>(-BU261*SUM(BU111:BU112))</f>
        <v>0</v>
      </c>
      <c r="BV268" s="587">
        <f>(-BV261*SUM(BV111:BV112))</f>
        <v>0</v>
      </c>
      <c r="BW268" s="587">
        <f>(-BW261*SUM(BW111:BW112))</f>
        <v>0</v>
      </c>
      <c r="BX268" s="79">
        <f>SUM(BT268:BW268)</f>
        <v>0</v>
      </c>
      <c r="BY268" s="589">
        <f>(-BY261*SUM(BY111:BY112))</f>
        <v>0</v>
      </c>
      <c r="BZ268" s="589">
        <f>(-BZ261*SUM(BZ111:BZ112))</f>
        <v>0</v>
      </c>
      <c r="CA268" s="589">
        <f>(-CA261*SUM(CA111:CA112))</f>
        <v>0</v>
      </c>
      <c r="CB268" s="470"/>
      <c r="CC268" s="1360"/>
      <c r="CD268" s="251"/>
      <c r="CE268" s="575"/>
      <c r="CF268" s="575"/>
      <c r="CG268" s="575"/>
      <c r="CH268" s="575"/>
      <c r="CI268" s="575"/>
      <c r="CJ268" s="575"/>
      <c r="CK268" s="575"/>
      <c r="CL268" s="575"/>
      <c r="CM268" s="575"/>
      <c r="CN268" s="575"/>
      <c r="CO268" s="575"/>
      <c r="CP268" s="575"/>
      <c r="CQ268" s="575"/>
      <c r="CR268" s="575"/>
      <c r="CS268" s="575"/>
      <c r="CT268" s="575"/>
      <c r="CU268" s="575"/>
      <c r="CV268" s="575"/>
      <c r="CW268" s="575"/>
      <c r="CX268" s="575"/>
      <c r="CY268" s="575"/>
      <c r="CZ268" s="575"/>
      <c r="DA268" s="86"/>
      <c r="DB268" s="576"/>
      <c r="DC268"/>
      <c r="DD268"/>
      <c r="DE268"/>
      <c r="DF268"/>
      <c r="DG268"/>
      <c r="DH268"/>
    </row>
    <row r="269" spans="1:112" ht="5.25" customHeight="1">
      <c r="A269" s="42"/>
      <c r="B269" s="387" t="s">
        <v>62</v>
      </c>
      <c r="C269" s="387" t="s">
        <v>62</v>
      </c>
      <c r="D269" s="387" t="s">
        <v>62</v>
      </c>
      <c r="E269" s="387" t="s">
        <v>62</v>
      </c>
      <c r="F269" s="387" t="s">
        <v>62</v>
      </c>
      <c r="G269" s="388" t="s">
        <v>62</v>
      </c>
      <c r="H269" s="388" t="s">
        <v>62</v>
      </c>
      <c r="I269" s="388" t="s">
        <v>62</v>
      </c>
      <c r="J269" s="388" t="s">
        <v>62</v>
      </c>
      <c r="K269" s="387" t="s">
        <v>62</v>
      </c>
      <c r="L269" s="388" t="s">
        <v>62</v>
      </c>
      <c r="M269" s="388" t="s">
        <v>62</v>
      </c>
      <c r="N269" s="388" t="s">
        <v>62</v>
      </c>
      <c r="O269" s="388" t="s">
        <v>62</v>
      </c>
      <c r="P269" s="387" t="s">
        <v>62</v>
      </c>
      <c r="Q269" s="388" t="s">
        <v>62</v>
      </c>
      <c r="R269" s="388" t="s">
        <v>62</v>
      </c>
      <c r="S269" s="388" t="s">
        <v>62</v>
      </c>
      <c r="T269" s="388" t="s">
        <v>62</v>
      </c>
      <c r="U269" s="387" t="s">
        <v>62</v>
      </c>
      <c r="V269" s="388" t="s">
        <v>62</v>
      </c>
      <c r="W269" s="388" t="s">
        <v>62</v>
      </c>
      <c r="X269" s="388" t="s">
        <v>62</v>
      </c>
      <c r="Y269" s="388" t="s">
        <v>62</v>
      </c>
      <c r="Z269" s="387" t="s">
        <v>62</v>
      </c>
      <c r="AA269" s="388" t="s">
        <v>62</v>
      </c>
      <c r="AB269" s="388" t="s">
        <v>62</v>
      </c>
      <c r="AC269" s="388" t="s">
        <v>62</v>
      </c>
      <c r="AD269" s="388" t="s">
        <v>62</v>
      </c>
      <c r="AE269" s="387" t="s">
        <v>62</v>
      </c>
      <c r="AF269" s="388" t="s">
        <v>62</v>
      </c>
      <c r="AG269" s="388" t="s">
        <v>62</v>
      </c>
      <c r="AH269" s="388" t="s">
        <v>62</v>
      </c>
      <c r="AI269" s="388" t="s">
        <v>62</v>
      </c>
      <c r="AJ269" s="387" t="s">
        <v>62</v>
      </c>
      <c r="AK269" s="388" t="s">
        <v>62</v>
      </c>
      <c r="AL269" s="388" t="s">
        <v>62</v>
      </c>
      <c r="AM269" s="388" t="s">
        <v>62</v>
      </c>
      <c r="AN269" s="388" t="s">
        <v>62</v>
      </c>
      <c r="AO269" s="89" t="s">
        <v>62</v>
      </c>
      <c r="AP269" s="388" t="s">
        <v>62</v>
      </c>
      <c r="AQ269" s="388" t="s">
        <v>62</v>
      </c>
      <c r="AR269" s="388" t="s">
        <v>62</v>
      </c>
      <c r="AS269" s="388" t="s">
        <v>62</v>
      </c>
      <c r="AT269" s="387" t="s">
        <v>62</v>
      </c>
      <c r="AU269" s="388" t="s">
        <v>62</v>
      </c>
      <c r="AV269" s="388" t="s">
        <v>62</v>
      </c>
      <c r="AW269" s="388" t="s">
        <v>62</v>
      </c>
      <c r="AX269" s="388" t="s">
        <v>62</v>
      </c>
      <c r="AY269" s="387" t="s">
        <v>62</v>
      </c>
      <c r="AZ269" s="388" t="s">
        <v>62</v>
      </c>
      <c r="BA269" s="388" t="s">
        <v>62</v>
      </c>
      <c r="BB269" s="388" t="s">
        <v>62</v>
      </c>
      <c r="BC269" s="388" t="s">
        <v>62</v>
      </c>
      <c r="BD269" s="387" t="s">
        <v>62</v>
      </c>
      <c r="BE269" s="388" t="s">
        <v>62</v>
      </c>
      <c r="BF269" s="388" t="s">
        <v>62</v>
      </c>
      <c r="BG269" s="388" t="s">
        <v>62</v>
      </c>
      <c r="BH269" s="388" t="s">
        <v>62</v>
      </c>
      <c r="BI269" s="387" t="s">
        <v>62</v>
      </c>
      <c r="BJ269" s="388" t="s">
        <v>62</v>
      </c>
      <c r="BK269" s="388" t="s">
        <v>62</v>
      </c>
      <c r="BL269" s="388" t="s">
        <v>62</v>
      </c>
      <c r="BM269" s="388" t="s">
        <v>62</v>
      </c>
      <c r="BN269" s="387" t="s">
        <v>62</v>
      </c>
      <c r="BO269" s="388" t="s">
        <v>62</v>
      </c>
      <c r="BP269" s="388" t="s">
        <v>62</v>
      </c>
      <c r="BQ269" s="388" t="s">
        <v>62</v>
      </c>
      <c r="BR269" s="388" t="s">
        <v>62</v>
      </c>
      <c r="BS269" s="387" t="s">
        <v>62</v>
      </c>
      <c r="BT269" s="388" t="s">
        <v>62</v>
      </c>
      <c r="BU269" s="388" t="s">
        <v>62</v>
      </c>
      <c r="BV269" s="388" t="s">
        <v>62</v>
      </c>
      <c r="BW269" s="388" t="s">
        <v>62</v>
      </c>
      <c r="BX269" s="387" t="s">
        <v>62</v>
      </c>
      <c r="BY269" s="99" t="s">
        <v>62</v>
      </c>
      <c r="BZ269" s="99" t="s">
        <v>62</v>
      </c>
      <c r="CA269" s="99" t="s">
        <v>62</v>
      </c>
      <c r="CD269" s="370"/>
      <c r="CE269" s="530"/>
      <c r="CF269" s="530"/>
      <c r="CG269" s="530"/>
      <c r="CH269" s="530"/>
      <c r="CI269" s="530"/>
      <c r="CJ269" s="530"/>
      <c r="CK269" s="530"/>
      <c r="CL269" s="530"/>
      <c r="CM269" s="530"/>
      <c r="CN269" s="530"/>
      <c r="CO269" s="530"/>
      <c r="CP269" s="530"/>
      <c r="CQ269" s="530"/>
      <c r="CR269" s="530"/>
      <c r="CS269" s="530"/>
      <c r="CT269" s="530"/>
      <c r="CU269" s="530"/>
      <c r="CV269" s="530"/>
      <c r="CW269" s="530"/>
      <c r="CX269" s="530"/>
      <c r="CY269" s="530"/>
      <c r="CZ269" s="530"/>
      <c r="DA269" s="58"/>
      <c r="DB269" s="531"/>
    </row>
    <row r="270" spans="1:112" s="70" customFormat="1" ht="12" customHeight="1">
      <c r="A270" s="585" t="s">
        <v>225</v>
      </c>
      <c r="B270" s="2136">
        <f t="shared" ref="B270:J270" si="528">B152</f>
        <v>454.94</v>
      </c>
      <c r="C270" s="2136">
        <f t="shared" si="528"/>
        <v>431.46</v>
      </c>
      <c r="D270" s="2136">
        <f t="shared" si="528"/>
        <v>467.32799999999997</v>
      </c>
      <c r="E270" s="2136">
        <f t="shared" si="528"/>
        <v>513.06600000000003</v>
      </c>
      <c r="F270" s="2136">
        <f t="shared" si="528"/>
        <v>526.75</v>
      </c>
      <c r="G270" s="2134">
        <f t="shared" si="528"/>
        <v>506.834</v>
      </c>
      <c r="H270" s="2137">
        <f t="shared" si="528"/>
        <v>501.73599999999999</v>
      </c>
      <c r="I270" s="2137">
        <f t="shared" si="528"/>
        <v>500.29700000000003</v>
      </c>
      <c r="J270" s="2137">
        <f t="shared" si="528"/>
        <v>542.21900000000005</v>
      </c>
      <c r="K270" s="2136">
        <f>SUM(K265:K269)</f>
        <v>542.21900000000016</v>
      </c>
      <c r="L270" s="2137">
        <f>L152</f>
        <v>535.04499999999996</v>
      </c>
      <c r="M270" s="2137">
        <f>M152</f>
        <v>569.70799999999997</v>
      </c>
      <c r="N270" s="2137">
        <f>N152</f>
        <v>609.39800000000002</v>
      </c>
      <c r="O270" s="2137">
        <f>O152</f>
        <v>660.76599999999996</v>
      </c>
      <c r="P270" s="2136">
        <f>SUM(P265:P269)</f>
        <v>660.76599999999985</v>
      </c>
      <c r="Q270" s="2137">
        <f>Q152</f>
        <v>656.23400000000004</v>
      </c>
      <c r="R270" s="2137">
        <f>R152</f>
        <v>648.15300000000002</v>
      </c>
      <c r="S270" s="2137">
        <f>S152</f>
        <v>630.24699999999996</v>
      </c>
      <c r="T270" s="2137">
        <f>T152</f>
        <v>621.06200000000001</v>
      </c>
      <c r="U270" s="2136">
        <f>SUM(U265:U269)</f>
        <v>621.06200000000013</v>
      </c>
      <c r="V270" s="2137">
        <f>V152</f>
        <v>596.654</v>
      </c>
      <c r="W270" s="2137">
        <f>W152</f>
        <v>584.04300000000001</v>
      </c>
      <c r="X270" s="2137">
        <f>X152</f>
        <v>575.12099999999998</v>
      </c>
      <c r="Y270" s="2137">
        <f>Y152</f>
        <v>579.79600000000005</v>
      </c>
      <c r="Z270" s="2136">
        <f>SUM(Z265:Z269)</f>
        <v>579.79600000000016</v>
      </c>
      <c r="AA270" s="2137">
        <f>AA152</f>
        <v>558.80700000000002</v>
      </c>
      <c r="AB270" s="2137">
        <f>AB152</f>
        <v>545.79999999999995</v>
      </c>
      <c r="AC270" s="2137">
        <f>AC152</f>
        <v>542.202</v>
      </c>
      <c r="AD270" s="2137">
        <f>AD152</f>
        <v>548.76700000000005</v>
      </c>
      <c r="AE270" s="2136">
        <f>SUM(AE265:AE269)</f>
        <v>548.76699999999994</v>
      </c>
      <c r="AF270" s="2137">
        <f>AF152</f>
        <v>536.6</v>
      </c>
      <c r="AG270" s="2137">
        <f>AG152</f>
        <v>526.5</v>
      </c>
      <c r="AH270" s="2137">
        <f>AH152</f>
        <v>488.3</v>
      </c>
      <c r="AI270" s="2137">
        <f>AI152</f>
        <v>500</v>
      </c>
      <c r="AJ270" s="2136">
        <f>SUM(AJ265:AJ269)</f>
        <v>500.00000000000006</v>
      </c>
      <c r="AK270" s="2137">
        <f>AK152</f>
        <v>485</v>
      </c>
      <c r="AL270" s="2137">
        <f>AL152</f>
        <v>482</v>
      </c>
      <c r="AM270" s="2137">
        <f>AM152</f>
        <v>482</v>
      </c>
      <c r="AN270" s="2137">
        <f>AN152</f>
        <v>368</v>
      </c>
      <c r="AO270" s="2139">
        <f>SUM(AO265:AO269)</f>
        <v>367.99999999999994</v>
      </c>
      <c r="AP270" s="2137">
        <f>AP152</f>
        <v>345</v>
      </c>
      <c r="AQ270" s="2137">
        <f>AQ152</f>
        <v>340</v>
      </c>
      <c r="AR270" s="2137">
        <f>AR152</f>
        <v>336</v>
      </c>
      <c r="AS270" s="2137">
        <f>AS152</f>
        <v>249</v>
      </c>
      <c r="AT270" s="2136">
        <f>SUM(AT265:AT269)</f>
        <v>249</v>
      </c>
      <c r="AU270" s="2137">
        <f>AU152</f>
        <v>242</v>
      </c>
      <c r="AV270" s="2137">
        <f>AV152</f>
        <v>209</v>
      </c>
      <c r="AW270" s="2134">
        <f>AW152</f>
        <v>199</v>
      </c>
      <c r="AX270" s="2134">
        <f>AX152</f>
        <v>206</v>
      </c>
      <c r="AY270" s="2136">
        <f>SUM(AY265:AY269)</f>
        <v>206</v>
      </c>
      <c r="AZ270" s="2137">
        <f>AZ152</f>
        <v>200</v>
      </c>
      <c r="BA270" s="2137">
        <f>BA152</f>
        <v>208</v>
      </c>
      <c r="BB270" s="2137">
        <f>BB152</f>
        <v>237</v>
      </c>
      <c r="BC270" s="2134">
        <f>BC152</f>
        <v>270</v>
      </c>
      <c r="BD270" s="2136">
        <f>SUM(BD265:BD269)</f>
        <v>270</v>
      </c>
      <c r="BE270" s="2134">
        <f>BE152</f>
        <v>251</v>
      </c>
      <c r="BF270" s="2137">
        <f>BF152</f>
        <v>242</v>
      </c>
      <c r="BG270" s="2137">
        <f>BG152</f>
        <v>255</v>
      </c>
      <c r="BH270" s="2134">
        <f>BH152</f>
        <v>271</v>
      </c>
      <c r="BI270" s="2136">
        <f>SUM(BI265:BI269)</f>
        <v>271</v>
      </c>
      <c r="BJ270" s="2134">
        <f>BJ152</f>
        <v>265</v>
      </c>
      <c r="BK270" s="2137">
        <f>BK152</f>
        <v>264</v>
      </c>
      <c r="BL270" s="2137">
        <f>BL152</f>
        <v>259</v>
      </c>
      <c r="BM270" s="2137">
        <f>BM152</f>
        <v>275</v>
      </c>
      <c r="BN270" s="2136">
        <f>SUM(BN265:BN269)</f>
        <v>275</v>
      </c>
      <c r="BO270" s="2134">
        <f>BO152</f>
        <v>270</v>
      </c>
      <c r="BP270" s="248">
        <f>SUM(BP265:BP268)</f>
        <v>288.38968550576965</v>
      </c>
      <c r="BQ270" s="248">
        <f>SUM(BQ265:BQ268)</f>
        <v>306.00190932827297</v>
      </c>
      <c r="BR270" s="248">
        <f>SUM(BR265:BR268)</f>
        <v>325.54685226457337</v>
      </c>
      <c r="BS270" s="67">
        <f>SUM(BS265:BS269)</f>
        <v>325.54685226457337</v>
      </c>
      <c r="BT270" s="248">
        <f>SUM(BT265:BT268)</f>
        <v>342.50039829654992</v>
      </c>
      <c r="BU270" s="248">
        <f>SUM(BU265:BU268)</f>
        <v>358.72647864512879</v>
      </c>
      <c r="BV270" s="248">
        <f>SUM(BV265:BV268)</f>
        <v>375.08117662659544</v>
      </c>
      <c r="BW270" s="248">
        <f>SUM(BW265:BW268)</f>
        <v>391.03855117374246</v>
      </c>
      <c r="BX270" s="67">
        <f>SUM(BX265:BX269)</f>
        <v>391.03855117374241</v>
      </c>
      <c r="BY270" s="419">
        <f>SUM(BY265:BY268)</f>
        <v>447.68634476584293</v>
      </c>
      <c r="BZ270" s="419">
        <f>SUM(BZ265:BZ268)</f>
        <v>496.92769249010064</v>
      </c>
      <c r="CA270" s="419">
        <f>SUM(CA265:CA268)</f>
        <v>549.63856383749248</v>
      </c>
      <c r="CB270" s="447"/>
      <c r="CC270" s="1359"/>
      <c r="CD270" s="586"/>
      <c r="CE270" s="560"/>
      <c r="CF270" s="560"/>
      <c r="CG270" s="560"/>
      <c r="CH270" s="560"/>
      <c r="CI270" s="560"/>
      <c r="CJ270" s="560"/>
      <c r="CK270" s="560"/>
      <c r="CL270" s="560"/>
      <c r="CM270" s="560"/>
      <c r="CN270" s="560"/>
      <c r="CO270" s="560"/>
      <c r="CP270" s="560"/>
      <c r="CQ270" s="560"/>
      <c r="CR270" s="560"/>
      <c r="CS270" s="560"/>
      <c r="CT270" s="560"/>
      <c r="CU270" s="560"/>
      <c r="CV270" s="560"/>
      <c r="CW270" s="560"/>
      <c r="CX270" s="560"/>
      <c r="CY270" s="560"/>
      <c r="CZ270" s="560"/>
      <c r="DA270" s="74"/>
      <c r="DB270" s="561"/>
      <c r="DC270"/>
      <c r="DD270"/>
      <c r="DE270"/>
      <c r="DF270"/>
      <c r="DG270"/>
      <c r="DH270"/>
    </row>
    <row r="271" spans="1:112" s="595" customFormat="1" ht="12" customHeight="1">
      <c r="A271" s="590"/>
      <c r="B271" s="495"/>
      <c r="C271" s="495"/>
      <c r="D271" s="495"/>
      <c r="E271" s="495"/>
      <c r="F271" s="495"/>
      <c r="G271" s="407"/>
      <c r="H271" s="591"/>
      <c r="I271" s="591"/>
      <c r="J271" s="591"/>
      <c r="K271" s="495"/>
      <c r="L271" s="591"/>
      <c r="M271" s="591"/>
      <c r="N271" s="591"/>
      <c r="O271" s="591"/>
      <c r="P271" s="495"/>
      <c r="Q271" s="591"/>
      <c r="R271" s="591"/>
      <c r="S271" s="591"/>
      <c r="T271" s="591"/>
      <c r="U271" s="495"/>
      <c r="V271" s="591"/>
      <c r="W271" s="591"/>
      <c r="X271" s="591"/>
      <c r="Y271" s="591"/>
      <c r="Z271" s="495"/>
      <c r="AA271" s="591"/>
      <c r="AB271" s="591"/>
      <c r="AC271" s="591"/>
      <c r="AD271" s="591"/>
      <c r="AE271" s="495"/>
      <c r="AF271" s="591"/>
      <c r="AG271" s="591"/>
      <c r="AH271" s="591"/>
      <c r="AI271" s="591"/>
      <c r="AJ271" s="495"/>
      <c r="AK271" s="591"/>
      <c r="AL271" s="591"/>
      <c r="AM271" s="591"/>
      <c r="AN271" s="591"/>
      <c r="AO271" s="495"/>
      <c r="AP271" s="591"/>
      <c r="AQ271" s="591"/>
      <c r="AR271" s="591"/>
      <c r="AS271" s="591"/>
      <c r="AT271" s="495"/>
      <c r="AU271" s="591"/>
      <c r="AV271" s="591"/>
      <c r="AW271" s="407"/>
      <c r="AX271" s="408"/>
      <c r="AY271" s="592"/>
      <c r="AZ271" s="408"/>
      <c r="BA271" s="408"/>
      <c r="BB271" s="408"/>
      <c r="BC271" s="408"/>
      <c r="BD271" s="592"/>
      <c r="BE271" s="408"/>
      <c r="BF271" s="408"/>
      <c r="BG271" s="408"/>
      <c r="BH271" s="408"/>
      <c r="BI271" s="592"/>
      <c r="BJ271" s="408"/>
      <c r="BK271" s="408"/>
      <c r="BL271" s="408"/>
      <c r="BM271" s="408"/>
      <c r="BN271" s="592"/>
      <c r="BO271" s="408"/>
      <c r="BP271" s="408"/>
      <c r="BQ271" s="408"/>
      <c r="BR271" s="408"/>
      <c r="BS271" s="592"/>
      <c r="BT271" s="408"/>
      <c r="BU271" s="408"/>
      <c r="BV271" s="408"/>
      <c r="BW271" s="408"/>
      <c r="BX271" s="592"/>
      <c r="BY271" s="593"/>
      <c r="BZ271" s="593"/>
      <c r="CA271" s="593"/>
      <c r="CB271" s="594"/>
      <c r="CD271" s="408"/>
      <c r="CE271" s="408"/>
      <c r="CF271" s="408"/>
      <c r="CG271" s="408"/>
      <c r="CH271" s="408"/>
      <c r="CI271" s="408"/>
      <c r="CJ271" s="408"/>
      <c r="CK271" s="408"/>
      <c r="CL271" s="408"/>
      <c r="CM271" s="408"/>
      <c r="CN271" s="408"/>
      <c r="CO271" s="408"/>
      <c r="CP271" s="408"/>
      <c r="CQ271" s="408"/>
      <c r="CR271" s="408"/>
      <c r="CS271" s="408"/>
      <c r="CT271" s="408"/>
      <c r="CU271" s="408"/>
      <c r="CV271" s="408"/>
      <c r="CW271" s="408"/>
      <c r="CX271" s="408"/>
      <c r="CY271" s="408"/>
      <c r="CZ271" s="408"/>
      <c r="DA271" s="590"/>
      <c r="DB271" s="596"/>
      <c r="DC271"/>
      <c r="DD271"/>
      <c r="DE271"/>
      <c r="DF271"/>
      <c r="DG271"/>
      <c r="DH271"/>
    </row>
    <row r="272" spans="1:112" ht="12" customHeight="1">
      <c r="A272" s="583" t="s">
        <v>226</v>
      </c>
      <c r="B272" s="79"/>
      <c r="C272" s="79"/>
      <c r="D272" s="79"/>
      <c r="E272" s="79"/>
      <c r="F272" s="79"/>
      <c r="G272" s="251"/>
      <c r="H272" s="86"/>
      <c r="I272" s="86"/>
      <c r="J272" s="86"/>
      <c r="K272" s="79"/>
      <c r="L272" s="86"/>
      <c r="M272" s="86"/>
      <c r="N272" s="86"/>
      <c r="O272" s="86"/>
      <c r="P272" s="79"/>
      <c r="Q272" s="86"/>
      <c r="R272" s="86"/>
      <c r="S272" s="86"/>
      <c r="T272" s="86"/>
      <c r="U272" s="79"/>
      <c r="V272" s="86"/>
      <c r="W272" s="86"/>
      <c r="X272" s="86"/>
      <c r="Y272" s="86"/>
      <c r="Z272" s="79"/>
      <c r="AA272" s="86"/>
      <c r="AB272" s="86"/>
      <c r="AC272" s="86"/>
      <c r="AD272" s="86"/>
      <c r="AE272" s="79"/>
      <c r="AF272" s="86"/>
      <c r="AG272" s="86"/>
      <c r="AH272" s="86"/>
      <c r="AI272" s="86"/>
      <c r="AJ272" s="79"/>
      <c r="AK272" s="390"/>
      <c r="AL272" s="390"/>
      <c r="AM272" s="390"/>
      <c r="AN272" s="390"/>
      <c r="AO272" s="119"/>
      <c r="AP272" s="390"/>
      <c r="AQ272" s="390"/>
      <c r="AR272" s="390"/>
      <c r="AS272" s="86"/>
      <c r="AT272" s="79"/>
      <c r="AU272" s="390"/>
      <c r="AV272" s="390"/>
      <c r="AW272" s="251"/>
      <c r="AX272" s="251"/>
      <c r="AY272" s="79"/>
      <c r="AZ272" s="251"/>
      <c r="BA272" s="251"/>
      <c r="BB272" s="251"/>
      <c r="BC272" s="251"/>
      <c r="BD272" s="79"/>
      <c r="BE272" s="251"/>
      <c r="BF272" s="251"/>
      <c r="BG272" s="251"/>
      <c r="BH272" s="251"/>
      <c r="BI272" s="79"/>
      <c r="BJ272" s="251"/>
      <c r="BK272" s="251"/>
      <c r="BL272" s="251"/>
      <c r="BM272" s="251"/>
      <c r="BN272" s="79"/>
      <c r="BO272" s="251"/>
      <c r="BP272" s="251"/>
      <c r="BQ272" s="251"/>
      <c r="BR272" s="251"/>
      <c r="BS272" s="79"/>
      <c r="BT272" s="251"/>
      <c r="BU272" s="251"/>
      <c r="BV272" s="251"/>
      <c r="BW272" s="251"/>
      <c r="BX272" s="79"/>
      <c r="BY272" s="394"/>
      <c r="BZ272" s="394"/>
      <c r="CA272" s="394"/>
      <c r="CD272" s="584"/>
      <c r="CE272" s="530"/>
      <c r="CF272" s="530"/>
      <c r="CG272" s="530"/>
      <c r="CH272" s="530"/>
      <c r="CI272" s="530"/>
      <c r="CJ272" s="530"/>
      <c r="CK272" s="530"/>
      <c r="CL272" s="530"/>
      <c r="CM272" s="530"/>
      <c r="CN272" s="530"/>
      <c r="CO272" s="530"/>
      <c r="CP272" s="530"/>
      <c r="CQ272" s="530"/>
      <c r="CR272" s="530"/>
      <c r="CS272" s="530"/>
      <c r="CT272" s="530"/>
      <c r="CU272" s="530"/>
      <c r="CV272" s="530"/>
      <c r="CW272" s="530"/>
      <c r="CX272" s="530"/>
      <c r="CY272" s="530"/>
      <c r="CZ272" s="530"/>
      <c r="DA272" s="58"/>
      <c r="DB272" s="531"/>
    </row>
    <row r="273" spans="1:112" s="70" customFormat="1" ht="12" customHeight="1">
      <c r="A273" s="585" t="s">
        <v>227</v>
      </c>
      <c r="B273" s="67"/>
      <c r="C273" s="67"/>
      <c r="D273" s="2136">
        <f t="shared" ref="D273:J273" si="529">C277</f>
        <v>510.82100000000014</v>
      </c>
      <c r="E273" s="2136">
        <f t="shared" si="529"/>
        <v>463.10000000000014</v>
      </c>
      <c r="F273" s="2136">
        <f t="shared" si="529"/>
        <v>448.14499999999998</v>
      </c>
      <c r="G273" s="2134">
        <f t="shared" si="529"/>
        <v>697.34300000000007</v>
      </c>
      <c r="H273" s="2137">
        <f t="shared" si="529"/>
        <v>687.82999999999993</v>
      </c>
      <c r="I273" s="2137">
        <f t="shared" si="529"/>
        <v>675.82700000000023</v>
      </c>
      <c r="J273" s="2137">
        <f t="shared" si="529"/>
        <v>668.90700000000015</v>
      </c>
      <c r="K273" s="2136">
        <f>F277</f>
        <v>697.34300000000007</v>
      </c>
      <c r="L273" s="2137">
        <f>K277</f>
        <v>653.45200000000011</v>
      </c>
      <c r="M273" s="2137">
        <f>L277</f>
        <v>638.93900000000031</v>
      </c>
      <c r="N273" s="2137">
        <f>M277</f>
        <v>637.48700000000008</v>
      </c>
      <c r="O273" s="2137">
        <f>N277</f>
        <v>652.29000000000019</v>
      </c>
      <c r="P273" s="2136">
        <f>K277</f>
        <v>653.45200000000011</v>
      </c>
      <c r="Q273" s="2137">
        <f>P277</f>
        <v>638.49099999999999</v>
      </c>
      <c r="R273" s="2137">
        <f>Q277</f>
        <v>625.16399999999976</v>
      </c>
      <c r="S273" s="2137">
        <f>R277</f>
        <v>620.16600000000017</v>
      </c>
      <c r="T273" s="2137">
        <f>S277</f>
        <v>606.16100000000029</v>
      </c>
      <c r="U273" s="2136">
        <f>P277</f>
        <v>638.49099999999999</v>
      </c>
      <c r="V273" s="2137">
        <f>U277</f>
        <v>591.12999999999988</v>
      </c>
      <c r="W273" s="2137">
        <f>V277</f>
        <v>576.82000000000016</v>
      </c>
      <c r="X273" s="2137">
        <f>W277</f>
        <v>565.60800000000017</v>
      </c>
      <c r="Y273" s="2137">
        <f>X277</f>
        <v>554.75399999999991</v>
      </c>
      <c r="Z273" s="2136">
        <f>U277</f>
        <v>591.12999999999988</v>
      </c>
      <c r="AA273" s="2137">
        <f>Z277</f>
        <v>538.73500000000013</v>
      </c>
      <c r="AB273" s="2137">
        <f>AA277</f>
        <v>528.80400000000009</v>
      </c>
      <c r="AC273" s="2137">
        <f>AB277</f>
        <v>520.7360000000001</v>
      </c>
      <c r="AD273" s="2137">
        <f>AC277</f>
        <v>656.44899999999996</v>
      </c>
      <c r="AE273" s="2136">
        <f>Z277</f>
        <v>538.73500000000013</v>
      </c>
      <c r="AF273" s="2137">
        <f>AE277</f>
        <v>663.88199999999995</v>
      </c>
      <c r="AG273" s="2137">
        <f>AF277</f>
        <v>681.5</v>
      </c>
      <c r="AH273" s="2137">
        <f>AG277</f>
        <v>666.7</v>
      </c>
      <c r="AI273" s="2137">
        <f>AH277</f>
        <v>621.29999999999995</v>
      </c>
      <c r="AJ273" s="2136">
        <f>AE277</f>
        <v>663.88199999999995</v>
      </c>
      <c r="AK273" s="2138">
        <f>AJ277</f>
        <v>607.99999999999989</v>
      </c>
      <c r="AL273" s="2137">
        <f>AK277</f>
        <v>597</v>
      </c>
      <c r="AM273" s="2137">
        <f>AL277</f>
        <v>1267</v>
      </c>
      <c r="AN273" s="2137">
        <f>AM277</f>
        <v>1247</v>
      </c>
      <c r="AO273" s="2139">
        <f>AJ277</f>
        <v>607.99999999999989</v>
      </c>
      <c r="AP273" s="2138">
        <f>AO277</f>
        <v>1081</v>
      </c>
      <c r="AQ273" s="2137">
        <f>AP277</f>
        <v>1054</v>
      </c>
      <c r="AR273" s="2137">
        <f>AQ277</f>
        <v>1037</v>
      </c>
      <c r="AS273" s="2137">
        <f>AR277</f>
        <v>1023</v>
      </c>
      <c r="AT273" s="2136">
        <f>AO277</f>
        <v>1081</v>
      </c>
      <c r="AU273" s="2138">
        <f>AT277</f>
        <v>1033</v>
      </c>
      <c r="AV273" s="2137">
        <f>AU277</f>
        <v>1036</v>
      </c>
      <c r="AW273" s="2137">
        <f>AV277</f>
        <v>1022</v>
      </c>
      <c r="AX273" s="2137">
        <f>AW277</f>
        <v>1012</v>
      </c>
      <c r="AY273" s="2136">
        <f>AT277</f>
        <v>1033</v>
      </c>
      <c r="AZ273" s="2134">
        <f>AY277</f>
        <v>1004</v>
      </c>
      <c r="BA273" s="2134">
        <f>AZ277</f>
        <v>986</v>
      </c>
      <c r="BB273" s="2134">
        <f>BA277</f>
        <v>977</v>
      </c>
      <c r="BC273" s="2137">
        <f>BB277</f>
        <v>1881</v>
      </c>
      <c r="BD273" s="2136">
        <f>AY277</f>
        <v>1004</v>
      </c>
      <c r="BE273" s="2134">
        <f>BD277</f>
        <v>1522</v>
      </c>
      <c r="BF273" s="2134">
        <f>BE277</f>
        <v>1488</v>
      </c>
      <c r="BG273" s="2134">
        <f>BF277</f>
        <v>1483</v>
      </c>
      <c r="BH273" s="2137">
        <f>BG277</f>
        <v>1518</v>
      </c>
      <c r="BI273" s="2136">
        <f>BD277</f>
        <v>1522</v>
      </c>
      <c r="BJ273" s="2134">
        <f>BI277</f>
        <v>1506</v>
      </c>
      <c r="BK273" s="2134">
        <f>BJ277</f>
        <v>1474</v>
      </c>
      <c r="BL273" s="2134">
        <f>BK277</f>
        <v>1442</v>
      </c>
      <c r="BM273" s="2137">
        <f>BL277</f>
        <v>1421</v>
      </c>
      <c r="BN273" s="2136">
        <f>BI277</f>
        <v>1506</v>
      </c>
      <c r="BO273" s="2134">
        <f>BN277</f>
        <v>1388</v>
      </c>
      <c r="BP273" s="2134">
        <f>BO277</f>
        <v>1390</v>
      </c>
      <c r="BQ273" s="2134">
        <f>BP277</f>
        <v>1355.5</v>
      </c>
      <c r="BR273" s="2134">
        <f>BQ277</f>
        <v>1321</v>
      </c>
      <c r="BS273" s="2136">
        <f>BN277</f>
        <v>1388</v>
      </c>
      <c r="BT273" s="2134">
        <f>BS277</f>
        <v>1286.5</v>
      </c>
      <c r="BU273" s="2134">
        <f>BT277</f>
        <v>1256.375</v>
      </c>
      <c r="BV273" s="2134">
        <f>BU277</f>
        <v>1226.25</v>
      </c>
      <c r="BW273" s="2134">
        <f>BV277</f>
        <v>1196.125</v>
      </c>
      <c r="BX273" s="2136">
        <f>BS277</f>
        <v>1286.5</v>
      </c>
      <c r="BY273" s="2140">
        <f>BX277</f>
        <v>1166</v>
      </c>
      <c r="BZ273" s="2140">
        <f>BY277</f>
        <v>1051.5</v>
      </c>
      <c r="CA273" s="2140">
        <f>BZ277</f>
        <v>949</v>
      </c>
      <c r="CB273" s="447"/>
      <c r="CC273" s="1359"/>
      <c r="CD273" s="586"/>
      <c r="CE273" s="560"/>
      <c r="CF273" s="560"/>
      <c r="CG273" s="560"/>
      <c r="CH273" s="560"/>
      <c r="CI273" s="560"/>
      <c r="CJ273" s="560"/>
      <c r="CK273" s="560"/>
      <c r="CL273" s="560"/>
      <c r="CM273" s="560"/>
      <c r="CN273" s="560"/>
      <c r="CO273" s="560"/>
      <c r="CP273" s="560"/>
      <c r="CQ273" s="560"/>
      <c r="CR273" s="560"/>
      <c r="CS273" s="560"/>
      <c r="CT273" s="560"/>
      <c r="CU273" s="560"/>
      <c r="CV273" s="560"/>
      <c r="CW273" s="560"/>
      <c r="CX273" s="560"/>
      <c r="CY273" s="560"/>
      <c r="CZ273" s="560"/>
      <c r="DA273" s="74"/>
      <c r="DB273" s="561"/>
      <c r="DC273"/>
      <c r="DD273"/>
      <c r="DE273"/>
      <c r="DF273"/>
      <c r="DG273"/>
      <c r="DH273"/>
    </row>
    <row r="274" spans="1:112" s="82" customFormat="1" ht="12" customHeight="1">
      <c r="A274" s="390" t="s">
        <v>228</v>
      </c>
      <c r="B274" s="2124">
        <f t="shared" ref="B274:J274" si="530">-B87</f>
        <v>-91.555000000000007</v>
      </c>
      <c r="C274" s="2124">
        <f t="shared" si="530"/>
        <v>-38.789000000000001</v>
      </c>
      <c r="D274" s="2124">
        <f t="shared" si="530"/>
        <v>-33.738999999999997</v>
      </c>
      <c r="E274" s="2124">
        <f t="shared" si="530"/>
        <v>-32.47</v>
      </c>
      <c r="F274" s="2124">
        <f t="shared" si="530"/>
        <v>-44.234999999999999</v>
      </c>
      <c r="G274" s="2123">
        <f t="shared" si="530"/>
        <v>-11.926</v>
      </c>
      <c r="H274" s="2128">
        <f t="shared" si="530"/>
        <v>-12.107000000000001</v>
      </c>
      <c r="I274" s="2128">
        <f t="shared" si="530"/>
        <v>-12.137000000000002</v>
      </c>
      <c r="J274" s="2128">
        <f t="shared" si="530"/>
        <v>-12.217000000000001</v>
      </c>
      <c r="K274" s="588">
        <f>SUM(G274:J274)</f>
        <v>-48.387</v>
      </c>
      <c r="L274" s="2128">
        <f>-L87</f>
        <v>-11.612</v>
      </c>
      <c r="M274" s="2128">
        <f>-M87</f>
        <v>-11.467999999999998</v>
      </c>
      <c r="N274" s="2128">
        <f>-N87</f>
        <v>-11.709000000000005</v>
      </c>
      <c r="O274" s="2128">
        <f>-O87</f>
        <v>-13.613999999999999</v>
      </c>
      <c r="P274" s="588">
        <f>SUM(L274:O274)</f>
        <v>-48.402999999999999</v>
      </c>
      <c r="Q274" s="2128">
        <f>-Q87</f>
        <v>-14.2</v>
      </c>
      <c r="R274" s="2128">
        <f>-R87</f>
        <v>-13.144000000000002</v>
      </c>
      <c r="S274" s="2128">
        <f>-S87</f>
        <v>-13.637</v>
      </c>
      <c r="T274" s="2128">
        <f>-T87</f>
        <v>-17.515999999999998</v>
      </c>
      <c r="U274" s="588">
        <f>SUM(Q274:T274)</f>
        <v>-58.497</v>
      </c>
      <c r="V274" s="2128">
        <f>-V87</f>
        <v>-14.204000000000001</v>
      </c>
      <c r="W274" s="2128">
        <f>-W87</f>
        <v>-11.439999999999998</v>
      </c>
      <c r="X274" s="2128">
        <f>-X87</f>
        <v>-11.066000000000003</v>
      </c>
      <c r="Y274" s="2128">
        <f>-Y87</f>
        <v>-16.009999999999998</v>
      </c>
      <c r="Z274" s="588">
        <f>SUM(V274:Y274)</f>
        <v>-52.72</v>
      </c>
      <c r="AA274" s="2128">
        <f>-AA87</f>
        <v>-10</v>
      </c>
      <c r="AB274" s="2128">
        <f>-AB87</f>
        <v>-13</v>
      </c>
      <c r="AC274" s="2128">
        <f>-AC87</f>
        <v>-9</v>
      </c>
      <c r="AD274" s="2128">
        <f>-AD87</f>
        <v>-13.594999999999999</v>
      </c>
      <c r="AE274" s="588">
        <f>SUM(AA274:AD274)</f>
        <v>-45.594999999999999</v>
      </c>
      <c r="AF274" s="2128">
        <f>-AF87</f>
        <v>-14.8</v>
      </c>
      <c r="AG274" s="2128">
        <f>-AG87</f>
        <v>-14.899999999999999</v>
      </c>
      <c r="AH274" s="2128">
        <f>-AH87</f>
        <v>-15.400000000000002</v>
      </c>
      <c r="AI274" s="2128">
        <f>-AI87</f>
        <v>-14.899999999999999</v>
      </c>
      <c r="AJ274" s="588">
        <f>SUM(AF274:AI274)</f>
        <v>-60</v>
      </c>
      <c r="AK274" s="2141">
        <f>-AK87</f>
        <v>-9</v>
      </c>
      <c r="AL274" s="2128">
        <f>-AL87</f>
        <v>-11</v>
      </c>
      <c r="AM274" s="2128">
        <f>-AM87</f>
        <v>-15</v>
      </c>
      <c r="AN274" s="2128">
        <f>-AN87</f>
        <v>-13</v>
      </c>
      <c r="AO274" s="597">
        <f>SUM(AK274:AN274)</f>
        <v>-48</v>
      </c>
      <c r="AP274" s="2141">
        <f>-AP87</f>
        <v>-12</v>
      </c>
      <c r="AQ274" s="2128">
        <f>-AQ87</f>
        <v>-13</v>
      </c>
      <c r="AR274" s="2128">
        <f>-AR87</f>
        <v>-13</v>
      </c>
      <c r="AS274" s="2128">
        <f>-AS87</f>
        <v>-13</v>
      </c>
      <c r="AT274" s="588">
        <f>SUM(AP274:AS274)</f>
        <v>-51</v>
      </c>
      <c r="AU274" s="2141">
        <f>-AU87</f>
        <v>-12</v>
      </c>
      <c r="AV274" s="2128">
        <f>-AV87</f>
        <v>-12</v>
      </c>
      <c r="AW274" s="2128">
        <f>-AW87</f>
        <v>-12</v>
      </c>
      <c r="AX274" s="2128">
        <f>-AX87</f>
        <v>-12</v>
      </c>
      <c r="AY274" s="588">
        <f>SUM(AU274:AX274)</f>
        <v>-48</v>
      </c>
      <c r="AZ274" s="2123">
        <f>-AZ87</f>
        <v>-11</v>
      </c>
      <c r="BA274" s="2123">
        <f>-BA87</f>
        <v>-12</v>
      </c>
      <c r="BB274" s="2123">
        <f>-BB87</f>
        <v>-17</v>
      </c>
      <c r="BC274" s="2128">
        <f>-BC87</f>
        <v>-27</v>
      </c>
      <c r="BD274" s="588">
        <f>SUM(AZ274:BC274)</f>
        <v>-67</v>
      </c>
      <c r="BE274" s="2123">
        <f>-BE87</f>
        <v>-24</v>
      </c>
      <c r="BF274" s="2123">
        <f>-BF87</f>
        <v>-23</v>
      </c>
      <c r="BG274" s="2123">
        <f>-BG87</f>
        <v>-24</v>
      </c>
      <c r="BH274" s="2128">
        <f>-BH87</f>
        <v>-25</v>
      </c>
      <c r="BI274" s="588">
        <f>SUM(BE274:BH274)</f>
        <v>-96</v>
      </c>
      <c r="BJ274" s="2123">
        <f>-BJ87</f>
        <v>-24</v>
      </c>
      <c r="BK274" s="2123">
        <f>-BK87</f>
        <v>-25</v>
      </c>
      <c r="BL274" s="2123">
        <f>-BL87</f>
        <v>-24</v>
      </c>
      <c r="BM274" s="2128">
        <f>-BM87</f>
        <v>-25</v>
      </c>
      <c r="BN274" s="588">
        <f>SUM(BJ274:BM274)</f>
        <v>-98</v>
      </c>
      <c r="BO274" s="2123">
        <f>-BO87</f>
        <v>-24</v>
      </c>
      <c r="BP274" s="78">
        <f>-BP87</f>
        <v>-34.5</v>
      </c>
      <c r="BQ274" s="78">
        <f>-BQ87</f>
        <v>-34.5</v>
      </c>
      <c r="BR274" s="78">
        <f>-BR87</f>
        <v>-34.5</v>
      </c>
      <c r="BS274" s="588">
        <f>SUM(BO274:BR274)</f>
        <v>-127.5</v>
      </c>
      <c r="BT274" s="78">
        <f>-BT87</f>
        <v>-30.125</v>
      </c>
      <c r="BU274" s="78">
        <f>-BU87</f>
        <v>-30.125</v>
      </c>
      <c r="BV274" s="78">
        <f>-BV87</f>
        <v>-30.125</v>
      </c>
      <c r="BW274" s="78">
        <f>-BW87</f>
        <v>-30.125</v>
      </c>
      <c r="BX274" s="588">
        <f>SUM(BT274:BW274)</f>
        <v>-120.5</v>
      </c>
      <c r="BY274" s="414">
        <f>-BY87</f>
        <v>-114.5</v>
      </c>
      <c r="BZ274" s="414">
        <f>-BZ87</f>
        <v>-102.5</v>
      </c>
      <c r="CA274" s="414">
        <f>-CA87</f>
        <v>-100.5</v>
      </c>
      <c r="CB274" s="470"/>
      <c r="CC274" s="1360"/>
      <c r="CD274" s="251"/>
      <c r="CE274" s="598"/>
      <c r="CF274" s="598"/>
      <c r="CG274" s="598"/>
      <c r="CH274" s="598"/>
      <c r="CI274" s="598"/>
      <c r="CJ274" s="598"/>
      <c r="CK274" s="598"/>
      <c r="CL274" s="598"/>
      <c r="CM274" s="598"/>
      <c r="CN274" s="598"/>
      <c r="CO274" s="598"/>
      <c r="CP274" s="598"/>
      <c r="CQ274" s="598"/>
      <c r="CR274" s="598"/>
      <c r="CS274" s="598"/>
      <c r="CT274" s="598"/>
      <c r="CU274" s="598"/>
      <c r="CV274" s="598"/>
      <c r="CW274" s="598"/>
      <c r="CX274" s="598"/>
      <c r="CY274" s="598"/>
      <c r="CZ274" s="598"/>
      <c r="DA274" s="86"/>
      <c r="DB274" s="599"/>
      <c r="DC274"/>
      <c r="DD274"/>
      <c r="DE274"/>
      <c r="DF274"/>
      <c r="DG274"/>
      <c r="DH274"/>
    </row>
    <row r="275" spans="1:112" s="82" customFormat="1" ht="12" customHeight="1">
      <c r="A275" s="390" t="s">
        <v>229</v>
      </c>
      <c r="B275" s="79">
        <f t="shared" ref="B275:J275" si="531">B277-SUM(B273:B274)</f>
        <v>91.555000000000007</v>
      </c>
      <c r="C275" s="79">
        <f t="shared" si="531"/>
        <v>549.61000000000013</v>
      </c>
      <c r="D275" s="79">
        <f t="shared" si="531"/>
        <v>-13.982000000000028</v>
      </c>
      <c r="E275" s="79">
        <f t="shared" si="531"/>
        <v>17.514999999999873</v>
      </c>
      <c r="F275" s="79">
        <f t="shared" si="531"/>
        <v>293.43300000000011</v>
      </c>
      <c r="G275" s="251">
        <f t="shared" si="531"/>
        <v>2.4129999999998972</v>
      </c>
      <c r="H275" s="86">
        <f t="shared" si="531"/>
        <v>0.10400000000026921</v>
      </c>
      <c r="I275" s="86">
        <f t="shared" si="531"/>
        <v>5.2169999999999845</v>
      </c>
      <c r="J275" s="86">
        <f t="shared" si="531"/>
        <v>-3.2380000000001701</v>
      </c>
      <c r="K275" s="588">
        <f>SUM(G275:J275)</f>
        <v>4.4959999999999809</v>
      </c>
      <c r="L275" s="86">
        <f>L277-SUM(L273:L274)</f>
        <v>-2.9009999999998399</v>
      </c>
      <c r="M275" s="86">
        <f>M277-SUM(M273:M274)</f>
        <v>10.015999999999735</v>
      </c>
      <c r="N275" s="86">
        <f>N277-SUM(N273:N274)</f>
        <v>26.512000000000171</v>
      </c>
      <c r="O275" s="86">
        <f>O277-SUM(O273:O274)</f>
        <v>-0.1850000000001728</v>
      </c>
      <c r="P275" s="588">
        <f>SUM(L275:O275)</f>
        <v>33.441999999999894</v>
      </c>
      <c r="Q275" s="86">
        <f>Q277-SUM(Q273:Q274)</f>
        <v>0.87299999999981992</v>
      </c>
      <c r="R275" s="86">
        <f>R277-SUM(R273:R274)</f>
        <v>8.1460000000004129</v>
      </c>
      <c r="S275" s="86">
        <f>S277-SUM(S273:S274)</f>
        <v>-0.36799999999993815</v>
      </c>
      <c r="T275" s="86">
        <f>T277-SUM(T273:T274)</f>
        <v>2.4849999999995589</v>
      </c>
      <c r="U275" s="588">
        <f>SUM(Q275:T275)</f>
        <v>11.135999999999854</v>
      </c>
      <c r="V275" s="86">
        <f>V277-SUM(V273:V274)</f>
        <v>-0.10599999999976717</v>
      </c>
      <c r="W275" s="86">
        <f>W277-SUM(W273:W274)</f>
        <v>0.22800000000006548</v>
      </c>
      <c r="X275" s="86">
        <f>X277-SUM(X273:X274)</f>
        <v>0.21199999999976171</v>
      </c>
      <c r="Y275" s="86">
        <f>Y277-SUM(Y273:Y274)</f>
        <v>-8.9999999997871782E-3</v>
      </c>
      <c r="Z275" s="588">
        <f>SUM(V275:Y275)</f>
        <v>0.32500000000027285</v>
      </c>
      <c r="AA275" s="86">
        <f>AA277-SUM(AA273:AA274)</f>
        <v>6.8999999999959982E-2</v>
      </c>
      <c r="AB275" s="86">
        <f>AB277-SUM(AB273:AB274)</f>
        <v>4.9320000000000164</v>
      </c>
      <c r="AC275" s="86">
        <f>AC277-SUM(AC273:AC274)</f>
        <v>144.71299999999985</v>
      </c>
      <c r="AD275" s="86">
        <f>AD277-SUM(AD273:AD274)</f>
        <v>21.02800000000002</v>
      </c>
      <c r="AE275" s="588">
        <f>SUM(AA275:AD275)</f>
        <v>170.74199999999985</v>
      </c>
      <c r="AF275" s="86">
        <f>AF277-SUM(AF273:AF274)</f>
        <v>32.418000000000006</v>
      </c>
      <c r="AG275" s="86">
        <f>AG277-SUM(AG273:AG274)</f>
        <v>0.10000000000002274</v>
      </c>
      <c r="AH275" s="86">
        <f>AH277-SUM(AH273:AH274)</f>
        <v>-30.000000000000114</v>
      </c>
      <c r="AI275" s="86">
        <f>AI277-SUM(AI273:AI274)</f>
        <v>1.6000000000000227</v>
      </c>
      <c r="AJ275" s="588">
        <f>SUM(AF275:AI275)</f>
        <v>4.1179999999999382</v>
      </c>
      <c r="AK275" s="390">
        <f>AK277-SUM(AK273:AK274)</f>
        <v>-1.9999999999998863</v>
      </c>
      <c r="AL275" s="86">
        <f>AL277-SUM(AL273:AL274)</f>
        <v>681</v>
      </c>
      <c r="AM275" s="86">
        <f>AM277-SUM(AM273:AM274)</f>
        <v>-5</v>
      </c>
      <c r="AN275" s="86">
        <f>AN277-SUM(AN273:AN274)</f>
        <v>-153</v>
      </c>
      <c r="AO275" s="597">
        <f>SUM(AK275:AN275)</f>
        <v>521.00000000000011</v>
      </c>
      <c r="AP275" s="390">
        <f>AP277-SUM(AP273:AP274)</f>
        <v>-15</v>
      </c>
      <c r="AQ275" s="86">
        <f>AQ277-SUM(AQ273:AQ274)</f>
        <v>-4</v>
      </c>
      <c r="AR275" s="86">
        <f>AR277-SUM(AR273:AR274)</f>
        <v>-1</v>
      </c>
      <c r="AS275" s="86">
        <f>AS277-SUM(AS273:AS274)</f>
        <v>23</v>
      </c>
      <c r="AT275" s="588">
        <f>SUM(AP275:AS275)</f>
        <v>3</v>
      </c>
      <c r="AU275" s="390">
        <f>AU277-SUM(AU273:AU274)</f>
        <v>15</v>
      </c>
      <c r="AV275" s="86">
        <f>AV277-SUM(AV273:AV274)</f>
        <v>-2</v>
      </c>
      <c r="AW275" s="86">
        <f>AW277-SUM(AW273:AW274)</f>
        <v>2</v>
      </c>
      <c r="AX275" s="86">
        <f>AX277-SUM(AX273:AX274)</f>
        <v>4</v>
      </c>
      <c r="AY275" s="588">
        <f>SUM(AU275:AX275)</f>
        <v>19</v>
      </c>
      <c r="AZ275" s="86">
        <f>AZ277-SUM(AZ273:AZ274)</f>
        <v>-7</v>
      </c>
      <c r="BA275" s="86">
        <f>BA277-SUM(BA273:BA274)</f>
        <v>3</v>
      </c>
      <c r="BB275" s="86">
        <f>BB277-SUM(BB273:BB274)</f>
        <v>921</v>
      </c>
      <c r="BC275" s="86">
        <f>BC277-SUM(BC273:BC274)</f>
        <v>-332</v>
      </c>
      <c r="BD275" s="588">
        <f>SUM(AZ275:BC275)</f>
        <v>585</v>
      </c>
      <c r="BE275" s="86">
        <f>BE277-SUM(BE273:BE274)</f>
        <v>-10</v>
      </c>
      <c r="BF275" s="86">
        <f>BF277-SUM(BF273:BF274)</f>
        <v>18</v>
      </c>
      <c r="BG275" s="86">
        <f>BG277-SUM(BG273:BG274)</f>
        <v>59</v>
      </c>
      <c r="BH275" s="86">
        <f>BH277-SUM(BH273:BH274)</f>
        <v>13</v>
      </c>
      <c r="BI275" s="588">
        <f>SUM(BE275:BH275)</f>
        <v>80</v>
      </c>
      <c r="BJ275" s="86">
        <f>BJ277-SUM(BJ273:BJ274)</f>
        <v>-8</v>
      </c>
      <c r="BK275" s="86">
        <f>BK277-SUM(BK273:BK274)</f>
        <v>-7</v>
      </c>
      <c r="BL275" s="86">
        <f>BL277-SUM(BL273:BL274)</f>
        <v>3</v>
      </c>
      <c r="BM275" s="86">
        <f>BM277-SUM(BM273:BM274)</f>
        <v>-8</v>
      </c>
      <c r="BN275" s="588">
        <f>SUM(BJ275:BM275)</f>
        <v>-20</v>
      </c>
      <c r="BO275" s="86">
        <f>BO277-SUM(BO273:BO274)</f>
        <v>26</v>
      </c>
      <c r="BP275" s="587">
        <f>-BP262*SUM(BP112,BP111)</f>
        <v>0</v>
      </c>
      <c r="BQ275" s="587">
        <f>-BQ262*SUM(BQ112,BQ111)</f>
        <v>0</v>
      </c>
      <c r="BR275" s="587">
        <f>-BR262*SUM(BR112,BR111)</f>
        <v>0</v>
      </c>
      <c r="BS275" s="588">
        <f>SUM(BO275:BR275)</f>
        <v>26</v>
      </c>
      <c r="BT275" s="587">
        <f>-BT262*SUM(BT112,BT111)</f>
        <v>0</v>
      </c>
      <c r="BU275" s="587">
        <f>-BU262*SUM(BU112,BU111)</f>
        <v>0</v>
      </c>
      <c r="BV275" s="587">
        <f>-BV262*SUM(BV112,BV111)</f>
        <v>0</v>
      </c>
      <c r="BW275" s="587">
        <f>-BW262*SUM(BW112,BW111)</f>
        <v>0</v>
      </c>
      <c r="BX275" s="588">
        <f>SUM(BT275:BW275)</f>
        <v>0</v>
      </c>
      <c r="BY275" s="600">
        <f>-BY262*SUM(BY112,BY111)</f>
        <v>0</v>
      </c>
      <c r="BZ275" s="600">
        <f>-BZ262*SUM(BZ112,BZ111)</f>
        <v>0</v>
      </c>
      <c r="CA275" s="600">
        <f>-CA262*SUM(CA112,CA111)</f>
        <v>0</v>
      </c>
      <c r="CB275" s="470"/>
      <c r="CC275" s="1360"/>
      <c r="CD275" s="251"/>
      <c r="CE275" s="601"/>
      <c r="CF275" s="601"/>
      <c r="CG275" s="601"/>
      <c r="CH275" s="601"/>
      <c r="CI275" s="601"/>
      <c r="CJ275" s="601"/>
      <c r="CK275" s="601"/>
      <c r="CL275" s="601"/>
      <c r="CM275" s="601"/>
      <c r="CN275" s="601"/>
      <c r="CO275" s="601"/>
      <c r="CP275" s="601"/>
      <c r="CQ275" s="601"/>
      <c r="CR275" s="601"/>
      <c r="CS275" s="601"/>
      <c r="CT275" s="601"/>
      <c r="CU275" s="601"/>
      <c r="CV275" s="601"/>
      <c r="CW275" s="601"/>
      <c r="CX275" s="601"/>
      <c r="CY275" s="601"/>
      <c r="CZ275" s="601"/>
      <c r="DA275" s="86"/>
      <c r="DB275" s="602"/>
      <c r="DC275"/>
      <c r="DD275"/>
      <c r="DE275"/>
      <c r="DF275"/>
      <c r="DG275"/>
      <c r="DH275"/>
    </row>
    <row r="276" spans="1:112" ht="5.25" customHeight="1">
      <c r="A276" s="42"/>
      <c r="B276" s="387" t="s">
        <v>62</v>
      </c>
      <c r="C276" s="387" t="s">
        <v>62</v>
      </c>
      <c r="D276" s="387" t="s">
        <v>62</v>
      </c>
      <c r="E276" s="387" t="s">
        <v>62</v>
      </c>
      <c r="F276" s="387" t="s">
        <v>62</v>
      </c>
      <c r="G276" s="388" t="s">
        <v>62</v>
      </c>
      <c r="H276" s="388" t="s">
        <v>62</v>
      </c>
      <c r="I276" s="388" t="s">
        <v>62</v>
      </c>
      <c r="J276" s="388" t="s">
        <v>62</v>
      </c>
      <c r="K276" s="387" t="s">
        <v>62</v>
      </c>
      <c r="L276" s="388" t="s">
        <v>62</v>
      </c>
      <c r="M276" s="388" t="s">
        <v>62</v>
      </c>
      <c r="N276" s="388" t="s">
        <v>62</v>
      </c>
      <c r="O276" s="388" t="s">
        <v>62</v>
      </c>
      <c r="P276" s="387" t="s">
        <v>62</v>
      </c>
      <c r="Q276" s="388" t="s">
        <v>62</v>
      </c>
      <c r="R276" s="388" t="s">
        <v>62</v>
      </c>
      <c r="S276" s="388" t="s">
        <v>62</v>
      </c>
      <c r="T276" s="388" t="s">
        <v>62</v>
      </c>
      <c r="U276" s="387" t="s">
        <v>62</v>
      </c>
      <c r="V276" s="388" t="s">
        <v>62</v>
      </c>
      <c r="W276" s="388" t="s">
        <v>62</v>
      </c>
      <c r="X276" s="388" t="s">
        <v>62</v>
      </c>
      <c r="Y276" s="388" t="s">
        <v>62</v>
      </c>
      <c r="Z276" s="387" t="s">
        <v>62</v>
      </c>
      <c r="AA276" s="388" t="s">
        <v>62</v>
      </c>
      <c r="AB276" s="388" t="s">
        <v>62</v>
      </c>
      <c r="AC276" s="388" t="s">
        <v>62</v>
      </c>
      <c r="AD276" s="388" t="s">
        <v>62</v>
      </c>
      <c r="AE276" s="387" t="s">
        <v>62</v>
      </c>
      <c r="AF276" s="388" t="s">
        <v>62</v>
      </c>
      <c r="AG276" s="388" t="s">
        <v>62</v>
      </c>
      <c r="AH276" s="388" t="s">
        <v>62</v>
      </c>
      <c r="AI276" s="388" t="s">
        <v>62</v>
      </c>
      <c r="AJ276" s="387" t="s">
        <v>62</v>
      </c>
      <c r="AK276" s="90" t="s">
        <v>62</v>
      </c>
      <c r="AL276" s="388" t="s">
        <v>62</v>
      </c>
      <c r="AM276" s="388" t="s">
        <v>62</v>
      </c>
      <c r="AN276" s="388" t="s">
        <v>62</v>
      </c>
      <c r="AO276" s="89" t="s">
        <v>62</v>
      </c>
      <c r="AP276" s="90" t="s">
        <v>62</v>
      </c>
      <c r="AQ276" s="388" t="s">
        <v>62</v>
      </c>
      <c r="AR276" s="388" t="s">
        <v>62</v>
      </c>
      <c r="AS276" s="388" t="s">
        <v>62</v>
      </c>
      <c r="AT276" s="387" t="s">
        <v>62</v>
      </c>
      <c r="AU276" s="90" t="s">
        <v>62</v>
      </c>
      <c r="AV276" s="388" t="s">
        <v>62</v>
      </c>
      <c r="AW276" s="388" t="s">
        <v>62</v>
      </c>
      <c r="AX276" s="388" t="s">
        <v>62</v>
      </c>
      <c r="AY276" s="387" t="s">
        <v>62</v>
      </c>
      <c r="AZ276" s="388" t="s">
        <v>62</v>
      </c>
      <c r="BA276" s="388" t="s">
        <v>62</v>
      </c>
      <c r="BB276" s="388" t="s">
        <v>62</v>
      </c>
      <c r="BC276" s="388" t="s">
        <v>62</v>
      </c>
      <c r="BD276" s="387" t="s">
        <v>62</v>
      </c>
      <c r="BE276" s="388" t="s">
        <v>62</v>
      </c>
      <c r="BF276" s="388" t="s">
        <v>62</v>
      </c>
      <c r="BG276" s="388" t="s">
        <v>62</v>
      </c>
      <c r="BH276" s="388" t="s">
        <v>62</v>
      </c>
      <c r="BI276" s="387" t="s">
        <v>62</v>
      </c>
      <c r="BJ276" s="388" t="s">
        <v>62</v>
      </c>
      <c r="BK276" s="388" t="s">
        <v>62</v>
      </c>
      <c r="BL276" s="388" t="s">
        <v>62</v>
      </c>
      <c r="BM276" s="388" t="s">
        <v>62</v>
      </c>
      <c r="BN276" s="387" t="s">
        <v>62</v>
      </c>
      <c r="BO276" s="388" t="s">
        <v>62</v>
      </c>
      <c r="BP276" s="388" t="s">
        <v>62</v>
      </c>
      <c r="BQ276" s="388" t="s">
        <v>62</v>
      </c>
      <c r="BR276" s="388" t="s">
        <v>62</v>
      </c>
      <c r="BS276" s="387" t="s">
        <v>62</v>
      </c>
      <c r="BT276" s="388" t="s">
        <v>62</v>
      </c>
      <c r="BU276" s="388" t="s">
        <v>62</v>
      </c>
      <c r="BV276" s="388" t="s">
        <v>62</v>
      </c>
      <c r="BW276" s="388" t="s">
        <v>62</v>
      </c>
      <c r="BX276" s="387" t="s">
        <v>62</v>
      </c>
      <c r="BY276" s="99" t="s">
        <v>62</v>
      </c>
      <c r="BZ276" s="99" t="s">
        <v>62</v>
      </c>
      <c r="CA276" s="99" t="s">
        <v>62</v>
      </c>
      <c r="CD276" s="370"/>
      <c r="CE276" s="552"/>
      <c r="CF276" s="552"/>
      <c r="CG276" s="552"/>
      <c r="CH276" s="552"/>
      <c r="CI276" s="552"/>
      <c r="CJ276" s="552"/>
      <c r="CK276" s="552"/>
      <c r="CL276" s="552"/>
      <c r="CM276" s="552"/>
      <c r="CN276" s="552"/>
      <c r="CO276" s="552"/>
      <c r="CP276" s="552"/>
      <c r="CQ276" s="552"/>
      <c r="CR276" s="552"/>
      <c r="CS276" s="552"/>
      <c r="CT276" s="552"/>
      <c r="CU276" s="552"/>
      <c r="CV276" s="552"/>
      <c r="CW276" s="552"/>
      <c r="CX276" s="552"/>
      <c r="CY276" s="552"/>
      <c r="CZ276" s="552"/>
      <c r="DA276" s="58"/>
      <c r="DB276" s="553"/>
    </row>
    <row r="277" spans="1:112" s="70" customFormat="1" ht="12" customHeight="1">
      <c r="A277" s="585" t="s">
        <v>230</v>
      </c>
      <c r="B277" s="67"/>
      <c r="C277" s="2136">
        <f t="shared" ref="C277:J277" si="532">C154</f>
        <v>510.82100000000014</v>
      </c>
      <c r="D277" s="2136">
        <f t="shared" si="532"/>
        <v>463.10000000000014</v>
      </c>
      <c r="E277" s="2136">
        <f t="shared" si="532"/>
        <v>448.14499999999998</v>
      </c>
      <c r="F277" s="2136">
        <f t="shared" si="532"/>
        <v>697.34300000000007</v>
      </c>
      <c r="G277" s="2134">
        <f t="shared" si="532"/>
        <v>687.82999999999993</v>
      </c>
      <c r="H277" s="2137">
        <f t="shared" si="532"/>
        <v>675.82700000000023</v>
      </c>
      <c r="I277" s="2137">
        <f t="shared" si="532"/>
        <v>668.90700000000015</v>
      </c>
      <c r="J277" s="2137">
        <f t="shared" si="532"/>
        <v>653.452</v>
      </c>
      <c r="K277" s="67">
        <f>SUM(K273:K275)</f>
        <v>653.45200000000011</v>
      </c>
      <c r="L277" s="2137">
        <f>L154</f>
        <v>638.93900000000031</v>
      </c>
      <c r="M277" s="2137">
        <f>M154</f>
        <v>637.48700000000008</v>
      </c>
      <c r="N277" s="2137">
        <f>N154</f>
        <v>652.29000000000019</v>
      </c>
      <c r="O277" s="2137">
        <f>O154</f>
        <v>638.49099999999999</v>
      </c>
      <c r="P277" s="67">
        <f>SUM(P273:P275)</f>
        <v>638.49099999999999</v>
      </c>
      <c r="Q277" s="2137">
        <f>Q154</f>
        <v>625.16399999999976</v>
      </c>
      <c r="R277" s="2137">
        <f>R154</f>
        <v>620.16600000000017</v>
      </c>
      <c r="S277" s="2137">
        <f>S154</f>
        <v>606.16100000000029</v>
      </c>
      <c r="T277" s="2137">
        <f>T154</f>
        <v>591.12999999999988</v>
      </c>
      <c r="U277" s="67">
        <f>SUM(U273:U275)</f>
        <v>591.12999999999988</v>
      </c>
      <c r="V277" s="2137">
        <f>V154</f>
        <v>576.82000000000016</v>
      </c>
      <c r="W277" s="2137">
        <f>W154</f>
        <v>565.60800000000017</v>
      </c>
      <c r="X277" s="2137">
        <f>X154</f>
        <v>554.75399999999991</v>
      </c>
      <c r="Y277" s="2137">
        <f>Y154</f>
        <v>538.73500000000013</v>
      </c>
      <c r="Z277" s="67">
        <f>SUM(Z273:Z275)</f>
        <v>538.73500000000013</v>
      </c>
      <c r="AA277" s="2137">
        <f>AA154</f>
        <v>528.80400000000009</v>
      </c>
      <c r="AB277" s="2137">
        <f>AB154</f>
        <v>520.7360000000001</v>
      </c>
      <c r="AC277" s="2137">
        <f>AC154</f>
        <v>656.44899999999996</v>
      </c>
      <c r="AD277" s="2137">
        <f>AD154</f>
        <v>663.88199999999995</v>
      </c>
      <c r="AE277" s="67">
        <f>SUM(AE273:AE275)</f>
        <v>663.88199999999995</v>
      </c>
      <c r="AF277" s="2137">
        <f>AF154</f>
        <v>681.5</v>
      </c>
      <c r="AG277" s="2137">
        <f>AG154</f>
        <v>666.7</v>
      </c>
      <c r="AH277" s="2137">
        <f>AH154</f>
        <v>621.29999999999995</v>
      </c>
      <c r="AI277" s="2137">
        <f>AI154</f>
        <v>608</v>
      </c>
      <c r="AJ277" s="67">
        <f>SUM(AJ273:AJ275)</f>
        <v>607.99999999999989</v>
      </c>
      <c r="AK277" s="2138">
        <f>AK154</f>
        <v>597</v>
      </c>
      <c r="AL277" s="2137">
        <f>AL154</f>
        <v>1267</v>
      </c>
      <c r="AM277" s="2137">
        <f>AM154</f>
        <v>1247</v>
      </c>
      <c r="AN277" s="2137">
        <f>AN154</f>
        <v>1081</v>
      </c>
      <c r="AO277" s="245">
        <f>SUM(AO273:AO275)</f>
        <v>1081</v>
      </c>
      <c r="AP277" s="2138">
        <f>AP154</f>
        <v>1054</v>
      </c>
      <c r="AQ277" s="2137">
        <f>AQ154</f>
        <v>1037</v>
      </c>
      <c r="AR277" s="2137">
        <f>AR154</f>
        <v>1023</v>
      </c>
      <c r="AS277" s="2137">
        <f>AS154</f>
        <v>1033</v>
      </c>
      <c r="AT277" s="67">
        <f>SUM(AT273:AT275)</f>
        <v>1033</v>
      </c>
      <c r="AU277" s="2138">
        <f>AU154</f>
        <v>1036</v>
      </c>
      <c r="AV277" s="2137">
        <f>AV154</f>
        <v>1022</v>
      </c>
      <c r="AW277" s="2137">
        <f>AW154</f>
        <v>1012</v>
      </c>
      <c r="AX277" s="2137">
        <f>AX154</f>
        <v>1004</v>
      </c>
      <c r="AY277" s="67">
        <f>SUM(AY273:AY275)</f>
        <v>1004</v>
      </c>
      <c r="AZ277" s="2134">
        <f>AZ154</f>
        <v>986</v>
      </c>
      <c r="BA277" s="2134">
        <f>BA154</f>
        <v>977</v>
      </c>
      <c r="BB277" s="2134">
        <f>BB154</f>
        <v>1881</v>
      </c>
      <c r="BC277" s="2137">
        <f>BC154</f>
        <v>1522</v>
      </c>
      <c r="BD277" s="67">
        <f>SUM(BD273:BD275)</f>
        <v>1522</v>
      </c>
      <c r="BE277" s="2134">
        <f>BE154</f>
        <v>1488</v>
      </c>
      <c r="BF277" s="2134">
        <f>BF154</f>
        <v>1483</v>
      </c>
      <c r="BG277" s="2134">
        <f>BG154</f>
        <v>1518</v>
      </c>
      <c r="BH277" s="2137">
        <f>BH154</f>
        <v>1506</v>
      </c>
      <c r="BI277" s="67">
        <f>SUM(BI273:BI275)</f>
        <v>1506</v>
      </c>
      <c r="BJ277" s="2134">
        <f>BJ154</f>
        <v>1474</v>
      </c>
      <c r="BK277" s="2134">
        <f>BK154</f>
        <v>1442</v>
      </c>
      <c r="BL277" s="2134">
        <f>BL154</f>
        <v>1421</v>
      </c>
      <c r="BM277" s="2137">
        <f>BM154</f>
        <v>1388</v>
      </c>
      <c r="BN277" s="67">
        <f>SUM(BN273:BN275)</f>
        <v>1388</v>
      </c>
      <c r="BO277" s="2134">
        <f>BO154</f>
        <v>1390</v>
      </c>
      <c r="BP277" s="248">
        <f t="shared" ref="BP277:BZ277" si="533">SUM(BP273:BP275)</f>
        <v>1355.5</v>
      </c>
      <c r="BQ277" s="248">
        <f t="shared" si="533"/>
        <v>1321</v>
      </c>
      <c r="BR277" s="248">
        <f t="shared" si="533"/>
        <v>1286.5</v>
      </c>
      <c r="BS277" s="67">
        <f t="shared" si="533"/>
        <v>1286.5</v>
      </c>
      <c r="BT277" s="248">
        <f t="shared" ref="BT277:BX277" si="534">SUM(BT273:BT275)</f>
        <v>1256.375</v>
      </c>
      <c r="BU277" s="248">
        <f t="shared" si="534"/>
        <v>1226.25</v>
      </c>
      <c r="BV277" s="248">
        <f t="shared" si="534"/>
        <v>1196.125</v>
      </c>
      <c r="BW277" s="248">
        <f t="shared" si="534"/>
        <v>1166</v>
      </c>
      <c r="BX277" s="67">
        <f t="shared" si="534"/>
        <v>1166</v>
      </c>
      <c r="BY277" s="419">
        <f t="shared" si="533"/>
        <v>1051.5</v>
      </c>
      <c r="BZ277" s="419">
        <f t="shared" si="533"/>
        <v>949</v>
      </c>
      <c r="CA277" s="419">
        <f t="shared" ref="CA277" si="535">SUM(CA273:CA275)</f>
        <v>848.5</v>
      </c>
      <c r="CB277" s="447"/>
      <c r="CC277" s="1359"/>
      <c r="CD277" s="586"/>
      <c r="CE277" s="560"/>
      <c r="CF277" s="560"/>
      <c r="CG277" s="560"/>
      <c r="CH277" s="560"/>
      <c r="CI277" s="560"/>
      <c r="CJ277" s="560"/>
      <c r="CK277" s="560"/>
      <c r="CL277" s="560"/>
      <c r="CM277" s="560"/>
      <c r="CN277" s="560"/>
      <c r="CO277" s="560"/>
      <c r="CP277" s="560"/>
      <c r="CQ277" s="560"/>
      <c r="CR277" s="560"/>
      <c r="CS277" s="560"/>
      <c r="CT277" s="560"/>
      <c r="CU277" s="560"/>
      <c r="CV277" s="560"/>
      <c r="CW277" s="560"/>
      <c r="CX277" s="560"/>
      <c r="CY277" s="560"/>
      <c r="CZ277" s="560"/>
      <c r="DA277" s="74"/>
      <c r="DB277" s="561"/>
      <c r="DC277"/>
      <c r="DD277"/>
      <c r="DE277"/>
      <c r="DF277"/>
      <c r="DG277"/>
      <c r="DH277"/>
    </row>
    <row r="278" spans="1:112" s="604" customFormat="1" ht="12" customHeight="1">
      <c r="A278" s="603"/>
      <c r="B278" s="495"/>
      <c r="C278" s="495"/>
      <c r="D278" s="495"/>
      <c r="E278" s="495"/>
      <c r="F278" s="495"/>
      <c r="G278" s="407"/>
      <c r="H278" s="591"/>
      <c r="I278" s="591"/>
      <c r="J278" s="591"/>
      <c r="K278" s="495"/>
      <c r="L278" s="591"/>
      <c r="M278" s="591"/>
      <c r="N278" s="591"/>
      <c r="O278" s="591"/>
      <c r="P278" s="495"/>
      <c r="Q278" s="591"/>
      <c r="R278" s="591"/>
      <c r="S278" s="591"/>
      <c r="T278" s="591"/>
      <c r="U278" s="495"/>
      <c r="V278" s="591"/>
      <c r="W278" s="591"/>
      <c r="X278" s="591"/>
      <c r="Y278" s="591"/>
      <c r="Z278" s="495"/>
      <c r="AA278" s="591"/>
      <c r="AB278" s="591"/>
      <c r="AC278" s="591"/>
      <c r="AD278" s="591"/>
      <c r="AE278" s="495"/>
      <c r="AF278" s="591"/>
      <c r="AG278" s="591"/>
      <c r="AH278" s="591"/>
      <c r="AI278" s="591"/>
      <c r="AJ278" s="495"/>
      <c r="AK278" s="591"/>
      <c r="AL278" s="591"/>
      <c r="AM278" s="591"/>
      <c r="AN278" s="591"/>
      <c r="AO278" s="495"/>
      <c r="AP278" s="591"/>
      <c r="AQ278" s="591"/>
      <c r="AR278" s="591"/>
      <c r="AS278" s="591"/>
      <c r="AT278" s="495"/>
      <c r="AU278" s="591"/>
      <c r="AV278" s="591"/>
      <c r="AW278" s="407"/>
      <c r="AX278" s="407"/>
      <c r="AY278" s="592"/>
      <c r="AZ278" s="408"/>
      <c r="BA278" s="408"/>
      <c r="BB278" s="408"/>
      <c r="BC278" s="407"/>
      <c r="BD278" s="592"/>
      <c r="BE278" s="408"/>
      <c r="BF278" s="408"/>
      <c r="BG278" s="408"/>
      <c r="BH278" s="407"/>
      <c r="BI278" s="592"/>
      <c r="BJ278" s="408"/>
      <c r="BK278" s="408"/>
      <c r="BL278" s="408"/>
      <c r="BM278" s="407"/>
      <c r="BN278" s="592"/>
      <c r="BO278" s="408"/>
      <c r="BP278" s="408"/>
      <c r="BQ278" s="408"/>
      <c r="BR278" s="408"/>
      <c r="BS278" s="592"/>
      <c r="BT278" s="408"/>
      <c r="BU278" s="408"/>
      <c r="BV278" s="408"/>
      <c r="BW278" s="408"/>
      <c r="BX278" s="592"/>
      <c r="BY278" s="593"/>
      <c r="BZ278" s="593"/>
      <c r="CA278" s="593"/>
      <c r="CB278" s="594"/>
      <c r="CD278" s="605"/>
      <c r="CE278" s="606"/>
      <c r="CF278" s="606"/>
      <c r="CG278" s="606"/>
      <c r="CH278" s="606"/>
      <c r="CI278" s="606"/>
      <c r="CJ278" s="606"/>
      <c r="CK278" s="606"/>
      <c r="CL278" s="606"/>
      <c r="CM278" s="606"/>
      <c r="CN278" s="606"/>
      <c r="CO278" s="606"/>
      <c r="CP278" s="606"/>
      <c r="CQ278" s="606"/>
      <c r="CR278" s="606"/>
      <c r="CS278" s="606"/>
      <c r="CT278" s="606"/>
      <c r="CU278" s="606"/>
      <c r="CV278" s="606"/>
      <c r="CW278" s="606"/>
      <c r="CX278" s="606"/>
      <c r="CY278" s="606"/>
      <c r="CZ278" s="606"/>
      <c r="DA278" s="431"/>
      <c r="DB278" s="607"/>
      <c r="DC278"/>
      <c r="DD278"/>
      <c r="DE278"/>
      <c r="DF278"/>
      <c r="DG278"/>
      <c r="DH278"/>
    </row>
    <row r="279" spans="1:112" ht="12" customHeight="1">
      <c r="A279" s="583" t="s">
        <v>231</v>
      </c>
      <c r="B279" s="79"/>
      <c r="C279" s="79"/>
      <c r="D279" s="79"/>
      <c r="E279" s="79"/>
      <c r="F279" s="79"/>
      <c r="G279" s="251"/>
      <c r="H279" s="86"/>
      <c r="I279" s="86"/>
      <c r="J279" s="86"/>
      <c r="K279" s="79"/>
      <c r="L279" s="86"/>
      <c r="M279" s="86"/>
      <c r="N279" s="86"/>
      <c r="O279" s="86"/>
      <c r="P279" s="79"/>
      <c r="Q279" s="86"/>
      <c r="R279" s="86"/>
      <c r="S279" s="86"/>
      <c r="T279" s="86"/>
      <c r="U279" s="79"/>
      <c r="V279" s="86"/>
      <c r="W279" s="86"/>
      <c r="X279" s="86"/>
      <c r="Y279" s="86"/>
      <c r="Z279" s="79"/>
      <c r="AA279" s="86"/>
      <c r="AB279" s="86"/>
      <c r="AC279" s="86"/>
      <c r="AD279" s="86"/>
      <c r="AE279" s="79"/>
      <c r="AF279" s="86"/>
      <c r="AG279" s="86"/>
      <c r="AH279" s="86"/>
      <c r="AI279" s="86"/>
      <c r="AJ279" s="79"/>
      <c r="AK279" s="390"/>
      <c r="AL279" s="86"/>
      <c r="AM279" s="86"/>
      <c r="AN279" s="390"/>
      <c r="AO279" s="119"/>
      <c r="AP279" s="390"/>
      <c r="AQ279" s="86"/>
      <c r="AR279" s="86"/>
      <c r="AS279" s="86"/>
      <c r="AT279" s="79"/>
      <c r="AU279" s="390"/>
      <c r="AV279" s="86"/>
      <c r="AW279" s="251"/>
      <c r="AX279" s="251"/>
      <c r="AY279" s="79"/>
      <c r="AZ279" s="251"/>
      <c r="BA279" s="251"/>
      <c r="BB279" s="251"/>
      <c r="BC279" s="251"/>
      <c r="BD279" s="79"/>
      <c r="BE279" s="251"/>
      <c r="BF279" s="251"/>
      <c r="BG279" s="251"/>
      <c r="BH279" s="251"/>
      <c r="BI279" s="79"/>
      <c r="BJ279" s="251"/>
      <c r="BK279" s="251"/>
      <c r="BL279" s="251"/>
      <c r="BM279" s="251"/>
      <c r="BN279" s="79"/>
      <c r="BO279" s="251"/>
      <c r="BP279" s="251"/>
      <c r="BQ279" s="251"/>
      <c r="BR279" s="251"/>
      <c r="BS279" s="79"/>
      <c r="BT279" s="251"/>
      <c r="BU279" s="251"/>
      <c r="BV279" s="251"/>
      <c r="BW279" s="251"/>
      <c r="BX279" s="79"/>
      <c r="BY279" s="394"/>
      <c r="BZ279" s="394"/>
      <c r="CA279" s="394"/>
      <c r="CD279" s="584"/>
      <c r="CE279" s="530"/>
      <c r="CF279" s="530"/>
      <c r="CG279" s="530"/>
      <c r="CH279" s="530"/>
      <c r="CI279" s="530"/>
      <c r="CJ279" s="530"/>
      <c r="CK279" s="530"/>
      <c r="CL279" s="530"/>
      <c r="CM279" s="530"/>
      <c r="CN279" s="530"/>
      <c r="CO279" s="530"/>
      <c r="CP279" s="530"/>
      <c r="CQ279" s="530"/>
      <c r="CR279" s="530"/>
      <c r="CS279" s="530"/>
      <c r="CT279" s="530"/>
      <c r="CU279" s="530"/>
      <c r="CV279" s="530"/>
      <c r="CW279" s="530"/>
      <c r="CX279" s="530"/>
      <c r="CY279" s="530"/>
      <c r="CZ279" s="530"/>
      <c r="DA279" s="58"/>
      <c r="DB279" s="531"/>
    </row>
    <row r="280" spans="1:112" s="70" customFormat="1" ht="12" customHeight="1">
      <c r="A280" s="418" t="s">
        <v>232</v>
      </c>
      <c r="B280" s="67"/>
      <c r="C280" s="2136">
        <f t="shared" ref="C280:J280" si="536">B284</f>
        <v>1818.4459999999999</v>
      </c>
      <c r="D280" s="2136">
        <f t="shared" si="536"/>
        <v>1294.8309999999999</v>
      </c>
      <c r="E280" s="2136">
        <f t="shared" si="536"/>
        <v>1239.877</v>
      </c>
      <c r="F280" s="2136">
        <f t="shared" si="536"/>
        <v>1505.34</v>
      </c>
      <c r="G280" s="2134">
        <f t="shared" si="536"/>
        <v>1654.6279999999999</v>
      </c>
      <c r="H280" s="2137">
        <f t="shared" si="536"/>
        <v>1649.3969999999999</v>
      </c>
      <c r="I280" s="2137">
        <f t="shared" si="536"/>
        <v>1654.645</v>
      </c>
      <c r="J280" s="2137">
        <f t="shared" si="536"/>
        <v>1660.808</v>
      </c>
      <c r="K280" s="2136">
        <f>F284</f>
        <v>1654.6279999999999</v>
      </c>
      <c r="L280" s="2137">
        <f>K284</f>
        <v>1671.479</v>
      </c>
      <c r="M280" s="2137">
        <f>L284</f>
        <v>1629.85</v>
      </c>
      <c r="N280" s="2137">
        <f>M284</f>
        <v>1669.192</v>
      </c>
      <c r="O280" s="2137">
        <f>N284</f>
        <v>1698.2059999999999</v>
      </c>
      <c r="P280" s="2136">
        <f>K284</f>
        <v>1671.479</v>
      </c>
      <c r="Q280" s="2137">
        <f>P284</f>
        <v>1697.6210000000001</v>
      </c>
      <c r="R280" s="2137">
        <f>Q284</f>
        <v>1709.277</v>
      </c>
      <c r="S280" s="2137">
        <f>R284</f>
        <v>1724.192</v>
      </c>
      <c r="T280" s="2137">
        <f>S284</f>
        <v>1718.61</v>
      </c>
      <c r="U280" s="2136">
        <f>P284</f>
        <v>1697.6210000000001</v>
      </c>
      <c r="V280" s="2137">
        <f>U284</f>
        <v>1703.24</v>
      </c>
      <c r="W280" s="2137">
        <f>V284</f>
        <v>1702.152</v>
      </c>
      <c r="X280" s="2137">
        <f>W284</f>
        <v>1688.748</v>
      </c>
      <c r="Y280" s="2137">
        <f>X284</f>
        <v>1691.837</v>
      </c>
      <c r="Z280" s="2136">
        <f>U284</f>
        <v>1703.24</v>
      </c>
      <c r="AA280" s="2137">
        <f>Z284</f>
        <v>1690.5070000000001</v>
      </c>
      <c r="AB280" s="2137">
        <f>AA284</f>
        <v>1689.627</v>
      </c>
      <c r="AC280" s="2137">
        <f>AB284</f>
        <v>1688.646</v>
      </c>
      <c r="AD280" s="2137">
        <f>AC284</f>
        <v>1865.5119999999999</v>
      </c>
      <c r="AE280" s="2136">
        <f>Z284</f>
        <v>1690.5070000000001</v>
      </c>
      <c r="AF280" s="2137">
        <f>AE284</f>
        <v>1886.963</v>
      </c>
      <c r="AG280" s="2137">
        <f>AF284</f>
        <v>1985</v>
      </c>
      <c r="AH280" s="2137">
        <f>AG284</f>
        <v>1984.8</v>
      </c>
      <c r="AI280" s="2137">
        <f>AH284</f>
        <v>2037.8</v>
      </c>
      <c r="AJ280" s="2136">
        <f>AE284</f>
        <v>1886.963</v>
      </c>
      <c r="AK280" s="2138">
        <f>AJ284</f>
        <v>2048</v>
      </c>
      <c r="AL280" s="2137">
        <f>AK284</f>
        <v>2062</v>
      </c>
      <c r="AM280" s="2137">
        <f>AL284</f>
        <v>2296</v>
      </c>
      <c r="AN280" s="2137">
        <f>AM284</f>
        <v>2357</v>
      </c>
      <c r="AO280" s="2139">
        <f>AJ284</f>
        <v>2048</v>
      </c>
      <c r="AP280" s="2138">
        <f>AO284</f>
        <v>1438</v>
      </c>
      <c r="AQ280" s="2137">
        <f>AP284</f>
        <v>1429</v>
      </c>
      <c r="AR280" s="2137">
        <f>AQ284</f>
        <v>1432</v>
      </c>
      <c r="AS280" s="2137">
        <f>AR284</f>
        <v>1406</v>
      </c>
      <c r="AT280" s="2136">
        <f>AO284</f>
        <v>1438</v>
      </c>
      <c r="AU280" s="2138">
        <f>AT284</f>
        <v>1412</v>
      </c>
      <c r="AV280" s="2137">
        <f>AU284</f>
        <v>1413</v>
      </c>
      <c r="AW280" s="2137">
        <f>AV284</f>
        <v>1418</v>
      </c>
      <c r="AX280" s="2137">
        <f>AW284</f>
        <v>1435</v>
      </c>
      <c r="AY280" s="2136">
        <f>AT284</f>
        <v>1412</v>
      </c>
      <c r="AZ280" s="2134">
        <f>AY284</f>
        <v>1387</v>
      </c>
      <c r="BA280" s="2134">
        <f>AZ284</f>
        <v>1365</v>
      </c>
      <c r="BB280" s="2134">
        <f>BA284</f>
        <v>1383</v>
      </c>
      <c r="BC280" s="2137">
        <f>BB284</f>
        <v>2968</v>
      </c>
      <c r="BD280" s="2136">
        <f>AY284</f>
        <v>1387</v>
      </c>
      <c r="BE280" s="2134">
        <f>BD284</f>
        <v>2882</v>
      </c>
      <c r="BF280" s="2134">
        <f>BE284</f>
        <v>2869</v>
      </c>
      <c r="BG280" s="2134">
        <f>BF284</f>
        <v>2882</v>
      </c>
      <c r="BH280" s="2137">
        <f>BG284</f>
        <v>2958</v>
      </c>
      <c r="BI280" s="2136">
        <f>BD284</f>
        <v>2882</v>
      </c>
      <c r="BJ280" s="2134">
        <f>BI284</f>
        <v>2949</v>
      </c>
      <c r="BK280" s="2134">
        <f>BJ284</f>
        <v>2960</v>
      </c>
      <c r="BL280" s="2134">
        <f>BK284</f>
        <v>2982</v>
      </c>
      <c r="BM280" s="2137">
        <f>BL284</f>
        <v>2992</v>
      </c>
      <c r="BN280" s="2136">
        <f>BI284</f>
        <v>2949</v>
      </c>
      <c r="BO280" s="2134">
        <f>BN284</f>
        <v>2989</v>
      </c>
      <c r="BP280" s="2134">
        <f>BO284</f>
        <v>3045</v>
      </c>
      <c r="BQ280" s="2134">
        <f>BP284</f>
        <v>3045</v>
      </c>
      <c r="BR280" s="2134">
        <f>BQ284</f>
        <v>3045</v>
      </c>
      <c r="BS280" s="2136">
        <f>BN284</f>
        <v>2989</v>
      </c>
      <c r="BT280" s="2134">
        <f>BS284</f>
        <v>3045</v>
      </c>
      <c r="BU280" s="2134">
        <f>BT284</f>
        <v>3045</v>
      </c>
      <c r="BV280" s="2134">
        <f>BU284</f>
        <v>3045</v>
      </c>
      <c r="BW280" s="2134">
        <f>BV284</f>
        <v>3045</v>
      </c>
      <c r="BX280" s="2136">
        <f>BS284</f>
        <v>3045</v>
      </c>
      <c r="BY280" s="2140">
        <f>BX284</f>
        <v>3045</v>
      </c>
      <c r="BZ280" s="2140">
        <f>BY284</f>
        <v>3045</v>
      </c>
      <c r="CA280" s="2140">
        <f>BZ284</f>
        <v>3045</v>
      </c>
      <c r="CB280" s="447"/>
      <c r="CC280" s="1359"/>
      <c r="CD280" s="586"/>
      <c r="CE280" s="537"/>
      <c r="CF280" s="537"/>
      <c r="CG280" s="537"/>
      <c r="CH280" s="537"/>
      <c r="CI280" s="537"/>
      <c r="CJ280" s="537"/>
      <c r="CK280" s="537"/>
      <c r="CL280" s="537"/>
      <c r="CM280" s="537"/>
      <c r="CN280" s="537"/>
      <c r="CO280" s="537"/>
      <c r="CP280" s="537"/>
      <c r="CQ280" s="537"/>
      <c r="CR280" s="537"/>
      <c r="CS280" s="537"/>
      <c r="CT280" s="537"/>
      <c r="CU280" s="537"/>
      <c r="CV280" s="537"/>
      <c r="CW280" s="537"/>
      <c r="CX280" s="537"/>
      <c r="CY280" s="537"/>
      <c r="CZ280" s="537"/>
      <c r="DA280" s="74"/>
      <c r="DB280" s="538"/>
      <c r="DC280"/>
      <c r="DD280"/>
      <c r="DE280"/>
      <c r="DF280"/>
      <c r="DG280"/>
      <c r="DH280"/>
    </row>
    <row r="281" spans="1:112" s="82" customFormat="1" ht="12" customHeight="1">
      <c r="A281" s="390" t="s">
        <v>115</v>
      </c>
      <c r="B281" s="2124"/>
      <c r="C281" s="2124">
        <f t="shared" ref="C281:J281" si="537">-C92</f>
        <v>0</v>
      </c>
      <c r="D281" s="2124">
        <f t="shared" si="537"/>
        <v>-75.918999999999997</v>
      </c>
      <c r="E281" s="2124">
        <f t="shared" si="537"/>
        <v>0</v>
      </c>
      <c r="F281" s="2124">
        <f t="shared" si="537"/>
        <v>0</v>
      </c>
      <c r="G281" s="2123">
        <f t="shared" si="537"/>
        <v>0</v>
      </c>
      <c r="H281" s="2128">
        <f t="shared" si="537"/>
        <v>0</v>
      </c>
      <c r="I281" s="2128">
        <f t="shared" si="537"/>
        <v>0</v>
      </c>
      <c r="J281" s="2128">
        <f t="shared" si="537"/>
        <v>0</v>
      </c>
      <c r="K281" s="2142">
        <f>SUM(G281:J281)</f>
        <v>0</v>
      </c>
      <c r="L281" s="2128">
        <f>-L92</f>
        <v>0</v>
      </c>
      <c r="M281" s="2128">
        <f>-M92</f>
        <v>0</v>
      </c>
      <c r="N281" s="2128">
        <f>-N92</f>
        <v>0</v>
      </c>
      <c r="O281" s="2128">
        <f>-O92</f>
        <v>0</v>
      </c>
      <c r="P281" s="2142">
        <f>SUM(L281:O281)</f>
        <v>0</v>
      </c>
      <c r="Q281" s="2128">
        <f>-Q92</f>
        <v>0</v>
      </c>
      <c r="R281" s="2128">
        <f>-R92</f>
        <v>0</v>
      </c>
      <c r="S281" s="2128">
        <f>-S92</f>
        <v>0</v>
      </c>
      <c r="T281" s="2128">
        <f>-T92</f>
        <v>0</v>
      </c>
      <c r="U281" s="2142">
        <f>SUM(Q281:T281)</f>
        <v>0</v>
      </c>
      <c r="V281" s="2128">
        <f>-V92</f>
        <v>0</v>
      </c>
      <c r="W281" s="2128">
        <f>-W92</f>
        <v>0</v>
      </c>
      <c r="X281" s="2128">
        <f>-X92</f>
        <v>0</v>
      </c>
      <c r="Y281" s="2128">
        <f>-Y92</f>
        <v>0</v>
      </c>
      <c r="Z281" s="2142">
        <f>SUM(V281:Y281)</f>
        <v>0</v>
      </c>
      <c r="AA281" s="2128">
        <f>-AA92</f>
        <v>0</v>
      </c>
      <c r="AB281" s="2128">
        <f>-AB92</f>
        <v>0</v>
      </c>
      <c r="AC281" s="2128">
        <f>-AC92</f>
        <v>0</v>
      </c>
      <c r="AD281" s="2128">
        <f>-AD92</f>
        <v>0</v>
      </c>
      <c r="AE281" s="2142">
        <f>SUM(AA281:AD281)</f>
        <v>0</v>
      </c>
      <c r="AF281" s="2128">
        <f>-AF92</f>
        <v>0</v>
      </c>
      <c r="AG281" s="2128">
        <f>-AG92</f>
        <v>0</v>
      </c>
      <c r="AH281" s="2128">
        <f>-AH92</f>
        <v>0</v>
      </c>
      <c r="AI281" s="2128">
        <f>-AI92</f>
        <v>0</v>
      </c>
      <c r="AJ281" s="2142">
        <f>AJ92</f>
        <v>0</v>
      </c>
      <c r="AK281" s="2141">
        <f>-AK92</f>
        <v>0</v>
      </c>
      <c r="AL281" s="2128">
        <f>-AL92</f>
        <v>0</v>
      </c>
      <c r="AM281" s="2128">
        <f>-AM92</f>
        <v>0</v>
      </c>
      <c r="AN281" s="2128">
        <f>-AN92</f>
        <v>0</v>
      </c>
      <c r="AO281" s="2143">
        <f>AO92</f>
        <v>0</v>
      </c>
      <c r="AP281" s="2141">
        <f>-AP92</f>
        <v>0</v>
      </c>
      <c r="AQ281" s="2128">
        <f>-AQ92</f>
        <v>0</v>
      </c>
      <c r="AR281" s="2128">
        <f>-AR92</f>
        <v>0</v>
      </c>
      <c r="AS281" s="2128">
        <f>-AS92</f>
        <v>0</v>
      </c>
      <c r="AT281" s="2142">
        <f>AT92</f>
        <v>0</v>
      </c>
      <c r="AU281" s="2141">
        <f>-AU92</f>
        <v>0</v>
      </c>
      <c r="AV281" s="2128">
        <f>-AV92</f>
        <v>0</v>
      </c>
      <c r="AW281" s="2128">
        <f>-AW92</f>
        <v>0</v>
      </c>
      <c r="AX281" s="2128">
        <f>-AX92</f>
        <v>0</v>
      </c>
      <c r="AY281" s="2142">
        <f t="shared" ref="AY281:BZ281" si="538">AY92</f>
        <v>0</v>
      </c>
      <c r="AZ281" s="2123">
        <f t="shared" si="538"/>
        <v>0</v>
      </c>
      <c r="BA281" s="2123">
        <f t="shared" si="538"/>
        <v>0</v>
      </c>
      <c r="BB281" s="2123">
        <f t="shared" si="538"/>
        <v>0</v>
      </c>
      <c r="BC281" s="2128">
        <f t="shared" si="538"/>
        <v>0</v>
      </c>
      <c r="BD281" s="2142">
        <f t="shared" si="538"/>
        <v>0</v>
      </c>
      <c r="BE281" s="2123">
        <f t="shared" si="538"/>
        <v>0</v>
      </c>
      <c r="BF281" s="2123">
        <f t="shared" si="538"/>
        <v>0</v>
      </c>
      <c r="BG281" s="2123">
        <f t="shared" si="538"/>
        <v>0</v>
      </c>
      <c r="BH281" s="2128">
        <f t="shared" si="538"/>
        <v>0</v>
      </c>
      <c r="BI281" s="2142">
        <f t="shared" si="538"/>
        <v>0</v>
      </c>
      <c r="BJ281" s="2123">
        <f>BJ92</f>
        <v>0</v>
      </c>
      <c r="BK281" s="2123">
        <f>BK92</f>
        <v>0</v>
      </c>
      <c r="BL281" s="2123">
        <f>BL92</f>
        <v>0</v>
      </c>
      <c r="BM281" s="2128">
        <f t="shared" ref="BM281:BN281" si="539">BM92</f>
        <v>0</v>
      </c>
      <c r="BN281" s="2142">
        <f t="shared" si="539"/>
        <v>0</v>
      </c>
      <c r="BO281" s="2123">
        <f>BO92</f>
        <v>0</v>
      </c>
      <c r="BP281" s="2123">
        <f t="shared" si="538"/>
        <v>0</v>
      </c>
      <c r="BQ281" s="2123">
        <f t="shared" si="538"/>
        <v>0</v>
      </c>
      <c r="BR281" s="2123">
        <f t="shared" si="538"/>
        <v>0</v>
      </c>
      <c r="BS281" s="2142">
        <f t="shared" si="538"/>
        <v>0</v>
      </c>
      <c r="BT281" s="2123">
        <f t="shared" ref="BT281:BX281" si="540">BT92</f>
        <v>0</v>
      </c>
      <c r="BU281" s="2123">
        <f t="shared" si="540"/>
        <v>0</v>
      </c>
      <c r="BV281" s="2123">
        <f t="shared" si="540"/>
        <v>0</v>
      </c>
      <c r="BW281" s="2123">
        <f t="shared" si="540"/>
        <v>0</v>
      </c>
      <c r="BX281" s="2142">
        <f t="shared" si="540"/>
        <v>0</v>
      </c>
      <c r="BY281" s="414">
        <f t="shared" si="538"/>
        <v>0</v>
      </c>
      <c r="BZ281" s="414">
        <f t="shared" si="538"/>
        <v>0</v>
      </c>
      <c r="CA281" s="414">
        <f t="shared" ref="CA281" si="541">CA92</f>
        <v>0</v>
      </c>
      <c r="CB281" s="470"/>
      <c r="CC281" s="1360"/>
      <c r="CD281" s="251"/>
      <c r="CE281" s="601"/>
      <c r="CF281" s="601"/>
      <c r="CG281" s="601"/>
      <c r="CH281" s="601"/>
      <c r="CI281" s="601"/>
      <c r="CJ281" s="601"/>
      <c r="CK281" s="601"/>
      <c r="CL281" s="601"/>
      <c r="CM281" s="601"/>
      <c r="CN281" s="601"/>
      <c r="CO281" s="601"/>
      <c r="CP281" s="601"/>
      <c r="CQ281" s="601"/>
      <c r="CR281" s="601"/>
      <c r="CS281" s="601"/>
      <c r="CT281" s="601"/>
      <c r="CU281" s="601"/>
      <c r="CV281" s="601"/>
      <c r="CW281" s="601"/>
      <c r="CX281" s="601"/>
      <c r="CY281" s="601"/>
      <c r="CZ281" s="601"/>
      <c r="DA281" s="86"/>
      <c r="DB281" s="602"/>
      <c r="DC281"/>
      <c r="DD281"/>
      <c r="DE281"/>
      <c r="DF281"/>
      <c r="DG281"/>
      <c r="DH281"/>
    </row>
    <row r="282" spans="1:112" s="82" customFormat="1" ht="12" customHeight="1">
      <c r="A282" s="390" t="s">
        <v>229</v>
      </c>
      <c r="B282" s="79"/>
      <c r="C282" s="79">
        <f t="shared" ref="C282:J282" si="542">C284-SUM(C280:C281)</f>
        <v>-523.61500000000001</v>
      </c>
      <c r="D282" s="79">
        <f t="shared" si="542"/>
        <v>20.965000000000146</v>
      </c>
      <c r="E282" s="79">
        <f t="shared" si="542"/>
        <v>265.46299999999997</v>
      </c>
      <c r="F282" s="79">
        <f t="shared" si="542"/>
        <v>149.28800000000001</v>
      </c>
      <c r="G282" s="251">
        <f t="shared" si="542"/>
        <v>-5.2309999999999945</v>
      </c>
      <c r="H282" s="86">
        <f t="shared" si="542"/>
        <v>5.2480000000000473</v>
      </c>
      <c r="I282" s="86">
        <f t="shared" si="542"/>
        <v>6.1630000000000109</v>
      </c>
      <c r="J282" s="86">
        <f t="shared" si="542"/>
        <v>10.671000000000049</v>
      </c>
      <c r="K282" s="79">
        <f>SUM(G282:J282)</f>
        <v>16.851000000000113</v>
      </c>
      <c r="L282" s="86">
        <f>L284-SUM(L280:L281)</f>
        <v>-41.629000000000133</v>
      </c>
      <c r="M282" s="86">
        <f>M284-SUM(M280:M281)</f>
        <v>39.342000000000098</v>
      </c>
      <c r="N282" s="86">
        <f>N284-SUM(N280:N281)</f>
        <v>29.013999999999896</v>
      </c>
      <c r="O282" s="86">
        <f>O284-SUM(O280:O281)</f>
        <v>-0.58499999999980901</v>
      </c>
      <c r="P282" s="79">
        <f>SUM(L282:O282)</f>
        <v>26.142000000000053</v>
      </c>
      <c r="Q282" s="86">
        <f>Q284-SUM(Q280:Q281)</f>
        <v>11.655999999999949</v>
      </c>
      <c r="R282" s="86">
        <f>R284-SUM(R280:R281)</f>
        <v>14.914999999999964</v>
      </c>
      <c r="S282" s="86">
        <f>S284-SUM(S280:S281)</f>
        <v>-5.5820000000001073</v>
      </c>
      <c r="T282" s="86">
        <f>T284-SUM(T280:T281)</f>
        <v>-15.369999999999891</v>
      </c>
      <c r="U282" s="79">
        <f>SUM(Q282:T282)</f>
        <v>5.6189999999999145</v>
      </c>
      <c r="V282" s="86">
        <f>V284-SUM(V280:V281)</f>
        <v>-1.0879999999999654</v>
      </c>
      <c r="W282" s="86">
        <f>W284-SUM(W280:W281)</f>
        <v>-13.403999999999996</v>
      </c>
      <c r="X282" s="86">
        <f>X284-SUM(X280:X281)</f>
        <v>3.0889999999999418</v>
      </c>
      <c r="Y282" s="86">
        <f>Y284-SUM(Y280:Y281)</f>
        <v>-1.3299999999999272</v>
      </c>
      <c r="Z282" s="79">
        <f>SUM(V282:Y282)</f>
        <v>-12.732999999999947</v>
      </c>
      <c r="AA282" s="86">
        <f>AA284-SUM(AA280:AA281)</f>
        <v>-0.88000000000010914</v>
      </c>
      <c r="AB282" s="86">
        <f>AB284-SUM(AB280:AB281)</f>
        <v>-0.98099999999999454</v>
      </c>
      <c r="AC282" s="86">
        <f>AC284-SUM(AC280:AC281)</f>
        <v>176.86599999999999</v>
      </c>
      <c r="AD282" s="86">
        <f>AD284-SUM(AD280:AD281)</f>
        <v>21.451000000000022</v>
      </c>
      <c r="AE282" s="79">
        <f>SUM(AA282:AD282)</f>
        <v>196.4559999999999</v>
      </c>
      <c r="AF282" s="86">
        <f>AF284-SUM(AF280:AF281)</f>
        <v>98.037000000000035</v>
      </c>
      <c r="AG282" s="86">
        <f>AG284-SUM(AG280:AG281)</f>
        <v>-0.20000000000004547</v>
      </c>
      <c r="AH282" s="86">
        <f>AH284-SUM(AH280:AH281)</f>
        <v>53</v>
      </c>
      <c r="AI282" s="86">
        <f>AI284-SUM(AI280:AI281)</f>
        <v>10.200000000000045</v>
      </c>
      <c r="AJ282" s="79">
        <f>SUM(AF282:AI282)</f>
        <v>161.03700000000003</v>
      </c>
      <c r="AK282" s="390">
        <f>AK284-SUM(AK280:AK281)</f>
        <v>14</v>
      </c>
      <c r="AL282" s="86">
        <f>AL284-SUM(AL280:AL281)</f>
        <v>234</v>
      </c>
      <c r="AM282" s="86">
        <f>AM284-SUM(AM280:AM281)</f>
        <v>61</v>
      </c>
      <c r="AN282" s="86">
        <f>AN284-SUM(AN280:AN281)</f>
        <v>-919</v>
      </c>
      <c r="AO282" s="119">
        <f>SUM(AK282:AN282)</f>
        <v>-610</v>
      </c>
      <c r="AP282" s="390">
        <f>AP284-SUM(AP280:AP281)</f>
        <v>-9</v>
      </c>
      <c r="AQ282" s="86">
        <f>AQ284-SUM(AQ280:AQ281)</f>
        <v>3</v>
      </c>
      <c r="AR282" s="86">
        <f>AR284-SUM(AR280:AR281)</f>
        <v>-26</v>
      </c>
      <c r="AS282" s="86">
        <f>AS284-SUM(AS280:AS281)</f>
        <v>6</v>
      </c>
      <c r="AT282" s="79">
        <f>SUM(AP282:AS282)</f>
        <v>-26</v>
      </c>
      <c r="AU282" s="390">
        <f>AU284-SUM(AU280:AU281)</f>
        <v>1</v>
      </c>
      <c r="AV282" s="86">
        <f>AV284-SUM(AV280:AV281)</f>
        <v>5</v>
      </c>
      <c r="AW282" s="86">
        <f>AW284-SUM(AW280:AW281)</f>
        <v>17</v>
      </c>
      <c r="AX282" s="86">
        <f>AX284-SUM(AX280:AX281)</f>
        <v>-48</v>
      </c>
      <c r="AY282" s="79">
        <f>SUM(AU282:AX282)</f>
        <v>-25</v>
      </c>
      <c r="AZ282" s="86">
        <f>AZ284-SUM(AZ280:AZ281)</f>
        <v>-22</v>
      </c>
      <c r="BA282" s="86">
        <f>BA284-SUM(BA280:BA281)</f>
        <v>18</v>
      </c>
      <c r="BB282" s="86">
        <f>BB284-SUM(BB280:BB281)</f>
        <v>1585</v>
      </c>
      <c r="BC282" s="86">
        <f>BC284-SUM(BC280:BC281)</f>
        <v>-86</v>
      </c>
      <c r="BD282" s="79">
        <f>SUM(AZ282:BC282)</f>
        <v>1495</v>
      </c>
      <c r="BE282" s="86">
        <f>BE284-SUM(BE280:BE281)</f>
        <v>-13</v>
      </c>
      <c r="BF282" s="86">
        <f>BF284-SUM(BF280:BF281)</f>
        <v>13</v>
      </c>
      <c r="BG282" s="86">
        <f>BG284-SUM(BG280:BG281)</f>
        <v>76</v>
      </c>
      <c r="BH282" s="86">
        <f>BH284-SUM(BH280:BH281)</f>
        <v>-9</v>
      </c>
      <c r="BI282" s="79">
        <f>SUM(BE282:BH282)</f>
        <v>67</v>
      </c>
      <c r="BJ282" s="86">
        <f>BJ284-SUM(BJ280:BJ281)</f>
        <v>11</v>
      </c>
      <c r="BK282" s="86">
        <f>BK284-SUM(BK280:BK281)</f>
        <v>22</v>
      </c>
      <c r="BL282" s="86">
        <f>BL284-SUM(BL280:BL281)</f>
        <v>10</v>
      </c>
      <c r="BM282" s="86">
        <f>BM284-SUM(BM280:BM281)</f>
        <v>-3</v>
      </c>
      <c r="BN282" s="79">
        <f>SUM(BJ282:BM282)</f>
        <v>40</v>
      </c>
      <c r="BO282" s="86">
        <f>BO284-SUM(BO280:BO281)</f>
        <v>56</v>
      </c>
      <c r="BP282" s="251">
        <f>-BP260*SUM(BP112,BP111)</f>
        <v>0</v>
      </c>
      <c r="BQ282" s="251">
        <f>-BQ260*SUM(BQ112,BQ111)</f>
        <v>0</v>
      </c>
      <c r="BR282" s="251">
        <f>-BR260*SUM(BR112,BR111)</f>
        <v>0</v>
      </c>
      <c r="BS282" s="79">
        <f>SUM(BO282:BR282)</f>
        <v>56</v>
      </c>
      <c r="BT282" s="251">
        <f>-BT260*SUM(BT112,BT111)</f>
        <v>0</v>
      </c>
      <c r="BU282" s="251">
        <f>-BU260*SUM(BU112,BU111)</f>
        <v>0</v>
      </c>
      <c r="BV282" s="251">
        <f>-BV260*SUM(BV112,BV111)</f>
        <v>0</v>
      </c>
      <c r="BW282" s="251">
        <f>-BW260*SUM(BW112,BW111)</f>
        <v>0</v>
      </c>
      <c r="BX282" s="79">
        <f>SUM(BT282:BW282)</f>
        <v>0</v>
      </c>
      <c r="BY282" s="394">
        <f>-BY260*SUM(BY112,BY111)</f>
        <v>0</v>
      </c>
      <c r="BZ282" s="394">
        <f>-BZ260*SUM(BZ112,BZ111)</f>
        <v>0</v>
      </c>
      <c r="CA282" s="394">
        <f>-CA260*SUM(CA112,CA111)</f>
        <v>0</v>
      </c>
      <c r="CB282" s="470"/>
      <c r="CC282" s="1360"/>
      <c r="CD282" s="251"/>
      <c r="CE282" s="575"/>
      <c r="CF282" s="575"/>
      <c r="CG282" s="575"/>
      <c r="CH282" s="575"/>
      <c r="CI282" s="575"/>
      <c r="CJ282" s="575"/>
      <c r="CK282" s="575"/>
      <c r="CL282" s="575"/>
      <c r="CM282" s="575"/>
      <c r="CN282" s="575"/>
      <c r="CO282" s="575"/>
      <c r="CP282" s="575"/>
      <c r="CQ282" s="575"/>
      <c r="CR282" s="575"/>
      <c r="CS282" s="575"/>
      <c r="CT282" s="575"/>
      <c r="CU282" s="575"/>
      <c r="CV282" s="575"/>
      <c r="CW282" s="575"/>
      <c r="CX282" s="575"/>
      <c r="CY282" s="575"/>
      <c r="CZ282" s="575"/>
      <c r="DA282" s="86"/>
      <c r="DB282" s="576"/>
      <c r="DC282"/>
      <c r="DD282"/>
      <c r="DE282"/>
      <c r="DF282"/>
      <c r="DG282"/>
      <c r="DH282"/>
    </row>
    <row r="283" spans="1:112" ht="5.25" customHeight="1">
      <c r="A283" s="42"/>
      <c r="B283" s="387" t="s">
        <v>62</v>
      </c>
      <c r="C283" s="387" t="s">
        <v>62</v>
      </c>
      <c r="D283" s="387" t="s">
        <v>62</v>
      </c>
      <c r="E283" s="387" t="s">
        <v>62</v>
      </c>
      <c r="F283" s="387" t="s">
        <v>62</v>
      </c>
      <c r="G283" s="388" t="s">
        <v>62</v>
      </c>
      <c r="H283" s="388" t="s">
        <v>62</v>
      </c>
      <c r="I283" s="388" t="s">
        <v>62</v>
      </c>
      <c r="J283" s="388" t="s">
        <v>62</v>
      </c>
      <c r="K283" s="387" t="s">
        <v>62</v>
      </c>
      <c r="L283" s="388" t="s">
        <v>62</v>
      </c>
      <c r="M283" s="388" t="s">
        <v>62</v>
      </c>
      <c r="N283" s="388" t="s">
        <v>62</v>
      </c>
      <c r="O283" s="388" t="s">
        <v>62</v>
      </c>
      <c r="P283" s="387" t="s">
        <v>62</v>
      </c>
      <c r="Q283" s="388" t="s">
        <v>62</v>
      </c>
      <c r="R283" s="388" t="s">
        <v>62</v>
      </c>
      <c r="S283" s="388" t="s">
        <v>62</v>
      </c>
      <c r="T283" s="388" t="s">
        <v>62</v>
      </c>
      <c r="U283" s="387" t="s">
        <v>62</v>
      </c>
      <c r="V283" s="388" t="s">
        <v>62</v>
      </c>
      <c r="W283" s="388" t="s">
        <v>62</v>
      </c>
      <c r="X283" s="388" t="s">
        <v>62</v>
      </c>
      <c r="Y283" s="388" t="s">
        <v>62</v>
      </c>
      <c r="Z283" s="387" t="s">
        <v>62</v>
      </c>
      <c r="AA283" s="388" t="s">
        <v>62</v>
      </c>
      <c r="AB283" s="388" t="s">
        <v>62</v>
      </c>
      <c r="AC283" s="388" t="s">
        <v>62</v>
      </c>
      <c r="AD283" s="388" t="s">
        <v>62</v>
      </c>
      <c r="AE283" s="387" t="s">
        <v>62</v>
      </c>
      <c r="AF283" s="388" t="s">
        <v>62</v>
      </c>
      <c r="AG283" s="388" t="s">
        <v>62</v>
      </c>
      <c r="AH283" s="388" t="s">
        <v>62</v>
      </c>
      <c r="AI283" s="388" t="s">
        <v>62</v>
      </c>
      <c r="AJ283" s="387" t="s">
        <v>62</v>
      </c>
      <c r="AK283" s="90" t="s">
        <v>62</v>
      </c>
      <c r="AL283" s="388" t="s">
        <v>62</v>
      </c>
      <c r="AM283" s="388" t="s">
        <v>62</v>
      </c>
      <c r="AN283" s="388" t="s">
        <v>62</v>
      </c>
      <c r="AO283" s="89" t="s">
        <v>62</v>
      </c>
      <c r="AP283" s="90" t="s">
        <v>62</v>
      </c>
      <c r="AQ283" s="388" t="s">
        <v>62</v>
      </c>
      <c r="AR283" s="388" t="s">
        <v>62</v>
      </c>
      <c r="AS283" s="388" t="s">
        <v>62</v>
      </c>
      <c r="AT283" s="387" t="s">
        <v>62</v>
      </c>
      <c r="AU283" s="90" t="s">
        <v>62</v>
      </c>
      <c r="AV283" s="388" t="s">
        <v>62</v>
      </c>
      <c r="AW283" s="388" t="s">
        <v>62</v>
      </c>
      <c r="AX283" s="388" t="s">
        <v>62</v>
      </c>
      <c r="AY283" s="387" t="s">
        <v>62</v>
      </c>
      <c r="AZ283" s="388" t="s">
        <v>62</v>
      </c>
      <c r="BA283" s="388" t="s">
        <v>62</v>
      </c>
      <c r="BB283" s="388" t="s">
        <v>62</v>
      </c>
      <c r="BC283" s="388" t="s">
        <v>62</v>
      </c>
      <c r="BD283" s="387" t="s">
        <v>62</v>
      </c>
      <c r="BE283" s="388" t="s">
        <v>62</v>
      </c>
      <c r="BF283" s="388" t="s">
        <v>62</v>
      </c>
      <c r="BG283" s="388" t="s">
        <v>62</v>
      </c>
      <c r="BH283" s="388" t="s">
        <v>62</v>
      </c>
      <c r="BI283" s="387" t="s">
        <v>62</v>
      </c>
      <c r="BJ283" s="388" t="s">
        <v>62</v>
      </c>
      <c r="BK283" s="388" t="s">
        <v>62</v>
      </c>
      <c r="BL283" s="388" t="s">
        <v>62</v>
      </c>
      <c r="BM283" s="388" t="s">
        <v>62</v>
      </c>
      <c r="BN283" s="387" t="s">
        <v>62</v>
      </c>
      <c r="BO283" s="388" t="s">
        <v>62</v>
      </c>
      <c r="BP283" s="388" t="s">
        <v>62</v>
      </c>
      <c r="BQ283" s="388" t="s">
        <v>62</v>
      </c>
      <c r="BR283" s="388" t="s">
        <v>62</v>
      </c>
      <c r="BS283" s="387" t="s">
        <v>62</v>
      </c>
      <c r="BT283" s="388" t="s">
        <v>62</v>
      </c>
      <c r="BU283" s="388" t="s">
        <v>62</v>
      </c>
      <c r="BV283" s="388" t="s">
        <v>62</v>
      </c>
      <c r="BW283" s="388" t="s">
        <v>62</v>
      </c>
      <c r="BX283" s="387" t="s">
        <v>62</v>
      </c>
      <c r="BY283" s="99" t="s">
        <v>62</v>
      </c>
      <c r="BZ283" s="99" t="s">
        <v>62</v>
      </c>
      <c r="CA283" s="99" t="s">
        <v>62</v>
      </c>
      <c r="CD283" s="370"/>
      <c r="CE283" s="530"/>
      <c r="CF283" s="530"/>
      <c r="CG283" s="530"/>
      <c r="CH283" s="530"/>
      <c r="CI283" s="530"/>
      <c r="CJ283" s="530"/>
      <c r="CK283" s="530"/>
      <c r="CL283" s="530"/>
      <c r="CM283" s="530"/>
      <c r="CN283" s="530"/>
      <c r="CO283" s="530"/>
      <c r="CP283" s="530"/>
      <c r="CQ283" s="530"/>
      <c r="CR283" s="530"/>
      <c r="CS283" s="530"/>
      <c r="CT283" s="530"/>
      <c r="CU283" s="530"/>
      <c r="CV283" s="530"/>
      <c r="CW283" s="530"/>
      <c r="CX283" s="530"/>
      <c r="CY283" s="530"/>
      <c r="CZ283" s="530"/>
      <c r="DA283" s="58"/>
      <c r="DB283" s="531"/>
    </row>
    <row r="284" spans="1:112" s="70" customFormat="1" ht="12" customHeight="1">
      <c r="A284" s="585" t="s">
        <v>233</v>
      </c>
      <c r="B284" s="2136">
        <f t="shared" ref="B284:J284" si="543">B153</f>
        <v>1818.4459999999999</v>
      </c>
      <c r="C284" s="2136">
        <f t="shared" si="543"/>
        <v>1294.8309999999999</v>
      </c>
      <c r="D284" s="2136">
        <f t="shared" si="543"/>
        <v>1239.877</v>
      </c>
      <c r="E284" s="2136">
        <f t="shared" si="543"/>
        <v>1505.34</v>
      </c>
      <c r="F284" s="2136">
        <f t="shared" si="543"/>
        <v>1654.6279999999999</v>
      </c>
      <c r="G284" s="2134">
        <f t="shared" si="543"/>
        <v>1649.3969999999999</v>
      </c>
      <c r="H284" s="2137">
        <f t="shared" si="543"/>
        <v>1654.645</v>
      </c>
      <c r="I284" s="2137">
        <f t="shared" si="543"/>
        <v>1660.808</v>
      </c>
      <c r="J284" s="2137">
        <f t="shared" si="543"/>
        <v>1671.479</v>
      </c>
      <c r="K284" s="67">
        <f>SUM(K280:K283)</f>
        <v>1671.479</v>
      </c>
      <c r="L284" s="2137">
        <f>L153</f>
        <v>1629.85</v>
      </c>
      <c r="M284" s="2137">
        <f>M153</f>
        <v>1669.192</v>
      </c>
      <c r="N284" s="2137">
        <f>N153</f>
        <v>1698.2059999999999</v>
      </c>
      <c r="O284" s="2137">
        <f>O153</f>
        <v>1697.6210000000001</v>
      </c>
      <c r="P284" s="67">
        <f>SUM(P280:P283)</f>
        <v>1697.6210000000001</v>
      </c>
      <c r="Q284" s="2137">
        <f>Q153</f>
        <v>1709.277</v>
      </c>
      <c r="R284" s="2137">
        <f>R153</f>
        <v>1724.192</v>
      </c>
      <c r="S284" s="2137">
        <f>S153</f>
        <v>1718.61</v>
      </c>
      <c r="T284" s="2137">
        <f>T153</f>
        <v>1703.24</v>
      </c>
      <c r="U284" s="67">
        <f>SUM(U280:U283)</f>
        <v>1703.24</v>
      </c>
      <c r="V284" s="2137">
        <f>V153</f>
        <v>1702.152</v>
      </c>
      <c r="W284" s="2137">
        <f>W153</f>
        <v>1688.748</v>
      </c>
      <c r="X284" s="2137">
        <f>X153</f>
        <v>1691.837</v>
      </c>
      <c r="Y284" s="2137">
        <f>Y153</f>
        <v>1690.5070000000001</v>
      </c>
      <c r="Z284" s="67">
        <f>SUM(Z280:Z283)</f>
        <v>1690.5070000000001</v>
      </c>
      <c r="AA284" s="2137">
        <f>AA153</f>
        <v>1689.627</v>
      </c>
      <c r="AB284" s="2137">
        <f>AB153</f>
        <v>1688.646</v>
      </c>
      <c r="AC284" s="2137">
        <f>AC153</f>
        <v>1865.5119999999999</v>
      </c>
      <c r="AD284" s="2137">
        <f>AD153</f>
        <v>1886.963</v>
      </c>
      <c r="AE284" s="67">
        <f>SUM(AE280:AE283)</f>
        <v>1886.963</v>
      </c>
      <c r="AF284" s="2137">
        <f>AF153</f>
        <v>1985</v>
      </c>
      <c r="AG284" s="2137">
        <f>AG153</f>
        <v>1984.8</v>
      </c>
      <c r="AH284" s="2137">
        <f>AH153</f>
        <v>2037.8</v>
      </c>
      <c r="AI284" s="2137">
        <f>AI153</f>
        <v>2048</v>
      </c>
      <c r="AJ284" s="67">
        <f>SUM(AJ280:AJ283)</f>
        <v>2048</v>
      </c>
      <c r="AK284" s="2138">
        <f>AK153</f>
        <v>2062</v>
      </c>
      <c r="AL284" s="2137">
        <f>AL153</f>
        <v>2296</v>
      </c>
      <c r="AM284" s="2137">
        <f>AM153</f>
        <v>2357</v>
      </c>
      <c r="AN284" s="2137">
        <f>AN153</f>
        <v>1438</v>
      </c>
      <c r="AO284" s="245">
        <f>SUM(AO280:AO283)</f>
        <v>1438</v>
      </c>
      <c r="AP284" s="2138">
        <f>AP153</f>
        <v>1429</v>
      </c>
      <c r="AQ284" s="2137">
        <f>AQ153</f>
        <v>1432</v>
      </c>
      <c r="AR284" s="2137">
        <f>AR153</f>
        <v>1406</v>
      </c>
      <c r="AS284" s="2137">
        <f>AS153</f>
        <v>1412</v>
      </c>
      <c r="AT284" s="67">
        <f>SUM(AT280:AT283)</f>
        <v>1412</v>
      </c>
      <c r="AU284" s="2138">
        <f>AU153</f>
        <v>1413</v>
      </c>
      <c r="AV284" s="2137">
        <f>AV153</f>
        <v>1418</v>
      </c>
      <c r="AW284" s="2137">
        <f>AW153</f>
        <v>1435</v>
      </c>
      <c r="AX284" s="2137">
        <f>AX153</f>
        <v>1387</v>
      </c>
      <c r="AY284" s="67">
        <f>SUM(AY280:AY283)</f>
        <v>1387</v>
      </c>
      <c r="AZ284" s="2134">
        <f>AZ153</f>
        <v>1365</v>
      </c>
      <c r="BA284" s="2134">
        <f>BA153</f>
        <v>1383</v>
      </c>
      <c r="BB284" s="2134">
        <f>BB153</f>
        <v>2968</v>
      </c>
      <c r="BC284" s="2137">
        <f>BC153</f>
        <v>2882</v>
      </c>
      <c r="BD284" s="67">
        <f>SUM(BD280:BD283)</f>
        <v>2882</v>
      </c>
      <c r="BE284" s="2134">
        <f>BE153</f>
        <v>2869</v>
      </c>
      <c r="BF284" s="2134">
        <f>BF153</f>
        <v>2882</v>
      </c>
      <c r="BG284" s="2134">
        <f>BG153</f>
        <v>2958</v>
      </c>
      <c r="BH284" s="2137">
        <f>BH153</f>
        <v>2949</v>
      </c>
      <c r="BI284" s="67">
        <f>SUM(BI280:BI283)</f>
        <v>2949</v>
      </c>
      <c r="BJ284" s="2134">
        <f>BJ153</f>
        <v>2960</v>
      </c>
      <c r="BK284" s="2134">
        <f>BK153</f>
        <v>2982</v>
      </c>
      <c r="BL284" s="2134">
        <f>BL153</f>
        <v>2992</v>
      </c>
      <c r="BM284" s="2137">
        <f>BM153</f>
        <v>2989</v>
      </c>
      <c r="BN284" s="67">
        <f>SUM(BN280:BN283)</f>
        <v>2989</v>
      </c>
      <c r="BO284" s="2134">
        <f>BO153</f>
        <v>3045</v>
      </c>
      <c r="BP284" s="248">
        <f>BP280+BP281+BP282</f>
        <v>3045</v>
      </c>
      <c r="BQ284" s="248">
        <f>BQ280+BQ281+BQ282</f>
        <v>3045</v>
      </c>
      <c r="BR284" s="248">
        <f>BR280+BR281+BR282</f>
        <v>3045</v>
      </c>
      <c r="BS284" s="67">
        <f>SUM(BS280:BS283)</f>
        <v>3045</v>
      </c>
      <c r="BT284" s="248">
        <f>BT280+BT281+BT282</f>
        <v>3045</v>
      </c>
      <c r="BU284" s="248">
        <f>BU280+BU281+BU282</f>
        <v>3045</v>
      </c>
      <c r="BV284" s="248">
        <f>BV280+BV281+BV282</f>
        <v>3045</v>
      </c>
      <c r="BW284" s="248">
        <f>BW280+BW281+BW282</f>
        <v>3045</v>
      </c>
      <c r="BX284" s="67">
        <f>SUM(BX280:BX283)</f>
        <v>3045</v>
      </c>
      <c r="BY284" s="419">
        <f>BY280+BY281+BY282</f>
        <v>3045</v>
      </c>
      <c r="BZ284" s="419">
        <f>BZ280+BZ281+BZ282</f>
        <v>3045</v>
      </c>
      <c r="CA284" s="419">
        <f>CA280+CA281+CA282</f>
        <v>3045</v>
      </c>
      <c r="CB284" s="447"/>
      <c r="CC284" s="1359"/>
      <c r="CD284" s="586"/>
      <c r="CE284" s="537"/>
      <c r="CF284" s="537"/>
      <c r="CG284" s="537"/>
      <c r="CH284" s="537"/>
      <c r="CI284" s="537"/>
      <c r="CJ284" s="537"/>
      <c r="CK284" s="537"/>
      <c r="CL284" s="537"/>
      <c r="CM284" s="537"/>
      <c r="CN284" s="537"/>
      <c r="CO284" s="537"/>
      <c r="CP284" s="537"/>
      <c r="CQ284" s="537"/>
      <c r="CR284" s="537"/>
      <c r="CS284" s="537"/>
      <c r="CT284" s="537"/>
      <c r="CU284" s="537"/>
      <c r="CV284" s="537"/>
      <c r="CW284" s="537"/>
      <c r="CX284" s="537"/>
      <c r="CY284" s="537"/>
      <c r="CZ284" s="537"/>
      <c r="DA284" s="74"/>
      <c r="DB284" s="538"/>
      <c r="DC284"/>
      <c r="DD284"/>
      <c r="DE284"/>
      <c r="DF284"/>
      <c r="DG284"/>
      <c r="DH284"/>
    </row>
    <row r="285" spans="1:112" s="612" customFormat="1" ht="12" customHeight="1">
      <c r="A285" s="608"/>
      <c r="B285" s="495"/>
      <c r="C285" s="495"/>
      <c r="D285" s="495"/>
      <c r="E285" s="495"/>
      <c r="F285" s="495"/>
      <c r="G285" s="407"/>
      <c r="H285" s="591"/>
      <c r="I285" s="591"/>
      <c r="J285" s="591"/>
      <c r="K285" s="495"/>
      <c r="L285" s="591"/>
      <c r="M285" s="591"/>
      <c r="N285" s="591"/>
      <c r="O285" s="591"/>
      <c r="P285" s="495"/>
      <c r="Q285" s="591"/>
      <c r="R285" s="591"/>
      <c r="S285" s="591"/>
      <c r="T285" s="591"/>
      <c r="U285" s="495"/>
      <c r="V285" s="591"/>
      <c r="W285" s="591"/>
      <c r="X285" s="591"/>
      <c r="Y285" s="591"/>
      <c r="Z285" s="495"/>
      <c r="AA285" s="591"/>
      <c r="AB285" s="591"/>
      <c r="AC285" s="591"/>
      <c r="AD285" s="591"/>
      <c r="AE285" s="495"/>
      <c r="AF285" s="591"/>
      <c r="AG285" s="591"/>
      <c r="AH285" s="591"/>
      <c r="AI285" s="591"/>
      <c r="AJ285" s="495"/>
      <c r="AK285" s="591"/>
      <c r="AL285" s="591"/>
      <c r="AM285" s="591"/>
      <c r="AN285" s="591"/>
      <c r="AO285" s="495"/>
      <c r="AP285" s="591"/>
      <c r="AQ285" s="591"/>
      <c r="AR285" s="591"/>
      <c r="AS285" s="591"/>
      <c r="AT285" s="495"/>
      <c r="AU285" s="591"/>
      <c r="AV285" s="591"/>
      <c r="AW285" s="407"/>
      <c r="AX285" s="609"/>
      <c r="AY285" s="610"/>
      <c r="AZ285" s="609"/>
      <c r="BA285" s="609"/>
      <c r="BB285" s="609"/>
      <c r="BC285" s="609"/>
      <c r="BD285" s="610"/>
      <c r="BE285" s="609"/>
      <c r="BF285" s="609"/>
      <c r="BG285" s="609"/>
      <c r="BH285" s="609"/>
      <c r="BI285" s="610"/>
      <c r="BJ285" s="609"/>
      <c r="BK285" s="609"/>
      <c r="BL285" s="609"/>
      <c r="BM285" s="609"/>
      <c r="BN285" s="610"/>
      <c r="BO285" s="609"/>
      <c r="BP285" s="609"/>
      <c r="BQ285" s="609"/>
      <c r="BR285" s="609"/>
      <c r="BS285" s="610"/>
      <c r="BT285" s="609"/>
      <c r="BU285" s="609"/>
      <c r="BV285" s="609"/>
      <c r="BW285" s="609"/>
      <c r="BX285" s="610"/>
      <c r="BY285" s="611"/>
      <c r="BZ285" s="611"/>
      <c r="CA285" s="611"/>
      <c r="CB285" s="594"/>
      <c r="CD285" s="613"/>
      <c r="CE285" s="614"/>
      <c r="CF285" s="614"/>
      <c r="CG285" s="614"/>
      <c r="CH285" s="614"/>
      <c r="CI285" s="614"/>
      <c r="CJ285" s="614"/>
      <c r="CK285" s="614"/>
      <c r="CL285" s="614"/>
      <c r="CM285" s="614"/>
      <c r="CN285" s="614"/>
      <c r="CO285" s="614"/>
      <c r="CP285" s="614"/>
      <c r="CQ285" s="614"/>
      <c r="CR285" s="614"/>
      <c r="CS285" s="614"/>
      <c r="CT285" s="614"/>
      <c r="CU285" s="614"/>
      <c r="CV285" s="614"/>
      <c r="CW285" s="614"/>
      <c r="CX285" s="614"/>
      <c r="CY285" s="614"/>
      <c r="CZ285" s="614"/>
      <c r="DA285" s="615"/>
      <c r="DB285" s="616"/>
      <c r="DC285"/>
      <c r="DD285"/>
      <c r="DE285"/>
      <c r="DF285"/>
      <c r="DG285"/>
      <c r="DH285"/>
    </row>
    <row r="286" spans="1:112" ht="12" customHeight="1" thickBot="1">
      <c r="A286" s="617"/>
      <c r="B286" s="573"/>
      <c r="C286" s="573"/>
      <c r="D286" s="573"/>
      <c r="E286" s="573"/>
      <c r="F286" s="573"/>
      <c r="G286" s="574"/>
      <c r="H286" s="574"/>
      <c r="I286" s="574"/>
      <c r="J286" s="574"/>
      <c r="K286" s="573"/>
      <c r="L286" s="574"/>
      <c r="M286" s="574"/>
      <c r="N286" s="574"/>
      <c r="O286" s="574"/>
      <c r="P286" s="573"/>
      <c r="Q286" s="574"/>
      <c r="R286" s="574"/>
      <c r="S286" s="574"/>
      <c r="T286" s="574"/>
      <c r="U286" s="573"/>
      <c r="V286" s="574"/>
      <c r="W286" s="574"/>
      <c r="X286" s="574"/>
      <c r="Y286" s="574"/>
      <c r="Z286" s="573"/>
      <c r="AA286" s="574"/>
      <c r="AB286" s="574"/>
      <c r="AC286" s="574"/>
      <c r="AD286" s="574"/>
      <c r="AE286" s="573"/>
      <c r="AF286" s="574"/>
      <c r="AG286" s="574"/>
      <c r="AH286" s="574"/>
      <c r="AI286" s="618"/>
      <c r="AJ286" s="619"/>
      <c r="AK286" s="617"/>
      <c r="AL286" s="617"/>
      <c r="AM286" s="617"/>
      <c r="AN286" s="617"/>
      <c r="AO286" s="620"/>
      <c r="AP286" s="617"/>
      <c r="AQ286" s="617"/>
      <c r="AR286" s="617"/>
      <c r="AS286" s="618"/>
      <c r="AT286" s="619"/>
      <c r="AU286" s="617"/>
      <c r="AV286" s="617"/>
      <c r="AW286" s="618"/>
      <c r="AX286" s="618"/>
      <c r="AY286" s="619"/>
      <c r="AZ286" s="618"/>
      <c r="BA286" s="618"/>
      <c r="BB286" s="618"/>
      <c r="BC286" s="618"/>
      <c r="BD286" s="619"/>
      <c r="BE286" s="618"/>
      <c r="BF286" s="618"/>
      <c r="BG286" s="618"/>
      <c r="BH286" s="618"/>
      <c r="BI286" s="619"/>
      <c r="BJ286" s="618"/>
      <c r="BK286" s="618"/>
      <c r="BL286" s="618"/>
      <c r="BM286" s="618"/>
      <c r="BN286" s="619"/>
      <c r="BO286" s="618"/>
      <c r="BP286" s="618"/>
      <c r="BQ286" s="618"/>
      <c r="BR286" s="618"/>
      <c r="BS286" s="619"/>
      <c r="BT286" s="618"/>
      <c r="BU286" s="618"/>
      <c r="BV286" s="618"/>
      <c r="BW286" s="618"/>
      <c r="BX286" s="619"/>
      <c r="BY286" s="621"/>
      <c r="BZ286" s="621"/>
      <c r="CA286" s="621"/>
      <c r="CD286" s="370"/>
      <c r="CE286" s="388"/>
      <c r="CF286" s="388"/>
      <c r="CG286" s="388"/>
      <c r="CH286" s="388"/>
      <c r="CI286" s="388"/>
      <c r="CJ286" s="388"/>
      <c r="CK286" s="388"/>
      <c r="CL286" s="388"/>
      <c r="CM286" s="388"/>
      <c r="CN286" s="388"/>
      <c r="CO286" s="388"/>
      <c r="CP286" s="388"/>
      <c r="CQ286" s="388"/>
      <c r="CR286" s="388"/>
      <c r="CS286" s="388"/>
      <c r="CT286" s="388"/>
      <c r="CU286" s="388"/>
      <c r="CV286" s="388"/>
      <c r="CW286" s="388"/>
      <c r="CX286" s="388"/>
      <c r="CY286" s="388"/>
      <c r="CZ286" s="388"/>
      <c r="DA286" s="58"/>
      <c r="DB286" s="286"/>
    </row>
    <row r="287" spans="1:112" ht="12" customHeight="1">
      <c r="A287" s="42"/>
      <c r="B287" s="54"/>
      <c r="C287" s="54"/>
      <c r="D287" s="54"/>
      <c r="E287" s="54"/>
      <c r="F287" s="54"/>
      <c r="G287" s="127"/>
      <c r="H287" s="377"/>
      <c r="I287" s="377"/>
      <c r="J287" s="377"/>
      <c r="K287" s="54"/>
      <c r="L287" s="377"/>
      <c r="M287" s="377"/>
      <c r="N287" s="377"/>
      <c r="O287" s="377"/>
      <c r="P287" s="54"/>
      <c r="Q287" s="377"/>
      <c r="R287" s="377"/>
      <c r="S287" s="377"/>
      <c r="T287" s="377"/>
      <c r="U287" s="54"/>
      <c r="V287" s="377"/>
      <c r="W287" s="377"/>
      <c r="X287" s="377"/>
      <c r="Y287" s="377"/>
      <c r="Z287" s="54"/>
      <c r="AA287" s="377"/>
      <c r="AB287" s="377"/>
      <c r="AC287" s="377"/>
      <c r="AD287" s="377"/>
      <c r="AE287" s="54"/>
      <c r="AF287" s="377"/>
      <c r="AG287" s="377"/>
      <c r="AH287" s="377"/>
      <c r="AI287" s="58"/>
      <c r="AJ287" s="378"/>
      <c r="AK287" s="42"/>
      <c r="AL287" s="42"/>
      <c r="AM287" s="42"/>
      <c r="AN287" s="42"/>
      <c r="AO287" s="379"/>
      <c r="AP287" s="42"/>
      <c r="AQ287" s="42"/>
      <c r="AR287" s="42"/>
      <c r="AS287" s="58"/>
      <c r="AT287" s="378"/>
      <c r="AU287" s="42"/>
      <c r="AV287" s="42"/>
      <c r="AW287" s="370"/>
      <c r="AX287" s="370"/>
      <c r="AY287" s="378"/>
      <c r="AZ287" s="370"/>
      <c r="BA287" s="370"/>
      <c r="BB287" s="370"/>
      <c r="BC287" s="370"/>
      <c r="BD287" s="378"/>
      <c r="BE287" s="370"/>
      <c r="BF287" s="370"/>
      <c r="BG287" s="370"/>
      <c r="BH287" s="370"/>
      <c r="BI287" s="378"/>
      <c r="BJ287" s="370"/>
      <c r="BK287" s="370"/>
      <c r="BL287" s="370"/>
      <c r="BM287" s="370"/>
      <c r="BN287" s="378"/>
      <c r="BO287" s="370"/>
      <c r="BP287" s="370"/>
      <c r="BQ287" s="370"/>
      <c r="BR287" s="370"/>
      <c r="BS287" s="378"/>
      <c r="BT287" s="370"/>
      <c r="BU287" s="370"/>
      <c r="BV287" s="370"/>
      <c r="BW287" s="370"/>
      <c r="BX287" s="378"/>
      <c r="BY287" s="444"/>
      <c r="BZ287" s="444"/>
      <c r="CA287" s="444"/>
      <c r="CD287" s="682"/>
      <c r="CE287" s="1191"/>
      <c r="CF287" s="1191"/>
      <c r="CG287" s="1191"/>
      <c r="CH287" s="1191"/>
      <c r="CI287" s="1191"/>
      <c r="CJ287" s="1191"/>
      <c r="CK287" s="1191"/>
      <c r="CL287" s="1191"/>
      <c r="CM287" s="1191"/>
      <c r="CN287" s="1191"/>
      <c r="CO287" s="1191"/>
      <c r="CP287" s="1191"/>
      <c r="CQ287" s="1191"/>
      <c r="CR287" s="1191"/>
      <c r="CS287" s="1191"/>
      <c r="CT287" s="1191"/>
      <c r="CU287" s="1191"/>
      <c r="CV287" s="1191"/>
      <c r="CW287" s="1191"/>
      <c r="CX287" s="1191"/>
      <c r="CY287" s="1191"/>
      <c r="CZ287" s="1191"/>
      <c r="DA287" s="58"/>
      <c r="DB287" s="550"/>
    </row>
    <row r="288" spans="1:112" ht="12" customHeight="1">
      <c r="A288" s="585" t="s">
        <v>234</v>
      </c>
      <c r="B288" s="67"/>
      <c r="C288" s="67"/>
      <c r="D288" s="67"/>
      <c r="E288" s="67"/>
      <c r="F288" s="67"/>
      <c r="G288" s="248"/>
      <c r="H288" s="74"/>
      <c r="I288" s="74"/>
      <c r="J288" s="74"/>
      <c r="K288" s="67"/>
      <c r="L288" s="74"/>
      <c r="M288" s="74"/>
      <c r="N288" s="74"/>
      <c r="O288" s="74"/>
      <c r="P288" s="67"/>
      <c r="Q288" s="74"/>
      <c r="R288" s="74"/>
      <c r="S288" s="74"/>
      <c r="T288" s="74"/>
      <c r="U288" s="67"/>
      <c r="V288" s="74"/>
      <c r="W288" s="74"/>
      <c r="X288" s="74"/>
      <c r="Y288" s="74"/>
      <c r="Z288" s="67"/>
      <c r="AA288" s="74"/>
      <c r="AB288" s="74"/>
      <c r="AC288" s="74"/>
      <c r="AD288" s="74"/>
      <c r="AE288" s="67"/>
      <c r="AF288" s="74"/>
      <c r="AG288" s="74"/>
      <c r="AH288" s="74"/>
      <c r="AI288" s="74"/>
      <c r="AJ288" s="67"/>
      <c r="AK288" s="418"/>
      <c r="AL288" s="622"/>
      <c r="AM288" s="622"/>
      <c r="AN288" s="622"/>
      <c r="AO288" s="245"/>
      <c r="AP288" s="418"/>
      <c r="AQ288" s="622"/>
      <c r="AR288" s="622"/>
      <c r="AS288" s="622"/>
      <c r="AT288" s="67"/>
      <c r="AU288" s="418"/>
      <c r="AV288" s="622"/>
      <c r="AW288" s="622"/>
      <c r="AX288" s="622"/>
      <c r="AY288" s="67"/>
      <c r="AZ288" s="622"/>
      <c r="BA288" s="622"/>
      <c r="BB288" s="622"/>
      <c r="BC288" s="622"/>
      <c r="BD288" s="67"/>
      <c r="BE288" s="622"/>
      <c r="BF288" s="622"/>
      <c r="BG288" s="622"/>
      <c r="BH288" s="622"/>
      <c r="BI288" s="67"/>
      <c r="BJ288" s="622"/>
      <c r="BK288" s="622"/>
      <c r="BL288" s="622"/>
      <c r="BM288" s="622"/>
      <c r="BN288" s="67"/>
      <c r="BO288" s="622"/>
      <c r="BP288" s="622"/>
      <c r="BQ288" s="622"/>
      <c r="BR288" s="622"/>
      <c r="BS288" s="67"/>
      <c r="BT288" s="622"/>
      <c r="BU288" s="622"/>
      <c r="BV288" s="622"/>
      <c r="BW288" s="622"/>
      <c r="BX288" s="67"/>
      <c r="BY288" s="623"/>
      <c r="BZ288" s="623"/>
      <c r="CA288" s="623"/>
      <c r="CC288" s="1359"/>
      <c r="CD288" s="1192" t="str">
        <f>+A288</f>
        <v>Interest Income</v>
      </c>
      <c r="CE288" s="1193"/>
      <c r="CF288" s="1193"/>
      <c r="CG288" s="1193"/>
      <c r="CH288" s="1193"/>
      <c r="CI288" s="1193"/>
      <c r="CJ288" s="1193"/>
      <c r="CK288" s="1193"/>
      <c r="CL288" s="1193"/>
      <c r="CM288" s="1193"/>
      <c r="CN288" s="1193"/>
      <c r="CO288" s="1193"/>
      <c r="CP288" s="1193"/>
      <c r="CQ288" s="1193"/>
      <c r="CR288" s="1193"/>
      <c r="CS288" s="1193"/>
      <c r="CT288" s="1193"/>
      <c r="CU288" s="1193"/>
      <c r="CV288" s="1193"/>
      <c r="CW288" s="1193"/>
      <c r="CX288" s="1193"/>
      <c r="CY288" s="1193"/>
      <c r="CZ288" s="1193"/>
      <c r="DA288" s="74"/>
      <c r="DB288" s="538"/>
    </row>
    <row r="289" spans="1:112" ht="12" customHeight="1">
      <c r="A289" s="42" t="s">
        <v>235</v>
      </c>
      <c r="B289" s="54"/>
      <c r="C289" s="54"/>
      <c r="D289" s="54"/>
      <c r="E289" s="54"/>
      <c r="F289" s="54"/>
      <c r="G289" s="127"/>
      <c r="H289" s="377"/>
      <c r="I289" s="377"/>
      <c r="J289" s="377"/>
      <c r="K289" s="54"/>
      <c r="L289" s="377"/>
      <c r="M289" s="377"/>
      <c r="N289" s="377"/>
      <c r="O289" s="377"/>
      <c r="P289" s="54"/>
      <c r="Q289" s="377"/>
      <c r="R289" s="377"/>
      <c r="S289" s="377"/>
      <c r="T289" s="377"/>
      <c r="U289" s="54"/>
      <c r="V289" s="377"/>
      <c r="W289" s="377"/>
      <c r="X289" s="377"/>
      <c r="Y289" s="377"/>
      <c r="Z289" s="54"/>
      <c r="AA289" s="377"/>
      <c r="AB289" s="377"/>
      <c r="AC289" s="377"/>
      <c r="AD289" s="377"/>
      <c r="AE289" s="79">
        <f>+AE142+AE143</f>
        <v>1547.7519999999984</v>
      </c>
      <c r="AF289" s="377">
        <f>AF142+AF143</f>
        <v>1298.0999999999985</v>
      </c>
      <c r="AG289" s="377">
        <f>AG142+AG143</f>
        <v>1324.9999999999984</v>
      </c>
      <c r="AH289" s="86">
        <f>AH142+AH143</f>
        <v>1473.7999999999986</v>
      </c>
      <c r="AI289" s="86">
        <f>AI142+AI143</f>
        <v>973.3999999999985</v>
      </c>
      <c r="AJ289" s="79">
        <f>+AJ142+AJ143</f>
        <v>973.39999999999839</v>
      </c>
      <c r="AK289" s="533">
        <f>AK142+AK143</f>
        <v>932.39999999999839</v>
      </c>
      <c r="AL289" s="390">
        <f>+AL142+AL143</f>
        <v>839.39999999999839</v>
      </c>
      <c r="AM289" s="390">
        <f>+AM142+AM143</f>
        <v>1245.3999999999983</v>
      </c>
      <c r="AN289" s="390">
        <f>+AN142+AN143</f>
        <v>761.39999999999827</v>
      </c>
      <c r="AO289" s="119">
        <f>+AO142+AO143</f>
        <v>761.39999999999839</v>
      </c>
      <c r="AP289" s="533">
        <f>AP142+AP143</f>
        <v>1905.3999999999983</v>
      </c>
      <c r="AQ289" s="390">
        <f>+AQ142+AQ143</f>
        <v>1900.3999999999983</v>
      </c>
      <c r="AR289" s="390">
        <f>+AR142+AR143</f>
        <v>1577.3999999999983</v>
      </c>
      <c r="AS289" s="86">
        <f>+AS142+AS143</f>
        <v>1560.3999999999983</v>
      </c>
      <c r="AT289" s="79">
        <f>+AT142+AT143</f>
        <v>1560.3999999999983</v>
      </c>
      <c r="AU289" s="533">
        <f>AU142+AU143</f>
        <v>1531.3999999999983</v>
      </c>
      <c r="AV289" s="390">
        <f t="shared" ref="AV289:BZ289" si="544">+AV142+AV143</f>
        <v>1617.3999999999983</v>
      </c>
      <c r="AW289" s="251">
        <f t="shared" si="544"/>
        <v>1918.3999999999983</v>
      </c>
      <c r="AX289" s="251">
        <f t="shared" si="544"/>
        <v>2500.3999999999983</v>
      </c>
      <c r="AY289" s="79">
        <f t="shared" si="544"/>
        <v>2500.3999999999983</v>
      </c>
      <c r="AZ289" s="251">
        <f t="shared" si="544"/>
        <v>1176.3999999999983</v>
      </c>
      <c r="BA289" s="251">
        <f t="shared" si="544"/>
        <v>1720.3999999999983</v>
      </c>
      <c r="BB289" s="251">
        <f t="shared" si="544"/>
        <v>1441.3999999999983</v>
      </c>
      <c r="BC289" s="251">
        <f t="shared" si="544"/>
        <v>1486.3999999999983</v>
      </c>
      <c r="BD289" s="79">
        <f t="shared" si="544"/>
        <v>1486.3999999999983</v>
      </c>
      <c r="BE289" s="251">
        <f t="shared" si="544"/>
        <v>1599.3999999999983</v>
      </c>
      <c r="BF289" s="251">
        <f t="shared" si="544"/>
        <v>1566.9999999999982</v>
      </c>
      <c r="BG289" s="251">
        <f t="shared" si="544"/>
        <v>2397.9999999999982</v>
      </c>
      <c r="BH289" s="251">
        <f t="shared" si="544"/>
        <v>2399.9999999999982</v>
      </c>
      <c r="BI289" s="79">
        <f t="shared" si="544"/>
        <v>2399.9999999999982</v>
      </c>
      <c r="BJ289" s="251">
        <f>+BJ142+BJ143</f>
        <v>2410.9999999999982</v>
      </c>
      <c r="BK289" s="251">
        <f t="shared" si="544"/>
        <v>2383.9999999999982</v>
      </c>
      <c r="BL289" s="251">
        <f t="shared" ref="BL289" si="545">+BL142+BL143</f>
        <v>2311.9999999999982</v>
      </c>
      <c r="BM289" s="251">
        <f t="shared" si="544"/>
        <v>2790.9999999999982</v>
      </c>
      <c r="BN289" s="79">
        <f t="shared" ref="BN289" si="546">+BN142+BN143</f>
        <v>2790.9999999999982</v>
      </c>
      <c r="BO289" s="251">
        <f>+BO142+BO143</f>
        <v>1755.9999999999982</v>
      </c>
      <c r="BP289" s="251">
        <f t="shared" si="544"/>
        <v>1967.7737663547271</v>
      </c>
      <c r="BQ289" s="251">
        <f t="shared" si="544"/>
        <v>2070.3809573126118</v>
      </c>
      <c r="BR289" s="251">
        <f t="shared" si="544"/>
        <v>2238.4345001712882</v>
      </c>
      <c r="BS289" s="79">
        <f t="shared" si="544"/>
        <v>2238.4345001712895</v>
      </c>
      <c r="BT289" s="251">
        <f t="shared" ref="BT289:BX289" si="547">+BT142+BT143</f>
        <v>2112.8426536034485</v>
      </c>
      <c r="BU289" s="251">
        <f t="shared" si="547"/>
        <v>2313.5557780540644</v>
      </c>
      <c r="BV289" s="251">
        <f t="shared" si="547"/>
        <v>2394.5757357840753</v>
      </c>
      <c r="BW289" s="251">
        <f t="shared" si="547"/>
        <v>2478.3936042014161</v>
      </c>
      <c r="BX289" s="79">
        <f t="shared" si="547"/>
        <v>2478.3936042014147</v>
      </c>
      <c r="BY289" s="394">
        <f t="shared" si="544"/>
        <v>2712.6288428534572</v>
      </c>
      <c r="BZ289" s="394">
        <f t="shared" si="544"/>
        <v>2939.0532804706486</v>
      </c>
      <c r="CA289" s="394">
        <f t="shared" ref="CA289" si="548">+CA142+CA143</f>
        <v>3257.3346336188406</v>
      </c>
      <c r="CD289" s="379" t="str">
        <f>+A289</f>
        <v>Total Interest Earning Assets</v>
      </c>
      <c r="CE289" s="1194"/>
      <c r="CF289" s="1194"/>
      <c r="CG289" s="1194"/>
      <c r="CH289" s="1194"/>
      <c r="CI289" s="1194"/>
      <c r="CJ289" s="1194"/>
      <c r="CK289" s="1194"/>
      <c r="CL289" s="1194"/>
      <c r="CM289" s="1194"/>
      <c r="CN289" s="119">
        <f t="shared" ref="CN289:CO291" si="549">AI289</f>
        <v>973.3999999999985</v>
      </c>
      <c r="CO289" s="119">
        <f t="shared" si="549"/>
        <v>973.39999999999839</v>
      </c>
      <c r="CP289" s="119">
        <f>AO289</f>
        <v>761.39999999999839</v>
      </c>
      <c r="CQ289" s="119">
        <f>AT289</f>
        <v>1560.3999999999983</v>
      </c>
      <c r="CR289" s="119">
        <f>AY289</f>
        <v>2500.3999999999983</v>
      </c>
      <c r="CS289" s="119">
        <f>BD289</f>
        <v>1486.3999999999983</v>
      </c>
      <c r="CT289" s="119">
        <f>BI289</f>
        <v>2399.9999999999982</v>
      </c>
      <c r="CU289" s="119">
        <f>BN289</f>
        <v>2790.9999999999982</v>
      </c>
      <c r="CV289" s="119">
        <f>BS289</f>
        <v>2238.4345001712895</v>
      </c>
      <c r="CW289" s="119">
        <f t="shared" ref="CW289:CZ291" si="550">BX289</f>
        <v>2478.3936042014147</v>
      </c>
      <c r="CX289" s="119">
        <f t="shared" si="550"/>
        <v>2712.6288428534572</v>
      </c>
      <c r="CY289" s="119">
        <f t="shared" si="550"/>
        <v>2939.0532804706486</v>
      </c>
      <c r="CZ289" s="119">
        <f t="shared" si="550"/>
        <v>3257.3346336188406</v>
      </c>
      <c r="DA289" s="58"/>
      <c r="DB289" s="531"/>
    </row>
    <row r="290" spans="1:112" ht="12" customHeight="1">
      <c r="A290" s="42" t="s">
        <v>236</v>
      </c>
      <c r="B290" s="54"/>
      <c r="C290" s="54"/>
      <c r="D290" s="54"/>
      <c r="E290" s="54"/>
      <c r="F290" s="54"/>
      <c r="G290" s="127"/>
      <c r="H290" s="377"/>
      <c r="I290" s="377"/>
      <c r="J290" s="377"/>
      <c r="K290" s="54"/>
      <c r="L290" s="377"/>
      <c r="M290" s="377"/>
      <c r="N290" s="377"/>
      <c r="O290" s="377"/>
      <c r="P290" s="54"/>
      <c r="Q290" s="377"/>
      <c r="R290" s="377"/>
      <c r="S290" s="377"/>
      <c r="T290" s="377"/>
      <c r="U290" s="54"/>
      <c r="V290" s="377"/>
      <c r="W290" s="377"/>
      <c r="X290" s="377"/>
      <c r="Y290" s="377"/>
      <c r="Z290" s="54"/>
      <c r="AA290" s="377"/>
      <c r="AB290" s="377"/>
      <c r="AC290" s="377"/>
      <c r="AD290" s="377"/>
      <c r="AE290" s="54"/>
      <c r="AF290" s="377">
        <f>AVERAGE(AE289:AF289)</f>
        <v>1422.9259999999986</v>
      </c>
      <c r="AG290" s="377">
        <f>AVERAGE(AF289:AG289)</f>
        <v>1311.5499999999984</v>
      </c>
      <c r="AH290" s="86">
        <f>AVERAGE(AG289:AH289)</f>
        <v>1399.3999999999985</v>
      </c>
      <c r="AI290" s="86">
        <f>AVERAGE(AH289:AI289)</f>
        <v>1223.5999999999985</v>
      </c>
      <c r="AJ290" s="79">
        <f>AVERAGE(AF290:AI290)</f>
        <v>1339.3689999999986</v>
      </c>
      <c r="AK290" s="533">
        <f>AVERAGE(AJ289:AK289)</f>
        <v>952.89999999999839</v>
      </c>
      <c r="AL290" s="390">
        <f>AVERAGE(AK289:AL289)</f>
        <v>885.89999999999839</v>
      </c>
      <c r="AM290" s="390">
        <f>AVERAGE(AL289:AM289)</f>
        <v>1042.3999999999983</v>
      </c>
      <c r="AN290" s="390">
        <f>AVERAGE(AM289:AN289)</f>
        <v>1003.3999999999983</v>
      </c>
      <c r="AO290" s="119">
        <f>AVERAGE(AK290:AN290)</f>
        <v>971.14999999999839</v>
      </c>
      <c r="AP290" s="533">
        <f>AVERAGE(AO289:AP289)</f>
        <v>1333.3999999999983</v>
      </c>
      <c r="AQ290" s="390">
        <f>AVERAGE(AP289:AQ289)</f>
        <v>1902.8999999999983</v>
      </c>
      <c r="AR290" s="390">
        <f>AVERAGE(AQ289:AR289)</f>
        <v>1738.8999999999983</v>
      </c>
      <c r="AS290" s="86">
        <f>AVERAGE(AR289:AS289)</f>
        <v>1568.8999999999983</v>
      </c>
      <c r="AT290" s="79">
        <f>AVERAGE(AP290:AS290)</f>
        <v>1636.0249999999983</v>
      </c>
      <c r="AU290" s="533">
        <f>AVERAGE(AT289:AU289)</f>
        <v>1545.8999999999983</v>
      </c>
      <c r="AV290" s="390">
        <f>AVERAGE(AU289:AV289)</f>
        <v>1574.3999999999983</v>
      </c>
      <c r="AW290" s="251">
        <f>AVERAGE(AV289:AW289)</f>
        <v>1767.8999999999983</v>
      </c>
      <c r="AX290" s="251">
        <f>AVERAGE(AW289:AX289)</f>
        <v>2209.3999999999983</v>
      </c>
      <c r="AY290" s="79">
        <f>AVERAGE(AU290:AX290)</f>
        <v>1774.3999999999983</v>
      </c>
      <c r="AZ290" s="251">
        <f>AVERAGE(AZ289,AX289)</f>
        <v>1838.3999999999983</v>
      </c>
      <c r="BA290" s="251">
        <f>AVERAGE(AZ289:BA289)</f>
        <v>1448.3999999999983</v>
      </c>
      <c r="BB290" s="251">
        <f>AVERAGE(BA289:BB289)</f>
        <v>1580.8999999999983</v>
      </c>
      <c r="BC290" s="251">
        <f>AVERAGE(BB289:BC289)</f>
        <v>1463.8999999999983</v>
      </c>
      <c r="BD290" s="79">
        <f>AVERAGE(AZ290:BC290)</f>
        <v>1582.8999999999983</v>
      </c>
      <c r="BE290" s="251">
        <f>AVERAGE(BE289,BC289)</f>
        <v>1542.8999999999983</v>
      </c>
      <c r="BF290" s="251">
        <f>AVERAGE(BE289:BF289)</f>
        <v>1583.1999999999982</v>
      </c>
      <c r="BG290" s="251">
        <f>AVERAGE(BF289:BG289)</f>
        <v>1982.4999999999982</v>
      </c>
      <c r="BH290" s="251">
        <f>AVERAGE(BG289:BH289)</f>
        <v>2398.9999999999982</v>
      </c>
      <c r="BI290" s="79">
        <f>AVERAGE(BE290:BH290)</f>
        <v>1876.8999999999983</v>
      </c>
      <c r="BJ290" s="251">
        <f>AVERAGE(BJ289,BH289)</f>
        <v>2405.4999999999982</v>
      </c>
      <c r="BK290" s="251">
        <f>AVERAGE(BJ289:BK289)</f>
        <v>2397.4999999999982</v>
      </c>
      <c r="BL290" s="251">
        <f>AVERAGE(BK289:BL289)</f>
        <v>2347.9999999999982</v>
      </c>
      <c r="BM290" s="251">
        <f>AVERAGE(BL289:BM289)</f>
        <v>2551.4999999999982</v>
      </c>
      <c r="BN290" s="79">
        <f>AVERAGE(BJ290:BM290)</f>
        <v>2425.6249999999982</v>
      </c>
      <c r="BO290" s="251">
        <f>AVERAGE(BO289,BM289)</f>
        <v>2273.4999999999982</v>
      </c>
      <c r="BP290" s="251">
        <f>AVERAGE(BO289:BP289)</f>
        <v>1861.8868831773625</v>
      </c>
      <c r="BQ290" s="251">
        <f>AVERAGE(BP289:BQ289)</f>
        <v>2019.0773618336693</v>
      </c>
      <c r="BR290" s="251">
        <f>AVERAGE(BQ289:BR289)</f>
        <v>2154.40772874195</v>
      </c>
      <c r="BS290" s="79">
        <f>AVERAGE(BO290:BR290)</f>
        <v>2077.2179934382448</v>
      </c>
      <c r="BT290" s="251">
        <f>AVERAGE(BT289,BR289)</f>
        <v>2175.6385768873683</v>
      </c>
      <c r="BU290" s="251">
        <f>AVERAGE(BT289:BU289)</f>
        <v>2213.1992158287567</v>
      </c>
      <c r="BV290" s="251">
        <f>AVERAGE(BU289:BV289)</f>
        <v>2354.0657569190698</v>
      </c>
      <c r="BW290" s="251">
        <f>AVERAGE(BV289:BW289)</f>
        <v>2436.4846699927457</v>
      </c>
      <c r="BX290" s="79">
        <f>AVERAGE(BT290:BW290)</f>
        <v>2294.8470549069852</v>
      </c>
      <c r="BY290" s="394">
        <f>AVERAGE(BX289:BY289)</f>
        <v>2595.511223527436</v>
      </c>
      <c r="BZ290" s="394">
        <f>AVERAGE(BY289:BZ289)</f>
        <v>2825.8410616620531</v>
      </c>
      <c r="CA290" s="394">
        <f>AVERAGE(BZ289:CA289)</f>
        <v>3098.1939570447448</v>
      </c>
      <c r="CD290" s="379" t="str">
        <f>+A290</f>
        <v>Average Interest Earning Assets</v>
      </c>
      <c r="CE290" s="1194"/>
      <c r="CF290" s="1194"/>
      <c r="CG290" s="1194"/>
      <c r="CH290" s="1194"/>
      <c r="CI290" s="1194"/>
      <c r="CJ290" s="1194"/>
      <c r="CK290" s="1194"/>
      <c r="CL290" s="1194"/>
      <c r="CM290" s="1194"/>
      <c r="CN290" s="119">
        <f t="shared" si="549"/>
        <v>1223.5999999999985</v>
      </c>
      <c r="CO290" s="119">
        <f t="shared" si="549"/>
        <v>1339.3689999999986</v>
      </c>
      <c r="CP290" s="119">
        <f>AO290</f>
        <v>971.14999999999839</v>
      </c>
      <c r="CQ290" s="119">
        <f>AT290</f>
        <v>1636.0249999999983</v>
      </c>
      <c r="CR290" s="119">
        <f>AY290</f>
        <v>1774.3999999999983</v>
      </c>
      <c r="CS290" s="119">
        <f>BD290</f>
        <v>1582.8999999999983</v>
      </c>
      <c r="CT290" s="119">
        <f>BI290</f>
        <v>1876.8999999999983</v>
      </c>
      <c r="CU290" s="119">
        <f>BN290</f>
        <v>2425.6249999999982</v>
      </c>
      <c r="CV290" s="119">
        <f>BS290</f>
        <v>2077.2179934382448</v>
      </c>
      <c r="CW290" s="119">
        <f t="shared" si="550"/>
        <v>2294.8470549069852</v>
      </c>
      <c r="CX290" s="119">
        <f t="shared" si="550"/>
        <v>2595.511223527436</v>
      </c>
      <c r="CY290" s="119">
        <f t="shared" si="550"/>
        <v>2825.8410616620531</v>
      </c>
      <c r="CZ290" s="119">
        <f t="shared" si="550"/>
        <v>3098.1939570447448</v>
      </c>
      <c r="DA290" s="58"/>
      <c r="DB290" s="531"/>
    </row>
    <row r="291" spans="1:112" ht="12" customHeight="1">
      <c r="A291" s="490" t="s">
        <v>237</v>
      </c>
      <c r="B291" s="118"/>
      <c r="C291" s="118"/>
      <c r="D291" s="118"/>
      <c r="E291" s="118"/>
      <c r="F291" s="118"/>
      <c r="G291" s="117"/>
      <c r="H291" s="122"/>
      <c r="I291" s="122"/>
      <c r="J291" s="122"/>
      <c r="K291" s="118"/>
      <c r="L291" s="122"/>
      <c r="M291" s="122"/>
      <c r="N291" s="122"/>
      <c r="O291" s="122"/>
      <c r="P291" s="118"/>
      <c r="Q291" s="122"/>
      <c r="R291" s="122"/>
      <c r="S291" s="122"/>
      <c r="T291" s="122"/>
      <c r="U291" s="118"/>
      <c r="V291" s="122"/>
      <c r="W291" s="122"/>
      <c r="X291" s="122"/>
      <c r="Y291" s="122"/>
      <c r="Z291" s="118"/>
      <c r="AA291" s="122"/>
      <c r="AB291" s="122"/>
      <c r="AC291" s="122"/>
      <c r="AD291" s="122"/>
      <c r="AE291" s="118"/>
      <c r="AF291" s="122"/>
      <c r="AG291" s="122"/>
      <c r="AH291" s="122"/>
      <c r="AI291" s="122"/>
      <c r="AJ291" s="118"/>
      <c r="AK291" s="490"/>
      <c r="AL291" s="490"/>
      <c r="AM291" s="490"/>
      <c r="AN291" s="490"/>
      <c r="AO291" s="118"/>
      <c r="AP291" s="490"/>
      <c r="AQ291" s="490"/>
      <c r="AR291" s="490"/>
      <c r="AS291" s="122"/>
      <c r="AT291" s="118"/>
      <c r="AU291" s="490"/>
      <c r="AV291" s="490"/>
      <c r="AW291" s="117"/>
      <c r="AX291" s="230"/>
      <c r="AY291" s="118"/>
      <c r="AZ291" s="230"/>
      <c r="BA291" s="230"/>
      <c r="BB291" s="230"/>
      <c r="BC291" s="230"/>
      <c r="BD291" s="118"/>
      <c r="BE291" s="230"/>
      <c r="BF291" s="230"/>
      <c r="BG291" s="230"/>
      <c r="BH291" s="230"/>
      <c r="BI291" s="118"/>
      <c r="BJ291" s="230"/>
      <c r="BK291" s="230"/>
      <c r="BL291" s="230"/>
      <c r="BM291" s="230"/>
      <c r="BN291" s="118"/>
      <c r="BO291" s="230"/>
      <c r="BP291" s="230"/>
      <c r="BQ291" s="230"/>
      <c r="BR291" s="230"/>
      <c r="BS291" s="118"/>
      <c r="BT291" s="230"/>
      <c r="BU291" s="230"/>
      <c r="BV291" s="230"/>
      <c r="BW291" s="230"/>
      <c r="BX291" s="118"/>
      <c r="BY291" s="491"/>
      <c r="BZ291" s="491"/>
      <c r="CA291" s="491"/>
      <c r="CD291" s="56" t="str">
        <f>+A291</f>
        <v>Average Interest Yield</v>
      </c>
      <c r="CE291" s="1194"/>
      <c r="CF291" s="1194"/>
      <c r="CG291" s="1194"/>
      <c r="CH291" s="1194"/>
      <c r="CI291" s="1194"/>
      <c r="CJ291" s="1194"/>
      <c r="CK291" s="1194"/>
      <c r="CL291" s="1194"/>
      <c r="CM291" s="1194"/>
      <c r="CN291" s="231">
        <f t="shared" si="549"/>
        <v>0</v>
      </c>
      <c r="CO291" s="231">
        <f t="shared" si="549"/>
        <v>0</v>
      </c>
      <c r="CP291" s="231">
        <f>AO291</f>
        <v>0</v>
      </c>
      <c r="CQ291" s="231">
        <f>AT291</f>
        <v>0</v>
      </c>
      <c r="CR291" s="231">
        <f>AY291</f>
        <v>0</v>
      </c>
      <c r="CS291" s="231">
        <f>BD291</f>
        <v>0</v>
      </c>
      <c r="CT291" s="231">
        <f>BI291</f>
        <v>0</v>
      </c>
      <c r="CU291" s="231">
        <f>BN291</f>
        <v>0</v>
      </c>
      <c r="CV291" s="231">
        <f>BS291</f>
        <v>0</v>
      </c>
      <c r="CW291" s="231">
        <f t="shared" si="550"/>
        <v>0</v>
      </c>
      <c r="CX291" s="231">
        <f t="shared" si="550"/>
        <v>0</v>
      </c>
      <c r="CY291" s="231">
        <f t="shared" si="550"/>
        <v>0</v>
      </c>
      <c r="CZ291" s="231">
        <f t="shared" si="550"/>
        <v>0</v>
      </c>
      <c r="DA291" s="58"/>
      <c r="DB291" s="531"/>
    </row>
    <row r="292" spans="1:112" ht="12" customHeight="1">
      <c r="A292" s="42"/>
      <c r="B292" s="54"/>
      <c r="C292" s="54"/>
      <c r="D292" s="54"/>
      <c r="E292" s="54"/>
      <c r="F292" s="54"/>
      <c r="G292" s="127"/>
      <c r="H292" s="377"/>
      <c r="I292" s="377"/>
      <c r="J292" s="377"/>
      <c r="K292" s="54"/>
      <c r="L292" s="377"/>
      <c r="M292" s="377"/>
      <c r="N292" s="377"/>
      <c r="O292" s="377"/>
      <c r="P292" s="54"/>
      <c r="Q292" s="377"/>
      <c r="R292" s="377"/>
      <c r="S292" s="377"/>
      <c r="T292" s="377"/>
      <c r="U292" s="54"/>
      <c r="V292" s="377"/>
      <c r="W292" s="377"/>
      <c r="X292" s="377"/>
      <c r="Y292" s="377"/>
      <c r="Z292" s="54"/>
      <c r="AA292" s="377"/>
      <c r="AB292" s="377"/>
      <c r="AC292" s="377"/>
      <c r="AD292" s="377"/>
      <c r="AE292" s="54"/>
      <c r="AF292" s="377"/>
      <c r="AG292" s="377"/>
      <c r="AH292" s="377"/>
      <c r="AI292" s="377"/>
      <c r="AJ292" s="378"/>
      <c r="AK292" s="533"/>
      <c r="AL292" s="42"/>
      <c r="AM292" s="42"/>
      <c r="AN292" s="42"/>
      <c r="AO292" s="379"/>
      <c r="AP292" s="533"/>
      <c r="AQ292" s="42"/>
      <c r="AR292" s="42"/>
      <c r="AS292" s="58"/>
      <c r="AT292" s="378"/>
      <c r="AU292" s="533"/>
      <c r="AV292" s="42"/>
      <c r="AW292" s="370"/>
      <c r="AX292" s="370"/>
      <c r="AY292" s="378"/>
      <c r="AZ292" s="370"/>
      <c r="BA292" s="370"/>
      <c r="BB292" s="370"/>
      <c r="BC292" s="370"/>
      <c r="BD292" s="378"/>
      <c r="BE292" s="370"/>
      <c r="BF292" s="370"/>
      <c r="BG292" s="370"/>
      <c r="BH292" s="370"/>
      <c r="BI292" s="378"/>
      <c r="BJ292" s="370"/>
      <c r="BK292" s="370"/>
      <c r="BL292" s="370"/>
      <c r="BM292" s="370"/>
      <c r="BN292" s="378"/>
      <c r="BO292" s="370"/>
      <c r="BP292" s="370"/>
      <c r="BQ292" s="370"/>
      <c r="BR292" s="370"/>
      <c r="BS292" s="378"/>
      <c r="BT292" s="370"/>
      <c r="BU292" s="370"/>
      <c r="BV292" s="370"/>
      <c r="BW292" s="370"/>
      <c r="BX292" s="378"/>
      <c r="BY292" s="444"/>
      <c r="BZ292" s="444"/>
      <c r="CA292" s="444"/>
      <c r="CD292" s="379"/>
      <c r="CE292" s="1194"/>
      <c r="CF292" s="1194"/>
      <c r="CG292" s="1194"/>
      <c r="CH292" s="1194"/>
      <c r="CI292" s="1194"/>
      <c r="CJ292" s="1194"/>
      <c r="CK292" s="1194"/>
      <c r="CL292" s="1194"/>
      <c r="CM292" s="1194"/>
      <c r="CN292" s="379"/>
      <c r="CO292" s="379"/>
      <c r="CP292" s="379"/>
      <c r="CQ292" s="379"/>
      <c r="CR292" s="379"/>
      <c r="CS292" s="379"/>
      <c r="CT292" s="379"/>
      <c r="CU292" s="379"/>
      <c r="CV292" s="379"/>
      <c r="CW292" s="379"/>
      <c r="CX292" s="379"/>
      <c r="CY292" s="379"/>
      <c r="CZ292" s="379"/>
      <c r="DA292" s="58"/>
      <c r="DB292" s="531"/>
    </row>
    <row r="293" spans="1:112" s="70" customFormat="1" ht="12" customHeight="1">
      <c r="A293" s="585" t="s">
        <v>79</v>
      </c>
      <c r="B293" s="2136">
        <f t="shared" ref="B293:J293" si="551">-B42</f>
        <v>55.07</v>
      </c>
      <c r="C293" s="2136">
        <f t="shared" si="551"/>
        <v>22.516999999999999</v>
      </c>
      <c r="D293" s="2136">
        <f t="shared" si="551"/>
        <v>7.0970000000000004</v>
      </c>
      <c r="E293" s="2136">
        <f t="shared" si="551"/>
        <v>5.7850000000000001</v>
      </c>
      <c r="F293" s="2136">
        <f t="shared" si="551"/>
        <v>5.202</v>
      </c>
      <c r="G293" s="2134">
        <f t="shared" si="551"/>
        <v>-2.5089999999999999</v>
      </c>
      <c r="H293" s="2137">
        <f t="shared" si="551"/>
        <v>8.5549999999999997</v>
      </c>
      <c r="I293" s="2137">
        <f t="shared" si="551"/>
        <v>7.5149999999999997</v>
      </c>
      <c r="J293" s="2137">
        <f t="shared" si="551"/>
        <v>7.0000000000000284E-2</v>
      </c>
      <c r="K293" s="67">
        <f>SUM(G293:J293)</f>
        <v>13.631</v>
      </c>
      <c r="L293" s="2137">
        <f>-L42</f>
        <v>1.204</v>
      </c>
      <c r="M293" s="2137">
        <f>-M42</f>
        <v>12.099</v>
      </c>
      <c r="N293" s="2137">
        <f>-N42</f>
        <v>15.423</v>
      </c>
      <c r="O293" s="2137">
        <f>-O42</f>
        <v>11.855000000000004</v>
      </c>
      <c r="P293" s="67">
        <f>SUM(L293:O293)</f>
        <v>40.581000000000003</v>
      </c>
      <c r="Q293" s="2137">
        <f>-Q42</f>
        <v>17.829999999999998</v>
      </c>
      <c r="R293" s="2137">
        <f>-R42</f>
        <v>20.353999999999999</v>
      </c>
      <c r="S293" s="2137">
        <f>-S42</f>
        <v>22.001999999999999</v>
      </c>
      <c r="T293" s="2137">
        <f>-T42</f>
        <v>15.438000000000002</v>
      </c>
      <c r="U293" s="67">
        <f>SUM(Q293:T293)</f>
        <v>75.623999999999995</v>
      </c>
      <c r="V293" s="2137">
        <f>-V42</f>
        <v>20.591000000000001</v>
      </c>
      <c r="W293" s="2137">
        <f>-W42</f>
        <v>18.498999999999999</v>
      </c>
      <c r="X293" s="2137">
        <f>-X42</f>
        <v>17.827000000000002</v>
      </c>
      <c r="Y293" s="2137">
        <f>-Y42</f>
        <v>19.950000000000003</v>
      </c>
      <c r="Z293" s="67">
        <f>SUM(V293:Y293)</f>
        <v>76.867000000000004</v>
      </c>
      <c r="AA293" s="2137">
        <f>-AA42</f>
        <v>22.1</v>
      </c>
      <c r="AB293" s="2137">
        <f>-AB42</f>
        <v>20.9</v>
      </c>
      <c r="AC293" s="2137">
        <f>-AC42</f>
        <v>19.3</v>
      </c>
      <c r="AD293" s="2137">
        <f>-AD42</f>
        <v>19.343000000000004</v>
      </c>
      <c r="AE293" s="67">
        <f>SUM(AA293:AD293)</f>
        <v>81.643000000000001</v>
      </c>
      <c r="AF293" s="2137">
        <f>-AF42</f>
        <v>19</v>
      </c>
      <c r="AG293" s="2137">
        <f>-AG42</f>
        <v>20</v>
      </c>
      <c r="AH293" s="2137">
        <f>-AH42</f>
        <v>18.100000000000001</v>
      </c>
      <c r="AI293" s="2137">
        <f>-AI42</f>
        <v>19</v>
      </c>
      <c r="AJ293" s="67">
        <f>SUM(AF293:AI293)</f>
        <v>76.099999999999994</v>
      </c>
      <c r="AK293" s="2138">
        <f>-AK42</f>
        <v>21</v>
      </c>
      <c r="AL293" s="2137">
        <f>-AL42</f>
        <v>21</v>
      </c>
      <c r="AM293" s="2137">
        <f>-AM42</f>
        <v>21</v>
      </c>
      <c r="AN293" s="2137">
        <f>-AN42</f>
        <v>18</v>
      </c>
      <c r="AO293" s="245">
        <f>SUM(AK293:AN293)</f>
        <v>81</v>
      </c>
      <c r="AP293" s="2138">
        <f>-AP42</f>
        <v>15</v>
      </c>
      <c r="AQ293" s="2137">
        <f>-AQ42</f>
        <v>16</v>
      </c>
      <c r="AR293" s="2137">
        <f>-AR42</f>
        <v>14</v>
      </c>
      <c r="AS293" s="2137">
        <f>-AS42</f>
        <v>14</v>
      </c>
      <c r="AT293" s="67">
        <f>SUM(AP293:AS293)</f>
        <v>59</v>
      </c>
      <c r="AU293" s="2138">
        <f>-AU42</f>
        <v>14</v>
      </c>
      <c r="AV293" s="2137">
        <f>-AV42</f>
        <v>14</v>
      </c>
      <c r="AW293" s="2137">
        <f>-AW42</f>
        <v>12</v>
      </c>
      <c r="AX293" s="2137">
        <f>-AX42</f>
        <v>19</v>
      </c>
      <c r="AY293" s="67">
        <f>SUM(AU293:AX293)</f>
        <v>59</v>
      </c>
      <c r="AZ293" s="2134">
        <f>-AZ42</f>
        <v>16</v>
      </c>
      <c r="BA293" s="2134">
        <f>-BA42</f>
        <v>16</v>
      </c>
      <c r="BB293" s="2134">
        <f>-BB42</f>
        <v>30</v>
      </c>
      <c r="BC293" s="2137">
        <f>-BC42</f>
        <v>40</v>
      </c>
      <c r="BD293" s="67">
        <f>SUM(AZ293:BC293)</f>
        <v>102</v>
      </c>
      <c r="BE293" s="2134">
        <f>-BE42</f>
        <v>40</v>
      </c>
      <c r="BF293" s="2134">
        <f>-BF42</f>
        <v>42</v>
      </c>
      <c r="BG293" s="2134">
        <f>-BG42</f>
        <v>39</v>
      </c>
      <c r="BH293" s="2137">
        <f>-BH42</f>
        <v>39</v>
      </c>
      <c r="BI293" s="67">
        <f>SUM(BE293:BH293)</f>
        <v>160</v>
      </c>
      <c r="BJ293" s="2134">
        <f>-BJ42</f>
        <v>37</v>
      </c>
      <c r="BK293" s="2134">
        <f>-BK42</f>
        <v>37</v>
      </c>
      <c r="BL293" s="2134">
        <f>-BL42</f>
        <v>37</v>
      </c>
      <c r="BM293" s="2134">
        <f>-BM42</f>
        <v>39</v>
      </c>
      <c r="BN293" s="67">
        <f>SUM(BJ293:BM293)</f>
        <v>150</v>
      </c>
      <c r="BO293" s="2134">
        <f>-BO42</f>
        <v>34</v>
      </c>
      <c r="BP293" s="624">
        <f>BP295*(BP296/4)</f>
        <v>37.128512571788768</v>
      </c>
      <c r="BQ293" s="624">
        <f>BQ295*(BQ296/4)</f>
        <v>37.128512571788768</v>
      </c>
      <c r="BR293" s="624">
        <f>BR295*(BR296/4)</f>
        <v>37.128512571788768</v>
      </c>
      <c r="BS293" s="67">
        <f>SUM(BO293:BR293)</f>
        <v>145.38553771536633</v>
      </c>
      <c r="BT293" s="624">
        <f>BT295*(BT296/4)</f>
        <v>37.03875</v>
      </c>
      <c r="BU293" s="624">
        <f>BU295*(BU296/4)</f>
        <v>37.03875</v>
      </c>
      <c r="BV293" s="624">
        <f>BV295*(BV296/4)</f>
        <v>37.03875</v>
      </c>
      <c r="BW293" s="624">
        <f>BW295*(BW296/4)</f>
        <v>37.03875</v>
      </c>
      <c r="BX293" s="67">
        <f>SUM(BT293:BW293)</f>
        <v>148.155</v>
      </c>
      <c r="BY293" s="446">
        <f>BY295*(BY296)</f>
        <v>148.155</v>
      </c>
      <c r="BZ293" s="446">
        <f>BZ295*(BZ296)</f>
        <v>148.155</v>
      </c>
      <c r="CA293" s="446">
        <f>CA295*(CA296)</f>
        <v>148.155</v>
      </c>
      <c r="CB293" s="447"/>
      <c r="CC293" s="1359"/>
      <c r="CD293" s="1192" t="str">
        <f>+A293</f>
        <v>Interest Expense, Net</v>
      </c>
      <c r="CE293" s="1193"/>
      <c r="CF293" s="1193"/>
      <c r="CG293" s="1193"/>
      <c r="CH293" s="1193"/>
      <c r="CI293" s="1193"/>
      <c r="CJ293" s="1193"/>
      <c r="CK293" s="1193"/>
      <c r="CL293" s="1193"/>
      <c r="CM293" s="1193"/>
      <c r="CN293" s="67"/>
      <c r="CO293" s="67"/>
      <c r="CP293" s="67"/>
      <c r="CQ293" s="67"/>
      <c r="CR293" s="67"/>
      <c r="CS293" s="67"/>
      <c r="CT293" s="67"/>
      <c r="CU293" s="67"/>
      <c r="CV293" s="67"/>
      <c r="CW293" s="67"/>
      <c r="CX293" s="67"/>
      <c r="CY293" s="67"/>
      <c r="CZ293" s="67"/>
      <c r="DA293" s="74"/>
      <c r="DB293" s="538"/>
      <c r="DC293"/>
      <c r="DD293"/>
      <c r="DE293"/>
      <c r="DF293"/>
      <c r="DG293"/>
      <c r="DH293"/>
    </row>
    <row r="294" spans="1:112" s="82" customFormat="1" ht="12" customHeight="1">
      <c r="A294" s="390" t="s">
        <v>238</v>
      </c>
      <c r="B294" s="79">
        <f t="shared" ref="B294:U294" si="552">+B171</f>
        <v>833.57100000000003</v>
      </c>
      <c r="C294" s="79">
        <f t="shared" si="552"/>
        <v>458.923</v>
      </c>
      <c r="D294" s="79">
        <f t="shared" si="552"/>
        <v>0.38900000000000001</v>
      </c>
      <c r="E294" s="79">
        <f t="shared" si="552"/>
        <v>0.51300000000000001</v>
      </c>
      <c r="F294" s="79">
        <f t="shared" si="552"/>
        <v>0.33900000000000002</v>
      </c>
      <c r="G294" s="251">
        <f t="shared" si="552"/>
        <v>0.33300000000000002</v>
      </c>
      <c r="H294" s="86">
        <f t="shared" si="552"/>
        <v>0.32700000000000001</v>
      </c>
      <c r="I294" s="86">
        <f t="shared" si="552"/>
        <v>0.318</v>
      </c>
      <c r="J294" s="86">
        <f t="shared" si="552"/>
        <v>0.314</v>
      </c>
      <c r="K294" s="79">
        <f t="shared" si="552"/>
        <v>0.314</v>
      </c>
      <c r="L294" s="86">
        <f t="shared" si="552"/>
        <v>0.307</v>
      </c>
      <c r="M294" s="86">
        <f t="shared" si="552"/>
        <v>0.3</v>
      </c>
      <c r="N294" s="86">
        <f t="shared" si="552"/>
        <v>0.29199999999999998</v>
      </c>
      <c r="O294" s="86">
        <f t="shared" si="552"/>
        <v>1197.425</v>
      </c>
      <c r="P294" s="79">
        <f t="shared" si="552"/>
        <v>1197.425</v>
      </c>
      <c r="Q294" s="86">
        <f t="shared" si="552"/>
        <v>1197.472</v>
      </c>
      <c r="R294" s="86">
        <f t="shared" si="552"/>
        <v>1197.519</v>
      </c>
      <c r="S294" s="86">
        <f t="shared" si="552"/>
        <v>1197.5650000000001</v>
      </c>
      <c r="T294" s="86">
        <f t="shared" si="552"/>
        <v>1197.6110000000001</v>
      </c>
      <c r="U294" s="79">
        <f t="shared" si="552"/>
        <v>1197.6110000000001</v>
      </c>
      <c r="V294" s="390">
        <f t="shared" ref="V294:BA294" si="553">+V171+V164</f>
        <v>1197.6559999999999</v>
      </c>
      <c r="W294" s="390">
        <f t="shared" si="553"/>
        <v>1197.701</v>
      </c>
      <c r="X294" s="390">
        <f t="shared" si="553"/>
        <v>1197.7470000000001</v>
      </c>
      <c r="Y294" s="390">
        <f t="shared" si="553"/>
        <v>1197.7909999999999</v>
      </c>
      <c r="Z294" s="119">
        <f t="shared" si="553"/>
        <v>1197.7909999999999</v>
      </c>
      <c r="AA294" s="390">
        <f t="shared" si="553"/>
        <v>1197.835</v>
      </c>
      <c r="AB294" s="390">
        <f t="shared" si="553"/>
        <v>1197.8789999999999</v>
      </c>
      <c r="AC294" s="390">
        <f t="shared" si="553"/>
        <v>1197.922</v>
      </c>
      <c r="AD294" s="390">
        <f t="shared" si="553"/>
        <v>1197.9649999999999</v>
      </c>
      <c r="AE294" s="119">
        <f t="shared" si="553"/>
        <v>1197.9649999999999</v>
      </c>
      <c r="AF294" s="390">
        <f t="shared" si="553"/>
        <v>1198</v>
      </c>
      <c r="AG294" s="390">
        <f t="shared" si="553"/>
        <v>1198</v>
      </c>
      <c r="AH294" s="390">
        <f t="shared" si="553"/>
        <v>1198</v>
      </c>
      <c r="AI294" s="390">
        <f t="shared" si="553"/>
        <v>1198</v>
      </c>
      <c r="AJ294" s="119">
        <f t="shared" si="553"/>
        <v>1198</v>
      </c>
      <c r="AK294" s="390">
        <f t="shared" si="553"/>
        <v>1198</v>
      </c>
      <c r="AL294" s="390">
        <f t="shared" si="553"/>
        <v>1199</v>
      </c>
      <c r="AM294" s="390">
        <f t="shared" si="553"/>
        <v>1199</v>
      </c>
      <c r="AN294" s="390">
        <f t="shared" si="553"/>
        <v>1256</v>
      </c>
      <c r="AO294" s="119">
        <f t="shared" si="553"/>
        <v>1256</v>
      </c>
      <c r="AP294" s="390">
        <f t="shared" si="553"/>
        <v>799</v>
      </c>
      <c r="AQ294" s="390">
        <f t="shared" si="553"/>
        <v>799</v>
      </c>
      <c r="AR294" s="390">
        <f t="shared" si="553"/>
        <v>799</v>
      </c>
      <c r="AS294" s="390">
        <f t="shared" si="553"/>
        <v>799</v>
      </c>
      <c r="AT294" s="119">
        <f t="shared" si="553"/>
        <v>799</v>
      </c>
      <c r="AU294" s="390">
        <f t="shared" si="553"/>
        <v>799</v>
      </c>
      <c r="AV294" s="390">
        <f t="shared" si="553"/>
        <v>799</v>
      </c>
      <c r="AW294" s="390">
        <f t="shared" si="553"/>
        <v>799</v>
      </c>
      <c r="AX294" s="395">
        <f t="shared" si="553"/>
        <v>799</v>
      </c>
      <c r="AY294" s="119">
        <f t="shared" si="553"/>
        <v>799</v>
      </c>
      <c r="AZ294" s="395">
        <f t="shared" si="553"/>
        <v>1164</v>
      </c>
      <c r="BA294" s="395">
        <f t="shared" si="553"/>
        <v>1494</v>
      </c>
      <c r="BB294" s="395">
        <f t="shared" ref="BB294:BZ294" si="554">+BB171+BB164</f>
        <v>3489</v>
      </c>
      <c r="BC294" s="395">
        <f t="shared" si="554"/>
        <v>3611</v>
      </c>
      <c r="BD294" s="119">
        <f t="shared" si="554"/>
        <v>3611</v>
      </c>
      <c r="BE294" s="395">
        <f t="shared" si="554"/>
        <v>3941</v>
      </c>
      <c r="BF294" s="395">
        <f t="shared" si="554"/>
        <v>3779</v>
      </c>
      <c r="BG294" s="395">
        <f t="shared" si="554"/>
        <v>3963</v>
      </c>
      <c r="BH294" s="395">
        <f t="shared" si="554"/>
        <v>3564</v>
      </c>
      <c r="BI294" s="119">
        <f t="shared" si="554"/>
        <v>3564</v>
      </c>
      <c r="BJ294" s="395">
        <f>+BJ171+BJ164</f>
        <v>3565</v>
      </c>
      <c r="BK294" s="395">
        <f>+BK171+BK164</f>
        <v>3566</v>
      </c>
      <c r="BL294" s="395">
        <f>+BL171+BL164</f>
        <v>3568</v>
      </c>
      <c r="BM294" s="395">
        <f>+BM171+BM164</f>
        <v>3569</v>
      </c>
      <c r="BN294" s="119">
        <f t="shared" ref="BN294" si="555">+BN171+BN164</f>
        <v>3569</v>
      </c>
      <c r="BO294" s="395">
        <f>+BO171+BO164</f>
        <v>3570</v>
      </c>
      <c r="BP294" s="395">
        <f t="shared" si="554"/>
        <v>3570</v>
      </c>
      <c r="BQ294" s="395">
        <f t="shared" si="554"/>
        <v>3570</v>
      </c>
      <c r="BR294" s="395">
        <f t="shared" si="554"/>
        <v>3570</v>
      </c>
      <c r="BS294" s="119">
        <f t="shared" si="554"/>
        <v>3570</v>
      </c>
      <c r="BT294" s="395">
        <f t="shared" ref="BT294:BX294" si="556">+BT171+BT164</f>
        <v>3570</v>
      </c>
      <c r="BU294" s="395">
        <f t="shared" si="556"/>
        <v>3570</v>
      </c>
      <c r="BV294" s="395">
        <f t="shared" si="556"/>
        <v>3570</v>
      </c>
      <c r="BW294" s="395">
        <f t="shared" si="556"/>
        <v>3570</v>
      </c>
      <c r="BX294" s="119">
        <f t="shared" si="556"/>
        <v>3570</v>
      </c>
      <c r="BY294" s="394">
        <f t="shared" si="554"/>
        <v>3570</v>
      </c>
      <c r="BZ294" s="394">
        <f t="shared" si="554"/>
        <v>3570</v>
      </c>
      <c r="CA294" s="394">
        <f t="shared" ref="CA294" si="557">+CA171+CA164</f>
        <v>3570</v>
      </c>
      <c r="CB294" s="470"/>
      <c r="CC294" s="1360"/>
      <c r="CD294" s="119" t="str">
        <f>+A294</f>
        <v>Total Debt</v>
      </c>
      <c r="CE294" s="1172"/>
      <c r="CF294" s="1172"/>
      <c r="CG294" s="1172"/>
      <c r="CH294" s="1172"/>
      <c r="CI294" s="1172"/>
      <c r="CJ294" s="1172"/>
      <c r="CK294" s="1172"/>
      <c r="CL294" s="1172"/>
      <c r="CM294" s="1172"/>
      <c r="CN294" s="119">
        <f t="shared" ref="CN294:CO296" si="558">AI294</f>
        <v>1198</v>
      </c>
      <c r="CO294" s="119">
        <f t="shared" si="558"/>
        <v>1198</v>
      </c>
      <c r="CP294" s="119">
        <f>AO294</f>
        <v>1256</v>
      </c>
      <c r="CQ294" s="119">
        <f>AT294</f>
        <v>799</v>
      </c>
      <c r="CR294" s="119">
        <f>AY294</f>
        <v>799</v>
      </c>
      <c r="CS294" s="119">
        <f>BD294</f>
        <v>3611</v>
      </c>
      <c r="CT294" s="119">
        <f>BI294</f>
        <v>3564</v>
      </c>
      <c r="CU294" s="119">
        <f>BN294</f>
        <v>3569</v>
      </c>
      <c r="CV294" s="119">
        <f>BS294</f>
        <v>3570</v>
      </c>
      <c r="CW294" s="119">
        <f t="shared" ref="CW294:CZ296" si="559">BX294</f>
        <v>3570</v>
      </c>
      <c r="CX294" s="119">
        <f t="shared" si="559"/>
        <v>3570</v>
      </c>
      <c r="CY294" s="119">
        <f t="shared" si="559"/>
        <v>3570</v>
      </c>
      <c r="CZ294" s="119">
        <f t="shared" si="559"/>
        <v>3570</v>
      </c>
      <c r="DA294" s="86"/>
      <c r="DB294" s="576"/>
      <c r="DC294"/>
      <c r="DD294"/>
      <c r="DE294"/>
      <c r="DF294"/>
      <c r="DG294"/>
      <c r="DH294"/>
    </row>
    <row r="295" spans="1:112" s="82" customFormat="1" ht="12" customHeight="1">
      <c r="A295" s="390" t="s">
        <v>239</v>
      </c>
      <c r="B295" s="79"/>
      <c r="C295" s="251">
        <f t="shared" ref="C295:J295" si="560">AVERAGE(B294:C294)</f>
        <v>646.24700000000007</v>
      </c>
      <c r="D295" s="79">
        <f t="shared" si="560"/>
        <v>229.65600000000001</v>
      </c>
      <c r="E295" s="251">
        <f t="shared" si="560"/>
        <v>0.45100000000000001</v>
      </c>
      <c r="F295" s="79">
        <f t="shared" si="560"/>
        <v>0.42600000000000005</v>
      </c>
      <c r="G295" s="251">
        <f t="shared" si="560"/>
        <v>0.33600000000000002</v>
      </c>
      <c r="H295" s="86">
        <f t="shared" si="560"/>
        <v>0.33</v>
      </c>
      <c r="I295" s="86">
        <f t="shared" si="560"/>
        <v>0.32250000000000001</v>
      </c>
      <c r="J295" s="86">
        <f t="shared" si="560"/>
        <v>0.316</v>
      </c>
      <c r="K295" s="79">
        <f>AVERAGE(G295:J295)</f>
        <v>0.326125</v>
      </c>
      <c r="L295" s="86">
        <f>AVERAGE(K294:L294)</f>
        <v>0.3105</v>
      </c>
      <c r="M295" s="86">
        <f>AVERAGE(L294:M294)</f>
        <v>0.30349999999999999</v>
      </c>
      <c r="N295" s="86">
        <f>AVERAGE(M294:N294)</f>
        <v>0.29599999999999999</v>
      </c>
      <c r="O295" s="86">
        <f>AVERAGE(N294:O294)</f>
        <v>598.85849999999994</v>
      </c>
      <c r="P295" s="79">
        <f>AVERAGE(L295:O295)</f>
        <v>149.94212499999998</v>
      </c>
      <c r="Q295" s="86">
        <f>AVERAGE(P294:Q294)</f>
        <v>1197.4485</v>
      </c>
      <c r="R295" s="86">
        <f>AVERAGE(Q294:R294)</f>
        <v>1197.4955</v>
      </c>
      <c r="S295" s="86">
        <f>AVERAGE(R294:S294)</f>
        <v>1197.5419999999999</v>
      </c>
      <c r="T295" s="86">
        <f>AVERAGE(S294:T294)</f>
        <v>1197.5880000000002</v>
      </c>
      <c r="U295" s="79">
        <f>AVERAGE(Q295:T295)</f>
        <v>1197.5185000000001</v>
      </c>
      <c r="V295" s="86">
        <f>AVERAGE(U294:V294)</f>
        <v>1197.6334999999999</v>
      </c>
      <c r="W295" s="86">
        <f>AVERAGE(V294:W294)</f>
        <v>1197.6785</v>
      </c>
      <c r="X295" s="86">
        <f>AVERAGE(W294:X294)</f>
        <v>1197.7240000000002</v>
      </c>
      <c r="Y295" s="86">
        <f>AVERAGE(X294:Y294)</f>
        <v>1197.769</v>
      </c>
      <c r="Z295" s="79">
        <f>AVERAGE(V295:Y295)</f>
        <v>1197.7012500000001</v>
      </c>
      <c r="AA295" s="86">
        <f>AVERAGE(Z294:AA294)</f>
        <v>1197.8130000000001</v>
      </c>
      <c r="AB295" s="86">
        <f>AVERAGE(AA294:AB294)</f>
        <v>1197.857</v>
      </c>
      <c r="AC295" s="86">
        <f>AVERAGE(AB294:AC294)</f>
        <v>1197.9005</v>
      </c>
      <c r="AD295" s="86">
        <f>AVERAGE(AC294:AD294)</f>
        <v>1197.9434999999999</v>
      </c>
      <c r="AE295" s="79">
        <f>AVERAGE(AA295:AD295)</f>
        <v>1197.8784999999998</v>
      </c>
      <c r="AF295" s="86">
        <f>AVERAGE(AE294:AF294)</f>
        <v>1197.9825000000001</v>
      </c>
      <c r="AG295" s="86">
        <f>AVERAGE(AF294:AG294)</f>
        <v>1198</v>
      </c>
      <c r="AH295" s="86">
        <f>AVERAGE(AG294:AH294)</f>
        <v>1198</v>
      </c>
      <c r="AI295" s="86">
        <f>AVERAGE(AH294:AI294)</f>
        <v>1198</v>
      </c>
      <c r="AJ295" s="79">
        <f>AVERAGE(AF295:AI295)</f>
        <v>1197.995625</v>
      </c>
      <c r="AK295" s="86">
        <f>AVERAGE(AJ294:AK294)</f>
        <v>1198</v>
      </c>
      <c r="AL295" s="86">
        <f>AVERAGE(AK294:AL294)</f>
        <v>1198.5</v>
      </c>
      <c r="AM295" s="86">
        <f>AVERAGE(AL294:AM294)</f>
        <v>1199</v>
      </c>
      <c r="AN295" s="86">
        <f>AVERAGE(AM294:AN294)</f>
        <v>1227.5</v>
      </c>
      <c r="AO295" s="79">
        <f>AVERAGE(AK295:AN295)</f>
        <v>1205.75</v>
      </c>
      <c r="AP295" s="390">
        <f>AVERAGE(AO294:AP294)</f>
        <v>1027.5</v>
      </c>
      <c r="AQ295" s="390">
        <f>AVERAGE(AP294:AQ294)</f>
        <v>799</v>
      </c>
      <c r="AR295" s="390">
        <f>AVERAGE(AQ294:AR294)</f>
        <v>799</v>
      </c>
      <c r="AS295" s="86">
        <f>AVERAGE(AR294:AS294)</f>
        <v>799</v>
      </c>
      <c r="AT295" s="79">
        <f>AVERAGE(AP295:AS295)</f>
        <v>856.125</v>
      </c>
      <c r="AU295" s="390">
        <f>AVERAGE(AT294:AU294)</f>
        <v>799</v>
      </c>
      <c r="AV295" s="390">
        <f>AVERAGE(AU294:AV294)</f>
        <v>799</v>
      </c>
      <c r="AW295" s="390">
        <f>AVERAGE(AV294:AW294)</f>
        <v>799</v>
      </c>
      <c r="AX295" s="251">
        <f>AVERAGE(AW294:AX294)</f>
        <v>799</v>
      </c>
      <c r="AY295" s="79">
        <f>AVERAGE(AU295:AX295)</f>
        <v>799</v>
      </c>
      <c r="AZ295" s="251">
        <f>AVERAGE(AY294:AZ294)</f>
        <v>981.5</v>
      </c>
      <c r="BA295" s="251">
        <f>AVERAGE(AZ294:BA294)</f>
        <v>1329</v>
      </c>
      <c r="BB295" s="251">
        <f>AVERAGE(BA294:BB294)</f>
        <v>2491.5</v>
      </c>
      <c r="BC295" s="251">
        <f>AVERAGE(BB294:BC294)</f>
        <v>3550</v>
      </c>
      <c r="BD295" s="79">
        <f>AVERAGE(AZ295:BC295)</f>
        <v>2088</v>
      </c>
      <c r="BE295" s="251">
        <f>AVERAGE(BD294:BE294)</f>
        <v>3776</v>
      </c>
      <c r="BF295" s="251">
        <f>AVERAGE(BE294:BF294)</f>
        <v>3860</v>
      </c>
      <c r="BG295" s="251">
        <f>AVERAGE(BF294:BG294)</f>
        <v>3871</v>
      </c>
      <c r="BH295" s="251">
        <f>AVERAGE(BG294:BH294)</f>
        <v>3763.5</v>
      </c>
      <c r="BI295" s="79">
        <f>AVERAGE(BE295:BH295)</f>
        <v>3817.625</v>
      </c>
      <c r="BJ295" s="251">
        <f>AVERAGE(BI294:BJ294)</f>
        <v>3564.5</v>
      </c>
      <c r="BK295" s="251">
        <f>AVERAGE(BJ294:BK294)</f>
        <v>3565.5</v>
      </c>
      <c r="BL295" s="251">
        <f>AVERAGE(BK294:BL294)</f>
        <v>3567</v>
      </c>
      <c r="BM295" s="251">
        <f>AVERAGE(BL294:BM294)</f>
        <v>3568.5</v>
      </c>
      <c r="BN295" s="79">
        <f>AVERAGE(BJ295:BM295)</f>
        <v>3566.375</v>
      </c>
      <c r="BO295" s="251">
        <f>AVERAGE(BN294:BO294)</f>
        <v>3569.5</v>
      </c>
      <c r="BP295" s="251">
        <f>AVERAGE(BO294:BP294)</f>
        <v>3570</v>
      </c>
      <c r="BQ295" s="251">
        <f>AVERAGE(BP294:BQ294)</f>
        <v>3570</v>
      </c>
      <c r="BR295" s="251">
        <f>AVERAGE(BQ294:BR294)</f>
        <v>3570</v>
      </c>
      <c r="BS295" s="79">
        <f>AVERAGE(BO295:BR295)</f>
        <v>3569.875</v>
      </c>
      <c r="BT295" s="251">
        <f>AVERAGE(BS294:BT294)</f>
        <v>3570</v>
      </c>
      <c r="BU295" s="251">
        <f>AVERAGE(BT294:BU294)</f>
        <v>3570</v>
      </c>
      <c r="BV295" s="251">
        <f>AVERAGE(BU294:BV294)</f>
        <v>3570</v>
      </c>
      <c r="BW295" s="251">
        <f>AVERAGE(BV294:BW294)</f>
        <v>3570</v>
      </c>
      <c r="BX295" s="79">
        <f>AVERAGE(BT295:BW295)</f>
        <v>3570</v>
      </c>
      <c r="BY295" s="394">
        <f>AVERAGE(BX294:BY294)</f>
        <v>3570</v>
      </c>
      <c r="BZ295" s="394">
        <f>AVERAGE(BY294:BZ294)</f>
        <v>3570</v>
      </c>
      <c r="CA295" s="394">
        <f>AVERAGE(BZ294:CA294)</f>
        <v>3570</v>
      </c>
      <c r="CB295" s="470"/>
      <c r="CC295" s="1360"/>
      <c r="CD295" s="119" t="str">
        <f>+A295</f>
        <v>Average Debt</v>
      </c>
      <c r="CE295" s="1172"/>
      <c r="CF295" s="1172"/>
      <c r="CG295" s="1172"/>
      <c r="CH295" s="1172"/>
      <c r="CI295" s="1172"/>
      <c r="CJ295" s="1172"/>
      <c r="CK295" s="1172"/>
      <c r="CL295" s="1172"/>
      <c r="CM295" s="1172"/>
      <c r="CN295" s="119">
        <f t="shared" si="558"/>
        <v>1198</v>
      </c>
      <c r="CO295" s="119">
        <f t="shared" si="558"/>
        <v>1197.995625</v>
      </c>
      <c r="CP295" s="119">
        <f>AO295</f>
        <v>1205.75</v>
      </c>
      <c r="CQ295" s="119">
        <f>AT295</f>
        <v>856.125</v>
      </c>
      <c r="CR295" s="119">
        <f>AY295</f>
        <v>799</v>
      </c>
      <c r="CS295" s="119">
        <f>BD295</f>
        <v>2088</v>
      </c>
      <c r="CT295" s="119">
        <f>BI295</f>
        <v>3817.625</v>
      </c>
      <c r="CU295" s="119">
        <f>BN295</f>
        <v>3566.375</v>
      </c>
      <c r="CV295" s="119">
        <f>BS295</f>
        <v>3569.875</v>
      </c>
      <c r="CW295" s="119">
        <f t="shared" si="559"/>
        <v>3570</v>
      </c>
      <c r="CX295" s="119">
        <f t="shared" si="559"/>
        <v>3570</v>
      </c>
      <c r="CY295" s="119">
        <f t="shared" si="559"/>
        <v>3570</v>
      </c>
      <c r="CZ295" s="119">
        <f t="shared" si="559"/>
        <v>3570</v>
      </c>
      <c r="DA295" s="86"/>
      <c r="DB295" s="576"/>
      <c r="DC295"/>
      <c r="DD295"/>
      <c r="DE295"/>
      <c r="DF295"/>
      <c r="DG295"/>
      <c r="DH295"/>
    </row>
    <row r="296" spans="1:112" ht="12" customHeight="1">
      <c r="A296" s="42" t="s">
        <v>240</v>
      </c>
      <c r="B296" s="54"/>
      <c r="C296" s="118">
        <f t="shared" ref="C296:H296" si="561">IF(ISERROR(C293/(C295/4)),"NM",(C293/(C295/4)))</f>
        <v>0.13937085974867192</v>
      </c>
      <c r="D296" s="118">
        <f t="shared" si="561"/>
        <v>0.12361096596648902</v>
      </c>
      <c r="E296" s="118">
        <f t="shared" si="561"/>
        <v>51.308203991130817</v>
      </c>
      <c r="F296" s="118">
        <f t="shared" si="561"/>
        <v>48.845070422535208</v>
      </c>
      <c r="G296" s="116">
        <f t="shared" si="561"/>
        <v>-29.869047619047617</v>
      </c>
      <c r="H296" s="117">
        <f t="shared" si="561"/>
        <v>103.69696969696969</v>
      </c>
      <c r="I296" s="117">
        <f>IF(ISERROR(I293/(I295/4)),"NM",(I293/(I295/4)))</f>
        <v>93.20930232558139</v>
      </c>
      <c r="J296" s="149">
        <f>IF(ISERROR(J293/(J295/4)),"NM",(J293/(J295/4)))</f>
        <v>0.88607594936709222</v>
      </c>
      <c r="K296" s="118">
        <f>IF(ISERROR(K293/K295),"NM",(K293/K295))</f>
        <v>41.796857033346107</v>
      </c>
      <c r="L296" s="122">
        <f>IF(ISERROR(L293/(L295/4)),"NM",(L293/(L295/4)))</f>
        <v>15.510466988727858</v>
      </c>
      <c r="M296" s="122">
        <f>IF(ISERROR(M293/(M295/4)),"NM",(M293/(M295/4)))</f>
        <v>159.45963756177926</v>
      </c>
      <c r="N296" s="122">
        <f>IF(ISERROR(N293/(N295/4)),"NM",(N293/(N295/4)))</f>
        <v>208.41891891891893</v>
      </c>
      <c r="O296" s="122">
        <f>IF(ISERROR(O293/(O295/4)),"NM",(O293/(O295/4)))</f>
        <v>7.9183980856913652E-2</v>
      </c>
      <c r="P296" s="118">
        <f>IF(ISERROR(P293/P295),"NM",(P293/P295))</f>
        <v>0.2706444236401212</v>
      </c>
      <c r="Q296" s="122">
        <f>IF(ISERROR(Q293/(Q295/4)),"NM",(Q293/(Q295/4)))</f>
        <v>5.9559972725340582E-2</v>
      </c>
      <c r="R296" s="122">
        <f>IF(ISERROR(R293/(R295/4)),"NM",(R293/(R295/4)))</f>
        <v>6.7988564466421791E-2</v>
      </c>
      <c r="S296" s="122">
        <f>IF(ISERROR(S293/(S295/4)),"NM",(S293/(S295/4)))</f>
        <v>7.3490533108650891E-2</v>
      </c>
      <c r="T296" s="122">
        <f>IF(ISERROR(T293/(T295/4)),"NM",(T293/(T295/4)))</f>
        <v>5.1563642922273771E-2</v>
      </c>
      <c r="U296" s="118">
        <f>IF(ISERROR(U293/U295),"NM",(U293/U295))</f>
        <v>6.3150590157897341E-2</v>
      </c>
      <c r="V296" s="122">
        <f>IF(ISERROR(V293/(V295/4)),"NM",(V293/(V295/4)))</f>
        <v>6.8772291356245477E-2</v>
      </c>
      <c r="W296" s="122">
        <f>IF(ISERROR(W293/(W295/4)),"NM",(W293/(W295/4)))</f>
        <v>6.1782857419582962E-2</v>
      </c>
      <c r="X296" s="122">
        <f>IF(ISERROR(X293/(X295/4)),"NM",(X293/(X295/4)))</f>
        <v>5.9536253761300596E-2</v>
      </c>
      <c r="Y296" s="122">
        <f>IF(ISERROR(Y293/(Y295/4)),"NM",(Y293/(Y295/4)))</f>
        <v>6.6623864868768534E-2</v>
      </c>
      <c r="Z296" s="118">
        <f>IF(ISERROR(Z293/Z295),"NM",(Z293/Z295))</f>
        <v>6.4178775800726603E-2</v>
      </c>
      <c r="AA296" s="122">
        <f>IF(ISERROR(AA293/(AA295/4)),"NM",(AA293/(AA295/4)))</f>
        <v>7.3801169297711744E-2</v>
      </c>
      <c r="AB296" s="122">
        <f>IF(ISERROR(AB293/(AB295/4)),"NM",(AB293/(AB295/4)))</f>
        <v>6.9791302300691985E-2</v>
      </c>
      <c r="AC296" s="122">
        <f>IF(ISERROR(AC293/(AC295/4)),"NM",(AC293/(AC295/4)))</f>
        <v>6.4446087133280275E-2</v>
      </c>
      <c r="AD296" s="122">
        <f>IF(ISERROR(AD293/(AD295/4)),"NM",(AD293/(AD295/4)))</f>
        <v>6.4587353243287376E-2</v>
      </c>
      <c r="AE296" s="118">
        <f>IF(ISERROR(AE293/AE295),"NM",(AE293/AE295))</f>
        <v>6.815632804161692E-2</v>
      </c>
      <c r="AF296" s="122">
        <f>IF(ISERROR(AF293/(AF295/4)),"NM",(AF293/(AF295/4)))</f>
        <v>6.3439991819580002E-2</v>
      </c>
      <c r="AG296" s="122">
        <f>IF(ISERROR(AG293/(AG295/4)),"NM",(AG293/(AG295/4)))</f>
        <v>6.6777963272120197E-2</v>
      </c>
      <c r="AH296" s="122">
        <f>IF(ISERROR(AH293/(AH295/4)),"NM",(AH293/(AH295/4)))</f>
        <v>6.0434056761268784E-2</v>
      </c>
      <c r="AI296" s="122">
        <f>IF(ISERROR(AI293/(AI295/4)),"NM",(AI293/(AI295/4)))</f>
        <v>6.3439065108514187E-2</v>
      </c>
      <c r="AJ296" s="118">
        <f>IF(ISERROR(AJ293/AJ295),"NM",(AJ293/AJ295))</f>
        <v>6.3522769542668403E-2</v>
      </c>
      <c r="AK296" s="122">
        <f>IF(ISERROR(AK293/(AK295/4)),"NM",(AK293/(AK295/4)))</f>
        <v>7.0116861435726208E-2</v>
      </c>
      <c r="AL296" s="122">
        <f>IF(ISERROR(AL293/(AL295/4)),"NM",(AL293/(AL295/4)))</f>
        <v>7.0087609511889859E-2</v>
      </c>
      <c r="AM296" s="122">
        <f>IF(ISERROR(AM293/(AM295/4)),"NM",(AM293/(AM295/4)))</f>
        <v>7.0058381984987483E-2</v>
      </c>
      <c r="AN296" s="122">
        <f>IF(ISERROR(AN293/(AN295/4)),"NM",(AN293/(AN295/4)))</f>
        <v>5.8655804480651733E-2</v>
      </c>
      <c r="AO296" s="118">
        <f>IF(ISERROR(AO293/AO295),"NM",(AO293/AO295))</f>
        <v>6.717810491395397E-2</v>
      </c>
      <c r="AP296" s="490">
        <f>IF(ISERROR(AP293/(AP295/4)),"NM",(AP293/(AP295/4)))</f>
        <v>5.8394160583941604E-2</v>
      </c>
      <c r="AQ296" s="490">
        <f>IF(ISERROR(AQ293/(AQ295/4)),"NM",(AQ293/(AQ295/4)))</f>
        <v>8.0100125156445559E-2</v>
      </c>
      <c r="AR296" s="490">
        <f>IF(ISERROR(AR293/(AR295/4)),"NM",(AR293/(AR295/4)))</f>
        <v>7.0087609511889859E-2</v>
      </c>
      <c r="AS296" s="122">
        <f>IF(ISERROR(AS293/(AS295/4)),"NM",(AS293/(AS295/4)))</f>
        <v>7.0087609511889859E-2</v>
      </c>
      <c r="AT296" s="118">
        <f>IF(ISERROR(AT293/AT295),"NM",(AT293/AT295))</f>
        <v>6.8915170097824496E-2</v>
      </c>
      <c r="AU296" s="490">
        <f>IF(ISERROR(AU293/(AU295/4)),"NM",(AU293/(AU295/4)))</f>
        <v>7.0087609511889859E-2</v>
      </c>
      <c r="AV296" s="490">
        <f>IF(ISERROR(AV293/(AV295/4)),"NM",(AV293/(AV295/4)))</f>
        <v>7.0087609511889859E-2</v>
      </c>
      <c r="AW296" s="490">
        <f>IF(ISERROR(AW293/(AW295/4)),"NM",(AW293/(AW295/4)))</f>
        <v>6.0075093867334166E-2</v>
      </c>
      <c r="AX296" s="259">
        <f>IF(ISERROR(AX293/(AX295/4)),"NM",(AX293/(AX295/4)))</f>
        <v>9.5118898623279102E-2</v>
      </c>
      <c r="AY296" s="118">
        <f>IF(ISERROR(AY293/AY295),"NM",(AY293/AY295))</f>
        <v>7.3842302878598248E-2</v>
      </c>
      <c r="AZ296" s="259">
        <f>IF(ISERROR(AZ293/(AZ295/4)),"NM",(AZ293/(AZ295/4)))</f>
        <v>6.5206316861946001E-2</v>
      </c>
      <c r="BA296" s="259">
        <f>IF(ISERROR(BA293/(BA295/4)),"NM",(BA293/(BA295/4)))</f>
        <v>4.8156508653122647E-2</v>
      </c>
      <c r="BB296" s="259">
        <f>IF(ISERROR(BB293/(BB295/4)),"NM",(BB293/(BB295/4)))</f>
        <v>4.8163756773028296E-2</v>
      </c>
      <c r="BC296" s="259">
        <f>IF(ISERROR(BC293/(BC295/4)),"NM",(BC293/(BC295/4)))</f>
        <v>4.507042253521127E-2</v>
      </c>
      <c r="BD296" s="118">
        <f>IF(ISERROR(BD293/BD295),"NM",(BD293/BD295))</f>
        <v>4.8850574712643681E-2</v>
      </c>
      <c r="BE296" s="259">
        <f>IF(ISERROR(BE293/(BE295/4)),"NM",(BE293/(BE295/4)))</f>
        <v>4.2372881355932202E-2</v>
      </c>
      <c r="BF296" s="259">
        <f>IF(ISERROR(BF293/(BF295/4)),"NM",(BF293/(BF295/4)))</f>
        <v>4.3523316062176166E-2</v>
      </c>
      <c r="BG296" s="259">
        <f>IF(ISERROR(BG293/(BG295/4)),"NM",(BG293/(BG295/4)))</f>
        <v>4.0299664169465253E-2</v>
      </c>
      <c r="BH296" s="259">
        <f>IF(ISERROR(BH293/(BH295/4)),"NM",(BH293/(BH295/4)))</f>
        <v>4.145077720207254E-2</v>
      </c>
      <c r="BI296" s="118">
        <f>IF(ISERROR(BI293/BI295),"NM",(BI293/BI295))</f>
        <v>4.1910873907206707E-2</v>
      </c>
      <c r="BJ296" s="259">
        <f>IF(ISERROR(BJ293/(BJ295/4)),"NM",(BJ293/(BJ295/4)))</f>
        <v>4.1520549866741481E-2</v>
      </c>
      <c r="BK296" s="259">
        <f>IF(ISERROR(BK293/(BK295/4)),"NM",(BK293/(BK295/4)))</f>
        <v>4.1508904781938021E-2</v>
      </c>
      <c r="BL296" s="259">
        <f>IF(ISERROR(BL293/(BL295/4)),"NM",(BL293/(BL295/4)))</f>
        <v>4.1491449397252592E-2</v>
      </c>
      <c r="BM296" s="259">
        <f>IF(ISERROR(BM293/(BM295/4)),"NM",(BM293/(BM295/4)))</f>
        <v>4.3715846994535519E-2</v>
      </c>
      <c r="BN296" s="112">
        <f>IF(ISERROR(BN293/BN295),"NM",(BN293/BN295))</f>
        <v>4.2059514212610845E-2</v>
      </c>
      <c r="BO296" s="259">
        <f>IF(ISERROR(BO293/(BO295/4)),"NM",(BO293/(BO295/4)))</f>
        <v>3.810057431012747E-2</v>
      </c>
      <c r="BP296" s="1262">
        <f>+BO296+0.0035</f>
        <v>4.1600574310127474E-2</v>
      </c>
      <c r="BQ296" s="1262">
        <f>+BP296</f>
        <v>4.1600574310127474E-2</v>
      </c>
      <c r="BR296" s="1262">
        <f>+BQ296</f>
        <v>4.1600574310127474E-2</v>
      </c>
      <c r="BS296" s="112">
        <f>IF(ISERROR(BS293/BS295),"NM",(BS293/BS295))</f>
        <v>4.0725666225110493E-2</v>
      </c>
      <c r="BT296" s="1262">
        <v>4.1500000000000002E-2</v>
      </c>
      <c r="BU296" s="1262">
        <f>+BT296</f>
        <v>4.1500000000000002E-2</v>
      </c>
      <c r="BV296" s="1262">
        <f>+BU296</f>
        <v>4.1500000000000002E-2</v>
      </c>
      <c r="BW296" s="1262">
        <f>+BV296</f>
        <v>4.1500000000000002E-2</v>
      </c>
      <c r="BX296" s="112">
        <f>IF(ISERROR(BX293/BX295),"NM",(BX293/BX295))</f>
        <v>4.1500000000000002E-2</v>
      </c>
      <c r="BY296" s="1263">
        <f>+BX296</f>
        <v>4.1500000000000002E-2</v>
      </c>
      <c r="BZ296" s="1263">
        <f>+BY296</f>
        <v>4.1500000000000002E-2</v>
      </c>
      <c r="CA296" s="1263">
        <f>+BZ296</f>
        <v>4.1500000000000002E-2</v>
      </c>
      <c r="CD296" s="379" t="str">
        <f>+A296</f>
        <v>Average Interest Rate</v>
      </c>
      <c r="CE296" s="1194"/>
      <c r="CF296" s="1194"/>
      <c r="CG296" s="1194"/>
      <c r="CH296" s="1194"/>
      <c r="CI296" s="1194"/>
      <c r="CJ296" s="1194"/>
      <c r="CK296" s="1194"/>
      <c r="CL296" s="1194"/>
      <c r="CM296" s="1194"/>
      <c r="CN296" s="231">
        <f t="shared" si="558"/>
        <v>6.3439065108514187E-2</v>
      </c>
      <c r="CO296" s="231">
        <f t="shared" si="558"/>
        <v>6.3522769542668403E-2</v>
      </c>
      <c r="CP296" s="231">
        <f>AO296</f>
        <v>6.717810491395397E-2</v>
      </c>
      <c r="CQ296" s="231">
        <f>AT296</f>
        <v>6.8915170097824496E-2</v>
      </c>
      <c r="CR296" s="231">
        <f>AY296</f>
        <v>7.3842302878598248E-2</v>
      </c>
      <c r="CS296" s="231">
        <f>BD296</f>
        <v>4.8850574712643681E-2</v>
      </c>
      <c r="CT296" s="231">
        <f>BI296</f>
        <v>4.1910873907206707E-2</v>
      </c>
      <c r="CU296" s="231">
        <f>BN296</f>
        <v>4.2059514212610845E-2</v>
      </c>
      <c r="CV296" s="231">
        <f>BS296</f>
        <v>4.0725666225110493E-2</v>
      </c>
      <c r="CW296" s="231">
        <f t="shared" si="559"/>
        <v>4.1500000000000002E-2</v>
      </c>
      <c r="CX296" s="231">
        <f t="shared" si="559"/>
        <v>4.1500000000000002E-2</v>
      </c>
      <c r="CY296" s="231">
        <f t="shared" si="559"/>
        <v>4.1500000000000002E-2</v>
      </c>
      <c r="CZ296" s="231">
        <f t="shared" si="559"/>
        <v>4.1500000000000002E-2</v>
      </c>
      <c r="DA296" s="58"/>
      <c r="DB296" s="531"/>
    </row>
    <row r="297" spans="1:112" ht="12" customHeight="1">
      <c r="A297" s="42"/>
      <c r="B297" s="54"/>
      <c r="C297" s="118"/>
      <c r="D297" s="118"/>
      <c r="E297" s="118"/>
      <c r="F297" s="118"/>
      <c r="G297" s="117"/>
      <c r="H297" s="117"/>
      <c r="I297" s="117"/>
      <c r="J297" s="117"/>
      <c r="K297" s="118"/>
      <c r="L297" s="122"/>
      <c r="M297" s="122"/>
      <c r="N297" s="122"/>
      <c r="O297" s="122"/>
      <c r="P297" s="118"/>
      <c r="Q297" s="122"/>
      <c r="R297" s="122"/>
      <c r="S297" s="122"/>
      <c r="T297" s="122"/>
      <c r="U297" s="118"/>
      <c r="V297" s="122"/>
      <c r="W297" s="122"/>
      <c r="X297" s="122"/>
      <c r="Y297" s="122"/>
      <c r="Z297" s="118"/>
      <c r="AA297" s="122"/>
      <c r="AB297" s="122"/>
      <c r="AC297" s="122"/>
      <c r="AD297" s="122"/>
      <c r="AE297" s="118"/>
      <c r="AF297" s="122"/>
      <c r="AG297" s="122"/>
      <c r="AH297" s="122"/>
      <c r="AI297" s="122"/>
      <c r="AJ297" s="118"/>
      <c r="AK297" s="122"/>
      <c r="AL297" s="122"/>
      <c r="AM297" s="122"/>
      <c r="AN297" s="122"/>
      <c r="AO297" s="118"/>
      <c r="AP297" s="490"/>
      <c r="AQ297" s="490"/>
      <c r="AR297" s="490"/>
      <c r="AS297" s="122"/>
      <c r="AT297" s="118"/>
      <c r="AU297" s="490"/>
      <c r="AV297" s="490"/>
      <c r="AW297" s="490"/>
      <c r="AX297" s="259"/>
      <c r="AY297" s="118"/>
      <c r="AZ297" s="625"/>
      <c r="BA297" s="626"/>
      <c r="BB297" s="626"/>
      <c r="BC297" s="259"/>
      <c r="BD297" s="495"/>
      <c r="BE297" s="625"/>
      <c r="BF297" s="626"/>
      <c r="BG297" s="626"/>
      <c r="BH297" s="259"/>
      <c r="BI297" s="495"/>
      <c r="BJ297" s="625"/>
      <c r="BK297" s="626"/>
      <c r="BL297" s="625"/>
      <c r="BM297" s="625"/>
      <c r="BN297" s="118"/>
      <c r="BO297" s="625"/>
      <c r="BP297" s="625"/>
      <c r="BQ297" s="625"/>
      <c r="BR297" s="625"/>
      <c r="BS297" s="118"/>
      <c r="BT297" s="625"/>
      <c r="BU297" s="625"/>
      <c r="BV297" s="625"/>
      <c r="BW297" s="625"/>
      <c r="BX297" s="118"/>
      <c r="BY297" s="491"/>
      <c r="BZ297" s="491"/>
      <c r="CA297" s="491"/>
      <c r="CD297" s="379"/>
      <c r="CE297" s="1194"/>
      <c r="CF297" s="1194"/>
      <c r="CG297" s="1194"/>
      <c r="CH297" s="1194"/>
      <c r="CI297" s="1194"/>
      <c r="CJ297" s="1194"/>
      <c r="CK297" s="1194"/>
      <c r="CL297" s="1194"/>
      <c r="CM297" s="1194"/>
      <c r="CN297" s="231"/>
      <c r="CO297" s="231"/>
      <c r="CP297" s="231"/>
      <c r="CQ297" s="231"/>
      <c r="CR297" s="231"/>
      <c r="CS297" s="231"/>
      <c r="CT297" s="231"/>
      <c r="CU297" s="231"/>
      <c r="CV297" s="231"/>
      <c r="CW297" s="231"/>
      <c r="CX297" s="231"/>
      <c r="CY297" s="231"/>
      <c r="CZ297" s="231"/>
      <c r="DA297" s="58"/>
      <c r="DB297" s="531"/>
    </row>
    <row r="298" spans="1:112" ht="12" customHeight="1">
      <c r="A298" s="42" t="s">
        <v>241</v>
      </c>
      <c r="B298" s="54"/>
      <c r="C298" s="118"/>
      <c r="D298" s="118"/>
      <c r="E298" s="118"/>
      <c r="F298" s="118"/>
      <c r="G298" s="117"/>
      <c r="H298" s="117"/>
      <c r="I298" s="117"/>
      <c r="J298" s="117"/>
      <c r="K298" s="118"/>
      <c r="L298" s="122"/>
      <c r="M298" s="122"/>
      <c r="N298" s="122"/>
      <c r="O298" s="122"/>
      <c r="P298" s="118"/>
      <c r="Q298" s="122"/>
      <c r="R298" s="122"/>
      <c r="S298" s="122"/>
      <c r="T298" s="122"/>
      <c r="U298" s="118"/>
      <c r="V298" s="122"/>
      <c r="W298" s="122"/>
      <c r="X298" s="122"/>
      <c r="Y298" s="122"/>
      <c r="Z298" s="118"/>
      <c r="AA298" s="122"/>
      <c r="AB298" s="122"/>
      <c r="AC298" s="122"/>
      <c r="AD298" s="122"/>
      <c r="AE298" s="118"/>
      <c r="AF298" s="122"/>
      <c r="AG298" s="122"/>
      <c r="AH298" s="122"/>
      <c r="AI298" s="122"/>
      <c r="AJ298" s="118"/>
      <c r="AK298" s="122"/>
      <c r="AL298" s="122"/>
      <c r="AM298" s="122"/>
      <c r="AN298" s="122"/>
      <c r="AO298" s="118"/>
      <c r="AP298" s="490"/>
      <c r="AQ298" s="490"/>
      <c r="AR298" s="490"/>
      <c r="AS298" s="122"/>
      <c r="AT298" s="118"/>
      <c r="AU298" s="490"/>
      <c r="AV298" s="490"/>
      <c r="AW298" s="490"/>
      <c r="AX298" s="259"/>
      <c r="AY298" s="1190">
        <f>+(AY294-AY142-AY143)/AY30</f>
        <v>-0.87296049256028641</v>
      </c>
      <c r="AZ298" s="1189">
        <f>+(AZ294-AZ142-AZ143)/(AZ30+AX30+AW30+AV30)</f>
        <v>-6.1279960464533092E-3</v>
      </c>
      <c r="BA298" s="1189">
        <f>+(BA294-BA142-BA143)/(BA30+AZ30+AX30+AW30)</f>
        <v>-0.10780952380952298</v>
      </c>
      <c r="BB298" s="1189">
        <f>+(BB294-BB142-BB143)/(BB30+BA30+AZ30+AX30)</f>
        <v>0.94928140936485939</v>
      </c>
      <c r="BC298" s="1189">
        <f>+(BC294-BC142-BC143)/(BC30+BB30+BA30+AZ30)</f>
        <v>0.96135746606334915</v>
      </c>
      <c r="BD298" s="627">
        <f>+(BD294-BD142-BD143)/BD30</f>
        <v>0.96135746606334915</v>
      </c>
      <c r="BE298" s="1189">
        <f>+(BE294-BE142-BE143)/(BE30+BC30+BB30+BA30)</f>
        <v>1.040248778320747</v>
      </c>
      <c r="BF298" s="1189">
        <f>+(BF294-BF142-BF143)/(BF30+BE30+BC30+BB30)</f>
        <v>0.94529914529914605</v>
      </c>
      <c r="BG298" s="1189">
        <f>+(BG294-BG142-BG143)/(BG30+BF30+BE30+BC30)</f>
        <v>0.64271047227926148</v>
      </c>
      <c r="BH298" s="1189">
        <f>+(BH294-BH142-BH143)/(BH30+BG30+BF30+BE30)</f>
        <v>0.46282306163021941</v>
      </c>
      <c r="BI298" s="627">
        <f>+(BI294-BI142-BI143)/BI30</f>
        <v>0.46282306163021941</v>
      </c>
      <c r="BJ298" s="1189">
        <f>+(BJ294-BJ142-BJ143)/(BJ30+BH30+BG30+BF30)</f>
        <v>0.43481537302185447</v>
      </c>
      <c r="BK298" s="1189">
        <f>+(BK294-BK142-BK143)/(BK30+BJ30+BH30+BG30)</f>
        <v>0.43535911602210009</v>
      </c>
      <c r="BL298" s="1189">
        <f>+(BL294-BL142-BL143)/(BL30+BK30+BJ30+BH30)</f>
        <v>0.45228664025927323</v>
      </c>
      <c r="BM298" s="1189">
        <f>+(BM294-BM142-BM143)/(BM30+BL30+BK30+BJ30)</f>
        <v>0.26471588975842186</v>
      </c>
      <c r="BN298" s="627">
        <f>+(BN294-BN142-BN143)/BN30</f>
        <v>0.26471588975842186</v>
      </c>
      <c r="BO298" s="1189">
        <f>+(BO294-BO142-BO143)/(BO30+BM30+BL30+BK30)</f>
        <v>0.60729829260127277</v>
      </c>
      <c r="BP298" s="1189">
        <f>+(BP294-BP142-BP143)/(BP30+BO30+BM30+BL30)</f>
        <v>0.52619501496940024</v>
      </c>
      <c r="BQ298" s="1189">
        <f>+(BQ294-BQ142-BQ143)/(BQ30+BP30+BO30+BM30)</f>
        <v>0.48436984912661318</v>
      </c>
      <c r="BR298" s="1189">
        <f>+(BR294-BR142-BR143)/(BR30+BQ30+BP30+BO30)</f>
        <v>0.4258804898123415</v>
      </c>
      <c r="BS298" s="627">
        <f>+(BS294-BS142-BS143)/BS30</f>
        <v>0.42588048981234106</v>
      </c>
      <c r="BT298" s="1189">
        <f>+(BT294-BT142-BT143)/(BT30+BR30+BQ30+BP30)</f>
        <v>0.4574011210828971</v>
      </c>
      <c r="BU298" s="1189">
        <f>+(BU294-BU142-BU143)/(BU30+BT30+BR30+BQ30)</f>
        <v>0.38543239100770094</v>
      </c>
      <c r="BV298" s="1189">
        <f>+(BV294-BV142-BV143)/(BV30+BU30+BT30+BR30)</f>
        <v>0.35258276553827855</v>
      </c>
      <c r="BW298" s="1189">
        <f>+(BW294-BW142-BW143)/(BW30+BV30+BU30+BT30)</f>
        <v>0.31998675322191966</v>
      </c>
      <c r="BX298" s="627">
        <f>+(BX294-BX142-BX143)/BX30</f>
        <v>0.31998675322192011</v>
      </c>
      <c r="BY298" s="627">
        <f>+(BY294-BY142-BY143)/BY30</f>
        <v>0.2362267777564919</v>
      </c>
      <c r="BZ298" s="627">
        <f>+(BZ294-BZ142-BZ143)/BZ30</f>
        <v>0.16306981982096205</v>
      </c>
      <c r="CA298" s="627">
        <f>+(CA294-CA142-CA143)/CA30</f>
        <v>7.6361473316072653E-2</v>
      </c>
      <c r="CD298" s="379" t="str">
        <f>+A298</f>
        <v>Net Debt/EBITDA</v>
      </c>
      <c r="CE298" s="1194"/>
      <c r="CF298" s="1194"/>
      <c r="CG298" s="1194"/>
      <c r="CH298" s="1194"/>
      <c r="CI298" s="1194"/>
      <c r="CJ298" s="1194"/>
      <c r="CK298" s="1194"/>
      <c r="CL298" s="1194"/>
      <c r="CM298" s="1194"/>
      <c r="CN298" s="627">
        <f>AI298</f>
        <v>0</v>
      </c>
      <c r="CO298" s="627">
        <f>AJ298</f>
        <v>0</v>
      </c>
      <c r="CP298" s="627">
        <f>AO298</f>
        <v>0</v>
      </c>
      <c r="CQ298" s="627">
        <f>AT298</f>
        <v>0</v>
      </c>
      <c r="CR298" s="627">
        <f>AY298</f>
        <v>-0.87296049256028641</v>
      </c>
      <c r="CS298" s="627">
        <f>BD298</f>
        <v>0.96135746606334915</v>
      </c>
      <c r="CT298" s="627">
        <f>BI298</f>
        <v>0.46282306163021941</v>
      </c>
      <c r="CU298" s="627">
        <f>BN298</f>
        <v>0.26471588975842186</v>
      </c>
      <c r="CV298" s="627">
        <f>BS298</f>
        <v>0.42588048981234106</v>
      </c>
      <c r="CW298" s="627">
        <f>BX298</f>
        <v>0.31998675322192011</v>
      </c>
      <c r="CX298" s="627">
        <f>BY298</f>
        <v>0.2362267777564919</v>
      </c>
      <c r="CY298" s="627">
        <f>BZ298</f>
        <v>0.16306981982096205</v>
      </c>
      <c r="CZ298" s="627">
        <f>CA298</f>
        <v>7.6361473316072653E-2</v>
      </c>
      <c r="DA298" s="58"/>
      <c r="DB298" s="531"/>
    </row>
    <row r="299" spans="1:112" ht="12" customHeight="1" thickBot="1">
      <c r="A299" s="617"/>
      <c r="B299" s="573"/>
      <c r="C299" s="573"/>
      <c r="D299" s="573"/>
      <c r="E299" s="573"/>
      <c r="F299" s="573"/>
      <c r="G299" s="574"/>
      <c r="H299" s="574"/>
      <c r="I299" s="574"/>
      <c r="J299" s="574"/>
      <c r="K299" s="573"/>
      <c r="L299" s="574"/>
      <c r="M299" s="574"/>
      <c r="N299" s="574"/>
      <c r="O299" s="574"/>
      <c r="P299" s="573"/>
      <c r="Q299" s="574"/>
      <c r="R299" s="574"/>
      <c r="S299" s="574"/>
      <c r="T299" s="574"/>
      <c r="U299" s="573"/>
      <c r="V299" s="574"/>
      <c r="W299" s="574"/>
      <c r="X299" s="574"/>
      <c r="Y299" s="574"/>
      <c r="Z299" s="573"/>
      <c r="AA299" s="574"/>
      <c r="AB299" s="574"/>
      <c r="AC299" s="574"/>
      <c r="AD299" s="574"/>
      <c r="AE299" s="573"/>
      <c r="AF299" s="574"/>
      <c r="AG299" s="574"/>
      <c r="AH299" s="574"/>
      <c r="AI299" s="618"/>
      <c r="AJ299" s="619"/>
      <c r="AK299" s="628"/>
      <c r="AL299" s="617"/>
      <c r="AM299" s="617"/>
      <c r="AN299" s="617"/>
      <c r="AO299" s="620"/>
      <c r="AP299" s="618"/>
      <c r="AQ299" s="618"/>
      <c r="AR299" s="618"/>
      <c r="AS299" s="618"/>
      <c r="AT299" s="619"/>
      <c r="AU299" s="618"/>
      <c r="AV299" s="618"/>
      <c r="AW299" s="618"/>
      <c r="AX299" s="618"/>
      <c r="AY299" s="619"/>
      <c r="AZ299" s="618"/>
      <c r="BA299" s="618"/>
      <c r="BB299" s="618"/>
      <c r="BC299" s="618"/>
      <c r="BD299" s="619"/>
      <c r="BE299" s="618"/>
      <c r="BF299" s="618"/>
      <c r="BG299" s="618"/>
      <c r="BH299" s="618"/>
      <c r="BI299" s="619"/>
      <c r="BJ299" s="618"/>
      <c r="BK299" s="618"/>
      <c r="BL299" s="618"/>
      <c r="BM299" s="618"/>
      <c r="BN299" s="619"/>
      <c r="BO299" s="618"/>
      <c r="BP299" s="618"/>
      <c r="BQ299" s="618"/>
      <c r="BR299" s="618"/>
      <c r="BS299" s="619"/>
      <c r="BT299" s="618"/>
      <c r="BU299" s="618"/>
      <c r="BV299" s="618"/>
      <c r="BW299" s="618"/>
      <c r="BX299" s="619"/>
      <c r="BY299" s="621"/>
      <c r="BZ299" s="621"/>
      <c r="CA299" s="621"/>
      <c r="CD299" s="619"/>
      <c r="CE299" s="573"/>
      <c r="CF299" s="573"/>
      <c r="CG299" s="573"/>
      <c r="CH299" s="573"/>
      <c r="CI299" s="573"/>
      <c r="CJ299" s="573"/>
      <c r="CK299" s="573"/>
      <c r="CL299" s="573"/>
      <c r="CM299" s="573"/>
      <c r="CN299" s="573"/>
      <c r="CO299" s="573"/>
      <c r="CP299" s="573"/>
      <c r="CQ299" s="573"/>
      <c r="CR299" s="573"/>
      <c r="CS299" s="573"/>
      <c r="CT299" s="573"/>
      <c r="CU299" s="573"/>
      <c r="CV299" s="573"/>
      <c r="CW299" s="573"/>
      <c r="CX299" s="573"/>
      <c r="CY299" s="573"/>
      <c r="CZ299" s="573"/>
      <c r="DA299" s="58"/>
      <c r="DB299" s="438"/>
    </row>
    <row r="300" spans="1:112" ht="12" customHeight="1">
      <c r="A300" s="42"/>
      <c r="B300" s="54"/>
      <c r="C300" s="54"/>
      <c r="D300" s="54"/>
      <c r="E300" s="54"/>
      <c r="F300" s="54"/>
      <c r="G300" s="127"/>
      <c r="H300" s="377"/>
      <c r="I300" s="377"/>
      <c r="J300" s="377"/>
      <c r="K300" s="54"/>
      <c r="L300" s="377"/>
      <c r="M300" s="377"/>
      <c r="N300" s="377"/>
      <c r="O300" s="377"/>
      <c r="P300" s="54"/>
      <c r="Q300" s="377"/>
      <c r="R300" s="377"/>
      <c r="S300" s="377"/>
      <c r="T300" s="377"/>
      <c r="U300" s="54"/>
      <c r="V300" s="377"/>
      <c r="W300" s="377"/>
      <c r="X300" s="377"/>
      <c r="Y300" s="377"/>
      <c r="Z300" s="54"/>
      <c r="AA300" s="377"/>
      <c r="AB300" s="377"/>
      <c r="AC300" s="377"/>
      <c r="AD300" s="377"/>
      <c r="AE300" s="54"/>
      <c r="AF300" s="377"/>
      <c r="AG300" s="377"/>
      <c r="AH300" s="377"/>
      <c r="AI300" s="58"/>
      <c r="AJ300" s="378"/>
      <c r="AK300" s="42"/>
      <c r="AL300" s="42"/>
      <c r="AM300" s="42"/>
      <c r="AN300" s="42"/>
      <c r="AO300" s="379"/>
      <c r="AP300" s="58"/>
      <c r="AQ300" s="58"/>
      <c r="AR300" s="58"/>
      <c r="AS300" s="58"/>
      <c r="AT300" s="378"/>
      <c r="AU300" s="58"/>
      <c r="AV300" s="58"/>
      <c r="AW300" s="370"/>
      <c r="AX300" s="370"/>
      <c r="AY300" s="378"/>
      <c r="AZ300" s="370"/>
      <c r="BA300" s="370"/>
      <c r="BB300" s="370"/>
      <c r="BC300" s="370"/>
      <c r="BD300" s="378"/>
      <c r="BE300" s="370"/>
      <c r="BF300" s="370"/>
      <c r="BG300" s="370"/>
      <c r="BH300" s="370"/>
      <c r="BI300" s="378"/>
      <c r="BJ300" s="370"/>
      <c r="BK300" s="370"/>
      <c r="BL300" s="370"/>
      <c r="BM300" s="370"/>
      <c r="BN300" s="378"/>
      <c r="BO300" s="370"/>
      <c r="BP300" s="370"/>
      <c r="BQ300" s="370"/>
      <c r="BR300" s="370"/>
      <c r="BS300" s="378"/>
      <c r="BT300" s="370"/>
      <c r="BU300" s="370"/>
      <c r="BV300" s="370"/>
      <c r="BW300" s="370"/>
      <c r="BX300" s="378"/>
      <c r="BY300" s="444"/>
      <c r="BZ300" s="444"/>
      <c r="CA300" s="444"/>
      <c r="CD300" s="370"/>
      <c r="CE300" s="127"/>
      <c r="CF300" s="127"/>
      <c r="CG300" s="127"/>
      <c r="CH300" s="127"/>
      <c r="CI300" s="127"/>
      <c r="CJ300" s="127"/>
      <c r="CK300" s="127"/>
      <c r="CL300" s="127"/>
      <c r="CM300" s="127"/>
      <c r="CN300" s="127"/>
      <c r="CO300" s="127"/>
      <c r="CP300" s="127"/>
      <c r="CQ300" s="127"/>
      <c r="CR300" s="127"/>
      <c r="CS300" s="127"/>
      <c r="CT300" s="127"/>
      <c r="CU300" s="127"/>
      <c r="CV300" s="127"/>
      <c r="CW300" s="127"/>
      <c r="CX300" s="127"/>
      <c r="CY300" s="127"/>
      <c r="CZ300" s="127"/>
      <c r="DA300" s="58"/>
      <c r="DB300" s="438"/>
    </row>
    <row r="301" spans="1:112" ht="12" customHeight="1">
      <c r="A301" s="441" t="s">
        <v>242</v>
      </c>
      <c r="B301" s="54"/>
      <c r="C301" s="118"/>
      <c r="D301" s="118"/>
      <c r="E301" s="118"/>
      <c r="F301" s="118"/>
      <c r="G301" s="117"/>
      <c r="H301" s="117"/>
      <c r="I301" s="117"/>
      <c r="J301" s="117"/>
      <c r="K301" s="118"/>
      <c r="L301" s="122"/>
      <c r="M301" s="122"/>
      <c r="N301" s="122"/>
      <c r="O301" s="122"/>
      <c r="P301" s="118"/>
      <c r="Q301" s="122"/>
      <c r="R301" s="122"/>
      <c r="S301" s="122"/>
      <c r="T301" s="122"/>
      <c r="U301" s="118"/>
      <c r="V301" s="122"/>
      <c r="W301" s="122"/>
      <c r="X301" s="122"/>
      <c r="Y301" s="122"/>
      <c r="Z301" s="118"/>
      <c r="AA301" s="122"/>
      <c r="AB301" s="122"/>
      <c r="AC301" s="122"/>
      <c r="AD301" s="122"/>
      <c r="AE301" s="118"/>
      <c r="AF301" s="122"/>
      <c r="AG301" s="122"/>
      <c r="AH301" s="122"/>
      <c r="AI301" s="122"/>
      <c r="AJ301" s="118"/>
      <c r="AK301" s="122"/>
      <c r="AL301" s="122"/>
      <c r="AM301" s="122"/>
      <c r="AN301" s="122"/>
      <c r="AO301" s="118"/>
      <c r="AP301" s="490"/>
      <c r="AQ301" s="490"/>
      <c r="AR301" s="490"/>
      <c r="AS301" s="122"/>
      <c r="AT301" s="118"/>
      <c r="AU301" s="490"/>
      <c r="AV301" s="490"/>
      <c r="AW301" s="490"/>
      <c r="AX301" s="259"/>
      <c r="AY301" s="118"/>
      <c r="AZ301" s="625"/>
      <c r="BA301" s="625"/>
      <c r="BB301" s="625"/>
      <c r="BC301" s="259"/>
      <c r="BD301" s="118"/>
      <c r="BE301" s="625"/>
      <c r="BF301" s="625"/>
      <c r="BG301" s="625"/>
      <c r="BH301" s="259"/>
      <c r="BI301" s="118"/>
      <c r="BJ301" s="625"/>
      <c r="BK301" s="625"/>
      <c r="BL301" s="625"/>
      <c r="BM301" s="625"/>
      <c r="BN301" s="118"/>
      <c r="BO301" s="625"/>
      <c r="BP301" s="625"/>
      <c r="BQ301" s="625"/>
      <c r="BR301" s="625"/>
      <c r="BS301" s="118"/>
      <c r="BT301" s="625"/>
      <c r="BU301" s="625"/>
      <c r="BV301" s="625"/>
      <c r="BW301" s="625"/>
      <c r="BX301" s="118"/>
      <c r="BY301" s="491"/>
      <c r="BZ301" s="491"/>
      <c r="CA301" s="491"/>
      <c r="CD301" s="370"/>
      <c r="CE301" s="530"/>
      <c r="CF301" s="530"/>
      <c r="CG301" s="530"/>
      <c r="CH301" s="530"/>
      <c r="CI301" s="530"/>
      <c r="CJ301" s="530"/>
      <c r="CK301" s="530"/>
      <c r="CL301" s="530"/>
      <c r="CM301" s="530"/>
      <c r="CN301" s="530"/>
      <c r="CO301" s="530"/>
      <c r="CP301" s="530"/>
      <c r="CQ301" s="530"/>
      <c r="CR301" s="530"/>
      <c r="CS301" s="530"/>
      <c r="CT301" s="530"/>
      <c r="CU301" s="530"/>
      <c r="CV301" s="530"/>
      <c r="CW301" s="530"/>
      <c r="CX301" s="530"/>
      <c r="CY301" s="530"/>
      <c r="CZ301" s="530"/>
      <c r="DA301" s="58"/>
      <c r="DB301" s="531"/>
    </row>
    <row r="302" spans="1:112" ht="12" customHeight="1">
      <c r="A302" s="629" t="s">
        <v>243</v>
      </c>
      <c r="B302" s="54" t="s">
        <v>559</v>
      </c>
      <c r="C302" s="118"/>
      <c r="D302" s="118"/>
      <c r="E302" s="118"/>
      <c r="F302" s="118"/>
      <c r="G302" s="117"/>
      <c r="H302" s="117"/>
      <c r="I302" s="117"/>
      <c r="J302" s="117"/>
      <c r="K302" s="2144">
        <f t="shared" ref="K302:AP302" si="562">-K119</f>
        <v>260.32299999999998</v>
      </c>
      <c r="L302" s="2145">
        <f t="shared" si="562"/>
        <v>72.759</v>
      </c>
      <c r="M302" s="2146">
        <f t="shared" si="562"/>
        <v>69.566999999999993</v>
      </c>
      <c r="N302" s="2146">
        <f t="shared" si="562"/>
        <v>68.647000000000006</v>
      </c>
      <c r="O302" s="2147">
        <f t="shared" si="562"/>
        <v>66.772999999999982</v>
      </c>
      <c r="P302" s="2144">
        <f t="shared" si="562"/>
        <v>277.74599999999998</v>
      </c>
      <c r="Q302" s="2145">
        <f t="shared" si="562"/>
        <v>71.015000000000001</v>
      </c>
      <c r="R302" s="2146">
        <f t="shared" si="562"/>
        <v>71.096999999999994</v>
      </c>
      <c r="S302" s="2146">
        <f t="shared" si="562"/>
        <v>69.044000000000025</v>
      </c>
      <c r="T302" s="2147">
        <f t="shared" si="562"/>
        <v>69.298999999999964</v>
      </c>
      <c r="U302" s="2144">
        <f t="shared" si="562"/>
        <v>280.45499999999998</v>
      </c>
      <c r="V302" s="2145">
        <f t="shared" si="562"/>
        <v>70.850999999999999</v>
      </c>
      <c r="W302" s="2146">
        <f t="shared" si="562"/>
        <v>70.899000000000001</v>
      </c>
      <c r="X302" s="2146">
        <f t="shared" si="562"/>
        <v>70.927999999999997</v>
      </c>
      <c r="Y302" s="2147">
        <f t="shared" si="562"/>
        <v>68.875</v>
      </c>
      <c r="Z302" s="2144">
        <f t="shared" si="562"/>
        <v>281.553</v>
      </c>
      <c r="AA302" s="2145">
        <f t="shared" si="562"/>
        <v>74.099999999999994</v>
      </c>
      <c r="AB302" s="2146">
        <f t="shared" si="562"/>
        <v>74.099999999999994</v>
      </c>
      <c r="AC302" s="2146">
        <f t="shared" si="562"/>
        <v>73.100000000000023</v>
      </c>
      <c r="AD302" s="2147">
        <f t="shared" si="562"/>
        <v>70.956999999999994</v>
      </c>
      <c r="AE302" s="2144">
        <f t="shared" si="562"/>
        <v>292.25700000000001</v>
      </c>
      <c r="AF302" s="2145">
        <f t="shared" si="562"/>
        <v>76.7</v>
      </c>
      <c r="AG302" s="2146">
        <f t="shared" si="562"/>
        <v>75.7</v>
      </c>
      <c r="AH302" s="2146">
        <f t="shared" si="562"/>
        <v>72.3</v>
      </c>
      <c r="AI302" s="2147">
        <f t="shared" si="562"/>
        <v>71.300000000000011</v>
      </c>
      <c r="AJ302" s="2144">
        <f t="shared" si="562"/>
        <v>296</v>
      </c>
      <c r="AK302" s="2145">
        <f t="shared" si="562"/>
        <v>74</v>
      </c>
      <c r="AL302" s="2146">
        <f t="shared" si="562"/>
        <v>71</v>
      </c>
      <c r="AM302" s="2146">
        <f t="shared" si="562"/>
        <v>71</v>
      </c>
      <c r="AN302" s="2147">
        <f t="shared" si="562"/>
        <v>768</v>
      </c>
      <c r="AO302" s="2144">
        <f t="shared" si="562"/>
        <v>984</v>
      </c>
      <c r="AP302" s="2145">
        <f t="shared" si="562"/>
        <v>79</v>
      </c>
      <c r="AQ302" s="2146">
        <f t="shared" ref="AQ302:BI302" si="563">-AQ119</f>
        <v>77</v>
      </c>
      <c r="AR302" s="2146">
        <f t="shared" si="563"/>
        <v>76</v>
      </c>
      <c r="AS302" s="2147">
        <f t="shared" si="563"/>
        <v>76</v>
      </c>
      <c r="AT302" s="2144">
        <f t="shared" si="563"/>
        <v>308</v>
      </c>
      <c r="AU302" s="2145">
        <f t="shared" si="563"/>
        <v>82</v>
      </c>
      <c r="AV302" s="2146">
        <f t="shared" si="563"/>
        <v>81</v>
      </c>
      <c r="AW302" s="2146">
        <f t="shared" si="563"/>
        <v>82</v>
      </c>
      <c r="AX302" s="2147">
        <f t="shared" si="563"/>
        <v>81</v>
      </c>
      <c r="AY302" s="2144">
        <f t="shared" si="563"/>
        <v>326</v>
      </c>
      <c r="AZ302" s="2145">
        <f t="shared" si="563"/>
        <v>94</v>
      </c>
      <c r="BA302" s="2146">
        <f t="shared" si="563"/>
        <v>91</v>
      </c>
      <c r="BB302" s="2146">
        <f t="shared" si="563"/>
        <v>89</v>
      </c>
      <c r="BC302" s="2147">
        <f t="shared" si="563"/>
        <v>89</v>
      </c>
      <c r="BD302" s="2144">
        <f t="shared" si="563"/>
        <v>363</v>
      </c>
      <c r="BE302" s="2145">
        <f t="shared" si="563"/>
        <v>96</v>
      </c>
      <c r="BF302" s="2146">
        <f t="shared" si="563"/>
        <v>95</v>
      </c>
      <c r="BG302" s="2146">
        <f t="shared" si="563"/>
        <v>95</v>
      </c>
      <c r="BH302" s="2146">
        <f t="shared" si="563"/>
        <v>94</v>
      </c>
      <c r="BI302" s="2144">
        <f t="shared" si="563"/>
        <v>380</v>
      </c>
      <c r="BJ302" s="2145">
        <f>-BJ119</f>
        <v>106</v>
      </c>
      <c r="BK302" s="2146">
        <f>-BK119</f>
        <v>106</v>
      </c>
      <c r="BL302" s="2146">
        <f>-BL119</f>
        <v>104</v>
      </c>
      <c r="BM302" s="2146">
        <f>-BM119</f>
        <v>105</v>
      </c>
      <c r="BN302" s="2144">
        <f t="shared" ref="BN302" si="564">-BN119</f>
        <v>421</v>
      </c>
      <c r="BO302" s="2145">
        <f>-BO119</f>
        <v>127</v>
      </c>
      <c r="BP302" s="427">
        <f>+BP303*BP66</f>
        <v>126.26747015991721</v>
      </c>
      <c r="BQ302" s="427">
        <f>+BQ303*BQ66</f>
        <v>125.83116123919596</v>
      </c>
      <c r="BR302" s="632">
        <f>+BR303*BR66</f>
        <v>125.06218717080796</v>
      </c>
      <c r="BS302" s="630">
        <f>SUM(BO302:BR302)</f>
        <v>504.16081856992116</v>
      </c>
      <c r="BT302" s="631">
        <f>+BT304*(BT106+BT115)</f>
        <v>216.95092798550797</v>
      </c>
      <c r="BU302" s="427">
        <f>+BU303*BU66</f>
        <v>215.80033702952898</v>
      </c>
      <c r="BV302" s="427">
        <f>+BV303*BV66</f>
        <v>215.16279773766735</v>
      </c>
      <c r="BW302" s="427">
        <f>+BW303*BW66</f>
        <v>213.94345894261292</v>
      </c>
      <c r="BX302" s="630">
        <f>SUM(BT302:BW302)</f>
        <v>861.85752169531713</v>
      </c>
      <c r="BY302" s="630">
        <f>+BY304*(BY106+BY115)</f>
        <v>925.72808427118025</v>
      </c>
      <c r="BZ302" s="630">
        <f>+BZ304*(BZ106+BZ115)</f>
        <v>995.20731468298243</v>
      </c>
      <c r="CA302" s="630">
        <f>+CA304*(CA106+CA115)</f>
        <v>1052.8493174177152</v>
      </c>
      <c r="CD302" s="370"/>
      <c r="CE302" s="530"/>
      <c r="CF302" s="530"/>
      <c r="CG302" s="530"/>
      <c r="CH302" s="530"/>
      <c r="CI302" s="530"/>
      <c r="CJ302" s="530"/>
      <c r="CK302" s="530"/>
      <c r="CL302" s="530"/>
      <c r="CM302" s="530"/>
      <c r="CN302" s="530"/>
      <c r="CO302" s="530"/>
      <c r="CP302" s="530"/>
      <c r="CQ302" s="530"/>
      <c r="CR302" s="530"/>
      <c r="CS302" s="530"/>
      <c r="CT302" s="530"/>
      <c r="CU302" s="530"/>
      <c r="CV302" s="530"/>
      <c r="CW302" s="530"/>
      <c r="CX302" s="530"/>
      <c r="CY302" s="530"/>
      <c r="CZ302" s="530"/>
      <c r="DA302" s="58"/>
      <c r="DB302" s="531"/>
    </row>
    <row r="303" spans="1:112" ht="12" customHeight="1">
      <c r="A303" s="633" t="s">
        <v>244</v>
      </c>
      <c r="B303" s="54"/>
      <c r="C303" s="118"/>
      <c r="D303" s="118"/>
      <c r="E303" s="118"/>
      <c r="F303" s="118"/>
      <c r="G303" s="117"/>
      <c r="H303" s="117"/>
      <c r="I303" s="117"/>
      <c r="J303" s="117"/>
      <c r="K303" s="634">
        <f t="shared" ref="K303:AP303" si="565">+K302/K66</f>
        <v>0.73546125656390604</v>
      </c>
      <c r="L303" s="635">
        <f t="shared" si="565"/>
        <v>0.21200174825174825</v>
      </c>
      <c r="M303" s="636">
        <f t="shared" si="565"/>
        <v>0.20527294187075834</v>
      </c>
      <c r="N303" s="636">
        <f t="shared" si="565"/>
        <v>0.2086534954407295</v>
      </c>
      <c r="O303" s="637">
        <f t="shared" si="565"/>
        <v>0.20713306942719673</v>
      </c>
      <c r="P303" s="634">
        <f t="shared" si="565"/>
        <v>0.86158150002435407</v>
      </c>
      <c r="Q303" s="635">
        <f t="shared" si="565"/>
        <v>0.22102396514161218</v>
      </c>
      <c r="R303" s="636">
        <f t="shared" si="565"/>
        <v>0.22385705289672542</v>
      </c>
      <c r="S303" s="636">
        <f t="shared" si="565"/>
        <v>0.21953577106518291</v>
      </c>
      <c r="T303" s="637">
        <f t="shared" si="565"/>
        <v>0.22041286202098528</v>
      </c>
      <c r="U303" s="634">
        <f t="shared" si="565"/>
        <v>0.89201704524012548</v>
      </c>
      <c r="V303" s="635">
        <f t="shared" si="565"/>
        <v>0.22528139904610492</v>
      </c>
      <c r="W303" s="636">
        <f t="shared" si="565"/>
        <v>0.22521918678526048</v>
      </c>
      <c r="X303" s="636">
        <f t="shared" si="565"/>
        <v>0.22523975865354082</v>
      </c>
      <c r="Y303" s="637">
        <f t="shared" si="565"/>
        <v>0.21841453222445828</v>
      </c>
      <c r="Z303" s="634">
        <f t="shared" si="565"/>
        <v>0.89285323835053221</v>
      </c>
      <c r="AA303" s="635" t="e">
        <f t="shared" si="565"/>
        <v>#VALUE!</v>
      </c>
      <c r="AB303" s="636">
        <f t="shared" si="565"/>
        <v>0.2397282432869621</v>
      </c>
      <c r="AC303" s="636">
        <f t="shared" si="565"/>
        <v>0.23811074918566782</v>
      </c>
      <c r="AD303" s="637">
        <f t="shared" si="565"/>
        <v>0.2306632024287287</v>
      </c>
      <c r="AE303" s="634">
        <f t="shared" si="565"/>
        <v>0.95005334994733392</v>
      </c>
      <c r="AF303" s="635">
        <f t="shared" si="565"/>
        <v>0.25172300623564164</v>
      </c>
      <c r="AG303" s="636">
        <f t="shared" si="565"/>
        <v>0.25124460670428145</v>
      </c>
      <c r="AH303" s="636">
        <f t="shared" si="565"/>
        <v>0.24642126789366053</v>
      </c>
      <c r="AI303" s="637">
        <f t="shared" si="565"/>
        <v>0.25647482014388495</v>
      </c>
      <c r="AJ303" s="634">
        <f t="shared" si="565"/>
        <v>1.064748201438849</v>
      </c>
      <c r="AK303" s="635">
        <f t="shared" si="565"/>
        <v>0.26456918126564177</v>
      </c>
      <c r="AL303" s="636">
        <f t="shared" si="565"/>
        <v>0.25339043540328338</v>
      </c>
      <c r="AM303" s="636">
        <f t="shared" si="565"/>
        <v>0.25567158804465251</v>
      </c>
      <c r="AN303" s="637">
        <f t="shared" si="565"/>
        <v>2.752688172043011</v>
      </c>
      <c r="AO303" s="634">
        <f t="shared" si="565"/>
        <v>3.5268817204301075</v>
      </c>
      <c r="AP303" s="635">
        <f t="shared" si="565"/>
        <v>0.28821597956950018</v>
      </c>
      <c r="AQ303" s="636">
        <f t="shared" ref="AQ303:BO303" si="566">+AQ302/AQ66</f>
        <v>0.27979651162790697</v>
      </c>
      <c r="AR303" s="636">
        <f t="shared" si="566"/>
        <v>0.28064992614475626</v>
      </c>
      <c r="AS303" s="637">
        <f t="shared" si="566"/>
        <v>0.28044280442804426</v>
      </c>
      <c r="AT303" s="634">
        <f t="shared" si="566"/>
        <v>1.1365313653136531</v>
      </c>
      <c r="AU303" s="635">
        <f t="shared" si="566"/>
        <v>0.30124908155767821</v>
      </c>
      <c r="AV303" s="636">
        <f t="shared" si="566"/>
        <v>0.29900332225913623</v>
      </c>
      <c r="AW303" s="636">
        <f t="shared" si="566"/>
        <v>0.30213706705969051</v>
      </c>
      <c r="AX303" s="637">
        <f t="shared" si="566"/>
        <v>0.29779411764705882</v>
      </c>
      <c r="AY303" s="634">
        <f t="shared" si="566"/>
        <v>1.1985294117647058</v>
      </c>
      <c r="AZ303" s="635">
        <f t="shared" si="566"/>
        <v>0.34344172451589333</v>
      </c>
      <c r="BA303" s="636">
        <f t="shared" si="566"/>
        <v>0.33394495412844039</v>
      </c>
      <c r="BB303" s="636">
        <f t="shared" si="566"/>
        <v>0.32926378098409176</v>
      </c>
      <c r="BC303" s="636">
        <f t="shared" si="566"/>
        <v>0.33559577677224739</v>
      </c>
      <c r="BD303" s="634">
        <f t="shared" si="566"/>
        <v>1.3687782805429864</v>
      </c>
      <c r="BE303" s="636">
        <f t="shared" si="566"/>
        <v>0.36294896030245749</v>
      </c>
      <c r="BF303" s="636">
        <f t="shared" si="566"/>
        <v>0.35998484274346348</v>
      </c>
      <c r="BG303" s="636">
        <f t="shared" si="566"/>
        <v>0.3666538016209957</v>
      </c>
      <c r="BH303" s="636">
        <f t="shared" si="566"/>
        <v>0.36391792489353464</v>
      </c>
      <c r="BI303" s="634">
        <f t="shared" si="566"/>
        <v>1.4711575687185443</v>
      </c>
      <c r="BJ303" s="636">
        <f t="shared" si="566"/>
        <v>0.4111714507370054</v>
      </c>
      <c r="BK303" s="636">
        <f t="shared" si="566"/>
        <v>0.41245136186770426</v>
      </c>
      <c r="BL303" s="636">
        <f t="shared" si="566"/>
        <v>0.40784313725490196</v>
      </c>
      <c r="BM303" s="636">
        <f t="shared" si="566"/>
        <v>0.41387465510445409</v>
      </c>
      <c r="BN303" s="634">
        <f t="shared" si="566"/>
        <v>1.6594402837997635</v>
      </c>
      <c r="BO303" s="636">
        <f t="shared" si="566"/>
        <v>0.50922213311948672</v>
      </c>
      <c r="BP303" s="638">
        <f>BO303</f>
        <v>0.50922213311948672</v>
      </c>
      <c r="BQ303" s="638">
        <f t="shared" ref="BQ303:BR303" si="567">BP303</f>
        <v>0.50922213311948672</v>
      </c>
      <c r="BR303" s="638">
        <f t="shared" si="567"/>
        <v>0.50922213311948672</v>
      </c>
      <c r="BS303" s="634">
        <f>+BS302/BS66</f>
        <v>2.0528175084352571</v>
      </c>
      <c r="BT303" s="636">
        <f>+BT302/BT66</f>
        <v>0.88657029398699549</v>
      </c>
      <c r="BU303" s="638">
        <f>BT303</f>
        <v>0.88657029398699549</v>
      </c>
      <c r="BV303" s="638">
        <f t="shared" ref="BV303:BW303" si="568">BU303</f>
        <v>0.88657029398699549</v>
      </c>
      <c r="BW303" s="638">
        <f t="shared" si="568"/>
        <v>0.88657029398699549</v>
      </c>
      <c r="BX303" s="634">
        <f>+BX302/BX66</f>
        <v>3.5714916462544348</v>
      </c>
      <c r="BY303" s="634">
        <f>+BY302/BY66</f>
        <v>3.9029852078499356</v>
      </c>
      <c r="BZ303" s="634">
        <f>+BZ302/BZ66</f>
        <v>4.2712394582139481</v>
      </c>
      <c r="CA303" s="634">
        <f>+CA302/CA66</f>
        <v>4.6022676339548729</v>
      </c>
      <c r="CD303" s="370"/>
      <c r="CE303" s="530"/>
      <c r="CF303" s="530"/>
      <c r="CG303" s="530"/>
      <c r="CH303" s="530"/>
      <c r="CI303" s="530"/>
      <c r="CJ303" s="530"/>
      <c r="CK303" s="530"/>
      <c r="CL303" s="530"/>
      <c r="CM303" s="530"/>
      <c r="CN303" s="530"/>
      <c r="CO303" s="530"/>
      <c r="CP303" s="530"/>
      <c r="CQ303" s="530"/>
      <c r="CR303" s="530"/>
      <c r="CS303" s="530"/>
      <c r="CT303" s="530"/>
      <c r="CU303" s="530"/>
      <c r="CV303" s="530"/>
      <c r="CW303" s="530"/>
      <c r="CX303" s="530"/>
      <c r="CY303" s="530"/>
      <c r="CZ303" s="530"/>
      <c r="DA303" s="58"/>
      <c r="DB303" s="531"/>
    </row>
    <row r="304" spans="1:112" ht="12" customHeight="1">
      <c r="A304" s="633" t="s">
        <v>245</v>
      </c>
      <c r="B304" s="54"/>
      <c r="C304" s="118"/>
      <c r="D304" s="118"/>
      <c r="E304" s="118"/>
      <c r="F304" s="118"/>
      <c r="G304" s="117"/>
      <c r="H304" s="117"/>
      <c r="I304" s="117"/>
      <c r="J304" s="117"/>
      <c r="K304" s="118">
        <f t="shared" ref="K304:AP304" si="569">+K302/(K106+K115)</f>
        <v>0.24063341171946634</v>
      </c>
      <c r="L304" s="116">
        <f t="shared" si="569"/>
        <v>0.71779921865751106</v>
      </c>
      <c r="M304" s="117">
        <f t="shared" si="569"/>
        <v>0.88716444557801533</v>
      </c>
      <c r="N304" s="117">
        <f t="shared" si="569"/>
        <v>0.13543582054216155</v>
      </c>
      <c r="O304" s="149">
        <f t="shared" si="569"/>
        <v>0.14496362503500715</v>
      </c>
      <c r="P304" s="118">
        <f t="shared" si="569"/>
        <v>0.24209550075048519</v>
      </c>
      <c r="Q304" s="116">
        <f t="shared" si="569"/>
        <v>-0.32232661583151789</v>
      </c>
      <c r="R304" s="117">
        <f t="shared" si="569"/>
        <v>2.1920515508417142</v>
      </c>
      <c r="S304" s="117">
        <f t="shared" si="569"/>
        <v>0.11896528255202281</v>
      </c>
      <c r="T304" s="149">
        <f t="shared" si="569"/>
        <v>0.20203201072855001</v>
      </c>
      <c r="U304" s="118">
        <f t="shared" si="569"/>
        <v>0.38131462484449252</v>
      </c>
      <c r="V304" s="116">
        <f t="shared" si="569"/>
        <v>4.8188124872475342</v>
      </c>
      <c r="W304" s="117">
        <f t="shared" si="569"/>
        <v>0.39477816383803277</v>
      </c>
      <c r="X304" s="117">
        <f t="shared" si="569"/>
        <v>0.13089438096081735</v>
      </c>
      <c r="Y304" s="149">
        <f t="shared" si="569"/>
        <v>0.21859388984454833</v>
      </c>
      <c r="Z304" s="118">
        <f t="shared" si="569"/>
        <v>0.26782712754066829</v>
      </c>
      <c r="AA304" s="116">
        <f t="shared" si="569"/>
        <v>1.0677233429394806</v>
      </c>
      <c r="AB304" s="117">
        <f t="shared" si="569"/>
        <v>0.39164904862579281</v>
      </c>
      <c r="AC304" s="117">
        <f t="shared" si="569"/>
        <v>0.22320610687022918</v>
      </c>
      <c r="AD304" s="149">
        <f t="shared" si="569"/>
        <v>0.25846813997792584</v>
      </c>
      <c r="AE304" s="118">
        <f t="shared" si="569"/>
        <v>0.33958534978486676</v>
      </c>
      <c r="AF304" s="116">
        <f t="shared" si="569"/>
        <v>-0.59045419553502709</v>
      </c>
      <c r="AG304" s="117">
        <f t="shared" si="569"/>
        <v>0.29721240675304283</v>
      </c>
      <c r="AH304" s="117">
        <f t="shared" si="569"/>
        <v>0.13227222832052687</v>
      </c>
      <c r="AI304" s="149">
        <f t="shared" si="569"/>
        <v>0.1668226485727656</v>
      </c>
      <c r="AJ304" s="118">
        <f t="shared" si="569"/>
        <v>0.26938478340007282</v>
      </c>
      <c r="AK304" s="116">
        <f t="shared" si="569"/>
        <v>14.8</v>
      </c>
      <c r="AL304" s="117">
        <f t="shared" si="569"/>
        <v>1.2678571428571428</v>
      </c>
      <c r="AM304" s="117">
        <f t="shared" si="569"/>
        <v>0.21005917159763313</v>
      </c>
      <c r="AN304" s="149">
        <f t="shared" si="569"/>
        <v>7.6039603960396036</v>
      </c>
      <c r="AO304" s="118">
        <f t="shared" si="569"/>
        <v>1.968</v>
      </c>
      <c r="AP304" s="116">
        <f t="shared" si="569"/>
        <v>-1.144927536231884</v>
      </c>
      <c r="AQ304" s="117">
        <f t="shared" ref="AQ304:BW304" si="570">+AQ302/(AQ106+AQ115)</f>
        <v>0.30555555555555558</v>
      </c>
      <c r="AR304" s="117">
        <f t="shared" si="570"/>
        <v>0.27636363636363637</v>
      </c>
      <c r="AS304" s="149">
        <f t="shared" si="570"/>
        <v>0.3671497584541063</v>
      </c>
      <c r="AT304" s="118">
        <f t="shared" si="570"/>
        <v>0.4631578947368421</v>
      </c>
      <c r="AU304" s="116">
        <f t="shared" si="570"/>
        <v>1.0445859872611465</v>
      </c>
      <c r="AV304" s="117">
        <f t="shared" si="570"/>
        <v>0.25673534072900156</v>
      </c>
      <c r="AW304" s="117">
        <f t="shared" si="570"/>
        <v>0.20971867007672634</v>
      </c>
      <c r="AX304" s="149">
        <f t="shared" si="570"/>
        <v>0.22562674094707522</v>
      </c>
      <c r="AY304" s="118">
        <f t="shared" si="570"/>
        <v>0.28496503496503495</v>
      </c>
      <c r="AZ304" s="116">
        <f t="shared" si="570"/>
        <v>-6.8713450292397657E-2</v>
      </c>
      <c r="BA304" s="117">
        <f t="shared" si="570"/>
        <v>0.20967741935483872</v>
      </c>
      <c r="BB304" s="117">
        <f t="shared" si="570"/>
        <v>-4.7390841320553781E-2</v>
      </c>
      <c r="BC304" s="149">
        <f t="shared" si="570"/>
        <v>0.18503118503118504</v>
      </c>
      <c r="BD304" s="118">
        <f t="shared" si="570"/>
        <v>-0.15572715572715573</v>
      </c>
      <c r="BE304" s="116">
        <f t="shared" si="570"/>
        <v>0.88073394495412849</v>
      </c>
      <c r="BF304" s="117">
        <f t="shared" si="570"/>
        <v>0.25360384410037373</v>
      </c>
      <c r="BG304" s="117">
        <f t="shared" si="570"/>
        <v>6.1488673139158574E-2</v>
      </c>
      <c r="BH304" s="149">
        <f t="shared" si="570"/>
        <v>0.14678326046221113</v>
      </c>
      <c r="BI304" s="118">
        <f t="shared" si="570"/>
        <v>0.1423754215061821</v>
      </c>
      <c r="BJ304" s="116">
        <f>+BJ302/(BJ106+BJ115)</f>
        <v>0.3202416918429003</v>
      </c>
      <c r="BK304" s="117">
        <f t="shared" si="570"/>
        <v>0.48401826484018262</v>
      </c>
      <c r="BL304" s="117">
        <f t="shared" si="570"/>
        <v>0.20883534136546184</v>
      </c>
      <c r="BM304" s="117">
        <f t="shared" ref="BM304:BN304" si="571">+BM302/(BM106+BM115)</f>
        <v>0.13833992094861661</v>
      </c>
      <c r="BN304" s="118">
        <f t="shared" si="571"/>
        <v>0.23298284449363585</v>
      </c>
      <c r="BO304" s="116">
        <f>+BO302/(BO106+BO115)</f>
        <v>0.46520146520146521</v>
      </c>
      <c r="BP304" s="117">
        <f t="shared" si="570"/>
        <v>0.1821933003509652</v>
      </c>
      <c r="BQ304" s="117">
        <f t="shared" si="570"/>
        <v>0.22136289846180116</v>
      </c>
      <c r="BR304" s="149">
        <f t="shared" si="570"/>
        <v>0.18945494173456828</v>
      </c>
      <c r="BS304" s="118">
        <f t="shared" si="570"/>
        <v>0.2297283760083387</v>
      </c>
      <c r="BT304" s="116">
        <f>BO304</f>
        <v>0.46520146520146521</v>
      </c>
      <c r="BU304" s="117">
        <f t="shared" si="570"/>
        <v>0.27971039755484906</v>
      </c>
      <c r="BV304" s="117">
        <f t="shared" si="570"/>
        <v>0.33820910090449458</v>
      </c>
      <c r="BW304" s="149">
        <f t="shared" si="570"/>
        <v>0.32183499571533769</v>
      </c>
      <c r="BX304" s="118">
        <f t="shared" ref="BX304" si="572">+BX302/(BX106+BX115)</f>
        <v>0.33947214342392673</v>
      </c>
      <c r="BY304" s="639">
        <f>+BX304</f>
        <v>0.33947214342392673</v>
      </c>
      <c r="BZ304" s="639">
        <f>+BY304</f>
        <v>0.33947214342392673</v>
      </c>
      <c r="CA304" s="639">
        <f>+BZ304</f>
        <v>0.33947214342392673</v>
      </c>
      <c r="CD304" s="370"/>
      <c r="CE304" s="530"/>
      <c r="CF304" s="530"/>
      <c r="CG304" s="530"/>
      <c r="CH304" s="530"/>
      <c r="CI304" s="530"/>
      <c r="CJ304" s="530"/>
      <c r="CK304" s="530"/>
      <c r="CL304" s="530"/>
      <c r="CM304" s="530"/>
      <c r="CN304" s="530"/>
      <c r="CO304" s="530"/>
      <c r="CP304" s="530"/>
      <c r="CQ304" s="530"/>
      <c r="CR304" s="530"/>
      <c r="CS304" s="530"/>
      <c r="CT304" s="530"/>
      <c r="CU304" s="530"/>
      <c r="CV304" s="530"/>
      <c r="CW304" s="530"/>
      <c r="CX304" s="530"/>
      <c r="CY304" s="530"/>
      <c r="CZ304" s="530"/>
      <c r="DA304" s="58"/>
      <c r="DB304" s="531"/>
    </row>
    <row r="305" spans="1:112" ht="12" customHeight="1">
      <c r="A305" s="42"/>
      <c r="B305" s="54"/>
      <c r="C305" s="118"/>
      <c r="D305" s="118"/>
      <c r="E305" s="118"/>
      <c r="F305" s="118"/>
      <c r="G305" s="117"/>
      <c r="H305" s="117"/>
      <c r="I305" s="117"/>
      <c r="J305" s="117"/>
      <c r="K305" s="118"/>
      <c r="L305" s="122"/>
      <c r="M305" s="122"/>
      <c r="N305" s="122"/>
      <c r="O305" s="122"/>
      <c r="P305" s="118"/>
      <c r="Q305" s="122"/>
      <c r="R305" s="122"/>
      <c r="S305" s="122"/>
      <c r="T305" s="122"/>
      <c r="U305" s="118"/>
      <c r="V305" s="122"/>
      <c r="W305" s="122"/>
      <c r="X305" s="122"/>
      <c r="Y305" s="122"/>
      <c r="Z305" s="118"/>
      <c r="AA305" s="122"/>
      <c r="AB305" s="122"/>
      <c r="AC305" s="122"/>
      <c r="AD305" s="122"/>
      <c r="AE305" s="118"/>
      <c r="AF305" s="122"/>
      <c r="AG305" s="122"/>
      <c r="AH305" s="122"/>
      <c r="AI305" s="122"/>
      <c r="AJ305" s="118"/>
      <c r="AK305" s="122"/>
      <c r="AL305" s="122"/>
      <c r="AM305" s="122"/>
      <c r="AN305" s="122"/>
      <c r="AO305" s="118"/>
      <c r="AP305" s="490"/>
      <c r="AQ305" s="490"/>
      <c r="AR305" s="490"/>
      <c r="AS305" s="122"/>
      <c r="AT305" s="118"/>
      <c r="AU305" s="490"/>
      <c r="AV305" s="490"/>
      <c r="AW305" s="490"/>
      <c r="AX305" s="259"/>
      <c r="AY305" s="118"/>
      <c r="AZ305" s="625"/>
      <c r="BA305" s="625"/>
      <c r="BB305" s="625"/>
      <c r="BC305" s="259"/>
      <c r="BD305" s="118"/>
      <c r="BE305" s="625"/>
      <c r="BF305" s="625"/>
      <c r="BG305" s="625"/>
      <c r="BH305" s="259"/>
      <c r="BI305" s="118"/>
      <c r="BJ305" s="625"/>
      <c r="BK305" s="625"/>
      <c r="BL305" s="625"/>
      <c r="BM305" s="625"/>
      <c r="BN305" s="118"/>
      <c r="BO305" s="625"/>
      <c r="BP305" s="625"/>
      <c r="BQ305" s="625"/>
      <c r="BR305" s="625"/>
      <c r="BS305" s="118"/>
      <c r="BT305" s="625"/>
      <c r="BU305" s="625"/>
      <c r="BV305" s="625"/>
      <c r="BW305" s="625"/>
      <c r="BX305" s="118"/>
      <c r="BY305" s="491"/>
      <c r="BZ305" s="491"/>
      <c r="CA305" s="491"/>
      <c r="CD305" s="370"/>
      <c r="CE305" s="530"/>
      <c r="CF305" s="530"/>
      <c r="CG305" s="530"/>
      <c r="CH305" s="530"/>
      <c r="CI305" s="530"/>
      <c r="CJ305" s="530"/>
      <c r="CK305" s="530"/>
      <c r="CL305" s="530"/>
      <c r="CM305" s="530"/>
      <c r="CN305" s="530"/>
      <c r="CO305" s="530"/>
      <c r="CP305" s="530"/>
      <c r="CQ305" s="530"/>
      <c r="CR305" s="530"/>
      <c r="CS305" s="530"/>
      <c r="CT305" s="530"/>
      <c r="CU305" s="530"/>
      <c r="CV305" s="530"/>
      <c r="CW305" s="530"/>
      <c r="CX305" s="530"/>
      <c r="CY305" s="530"/>
      <c r="CZ305" s="530"/>
      <c r="DA305" s="58"/>
      <c r="DB305" s="531"/>
    </row>
    <row r="306" spans="1:112" ht="12" customHeight="1">
      <c r="A306" s="441" t="s">
        <v>246</v>
      </c>
      <c r="B306" s="54"/>
      <c r="C306" s="118"/>
      <c r="D306" s="118"/>
      <c r="E306" s="118"/>
      <c r="F306" s="118"/>
      <c r="G306" s="117"/>
      <c r="H306" s="117"/>
      <c r="I306" s="117"/>
      <c r="J306" s="117"/>
      <c r="K306" s="118"/>
      <c r="L306" s="122"/>
      <c r="M306" s="122"/>
      <c r="N306" s="122"/>
      <c r="O306" s="122"/>
      <c r="P306" s="118"/>
      <c r="Q306" s="122"/>
      <c r="R306" s="122"/>
      <c r="S306" s="122"/>
      <c r="T306" s="122"/>
      <c r="U306" s="118"/>
      <c r="V306" s="122"/>
      <c r="W306" s="122"/>
      <c r="X306" s="122"/>
      <c r="Y306" s="122"/>
      <c r="Z306" s="118"/>
      <c r="AA306" s="122"/>
      <c r="AB306" s="122"/>
      <c r="AC306" s="122"/>
      <c r="AD306" s="122"/>
      <c r="AE306" s="118"/>
      <c r="AF306" s="122"/>
      <c r="AG306" s="122"/>
      <c r="AH306" s="122"/>
      <c r="AI306" s="122"/>
      <c r="AJ306" s="118"/>
      <c r="AK306" s="122"/>
      <c r="AL306" s="122"/>
      <c r="AM306" s="122"/>
      <c r="AN306" s="122"/>
      <c r="AO306" s="118"/>
      <c r="AP306" s="490"/>
      <c r="AQ306" s="490"/>
      <c r="AR306" s="490"/>
      <c r="AS306" s="122"/>
      <c r="AT306" s="118"/>
      <c r="AU306" s="490"/>
      <c r="AV306" s="490"/>
      <c r="AW306" s="490"/>
      <c r="AX306" s="259"/>
      <c r="AY306" s="118"/>
      <c r="AZ306" s="625"/>
      <c r="BA306" s="625"/>
      <c r="BB306" s="625"/>
      <c r="BC306" s="259"/>
      <c r="BD306" s="118"/>
      <c r="BE306" s="626"/>
      <c r="BF306" s="625"/>
      <c r="BG306" s="625"/>
      <c r="BH306" s="259"/>
      <c r="BI306" s="118"/>
      <c r="BJ306" s="626"/>
      <c r="BK306" s="625"/>
      <c r="BL306" s="625"/>
      <c r="BM306" s="625"/>
      <c r="BN306" s="118"/>
      <c r="BO306" s="626"/>
      <c r="BP306" s="625"/>
      <c r="BQ306" s="625"/>
      <c r="BR306" s="625"/>
      <c r="BS306" s="118"/>
      <c r="BT306" s="626"/>
      <c r="BU306" s="625"/>
      <c r="BV306" s="625"/>
      <c r="BW306" s="625"/>
      <c r="BX306" s="118"/>
      <c r="BY306" s="491"/>
      <c r="BZ306" s="491"/>
      <c r="CA306" s="491"/>
      <c r="CD306" s="370"/>
      <c r="CE306" s="530"/>
      <c r="CF306" s="530"/>
      <c r="CG306" s="530"/>
      <c r="CH306" s="530"/>
      <c r="CI306" s="530"/>
      <c r="CJ306" s="530"/>
      <c r="CK306" s="530"/>
      <c r="CL306" s="530"/>
      <c r="CM306" s="530"/>
      <c r="CN306" s="530"/>
      <c r="CO306" s="530"/>
      <c r="CP306" s="530"/>
      <c r="CQ306" s="530"/>
      <c r="CR306" s="530"/>
      <c r="CS306" s="530"/>
      <c r="CT306" s="530"/>
      <c r="CU306" s="530"/>
      <c r="CV306" s="530"/>
      <c r="CW306" s="530"/>
      <c r="CX306" s="530"/>
      <c r="CY306" s="530"/>
      <c r="CZ306" s="530"/>
      <c r="DA306" s="58"/>
      <c r="DB306" s="531"/>
    </row>
    <row r="307" spans="1:112" ht="12" customHeight="1">
      <c r="A307" s="42" t="s">
        <v>247</v>
      </c>
      <c r="B307" s="54"/>
      <c r="C307" s="118"/>
      <c r="D307" s="118"/>
      <c r="E307" s="118"/>
      <c r="F307" s="118"/>
      <c r="G307" s="117"/>
      <c r="H307" s="117"/>
      <c r="I307" s="117"/>
      <c r="J307" s="117"/>
      <c r="K307" s="118"/>
      <c r="L307" s="122"/>
      <c r="M307" s="122"/>
      <c r="N307" s="122"/>
      <c r="O307" s="122"/>
      <c r="P307" s="118"/>
      <c r="Q307" s="122"/>
      <c r="R307" s="122"/>
      <c r="S307" s="122"/>
      <c r="T307" s="122"/>
      <c r="U307" s="118"/>
      <c r="V307" s="122"/>
      <c r="W307" s="122"/>
      <c r="X307" s="122"/>
      <c r="Y307" s="122"/>
      <c r="Z307" s="118"/>
      <c r="AA307" s="122"/>
      <c r="AB307" s="122"/>
      <c r="AC307" s="122"/>
      <c r="AD307" s="122"/>
      <c r="AE307" s="118"/>
      <c r="AF307" s="122"/>
      <c r="AG307" s="122"/>
      <c r="AH307" s="122"/>
      <c r="AI307" s="122"/>
      <c r="AJ307" s="118"/>
      <c r="AK307" s="122"/>
      <c r="AL307" s="122"/>
      <c r="AM307" s="122"/>
      <c r="AN307" s="122"/>
      <c r="AO307" s="118"/>
      <c r="AP307" s="490"/>
      <c r="AQ307" s="490"/>
      <c r="AR307" s="490"/>
      <c r="AS307" s="122"/>
      <c r="AT307" s="118"/>
      <c r="AU307" s="407">
        <v>47.8</v>
      </c>
      <c r="AV307" s="407">
        <v>45.6</v>
      </c>
      <c r="AW307" s="407">
        <v>45.6</v>
      </c>
      <c r="AX307" s="407">
        <v>45.6</v>
      </c>
      <c r="AY307" s="79">
        <v>45.6</v>
      </c>
      <c r="AZ307" s="429">
        <v>44.5</v>
      </c>
      <c r="BA307" s="429">
        <v>42.9</v>
      </c>
      <c r="BB307" s="429">
        <v>40.6</v>
      </c>
      <c r="BC307" s="429">
        <v>35</v>
      </c>
      <c r="BD307" s="640"/>
      <c r="BE307" s="2194">
        <v>33.299999999999997</v>
      </c>
      <c r="BF307" s="2149">
        <v>31.9</v>
      </c>
      <c r="BG307" s="2149">
        <v>26.6</v>
      </c>
      <c r="BH307" s="1391">
        <f>+BG307</f>
        <v>26.6</v>
      </c>
      <c r="BI307" s="118"/>
      <c r="BJ307" s="2194">
        <v>24.2</v>
      </c>
      <c r="BK307" s="2149">
        <v>23.2</v>
      </c>
      <c r="BL307" s="2167">
        <v>20.399999999999999</v>
      </c>
      <c r="BM307" s="2167">
        <v>19</v>
      </c>
      <c r="BN307" s="118"/>
      <c r="BO307" s="392">
        <v>14</v>
      </c>
      <c r="BP307" s="625"/>
      <c r="BQ307" s="625"/>
      <c r="BR307" s="625"/>
      <c r="BS307" s="118"/>
      <c r="BT307" s="625"/>
      <c r="BU307" s="625"/>
      <c r="BV307" s="625"/>
      <c r="BW307" s="625"/>
      <c r="BX307" s="118"/>
      <c r="BY307" s="491"/>
      <c r="BZ307" s="491"/>
      <c r="CA307" s="491"/>
      <c r="CD307" s="370"/>
      <c r="CE307" s="530"/>
      <c r="CF307" s="530"/>
      <c r="CG307" s="530"/>
      <c r="CH307" s="530"/>
      <c r="CI307" s="530"/>
      <c r="CJ307" s="530"/>
      <c r="CK307" s="530"/>
      <c r="CL307" s="530"/>
      <c r="CM307" s="530"/>
      <c r="CN307" s="530"/>
      <c r="CO307" s="530"/>
      <c r="CP307" s="530"/>
      <c r="CQ307" s="530"/>
      <c r="CR307" s="530"/>
      <c r="CS307" s="530"/>
      <c r="CT307" s="530"/>
      <c r="CU307" s="530"/>
      <c r="CV307" s="530"/>
      <c r="CW307" s="530"/>
      <c r="CX307" s="530"/>
      <c r="CY307" s="530"/>
      <c r="CZ307" s="530"/>
      <c r="DA307" s="58"/>
      <c r="DB307" s="531"/>
    </row>
    <row r="308" spans="1:112" ht="12" customHeight="1">
      <c r="A308" s="42" t="s">
        <v>246</v>
      </c>
      <c r="B308" s="54"/>
      <c r="C308" s="118"/>
      <c r="D308" s="118"/>
      <c r="E308" s="118"/>
      <c r="F308" s="118"/>
      <c r="G308" s="117"/>
      <c r="H308" s="117"/>
      <c r="I308" s="117"/>
      <c r="J308" s="117"/>
      <c r="K308" s="118"/>
      <c r="L308" s="122"/>
      <c r="M308" s="122"/>
      <c r="N308" s="122"/>
      <c r="O308" s="122"/>
      <c r="P308" s="118"/>
      <c r="Q308" s="122"/>
      <c r="R308" s="122"/>
      <c r="S308" s="122"/>
      <c r="T308" s="122"/>
      <c r="U308" s="118"/>
      <c r="V308" s="122"/>
      <c r="W308" s="122"/>
      <c r="X308" s="122"/>
      <c r="Y308" s="122"/>
      <c r="Z308" s="118"/>
      <c r="AA308" s="122"/>
      <c r="AB308" s="122"/>
      <c r="AC308" s="122"/>
      <c r="AD308" s="122"/>
      <c r="AE308" s="118"/>
      <c r="AF308" s="122"/>
      <c r="AG308" s="122"/>
      <c r="AH308" s="122"/>
      <c r="AI308" s="122"/>
      <c r="AJ308" s="118"/>
      <c r="AK308" s="122"/>
      <c r="AL308" s="122"/>
      <c r="AM308" s="122"/>
      <c r="AN308" s="122"/>
      <c r="AO308" s="118"/>
      <c r="AP308" s="490"/>
      <c r="AQ308" s="490"/>
      <c r="AR308" s="490"/>
      <c r="AS308" s="122"/>
      <c r="AT308" s="118"/>
      <c r="AU308" s="407">
        <f>-AU121</f>
        <v>164</v>
      </c>
      <c r="AV308" s="407">
        <f>-AV121</f>
        <v>198</v>
      </c>
      <c r="AW308" s="407">
        <f>-AW121</f>
        <v>0</v>
      </c>
      <c r="AX308" s="407">
        <f>-AX121</f>
        <v>0</v>
      </c>
      <c r="AY308" s="118"/>
      <c r="AZ308" s="407">
        <f>-AZ121</f>
        <v>110</v>
      </c>
      <c r="BA308" s="407">
        <f>-BA121</f>
        <v>164</v>
      </c>
      <c r="BB308" s="407">
        <f>-BB121</f>
        <v>227</v>
      </c>
      <c r="BC308" s="407">
        <f>-BC121</f>
        <v>473</v>
      </c>
      <c r="BD308" s="118"/>
      <c r="BE308" s="2148">
        <f>-BE121</f>
        <v>226</v>
      </c>
      <c r="BF308" s="2148">
        <f>-BF121</f>
        <v>147</v>
      </c>
      <c r="BG308" s="2148">
        <f>-BG121</f>
        <v>750</v>
      </c>
      <c r="BH308" s="2148">
        <f>-BH121</f>
        <v>0</v>
      </c>
      <c r="BI308" s="118"/>
      <c r="BJ308" s="2148">
        <f>-BJ121</f>
        <v>201</v>
      </c>
      <c r="BK308" s="2148">
        <f>-BK121</f>
        <v>145</v>
      </c>
      <c r="BL308" s="2148">
        <f>-BL121</f>
        <v>500</v>
      </c>
      <c r="BM308" s="2148">
        <f>-BM121</f>
        <v>155</v>
      </c>
      <c r="BN308" s="118"/>
      <c r="BO308" s="2148">
        <f>-BO121</f>
        <v>1100</v>
      </c>
      <c r="BP308" s="625"/>
      <c r="BQ308" s="625"/>
      <c r="BR308" s="625"/>
      <c r="BS308" s="118"/>
      <c r="BT308" s="625"/>
      <c r="BU308" s="625"/>
      <c r="BV308" s="625"/>
      <c r="BW308" s="625"/>
      <c r="BX308" s="118"/>
      <c r="BY308" s="491"/>
      <c r="BZ308" s="491"/>
      <c r="CA308" s="491"/>
      <c r="CD308" s="370"/>
      <c r="CE308" s="530"/>
      <c r="CF308" s="530"/>
      <c r="CG308" s="530"/>
      <c r="CH308" s="530"/>
      <c r="CI308" s="530"/>
      <c r="CJ308" s="530"/>
      <c r="CK308" s="530"/>
      <c r="CL308" s="530"/>
      <c r="CM308" s="530"/>
      <c r="CN308" s="530"/>
      <c r="CO308" s="530"/>
      <c r="CP308" s="530"/>
      <c r="CQ308" s="530"/>
      <c r="CR308" s="530"/>
      <c r="CS308" s="530"/>
      <c r="CT308" s="530"/>
      <c r="CU308" s="530"/>
      <c r="CV308" s="530"/>
      <c r="CW308" s="530"/>
      <c r="CX308" s="530"/>
      <c r="CY308" s="530"/>
      <c r="CZ308" s="530"/>
      <c r="DA308" s="58"/>
      <c r="DB308" s="531"/>
    </row>
    <row r="309" spans="1:112" ht="12" customHeight="1">
      <c r="A309" s="42" t="s">
        <v>248</v>
      </c>
      <c r="B309" s="54"/>
      <c r="C309" s="118"/>
      <c r="D309" s="118"/>
      <c r="E309" s="118"/>
      <c r="F309" s="118"/>
      <c r="G309" s="117"/>
      <c r="H309" s="117"/>
      <c r="I309" s="117"/>
      <c r="J309" s="117"/>
      <c r="K309" s="118"/>
      <c r="L309" s="122"/>
      <c r="M309" s="122"/>
      <c r="N309" s="122"/>
      <c r="O309" s="122"/>
      <c r="P309" s="118"/>
      <c r="Q309" s="122"/>
      <c r="R309" s="122"/>
      <c r="S309" s="122"/>
      <c r="T309" s="122"/>
      <c r="U309" s="118"/>
      <c r="V309" s="122"/>
      <c r="W309" s="122"/>
      <c r="X309" s="122"/>
      <c r="Y309" s="122"/>
      <c r="Z309" s="118"/>
      <c r="AA309" s="122"/>
      <c r="AB309" s="122"/>
      <c r="AC309" s="122"/>
      <c r="AD309" s="122"/>
      <c r="AE309" s="118"/>
      <c r="AF309" s="122"/>
      <c r="AG309" s="122"/>
      <c r="AH309" s="122"/>
      <c r="AI309" s="122"/>
      <c r="AJ309" s="118"/>
      <c r="AK309" s="122"/>
      <c r="AL309" s="122"/>
      <c r="AM309" s="122"/>
      <c r="AN309" s="122"/>
      <c r="AO309" s="118"/>
      <c r="AP309" s="490"/>
      <c r="AQ309" s="490"/>
      <c r="AR309" s="490"/>
      <c r="AS309" s="122"/>
      <c r="AT309" s="118"/>
      <c r="AU309" s="1392">
        <f>+AU308/AU310</f>
        <v>74.545454545454533</v>
      </c>
      <c r="AV309" s="1392">
        <f>+AV308/AV310</f>
        <v>89.999999999999986</v>
      </c>
      <c r="AW309" s="1393" t="s">
        <v>249</v>
      </c>
      <c r="AX309" s="1393" t="s">
        <v>249</v>
      </c>
      <c r="AY309" s="118"/>
      <c r="AZ309" s="1392">
        <f>+AZ308/AZ310</f>
        <v>99.999999999999986</v>
      </c>
      <c r="BA309" s="1392">
        <v>104.82</v>
      </c>
      <c r="BB309" s="1392">
        <v>99.01</v>
      </c>
      <c r="BC309" s="1392">
        <f>+BC308/BC310</f>
        <v>94.6</v>
      </c>
      <c r="BD309" s="118"/>
      <c r="BE309" s="1392">
        <f>+BE308/BE310</f>
        <v>102.72727272727272</v>
      </c>
      <c r="BF309" s="1392">
        <f>+BF308/BF310</f>
        <v>105</v>
      </c>
      <c r="BG309" s="1392">
        <v>124.89</v>
      </c>
      <c r="BH309" s="1394"/>
      <c r="BI309" s="118"/>
      <c r="BJ309" s="2188">
        <v>129.97</v>
      </c>
      <c r="BK309" s="2188">
        <v>137.49</v>
      </c>
      <c r="BL309" s="625"/>
      <c r="BM309" s="2244">
        <v>161.77000000000001</v>
      </c>
      <c r="BN309" s="118"/>
      <c r="BO309" s="2265">
        <v>178.11</v>
      </c>
      <c r="BP309" s="625"/>
      <c r="BQ309" s="625"/>
      <c r="BR309" s="625"/>
      <c r="BS309" s="118"/>
      <c r="BT309" s="625"/>
      <c r="BU309" s="625"/>
      <c r="BV309" s="625"/>
      <c r="BW309" s="625"/>
      <c r="BX309" s="118"/>
      <c r="BY309" s="491"/>
      <c r="BZ309" s="491"/>
      <c r="CA309" s="491"/>
      <c r="CD309" s="370"/>
      <c r="CE309" s="530"/>
      <c r="CF309" s="530"/>
      <c r="CG309" s="530"/>
      <c r="CH309" s="530"/>
      <c r="CI309" s="530"/>
      <c r="CJ309" s="530"/>
      <c r="CK309" s="530"/>
      <c r="CL309" s="530"/>
      <c r="CM309" s="530"/>
      <c r="CN309" s="530"/>
      <c r="CO309" s="530"/>
      <c r="CP309" s="530"/>
      <c r="CQ309" s="530"/>
      <c r="CR309" s="530"/>
      <c r="CS309" s="530"/>
      <c r="CT309" s="530"/>
      <c r="CU309" s="530"/>
      <c r="CV309" s="530"/>
      <c r="CW309" s="530"/>
      <c r="CX309" s="530"/>
      <c r="CY309" s="530"/>
      <c r="CZ309" s="530"/>
      <c r="DA309" s="58"/>
      <c r="DB309" s="531"/>
    </row>
    <row r="310" spans="1:112" ht="12" customHeight="1">
      <c r="A310" s="42" t="s">
        <v>250</v>
      </c>
      <c r="B310" s="54"/>
      <c r="C310" s="118"/>
      <c r="D310" s="118"/>
      <c r="E310" s="118"/>
      <c r="F310" s="118"/>
      <c r="G310" s="117"/>
      <c r="H310" s="117"/>
      <c r="I310" s="117"/>
      <c r="J310" s="117"/>
      <c r="K310" s="118"/>
      <c r="L310" s="122"/>
      <c r="M310" s="122"/>
      <c r="N310" s="122"/>
      <c r="O310" s="122"/>
      <c r="P310" s="118"/>
      <c r="Q310" s="122"/>
      <c r="R310" s="122"/>
      <c r="S310" s="122"/>
      <c r="T310" s="122"/>
      <c r="U310" s="118"/>
      <c r="V310" s="122"/>
      <c r="W310" s="122"/>
      <c r="X310" s="122"/>
      <c r="Y310" s="122"/>
      <c r="Z310" s="118"/>
      <c r="AA310" s="122"/>
      <c r="AB310" s="122"/>
      <c r="AC310" s="122"/>
      <c r="AD310" s="122"/>
      <c r="AE310" s="118"/>
      <c r="AF310" s="122"/>
      <c r="AG310" s="122"/>
      <c r="AH310" s="122"/>
      <c r="AI310" s="122"/>
      <c r="AJ310" s="118"/>
      <c r="AK310" s="122"/>
      <c r="AL310" s="122"/>
      <c r="AM310" s="122"/>
      <c r="AN310" s="122"/>
      <c r="AO310" s="118"/>
      <c r="AP310" s="490"/>
      <c r="AQ310" s="490"/>
      <c r="AR310" s="490"/>
      <c r="AS310" s="122"/>
      <c r="AT310" s="118"/>
      <c r="AU310" s="407">
        <v>2.2000000000000002</v>
      </c>
      <c r="AV310" s="407">
        <v>2.2000000000000002</v>
      </c>
      <c r="AW310" s="407">
        <v>0</v>
      </c>
      <c r="AX310" s="259"/>
      <c r="AY310" s="118"/>
      <c r="AZ310" s="1391">
        <v>1.1000000000000001</v>
      </c>
      <c r="BA310" s="1391">
        <v>1.6</v>
      </c>
      <c r="BB310" s="1391">
        <v>2.2999999999999998</v>
      </c>
      <c r="BC310" s="1391">
        <v>5</v>
      </c>
      <c r="BD310" s="1395"/>
      <c r="BE310" s="2149">
        <v>2.2000000000000002</v>
      </c>
      <c r="BF310" s="2149">
        <v>1.4</v>
      </c>
      <c r="BG310" s="2149">
        <v>5.3</v>
      </c>
      <c r="BH310" s="1391"/>
      <c r="BI310" s="118"/>
      <c r="BJ310" s="1391">
        <f>BJ308/BJ309</f>
        <v>1.5465107332461336</v>
      </c>
      <c r="BK310" s="1391">
        <f>BK308/BK309</f>
        <v>1.0546221543384973</v>
      </c>
      <c r="BL310" s="2149">
        <v>2.8</v>
      </c>
      <c r="BM310" s="392">
        <v>1.4111640000000001</v>
      </c>
      <c r="BN310" s="118"/>
      <c r="BO310" s="392">
        <v>5</v>
      </c>
      <c r="BP310" s="625"/>
      <c r="BQ310" s="625"/>
      <c r="BR310" s="625"/>
      <c r="BS310" s="118"/>
      <c r="BT310" s="625"/>
      <c r="BU310" s="625"/>
      <c r="BV310" s="625"/>
      <c r="BW310" s="625"/>
      <c r="BX310" s="118"/>
      <c r="BY310" s="491"/>
      <c r="BZ310" s="491"/>
      <c r="CA310" s="491"/>
      <c r="CD310" s="370"/>
      <c r="CE310" s="530"/>
      <c r="CF310" s="530"/>
      <c r="CG310" s="530"/>
      <c r="CH310" s="530"/>
      <c r="CI310" s="530"/>
      <c r="CJ310" s="530"/>
      <c r="CK310" s="530"/>
      <c r="CL310" s="530"/>
      <c r="CM310" s="530"/>
      <c r="CN310" s="530"/>
      <c r="CO310" s="530"/>
      <c r="CP310" s="530"/>
      <c r="CQ310" s="530"/>
      <c r="CR310" s="530"/>
      <c r="CS310" s="530"/>
      <c r="CT310" s="530"/>
      <c r="CU310" s="530"/>
      <c r="CV310" s="530"/>
      <c r="CW310" s="530"/>
      <c r="CX310" s="530"/>
      <c r="CY310" s="530"/>
      <c r="CZ310" s="530"/>
      <c r="DA310" s="58"/>
      <c r="DB310" s="531"/>
    </row>
    <row r="311" spans="1:112" s="82" customFormat="1" ht="12" customHeight="1">
      <c r="A311" s="390" t="s">
        <v>251</v>
      </c>
      <c r="B311" s="641"/>
      <c r="C311" s="79">
        <f t="shared" ref="C311:J311" si="573">IF(ISERROR(C312-B312),"NM",(C312-B312))</f>
        <v>-1.3858099999999922</v>
      </c>
      <c r="D311" s="79">
        <f t="shared" si="573"/>
        <v>-1.4363209999999924</v>
      </c>
      <c r="E311" s="79">
        <f t="shared" si="573"/>
        <v>189.23071200000004</v>
      </c>
      <c r="F311" s="79">
        <f t="shared" si="573"/>
        <v>-6.9288090000000011</v>
      </c>
      <c r="G311" s="251">
        <f t="shared" si="573"/>
        <v>-14.898109000000034</v>
      </c>
      <c r="H311" s="86">
        <f t="shared" si="573"/>
        <v>-5.9000000000000341</v>
      </c>
      <c r="I311" s="86">
        <f t="shared" si="573"/>
        <v>2.3000000000000114</v>
      </c>
      <c r="J311" s="86">
        <f t="shared" si="573"/>
        <v>-0.24117799999993395</v>
      </c>
      <c r="K311" s="79">
        <f>IF(ISERROR(K312-F312),"NM",(K312-F312))</f>
        <v>-18.73928699999999</v>
      </c>
      <c r="L311" s="86">
        <f>IF(ISERROR(L312-K312),"NM",(L312-K312))</f>
        <v>-10.758822000000066</v>
      </c>
      <c r="M311" s="86">
        <f>IF(ISERROR(M312-L312),"NM",(M312-L312))</f>
        <v>-4.3000000000000114</v>
      </c>
      <c r="N311" s="86">
        <f>IF(ISERROR(N312-M312),"NM",(N312-M312))</f>
        <v>-9.8999999999999773</v>
      </c>
      <c r="O311" s="86">
        <f>IF(ISERROR(O312-N312),"NM",(O312-N312))</f>
        <v>-6.6323539999999639</v>
      </c>
      <c r="P311" s="79">
        <f>IF(ISERROR(P312-K312),"NM",(P312-K312))</f>
        <v>-31.591176000000019</v>
      </c>
      <c r="Q311" s="86">
        <f>IF(ISERROR(Q312-P312),"NM",(Q312-P312))</f>
        <v>-1.0676460000000247</v>
      </c>
      <c r="R311" s="86">
        <f>IF(ISERROR(R312-Q312),"NM",(R312-Q312))</f>
        <v>-3.6999999999999886</v>
      </c>
      <c r="S311" s="86">
        <f>IF(ISERROR(S312-R312),"NM",(S312-R312))</f>
        <v>-3.1000000000000227</v>
      </c>
      <c r="T311" s="86">
        <f>IF(ISERROR(T312-S312),"NM",(T312-S312))</f>
        <v>-9.4572999999968488E-2</v>
      </c>
      <c r="U311" s="79">
        <f>IF(ISERROR(U312-P312),"NM",(U312-P312))</f>
        <v>-7.9622190000000046</v>
      </c>
      <c r="V311" s="86">
        <f>IF(ISERROR(V312-U312),"NM",(V312-U312))</f>
        <v>9.4572999999968488E-2</v>
      </c>
      <c r="W311" s="86">
        <f>IF(ISERROR(W312-V312),"NM",(W312-V312))</f>
        <v>0.30000000000001137</v>
      </c>
      <c r="X311" s="86">
        <f>IF(ISERROR(X312-W312),"NM",(X312-W312))</f>
        <v>9.9999999999965894E-2</v>
      </c>
      <c r="Y311" s="86">
        <f>IF(ISERROR(Y312-X312),"NM",(Y312-X312))</f>
        <v>0.44073900000006461</v>
      </c>
      <c r="Z311" s="79">
        <f>IF(ISERROR(Z312-U312),"NM",(Z312-U312))</f>
        <v>0.93531200000001036</v>
      </c>
      <c r="AA311" s="642" t="str">
        <f>IF(ISERROR(AA312-Z312),"NM",(AA312-Z312))</f>
        <v>NM</v>
      </c>
      <c r="AB311" s="642" t="str">
        <f>IF(ISERROR(AB312-AA312),"NM",(AB312-AA312))</f>
        <v>NM</v>
      </c>
      <c r="AC311" s="642" t="str">
        <f>IF(ISERROR(AC312-AB312),"NM",(AC312-AB312))</f>
        <v>NM</v>
      </c>
      <c r="AD311" s="642">
        <f>IF(ISERROR(AD312-AC312),"NM",(AD312-AC312))</f>
        <v>0.62167200000004641</v>
      </c>
      <c r="AE311" s="79">
        <f>IF(ISERROR(AE312-Z312),"NM",(AE312-Z312))</f>
        <v>-7.7190669999999955</v>
      </c>
      <c r="AF311" s="86">
        <f>IF(ISERROR(AF312-AE312),"NM",(AF312-AE312))</f>
        <v>-2.9216720000000578</v>
      </c>
      <c r="AG311" s="86">
        <f>IF(ISERROR(AG312-AF312),"NM",(AG312-AF312))</f>
        <v>-3.3999999999999773</v>
      </c>
      <c r="AH311" s="86">
        <f>IF(ISERROR(AH312-AG312),"NM",(AH312-AG312))</f>
        <v>-7.9000000000000341</v>
      </c>
      <c r="AI311" s="86">
        <f>IF(ISERROR(AI312-AH312),"NM",(AI312-AH312))</f>
        <v>-15.399999999999977</v>
      </c>
      <c r="AJ311" s="79">
        <f>IF(ISERROR(AJ312-AE312),"NM",(AJ312-AE312))</f>
        <v>-29.621672000000046</v>
      </c>
      <c r="AK311" s="86">
        <f>IF(ISERROR(AK312-AJ312),"NM",(AK312-AJ312))</f>
        <v>1.6999999999999886</v>
      </c>
      <c r="AL311" s="86">
        <f>IF(ISERROR(AL312-AK312),"NM",(AL312-AK312))</f>
        <v>0.5</v>
      </c>
      <c r="AM311" s="86">
        <f>IF(ISERROR(AM312-AL312),"NM",(AM312-AL312))</f>
        <v>-2.5</v>
      </c>
      <c r="AN311" s="86">
        <f>IF(ISERROR(AN312-AM312),"NM",(AN312-AM312))</f>
        <v>1.3000000000000114</v>
      </c>
      <c r="AO311" s="79">
        <f>IF(ISERROR(AO312-AJ312),"NM",(AO312-AJ312))</f>
        <v>1</v>
      </c>
      <c r="AP311" s="390">
        <f>IF(ISERROR(AP312-AO312),"NM",(AP312-AO312))</f>
        <v>-4.8999999999999773</v>
      </c>
      <c r="AQ311" s="390">
        <f>IF(ISERROR(AQ312-AP312),"NM",(AQ312-AP312))</f>
        <v>1.0999999999999659</v>
      </c>
      <c r="AR311" s="390">
        <f>IF(ISERROR(AR312-AQ312),"NM",(AR312-AQ312))</f>
        <v>-4.3999999999999773</v>
      </c>
      <c r="AS311" s="86">
        <f>IF(ISERROR(AS312-AR312),"NM",(AS312-AR312))</f>
        <v>0.19999999999998863</v>
      </c>
      <c r="AT311" s="79">
        <f>IF(ISERROR(AT312-AO312),"NM",(AT312-AO312))</f>
        <v>-8</v>
      </c>
      <c r="AU311" s="390">
        <f>IF(ISERROR(AU312-AT312),"NM",(AU312-AT312))</f>
        <v>1.1999999999999886</v>
      </c>
      <c r="AV311" s="390">
        <f>IF(ISERROR(AV312-AU312),"NM",(AV312-AU312))</f>
        <v>-1.3000000000000114</v>
      </c>
      <c r="AW311" s="390">
        <f>IF(ISERROR(AW312-AV312),"NM",(AW312-AV312))</f>
        <v>0.5</v>
      </c>
      <c r="AX311" s="314">
        <f>IF(ISERROR(AX312-AW312),"NM",(AX312-AW312))</f>
        <v>0.60000000000002274</v>
      </c>
      <c r="AY311" s="79">
        <f>IF(ISERROR(AY312-AT312),"NM",(AY312-AT312))</f>
        <v>1</v>
      </c>
      <c r="AZ311" s="314">
        <f>IF(ISERROR(AZ312-AY312),"NM",(AZ312-AY312))</f>
        <v>1.6999999999999886</v>
      </c>
      <c r="BA311" s="314">
        <f>IF(ISERROR(BA312-AZ312),"NM",(BA312-AZ312))</f>
        <v>-1.1999999999999886</v>
      </c>
      <c r="BB311" s="314">
        <f>IF(ISERROR(BB312-BA312),"NM",(BB312-BA312))</f>
        <v>-2.1999999999999886</v>
      </c>
      <c r="BC311" s="314">
        <f>IF(ISERROR(BC312-BB312),"NM",(BC312-BB312))</f>
        <v>-5.1000000000000227</v>
      </c>
      <c r="BD311" s="79">
        <f>IF(ISERROR(BD312-AY312),"NM",(BD312-AY312))</f>
        <v>-6.8000000000000114</v>
      </c>
      <c r="BE311" s="314">
        <f>IF(ISERROR(BE312-BD312),"NM",(BE312-BD312))</f>
        <v>-0.69999999999998863</v>
      </c>
      <c r="BF311" s="314">
        <f>IF(ISERROR(BF312-BE312),"NM",(BF312-BE312))</f>
        <v>-0.60000000000002274</v>
      </c>
      <c r="BG311" s="314">
        <f>IF(ISERROR(BG312-BF312),"NM",(BG312-BF312))</f>
        <v>-4.7999999999999545</v>
      </c>
      <c r="BH311" s="314">
        <f>IF(ISERROR(BH312-BG312),"NM",(BH312-BG312))</f>
        <v>-0.80000000000001137</v>
      </c>
      <c r="BI311" s="79">
        <f>IF(ISERROR(BI312-BD312),"NM",(BI312-BD312))</f>
        <v>-6.8999999999999773</v>
      </c>
      <c r="BJ311" s="314">
        <f>IF(ISERROR(BJ312-BI312),"NM",(BJ312-BI312))</f>
        <v>-0.5</v>
      </c>
      <c r="BK311" s="314">
        <f>IF(ISERROR(BK312-BJ312),"NM",(BK312-BJ312))</f>
        <v>-0.80000000000001137</v>
      </c>
      <c r="BL311" s="314">
        <f>IF(ISERROR(BL312-BK312),"NM",(BL312-BK312))</f>
        <v>-2</v>
      </c>
      <c r="BM311" s="314">
        <f>IF(ISERROR(BM312-BL312),"NM",(BM312-BL312))</f>
        <v>-1.3000000000000114</v>
      </c>
      <c r="BN311" s="79">
        <f>IF(ISERROR(BN312-BI312),"NM",(BN312-BI312))</f>
        <v>-4.6000000000000227</v>
      </c>
      <c r="BO311" s="314">
        <f>IF(ISERROR(BO312-BN312),"NM",(BO312-BN312))</f>
        <v>-4.2999999999999829</v>
      </c>
      <c r="BP311" s="314">
        <f>(BP121+BP122)/BP315+BP313</f>
        <v>-1.4385271032806859</v>
      </c>
      <c r="BQ311" s="314">
        <f>(BQ121+BQ122)/BQ315+BQ313</f>
        <v>-0.85681452620378318</v>
      </c>
      <c r="BR311" s="314">
        <f>(BR121+BR122)/BR315+BR313</f>
        <v>-1.510095532724141</v>
      </c>
      <c r="BS311" s="79">
        <f>IF(ISERROR(BS312-BN312),"NM",(BS312-BN312))</f>
        <v>-8.1054371622085739</v>
      </c>
      <c r="BT311" s="314">
        <f>(BT121+BT122)/BT315+BT313</f>
        <v>-0.88646754411998696</v>
      </c>
      <c r="BU311" s="314">
        <f>(BU121+BU122)/BU315+BU313</f>
        <v>-1.2978000320816967</v>
      </c>
      <c r="BV311" s="314">
        <f>(BV121+BV122)/BV315+BV313</f>
        <v>-0.71910743703643099</v>
      </c>
      <c r="BW311" s="314">
        <f>(BW121+BW122)/BW315+BW313</f>
        <v>-1.3753436172228877</v>
      </c>
      <c r="BX311" s="79">
        <f>IF(ISERROR(BX312-BS312),"NM",(BX312-BS312))</f>
        <v>-4.2787186304610145</v>
      </c>
      <c r="BY311" s="119">
        <f>(BY121+BY122)/BY315+BY313</f>
        <v>-4.1312188571506718</v>
      </c>
      <c r="BZ311" s="119">
        <f>(BZ121+BZ122)/BZ315+BZ313</f>
        <v>-4.1826303978442247</v>
      </c>
      <c r="CA311" s="119">
        <f>(CA121+CA122)/CA315+CA313</f>
        <v>-4.2344826829612723</v>
      </c>
      <c r="CB311" s="470"/>
      <c r="CC311" s="1360"/>
      <c r="CD311" s="251"/>
      <c r="CE311" s="598"/>
      <c r="CF311" s="598"/>
      <c r="CG311" s="598"/>
      <c r="CH311" s="598"/>
      <c r="CI311" s="598"/>
      <c r="CJ311" s="598"/>
      <c r="CK311" s="598"/>
      <c r="CL311" s="598"/>
      <c r="CM311" s="598"/>
      <c r="CN311" s="598"/>
      <c r="CO311" s="598"/>
      <c r="CP311" s="598"/>
      <c r="CQ311" s="598"/>
      <c r="CR311" s="598"/>
      <c r="CS311" s="598"/>
      <c r="CT311" s="598"/>
      <c r="CU311" s="598"/>
      <c r="CV311" s="598"/>
      <c r="CW311" s="598"/>
      <c r="CX311" s="598"/>
      <c r="CY311" s="598"/>
      <c r="CZ311" s="598"/>
      <c r="DA311" s="86"/>
      <c r="DB311" s="599"/>
      <c r="DC311"/>
      <c r="DD311"/>
      <c r="DE311"/>
      <c r="DF311"/>
      <c r="DG311"/>
      <c r="DH311"/>
    </row>
    <row r="312" spans="1:112" ht="12" customHeight="1">
      <c r="A312" s="390" t="s">
        <v>252</v>
      </c>
      <c r="B312" s="2124">
        <f t="shared" ref="B312:AA312" si="574">B66</f>
        <v>193.21833699999999</v>
      </c>
      <c r="C312" s="2124">
        <f t="shared" si="574"/>
        <v>191.832527</v>
      </c>
      <c r="D312" s="2124">
        <f t="shared" si="574"/>
        <v>190.39620600000001</v>
      </c>
      <c r="E312" s="2124">
        <f t="shared" si="574"/>
        <v>379.62691800000005</v>
      </c>
      <c r="F312" s="2124">
        <f t="shared" si="574"/>
        <v>372.69810900000004</v>
      </c>
      <c r="G312" s="2123">
        <f t="shared" si="574"/>
        <v>357.8</v>
      </c>
      <c r="H312" s="2128">
        <f t="shared" si="574"/>
        <v>351.9</v>
      </c>
      <c r="I312" s="2128">
        <f t="shared" si="574"/>
        <v>354.2</v>
      </c>
      <c r="J312" s="2128">
        <f t="shared" si="574"/>
        <v>353.95882200000005</v>
      </c>
      <c r="K312" s="79">
        <f t="shared" si="574"/>
        <v>353.95882200000005</v>
      </c>
      <c r="L312" s="2128">
        <f t="shared" si="574"/>
        <v>343.2</v>
      </c>
      <c r="M312" s="2128">
        <f t="shared" si="574"/>
        <v>338.9</v>
      </c>
      <c r="N312" s="2128">
        <f t="shared" si="574"/>
        <v>329</v>
      </c>
      <c r="O312" s="2128">
        <f t="shared" si="574"/>
        <v>322.36764600000004</v>
      </c>
      <c r="P312" s="79">
        <f t="shared" si="574"/>
        <v>322.36764600000004</v>
      </c>
      <c r="Q312" s="2128">
        <f t="shared" si="574"/>
        <v>321.3</v>
      </c>
      <c r="R312" s="2128">
        <f t="shared" si="574"/>
        <v>317.60000000000002</v>
      </c>
      <c r="S312" s="2128">
        <f t="shared" si="574"/>
        <v>314.5</v>
      </c>
      <c r="T312" s="2128">
        <f t="shared" si="574"/>
        <v>314.40542700000003</v>
      </c>
      <c r="U312" s="79">
        <f t="shared" si="574"/>
        <v>314.40542700000003</v>
      </c>
      <c r="V312" s="2128">
        <f t="shared" si="574"/>
        <v>314.5</v>
      </c>
      <c r="W312" s="2128">
        <f t="shared" si="574"/>
        <v>314.8</v>
      </c>
      <c r="X312" s="2128">
        <f t="shared" si="574"/>
        <v>314.89999999999998</v>
      </c>
      <c r="Y312" s="2128">
        <f t="shared" si="574"/>
        <v>315.34073900000004</v>
      </c>
      <c r="Z312" s="79">
        <f t="shared" si="574"/>
        <v>315.34073900000004</v>
      </c>
      <c r="AA312" s="2150" t="str">
        <f t="shared" si="574"/>
        <v>315.5 </v>
      </c>
      <c r="AB312" s="2150" t="str">
        <f>AA312</f>
        <v>315.5 </v>
      </c>
      <c r="AC312" s="2128">
        <f t="shared" ref="AC312:AI312" si="575">AC66</f>
        <v>307</v>
      </c>
      <c r="AD312" s="2128">
        <f t="shared" si="575"/>
        <v>307.62167200000005</v>
      </c>
      <c r="AE312" s="79">
        <f t="shared" si="575"/>
        <v>307.62167200000005</v>
      </c>
      <c r="AF312" s="2128">
        <f t="shared" si="575"/>
        <v>304.7</v>
      </c>
      <c r="AG312" s="2128">
        <f t="shared" si="575"/>
        <v>301.3</v>
      </c>
      <c r="AH312" s="2128">
        <f t="shared" si="575"/>
        <v>293.39999999999998</v>
      </c>
      <c r="AI312" s="2128">
        <f t="shared" si="575"/>
        <v>278</v>
      </c>
      <c r="AJ312" s="79">
        <f>AI312</f>
        <v>278</v>
      </c>
      <c r="AK312" s="2128">
        <f>AK66</f>
        <v>279.7</v>
      </c>
      <c r="AL312" s="2128">
        <f>AL66</f>
        <v>280.2</v>
      </c>
      <c r="AM312" s="2128">
        <f>AM66</f>
        <v>277.7</v>
      </c>
      <c r="AN312" s="2128">
        <f>AN66</f>
        <v>279</v>
      </c>
      <c r="AO312" s="79">
        <f>AN312</f>
        <v>279</v>
      </c>
      <c r="AP312" s="2141">
        <f>AP66</f>
        <v>274.10000000000002</v>
      </c>
      <c r="AQ312" s="2141">
        <f>AQ66</f>
        <v>275.2</v>
      </c>
      <c r="AR312" s="2141">
        <f>AR66</f>
        <v>270.8</v>
      </c>
      <c r="AS312" s="2128">
        <f>AS66</f>
        <v>271</v>
      </c>
      <c r="AT312" s="79">
        <f>AS312</f>
        <v>271</v>
      </c>
      <c r="AU312" s="2141">
        <f>AU66</f>
        <v>272.2</v>
      </c>
      <c r="AV312" s="2141">
        <f>AV66</f>
        <v>270.89999999999998</v>
      </c>
      <c r="AW312" s="2141">
        <f>AW66</f>
        <v>271.39999999999998</v>
      </c>
      <c r="AX312" s="2141">
        <f>AX66</f>
        <v>272</v>
      </c>
      <c r="AY312" s="79">
        <f>AX312</f>
        <v>272</v>
      </c>
      <c r="AZ312" s="2141">
        <f>AZ66</f>
        <v>273.7</v>
      </c>
      <c r="BA312" s="2141">
        <f>BA66</f>
        <v>272.5</v>
      </c>
      <c r="BB312" s="2141">
        <f>BB66</f>
        <v>270.3</v>
      </c>
      <c r="BC312" s="2141">
        <f>BC66</f>
        <v>265.2</v>
      </c>
      <c r="BD312" s="79">
        <f>BC312</f>
        <v>265.2</v>
      </c>
      <c r="BE312" s="2141">
        <f>BE66</f>
        <v>264.5</v>
      </c>
      <c r="BF312" s="2141">
        <f>BF66</f>
        <v>263.89999999999998</v>
      </c>
      <c r="BG312" s="2141">
        <f>BG66</f>
        <v>259.10000000000002</v>
      </c>
      <c r="BH312" s="2141">
        <f>BH66</f>
        <v>258.3</v>
      </c>
      <c r="BI312" s="79">
        <f>BH312</f>
        <v>258.3</v>
      </c>
      <c r="BJ312" s="2141">
        <f>BJ66</f>
        <v>257.8</v>
      </c>
      <c r="BK312" s="2141">
        <f>BK66</f>
        <v>257</v>
      </c>
      <c r="BL312" s="2141">
        <f>BL66</f>
        <v>255</v>
      </c>
      <c r="BM312" s="2141">
        <f>BM66</f>
        <v>253.7</v>
      </c>
      <c r="BN312" s="79">
        <f>BM312</f>
        <v>253.7</v>
      </c>
      <c r="BO312" s="2141">
        <f>BO66</f>
        <v>249.4</v>
      </c>
      <c r="BP312" s="314">
        <f>+BO312+BP311</f>
        <v>247.96147289671933</v>
      </c>
      <c r="BQ312" s="314">
        <f>+BP312+BQ311</f>
        <v>247.10465837051555</v>
      </c>
      <c r="BR312" s="314">
        <f>+BQ312+BR311</f>
        <v>245.59456283779141</v>
      </c>
      <c r="BS312" s="79">
        <f>BR312</f>
        <v>245.59456283779141</v>
      </c>
      <c r="BT312" s="314">
        <f>+BS312+BT311</f>
        <v>244.70809529367142</v>
      </c>
      <c r="BU312" s="314">
        <f>+BT312+BU311</f>
        <v>243.41029526158971</v>
      </c>
      <c r="BV312" s="314">
        <f>+BU312+BV311</f>
        <v>242.69118782455328</v>
      </c>
      <c r="BW312" s="314">
        <f>+BV312+BW311</f>
        <v>241.3158442073304</v>
      </c>
      <c r="BX312" s="79">
        <f>BW312</f>
        <v>241.3158442073304</v>
      </c>
      <c r="BY312" s="394">
        <f>+BX312+BY311</f>
        <v>237.18462535017972</v>
      </c>
      <c r="BZ312" s="394">
        <f>+BY312+BZ311</f>
        <v>233.00199495233548</v>
      </c>
      <c r="CA312" s="394">
        <f>+BZ312+CA311</f>
        <v>228.76751226937421</v>
      </c>
      <c r="CC312" s="1360"/>
      <c r="CD312" s="251"/>
      <c r="CE312" s="575"/>
      <c r="CF312" s="575"/>
      <c r="CG312" s="575"/>
      <c r="CH312" s="575"/>
      <c r="CI312" s="575"/>
      <c r="CJ312" s="575"/>
      <c r="CK312" s="575"/>
      <c r="CL312" s="575"/>
      <c r="CM312" s="575"/>
      <c r="CN312" s="575"/>
      <c r="CO312" s="575"/>
      <c r="CP312" s="575"/>
      <c r="CQ312" s="575"/>
      <c r="CR312" s="575"/>
      <c r="CS312" s="575"/>
      <c r="CT312" s="575"/>
      <c r="CU312" s="575"/>
      <c r="CV312" s="575"/>
      <c r="CW312" s="575"/>
      <c r="CX312" s="575"/>
      <c r="CY312" s="575"/>
      <c r="CZ312" s="575"/>
      <c r="DA312" s="86"/>
      <c r="DB312" s="576"/>
    </row>
    <row r="313" spans="1:112" s="82" customFormat="1" ht="12" customHeight="1">
      <c r="A313" s="390" t="s">
        <v>253</v>
      </c>
      <c r="B313" s="641"/>
      <c r="C313" s="79"/>
      <c r="D313" s="79"/>
      <c r="E313" s="79"/>
      <c r="F313" s="79"/>
      <c r="G313" s="251"/>
      <c r="H313" s="86"/>
      <c r="I313" s="86"/>
      <c r="J313" s="86"/>
      <c r="K313" s="79"/>
      <c r="L313" s="86"/>
      <c r="M313" s="86"/>
      <c r="N313" s="86"/>
      <c r="O313" s="86"/>
      <c r="P313" s="79"/>
      <c r="Q313" s="86"/>
      <c r="R313" s="86"/>
      <c r="S313" s="86"/>
      <c r="T313" s="86"/>
      <c r="U313" s="79"/>
      <c r="V313" s="86"/>
      <c r="W313" s="86"/>
      <c r="X313" s="86"/>
      <c r="Y313" s="86"/>
      <c r="Z313" s="79"/>
      <c r="AA313" s="642"/>
      <c r="AB313" s="642"/>
      <c r="AC313" s="642"/>
      <c r="AD313" s="642"/>
      <c r="AE313" s="79"/>
      <c r="AF313" s="86"/>
      <c r="AG313" s="86"/>
      <c r="AH313" s="86"/>
      <c r="AI313" s="86"/>
      <c r="AJ313" s="79"/>
      <c r="AK313" s="86"/>
      <c r="AL313" s="86"/>
      <c r="AM313" s="86"/>
      <c r="AN313" s="86"/>
      <c r="AO313" s="79"/>
      <c r="AP313" s="390"/>
      <c r="AQ313" s="390"/>
      <c r="AR313" s="390"/>
      <c r="AS313" s="86"/>
      <c r="AT313" s="79"/>
      <c r="AU313" s="407">
        <f>+AU310+AU311</f>
        <v>3.3999999999999888</v>
      </c>
      <c r="AV313" s="407">
        <f>+AV310+AV311</f>
        <v>0.89999999999998881</v>
      </c>
      <c r="AW313" s="407">
        <f>+AW310+AW311</f>
        <v>0.5</v>
      </c>
      <c r="AX313" s="407">
        <f>+AX310+AX311</f>
        <v>0.60000000000002274</v>
      </c>
      <c r="AY313" s="79">
        <f>+SUM(AU313:AX313)</f>
        <v>5.4</v>
      </c>
      <c r="AZ313" s="429">
        <f>+AZ310+AZ311</f>
        <v>2.7999999999999887</v>
      </c>
      <c r="BA313" s="429">
        <f>+BA310+BA311</f>
        <v>0.40000000000001146</v>
      </c>
      <c r="BB313" s="429">
        <f>+BB310+BB311</f>
        <v>0.10000000000001119</v>
      </c>
      <c r="BC313" s="429">
        <f>+BC310+BC311</f>
        <v>-0.10000000000002274</v>
      </c>
      <c r="BD313" s="643">
        <f>+SUM(AZ313:BC313)</f>
        <v>3.1999999999999886</v>
      </c>
      <c r="BE313" s="429">
        <f>+BE310+BE311</f>
        <v>1.5000000000000115</v>
      </c>
      <c r="BF313" s="429">
        <f>+BF310+BF311</f>
        <v>0.79999999999997717</v>
      </c>
      <c r="BG313" s="429">
        <f>+BG310+BG311</f>
        <v>0.5000000000000453</v>
      </c>
      <c r="BH313" s="429">
        <f>+BH310+BH311</f>
        <v>-0.80000000000001137</v>
      </c>
      <c r="BI313" s="79">
        <f>+SUM(BE313:BH313)</f>
        <v>2.0000000000000226</v>
      </c>
      <c r="BJ313" s="429">
        <f>+BJ310+BJ311</f>
        <v>1.0465107332461336</v>
      </c>
      <c r="BK313" s="429">
        <f>+BK310+BK311</f>
        <v>0.2546221543384859</v>
      </c>
      <c r="BL313" s="429">
        <f>+BL310+BL311</f>
        <v>0.79999999999999982</v>
      </c>
      <c r="BM313" s="429">
        <f>+BM310+BM311</f>
        <v>0.11116399999998872</v>
      </c>
      <c r="BN313" s="79">
        <f>+SUM(BJ313:BM313)</f>
        <v>2.2122968875846079</v>
      </c>
      <c r="BO313" s="429">
        <f>+BO310+BO311</f>
        <v>0.70000000000001705</v>
      </c>
      <c r="BP313" s="644">
        <f t="shared" ref="BP313:BR313" si="576">+BK313</f>
        <v>0.2546221543384859</v>
      </c>
      <c r="BQ313" s="644">
        <f t="shared" si="576"/>
        <v>0.79999999999999982</v>
      </c>
      <c r="BR313" s="644">
        <f t="shared" si="576"/>
        <v>0.11116399999998872</v>
      </c>
      <c r="BS313" s="79">
        <f>+SUM(BO313:BR313)</f>
        <v>1.8657861543384915</v>
      </c>
      <c r="BT313" s="644">
        <f>+BO313</f>
        <v>0.70000000000001705</v>
      </c>
      <c r="BU313" s="644">
        <f t="shared" ref="BU313" si="577">+BP313</f>
        <v>0.2546221543384859</v>
      </c>
      <c r="BV313" s="644">
        <f t="shared" ref="BV313" si="578">+BQ313</f>
        <v>0.79999999999999982</v>
      </c>
      <c r="BW313" s="644">
        <f t="shared" ref="BW313" si="579">+BR313</f>
        <v>0.11116399999998872</v>
      </c>
      <c r="BX313" s="79">
        <f>+SUM(BT313:BW313)</f>
        <v>1.8657861543384915</v>
      </c>
      <c r="BY313" s="645">
        <f>BX313</f>
        <v>1.8657861543384915</v>
      </c>
      <c r="BZ313" s="645">
        <f t="shared" ref="BZ313:CA313" si="580">BY313</f>
        <v>1.8657861543384915</v>
      </c>
      <c r="CA313" s="645">
        <f t="shared" si="580"/>
        <v>1.8657861543384915</v>
      </c>
      <c r="CB313" s="470"/>
      <c r="CC313" s="1360"/>
      <c r="CD313" s="251"/>
      <c r="CE313" s="598"/>
      <c r="CF313" s="598"/>
      <c r="CG313" s="598"/>
      <c r="CH313" s="598"/>
      <c r="CI313" s="598"/>
      <c r="CJ313" s="598"/>
      <c r="CK313" s="598"/>
      <c r="CL313" s="598"/>
      <c r="CM313" s="598"/>
      <c r="CN313" s="598"/>
      <c r="CO313" s="598"/>
      <c r="CP313" s="598"/>
      <c r="CQ313" s="598"/>
      <c r="CR313" s="598"/>
      <c r="CS313" s="598"/>
      <c r="CT313" s="598"/>
      <c r="CU313" s="598"/>
      <c r="CV313" s="598"/>
      <c r="CW313" s="598"/>
      <c r="CX313" s="598"/>
      <c r="CY313" s="598"/>
      <c r="CZ313" s="598"/>
      <c r="DA313" s="86"/>
      <c r="DB313" s="599"/>
      <c r="DC313"/>
      <c r="DD313"/>
      <c r="DE313"/>
      <c r="DF313"/>
      <c r="DG313"/>
      <c r="DH313"/>
    </row>
    <row r="314" spans="1:112" s="82" customFormat="1" ht="12" customHeight="1">
      <c r="A314" s="390"/>
      <c r="B314" s="641"/>
      <c r="C314" s="79"/>
      <c r="D314" s="79"/>
      <c r="E314" s="79"/>
      <c r="F314" s="79"/>
      <c r="G314" s="251"/>
      <c r="H314" s="86"/>
      <c r="I314" s="86"/>
      <c r="J314" s="86"/>
      <c r="K314" s="79"/>
      <c r="L314" s="86"/>
      <c r="M314" s="86"/>
      <c r="N314" s="86"/>
      <c r="O314" s="86"/>
      <c r="P314" s="79"/>
      <c r="Q314" s="86"/>
      <c r="R314" s="86"/>
      <c r="S314" s="86"/>
      <c r="T314" s="86"/>
      <c r="U314" s="79"/>
      <c r="V314" s="86"/>
      <c r="W314" s="86"/>
      <c r="X314" s="86"/>
      <c r="Y314" s="86"/>
      <c r="Z314" s="79"/>
      <c r="AA314" s="642"/>
      <c r="AB314" s="642"/>
      <c r="AC314" s="642"/>
      <c r="AD314" s="642"/>
      <c r="AE314" s="79"/>
      <c r="AF314" s="86"/>
      <c r="AG314" s="86"/>
      <c r="AH314" s="86"/>
      <c r="AI314" s="86"/>
      <c r="AJ314" s="79"/>
      <c r="AK314" s="86"/>
      <c r="AL314" s="86"/>
      <c r="AM314" s="86"/>
      <c r="AN314" s="86"/>
      <c r="AO314" s="79"/>
      <c r="AP314" s="390"/>
      <c r="AQ314" s="390"/>
      <c r="AR314" s="390"/>
      <c r="AS314" s="86"/>
      <c r="AT314" s="79"/>
      <c r="AU314" s="407"/>
      <c r="AV314" s="407"/>
      <c r="AW314" s="407"/>
      <c r="AX314" s="407"/>
      <c r="AY314" s="79"/>
      <c r="AZ314" s="407"/>
      <c r="BA314" s="407"/>
      <c r="BB314" s="407"/>
      <c r="BC314" s="407"/>
      <c r="BD314" s="79"/>
      <c r="BE314" s="407"/>
      <c r="BF314" s="407"/>
      <c r="BG314" s="407"/>
      <c r="BH314" s="407"/>
      <c r="BI314" s="79"/>
      <c r="BJ314" s="407"/>
      <c r="BK314" s="407"/>
      <c r="BL314" s="314"/>
      <c r="BM314" s="314"/>
      <c r="BN314" s="79"/>
      <c r="BO314" s="314"/>
      <c r="BP314" s="314"/>
      <c r="BQ314" s="314"/>
      <c r="BR314" s="314"/>
      <c r="BS314" s="79"/>
      <c r="BT314" s="314"/>
      <c r="BU314" s="314"/>
      <c r="BV314" s="314"/>
      <c r="BW314" s="314"/>
      <c r="BX314" s="79"/>
      <c r="BY314" s="394"/>
      <c r="BZ314" s="394"/>
      <c r="CA314" s="394"/>
      <c r="CB314" s="470"/>
      <c r="CC314" s="1360"/>
      <c r="CD314" s="251"/>
      <c r="CE314" s="598"/>
      <c r="CF314" s="598"/>
      <c r="CG314" s="598"/>
      <c r="CH314" s="598"/>
      <c r="CI314" s="598"/>
      <c r="CJ314" s="598"/>
      <c r="CK314" s="598"/>
      <c r="CL314" s="598"/>
      <c r="CM314" s="598"/>
      <c r="CN314" s="598"/>
      <c r="CO314" s="598"/>
      <c r="CP314" s="598"/>
      <c r="CQ314" s="598"/>
      <c r="CR314" s="598"/>
      <c r="CS314" s="598"/>
      <c r="CT314" s="598"/>
      <c r="CU314" s="598"/>
      <c r="CV314" s="598"/>
      <c r="CW314" s="598"/>
      <c r="CX314" s="598"/>
      <c r="CY314" s="598"/>
      <c r="CZ314" s="598"/>
      <c r="DA314" s="86"/>
      <c r="DB314" s="599"/>
      <c r="DC314"/>
      <c r="DD314"/>
      <c r="DE314"/>
      <c r="DF314"/>
      <c r="DG314"/>
      <c r="DH314"/>
    </row>
    <row r="315" spans="1:112" ht="12" customHeight="1">
      <c r="A315" s="42" t="s">
        <v>254</v>
      </c>
      <c r="B315" s="54"/>
      <c r="C315" s="54"/>
      <c r="D315" s="54"/>
      <c r="E315" s="54"/>
      <c r="F315" s="54"/>
      <c r="G315" s="646"/>
      <c r="H315" s="646"/>
      <c r="I315" s="646"/>
      <c r="J315" s="646"/>
      <c r="K315" s="647"/>
      <c r="L315" s="646"/>
      <c r="M315" s="646"/>
      <c r="N315" s="646"/>
      <c r="O315" s="646"/>
      <c r="P315" s="54"/>
      <c r="Q315" s="646"/>
      <c r="R315" s="646"/>
      <c r="S315" s="646"/>
      <c r="T315" s="646"/>
      <c r="U315" s="54"/>
      <c r="V315" s="646"/>
      <c r="W315" s="646"/>
      <c r="X315" s="646"/>
      <c r="Y315" s="646"/>
      <c r="Z315" s="54"/>
      <c r="AA315" s="646"/>
      <c r="AB315" s="646"/>
      <c r="AC315" s="646"/>
      <c r="AD315" s="646"/>
      <c r="AE315" s="54"/>
      <c r="AF315" s="646"/>
      <c r="AG315" s="646"/>
      <c r="AH315" s="646">
        <v>40.770000000000003</v>
      </c>
      <c r="AI315" s="646">
        <v>44.97</v>
      </c>
      <c r="AJ315" s="294">
        <f>AI315</f>
        <v>44.97</v>
      </c>
      <c r="AK315" s="648">
        <v>48.47</v>
      </c>
      <c r="AL315" s="648">
        <v>45</v>
      </c>
      <c r="AM315" s="648">
        <v>54.59</v>
      </c>
      <c r="AN315" s="648">
        <v>53.6</v>
      </c>
      <c r="AO315" s="294">
        <f>AN315</f>
        <v>53.6</v>
      </c>
      <c r="AP315" s="646">
        <v>51.57</v>
      </c>
      <c r="AQ315" s="646">
        <v>52.74</v>
      </c>
      <c r="AR315" s="646">
        <v>65.34</v>
      </c>
      <c r="AS315" s="646">
        <v>77.319999999999993</v>
      </c>
      <c r="AT315" s="294">
        <f>AS315</f>
        <v>77.319999999999993</v>
      </c>
      <c r="AU315" s="646">
        <v>75.73</v>
      </c>
      <c r="AV315" s="646">
        <v>82.72</v>
      </c>
      <c r="AW315" s="646">
        <v>85.36</v>
      </c>
      <c r="AX315" s="646">
        <v>90.15</v>
      </c>
      <c r="AY315" s="294">
        <f>AX315</f>
        <v>90.15</v>
      </c>
      <c r="AZ315" s="646">
        <f>+AZ308/AZ310</f>
        <v>99.999999999999986</v>
      </c>
      <c r="BA315" s="646">
        <f>+BA308/BA310</f>
        <v>102.5</v>
      </c>
      <c r="BB315" s="646">
        <f>+BB308/BB310</f>
        <v>98.695652173913047</v>
      </c>
      <c r="BC315" s="646">
        <f>+BC308/BC310</f>
        <v>94.6</v>
      </c>
      <c r="BD315" s="294">
        <f>BC315</f>
        <v>94.6</v>
      </c>
      <c r="BE315" s="646">
        <f>+BE308/BE310</f>
        <v>102.72727272727272</v>
      </c>
      <c r="BF315" s="646">
        <f>+BF308/BF310</f>
        <v>105</v>
      </c>
      <c r="BG315" s="646">
        <v>124.89</v>
      </c>
      <c r="BH315" s="648">
        <v>119.31</v>
      </c>
      <c r="BI315" s="294">
        <f>BH315</f>
        <v>119.31</v>
      </c>
      <c r="BJ315" s="646">
        <v>123.97</v>
      </c>
      <c r="BK315" s="646">
        <v>145.99</v>
      </c>
      <c r="BL315" s="646">
        <v>156.31</v>
      </c>
      <c r="BM315" s="646">
        <v>160.4</v>
      </c>
      <c r="BN315" s="294">
        <f>BM315</f>
        <v>160.4</v>
      </c>
      <c r="BO315" s="646">
        <v>177.33</v>
      </c>
      <c r="BP315" s="646">
        <v>191.95</v>
      </c>
      <c r="BQ315" s="646">
        <f>+BP315*(1+DCF_Rev!$I$61)^(1/4)</f>
        <v>196.15955489276416</v>
      </c>
      <c r="BR315" s="646">
        <f>+BQ315*(1+DCF_Rev!$I$61)^(1/4)</f>
        <v>200.4614273286135</v>
      </c>
      <c r="BS315" s="294">
        <f>BR315</f>
        <v>200.4614273286135</v>
      </c>
      <c r="BT315" s="646">
        <f>+BS315*(1+DCF_Rev!$I$61)^(1/4)</f>
        <v>204.85764187522278</v>
      </c>
      <c r="BU315" s="646">
        <f>+BT315*(1+DCF_Rev!$I$61)^(1/4)</f>
        <v>209.35026749999994</v>
      </c>
      <c r="BV315" s="646">
        <f>+BU315*(1+DCF_Rev!$I$61)^(1/4)</f>
        <v>213.94141854379319</v>
      </c>
      <c r="BW315" s="646">
        <f>+BV315*(1+DCF_Rev!$I$61)^(1/4)</f>
        <v>218.63325571595226</v>
      </c>
      <c r="BX315" s="294">
        <f>BW315</f>
        <v>218.63325571595226</v>
      </c>
      <c r="BY315" s="649">
        <f>+BX315*(1+DCF_Rev!$I$61)</f>
        <v>238.45236034660337</v>
      </c>
      <c r="BZ315" s="649">
        <f>+BY315*(1+DCF_Rev!$I$61)</f>
        <v>260.06806681202301</v>
      </c>
      <c r="CA315" s="649">
        <f>+BZ315*(1+DCF_Rev!$I$61)</f>
        <v>283.64323706853293</v>
      </c>
      <c r="CD315" s="648"/>
      <c r="CE315" s="537"/>
      <c r="CF315" s="537"/>
      <c r="CG315" s="537"/>
      <c r="CH315" s="537"/>
      <c r="CI315" s="537"/>
      <c r="CJ315" s="537"/>
      <c r="CK315" s="537"/>
      <c r="CL315" s="537"/>
      <c r="CM315" s="537"/>
      <c r="CN315" s="537"/>
      <c r="CO315" s="537"/>
      <c r="CP315" s="537"/>
      <c r="CQ315" s="537"/>
      <c r="CR315" s="537"/>
      <c r="CS315" s="537"/>
      <c r="CT315" s="537"/>
      <c r="CU315" s="537"/>
      <c r="CV315" s="537"/>
      <c r="CW315" s="537"/>
      <c r="CX315" s="537"/>
      <c r="CY315" s="537"/>
      <c r="CZ315" s="537"/>
      <c r="DA315" s="510"/>
      <c r="DB315" s="538"/>
    </row>
    <row r="316" spans="1:112" ht="12" customHeight="1" thickBot="1">
      <c r="A316" s="617"/>
      <c r="B316" s="573"/>
      <c r="C316" s="573"/>
      <c r="D316" s="573"/>
      <c r="E316" s="573"/>
      <c r="F316" s="573"/>
      <c r="G316" s="574"/>
      <c r="H316" s="574"/>
      <c r="I316" s="574"/>
      <c r="J316" s="574"/>
      <c r="K316" s="573"/>
      <c r="L316" s="574"/>
      <c r="M316" s="574"/>
      <c r="N316" s="574"/>
      <c r="O316" s="574"/>
      <c r="P316" s="573"/>
      <c r="Q316" s="574"/>
      <c r="R316" s="574"/>
      <c r="S316" s="574"/>
      <c r="T316" s="574"/>
      <c r="U316" s="573"/>
      <c r="V316" s="574"/>
      <c r="W316" s="574"/>
      <c r="X316" s="574"/>
      <c r="Y316" s="574"/>
      <c r="Z316" s="573"/>
      <c r="AA316" s="574"/>
      <c r="AB316" s="574"/>
      <c r="AC316" s="574"/>
      <c r="AD316" s="574"/>
      <c r="AE316" s="573"/>
      <c r="AF316" s="574"/>
      <c r="AG316" s="574"/>
      <c r="AH316" s="574"/>
      <c r="AI316" s="618"/>
      <c r="AJ316" s="619"/>
      <c r="AK316" s="617"/>
      <c r="AL316" s="617"/>
      <c r="AM316" s="617"/>
      <c r="AN316" s="617"/>
      <c r="AO316" s="620"/>
      <c r="AP316" s="618"/>
      <c r="AQ316" s="618"/>
      <c r="AR316" s="618"/>
      <c r="AS316" s="618"/>
      <c r="AT316" s="619"/>
      <c r="AU316" s="618"/>
      <c r="AV316" s="618"/>
      <c r="AW316" s="618"/>
      <c r="AX316" s="618"/>
      <c r="AY316" s="619"/>
      <c r="AZ316" s="618"/>
      <c r="BA316" s="618"/>
      <c r="BB316" s="618"/>
      <c r="BC316" s="618"/>
      <c r="BD316" s="619"/>
      <c r="BE316" s="618"/>
      <c r="BF316" s="618"/>
      <c r="BG316" s="618"/>
      <c r="BH316" s="618"/>
      <c r="BI316" s="619"/>
      <c r="BJ316" s="618"/>
      <c r="BK316" s="618"/>
      <c r="BL316" s="618"/>
      <c r="BM316" s="618"/>
      <c r="BN316" s="619"/>
      <c r="BO316" s="618"/>
      <c r="BP316" s="618"/>
      <c r="BQ316" s="618"/>
      <c r="BR316" s="618"/>
      <c r="BS316" s="619"/>
      <c r="BT316" s="618"/>
      <c r="BU316" s="618"/>
      <c r="BV316" s="618"/>
      <c r="BW316" s="618"/>
      <c r="BX316" s="619"/>
      <c r="BY316" s="621"/>
      <c r="BZ316" s="621"/>
      <c r="CA316" s="621"/>
      <c r="CD316" s="370"/>
      <c r="CE316" s="388"/>
      <c r="CF316" s="388"/>
      <c r="CG316" s="388"/>
      <c r="CH316" s="388"/>
      <c r="CI316" s="388"/>
      <c r="CJ316" s="388"/>
      <c r="CK316" s="388"/>
      <c r="CL316" s="388"/>
      <c r="CM316" s="388"/>
      <c r="CN316" s="388"/>
      <c r="CO316" s="388"/>
      <c r="CP316" s="388"/>
      <c r="CQ316" s="388"/>
      <c r="CR316" s="388"/>
      <c r="CS316" s="388"/>
      <c r="CT316" s="388"/>
      <c r="CU316" s="388"/>
      <c r="CV316" s="388"/>
      <c r="CW316" s="388"/>
      <c r="CX316" s="388"/>
      <c r="CY316" s="388"/>
      <c r="CZ316" s="388"/>
      <c r="DA316" s="58"/>
      <c r="DB316" s="286"/>
    </row>
    <row r="317" spans="1:112" ht="12" customHeight="1">
      <c r="A317" s="42"/>
      <c r="B317" s="54"/>
      <c r="C317" s="54"/>
      <c r="D317" s="54"/>
      <c r="E317" s="54"/>
      <c r="F317" s="54"/>
      <c r="G317" s="127"/>
      <c r="H317" s="377"/>
      <c r="I317" s="377"/>
      <c r="J317" s="377"/>
      <c r="K317" s="54"/>
      <c r="L317" s="377"/>
      <c r="M317" s="377"/>
      <c r="N317" s="377"/>
      <c r="O317" s="377"/>
      <c r="P317" s="54"/>
      <c r="Q317" s="377"/>
      <c r="R317" s="377"/>
      <c r="S317" s="377"/>
      <c r="T317" s="377"/>
      <c r="U317" s="54"/>
      <c r="V317" s="377"/>
      <c r="W317" s="377"/>
      <c r="X317" s="377"/>
      <c r="Y317" s="377"/>
      <c r="Z317" s="54"/>
      <c r="AA317" s="377"/>
      <c r="AB317" s="377"/>
      <c r="AC317" s="377"/>
      <c r="AD317" s="377"/>
      <c r="AE317" s="54"/>
      <c r="AF317" s="377"/>
      <c r="AG317" s="377"/>
      <c r="AH317" s="377"/>
      <c r="AI317" s="58"/>
      <c r="AJ317" s="378"/>
      <c r="AK317" s="42"/>
      <c r="AL317" s="42"/>
      <c r="AM317" s="42"/>
      <c r="AN317" s="42"/>
      <c r="AO317" s="379"/>
      <c r="AP317" s="58"/>
      <c r="AQ317" s="58"/>
      <c r="AR317" s="58"/>
      <c r="AS317" s="58"/>
      <c r="AT317" s="378"/>
      <c r="AU317" s="58"/>
      <c r="AV317" s="58"/>
      <c r="AW317" s="370"/>
      <c r="AX317" s="370"/>
      <c r="AY317" s="378"/>
      <c r="AZ317" s="370"/>
      <c r="BA317" s="370"/>
      <c r="BB317" s="370"/>
      <c r="BC317" s="370"/>
      <c r="BD317" s="378"/>
      <c r="BE317" s="370"/>
      <c r="BF317" s="370"/>
      <c r="BG317" s="370"/>
      <c r="BH317" s="370"/>
      <c r="BI317" s="378"/>
      <c r="BJ317" s="370"/>
      <c r="BK317" s="370"/>
      <c r="BL317" s="370"/>
      <c r="BM317" s="370"/>
      <c r="BN317" s="378"/>
      <c r="BO317" s="370"/>
      <c r="BP317" s="370"/>
      <c r="BQ317" s="370"/>
      <c r="BR317" s="370"/>
      <c r="BS317" s="378"/>
      <c r="BT317" s="370"/>
      <c r="BU317" s="370"/>
      <c r="BV317" s="370"/>
      <c r="BW317" s="370"/>
      <c r="BX317" s="378"/>
      <c r="BY317" s="444"/>
      <c r="BZ317" s="444"/>
      <c r="CA317" s="444"/>
      <c r="CD317" s="370"/>
      <c r="CE317" s="549"/>
      <c r="CF317" s="549"/>
      <c r="CG317" s="549"/>
      <c r="CH317" s="549"/>
      <c r="CI317" s="549"/>
      <c r="CJ317" s="549"/>
      <c r="CK317" s="549"/>
      <c r="CL317" s="549"/>
      <c r="CM317" s="549"/>
      <c r="CN317" s="549"/>
      <c r="CO317" s="549"/>
      <c r="CP317" s="549"/>
      <c r="CQ317" s="549"/>
      <c r="CR317" s="549"/>
      <c r="CS317" s="549"/>
      <c r="CT317" s="549"/>
      <c r="CU317" s="549"/>
      <c r="CV317" s="549"/>
      <c r="CW317" s="549"/>
      <c r="CX317" s="549"/>
      <c r="CY317" s="549"/>
      <c r="CZ317" s="549"/>
      <c r="DA317" s="58"/>
      <c r="DB317" s="550"/>
    </row>
    <row r="318" spans="1:112" ht="12" customHeight="1">
      <c r="A318" s="441" t="s">
        <v>255</v>
      </c>
      <c r="B318" s="54"/>
      <c r="C318" s="54"/>
      <c r="D318" s="54"/>
      <c r="E318" s="54"/>
      <c r="F318" s="54"/>
      <c r="G318" s="127"/>
      <c r="H318" s="377"/>
      <c r="I318" s="377"/>
      <c r="J318" s="377"/>
      <c r="K318" s="54"/>
      <c r="L318" s="377"/>
      <c r="M318" s="377"/>
      <c r="N318" s="377"/>
      <c r="O318" s="377"/>
      <c r="P318" s="54"/>
      <c r="Q318" s="377"/>
      <c r="R318" s="377"/>
      <c r="S318" s="377"/>
      <c r="T318" s="377"/>
      <c r="U318" s="54"/>
      <c r="V318" s="377"/>
      <c r="W318" s="377"/>
      <c r="X318" s="377"/>
      <c r="Y318" s="377"/>
      <c r="Z318" s="54"/>
      <c r="AA318" s="377"/>
      <c r="AB318" s="377"/>
      <c r="AC318" s="377"/>
      <c r="AD318" s="377"/>
      <c r="AE318" s="54"/>
      <c r="AF318" s="377"/>
      <c r="AG318" s="377"/>
      <c r="AH318" s="377"/>
      <c r="AI318" s="650"/>
      <c r="AJ318" s="651"/>
      <c r="AK318" s="42"/>
      <c r="AL318" s="42"/>
      <c r="AM318" s="42"/>
      <c r="AN318" s="42"/>
      <c r="AO318" s="379"/>
      <c r="AP318" s="58"/>
      <c r="AQ318" s="58"/>
      <c r="AR318" s="58"/>
      <c r="AS318" s="58"/>
      <c r="AT318" s="378"/>
      <c r="AU318" s="58"/>
      <c r="AV318" s="58"/>
      <c r="AW318" s="370"/>
      <c r="AX318" s="370"/>
      <c r="AY318" s="378"/>
      <c r="AZ318" s="370"/>
      <c r="BA318" s="370"/>
      <c r="BB318" s="370"/>
      <c r="BC318" s="370"/>
      <c r="BD318" s="378"/>
      <c r="BE318" s="370"/>
      <c r="BF318" s="370"/>
      <c r="BG318" s="370"/>
      <c r="BH318" s="370"/>
      <c r="BI318" s="378"/>
      <c r="BJ318" s="370"/>
      <c r="BK318" s="370"/>
      <c r="BL318" s="370"/>
      <c r="BM318" s="370"/>
      <c r="BN318" s="378"/>
      <c r="BO318" s="370"/>
      <c r="BP318" s="370"/>
      <c r="BQ318" s="370"/>
      <c r="BR318" s="370"/>
      <c r="BS318" s="378"/>
      <c r="BT318" s="370"/>
      <c r="BU318" s="370"/>
      <c r="BV318" s="370"/>
      <c r="BW318" s="370"/>
      <c r="BX318" s="378"/>
      <c r="BY318" s="444"/>
      <c r="BZ318" s="444"/>
      <c r="CA318" s="444"/>
      <c r="CD318" s="443"/>
      <c r="CE318" s="127"/>
      <c r="CF318" s="127"/>
      <c r="CG318" s="127"/>
      <c r="CH318" s="127"/>
      <c r="CI318" s="127"/>
      <c r="CJ318" s="127"/>
      <c r="CK318" s="127"/>
      <c r="CL318" s="127"/>
      <c r="CM318" s="127"/>
      <c r="CN318" s="127"/>
      <c r="CO318" s="127"/>
      <c r="CP318" s="127"/>
      <c r="CQ318" s="127"/>
      <c r="CR318" s="127"/>
      <c r="CS318" s="127"/>
      <c r="CT318" s="127"/>
      <c r="CU318" s="127"/>
      <c r="CV318" s="127"/>
      <c r="CW318" s="127"/>
      <c r="CX318" s="127"/>
      <c r="CY318" s="127"/>
      <c r="CZ318" s="127"/>
      <c r="DA318" s="58"/>
      <c r="DB318" s="438"/>
    </row>
    <row r="319" spans="1:112" ht="12" customHeight="1">
      <c r="A319" s="418" t="s">
        <v>256</v>
      </c>
      <c r="B319" s="652" t="s">
        <v>257</v>
      </c>
      <c r="C319" s="652" t="str">
        <f t="shared" ref="C319:J319" si="581">B323</f>
        <v>NA</v>
      </c>
      <c r="D319" s="67">
        <f t="shared" si="581"/>
        <v>0</v>
      </c>
      <c r="E319" s="67">
        <f t="shared" si="581"/>
        <v>0</v>
      </c>
      <c r="F319" s="67">
        <f t="shared" si="581"/>
        <v>0</v>
      </c>
      <c r="G319" s="653">
        <f t="shared" si="581"/>
        <v>0</v>
      </c>
      <c r="H319" s="653">
        <f t="shared" si="581"/>
        <v>0</v>
      </c>
      <c r="I319" s="653">
        <f t="shared" si="581"/>
        <v>0</v>
      </c>
      <c r="J319" s="654">
        <f t="shared" si="581"/>
        <v>0</v>
      </c>
      <c r="K319" s="654">
        <f>F323</f>
        <v>0</v>
      </c>
      <c r="L319" s="653">
        <f>K323</f>
        <v>0</v>
      </c>
      <c r="M319" s="653">
        <f>L323</f>
        <v>0</v>
      </c>
      <c r="N319" s="653">
        <f>M323</f>
        <v>0</v>
      </c>
      <c r="O319" s="654">
        <f>N323</f>
        <v>0</v>
      </c>
      <c r="P319" s="654">
        <f>K323</f>
        <v>0</v>
      </c>
      <c r="Q319" s="653">
        <f>P323</f>
        <v>0</v>
      </c>
      <c r="R319" s="653">
        <f>Q323</f>
        <v>0</v>
      </c>
      <c r="S319" s="653">
        <f>R323</f>
        <v>0</v>
      </c>
      <c r="T319" s="654">
        <f>S323</f>
        <v>0</v>
      </c>
      <c r="U319" s="654">
        <f>P323</f>
        <v>0</v>
      </c>
      <c r="V319" s="653">
        <f>U323</f>
        <v>0</v>
      </c>
      <c r="W319" s="653">
        <f>V323</f>
        <v>0</v>
      </c>
      <c r="X319" s="653">
        <f>W323</f>
        <v>0</v>
      </c>
      <c r="Y319" s="654">
        <f>X323</f>
        <v>0</v>
      </c>
      <c r="Z319" s="654">
        <f>U323</f>
        <v>0</v>
      </c>
      <c r="AA319" s="653">
        <f>Z323</f>
        <v>0</v>
      </c>
      <c r="AB319" s="653">
        <f>AA323</f>
        <v>0</v>
      </c>
      <c r="AC319" s="653">
        <f>AB323</f>
        <v>0</v>
      </c>
      <c r="AD319" s="654">
        <f>AC323</f>
        <v>0</v>
      </c>
      <c r="AE319" s="654">
        <f>Z323</f>
        <v>0</v>
      </c>
      <c r="AF319" s="653">
        <f>AE323</f>
        <v>0</v>
      </c>
      <c r="AG319" s="653">
        <f>AF323</f>
        <v>0</v>
      </c>
      <c r="AH319" s="653">
        <f>AG323</f>
        <v>0</v>
      </c>
      <c r="AI319" s="654">
        <f>AH323</f>
        <v>0</v>
      </c>
      <c r="AJ319" s="654">
        <f>AE323</f>
        <v>0</v>
      </c>
      <c r="AK319" s="653">
        <f>AJ323</f>
        <v>0</v>
      </c>
      <c r="AL319" s="653">
        <f>AK323</f>
        <v>0</v>
      </c>
      <c r="AM319" s="653">
        <f>AL323</f>
        <v>0</v>
      </c>
      <c r="AN319" s="654">
        <f>AM323</f>
        <v>0</v>
      </c>
      <c r="AO319" s="654">
        <f>AJ323</f>
        <v>0</v>
      </c>
      <c r="AP319" s="653">
        <f>AO323</f>
        <v>0</v>
      </c>
      <c r="AQ319" s="653">
        <f>AP323</f>
        <v>0</v>
      </c>
      <c r="AR319" s="653">
        <f>AQ323</f>
        <v>0</v>
      </c>
      <c r="AS319" s="654">
        <f>AR323</f>
        <v>0</v>
      </c>
      <c r="AT319" s="654">
        <f>AO323</f>
        <v>0</v>
      </c>
      <c r="AU319" s="653">
        <f>AT323</f>
        <v>0</v>
      </c>
      <c r="AV319" s="653">
        <f>AU323</f>
        <v>0</v>
      </c>
      <c r="AW319" s="653">
        <f>AV323</f>
        <v>0</v>
      </c>
      <c r="AX319" s="655">
        <f>AW323</f>
        <v>0</v>
      </c>
      <c r="AY319" s="654">
        <f>AT323</f>
        <v>0</v>
      </c>
      <c r="AZ319" s="656">
        <f>AY323</f>
        <v>0</v>
      </c>
      <c r="BA319" s="656">
        <f>AZ323</f>
        <v>0</v>
      </c>
      <c r="BB319" s="656">
        <f>BA323</f>
        <v>0</v>
      </c>
      <c r="BC319" s="655">
        <f>BB323</f>
        <v>0</v>
      </c>
      <c r="BD319" s="654">
        <f>AY323</f>
        <v>0</v>
      </c>
      <c r="BE319" s="656">
        <f>BD323</f>
        <v>0</v>
      </c>
      <c r="BF319" s="656">
        <f>BE323</f>
        <v>0</v>
      </c>
      <c r="BG319" s="656">
        <f>BF323</f>
        <v>0</v>
      </c>
      <c r="BH319" s="655">
        <f>BG323</f>
        <v>0</v>
      </c>
      <c r="BI319" s="654">
        <f>BD323</f>
        <v>0</v>
      </c>
      <c r="BJ319" s="656">
        <f>BI323</f>
        <v>0</v>
      </c>
      <c r="BK319" s="656">
        <f>BJ323</f>
        <v>0</v>
      </c>
      <c r="BL319" s="656">
        <f>BK323</f>
        <v>0</v>
      </c>
      <c r="BM319" s="655">
        <f>BL323</f>
        <v>0</v>
      </c>
      <c r="BN319" s="654">
        <f>BI323</f>
        <v>0</v>
      </c>
      <c r="BO319" s="656">
        <f>BN323</f>
        <v>0</v>
      </c>
      <c r="BP319" s="656">
        <f>BO323</f>
        <v>0</v>
      </c>
      <c r="BQ319" s="656">
        <f>BP323</f>
        <v>0</v>
      </c>
      <c r="BR319" s="655">
        <f>BQ323</f>
        <v>0</v>
      </c>
      <c r="BS319" s="654">
        <f>BN323</f>
        <v>0</v>
      </c>
      <c r="BT319" s="656">
        <f>BS323</f>
        <v>0</v>
      </c>
      <c r="BU319" s="656">
        <f>BT323</f>
        <v>0</v>
      </c>
      <c r="BV319" s="656">
        <f>BU323</f>
        <v>0</v>
      </c>
      <c r="BW319" s="655">
        <f>BV323</f>
        <v>0</v>
      </c>
      <c r="BX319" s="654">
        <f>BS323</f>
        <v>0</v>
      </c>
      <c r="BY319" s="655">
        <f>BX323</f>
        <v>0</v>
      </c>
      <c r="BZ319" s="655">
        <f>BY323</f>
        <v>0</v>
      </c>
      <c r="CA319" s="655">
        <f>BZ323</f>
        <v>0</v>
      </c>
      <c r="CC319" s="1359"/>
      <c r="CD319" s="248"/>
      <c r="CE319" s="537"/>
      <c r="CF319" s="537"/>
      <c r="CG319" s="537"/>
      <c r="CH319" s="537"/>
      <c r="CI319" s="537"/>
      <c r="CJ319" s="537"/>
      <c r="CK319" s="537"/>
      <c r="CL319" s="537"/>
      <c r="CM319" s="537"/>
      <c r="CN319" s="537"/>
      <c r="CO319" s="537"/>
      <c r="CP319" s="537"/>
      <c r="CQ319" s="537"/>
      <c r="CR319" s="537"/>
      <c r="CS319" s="537"/>
      <c r="CT319" s="537"/>
      <c r="CU319" s="537"/>
      <c r="CV319" s="537"/>
      <c r="CW319" s="537"/>
      <c r="CX319" s="537"/>
      <c r="CY319" s="537"/>
      <c r="CZ319" s="537"/>
      <c r="DA319" s="74"/>
      <c r="DB319" s="538"/>
    </row>
    <row r="320" spans="1:112" s="82" customFormat="1" ht="12" customHeight="1">
      <c r="A320" s="385" t="s">
        <v>258</v>
      </c>
      <c r="B320" s="657">
        <f t="shared" ref="B320:J320" si="582">-IF(B28&lt;0,B28,0)</f>
        <v>0</v>
      </c>
      <c r="C320" s="79">
        <f t="shared" si="582"/>
        <v>0</v>
      </c>
      <c r="D320" s="79">
        <f t="shared" si="582"/>
        <v>0</v>
      </c>
      <c r="E320" s="79">
        <f t="shared" si="582"/>
        <v>0</v>
      </c>
      <c r="F320" s="79">
        <f t="shared" si="582"/>
        <v>0</v>
      </c>
      <c r="G320" s="658">
        <f t="shared" si="582"/>
        <v>0</v>
      </c>
      <c r="H320" s="658">
        <f t="shared" si="582"/>
        <v>0</v>
      </c>
      <c r="I320" s="658">
        <f t="shared" si="582"/>
        <v>0</v>
      </c>
      <c r="J320" s="659">
        <f t="shared" si="582"/>
        <v>0</v>
      </c>
      <c r="K320" s="659">
        <f>SUM(G320:J320)</f>
        <v>0</v>
      </c>
      <c r="L320" s="658">
        <f>-IF(L28&lt;0,L28,0)</f>
        <v>0</v>
      </c>
      <c r="M320" s="658">
        <f>-IF(M28&lt;0,M28,0)</f>
        <v>0</v>
      </c>
      <c r="N320" s="658">
        <f>-IF(N28&lt;0,N28,0)</f>
        <v>0</v>
      </c>
      <c r="O320" s="659">
        <f>-IF(O28&lt;0,O28,0)</f>
        <v>0</v>
      </c>
      <c r="P320" s="659">
        <f>SUM(L320:O320)</f>
        <v>0</v>
      </c>
      <c r="Q320" s="658">
        <f>-IF(Q28&lt;0,Q28,0)</f>
        <v>0</v>
      </c>
      <c r="R320" s="658">
        <f>-IF(R28&lt;0,R28,0)</f>
        <v>0</v>
      </c>
      <c r="S320" s="658">
        <f>-IF(S28&lt;0,S28,0)</f>
        <v>0</v>
      </c>
      <c r="T320" s="659">
        <f>-IF(T28&lt;0,T28,0)</f>
        <v>0</v>
      </c>
      <c r="U320" s="659">
        <f>SUM(Q320:T320)</f>
        <v>0</v>
      </c>
      <c r="V320" s="658">
        <f>-IF(V28&lt;0,V28,0)</f>
        <v>0</v>
      </c>
      <c r="W320" s="658">
        <f>-IF(W28&lt;0,W28,0)</f>
        <v>0</v>
      </c>
      <c r="X320" s="658">
        <f>-IF(X28&lt;0,X28,0)</f>
        <v>0</v>
      </c>
      <c r="Y320" s="659">
        <f>-IF(Y28&lt;0,Y28,0)</f>
        <v>0</v>
      </c>
      <c r="Z320" s="659">
        <f>SUM(V320:Y320)</f>
        <v>0</v>
      </c>
      <c r="AA320" s="658">
        <f>-IF(AA28&lt;0,AA28,0)</f>
        <v>0</v>
      </c>
      <c r="AB320" s="658">
        <f>-IF(AB28&lt;0,AB28,0)</f>
        <v>0</v>
      </c>
      <c r="AC320" s="658">
        <f>-IF(AC28&lt;0,AC28,0)</f>
        <v>0</v>
      </c>
      <c r="AD320" s="659">
        <f>-IF(AD28&lt;0,AD28,0)</f>
        <v>0</v>
      </c>
      <c r="AE320" s="659">
        <f>SUM(AA320:AD320)</f>
        <v>0</v>
      </c>
      <c r="AF320" s="658">
        <f>-IF(AF28&lt;0,AF28,0)</f>
        <v>0</v>
      </c>
      <c r="AG320" s="658">
        <f>-IF(AG28&lt;0,AG28,0)</f>
        <v>0</v>
      </c>
      <c r="AH320" s="658">
        <f>-IF(AH28&lt;0,AH28,0)</f>
        <v>0</v>
      </c>
      <c r="AI320" s="659">
        <f>-IF(AI28&lt;0,AI28,0)</f>
        <v>0</v>
      </c>
      <c r="AJ320" s="659">
        <f>SUM(AF320:AI320)</f>
        <v>0</v>
      </c>
      <c r="AK320" s="658">
        <f>-IF(AK28&lt;0,AK28,0)</f>
        <v>0</v>
      </c>
      <c r="AL320" s="658">
        <f>-IF(AL28&lt;0,AL28,0)</f>
        <v>0</v>
      </c>
      <c r="AM320" s="658">
        <f>-IF(AM28&lt;0,AM28,0)</f>
        <v>0</v>
      </c>
      <c r="AN320" s="659">
        <f>-IF(AN28&lt;0,AN28,0)</f>
        <v>0</v>
      </c>
      <c r="AO320" s="659">
        <f>SUM(AK320:AN320)</f>
        <v>0</v>
      </c>
      <c r="AP320" s="658">
        <f>-IF(AP28&lt;0,AP28,0)</f>
        <v>0</v>
      </c>
      <c r="AQ320" s="658">
        <f>-IF(AQ28&lt;0,AQ28,0)</f>
        <v>0</v>
      </c>
      <c r="AR320" s="658">
        <f>-IF(AR28&lt;0,AR28,0)</f>
        <v>0</v>
      </c>
      <c r="AS320" s="659">
        <f>-IF(AS28&lt;0,AS28,0)</f>
        <v>0</v>
      </c>
      <c r="AT320" s="659">
        <f>SUM(AP320:AS320)</f>
        <v>0</v>
      </c>
      <c r="AU320" s="658">
        <f>-IF(AU28&lt;0,AU28,0)</f>
        <v>0</v>
      </c>
      <c r="AV320" s="658">
        <f>-IF(AV28&lt;0,AV28,0)</f>
        <v>0</v>
      </c>
      <c r="AW320" s="658">
        <f>-IF(AW28&lt;0,AW28,0)</f>
        <v>0</v>
      </c>
      <c r="AX320" s="659">
        <f>-IF(AX28&lt;0,AX28,0)</f>
        <v>0</v>
      </c>
      <c r="AY320" s="659">
        <f>SUM(AU320:AX320)</f>
        <v>0</v>
      </c>
      <c r="AZ320" s="658">
        <f>-IF(AZ28&lt;0,AZ28,0)</f>
        <v>0</v>
      </c>
      <c r="BA320" s="658">
        <f>-IF(BA28&lt;0,BA28,0)</f>
        <v>0</v>
      </c>
      <c r="BB320" s="658">
        <f>-IF(BB28&lt;0,BB28,0)</f>
        <v>0</v>
      </c>
      <c r="BC320" s="659">
        <f>-IF(BC28&lt;0,BC28,0)</f>
        <v>0</v>
      </c>
      <c r="BD320" s="659">
        <f>SUM(AZ320:BC320)</f>
        <v>0</v>
      </c>
      <c r="BE320" s="658">
        <f>-IF(BE28&lt;0,BE28,0)</f>
        <v>0</v>
      </c>
      <c r="BF320" s="658">
        <f>-IF(BF28&lt;0,BF28,0)</f>
        <v>0</v>
      </c>
      <c r="BG320" s="658">
        <f>-IF(BG28&lt;0,BG28,0)</f>
        <v>0</v>
      </c>
      <c r="BH320" s="659">
        <f>-IF(BH28&lt;0,BH28,0)</f>
        <v>0</v>
      </c>
      <c r="BI320" s="659">
        <f>SUM(BE320:BH320)</f>
        <v>0</v>
      </c>
      <c r="BJ320" s="658">
        <f>-IF(BJ28&lt;0,BJ28,0)</f>
        <v>0</v>
      </c>
      <c r="BK320" s="658">
        <f>-IF(BK28&lt;0,BK28,0)</f>
        <v>0</v>
      </c>
      <c r="BL320" s="658">
        <f>-IF(BL28&lt;0,BL28,0)</f>
        <v>0</v>
      </c>
      <c r="BM320" s="659">
        <f>-IF(BM28&lt;0,BM28,0)</f>
        <v>0</v>
      </c>
      <c r="BN320" s="659">
        <f>SUM(BJ320:BM320)</f>
        <v>0</v>
      </c>
      <c r="BO320" s="658">
        <f>-IF(BO28&lt;0,BO28,0)</f>
        <v>0</v>
      </c>
      <c r="BP320" s="658">
        <f>-IF(BP28&lt;0,BP28,0)</f>
        <v>0</v>
      </c>
      <c r="BQ320" s="658">
        <f>-IF(BQ28&lt;0,BQ28,0)</f>
        <v>0</v>
      </c>
      <c r="BR320" s="659">
        <f>-IF(BR28&lt;0,BR28,0)</f>
        <v>0</v>
      </c>
      <c r="BS320" s="659">
        <f>SUM(BO320:BR320)</f>
        <v>0</v>
      </c>
      <c r="BT320" s="658">
        <f>-IF(BT28&lt;0,BT28,0)</f>
        <v>0</v>
      </c>
      <c r="BU320" s="658">
        <f>-IF(BU28&lt;0,BU28,0)</f>
        <v>0</v>
      </c>
      <c r="BV320" s="658">
        <f>-IF(BV28&lt;0,BV28,0)</f>
        <v>0</v>
      </c>
      <c r="BW320" s="659">
        <f>-IF(BW28&lt;0,BW28,0)</f>
        <v>0</v>
      </c>
      <c r="BX320" s="659">
        <f>SUM(BT320:BW320)</f>
        <v>0</v>
      </c>
      <c r="BY320" s="659">
        <f>-IF(BY28&lt;0,BY28,0)</f>
        <v>0</v>
      </c>
      <c r="BZ320" s="659">
        <f>-IF(BZ28&lt;0,BZ28,0)</f>
        <v>0</v>
      </c>
      <c r="CA320" s="659">
        <f>-IF(CA28&lt;0,CA28,0)</f>
        <v>0</v>
      </c>
      <c r="CB320" s="470"/>
      <c r="CC320" s="1360"/>
      <c r="CD320" s="251"/>
      <c r="CE320" s="575"/>
      <c r="CF320" s="575"/>
      <c r="CG320" s="575"/>
      <c r="CH320" s="575"/>
      <c r="CI320" s="575"/>
      <c r="CJ320" s="575"/>
      <c r="CK320" s="575"/>
      <c r="CL320" s="575"/>
      <c r="CM320" s="575"/>
      <c r="CN320" s="575"/>
      <c r="CO320" s="575"/>
      <c r="CP320" s="575"/>
      <c r="CQ320" s="575"/>
      <c r="CR320" s="575"/>
      <c r="CS320" s="575"/>
      <c r="CT320" s="575"/>
      <c r="CU320" s="575"/>
      <c r="CV320" s="575"/>
      <c r="CW320" s="575"/>
      <c r="CX320" s="575"/>
      <c r="CY320" s="575"/>
      <c r="CZ320" s="575"/>
      <c r="DA320" s="86"/>
      <c r="DB320" s="576"/>
      <c r="DC320"/>
      <c r="DD320"/>
      <c r="DE320"/>
      <c r="DF320"/>
      <c r="DG320"/>
      <c r="DH320"/>
    </row>
    <row r="321" spans="1:112" s="82" customFormat="1" ht="12" customHeight="1">
      <c r="A321" s="385" t="s">
        <v>259</v>
      </c>
      <c r="B321" s="657">
        <f t="shared" ref="B321:J321" si="583">-IF(B28&gt;0,MINA(B28,B319),0)</f>
        <v>0</v>
      </c>
      <c r="C321" s="79">
        <f t="shared" si="583"/>
        <v>0</v>
      </c>
      <c r="D321" s="79">
        <f t="shared" si="583"/>
        <v>0</v>
      </c>
      <c r="E321" s="79">
        <f t="shared" si="583"/>
        <v>0</v>
      </c>
      <c r="F321" s="79">
        <f t="shared" si="583"/>
        <v>0</v>
      </c>
      <c r="G321" s="658">
        <f t="shared" si="583"/>
        <v>0</v>
      </c>
      <c r="H321" s="658">
        <f t="shared" si="583"/>
        <v>0</v>
      </c>
      <c r="I321" s="658">
        <f t="shared" si="583"/>
        <v>0</v>
      </c>
      <c r="J321" s="659">
        <f t="shared" si="583"/>
        <v>0</v>
      </c>
      <c r="K321" s="659">
        <f>SUM(G321:J321)</f>
        <v>0</v>
      </c>
      <c r="L321" s="658">
        <f>-IF(L28&gt;0,MINA(L28,L319),0)</f>
        <v>0</v>
      </c>
      <c r="M321" s="658">
        <f>-IF(M28&gt;0,MINA(M28,M319),0)</f>
        <v>0</v>
      </c>
      <c r="N321" s="658">
        <f>-IF(N28&gt;0,MINA(N28,N319),0)</f>
        <v>0</v>
      </c>
      <c r="O321" s="659">
        <f>-IF(O28&gt;0,MINA(O28,O319),0)</f>
        <v>0</v>
      </c>
      <c r="P321" s="659">
        <f>SUM(L321:O321)</f>
        <v>0</v>
      </c>
      <c r="Q321" s="658">
        <f>-IF(Q28&gt;0,MINA(Q28,Q319),0)</f>
        <v>0</v>
      </c>
      <c r="R321" s="658">
        <f>-IF(R28&gt;0,MINA(R28,R319),0)</f>
        <v>0</v>
      </c>
      <c r="S321" s="658">
        <f>-IF(S28&gt;0,MINA(S28,S319),0)</f>
        <v>0</v>
      </c>
      <c r="T321" s="659">
        <f>-IF(T28&gt;0,MINA(T28,T319),0)</f>
        <v>0</v>
      </c>
      <c r="U321" s="659">
        <f>SUM(Q321:T321)</f>
        <v>0</v>
      </c>
      <c r="V321" s="658">
        <f>-IF(V28&gt;0,MINA(V28,V319),0)</f>
        <v>0</v>
      </c>
      <c r="W321" s="658">
        <f>-IF(W28&gt;0,MINA(W28,W319),0)</f>
        <v>0</v>
      </c>
      <c r="X321" s="658">
        <f>-IF(X28&gt;0,MINA(X28,X319),0)</f>
        <v>0</v>
      </c>
      <c r="Y321" s="659">
        <f>-IF(Y28&gt;0,MINA(Y28,Y319),0)</f>
        <v>0</v>
      </c>
      <c r="Z321" s="659">
        <f>SUM(V321:Y321)</f>
        <v>0</v>
      </c>
      <c r="AA321" s="658">
        <f>-IF(AA28&gt;0,MINA(AA28,AA319),0)</f>
        <v>0</v>
      </c>
      <c r="AB321" s="658">
        <f>-IF(AB28&gt;0,MINA(AB28,AB319),0)</f>
        <v>0</v>
      </c>
      <c r="AC321" s="658">
        <f>-IF(AC28&gt;0,MINA(AC28,AC319),0)</f>
        <v>0</v>
      </c>
      <c r="AD321" s="659">
        <f>-IF(AD28&gt;0,MINA(AD28,AD319),0)</f>
        <v>0</v>
      </c>
      <c r="AE321" s="659">
        <f>SUM(AA321:AD321)</f>
        <v>0</v>
      </c>
      <c r="AF321" s="658">
        <f>-IF(AF28&gt;0,MINA(AF28,AF319),0)</f>
        <v>0</v>
      </c>
      <c r="AG321" s="658">
        <f>-IF(AG28&gt;0,MINA(AG28,AG319),0)</f>
        <v>0</v>
      </c>
      <c r="AH321" s="658">
        <f>-IF(AH28&gt;0,MINA(AH28,AH319),0)</f>
        <v>0</v>
      </c>
      <c r="AI321" s="659">
        <f>-IF(AI28&gt;0,MINA(AI28,AI319),0)</f>
        <v>0</v>
      </c>
      <c r="AJ321" s="659">
        <f>SUM(AF321:AI321)</f>
        <v>0</v>
      </c>
      <c r="AK321" s="658">
        <f>-IF(AK28&gt;0,MINA(AK28,AK319),0)</f>
        <v>0</v>
      </c>
      <c r="AL321" s="658">
        <f>-IF(AL28&gt;0,MINA(AL28,AL319),0)</f>
        <v>0</v>
      </c>
      <c r="AM321" s="658">
        <f>-IF(AM28&gt;0,MINA(AM28,AM319),0)</f>
        <v>0</v>
      </c>
      <c r="AN321" s="659">
        <f>-IF(AN28&gt;0,MINA(AN28,AN319),0)</f>
        <v>0</v>
      </c>
      <c r="AO321" s="659">
        <f>SUM(AK321:AN321)</f>
        <v>0</v>
      </c>
      <c r="AP321" s="658">
        <f>-IF(AP28&gt;0,MINA(AP28,AP319),0)</f>
        <v>0</v>
      </c>
      <c r="AQ321" s="658">
        <f>-IF(AQ28&gt;0,MINA(AQ28,AQ319),0)</f>
        <v>0</v>
      </c>
      <c r="AR321" s="658">
        <f>-IF(AR28&gt;0,MINA(AR28,AR319),0)</f>
        <v>0</v>
      </c>
      <c r="AS321" s="659">
        <f>-IF(AS28&gt;0,MINA(AS28,AS319),0)</f>
        <v>0</v>
      </c>
      <c r="AT321" s="659">
        <f>SUM(AP321:AS321)</f>
        <v>0</v>
      </c>
      <c r="AU321" s="658">
        <f>-IF(AU28&gt;0,MINA(AU28,AU319),0)</f>
        <v>0</v>
      </c>
      <c r="AV321" s="658">
        <f>-IF(AV28&gt;0,MINA(AV28,AV319),0)</f>
        <v>0</v>
      </c>
      <c r="AW321" s="658">
        <f>-IF(AW28&gt;0,MINA(AW28,AW319),0)</f>
        <v>0</v>
      </c>
      <c r="AX321" s="659">
        <f>-IF(AX28&gt;0,MINA(AX28,AX319),0)</f>
        <v>0</v>
      </c>
      <c r="AY321" s="659">
        <f>SUM(AU321:AX321)</f>
        <v>0</v>
      </c>
      <c r="AZ321" s="658">
        <f>-IF(AZ28&gt;0,MINA(AZ28,AZ319),0)</f>
        <v>0</v>
      </c>
      <c r="BA321" s="658">
        <f>-IF(BA28&gt;0,MINA(BA28,BA319),0)</f>
        <v>0</v>
      </c>
      <c r="BB321" s="658">
        <f>-IF(BB28&gt;0,MINA(BB28,BB319),0)</f>
        <v>0</v>
      </c>
      <c r="BC321" s="659">
        <f>-IF(BC28&gt;0,MINA(BC28,BC319),0)</f>
        <v>0</v>
      </c>
      <c r="BD321" s="659">
        <f>SUM(AZ321:BC321)</f>
        <v>0</v>
      </c>
      <c r="BE321" s="658">
        <f>-IF(BE28&gt;0,MINA(BE28,BE319),0)</f>
        <v>0</v>
      </c>
      <c r="BF321" s="658">
        <f>-IF(BF28&gt;0,MINA(BF28,BF319),0)</f>
        <v>0</v>
      </c>
      <c r="BG321" s="658">
        <f>-IF(BG28&gt;0,MINA(BG28,BG319),0)</f>
        <v>0</v>
      </c>
      <c r="BH321" s="659">
        <f>-IF(BH28&gt;0,MINA(BH28,BH319),0)</f>
        <v>0</v>
      </c>
      <c r="BI321" s="659">
        <f>SUM(BE321:BH321)</f>
        <v>0</v>
      </c>
      <c r="BJ321" s="658">
        <f>-IF(BJ28&gt;0,MINA(BJ28,BJ319),0)</f>
        <v>0</v>
      </c>
      <c r="BK321" s="658">
        <f>-IF(BK28&gt;0,MINA(BK28,BK319),0)</f>
        <v>0</v>
      </c>
      <c r="BL321" s="658">
        <f>-IF(BL28&gt;0,MINA(BL28,BL319),0)</f>
        <v>0</v>
      </c>
      <c r="BM321" s="659">
        <f>-IF(BM28&gt;0,MINA(BM28,BM319),0)</f>
        <v>0</v>
      </c>
      <c r="BN321" s="659">
        <f>SUM(BJ321:BM321)</f>
        <v>0</v>
      </c>
      <c r="BO321" s="658">
        <f>-IF(BO28&gt;0,MINA(BO28,BO319),0)</f>
        <v>0</v>
      </c>
      <c r="BP321" s="658">
        <f>-IF(BP28&gt;0,MINA(BP28,BP319),0)</f>
        <v>0</v>
      </c>
      <c r="BQ321" s="658">
        <f>-IF(BQ28&gt;0,MINA(BQ28,BQ319),0)</f>
        <v>0</v>
      </c>
      <c r="BR321" s="659">
        <f>-IF(BR28&gt;0,MINA(BR28,BR319),0)</f>
        <v>0</v>
      </c>
      <c r="BS321" s="659">
        <f>SUM(BO321:BR321)</f>
        <v>0</v>
      </c>
      <c r="BT321" s="658">
        <f>-IF(BT28&gt;0,MINA(BT28,BT319),0)</f>
        <v>0</v>
      </c>
      <c r="BU321" s="658">
        <f>-IF(BU28&gt;0,MINA(BU28,BU319),0)</f>
        <v>0</v>
      </c>
      <c r="BV321" s="658">
        <f>-IF(BV28&gt;0,MINA(BV28,BV319),0)</f>
        <v>0</v>
      </c>
      <c r="BW321" s="659">
        <f>-IF(BW28&gt;0,MINA(BW28,BW319),0)</f>
        <v>0</v>
      </c>
      <c r="BX321" s="659">
        <f>SUM(BT321:BW321)</f>
        <v>0</v>
      </c>
      <c r="BY321" s="659">
        <f>-IF(BY28&gt;0,MINA(BY28,BY319),0)</f>
        <v>0</v>
      </c>
      <c r="BZ321" s="659">
        <f>-IF(BZ28&gt;0,MINA(BZ28,BZ319),0)</f>
        <v>0</v>
      </c>
      <c r="CA321" s="659">
        <f>-IF(CA28&gt;0,MINA(CA28,CA319),0)</f>
        <v>0</v>
      </c>
      <c r="CB321" s="470"/>
      <c r="CC321" s="1360"/>
      <c r="CD321" s="251"/>
      <c r="CE321" s="575"/>
      <c r="CF321" s="575"/>
      <c r="CG321" s="575"/>
      <c r="CH321" s="575"/>
      <c r="CI321" s="575"/>
      <c r="CJ321" s="575"/>
      <c r="CK321" s="575"/>
      <c r="CL321" s="575"/>
      <c r="CM321" s="575"/>
      <c r="CN321" s="575"/>
      <c r="CO321" s="575"/>
      <c r="CP321" s="575"/>
      <c r="CQ321" s="575"/>
      <c r="CR321" s="575"/>
      <c r="CS321" s="575"/>
      <c r="CT321" s="575"/>
      <c r="CU321" s="575"/>
      <c r="CV321" s="575"/>
      <c r="CW321" s="575"/>
      <c r="CX321" s="575"/>
      <c r="CY321" s="575"/>
      <c r="CZ321" s="575"/>
      <c r="DA321" s="86"/>
      <c r="DB321" s="576"/>
      <c r="DC321"/>
      <c r="DD321"/>
      <c r="DE321"/>
      <c r="DF321"/>
      <c r="DG321"/>
      <c r="DH321"/>
    </row>
    <row r="322" spans="1:112" ht="5.25" customHeight="1">
      <c r="A322" s="42"/>
      <c r="B322" s="657" t="s">
        <v>260</v>
      </c>
      <c r="C322" s="387" t="s">
        <v>62</v>
      </c>
      <c r="D322" s="387" t="s">
        <v>62</v>
      </c>
      <c r="E322" s="387" t="s">
        <v>62</v>
      </c>
      <c r="F322" s="387" t="s">
        <v>62</v>
      </c>
      <c r="G322" s="658" t="s">
        <v>260</v>
      </c>
      <c r="H322" s="658" t="s">
        <v>260</v>
      </c>
      <c r="I322" s="658" t="s">
        <v>260</v>
      </c>
      <c r="J322" s="658" t="s">
        <v>261</v>
      </c>
      <c r="K322" s="657" t="s">
        <v>260</v>
      </c>
      <c r="L322" s="658" t="s">
        <v>260</v>
      </c>
      <c r="M322" s="658" t="s">
        <v>260</v>
      </c>
      <c r="N322" s="658" t="s">
        <v>260</v>
      </c>
      <c r="O322" s="658" t="s">
        <v>261</v>
      </c>
      <c r="P322" s="657" t="s">
        <v>260</v>
      </c>
      <c r="Q322" s="658" t="s">
        <v>260</v>
      </c>
      <c r="R322" s="658" t="s">
        <v>260</v>
      </c>
      <c r="S322" s="658" t="s">
        <v>260</v>
      </c>
      <c r="T322" s="658" t="s">
        <v>261</v>
      </c>
      <c r="U322" s="657" t="s">
        <v>260</v>
      </c>
      <c r="V322" s="658" t="s">
        <v>260</v>
      </c>
      <c r="W322" s="658" t="s">
        <v>260</v>
      </c>
      <c r="X322" s="658" t="s">
        <v>260</v>
      </c>
      <c r="Y322" s="658" t="s">
        <v>261</v>
      </c>
      <c r="Z322" s="657" t="s">
        <v>260</v>
      </c>
      <c r="AA322" s="658" t="s">
        <v>260</v>
      </c>
      <c r="AB322" s="658" t="s">
        <v>260</v>
      </c>
      <c r="AC322" s="658" t="s">
        <v>260</v>
      </c>
      <c r="AD322" s="658" t="s">
        <v>261</v>
      </c>
      <c r="AE322" s="657" t="s">
        <v>260</v>
      </c>
      <c r="AF322" s="658" t="s">
        <v>260</v>
      </c>
      <c r="AG322" s="658" t="s">
        <v>260</v>
      </c>
      <c r="AH322" s="658" t="s">
        <v>260</v>
      </c>
      <c r="AI322" s="659" t="s">
        <v>260</v>
      </c>
      <c r="AJ322" s="659" t="s">
        <v>260</v>
      </c>
      <c r="AK322" s="658" t="s">
        <v>260</v>
      </c>
      <c r="AL322" s="658" t="s">
        <v>260</v>
      </c>
      <c r="AM322" s="658" t="s">
        <v>260</v>
      </c>
      <c r="AN322" s="659" t="s">
        <v>260</v>
      </c>
      <c r="AO322" s="659" t="s">
        <v>260</v>
      </c>
      <c r="AP322" s="658" t="s">
        <v>260</v>
      </c>
      <c r="AQ322" s="658" t="s">
        <v>260</v>
      </c>
      <c r="AR322" s="658" t="s">
        <v>260</v>
      </c>
      <c r="AS322" s="658" t="s">
        <v>261</v>
      </c>
      <c r="AT322" s="657" t="s">
        <v>260</v>
      </c>
      <c r="AU322" s="658" t="s">
        <v>260</v>
      </c>
      <c r="AV322" s="658" t="s">
        <v>260</v>
      </c>
      <c r="AW322" s="658" t="s">
        <v>261</v>
      </c>
      <c r="AX322" s="658" t="s">
        <v>261</v>
      </c>
      <c r="AY322" s="657" t="s">
        <v>260</v>
      </c>
      <c r="AZ322" s="658" t="s">
        <v>261</v>
      </c>
      <c r="BA322" s="658" t="s">
        <v>261</v>
      </c>
      <c r="BB322" s="658" t="s">
        <v>261</v>
      </c>
      <c r="BC322" s="658" t="s">
        <v>261</v>
      </c>
      <c r="BD322" s="657" t="s">
        <v>260</v>
      </c>
      <c r="BE322" s="658" t="s">
        <v>261</v>
      </c>
      <c r="BF322" s="658" t="s">
        <v>261</v>
      </c>
      <c r="BG322" s="658" t="s">
        <v>261</v>
      </c>
      <c r="BH322" s="658" t="s">
        <v>261</v>
      </c>
      <c r="BI322" s="657" t="s">
        <v>260</v>
      </c>
      <c r="BJ322" s="658" t="s">
        <v>261</v>
      </c>
      <c r="BK322" s="658" t="s">
        <v>261</v>
      </c>
      <c r="BL322" s="658" t="s">
        <v>261</v>
      </c>
      <c r="BM322" s="658" t="s">
        <v>261</v>
      </c>
      <c r="BN322" s="657" t="s">
        <v>260</v>
      </c>
      <c r="BO322" s="658" t="s">
        <v>261</v>
      </c>
      <c r="BP322" s="658" t="s">
        <v>261</v>
      </c>
      <c r="BQ322" s="658" t="s">
        <v>261</v>
      </c>
      <c r="BR322" s="658" t="s">
        <v>261</v>
      </c>
      <c r="BS322" s="657" t="s">
        <v>260</v>
      </c>
      <c r="BT322" s="658" t="s">
        <v>261</v>
      </c>
      <c r="BU322" s="658" t="s">
        <v>261</v>
      </c>
      <c r="BV322" s="658" t="s">
        <v>261</v>
      </c>
      <c r="BW322" s="658" t="s">
        <v>261</v>
      </c>
      <c r="BX322" s="657" t="s">
        <v>260</v>
      </c>
      <c r="BY322" s="659" t="s">
        <v>261</v>
      </c>
      <c r="BZ322" s="659" t="s">
        <v>261</v>
      </c>
      <c r="CA322" s="659" t="s">
        <v>261</v>
      </c>
      <c r="CD322" s="370"/>
      <c r="CE322" s="530"/>
      <c r="CF322" s="530"/>
      <c r="CG322" s="530"/>
      <c r="CH322" s="530"/>
      <c r="CI322" s="530"/>
      <c r="CJ322" s="530"/>
      <c r="CK322" s="530"/>
      <c r="CL322" s="530"/>
      <c r="CM322" s="530"/>
      <c r="CN322" s="530"/>
      <c r="CO322" s="530"/>
      <c r="CP322" s="530"/>
      <c r="CQ322" s="530"/>
      <c r="CR322" s="530"/>
      <c r="CS322" s="530"/>
      <c r="CT322" s="530"/>
      <c r="CU322" s="530"/>
      <c r="CV322" s="530"/>
      <c r="CW322" s="530"/>
      <c r="CX322" s="530"/>
      <c r="CY322" s="530"/>
      <c r="CZ322" s="530"/>
      <c r="DA322" s="58"/>
      <c r="DB322" s="531"/>
    </row>
    <row r="323" spans="1:112" ht="12" customHeight="1">
      <c r="A323" s="418" t="s">
        <v>262</v>
      </c>
      <c r="B323" s="652" t="s">
        <v>257</v>
      </c>
      <c r="C323" s="652">
        <f>SUM(C320:C322)</f>
        <v>0</v>
      </c>
      <c r="D323" s="67">
        <f>SUM(D320:D322)</f>
        <v>0</v>
      </c>
      <c r="E323" s="67">
        <f>SUM(E320:E322)</f>
        <v>0</v>
      </c>
      <c r="F323" s="67">
        <f>SUM(F320:F322)</f>
        <v>0</v>
      </c>
      <c r="G323" s="653">
        <f>SUM(G319:G321)</f>
        <v>0</v>
      </c>
      <c r="H323" s="653">
        <f>SUM(H319:H321)</f>
        <v>0</v>
      </c>
      <c r="I323" s="653">
        <f>SUM(I319:I321)</f>
        <v>0</v>
      </c>
      <c r="J323" s="653">
        <f>SUM(J319:J321)</f>
        <v>0</v>
      </c>
      <c r="K323" s="652">
        <f>SUM(K319:K321)</f>
        <v>0</v>
      </c>
      <c r="L323" s="653">
        <f t="shared" ref="L323:BY323" si="584">SUM(L319:L321)</f>
        <v>0</v>
      </c>
      <c r="M323" s="653">
        <f t="shared" si="584"/>
        <v>0</v>
      </c>
      <c r="N323" s="653">
        <f t="shared" si="584"/>
        <v>0</v>
      </c>
      <c r="O323" s="653">
        <f t="shared" si="584"/>
        <v>0</v>
      </c>
      <c r="P323" s="652">
        <f t="shared" si="584"/>
        <v>0</v>
      </c>
      <c r="Q323" s="653">
        <f t="shared" si="584"/>
        <v>0</v>
      </c>
      <c r="R323" s="653">
        <f t="shared" si="584"/>
        <v>0</v>
      </c>
      <c r="S323" s="653">
        <f t="shared" si="584"/>
        <v>0</v>
      </c>
      <c r="T323" s="653">
        <f t="shared" si="584"/>
        <v>0</v>
      </c>
      <c r="U323" s="652">
        <f t="shared" si="584"/>
        <v>0</v>
      </c>
      <c r="V323" s="653">
        <f t="shared" si="584"/>
        <v>0</v>
      </c>
      <c r="W323" s="653">
        <f t="shared" si="584"/>
        <v>0</v>
      </c>
      <c r="X323" s="653">
        <f t="shared" si="584"/>
        <v>0</v>
      </c>
      <c r="Y323" s="653">
        <f t="shared" si="584"/>
        <v>0</v>
      </c>
      <c r="Z323" s="652">
        <f t="shared" si="584"/>
        <v>0</v>
      </c>
      <c r="AA323" s="653">
        <f t="shared" si="584"/>
        <v>0</v>
      </c>
      <c r="AB323" s="653">
        <f t="shared" si="584"/>
        <v>0</v>
      </c>
      <c r="AC323" s="653">
        <f t="shared" si="584"/>
        <v>0</v>
      </c>
      <c r="AD323" s="653">
        <f t="shared" si="584"/>
        <v>0</v>
      </c>
      <c r="AE323" s="652">
        <f t="shared" si="584"/>
        <v>0</v>
      </c>
      <c r="AF323" s="653">
        <f t="shared" si="584"/>
        <v>0</v>
      </c>
      <c r="AG323" s="653">
        <f t="shared" si="584"/>
        <v>0</v>
      </c>
      <c r="AH323" s="653">
        <f t="shared" si="584"/>
        <v>0</v>
      </c>
      <c r="AI323" s="654">
        <f t="shared" si="584"/>
        <v>0</v>
      </c>
      <c r="AJ323" s="654">
        <f t="shared" si="584"/>
        <v>0</v>
      </c>
      <c r="AK323" s="653">
        <f t="shared" si="584"/>
        <v>0</v>
      </c>
      <c r="AL323" s="653">
        <f t="shared" si="584"/>
        <v>0</v>
      </c>
      <c r="AM323" s="653">
        <f t="shared" si="584"/>
        <v>0</v>
      </c>
      <c r="AN323" s="654">
        <f t="shared" si="584"/>
        <v>0</v>
      </c>
      <c r="AO323" s="654">
        <f t="shared" si="584"/>
        <v>0</v>
      </c>
      <c r="AP323" s="653">
        <f t="shared" si="584"/>
        <v>0</v>
      </c>
      <c r="AQ323" s="653">
        <f t="shared" si="584"/>
        <v>0</v>
      </c>
      <c r="AR323" s="653">
        <f t="shared" si="584"/>
        <v>0</v>
      </c>
      <c r="AS323" s="653">
        <f t="shared" si="584"/>
        <v>0</v>
      </c>
      <c r="AT323" s="652">
        <f t="shared" si="584"/>
        <v>0</v>
      </c>
      <c r="AU323" s="653">
        <f t="shared" si="584"/>
        <v>0</v>
      </c>
      <c r="AV323" s="653">
        <f t="shared" si="584"/>
        <v>0</v>
      </c>
      <c r="AW323" s="653">
        <f t="shared" si="584"/>
        <v>0</v>
      </c>
      <c r="AX323" s="653">
        <f t="shared" si="584"/>
        <v>0</v>
      </c>
      <c r="AY323" s="652">
        <f t="shared" si="584"/>
        <v>0</v>
      </c>
      <c r="AZ323" s="653">
        <f t="shared" si="584"/>
        <v>0</v>
      </c>
      <c r="BA323" s="653">
        <f t="shared" si="584"/>
        <v>0</v>
      </c>
      <c r="BB323" s="653">
        <f t="shared" si="584"/>
        <v>0</v>
      </c>
      <c r="BC323" s="653">
        <f t="shared" si="584"/>
        <v>0</v>
      </c>
      <c r="BD323" s="652">
        <f t="shared" si="584"/>
        <v>0</v>
      </c>
      <c r="BE323" s="653">
        <f t="shared" si="584"/>
        <v>0</v>
      </c>
      <c r="BF323" s="653">
        <f t="shared" si="584"/>
        <v>0</v>
      </c>
      <c r="BG323" s="653">
        <f t="shared" si="584"/>
        <v>0</v>
      </c>
      <c r="BH323" s="653">
        <f t="shared" si="584"/>
        <v>0</v>
      </c>
      <c r="BI323" s="652">
        <f t="shared" si="584"/>
        <v>0</v>
      </c>
      <c r="BJ323" s="653">
        <f>SUM(BJ319:BJ321)</f>
        <v>0</v>
      </c>
      <c r="BK323" s="653">
        <f>SUM(BK319:BK321)</f>
        <v>0</v>
      </c>
      <c r="BL323" s="653">
        <f t="shared" si="584"/>
        <v>0</v>
      </c>
      <c r="BM323" s="653">
        <f t="shared" ref="BM323:BN323" si="585">SUM(BM319:BM321)</f>
        <v>0</v>
      </c>
      <c r="BN323" s="652">
        <f t="shared" si="585"/>
        <v>0</v>
      </c>
      <c r="BO323" s="653">
        <f>SUM(BO319:BO321)</f>
        <v>0</v>
      </c>
      <c r="BP323" s="653">
        <f t="shared" si="584"/>
        <v>0</v>
      </c>
      <c r="BQ323" s="653">
        <f t="shared" si="584"/>
        <v>0</v>
      </c>
      <c r="BR323" s="653">
        <f t="shared" si="584"/>
        <v>0</v>
      </c>
      <c r="BS323" s="652">
        <f t="shared" si="584"/>
        <v>0</v>
      </c>
      <c r="BT323" s="653">
        <f t="shared" ref="BT323:BX323" si="586">SUM(BT319:BT321)</f>
        <v>0</v>
      </c>
      <c r="BU323" s="653">
        <f t="shared" si="586"/>
        <v>0</v>
      </c>
      <c r="BV323" s="653">
        <f t="shared" si="586"/>
        <v>0</v>
      </c>
      <c r="BW323" s="653">
        <f t="shared" si="586"/>
        <v>0</v>
      </c>
      <c r="BX323" s="652">
        <f t="shared" si="586"/>
        <v>0</v>
      </c>
      <c r="BY323" s="654">
        <f t="shared" si="584"/>
        <v>0</v>
      </c>
      <c r="BZ323" s="654">
        <f>SUM(BZ319:BZ321)</f>
        <v>0</v>
      </c>
      <c r="CA323" s="654">
        <f>SUM(CA319:CA321)</f>
        <v>0</v>
      </c>
      <c r="CC323" s="1359"/>
      <c r="CD323" s="248"/>
      <c r="CE323" s="537"/>
      <c r="CF323" s="537"/>
      <c r="CG323" s="537"/>
      <c r="CH323" s="537"/>
      <c r="CI323" s="537"/>
      <c r="CJ323" s="537"/>
      <c r="CK323" s="537"/>
      <c r="CL323" s="537"/>
      <c r="CM323" s="537"/>
      <c r="CN323" s="537"/>
      <c r="CO323" s="537"/>
      <c r="CP323" s="537"/>
      <c r="CQ323" s="537"/>
      <c r="CR323" s="537"/>
      <c r="CS323" s="537"/>
      <c r="CT323" s="537"/>
      <c r="CU323" s="537"/>
      <c r="CV323" s="537"/>
      <c r="CW323" s="537"/>
      <c r="CX323" s="537"/>
      <c r="CY323" s="537"/>
      <c r="CZ323" s="537"/>
      <c r="DA323" s="74"/>
      <c r="DB323" s="538"/>
    </row>
    <row r="324" spans="1:112" ht="12" customHeight="1">
      <c r="A324" s="418"/>
      <c r="B324" s="652"/>
      <c r="C324" s="652"/>
      <c r="D324" s="67"/>
      <c r="E324" s="67"/>
      <c r="F324" s="67"/>
      <c r="G324" s="653"/>
      <c r="H324" s="653"/>
      <c r="I324" s="653"/>
      <c r="J324" s="653"/>
      <c r="K324" s="652"/>
      <c r="L324" s="653"/>
      <c r="M324" s="653"/>
      <c r="N324" s="653"/>
      <c r="O324" s="653"/>
      <c r="P324" s="652"/>
      <c r="Q324" s="653"/>
      <c r="R324" s="653"/>
      <c r="S324" s="653"/>
      <c r="T324" s="653"/>
      <c r="U324" s="652"/>
      <c r="V324" s="653"/>
      <c r="W324" s="653"/>
      <c r="X324" s="653"/>
      <c r="Y324" s="653"/>
      <c r="Z324" s="652"/>
      <c r="AA324" s="653"/>
      <c r="AB324" s="653"/>
      <c r="AC324" s="653"/>
      <c r="AD324" s="653"/>
      <c r="AE324" s="652"/>
      <c r="AF324" s="653"/>
      <c r="AG324" s="653"/>
      <c r="AH324" s="653"/>
      <c r="AI324" s="653"/>
      <c r="AJ324" s="654"/>
      <c r="AK324" s="653"/>
      <c r="AL324" s="653"/>
      <c r="AM324" s="653"/>
      <c r="AN324" s="653"/>
      <c r="AO324" s="654"/>
      <c r="AP324" s="653"/>
      <c r="AQ324" s="653"/>
      <c r="AR324" s="653"/>
      <c r="AS324" s="653"/>
      <c r="AT324" s="652"/>
      <c r="AU324" s="653"/>
      <c r="AV324" s="653"/>
      <c r="AW324" s="653"/>
      <c r="AX324" s="653"/>
      <c r="AY324" s="652"/>
      <c r="AZ324" s="653"/>
      <c r="BA324" s="653"/>
      <c r="BB324" s="653"/>
      <c r="BC324" s="653"/>
      <c r="BD324" s="652"/>
      <c r="BE324" s="653"/>
      <c r="BF324" s="653"/>
      <c r="BG324" s="653"/>
      <c r="BH324" s="653"/>
      <c r="BI324" s="652"/>
      <c r="BJ324" s="653"/>
      <c r="BK324" s="653"/>
      <c r="BL324" s="653"/>
      <c r="BM324" s="653"/>
      <c r="BN324" s="652"/>
      <c r="BO324" s="653"/>
      <c r="BP324" s="653"/>
      <c r="BQ324" s="653"/>
      <c r="BR324" s="653"/>
      <c r="BS324" s="652"/>
      <c r="BT324" s="653"/>
      <c r="BU324" s="653"/>
      <c r="BV324" s="653"/>
      <c r="BW324" s="653"/>
      <c r="BX324" s="652"/>
      <c r="BY324" s="654"/>
      <c r="BZ324" s="654"/>
      <c r="CA324" s="654"/>
      <c r="CC324" s="1359"/>
      <c r="CD324" s="248"/>
      <c r="CE324" s="537"/>
      <c r="CF324" s="537"/>
      <c r="CG324" s="537"/>
      <c r="CH324" s="537"/>
      <c r="CI324" s="537"/>
      <c r="CJ324" s="537"/>
      <c r="CK324" s="537"/>
      <c r="CL324" s="537"/>
      <c r="CM324" s="537"/>
      <c r="CN324" s="537"/>
      <c r="CO324" s="537"/>
      <c r="CP324" s="537"/>
      <c r="CQ324" s="537"/>
      <c r="CR324" s="537"/>
      <c r="CS324" s="537"/>
      <c r="CT324" s="537"/>
      <c r="CU324" s="537"/>
      <c r="CV324" s="537"/>
      <c r="CW324" s="537"/>
      <c r="CX324" s="537"/>
      <c r="CY324" s="537"/>
      <c r="CZ324" s="537"/>
      <c r="DA324" s="74"/>
      <c r="DB324" s="538"/>
    </row>
    <row r="325" spans="1:112" s="82" customFormat="1" ht="12" customHeight="1">
      <c r="A325" s="390" t="s">
        <v>263</v>
      </c>
      <c r="B325" s="79">
        <v>0</v>
      </c>
      <c r="C325" s="79">
        <v>0</v>
      </c>
      <c r="D325" s="79">
        <v>0</v>
      </c>
      <c r="E325" s="79">
        <v>0</v>
      </c>
      <c r="F325" s="79">
        <v>0</v>
      </c>
      <c r="G325" s="251">
        <v>0</v>
      </c>
      <c r="H325" s="86">
        <v>0</v>
      </c>
      <c r="I325" s="86">
        <v>0</v>
      </c>
      <c r="J325" s="86">
        <v>0</v>
      </c>
      <c r="K325" s="79">
        <v>0</v>
      </c>
      <c r="L325" s="86">
        <v>0</v>
      </c>
      <c r="M325" s="86">
        <v>0</v>
      </c>
      <c r="N325" s="86">
        <v>0</v>
      </c>
      <c r="O325" s="86">
        <v>0</v>
      </c>
      <c r="P325" s="79">
        <v>0</v>
      </c>
      <c r="Q325" s="86">
        <v>0</v>
      </c>
      <c r="R325" s="86">
        <v>0</v>
      </c>
      <c r="S325" s="86">
        <v>0</v>
      </c>
      <c r="T325" s="86">
        <v>0</v>
      </c>
      <c r="U325" s="79">
        <v>0</v>
      </c>
      <c r="V325" s="86">
        <v>0</v>
      </c>
      <c r="W325" s="86">
        <v>0</v>
      </c>
      <c r="X325" s="86">
        <v>0</v>
      </c>
      <c r="Y325" s="86">
        <v>0</v>
      </c>
      <c r="Z325" s="79">
        <v>0</v>
      </c>
      <c r="AA325" s="86">
        <v>0</v>
      </c>
      <c r="AB325" s="86">
        <v>0</v>
      </c>
      <c r="AC325" s="86">
        <v>0</v>
      </c>
      <c r="AD325" s="86">
        <v>0</v>
      </c>
      <c r="AE325" s="79">
        <v>0</v>
      </c>
      <c r="AF325" s="86">
        <v>0</v>
      </c>
      <c r="AG325" s="86">
        <v>0</v>
      </c>
      <c r="AH325" s="86">
        <v>0</v>
      </c>
      <c r="AI325" s="86">
        <v>0</v>
      </c>
      <c r="AJ325" s="79">
        <v>0</v>
      </c>
      <c r="AK325" s="390">
        <v>0</v>
      </c>
      <c r="AL325" s="390">
        <v>0</v>
      </c>
      <c r="AM325" s="390">
        <v>0</v>
      </c>
      <c r="AN325" s="390">
        <v>0</v>
      </c>
      <c r="AO325" s="119">
        <v>0</v>
      </c>
      <c r="AP325" s="86">
        <v>0</v>
      </c>
      <c r="AQ325" s="86">
        <v>0</v>
      </c>
      <c r="AR325" s="86">
        <v>0</v>
      </c>
      <c r="AS325" s="86">
        <v>0</v>
      </c>
      <c r="AT325" s="79">
        <v>0</v>
      </c>
      <c r="AU325" s="86">
        <v>0</v>
      </c>
      <c r="AV325" s="86">
        <v>0</v>
      </c>
      <c r="AW325" s="251">
        <v>0</v>
      </c>
      <c r="AX325" s="392">
        <v>0</v>
      </c>
      <c r="AY325" s="393">
        <v>0</v>
      </c>
      <c r="AZ325" s="392">
        <v>0</v>
      </c>
      <c r="BA325" s="392">
        <v>0</v>
      </c>
      <c r="BB325" s="392">
        <v>0</v>
      </c>
      <c r="BC325" s="392">
        <v>0</v>
      </c>
      <c r="BD325" s="393">
        <v>0</v>
      </c>
      <c r="BE325" s="392">
        <v>0</v>
      </c>
      <c r="BF325" s="392">
        <v>0</v>
      </c>
      <c r="BG325" s="392">
        <v>0</v>
      </c>
      <c r="BH325" s="392">
        <v>0</v>
      </c>
      <c r="BI325" s="393">
        <v>0</v>
      </c>
      <c r="BJ325" s="392">
        <v>0</v>
      </c>
      <c r="BK325" s="392">
        <v>0</v>
      </c>
      <c r="BL325" s="392">
        <v>0</v>
      </c>
      <c r="BM325" s="392">
        <v>0</v>
      </c>
      <c r="BN325" s="393">
        <v>0</v>
      </c>
      <c r="BO325" s="392">
        <v>0</v>
      </c>
      <c r="BP325" s="392">
        <v>0</v>
      </c>
      <c r="BQ325" s="392">
        <v>0</v>
      </c>
      <c r="BR325" s="392">
        <v>0</v>
      </c>
      <c r="BS325" s="393">
        <v>0</v>
      </c>
      <c r="BT325" s="392">
        <v>0</v>
      </c>
      <c r="BU325" s="392">
        <v>0</v>
      </c>
      <c r="BV325" s="392">
        <v>0</v>
      </c>
      <c r="BW325" s="392">
        <v>0</v>
      </c>
      <c r="BX325" s="393">
        <v>0</v>
      </c>
      <c r="BY325" s="660">
        <v>0</v>
      </c>
      <c r="BZ325" s="660">
        <v>0</v>
      </c>
      <c r="CA325" s="660">
        <v>0</v>
      </c>
      <c r="CB325" s="470"/>
      <c r="CC325" s="661"/>
      <c r="CD325" s="392"/>
      <c r="CE325" s="575"/>
      <c r="CF325" s="575"/>
      <c r="CG325" s="575"/>
      <c r="CH325" s="575"/>
      <c r="CI325" s="575"/>
      <c r="CJ325" s="575"/>
      <c r="CK325" s="575"/>
      <c r="CL325" s="575"/>
      <c r="CM325" s="575"/>
      <c r="CN325" s="575"/>
      <c r="CO325" s="575"/>
      <c r="CP325" s="575"/>
      <c r="CQ325" s="575"/>
      <c r="CR325" s="575"/>
      <c r="CS325" s="575"/>
      <c r="CT325" s="575"/>
      <c r="CU325" s="575"/>
      <c r="CV325" s="575"/>
      <c r="CW325" s="575"/>
      <c r="CX325" s="575"/>
      <c r="CY325" s="575"/>
      <c r="CZ325" s="575"/>
      <c r="DA325" s="662"/>
      <c r="DB325" s="576"/>
      <c r="DC325"/>
      <c r="DD325"/>
      <c r="DE325"/>
      <c r="DF325"/>
      <c r="DG325"/>
      <c r="DH325"/>
    </row>
    <row r="326" spans="1:112" ht="12" customHeight="1" thickBot="1">
      <c r="A326" s="617"/>
      <c r="B326" s="573"/>
      <c r="C326" s="573"/>
      <c r="D326" s="573"/>
      <c r="E326" s="573"/>
      <c r="F326" s="573"/>
      <c r="G326" s="574"/>
      <c r="H326" s="574"/>
      <c r="I326" s="574"/>
      <c r="J326" s="574"/>
      <c r="K326" s="573"/>
      <c r="L326" s="574"/>
      <c r="M326" s="574"/>
      <c r="N326" s="574"/>
      <c r="O326" s="574"/>
      <c r="P326" s="573"/>
      <c r="Q326" s="574"/>
      <c r="R326" s="574"/>
      <c r="S326" s="574"/>
      <c r="T326" s="574"/>
      <c r="U326" s="573"/>
      <c r="V326" s="574"/>
      <c r="W326" s="574"/>
      <c r="X326" s="574"/>
      <c r="Y326" s="574"/>
      <c r="Z326" s="573"/>
      <c r="AA326" s="574"/>
      <c r="AB326" s="574"/>
      <c r="AC326" s="574"/>
      <c r="AD326" s="574"/>
      <c r="AE326" s="573"/>
      <c r="AF326" s="574"/>
      <c r="AG326" s="574"/>
      <c r="AH326" s="574"/>
      <c r="AI326" s="618"/>
      <c r="AJ326" s="619"/>
      <c r="AK326" s="617"/>
      <c r="AL326" s="617"/>
      <c r="AM326" s="617"/>
      <c r="AN326" s="617"/>
      <c r="AO326" s="620"/>
      <c r="AP326" s="618"/>
      <c r="AQ326" s="618"/>
      <c r="AR326" s="618"/>
      <c r="AS326" s="618"/>
      <c r="AT326" s="619"/>
      <c r="AU326" s="618"/>
      <c r="AV326" s="618"/>
      <c r="AW326" s="618"/>
      <c r="AX326" s="618"/>
      <c r="AY326" s="619"/>
      <c r="AZ326" s="618"/>
      <c r="BA326" s="618"/>
      <c r="BB326" s="618"/>
      <c r="BC326" s="618"/>
      <c r="BD326" s="619"/>
      <c r="BE326" s="618"/>
      <c r="BF326" s="618"/>
      <c r="BG326" s="618"/>
      <c r="BH326" s="618"/>
      <c r="BI326" s="619"/>
      <c r="BJ326" s="618"/>
      <c r="BK326" s="618"/>
      <c r="BL326" s="618"/>
      <c r="BM326" s="618"/>
      <c r="BN326" s="619"/>
      <c r="BO326" s="618"/>
      <c r="BP326" s="618"/>
      <c r="BQ326" s="618"/>
      <c r="BR326" s="618"/>
      <c r="BS326" s="619"/>
      <c r="BT326" s="618"/>
      <c r="BU326" s="618"/>
      <c r="BV326" s="618"/>
      <c r="BW326" s="618"/>
      <c r="BX326" s="619"/>
      <c r="BY326" s="621"/>
      <c r="BZ326" s="621"/>
      <c r="CA326" s="621"/>
      <c r="CD326" s="370"/>
      <c r="CE326" s="388"/>
      <c r="CF326" s="388"/>
      <c r="CG326" s="388"/>
      <c r="CH326" s="388"/>
      <c r="CI326" s="388"/>
      <c r="CJ326" s="388"/>
      <c r="CK326" s="388"/>
      <c r="CL326" s="388"/>
      <c r="CM326" s="388"/>
      <c r="CN326" s="388"/>
      <c r="CO326" s="388"/>
      <c r="CP326" s="388"/>
      <c r="CQ326" s="388"/>
      <c r="CR326" s="388"/>
      <c r="CS326" s="388"/>
      <c r="CT326" s="388"/>
      <c r="CU326" s="388"/>
      <c r="CV326" s="388"/>
      <c r="CW326" s="388"/>
      <c r="CX326" s="388"/>
      <c r="CY326" s="388"/>
      <c r="CZ326" s="388"/>
      <c r="DA326" s="58"/>
      <c r="DB326" s="286"/>
    </row>
    <row r="327" spans="1:112" ht="12" customHeight="1">
      <c r="A327" s="42"/>
      <c r="B327" s="54"/>
      <c r="C327" s="54"/>
      <c r="D327" s="54"/>
      <c r="E327" s="54"/>
      <c r="F327" s="54"/>
      <c r="G327" s="127"/>
      <c r="H327" s="377"/>
      <c r="I327" s="377"/>
      <c r="J327" s="377"/>
      <c r="K327" s="54"/>
      <c r="L327" s="377"/>
      <c r="M327" s="377"/>
      <c r="N327" s="377"/>
      <c r="O327" s="377"/>
      <c r="P327" s="54"/>
      <c r="Q327" s="377"/>
      <c r="R327" s="377"/>
      <c r="S327" s="377"/>
      <c r="T327" s="377"/>
      <c r="U327" s="54"/>
      <c r="V327" s="377"/>
      <c r="W327" s="377"/>
      <c r="X327" s="377"/>
      <c r="Y327" s="377"/>
      <c r="Z327" s="54"/>
      <c r="AA327" s="377"/>
      <c r="AB327" s="377"/>
      <c r="AC327" s="377"/>
      <c r="AD327" s="377"/>
      <c r="AE327" s="54"/>
      <c r="AF327" s="377"/>
      <c r="AG327" s="377"/>
      <c r="AH327" s="377"/>
      <c r="AI327" s="58"/>
      <c r="AJ327" s="378"/>
      <c r="AK327" s="42"/>
      <c r="AL327" s="42"/>
      <c r="AM327" s="42"/>
      <c r="AN327" s="42"/>
      <c r="AO327" s="379"/>
      <c r="AP327" s="58"/>
      <c r="AQ327" s="58"/>
      <c r="AR327" s="58"/>
      <c r="AS327" s="58"/>
      <c r="AT327" s="378"/>
      <c r="AU327" s="58"/>
      <c r="AV327" s="58"/>
      <c r="AW327" s="370"/>
      <c r="AX327" s="370"/>
      <c r="AY327" s="378"/>
      <c r="AZ327" s="370"/>
      <c r="BA327" s="370"/>
      <c r="BB327" s="370"/>
      <c r="BC327" s="370"/>
      <c r="BD327" s="378"/>
      <c r="BE327" s="370"/>
      <c r="BF327" s="370"/>
      <c r="BG327" s="370"/>
      <c r="BH327" s="370"/>
      <c r="BI327" s="378"/>
      <c r="BJ327" s="370"/>
      <c r="BK327" s="370"/>
      <c r="BL327" s="370"/>
      <c r="BM327" s="370"/>
      <c r="BN327" s="378"/>
      <c r="BO327" s="370"/>
      <c r="BP327" s="370"/>
      <c r="BQ327" s="370"/>
      <c r="BR327" s="370"/>
      <c r="BS327" s="378"/>
      <c r="BT327" s="370"/>
      <c r="BU327" s="370"/>
      <c r="BV327" s="370"/>
      <c r="BW327" s="370"/>
      <c r="BX327" s="378"/>
      <c r="BY327" s="444"/>
      <c r="BZ327" s="444"/>
      <c r="CA327" s="444"/>
      <c r="CD327" s="370"/>
      <c r="CE327" s="549"/>
      <c r="CF327" s="549"/>
      <c r="CG327" s="549"/>
      <c r="CH327" s="549"/>
      <c r="CI327" s="549"/>
      <c r="CJ327" s="549"/>
      <c r="CK327" s="549"/>
      <c r="CL327" s="549"/>
      <c r="CM327" s="549"/>
      <c r="CN327" s="549"/>
      <c r="CO327" s="549"/>
      <c r="CP327" s="549"/>
      <c r="CQ327" s="549"/>
      <c r="CR327" s="549"/>
      <c r="CS327" s="549"/>
      <c r="CT327" s="549"/>
      <c r="CU327" s="549"/>
      <c r="CV327" s="549"/>
      <c r="CW327" s="549"/>
      <c r="CX327" s="549"/>
      <c r="CY327" s="549"/>
      <c r="CZ327" s="549"/>
      <c r="DA327" s="58"/>
      <c r="DB327" s="550"/>
    </row>
    <row r="328" spans="1:112" ht="12" customHeight="1">
      <c r="A328" s="441" t="s">
        <v>264</v>
      </c>
      <c r="B328" s="54"/>
      <c r="C328" s="54"/>
      <c r="D328" s="54"/>
      <c r="E328" s="54"/>
      <c r="F328" s="54"/>
      <c r="G328" s="127"/>
      <c r="H328" s="377"/>
      <c r="I328" s="377"/>
      <c r="J328" s="377"/>
      <c r="K328" s="54"/>
      <c r="L328" s="377"/>
      <c r="M328" s="377"/>
      <c r="N328" s="377"/>
      <c r="O328" s="377"/>
      <c r="P328" s="54"/>
      <c r="Q328" s="377"/>
      <c r="R328" s="377"/>
      <c r="S328" s="377"/>
      <c r="T328" s="377"/>
      <c r="U328" s="54"/>
      <c r="V328" s="377"/>
      <c r="W328" s="377"/>
      <c r="X328" s="377"/>
      <c r="Y328" s="377"/>
      <c r="Z328" s="54"/>
      <c r="AA328" s="377"/>
      <c r="AB328" s="377"/>
      <c r="AC328" s="377"/>
      <c r="AD328" s="377"/>
      <c r="AE328" s="54"/>
      <c r="AF328" s="377"/>
      <c r="AG328" s="377"/>
      <c r="AH328" s="377"/>
      <c r="AI328" s="58"/>
      <c r="AJ328" s="378"/>
      <c r="AK328" s="42"/>
      <c r="AL328" s="42"/>
      <c r="AM328" s="42"/>
      <c r="AN328" s="42"/>
      <c r="AO328" s="379"/>
      <c r="AP328" s="58"/>
      <c r="AQ328" s="58"/>
      <c r="AR328" s="58"/>
      <c r="AS328" s="58"/>
      <c r="AT328" s="378"/>
      <c r="AU328" s="58"/>
      <c r="AV328" s="58"/>
      <c r="AW328" s="370"/>
      <c r="AX328" s="370"/>
      <c r="AY328" s="378"/>
      <c r="AZ328" s="370"/>
      <c r="BA328" s="370"/>
      <c r="BB328" s="370"/>
      <c r="BC328" s="370"/>
      <c r="BD328" s="378"/>
      <c r="BE328" s="370"/>
      <c r="BF328" s="370"/>
      <c r="BG328" s="370"/>
      <c r="BH328" s="370"/>
      <c r="BI328" s="378"/>
      <c r="BJ328" s="370"/>
      <c r="BK328" s="370"/>
      <c r="BL328" s="370"/>
      <c r="BM328" s="370"/>
      <c r="BN328" s="378"/>
      <c r="BO328" s="370"/>
      <c r="BP328" s="370"/>
      <c r="BQ328" s="370"/>
      <c r="BR328" s="370"/>
      <c r="BS328" s="378"/>
      <c r="BT328" s="370"/>
      <c r="BU328" s="370"/>
      <c r="BV328" s="370"/>
      <c r="BW328" s="370"/>
      <c r="BX328" s="378"/>
      <c r="BY328" s="444"/>
      <c r="BZ328" s="444"/>
      <c r="CA328" s="444"/>
      <c r="CD328" s="443"/>
      <c r="CE328" s="117"/>
      <c r="CF328" s="117"/>
      <c r="CG328" s="117"/>
      <c r="CH328" s="117"/>
      <c r="CI328" s="117"/>
      <c r="CJ328" s="117"/>
      <c r="CK328" s="117"/>
      <c r="CL328" s="117"/>
      <c r="CM328" s="117"/>
      <c r="CN328" s="117"/>
      <c r="CO328" s="117"/>
      <c r="CP328" s="117"/>
      <c r="CQ328" s="117"/>
      <c r="CR328" s="117"/>
      <c r="CS328" s="117"/>
      <c r="CT328" s="117"/>
      <c r="CU328" s="117"/>
      <c r="CV328" s="117"/>
      <c r="CW328" s="117"/>
      <c r="CX328" s="117"/>
      <c r="CY328" s="117"/>
      <c r="CZ328" s="117"/>
      <c r="DA328" s="58"/>
      <c r="DB328" s="453"/>
    </row>
    <row r="329" spans="1:112" ht="12" customHeight="1">
      <c r="A329" s="42" t="s">
        <v>265</v>
      </c>
      <c r="B329" s="54"/>
      <c r="C329" s="67">
        <f>+B183</f>
        <v>1853.8850000000002</v>
      </c>
      <c r="D329" s="67">
        <f>C336</f>
        <v>2165.8219999999997</v>
      </c>
      <c r="E329" s="67">
        <f>D336</f>
        <v>2557.0509999999999</v>
      </c>
      <c r="F329" s="67">
        <f>E336</f>
        <v>2984.512999999999</v>
      </c>
      <c r="G329" s="127">
        <f>F336</f>
        <v>3113.1479999999992</v>
      </c>
      <c r="H329" s="74">
        <f t="shared" ref="H329:AI329" si="587">G336</f>
        <v>2329.3459999999995</v>
      </c>
      <c r="I329" s="74">
        <f t="shared" si="587"/>
        <v>2159.0859999999993</v>
      </c>
      <c r="J329" s="74">
        <f t="shared" si="587"/>
        <v>2605.8259999999996</v>
      </c>
      <c r="K329" s="67">
        <f>G329</f>
        <v>3113.1479999999992</v>
      </c>
      <c r="L329" s="74">
        <f t="shared" si="587"/>
        <v>2679.6179999999995</v>
      </c>
      <c r="M329" s="74">
        <f t="shared" si="587"/>
        <v>1975.5779999999991</v>
      </c>
      <c r="N329" s="74">
        <f t="shared" si="587"/>
        <v>1891.6919999999986</v>
      </c>
      <c r="O329" s="74">
        <f t="shared" si="587"/>
        <v>1729.9049999999984</v>
      </c>
      <c r="P329" s="67">
        <f>L329</f>
        <v>2679.6179999999995</v>
      </c>
      <c r="Q329" s="74">
        <f t="shared" si="587"/>
        <v>1606.6499999999978</v>
      </c>
      <c r="R329" s="74">
        <f t="shared" si="587"/>
        <v>1520.5859999999991</v>
      </c>
      <c r="S329" s="74">
        <f t="shared" si="587"/>
        <v>1510.1739999999986</v>
      </c>
      <c r="T329" s="74">
        <f t="shared" si="587"/>
        <v>1633.3599999999992</v>
      </c>
      <c r="U329" s="67">
        <f>Q329</f>
        <v>1606.6499999999978</v>
      </c>
      <c r="V329" s="74">
        <f t="shared" si="587"/>
        <v>1282.3359999999993</v>
      </c>
      <c r="W329" s="74">
        <f t="shared" si="587"/>
        <v>1235.2059999999988</v>
      </c>
      <c r="X329" s="74">
        <f t="shared" si="587"/>
        <v>1393.4400000000005</v>
      </c>
      <c r="Y329" s="74">
        <f t="shared" si="587"/>
        <v>1677.0060000000003</v>
      </c>
      <c r="Z329" s="67">
        <f>V329</f>
        <v>1282.3359999999993</v>
      </c>
      <c r="AA329" s="74">
        <f t="shared" si="587"/>
        <v>1847.2870000000003</v>
      </c>
      <c r="AB329" s="74">
        <f t="shared" si="587"/>
        <v>1900.7960000000005</v>
      </c>
      <c r="AC329" s="74">
        <f t="shared" si="587"/>
        <v>1842.9460000000004</v>
      </c>
      <c r="AD329" s="74">
        <f t="shared" si="587"/>
        <v>2130.065000000001</v>
      </c>
      <c r="AE329" s="67">
        <f>AA329</f>
        <v>1847.2870000000003</v>
      </c>
      <c r="AF329" s="74">
        <f t="shared" si="587"/>
        <v>2210.2959999999994</v>
      </c>
      <c r="AG329" s="74">
        <f t="shared" si="587"/>
        <v>2229.1999999999998</v>
      </c>
      <c r="AH329" s="74">
        <f t="shared" si="587"/>
        <v>2255</v>
      </c>
      <c r="AI329" s="74">
        <f t="shared" si="587"/>
        <v>2208.1999999999994</v>
      </c>
      <c r="AJ329" s="67">
        <f>AF329</f>
        <v>2210.2959999999994</v>
      </c>
      <c r="AK329" s="74">
        <f>AJ336</f>
        <v>1507.9999999999991</v>
      </c>
      <c r="AL329" s="74">
        <f>AK336</f>
        <v>1705.9999999999991</v>
      </c>
      <c r="AM329" s="74">
        <f>AL336</f>
        <v>1662.9999999999991</v>
      </c>
      <c r="AN329" s="74">
        <f>AM336</f>
        <v>1785.9999999999991</v>
      </c>
      <c r="AO329" s="67">
        <f>AK329</f>
        <v>1507.9999999999991</v>
      </c>
      <c r="AP329" s="418">
        <f>AO336</f>
        <v>766.99999999999909</v>
      </c>
      <c r="AQ329" s="418">
        <f>AP336</f>
        <v>1029.9999999999991</v>
      </c>
      <c r="AR329" s="418">
        <f>AQ336</f>
        <v>1222.9999999999991</v>
      </c>
      <c r="AS329" s="74">
        <f>AR336</f>
        <v>976.99999999999909</v>
      </c>
      <c r="AT329" s="67">
        <f>AP329</f>
        <v>766.99999999999909</v>
      </c>
      <c r="AU329" s="418">
        <f>AT336</f>
        <v>1300.9999999999991</v>
      </c>
      <c r="AV329" s="418">
        <f>AU336</f>
        <v>1362.9999999999989</v>
      </c>
      <c r="AW329" s="418">
        <f>AV336</f>
        <v>1441.9999999999989</v>
      </c>
      <c r="AX329" s="663">
        <f>AW336</f>
        <v>1540.9999999999989</v>
      </c>
      <c r="AY329" s="664">
        <f>AU329</f>
        <v>1300.9999999999991</v>
      </c>
      <c r="AZ329" s="663">
        <f>AY336</f>
        <v>487.99999999999886</v>
      </c>
      <c r="BA329" s="663">
        <f>AZ336</f>
        <v>538.99999999999886</v>
      </c>
      <c r="BB329" s="663">
        <f>BA336</f>
        <v>762.9999999999992</v>
      </c>
      <c r="BC329" s="663">
        <f>BB336</f>
        <v>657.9999999999992</v>
      </c>
      <c r="BD329" s="664">
        <f>AZ329</f>
        <v>487.99999999999886</v>
      </c>
      <c r="BE329" s="663">
        <f>BD336</f>
        <v>193.99999999999932</v>
      </c>
      <c r="BF329" s="663">
        <f>BE336</f>
        <v>221.99999999999932</v>
      </c>
      <c r="BG329" s="663">
        <f>BF336</f>
        <v>375.99999999999932</v>
      </c>
      <c r="BH329" s="663">
        <f>BG336</f>
        <v>461.99999999999932</v>
      </c>
      <c r="BI329" s="664">
        <f>BE329</f>
        <v>193.99999999999932</v>
      </c>
      <c r="BJ329" s="663">
        <f>BI336</f>
        <v>649.99999999999909</v>
      </c>
      <c r="BK329" s="663">
        <f>BJ336</f>
        <v>788.99999999999909</v>
      </c>
      <c r="BL329" s="663">
        <f>BK336</f>
        <v>1018.9678216627894</v>
      </c>
      <c r="BM329" s="663">
        <f>BL336</f>
        <v>838.99999999999909</v>
      </c>
      <c r="BN329" s="664">
        <f>BJ329</f>
        <v>649.99999999999909</v>
      </c>
      <c r="BO329" s="663">
        <f>BN336</f>
        <v>710.99999999999909</v>
      </c>
      <c r="BP329" s="663">
        <f>BO336</f>
        <v>6.9999999999990905</v>
      </c>
      <c r="BQ329" s="663">
        <f>BP336</f>
        <v>85.092297106125955</v>
      </c>
      <c r="BR329" s="663">
        <f>BQ336</f>
        <v>150.76388622580731</v>
      </c>
      <c r="BS329" s="664">
        <f>BO329</f>
        <v>710.99999999999909</v>
      </c>
      <c r="BT329" s="663">
        <f>BS336</f>
        <v>249.64231465064267</v>
      </c>
      <c r="BU329" s="663">
        <f>BT336</f>
        <v>251.07196093048799</v>
      </c>
      <c r="BV329" s="663">
        <f>BU336</f>
        <v>304.99157815518629</v>
      </c>
      <c r="BW329" s="663">
        <f>BV336</f>
        <v>347.02964704587225</v>
      </c>
      <c r="BX329" s="664">
        <f>BT329</f>
        <v>249.64231465064267</v>
      </c>
      <c r="BY329" s="665">
        <f>BX336</f>
        <v>424.34682382974461</v>
      </c>
      <c r="BZ329" s="665">
        <f>BY336</f>
        <v>564.06800665958008</v>
      </c>
      <c r="CA329" s="665">
        <f>BZ336</f>
        <v>666.57005669100135</v>
      </c>
      <c r="CD329" s="370"/>
      <c r="CE329" s="127"/>
      <c r="CF329" s="127"/>
      <c r="CG329" s="127"/>
      <c r="CH329" s="127"/>
      <c r="CI329" s="127"/>
      <c r="CJ329" s="127"/>
      <c r="CK329" s="127"/>
      <c r="CL329" s="127"/>
      <c r="CM329" s="127"/>
      <c r="CN329" s="127"/>
      <c r="CO329" s="127"/>
      <c r="CP329" s="127"/>
      <c r="CQ329" s="127"/>
      <c r="CR329" s="127"/>
      <c r="CS329" s="127"/>
      <c r="CT329" s="127"/>
      <c r="CU329" s="127"/>
      <c r="CV329" s="127"/>
      <c r="CW329" s="127"/>
      <c r="CX329" s="127"/>
      <c r="CY329" s="127"/>
      <c r="CZ329" s="127"/>
      <c r="DA329" s="58"/>
      <c r="DB329" s="438"/>
    </row>
    <row r="330" spans="1:112" ht="12" customHeight="1">
      <c r="A330" s="390" t="s">
        <v>266</v>
      </c>
      <c r="B330" s="79"/>
      <c r="C330" s="79"/>
      <c r="D330" s="79"/>
      <c r="E330" s="79"/>
      <c r="F330" s="79"/>
      <c r="G330" s="251"/>
      <c r="H330" s="86"/>
      <c r="I330" s="86"/>
      <c r="J330" s="86"/>
      <c r="K330" s="79"/>
      <c r="L330" s="86"/>
      <c r="M330" s="86"/>
      <c r="N330" s="86"/>
      <c r="O330" s="86"/>
      <c r="P330" s="79"/>
      <c r="Q330" s="86"/>
      <c r="R330" s="86"/>
      <c r="S330" s="86"/>
      <c r="T330" s="86"/>
      <c r="U330" s="79"/>
      <c r="V330" s="86"/>
      <c r="W330" s="86"/>
      <c r="X330" s="86"/>
      <c r="Y330" s="86"/>
      <c r="Z330" s="79"/>
      <c r="AA330" s="86"/>
      <c r="AB330" s="86"/>
      <c r="AC330" s="86"/>
      <c r="AD330" s="86"/>
      <c r="AE330" s="79"/>
      <c r="AF330" s="86"/>
      <c r="AG330" s="86"/>
      <c r="AH330" s="86"/>
      <c r="AI330" s="86"/>
      <c r="AJ330" s="79"/>
      <c r="AK330" s="86"/>
      <c r="AL330" s="86"/>
      <c r="AM330" s="86"/>
      <c r="AN330" s="86"/>
      <c r="AO330" s="79"/>
      <c r="AP330" s="390"/>
      <c r="AQ330" s="390"/>
      <c r="AR330" s="390"/>
      <c r="AS330" s="86"/>
      <c r="AT330" s="79"/>
      <c r="AU330" s="390"/>
      <c r="AV330" s="390"/>
      <c r="AW330" s="390"/>
      <c r="AX330" s="251"/>
      <c r="AY330" s="79"/>
      <c r="AZ330" s="251"/>
      <c r="BA330" s="251"/>
      <c r="BB330" s="251"/>
      <c r="BC330" s="251"/>
      <c r="BD330" s="79"/>
      <c r="BE330" s="251"/>
      <c r="BF330" s="251"/>
      <c r="BG330" s="251"/>
      <c r="BH330" s="251"/>
      <c r="BI330" s="79"/>
      <c r="BJ330" s="251"/>
      <c r="BK330" s="251"/>
      <c r="BL330" s="251"/>
      <c r="BM330" s="251"/>
      <c r="BN330" s="79"/>
      <c r="BO330" s="251"/>
      <c r="BP330" s="251"/>
      <c r="BQ330" s="251"/>
      <c r="BR330" s="251"/>
      <c r="BS330" s="79"/>
      <c r="BT330" s="251"/>
      <c r="BU330" s="251"/>
      <c r="BV330" s="251"/>
      <c r="BW330" s="251"/>
      <c r="BX330" s="79"/>
      <c r="BY330" s="394"/>
      <c r="BZ330" s="394"/>
      <c r="CA330" s="394"/>
      <c r="CC330" s="1360"/>
      <c r="CD330" s="251"/>
      <c r="CE330" s="251"/>
      <c r="CF330" s="251"/>
      <c r="CG330" s="251"/>
      <c r="CH330" s="251"/>
      <c r="CI330" s="251"/>
      <c r="CJ330" s="251"/>
      <c r="CK330" s="251"/>
      <c r="CL330" s="251"/>
      <c r="CM330" s="251"/>
      <c r="CN330" s="251"/>
      <c r="CO330" s="251"/>
      <c r="CP330" s="251"/>
      <c r="CQ330" s="251"/>
      <c r="CR330" s="251"/>
      <c r="CS330" s="251"/>
      <c r="CT330" s="251"/>
      <c r="CU330" s="251"/>
      <c r="CV330" s="251"/>
      <c r="CW330" s="251"/>
      <c r="CX330" s="251"/>
      <c r="CY330" s="251"/>
      <c r="CZ330" s="251"/>
      <c r="DA330" s="86"/>
      <c r="DB330" s="399"/>
    </row>
    <row r="331" spans="1:112" s="82" customFormat="1" ht="12" customHeight="1">
      <c r="A331" s="666" t="s">
        <v>267</v>
      </c>
      <c r="B331" s="79"/>
      <c r="C331" s="79">
        <f t="shared" ref="C331:J331" si="588">+C178-B178+C179-B179</f>
        <v>14.772999999999996</v>
      </c>
      <c r="D331" s="79">
        <f t="shared" si="588"/>
        <v>7.092000000000013</v>
      </c>
      <c r="E331" s="79">
        <f t="shared" si="588"/>
        <v>27.342999999999975</v>
      </c>
      <c r="F331" s="79">
        <f t="shared" si="588"/>
        <v>93.03100000000002</v>
      </c>
      <c r="G331" s="251">
        <f t="shared" si="588"/>
        <v>69.099000000000004</v>
      </c>
      <c r="H331" s="86">
        <f t="shared" si="588"/>
        <v>-17.996000000000002</v>
      </c>
      <c r="I331" s="86">
        <f t="shared" si="588"/>
        <v>29.369000000000007</v>
      </c>
      <c r="J331" s="86">
        <f t="shared" si="588"/>
        <v>33.103999999999999</v>
      </c>
      <c r="K331" s="79">
        <f>SUM(G331:J331)</f>
        <v>113.57600000000001</v>
      </c>
      <c r="L331" s="86">
        <f>+L178-K178+L179-K179</f>
        <v>15.162000000000006</v>
      </c>
      <c r="M331" s="86">
        <f>+M178-L178+M179-L179</f>
        <v>-11.259000000000015</v>
      </c>
      <c r="N331" s="86">
        <f>+N178-M178+N179-M179</f>
        <v>26.254999999999995</v>
      </c>
      <c r="O331" s="86">
        <f>+O178-N178+O179-N179</f>
        <v>24.433000000000021</v>
      </c>
      <c r="P331" s="79">
        <f>SUM(L331:O331)</f>
        <v>54.591000000000008</v>
      </c>
      <c r="Q331" s="86">
        <f>+Q178-P178+Q179-P179</f>
        <v>-9.5769999999999982</v>
      </c>
      <c r="R331" s="86">
        <f>+R178-Q178+R179-Q179</f>
        <v>-57.036000000000016</v>
      </c>
      <c r="S331" s="86">
        <f>+S178-R178+S179-R179</f>
        <v>-43.486999999999995</v>
      </c>
      <c r="T331" s="86">
        <f>+T178-S178+T179-S179</f>
        <v>-3.9370000000000047</v>
      </c>
      <c r="U331" s="79">
        <f>SUM(Q331:T331)</f>
        <v>-114.03700000000001</v>
      </c>
      <c r="V331" s="86">
        <f>+V178-U178+V179-U179</f>
        <v>-44.057000000000002</v>
      </c>
      <c r="W331" s="86">
        <f>+W178-V178+W179-V179</f>
        <v>4.9009999999999998</v>
      </c>
      <c r="X331" s="86">
        <f>+X178-W178+X179-W179</f>
        <v>-11.888</v>
      </c>
      <c r="Y331" s="86">
        <f>+Y178-X178+Y179-X179</f>
        <v>1.0190000000000001</v>
      </c>
      <c r="Z331" s="79">
        <f>SUM(V331:Y331)</f>
        <v>-50.025000000000006</v>
      </c>
      <c r="AA331" s="86">
        <f>+AA178-Z178+AA179-Z179</f>
        <v>29.585000000000001</v>
      </c>
      <c r="AB331" s="86">
        <f>+AB178-AA178+AB179-AA179</f>
        <v>10.586999999999996</v>
      </c>
      <c r="AC331" s="86">
        <f>+AC178-AB178+AC179-AB179</f>
        <v>20.353999999999999</v>
      </c>
      <c r="AD331" s="86">
        <f>+AD178-AC178+AD179-AC179</f>
        <v>1.3670000000000044</v>
      </c>
      <c r="AE331" s="79">
        <f>SUM(AA331:AD331)</f>
        <v>61.893000000000001</v>
      </c>
      <c r="AF331" s="86">
        <f>+AF178-AE178+AF179-AE179</f>
        <v>57.972999999999985</v>
      </c>
      <c r="AG331" s="86">
        <f>+AG178-AF178+AG179-AF179</f>
        <v>9.5</v>
      </c>
      <c r="AH331" s="86">
        <f>+AH178-AG178+AH179-AG179</f>
        <v>13.400000000000006</v>
      </c>
      <c r="AI331" s="86">
        <f>+AI178-AH178+AI179-AH179</f>
        <v>-53.599999999999994</v>
      </c>
      <c r="AJ331" s="79">
        <f>SUM(AF331:AI331)</f>
        <v>27.272999999999996</v>
      </c>
      <c r="AK331" s="86">
        <f>+AK178-AJ178+AK179-AJ179</f>
        <v>-25</v>
      </c>
      <c r="AL331" s="86">
        <f>+AL178-AK178+AL179-AK179</f>
        <v>373</v>
      </c>
      <c r="AM331" s="86">
        <f>+AM178-AL178+AM179-AL179</f>
        <v>7</v>
      </c>
      <c r="AN331" s="86">
        <f>+AN178-AM178+AN179-AM179</f>
        <v>43</v>
      </c>
      <c r="AO331" s="79">
        <f>SUM(AK331:AN331)</f>
        <v>398</v>
      </c>
      <c r="AP331" s="390">
        <f>+AP178-AO178+AP179-AO179</f>
        <v>-256</v>
      </c>
      <c r="AQ331" s="390">
        <f>+AQ178-AP178+AQ179-AP179</f>
        <v>106</v>
      </c>
      <c r="AR331" s="390">
        <f>+AR178-AQ178+AR179-AQ179</f>
        <v>85</v>
      </c>
      <c r="AS331" s="86">
        <f>+AS178-AR178+AS179-AR179</f>
        <v>20</v>
      </c>
      <c r="AT331" s="79">
        <f>SUM(AP331:AS331)</f>
        <v>-45</v>
      </c>
      <c r="AU331" s="390">
        <f>+AU178-AT178+AU179-AT179</f>
        <v>-99</v>
      </c>
      <c r="AV331" s="390">
        <f>+AV178-AU178+AV179-AU179</f>
        <v>34</v>
      </c>
      <c r="AW331" s="390">
        <f>+AW178-AV178+AW179-AV179</f>
        <v>29</v>
      </c>
      <c r="AX331" s="390">
        <f>+AX178-AW178+AX179-AW179</f>
        <v>82</v>
      </c>
      <c r="AY331" s="667">
        <f>SUM(AU331:AX331)</f>
        <v>46</v>
      </c>
      <c r="AZ331" s="390">
        <f>+AZ178-AY178+AZ179-AY179</f>
        <v>-72</v>
      </c>
      <c r="BA331" s="390">
        <f>+BA178-AZ178+BA179-AZ179</f>
        <v>14</v>
      </c>
      <c r="BB331" s="390">
        <f>+BB178-BA178+BB179-BA179</f>
        <v>6</v>
      </c>
      <c r="BC331" s="390">
        <f>+BC178-BB178+BC179-BB179</f>
        <v>34</v>
      </c>
      <c r="BD331" s="667">
        <f>SUM(AZ331:BC331)</f>
        <v>-18</v>
      </c>
      <c r="BE331" s="251">
        <f>+BE178-BD178+BE179-BD179</f>
        <v>-53</v>
      </c>
      <c r="BF331" s="390">
        <f>+BF178-BE178+BF179-BE179</f>
        <v>22</v>
      </c>
      <c r="BG331" s="390">
        <f>+BG178-BF178+BG179-BF179</f>
        <v>-77</v>
      </c>
      <c r="BH331" s="390">
        <f>+BH178-BG178+BH179-BG179</f>
        <v>135</v>
      </c>
      <c r="BI331" s="667">
        <f>SUM(BE331:BH331)</f>
        <v>27</v>
      </c>
      <c r="BJ331" s="251">
        <f>+BJ178-BI178+BJ179-BI179</f>
        <v>-32</v>
      </c>
      <c r="BK331" s="390">
        <f>+BK178-BJ178+BK179-BJ179</f>
        <v>19.967821662790357</v>
      </c>
      <c r="BL331" s="390">
        <f>+BL178-BK178+BL179-BK179</f>
        <v>-71.967821662790357</v>
      </c>
      <c r="BM331" s="390">
        <f>+BM178-BL178+BM179-BL179</f>
        <v>107</v>
      </c>
      <c r="BN331" s="667">
        <f>SUM(BJ331:BM331)</f>
        <v>23</v>
      </c>
      <c r="BO331" s="251">
        <f>+BO178-BN178+BO179-BN179</f>
        <v>-190</v>
      </c>
      <c r="BP331" s="251">
        <f>+BP178-BO178+BP179-BO179</f>
        <v>23.915446617615885</v>
      </c>
      <c r="BQ331" s="251">
        <f>+BQ178-BP178+BQ179-BP179</f>
        <v>25.750103447263029</v>
      </c>
      <c r="BR331" s="251">
        <f>+BR178-BQ178+BR179-BQ179</f>
        <v>35.757520405470245</v>
      </c>
      <c r="BS331" s="667">
        <f>SUM(BO331:BR331)</f>
        <v>-104.57692952965084</v>
      </c>
      <c r="BT331" s="251">
        <f>+BT178-BS178+BT179-BS179</f>
        <v>13.658974280815642</v>
      </c>
      <c r="BU331" s="251">
        <f>+BU178-BT178+BU179-BT179</f>
        <v>25.329376435658105</v>
      </c>
      <c r="BV331" s="251">
        <f>+BV178-BU178+BV179-BU179</f>
        <v>27.303969633575775</v>
      </c>
      <c r="BW331" s="251">
        <f>+BW178-BV178+BW179-BV179</f>
        <v>37.89327134966976</v>
      </c>
      <c r="BX331" s="667">
        <f>SUM(BT331:BW331)</f>
        <v>104.18559169971928</v>
      </c>
      <c r="BY331" s="394">
        <f>+BY178-BX178+BY179-BX179</f>
        <v>109.5719416200252</v>
      </c>
      <c r="BZ331" s="394">
        <f>+BZ178-BY178+BZ179-BY179</f>
        <v>115.28201256784416</v>
      </c>
      <c r="CA331" s="394">
        <f>+CA178-BZ178+CA179-BZ179</f>
        <v>120.68332831596092</v>
      </c>
      <c r="CB331" s="470"/>
      <c r="CC331" s="1360"/>
      <c r="CD331" s="251"/>
      <c r="CE331" s="668"/>
      <c r="CF331" s="668"/>
      <c r="CG331" s="668"/>
      <c r="CH331" s="668"/>
      <c r="CI331" s="668"/>
      <c r="CJ331" s="668"/>
      <c r="CK331" s="668"/>
      <c r="CL331" s="668"/>
      <c r="CM331" s="668"/>
      <c r="CN331" s="668"/>
      <c r="CO331" s="668"/>
      <c r="CP331" s="668"/>
      <c r="CQ331" s="668"/>
      <c r="CR331" s="668"/>
      <c r="CS331" s="668"/>
      <c r="CT331" s="668"/>
      <c r="CU331" s="668"/>
      <c r="CV331" s="668"/>
      <c r="CW331" s="668"/>
      <c r="CX331" s="668"/>
      <c r="CY331" s="668"/>
      <c r="CZ331" s="668"/>
      <c r="DA331" s="86"/>
      <c r="DB331" s="669"/>
      <c r="DC331"/>
      <c r="DD331"/>
      <c r="DE331"/>
      <c r="DF331"/>
      <c r="DG331"/>
      <c r="DH331"/>
    </row>
    <row r="332" spans="1:112" s="82" customFormat="1" ht="12" customHeight="1">
      <c r="A332" s="666" t="s">
        <v>88</v>
      </c>
      <c r="B332" s="79"/>
      <c r="C332" s="79">
        <f t="shared" ref="C332:J332" si="589">+C60</f>
        <v>576.76</v>
      </c>
      <c r="D332" s="79">
        <f t="shared" si="589"/>
        <v>687.65000000000009</v>
      </c>
      <c r="E332" s="79">
        <f t="shared" si="589"/>
        <v>755.82300000000043</v>
      </c>
      <c r="F332" s="79">
        <f t="shared" si="589"/>
        <v>844.30599999999936</v>
      </c>
      <c r="G332" s="251">
        <f t="shared" si="589"/>
        <v>74.220000000000155</v>
      </c>
      <c r="H332" s="86">
        <f t="shared" si="589"/>
        <v>220.96100000000001</v>
      </c>
      <c r="I332" s="86">
        <f t="shared" si="589"/>
        <v>382.27300000000002</v>
      </c>
      <c r="J332" s="86">
        <f t="shared" si="589"/>
        <v>204.77700000000021</v>
      </c>
      <c r="K332" s="79">
        <f>SUM(G332:J332)</f>
        <v>882.23100000000045</v>
      </c>
      <c r="L332" s="251">
        <f>+L60</f>
        <v>143.83800000000005</v>
      </c>
      <c r="M332" s="86">
        <f>+M60</f>
        <v>277.07800000000026</v>
      </c>
      <c r="N332" s="86">
        <f>+N60</f>
        <v>452.01799999999992</v>
      </c>
      <c r="O332" s="86">
        <f>+O60</f>
        <v>140.62499999999989</v>
      </c>
      <c r="P332" s="79">
        <f>SUM(L332:O332)</f>
        <v>1013.5590000000001</v>
      </c>
      <c r="Q332" s="251">
        <f>+Q60</f>
        <v>81.109999999999786</v>
      </c>
      <c r="R332" s="86">
        <f>+R60</f>
        <v>212.29399999999993</v>
      </c>
      <c r="S332" s="86">
        <f>+S60</f>
        <v>390.16600000000034</v>
      </c>
      <c r="T332" s="86">
        <f>+T60</f>
        <v>115.92100000000033</v>
      </c>
      <c r="U332" s="79">
        <f>SUM(Q332:T332)</f>
        <v>799.49100000000044</v>
      </c>
      <c r="V332" s="251">
        <f>+V60</f>
        <v>63.003999999999884</v>
      </c>
      <c r="W332" s="86">
        <f>+W60</f>
        <v>164.09299999999979</v>
      </c>
      <c r="X332" s="86">
        <f>+X60</f>
        <v>336.11100000000016</v>
      </c>
      <c r="Y332" s="86">
        <f>+Y60</f>
        <v>167.24299999999963</v>
      </c>
      <c r="Z332" s="79">
        <f>SUM(V332:Y332)</f>
        <v>730.45099999999945</v>
      </c>
      <c r="AA332" s="251">
        <f>+AA60</f>
        <v>103.30000000000004</v>
      </c>
      <c r="AB332" s="86">
        <f>+AB60</f>
        <v>191.09999999999982</v>
      </c>
      <c r="AC332" s="86">
        <f>+AC60</f>
        <v>379.90000000000015</v>
      </c>
      <c r="AD332" s="86">
        <f>+AD60</f>
        <v>153.80500000000021</v>
      </c>
      <c r="AE332" s="79">
        <f>SUM(AA332:AD332)</f>
        <v>828.10500000000013</v>
      </c>
      <c r="AF332" s="251">
        <f>+AF60</f>
        <v>120</v>
      </c>
      <c r="AG332" s="86">
        <f>+AG60</f>
        <v>211</v>
      </c>
      <c r="AH332" s="86">
        <f>+AH60</f>
        <v>365.69999999999993</v>
      </c>
      <c r="AI332" s="86">
        <f>+AI60</f>
        <v>214</v>
      </c>
      <c r="AJ332" s="79">
        <f>SUM(AF332:AI332)</f>
        <v>910.69999999999993</v>
      </c>
      <c r="AK332" s="251">
        <f>+AK60</f>
        <v>123</v>
      </c>
      <c r="AL332" s="86">
        <f>+AL60</f>
        <v>216</v>
      </c>
      <c r="AM332" s="86">
        <f>+AM60</f>
        <v>314</v>
      </c>
      <c r="AN332" s="86">
        <f>+AN60</f>
        <v>-214</v>
      </c>
      <c r="AO332" s="79">
        <f>SUM(AK332:AN332)</f>
        <v>439</v>
      </c>
      <c r="AP332" s="395">
        <f>+AP60</f>
        <v>735</v>
      </c>
      <c r="AQ332" s="395">
        <f>+AQ60</f>
        <v>254</v>
      </c>
      <c r="AR332" s="395">
        <f>+AR60</f>
        <v>215</v>
      </c>
      <c r="AS332" s="86">
        <f>+AS60</f>
        <v>171</v>
      </c>
      <c r="AT332" s="79">
        <f>SUM(AP332:AS332)</f>
        <v>1375</v>
      </c>
      <c r="AU332" s="395">
        <f>+AU60</f>
        <v>248.01</v>
      </c>
      <c r="AV332" s="395">
        <f>+AV60</f>
        <v>291.5</v>
      </c>
      <c r="AW332" s="395">
        <f>+AW60</f>
        <v>190</v>
      </c>
      <c r="AX332" s="395">
        <f>+AX60</f>
        <v>-845</v>
      </c>
      <c r="AY332" s="79">
        <f>SUM(AU332:AX332)</f>
        <v>-115.49000000000001</v>
      </c>
      <c r="AZ332" s="395">
        <f>+AZ60</f>
        <v>303</v>
      </c>
      <c r="BA332" s="395">
        <f>+BA60</f>
        <v>352.9</v>
      </c>
      <c r="BB332" s="395">
        <f>+BB60</f>
        <v>252</v>
      </c>
      <c r="BC332" s="395">
        <f>+BC60</f>
        <v>248</v>
      </c>
      <c r="BD332" s="79">
        <f>SUM(AZ332:BC332)</f>
        <v>1155.9000000000001</v>
      </c>
      <c r="BE332" s="251">
        <f>+BE60</f>
        <v>294</v>
      </c>
      <c r="BF332" s="395">
        <f>+BF60</f>
        <v>383</v>
      </c>
      <c r="BG332" s="395">
        <f>+BG60</f>
        <v>891</v>
      </c>
      <c r="BH332" s="395">
        <f>+BH60</f>
        <v>537</v>
      </c>
      <c r="BI332" s="79">
        <f>SUM(BE332:BH332)</f>
        <v>2105</v>
      </c>
      <c r="BJ332" s="251">
        <f>+BJ60</f>
        <v>399</v>
      </c>
      <c r="BK332" s="395">
        <f>+BK60</f>
        <v>421</v>
      </c>
      <c r="BL332" s="395">
        <f>+BL60</f>
        <v>414</v>
      </c>
      <c r="BM332" s="395">
        <f>+BM60</f>
        <v>263</v>
      </c>
      <c r="BN332" s="79">
        <f>SUM(BJ332:BM332)</f>
        <v>1497</v>
      </c>
      <c r="BO332" s="251">
        <f>+BO60</f>
        <v>491</v>
      </c>
      <c r="BP332" s="78">
        <f>+BP60</f>
        <v>505.44432064842817</v>
      </c>
      <c r="BQ332" s="78">
        <f>+BQ60</f>
        <v>490.75264691161249</v>
      </c>
      <c r="BR332" s="78">
        <f>+BR60</f>
        <v>513.18309519017316</v>
      </c>
      <c r="BS332" s="79">
        <f>SUM(BO332:BR332)</f>
        <v>2000.3800627502139</v>
      </c>
      <c r="BT332" s="78">
        <f>+BT60</f>
        <v>529.72159998453765</v>
      </c>
      <c r="BU332" s="78">
        <f>+BU60</f>
        <v>569.39057781856923</v>
      </c>
      <c r="BV332" s="78">
        <f>+BV60</f>
        <v>554.89689699477572</v>
      </c>
      <c r="BW332" s="78">
        <f>+BW60</f>
        <v>578.36736437681543</v>
      </c>
      <c r="BX332" s="79">
        <f>SUM(BT332:BW332)</f>
        <v>2232.3764391746981</v>
      </c>
      <c r="BY332" s="414">
        <f>+BY60</f>
        <v>2385.8773254809907</v>
      </c>
      <c r="BZ332" s="414">
        <f>+BZ60</f>
        <v>2555.4273521465598</v>
      </c>
      <c r="CA332" s="414">
        <f>+CA60</f>
        <v>2714.4698234743423</v>
      </c>
      <c r="CB332" s="470"/>
      <c r="CC332" s="1360"/>
      <c r="CD332" s="251"/>
      <c r="CE332" s="584"/>
      <c r="CF332" s="584"/>
      <c r="CG332" s="584"/>
      <c r="CH332" s="584"/>
      <c r="CI332" s="584"/>
      <c r="CJ332" s="584"/>
      <c r="CK332" s="584"/>
      <c r="CL332" s="584"/>
      <c r="CM332" s="584"/>
      <c r="CN332" s="584"/>
      <c r="CO332" s="584"/>
      <c r="CP332" s="584"/>
      <c r="CQ332" s="584"/>
      <c r="CR332" s="584"/>
      <c r="CS332" s="584"/>
      <c r="CT332" s="584"/>
      <c r="CU332" s="584"/>
      <c r="CV332" s="584"/>
      <c r="CW332" s="584"/>
      <c r="CX332" s="584"/>
      <c r="CY332" s="584"/>
      <c r="CZ332" s="584"/>
      <c r="DA332" s="86"/>
      <c r="DB332" s="670"/>
      <c r="DC332"/>
      <c r="DD332"/>
      <c r="DE332"/>
      <c r="DF332"/>
      <c r="DG332"/>
      <c r="DH332"/>
    </row>
    <row r="333" spans="1:112" s="82" customFormat="1" ht="12" customHeight="1">
      <c r="A333" s="666" t="s">
        <v>243</v>
      </c>
      <c r="B333" s="79"/>
      <c r="C333" s="79">
        <f t="shared" ref="C333:J333" si="590">+C119</f>
        <v>-197.01599999999999</v>
      </c>
      <c r="D333" s="79">
        <f t="shared" si="590"/>
        <v>-206.54300000000001</v>
      </c>
      <c r="E333" s="79">
        <f t="shared" si="590"/>
        <v>-228.166</v>
      </c>
      <c r="F333" s="79">
        <f t="shared" si="590"/>
        <v>-246.048</v>
      </c>
      <c r="G333" s="251">
        <f t="shared" si="590"/>
        <v>-66.325999999999993</v>
      </c>
      <c r="H333" s="86">
        <f t="shared" si="590"/>
        <v>-65.53400000000002</v>
      </c>
      <c r="I333" s="86">
        <f t="shared" si="590"/>
        <v>-64.164999999999992</v>
      </c>
      <c r="J333" s="86">
        <f t="shared" si="590"/>
        <v>-64.297999999999973</v>
      </c>
      <c r="K333" s="79">
        <f>SUM(G333:J333)</f>
        <v>-260.32299999999998</v>
      </c>
      <c r="L333" s="86">
        <f>+L119</f>
        <v>-72.759</v>
      </c>
      <c r="M333" s="86">
        <f>+M119</f>
        <v>-69.566999999999993</v>
      </c>
      <c r="N333" s="86">
        <f>+N119</f>
        <v>-68.647000000000006</v>
      </c>
      <c r="O333" s="86">
        <f>+O119</f>
        <v>-66.772999999999982</v>
      </c>
      <c r="P333" s="79">
        <f>SUM(L333:O333)</f>
        <v>-277.74599999999998</v>
      </c>
      <c r="Q333" s="86">
        <f>+Q119</f>
        <v>-71.015000000000001</v>
      </c>
      <c r="R333" s="86">
        <f>+R119</f>
        <v>-71.096999999999994</v>
      </c>
      <c r="S333" s="86">
        <f>+S119</f>
        <v>-69.044000000000025</v>
      </c>
      <c r="T333" s="86">
        <f>+T119</f>
        <v>-69.298999999999964</v>
      </c>
      <c r="U333" s="79">
        <f>SUM(Q333:T333)</f>
        <v>-280.45499999999998</v>
      </c>
      <c r="V333" s="86">
        <f>+V119</f>
        <v>-70.850999999999999</v>
      </c>
      <c r="W333" s="86">
        <f>+W119</f>
        <v>-70.899000000000001</v>
      </c>
      <c r="X333" s="86">
        <f>+X119</f>
        <v>-70.927999999999997</v>
      </c>
      <c r="Y333" s="86">
        <f>+Y119</f>
        <v>-68.875</v>
      </c>
      <c r="Z333" s="79">
        <f>SUM(V333:Y333)</f>
        <v>-281.553</v>
      </c>
      <c r="AA333" s="86">
        <f>+AA119</f>
        <v>-74.099999999999994</v>
      </c>
      <c r="AB333" s="86">
        <f>+AB119</f>
        <v>-74.099999999999994</v>
      </c>
      <c r="AC333" s="86">
        <f>+AC119</f>
        <v>-73.100000000000023</v>
      </c>
      <c r="AD333" s="86">
        <f>+AD119</f>
        <v>-70.956999999999994</v>
      </c>
      <c r="AE333" s="79">
        <f>SUM(AA333:AD333)</f>
        <v>-292.25700000000001</v>
      </c>
      <c r="AF333" s="86">
        <f>+AF119</f>
        <v>-76.7</v>
      </c>
      <c r="AG333" s="86">
        <f>+AG119</f>
        <v>-75.7</v>
      </c>
      <c r="AH333" s="86">
        <f>+AH119</f>
        <v>-72.3</v>
      </c>
      <c r="AI333" s="86">
        <f>+AI119</f>
        <v>-71.300000000000011</v>
      </c>
      <c r="AJ333" s="79">
        <f>SUM(AF333:AI333)</f>
        <v>-296</v>
      </c>
      <c r="AK333" s="86">
        <f>+AK119</f>
        <v>-74</v>
      </c>
      <c r="AL333" s="86">
        <f>+AL119</f>
        <v>-71</v>
      </c>
      <c r="AM333" s="86">
        <f>+AM119</f>
        <v>-71</v>
      </c>
      <c r="AN333" s="86">
        <f>+AN119</f>
        <v>-768</v>
      </c>
      <c r="AO333" s="79">
        <f>SUM(AK333:AN333)</f>
        <v>-984</v>
      </c>
      <c r="AP333" s="390">
        <f>+AP119</f>
        <v>-79</v>
      </c>
      <c r="AQ333" s="390">
        <f>+AQ119</f>
        <v>-77</v>
      </c>
      <c r="AR333" s="390">
        <f>+AR119</f>
        <v>-76</v>
      </c>
      <c r="AS333" s="86">
        <f>+AS119</f>
        <v>-76</v>
      </c>
      <c r="AT333" s="79">
        <f>SUM(AP333:AS333)</f>
        <v>-308</v>
      </c>
      <c r="AU333" s="390">
        <f>+AU119</f>
        <v>-82</v>
      </c>
      <c r="AV333" s="390">
        <f>+AV119</f>
        <v>-81</v>
      </c>
      <c r="AW333" s="390">
        <f>+AW119</f>
        <v>-82</v>
      </c>
      <c r="AX333" s="390">
        <f>+AX119</f>
        <v>-81</v>
      </c>
      <c r="AY333" s="79">
        <f>SUM(AU333:AX333)</f>
        <v>-326</v>
      </c>
      <c r="AZ333" s="390">
        <f>+AZ119</f>
        <v>-94</v>
      </c>
      <c r="BA333" s="390">
        <f>+BA119</f>
        <v>-91</v>
      </c>
      <c r="BB333" s="390">
        <f>+BB119</f>
        <v>-89</v>
      </c>
      <c r="BC333" s="390">
        <f>+BC119</f>
        <v>-89</v>
      </c>
      <c r="BD333" s="79">
        <f>SUM(AZ333:BC333)</f>
        <v>-363</v>
      </c>
      <c r="BE333" s="251">
        <f>+BE119</f>
        <v>-96</v>
      </c>
      <c r="BF333" s="390">
        <f>+BF119</f>
        <v>-95</v>
      </c>
      <c r="BG333" s="390">
        <f>+BG119</f>
        <v>-95</v>
      </c>
      <c r="BH333" s="390">
        <f>+BH119</f>
        <v>-94</v>
      </c>
      <c r="BI333" s="79">
        <f>SUM(BE333:BH333)</f>
        <v>-380</v>
      </c>
      <c r="BJ333" s="251">
        <f>+BJ119</f>
        <v>-106</v>
      </c>
      <c r="BK333" s="390">
        <f>+BK119</f>
        <v>-106</v>
      </c>
      <c r="BL333" s="390">
        <f>+BL119</f>
        <v>-104</v>
      </c>
      <c r="BM333" s="390">
        <f>+BM119</f>
        <v>-105</v>
      </c>
      <c r="BN333" s="79">
        <f>SUM(BJ333:BM333)</f>
        <v>-421</v>
      </c>
      <c r="BO333" s="251">
        <f>+BO119</f>
        <v>-127</v>
      </c>
      <c r="BP333" s="78">
        <f>+BP119</f>
        <v>-126.26747015991721</v>
      </c>
      <c r="BQ333" s="78">
        <f>+BQ119</f>
        <v>-125.83116123919596</v>
      </c>
      <c r="BR333" s="78">
        <f>+BR119</f>
        <v>-125.06218717080796</v>
      </c>
      <c r="BS333" s="79">
        <f>SUM(BO333:BR333)</f>
        <v>-504.16081856992116</v>
      </c>
      <c r="BT333" s="78">
        <f>+BT119</f>
        <v>-216.95092798550797</v>
      </c>
      <c r="BU333" s="78">
        <f>+BU119</f>
        <v>-215.80033702952898</v>
      </c>
      <c r="BV333" s="78">
        <f>+BV119</f>
        <v>-215.16279773766735</v>
      </c>
      <c r="BW333" s="78">
        <f>+BW119</f>
        <v>-213.94345894261292</v>
      </c>
      <c r="BX333" s="79">
        <f>SUM(BT333:BW333)</f>
        <v>-861.85752169531713</v>
      </c>
      <c r="BY333" s="414">
        <f>+BY119</f>
        <v>-925.72808427118025</v>
      </c>
      <c r="BZ333" s="414">
        <f>+BZ119</f>
        <v>-995.20731468298243</v>
      </c>
      <c r="CA333" s="414">
        <f>+CA119</f>
        <v>-1052.8493174177152</v>
      </c>
      <c r="CB333" s="470"/>
      <c r="CC333" s="1360"/>
      <c r="CD333" s="251"/>
      <c r="CE333" s="668"/>
      <c r="CF333" s="668"/>
      <c r="CG333" s="668"/>
      <c r="CH333" s="668"/>
      <c r="CI333" s="668"/>
      <c r="CJ333" s="668"/>
      <c r="CK333" s="668"/>
      <c r="CL333" s="668"/>
      <c r="CM333" s="668"/>
      <c r="CN333" s="668"/>
      <c r="CO333" s="668"/>
      <c r="CP333" s="668"/>
      <c r="CQ333" s="668"/>
      <c r="CR333" s="668"/>
      <c r="CS333" s="668"/>
      <c r="CT333" s="668"/>
      <c r="CU333" s="668"/>
      <c r="CV333" s="668"/>
      <c r="CW333" s="668"/>
      <c r="CX333" s="668"/>
      <c r="CY333" s="668"/>
      <c r="CZ333" s="668"/>
      <c r="DA333" s="86"/>
      <c r="DB333" s="669"/>
      <c r="DC333"/>
      <c r="DD333"/>
      <c r="DE333"/>
      <c r="DF333"/>
      <c r="DG333"/>
      <c r="DH333"/>
    </row>
    <row r="334" spans="1:112" s="82" customFormat="1" ht="12" customHeight="1">
      <c r="A334" s="666" t="s">
        <v>268</v>
      </c>
      <c r="B334" s="79"/>
      <c r="C334" s="79">
        <f t="shared" ref="C334:J334" si="591">+C181-B181+C180-B180-C332-C333+C182-B182</f>
        <v>-82.580000000000382</v>
      </c>
      <c r="D334" s="79">
        <f t="shared" si="591"/>
        <v>-96.969999999999914</v>
      </c>
      <c r="E334" s="79">
        <f t="shared" si="591"/>
        <v>-127.53800000000081</v>
      </c>
      <c r="F334" s="79">
        <f t="shared" si="591"/>
        <v>-562.65399999999954</v>
      </c>
      <c r="G334" s="251">
        <f t="shared" si="591"/>
        <v>-860.7950000000003</v>
      </c>
      <c r="H334" s="86">
        <f t="shared" si="591"/>
        <v>-307.69100000000026</v>
      </c>
      <c r="I334" s="86">
        <f t="shared" si="591"/>
        <v>99.26299999999992</v>
      </c>
      <c r="J334" s="86">
        <f t="shared" si="591"/>
        <v>-99.790999999999713</v>
      </c>
      <c r="K334" s="79">
        <f>SUM(G334:J334)</f>
        <v>-1169.0140000000004</v>
      </c>
      <c r="L334" s="86">
        <f>+L181-K181+L180-K180-L332-L333+L182-K182</f>
        <v>-790.2810000000004</v>
      </c>
      <c r="M334" s="86">
        <f>+M181-L181+M180-L180-M332-M333+M182-L182</f>
        <v>-280.13800000000083</v>
      </c>
      <c r="N334" s="86">
        <f>+N181-M181+N180-M180-N332-N333+N182-M182</f>
        <v>-571.41300000000047</v>
      </c>
      <c r="O334" s="86">
        <f>+O181-N181+O180-N180-O332-O333+O182-N182</f>
        <v>-221.53999999999996</v>
      </c>
      <c r="P334" s="79">
        <f>SUM(L334:O334)</f>
        <v>-1863.3720000000017</v>
      </c>
      <c r="Q334" s="86">
        <f>+Q181-P181+Q180-P180-Q332-Q333+Q182-P182</f>
        <v>-86.581999999998516</v>
      </c>
      <c r="R334" s="86">
        <f>+R181-Q181+R180-Q180-R332-R333+R182-Q182</f>
        <v>-94.57300000000032</v>
      </c>
      <c r="S334" s="86">
        <f>+S181-R181+S180-R180-S332-S333+S182-R182</f>
        <v>-154.44899999999961</v>
      </c>
      <c r="T334" s="86">
        <f>+T181-S181+T180-S180-T332-T333+T182-S182</f>
        <v>-393.70900000000074</v>
      </c>
      <c r="U334" s="79">
        <f>SUM(Q334:T334)</f>
        <v>-729.31299999999919</v>
      </c>
      <c r="V334" s="86">
        <f>+V181-U181+V180-U180-V332-V333+V182-U182</f>
        <v>4.7739999999994325</v>
      </c>
      <c r="W334" s="86">
        <f>+W181-V181+W180-V180-W332-W333+W182-V182</f>
        <v>60.139000000001943</v>
      </c>
      <c r="X334" s="86">
        <f>+X181-W181+X180-W180-X332-X333+X182-W182</f>
        <v>30.270999999999731</v>
      </c>
      <c r="Y334" s="86">
        <f>+Y181-X181+Y180-X180-Y332-Y333+Y182-X182</f>
        <v>70.894000000000233</v>
      </c>
      <c r="Z334" s="79">
        <f>SUM(V334:Y334)</f>
        <v>166.07800000000134</v>
      </c>
      <c r="AA334" s="86">
        <f>+AA181-Z181+AA180-Z180-AA332-AA333+AA182-Z182</f>
        <v>-5.2759999999998399</v>
      </c>
      <c r="AB334" s="86">
        <f>+AB181-AA181+AB180-AA180-AB332-AB333+AB182-AA182</f>
        <v>-185.4369999999999</v>
      </c>
      <c r="AC334" s="86">
        <f>+AC181-AB181+AC180-AB180-AC332-AC333+AC182-AB182</f>
        <v>-40.034999999999854</v>
      </c>
      <c r="AD334" s="86">
        <f>+AD181-AC181+AD180-AC180-AD332-AD333+AD182-AC182</f>
        <v>-3.9840000000012878</v>
      </c>
      <c r="AE334" s="79">
        <f>SUM(AA334:AD334)</f>
        <v>-234.73200000000088</v>
      </c>
      <c r="AF334" s="86">
        <f>+AF181-AE181+AF180-AE180-AF332-AF333+AF182-AE182</f>
        <v>-82.368999999999687</v>
      </c>
      <c r="AG334" s="86">
        <f>+AG181-AF181+AG180-AF180-AG332-AG333+AG182-AF182</f>
        <v>-119</v>
      </c>
      <c r="AH334" s="86">
        <f>+AH181-AG181+AH180-AG180-AH332-AH333+AH182-AG182</f>
        <v>-353.60000000000036</v>
      </c>
      <c r="AI334" s="86">
        <f>+AI181-AH181+AI180-AH180-AI332-AI333+AI182-AH182</f>
        <v>-789.30000000000018</v>
      </c>
      <c r="AJ334" s="79">
        <f>SUM(AF334:AI334)</f>
        <v>-1344.2690000000002</v>
      </c>
      <c r="AK334" s="86">
        <f>+AK181-AJ181+AK180-AJ180-AK332-AK333+AK182-AJ182</f>
        <v>174</v>
      </c>
      <c r="AL334" s="86">
        <f>+AL181-AK181+AL180-AK180-AL332-AL333+AL182-AK182</f>
        <v>-561</v>
      </c>
      <c r="AM334" s="86">
        <f>+AM181-AL181+AM180-AL180-AM332-AM333+AM182-AL182</f>
        <v>-127</v>
      </c>
      <c r="AN334" s="86">
        <f>+AN181-AM181+AN180-AM180-AN332-AN333+AN182-AM182</f>
        <v>-80</v>
      </c>
      <c r="AO334" s="79">
        <f>SUM(AK334:AN334)</f>
        <v>-594</v>
      </c>
      <c r="AP334" s="86">
        <f>+AP181-AO181+AP180-AO180-AP332-AP333+AP182-AO182</f>
        <v>-137</v>
      </c>
      <c r="AQ334" s="86">
        <f>+AQ181-AP181+AQ180-AP180-AQ332-AQ333+AQ182-AP182</f>
        <v>-90</v>
      </c>
      <c r="AR334" s="86">
        <f>+AR181-AQ181+AR180-AQ180-AR332-AR333+AR182-AQ182</f>
        <v>-470</v>
      </c>
      <c r="AS334" s="86">
        <f>+AS181-AR181+AS180-AR180-AS332-AS333+AS182-AR182</f>
        <v>209</v>
      </c>
      <c r="AT334" s="79">
        <f>SUM(AP334:AS334)</f>
        <v>-488</v>
      </c>
      <c r="AU334" s="86">
        <f>+AU181-AT181+AU180-AT180-AU332-AU333+AU182-AT182</f>
        <v>-5.0100000000002183</v>
      </c>
      <c r="AV334" s="86">
        <f>+AV181-AU181+AV180-AU180-AV332-AV333+AV182-AU182</f>
        <v>-165.5</v>
      </c>
      <c r="AW334" s="86">
        <f>+AW181-AV181+AW180-AV180-AW332-AW333+AW182-AV182</f>
        <v>-38</v>
      </c>
      <c r="AX334" s="86">
        <f>+AX181-AW181+AX180-AW180-AX332-AX333+AX182-AW182</f>
        <v>-209</v>
      </c>
      <c r="AY334" s="667">
        <f>SUM(AU334:AX334)</f>
        <v>-417.51000000000022</v>
      </c>
      <c r="AZ334" s="86">
        <f>+AZ181-AY181+AZ180-AY180-AZ332-AZ333+AZ182-AY182</f>
        <v>-86</v>
      </c>
      <c r="BA334" s="86">
        <f>+BA181-AZ181+BA180-AZ180-BA332-BA333+BA182-AZ182</f>
        <v>-51.899999999999636</v>
      </c>
      <c r="BB334" s="86">
        <f>+BB181-BA181+BB180-BA180-BB332-BB333+BB182-BA182</f>
        <v>-274</v>
      </c>
      <c r="BC334" s="86">
        <f>+BC181-BB181+BC180-BB180-BC332-BC333+BC182-BB182</f>
        <v>-657</v>
      </c>
      <c r="BD334" s="667">
        <f>SUM(AZ334:BC334)</f>
        <v>-1068.8999999999996</v>
      </c>
      <c r="BE334" s="251">
        <f>+BE181-BD181+BE180-BD180-BE332-BE333+BE182-BD182</f>
        <v>-117</v>
      </c>
      <c r="BF334" s="86">
        <f>+BF181-BE181+BF180-BE180-BF332-BF333+BF182-BE182</f>
        <v>-156</v>
      </c>
      <c r="BG334" s="86">
        <f>+BG181-BF181+BG180-BF180-BG332-BG333+BG182-BF182</f>
        <v>-633</v>
      </c>
      <c r="BH334" s="86">
        <f>+BH181-BG181+BH180-BG180-BH332-BH333+BH182-BG182</f>
        <v>-390</v>
      </c>
      <c r="BI334" s="667">
        <f>SUM(BE334:BH334)</f>
        <v>-1296</v>
      </c>
      <c r="BJ334" s="251">
        <f>+BJ181-BI181+BJ180-BI180-BJ332-BJ333+BJ182-BI182</f>
        <v>-122</v>
      </c>
      <c r="BK334" s="86">
        <f>+BK181-BJ181+BK180-BJ180-BK332-BK333+BK182-BJ182</f>
        <v>-105</v>
      </c>
      <c r="BL334" s="86">
        <f>+BL181-BK181+BL180-BK180-BL332-BL333+BL182-BK182</f>
        <v>-418</v>
      </c>
      <c r="BM334" s="86">
        <f>+BM181-BL181+BM180-BL180-BM332-BM333+BM182-BL182</f>
        <v>-393</v>
      </c>
      <c r="BN334" s="667">
        <f>SUM(BJ334:BM334)</f>
        <v>-1038</v>
      </c>
      <c r="BO334" s="251">
        <f>+BO181-BN181+BO180-BN180-BO332-BO333+BO182-BN182</f>
        <v>-878</v>
      </c>
      <c r="BP334" s="251">
        <f>+BP181-BO181+BP180-BO180-BP332-BP333+BP182-BO182</f>
        <v>-325</v>
      </c>
      <c r="BQ334" s="251">
        <f>+BQ181-BP181+BQ180-BP180-BQ332-BQ333+BQ182-BP182</f>
        <v>-324.99999999999818</v>
      </c>
      <c r="BR334" s="251">
        <f>+BR181-BQ181+BR180-BQ180-BR332-BR333+BR182-BQ182</f>
        <v>-325</v>
      </c>
      <c r="BS334" s="667">
        <f>SUM(BO334:BR334)</f>
        <v>-1852.9999999999982</v>
      </c>
      <c r="BT334" s="251">
        <f>+BT181-BS181+BT180-BS180-BT332-BT333+BT182-BS182</f>
        <v>-325</v>
      </c>
      <c r="BU334" s="251">
        <f>+BU181-BT181+BU180-BT180-BU332-BU333+BU182-BT182</f>
        <v>-325</v>
      </c>
      <c r="BV334" s="251">
        <f>+BV181-BU181+BV180-BU180-BV332-BV333+BV182-BU182</f>
        <v>-324.99999999999818</v>
      </c>
      <c r="BW334" s="251">
        <f>+BW181-BV181+BW180-BV180-BW332-BW333+BW182-BV182</f>
        <v>-325</v>
      </c>
      <c r="BX334" s="667">
        <f>SUM(BT334:BW334)</f>
        <v>-1299.9999999999982</v>
      </c>
      <c r="BY334" s="384">
        <f>+BY181-BX181+BY180-BX180-BY332-BY333+BY182-BX182</f>
        <v>-1430</v>
      </c>
      <c r="BZ334" s="384">
        <f>+BZ181-BY181+BZ180-BY180-BZ332-BZ333+BZ182-BY182</f>
        <v>-1573</v>
      </c>
      <c r="CA334" s="384">
        <f>+CA181-BZ181+CA180-BZ180-CA332-CA333+CA182-BZ182</f>
        <v>-1730.2999999999993</v>
      </c>
      <c r="CB334" s="470"/>
      <c r="CC334" s="1360"/>
      <c r="CD334" s="251"/>
      <c r="CE334" s="251"/>
      <c r="CF334" s="251"/>
      <c r="CG334" s="251"/>
      <c r="CH334" s="251"/>
      <c r="CI334" s="251"/>
      <c r="CJ334" s="251"/>
      <c r="CK334" s="251"/>
      <c r="CL334" s="251"/>
      <c r="CM334" s="251"/>
      <c r="CN334" s="251"/>
      <c r="CO334" s="251"/>
      <c r="CP334" s="251"/>
      <c r="CQ334" s="251"/>
      <c r="CR334" s="251"/>
      <c r="CS334" s="251"/>
      <c r="CT334" s="251"/>
      <c r="CU334" s="251"/>
      <c r="CV334" s="251"/>
      <c r="CW334" s="251"/>
      <c r="CX334" s="251"/>
      <c r="CY334" s="251"/>
      <c r="CZ334" s="251"/>
      <c r="DA334" s="86"/>
      <c r="DB334" s="399"/>
      <c r="DC334"/>
      <c r="DD334"/>
      <c r="DE334"/>
      <c r="DF334"/>
      <c r="DG334"/>
      <c r="DH334"/>
    </row>
    <row r="335" spans="1:112" ht="5.25" customHeight="1">
      <c r="A335" s="42"/>
      <c r="B335" s="387" t="s">
        <v>62</v>
      </c>
      <c r="C335" s="387" t="s">
        <v>62</v>
      </c>
      <c r="D335" s="387" t="s">
        <v>62</v>
      </c>
      <c r="E335" s="387" t="s">
        <v>62</v>
      </c>
      <c r="F335" s="387" t="s">
        <v>62</v>
      </c>
      <c r="G335" s="388" t="s">
        <v>62</v>
      </c>
      <c r="H335" s="388" t="s">
        <v>62</v>
      </c>
      <c r="I335" s="388" t="s">
        <v>62</v>
      </c>
      <c r="J335" s="388" t="s">
        <v>62</v>
      </c>
      <c r="K335" s="387" t="s">
        <v>62</v>
      </c>
      <c r="L335" s="388" t="s">
        <v>62</v>
      </c>
      <c r="M335" s="388" t="s">
        <v>62</v>
      </c>
      <c r="N335" s="388" t="s">
        <v>62</v>
      </c>
      <c r="O335" s="388" t="s">
        <v>62</v>
      </c>
      <c r="P335" s="387" t="s">
        <v>62</v>
      </c>
      <c r="Q335" s="388" t="s">
        <v>62</v>
      </c>
      <c r="R335" s="388" t="s">
        <v>62</v>
      </c>
      <c r="S335" s="388" t="s">
        <v>62</v>
      </c>
      <c r="T335" s="388" t="s">
        <v>62</v>
      </c>
      <c r="U335" s="387" t="s">
        <v>62</v>
      </c>
      <c r="V335" s="388" t="s">
        <v>62</v>
      </c>
      <c r="W335" s="388" t="s">
        <v>62</v>
      </c>
      <c r="X335" s="388" t="s">
        <v>62</v>
      </c>
      <c r="Y335" s="388" t="s">
        <v>62</v>
      </c>
      <c r="Z335" s="387" t="s">
        <v>62</v>
      </c>
      <c r="AA335" s="388" t="s">
        <v>62</v>
      </c>
      <c r="AB335" s="388" t="s">
        <v>62</v>
      </c>
      <c r="AC335" s="388" t="s">
        <v>62</v>
      </c>
      <c r="AD335" s="388" t="s">
        <v>62</v>
      </c>
      <c r="AE335" s="387" t="s">
        <v>62</v>
      </c>
      <c r="AF335" s="388" t="s">
        <v>62</v>
      </c>
      <c r="AG335" s="388" t="s">
        <v>62</v>
      </c>
      <c r="AH335" s="388" t="s">
        <v>62</v>
      </c>
      <c r="AI335" s="388" t="s">
        <v>62</v>
      </c>
      <c r="AJ335" s="387" t="s">
        <v>62</v>
      </c>
      <c r="AK335" s="388" t="s">
        <v>62</v>
      </c>
      <c r="AL335" s="388" t="s">
        <v>62</v>
      </c>
      <c r="AM335" s="388" t="s">
        <v>62</v>
      </c>
      <c r="AN335" s="388" t="s">
        <v>62</v>
      </c>
      <c r="AO335" s="387" t="s">
        <v>62</v>
      </c>
      <c r="AP335" s="90" t="s">
        <v>62</v>
      </c>
      <c r="AQ335" s="90" t="s">
        <v>62</v>
      </c>
      <c r="AR335" s="90" t="s">
        <v>62</v>
      </c>
      <c r="AS335" s="388" t="s">
        <v>62</v>
      </c>
      <c r="AT335" s="387" t="s">
        <v>62</v>
      </c>
      <c r="AU335" s="90" t="s">
        <v>62</v>
      </c>
      <c r="AV335" s="90" t="s">
        <v>62</v>
      </c>
      <c r="AW335" s="90" t="s">
        <v>62</v>
      </c>
      <c r="AX335" s="388" t="s">
        <v>62</v>
      </c>
      <c r="AY335" s="387" t="s">
        <v>62</v>
      </c>
      <c r="AZ335" s="388" t="s">
        <v>62</v>
      </c>
      <c r="BA335" s="388" t="s">
        <v>62</v>
      </c>
      <c r="BB335" s="388" t="s">
        <v>62</v>
      </c>
      <c r="BC335" s="388" t="s">
        <v>62</v>
      </c>
      <c r="BD335" s="387" t="s">
        <v>62</v>
      </c>
      <c r="BE335" s="388" t="s">
        <v>62</v>
      </c>
      <c r="BF335" s="388" t="s">
        <v>62</v>
      </c>
      <c r="BG335" s="388" t="s">
        <v>62</v>
      </c>
      <c r="BH335" s="388" t="s">
        <v>62</v>
      </c>
      <c r="BI335" s="387" t="s">
        <v>62</v>
      </c>
      <c r="BJ335" s="388" t="s">
        <v>62</v>
      </c>
      <c r="BK335" s="388" t="s">
        <v>62</v>
      </c>
      <c r="BL335" s="388" t="s">
        <v>62</v>
      </c>
      <c r="BM335" s="388" t="s">
        <v>62</v>
      </c>
      <c r="BN335" s="387" t="s">
        <v>62</v>
      </c>
      <c r="BO335" s="388" t="s">
        <v>62</v>
      </c>
      <c r="BP335" s="388" t="s">
        <v>62</v>
      </c>
      <c r="BQ335" s="388" t="s">
        <v>62</v>
      </c>
      <c r="BR335" s="388" t="s">
        <v>62</v>
      </c>
      <c r="BS335" s="387" t="s">
        <v>62</v>
      </c>
      <c r="BT335" s="388" t="s">
        <v>62</v>
      </c>
      <c r="BU335" s="388" t="s">
        <v>62</v>
      </c>
      <c r="BV335" s="388" t="s">
        <v>62</v>
      </c>
      <c r="BW335" s="388" t="s">
        <v>62</v>
      </c>
      <c r="BX335" s="387" t="s">
        <v>62</v>
      </c>
      <c r="BY335" s="99" t="s">
        <v>62</v>
      </c>
      <c r="BZ335" s="99" t="s">
        <v>62</v>
      </c>
      <c r="CA335" s="99" t="s">
        <v>62</v>
      </c>
      <c r="CD335" s="370"/>
      <c r="CE335" s="388"/>
      <c r="CF335" s="388"/>
      <c r="CG335" s="388"/>
      <c r="CH335" s="388"/>
      <c r="CI335" s="388"/>
      <c r="CJ335" s="388"/>
      <c r="CK335" s="388"/>
      <c r="CL335" s="388"/>
      <c r="CM335" s="388"/>
      <c r="CN335" s="388"/>
      <c r="CO335" s="388"/>
      <c r="CP335" s="388"/>
      <c r="CQ335" s="388"/>
      <c r="CR335" s="388"/>
      <c r="CS335" s="388"/>
      <c r="CT335" s="388"/>
      <c r="CU335" s="388"/>
      <c r="CV335" s="388"/>
      <c r="CW335" s="388"/>
      <c r="CX335" s="388"/>
      <c r="CY335" s="388"/>
      <c r="CZ335" s="388"/>
      <c r="DA335" s="58"/>
      <c r="DB335" s="286"/>
    </row>
    <row r="336" spans="1:112" ht="12" customHeight="1">
      <c r="A336" s="416" t="s">
        <v>269</v>
      </c>
      <c r="B336" s="671">
        <f>C329</f>
        <v>1853.8850000000002</v>
      </c>
      <c r="C336" s="671">
        <f>+C329+C331+C332+C333+C334</f>
        <v>2165.8219999999997</v>
      </c>
      <c r="D336" s="671">
        <f t="shared" ref="D336:AH336" si="592">+D329+D331+D332+D333+D334</f>
        <v>2557.0509999999999</v>
      </c>
      <c r="E336" s="671">
        <f t="shared" si="592"/>
        <v>2984.512999999999</v>
      </c>
      <c r="F336" s="671">
        <f t="shared" si="592"/>
        <v>3113.1479999999992</v>
      </c>
      <c r="G336" s="672">
        <f t="shared" si="592"/>
        <v>2329.3459999999995</v>
      </c>
      <c r="H336" s="673">
        <f t="shared" si="592"/>
        <v>2159.0859999999993</v>
      </c>
      <c r="I336" s="673">
        <f>+I329+I331+I332+I333+I334</f>
        <v>2605.8259999999996</v>
      </c>
      <c r="J336" s="673">
        <f t="shared" si="592"/>
        <v>2679.6179999999999</v>
      </c>
      <c r="K336" s="671">
        <f t="shared" si="592"/>
        <v>2679.6179999999995</v>
      </c>
      <c r="L336" s="673">
        <f t="shared" si="592"/>
        <v>1975.5779999999991</v>
      </c>
      <c r="M336" s="673">
        <f t="shared" si="592"/>
        <v>1891.6919999999986</v>
      </c>
      <c r="N336" s="673">
        <f t="shared" si="592"/>
        <v>1729.9049999999984</v>
      </c>
      <c r="O336" s="673">
        <f t="shared" si="592"/>
        <v>1606.6499999999985</v>
      </c>
      <c r="P336" s="671">
        <f t="shared" si="592"/>
        <v>1606.6499999999978</v>
      </c>
      <c r="Q336" s="673">
        <f t="shared" si="592"/>
        <v>1520.5859999999991</v>
      </c>
      <c r="R336" s="673">
        <f t="shared" si="592"/>
        <v>1510.1739999999986</v>
      </c>
      <c r="S336" s="673">
        <f t="shared" si="592"/>
        <v>1633.3599999999992</v>
      </c>
      <c r="T336" s="673">
        <f t="shared" si="592"/>
        <v>1282.3359999999989</v>
      </c>
      <c r="U336" s="671">
        <f t="shared" si="592"/>
        <v>1282.3359999999993</v>
      </c>
      <c r="V336" s="673">
        <f t="shared" si="592"/>
        <v>1235.2059999999988</v>
      </c>
      <c r="W336" s="673">
        <f t="shared" si="592"/>
        <v>1393.4400000000005</v>
      </c>
      <c r="X336" s="673">
        <f t="shared" si="592"/>
        <v>1677.0060000000003</v>
      </c>
      <c r="Y336" s="673">
        <f t="shared" si="592"/>
        <v>1847.2870000000003</v>
      </c>
      <c r="Z336" s="671">
        <f t="shared" si="592"/>
        <v>1847.2870000000003</v>
      </c>
      <c r="AA336" s="673">
        <f t="shared" si="592"/>
        <v>1900.7960000000005</v>
      </c>
      <c r="AB336" s="673">
        <f t="shared" si="592"/>
        <v>1842.9460000000004</v>
      </c>
      <c r="AC336" s="673">
        <f t="shared" si="592"/>
        <v>2130.065000000001</v>
      </c>
      <c r="AD336" s="673">
        <f t="shared" si="592"/>
        <v>2210.2960000000003</v>
      </c>
      <c r="AE336" s="671">
        <f t="shared" si="592"/>
        <v>2210.2959999999994</v>
      </c>
      <c r="AF336" s="673">
        <f t="shared" si="592"/>
        <v>2229.1999999999998</v>
      </c>
      <c r="AG336" s="673">
        <f t="shared" si="592"/>
        <v>2255</v>
      </c>
      <c r="AH336" s="673">
        <f t="shared" si="592"/>
        <v>2208.1999999999994</v>
      </c>
      <c r="AI336" s="673">
        <f>+AI329+AI331+AI332+AI333+AI334</f>
        <v>1507.9999999999991</v>
      </c>
      <c r="AJ336" s="671">
        <f>+AJ329+AJ331+AJ332+AJ333+AJ334</f>
        <v>1507.9999999999991</v>
      </c>
      <c r="AK336" s="673">
        <f>+AK329+AK331+AK332+AK333+AK334</f>
        <v>1705.9999999999991</v>
      </c>
      <c r="AL336" s="673">
        <f>+AL329+AL331+AL332+AL333+AL334</f>
        <v>1662.9999999999991</v>
      </c>
      <c r="AM336" s="673">
        <f>+AM329+AM331+AM332+AM333+AM334</f>
        <v>1785.9999999999991</v>
      </c>
      <c r="AN336" s="673">
        <f t="shared" ref="AN336:BY336" si="593">+AN329+AN331+AN332+AN333+AN334</f>
        <v>766.99999999999909</v>
      </c>
      <c r="AO336" s="671">
        <f t="shared" si="593"/>
        <v>766.99999999999909</v>
      </c>
      <c r="AP336" s="416">
        <f t="shared" si="593"/>
        <v>1029.9999999999991</v>
      </c>
      <c r="AQ336" s="416">
        <f t="shared" si="593"/>
        <v>1222.9999999999991</v>
      </c>
      <c r="AR336" s="416">
        <f t="shared" si="593"/>
        <v>976.99999999999909</v>
      </c>
      <c r="AS336" s="673">
        <f t="shared" si="593"/>
        <v>1300.9999999999991</v>
      </c>
      <c r="AT336" s="671">
        <f t="shared" si="593"/>
        <v>1300.9999999999991</v>
      </c>
      <c r="AU336" s="416">
        <f t="shared" si="593"/>
        <v>1362.9999999999989</v>
      </c>
      <c r="AV336" s="416">
        <f t="shared" si="593"/>
        <v>1441.9999999999989</v>
      </c>
      <c r="AW336" s="416">
        <f>+AW329+AW331+AW332+AW333+AW334</f>
        <v>1540.9999999999989</v>
      </c>
      <c r="AX336" s="672">
        <f t="shared" si="593"/>
        <v>487.99999999999886</v>
      </c>
      <c r="AY336" s="671">
        <f t="shared" si="593"/>
        <v>487.99999999999886</v>
      </c>
      <c r="AZ336" s="672">
        <f t="shared" si="593"/>
        <v>538.99999999999886</v>
      </c>
      <c r="BA336" s="672">
        <f t="shared" si="593"/>
        <v>762.9999999999992</v>
      </c>
      <c r="BB336" s="672">
        <f t="shared" si="593"/>
        <v>657.9999999999992</v>
      </c>
      <c r="BC336" s="672">
        <f t="shared" si="593"/>
        <v>193.9999999999992</v>
      </c>
      <c r="BD336" s="671">
        <f t="shared" si="593"/>
        <v>193.99999999999932</v>
      </c>
      <c r="BE336" s="672">
        <f t="shared" si="593"/>
        <v>221.99999999999932</v>
      </c>
      <c r="BF336" s="672">
        <f t="shared" si="593"/>
        <v>375.99999999999932</v>
      </c>
      <c r="BG336" s="672">
        <f t="shared" si="593"/>
        <v>461.99999999999932</v>
      </c>
      <c r="BH336" s="672">
        <f t="shared" si="593"/>
        <v>649.99999999999932</v>
      </c>
      <c r="BI336" s="671">
        <f t="shared" si="593"/>
        <v>649.99999999999909</v>
      </c>
      <c r="BJ336" s="672">
        <f>+BJ329+BJ331+BJ332+BJ333+BJ334</f>
        <v>788.99999999999909</v>
      </c>
      <c r="BK336" s="672">
        <f>+BK329+BK331+BK332+BK333+BK334</f>
        <v>1018.9678216627894</v>
      </c>
      <c r="BL336" s="672">
        <f>+BL329+BL331+BL332+BL333+BL334</f>
        <v>838.99999999999909</v>
      </c>
      <c r="BM336" s="672">
        <f t="shared" ref="BM336:BN336" si="594">+BM329+BM331+BM332+BM333+BM334</f>
        <v>710.99999999999909</v>
      </c>
      <c r="BN336" s="671">
        <f t="shared" si="594"/>
        <v>710.99999999999909</v>
      </c>
      <c r="BO336" s="672">
        <f>+BO329+BO331+BO332+BO333+BO334</f>
        <v>6.9999999999990905</v>
      </c>
      <c r="BP336" s="672">
        <f t="shared" si="593"/>
        <v>85.092297106125955</v>
      </c>
      <c r="BQ336" s="672">
        <f t="shared" si="593"/>
        <v>150.76388622580731</v>
      </c>
      <c r="BR336" s="672">
        <f t="shared" si="593"/>
        <v>249.64231465064279</v>
      </c>
      <c r="BS336" s="671">
        <f t="shared" si="593"/>
        <v>249.64231465064267</v>
      </c>
      <c r="BT336" s="672">
        <f t="shared" ref="BT336:BX336" si="595">+BT329+BT331+BT332+BT333+BT334</f>
        <v>251.07196093048799</v>
      </c>
      <c r="BU336" s="672">
        <f t="shared" si="595"/>
        <v>304.99157815518629</v>
      </c>
      <c r="BV336" s="672">
        <f t="shared" si="595"/>
        <v>347.02964704587225</v>
      </c>
      <c r="BW336" s="672">
        <f t="shared" si="595"/>
        <v>424.34682382974449</v>
      </c>
      <c r="BX336" s="671">
        <f t="shared" si="595"/>
        <v>424.34682382974461</v>
      </c>
      <c r="BY336" s="674">
        <f t="shared" si="593"/>
        <v>564.06800665958008</v>
      </c>
      <c r="BZ336" s="674">
        <f>+BZ329+BZ331+BZ332+BZ333+BZ334</f>
        <v>666.57005669100135</v>
      </c>
      <c r="CA336" s="674">
        <f>+CA329+CA331+CA332+CA333+CA334</f>
        <v>718.57389106359005</v>
      </c>
      <c r="CC336" s="1396"/>
      <c r="CD336" s="672"/>
      <c r="CE336" s="559"/>
      <c r="CF336" s="559"/>
      <c r="CG336" s="559"/>
      <c r="CH336" s="559"/>
      <c r="CI336" s="559"/>
      <c r="CJ336" s="559"/>
      <c r="CK336" s="559"/>
      <c r="CL336" s="559"/>
      <c r="CM336" s="559"/>
      <c r="CN336" s="559"/>
      <c r="CO336" s="559"/>
      <c r="CP336" s="559"/>
      <c r="CQ336" s="559"/>
      <c r="CR336" s="559"/>
      <c r="CS336" s="559"/>
      <c r="CT336" s="559"/>
      <c r="CU336" s="559"/>
      <c r="CV336" s="559"/>
      <c r="CW336" s="559"/>
      <c r="CX336" s="559"/>
      <c r="CY336" s="559"/>
      <c r="CZ336" s="559"/>
      <c r="DA336" s="673"/>
      <c r="DB336" s="675"/>
    </row>
    <row r="337" spans="1:112" s="681" customFormat="1" ht="12" customHeight="1">
      <c r="A337" s="676" t="s">
        <v>270</v>
      </c>
      <c r="B337" s="495"/>
      <c r="C337" s="495">
        <f t="shared" ref="C337:AH337" si="596">+C336-C183</f>
        <v>0</v>
      </c>
      <c r="D337" s="495">
        <f t="shared" si="596"/>
        <v>0</v>
      </c>
      <c r="E337" s="495">
        <f t="shared" si="596"/>
        <v>0</v>
      </c>
      <c r="F337" s="495">
        <f t="shared" si="596"/>
        <v>0</v>
      </c>
      <c r="G337" s="407">
        <f t="shared" si="596"/>
        <v>0</v>
      </c>
      <c r="H337" s="591">
        <f t="shared" si="596"/>
        <v>0</v>
      </c>
      <c r="I337" s="591">
        <f t="shared" si="596"/>
        <v>0</v>
      </c>
      <c r="J337" s="591">
        <f t="shared" si="596"/>
        <v>0</v>
      </c>
      <c r="K337" s="495">
        <f t="shared" si="596"/>
        <v>0</v>
      </c>
      <c r="L337" s="591">
        <f t="shared" si="596"/>
        <v>0</v>
      </c>
      <c r="M337" s="591">
        <f t="shared" si="596"/>
        <v>0</v>
      </c>
      <c r="N337" s="591">
        <f t="shared" si="596"/>
        <v>0</v>
      </c>
      <c r="O337" s="591">
        <f t="shared" si="596"/>
        <v>0</v>
      </c>
      <c r="P337" s="495">
        <f t="shared" si="596"/>
        <v>-1.8189894035458565E-12</v>
      </c>
      <c r="Q337" s="591">
        <f t="shared" si="596"/>
        <v>0</v>
      </c>
      <c r="R337" s="591">
        <f t="shared" si="596"/>
        <v>0</v>
      </c>
      <c r="S337" s="591">
        <f t="shared" si="596"/>
        <v>0</v>
      </c>
      <c r="T337" s="591">
        <f t="shared" si="596"/>
        <v>0</v>
      </c>
      <c r="U337" s="495">
        <f t="shared" si="596"/>
        <v>0</v>
      </c>
      <c r="V337" s="591">
        <f t="shared" si="596"/>
        <v>0</v>
      </c>
      <c r="W337" s="591">
        <f t="shared" si="596"/>
        <v>0</v>
      </c>
      <c r="X337" s="591">
        <f t="shared" si="596"/>
        <v>0</v>
      </c>
      <c r="Y337" s="591">
        <f t="shared" si="596"/>
        <v>0</v>
      </c>
      <c r="Z337" s="495">
        <f t="shared" si="596"/>
        <v>0</v>
      </c>
      <c r="AA337" s="591">
        <f t="shared" si="596"/>
        <v>0</v>
      </c>
      <c r="AB337" s="591">
        <f t="shared" si="596"/>
        <v>0</v>
      </c>
      <c r="AC337" s="591">
        <f t="shared" si="596"/>
        <v>0</v>
      </c>
      <c r="AD337" s="591">
        <f t="shared" si="596"/>
        <v>0</v>
      </c>
      <c r="AE337" s="495">
        <f t="shared" si="596"/>
        <v>0</v>
      </c>
      <c r="AF337" s="591">
        <f t="shared" si="596"/>
        <v>0</v>
      </c>
      <c r="AG337" s="591">
        <f t="shared" si="596"/>
        <v>0</v>
      </c>
      <c r="AH337" s="591">
        <f t="shared" si="596"/>
        <v>0</v>
      </c>
      <c r="AI337" s="591">
        <f t="shared" ref="AI337:BI337" si="597">+AI336-AI183</f>
        <v>0</v>
      </c>
      <c r="AJ337" s="495">
        <f t="shared" si="597"/>
        <v>0</v>
      </c>
      <c r="AK337" s="591">
        <f t="shared" si="597"/>
        <v>0</v>
      </c>
      <c r="AL337" s="591">
        <f t="shared" si="597"/>
        <v>0</v>
      </c>
      <c r="AM337" s="591">
        <f t="shared" si="597"/>
        <v>0</v>
      </c>
      <c r="AN337" s="591">
        <f t="shared" si="597"/>
        <v>-9.0949470177292824E-13</v>
      </c>
      <c r="AO337" s="495">
        <f t="shared" si="597"/>
        <v>-9.0949470177292824E-13</v>
      </c>
      <c r="AP337" s="677">
        <f t="shared" si="597"/>
        <v>0</v>
      </c>
      <c r="AQ337" s="677">
        <f t="shared" si="597"/>
        <v>0</v>
      </c>
      <c r="AR337" s="677">
        <f t="shared" si="597"/>
        <v>-9.0949470177292824E-13</v>
      </c>
      <c r="AS337" s="591">
        <f t="shared" si="597"/>
        <v>0</v>
      </c>
      <c r="AT337" s="495">
        <f t="shared" si="597"/>
        <v>0</v>
      </c>
      <c r="AU337" s="677">
        <f t="shared" si="597"/>
        <v>0</v>
      </c>
      <c r="AV337" s="677">
        <f t="shared" si="597"/>
        <v>0</v>
      </c>
      <c r="AW337" s="677">
        <f t="shared" si="597"/>
        <v>0</v>
      </c>
      <c r="AX337" s="408">
        <f t="shared" si="597"/>
        <v>-1.1368683772161603E-12</v>
      </c>
      <c r="AY337" s="592">
        <f t="shared" si="597"/>
        <v>-1.1368683772161603E-12</v>
      </c>
      <c r="AZ337" s="408">
        <f t="shared" si="597"/>
        <v>-1.1368683772161603E-12</v>
      </c>
      <c r="BA337" s="408">
        <f t="shared" si="597"/>
        <v>0</v>
      </c>
      <c r="BB337" s="408">
        <f t="shared" si="597"/>
        <v>0</v>
      </c>
      <c r="BC337" s="408">
        <f t="shared" si="597"/>
        <v>-7.9580786405131221E-13</v>
      </c>
      <c r="BD337" s="592">
        <f t="shared" si="597"/>
        <v>-6.8212102632969618E-13</v>
      </c>
      <c r="BE337" s="408">
        <f t="shared" si="597"/>
        <v>-6.8212102632969618E-13</v>
      </c>
      <c r="BF337" s="408">
        <f t="shared" si="597"/>
        <v>-6.8212102632969618E-13</v>
      </c>
      <c r="BG337" s="408">
        <f t="shared" si="597"/>
        <v>-6.8212102632969618E-13</v>
      </c>
      <c r="BH337" s="408">
        <f t="shared" si="597"/>
        <v>0</v>
      </c>
      <c r="BI337" s="592">
        <f t="shared" si="597"/>
        <v>-9.0949470177292824E-13</v>
      </c>
      <c r="BJ337" s="408">
        <f>+BJ336-BJ183</f>
        <v>-9.0949470177292824E-13</v>
      </c>
      <c r="BK337" s="408">
        <f>+BK336-BK183</f>
        <v>-1.3642420526593924E-12</v>
      </c>
      <c r="BL337" s="408">
        <f>+BL336-BL183</f>
        <v>-9.0949470177292824E-13</v>
      </c>
      <c r="BM337" s="408">
        <f t="shared" ref="BM337:BN337" si="598">+BM336-BM183</f>
        <v>-9.0949470177292824E-13</v>
      </c>
      <c r="BN337" s="592">
        <f t="shared" si="598"/>
        <v>-9.0949470177292824E-13</v>
      </c>
      <c r="BO337" s="408">
        <f>+BO336-BO183</f>
        <v>-9.0949470177292824E-13</v>
      </c>
      <c r="BP337" s="408">
        <f t="shared" ref="BP337:BZ337" si="599">+BP336-BP183</f>
        <v>-3.979039320256561E-13</v>
      </c>
      <c r="BQ337" s="408">
        <f t="shared" si="599"/>
        <v>-8.5265128291212022E-13</v>
      </c>
      <c r="BR337" s="408">
        <f t="shared" si="599"/>
        <v>-1.2505552149377763E-12</v>
      </c>
      <c r="BS337" s="592">
        <f t="shared" si="599"/>
        <v>-1.3642420526593924E-12</v>
      </c>
      <c r="BT337" s="408">
        <f t="shared" ref="BT337:BX337" si="600">+BT336-BT183</f>
        <v>-7.9580786405131221E-13</v>
      </c>
      <c r="BU337" s="408">
        <f t="shared" si="600"/>
        <v>-1.8189894035458565E-12</v>
      </c>
      <c r="BV337" s="408">
        <f t="shared" si="600"/>
        <v>0</v>
      </c>
      <c r="BW337" s="408">
        <f t="shared" si="600"/>
        <v>-1.9326762412674725E-12</v>
      </c>
      <c r="BX337" s="592">
        <f t="shared" si="600"/>
        <v>-1.8189894035458565E-12</v>
      </c>
      <c r="BY337" s="678">
        <f t="shared" si="599"/>
        <v>-1.3642420526593924E-12</v>
      </c>
      <c r="BZ337" s="678">
        <f t="shared" si="599"/>
        <v>0</v>
      </c>
      <c r="CA337" s="678">
        <f t="shared" ref="CA337" si="601">+CA336-CA183</f>
        <v>-1.8189894035458565E-12</v>
      </c>
      <c r="CB337" s="679"/>
      <c r="CC337" s="680"/>
      <c r="CD337" s="408"/>
      <c r="CE337" s="407"/>
      <c r="CF337" s="407"/>
      <c r="CG337" s="407"/>
      <c r="CH337" s="407"/>
      <c r="CI337" s="407"/>
      <c r="CJ337" s="407"/>
      <c r="CK337" s="407"/>
      <c r="CL337" s="407"/>
      <c r="CM337" s="407"/>
      <c r="CN337" s="407"/>
      <c r="CO337" s="407"/>
      <c r="CP337" s="407"/>
      <c r="CQ337" s="407"/>
      <c r="CR337" s="407"/>
      <c r="CS337" s="407"/>
      <c r="CT337" s="407"/>
      <c r="CU337" s="407"/>
      <c r="CV337" s="407"/>
      <c r="CW337" s="407"/>
      <c r="CX337" s="407"/>
      <c r="CY337" s="407"/>
      <c r="CZ337" s="407"/>
      <c r="DA337" s="590"/>
      <c r="DB337" s="437"/>
      <c r="DC337"/>
      <c r="DD337"/>
      <c r="DE337"/>
      <c r="DF337"/>
      <c r="DG337"/>
      <c r="DH337"/>
    </row>
    <row r="338" spans="1:112" ht="12" customHeight="1" thickBot="1">
      <c r="A338" s="617"/>
      <c r="B338" s="573"/>
      <c r="C338" s="573"/>
      <c r="D338" s="573"/>
      <c r="E338" s="573"/>
      <c r="F338" s="573"/>
      <c r="G338" s="574"/>
      <c r="H338" s="574"/>
      <c r="I338" s="574"/>
      <c r="J338" s="574"/>
      <c r="K338" s="573"/>
      <c r="L338" s="574"/>
      <c r="M338" s="574"/>
      <c r="N338" s="574"/>
      <c r="O338" s="574"/>
      <c r="P338" s="573"/>
      <c r="Q338" s="574"/>
      <c r="R338" s="574"/>
      <c r="S338" s="574"/>
      <c r="T338" s="574"/>
      <c r="U338" s="573"/>
      <c r="V338" s="574"/>
      <c r="W338" s="574"/>
      <c r="X338" s="574"/>
      <c r="Y338" s="574"/>
      <c r="Z338" s="573"/>
      <c r="AA338" s="574"/>
      <c r="AB338" s="574"/>
      <c r="AC338" s="574"/>
      <c r="AD338" s="574"/>
      <c r="AE338" s="573"/>
      <c r="AF338" s="574"/>
      <c r="AG338" s="574"/>
      <c r="AH338" s="574"/>
      <c r="AI338" s="618"/>
      <c r="AJ338" s="619"/>
      <c r="AK338" s="617"/>
      <c r="AL338" s="617"/>
      <c r="AM338" s="617"/>
      <c r="AN338" s="617"/>
      <c r="AO338" s="620"/>
      <c r="AP338" s="618"/>
      <c r="AQ338" s="618"/>
      <c r="AR338" s="618"/>
      <c r="AS338" s="618"/>
      <c r="AT338" s="619"/>
      <c r="AU338" s="618"/>
      <c r="AV338" s="618"/>
      <c r="AW338" s="618"/>
      <c r="AX338" s="618"/>
      <c r="AY338" s="619"/>
      <c r="AZ338" s="618"/>
      <c r="BA338" s="618"/>
      <c r="BB338" s="618"/>
      <c r="BC338" s="618"/>
      <c r="BD338" s="619"/>
      <c r="BE338" s="618"/>
      <c r="BF338" s="618"/>
      <c r="BG338" s="618"/>
      <c r="BH338" s="618"/>
      <c r="BI338" s="619"/>
      <c r="BJ338" s="618"/>
      <c r="BK338" s="618"/>
      <c r="BL338" s="618"/>
      <c r="BM338" s="618"/>
      <c r="BN338" s="619"/>
      <c r="BO338" s="618"/>
      <c r="BP338" s="618"/>
      <c r="BQ338" s="618"/>
      <c r="BR338" s="618"/>
      <c r="BS338" s="619"/>
      <c r="BT338" s="618"/>
      <c r="BU338" s="618"/>
      <c r="BV338" s="618"/>
      <c r="BW338" s="618"/>
      <c r="BX338" s="619"/>
      <c r="BY338" s="621"/>
      <c r="BZ338" s="621"/>
      <c r="CA338" s="621"/>
      <c r="CD338" s="370"/>
      <c r="CE338" s="127"/>
      <c r="CF338" s="127"/>
      <c r="CG338" s="127"/>
      <c r="CH338" s="127"/>
      <c r="CI338" s="127"/>
      <c r="CJ338" s="127"/>
      <c r="CK338" s="127"/>
      <c r="CL338" s="127"/>
      <c r="CM338" s="127"/>
      <c r="CN338" s="127"/>
      <c r="CO338" s="127"/>
      <c r="CP338" s="127"/>
      <c r="CQ338" s="127"/>
      <c r="CR338" s="127"/>
      <c r="CS338" s="127"/>
      <c r="CT338" s="127"/>
      <c r="CU338" s="127"/>
      <c r="CV338" s="127"/>
      <c r="CW338" s="127"/>
      <c r="CX338" s="127"/>
      <c r="CY338" s="127"/>
      <c r="CZ338" s="127"/>
      <c r="DA338" s="58"/>
      <c r="DB338" s="438"/>
    </row>
    <row r="339" spans="1:112" ht="12" customHeight="1">
      <c r="A339" s="42"/>
      <c r="B339" s="682"/>
      <c r="C339" s="682"/>
      <c r="D339" s="682"/>
      <c r="E339" s="682"/>
      <c r="F339" s="682"/>
      <c r="G339" s="58"/>
      <c r="H339" s="58"/>
      <c r="I339" s="58"/>
      <c r="J339" s="58"/>
      <c r="K339" s="682"/>
      <c r="L339" s="58"/>
      <c r="M339" s="58"/>
      <c r="N339" s="58"/>
      <c r="O339" s="58"/>
      <c r="P339" s="682"/>
      <c r="Q339" s="58"/>
      <c r="R339" s="58"/>
      <c r="S339" s="58"/>
      <c r="T339" s="58"/>
      <c r="U339" s="682"/>
      <c r="V339" s="58"/>
      <c r="W339" s="58"/>
      <c r="X339" s="58"/>
      <c r="Y339" s="58"/>
      <c r="Z339" s="682"/>
      <c r="AA339" s="58"/>
      <c r="AB339" s="58"/>
      <c r="AC339" s="58"/>
      <c r="AD339" s="58"/>
      <c r="AE339" s="682"/>
      <c r="AF339" s="58"/>
      <c r="AG339" s="58"/>
      <c r="AH339" s="58"/>
      <c r="AI339" s="58"/>
      <c r="AJ339" s="682"/>
      <c r="AK339" s="42"/>
      <c r="AL339" s="42"/>
      <c r="AM339" s="42"/>
      <c r="AN339" s="42"/>
      <c r="AO339" s="527"/>
      <c r="AP339" s="58"/>
      <c r="AQ339" s="58"/>
      <c r="AR339" s="58"/>
      <c r="AS339" s="58"/>
      <c r="AT339" s="682"/>
      <c r="AU339" s="58"/>
      <c r="AV339" s="58"/>
      <c r="AW339" s="370"/>
      <c r="AX339" s="370"/>
      <c r="AY339" s="682"/>
      <c r="AZ339" s="370"/>
      <c r="BA339" s="370"/>
      <c r="BB339" s="370"/>
      <c r="BC339" s="370"/>
      <c r="BD339" s="682"/>
      <c r="BE339" s="370"/>
      <c r="BF339" s="370"/>
      <c r="BG339" s="370"/>
      <c r="BH339" s="370"/>
      <c r="BI339" s="682"/>
      <c r="BJ339" s="370"/>
      <c r="BK339" s="370"/>
      <c r="BL339" s="370"/>
      <c r="BM339" s="370"/>
      <c r="BN339" s="682"/>
      <c r="BO339" s="370"/>
      <c r="BP339" s="370"/>
      <c r="BQ339" s="370"/>
      <c r="BR339" s="370"/>
      <c r="BS339" s="682"/>
      <c r="BT339" s="370"/>
      <c r="BU339" s="370"/>
      <c r="BV339" s="370"/>
      <c r="BW339" s="370"/>
      <c r="BX339" s="682"/>
      <c r="BY339" s="444"/>
      <c r="BZ339" s="444"/>
      <c r="CA339" s="444"/>
      <c r="CD339" s="370"/>
      <c r="CE339" s="127"/>
      <c r="CF339" s="127"/>
      <c r="CG339" s="127"/>
      <c r="CH339" s="127"/>
      <c r="CI339" s="127"/>
      <c r="CJ339" s="127"/>
      <c r="CK339" s="127"/>
      <c r="CL339" s="127"/>
      <c r="CM339" s="127"/>
      <c r="CN339" s="127"/>
      <c r="CO339" s="127"/>
      <c r="CP339" s="127"/>
      <c r="CQ339" s="127"/>
      <c r="CR339" s="127"/>
      <c r="CS339" s="127"/>
      <c r="CT339" s="127"/>
      <c r="CU339" s="127"/>
      <c r="CV339" s="127"/>
      <c r="CW339" s="127"/>
      <c r="CX339" s="127"/>
      <c r="CY339" s="127"/>
      <c r="CZ339" s="127"/>
      <c r="DA339" s="58"/>
      <c r="DB339" s="438"/>
    </row>
    <row r="340" spans="1:112" ht="12" customHeight="1">
      <c r="A340" s="441" t="s">
        <v>271</v>
      </c>
      <c r="B340" s="378"/>
      <c r="C340" s="378"/>
      <c r="D340" s="378"/>
      <c r="E340" s="378"/>
      <c r="F340" s="378"/>
      <c r="G340" s="58"/>
      <c r="H340" s="58"/>
      <c r="I340" s="58"/>
      <c r="J340" s="58"/>
      <c r="K340" s="378"/>
      <c r="L340" s="58"/>
      <c r="M340" s="58"/>
      <c r="N340" s="58"/>
      <c r="O340" s="58"/>
      <c r="P340" s="378"/>
      <c r="Q340" s="58"/>
      <c r="R340" s="58"/>
      <c r="S340" s="58"/>
      <c r="T340" s="58"/>
      <c r="U340" s="378"/>
      <c r="V340" s="58"/>
      <c r="W340" s="58"/>
      <c r="X340" s="58"/>
      <c r="Y340" s="58"/>
      <c r="Z340" s="378"/>
      <c r="AA340" s="58"/>
      <c r="AB340" s="58"/>
      <c r="AC340" s="58"/>
      <c r="AD340" s="58"/>
      <c r="AE340" s="378"/>
      <c r="AF340" s="58"/>
      <c r="AG340" s="58"/>
      <c r="AH340" s="58"/>
      <c r="AI340" s="58"/>
      <c r="AJ340" s="378"/>
      <c r="AK340" s="42"/>
      <c r="AL340" s="42"/>
      <c r="AM340" s="42"/>
      <c r="AN340" s="42"/>
      <c r="AO340" s="379"/>
      <c r="AP340" s="58"/>
      <c r="AQ340" s="58"/>
      <c r="AR340" s="58"/>
      <c r="AS340" s="58"/>
      <c r="AT340" s="378"/>
      <c r="AU340" s="58"/>
      <c r="AV340" s="58"/>
      <c r="AW340" s="370"/>
      <c r="AX340" s="370"/>
      <c r="AY340" s="378"/>
      <c r="AZ340" s="370"/>
      <c r="BA340" s="370"/>
      <c r="BB340" s="370"/>
      <c r="BC340" s="370"/>
      <c r="BD340" s="378"/>
      <c r="BE340" s="370"/>
      <c r="BF340" s="370"/>
      <c r="BG340" s="370"/>
      <c r="BH340" s="370"/>
      <c r="BI340" s="378"/>
      <c r="BJ340" s="370"/>
      <c r="BK340" s="370"/>
      <c r="BL340" s="370"/>
      <c r="BM340" s="370"/>
      <c r="BN340" s="378"/>
      <c r="BO340" s="370"/>
      <c r="BP340" s="370"/>
      <c r="BQ340" s="370"/>
      <c r="BR340" s="370"/>
      <c r="BS340" s="378"/>
      <c r="BT340" s="370"/>
      <c r="BU340" s="370"/>
      <c r="BV340" s="370"/>
      <c r="BW340" s="370"/>
      <c r="BX340" s="378"/>
      <c r="BY340" s="444"/>
      <c r="BZ340" s="444"/>
      <c r="CA340" s="444"/>
      <c r="CD340" s="370"/>
      <c r="CE340" s="127"/>
      <c r="CF340" s="127"/>
      <c r="CG340" s="127"/>
      <c r="CH340" s="127"/>
      <c r="CI340" s="127"/>
      <c r="CJ340" s="127"/>
      <c r="CK340" s="127"/>
      <c r="CL340" s="127"/>
      <c r="CM340" s="127"/>
      <c r="CN340" s="127"/>
      <c r="CO340" s="127"/>
      <c r="CP340" s="127"/>
      <c r="CQ340" s="127"/>
      <c r="CR340" s="127"/>
      <c r="CS340" s="127"/>
      <c r="CT340" s="127"/>
      <c r="CU340" s="127"/>
      <c r="CV340" s="127"/>
      <c r="CW340" s="127"/>
      <c r="CX340" s="127"/>
      <c r="CY340" s="127"/>
      <c r="CZ340" s="127"/>
      <c r="DA340" s="58"/>
      <c r="DB340" s="438"/>
    </row>
    <row r="341" spans="1:112" ht="12" customHeight="1">
      <c r="A341" s="683" t="s">
        <v>272</v>
      </c>
      <c r="B341" s="67">
        <f t="shared" ref="B341:AG341" si="602">B30</f>
        <v>850.48499999999967</v>
      </c>
      <c r="C341" s="67">
        <f t="shared" si="602"/>
        <v>1057.5</v>
      </c>
      <c r="D341" s="67">
        <f t="shared" si="602"/>
        <v>1121.8710000000001</v>
      </c>
      <c r="E341" s="67">
        <f t="shared" si="602"/>
        <v>1299.3370000000004</v>
      </c>
      <c r="F341" s="67">
        <f t="shared" si="602"/>
        <v>1538.1129999999994</v>
      </c>
      <c r="G341" s="74">
        <f t="shared" si="602"/>
        <v>178.96400000000017</v>
      </c>
      <c r="H341" s="74">
        <f t="shared" si="602"/>
        <v>400.82600000000002</v>
      </c>
      <c r="I341" s="74">
        <f t="shared" si="602"/>
        <v>670.63400000000001</v>
      </c>
      <c r="J341" s="74">
        <f t="shared" si="602"/>
        <v>361.11700000000019</v>
      </c>
      <c r="K341" s="67">
        <f t="shared" si="602"/>
        <v>1611.5410000000002</v>
      </c>
      <c r="L341" s="74">
        <f t="shared" si="602"/>
        <v>255.39300000000003</v>
      </c>
      <c r="M341" s="74">
        <f t="shared" si="602"/>
        <v>495.69100000000026</v>
      </c>
      <c r="N341" s="74">
        <f t="shared" si="602"/>
        <v>761.13699999999994</v>
      </c>
      <c r="O341" s="74">
        <f t="shared" si="602"/>
        <v>340.1579999999999</v>
      </c>
      <c r="P341" s="67">
        <f t="shared" si="602"/>
        <v>1867.8020000000006</v>
      </c>
      <c r="Q341" s="74">
        <f t="shared" si="602"/>
        <v>192.78699999999981</v>
      </c>
      <c r="R341" s="74">
        <f t="shared" si="602"/>
        <v>431.93599999999992</v>
      </c>
      <c r="S341" s="74">
        <f t="shared" si="602"/>
        <v>719.9050000000002</v>
      </c>
      <c r="T341" s="74">
        <f t="shared" si="602"/>
        <v>281.80199999999945</v>
      </c>
      <c r="U341" s="67">
        <f t="shared" si="602"/>
        <v>1626.4299999999994</v>
      </c>
      <c r="V341" s="74">
        <f t="shared" si="602"/>
        <v>167.95699999999988</v>
      </c>
      <c r="W341" s="74">
        <f t="shared" si="602"/>
        <v>351.7489999999998</v>
      </c>
      <c r="X341" s="74">
        <f t="shared" si="602"/>
        <v>593.06200000000013</v>
      </c>
      <c r="Y341" s="74">
        <f t="shared" si="602"/>
        <v>326.90099999999961</v>
      </c>
      <c r="Z341" s="67">
        <f t="shared" si="602"/>
        <v>1439.6690000000008</v>
      </c>
      <c r="AA341" s="74">
        <f t="shared" si="602"/>
        <v>226.20000000000005</v>
      </c>
      <c r="AB341" s="74">
        <f t="shared" si="602"/>
        <v>365.49999999999977</v>
      </c>
      <c r="AC341" s="74">
        <f t="shared" si="602"/>
        <v>650.60000000000014</v>
      </c>
      <c r="AD341" s="74">
        <f t="shared" si="602"/>
        <v>344.00000000000023</v>
      </c>
      <c r="AE341" s="67">
        <f t="shared" si="602"/>
        <v>1586.2999999999993</v>
      </c>
      <c r="AF341" s="74">
        <f t="shared" si="602"/>
        <v>255</v>
      </c>
      <c r="AG341" s="74">
        <f t="shared" si="602"/>
        <v>397</v>
      </c>
      <c r="AH341" s="74">
        <f t="shared" ref="AH341:BM341" si="603">AH30</f>
        <v>644.79999999999995</v>
      </c>
      <c r="AI341" s="74">
        <f t="shared" si="603"/>
        <v>282.10000000000002</v>
      </c>
      <c r="AJ341" s="67">
        <f t="shared" si="603"/>
        <v>2094.8999999999996</v>
      </c>
      <c r="AK341" s="418">
        <f t="shared" si="603"/>
        <v>342</v>
      </c>
      <c r="AL341" s="74">
        <f t="shared" si="603"/>
        <v>381</v>
      </c>
      <c r="AM341" s="74">
        <f t="shared" si="603"/>
        <v>395</v>
      </c>
      <c r="AN341" s="418">
        <f t="shared" si="603"/>
        <v>408</v>
      </c>
      <c r="AO341" s="245">
        <f t="shared" si="603"/>
        <v>1526</v>
      </c>
      <c r="AP341" s="418">
        <f t="shared" si="603"/>
        <v>434</v>
      </c>
      <c r="AQ341" s="74">
        <f t="shared" si="603"/>
        <v>481</v>
      </c>
      <c r="AR341" s="74">
        <f t="shared" si="603"/>
        <v>417</v>
      </c>
      <c r="AS341" s="74">
        <f t="shared" si="603"/>
        <v>382</v>
      </c>
      <c r="AT341" s="67">
        <f t="shared" si="603"/>
        <v>1714</v>
      </c>
      <c r="AU341" s="418">
        <f t="shared" si="603"/>
        <v>453.5</v>
      </c>
      <c r="AV341" s="74">
        <f t="shared" si="603"/>
        <v>508.5</v>
      </c>
      <c r="AW341" s="74">
        <f t="shared" si="603"/>
        <v>509</v>
      </c>
      <c r="AX341" s="663">
        <f t="shared" si="603"/>
        <v>478</v>
      </c>
      <c r="AY341" s="664">
        <f t="shared" si="603"/>
        <v>1949</v>
      </c>
      <c r="AZ341" s="663">
        <f t="shared" si="603"/>
        <v>528</v>
      </c>
      <c r="BA341" s="663">
        <f t="shared" si="603"/>
        <v>585</v>
      </c>
      <c r="BB341" s="663">
        <f t="shared" si="603"/>
        <v>566</v>
      </c>
      <c r="BC341" s="663">
        <f t="shared" si="603"/>
        <v>531</v>
      </c>
      <c r="BD341" s="664">
        <f t="shared" si="603"/>
        <v>2210</v>
      </c>
      <c r="BE341" s="663">
        <f t="shared" si="603"/>
        <v>569</v>
      </c>
      <c r="BF341" s="663">
        <f t="shared" si="603"/>
        <v>674</v>
      </c>
      <c r="BG341" s="663">
        <f t="shared" si="603"/>
        <v>661</v>
      </c>
      <c r="BH341" s="663">
        <f t="shared" si="603"/>
        <v>611</v>
      </c>
      <c r="BI341" s="664">
        <f t="shared" si="603"/>
        <v>2515</v>
      </c>
      <c r="BJ341" s="663">
        <f t="shared" si="603"/>
        <v>708</v>
      </c>
      <c r="BK341" s="663">
        <f t="shared" si="603"/>
        <v>735</v>
      </c>
      <c r="BL341" s="663">
        <f t="shared" si="603"/>
        <v>723</v>
      </c>
      <c r="BM341" s="663">
        <f t="shared" si="603"/>
        <v>773</v>
      </c>
      <c r="BN341" s="664">
        <f t="shared" ref="BN341:CA341" si="604">BN30</f>
        <v>2939</v>
      </c>
      <c r="BO341" s="663">
        <f t="shared" si="604"/>
        <v>756</v>
      </c>
      <c r="BP341" s="663">
        <f t="shared" si="604"/>
        <v>792.9285684290395</v>
      </c>
      <c r="BQ341" s="663">
        <f t="shared" si="604"/>
        <v>774.09205587573865</v>
      </c>
      <c r="BR341" s="663">
        <f t="shared" si="604"/>
        <v>803.59712804975766</v>
      </c>
      <c r="BS341" s="664">
        <f t="shared" si="604"/>
        <v>3126.6177523545357</v>
      </c>
      <c r="BT341" s="663">
        <f t="shared" si="604"/>
        <v>815.11415609975847</v>
      </c>
      <c r="BU341" s="663">
        <f t="shared" si="604"/>
        <v>867.02705113881302</v>
      </c>
      <c r="BV341" s="663">
        <f t="shared" si="604"/>
        <v>848.01583281865817</v>
      </c>
      <c r="BW341" s="663">
        <f t="shared" si="604"/>
        <v>881.25416621081422</v>
      </c>
      <c r="BX341" s="664">
        <f t="shared" si="604"/>
        <v>3411.4112062680438</v>
      </c>
      <c r="BY341" s="665">
        <f t="shared" si="604"/>
        <v>3629.4410197236029</v>
      </c>
      <c r="BZ341" s="665">
        <f t="shared" si="604"/>
        <v>3869.18143542491</v>
      </c>
      <c r="CA341" s="665">
        <f t="shared" si="604"/>
        <v>4094.5433973881854</v>
      </c>
      <c r="CC341" s="1359"/>
      <c r="CD341" s="248"/>
      <c r="CE341" s="248"/>
      <c r="CF341" s="248"/>
      <c r="CG341" s="248"/>
      <c r="CH341" s="248"/>
      <c r="CI341" s="248"/>
      <c r="CJ341" s="248"/>
      <c r="CK341" s="248"/>
      <c r="CL341" s="248"/>
      <c r="CM341" s="248"/>
      <c r="CN341" s="248"/>
      <c r="CO341" s="248"/>
      <c r="CP341" s="248"/>
      <c r="CQ341" s="248"/>
      <c r="CR341" s="248"/>
      <c r="CS341" s="248"/>
      <c r="CT341" s="248"/>
      <c r="CU341" s="248"/>
      <c r="CV341" s="248"/>
      <c r="CW341" s="248"/>
      <c r="CX341" s="248"/>
      <c r="CY341" s="248"/>
      <c r="CZ341" s="248"/>
      <c r="DA341" s="74"/>
      <c r="DB341" s="249">
        <f>SUM(BO341,BP341,BQ341,BR341)</f>
        <v>3126.6177523545357</v>
      </c>
    </row>
    <row r="342" spans="1:112" s="82" customFormat="1" ht="12" customHeight="1">
      <c r="A342" s="390" t="s">
        <v>273</v>
      </c>
      <c r="B342" s="79">
        <f t="shared" ref="B342:BI342" si="605">B252</f>
        <v>145.73499999999999</v>
      </c>
      <c r="C342" s="79">
        <f t="shared" si="605"/>
        <v>125.49600000000001</v>
      </c>
      <c r="D342" s="79">
        <f t="shared" si="605"/>
        <v>143.12899999999999</v>
      </c>
      <c r="E342" s="79">
        <f t="shared" si="605"/>
        <v>149.62599999999998</v>
      </c>
      <c r="F342" s="79">
        <f t="shared" si="605"/>
        <v>136.68799999999999</v>
      </c>
      <c r="G342" s="86">
        <f t="shared" si="605"/>
        <v>14.581</v>
      </c>
      <c r="H342" s="86">
        <f t="shared" si="605"/>
        <v>28.311000000000003</v>
      </c>
      <c r="I342" s="86">
        <f t="shared" si="605"/>
        <v>29.339999999999993</v>
      </c>
      <c r="J342" s="86">
        <f t="shared" si="605"/>
        <v>77.338999999999999</v>
      </c>
      <c r="K342" s="79">
        <f t="shared" si="605"/>
        <v>149.571</v>
      </c>
      <c r="L342" s="86">
        <f t="shared" si="605"/>
        <v>25.033000000000001</v>
      </c>
      <c r="M342" s="86">
        <f t="shared" si="605"/>
        <v>66.206999999999994</v>
      </c>
      <c r="N342" s="86">
        <f t="shared" si="605"/>
        <v>65.696000000000012</v>
      </c>
      <c r="O342" s="86">
        <f t="shared" si="605"/>
        <v>89.327000000000012</v>
      </c>
      <c r="P342" s="79">
        <f t="shared" si="605"/>
        <v>246.26300000000003</v>
      </c>
      <c r="Q342" s="86">
        <f t="shared" si="605"/>
        <v>29.577999999999999</v>
      </c>
      <c r="R342" s="86">
        <f t="shared" si="605"/>
        <v>29.318999999999999</v>
      </c>
      <c r="S342" s="86">
        <f t="shared" si="605"/>
        <v>26.120999999999999</v>
      </c>
      <c r="T342" s="86">
        <f t="shared" si="605"/>
        <v>46.312999999999988</v>
      </c>
      <c r="U342" s="79">
        <f t="shared" si="605"/>
        <v>131.33099999999999</v>
      </c>
      <c r="V342" s="86">
        <f t="shared" si="605"/>
        <v>9.7360000000000007</v>
      </c>
      <c r="W342" s="86">
        <f t="shared" si="605"/>
        <v>14.832999999999998</v>
      </c>
      <c r="X342" s="86">
        <f t="shared" si="605"/>
        <v>22.835000000000004</v>
      </c>
      <c r="Y342" s="86">
        <f t="shared" si="605"/>
        <v>44.885999999999996</v>
      </c>
      <c r="Z342" s="79">
        <f t="shared" si="605"/>
        <v>92.289999999999992</v>
      </c>
      <c r="AA342" s="86">
        <f t="shared" si="605"/>
        <v>11.7</v>
      </c>
      <c r="AB342" s="86">
        <f t="shared" si="605"/>
        <v>27.3</v>
      </c>
      <c r="AC342" s="86">
        <f t="shared" si="605"/>
        <v>26.3</v>
      </c>
      <c r="AD342" s="86">
        <f t="shared" si="605"/>
        <v>50.143000000000001</v>
      </c>
      <c r="AE342" s="79">
        <f t="shared" si="605"/>
        <v>115.443</v>
      </c>
      <c r="AF342" s="86">
        <f t="shared" si="605"/>
        <v>18.399999999999999</v>
      </c>
      <c r="AG342" s="86">
        <f t="shared" si="605"/>
        <v>26.200000000000003</v>
      </c>
      <c r="AH342" s="86">
        <f t="shared" si="605"/>
        <v>24.999999999999993</v>
      </c>
      <c r="AI342" s="86">
        <f t="shared" si="605"/>
        <v>49.400000000000006</v>
      </c>
      <c r="AJ342" s="79">
        <f t="shared" si="605"/>
        <v>119</v>
      </c>
      <c r="AK342" s="390">
        <f t="shared" si="605"/>
        <v>10</v>
      </c>
      <c r="AL342" s="86">
        <f t="shared" si="605"/>
        <v>26</v>
      </c>
      <c r="AM342" s="86">
        <f t="shared" si="605"/>
        <v>34</v>
      </c>
      <c r="AN342" s="390">
        <f t="shared" si="605"/>
        <v>27</v>
      </c>
      <c r="AO342" s="119">
        <f t="shared" si="605"/>
        <v>97</v>
      </c>
      <c r="AP342" s="390">
        <f t="shared" si="605"/>
        <v>22</v>
      </c>
      <c r="AQ342" s="86">
        <f t="shared" si="605"/>
        <v>21</v>
      </c>
      <c r="AR342" s="86">
        <f t="shared" si="605"/>
        <v>12</v>
      </c>
      <c r="AS342" s="390">
        <f t="shared" si="605"/>
        <v>62</v>
      </c>
      <c r="AT342" s="79">
        <f t="shared" si="605"/>
        <v>117</v>
      </c>
      <c r="AU342" s="390">
        <f t="shared" si="605"/>
        <v>20</v>
      </c>
      <c r="AV342" s="86">
        <f t="shared" si="605"/>
        <v>17</v>
      </c>
      <c r="AW342" s="86">
        <f t="shared" si="605"/>
        <v>15</v>
      </c>
      <c r="AX342" s="78">
        <f t="shared" si="605"/>
        <v>40</v>
      </c>
      <c r="AY342" s="79">
        <f t="shared" si="605"/>
        <v>92</v>
      </c>
      <c r="AZ342" s="78">
        <f t="shared" si="605"/>
        <v>16</v>
      </c>
      <c r="BA342" s="78">
        <f t="shared" si="605"/>
        <v>26</v>
      </c>
      <c r="BB342" s="78">
        <f t="shared" si="605"/>
        <v>32</v>
      </c>
      <c r="BC342" s="78">
        <f t="shared" si="605"/>
        <v>65</v>
      </c>
      <c r="BD342" s="79">
        <f t="shared" si="605"/>
        <v>139</v>
      </c>
      <c r="BE342" s="78">
        <f t="shared" si="605"/>
        <v>16</v>
      </c>
      <c r="BF342" s="78">
        <f t="shared" si="605"/>
        <v>20</v>
      </c>
      <c r="BG342" s="78">
        <f t="shared" si="605"/>
        <v>31</v>
      </c>
      <c r="BH342" s="78">
        <f t="shared" si="605"/>
        <v>48</v>
      </c>
      <c r="BI342" s="79">
        <f t="shared" si="605"/>
        <v>115</v>
      </c>
      <c r="BJ342" s="78">
        <f>BJ252</f>
        <v>23</v>
      </c>
      <c r="BK342" s="78">
        <f>BK252</f>
        <v>33</v>
      </c>
      <c r="BL342" s="78">
        <f>BL252</f>
        <v>21</v>
      </c>
      <c r="BM342" s="78">
        <f t="shared" ref="BM342:BN342" si="606">BM252</f>
        <v>46</v>
      </c>
      <c r="BN342" s="79">
        <f t="shared" si="606"/>
        <v>123</v>
      </c>
      <c r="BO342" s="78">
        <f>BO252</f>
        <v>33</v>
      </c>
      <c r="BP342" s="78">
        <f t="shared" ref="BP342:BY342" si="607">BP252</f>
        <v>31.167262271530266</v>
      </c>
      <c r="BQ342" s="78">
        <f t="shared" si="607"/>
        <v>30.84325932493628</v>
      </c>
      <c r="BR342" s="78">
        <f t="shared" si="607"/>
        <v>31.751626428280925</v>
      </c>
      <c r="BS342" s="79">
        <f t="shared" si="607"/>
        <v>126.76214802474748</v>
      </c>
      <c r="BT342" s="78">
        <f t="shared" ref="BT342:BX342" si="608">BT252</f>
        <v>32.928634920058684</v>
      </c>
      <c r="BU342" s="78">
        <f t="shared" si="608"/>
        <v>34.747299128552818</v>
      </c>
      <c r="BV342" s="78">
        <f t="shared" si="608"/>
        <v>34.42575504633345</v>
      </c>
      <c r="BW342" s="78">
        <f t="shared" si="608"/>
        <v>35.419063632132513</v>
      </c>
      <c r="BX342" s="79">
        <f t="shared" si="608"/>
        <v>137.52075272707748</v>
      </c>
      <c r="BY342" s="414">
        <f t="shared" si="607"/>
        <v>137.39899021876127</v>
      </c>
      <c r="BZ342" s="414">
        <f>BZ252</f>
        <v>144.5591990341577</v>
      </c>
      <c r="CA342" s="414">
        <f>CA252</f>
        <v>151.33224073325906</v>
      </c>
      <c r="CB342" s="470"/>
      <c r="CC342" s="1360"/>
      <c r="CD342" s="251"/>
      <c r="CE342" s="251"/>
      <c r="CF342" s="251"/>
      <c r="CG342" s="251"/>
      <c r="CH342" s="251"/>
      <c r="CI342" s="251"/>
      <c r="CJ342" s="251"/>
      <c r="CK342" s="251"/>
      <c r="CL342" s="251"/>
      <c r="CM342" s="251"/>
      <c r="CN342" s="251"/>
      <c r="CO342" s="251"/>
      <c r="CP342" s="251"/>
      <c r="CQ342" s="251"/>
      <c r="CR342" s="251"/>
      <c r="CS342" s="251"/>
      <c r="CT342" s="251"/>
      <c r="CU342" s="251"/>
      <c r="CV342" s="251"/>
      <c r="CW342" s="251"/>
      <c r="CX342" s="251"/>
      <c r="CY342" s="251"/>
      <c r="CZ342" s="251"/>
      <c r="DA342" s="86"/>
      <c r="DB342" s="399">
        <f t="shared" ref="DB342:DB347" si="609">SUM(BO342,BP342,BQ342,BR342)</f>
        <v>126.76214802474748</v>
      </c>
      <c r="DC342"/>
      <c r="DD342"/>
      <c r="DE342"/>
      <c r="DF342"/>
      <c r="DG342"/>
      <c r="DH342"/>
    </row>
    <row r="343" spans="1:112" s="82" customFormat="1" ht="12" customHeight="1">
      <c r="A343" s="390" t="s">
        <v>274</v>
      </c>
      <c r="B343" s="79">
        <f>-B293</f>
        <v>-55.07</v>
      </c>
      <c r="C343" s="79">
        <f t="shared" ref="C343:J343" si="610">C293</f>
        <v>22.516999999999999</v>
      </c>
      <c r="D343" s="79">
        <f t="shared" si="610"/>
        <v>7.0970000000000004</v>
      </c>
      <c r="E343" s="79">
        <f t="shared" si="610"/>
        <v>5.7850000000000001</v>
      </c>
      <c r="F343" s="79">
        <f t="shared" si="610"/>
        <v>5.202</v>
      </c>
      <c r="G343" s="86">
        <f t="shared" si="610"/>
        <v>-2.5089999999999999</v>
      </c>
      <c r="H343" s="86">
        <f t="shared" si="610"/>
        <v>8.5549999999999997</v>
      </c>
      <c r="I343" s="86">
        <f t="shared" si="610"/>
        <v>7.5149999999999997</v>
      </c>
      <c r="J343" s="86">
        <f t="shared" si="610"/>
        <v>7.0000000000000284E-2</v>
      </c>
      <c r="K343" s="79">
        <f>SUM(G343:J343)</f>
        <v>13.631</v>
      </c>
      <c r="L343" s="86">
        <f>L293</f>
        <v>1.204</v>
      </c>
      <c r="M343" s="86">
        <f>M293</f>
        <v>12.099</v>
      </c>
      <c r="N343" s="86">
        <f>N293</f>
        <v>15.423</v>
      </c>
      <c r="O343" s="86">
        <f>O293</f>
        <v>11.855000000000004</v>
      </c>
      <c r="P343" s="79">
        <f>SUM(L343:O343)</f>
        <v>40.581000000000003</v>
      </c>
      <c r="Q343" s="86">
        <f>Q293</f>
        <v>17.829999999999998</v>
      </c>
      <c r="R343" s="86">
        <f>R293</f>
        <v>20.353999999999999</v>
      </c>
      <c r="S343" s="86">
        <f>S293</f>
        <v>22.001999999999999</v>
      </c>
      <c r="T343" s="86">
        <f>T293</f>
        <v>15.438000000000002</v>
      </c>
      <c r="U343" s="79">
        <f>SUM(Q343:T343)</f>
        <v>75.623999999999995</v>
      </c>
      <c r="V343" s="86">
        <f>V293</f>
        <v>20.591000000000001</v>
      </c>
      <c r="W343" s="86">
        <f>W293</f>
        <v>18.498999999999999</v>
      </c>
      <c r="X343" s="86">
        <f>X293</f>
        <v>17.827000000000002</v>
      </c>
      <c r="Y343" s="86">
        <f>Y293</f>
        <v>19.950000000000003</v>
      </c>
      <c r="Z343" s="79">
        <f>SUM(V343:Y343)</f>
        <v>76.867000000000004</v>
      </c>
      <c r="AA343" s="86">
        <f>AA293</f>
        <v>22.1</v>
      </c>
      <c r="AB343" s="86">
        <f>AB293</f>
        <v>20.9</v>
      </c>
      <c r="AC343" s="86">
        <f>AC293</f>
        <v>19.3</v>
      </c>
      <c r="AD343" s="86">
        <f>AD293</f>
        <v>19.343000000000004</v>
      </c>
      <c r="AE343" s="79">
        <f>SUM(AA343:AD343)</f>
        <v>81.643000000000001</v>
      </c>
      <c r="AF343" s="86">
        <f>AF293</f>
        <v>19</v>
      </c>
      <c r="AG343" s="86">
        <f>AG293</f>
        <v>20</v>
      </c>
      <c r="AH343" s="86">
        <f>AH293</f>
        <v>18.100000000000001</v>
      </c>
      <c r="AI343" s="86">
        <f>AI293</f>
        <v>19</v>
      </c>
      <c r="AJ343" s="79">
        <f>AJ288-AJ293</f>
        <v>-76.099999999999994</v>
      </c>
      <c r="AK343" s="390">
        <f>AK293</f>
        <v>21</v>
      </c>
      <c r="AL343" s="86">
        <f>AL293</f>
        <v>21</v>
      </c>
      <c r="AM343" s="86">
        <f>AM293</f>
        <v>21</v>
      </c>
      <c r="AN343" s="390">
        <f>AN288-AN293</f>
        <v>-18</v>
      </c>
      <c r="AO343" s="119">
        <f>AO288-AO293</f>
        <v>-81</v>
      </c>
      <c r="AP343" s="390">
        <f>AP293</f>
        <v>15</v>
      </c>
      <c r="AQ343" s="86">
        <f>AQ293</f>
        <v>16</v>
      </c>
      <c r="AR343" s="86">
        <f>AR293</f>
        <v>14</v>
      </c>
      <c r="AS343" s="86">
        <f>AS288-AS293</f>
        <v>-14</v>
      </c>
      <c r="AT343" s="79">
        <f>AT288-AT293</f>
        <v>-59</v>
      </c>
      <c r="AU343" s="390">
        <f>AU293</f>
        <v>14</v>
      </c>
      <c r="AV343" s="86">
        <f>AV293</f>
        <v>14</v>
      </c>
      <c r="AW343" s="86">
        <f>AW293</f>
        <v>12</v>
      </c>
      <c r="AX343" s="251">
        <f t="shared" ref="AX343:BY343" si="611">AX288-AX293</f>
        <v>-19</v>
      </c>
      <c r="AY343" s="79">
        <f t="shared" si="611"/>
        <v>-59</v>
      </c>
      <c r="AZ343" s="251">
        <f t="shared" si="611"/>
        <v>-16</v>
      </c>
      <c r="BA343" s="251">
        <f t="shared" si="611"/>
        <v>-16</v>
      </c>
      <c r="BB343" s="251">
        <f t="shared" si="611"/>
        <v>-30</v>
      </c>
      <c r="BC343" s="251">
        <f t="shared" si="611"/>
        <v>-40</v>
      </c>
      <c r="BD343" s="79">
        <f t="shared" si="611"/>
        <v>-102</v>
      </c>
      <c r="BE343" s="251">
        <f t="shared" si="611"/>
        <v>-40</v>
      </c>
      <c r="BF343" s="251">
        <f t="shared" si="611"/>
        <v>-42</v>
      </c>
      <c r="BG343" s="251">
        <f t="shared" si="611"/>
        <v>-39</v>
      </c>
      <c r="BH343" s="251">
        <f t="shared" si="611"/>
        <v>-39</v>
      </c>
      <c r="BI343" s="79">
        <f t="shared" si="611"/>
        <v>-160</v>
      </c>
      <c r="BJ343" s="251">
        <f>BJ288-BJ293</f>
        <v>-37</v>
      </c>
      <c r="BK343" s="251">
        <f>BK288-BK293</f>
        <v>-37</v>
      </c>
      <c r="BL343" s="251">
        <f>BL288-BL293</f>
        <v>-37</v>
      </c>
      <c r="BM343" s="251">
        <f t="shared" ref="BM343:BN343" si="612">BM288-BM293</f>
        <v>-39</v>
      </c>
      <c r="BN343" s="79">
        <f t="shared" si="612"/>
        <v>-150</v>
      </c>
      <c r="BO343" s="251">
        <f>BO288-BO293</f>
        <v>-34</v>
      </c>
      <c r="BP343" s="251">
        <f t="shared" si="611"/>
        <v>-37.128512571788768</v>
      </c>
      <c r="BQ343" s="251">
        <f t="shared" si="611"/>
        <v>-37.128512571788768</v>
      </c>
      <c r="BR343" s="251">
        <f t="shared" si="611"/>
        <v>-37.128512571788768</v>
      </c>
      <c r="BS343" s="79">
        <f t="shared" si="611"/>
        <v>-145.38553771536633</v>
      </c>
      <c r="BT343" s="251">
        <f t="shared" ref="BT343:BX343" si="613">BT288-BT293</f>
        <v>-37.03875</v>
      </c>
      <c r="BU343" s="251">
        <f t="shared" si="613"/>
        <v>-37.03875</v>
      </c>
      <c r="BV343" s="251">
        <f t="shared" si="613"/>
        <v>-37.03875</v>
      </c>
      <c r="BW343" s="251">
        <f t="shared" si="613"/>
        <v>-37.03875</v>
      </c>
      <c r="BX343" s="79">
        <f t="shared" si="613"/>
        <v>-148.155</v>
      </c>
      <c r="BY343" s="394">
        <f t="shared" si="611"/>
        <v>-148.155</v>
      </c>
      <c r="BZ343" s="394">
        <f>BZ288-BZ293</f>
        <v>-148.155</v>
      </c>
      <c r="CA343" s="394">
        <f>CA288-CA293</f>
        <v>-148.155</v>
      </c>
      <c r="CB343" s="470"/>
      <c r="CC343" s="1360"/>
      <c r="CD343" s="251"/>
      <c r="CE343" s="251"/>
      <c r="CF343" s="251"/>
      <c r="CG343" s="251"/>
      <c r="CH343" s="251"/>
      <c r="CI343" s="251"/>
      <c r="CJ343" s="251"/>
      <c r="CK343" s="251"/>
      <c r="CL343" s="251"/>
      <c r="CM343" s="251"/>
      <c r="CN343" s="251"/>
      <c r="CO343" s="251"/>
      <c r="CP343" s="251"/>
      <c r="CQ343" s="251"/>
      <c r="CR343" s="251"/>
      <c r="CS343" s="251"/>
      <c r="CT343" s="251"/>
      <c r="CU343" s="251"/>
      <c r="CV343" s="251"/>
      <c r="CW343" s="251"/>
      <c r="CX343" s="251"/>
      <c r="CY343" s="251"/>
      <c r="CZ343" s="251"/>
      <c r="DA343" s="86"/>
      <c r="DB343" s="399">
        <f t="shared" si="609"/>
        <v>-145.38553771536633</v>
      </c>
      <c r="DC343"/>
      <c r="DD343"/>
      <c r="DE343"/>
      <c r="DF343"/>
      <c r="DG343"/>
      <c r="DH343"/>
    </row>
    <row r="344" spans="1:112" s="82" customFormat="1" ht="12" customHeight="1">
      <c r="A344" s="390" t="s">
        <v>275</v>
      </c>
      <c r="B344" s="684">
        <f t="shared" ref="B344:AG344" si="614">SUM(B97:B104)</f>
        <v>103.00800000000001</v>
      </c>
      <c r="C344" s="684">
        <f t="shared" si="614"/>
        <v>118.92000000000002</v>
      </c>
      <c r="D344" s="684">
        <f t="shared" si="614"/>
        <v>312.92899999999997</v>
      </c>
      <c r="E344" s="684">
        <f t="shared" si="614"/>
        <v>-102.19799999999999</v>
      </c>
      <c r="F344" s="684">
        <f t="shared" si="614"/>
        <v>273.26100000000002</v>
      </c>
      <c r="G344" s="86">
        <f t="shared" si="614"/>
        <v>-188.55600000000001</v>
      </c>
      <c r="H344" s="86">
        <f t="shared" si="614"/>
        <v>-16.347000000000008</v>
      </c>
      <c r="I344" s="86">
        <f t="shared" si="614"/>
        <v>104.54099999999998</v>
      </c>
      <c r="J344" s="86">
        <f t="shared" si="614"/>
        <v>265.40199999999999</v>
      </c>
      <c r="K344" s="684">
        <f t="shared" si="614"/>
        <v>165.03999999999996</v>
      </c>
      <c r="L344" s="86">
        <f t="shared" si="614"/>
        <v>-67.238999999999976</v>
      </c>
      <c r="M344" s="86">
        <f t="shared" si="614"/>
        <v>-128.066</v>
      </c>
      <c r="N344" s="86">
        <f t="shared" si="614"/>
        <v>65.166999999999987</v>
      </c>
      <c r="O344" s="86">
        <f t="shared" si="614"/>
        <v>348.084</v>
      </c>
      <c r="P344" s="684">
        <f t="shared" si="614"/>
        <v>217.946</v>
      </c>
      <c r="Q344" s="86">
        <f t="shared" si="614"/>
        <v>-276.67699999999996</v>
      </c>
      <c r="R344" s="86">
        <f t="shared" si="614"/>
        <v>-195.54200000000009</v>
      </c>
      <c r="S344" s="86">
        <f t="shared" si="614"/>
        <v>134.49600000000001</v>
      </c>
      <c r="T344" s="86">
        <f t="shared" si="614"/>
        <v>229.20499999999998</v>
      </c>
      <c r="U344" s="684">
        <f t="shared" si="614"/>
        <v>-108.51799999999999</v>
      </c>
      <c r="V344" s="86">
        <f t="shared" si="614"/>
        <v>-84.34099999999998</v>
      </c>
      <c r="W344" s="86">
        <f t="shared" si="614"/>
        <v>-83.038999999999987</v>
      </c>
      <c r="X344" s="86">
        <f t="shared" si="614"/>
        <v>97.529999999999987</v>
      </c>
      <c r="Y344" s="86">
        <f t="shared" si="614"/>
        <v>115.06800000000001</v>
      </c>
      <c r="Z344" s="684">
        <f t="shared" si="614"/>
        <v>45.217999999999989</v>
      </c>
      <c r="AA344" s="86">
        <f t="shared" si="614"/>
        <v>-75.8</v>
      </c>
      <c r="AB344" s="86">
        <f t="shared" si="614"/>
        <v>-60.1</v>
      </c>
      <c r="AC344" s="86">
        <f t="shared" si="614"/>
        <v>139.39999999999998</v>
      </c>
      <c r="AD344" s="86">
        <f t="shared" si="614"/>
        <v>1.1509999999999678</v>
      </c>
      <c r="AE344" s="684">
        <f t="shared" si="614"/>
        <v>4.6509999999999536</v>
      </c>
      <c r="AF344" s="86">
        <f t="shared" si="614"/>
        <v>-177.6</v>
      </c>
      <c r="AG344" s="86">
        <f t="shared" si="614"/>
        <v>-55.200000000000045</v>
      </c>
      <c r="AH344" s="86">
        <f t="shared" ref="AH344:AY344" si="615">SUM(AH97:AH104)</f>
        <v>174.2</v>
      </c>
      <c r="AI344" s="86">
        <f t="shared" si="615"/>
        <v>18.600000000000033</v>
      </c>
      <c r="AJ344" s="684">
        <f t="shared" si="615"/>
        <v>-40</v>
      </c>
      <c r="AK344" s="390">
        <f t="shared" si="615"/>
        <v>-210</v>
      </c>
      <c r="AL344" s="86">
        <f t="shared" si="615"/>
        <v>-49</v>
      </c>
      <c r="AM344" s="86">
        <f t="shared" si="615"/>
        <v>104</v>
      </c>
      <c r="AN344" s="390">
        <f t="shared" si="615"/>
        <v>-159</v>
      </c>
      <c r="AO344" s="685">
        <f t="shared" si="615"/>
        <v>-314</v>
      </c>
      <c r="AP344" s="390">
        <f t="shared" si="615"/>
        <v>-376</v>
      </c>
      <c r="AQ344" s="86">
        <f t="shared" si="615"/>
        <v>11</v>
      </c>
      <c r="AR344" s="86">
        <f t="shared" si="615"/>
        <v>-20</v>
      </c>
      <c r="AS344" s="86">
        <f t="shared" si="615"/>
        <v>-101</v>
      </c>
      <c r="AT344" s="684">
        <f t="shared" si="615"/>
        <v>-486</v>
      </c>
      <c r="AU344" s="390">
        <f t="shared" si="615"/>
        <v>-206</v>
      </c>
      <c r="AV344" s="86">
        <f t="shared" si="615"/>
        <v>-61</v>
      </c>
      <c r="AW344" s="86">
        <f t="shared" si="615"/>
        <v>44</v>
      </c>
      <c r="AX344" s="251">
        <f t="shared" si="615"/>
        <v>-44</v>
      </c>
      <c r="AY344" s="684">
        <f t="shared" si="615"/>
        <v>-267</v>
      </c>
      <c r="AZ344" s="251">
        <f>SUM(AZ97:AZ104)-AZ102</f>
        <v>-225</v>
      </c>
      <c r="BA344" s="86">
        <f>SUM(BA97:BA104)</f>
        <v>-101</v>
      </c>
      <c r="BB344" s="86">
        <f>SUM(BB97:BB104)</f>
        <v>88</v>
      </c>
      <c r="BC344" s="251">
        <f>SUM(BC97:BC104)</f>
        <v>53</v>
      </c>
      <c r="BD344" s="684">
        <f>SUM(BD97:BD104)-AZ102</f>
        <v>-185</v>
      </c>
      <c r="BE344" s="251">
        <f t="shared" ref="BE344:BZ344" si="616">SUM(BE97:BE104)</f>
        <v>-279</v>
      </c>
      <c r="BF344" s="86">
        <f t="shared" si="616"/>
        <v>-57</v>
      </c>
      <c r="BG344" s="86">
        <f t="shared" si="616"/>
        <v>324</v>
      </c>
      <c r="BH344" s="251">
        <f t="shared" si="616"/>
        <v>-80</v>
      </c>
      <c r="BI344" s="684">
        <f t="shared" si="616"/>
        <v>-92</v>
      </c>
      <c r="BJ344" s="251">
        <f>SUM(BJ97:BJ104)</f>
        <v>-157</v>
      </c>
      <c r="BK344" s="86">
        <f>SUM(BK97:BK104)</f>
        <v>-224</v>
      </c>
      <c r="BL344" s="86">
        <f>SUM(BL97:BL104)</f>
        <v>-13</v>
      </c>
      <c r="BM344" s="251">
        <f t="shared" ref="BM344:BN344" si="617">SUM(BM97:BM104)</f>
        <v>326</v>
      </c>
      <c r="BN344" s="684">
        <f t="shared" si="617"/>
        <v>-68</v>
      </c>
      <c r="BO344" s="251">
        <f>SUM(BO97:BO104)</f>
        <v>-256</v>
      </c>
      <c r="BP344" s="251">
        <f t="shared" si="616"/>
        <v>107.65866264931336</v>
      </c>
      <c r="BQ344" s="251">
        <f t="shared" si="616"/>
        <v>-4.4137127185364733</v>
      </c>
      <c r="BR344" s="251">
        <f t="shared" si="616"/>
        <v>55.223369284646928</v>
      </c>
      <c r="BS344" s="684">
        <f t="shared" si="616"/>
        <v>-97.531680784576196</v>
      </c>
      <c r="BT344" s="251">
        <f t="shared" ref="BT344:BX344" si="618">SUM(BT97:BT104)</f>
        <v>-135.07197084233829</v>
      </c>
      <c r="BU344" s="251">
        <f t="shared" si="618"/>
        <v>118.93163074137681</v>
      </c>
      <c r="BV344" s="251">
        <f t="shared" si="618"/>
        <v>-3.6746214011572675</v>
      </c>
      <c r="BW344" s="251">
        <f t="shared" si="618"/>
        <v>-11.083120236344648</v>
      </c>
      <c r="BX344" s="684">
        <f t="shared" si="618"/>
        <v>-30.898081738463397</v>
      </c>
      <c r="BY344" s="394">
        <f t="shared" si="616"/>
        <v>-19.998161235800801</v>
      </c>
      <c r="BZ344" s="394">
        <f t="shared" si="616"/>
        <v>-2.6276510736945013</v>
      </c>
      <c r="CA344" s="394">
        <f t="shared" ref="CA344" si="619">SUM(CA97:CA104)</f>
        <v>-8.6464033844810331</v>
      </c>
      <c r="CB344" s="470"/>
      <c r="CC344" s="1360"/>
      <c r="CD344" s="251"/>
      <c r="CE344" s="251"/>
      <c r="CF344" s="251"/>
      <c r="CG344" s="251"/>
      <c r="CH344" s="251"/>
      <c r="CI344" s="251"/>
      <c r="CJ344" s="251"/>
      <c r="CK344" s="251"/>
      <c r="CL344" s="251"/>
      <c r="CM344" s="251"/>
      <c r="CN344" s="251"/>
      <c r="CO344" s="251"/>
      <c r="CP344" s="251"/>
      <c r="CQ344" s="251"/>
      <c r="CR344" s="251"/>
      <c r="CS344" s="251"/>
      <c r="CT344" s="251"/>
      <c r="CU344" s="251"/>
      <c r="CV344" s="251"/>
      <c r="CW344" s="251"/>
      <c r="CX344" s="251"/>
      <c r="CY344" s="251"/>
      <c r="CZ344" s="251"/>
      <c r="DA344" s="86"/>
      <c r="DB344" s="399">
        <f t="shared" si="609"/>
        <v>-97.531680784576167</v>
      </c>
      <c r="DC344"/>
      <c r="DD344"/>
      <c r="DE344"/>
      <c r="DF344"/>
      <c r="DG344"/>
      <c r="DH344"/>
    </row>
    <row r="345" spans="1:112" s="82" customFormat="1" ht="12" customHeight="1">
      <c r="A345" s="390" t="s">
        <v>276</v>
      </c>
      <c r="B345" s="79">
        <f t="shared" ref="B345:S345" si="620">B48</f>
        <v>-238.02699999999999</v>
      </c>
      <c r="C345" s="79">
        <f t="shared" si="620"/>
        <v>-331.06949999999995</v>
      </c>
      <c r="D345" s="79">
        <f t="shared" si="620"/>
        <v>-391.39030000000002</v>
      </c>
      <c r="E345" s="79">
        <f t="shared" si="620"/>
        <v>-412.495</v>
      </c>
      <c r="F345" s="79">
        <f t="shared" si="620"/>
        <v>-523.49714799999992</v>
      </c>
      <c r="G345" s="86">
        <f t="shared" si="620"/>
        <v>-53.2926</v>
      </c>
      <c r="H345" s="86">
        <f t="shared" si="620"/>
        <v>-130.887</v>
      </c>
      <c r="I345" s="86">
        <f t="shared" si="620"/>
        <v>-232.4778</v>
      </c>
      <c r="J345" s="86">
        <f t="shared" si="620"/>
        <v>-106.31721526983476</v>
      </c>
      <c r="K345" s="79">
        <f t="shared" si="620"/>
        <v>-522.97461526983477</v>
      </c>
      <c r="L345" s="86">
        <f t="shared" si="620"/>
        <v>-80.303524999999993</v>
      </c>
      <c r="M345" s="86">
        <f t="shared" si="620"/>
        <v>-166.24799999999999</v>
      </c>
      <c r="N345" s="86">
        <f t="shared" si="620"/>
        <v>-271.21100000000001</v>
      </c>
      <c r="O345" s="86">
        <f t="shared" si="620"/>
        <v>-108.471975</v>
      </c>
      <c r="P345" s="79">
        <f t="shared" si="620"/>
        <v>-626.23449999999991</v>
      </c>
      <c r="Q345" s="86">
        <f t="shared" si="620"/>
        <v>-48.667000000000002</v>
      </c>
      <c r="R345" s="86">
        <f t="shared" si="620"/>
        <v>-136.66739999999999</v>
      </c>
      <c r="S345" s="86">
        <f t="shared" si="620"/>
        <v>-243.27179999999998</v>
      </c>
      <c r="T345" s="86">
        <f>-466.148-SUM(Q345:S345)</f>
        <v>-37.54180000000008</v>
      </c>
      <c r="U345" s="79">
        <f>U48</f>
        <v>-508.46780000000001</v>
      </c>
      <c r="V345" s="86">
        <f>V48</f>
        <v>-37.765000000000001</v>
      </c>
      <c r="W345" s="86">
        <f>W48</f>
        <v>-107.38806099999999</v>
      </c>
      <c r="X345" s="86">
        <f>X48</f>
        <v>-195.88200000000001</v>
      </c>
      <c r="Y345" s="86">
        <f>-415.643-SUM(V345:X345)</f>
        <v>-74.607938999999988</v>
      </c>
      <c r="Z345" s="79">
        <f>Z48</f>
        <v>-435.80799999999999</v>
      </c>
      <c r="AA345" s="86">
        <f>AA48</f>
        <v>-61.2</v>
      </c>
      <c r="AB345" s="86">
        <f>AB48</f>
        <v>-111.2</v>
      </c>
      <c r="AC345" s="86">
        <f>AC48</f>
        <v>-217.7</v>
      </c>
      <c r="AD345" s="86">
        <f>-410.342-SUM(AA345:AC345)</f>
        <v>-20.241999999999962</v>
      </c>
      <c r="AE345" s="79">
        <f t="shared" ref="AE345:BJ345" si="621">AE48</f>
        <v>-493.04700000000003</v>
      </c>
      <c r="AF345" s="86">
        <f t="shared" si="621"/>
        <v>-72</v>
      </c>
      <c r="AG345" s="86">
        <f t="shared" si="621"/>
        <v>-122</v>
      </c>
      <c r="AH345" s="86">
        <f t="shared" si="621"/>
        <v>-213.7</v>
      </c>
      <c r="AI345" s="86">
        <f t="shared" si="621"/>
        <v>-83</v>
      </c>
      <c r="AJ345" s="79">
        <f t="shared" si="621"/>
        <v>-490.7</v>
      </c>
      <c r="AK345" s="390">
        <f t="shared" si="621"/>
        <v>-109</v>
      </c>
      <c r="AL345" s="86">
        <f t="shared" si="621"/>
        <v>-122</v>
      </c>
      <c r="AM345" s="86">
        <f t="shared" si="621"/>
        <v>-112</v>
      </c>
      <c r="AN345" s="390">
        <f t="shared" si="621"/>
        <v>-126</v>
      </c>
      <c r="AO345" s="119">
        <f t="shared" si="621"/>
        <v>-469</v>
      </c>
      <c r="AP345" s="390">
        <f t="shared" si="621"/>
        <v>-135</v>
      </c>
      <c r="AQ345" s="86">
        <f t="shared" si="621"/>
        <v>-150</v>
      </c>
      <c r="AR345" s="86">
        <f t="shared" si="621"/>
        <v>-129</v>
      </c>
      <c r="AS345" s="390">
        <f t="shared" si="621"/>
        <v>-101</v>
      </c>
      <c r="AT345" s="79">
        <f t="shared" si="621"/>
        <v>-515</v>
      </c>
      <c r="AU345" s="390">
        <f t="shared" si="621"/>
        <v>-138</v>
      </c>
      <c r="AV345" s="86">
        <f t="shared" si="621"/>
        <v>-151</v>
      </c>
      <c r="AW345" s="86">
        <f t="shared" si="621"/>
        <v>-156</v>
      </c>
      <c r="AX345" s="78">
        <f t="shared" si="621"/>
        <v>-136</v>
      </c>
      <c r="AY345" s="79">
        <f t="shared" si="621"/>
        <v>-581</v>
      </c>
      <c r="AZ345" s="78">
        <f t="shared" si="621"/>
        <v>-154</v>
      </c>
      <c r="BA345" s="78">
        <f t="shared" si="621"/>
        <v>-173</v>
      </c>
      <c r="BB345" s="78">
        <f t="shared" si="621"/>
        <v>-144</v>
      </c>
      <c r="BC345" s="78">
        <f t="shared" si="621"/>
        <v>-126</v>
      </c>
      <c r="BD345" s="79">
        <f t="shared" si="621"/>
        <v>-597</v>
      </c>
      <c r="BE345" s="78">
        <f t="shared" si="621"/>
        <v>-154</v>
      </c>
      <c r="BF345" s="78">
        <f t="shared" si="621"/>
        <v>-188</v>
      </c>
      <c r="BG345" s="78">
        <f t="shared" si="621"/>
        <v>-180</v>
      </c>
      <c r="BH345" s="78">
        <f t="shared" si="621"/>
        <v>-175</v>
      </c>
      <c r="BI345" s="79">
        <f t="shared" si="621"/>
        <v>-697</v>
      </c>
      <c r="BJ345" s="78">
        <f t="shared" si="621"/>
        <v>-190</v>
      </c>
      <c r="BK345" s="78">
        <f t="shared" ref="BK345:CA345" si="622">BK48</f>
        <v>-188</v>
      </c>
      <c r="BL345" s="78">
        <f t="shared" si="622"/>
        <v>-176</v>
      </c>
      <c r="BM345" s="78">
        <f t="shared" si="622"/>
        <v>-194</v>
      </c>
      <c r="BN345" s="79">
        <f t="shared" si="622"/>
        <v>-748</v>
      </c>
      <c r="BO345" s="78">
        <f t="shared" si="622"/>
        <v>-147</v>
      </c>
      <c r="BP345" s="78">
        <f t="shared" si="622"/>
        <v>-152.33233300467037</v>
      </c>
      <c r="BQ345" s="78">
        <f t="shared" si="622"/>
        <v>-148.18498917732614</v>
      </c>
      <c r="BR345" s="78">
        <f t="shared" si="622"/>
        <v>-154.74881537698752</v>
      </c>
      <c r="BS345" s="79">
        <f t="shared" si="622"/>
        <v>-602.26613755898404</v>
      </c>
      <c r="BT345" s="78">
        <f t="shared" si="622"/>
        <v>-157.37469320051039</v>
      </c>
      <c r="BU345" s="78">
        <f t="shared" si="622"/>
        <v>-167.98854770715039</v>
      </c>
      <c r="BV345" s="78">
        <f t="shared" si="622"/>
        <v>-163.99792053706511</v>
      </c>
      <c r="BW345" s="78">
        <f t="shared" si="622"/>
        <v>-170.84517633205314</v>
      </c>
      <c r="BX345" s="79">
        <f t="shared" si="622"/>
        <v>-660.20633777677904</v>
      </c>
      <c r="BY345" s="414">
        <f t="shared" si="622"/>
        <v>-706.49748696584254</v>
      </c>
      <c r="BZ345" s="414">
        <f t="shared" si="622"/>
        <v>-757.48984558472705</v>
      </c>
      <c r="CA345" s="414">
        <f t="shared" si="622"/>
        <v>-805.66241102049833</v>
      </c>
      <c r="CB345" s="470"/>
      <c r="CC345" s="1360"/>
      <c r="CD345" s="251"/>
      <c r="CE345" s="251"/>
      <c r="CF345" s="251"/>
      <c r="CG345" s="251"/>
      <c r="CH345" s="251"/>
      <c r="CI345" s="251"/>
      <c r="CJ345" s="251"/>
      <c r="CK345" s="251"/>
      <c r="CL345" s="251"/>
      <c r="CM345" s="251"/>
      <c r="CN345" s="251"/>
      <c r="CO345" s="251"/>
      <c r="CP345" s="251"/>
      <c r="CQ345" s="251"/>
      <c r="CR345" s="251"/>
      <c r="CS345" s="251"/>
      <c r="CT345" s="251"/>
      <c r="CU345" s="251"/>
      <c r="CV345" s="251"/>
      <c r="CW345" s="251"/>
      <c r="CX345" s="251"/>
      <c r="CY345" s="251"/>
      <c r="CZ345" s="251"/>
      <c r="DA345" s="86"/>
      <c r="DB345" s="399">
        <f t="shared" si="609"/>
        <v>-602.26613755898404</v>
      </c>
      <c r="DC345"/>
      <c r="DD345"/>
      <c r="DE345"/>
      <c r="DF345"/>
      <c r="DG345"/>
      <c r="DH345"/>
    </row>
    <row r="346" spans="1:112" ht="5.25" customHeight="1">
      <c r="A346" s="42"/>
      <c r="B346" s="686" t="s">
        <v>62</v>
      </c>
      <c r="C346" s="686" t="s">
        <v>62</v>
      </c>
      <c r="D346" s="686" t="s">
        <v>62</v>
      </c>
      <c r="E346" s="686" t="s">
        <v>62</v>
      </c>
      <c r="F346" s="686" t="s">
        <v>62</v>
      </c>
      <c r="G346" s="598" t="s">
        <v>62</v>
      </c>
      <c r="H346" s="598" t="s">
        <v>62</v>
      </c>
      <c r="I346" s="598" t="s">
        <v>62</v>
      </c>
      <c r="J346" s="598" t="s">
        <v>62</v>
      </c>
      <c r="K346" s="686" t="s">
        <v>62</v>
      </c>
      <c r="L346" s="598" t="s">
        <v>62</v>
      </c>
      <c r="M346" s="598" t="s">
        <v>62</v>
      </c>
      <c r="N346" s="598" t="s">
        <v>62</v>
      </c>
      <c r="O346" s="598" t="s">
        <v>62</v>
      </c>
      <c r="P346" s="686" t="s">
        <v>62</v>
      </c>
      <c r="Q346" s="598" t="s">
        <v>62</v>
      </c>
      <c r="R346" s="598" t="s">
        <v>62</v>
      </c>
      <c r="S346" s="598" t="s">
        <v>62</v>
      </c>
      <c r="T346" s="598" t="s">
        <v>62</v>
      </c>
      <c r="U346" s="686" t="s">
        <v>62</v>
      </c>
      <c r="V346" s="598" t="s">
        <v>62</v>
      </c>
      <c r="W346" s="598" t="s">
        <v>62</v>
      </c>
      <c r="X346" s="598" t="s">
        <v>62</v>
      </c>
      <c r="Y346" s="598" t="s">
        <v>62</v>
      </c>
      <c r="Z346" s="686" t="s">
        <v>62</v>
      </c>
      <c r="AA346" s="598" t="s">
        <v>62</v>
      </c>
      <c r="AB346" s="598" t="s">
        <v>62</v>
      </c>
      <c r="AC346" s="598" t="s">
        <v>62</v>
      </c>
      <c r="AD346" s="598" t="s">
        <v>62</v>
      </c>
      <c r="AE346" s="686" t="s">
        <v>62</v>
      </c>
      <c r="AF346" s="598" t="s">
        <v>62</v>
      </c>
      <c r="AG346" s="598" t="s">
        <v>62</v>
      </c>
      <c r="AH346" s="598" t="s">
        <v>62</v>
      </c>
      <c r="AI346" s="598" t="s">
        <v>62</v>
      </c>
      <c r="AJ346" s="686" t="s">
        <v>62</v>
      </c>
      <c r="AK346" s="687" t="s">
        <v>62</v>
      </c>
      <c r="AL346" s="598" t="s">
        <v>62</v>
      </c>
      <c r="AM346" s="598" t="s">
        <v>62</v>
      </c>
      <c r="AN346" s="687" t="s">
        <v>62</v>
      </c>
      <c r="AO346" s="688" t="s">
        <v>62</v>
      </c>
      <c r="AP346" s="687" t="s">
        <v>62</v>
      </c>
      <c r="AQ346" s="598" t="s">
        <v>62</v>
      </c>
      <c r="AR346" s="598" t="s">
        <v>62</v>
      </c>
      <c r="AS346" s="598" t="s">
        <v>62</v>
      </c>
      <c r="AT346" s="686" t="s">
        <v>62</v>
      </c>
      <c r="AU346" s="687" t="s">
        <v>62</v>
      </c>
      <c r="AV346" s="598" t="s">
        <v>62</v>
      </c>
      <c r="AW346" s="598" t="s">
        <v>62</v>
      </c>
      <c r="AX346" s="598" t="s">
        <v>62</v>
      </c>
      <c r="AY346" s="686" t="s">
        <v>62</v>
      </c>
      <c r="AZ346" s="598" t="s">
        <v>62</v>
      </c>
      <c r="BA346" s="598" t="s">
        <v>62</v>
      </c>
      <c r="BB346" s="598" t="s">
        <v>62</v>
      </c>
      <c r="BC346" s="598" t="s">
        <v>62</v>
      </c>
      <c r="BD346" s="686" t="s">
        <v>62</v>
      </c>
      <c r="BE346" s="598" t="s">
        <v>62</v>
      </c>
      <c r="BF346" s="598" t="s">
        <v>62</v>
      </c>
      <c r="BG346" s="598" t="s">
        <v>62</v>
      </c>
      <c r="BH346" s="598" t="s">
        <v>62</v>
      </c>
      <c r="BI346" s="686" t="s">
        <v>62</v>
      </c>
      <c r="BJ346" s="598" t="s">
        <v>62</v>
      </c>
      <c r="BK346" s="598" t="s">
        <v>62</v>
      </c>
      <c r="BL346" s="598" t="s">
        <v>62</v>
      </c>
      <c r="BM346" s="598" t="s">
        <v>62</v>
      </c>
      <c r="BN346" s="686" t="s">
        <v>62</v>
      </c>
      <c r="BO346" s="598" t="s">
        <v>62</v>
      </c>
      <c r="BP346" s="598" t="s">
        <v>62</v>
      </c>
      <c r="BQ346" s="598" t="s">
        <v>62</v>
      </c>
      <c r="BR346" s="598" t="s">
        <v>62</v>
      </c>
      <c r="BS346" s="686" t="s">
        <v>62</v>
      </c>
      <c r="BT346" s="598" t="s">
        <v>62</v>
      </c>
      <c r="BU346" s="598" t="s">
        <v>62</v>
      </c>
      <c r="BV346" s="598" t="s">
        <v>62</v>
      </c>
      <c r="BW346" s="598" t="s">
        <v>62</v>
      </c>
      <c r="BX346" s="686" t="s">
        <v>62</v>
      </c>
      <c r="BY346" s="689" t="s">
        <v>62</v>
      </c>
      <c r="BZ346" s="689" t="s">
        <v>62</v>
      </c>
      <c r="CA346" s="689" t="s">
        <v>62</v>
      </c>
      <c r="CD346" s="370"/>
      <c r="CE346" s="388"/>
      <c r="CF346" s="388"/>
      <c r="CG346" s="388"/>
      <c r="CH346" s="388"/>
      <c r="CI346" s="388"/>
      <c r="CJ346" s="388"/>
      <c r="CK346" s="388"/>
      <c r="CL346" s="388"/>
      <c r="CM346" s="388"/>
      <c r="CN346" s="388"/>
      <c r="CO346" s="388"/>
      <c r="CP346" s="388"/>
      <c r="CQ346" s="388"/>
      <c r="CR346" s="388"/>
      <c r="CS346" s="388"/>
      <c r="CT346" s="388"/>
      <c r="CU346" s="388"/>
      <c r="CV346" s="388"/>
      <c r="CW346" s="388"/>
      <c r="CX346" s="388"/>
      <c r="CY346" s="388"/>
      <c r="CZ346" s="388"/>
      <c r="DA346" s="58"/>
      <c r="DB346" s="286" t="s">
        <v>62</v>
      </c>
    </row>
    <row r="347" spans="1:112" ht="12" customHeight="1">
      <c r="A347" s="418" t="s">
        <v>277</v>
      </c>
      <c r="B347" s="67">
        <f t="shared" ref="B347:BI347" si="623">SUM(B341:B345)</f>
        <v>806.13099999999963</v>
      </c>
      <c r="C347" s="67">
        <f t="shared" si="623"/>
        <v>993.36350000000027</v>
      </c>
      <c r="D347" s="67">
        <f t="shared" si="623"/>
        <v>1193.6356999999998</v>
      </c>
      <c r="E347" s="67">
        <f t="shared" si="623"/>
        <v>940.0550000000004</v>
      </c>
      <c r="F347" s="67">
        <f t="shared" si="623"/>
        <v>1429.7668519999995</v>
      </c>
      <c r="G347" s="74">
        <f t="shared" si="623"/>
        <v>-50.81259999999984</v>
      </c>
      <c r="H347" s="74">
        <f>SUM(H341:H345)</f>
        <v>290.45800000000003</v>
      </c>
      <c r="I347" s="74">
        <f>SUM(I341:I345)</f>
        <v>579.55219999999997</v>
      </c>
      <c r="J347" s="74">
        <f>SUM(J341:J345)</f>
        <v>597.61078473016539</v>
      </c>
      <c r="K347" s="67">
        <f>SUM(K341:K345)</f>
        <v>1416.8083847301655</v>
      </c>
      <c r="L347" s="74">
        <f t="shared" si="623"/>
        <v>134.0874750000001</v>
      </c>
      <c r="M347" s="74">
        <f t="shared" si="623"/>
        <v>279.68300000000028</v>
      </c>
      <c r="N347" s="74">
        <f t="shared" si="623"/>
        <v>636.21199999999999</v>
      </c>
      <c r="O347" s="74">
        <f t="shared" si="623"/>
        <v>680.95202499999994</v>
      </c>
      <c r="P347" s="67">
        <f t="shared" si="623"/>
        <v>1746.3575000000005</v>
      </c>
      <c r="Q347" s="74">
        <f t="shared" si="623"/>
        <v>-85.149000000000143</v>
      </c>
      <c r="R347" s="74">
        <f t="shared" si="623"/>
        <v>149.39959999999985</v>
      </c>
      <c r="S347" s="74">
        <f t="shared" si="623"/>
        <v>659.25220000000013</v>
      </c>
      <c r="T347" s="623">
        <f t="shared" si="623"/>
        <v>535.21619999999928</v>
      </c>
      <c r="U347" s="67">
        <f t="shared" si="623"/>
        <v>1216.3991999999994</v>
      </c>
      <c r="V347" s="74">
        <f t="shared" si="623"/>
        <v>76.177999999999898</v>
      </c>
      <c r="W347" s="74">
        <f t="shared" si="623"/>
        <v>194.65393899999981</v>
      </c>
      <c r="X347" s="74">
        <f t="shared" si="623"/>
        <v>535.37200000000007</v>
      </c>
      <c r="Y347" s="74">
        <f t="shared" si="623"/>
        <v>432.19706099999962</v>
      </c>
      <c r="Z347" s="67">
        <f t="shared" si="623"/>
        <v>1218.2360000000008</v>
      </c>
      <c r="AA347" s="74">
        <f t="shared" si="623"/>
        <v>123.00000000000004</v>
      </c>
      <c r="AB347" s="74">
        <f t="shared" si="623"/>
        <v>242.39999999999975</v>
      </c>
      <c r="AC347" s="74">
        <f t="shared" si="623"/>
        <v>617.90000000000009</v>
      </c>
      <c r="AD347" s="74">
        <f t="shared" si="623"/>
        <v>394.39500000000027</v>
      </c>
      <c r="AE347" s="67">
        <f t="shared" si="623"/>
        <v>1294.9899999999993</v>
      </c>
      <c r="AF347" s="74">
        <f t="shared" si="623"/>
        <v>42.799999999999983</v>
      </c>
      <c r="AG347" s="74">
        <f t="shared" si="623"/>
        <v>265.99999999999994</v>
      </c>
      <c r="AH347" s="74">
        <f t="shared" si="623"/>
        <v>648.39999999999986</v>
      </c>
      <c r="AI347" s="74">
        <f t="shared" si="623"/>
        <v>286.10000000000002</v>
      </c>
      <c r="AJ347" s="67">
        <f t="shared" si="623"/>
        <v>1607.0999999999997</v>
      </c>
      <c r="AK347" s="418">
        <f t="shared" si="623"/>
        <v>54</v>
      </c>
      <c r="AL347" s="74">
        <f t="shared" si="623"/>
        <v>257</v>
      </c>
      <c r="AM347" s="74">
        <f t="shared" si="623"/>
        <v>442</v>
      </c>
      <c r="AN347" s="418">
        <f t="shared" si="623"/>
        <v>132</v>
      </c>
      <c r="AO347" s="245">
        <f t="shared" si="623"/>
        <v>759</v>
      </c>
      <c r="AP347" s="418">
        <f t="shared" si="623"/>
        <v>-40</v>
      </c>
      <c r="AQ347" s="74">
        <f t="shared" si="623"/>
        <v>379</v>
      </c>
      <c r="AR347" s="74">
        <f t="shared" si="623"/>
        <v>294</v>
      </c>
      <c r="AS347" s="74">
        <f>SUM(AS341:AS345)</f>
        <v>228</v>
      </c>
      <c r="AT347" s="67">
        <f>SUM(AT341:AT345)</f>
        <v>771</v>
      </c>
      <c r="AU347" s="418">
        <f t="shared" si="623"/>
        <v>143.5</v>
      </c>
      <c r="AV347" s="74">
        <f t="shared" si="623"/>
        <v>327.5</v>
      </c>
      <c r="AW347" s="74">
        <f>SUM(AW341:AW345)</f>
        <v>424</v>
      </c>
      <c r="AX347" s="248">
        <f t="shared" si="623"/>
        <v>319</v>
      </c>
      <c r="AY347" s="67">
        <f t="shared" si="623"/>
        <v>1134</v>
      </c>
      <c r="AZ347" s="248">
        <f t="shared" si="623"/>
        <v>149</v>
      </c>
      <c r="BA347" s="248">
        <f t="shared" si="623"/>
        <v>321</v>
      </c>
      <c r="BB347" s="248">
        <f t="shared" si="623"/>
        <v>512</v>
      </c>
      <c r="BC347" s="248">
        <f t="shared" si="623"/>
        <v>483</v>
      </c>
      <c r="BD347" s="67">
        <f>SUM(BD341:BD345)</f>
        <v>1465</v>
      </c>
      <c r="BE347" s="248">
        <f t="shared" si="623"/>
        <v>112</v>
      </c>
      <c r="BF347" s="248">
        <f t="shared" si="623"/>
        <v>407</v>
      </c>
      <c r="BG347" s="248">
        <f t="shared" si="623"/>
        <v>797</v>
      </c>
      <c r="BH347" s="248">
        <f t="shared" si="623"/>
        <v>365</v>
      </c>
      <c r="BI347" s="67">
        <f t="shared" si="623"/>
        <v>1681</v>
      </c>
      <c r="BJ347" s="248">
        <f>SUM(BJ341:BJ345)</f>
        <v>347</v>
      </c>
      <c r="BK347" s="248">
        <f>SUM(BK341:BK345)</f>
        <v>319</v>
      </c>
      <c r="BL347" s="248">
        <f>SUM(BL341:BL345)</f>
        <v>518</v>
      </c>
      <c r="BM347" s="248">
        <f t="shared" ref="BM347:BN347" si="624">SUM(BM341:BM345)</f>
        <v>912</v>
      </c>
      <c r="BN347" s="67">
        <f t="shared" si="624"/>
        <v>2096</v>
      </c>
      <c r="BO347" s="248">
        <f>SUM(BO341:BO345)</f>
        <v>352</v>
      </c>
      <c r="BP347" s="248">
        <f t="shared" ref="BP347:BY347" si="625">SUM(BP341:BP345)</f>
        <v>742.29364777342403</v>
      </c>
      <c r="BQ347" s="248">
        <f t="shared" si="625"/>
        <v>615.20810073302368</v>
      </c>
      <c r="BR347" s="248">
        <f t="shared" si="625"/>
        <v>698.6947958139092</v>
      </c>
      <c r="BS347" s="67">
        <f t="shared" si="625"/>
        <v>2408.1965443203567</v>
      </c>
      <c r="BT347" s="248">
        <f t="shared" ref="BT347:BX347" si="626">SUM(BT341:BT345)</f>
        <v>518.5573769769685</v>
      </c>
      <c r="BU347" s="248">
        <f t="shared" si="626"/>
        <v>815.67868330159229</v>
      </c>
      <c r="BV347" s="248">
        <f t="shared" si="626"/>
        <v>677.73029592676903</v>
      </c>
      <c r="BW347" s="248">
        <f t="shared" si="626"/>
        <v>697.70618327454895</v>
      </c>
      <c r="BX347" s="67">
        <f t="shared" si="626"/>
        <v>2709.6725394798782</v>
      </c>
      <c r="BY347" s="419">
        <f t="shared" si="625"/>
        <v>2892.1893617407209</v>
      </c>
      <c r="BZ347" s="419">
        <f>SUM(BZ341:BZ345)</f>
        <v>3105.4681378006462</v>
      </c>
      <c r="CA347" s="419">
        <f>SUM(CA341:CA345)</f>
        <v>3283.4118237164653</v>
      </c>
      <c r="CC347" s="1359"/>
      <c r="CD347" s="248"/>
      <c r="CE347" s="248"/>
      <c r="CF347" s="248"/>
      <c r="CG347" s="248"/>
      <c r="CH347" s="248"/>
      <c r="CI347" s="248"/>
      <c r="CJ347" s="248"/>
      <c r="CK347" s="248"/>
      <c r="CL347" s="248"/>
      <c r="CM347" s="248"/>
      <c r="CN347" s="248"/>
      <c r="CO347" s="248"/>
      <c r="CP347" s="248"/>
      <c r="CQ347" s="248"/>
      <c r="CR347" s="248"/>
      <c r="CS347" s="248"/>
      <c r="CT347" s="248"/>
      <c r="CU347" s="248"/>
      <c r="CV347" s="248"/>
      <c r="CW347" s="248"/>
      <c r="CX347" s="248"/>
      <c r="CY347" s="248"/>
      <c r="CZ347" s="248"/>
      <c r="DA347" s="74"/>
      <c r="DB347" s="249">
        <f t="shared" si="609"/>
        <v>2408.1965443203571</v>
      </c>
    </row>
    <row r="348" spans="1:112" ht="12" customHeight="1" thickBot="1">
      <c r="A348" s="690" t="s">
        <v>278</v>
      </c>
      <c r="B348" s="691"/>
      <c r="C348" s="691">
        <f>C347/B347-1</f>
        <v>0.23226063753906101</v>
      </c>
      <c r="D348" s="691">
        <f>D347/C347-1</f>
        <v>0.20161018599938441</v>
      </c>
      <c r="E348" s="691">
        <f>E347/D347-1</f>
        <v>-0.21244396426815937</v>
      </c>
      <c r="F348" s="691">
        <f>F347/E347-1</f>
        <v>0.52093957481211084</v>
      </c>
      <c r="G348" s="692">
        <f>G347/B347-1</f>
        <v>-1.0630326832735622</v>
      </c>
      <c r="H348" s="692">
        <f>H347/C347-1</f>
        <v>-0.70760149733707756</v>
      </c>
      <c r="I348" s="692">
        <f>I347/D347-1</f>
        <v>-0.51446475670927061</v>
      </c>
      <c r="J348" s="692">
        <f>J347/E347-1</f>
        <v>-0.36428104235372916</v>
      </c>
      <c r="K348" s="693">
        <f>K347/F347-1</f>
        <v>-9.0633429161596224E-3</v>
      </c>
      <c r="L348" s="692">
        <f t="shared" ref="L348:AI348" si="627">L347/G347-1</f>
        <v>-3.6388627033452434</v>
      </c>
      <c r="M348" s="692">
        <f t="shared" si="627"/>
        <v>-3.7096585392723758E-2</v>
      </c>
      <c r="N348" s="692">
        <f t="shared" si="627"/>
        <v>9.7764791506269821E-2</v>
      </c>
      <c r="O348" s="692">
        <f t="shared" si="627"/>
        <v>0.13945738999249313</v>
      </c>
      <c r="P348" s="693">
        <f t="shared" si="627"/>
        <v>0.23259963649396287</v>
      </c>
      <c r="Q348" s="692">
        <f t="shared" si="627"/>
        <v>-1.6350257546426321</v>
      </c>
      <c r="R348" s="692">
        <f t="shared" si="627"/>
        <v>-0.46582523785857666</v>
      </c>
      <c r="S348" s="692">
        <f t="shared" si="627"/>
        <v>3.6214658007079681E-2</v>
      </c>
      <c r="T348" s="692">
        <f t="shared" si="627"/>
        <v>-0.21401775697781455</v>
      </c>
      <c r="U348" s="693">
        <f t="shared" si="627"/>
        <v>-0.30346495491329872</v>
      </c>
      <c r="V348" s="692">
        <f t="shared" si="627"/>
        <v>-1.8946435072637349</v>
      </c>
      <c r="W348" s="692">
        <f t="shared" si="627"/>
        <v>0.30290803322097259</v>
      </c>
      <c r="X348" s="692">
        <f t="shared" si="627"/>
        <v>-0.18791018065620413</v>
      </c>
      <c r="Y348" s="692">
        <f t="shared" si="627"/>
        <v>-0.19248135426394009</v>
      </c>
      <c r="Z348" s="693">
        <f t="shared" si="627"/>
        <v>1.5100305886435184E-3</v>
      </c>
      <c r="AA348" s="692">
        <f t="shared" si="627"/>
        <v>0.61463939720129446</v>
      </c>
      <c r="AB348" s="692">
        <f t="shared" si="627"/>
        <v>0.24528689861241393</v>
      </c>
      <c r="AC348" s="692">
        <f t="shared" si="627"/>
        <v>0.15415075872477457</v>
      </c>
      <c r="AD348" s="692">
        <f t="shared" si="627"/>
        <v>-8.7464872881214184E-2</v>
      </c>
      <c r="AE348" s="693">
        <f t="shared" si="627"/>
        <v>6.300421264845113E-2</v>
      </c>
      <c r="AF348" s="692">
        <f t="shared" si="627"/>
        <v>-0.65203252032520354</v>
      </c>
      <c r="AG348" s="692">
        <f t="shared" si="627"/>
        <v>9.735973597359826E-2</v>
      </c>
      <c r="AH348" s="692">
        <f t="shared" si="627"/>
        <v>4.9360737983492164E-2</v>
      </c>
      <c r="AI348" s="692">
        <f t="shared" si="627"/>
        <v>-0.27458512405076174</v>
      </c>
      <c r="AJ348" s="693">
        <f>AJ347/AE347-1</f>
        <v>0.24101344411925996</v>
      </c>
      <c r="AK348" s="694">
        <f>AK347/AF347-1</f>
        <v>0.26168224299065468</v>
      </c>
      <c r="AL348" s="692">
        <f>AL347/AG347-1</f>
        <v>-3.3834586466165217E-2</v>
      </c>
      <c r="AM348" s="692">
        <f>AM347/AH347-1</f>
        <v>-0.31832202344231941</v>
      </c>
      <c r="AN348" s="694">
        <f>AN347/AI347-1</f>
        <v>-0.53862285914016084</v>
      </c>
      <c r="AO348" s="695">
        <f t="shared" ref="AO348:BS348" si="628">AO347/AJ347-1</f>
        <v>-0.52772073921971241</v>
      </c>
      <c r="AP348" s="694">
        <f t="shared" si="628"/>
        <v>-1.7407407407407407</v>
      </c>
      <c r="AQ348" s="692">
        <f t="shared" si="628"/>
        <v>0.47470817120622577</v>
      </c>
      <c r="AR348" s="692">
        <f t="shared" si="628"/>
        <v>-0.33484162895927605</v>
      </c>
      <c r="AS348" s="692">
        <f t="shared" si="628"/>
        <v>0.72727272727272729</v>
      </c>
      <c r="AT348" s="693">
        <f t="shared" si="628"/>
        <v>1.5810276679841806E-2</v>
      </c>
      <c r="AU348" s="694">
        <f t="shared" si="628"/>
        <v>-4.5875000000000004</v>
      </c>
      <c r="AV348" s="692">
        <f t="shared" si="628"/>
        <v>-0.13588390501319259</v>
      </c>
      <c r="AW348" s="692">
        <f t="shared" si="628"/>
        <v>0.44217687074829937</v>
      </c>
      <c r="AX348" s="692">
        <f t="shared" si="628"/>
        <v>0.39912280701754388</v>
      </c>
      <c r="AY348" s="693">
        <f t="shared" si="628"/>
        <v>0.4708171206225682</v>
      </c>
      <c r="AZ348" s="692">
        <f t="shared" si="628"/>
        <v>3.8327526132404088E-2</v>
      </c>
      <c r="BA348" s="692">
        <f t="shared" si="628"/>
        <v>-1.984732824427482E-2</v>
      </c>
      <c r="BB348" s="692">
        <f t="shared" si="628"/>
        <v>0.20754716981132071</v>
      </c>
      <c r="BC348" s="692">
        <f t="shared" si="628"/>
        <v>0.51410658307210033</v>
      </c>
      <c r="BD348" s="693">
        <f t="shared" si="628"/>
        <v>0.29188712522045845</v>
      </c>
      <c r="BE348" s="692">
        <f t="shared" si="628"/>
        <v>-0.24832214765100669</v>
      </c>
      <c r="BF348" s="692">
        <f t="shared" si="628"/>
        <v>0.26791277258566981</v>
      </c>
      <c r="BG348" s="692">
        <f t="shared" si="628"/>
        <v>0.556640625</v>
      </c>
      <c r="BH348" s="692">
        <f t="shared" si="628"/>
        <v>-0.24430641821946175</v>
      </c>
      <c r="BI348" s="693">
        <f t="shared" si="628"/>
        <v>0.14744027303754259</v>
      </c>
      <c r="BJ348" s="692">
        <f t="shared" si="628"/>
        <v>2.0982142857142856</v>
      </c>
      <c r="BK348" s="692">
        <f t="shared" si="628"/>
        <v>-0.21621621621621623</v>
      </c>
      <c r="BL348" s="692">
        <f t="shared" si="628"/>
        <v>-0.35006273525721454</v>
      </c>
      <c r="BM348" s="692">
        <f t="shared" ref="BM348" si="629">BM347/BH347-1</f>
        <v>1.4986301369863013</v>
      </c>
      <c r="BN348" s="693">
        <f t="shared" ref="BN348" si="630">BN347/BI347-1</f>
        <v>0.24687685901249257</v>
      </c>
      <c r="BO348" s="692">
        <f t="shared" si="628"/>
        <v>1.4409221902017322E-2</v>
      </c>
      <c r="BP348" s="692">
        <f t="shared" si="628"/>
        <v>1.3269393347129279</v>
      </c>
      <c r="BQ348" s="692">
        <f t="shared" si="628"/>
        <v>0.18766042612552836</v>
      </c>
      <c r="BR348" s="692">
        <f t="shared" si="628"/>
        <v>-0.23388728529176628</v>
      </c>
      <c r="BS348" s="693">
        <f t="shared" si="628"/>
        <v>0.1489487329772694</v>
      </c>
      <c r="BT348" s="692">
        <f t="shared" ref="BT348" si="631">BT347/BO347-1</f>
        <v>0.47317436641184241</v>
      </c>
      <c r="BU348" s="692">
        <f t="shared" ref="BU348" si="632">BU347/BP347-1</f>
        <v>9.8862540112384378E-2</v>
      </c>
      <c r="BV348" s="692">
        <f t="shared" ref="BV348" si="633">BV347/BQ347-1</f>
        <v>0.10162771770925949</v>
      </c>
      <c r="BW348" s="692">
        <f t="shared" ref="BW348" si="634">BW347/BR347-1</f>
        <v>-1.414941896352051E-3</v>
      </c>
      <c r="BX348" s="693">
        <f t="shared" ref="BX348" si="635">BX347/BS347-1</f>
        <v>0.12518745443370949</v>
      </c>
      <c r="BY348" s="697">
        <f>BY347/BX347-1</f>
        <v>6.7357519996079196E-2</v>
      </c>
      <c r="BZ348" s="697">
        <f>BZ347/BY347-1</f>
        <v>7.3743019347654037E-2</v>
      </c>
      <c r="CA348" s="697">
        <f>CA347/BZ347-1</f>
        <v>5.7300116446160843E-2</v>
      </c>
      <c r="CC348" s="1397"/>
      <c r="CD348" s="259"/>
      <c r="CE348" s="259"/>
      <c r="CF348" s="259"/>
      <c r="CG348" s="259"/>
      <c r="CH348" s="259"/>
      <c r="CI348" s="259"/>
      <c r="CJ348" s="259"/>
      <c r="CK348" s="259"/>
      <c r="CL348" s="259"/>
      <c r="CM348" s="259"/>
      <c r="CN348" s="259"/>
      <c r="CO348" s="259"/>
      <c r="CP348" s="259"/>
      <c r="CQ348" s="259"/>
      <c r="CR348" s="259"/>
      <c r="CS348" s="259"/>
      <c r="CT348" s="259"/>
      <c r="CU348" s="259"/>
      <c r="CV348" s="259"/>
      <c r="CW348" s="259"/>
      <c r="CX348" s="259"/>
      <c r="CY348" s="259"/>
      <c r="CZ348" s="259"/>
      <c r="DA348" s="246"/>
      <c r="DB348" s="699"/>
    </row>
    <row r="349" spans="1:112" ht="12" customHeight="1">
      <c r="A349" s="42"/>
      <c r="B349" s="700"/>
      <c r="C349" s="701"/>
      <c r="D349" s="701"/>
      <c r="E349" s="701"/>
      <c r="F349" s="701"/>
      <c r="G349" s="700"/>
      <c r="H349" s="700"/>
      <c r="I349" s="700"/>
      <c r="J349" s="700"/>
      <c r="K349" s="701"/>
      <c r="L349" s="700"/>
      <c r="M349" s="700"/>
      <c r="N349" s="700"/>
      <c r="O349" s="700"/>
      <c r="P349" s="701"/>
      <c r="Q349" s="700"/>
      <c r="R349" s="700"/>
      <c r="S349" s="700"/>
      <c r="T349" s="700"/>
      <c r="U349" s="701"/>
      <c r="V349" s="700"/>
      <c r="W349" s="700"/>
      <c r="X349" s="700"/>
      <c r="Y349" s="700"/>
      <c r="Z349" s="701"/>
      <c r="AA349" s="700"/>
      <c r="AB349" s="700"/>
      <c r="AC349" s="700"/>
      <c r="AD349" s="700"/>
      <c r="AE349" s="701"/>
      <c r="AF349" s="700"/>
      <c r="AG349" s="700"/>
      <c r="AH349" s="700"/>
      <c r="AI349" s="700"/>
      <c r="AJ349" s="701"/>
      <c r="AK349" s="702"/>
      <c r="AL349" s="702"/>
      <c r="AM349" s="702"/>
      <c r="AN349" s="702"/>
      <c r="AO349" s="380"/>
      <c r="AP349" s="700"/>
      <c r="AQ349" s="700"/>
      <c r="AR349" s="700"/>
      <c r="AS349" s="700"/>
      <c r="AT349" s="701"/>
      <c r="AU349" s="700"/>
      <c r="AV349" s="700"/>
      <c r="AW349" s="700"/>
      <c r="AX349" s="700"/>
      <c r="AY349" s="701"/>
      <c r="AZ349" s="700"/>
      <c r="BA349" s="700"/>
      <c r="BB349" s="700"/>
      <c r="BC349" s="700"/>
      <c r="BD349" s="701"/>
      <c r="BE349" s="700"/>
      <c r="BF349" s="700"/>
      <c r="BG349" s="700"/>
      <c r="BH349" s="700"/>
      <c r="BI349" s="701"/>
      <c r="BJ349" s="700"/>
      <c r="BK349" s="700"/>
      <c r="BL349" s="700"/>
      <c r="BM349" s="700"/>
      <c r="BN349" s="701"/>
      <c r="BO349" s="700"/>
      <c r="BP349" s="700"/>
      <c r="BQ349" s="700"/>
      <c r="BR349" s="700"/>
      <c r="BS349" s="701"/>
      <c r="BT349" s="700"/>
      <c r="BU349" s="700"/>
      <c r="BV349" s="700"/>
      <c r="BW349" s="700"/>
      <c r="BX349" s="701"/>
      <c r="BY349" s="380"/>
      <c r="BZ349" s="380"/>
      <c r="CA349" s="380"/>
      <c r="CD349" s="370"/>
      <c r="CE349" s="127"/>
      <c r="CF349" s="127"/>
      <c r="CG349" s="127"/>
      <c r="CH349" s="127"/>
      <c r="CI349" s="127"/>
      <c r="CJ349" s="127"/>
      <c r="CK349" s="127"/>
      <c r="CL349" s="127"/>
      <c r="CM349" s="127"/>
      <c r="CN349" s="127"/>
      <c r="CO349" s="127"/>
      <c r="CP349" s="127"/>
      <c r="CQ349" s="127"/>
      <c r="CR349" s="127"/>
      <c r="CS349" s="127"/>
      <c r="CT349" s="127"/>
      <c r="CU349" s="127"/>
      <c r="CV349" s="127"/>
      <c r="CW349" s="127"/>
      <c r="CX349" s="127"/>
      <c r="CY349" s="127"/>
      <c r="CZ349" s="127"/>
      <c r="DA349" s="58"/>
      <c r="DB349" s="127"/>
    </row>
    <row r="350" spans="1:112" ht="12" customHeight="1">
      <c r="A350" s="441" t="s">
        <v>279</v>
      </c>
      <c r="B350" s="378"/>
      <c r="C350" s="378"/>
      <c r="D350" s="378"/>
      <c r="E350" s="378"/>
      <c r="F350" s="378"/>
      <c r="G350" s="58"/>
      <c r="H350" s="58"/>
      <c r="I350" s="58"/>
      <c r="J350" s="58"/>
      <c r="K350" s="378"/>
      <c r="L350" s="58"/>
      <c r="M350" s="58"/>
      <c r="N350" s="58"/>
      <c r="O350" s="58"/>
      <c r="P350" s="378"/>
      <c r="Q350" s="58"/>
      <c r="R350" s="58"/>
      <c r="S350" s="58"/>
      <c r="T350" s="58"/>
      <c r="U350" s="378"/>
      <c r="V350" s="58"/>
      <c r="W350" s="58"/>
      <c r="X350" s="58"/>
      <c r="Y350" s="58"/>
      <c r="Z350" s="378"/>
      <c r="AA350" s="58"/>
      <c r="AB350" s="58"/>
      <c r="AC350" s="58"/>
      <c r="AD350" s="58"/>
      <c r="AE350" s="378"/>
      <c r="AF350" s="58"/>
      <c r="AG350" s="58"/>
      <c r="AH350" s="58"/>
      <c r="AI350" s="58"/>
      <c r="AJ350" s="378"/>
      <c r="AK350" s="42"/>
      <c r="AL350" s="42"/>
      <c r="AM350" s="42"/>
      <c r="AN350" s="42"/>
      <c r="AO350" s="379"/>
      <c r="AP350" s="58"/>
      <c r="AQ350" s="58"/>
      <c r="AR350" s="58"/>
      <c r="AS350" s="58"/>
      <c r="AT350" s="378"/>
      <c r="AU350" s="58"/>
      <c r="AV350" s="58"/>
      <c r="AW350" s="370"/>
      <c r="AX350" s="370"/>
      <c r="AY350" s="378"/>
      <c r="AZ350" s="370"/>
      <c r="BA350" s="370"/>
      <c r="BB350" s="370"/>
      <c r="BC350" s="370"/>
      <c r="BD350" s="378"/>
      <c r="BE350" s="370"/>
      <c r="BF350" s="370"/>
      <c r="BG350" s="370"/>
      <c r="BH350" s="370"/>
      <c r="BI350" s="378"/>
      <c r="BJ350" s="370"/>
      <c r="BK350" s="370"/>
      <c r="BL350" s="370"/>
      <c r="BM350" s="370"/>
      <c r="BN350" s="378"/>
      <c r="BO350" s="370"/>
      <c r="BP350" s="370"/>
      <c r="BQ350" s="370"/>
      <c r="BR350" s="370"/>
      <c r="BS350" s="378"/>
      <c r="BT350" s="370"/>
      <c r="BU350" s="370"/>
      <c r="BV350" s="370"/>
      <c r="BW350" s="370"/>
      <c r="BX350" s="378"/>
      <c r="BY350" s="444"/>
      <c r="BZ350" s="444"/>
      <c r="CA350" s="444"/>
      <c r="CD350" s="370"/>
      <c r="CE350" s="127"/>
      <c r="CF350" s="127"/>
      <c r="CG350" s="127"/>
      <c r="CH350" s="127"/>
      <c r="CI350" s="127"/>
      <c r="CJ350" s="127"/>
      <c r="CK350" s="127"/>
      <c r="CL350" s="127"/>
      <c r="CM350" s="127"/>
      <c r="CN350" s="127"/>
      <c r="CO350" s="127"/>
      <c r="CP350" s="127"/>
      <c r="CQ350" s="127"/>
      <c r="CR350" s="127"/>
      <c r="CS350" s="127"/>
      <c r="CT350" s="127"/>
      <c r="CU350" s="127"/>
      <c r="CV350" s="127"/>
      <c r="CW350" s="127"/>
      <c r="CX350" s="127"/>
      <c r="CY350" s="127"/>
      <c r="CZ350" s="127"/>
      <c r="DA350" s="58"/>
      <c r="DB350" s="438"/>
    </row>
    <row r="351" spans="1:112" ht="12" customHeight="1">
      <c r="A351" s="703" t="s">
        <v>280</v>
      </c>
      <c r="B351" s="442">
        <f t="shared" ref="B351:AG351" si="636">+B56/B14</f>
        <v>8.11598664093586E-2</v>
      </c>
      <c r="C351" s="442">
        <f t="shared" si="636"/>
        <v>0.12429679512708978</v>
      </c>
      <c r="D351" s="442">
        <f t="shared" si="636"/>
        <v>0.14061452011320325</v>
      </c>
      <c r="E351" s="442">
        <f t="shared" si="636"/>
        <v>0.14395153410945705</v>
      </c>
      <c r="F351" s="442">
        <f t="shared" si="636"/>
        <v>0.14063230285883124</v>
      </c>
      <c r="G351" s="577">
        <f t="shared" si="636"/>
        <v>6.5066508632139405E-2</v>
      </c>
      <c r="H351" s="577">
        <f t="shared" si="636"/>
        <v>0.14465124713346858</v>
      </c>
      <c r="I351" s="577">
        <f t="shared" si="636"/>
        <v>0.19184921985174924</v>
      </c>
      <c r="J351" s="577">
        <f t="shared" si="636"/>
        <v>0.12843949807632735</v>
      </c>
      <c r="K351" s="442">
        <f t="shared" si="636"/>
        <v>0.14104101300402966</v>
      </c>
      <c r="L351" s="577">
        <f t="shared" si="636"/>
        <v>0.11095032620651675</v>
      </c>
      <c r="M351" s="577">
        <f t="shared" si="636"/>
        <v>0.16126259254710962</v>
      </c>
      <c r="N351" s="577">
        <f t="shared" si="636"/>
        <v>0.20658995720284676</v>
      </c>
      <c r="O351" s="577">
        <f t="shared" si="636"/>
        <v>8.9587867143024552E-2</v>
      </c>
      <c r="P351" s="442">
        <f t="shared" si="636"/>
        <v>0.14966286838954274</v>
      </c>
      <c r="Q351" s="577">
        <f t="shared" si="636"/>
        <v>6.94351043747653E-2</v>
      </c>
      <c r="R351" s="577">
        <f t="shared" si="636"/>
        <v>0.12965978873134212</v>
      </c>
      <c r="S351" s="577">
        <f t="shared" si="636"/>
        <v>0.19370615477063935</v>
      </c>
      <c r="T351" s="577">
        <f t="shared" si="636"/>
        <v>8.5513254741709052E-2</v>
      </c>
      <c r="U351" s="442">
        <f t="shared" si="636"/>
        <v>0.12893122089423292</v>
      </c>
      <c r="V351" s="577">
        <f t="shared" si="636"/>
        <v>5.7467860760298355E-2</v>
      </c>
      <c r="W351" s="577">
        <f t="shared" si="636"/>
        <v>0.11458728620374276</v>
      </c>
      <c r="X351" s="577">
        <f t="shared" si="636"/>
        <v>0.18244866605576096</v>
      </c>
      <c r="Y351" s="577">
        <f t="shared" si="636"/>
        <v>0.11868646119089857</v>
      </c>
      <c r="Z351" s="442">
        <f t="shared" si="636"/>
        <v>0.12596395499700777</v>
      </c>
      <c r="AA351" s="577">
        <f t="shared" si="636"/>
        <v>8.9885752688172074E-2</v>
      </c>
      <c r="AB351" s="577">
        <f t="shared" si="636"/>
        <v>0.13174140153313874</v>
      </c>
      <c r="AC351" s="577">
        <f t="shared" si="636"/>
        <v>0.19803701053062067</v>
      </c>
      <c r="AD351" s="577">
        <f t="shared" si="636"/>
        <v>0.10403707343675604</v>
      </c>
      <c r="AE351" s="442">
        <f t="shared" si="636"/>
        <v>0.1377375825000311</v>
      </c>
      <c r="AF351" s="577">
        <f t="shared" si="636"/>
        <v>9.8334655035685961E-2</v>
      </c>
      <c r="AG351" s="577">
        <f t="shared" si="636"/>
        <v>0.13872832369942195</v>
      </c>
      <c r="AH351" s="577">
        <f t="shared" ref="AH351:BM351" si="637">+AH56/AH14</f>
        <v>0.19601677148846958</v>
      </c>
      <c r="AI351" s="577">
        <f t="shared" si="637"/>
        <v>0.2201195219123506</v>
      </c>
      <c r="AJ351" s="442">
        <f t="shared" si="637"/>
        <v>0.14969580531540189</v>
      </c>
      <c r="AK351" s="562">
        <f t="shared" si="637"/>
        <v>0.12270531400966184</v>
      </c>
      <c r="AL351" s="577">
        <f t="shared" si="637"/>
        <v>0.20522388059701493</v>
      </c>
      <c r="AM351" s="577">
        <f t="shared" si="637"/>
        <v>0.30197132616487454</v>
      </c>
      <c r="AN351" s="562">
        <f t="shared" si="637"/>
        <v>-0.15729421352893236</v>
      </c>
      <c r="AO351" s="578">
        <f t="shared" si="637"/>
        <v>0.11033707865168539</v>
      </c>
      <c r="AP351" s="562">
        <f t="shared" si="637"/>
        <v>0.64013547840812868</v>
      </c>
      <c r="AQ351" s="577">
        <f t="shared" si="637"/>
        <v>0.22159999999999999</v>
      </c>
      <c r="AR351" s="577">
        <f t="shared" si="637"/>
        <v>0.2126736111111111</v>
      </c>
      <c r="AS351" s="577">
        <f t="shared" si="637"/>
        <v>0.1558872305140962</v>
      </c>
      <c r="AT351" s="442">
        <f t="shared" si="637"/>
        <v>0.30611818751305075</v>
      </c>
      <c r="AU351" s="562">
        <f t="shared" si="637"/>
        <v>0.23035117056856189</v>
      </c>
      <c r="AV351" s="577">
        <f t="shared" si="637"/>
        <v>0.24231950844854069</v>
      </c>
      <c r="AW351" s="577">
        <f t="shared" si="637"/>
        <v>0.17181314330958036</v>
      </c>
      <c r="AX351" s="704">
        <f t="shared" si="637"/>
        <v>-0.63643410852713178</v>
      </c>
      <c r="AY351" s="705">
        <f t="shared" si="637"/>
        <v>-2.5737477727182734E-3</v>
      </c>
      <c r="AZ351" s="704">
        <f t="shared" si="637"/>
        <v>0.2584446190102121</v>
      </c>
      <c r="BA351" s="704">
        <f t="shared" si="637"/>
        <v>0.28390461997019373</v>
      </c>
      <c r="BB351" s="704">
        <f t="shared" si="637"/>
        <v>0.2122356495468278</v>
      </c>
      <c r="BC351" s="704">
        <f t="shared" si="637"/>
        <v>0.20087336244541484</v>
      </c>
      <c r="BD351" s="705">
        <f t="shared" si="637"/>
        <v>0.23847167325428195</v>
      </c>
      <c r="BE351" s="704">
        <f t="shared" si="637"/>
        <v>0.24086502609992544</v>
      </c>
      <c r="BF351" s="704">
        <f t="shared" si="637"/>
        <v>0.27800269905533065</v>
      </c>
      <c r="BG351" s="704">
        <f t="shared" si="637"/>
        <v>0.64072272411396802</v>
      </c>
      <c r="BH351" s="704">
        <f t="shared" si="637"/>
        <v>0.40671908506075766</v>
      </c>
      <c r="BI351" s="705">
        <f t="shared" si="637"/>
        <v>0.39321674615792263</v>
      </c>
      <c r="BJ351" s="704">
        <f t="shared" si="637"/>
        <v>0.2959394356503785</v>
      </c>
      <c r="BK351" s="704">
        <f t="shared" si="637"/>
        <v>0.30284956925115969</v>
      </c>
      <c r="BL351" s="704">
        <f t="shared" si="637"/>
        <v>0.29874421678783875</v>
      </c>
      <c r="BM351" s="704">
        <f t="shared" si="637"/>
        <v>0.18816865953429829</v>
      </c>
      <c r="BN351" s="705">
        <f t="shared" ref="BN351:CA351" si="638">+BN56/BN14</f>
        <v>0.27011873350923482</v>
      </c>
      <c r="BO351" s="704">
        <f t="shared" si="638"/>
        <v>0.34077855775366944</v>
      </c>
      <c r="BP351" s="704">
        <f t="shared" si="638"/>
        <v>0.3324571581566601</v>
      </c>
      <c r="BQ351" s="704">
        <f t="shared" si="638"/>
        <v>0.32662143174932123</v>
      </c>
      <c r="BR351" s="704">
        <f t="shared" si="638"/>
        <v>0.331618158396422</v>
      </c>
      <c r="BS351" s="705">
        <f t="shared" si="638"/>
        <v>0.33279002374971456</v>
      </c>
      <c r="BT351" s="704">
        <f t="shared" si="638"/>
        <v>0.3489975368891739</v>
      </c>
      <c r="BU351" s="704">
        <f t="shared" si="638"/>
        <v>0.3530366676169539</v>
      </c>
      <c r="BV351" s="704">
        <f t="shared" si="638"/>
        <v>0.34786926497956377</v>
      </c>
      <c r="BW351" s="704">
        <f t="shared" si="638"/>
        <v>0.35223040183810683</v>
      </c>
      <c r="BX351" s="705">
        <f t="shared" si="638"/>
        <v>0.35056829851088089</v>
      </c>
      <c r="BY351" s="706">
        <f t="shared" si="638"/>
        <v>0.35670720220328522</v>
      </c>
      <c r="BZ351" s="706">
        <f t="shared" si="638"/>
        <v>0.36350959595216575</v>
      </c>
      <c r="CA351" s="706">
        <f t="shared" si="638"/>
        <v>0.36932306990133157</v>
      </c>
      <c r="CC351" s="1359"/>
      <c r="CD351" s="248"/>
      <c r="CE351" s="248"/>
      <c r="CF351" s="248"/>
      <c r="CG351" s="248"/>
      <c r="CH351" s="248"/>
      <c r="CI351" s="248"/>
      <c r="CJ351" s="248"/>
      <c r="CK351" s="248"/>
      <c r="CL351" s="248"/>
      <c r="CM351" s="248"/>
      <c r="CN351" s="248"/>
      <c r="CO351" s="248"/>
      <c r="CP351" s="248"/>
      <c r="CQ351" s="248"/>
      <c r="CR351" s="248"/>
      <c r="CS351" s="248"/>
      <c r="CT351" s="248"/>
      <c r="CU351" s="248"/>
      <c r="CV351" s="248"/>
      <c r="CW351" s="248"/>
      <c r="CX351" s="248"/>
      <c r="CY351" s="248"/>
      <c r="CZ351" s="248"/>
      <c r="DA351" s="74"/>
      <c r="DB351" s="249"/>
    </row>
    <row r="352" spans="1:112" s="82" customFormat="1" ht="12" customHeight="1">
      <c r="A352" s="703" t="s">
        <v>281</v>
      </c>
      <c r="B352" s="79"/>
      <c r="C352" s="79">
        <f>+C14/AVERAGE(B157:C157)</f>
        <v>0.91043151270928679</v>
      </c>
      <c r="D352" s="79">
        <f>+D14/AVERAGE(C157:D157)</f>
        <v>0.93807840786476437</v>
      </c>
      <c r="E352" s="79">
        <f>+E14/AVERAGE(D157:E157)</f>
        <v>0.93284381521742321</v>
      </c>
      <c r="F352" s="79">
        <f>+F14/AVERAGE(E157:F157)</f>
        <v>0.979483060205663</v>
      </c>
      <c r="G352" s="86">
        <f>+G14*4/(AVERAGE(F157:G157))</f>
        <v>0.75734144489923372</v>
      </c>
      <c r="H352" s="86">
        <f>+H14*4/(AVERAGE(G157:H157))</f>
        <v>1.0544852371476581</v>
      </c>
      <c r="I352" s="86">
        <f>+I14*4/(AVERAGE(H157:I157))</f>
        <v>1.3209701281470034</v>
      </c>
      <c r="J352" s="86">
        <f>+J14*4/(AVERAGE(I157:J157))</f>
        <v>1.0476390812379008</v>
      </c>
      <c r="K352" s="79">
        <f>+K14/AVERAGE(J157:K157)</f>
        <v>1.0351235915265711</v>
      </c>
      <c r="L352" s="86">
        <f>+L14*4/(AVERAGE(K157:L157))</f>
        <v>0.87002854028465137</v>
      </c>
      <c r="M352" s="86">
        <f>+M14*4/(AVERAGE(L157:M157))</f>
        <v>1.1343690304622775</v>
      </c>
      <c r="N352" s="86">
        <f>+N14*4/(AVERAGE(M157:N157))</f>
        <v>1.37133928558138</v>
      </c>
      <c r="O352" s="86">
        <f>+O14*4/(AVERAGE(N157:O157))</f>
        <v>0.97480770114528503</v>
      </c>
      <c r="P352" s="79">
        <f>+P14/AVERAGE(O157:P157)</f>
        <v>1.0652702641483793</v>
      </c>
      <c r="Q352" s="86">
        <f>+Q14*4/(AVERAGE(P157:Q157))</f>
        <v>0.77176993655116166</v>
      </c>
      <c r="R352" s="86">
        <f>+R14*4/(AVERAGE(Q157:R157))</f>
        <v>1.0436670388869631</v>
      </c>
      <c r="S352" s="86">
        <f>+S14*4/(AVERAGE(R157:S157))</f>
        <v>1.2517756366165311</v>
      </c>
      <c r="T352" s="86">
        <f>+T14*4/(AVERAGE(S157:T157))</f>
        <v>0.89772906736687907</v>
      </c>
      <c r="U352" s="79">
        <f>+U14/AVERAGE(T157:U157)</f>
        <v>1.0452148979415286</v>
      </c>
      <c r="V352" s="86">
        <f>+V14*4/(AVERAGE(U157:V157))</f>
        <v>0.76999118156914426</v>
      </c>
      <c r="W352" s="86">
        <f>+W14*4/(AVERAGE(V157:W157))</f>
        <v>0.98438001000047548</v>
      </c>
      <c r="X352" s="86">
        <f>+X14*4/(AVERAGE(W157:X157))</f>
        <v>1.2031301922646629</v>
      </c>
      <c r="Y352" s="86">
        <f>+Y14*4/(AVERAGE(X157:Y157))</f>
        <v>0.90762492109632087</v>
      </c>
      <c r="Z352" s="79">
        <f>+Z14/AVERAGE(Y157:Z157)</f>
        <v>0.91915864252345503</v>
      </c>
      <c r="AA352" s="86">
        <f>+AA14*4/(AVERAGE(Z157:AA157))</f>
        <v>0.74606999451446798</v>
      </c>
      <c r="AB352" s="86">
        <f>+AB14*4/(AVERAGE(AA157:AB157))</f>
        <v>0.93199682421813457</v>
      </c>
      <c r="AC352" s="86">
        <f>+AC14*4/(AVERAGE(AB157:AC157))</f>
        <v>1.1812521955623942</v>
      </c>
      <c r="AD352" s="86">
        <f>+AD14*4/(AVERAGE(AC157:AD157))</f>
        <v>0.88875042719937625</v>
      </c>
      <c r="AE352" s="79">
        <f>+AE14/AVERAGE(AD157:AE157)</f>
        <v>0.87536757291961309</v>
      </c>
      <c r="AF352" s="86">
        <f>+AF14*4/(AVERAGE(AE157:AF157))</f>
        <v>0.72909870665203569</v>
      </c>
      <c r="AG352" s="86">
        <f>+AG14*4/(AVERAGE(AF157:AG157))</f>
        <v>0.90696607614845259</v>
      </c>
      <c r="AH352" s="86">
        <f>+AH14*4/(AVERAGE(AG157:AH157))</f>
        <v>1.0827298069897928</v>
      </c>
      <c r="AI352" s="86">
        <f>+AI14*4/(AVERAGE(AH157:AI157))</f>
        <v>0.59141012141873639</v>
      </c>
      <c r="AJ352" s="79">
        <f>+AJ14/AVERAGE(AI157:AJ157)</f>
        <v>0.97177707937890934</v>
      </c>
      <c r="AK352" s="86">
        <f>+AK14*4/(AVERAGE(AJ157:AK157))</f>
        <v>0.64789746318408759</v>
      </c>
      <c r="AL352" s="86">
        <f>+AL14*4/(AVERAGE(AK157:AL157))</f>
        <v>0.62768978540269948</v>
      </c>
      <c r="AM352" s="86">
        <f>+AM14*4/(AVERAGE(AL157:AM157))</f>
        <v>0.58529677850765072</v>
      </c>
      <c r="AN352" s="86">
        <f>+AN14*4/(AVERAGE(AM157:AN157))</f>
        <v>0.65458328331932958</v>
      </c>
      <c r="AO352" s="79">
        <f>+AO14/AVERAGE(AN157:AO157)</f>
        <v>0.63099086835687157</v>
      </c>
      <c r="AP352" s="86">
        <f>+AP14*4/(AVERAGE(AO157:AP157))</f>
        <v>0.70916023658690386</v>
      </c>
      <c r="AQ352" s="86">
        <f>+AQ14*4/(AVERAGE(AP157:AQ157))</f>
        <v>0.8044534543231332</v>
      </c>
      <c r="AR352" s="86">
        <f>+AR14*4/(AVERAGE(AQ157:AR157))</f>
        <v>0.76743721271067911</v>
      </c>
      <c r="AS352" s="86">
        <f>+AS14*4/(AVERAGE(AR157:AS157))</f>
        <v>0.81008917026314498</v>
      </c>
      <c r="AT352" s="79">
        <f>+AT14/AVERAGE(AS157:AT157)</f>
        <v>0.79008149932358884</v>
      </c>
      <c r="AU352" s="86">
        <f>+AU14*4/(AVERAGE(AT157:AU157))</f>
        <v>0.79252534623285431</v>
      </c>
      <c r="AV352" s="86">
        <f>+AV14*4/(AVERAGE(AU157:AV157))</f>
        <v>0.86305183613946734</v>
      </c>
      <c r="AW352" s="86">
        <f>+AW14*4/(AVERAGE(AV157:AW157))</f>
        <v>0.81961096059313121</v>
      </c>
      <c r="AX352" s="86">
        <f>+AX14*4/(AVERAGE(AW157:AX157))</f>
        <v>0.79130181416675638</v>
      </c>
      <c r="AY352" s="79">
        <f>+AY14/AVERAGE(AX157:AY157)</f>
        <v>0.74593141743214131</v>
      </c>
      <c r="AZ352" s="86">
        <f>+AZ14*4/(AVERAGE(AY157:AZ157))</f>
        <v>0.83340152866659056</v>
      </c>
      <c r="BA352" s="86">
        <f>+BA14*4/(AVERAGE(AZ157:BA157))</f>
        <v>0.93667661274843428</v>
      </c>
      <c r="BB352" s="86">
        <f>+BB14*4/(AVERAGE(BA157:BB157))</f>
        <v>0.74713616613057976</v>
      </c>
      <c r="BC352" s="86">
        <f>+BC14*4/(AVERAGE(BB157:BC157))</f>
        <v>0.6724416385259141</v>
      </c>
      <c r="BD352" s="79">
        <f>+BD14/AVERAGE(BC157:BD157)</f>
        <v>0.64927288280581708</v>
      </c>
      <c r="BE352" s="86">
        <f>+BE14*4/(AVERAGE(BD157:BE157))</f>
        <v>0.65239601070299214</v>
      </c>
      <c r="BF352" s="86">
        <f>+BF14*4/(AVERAGE(BE157:BF157))</f>
        <v>0.71628806186563576</v>
      </c>
      <c r="BG352" s="86">
        <f>+BG14*4/(AVERAGE(BF157:BG157))</f>
        <v>0.67853353766356261</v>
      </c>
      <c r="BH352" s="86">
        <f>+BH14*4/(AVERAGE(BG157:BH157))</f>
        <v>0.64529520295202969</v>
      </c>
      <c r="BI352" s="79">
        <f>+BI14/AVERAGE(BH157:BI157)</f>
        <v>0.65301649555888808</v>
      </c>
      <c r="BJ352" s="86">
        <f>+BJ14*4/(AVERAGE(BI157:BJ157))</f>
        <v>0.67101541303469392</v>
      </c>
      <c r="BK352" s="86">
        <f>+BK14*4/(AVERAGE(BJ157:BK157))</f>
        <v>0.69200343938091158</v>
      </c>
      <c r="BL352" s="86">
        <f>+BL14*4/(AVERAGE(BK157:BL157))</f>
        <v>0.69145958297629262</v>
      </c>
      <c r="BM352" s="86">
        <f>+BM14*4/(AVERAGE(BL157:BM157))</f>
        <v>0.70081040851204601</v>
      </c>
      <c r="BN352" s="79">
        <f>+BN14/AVERAGE(BM157:BN157)</f>
        <v>0.64339522546419115</v>
      </c>
      <c r="BO352" s="86">
        <f>+BO14*4/(AVERAGE(BN157:BO157))</f>
        <v>0.69947550496596378</v>
      </c>
      <c r="BP352" s="86">
        <f>+BP14*4/(AVERAGE(BO157:BP157))</f>
        <v>0.7662491933919342</v>
      </c>
      <c r="BQ352" s="86">
        <f>+BQ14*4/(AVERAGE(BP157:BQ157))</f>
        <v>0.74947920556304881</v>
      </c>
      <c r="BR352" s="86">
        <f>+BR14*4/(AVERAGE(BQ157:BR157))</f>
        <v>0.75393316542238353</v>
      </c>
      <c r="BS352" s="79">
        <f>+BS14/AVERAGE(BR157:BS157)</f>
        <v>0.71968552061146418</v>
      </c>
      <c r="BT352" s="86">
        <f>+BT14*4/(AVERAGE(BS157:BT157))</f>
        <v>0.73527624715163875</v>
      </c>
      <c r="BU352" s="86">
        <f>+BU14*4/(AVERAGE(BT157:BU157))</f>
        <v>0.77683208636653189</v>
      </c>
      <c r="BV352" s="86">
        <f>+BV14*4/(AVERAGE(BU157:BV157))</f>
        <v>0.76180067206007496</v>
      </c>
      <c r="BW352" s="86">
        <f>+BW14*4/(AVERAGE(BV157:BW157))</f>
        <v>0.76752374284983316</v>
      </c>
      <c r="BX352" s="79">
        <f>+BX14/AVERAGE(BW157:BX157)</f>
        <v>0.73185468550401578</v>
      </c>
      <c r="BY352" s="79">
        <f>+BY14/AVERAGE(BX157:BY157)</f>
        <v>0.75654764019065002</v>
      </c>
      <c r="BZ352" s="79">
        <f>+BZ14/AVERAGE(BY157:BZ157)</f>
        <v>0.7700606785217452</v>
      </c>
      <c r="CA352" s="79">
        <f>+CA14/AVERAGE(BZ157:CA157)</f>
        <v>0.77744341061870037</v>
      </c>
      <c r="CB352" s="470"/>
      <c r="CC352" s="1360"/>
      <c r="CD352" s="251"/>
      <c r="CE352" s="251"/>
      <c r="CF352" s="251"/>
      <c r="CG352" s="251"/>
      <c r="CH352" s="251"/>
      <c r="CI352" s="251"/>
      <c r="CJ352" s="251"/>
      <c r="CK352" s="251"/>
      <c r="CL352" s="251"/>
      <c r="CM352" s="251"/>
      <c r="CN352" s="251"/>
      <c r="CO352" s="251"/>
      <c r="CP352" s="251"/>
      <c r="CQ352" s="251"/>
      <c r="CR352" s="251"/>
      <c r="CS352" s="251"/>
      <c r="CT352" s="251"/>
      <c r="CU352" s="251"/>
      <c r="CV352" s="251"/>
      <c r="CW352" s="251"/>
      <c r="CX352" s="251"/>
      <c r="CY352" s="251"/>
      <c r="CZ352" s="251"/>
      <c r="DA352" s="86"/>
      <c r="DB352" s="399"/>
      <c r="DC352"/>
      <c r="DD352"/>
      <c r="DE352"/>
      <c r="DF352"/>
      <c r="DG352"/>
      <c r="DH352"/>
    </row>
    <row r="353" spans="1:112" s="82" customFormat="1" ht="12" customHeight="1">
      <c r="A353" s="707" t="s">
        <v>282</v>
      </c>
      <c r="B353" s="79"/>
      <c r="C353" s="442">
        <f>+C351*C352</f>
        <v>0.11316371921247266</v>
      </c>
      <c r="D353" s="442">
        <f t="shared" ref="D353:BY353" si="639">+D351*D352</f>
        <v>0.1319074451504616</v>
      </c>
      <c r="E353" s="442">
        <f t="shared" si="639"/>
        <v>0.13428429828506694</v>
      </c>
      <c r="F353" s="442">
        <f t="shared" si="639"/>
        <v>0.13774695836793763</v>
      </c>
      <c r="G353" s="577">
        <f t="shared" si="639"/>
        <v>4.927756366201292E-2</v>
      </c>
      <c r="H353" s="577">
        <f t="shared" si="639"/>
        <v>0.15253260463724011</v>
      </c>
      <c r="I353" s="577">
        <f t="shared" si="639"/>
        <v>0.25342708853246781</v>
      </c>
      <c r="J353" s="577">
        <f t="shared" si="639"/>
        <v>0.13455823775934073</v>
      </c>
      <c r="K353" s="442">
        <f t="shared" si="639"/>
        <v>0.14599487993327701</v>
      </c>
      <c r="L353" s="577">
        <f t="shared" si="639"/>
        <v>9.6529950353561669E-2</v>
      </c>
      <c r="M353" s="577">
        <f t="shared" si="639"/>
        <v>0.18293129075749803</v>
      </c>
      <c r="N353" s="577">
        <f t="shared" si="639"/>
        <v>0.28330492431883975</v>
      </c>
      <c r="O353" s="577">
        <f t="shared" si="639"/>
        <v>8.7330942820200971E-2</v>
      </c>
      <c r="P353" s="442">
        <f t="shared" si="639"/>
        <v>0.15943140334253234</v>
      </c>
      <c r="Q353" s="577">
        <f t="shared" si="639"/>
        <v>5.3587926097735904E-2</v>
      </c>
      <c r="R353" s="577">
        <f t="shared" si="639"/>
        <v>0.13532164776794905</v>
      </c>
      <c r="S353" s="577">
        <f t="shared" si="639"/>
        <v>0.24247664520455739</v>
      </c>
      <c r="T353" s="577">
        <f t="shared" si="639"/>
        <v>7.6767734426780823E-2</v>
      </c>
      <c r="U353" s="442">
        <f t="shared" si="639"/>
        <v>0.13476083288844234</v>
      </c>
      <c r="V353" s="577">
        <f t="shared" si="639"/>
        <v>4.4249746009073193E-2</v>
      </c>
      <c r="W353" s="577">
        <f t="shared" si="639"/>
        <v>0.11279743393916764</v>
      </c>
      <c r="X353" s="577">
        <f t="shared" si="639"/>
        <v>0.21950949867009895</v>
      </c>
      <c r="Y353" s="577">
        <f t="shared" si="639"/>
        <v>0.10772278997359086</v>
      </c>
      <c r="Z353" s="442">
        <f t="shared" si="639"/>
        <v>0.11578085788193525</v>
      </c>
      <c r="AA353" s="577">
        <f t="shared" si="639"/>
        <v>6.7061063014993372E-2</v>
      </c>
      <c r="AB353" s="577">
        <f t="shared" si="639"/>
        <v>0.12278256784693138</v>
      </c>
      <c r="AC353" s="577">
        <f t="shared" si="639"/>
        <v>0.23393165349190867</v>
      </c>
      <c r="AD353" s="577">
        <f t="shared" si="639"/>
        <v>9.2462993461489812E-2</v>
      </c>
      <c r="AE353" s="442">
        <f t="shared" si="639"/>
        <v>0.12057101329286719</v>
      </c>
      <c r="AF353" s="577">
        <f t="shared" si="639"/>
        <v>7.1695669805592721E-2</v>
      </c>
      <c r="AG353" s="577">
        <f t="shared" si="639"/>
        <v>0.12582188339631711</v>
      </c>
      <c r="AH353" s="577">
        <f t="shared" si="639"/>
        <v>0.21223320116047298</v>
      </c>
      <c r="AI353" s="577">
        <f t="shared" si="639"/>
        <v>0.13018091318081748</v>
      </c>
      <c r="AJ353" s="442">
        <f t="shared" si="639"/>
        <v>0.14547095248467506</v>
      </c>
      <c r="AK353" s="562">
        <f t="shared" si="639"/>
        <v>7.950046166606678E-2</v>
      </c>
      <c r="AL353" s="577">
        <f t="shared" si="639"/>
        <v>0.12881693357144952</v>
      </c>
      <c r="AM353" s="577">
        <f t="shared" si="639"/>
        <v>0.17674284440598412</v>
      </c>
      <c r="AN353" s="562">
        <f t="shared" si="639"/>
        <v>-0.10296216273890026</v>
      </c>
      <c r="AO353" s="578">
        <f t="shared" si="639"/>
        <v>6.9621689070387405E-2</v>
      </c>
      <c r="AP353" s="562">
        <f t="shared" si="639"/>
        <v>0.4539586273155794</v>
      </c>
      <c r="AQ353" s="577">
        <f t="shared" si="639"/>
        <v>0.17826688547800632</v>
      </c>
      <c r="AR353" s="577">
        <f t="shared" si="639"/>
        <v>0.16321364332822602</v>
      </c>
      <c r="AS353" s="577">
        <f t="shared" si="639"/>
        <v>0.1262825572217838</v>
      </c>
      <c r="AT353" s="442">
        <f t="shared" si="639"/>
        <v>0.24185831656053064</v>
      </c>
      <c r="AU353" s="562">
        <f t="shared" si="639"/>
        <v>0.18255914120999278</v>
      </c>
      <c r="AV353" s="577">
        <f t="shared" si="639"/>
        <v>0.20913429669892622</v>
      </c>
      <c r="AW353" s="577">
        <f t="shared" si="639"/>
        <v>0.14081993543049048</v>
      </c>
      <c r="AX353" s="492">
        <f t="shared" si="639"/>
        <v>-0.50361146467512174</v>
      </c>
      <c r="AY353" s="442">
        <f t="shared" si="639"/>
        <v>-1.9198393242165583E-3</v>
      </c>
      <c r="AZ353" s="492">
        <f t="shared" si="639"/>
        <v>0.21538814055876535</v>
      </c>
      <c r="BA353" s="492">
        <f t="shared" si="639"/>
        <v>0.26592681777731253</v>
      </c>
      <c r="BB353" s="492">
        <f t="shared" si="639"/>
        <v>0.15856892951865023</v>
      </c>
      <c r="BC353" s="492">
        <f t="shared" si="639"/>
        <v>0.13507561297900458</v>
      </c>
      <c r="BD353" s="442">
        <f t="shared" si="639"/>
        <v>0.1548331907613345</v>
      </c>
      <c r="BE353" s="492">
        <f t="shared" si="639"/>
        <v>0.15713938214546344</v>
      </c>
      <c r="BF353" s="492">
        <f t="shared" si="639"/>
        <v>0.1991300144997584</v>
      </c>
      <c r="BG353" s="492">
        <f t="shared" si="639"/>
        <v>0.43475185665448557</v>
      </c>
      <c r="BH353" s="492">
        <f t="shared" si="639"/>
        <v>0.26245387453874541</v>
      </c>
      <c r="BI353" s="442">
        <f t="shared" si="639"/>
        <v>0.25677702157111548</v>
      </c>
      <c r="BJ353" s="492">
        <f>+BJ351*BJ352</f>
        <v>0.19857992264619295</v>
      </c>
      <c r="BK353" s="492">
        <f>+BK351*BK352</f>
        <v>0.20957294353683006</v>
      </c>
      <c r="BL353" s="492">
        <f>+BL351*BL352</f>
        <v>0.20656955155669812</v>
      </c>
      <c r="BM353" s="492">
        <f t="shared" ref="BM353:BN353" si="640">+BM351*BM352</f>
        <v>0.13187055515739568</v>
      </c>
      <c r="BN353" s="442">
        <f t="shared" si="640"/>
        <v>0.17379310344827589</v>
      </c>
      <c r="BO353" s="492">
        <f>+BO351*BO352</f>
        <v>0.23836625376632078</v>
      </c>
      <c r="BP353" s="492">
        <f t="shared" si="639"/>
        <v>0.25474502927491549</v>
      </c>
      <c r="BQ353" s="492">
        <f t="shared" si="639"/>
        <v>0.24479597118734683</v>
      </c>
      <c r="BR353" s="492">
        <f t="shared" si="639"/>
        <v>0.25001792787135579</v>
      </c>
      <c r="BS353" s="442">
        <f t="shared" si="639"/>
        <v>0.23950416149661485</v>
      </c>
      <c r="BT353" s="492">
        <f t="shared" ref="BT353:BX353" si="641">+BT351*BT352</f>
        <v>0.25660959918903736</v>
      </c>
      <c r="BU353" s="492">
        <f t="shared" si="641"/>
        <v>0.27425021106876613</v>
      </c>
      <c r="BV353" s="492">
        <f t="shared" si="641"/>
        <v>0.26500703985047597</v>
      </c>
      <c r="BW353" s="492">
        <f t="shared" si="641"/>
        <v>0.2703451963642845</v>
      </c>
      <c r="BX353" s="442">
        <f t="shared" si="641"/>
        <v>0.25656505185435868</v>
      </c>
      <c r="BY353" s="708">
        <f t="shared" si="639"/>
        <v>0.26986599206590445</v>
      </c>
      <c r="BZ353" s="708">
        <f>+BZ351*BZ352</f>
        <v>0.2799244461080902</v>
      </c>
      <c r="CA353" s="708">
        <f>+CA351*CA352</f>
        <v>0.2871277870842599</v>
      </c>
      <c r="CB353" s="470"/>
      <c r="CC353" s="1360"/>
      <c r="CD353" s="251"/>
      <c r="CE353" s="251"/>
      <c r="CF353" s="251"/>
      <c r="CG353" s="251"/>
      <c r="CH353" s="251"/>
      <c r="CI353" s="251"/>
      <c r="CJ353" s="251"/>
      <c r="CK353" s="251"/>
      <c r="CL353" s="251"/>
      <c r="CM353" s="251"/>
      <c r="CN353" s="251"/>
      <c r="CO353" s="251"/>
      <c r="CP353" s="251"/>
      <c r="CQ353" s="251"/>
      <c r="CR353" s="251"/>
      <c r="CS353" s="251"/>
      <c r="CT353" s="251"/>
      <c r="CU353" s="251"/>
      <c r="CV353" s="251"/>
      <c r="CW353" s="251"/>
      <c r="CX353" s="251"/>
      <c r="CY353" s="251"/>
      <c r="CZ353" s="251"/>
      <c r="DA353" s="86"/>
      <c r="DB353" s="399"/>
      <c r="DC353"/>
      <c r="DD353"/>
      <c r="DE353"/>
      <c r="DF353"/>
      <c r="DG353"/>
      <c r="DH353"/>
    </row>
    <row r="354" spans="1:112" s="82" customFormat="1" ht="12" customHeight="1">
      <c r="A354" s="709" t="s">
        <v>283</v>
      </c>
      <c r="B354" s="684"/>
      <c r="C354" s="684">
        <f t="shared" ref="C354:AH354" si="642">+AVERAGE(B157:C157)/AVERAGE(B185:C185)</f>
        <v>2.5358497522331853</v>
      </c>
      <c r="D354" s="684">
        <f t="shared" si="642"/>
        <v>2.2076075304163378</v>
      </c>
      <c r="E354" s="684">
        <f t="shared" si="642"/>
        <v>2.031386265682396</v>
      </c>
      <c r="F354" s="684">
        <f t="shared" si="642"/>
        <v>2.0104097292388015</v>
      </c>
      <c r="G354" s="86">
        <f t="shared" si="642"/>
        <v>2.2139293125541335</v>
      </c>
      <c r="H354" s="86">
        <f t="shared" si="642"/>
        <v>2.5819526730047366</v>
      </c>
      <c r="I354" s="86">
        <f t="shared" si="642"/>
        <v>2.5325363826236456</v>
      </c>
      <c r="J354" s="86">
        <f t="shared" si="642"/>
        <v>2.3034532198241058</v>
      </c>
      <c r="K354" s="684">
        <f t="shared" si="642"/>
        <v>2.2551311418269315</v>
      </c>
      <c r="L354" s="86">
        <f t="shared" si="642"/>
        <v>2.5607286997153289</v>
      </c>
      <c r="M354" s="86">
        <f t="shared" si="642"/>
        <v>3.1332823930059202</v>
      </c>
      <c r="N354" s="86">
        <f t="shared" si="642"/>
        <v>3.5244509535434241</v>
      </c>
      <c r="O354" s="86">
        <f t="shared" si="642"/>
        <v>3.8608780613537022</v>
      </c>
      <c r="P354" s="684">
        <f t="shared" si="642"/>
        <v>3.9568891793483338</v>
      </c>
      <c r="Q354" s="86">
        <f t="shared" si="642"/>
        <v>4.03685139209193</v>
      </c>
      <c r="R354" s="86">
        <f t="shared" si="642"/>
        <v>4.2318553762092668</v>
      </c>
      <c r="S354" s="86">
        <f t="shared" si="642"/>
        <v>4.1647601075731941</v>
      </c>
      <c r="T354" s="86">
        <f t="shared" si="642"/>
        <v>4.3260065521234017</v>
      </c>
      <c r="U354" s="684">
        <f t="shared" si="642"/>
        <v>4.7414577770568691</v>
      </c>
      <c r="V354" s="86">
        <f t="shared" si="642"/>
        <v>4.608997341905174</v>
      </c>
      <c r="W354" s="86">
        <f t="shared" si="642"/>
        <v>4.2956080118268298</v>
      </c>
      <c r="X354" s="86">
        <f t="shared" si="642"/>
        <v>3.8746453375280856</v>
      </c>
      <c r="Y354" s="86">
        <f t="shared" si="642"/>
        <v>3.5006130484407376</v>
      </c>
      <c r="Z354" s="684">
        <f t="shared" si="642"/>
        <v>3.3564831013432137</v>
      </c>
      <c r="AA354" s="86">
        <f t="shared" si="642"/>
        <v>3.2611031428949535</v>
      </c>
      <c r="AB354" s="86">
        <f t="shared" si="642"/>
        <v>3.2403458106983738</v>
      </c>
      <c r="AC354" s="86">
        <f t="shared" si="642"/>
        <v>3.2044010127679572</v>
      </c>
      <c r="AD354" s="86">
        <f t="shared" si="642"/>
        <v>3.091706453593829</v>
      </c>
      <c r="AE354" s="684">
        <f t="shared" si="642"/>
        <v>3.075232904379916</v>
      </c>
      <c r="AF354" s="86">
        <f t="shared" si="642"/>
        <v>3.0032532459202566</v>
      </c>
      <c r="AG354" s="86">
        <f t="shared" si="642"/>
        <v>2.9525314414704926</v>
      </c>
      <c r="AH354" s="86">
        <f t="shared" si="642"/>
        <v>3.0488764895434572</v>
      </c>
      <c r="AI354" s="86">
        <f t="shared" ref="AI354:BL354" si="643">+AVERAGE(AH157:AI157)/AVERAGE(AH185:AI185)</f>
        <v>3.5074249115467047</v>
      </c>
      <c r="AJ354" s="684">
        <f t="shared" si="643"/>
        <v>4.0577020202020186</v>
      </c>
      <c r="AK354" s="390">
        <f t="shared" si="643"/>
        <v>3.7922255192878325</v>
      </c>
      <c r="AL354" s="86">
        <f t="shared" si="643"/>
        <v>3.8858930602957895</v>
      </c>
      <c r="AM354" s="86">
        <f t="shared" si="643"/>
        <v>4.2466035634743866</v>
      </c>
      <c r="AN354" s="390">
        <f t="shared" si="643"/>
        <v>5.5498889711324928</v>
      </c>
      <c r="AO354" s="685">
        <f t="shared" si="643"/>
        <v>8.3957142857142824</v>
      </c>
      <c r="AP354" s="390">
        <f t="shared" si="643"/>
        <v>6.931737773152963</v>
      </c>
      <c r="AQ354" s="86">
        <f t="shared" si="643"/>
        <v>5.2829579260518464</v>
      </c>
      <c r="AR354" s="86">
        <f t="shared" si="643"/>
        <v>5.2531933508311441</v>
      </c>
      <c r="AS354" s="86">
        <f t="shared" si="643"/>
        <v>5.0486646884272979</v>
      </c>
      <c r="AT354" s="684">
        <f t="shared" si="643"/>
        <v>4.5099702380952369</v>
      </c>
      <c r="AU354" s="390">
        <f t="shared" si="643"/>
        <v>4.3885132679025789</v>
      </c>
      <c r="AV354" s="86">
        <f t="shared" si="643"/>
        <v>4.1674033149171255</v>
      </c>
      <c r="AW354" s="86">
        <f t="shared" si="643"/>
        <v>4.0038324131211418</v>
      </c>
      <c r="AX354" s="251">
        <f t="shared" si="643"/>
        <v>6.1257867543447606</v>
      </c>
      <c r="AY354" s="684">
        <f t="shared" si="643"/>
        <v>12.562894248608531</v>
      </c>
      <c r="AZ354" s="251">
        <f t="shared" si="643"/>
        <v>10.833156028368791</v>
      </c>
      <c r="BA354" s="251">
        <f t="shared" si="643"/>
        <v>8.1636752136752104</v>
      </c>
      <c r="BB354" s="251">
        <f t="shared" si="643"/>
        <v>9.33298222514812</v>
      </c>
      <c r="BC354" s="251">
        <f t="shared" si="643"/>
        <v>17.261246040126711</v>
      </c>
      <c r="BD354" s="684">
        <f t="shared" si="643"/>
        <v>33.674897119341558</v>
      </c>
      <c r="BE354" s="251">
        <f t="shared" si="643"/>
        <v>32.054580896686154</v>
      </c>
      <c r="BF354" s="251">
        <f t="shared" si="643"/>
        <v>23.815827338129491</v>
      </c>
      <c r="BG354" s="251">
        <f t="shared" si="643"/>
        <v>18.126068376068371</v>
      </c>
      <c r="BH354" s="251">
        <f t="shared" si="643"/>
        <v>14.310231023102308</v>
      </c>
      <c r="BI354" s="684">
        <f t="shared" si="643"/>
        <v>12.366619115549213</v>
      </c>
      <c r="BJ354" s="251">
        <f t="shared" si="643"/>
        <v>11.21229773462783</v>
      </c>
      <c r="BK354" s="251">
        <f t="shared" si="643"/>
        <v>9.1003092502972152</v>
      </c>
      <c r="BL354" s="251">
        <f t="shared" si="643"/>
        <v>8.9040114528397964</v>
      </c>
      <c r="BM354" s="251">
        <f t="shared" ref="BM354" si="644">+AVERAGE(BL157:BM157)/AVERAGE(BL185:BM185)</f>
        <v>10.9205298013245</v>
      </c>
      <c r="BN354" s="684">
        <f t="shared" ref="BN354:BO354" si="645">+AVERAGE(BM157:BN157)/AVERAGE(BM185:BN185)</f>
        <v>12.272135416666664</v>
      </c>
      <c r="BO354" s="251">
        <f t="shared" si="645"/>
        <v>21.437799043062196</v>
      </c>
      <c r="BP354" s="251">
        <f t="shared" ref="BP354:CA354" si="646">+AVERAGE(BO157:BP157)/AVERAGE(BO185:BP185)</f>
        <v>76.455319518660644</v>
      </c>
      <c r="BQ354" s="251">
        <f t="shared" si="646"/>
        <v>43.088052751795757</v>
      </c>
      <c r="BR354" s="251">
        <f t="shared" si="646"/>
        <v>30.047365753327338</v>
      </c>
      <c r="BS354" s="684">
        <f t="shared" si="646"/>
        <v>26.261484816513995</v>
      </c>
      <c r="BT354" s="251">
        <f t="shared" ref="BT354" si="647">+AVERAGE(BS157:BT157)/AVERAGE(BS185:BT185)</f>
        <v>26.176681972683149</v>
      </c>
      <c r="BU354" s="251">
        <f t="shared" ref="BU354" si="648">+AVERAGE(BT157:BU157)/AVERAGE(BT185:BU185)</f>
        <v>23.902702695757604</v>
      </c>
      <c r="BV354" s="251">
        <f t="shared" ref="BV354" si="649">+AVERAGE(BU157:BV157)/AVERAGE(BU185:BV185)</f>
        <v>20.371150763277893</v>
      </c>
      <c r="BW354" s="251">
        <f t="shared" ref="BW354" si="650">+AVERAGE(BV157:BW157)/AVERAGE(BV185:BW185)</f>
        <v>17.766164656893842</v>
      </c>
      <c r="BX354" s="684">
        <f t="shared" ref="BX354" si="651">+AVERAGE(BW157:BX157)/AVERAGE(BW185:BX185)</f>
        <v>16.781565020874083</v>
      </c>
      <c r="BY354" s="394">
        <f t="shared" si="646"/>
        <v>14.525567405085365</v>
      </c>
      <c r="BZ354" s="394">
        <f t="shared" si="646"/>
        <v>11.704498014357569</v>
      </c>
      <c r="CA354" s="394">
        <f t="shared" si="646"/>
        <v>9.56035445209519</v>
      </c>
      <c r="CB354" s="470"/>
      <c r="CC354" s="1360"/>
      <c r="CD354" s="251"/>
      <c r="CE354" s="251"/>
      <c r="CF354" s="251"/>
      <c r="CG354" s="251"/>
      <c r="CH354" s="251"/>
      <c r="CI354" s="251"/>
      <c r="CJ354" s="251"/>
      <c r="CK354" s="251"/>
      <c r="CL354" s="251"/>
      <c r="CM354" s="251"/>
      <c r="CN354" s="251"/>
      <c r="CO354" s="251"/>
      <c r="CP354" s="251"/>
      <c r="CQ354" s="251"/>
      <c r="CR354" s="251"/>
      <c r="CS354" s="251"/>
      <c r="CT354" s="251"/>
      <c r="CU354" s="251"/>
      <c r="CV354" s="251"/>
      <c r="CW354" s="251"/>
      <c r="CX354" s="251"/>
      <c r="CY354" s="251"/>
      <c r="CZ354" s="251"/>
      <c r="DA354" s="86"/>
      <c r="DB354" s="399"/>
      <c r="DC354"/>
      <c r="DD354"/>
      <c r="DE354"/>
      <c r="DF354"/>
      <c r="DG354"/>
      <c r="DH354"/>
    </row>
    <row r="355" spans="1:112" s="82" customFormat="1" ht="12" customHeight="1">
      <c r="A355" s="707" t="s">
        <v>284</v>
      </c>
      <c r="B355" s="79"/>
      <c r="C355" s="442">
        <f>+C353*C354</f>
        <v>0.28696618932673457</v>
      </c>
      <c r="D355" s="442">
        <f t="shared" ref="D355:BY355" si="652">+D353*D354</f>
        <v>0.29119986923213909</v>
      </c>
      <c r="E355" s="442">
        <f t="shared" si="652"/>
        <v>0.2727832792330831</v>
      </c>
      <c r="F355" s="442">
        <f t="shared" si="652"/>
        <v>0.27692782527595394</v>
      </c>
      <c r="G355" s="577">
        <f t="shared" si="652"/>
        <v>0.10909704264258281</v>
      </c>
      <c r="H355" s="577">
        <f t="shared" si="652"/>
        <v>0.39383196626349681</v>
      </c>
      <c r="I355" s="577">
        <f t="shared" si="652"/>
        <v>0.64181332205085839</v>
      </c>
      <c r="J355" s="577">
        <f t="shared" si="652"/>
        <v>0.30994860602061097</v>
      </c>
      <c r="K355" s="442">
        <f t="shared" si="652"/>
        <v>0.32923760028481674</v>
      </c>
      <c r="L355" s="577">
        <f t="shared" si="652"/>
        <v>0.24718701425246123</v>
      </c>
      <c r="M355" s="577">
        <f t="shared" si="652"/>
        <v>0.57317539246031524</v>
      </c>
      <c r="N355" s="577">
        <f t="shared" si="652"/>
        <v>0.99849431065908234</v>
      </c>
      <c r="O355" s="577">
        <f t="shared" si="652"/>
        <v>0.33717412121184853</v>
      </c>
      <c r="P355" s="442">
        <f t="shared" si="652"/>
        <v>0.63085239473438603</v>
      </c>
      <c r="Q355" s="577">
        <f t="shared" si="652"/>
        <v>0.21632649406696464</v>
      </c>
      <c r="R355" s="577">
        <f t="shared" si="652"/>
        <v>0.57266164262429198</v>
      </c>
      <c r="S355" s="577">
        <f t="shared" si="652"/>
        <v>1.0098570589661198</v>
      </c>
      <c r="T355" s="577">
        <f t="shared" si="652"/>
        <v>0.33209772212192307</v>
      </c>
      <c r="U355" s="442">
        <f t="shared" si="652"/>
        <v>0.63896279914156606</v>
      </c>
      <c r="V355" s="577">
        <f t="shared" si="652"/>
        <v>0.20394696173579743</v>
      </c>
      <c r="W355" s="577">
        <f t="shared" si="652"/>
        <v>0.48453356094259609</v>
      </c>
      <c r="X355" s="577">
        <f t="shared" si="652"/>
        <v>0.8505214555652264</v>
      </c>
      <c r="Y355" s="577">
        <f t="shared" si="652"/>
        <v>0.3770958041959932</v>
      </c>
      <c r="Z355" s="442">
        <f t="shared" si="652"/>
        <v>0.38861649293973588</v>
      </c>
      <c r="AA355" s="577">
        <f t="shared" si="652"/>
        <v>0.21869304336407142</v>
      </c>
      <c r="AB355" s="577">
        <f t="shared" si="652"/>
        <v>0.39785797934959294</v>
      </c>
      <c r="AC355" s="577">
        <f t="shared" si="652"/>
        <v>0.74961082736795492</v>
      </c>
      <c r="AD355" s="577">
        <f t="shared" si="652"/>
        <v>0.28586843360349207</v>
      </c>
      <c r="AE355" s="442">
        <f t="shared" si="652"/>
        <v>0.37078394739265347</v>
      </c>
      <c r="AF355" s="577">
        <f t="shared" si="652"/>
        <v>0.21532025306207328</v>
      </c>
      <c r="AG355" s="577">
        <f t="shared" si="652"/>
        <v>0.37149306675266042</v>
      </c>
      <c r="AH355" s="577">
        <f t="shared" si="652"/>
        <v>0.64707281731871324</v>
      </c>
      <c r="AI355" s="577">
        <f t="shared" si="652"/>
        <v>0.45659977789829798</v>
      </c>
      <c r="AJ355" s="442">
        <f t="shared" si="652"/>
        <v>0.5902777777777779</v>
      </c>
      <c r="AK355" s="562">
        <f t="shared" si="652"/>
        <v>0.30148367952522254</v>
      </c>
      <c r="AL355" s="577">
        <f t="shared" si="652"/>
        <v>0.50056882821387938</v>
      </c>
      <c r="AM355" s="577">
        <f t="shared" si="652"/>
        <v>0.75055679287305122</v>
      </c>
      <c r="AN355" s="562">
        <f t="shared" si="652"/>
        <v>-0.5714285714285714</v>
      </c>
      <c r="AO355" s="578">
        <f t="shared" si="652"/>
        <v>0.58452380952380945</v>
      </c>
      <c r="AP355" s="562">
        <f t="shared" si="652"/>
        <v>3.1467221644120702</v>
      </c>
      <c r="AQ355" s="577">
        <f t="shared" si="652"/>
        <v>0.94177645558861023</v>
      </c>
      <c r="AR355" s="577">
        <f t="shared" si="652"/>
        <v>0.85739282589676291</v>
      </c>
      <c r="AS355" s="562">
        <f t="shared" si="652"/>
        <v>0.63755828740991949</v>
      </c>
      <c r="AT355" s="442">
        <f t="shared" si="652"/>
        <v>1.0907738095238095</v>
      </c>
      <c r="AU355" s="562">
        <f t="shared" si="652"/>
        <v>0.80116321337695373</v>
      </c>
      <c r="AV355" s="577">
        <f t="shared" si="652"/>
        <v>0.87154696132596676</v>
      </c>
      <c r="AW355" s="577">
        <f t="shared" si="652"/>
        <v>0.56381942189022405</v>
      </c>
      <c r="AX355" s="492">
        <f t="shared" si="652"/>
        <v>-3.0850164396430251</v>
      </c>
      <c r="AY355" s="442">
        <f t="shared" si="652"/>
        <v>-2.4118738404452691E-2</v>
      </c>
      <c r="AZ355" s="492">
        <f t="shared" si="652"/>
        <v>2.333333333333333</v>
      </c>
      <c r="BA355" s="492">
        <f t="shared" si="652"/>
        <v>2.1709401709401708</v>
      </c>
      <c r="BB355" s="492">
        <f t="shared" si="652"/>
        <v>1.4799210006583277</v>
      </c>
      <c r="BC355" s="492">
        <f t="shared" si="652"/>
        <v>2.3315733896515312</v>
      </c>
      <c r="BD355" s="442">
        <f t="shared" si="652"/>
        <v>5.2139917695473255</v>
      </c>
      <c r="BE355" s="492">
        <f t="shared" si="652"/>
        <v>5.0370370370370381</v>
      </c>
      <c r="BF355" s="492">
        <f t="shared" si="652"/>
        <v>4.7424460431654678</v>
      </c>
      <c r="BG355" s="492">
        <f t="shared" si="652"/>
        <v>7.8803418803418808</v>
      </c>
      <c r="BH355" s="492">
        <f t="shared" si="652"/>
        <v>3.7557755775577553</v>
      </c>
      <c r="BI355" s="442">
        <f t="shared" si="652"/>
        <v>3.1754636233951494</v>
      </c>
      <c r="BJ355" s="492">
        <f>+BJ353*BJ354</f>
        <v>2.2265372168284792</v>
      </c>
      <c r="BK355" s="492">
        <f>+BK353*BK354</f>
        <v>1.9071785966802306</v>
      </c>
      <c r="BL355" s="492">
        <f>+BL353*BL354</f>
        <v>1.839297652868821</v>
      </c>
      <c r="BM355" s="492">
        <f t="shared" ref="BM355:BN355" si="653">+BM353*BM354</f>
        <v>1.4400963275135459</v>
      </c>
      <c r="BN355" s="442">
        <f t="shared" si="653"/>
        <v>2.1328125</v>
      </c>
      <c r="BO355" s="492">
        <f>+BO353*BO354</f>
        <v>5.1100478468899526</v>
      </c>
      <c r="BP355" s="492">
        <f t="shared" si="652"/>
        <v>19.476612609004224</v>
      </c>
      <c r="BQ355" s="492">
        <f t="shared" si="652"/>
        <v>10.547781719947475</v>
      </c>
      <c r="BR355" s="492">
        <f t="shared" si="652"/>
        <v>7.5123801236396401</v>
      </c>
      <c r="BS355" s="442">
        <f t="shared" si="652"/>
        <v>6.289734900635267</v>
      </c>
      <c r="BT355" s="492">
        <f t="shared" ref="BT355:BX355" si="654">+BT353*BT354</f>
        <v>6.7171878691091225</v>
      </c>
      <c r="BU355" s="492">
        <f t="shared" si="654"/>
        <v>6.5553212594254884</v>
      </c>
      <c r="BV355" s="492">
        <f t="shared" si="654"/>
        <v>5.3984983621240383</v>
      </c>
      <c r="BW355" s="492">
        <f t="shared" si="654"/>
        <v>4.8029972728081773</v>
      </c>
      <c r="BX355" s="442">
        <f t="shared" si="654"/>
        <v>4.3055630997778511</v>
      </c>
      <c r="BY355" s="708">
        <f t="shared" si="652"/>
        <v>3.9199566580935272</v>
      </c>
      <c r="BZ355" s="708">
        <f>+BZ353*BZ354</f>
        <v>3.2763751236422838</v>
      </c>
      <c r="CA355" s="708">
        <f>+CA353*CA354</f>
        <v>2.7450434175712437</v>
      </c>
      <c r="CB355" s="470"/>
      <c r="CC355" s="1360"/>
      <c r="CD355" s="251"/>
      <c r="CE355" s="251"/>
      <c r="CF355" s="251"/>
      <c r="CG355" s="251"/>
      <c r="CH355" s="251"/>
      <c r="CI355" s="251"/>
      <c r="CJ355" s="251"/>
      <c r="CK355" s="251"/>
      <c r="CL355" s="251"/>
      <c r="CM355" s="251"/>
      <c r="CN355" s="251"/>
      <c r="CO355" s="251"/>
      <c r="CP355" s="251"/>
      <c r="CQ355" s="251"/>
      <c r="CR355" s="251"/>
      <c r="CS355" s="251"/>
      <c r="CT355" s="251"/>
      <c r="CU355" s="251"/>
      <c r="CV355" s="251"/>
      <c r="CW355" s="251"/>
      <c r="CX355" s="251"/>
      <c r="CY355" s="251"/>
      <c r="CZ355" s="251"/>
      <c r="DA355" s="86"/>
      <c r="DB355" s="399"/>
      <c r="DC355"/>
      <c r="DD355"/>
      <c r="DE355"/>
      <c r="DF355"/>
      <c r="DG355"/>
      <c r="DH355"/>
    </row>
    <row r="356" spans="1:112" ht="5.25" customHeight="1">
      <c r="A356" s="42"/>
      <c r="B356" s="686"/>
      <c r="C356" s="686"/>
      <c r="D356" s="686"/>
      <c r="E356" s="686"/>
      <c r="F356" s="686"/>
      <c r="G356" s="598"/>
      <c r="H356" s="598"/>
      <c r="I356" s="598"/>
      <c r="J356" s="598"/>
      <c r="K356" s="686"/>
      <c r="L356" s="598"/>
      <c r="M356" s="598"/>
      <c r="N356" s="598"/>
      <c r="O356" s="598"/>
      <c r="P356" s="686"/>
      <c r="Q356" s="598"/>
      <c r="R356" s="598"/>
      <c r="S356" s="598"/>
      <c r="T356" s="598"/>
      <c r="U356" s="686"/>
      <c r="V356" s="598"/>
      <c r="W356" s="598"/>
      <c r="X356" s="598"/>
      <c r="Y356" s="598"/>
      <c r="Z356" s="686"/>
      <c r="AA356" s="598"/>
      <c r="AB356" s="598"/>
      <c r="AC356" s="598"/>
      <c r="AD356" s="598"/>
      <c r="AE356" s="686"/>
      <c r="AF356" s="598"/>
      <c r="AG356" s="598"/>
      <c r="AH356" s="598"/>
      <c r="AI356" s="598"/>
      <c r="AJ356" s="686"/>
      <c r="AK356" s="687"/>
      <c r="AL356" s="598"/>
      <c r="AM356" s="598"/>
      <c r="AN356" s="687"/>
      <c r="AO356" s="688"/>
      <c r="AP356" s="687"/>
      <c r="AQ356" s="598"/>
      <c r="AR356" s="598"/>
      <c r="AS356" s="598"/>
      <c r="AT356" s="686"/>
      <c r="AU356" s="687"/>
      <c r="AV356" s="598"/>
      <c r="AW356" s="598"/>
      <c r="AX356" s="598"/>
      <c r="AY356" s="686"/>
      <c r="AZ356" s="598"/>
      <c r="BA356" s="598"/>
      <c r="BB356" s="598"/>
      <c r="BC356" s="598"/>
      <c r="BD356" s="686"/>
      <c r="BE356" s="598"/>
      <c r="BF356" s="598"/>
      <c r="BG356" s="598"/>
      <c r="BH356" s="598"/>
      <c r="BI356" s="686"/>
      <c r="BJ356" s="598"/>
      <c r="BK356" s="598"/>
      <c r="BL356" s="598"/>
      <c r="BM356" s="598"/>
      <c r="BN356" s="686"/>
      <c r="BO356" s="598"/>
      <c r="BP356" s="598"/>
      <c r="BQ356" s="598"/>
      <c r="BR356" s="598"/>
      <c r="BS356" s="686"/>
      <c r="BT356" s="598"/>
      <c r="BU356" s="598"/>
      <c r="BV356" s="598"/>
      <c r="BW356" s="598"/>
      <c r="BX356" s="686"/>
      <c r="BY356" s="689"/>
      <c r="BZ356" s="689"/>
      <c r="CA356" s="689"/>
      <c r="CD356" s="370"/>
      <c r="CE356" s="388"/>
      <c r="CF356" s="388"/>
      <c r="CG356" s="388"/>
      <c r="CH356" s="388"/>
      <c r="CI356" s="388"/>
      <c r="CJ356" s="388"/>
      <c r="CK356" s="388"/>
      <c r="CL356" s="388"/>
      <c r="CM356" s="388"/>
      <c r="CN356" s="388"/>
      <c r="CO356" s="388"/>
      <c r="CP356" s="388"/>
      <c r="CQ356" s="388"/>
      <c r="CR356" s="388"/>
      <c r="CS356" s="388"/>
      <c r="CT356" s="388"/>
      <c r="CU356" s="388"/>
      <c r="CV356" s="388"/>
      <c r="CW356" s="388"/>
      <c r="CX356" s="388"/>
      <c r="CY356" s="388"/>
      <c r="CZ356" s="388"/>
      <c r="DA356" s="58"/>
      <c r="DB356" s="286"/>
    </row>
    <row r="357" spans="1:112" ht="12" customHeight="1">
      <c r="A357" s="418"/>
      <c r="B357" s="67"/>
      <c r="C357" s="67"/>
      <c r="D357" s="67"/>
      <c r="E357" s="67"/>
      <c r="F357" s="67"/>
      <c r="G357" s="74"/>
      <c r="H357" s="74"/>
      <c r="I357" s="74"/>
      <c r="J357" s="74"/>
      <c r="K357" s="67"/>
      <c r="L357" s="74"/>
      <c r="M357" s="74"/>
      <c r="N357" s="74"/>
      <c r="O357" s="74"/>
      <c r="P357" s="67"/>
      <c r="Q357" s="74"/>
      <c r="R357" s="74"/>
      <c r="S357" s="74"/>
      <c r="T357" s="623"/>
      <c r="U357" s="67"/>
      <c r="V357" s="74"/>
      <c r="W357" s="74"/>
      <c r="X357" s="74"/>
      <c r="Y357" s="74"/>
      <c r="Z357" s="67"/>
      <c r="AA357" s="74"/>
      <c r="AB357" s="74"/>
      <c r="AC357" s="74"/>
      <c r="AD357" s="74"/>
      <c r="AE357" s="67"/>
      <c r="AF357" s="74"/>
      <c r="AG357" s="74"/>
      <c r="AH357" s="74"/>
      <c r="AI357" s="74"/>
      <c r="AJ357" s="67"/>
      <c r="AK357" s="418"/>
      <c r="AL357" s="74"/>
      <c r="AM357" s="74"/>
      <c r="AN357" s="418"/>
      <c r="AO357" s="245"/>
      <c r="AP357" s="418"/>
      <c r="AQ357" s="74"/>
      <c r="AR357" s="74"/>
      <c r="AS357" s="74"/>
      <c r="AT357" s="67"/>
      <c r="AU357" s="418"/>
      <c r="AV357" s="74"/>
      <c r="AW357" s="74"/>
      <c r="AX357" s="248"/>
      <c r="AY357" s="67"/>
      <c r="AZ357" s="248"/>
      <c r="BA357" s="248"/>
      <c r="BB357" s="248"/>
      <c r="BC357" s="248"/>
      <c r="BD357" s="67"/>
      <c r="BE357" s="248"/>
      <c r="BF357" s="248"/>
      <c r="BG357" s="248"/>
      <c r="BH357" s="248"/>
      <c r="BI357" s="67"/>
      <c r="BJ357" s="248"/>
      <c r="BK357" s="248"/>
      <c r="BL357" s="248"/>
      <c r="BM357" s="248"/>
      <c r="BN357" s="67"/>
      <c r="BO357" s="248"/>
      <c r="BP357" s="248"/>
      <c r="BQ357" s="248"/>
      <c r="BR357" s="248"/>
      <c r="BS357" s="67"/>
      <c r="BT357" s="248"/>
      <c r="BU357" s="248"/>
      <c r="BV357" s="248"/>
      <c r="BW357" s="248"/>
      <c r="BX357" s="67"/>
      <c r="BY357" s="419"/>
      <c r="BZ357" s="419"/>
      <c r="CA357" s="419"/>
      <c r="CC357" s="70"/>
      <c r="CD357" s="248"/>
      <c r="CE357" s="248"/>
      <c r="CF357" s="248"/>
      <c r="CG357" s="248"/>
      <c r="CH357" s="248"/>
      <c r="CI357" s="248"/>
      <c r="CJ357" s="248"/>
      <c r="CK357" s="248"/>
      <c r="CL357" s="248"/>
      <c r="CM357" s="248"/>
      <c r="CN357" s="248"/>
      <c r="CO357" s="248"/>
      <c r="CP357" s="248"/>
      <c r="CQ357" s="248"/>
      <c r="CR357" s="248"/>
      <c r="CS357" s="248"/>
      <c r="CT357" s="248"/>
      <c r="CU357" s="248"/>
      <c r="CV357" s="248"/>
      <c r="CW357" s="248"/>
      <c r="CX357" s="248"/>
      <c r="CY357" s="248"/>
      <c r="CZ357" s="248"/>
      <c r="DA357" s="74"/>
      <c r="DB357" s="249"/>
    </row>
    <row r="358" spans="1:112" ht="12" customHeight="1" thickBot="1">
      <c r="A358" s="690"/>
      <c r="B358" s="691"/>
      <c r="C358" s="691"/>
      <c r="D358" s="691"/>
      <c r="E358" s="691"/>
      <c r="F358" s="691"/>
      <c r="G358" s="710"/>
      <c r="H358" s="710"/>
      <c r="I358" s="710"/>
      <c r="J358" s="710"/>
      <c r="K358" s="711"/>
      <c r="L358" s="710"/>
      <c r="M358" s="710"/>
      <c r="N358" s="710"/>
      <c r="O358" s="710"/>
      <c r="P358" s="711"/>
      <c r="Q358" s="710"/>
      <c r="R358" s="710"/>
      <c r="S358" s="710"/>
      <c r="T358" s="710"/>
      <c r="U358" s="711"/>
      <c r="V358" s="710"/>
      <c r="W358" s="710"/>
      <c r="X358" s="710"/>
      <c r="Y358" s="710"/>
      <c r="Z358" s="711"/>
      <c r="AA358" s="710"/>
      <c r="AB358" s="710"/>
      <c r="AC358" s="710"/>
      <c r="AD358" s="710"/>
      <c r="AE358" s="711"/>
      <c r="AF358" s="710"/>
      <c r="AG358" s="710"/>
      <c r="AH358" s="710"/>
      <c r="AI358" s="710"/>
      <c r="AJ358" s="711"/>
      <c r="AK358" s="712"/>
      <c r="AL358" s="710"/>
      <c r="AM358" s="710"/>
      <c r="AN358" s="712"/>
      <c r="AO358" s="696"/>
      <c r="AP358" s="712"/>
      <c r="AQ358" s="710"/>
      <c r="AR358" s="710"/>
      <c r="AS358" s="710"/>
      <c r="AT358" s="711"/>
      <c r="AU358" s="712"/>
      <c r="AV358" s="710"/>
      <c r="AW358" s="710"/>
      <c r="AX358" s="710"/>
      <c r="AY358" s="711"/>
      <c r="AZ358" s="710"/>
      <c r="BA358" s="710"/>
      <c r="BB358" s="710"/>
      <c r="BC358" s="710"/>
      <c r="BD358" s="711"/>
      <c r="BE358" s="710"/>
      <c r="BF358" s="710"/>
      <c r="BG358" s="710"/>
      <c r="BH358" s="710"/>
      <c r="BI358" s="711"/>
      <c r="BJ358" s="710"/>
      <c r="BK358" s="710"/>
      <c r="BL358" s="710"/>
      <c r="BM358" s="710"/>
      <c r="BN358" s="711"/>
      <c r="BO358" s="710"/>
      <c r="BP358" s="710"/>
      <c r="BQ358" s="710"/>
      <c r="BR358" s="710"/>
      <c r="BS358" s="711"/>
      <c r="BT358" s="710"/>
      <c r="BU358" s="710"/>
      <c r="BV358" s="710"/>
      <c r="BW358" s="710"/>
      <c r="BX358" s="711"/>
      <c r="BY358" s="697"/>
      <c r="BZ358" s="697"/>
      <c r="CA358" s="697"/>
      <c r="CC358" s="698"/>
      <c r="CD358" s="259"/>
      <c r="CE358" s="259"/>
      <c r="CF358" s="259"/>
      <c r="CG358" s="259"/>
      <c r="CH358" s="259"/>
      <c r="CI358" s="259"/>
      <c r="CJ358" s="259"/>
      <c r="CK358" s="259"/>
      <c r="CL358" s="259"/>
      <c r="CM358" s="259"/>
      <c r="CN358" s="259"/>
      <c r="CO358" s="259"/>
      <c r="CP358" s="259"/>
      <c r="CQ358" s="259"/>
      <c r="CR358" s="259"/>
      <c r="CS358" s="259"/>
      <c r="CT358" s="259"/>
      <c r="CU358" s="259"/>
      <c r="CV358" s="259"/>
      <c r="CW358" s="259"/>
      <c r="CX358" s="259"/>
      <c r="CY358" s="259"/>
      <c r="CZ358" s="259"/>
      <c r="DA358" s="246"/>
      <c r="DB358" s="699"/>
    </row>
    <row r="359" spans="1:112" ht="12" customHeight="1">
      <c r="A359" s="2195" t="s">
        <v>562</v>
      </c>
      <c r="B359" s="713"/>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42"/>
      <c r="AL359" s="42"/>
      <c r="AM359" s="42"/>
      <c r="AN359" s="42"/>
      <c r="AO359" s="42"/>
      <c r="AP359" s="58"/>
      <c r="AQ359" s="58"/>
      <c r="AR359" s="58"/>
      <c r="AS359" s="58"/>
      <c r="AT359" s="58"/>
      <c r="AU359" s="58"/>
      <c r="AV359" s="58"/>
      <c r="AW359" s="370"/>
      <c r="AX359" s="370"/>
      <c r="AY359" s="58"/>
      <c r="AZ359" s="370"/>
      <c r="BA359" s="370"/>
      <c r="BB359" s="370"/>
      <c r="BC359" s="370"/>
      <c r="BD359" s="58"/>
      <c r="BE359" s="58"/>
      <c r="BF359" s="370"/>
      <c r="BG359" s="58"/>
      <c r="BH359" s="58"/>
      <c r="BI359" s="58"/>
      <c r="BJ359" s="58"/>
      <c r="BK359" s="58"/>
      <c r="BL359" s="58"/>
      <c r="BM359" s="58"/>
      <c r="BN359" s="42"/>
      <c r="BO359" s="58"/>
      <c r="BP359" s="42"/>
      <c r="BQ359" s="42"/>
      <c r="BR359" s="42"/>
      <c r="BS359" s="42"/>
      <c r="BT359" s="42"/>
      <c r="BU359" s="42"/>
      <c r="BV359" s="42"/>
      <c r="BW359" s="42"/>
      <c r="BX359" s="42"/>
      <c r="BY359" s="42"/>
      <c r="BZ359" s="42"/>
      <c r="CA359" s="42"/>
      <c r="CB359" s="369"/>
      <c r="CD359" s="370"/>
      <c r="CE359" s="127"/>
      <c r="CF359" s="127"/>
      <c r="CG359" s="127"/>
      <c r="CH359" s="127"/>
      <c r="CI359" s="127"/>
      <c r="CJ359" s="127"/>
      <c r="CK359" s="127"/>
      <c r="CL359" s="127"/>
      <c r="CM359" s="127"/>
      <c r="CN359" s="127"/>
      <c r="CO359" s="127"/>
      <c r="CP359" s="127"/>
      <c r="CQ359" s="127"/>
      <c r="CR359" s="127"/>
      <c r="CS359" s="127"/>
      <c r="CT359" s="127"/>
      <c r="CU359" s="127"/>
      <c r="CV359" s="127"/>
      <c r="CW359" s="127"/>
      <c r="CX359" s="127"/>
      <c r="CY359" s="127"/>
      <c r="CZ359" s="127"/>
      <c r="DA359" s="58"/>
      <c r="DB359" s="127"/>
    </row>
    <row r="360" spans="1:112" ht="12" customHeight="1">
      <c r="A360" s="2196" t="s">
        <v>563</v>
      </c>
      <c r="B360" s="713"/>
      <c r="C360" s="58"/>
      <c r="D360" s="58"/>
      <c r="E360" s="58"/>
      <c r="F360" s="58"/>
      <c r="G360" s="2199">
        <f>G39*(1-G249)+E39*(1-E249)+D39*(1-D249)+C39*(1-C249)</f>
        <v>2017.8533425018752</v>
      </c>
      <c r="H360" s="2199">
        <f>H39*(1-H249)+G39*(1-G249)+E39*(1-E249)+D39*(1-D249)</f>
        <v>1643.2395608459233</v>
      </c>
      <c r="I360" s="2199">
        <f>I39*(1-I249)+H39*(1-H249)+G39*(1-G249)+E39*(1-E249)</f>
        <v>1485.2363659424127</v>
      </c>
      <c r="J360" s="2199">
        <f>J39*(1-J249)+I39*(1-I249)+H39*(1-H249)+G39*(1-G249)</f>
        <v>922.20316538315092</v>
      </c>
      <c r="K360" s="2200">
        <f>J360</f>
        <v>922.20316538315092</v>
      </c>
      <c r="L360" s="2199">
        <f>L39*(1-L249)+J39*(1-J249)+I39*(1-I249)+H39*(1-H249)</f>
        <v>953.161278259798</v>
      </c>
      <c r="M360" s="2199">
        <f>M39*(1-M249)+L39*(1-L249)+J39*(1-J249)+I39*(1-I249)</f>
        <v>1011.4675817038253</v>
      </c>
      <c r="N360" s="2199">
        <f>N39*(1-N249)+M39*(1-M249)+L39*(1-L249)+J39*(1-J249)</f>
        <v>1070.6635458387123</v>
      </c>
      <c r="O360" s="2199">
        <f>O39*(1-O249)+N39*(1-N249)+M39*(1-M249)+L39*(1-L249)</f>
        <v>1083.5308445024968</v>
      </c>
      <c r="P360" s="2200">
        <f>O360</f>
        <v>1083.5308445024968</v>
      </c>
      <c r="Q360" s="2199">
        <f>Q39*(1-Q249)+O39*(1-O249)+N39*(1-N249)+M39*(1-M249)</f>
        <v>1052.1648135706942</v>
      </c>
      <c r="R360" s="2199">
        <f>R39*(1-R249)+Q39*(1-Q249)+O39*(1-O249)+N39*(1-N249)</f>
        <v>1021.4842817248291</v>
      </c>
      <c r="S360" s="2199">
        <f>S39*(1-S249)+R39*(1-R249)+Q39*(1-Q249)+O39*(1-O249)</f>
        <v>994.17208302271058</v>
      </c>
      <c r="T360" s="2199">
        <f>T39*(1-T249)+S39*(1-S249)+R39*(1-R249)+Q39*(1-Q249)</f>
        <v>942.00879376966384</v>
      </c>
      <c r="U360" s="2200">
        <f>T360</f>
        <v>942.00879376966384</v>
      </c>
      <c r="V360" s="2199">
        <f>V39*(1-V249)+T39*(1-T249)+S39*(1-S249)+R39*(1-R249)</f>
        <v>925.20971195235541</v>
      </c>
      <c r="W360" s="2199">
        <f>W39*(1-W249)+V39*(1-V249)+T39*(1-T249)+S39*(1-S249)</f>
        <v>880.62330714494647</v>
      </c>
      <c r="X360" s="2199">
        <f>X39*(1-X249)+W39*(1-W249)+V39*(1-V249)+T39*(1-T249)</f>
        <v>799.87211319822291</v>
      </c>
      <c r="Y360" s="2199">
        <f>Y39*(1-Y249)+X39*(1-X249)+W39*(1-W249)+V39*(1-V249)</f>
        <v>817.47160496738672</v>
      </c>
      <c r="Z360" s="2200">
        <f>Y360</f>
        <v>817.47160496738672</v>
      </c>
      <c r="AA360" s="2199">
        <f>AA39*(1-AA249)+Y39*(1-Y249)+X39*(1-X249)+W39*(1-W249)</f>
        <v>859.44958746917041</v>
      </c>
      <c r="AB360" s="2199">
        <f>AB39*(1-AB249)+AA39*(1-AA249)+Y39*(1-Y249)+X39*(1-X249)</f>
        <v>857.56671543253481</v>
      </c>
      <c r="AC360" s="2199">
        <f>AC39*(1-AC249)+AB39*(1-AB249)+AA39*(1-AA249)+Y39*(1-Y249)</f>
        <v>894.03662834209001</v>
      </c>
      <c r="AD360" s="2199">
        <f>AD39*(1-AD249)+AC39*(1-AC249)+AB39*(1-AB249)+AA39*(1-AA249)</f>
        <v>919.44243608493412</v>
      </c>
      <c r="AE360" s="2200">
        <f>AD360</f>
        <v>919.44243608493412</v>
      </c>
      <c r="AF360" s="2199">
        <f>AF39*(1-AF249)+AD39*(1-AD249)+AC39*(1-AC249)+AB39*(1-AB249)</f>
        <v>935.43941514660219</v>
      </c>
      <c r="AG360" s="2199">
        <f>AG39*(1-AG249)+AF39*(1-AF249)+AD39*(1-AD249)+AC39*(1-AC249)</f>
        <v>956.73043439384048</v>
      </c>
      <c r="AH360" s="2199">
        <f>AH39*(1-AH249)+AG39*(1-AG249)+AF39*(1-AF249)+AD39*(1-AD249)</f>
        <v>953.29729927160304</v>
      </c>
      <c r="AI360" s="2199">
        <f>AI39*(1-AI249)+AH39*(1-AH249)+AG39*(1-AG249)+AF39*(1-AF249)</f>
        <v>920.673938151941</v>
      </c>
      <c r="AJ360" s="2200">
        <f>AI360</f>
        <v>920.673938151941</v>
      </c>
      <c r="AK360" s="2199">
        <f>AK39*(1-AK249)+AI39*(1-AI249)+AH39*(1-AH249)+AG39*(1-AG249)</f>
        <v>989.5215488643513</v>
      </c>
      <c r="AL360" s="2199">
        <f>AL39*(1-AL249)+AK39*(1-AK249)+AI39*(1-AI249)+AH39*(1-AH249)</f>
        <v>993.84784573878414</v>
      </c>
      <c r="AM360" s="2199">
        <f>AM39*(1-AM249)+AL39*(1-AL249)+AK39*(1-AK249)+AI39*(1-AI249)</f>
        <v>876.07678975849535</v>
      </c>
      <c r="AN360" s="2199">
        <f>AN39*(1-AN249)+AM39*(1-AM249)+AL39*(1-AL249)+AK39*(1-AK249)</f>
        <v>955.90450606586728</v>
      </c>
      <c r="AO360" s="2200">
        <f>AN360</f>
        <v>955.90450606586728</v>
      </c>
      <c r="AP360" s="2199">
        <f>AP39*(1-AP249)+AN39*(1-AN249)+AM39*(1-AM249)+AL39*(1-AL249)</f>
        <v>1056.5244952900052</v>
      </c>
      <c r="AQ360" s="2199">
        <f>AQ39*(1-AQ249)+AP39*(1-AP249)+AN39*(1-AN249)+AM39*(1-AM249)</f>
        <v>1116.9473658849545</v>
      </c>
      <c r="AR360" s="2199">
        <f>AR39*(1-AR249)+AQ39*(1-AQ249)+AP39*(1-AP249)+AN39*(1-AN249)</f>
        <v>1104.433610338363</v>
      </c>
      <c r="AS360" s="2199">
        <f>AS39*(1-AS249)+AR39*(1-AR249)+AQ39*(1-AQ249)+AP39*(1-AP249)</f>
        <v>1126.2559034292351</v>
      </c>
      <c r="AT360" s="2200">
        <f>AS360</f>
        <v>1126.2559034292351</v>
      </c>
      <c r="AU360" s="2199">
        <f>AU39*(1-AU249)+AS39*(1-AS249)+AR39*(1-AR249)+AQ39*(1-AQ249)</f>
        <v>1097.4796984015597</v>
      </c>
      <c r="AV360" s="2199">
        <f>AV39*(1-AV249)+AU39*(1-AU249)+AS39*(1-AS249)+AR39*(1-AR249)</f>
        <v>1122.8588035198591</v>
      </c>
      <c r="AW360" s="2199">
        <f>AW39*(1-AW249)+AV39*(1-AV249)+AU39*(1-AU249)+AS39*(1-AS249)</f>
        <v>1199.9180299877062</v>
      </c>
      <c r="AX360" s="2199">
        <f>AX39*(1-AX249)+AW39*(1-AW249)+AV39*(1-AV249)+AU39*(1-AU249)</f>
        <v>1565.2429190331447</v>
      </c>
      <c r="AY360" s="2200">
        <f>AX360</f>
        <v>1565.2429190331447</v>
      </c>
      <c r="AZ360" s="86">
        <f>AZ39*(1-AZ249)+AX39*(1-AX249)+AW39*(1-AW249)+AV39*(1-AV249)</f>
        <v>1621.2848306109245</v>
      </c>
      <c r="BA360" s="86">
        <f>BA39*(1-BA249)+AZ39*(1-AZ249)+AX39*(1-AX249)+AW39*(1-AW249)</f>
        <v>1663.8531048747841</v>
      </c>
      <c r="BB360" s="86">
        <f>BB39*(1-BB249)+BA39*(1-BA249)+AZ39*(1-AZ249)+AX39*(1-AX249)</f>
        <v>1753.4840770393043</v>
      </c>
      <c r="BC360" s="86">
        <f>BC39*(1-BC249)+BB39*(1-BB249)+BA39*(1-BA249)+AZ39*(1-AZ249)</f>
        <v>1478.439886870086</v>
      </c>
      <c r="BD360" s="390">
        <f>BC360</f>
        <v>1478.439886870086</v>
      </c>
      <c r="BE360" s="86">
        <f>BE39*(1-BE249)+BC39*(1-BC249)+BB39*(1-BB249)+BA39*(1-BA249)</f>
        <v>1510.412549801501</v>
      </c>
      <c r="BF360" s="86">
        <f>BF39*(1-BF249)+BE39*(1-BE249)+BC39*(1-BC249)+BB39*(1-BB249)</f>
        <v>1566.8395375204873</v>
      </c>
      <c r="BG360" s="86">
        <f>BG39*(1-BG249)+BF39*(1-BF249)+BE39*(1-BE249)+BC39*(1-BC249)</f>
        <v>1345.6225233769565</v>
      </c>
      <c r="BH360" s="86">
        <f>BH39*(1-BH249)+BG39*(1-BG249)+BF39*(1-BF249)+BE39*(1-BE249)</f>
        <v>1304.5483942184437</v>
      </c>
      <c r="BI360" s="390">
        <f>BH360</f>
        <v>1304.5483942184437</v>
      </c>
      <c r="BJ360" s="86">
        <f>BJ39*(1-BJ249)+BH39*(1-BH249)+BG39*(1-BG249)+BF39*(1-BF249)</f>
        <v>1412.1225744980707</v>
      </c>
      <c r="BK360" s="86">
        <f>BK39*(1-BK249)+BJ39*(1-BJ249)+BH39*(1-BH249)+BG39*(1-BG249)</f>
        <v>1490.8489089888628</v>
      </c>
      <c r="BL360" s="86">
        <f>BL39*(1-BL249)+BK39*(1-BK249)+BJ39*(1-BJ249)+BH39*(1-BH249)</f>
        <v>1787.2594660540803</v>
      </c>
      <c r="BM360" s="86">
        <f>BM39*(1-BM249)+BL39*(1-BL249)+BK39*(1-BK249)+BJ39*(1-BJ249)</f>
        <v>1888.757655422851</v>
      </c>
      <c r="BN360" s="390">
        <f>BM360</f>
        <v>1888.757655422851</v>
      </c>
      <c r="BO360" s="86">
        <f>BO39*(1-BO249)+BM39*(1-BM249)+BL39*(1-BL249)+BK39*(1-BK249)</f>
        <v>1972.9458972365944</v>
      </c>
      <c r="BP360" s="86">
        <f>BP39*(1-BP249)+BO39*(1-BO249)+BM39*(1-BM249)+BL39*(1-BL249)</f>
        <v>2061.6509915421916</v>
      </c>
      <c r="BQ360" s="86">
        <f>BQ39*(1-BQ249)+BP39*(1-BP249)+BO39*(1-BO249)+BM39*(1-BM249)</f>
        <v>2133.6147050352365</v>
      </c>
      <c r="BR360" s="86">
        <f>BR39*(1-BR249)+BQ39*(1-BQ249)+BP39*(1-BP249)+BO39*(1-BO249)</f>
        <v>2307.2126575014636</v>
      </c>
      <c r="BS360" s="390">
        <f>BR360</f>
        <v>2307.2126575014636</v>
      </c>
      <c r="BT360" s="86">
        <f>BT39*(1-BT249)+BR39*(1-BR249)+BQ39*(1-BQ249)+BP39*(1-BP249)</f>
        <v>2353.36447118774</v>
      </c>
      <c r="BU360" s="86">
        <f>BU39*(1-BU249)+BT39*(1-BT249)+BR39*(1-BR249)+BQ39*(1-BQ249)</f>
        <v>2410.4573961337546</v>
      </c>
      <c r="BV360" s="86">
        <f>BV39*(1-BV249)+BU39*(1-BU249)+BT39*(1-BT249)+BR39*(1-BR249)</f>
        <v>2468.1225191074359</v>
      </c>
      <c r="BW360" s="86">
        <f>BW39*(1-BW249)+BV39*(1-BV249)+BU39*(1-BU249)+BT39*(1-BT249)</f>
        <v>2526.8224896733564</v>
      </c>
      <c r="BX360" s="390">
        <f>BW360</f>
        <v>2526.8224896733564</v>
      </c>
      <c r="BY360" s="86">
        <f>BY39*(1-BY249)</f>
        <v>2695.8390111310996</v>
      </c>
      <c r="BZ360" s="86">
        <f>BZ39*(1-BZ249)</f>
        <v>2882.0204135302829</v>
      </c>
      <c r="CA360" s="86">
        <f>CA39*(1-CA249)</f>
        <v>3057.9062919818198</v>
      </c>
      <c r="CB360" s="369"/>
      <c r="CD360" s="370"/>
      <c r="CE360" s="127"/>
      <c r="CF360" s="127"/>
      <c r="CG360" s="127"/>
      <c r="CH360" s="127"/>
      <c r="CI360" s="127"/>
      <c r="CJ360" s="127"/>
      <c r="CK360" s="127"/>
      <c r="CL360" s="127"/>
      <c r="CM360" s="127"/>
      <c r="CN360" s="127"/>
      <c r="CO360" s="127"/>
      <c r="CP360" s="127"/>
      <c r="CQ360" s="127"/>
      <c r="CR360" s="127"/>
      <c r="CS360" s="127"/>
      <c r="CT360" s="127"/>
      <c r="CU360" s="127"/>
      <c r="CV360" s="127"/>
      <c r="CW360" s="127"/>
      <c r="CX360" s="127"/>
      <c r="CY360" s="127"/>
      <c r="CZ360" s="127"/>
      <c r="DA360" s="58"/>
      <c r="DB360" s="127"/>
    </row>
    <row r="361" spans="1:112" ht="12" customHeight="1">
      <c r="A361" s="2196" t="s">
        <v>564</v>
      </c>
      <c r="B361" s="713"/>
      <c r="C361" s="58"/>
      <c r="D361" s="58"/>
      <c r="E361" s="58"/>
      <c r="F361" s="58"/>
      <c r="G361" s="2201">
        <f>AVERAGE(G185+G171+G164-G142-G143,E185+E171+E164-E142-E143,D185+D171+D164-D142-D143,C185+C171+C164-C142-C143)</f>
        <v>2220.688000000001</v>
      </c>
      <c r="H361" s="2201">
        <f>AVERAGE(H185+H171+H164-H142-H143,G185+G171+G164-G142-G143,E185+E171+E164-E142-E143,D185+D171+D164-D142-D143)</f>
        <v>2066.1382500000009</v>
      </c>
      <c r="I361" s="2201">
        <f>AVERAGE(I185+I171+I164-I142-I143,H185+H171+H164-H142-H143,G185+G171+G164-G142-G143,E185+E171+E164-E142-E143)</f>
        <v>2174.7842500000006</v>
      </c>
      <c r="J361" s="2201">
        <f>AVERAGE(J185+J171+J164-J142-J143,I185+I171+I164-I142-I143,H185+H171+H164-H142-H143,G185+G171+G164-G142-G143)</f>
        <v>2180.2920000000013</v>
      </c>
      <c r="K361" s="2200">
        <f t="shared" ref="K361:K362" si="655">J361</f>
        <v>2180.2920000000013</v>
      </c>
      <c r="L361" s="2201">
        <f>AVERAGE(L185+L171+L164-L142-L143,J185+J171+J164-J142-J143,I185+I171+I164-I142-I143,H185+H171+H164-H142-H143)</f>
        <v>2029.3702500000004</v>
      </c>
      <c r="M361" s="2201">
        <f>AVERAGE(M185+M171+M164-M142-M143,L185+L171+L164-L142-L143,J185+J171+J164-J142-J143,I185+I171+I164-I142-I143)</f>
        <v>1925.7577500000002</v>
      </c>
      <c r="N361" s="2201">
        <f>AVERAGE(N185+N171+N164-N142-N143,M185+M171+M164-M142-M143,L185+L171+L164-L142-L143,J185+J171+J164-J142-J143)</f>
        <v>1671.0660000000003</v>
      </c>
      <c r="O361" s="2201">
        <f>AVERAGE(O185+O171+O164-O142-O143,N185+N171+N164-N142-N143,M185+M171+M164-M142-M143,L185+L171+L164-L142-L143)</f>
        <v>1691.45225</v>
      </c>
      <c r="P361" s="2200">
        <f t="shared" ref="P361:P362" si="656">O361</f>
        <v>1691.45225</v>
      </c>
      <c r="Q361" s="2201">
        <f>AVERAGE(Q185+Q171+Q164-Q142-Q143,O185+O171+O164-O142-O143,N185+N171+N164-N142-N143,M185+M171+M164-M142-M143)</f>
        <v>1885.2260000000003</v>
      </c>
      <c r="R361" s="2201">
        <f>AVERAGE(R185+R171+R164-R142-R143,Q185+Q171+Q164-Q142-Q143,O185+O171+O164-O142-O143,N185+N171+N164-N142-N143)</f>
        <v>2089.8457500000009</v>
      </c>
      <c r="S361" s="2201">
        <f>AVERAGE(S185+S171+S164-S142-S143,R185+R171+R164-R142-R143,Q185+Q171+Q164-Q142-Q143,O185+O171+O164-O142-O143)</f>
        <v>2356.8540000000012</v>
      </c>
      <c r="T361" s="2201">
        <f>AVERAGE(T185+T171+T164-T142-T143,S185+S171+S164-S142-S143,R185+R171+R164-R142-R143,Q185+Q171+Q164-Q142-Q143)</f>
        <v>2256.9282500000018</v>
      </c>
      <c r="U361" s="2200">
        <f t="shared" ref="U361:U362" si="657">T361</f>
        <v>2256.9282500000018</v>
      </c>
      <c r="V361" s="2201">
        <f>AVERAGE(V185+V171+V164-V142-V143,T185+T171+T164-T142-T143,S185+S171+S164-S142-S143,R185+R171+R164-R142-R143)</f>
        <v>2178.3012500000013</v>
      </c>
      <c r="W361" s="2201">
        <f>AVERAGE(W185+W171+W164-W142-W143,V185+V171+V164-V142-V143,T185+T171+T164-T142-T143,S185+S171+S164-S142-S143)</f>
        <v>2117.1010000000019</v>
      </c>
      <c r="X361" s="2201">
        <f>AVERAGE(X185+X171+X164-X142-X143,W185+W171+W164-W142-W143,V185+V171+V164-V142-V143,T185+T171+T164-T142-T143)</f>
        <v>2029.106750000002</v>
      </c>
      <c r="Y361" s="2201">
        <f>AVERAGE(Y185+Y171+Y164-Y142-Y143,X185+X171+X164-X142-X143,W185+W171+W164-W142-W143,V185+V171+V164-V142-V143)</f>
        <v>2000.1475000000021</v>
      </c>
      <c r="Z361" s="2200">
        <f t="shared" ref="Z361:Z362" si="658">Y361</f>
        <v>2000.1475000000021</v>
      </c>
      <c r="AA361" s="2201">
        <f>AVERAGE(AA185+AA171+AA164-AA142-AA143,Y185+Y171+Y164-Y142-Y143,X185+X171+X164-X142-X143,W185+W171+W164-W142-W143)</f>
        <v>1985.5147500000021</v>
      </c>
      <c r="AB361" s="2201">
        <f>AVERAGE(AB185+AB171+AB164-AB142-AB143,AA185+AA171+AA164-AA142-AA143,Y185+Y171+Y164-Y142-Y143,X185+X171+X164-X142-X143)</f>
        <v>1951.9132500000017</v>
      </c>
      <c r="AC361" s="2201">
        <f>AVERAGE(AC185+AC171+AC164-AC142-AC143,AB185+AB171+AB164-AB142-AB143,AA185+AA171+AA164-AA142-AA143,Y185+Y171+Y164-Y142-Y143)</f>
        <v>1967.6655000000017</v>
      </c>
      <c r="AD361" s="2201">
        <f>AVERAGE(AD185+AD171+AD164-AD142-AD143,AC185+AC171+AC164-AC142-AC143,AB185+AB171+AB164-AB142-AB143,AA185+AA171+AA164-AA142-AA143)</f>
        <v>1979.9567500000012</v>
      </c>
      <c r="AE361" s="2200">
        <f t="shared" ref="AE361:AE362" si="659">AD361</f>
        <v>1979.9567500000012</v>
      </c>
      <c r="AF361" s="2201">
        <f>AVERAGE(AF185+AF171+AF164-AF142-AF143,AD185+AD171+AD164-AD142-AD143,AC185+AC171+AC164-AC142-AC143,AB185+AB171+AB164-AB142-AB143)</f>
        <v>2046.7792500000014</v>
      </c>
      <c r="AG361" s="2201">
        <f>AVERAGE(AG185+AG171+AG164-AG142-AG143,AF185+AF171+AF164-AF142-AF143,AD185+AD171+AD164-AD142-AD143,AC185+AC171+AC164-AC142-AC143)</f>
        <v>2105.6837500000011</v>
      </c>
      <c r="AH361" s="2201">
        <f>AVERAGE(AH185+AH171+AH164-AH142-AH143,AG185+AG171+AG164-AG142-AG143,AF185+AF171+AF164-AF142-AF143,AD185+AD171+AD164-AD142-AD143)</f>
        <v>2094.5760000000014</v>
      </c>
      <c r="AI361" s="2201">
        <f>AVERAGE(AI185+AI171+AI164-AI142-AI143,AH185+AH171+AH164-AH142-AH143,AG185+AG171+AG164-AG142-AG143,AF185+AF171+AF164-AF142-AF143)</f>
        <v>2061.3250000000016</v>
      </c>
      <c r="AJ361" s="2200">
        <f t="shared" ref="AJ361:AJ362" si="660">AI361</f>
        <v>2061.3250000000016</v>
      </c>
      <c r="AK361" s="2201">
        <f>AVERAGE(AK185+AK171+AK164-AK142-AK143,AI185+AI171+AI164-AI142-AI143,AH185+AH171+AH164-AH142-AH143,AG185+AG171+AG164-AG142-AG143)</f>
        <v>2020.3250000000016</v>
      </c>
      <c r="AL361" s="2201">
        <f>AVERAGE(AL185+AL171+AL164-AL142-AL143,AK185+AK171+AK164-AK142-AK143,AI185+AI171+AI164-AI142-AI143,AH185+AH171+AH164-AH142-AH143)</f>
        <v>1990.5250000000017</v>
      </c>
      <c r="AM361" s="2201">
        <f>AVERAGE(AM185+AM171+AM164-AM142-AM143,AL185+AL171+AL164-AL142-AL143,AK185+AK171+AK164-AK142-AK143,AI185+AI171+AI164-AI142-AI143)</f>
        <v>1941.3500000000015</v>
      </c>
      <c r="AN361" s="2201">
        <f>AVERAGE(AN185+AN171+AN164-AN142-AN143,AM185+AM171+AM164-AM142-AM143,AL185+AL171+AL164-AL142-AL143,AK185+AK171+AK164-AK142-AK143)</f>
        <v>1822.8500000000017</v>
      </c>
      <c r="AO361" s="2200">
        <f t="shared" ref="AO361:AO362" si="661">AN361</f>
        <v>1822.8500000000017</v>
      </c>
      <c r="AP361" s="2201">
        <f>AVERAGE(AP185+AP171+AP164-AP142-AP143,AN185+AN171+AN164-AN142-AN143,AM185+AM171+AM164-AM142-AM143,AL185+AL171+AL164-AL142-AL143)</f>
        <v>1303.8500000000017</v>
      </c>
      <c r="AQ361" s="2201">
        <f>AVERAGE(AQ185+AQ171+AQ164-AQ142-AQ143,AP185+AP171+AP164-AP142-AP143,AN185+AN171+AN164-AN142-AN143,AM185+AM171+AM164-AM142-AM143)</f>
        <v>823.85000000000173</v>
      </c>
      <c r="AR361" s="2201">
        <f>AVERAGE(AR185+AR171+AR164-AR142-AR143,AQ185+AQ171+AQ164-AQ142-AQ143,AP185+AP171+AP164-AP142-AP143,AN185+AN171+AN164-AN142-AN143)</f>
        <v>429.10000000000173</v>
      </c>
      <c r="AS361" s="2201">
        <f>AVERAGE(AS185+AS171+AS164-AS142-AS143,AR185+AR171+AR164-AR142-AR143,AQ185+AQ171+AQ164-AQ142-AQ143,AP185+AP171+AP164-AP142-AP143)</f>
        <v>241.10000000000173</v>
      </c>
      <c r="AT361" s="2200">
        <f t="shared" ref="AT361:AT362" si="662">AS361</f>
        <v>241.10000000000173</v>
      </c>
      <c r="AU361" s="2201">
        <f>AVERAGE(AU185+AU171+AU164-AU142-AU143,AS185+AS171+AS164-AS142-AS143,AR185+AR171+AR164-AR142-AR143,AQ185+AQ171+AQ164-AQ142-AQ143)</f>
        <v>415.85000000000173</v>
      </c>
      <c r="AV361" s="2201">
        <f>AVERAGE(AV185+AV171+AV164-AV142-AV143,AU185+AU171+AU164-AU142-AU143,AS185+AS171+AS164-AS142-AS143,AR185+AR171+AR164-AR142-AR143)</f>
        <v>541.10000000000173</v>
      </c>
      <c r="AW361" s="2201">
        <f>AVERAGE(AW185+AW171+AW164-AW142-AW143,AV185+AV171+AV164-AV142-AV143,AU185+AU171+AU164-AU142-AU143,AS185+AS171+AS164-AS142-AS143)</f>
        <v>599.60000000000173</v>
      </c>
      <c r="AX361" s="2201">
        <f>AVERAGE(AX185+AX171+AX164-AX142-AX143,AW185+AW171+AW164-AW142-AW143,AV185+AV171+AV164-AV142-AV143,AU185+AU171+AU164-AU142-AU143)</f>
        <v>163.35000000000173</v>
      </c>
      <c r="AY361" s="2200">
        <f t="shared" ref="AY361:AY362" si="663">AX361</f>
        <v>163.35000000000173</v>
      </c>
      <c r="AZ361" s="74">
        <f>AVERAGE(AZ185+AZ171+AZ164-AZ142-AZ143,AX185+AX171+AX164-AX142-AX143,AW185+AW171+AW164-AW142-AW143,AV185+AV171+AV164-AV142-AV143)</f>
        <v>138.85000000000173</v>
      </c>
      <c r="BA361" s="74">
        <f>AVERAGE(BA185+BA171+BA164-BA142-BA143,AZ185+AZ171+AZ164-AZ142-AZ143,AX185+AX171+AX164-AX142-AX143,AW185+AW171+AW164-AW142-AW143)</f>
        <v>118.35000000000173</v>
      </c>
      <c r="BB361" s="74">
        <f>AVERAGE(BB185+BB171+BB164-BB142-BB143,BA185+BA171+BA164-BA142-BA143,AZ185+AZ171+AZ164-AZ142-AZ143,AX185+AX171+AX164-AX142-AX143)</f>
        <v>688.60000000000173</v>
      </c>
      <c r="BC361" s="74">
        <f>AVERAGE(BC185+BC171+BC164-BC142-BC143,BB185+BB171+BB164-BB142-BB143,BA185+BA171+BA164-BA142-BA143,AZ185+AZ171+AZ164-AZ142-AZ143)</f>
        <v>1571.1000000000017</v>
      </c>
      <c r="BD361" s="390">
        <f t="shared" ref="BD361:BD362" si="664">BC361</f>
        <v>1571.1000000000017</v>
      </c>
      <c r="BE361" s="74">
        <f>AVERAGE(BE185+BE171+BE164-BE142-BE143,BC185+BC171+BC164-BC142-BC143,BB185+BB171+BB164-BB142-BB143,BA185+BA171+BA164-BA142-BA143)</f>
        <v>2079.8500000000017</v>
      </c>
      <c r="BF361" s="74">
        <f>AVERAGE(BF185+BF171+BF164-BF142-BF143,BE185+BE171+BE164-BE142-BE143,BC185+BC171+BC164-BC142-BC143,BB185+BB171+BB164-BB142-BB143)</f>
        <v>2591.9500000000021</v>
      </c>
      <c r="BG361" s="74">
        <f>AVERAGE(BG185+BG171+BG164-BG142-BG143,BF185+BF171+BF164-BF142-BF143,BE185+BE171+BE164-BE142-BE143,BC185+BC171+BC164-BC142-BC143)</f>
        <v>2423.050000000002</v>
      </c>
      <c r="BH361" s="74">
        <f>AVERAGE(BH185+BH171+BH164-BH142-BH143,BG185+BG171+BG164-BG142-BG143,BF185+BF171+BF164-BF142-BF143,BE185+BE171+BE164-BE142-BE143)</f>
        <v>2297.4000000000019</v>
      </c>
      <c r="BI361" s="390">
        <f t="shared" ref="BI361:BI362" si="665">BH361</f>
        <v>2297.4000000000019</v>
      </c>
      <c r="BJ361" s="74">
        <f>AVERAGE(BJ185+BJ171+BJ164-BJ142-BJ143,BH185+BH171+BH164-BH142-BH143,BG185+BG171+BG164-BG142-BG143,BF185+BF171+BF164-BF142-BF143)</f>
        <v>2144.0000000000018</v>
      </c>
      <c r="BK361" s="74">
        <f>AVERAGE(BK185+BK171+BK164-BK142-BK143,BJ185+BJ171+BJ164-BJ142-BJ143,BH185+BH171+BH164-BH142-BH143,BG185+BG171+BG164-BG142-BG143)</f>
        <v>2048.4919554156995</v>
      </c>
      <c r="BL361" s="74">
        <f>AVERAGE(BL185+BL171+BL164-BL142-BL143,BK185+BK171+BK164-BK142-BK143,BJ185+BJ171+BJ164-BJ142-BJ143,BH185+BH171+BH164-BH142-BH143)</f>
        <v>2066.7419554156995</v>
      </c>
      <c r="BM361" s="74">
        <f>AVERAGE(BM185+BM171+BM164-BM142-BM143,BL185+BL171+BL164-BL142-BL143,BK185+BK171+BK164-BK142-BK143,BJ185+BJ171+BJ164-BJ142-BJ143)</f>
        <v>1986.9919554156995</v>
      </c>
      <c r="BN361" s="390">
        <f t="shared" ref="BN361:BN362" si="666">BM361</f>
        <v>1986.9919554156995</v>
      </c>
      <c r="BO361" s="74">
        <f>AVERAGE(BO185+BO171+BO164-BO142-BO143,BM185+BM171+BM164-BM142-BM143,BL185+BL171+BL164-BL142-BL143,BK185+BK171+BK164-BK142-BK143)</f>
        <v>1957.9919554156995</v>
      </c>
      <c r="BP361" s="74">
        <f>AVERAGE(BP185+BP171+BP164-BP142-BP143,BO185+BO171+BO164-BO142-BO143,BM185+BM171+BM164-BM142-BM143,BL185+BL171+BL164-BL142-BL143)</f>
        <v>1833.8077557141157</v>
      </c>
      <c r="BQ361" s="74">
        <f>AVERAGE(BQ185+BQ171+BQ164-BQ142-BQ143,BP185+BP171+BP164-BP142-BP143,BO185+BO171+BO164-BO142-BO143,BM185+BM171+BM164-BM142-BM143)</f>
        <v>1732.9969955634901</v>
      </c>
      <c r="BR361" s="74">
        <f>AVERAGE(BR185+BR171+BR164-BR142-BR143,BQ185+BQ171+BQ164-BQ142-BQ143,BP185+BP171+BP164-BP142-BP143,BO185+BO171+BO164-BO142-BO143)</f>
        <v>1765.3916288257781</v>
      </c>
      <c r="BS361" s="390">
        <f t="shared" ref="BS361:BS362" si="667">BR361</f>
        <v>1765.3916288257781</v>
      </c>
      <c r="BT361" s="74">
        <f>AVERAGE(BT185+BT171+BT164-BT142-BT143,BR185+BR171+BR164-BR142-BR143,BQ185+BQ171+BQ164-BQ142-BQ143,BP185+BP171+BP164-BP142-BP143)</f>
        <v>1744.2613913066441</v>
      </c>
      <c r="BU361" s="74">
        <f>AVERAGE(BU185+BU171+BU164-BU142-BU143,BT185+BT171+BT164-BT142-BT143,BR185+BR171+BR164-BR142-BR143,BQ185+BQ171+BQ164-BQ142-BQ143)</f>
        <v>1720.8657604751972</v>
      </c>
      <c r="BV361" s="74">
        <f>AVERAGE(BV185+BV171+BV164-BV142-BV143,BU185+BU171+BU164-BU142-BU143,BT185+BT171+BT164-BT142-BT143,BR185+BR171+BR164-BR142-BR143)</f>
        <v>1698.0647253541454</v>
      </c>
      <c r="BW361" s="74">
        <f>AVERAGE(BW185+BW171+BW164-BW142-BW143,BV185+BV171+BV164-BV142-BV143,BU185+BU171+BU164-BU142-BU143,BT185+BT171+BT164-BT142-BT143)</f>
        <v>1692.0371705160537</v>
      </c>
      <c r="BX361" s="390">
        <f t="shared" ref="BX361:BX362" si="668">BW361</f>
        <v>1692.0371705160537</v>
      </c>
      <c r="BY361" s="74">
        <f>AVERAGE(BY185+BY171+BY164-BY142-BY143,BX185+BX171+BX164-BX142-BX143)</f>
        <v>1632.5412911107383</v>
      </c>
      <c r="BZ361" s="74">
        <f>AVERAGE(BZ185+BZ171+BZ164-BZ142-BZ143,BY185+BY171+BY164-BY142-BY143)</f>
        <v>1588.2987679236651</v>
      </c>
      <c r="CA361" s="74">
        <f>AVERAGE(CA185+CA171+CA164-CA142-CA143,BZ185+BZ171+BZ164-BZ142-BZ143)</f>
        <v>1543.4119046885792</v>
      </c>
      <c r="CB361" s="369"/>
      <c r="CD361" s="370"/>
      <c r="CE361" s="127"/>
      <c r="CF361" s="127"/>
      <c r="CG361" s="127"/>
      <c r="CH361" s="127"/>
      <c r="CI361" s="127"/>
      <c r="CJ361" s="127"/>
      <c r="CK361" s="127"/>
      <c r="CL361" s="127"/>
      <c r="CM361" s="127"/>
      <c r="CN361" s="127"/>
      <c r="CO361" s="127"/>
      <c r="CP361" s="127"/>
      <c r="CQ361" s="127"/>
      <c r="CR361" s="127"/>
      <c r="CS361" s="127"/>
      <c r="CT361" s="127"/>
      <c r="CU361" s="127"/>
      <c r="CV361" s="127"/>
      <c r="CW361" s="127"/>
      <c r="CX361" s="127"/>
      <c r="CY361" s="127"/>
      <c r="CZ361" s="127"/>
      <c r="DA361" s="58"/>
      <c r="DB361" s="127"/>
    </row>
    <row r="362" spans="1:112" ht="12" customHeight="1">
      <c r="A362" s="2196" t="s">
        <v>562</v>
      </c>
      <c r="B362" s="713"/>
      <c r="C362" s="58"/>
      <c r="D362" s="58"/>
      <c r="E362" s="58"/>
      <c r="F362" s="58"/>
      <c r="G362" s="2202">
        <f>G360/G361</f>
        <v>0.90866134391768416</v>
      </c>
      <c r="H362" s="2202">
        <f t="shared" ref="H362" si="669">H360/H361</f>
        <v>0.79531926813025344</v>
      </c>
      <c r="I362" s="2202">
        <f t="shared" ref="I362" si="670">I360/I361</f>
        <v>0.68293503870207461</v>
      </c>
      <c r="J362" s="2202">
        <f t="shared" ref="J362" si="671">J360/J361</f>
        <v>0.4229723199384075</v>
      </c>
      <c r="K362" s="2203">
        <f t="shared" si="655"/>
        <v>0.4229723199384075</v>
      </c>
      <c r="L362" s="2202">
        <f>L360/L361</f>
        <v>0.46968328143166471</v>
      </c>
      <c r="M362" s="2202">
        <f t="shared" ref="M362" si="672">M360/M361</f>
        <v>0.52523095477809978</v>
      </c>
      <c r="N362" s="2202">
        <f t="shared" ref="N362" si="673">N360/N361</f>
        <v>0.64070691752373166</v>
      </c>
      <c r="O362" s="2202">
        <f t="shared" ref="O362" si="674">O360/O361</f>
        <v>0.64059203829283196</v>
      </c>
      <c r="P362" s="2203">
        <f t="shared" si="656"/>
        <v>0.64059203829283196</v>
      </c>
      <c r="Q362" s="2202">
        <f>Q360/Q361</f>
        <v>0.55811070586268907</v>
      </c>
      <c r="R362" s="2202">
        <f t="shared" ref="R362" si="675">R360/R361</f>
        <v>0.48878453432499919</v>
      </c>
      <c r="S362" s="2202">
        <f t="shared" ref="S362" si="676">S360/S361</f>
        <v>0.4218216669436079</v>
      </c>
      <c r="T362" s="2202">
        <f t="shared" ref="T362" si="677">T360/T361</f>
        <v>0.41738535275530497</v>
      </c>
      <c r="U362" s="2203">
        <f t="shared" si="657"/>
        <v>0.41738535275530497</v>
      </c>
      <c r="V362" s="2202">
        <f>V360/V361</f>
        <v>0.42473909976976548</v>
      </c>
      <c r="W362" s="2202">
        <f t="shared" ref="W362" si="678">W360/W361</f>
        <v>0.4159571542146292</v>
      </c>
      <c r="X362" s="2202">
        <f t="shared" ref="X362" si="679">X360/X361</f>
        <v>0.39419912885225095</v>
      </c>
      <c r="Y362" s="2202">
        <f t="shared" ref="Y362" si="680">Y360/Y361</f>
        <v>0.40870566044123541</v>
      </c>
      <c r="Z362" s="2203">
        <f t="shared" si="658"/>
        <v>0.40870566044123541</v>
      </c>
      <c r="AA362" s="2202">
        <f>AA360/AA361</f>
        <v>0.4328598351984892</v>
      </c>
      <c r="AB362" s="2202">
        <f t="shared" ref="AB362" si="681">AB360/AB361</f>
        <v>0.43934673604604818</v>
      </c>
      <c r="AC362" s="2202">
        <f t="shared" ref="AC362" si="682">AC360/AC361</f>
        <v>0.45436413269536374</v>
      </c>
      <c r="AD362" s="2202">
        <f t="shared" ref="AD362" si="683">AD360/AD361</f>
        <v>0.46437501025460964</v>
      </c>
      <c r="AE362" s="2203">
        <f t="shared" si="659"/>
        <v>0.46437501025460964</v>
      </c>
      <c r="AF362" s="2202">
        <f>AF360/AF361</f>
        <v>0.45702994846493655</v>
      </c>
      <c r="AG362" s="2202">
        <f t="shared" ref="AG362" si="684">AG360/AG361</f>
        <v>0.45435618449059123</v>
      </c>
      <c r="AH362" s="2202">
        <f t="shared" ref="AH362" si="685">AH360/AH361</f>
        <v>0.45512662193761527</v>
      </c>
      <c r="AI362" s="2202">
        <f t="shared" ref="AI362" si="686">AI360/AI361</f>
        <v>0.44664181444068268</v>
      </c>
      <c r="AJ362" s="2203">
        <f t="shared" si="660"/>
        <v>0.44664181444068268</v>
      </c>
      <c r="AK362" s="2202">
        <f>AK360/AK361</f>
        <v>0.48978335112635368</v>
      </c>
      <c r="AL362" s="2202">
        <f t="shared" ref="AL362" si="687">AL360/AL361</f>
        <v>0.4992893059563599</v>
      </c>
      <c r="AM362" s="2202">
        <f t="shared" ref="AM362" si="688">AM360/AM361</f>
        <v>0.45127194465629311</v>
      </c>
      <c r="AN362" s="2202">
        <f t="shared" ref="AN362" si="689">AN360/AN361</f>
        <v>0.52440107856700569</v>
      </c>
      <c r="AO362" s="2203">
        <f t="shared" si="661"/>
        <v>0.52440107856700569</v>
      </c>
      <c r="AP362" s="2202">
        <f>AP360/AP361</f>
        <v>0.81031138189976137</v>
      </c>
      <c r="AQ362" s="2202">
        <f t="shared" ref="AQ362" si="690">AQ360/AQ361</f>
        <v>1.3557654498815952</v>
      </c>
      <c r="AR362" s="2202">
        <f t="shared" ref="AR362" si="691">AR360/AR361</f>
        <v>2.573837358047911</v>
      </c>
      <c r="AS362" s="2202">
        <f t="shared" ref="AS362" si="692">AS360/AS361</f>
        <v>4.6713227019047157</v>
      </c>
      <c r="AT362" s="2203">
        <f t="shared" si="662"/>
        <v>4.6713227019047157</v>
      </c>
      <c r="AU362" s="2202">
        <f>AU360/AU361</f>
        <v>2.6391239591236149</v>
      </c>
      <c r="AV362" s="2202">
        <f t="shared" ref="AV362" si="693">AV360/AV361</f>
        <v>2.0751410155606274</v>
      </c>
      <c r="AW362" s="2202">
        <f t="shared" ref="AW362" si="694">AW360/AW361</f>
        <v>2.0011975149894976</v>
      </c>
      <c r="AX362" s="2202">
        <f t="shared" ref="AX362" si="695">AX360/AX361</f>
        <v>9.5821421428413114</v>
      </c>
      <c r="AY362" s="2203">
        <f t="shared" si="663"/>
        <v>9.5821421428413114</v>
      </c>
      <c r="AZ362" s="2197">
        <f>AZ360/AZ361</f>
        <v>11.676520206056207</v>
      </c>
      <c r="BA362" s="2197">
        <f t="shared" ref="BA362" si="696">BA360/BA361</f>
        <v>14.058750358046133</v>
      </c>
      <c r="BB362" s="2197">
        <f t="shared" ref="BB362" si="697">BB360/BB361</f>
        <v>2.5464479771119661</v>
      </c>
      <c r="BC362" s="2197">
        <f t="shared" ref="BC362" si="698">BC360/BC361</f>
        <v>0.94102214172877874</v>
      </c>
      <c r="BD362" s="2198">
        <f t="shared" si="664"/>
        <v>0.94102214172877874</v>
      </c>
      <c r="BE362" s="2197">
        <f>BE360/BE361</f>
        <v>0.72621225078803742</v>
      </c>
      <c r="BF362" s="2197">
        <f t="shared" ref="BF362" si="699">BF360/BF361</f>
        <v>0.60450222323751845</v>
      </c>
      <c r="BG362" s="2197">
        <f t="shared" ref="BG362" si="700">BG360/BG361</f>
        <v>0.55534244996056847</v>
      </c>
      <c r="BH362" s="2197">
        <f t="shared" ref="BH362" si="701">BH360/BH361</f>
        <v>0.56783685654150018</v>
      </c>
      <c r="BI362" s="2198">
        <f t="shared" si="665"/>
        <v>0.56783685654150018</v>
      </c>
      <c r="BJ362" s="2197">
        <f>BJ360/BJ361</f>
        <v>0.65863926049350252</v>
      </c>
      <c r="BK362" s="2197">
        <f t="shared" ref="BK362:BM362" si="702">BK360/BK361</f>
        <v>0.72777874721325209</v>
      </c>
      <c r="BL362" s="2197">
        <f t="shared" si="702"/>
        <v>0.86477146378663183</v>
      </c>
      <c r="BM362" s="2197">
        <f t="shared" si="702"/>
        <v>0.95056129959404045</v>
      </c>
      <c r="BN362" s="2198">
        <f t="shared" si="666"/>
        <v>0.95056129959404045</v>
      </c>
      <c r="BO362" s="2197">
        <f>BO360/BO361</f>
        <v>1.0076373867520412</v>
      </c>
      <c r="BP362" s="2197">
        <f t="shared" ref="BP362" si="703">BP360/BP361</f>
        <v>1.1242459767759843</v>
      </c>
      <c r="BQ362" s="2197">
        <f t="shared" ref="BQ362" si="704">BQ360/BQ361</f>
        <v>1.2311704581700582</v>
      </c>
      <c r="BR362" s="2197">
        <f t="shared" ref="BR362:BZ362" si="705">BR360/BR361</f>
        <v>1.3069126531635755</v>
      </c>
      <c r="BS362" s="2198">
        <f t="shared" si="667"/>
        <v>1.3069126531635755</v>
      </c>
      <c r="BT362" s="2197">
        <f>BT360/BT361</f>
        <v>1.349204014327698</v>
      </c>
      <c r="BU362" s="2197">
        <f t="shared" ref="BU362:BW362" si="706">BU360/BU361</f>
        <v>1.4007236656670621</v>
      </c>
      <c r="BV362" s="2197">
        <f t="shared" si="706"/>
        <v>1.4534914260071499</v>
      </c>
      <c r="BW362" s="2197">
        <f t="shared" si="706"/>
        <v>1.4933610996871314</v>
      </c>
      <c r="BX362" s="2198">
        <f t="shared" si="668"/>
        <v>1.4933610996871314</v>
      </c>
      <c r="BY362" s="2197">
        <f t="shared" si="705"/>
        <v>1.6513144419746477</v>
      </c>
      <c r="BZ362" s="2197">
        <f t="shared" si="705"/>
        <v>1.8145329277676523</v>
      </c>
      <c r="CA362" s="2197">
        <f t="shared" ref="CA362" si="707">CA360/CA361</f>
        <v>1.9812639015498761</v>
      </c>
      <c r="CB362" s="369"/>
      <c r="CD362" s="370"/>
      <c r="CE362" s="127"/>
      <c r="CF362" s="127"/>
      <c r="CG362" s="127"/>
      <c r="CH362" s="127"/>
      <c r="CI362" s="127"/>
      <c r="CJ362" s="127"/>
      <c r="CK362" s="127"/>
      <c r="CL362" s="127"/>
      <c r="CM362" s="127"/>
      <c r="CN362" s="127"/>
      <c r="CO362" s="127"/>
      <c r="CP362" s="127"/>
      <c r="CQ362" s="127"/>
      <c r="CR362" s="127"/>
      <c r="CS362" s="127"/>
      <c r="CT362" s="127"/>
      <c r="CU362" s="127"/>
      <c r="CV362" s="127"/>
      <c r="CW362" s="127"/>
      <c r="CX362" s="127"/>
      <c r="CY362" s="127"/>
      <c r="CZ362" s="127"/>
      <c r="DA362" s="58"/>
      <c r="DB362" s="127"/>
    </row>
    <row r="363" spans="1:112" ht="12" customHeight="1">
      <c r="A363" s="42"/>
      <c r="B363" s="713"/>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42"/>
      <c r="AL363" s="42"/>
      <c r="AM363" s="42"/>
      <c r="AN363" s="42"/>
      <c r="AO363" s="42"/>
      <c r="AP363" s="58"/>
      <c r="AQ363" s="58"/>
      <c r="AR363" s="58"/>
      <c r="AS363" s="58"/>
      <c r="AT363" s="58"/>
      <c r="AU363" s="58"/>
      <c r="AV363" s="58"/>
      <c r="AW363" s="370"/>
      <c r="AX363" s="370"/>
      <c r="AY363" s="58"/>
      <c r="AZ363" s="58"/>
      <c r="BA363" s="58"/>
      <c r="BB363" s="58"/>
      <c r="BC363" s="370"/>
      <c r="BD363" s="58"/>
      <c r="BE363" s="58"/>
      <c r="BF363" s="58"/>
      <c r="BG363" s="58"/>
      <c r="BH363" s="58"/>
      <c r="BI363" s="58"/>
      <c r="BJ363" s="58"/>
      <c r="BK363" s="58"/>
      <c r="BL363" s="58"/>
      <c r="BM363" s="58"/>
      <c r="BN363" s="42"/>
      <c r="BO363" s="42"/>
      <c r="BP363" s="42"/>
      <c r="BQ363" s="42"/>
      <c r="BR363" s="42"/>
      <c r="BS363" s="42"/>
      <c r="BT363" s="42"/>
      <c r="BU363" s="42"/>
      <c r="BV363" s="42"/>
      <c r="BW363" s="42"/>
      <c r="BX363" s="42"/>
      <c r="BY363" s="42"/>
      <c r="BZ363" s="42"/>
      <c r="CA363" s="42"/>
      <c r="CB363" s="369"/>
      <c r="CD363" s="370"/>
      <c r="CE363" s="127"/>
      <c r="CF363" s="127"/>
      <c r="CG363" s="127"/>
      <c r="CH363" s="127"/>
      <c r="CI363" s="127"/>
      <c r="CJ363" s="127"/>
      <c r="CK363" s="127"/>
      <c r="CL363" s="127"/>
      <c r="CM363" s="127"/>
      <c r="CN363" s="127"/>
      <c r="CO363" s="127"/>
      <c r="CP363" s="127"/>
      <c r="CQ363" s="127"/>
      <c r="CR363" s="127"/>
      <c r="CS363" s="127"/>
      <c r="CT363" s="127"/>
      <c r="CU363" s="127"/>
      <c r="CV363" s="127"/>
      <c r="CW363" s="127"/>
      <c r="CX363" s="127"/>
      <c r="CY363" s="127"/>
      <c r="CZ363" s="127"/>
      <c r="DA363" s="58"/>
      <c r="DB363" s="127"/>
    </row>
    <row r="364" spans="1:112" ht="12" customHeight="1">
      <c r="A364" s="42"/>
      <c r="B364" s="713"/>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42"/>
      <c r="AL364" s="42"/>
      <c r="AM364" s="42"/>
      <c r="AN364" s="42"/>
      <c r="AO364" s="42"/>
      <c r="AP364" s="58"/>
      <c r="AQ364" s="58"/>
      <c r="AR364" s="58"/>
      <c r="AS364" s="58"/>
      <c r="AT364" s="58"/>
      <c r="AU364" s="58"/>
      <c r="AV364" s="58"/>
      <c r="AW364" s="370"/>
      <c r="AX364" s="370"/>
      <c r="AY364" s="58"/>
      <c r="AZ364" s="58"/>
      <c r="BA364" s="58"/>
      <c r="BB364" s="58"/>
      <c r="BC364" s="370"/>
      <c r="BD364" s="58"/>
      <c r="BE364" s="58"/>
      <c r="BF364" s="58"/>
      <c r="BG364" s="58"/>
      <c r="BH364" s="58"/>
      <c r="BI364" s="58"/>
      <c r="BJ364" s="58"/>
      <c r="BK364" s="58"/>
      <c r="BL364" s="58"/>
      <c r="BM364" s="58"/>
      <c r="BN364" s="42"/>
      <c r="BO364" s="42"/>
      <c r="BP364" s="42"/>
      <c r="BQ364" s="42"/>
      <c r="BR364" s="42"/>
      <c r="BS364" s="42"/>
      <c r="BT364" s="42"/>
      <c r="BU364" s="42"/>
      <c r="BV364" s="42"/>
      <c r="BW364" s="42"/>
      <c r="BX364" s="42"/>
      <c r="BY364" s="42"/>
      <c r="BZ364" s="42"/>
      <c r="CA364" s="42"/>
      <c r="CB364" s="369"/>
      <c r="CD364" s="370"/>
      <c r="CE364" s="127"/>
      <c r="CF364" s="127"/>
      <c r="CG364" s="127"/>
      <c r="CH364" s="127"/>
      <c r="CI364" s="127"/>
      <c r="CJ364" s="127"/>
      <c r="CK364" s="127"/>
      <c r="CL364" s="127"/>
      <c r="CM364" s="127"/>
      <c r="CN364" s="127"/>
      <c r="CO364" s="127"/>
      <c r="CP364" s="127"/>
      <c r="CQ364" s="127"/>
      <c r="CR364" s="127"/>
      <c r="CS364" s="127"/>
      <c r="CT364" s="127"/>
      <c r="CU364" s="127"/>
      <c r="CV364" s="127"/>
      <c r="CW364" s="127"/>
      <c r="CX364" s="127"/>
      <c r="CY364" s="127"/>
      <c r="CZ364" s="127"/>
      <c r="DA364" s="58"/>
      <c r="DB364" s="127"/>
    </row>
    <row r="365" spans="1:112" customFormat="1" ht="12" customHeight="1"/>
  </sheetData>
  <mergeCells count="3">
    <mergeCell ref="A6:BY6"/>
    <mergeCell ref="A7:BY7"/>
    <mergeCell ref="A8:BY8"/>
  </mergeCells>
  <pageMargins left="0" right="0" top="0" bottom="0" header="0" footer="0"/>
  <pageSetup paperSize="5" scale="17"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Group Box 1">
              <controlPr defaultSize="0" autoFill="0" autoPict="0" altText="WMI Scenario Analysis">
                <anchor moveWithCells="1" sizeWithCells="1">
                  <from>
                    <xdr:col>0</xdr:col>
                    <xdr:colOff>133350</xdr:colOff>
                    <xdr:row>2</xdr:row>
                    <xdr:rowOff>38100</xdr:rowOff>
                  </from>
                  <to>
                    <xdr:col>0</xdr:col>
                    <xdr:colOff>2324100</xdr:colOff>
                    <xdr:row>5</xdr:row>
                    <xdr:rowOff>66675</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sizeWithCells="1">
                  <from>
                    <xdr:col>0</xdr:col>
                    <xdr:colOff>180975</xdr:colOff>
                    <xdr:row>3</xdr:row>
                    <xdr:rowOff>57150</xdr:rowOff>
                  </from>
                  <to>
                    <xdr:col>0</xdr:col>
                    <xdr:colOff>885825</xdr:colOff>
                    <xdr:row>4</xdr:row>
                    <xdr:rowOff>114300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sizeWithCells="1">
                  <from>
                    <xdr:col>0</xdr:col>
                    <xdr:colOff>885825</xdr:colOff>
                    <xdr:row>3</xdr:row>
                    <xdr:rowOff>57150</xdr:rowOff>
                  </from>
                  <to>
                    <xdr:col>0</xdr:col>
                    <xdr:colOff>1571625</xdr:colOff>
                    <xdr:row>4</xdr:row>
                    <xdr:rowOff>114300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sizeWithCells="1">
                  <from>
                    <xdr:col>0</xdr:col>
                    <xdr:colOff>1628775</xdr:colOff>
                    <xdr:row>3</xdr:row>
                    <xdr:rowOff>57150</xdr:rowOff>
                  </from>
                  <to>
                    <xdr:col>0</xdr:col>
                    <xdr:colOff>2238375</xdr:colOff>
                    <xdr:row>4</xdr:row>
                    <xdr:rowOff>114300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2978"/>
  </sheetPr>
  <dimension ref="A1:IZ456"/>
  <sheetViews>
    <sheetView showGridLines="0" zoomScaleNormal="100" workbookViewId="0">
      <pane xSplit="1" ySplit="9" topLeftCell="BE10" activePane="bottomRight" state="frozen"/>
      <selection pane="topRight" activeCell="B1" sqref="B1"/>
      <selection pane="bottomLeft" activeCell="A10" sqref="A10"/>
      <selection pane="bottomRight"/>
    </sheetView>
  </sheetViews>
  <sheetFormatPr defaultRowHeight="11.25" outlineLevelRow="2" outlineLevelCol="2"/>
  <cols>
    <col min="1" max="1" width="30.140625" style="1271" customWidth="1"/>
    <col min="2" max="3" width="7.140625" style="1271" hidden="1" customWidth="1" outlineLevel="1"/>
    <col min="4" max="6" width="7.28515625" style="1271" hidden="1" customWidth="1" outlineLevel="1"/>
    <col min="7" max="10" width="7.85546875" style="1271" hidden="1" customWidth="1" outlineLevel="2"/>
    <col min="11" max="11" width="7.85546875" style="1271" hidden="1" customWidth="1" outlineLevel="1"/>
    <col min="12" max="15" width="7.85546875" style="1271" hidden="1" customWidth="1" outlineLevel="2"/>
    <col min="16" max="16" width="7.85546875" style="1271" hidden="1" customWidth="1" outlineLevel="1"/>
    <col min="17" max="20" width="7.85546875" style="1271" hidden="1" customWidth="1" outlineLevel="2"/>
    <col min="21" max="21" width="7.85546875" style="1271" hidden="1" customWidth="1" outlineLevel="1"/>
    <col min="22" max="25" width="7.85546875" style="1271" hidden="1" customWidth="1" outlineLevel="2"/>
    <col min="26" max="26" width="7.85546875" style="1271" hidden="1" customWidth="1" outlineLevel="1"/>
    <col min="27" max="30" width="7.85546875" style="1271" hidden="1" customWidth="1" outlineLevel="2"/>
    <col min="31" max="31" width="7.85546875" style="1271" hidden="1" customWidth="1" outlineLevel="1"/>
    <col min="32" max="35" width="7.85546875" style="1271" hidden="1" customWidth="1" outlineLevel="2"/>
    <col min="36" max="36" width="7.85546875" style="1271" hidden="1" customWidth="1"/>
    <col min="37" max="40" width="7.85546875" style="1271" hidden="1" customWidth="1" outlineLevel="1"/>
    <col min="41" max="41" width="7.85546875" style="1271" hidden="1" customWidth="1"/>
    <col min="42" max="45" width="7.85546875" style="1271" hidden="1" customWidth="1" outlineLevel="1"/>
    <col min="46" max="46" width="7.85546875" style="1271" hidden="1" customWidth="1"/>
    <col min="47" max="50" width="7.85546875" style="1271" hidden="1" customWidth="1" outlineLevel="1"/>
    <col min="51" max="51" width="7.85546875" style="1271" hidden="1" customWidth="1"/>
    <col min="52" max="55" width="7.85546875" style="1271" hidden="1" customWidth="1" outlineLevel="1"/>
    <col min="56" max="56" width="7.85546875" style="1271" hidden="1" customWidth="1"/>
    <col min="57" max="60" width="7.85546875" style="1271" customWidth="1" outlineLevel="1"/>
    <col min="61" max="61" width="7.85546875" style="1271" customWidth="1"/>
    <col min="62" max="65" width="7.85546875" style="1271" customWidth="1" outlineLevel="1"/>
    <col min="66" max="66" width="7.85546875" style="1271" customWidth="1"/>
    <col min="67" max="70" width="7.85546875" style="1271" customWidth="1" outlineLevel="1"/>
    <col min="71" max="71" width="7.85546875" style="1271" customWidth="1"/>
    <col min="72" max="75" width="7.85546875" style="1271" customWidth="1" outlineLevel="1"/>
    <col min="76" max="79" width="7.85546875" style="1271" customWidth="1"/>
    <col min="80" max="80" width="9.28515625" style="1271" bestFit="1" customWidth="1"/>
    <col min="81" max="83" width="9.140625" style="1271"/>
    <col min="84" max="84" width="32.42578125" style="1398" customWidth="1"/>
    <col min="85" max="90" width="9.140625" style="1398" hidden="1" customWidth="1" outlineLevel="2"/>
    <col min="91" max="91" width="9.140625" style="1398" hidden="1" customWidth="1" outlineLevel="1" collapsed="1"/>
    <col min="92" max="96" width="9.140625" style="1398" hidden="1" customWidth="1" outlineLevel="1"/>
    <col min="97" max="97" width="9.140625" style="1271" hidden="1" customWidth="1" outlineLevel="1"/>
    <col min="98" max="106" width="9.140625" style="1271" customWidth="1" outlineLevel="1"/>
    <col min="107" max="16384" width="9.140625" style="1271"/>
  </cols>
  <sheetData>
    <row r="1" spans="1:110">
      <c r="A1" s="714"/>
    </row>
    <row r="2" spans="1:110">
      <c r="A2" s="714"/>
    </row>
    <row r="3" spans="1:110">
      <c r="A3" s="714"/>
      <c r="BL3" s="762"/>
      <c r="BQ3" s="762"/>
    </row>
    <row r="4" spans="1:110">
      <c r="A4" s="714"/>
      <c r="BD4" s="1399"/>
      <c r="BG4" s="762"/>
      <c r="BH4" s="762"/>
      <c r="BI4" s="762"/>
      <c r="BL4" s="762"/>
      <c r="BM4" s="762"/>
      <c r="BQ4" s="762"/>
      <c r="BR4" s="762"/>
      <c r="BS4" s="1605"/>
      <c r="BX4" s="1663"/>
    </row>
    <row r="5" spans="1:110">
      <c r="AX5" s="762"/>
      <c r="BC5" s="1400"/>
      <c r="BD5" s="1401"/>
      <c r="BG5" s="1402"/>
      <c r="BH5" s="1403"/>
      <c r="BI5" s="1404"/>
      <c r="BL5" s="1402"/>
      <c r="BM5" s="762"/>
      <c r="BQ5" s="1402"/>
      <c r="BR5" s="762"/>
      <c r="BS5" s="1663"/>
      <c r="BX5" s="1663"/>
    </row>
    <row r="6" spans="1:110" ht="15">
      <c r="A6" s="1405" t="s">
        <v>285</v>
      </c>
      <c r="AX6" s="762"/>
      <c r="AY6" s="1402"/>
      <c r="AZ6" s="1400"/>
      <c r="BA6" s="1400"/>
      <c r="BB6" s="1402"/>
      <c r="BC6" s="1402"/>
      <c r="BD6" s="1400"/>
      <c r="BE6" s="1402"/>
      <c r="BF6" s="1400"/>
      <c r="BG6" s="1406"/>
      <c r="BH6" s="1402"/>
      <c r="BI6" s="1407"/>
      <c r="BJ6" s="2241"/>
      <c r="BK6" s="2241"/>
      <c r="BL6" s="2241"/>
      <c r="BM6" s="2241"/>
      <c r="BN6" s="2191"/>
      <c r="BO6" s="1403"/>
      <c r="BP6" s="1403"/>
      <c r="BQ6" s="2241"/>
      <c r="BR6" s="2241"/>
      <c r="BS6" s="1406"/>
      <c r="BT6" s="1403"/>
      <c r="BU6" s="1403"/>
      <c r="BV6" s="1403"/>
      <c r="BW6" s="1406"/>
      <c r="BX6" s="1406"/>
      <c r="BY6" s="1406"/>
      <c r="BZ6" s="1406"/>
      <c r="CA6" s="1406"/>
    </row>
    <row r="7" spans="1:110">
      <c r="A7" s="788" t="s">
        <v>286</v>
      </c>
      <c r="AY7" s="1268"/>
      <c r="BA7" s="762"/>
      <c r="BC7" s="1408"/>
      <c r="BD7" s="1400"/>
      <c r="BF7" s="762"/>
      <c r="BH7" s="1409"/>
      <c r="BI7" s="1400"/>
      <c r="BN7" s="1410"/>
      <c r="BS7" s="2029"/>
      <c r="BX7" s="2029"/>
      <c r="BY7" s="2235"/>
      <c r="BZ7" s="1410"/>
      <c r="CA7" s="1410"/>
      <c r="CP7" s="1399"/>
      <c r="CQ7" s="1399"/>
      <c r="CR7" s="1399"/>
      <c r="CS7" s="1399"/>
      <c r="CT7" s="1399"/>
      <c r="CU7" s="1399"/>
      <c r="CV7" s="1399"/>
      <c r="CW7" s="1399"/>
      <c r="CX7" s="1399"/>
      <c r="CY7" s="1399"/>
      <c r="CZ7" s="1399"/>
    </row>
    <row r="8" spans="1:110">
      <c r="CB8" s="1411" t="s">
        <v>575</v>
      </c>
    </row>
    <row r="9" spans="1:110" ht="12" customHeight="1">
      <c r="A9" s="1412" t="s">
        <v>57</v>
      </c>
      <c r="B9" s="1413">
        <f>MHFI!B9</f>
        <v>2001</v>
      </c>
      <c r="C9" s="1413">
        <f>MHFI!C9</f>
        <v>2002</v>
      </c>
      <c r="D9" s="1413">
        <f>MHFI!D9</f>
        <v>2003</v>
      </c>
      <c r="E9" s="1413">
        <f>MHFI!E9</f>
        <v>2004</v>
      </c>
      <c r="F9" s="1413">
        <f>MHFI!F9</f>
        <v>2005</v>
      </c>
      <c r="G9" s="1414" t="str">
        <f>MHFI!G9</f>
        <v>1Q06</v>
      </c>
      <c r="H9" s="1414" t="str">
        <f>MHFI!H9</f>
        <v>2Q06</v>
      </c>
      <c r="I9" s="1414" t="str">
        <f>MHFI!I9</f>
        <v>3Q06</v>
      </c>
      <c r="J9" s="1414" t="str">
        <f>MHFI!J9</f>
        <v>4Q06</v>
      </c>
      <c r="K9" s="1415">
        <f>MHFI!K9</f>
        <v>2006</v>
      </c>
      <c r="L9" s="1414" t="str">
        <f>MHFI!L9</f>
        <v>1Q07</v>
      </c>
      <c r="M9" s="1414" t="str">
        <f>MHFI!M9</f>
        <v>2Q07</v>
      </c>
      <c r="N9" s="1414" t="str">
        <f>MHFI!N9</f>
        <v>3Q07</v>
      </c>
      <c r="O9" s="1414" t="str">
        <f>MHFI!O9</f>
        <v>4Q07</v>
      </c>
      <c r="P9" s="1415">
        <f>MHFI!P9</f>
        <v>2007</v>
      </c>
      <c r="Q9" s="1414" t="str">
        <f>MHFI!Q9</f>
        <v>1Q08</v>
      </c>
      <c r="R9" s="1414" t="str">
        <f>MHFI!R9</f>
        <v>2Q08</v>
      </c>
      <c r="S9" s="1414" t="str">
        <f>MHFI!S9</f>
        <v>3Q08</v>
      </c>
      <c r="T9" s="1414" t="str">
        <f>MHFI!T9</f>
        <v>4Q08</v>
      </c>
      <c r="U9" s="1415">
        <f>MHFI!U9</f>
        <v>2008</v>
      </c>
      <c r="V9" s="1414" t="str">
        <f>MHFI!V9</f>
        <v>1Q09</v>
      </c>
      <c r="W9" s="1414" t="str">
        <f>MHFI!W9</f>
        <v>2Q09</v>
      </c>
      <c r="X9" s="1414" t="str">
        <f>MHFI!X9</f>
        <v>3Q09</v>
      </c>
      <c r="Y9" s="1414" t="str">
        <f>MHFI!Y9</f>
        <v>4Q09</v>
      </c>
      <c r="Z9" s="1415">
        <f>MHFI!Z9</f>
        <v>2009</v>
      </c>
      <c r="AA9" s="1414" t="str">
        <f>MHFI!AA9</f>
        <v>1Q10</v>
      </c>
      <c r="AB9" s="1414" t="str">
        <f>MHFI!AB9</f>
        <v>2Q10</v>
      </c>
      <c r="AC9" s="1414" t="str">
        <f>MHFI!AC9</f>
        <v>3Q10</v>
      </c>
      <c r="AD9" s="1414" t="str">
        <f>MHFI!AD9</f>
        <v>4Q10</v>
      </c>
      <c r="AE9" s="1415">
        <f>MHFI!AE9</f>
        <v>2010</v>
      </c>
      <c r="AF9" s="1414" t="str">
        <f>MHFI!AF9</f>
        <v>1Q11</v>
      </c>
      <c r="AG9" s="1414" t="str">
        <f>MHFI!AG9</f>
        <v>2Q11</v>
      </c>
      <c r="AH9" s="1414" t="str">
        <f>MHFI!AH9</f>
        <v>3Q11</v>
      </c>
      <c r="AI9" s="1414" t="str">
        <f>MHFI!AI9</f>
        <v>4Q11</v>
      </c>
      <c r="AJ9" s="1415">
        <f>MHFI!AJ9</f>
        <v>2011</v>
      </c>
      <c r="AK9" s="1414" t="str">
        <f>MHFI!AK9</f>
        <v>1Q12</v>
      </c>
      <c r="AL9" s="1414" t="str">
        <f>MHFI!AL9</f>
        <v>2Q12</v>
      </c>
      <c r="AM9" s="1414" t="str">
        <f>MHFI!AM9</f>
        <v>3Q12</v>
      </c>
      <c r="AN9" s="1414" t="str">
        <f>MHFI!AN9</f>
        <v>4Q12</v>
      </c>
      <c r="AO9" s="1415">
        <f>MHFI!AO9</f>
        <v>2012</v>
      </c>
      <c r="AP9" s="1414" t="str">
        <f>MHFI!AP9</f>
        <v>1Q13</v>
      </c>
      <c r="AQ9" s="1414" t="str">
        <f>MHFI!AQ9</f>
        <v>2Q13</v>
      </c>
      <c r="AR9" s="1414" t="str">
        <f>MHFI!AR9</f>
        <v>3Q13</v>
      </c>
      <c r="AS9" s="1414" t="str">
        <f>MHFI!AS9</f>
        <v>4Q13</v>
      </c>
      <c r="AT9" s="1415">
        <f>MHFI!AT9</f>
        <v>2013</v>
      </c>
      <c r="AU9" s="1414" t="str">
        <f>MHFI!AU9</f>
        <v>1Q14</v>
      </c>
      <c r="AV9" s="1414" t="str">
        <f>MHFI!AV9</f>
        <v>2Q14</v>
      </c>
      <c r="AW9" s="1414" t="str">
        <f>MHFI!AW9</f>
        <v>3Q14</v>
      </c>
      <c r="AX9" s="1414" t="str">
        <f>MHFI!AX9</f>
        <v>4Q14</v>
      </c>
      <c r="AY9" s="1415">
        <f>MHFI!AY9</f>
        <v>2014</v>
      </c>
      <c r="AZ9" s="1414" t="str">
        <f>MHFI!AZ9</f>
        <v>1Q15</v>
      </c>
      <c r="BA9" s="1414" t="str">
        <f>MHFI!BA9</f>
        <v>2Q15</v>
      </c>
      <c r="BB9" s="1414" t="str">
        <f>MHFI!BB9</f>
        <v>3Q15</v>
      </c>
      <c r="BC9" s="1414" t="str">
        <f>MHFI!BC9</f>
        <v>4Q15</v>
      </c>
      <c r="BD9" s="1415">
        <f>MHFI!BD9</f>
        <v>2015</v>
      </c>
      <c r="BE9" s="1414" t="str">
        <f>MHFI!BE9</f>
        <v>1Q16</v>
      </c>
      <c r="BF9" s="1414" t="str">
        <f>MHFI!BF9</f>
        <v>2Q16</v>
      </c>
      <c r="BG9" s="1414" t="str">
        <f>MHFI!BG9</f>
        <v>3Q16</v>
      </c>
      <c r="BH9" s="1414" t="str">
        <f>MHFI!BH9</f>
        <v>4Q16</v>
      </c>
      <c r="BI9" s="1415">
        <f>MHFI!BI9</f>
        <v>2016</v>
      </c>
      <c r="BJ9" s="1414" t="str">
        <f>MHFI!BJ9</f>
        <v>1Q17</v>
      </c>
      <c r="BK9" s="1414" t="str">
        <f>MHFI!BK9</f>
        <v>2Q17</v>
      </c>
      <c r="BL9" s="1414" t="str">
        <f>MHFI!BL9</f>
        <v>3Q17</v>
      </c>
      <c r="BM9" s="1414" t="str">
        <f>MHFI!BM9</f>
        <v>4Q17</v>
      </c>
      <c r="BN9" s="1415">
        <f>MHFI!BN9</f>
        <v>2017</v>
      </c>
      <c r="BO9" s="1414" t="str">
        <f>MHFI!BO9</f>
        <v>1Q18E</v>
      </c>
      <c r="BP9" s="1414" t="str">
        <f>MHFI!BP9</f>
        <v>2Q18E</v>
      </c>
      <c r="BQ9" s="1414" t="str">
        <f>MHFI!BQ9</f>
        <v>3Q18E</v>
      </c>
      <c r="BR9" s="1414" t="str">
        <f>MHFI!BR9</f>
        <v>4Q18E</v>
      </c>
      <c r="BS9" s="1416" t="str">
        <f>MHFI!BS9</f>
        <v>2018E</v>
      </c>
      <c r="BT9" s="1414" t="str">
        <f>MHFI!BT9</f>
        <v>1Q19E</v>
      </c>
      <c r="BU9" s="1414" t="str">
        <f>MHFI!BU9</f>
        <v>2Q19E</v>
      </c>
      <c r="BV9" s="1414" t="str">
        <f>MHFI!BV9</f>
        <v>3Q19E</v>
      </c>
      <c r="BW9" s="1414" t="str">
        <f>MHFI!BW9</f>
        <v>4Q19E</v>
      </c>
      <c r="BX9" s="1416" t="str">
        <f>MHFI!BX9</f>
        <v>2019E</v>
      </c>
      <c r="BY9" s="1417" t="str">
        <f>MHFI!BY9</f>
        <v>2020E</v>
      </c>
      <c r="BZ9" s="1417" t="str">
        <f>MHFI!BZ9</f>
        <v>2021E</v>
      </c>
      <c r="CA9" s="1417" t="str">
        <f>MHFI!CA9</f>
        <v>2022E</v>
      </c>
      <c r="CB9" s="1411" t="s">
        <v>56</v>
      </c>
      <c r="CF9" s="2003" t="str">
        <f t="shared" ref="CF9:CK9" si="0">+A9</f>
        <v>Fiscal Year Ending December 31</v>
      </c>
      <c r="CG9" s="2004">
        <f t="shared" si="0"/>
        <v>2001</v>
      </c>
      <c r="CH9" s="2004">
        <f t="shared" si="0"/>
        <v>2002</v>
      </c>
      <c r="CI9" s="2004">
        <f t="shared" si="0"/>
        <v>2003</v>
      </c>
      <c r="CJ9" s="2004">
        <f t="shared" si="0"/>
        <v>2004</v>
      </c>
      <c r="CK9" s="2004">
        <f t="shared" si="0"/>
        <v>2005</v>
      </c>
      <c r="CL9" s="2004">
        <f>+K9</f>
        <v>2006</v>
      </c>
      <c r="CM9" s="2004">
        <f>+P9</f>
        <v>2007</v>
      </c>
      <c r="CN9" s="2004">
        <f>+U9</f>
        <v>2008</v>
      </c>
      <c r="CO9" s="2004">
        <f>+Z9</f>
        <v>2009</v>
      </c>
      <c r="CP9" s="2004">
        <f>+AE9</f>
        <v>2010</v>
      </c>
      <c r="CQ9" s="2004">
        <f>+AJ9</f>
        <v>2011</v>
      </c>
      <c r="CR9" s="2004">
        <f>+AO9</f>
        <v>2012</v>
      </c>
      <c r="CS9" s="2004">
        <f>+AT9</f>
        <v>2013</v>
      </c>
      <c r="CT9" s="2004">
        <f>+AY9</f>
        <v>2014</v>
      </c>
      <c r="CU9" s="2004">
        <f>+BD9</f>
        <v>2015</v>
      </c>
      <c r="CV9" s="2004">
        <f>+BI9</f>
        <v>2016</v>
      </c>
      <c r="CW9" s="2004">
        <f>+BN9</f>
        <v>2017</v>
      </c>
      <c r="CX9" s="2004" t="str">
        <f>+BS9</f>
        <v>2018E</v>
      </c>
      <c r="CY9" s="2004" t="str">
        <f>+BX9</f>
        <v>2019E</v>
      </c>
      <c r="CZ9" s="2004" t="str">
        <f>+BY9</f>
        <v>2020E</v>
      </c>
      <c r="DA9" s="2004" t="str">
        <f>+BZ9</f>
        <v>2021E</v>
      </c>
      <c r="DB9" s="2005" t="str">
        <f>+CA9</f>
        <v>2022E</v>
      </c>
      <c r="DC9" s="1418"/>
      <c r="DD9" s="1418"/>
      <c r="DE9" s="1418"/>
      <c r="DF9" s="1418"/>
    </row>
    <row r="10" spans="1:110" ht="12" customHeight="1">
      <c r="A10" s="788" t="s">
        <v>186</v>
      </c>
      <c r="B10" s="1419"/>
      <c r="C10" s="1419"/>
      <c r="D10" s="1419"/>
      <c r="E10" s="1419"/>
      <c r="F10" s="1419"/>
      <c r="G10" s="1265"/>
      <c r="H10" s="1266"/>
      <c r="I10" s="1266"/>
      <c r="J10" s="1266"/>
      <c r="K10" s="1264"/>
      <c r="L10" s="1266"/>
      <c r="M10" s="1266"/>
      <c r="N10" s="1266"/>
      <c r="O10" s="1266"/>
      <c r="P10" s="1264"/>
      <c r="Q10" s="1266"/>
      <c r="R10" s="1266"/>
      <c r="S10" s="1266"/>
      <c r="T10" s="1267"/>
      <c r="U10" s="1264"/>
      <c r="V10" s="1266"/>
      <c r="W10" s="1266"/>
      <c r="X10" s="1266"/>
      <c r="Y10" s="1267"/>
      <c r="Z10" s="1264"/>
      <c r="AA10" s="1266"/>
      <c r="AB10" s="1266"/>
      <c r="AC10" s="1266"/>
      <c r="AD10" s="1267"/>
      <c r="AE10" s="1269"/>
      <c r="AF10" s="1266"/>
      <c r="AG10" s="1266"/>
      <c r="AH10" s="1266"/>
      <c r="AI10" s="1266"/>
      <c r="AJ10" s="1264"/>
      <c r="AK10" s="1266"/>
      <c r="AL10" s="1266"/>
      <c r="AM10" s="1266"/>
      <c r="AN10" s="1266"/>
      <c r="AO10" s="1264"/>
      <c r="AP10" s="1266"/>
      <c r="AQ10" s="1266"/>
      <c r="AR10" s="1266"/>
      <c r="AS10" s="1266"/>
      <c r="AT10" s="1264"/>
      <c r="AU10" s="1266"/>
      <c r="AV10" s="1266"/>
      <c r="AW10" s="1266"/>
      <c r="AX10" s="1266"/>
      <c r="AY10" s="1264"/>
      <c r="AZ10" s="1266"/>
      <c r="BA10" s="1266"/>
      <c r="BB10" s="1266"/>
      <c r="BC10" s="1266"/>
      <c r="BD10" s="809"/>
      <c r="BE10" s="1266"/>
      <c r="BF10" s="1266"/>
      <c r="BG10" s="1402"/>
      <c r="BH10" s="1266"/>
      <c r="BI10" s="809"/>
      <c r="BJ10" s="1266"/>
      <c r="BK10" s="1266"/>
      <c r="BL10" s="1402"/>
      <c r="BM10" s="1266"/>
      <c r="BN10" s="1419"/>
      <c r="BO10" s="1266"/>
      <c r="BP10" s="1266"/>
      <c r="BQ10" s="1266"/>
      <c r="BR10" s="1266"/>
      <c r="BS10" s="1419"/>
      <c r="BT10" s="1266"/>
      <c r="BU10" s="1266"/>
      <c r="BV10" s="1266"/>
      <c r="BW10" s="1266"/>
      <c r="BX10" s="1419"/>
      <c r="BY10" s="1420"/>
      <c r="BZ10" s="1420"/>
      <c r="CA10" s="1420"/>
      <c r="CF10" s="1421" t="str">
        <f>A10</f>
        <v>Revenue</v>
      </c>
      <c r="CG10" s="1422"/>
      <c r="CH10" s="1423"/>
      <c r="CI10" s="1423"/>
      <c r="CJ10" s="1423"/>
      <c r="CK10" s="1423"/>
      <c r="CL10" s="1423"/>
      <c r="CM10" s="1424"/>
      <c r="CN10" s="1424"/>
      <c r="CO10" s="1424"/>
      <c r="CP10" s="1424"/>
      <c r="CQ10" s="1423"/>
      <c r="CR10" s="1423"/>
      <c r="CS10" s="1423"/>
      <c r="CT10" s="1423"/>
      <c r="CU10" s="1423"/>
      <c r="CV10" s="1425"/>
      <c r="CW10" s="1423"/>
      <c r="CX10" s="1423"/>
      <c r="CY10" s="1423"/>
      <c r="CZ10" s="1422"/>
      <c r="DA10" s="1422"/>
      <c r="DB10" s="1422"/>
    </row>
    <row r="11" spans="1:110" ht="6" customHeight="1">
      <c r="A11" s="788"/>
      <c r="B11" s="1264"/>
      <c r="C11" s="1264"/>
      <c r="D11" s="1264"/>
      <c r="E11" s="1264"/>
      <c r="F11" s="1264"/>
      <c r="G11" s="1265"/>
      <c r="H11" s="1266"/>
      <c r="I11" s="1266"/>
      <c r="J11" s="1266"/>
      <c r="K11" s="1264"/>
      <c r="L11" s="1266"/>
      <c r="M11" s="1266"/>
      <c r="N11" s="1266"/>
      <c r="O11" s="1266"/>
      <c r="P11" s="1264"/>
      <c r="Q11" s="1266"/>
      <c r="R11" s="1266"/>
      <c r="S11" s="1266"/>
      <c r="T11" s="1267"/>
      <c r="U11" s="1264"/>
      <c r="V11" s="1266"/>
      <c r="W11" s="1266"/>
      <c r="X11" s="1266"/>
      <c r="Y11" s="1267"/>
      <c r="Z11" s="1264"/>
      <c r="AA11" s="1266"/>
      <c r="AB11" s="1266"/>
      <c r="AC11" s="1266"/>
      <c r="AD11" s="1267"/>
      <c r="AE11" s="1269"/>
      <c r="AF11" s="1266"/>
      <c r="AG11" s="1266"/>
      <c r="AH11" s="1266"/>
      <c r="AI11" s="1266"/>
      <c r="AJ11" s="1264"/>
      <c r="AK11" s="1266"/>
      <c r="AL11" s="1266"/>
      <c r="AM11" s="1266"/>
      <c r="AN11" s="1266"/>
      <c r="AO11" s="1264"/>
      <c r="AP11" s="1266"/>
      <c r="AQ11" s="1266"/>
      <c r="AR11" s="1266"/>
      <c r="AS11" s="1266"/>
      <c r="AT11" s="1264"/>
      <c r="AU11" s="1266"/>
      <c r="AV11" s="1266"/>
      <c r="AW11" s="1266"/>
      <c r="AX11" s="1266"/>
      <c r="AY11" s="1264"/>
      <c r="AZ11" s="1266"/>
      <c r="BA11" s="1266"/>
      <c r="BB11" s="1266"/>
      <c r="BC11" s="1266"/>
      <c r="BD11" s="1264"/>
      <c r="BE11" s="1266"/>
      <c r="BF11" s="1266"/>
      <c r="BG11" s="1266"/>
      <c r="BH11" s="1266"/>
      <c r="BI11" s="1423"/>
      <c r="BJ11" s="1266"/>
      <c r="BK11" s="1266"/>
      <c r="BL11" s="1266"/>
      <c r="BM11" s="1266"/>
      <c r="BN11" s="1264"/>
      <c r="BO11" s="1266"/>
      <c r="BP11" s="1266"/>
      <c r="BQ11" s="1266"/>
      <c r="BR11" s="1266"/>
      <c r="BS11" s="1264"/>
      <c r="BT11" s="1266"/>
      <c r="BU11" s="1266"/>
      <c r="BV11" s="1266"/>
      <c r="BW11" s="1266"/>
      <c r="BX11" s="1264"/>
      <c r="BY11" s="1272"/>
      <c r="BZ11" s="1272"/>
      <c r="CA11" s="1272"/>
      <c r="CF11" s="1421"/>
      <c r="CG11" s="1422"/>
      <c r="CH11" s="1423"/>
      <c r="CI11" s="1423"/>
      <c r="CJ11" s="1423"/>
      <c r="CK11" s="1423"/>
      <c r="CL11" s="1423"/>
      <c r="CM11" s="1424"/>
      <c r="CN11" s="1424"/>
      <c r="CO11" s="1424"/>
      <c r="CP11" s="1424"/>
      <c r="CQ11" s="1423"/>
      <c r="CR11" s="1423"/>
      <c r="CS11" s="1423"/>
      <c r="CT11" s="1423"/>
      <c r="CU11" s="1423"/>
      <c r="CV11" s="1425"/>
      <c r="CW11" s="1423"/>
      <c r="CX11" s="1423"/>
      <c r="CY11" s="1423"/>
      <c r="CZ11" s="1422"/>
      <c r="DA11" s="1422"/>
      <c r="DB11" s="1422"/>
    </row>
    <row r="12" spans="1:110" s="1428" customFormat="1" ht="12" customHeight="1">
      <c r="A12" s="1428" t="s">
        <v>287</v>
      </c>
      <c r="B12" s="2012">
        <v>1398</v>
      </c>
      <c r="C12" s="2012">
        <v>1555</v>
      </c>
      <c r="D12" s="2012">
        <v>1768</v>
      </c>
      <c r="E12" s="2012">
        <v>2055</v>
      </c>
      <c r="F12" s="2012">
        <v>2401</v>
      </c>
      <c r="G12" s="1319" t="s">
        <v>249</v>
      </c>
      <c r="H12" s="1319" t="s">
        <v>249</v>
      </c>
      <c r="I12" s="1319" t="s">
        <v>249</v>
      </c>
      <c r="J12" s="1319" t="s">
        <v>249</v>
      </c>
      <c r="K12" s="2012">
        <v>1950</v>
      </c>
      <c r="L12" s="1319" t="s">
        <v>249</v>
      </c>
      <c r="M12" s="1319" t="s">
        <v>249</v>
      </c>
      <c r="N12" s="1319" t="s">
        <v>249</v>
      </c>
      <c r="O12" s="1319" t="s">
        <v>249</v>
      </c>
      <c r="P12" s="2012">
        <v>2138</v>
      </c>
      <c r="Q12" s="1319" t="s">
        <v>249</v>
      </c>
      <c r="R12" s="1319" t="s">
        <v>249</v>
      </c>
      <c r="S12" s="1319" t="s">
        <v>249</v>
      </c>
      <c r="T12" s="1319" t="s">
        <v>249</v>
      </c>
      <c r="U12" s="2012">
        <v>1583</v>
      </c>
      <c r="V12" s="2013">
        <v>342.1</v>
      </c>
      <c r="W12" s="2013">
        <v>403.7</v>
      </c>
      <c r="X12" s="2013">
        <v>375.6</v>
      </c>
      <c r="Y12" s="2014">
        <v>415.9</v>
      </c>
      <c r="Z12" s="2012">
        <v>1537.3</v>
      </c>
      <c r="AA12" s="2014">
        <v>401</v>
      </c>
      <c r="AB12" s="2014">
        <v>405</v>
      </c>
      <c r="AC12" s="2014">
        <v>417</v>
      </c>
      <c r="AD12" s="2014">
        <v>472</v>
      </c>
      <c r="AE12" s="804">
        <f>SUM(AA12:AD12)</f>
        <v>1695</v>
      </c>
      <c r="AF12" s="2014">
        <v>443</v>
      </c>
      <c r="AG12" s="2014">
        <v>480</v>
      </c>
      <c r="AH12" s="2014">
        <v>410</v>
      </c>
      <c r="AI12" s="2014">
        <v>434</v>
      </c>
      <c r="AJ12" s="804">
        <f>SUM(AF12:AI12)</f>
        <v>1767</v>
      </c>
      <c r="AK12" s="2014">
        <v>466</v>
      </c>
      <c r="AL12" s="2015">
        <v>483</v>
      </c>
      <c r="AM12" s="2015">
        <v>502</v>
      </c>
      <c r="AN12" s="2014">
        <v>584</v>
      </c>
      <c r="AO12" s="804">
        <f>SUM(AK12:AN12)</f>
        <v>2035</v>
      </c>
      <c r="AP12" s="2014">
        <v>561</v>
      </c>
      <c r="AQ12" s="2015">
        <v>599</v>
      </c>
      <c r="AR12" s="2015">
        <v>540</v>
      </c>
      <c r="AS12" s="2014">
        <v>574</v>
      </c>
      <c r="AT12" s="804">
        <f>SUM(AP12:AS12)</f>
        <v>2274</v>
      </c>
      <c r="AU12" s="2014">
        <v>569</v>
      </c>
      <c r="AV12" s="2015">
        <v>664</v>
      </c>
      <c r="AW12" s="2013">
        <v>604</v>
      </c>
      <c r="AX12" s="2013">
        <v>618</v>
      </c>
      <c r="AY12" s="804">
        <f>SUM(AU12:AX12)</f>
        <v>2455</v>
      </c>
      <c r="AZ12" s="2016">
        <v>606</v>
      </c>
      <c r="BA12" s="2013">
        <v>658</v>
      </c>
      <c r="BB12" s="2013">
        <v>587</v>
      </c>
      <c r="BC12" s="2016">
        <f>2428-SUM(AZ12:BB12)</f>
        <v>577</v>
      </c>
      <c r="BD12" s="804">
        <f>SUM(AZ12:BC12)</f>
        <v>2428</v>
      </c>
      <c r="BE12" s="2017">
        <v>552</v>
      </c>
      <c r="BF12" s="2017">
        <v>682</v>
      </c>
      <c r="BG12" s="2017">
        <v>642</v>
      </c>
      <c r="BH12" s="2017">
        <v>658</v>
      </c>
      <c r="BI12" s="804">
        <f>+SUM(BE12:BH12)</f>
        <v>2534</v>
      </c>
      <c r="BJ12" s="2017">
        <v>714</v>
      </c>
      <c r="BK12" s="2013">
        <v>747</v>
      </c>
      <c r="BL12" s="2158">
        <v>739</v>
      </c>
      <c r="BM12" s="2158">
        <v>789</v>
      </c>
      <c r="BN12" s="804">
        <f>+SUM(BJ12:BM12)</f>
        <v>2989</v>
      </c>
      <c r="BO12" s="2158">
        <v>748</v>
      </c>
      <c r="BP12" s="2060">
        <f>BP172</f>
        <v>808.39290742815092</v>
      </c>
      <c r="BQ12" s="2060">
        <f>BQ172</f>
        <v>782.73288123985253</v>
      </c>
      <c r="BR12" s="2060">
        <f>BR172</f>
        <v>802.24752820075207</v>
      </c>
      <c r="BS12" s="804">
        <f>+SUM(BO12:BR12)</f>
        <v>3141.3733168687554</v>
      </c>
      <c r="BT12" s="2060">
        <f>BT172</f>
        <v>781.50286936219618</v>
      </c>
      <c r="BU12" s="2060">
        <f>BU172</f>
        <v>846.21615123603613</v>
      </c>
      <c r="BV12" s="2060">
        <f>BV172</f>
        <v>818.56092347643994</v>
      </c>
      <c r="BW12" s="2060">
        <f>BW172</f>
        <v>838.67884925499334</v>
      </c>
      <c r="BX12" s="804">
        <f>+SUM(BT12:BW12)</f>
        <v>3284.9587933296652</v>
      </c>
      <c r="BY12" s="2061">
        <f>BY172</f>
        <v>3418.6627739168125</v>
      </c>
      <c r="BZ12" s="2061">
        <f>BZ172</f>
        <v>3560.0613933391887</v>
      </c>
      <c r="CA12" s="2061">
        <f>CA172</f>
        <v>3694.692329926907</v>
      </c>
      <c r="CB12" s="1432">
        <f>(CA12/BN12)^(1/5)-1</f>
        <v>4.3303039883567651E-2</v>
      </c>
      <c r="CC12" s="1433"/>
      <c r="CF12" s="798" t="str">
        <f t="shared" ref="CF12:CK12" si="1">+A12</f>
        <v>S&amp;P Ratings Services</v>
      </c>
      <c r="CG12" s="805">
        <f t="shared" si="1"/>
        <v>1398</v>
      </c>
      <c r="CH12" s="798">
        <f t="shared" si="1"/>
        <v>1555</v>
      </c>
      <c r="CI12" s="798">
        <f t="shared" si="1"/>
        <v>1768</v>
      </c>
      <c r="CJ12" s="798">
        <f t="shared" si="1"/>
        <v>2055</v>
      </c>
      <c r="CK12" s="798">
        <f t="shared" si="1"/>
        <v>2401</v>
      </c>
      <c r="CL12" s="798">
        <f>+K12</f>
        <v>1950</v>
      </c>
      <c r="CM12" s="804">
        <f>+P12</f>
        <v>2138</v>
      </c>
      <c r="CN12" s="804">
        <f>+U12</f>
        <v>1583</v>
      </c>
      <c r="CO12" s="804">
        <f>+Z12</f>
        <v>1537.3</v>
      </c>
      <c r="CP12" s="804">
        <f>+AE12</f>
        <v>1695</v>
      </c>
      <c r="CQ12" s="804">
        <f>+AJ12</f>
        <v>1767</v>
      </c>
      <c r="CR12" s="804">
        <f>+AO12</f>
        <v>2035</v>
      </c>
      <c r="CS12" s="804">
        <f>+AT12</f>
        <v>2274</v>
      </c>
      <c r="CT12" s="804">
        <f>+AY12</f>
        <v>2455</v>
      </c>
      <c r="CU12" s="804">
        <f>+BD12</f>
        <v>2428</v>
      </c>
      <c r="CV12" s="1434">
        <f t="shared" ref="CV12:CV25" si="2">+BI12</f>
        <v>2534</v>
      </c>
      <c r="CW12" s="798">
        <f t="shared" ref="CW12:CW25" si="3">+BN12</f>
        <v>2989</v>
      </c>
      <c r="CX12" s="798">
        <f t="shared" ref="CX12:CX25" si="4">+BS12</f>
        <v>3141.3733168687554</v>
      </c>
      <c r="CY12" s="798">
        <f t="shared" ref="CY12:CY25" si="5">+BX12</f>
        <v>3284.9587933296652</v>
      </c>
      <c r="CZ12" s="805">
        <f t="shared" ref="CZ12:CZ25" si="6">+BY12</f>
        <v>3418.6627739168125</v>
      </c>
      <c r="DA12" s="805">
        <f t="shared" ref="DA12:DB25" si="7">+BZ12</f>
        <v>3560.0613933391887</v>
      </c>
      <c r="DB12" s="805">
        <f t="shared" si="7"/>
        <v>3694.692329926907</v>
      </c>
    </row>
    <row r="13" spans="1:110" s="1437" customFormat="1">
      <c r="A13" s="1435" t="s">
        <v>288</v>
      </c>
      <c r="B13" s="1436"/>
      <c r="C13" s="1436"/>
      <c r="D13" s="1436"/>
      <c r="E13" s="1436"/>
      <c r="F13" s="1436"/>
      <c r="G13" s="1319"/>
      <c r="H13" s="1319"/>
      <c r="I13" s="1319"/>
      <c r="J13" s="1319"/>
      <c r="K13" s="1332">
        <f>K12/F12-1</f>
        <v>-0.18783840066638902</v>
      </c>
      <c r="L13" s="1319"/>
      <c r="M13" s="1319"/>
      <c r="N13" s="1319"/>
      <c r="O13" s="1319"/>
      <c r="P13" s="1332">
        <f>P12/K12-1</f>
        <v>9.6410256410256467E-2</v>
      </c>
      <c r="Q13" s="1319"/>
      <c r="R13" s="1319"/>
      <c r="S13" s="1319"/>
      <c r="T13" s="1319"/>
      <c r="U13" s="1332">
        <f>U12/P12-1</f>
        <v>-0.25958840037418152</v>
      </c>
      <c r="V13" s="1319"/>
      <c r="W13" s="1319"/>
      <c r="X13" s="1319"/>
      <c r="Y13" s="1278"/>
      <c r="Z13" s="1332">
        <f>Z12/U12-1</f>
        <v>-2.8869235628553369E-2</v>
      </c>
      <c r="AA13" s="1331">
        <f t="shared" ref="AA13:BS13" si="8">AA12/V12-1</f>
        <v>0.17217187956737789</v>
      </c>
      <c r="AB13" s="1331">
        <f t="shared" si="8"/>
        <v>3.2202130294773923E-3</v>
      </c>
      <c r="AC13" s="1331">
        <f t="shared" si="8"/>
        <v>0.11022364217252378</v>
      </c>
      <c r="AD13" s="1331">
        <f t="shared" si="8"/>
        <v>0.13488819427747067</v>
      </c>
      <c r="AE13" s="1332">
        <f t="shared" si="8"/>
        <v>0.10258244974956088</v>
      </c>
      <c r="AF13" s="1331">
        <f t="shared" si="8"/>
        <v>0.10473815461346625</v>
      </c>
      <c r="AG13" s="1331">
        <f t="shared" si="8"/>
        <v>0.18518518518518512</v>
      </c>
      <c r="AH13" s="1331">
        <f t="shared" si="8"/>
        <v>-1.6786570743405282E-2</v>
      </c>
      <c r="AI13" s="1331">
        <f t="shared" si="8"/>
        <v>-8.0508474576271194E-2</v>
      </c>
      <c r="AJ13" s="1332">
        <f t="shared" si="8"/>
        <v>4.2477876106194801E-2</v>
      </c>
      <c r="AK13" s="1331">
        <f t="shared" si="8"/>
        <v>5.1918735891647749E-2</v>
      </c>
      <c r="AL13" s="1331">
        <f t="shared" si="8"/>
        <v>6.2500000000000888E-3</v>
      </c>
      <c r="AM13" s="1331">
        <f t="shared" si="8"/>
        <v>0.224390243902439</v>
      </c>
      <c r="AN13" s="1331">
        <f t="shared" si="8"/>
        <v>0.34562211981566815</v>
      </c>
      <c r="AO13" s="1332">
        <f t="shared" si="8"/>
        <v>0.15166949632144888</v>
      </c>
      <c r="AP13" s="1331">
        <f t="shared" si="8"/>
        <v>0.20386266094420602</v>
      </c>
      <c r="AQ13" s="1331">
        <f t="shared" si="8"/>
        <v>0.24016563146997938</v>
      </c>
      <c r="AR13" s="1331">
        <f t="shared" si="8"/>
        <v>7.5697211155378419E-2</v>
      </c>
      <c r="AS13" s="1331">
        <f t="shared" si="8"/>
        <v>-1.7123287671232834E-2</v>
      </c>
      <c r="AT13" s="1332">
        <f t="shared" si="8"/>
        <v>0.11744471744471752</v>
      </c>
      <c r="AU13" s="1331">
        <f t="shared" si="8"/>
        <v>1.426024955436711E-2</v>
      </c>
      <c r="AV13" s="1331">
        <f t="shared" si="8"/>
        <v>0.10851419031719534</v>
      </c>
      <c r="AW13" s="1331">
        <f t="shared" si="8"/>
        <v>0.11851851851851847</v>
      </c>
      <c r="AX13" s="1331">
        <f t="shared" si="8"/>
        <v>7.6655052264808399E-2</v>
      </c>
      <c r="AY13" s="1332">
        <f t="shared" si="8"/>
        <v>7.9595426561125837E-2</v>
      </c>
      <c r="AZ13" s="1331">
        <f t="shared" si="8"/>
        <v>6.5026362038664409E-2</v>
      </c>
      <c r="BA13" s="1331">
        <f t="shared" si="8"/>
        <v>-9.0361445783132543E-3</v>
      </c>
      <c r="BB13" s="1331">
        <f t="shared" si="8"/>
        <v>-2.8145695364238388E-2</v>
      </c>
      <c r="BC13" s="1331">
        <f t="shared" si="8"/>
        <v>-6.6343042071197456E-2</v>
      </c>
      <c r="BD13" s="1332">
        <f t="shared" si="8"/>
        <v>-1.0997963340122152E-2</v>
      </c>
      <c r="BE13" s="1331">
        <f t="shared" si="8"/>
        <v>-8.9108910891089077E-2</v>
      </c>
      <c r="BF13" s="1331">
        <f t="shared" si="8"/>
        <v>3.6474164133738496E-2</v>
      </c>
      <c r="BG13" s="1331">
        <f t="shared" si="8"/>
        <v>9.3696763202725686E-2</v>
      </c>
      <c r="BH13" s="1331">
        <f t="shared" si="8"/>
        <v>0.14038128249566717</v>
      </c>
      <c r="BI13" s="1332">
        <f t="shared" si="8"/>
        <v>4.3657331136738087E-2</v>
      </c>
      <c r="BJ13" s="1331">
        <f t="shared" si="8"/>
        <v>0.29347826086956519</v>
      </c>
      <c r="BK13" s="1331">
        <f t="shared" si="8"/>
        <v>9.5307917888562965E-2</v>
      </c>
      <c r="BL13" s="1331">
        <f t="shared" si="8"/>
        <v>0.15109034267912769</v>
      </c>
      <c r="BM13" s="1331">
        <f t="shared" si="8"/>
        <v>0.19908814589665647</v>
      </c>
      <c r="BN13" s="1332">
        <f t="shared" si="8"/>
        <v>0.17955801104972369</v>
      </c>
      <c r="BO13" s="1331">
        <f t="shared" si="8"/>
        <v>4.7619047619047672E-2</v>
      </c>
      <c r="BP13" s="1331">
        <f t="shared" si="8"/>
        <v>8.2185953719077443E-2</v>
      </c>
      <c r="BQ13" s="1331">
        <f t="shared" si="8"/>
        <v>5.9178459052574572E-2</v>
      </c>
      <c r="BR13" s="1331">
        <f t="shared" si="8"/>
        <v>1.6790276553551475E-2</v>
      </c>
      <c r="BS13" s="1332">
        <f t="shared" si="8"/>
        <v>5.0978025048094899E-2</v>
      </c>
      <c r="BT13" s="1331">
        <f t="shared" ref="BT13" si="9">BT12/BO12-1</f>
        <v>4.4789932302401247E-2</v>
      </c>
      <c r="BU13" s="1331">
        <f t="shared" ref="BU13" si="10">BU12/BP12-1</f>
        <v>4.6788193538482847E-2</v>
      </c>
      <c r="BV13" s="1331">
        <f t="shared" ref="BV13" si="11">BV12/BQ12-1</f>
        <v>4.5773012856998641E-2</v>
      </c>
      <c r="BW13" s="1331">
        <f t="shared" ref="BW13" si="12">BW12/BR12-1</f>
        <v>4.5411571583084731E-2</v>
      </c>
      <c r="BX13" s="1332">
        <f t="shared" ref="BX13" si="13">BX12/BS12-1</f>
        <v>4.5707867858262752E-2</v>
      </c>
      <c r="BY13" s="1333">
        <f>BY12/BX12-1</f>
        <v>4.0701874513203062E-2</v>
      </c>
      <c r="BZ13" s="1333">
        <f>BZ12/BY12-1</f>
        <v>4.1360797707570729E-2</v>
      </c>
      <c r="CA13" s="1333">
        <f>CA12/BZ12-1</f>
        <v>3.7817026650048824E-2</v>
      </c>
      <c r="CF13" s="1438" t="str">
        <f t="shared" ref="CF13:CF25" si="14">+A13</f>
        <v>y/y change</v>
      </c>
      <c r="CL13" s="1332">
        <f>+K13</f>
        <v>-0.18783840066638902</v>
      </c>
      <c r="CM13" s="1332">
        <f>+P13</f>
        <v>9.6410256410256467E-2</v>
      </c>
      <c r="CN13" s="1332">
        <f>+U13</f>
        <v>-0.25958840037418152</v>
      </c>
      <c r="CO13" s="1332">
        <f>+Z13</f>
        <v>-2.8869235628553369E-2</v>
      </c>
      <c r="CP13" s="1332">
        <f>+AE13</f>
        <v>0.10258244974956088</v>
      </c>
      <c r="CQ13" s="1332">
        <f>+AJ13</f>
        <v>4.2477876106194801E-2</v>
      </c>
      <c r="CR13" s="1332">
        <f>+AO13</f>
        <v>0.15166949632144888</v>
      </c>
      <c r="CS13" s="1332">
        <f>+AT13</f>
        <v>0.11744471744471752</v>
      </c>
      <c r="CT13" s="1332">
        <f>+AY13</f>
        <v>7.9595426561125837E-2</v>
      </c>
      <c r="CU13" s="1332">
        <f>+BD13</f>
        <v>-1.0997963340122152E-2</v>
      </c>
      <c r="CV13" s="1439">
        <f t="shared" si="2"/>
        <v>4.3657331136738087E-2</v>
      </c>
      <c r="CW13" s="1332">
        <f t="shared" si="3"/>
        <v>0.17955801104972369</v>
      </c>
      <c r="CX13" s="1332">
        <f t="shared" si="4"/>
        <v>5.0978025048094899E-2</v>
      </c>
      <c r="CY13" s="1332">
        <f t="shared" si="5"/>
        <v>4.5707867858262752E-2</v>
      </c>
      <c r="CZ13" s="1333">
        <f t="shared" si="6"/>
        <v>4.0701874513203062E-2</v>
      </c>
      <c r="DA13" s="1333">
        <f t="shared" si="7"/>
        <v>4.1360797707570729E-2</v>
      </c>
      <c r="DB13" s="1333">
        <f t="shared" si="7"/>
        <v>3.7817026650048824E-2</v>
      </c>
    </row>
    <row r="14" spans="1:110" s="1428" customFormat="1" ht="12" customHeight="1">
      <c r="A14" s="1428" t="s">
        <v>290</v>
      </c>
      <c r="B14" s="2012"/>
      <c r="C14" s="2012"/>
      <c r="D14" s="2012"/>
      <c r="E14" s="2012"/>
      <c r="F14" s="2012"/>
      <c r="G14" s="2077" t="s">
        <v>249</v>
      </c>
      <c r="H14" s="2077" t="s">
        <v>249</v>
      </c>
      <c r="I14" s="2077" t="s">
        <v>249</v>
      </c>
      <c r="J14" s="2077" t="s">
        <v>249</v>
      </c>
      <c r="K14" s="2079" t="s">
        <v>249</v>
      </c>
      <c r="L14" s="2077" t="s">
        <v>249</v>
      </c>
      <c r="M14" s="2077" t="s">
        <v>249</v>
      </c>
      <c r="N14" s="2077" t="s">
        <v>249</v>
      </c>
      <c r="O14" s="2077" t="s">
        <v>249</v>
      </c>
      <c r="P14" s="2079" t="s">
        <v>249</v>
      </c>
      <c r="Q14" s="2077" t="s">
        <v>249</v>
      </c>
      <c r="R14" s="2077" t="s">
        <v>249</v>
      </c>
      <c r="S14" s="2077" t="s">
        <v>249</v>
      </c>
      <c r="T14" s="2077" t="s">
        <v>249</v>
      </c>
      <c r="U14" s="2079" t="s">
        <v>249</v>
      </c>
      <c r="V14" s="2080" t="s">
        <v>249</v>
      </c>
      <c r="W14" s="2080" t="s">
        <v>249</v>
      </c>
      <c r="X14" s="2080" t="s">
        <v>249</v>
      </c>
      <c r="Y14" s="2081" t="s">
        <v>249</v>
      </c>
      <c r="Z14" s="2079" t="s">
        <v>249</v>
      </c>
      <c r="AA14" s="2014">
        <v>63</v>
      </c>
      <c r="AB14" s="2014">
        <v>70</v>
      </c>
      <c r="AC14" s="2014">
        <v>67</v>
      </c>
      <c r="AD14" s="2014">
        <v>73</v>
      </c>
      <c r="AE14" s="804">
        <f>SUM(AA14:AD14)</f>
        <v>273</v>
      </c>
      <c r="AF14" s="2014">
        <v>76</v>
      </c>
      <c r="AG14" s="2014">
        <v>80</v>
      </c>
      <c r="AH14" s="2014">
        <v>87</v>
      </c>
      <c r="AI14" s="2014">
        <v>80</v>
      </c>
      <c r="AJ14" s="804">
        <f>SUM(AF14:AI14)</f>
        <v>323</v>
      </c>
      <c r="AK14" s="2014">
        <v>79</v>
      </c>
      <c r="AL14" s="2015">
        <v>89</v>
      </c>
      <c r="AM14" s="2015">
        <v>109</v>
      </c>
      <c r="AN14" s="2014">
        <v>110</v>
      </c>
      <c r="AO14" s="804">
        <f>SUM(AK14:AN14)</f>
        <v>387</v>
      </c>
      <c r="AP14" s="2014">
        <v>115</v>
      </c>
      <c r="AQ14" s="2015">
        <v>123</v>
      </c>
      <c r="AR14" s="2015">
        <v>124</v>
      </c>
      <c r="AS14" s="2014">
        <v>130</v>
      </c>
      <c r="AT14" s="804">
        <f>SUM(AP14:AS14)</f>
        <v>492</v>
      </c>
      <c r="AU14" s="2014">
        <v>137</v>
      </c>
      <c r="AV14" s="2015">
        <v>133</v>
      </c>
      <c r="AW14" s="2013">
        <v>143</v>
      </c>
      <c r="AX14" s="2013">
        <v>140</v>
      </c>
      <c r="AY14" s="804">
        <f>AY312</f>
        <v>553</v>
      </c>
      <c r="AZ14" s="2016">
        <v>143</v>
      </c>
      <c r="BA14" s="2013">
        <v>148</v>
      </c>
      <c r="BB14" s="2013">
        <v>156</v>
      </c>
      <c r="BC14" s="2016">
        <f>597-SUM(AZ14:BB14)</f>
        <v>150</v>
      </c>
      <c r="BD14" s="804">
        <f>SUM(AZ14:BC14)</f>
        <v>597</v>
      </c>
      <c r="BE14" s="2017">
        <v>151</v>
      </c>
      <c r="BF14" s="2017">
        <v>153</v>
      </c>
      <c r="BG14" s="2017">
        <v>164</v>
      </c>
      <c r="BH14" s="2017">
        <v>171</v>
      </c>
      <c r="BI14" s="804">
        <f>+SUM(BE14:BH14)</f>
        <v>639</v>
      </c>
      <c r="BJ14" s="2017">
        <v>171</v>
      </c>
      <c r="BK14" s="2013">
        <v>184</v>
      </c>
      <c r="BL14" s="2016">
        <v>187</v>
      </c>
      <c r="BM14" s="2158">
        <v>191</v>
      </c>
      <c r="BN14" s="804">
        <f>+SUM(BJ14:BM14)</f>
        <v>733</v>
      </c>
      <c r="BO14" s="2158">
        <v>214</v>
      </c>
      <c r="BP14" s="2060">
        <f>BP312</f>
        <v>209.75609053219392</v>
      </c>
      <c r="BQ14" s="2060">
        <f>BQ312</f>
        <v>210.08990114186633</v>
      </c>
      <c r="BR14" s="2060">
        <f>BR312</f>
        <v>215.5047204690743</v>
      </c>
      <c r="BS14" s="804">
        <f>+SUM(BO14:BR14)</f>
        <v>849.35071214313461</v>
      </c>
      <c r="BT14" s="2060">
        <f>BT312</f>
        <v>220.90981011345076</v>
      </c>
      <c r="BU14" s="2060">
        <f>BU312</f>
        <v>229.44725245457428</v>
      </c>
      <c r="BV14" s="2060">
        <f>BV312</f>
        <v>232.20420716331242</v>
      </c>
      <c r="BW14" s="2060">
        <f>BW312</f>
        <v>237.39682904620989</v>
      </c>
      <c r="BX14" s="804">
        <f>+SUM(BT14:BW14)</f>
        <v>919.95809877754732</v>
      </c>
      <c r="BY14" s="2061">
        <f>BY312</f>
        <v>991.54271816916435</v>
      </c>
      <c r="BZ14" s="2061">
        <f>BZ312</f>
        <v>1068.4571629598795</v>
      </c>
      <c r="CA14" s="2061">
        <f>CA312</f>
        <v>1144.7878656044563</v>
      </c>
      <c r="CB14" s="1432">
        <f>(CA14/BN14)^(1/5)-1</f>
        <v>9.3261888101897172E-2</v>
      </c>
      <c r="CC14" s="1433"/>
      <c r="CF14" s="798" t="str">
        <f t="shared" si="14"/>
        <v>S&amp;P Dow Jones Indices</v>
      </c>
      <c r="CG14" s="805"/>
      <c r="CH14" s="798"/>
      <c r="CI14" s="798"/>
      <c r="CJ14" s="798"/>
      <c r="CK14" s="798"/>
      <c r="CL14" s="798"/>
      <c r="CM14" s="804"/>
      <c r="CN14" s="804"/>
      <c r="CO14" s="804"/>
      <c r="CP14" s="804">
        <f>+AE14</f>
        <v>273</v>
      </c>
      <c r="CQ14" s="804">
        <f t="shared" ref="CQ14:CQ25" si="15">+AJ14</f>
        <v>323</v>
      </c>
      <c r="CR14" s="804">
        <f t="shared" ref="CR14:CR25" si="16">+AO14</f>
        <v>387</v>
      </c>
      <c r="CS14" s="804">
        <f t="shared" ref="CS14:CS25" si="17">+AT14</f>
        <v>492</v>
      </c>
      <c r="CT14" s="804">
        <f t="shared" ref="CT14:CT25" si="18">+AY14</f>
        <v>553</v>
      </c>
      <c r="CU14" s="804">
        <f t="shared" ref="CU14:CU25" si="19">+BD14</f>
        <v>597</v>
      </c>
      <c r="CV14" s="1434">
        <f t="shared" si="2"/>
        <v>639</v>
      </c>
      <c r="CW14" s="798">
        <f t="shared" si="3"/>
        <v>733</v>
      </c>
      <c r="CX14" s="798">
        <f t="shared" si="4"/>
        <v>849.35071214313461</v>
      </c>
      <c r="CY14" s="798">
        <f t="shared" si="5"/>
        <v>919.95809877754732</v>
      </c>
      <c r="CZ14" s="805">
        <f t="shared" si="6"/>
        <v>991.54271816916435</v>
      </c>
      <c r="DA14" s="805">
        <f t="shared" si="7"/>
        <v>1068.4571629598795</v>
      </c>
      <c r="DB14" s="805">
        <f t="shared" si="7"/>
        <v>1144.7878656044563</v>
      </c>
    </row>
    <row r="15" spans="1:110" s="1437" customFormat="1">
      <c r="A15" s="1435" t="s">
        <v>288</v>
      </c>
      <c r="B15" s="1436"/>
      <c r="C15" s="1436"/>
      <c r="D15" s="1436"/>
      <c r="E15" s="1436"/>
      <c r="F15" s="1436"/>
      <c r="G15" s="2077"/>
      <c r="H15" s="2077"/>
      <c r="I15" s="2077"/>
      <c r="J15" s="2078"/>
      <c r="K15" s="2078"/>
      <c r="L15" s="2077"/>
      <c r="M15" s="2077"/>
      <c r="N15" s="2077"/>
      <c r="O15" s="2078"/>
      <c r="P15" s="2078"/>
      <c r="Q15" s="2077"/>
      <c r="R15" s="2077"/>
      <c r="S15" s="2077"/>
      <c r="T15" s="2078"/>
      <c r="U15" s="2078"/>
      <c r="V15" s="2077"/>
      <c r="W15" s="2077"/>
      <c r="X15" s="2077"/>
      <c r="Y15" s="2078"/>
      <c r="Z15" s="2078"/>
      <c r="AA15" s="1331"/>
      <c r="AB15" s="1331"/>
      <c r="AC15" s="1331"/>
      <c r="AD15" s="1331"/>
      <c r="AE15" s="1332"/>
      <c r="AF15" s="1331">
        <f t="shared" ref="AF15:BS15" si="20">AF14/AA14-1</f>
        <v>0.20634920634920628</v>
      </c>
      <c r="AG15" s="1331">
        <f t="shared" si="20"/>
        <v>0.14285714285714279</v>
      </c>
      <c r="AH15" s="1331">
        <f t="shared" si="20"/>
        <v>0.29850746268656714</v>
      </c>
      <c r="AI15" s="1331">
        <f t="shared" si="20"/>
        <v>9.5890410958904049E-2</v>
      </c>
      <c r="AJ15" s="1332">
        <f t="shared" si="20"/>
        <v>0.18315018315018317</v>
      </c>
      <c r="AK15" s="1331">
        <f t="shared" si="20"/>
        <v>3.9473684210526327E-2</v>
      </c>
      <c r="AL15" s="1331">
        <f t="shared" si="20"/>
        <v>0.11250000000000004</v>
      </c>
      <c r="AM15" s="1331">
        <f t="shared" si="20"/>
        <v>0.25287356321839072</v>
      </c>
      <c r="AN15" s="1331">
        <f t="shared" si="20"/>
        <v>0.375</v>
      </c>
      <c r="AO15" s="1332">
        <f t="shared" si="20"/>
        <v>0.19814241486068118</v>
      </c>
      <c r="AP15" s="1331">
        <f t="shared" si="20"/>
        <v>0.45569620253164556</v>
      </c>
      <c r="AQ15" s="1331">
        <f t="shared" si="20"/>
        <v>0.3820224719101124</v>
      </c>
      <c r="AR15" s="1331">
        <f t="shared" si="20"/>
        <v>0.13761467889908263</v>
      </c>
      <c r="AS15" s="1331">
        <f t="shared" si="20"/>
        <v>0.18181818181818188</v>
      </c>
      <c r="AT15" s="1332">
        <f t="shared" si="20"/>
        <v>0.27131782945736438</v>
      </c>
      <c r="AU15" s="1331">
        <f t="shared" si="20"/>
        <v>0.19130434782608696</v>
      </c>
      <c r="AV15" s="1331">
        <f t="shared" si="20"/>
        <v>8.1300813008130079E-2</v>
      </c>
      <c r="AW15" s="1331">
        <f t="shared" si="20"/>
        <v>0.15322580645161299</v>
      </c>
      <c r="AX15" s="1331">
        <f t="shared" si="20"/>
        <v>7.6923076923076872E-2</v>
      </c>
      <c r="AY15" s="1332">
        <f t="shared" si="20"/>
        <v>0.12398373983739841</v>
      </c>
      <c r="AZ15" s="1331">
        <f t="shared" si="20"/>
        <v>4.3795620437956151E-2</v>
      </c>
      <c r="BA15" s="1331">
        <f t="shared" si="20"/>
        <v>0.11278195488721798</v>
      </c>
      <c r="BB15" s="1331">
        <f t="shared" si="20"/>
        <v>9.0909090909090828E-2</v>
      </c>
      <c r="BC15" s="1331">
        <f t="shared" si="20"/>
        <v>7.1428571428571397E-2</v>
      </c>
      <c r="BD15" s="1332">
        <f t="shared" si="20"/>
        <v>7.9566003616636571E-2</v>
      </c>
      <c r="BE15" s="1331">
        <f t="shared" si="20"/>
        <v>5.5944055944056048E-2</v>
      </c>
      <c r="BF15" s="1331">
        <f t="shared" si="20"/>
        <v>3.3783783783783772E-2</v>
      </c>
      <c r="BG15" s="1331">
        <f t="shared" si="20"/>
        <v>5.1282051282051322E-2</v>
      </c>
      <c r="BH15" s="1331">
        <f t="shared" si="20"/>
        <v>0.1399999999999999</v>
      </c>
      <c r="BI15" s="1332">
        <f t="shared" si="20"/>
        <v>7.0351758793969932E-2</v>
      </c>
      <c r="BJ15" s="1331">
        <f t="shared" si="20"/>
        <v>0.13245033112582782</v>
      </c>
      <c r="BK15" s="1331">
        <f t="shared" si="20"/>
        <v>0.20261437908496727</v>
      </c>
      <c r="BL15" s="1331">
        <f t="shared" si="20"/>
        <v>0.14024390243902429</v>
      </c>
      <c r="BM15" s="1331">
        <f t="shared" si="20"/>
        <v>0.11695906432748537</v>
      </c>
      <c r="BN15" s="1332">
        <f t="shared" si="20"/>
        <v>0.14710485133020335</v>
      </c>
      <c r="BO15" s="1331">
        <f t="shared" si="20"/>
        <v>0.25146198830409361</v>
      </c>
      <c r="BP15" s="1331">
        <f t="shared" si="20"/>
        <v>0.13997875289235817</v>
      </c>
      <c r="BQ15" s="1331">
        <f t="shared" si="20"/>
        <v>0.12347540717575578</v>
      </c>
      <c r="BR15" s="1331">
        <f t="shared" si="20"/>
        <v>0.12829696580667171</v>
      </c>
      <c r="BS15" s="1332">
        <f t="shared" si="20"/>
        <v>0.1587322130192832</v>
      </c>
      <c r="BT15" s="1331">
        <f t="shared" ref="BT15" si="21">BT14/BO14-1</f>
        <v>3.2288832305844783E-2</v>
      </c>
      <c r="BU15" s="1331">
        <f t="shared" ref="BU15" si="22">BU14/BP14-1</f>
        <v>9.3876472775688447E-2</v>
      </c>
      <c r="BV15" s="1331">
        <f t="shared" ref="BV15" si="23">BV14/BQ14-1</f>
        <v>0.10526115677741732</v>
      </c>
      <c r="BW15" s="1331">
        <f t="shared" ref="BW15" si="24">BW14/BR14-1</f>
        <v>0.1015852856006334</v>
      </c>
      <c r="BX15" s="1332">
        <f t="shared" ref="BX15" si="25">BX14/BS14-1</f>
        <v>8.3131014815130744E-2</v>
      </c>
      <c r="BY15" s="1333">
        <f>BY14/BX14-1</f>
        <v>7.7812912878031826E-2</v>
      </c>
      <c r="BZ15" s="1333">
        <f>BZ14/BY14-1</f>
        <v>7.757048020354973E-2</v>
      </c>
      <c r="CA15" s="1333">
        <f>CA14/BZ14-1</f>
        <v>7.1440115046936148E-2</v>
      </c>
      <c r="CF15" s="1438" t="str">
        <f t="shared" si="14"/>
        <v>y/y change</v>
      </c>
      <c r="CL15" s="1278"/>
      <c r="CM15" s="1332"/>
      <c r="CN15" s="1332"/>
      <c r="CO15" s="1332"/>
      <c r="CP15" s="1332"/>
      <c r="CQ15" s="1332">
        <f t="shared" si="15"/>
        <v>0.18315018315018317</v>
      </c>
      <c r="CR15" s="1332">
        <f t="shared" si="16"/>
        <v>0.19814241486068118</v>
      </c>
      <c r="CS15" s="1332">
        <f t="shared" si="17"/>
        <v>0.27131782945736438</v>
      </c>
      <c r="CT15" s="1332">
        <f t="shared" si="18"/>
        <v>0.12398373983739841</v>
      </c>
      <c r="CU15" s="1332">
        <f t="shared" si="19"/>
        <v>7.9566003616636571E-2</v>
      </c>
      <c r="CV15" s="1439">
        <f t="shared" si="2"/>
        <v>7.0351758793969932E-2</v>
      </c>
      <c r="CW15" s="1332">
        <f t="shared" si="3"/>
        <v>0.14710485133020335</v>
      </c>
      <c r="CX15" s="1332">
        <f t="shared" si="4"/>
        <v>0.1587322130192832</v>
      </c>
      <c r="CY15" s="1332">
        <f t="shared" si="5"/>
        <v>8.3131014815130744E-2</v>
      </c>
      <c r="CZ15" s="1333">
        <f t="shared" si="6"/>
        <v>7.7812912878031826E-2</v>
      </c>
      <c r="DA15" s="1333">
        <f t="shared" si="7"/>
        <v>7.757048020354973E-2</v>
      </c>
      <c r="DB15" s="1333">
        <f t="shared" si="7"/>
        <v>7.1440115046936148E-2</v>
      </c>
    </row>
    <row r="16" spans="1:110" s="1428" customFormat="1" ht="12" customHeight="1">
      <c r="A16" s="1428" t="s">
        <v>535</v>
      </c>
      <c r="B16" s="2012"/>
      <c r="C16" s="2012"/>
      <c r="D16" s="2012"/>
      <c r="E16" s="2012"/>
      <c r="F16" s="2012"/>
      <c r="G16" s="1319"/>
      <c r="H16" s="1319"/>
      <c r="I16" s="1319"/>
      <c r="J16" s="1319"/>
      <c r="K16" s="2012"/>
      <c r="L16" s="1319"/>
      <c r="M16" s="1319"/>
      <c r="N16" s="1319"/>
      <c r="O16" s="1319"/>
      <c r="P16" s="2012"/>
      <c r="Q16" s="1319"/>
      <c r="R16" s="1319"/>
      <c r="S16" s="1319"/>
      <c r="T16" s="1319"/>
      <c r="U16" s="2012"/>
      <c r="V16" s="2013"/>
      <c r="W16" s="2013"/>
      <c r="X16" s="2013"/>
      <c r="Y16" s="2014"/>
      <c r="Z16" s="2012"/>
      <c r="AA16" s="1429">
        <f>+AA18+AA21</f>
        <v>403</v>
      </c>
      <c r="AB16" s="1429">
        <f>+AB18+AB21</f>
        <v>423</v>
      </c>
      <c r="AC16" s="1429">
        <f>+AC18+AC21</f>
        <v>431</v>
      </c>
      <c r="AD16" s="1429">
        <f>+AD18+AD21</f>
        <v>470</v>
      </c>
      <c r="AE16" s="804">
        <f>+SUM(AA16:AD16)</f>
        <v>1727</v>
      </c>
      <c r="AF16" s="1429">
        <f>+AF18+AF21</f>
        <v>455</v>
      </c>
      <c r="AG16" s="1429">
        <f>+AG18+AG21</f>
        <v>475</v>
      </c>
      <c r="AH16" s="1429">
        <f>+AH18+AH21</f>
        <v>490</v>
      </c>
      <c r="AI16" s="1429">
        <f>+AI18+AI21</f>
        <v>507</v>
      </c>
      <c r="AJ16" s="804">
        <f>+SUM(AF16:AI16)</f>
        <v>1927</v>
      </c>
      <c r="AK16" s="1429">
        <f>+AK18+AK21</f>
        <v>507</v>
      </c>
      <c r="AL16" s="803">
        <f>+AL18+AL21</f>
        <v>517</v>
      </c>
      <c r="AM16" s="803">
        <f>+AM18+AM21</f>
        <v>523</v>
      </c>
      <c r="AN16" s="1429">
        <f>+AN18+AN21</f>
        <v>550</v>
      </c>
      <c r="AO16" s="804">
        <f>+SUM(AK16:AN16)</f>
        <v>2097</v>
      </c>
      <c r="AP16" s="1429">
        <f>+AP18+AP21</f>
        <v>524</v>
      </c>
      <c r="AQ16" s="803">
        <f>+AQ18+AQ21</f>
        <v>546</v>
      </c>
      <c r="AR16" s="803">
        <f>+AR18+AR21</f>
        <v>506</v>
      </c>
      <c r="AS16" s="1429">
        <f>+AS18+AS21</f>
        <v>521</v>
      </c>
      <c r="AT16" s="804">
        <f>+SUM(AP16:AS16)</f>
        <v>2097</v>
      </c>
      <c r="AU16" s="1429">
        <f>+AU18+AU21</f>
        <v>512</v>
      </c>
      <c r="AV16" s="803">
        <f>+AV18+AV21</f>
        <v>526</v>
      </c>
      <c r="AW16" s="1428">
        <f>+AW18+AW21</f>
        <v>538</v>
      </c>
      <c r="AX16" s="1428">
        <f>+AX18+AX21</f>
        <v>554</v>
      </c>
      <c r="AY16" s="804">
        <f>+SUM(AU16:AX16)</f>
        <v>2130</v>
      </c>
      <c r="AZ16" s="1430">
        <f>+AZ18+AZ21</f>
        <v>545</v>
      </c>
      <c r="BA16" s="1428">
        <f>+BA18+BA21</f>
        <v>558</v>
      </c>
      <c r="BB16" s="1428">
        <f>+BB18+BB21</f>
        <v>604</v>
      </c>
      <c r="BC16" s="1430">
        <f>+BC18+BC21</f>
        <v>669</v>
      </c>
      <c r="BD16" s="804">
        <f>+SUM(AZ16:BC16)</f>
        <v>2376</v>
      </c>
      <c r="BE16" s="1431">
        <f>+BE18+BE21</f>
        <v>661</v>
      </c>
      <c r="BF16" s="1431">
        <f>+BF18+BF21</f>
        <v>671</v>
      </c>
      <c r="BG16" s="1431">
        <f>+BG18+BG21</f>
        <v>658</v>
      </c>
      <c r="BH16" s="2017">
        <v>595</v>
      </c>
      <c r="BI16" s="804">
        <f>+SUM(BE16:BH16)</f>
        <v>2585</v>
      </c>
      <c r="BJ16" s="2017">
        <v>593</v>
      </c>
      <c r="BK16" s="2013">
        <v>606</v>
      </c>
      <c r="BL16" s="2158">
        <v>615</v>
      </c>
      <c r="BM16" s="2158">
        <v>637</v>
      </c>
      <c r="BN16" s="804">
        <f>+SUM(BJ16:BM16)</f>
        <v>2451</v>
      </c>
      <c r="BO16" s="2158">
        <f>BO18+BO21</f>
        <v>633</v>
      </c>
      <c r="BP16" s="1428">
        <f>+BP18+BP21</f>
        <v>650.23322685703772</v>
      </c>
      <c r="BQ16" s="1428">
        <f>+BQ18+BQ21</f>
        <v>658.50665577282234</v>
      </c>
      <c r="BR16" s="1428">
        <f>+BR18+BR21</f>
        <v>681.38598439759085</v>
      </c>
      <c r="BS16" s="804">
        <f>+SUM(BO16:BR16)</f>
        <v>2623.125867027451</v>
      </c>
      <c r="BT16" s="1428">
        <f>+BT18+BT21</f>
        <v>672.01906652728701</v>
      </c>
      <c r="BU16" s="1428">
        <f>+BU18+BU21</f>
        <v>689.7015527370304</v>
      </c>
      <c r="BV16" s="1428">
        <f>+BV18+BV21</f>
        <v>698.52262167691993</v>
      </c>
      <c r="BW16" s="1428">
        <f>+BW18+BW21</f>
        <v>722.87750330542224</v>
      </c>
      <c r="BX16" s="804">
        <f>+SUM(BT16:BW16)</f>
        <v>2783.1207442466598</v>
      </c>
      <c r="BY16" s="805">
        <f>+BY18+BY21</f>
        <v>2933.3203089014596</v>
      </c>
      <c r="BZ16" s="805">
        <f>+BZ18+BZ21</f>
        <v>3091.860340235547</v>
      </c>
      <c r="CA16" s="805">
        <f>+CA18+CA21</f>
        <v>3237.3745799033245</v>
      </c>
      <c r="CB16" s="1432">
        <f>(CA16/BN16)^(1/5)-1</f>
        <v>5.7231095498421869E-2</v>
      </c>
      <c r="CC16" s="1433"/>
      <c r="CF16" s="798" t="str">
        <f>+A16</f>
        <v>Market and Commodities Intelligence</v>
      </c>
      <c r="CG16" s="805"/>
      <c r="CH16" s="798"/>
      <c r="CI16" s="798"/>
      <c r="CJ16" s="798"/>
      <c r="CK16" s="798"/>
      <c r="CL16" s="798"/>
      <c r="CM16" s="804"/>
      <c r="CN16" s="804"/>
      <c r="CO16" s="804"/>
      <c r="CP16" s="804">
        <f>+AE16</f>
        <v>1727</v>
      </c>
      <c r="CQ16" s="804">
        <f>+AJ16</f>
        <v>1927</v>
      </c>
      <c r="CR16" s="804">
        <f>+AO16</f>
        <v>2097</v>
      </c>
      <c r="CS16" s="804">
        <f>+AT16</f>
        <v>2097</v>
      </c>
      <c r="CT16" s="804">
        <f>+AY16</f>
        <v>2130</v>
      </c>
      <c r="CU16" s="804">
        <f>+BD16</f>
        <v>2376</v>
      </c>
      <c r="CV16" s="1434">
        <f>+BI16</f>
        <v>2585</v>
      </c>
      <c r="CW16" s="798">
        <f>+BN16</f>
        <v>2451</v>
      </c>
      <c r="CX16" s="798">
        <f>+BS16</f>
        <v>2623.125867027451</v>
      </c>
      <c r="CY16" s="798">
        <f t="shared" ref="CY16:DB17" si="26">+BX16</f>
        <v>2783.1207442466598</v>
      </c>
      <c r="CZ16" s="805">
        <f t="shared" si="26"/>
        <v>2933.3203089014596</v>
      </c>
      <c r="DA16" s="805">
        <f t="shared" si="26"/>
        <v>3091.860340235547</v>
      </c>
      <c r="DB16" s="805">
        <f t="shared" si="26"/>
        <v>3237.3745799033245</v>
      </c>
    </row>
    <row r="17" spans="1:106" s="1448" customFormat="1">
      <c r="A17" s="1443" t="s">
        <v>288</v>
      </c>
      <c r="B17" s="1444"/>
      <c r="C17" s="1444"/>
      <c r="D17" s="1444"/>
      <c r="E17" s="1444"/>
      <c r="F17" s="1444"/>
      <c r="G17" s="1327"/>
      <c r="H17" s="1327"/>
      <c r="I17" s="1327"/>
      <c r="J17" s="1327"/>
      <c r="K17" s="1445"/>
      <c r="L17" s="1327"/>
      <c r="M17" s="1327"/>
      <c r="N17" s="1327"/>
      <c r="O17" s="1327"/>
      <c r="P17" s="1445"/>
      <c r="Q17" s="1327"/>
      <c r="R17" s="1327"/>
      <c r="S17" s="1327"/>
      <c r="T17" s="1327"/>
      <c r="U17" s="1445"/>
      <c r="V17" s="1327"/>
      <c r="W17" s="1327"/>
      <c r="X17" s="1327"/>
      <c r="Y17" s="1446"/>
      <c r="Z17" s="1445"/>
      <c r="AA17" s="1447"/>
      <c r="AB17" s="1447"/>
      <c r="AC17" s="1447"/>
      <c r="AD17" s="1447"/>
      <c r="AE17" s="1445"/>
      <c r="AF17" s="1447">
        <f t="shared" ref="AF17:BD17" si="27">AF16/AA16-1</f>
        <v>0.12903225806451624</v>
      </c>
      <c r="AG17" s="1447">
        <f t="shared" si="27"/>
        <v>0.12293144208037821</v>
      </c>
      <c r="AH17" s="1447">
        <f t="shared" si="27"/>
        <v>0.13689095127610207</v>
      </c>
      <c r="AI17" s="1447">
        <f t="shared" si="27"/>
        <v>7.8723404255319096E-2</v>
      </c>
      <c r="AJ17" s="1445">
        <f t="shared" si="27"/>
        <v>0.11580775911986096</v>
      </c>
      <c r="AK17" s="1447">
        <f t="shared" si="27"/>
        <v>0.11428571428571432</v>
      </c>
      <c r="AL17" s="1447">
        <f t="shared" si="27"/>
        <v>8.8421052631578956E-2</v>
      </c>
      <c r="AM17" s="1447">
        <f t="shared" si="27"/>
        <v>6.7346938775510123E-2</v>
      </c>
      <c r="AN17" s="1447">
        <f t="shared" si="27"/>
        <v>8.4812623274161725E-2</v>
      </c>
      <c r="AO17" s="1445">
        <f t="shared" si="27"/>
        <v>8.822003113648158E-2</v>
      </c>
      <c r="AP17" s="1447">
        <f t="shared" si="27"/>
        <v>3.3530571992110403E-2</v>
      </c>
      <c r="AQ17" s="1447">
        <f t="shared" si="27"/>
        <v>5.6092843326885911E-2</v>
      </c>
      <c r="AR17" s="1447">
        <f t="shared" si="27"/>
        <v>-3.2504780114722798E-2</v>
      </c>
      <c r="AS17" s="1447">
        <f t="shared" si="27"/>
        <v>-5.2727272727272734E-2</v>
      </c>
      <c r="AT17" s="1445">
        <f t="shared" si="27"/>
        <v>0</v>
      </c>
      <c r="AU17" s="1447">
        <f t="shared" si="27"/>
        <v>-2.2900763358778664E-2</v>
      </c>
      <c r="AV17" s="1447">
        <f t="shared" si="27"/>
        <v>-3.6630036630036611E-2</v>
      </c>
      <c r="AW17" s="1447">
        <f t="shared" si="27"/>
        <v>6.3241106719367668E-2</v>
      </c>
      <c r="AX17" s="1447">
        <f t="shared" si="27"/>
        <v>6.3339731285988465E-2</v>
      </c>
      <c r="AY17" s="1445">
        <f t="shared" si="27"/>
        <v>1.5736766809728131E-2</v>
      </c>
      <c r="AZ17" s="1447">
        <f t="shared" si="27"/>
        <v>6.4453125E-2</v>
      </c>
      <c r="BA17" s="1447">
        <f t="shared" si="27"/>
        <v>6.083650190114076E-2</v>
      </c>
      <c r="BB17" s="1447">
        <f t="shared" si="27"/>
        <v>0.12267657992565062</v>
      </c>
      <c r="BC17" s="1447">
        <f t="shared" si="27"/>
        <v>0.20758122743682317</v>
      </c>
      <c r="BD17" s="1445">
        <f t="shared" si="27"/>
        <v>0.11549295774647894</v>
      </c>
      <c r="BE17" s="1447">
        <f t="shared" ref="BE17:BS17" si="28">BE16/AZ16-1</f>
        <v>0.21284403669724772</v>
      </c>
      <c r="BF17" s="1447">
        <f t="shared" si="28"/>
        <v>0.20250896057347667</v>
      </c>
      <c r="BG17" s="1447">
        <f t="shared" si="28"/>
        <v>8.9403973509933676E-2</v>
      </c>
      <c r="BH17" s="1447">
        <f t="shared" si="28"/>
        <v>-0.11061285500747386</v>
      </c>
      <c r="BI17" s="1445">
        <f t="shared" si="28"/>
        <v>8.7962962962963021E-2</v>
      </c>
      <c r="BJ17" s="1447">
        <f t="shared" si="28"/>
        <v>-0.10287443267776097</v>
      </c>
      <c r="BK17" s="1447">
        <f t="shared" si="28"/>
        <v>-9.6870342771982143E-2</v>
      </c>
      <c r="BL17" s="1447">
        <f t="shared" si="28"/>
        <v>-6.5349544072948351E-2</v>
      </c>
      <c r="BM17" s="1447">
        <f t="shared" si="28"/>
        <v>7.0588235294117618E-2</v>
      </c>
      <c r="BN17" s="1445">
        <f t="shared" si="28"/>
        <v>-5.1837524177949734E-2</v>
      </c>
      <c r="BO17" s="1447">
        <f t="shared" si="28"/>
        <v>6.7453625632377667E-2</v>
      </c>
      <c r="BP17" s="1447">
        <f t="shared" si="28"/>
        <v>7.2992123526464781E-2</v>
      </c>
      <c r="BQ17" s="1447">
        <f t="shared" si="28"/>
        <v>7.0742529711906199E-2</v>
      </c>
      <c r="BR17" s="1447">
        <f t="shared" si="28"/>
        <v>6.9679724329027914E-2</v>
      </c>
      <c r="BS17" s="1445">
        <f t="shared" si="28"/>
        <v>7.0226791932864518E-2</v>
      </c>
      <c r="BT17" s="1447">
        <f t="shared" ref="BT17" si="29">BT16/BO16-1</f>
        <v>6.1641495303770943E-2</v>
      </c>
      <c r="BU17" s="1447">
        <f t="shared" ref="BU17" si="30">BU16/BP16-1</f>
        <v>6.0698722012048512E-2</v>
      </c>
      <c r="BV17" s="1447">
        <f t="shared" ref="BV17" si="31">BV16/BQ16-1</f>
        <v>6.0767747073315226E-2</v>
      </c>
      <c r="BW17" s="1447">
        <f t="shared" ref="BW17" si="32">BW16/BR16-1</f>
        <v>6.0892827058240506E-2</v>
      </c>
      <c r="BX17" s="1445">
        <f t="shared" ref="BX17" si="33">BX16/BS16-1</f>
        <v>6.0993976396762184E-2</v>
      </c>
      <c r="BY17" s="1445">
        <f>BY16/BX16-1</f>
        <v>5.3968037486442633E-2</v>
      </c>
      <c r="BZ17" s="1445">
        <f>BZ16/BY16-1</f>
        <v>5.4047977935782088E-2</v>
      </c>
      <c r="CA17" s="1445">
        <f>CA16/BZ16-1</f>
        <v>4.7063652188342964E-2</v>
      </c>
      <c r="CF17" s="1438" t="str">
        <f>+A17</f>
        <v>y/y change</v>
      </c>
      <c r="CL17" s="1445"/>
      <c r="CM17" s="1445"/>
      <c r="CN17" s="1445"/>
      <c r="CO17" s="1445"/>
      <c r="CP17" s="1293"/>
      <c r="CQ17" s="1293"/>
      <c r="CR17" s="1293"/>
      <c r="CS17" s="1293"/>
      <c r="CT17" s="1293"/>
      <c r="CU17" s="1293"/>
      <c r="CV17" s="1294">
        <f>+BI17</f>
        <v>8.7962962962963021E-2</v>
      </c>
      <c r="CW17" s="1295">
        <f>+BN17</f>
        <v>-5.1837524177949734E-2</v>
      </c>
      <c r="CX17" s="1295">
        <f>+BS17</f>
        <v>7.0226791932864518E-2</v>
      </c>
      <c r="CY17" s="1295">
        <f t="shared" si="26"/>
        <v>6.0993976396762184E-2</v>
      </c>
      <c r="CZ17" s="1296">
        <f t="shared" si="26"/>
        <v>5.3968037486442633E-2</v>
      </c>
      <c r="DA17" s="1296">
        <f t="shared" si="26"/>
        <v>5.4047977935782088E-2</v>
      </c>
      <c r="DB17" s="1296">
        <f t="shared" si="26"/>
        <v>4.7063652188342964E-2</v>
      </c>
    </row>
    <row r="18" spans="1:106" s="1428" customFormat="1" ht="12" customHeight="1">
      <c r="A18" s="1428" t="s">
        <v>289</v>
      </c>
      <c r="B18" s="798"/>
      <c r="C18" s="798"/>
      <c r="D18" s="798"/>
      <c r="E18" s="798"/>
      <c r="F18" s="798"/>
      <c r="G18" s="2077" t="s">
        <v>249</v>
      </c>
      <c r="H18" s="2077" t="s">
        <v>249</v>
      </c>
      <c r="I18" s="2077" t="s">
        <v>249</v>
      </c>
      <c r="J18" s="2077" t="s">
        <v>249</v>
      </c>
      <c r="K18" s="2082" t="s">
        <v>249</v>
      </c>
      <c r="L18" s="2077" t="s">
        <v>249</v>
      </c>
      <c r="M18" s="2077" t="s">
        <v>249</v>
      </c>
      <c r="N18" s="2077" t="s">
        <v>249</v>
      </c>
      <c r="O18" s="2077" t="s">
        <v>249</v>
      </c>
      <c r="P18" s="2082" t="s">
        <v>249</v>
      </c>
      <c r="Q18" s="2077" t="s">
        <v>249</v>
      </c>
      <c r="R18" s="2077" t="s">
        <v>249</v>
      </c>
      <c r="S18" s="2077" t="s">
        <v>249</v>
      </c>
      <c r="T18" s="2077" t="s">
        <v>249</v>
      </c>
      <c r="U18" s="2082" t="s">
        <v>249</v>
      </c>
      <c r="V18" s="2083" t="s">
        <v>249</v>
      </c>
      <c r="W18" s="2083" t="s">
        <v>249</v>
      </c>
      <c r="X18" s="2083" t="s">
        <v>249</v>
      </c>
      <c r="Y18" s="2084" t="s">
        <v>249</v>
      </c>
      <c r="Z18" s="2082" t="s">
        <v>249</v>
      </c>
      <c r="AA18" s="2014">
        <v>216</v>
      </c>
      <c r="AB18" s="2014">
        <v>224</v>
      </c>
      <c r="AC18" s="2014">
        <v>227</v>
      </c>
      <c r="AD18" s="2014">
        <v>249</v>
      </c>
      <c r="AE18" s="804">
        <f>SUM(AA18:AD18)</f>
        <v>916</v>
      </c>
      <c r="AF18" s="2014">
        <v>248</v>
      </c>
      <c r="AG18" s="2014">
        <v>253</v>
      </c>
      <c r="AH18" s="2014">
        <v>262</v>
      </c>
      <c r="AI18" s="2014">
        <v>268</v>
      </c>
      <c r="AJ18" s="804">
        <f>SUM(AF18:AI18)</f>
        <v>1031</v>
      </c>
      <c r="AK18" s="2014">
        <v>274</v>
      </c>
      <c r="AL18" s="2015">
        <v>277</v>
      </c>
      <c r="AM18" s="2015">
        <v>284</v>
      </c>
      <c r="AN18" s="2014">
        <v>290</v>
      </c>
      <c r="AO18" s="804">
        <f>SUM(AK18:AN18)</f>
        <v>1125</v>
      </c>
      <c r="AP18" s="2014">
        <v>288</v>
      </c>
      <c r="AQ18" s="2015">
        <v>287</v>
      </c>
      <c r="AR18" s="2015">
        <v>293</v>
      </c>
      <c r="AS18" s="2014">
        <v>301</v>
      </c>
      <c r="AT18" s="804">
        <f>SUM(AP18:AS18)</f>
        <v>1169</v>
      </c>
      <c r="AU18" s="2014">
        <v>301</v>
      </c>
      <c r="AV18" s="2015">
        <v>307</v>
      </c>
      <c r="AW18" s="2013">
        <v>311</v>
      </c>
      <c r="AX18" s="2013">
        <v>318</v>
      </c>
      <c r="AY18" s="804">
        <f>SUM(AU18:AX18)</f>
        <v>1237</v>
      </c>
      <c r="AZ18" s="2016">
        <v>320</v>
      </c>
      <c r="BA18" s="2013">
        <v>324</v>
      </c>
      <c r="BB18" s="2013">
        <v>356</v>
      </c>
      <c r="BC18" s="2016">
        <f>1405-SUM(AZ18:BB18)</f>
        <v>405</v>
      </c>
      <c r="BD18" s="804">
        <f>SUM(AZ18:BC18)</f>
        <v>1405</v>
      </c>
      <c r="BE18" s="2017">
        <v>407</v>
      </c>
      <c r="BF18" s="2017">
        <v>416</v>
      </c>
      <c r="BG18" s="2017">
        <v>429</v>
      </c>
      <c r="BH18" s="2017">
        <v>407</v>
      </c>
      <c r="BI18" s="804">
        <f>+SUM(BE18:BH18)</f>
        <v>1659</v>
      </c>
      <c r="BJ18" s="2017">
        <v>402</v>
      </c>
      <c r="BK18" s="2013">
        <v>414</v>
      </c>
      <c r="BL18" s="2016">
        <v>422</v>
      </c>
      <c r="BM18" s="2158">
        <v>440</v>
      </c>
      <c r="BN18" s="804">
        <f>+SUM(BJ18:BM18)</f>
        <v>1678</v>
      </c>
      <c r="BO18" s="2247">
        <v>437</v>
      </c>
      <c r="BP18" s="1428">
        <f>BP245</f>
        <v>448.6332268570377</v>
      </c>
      <c r="BQ18" s="1428">
        <f>BQ245</f>
        <v>455.85665577282236</v>
      </c>
      <c r="BR18" s="1428">
        <f>BR245</f>
        <v>474.53598439759082</v>
      </c>
      <c r="BS18" s="804">
        <f>+SUM(BO18:BR18)</f>
        <v>1816.0258670274507</v>
      </c>
      <c r="BT18" s="1428">
        <f>BT245</f>
        <v>468.17906652728703</v>
      </c>
      <c r="BU18" s="1428">
        <f>BU245</f>
        <v>480.03755273703035</v>
      </c>
      <c r="BV18" s="1428">
        <f>BV245</f>
        <v>487.76662167691995</v>
      </c>
      <c r="BW18" s="1428">
        <f>BW245</f>
        <v>507.75350330542221</v>
      </c>
      <c r="BX18" s="804">
        <f>+SUM(BT18:BW18)</f>
        <v>1943.7367442466598</v>
      </c>
      <c r="BY18" s="805">
        <f>BY245</f>
        <v>2060.3609489014593</v>
      </c>
      <c r="BZ18" s="805">
        <f>BZ245</f>
        <v>2183.982605835547</v>
      </c>
      <c r="CA18" s="805">
        <f>CA245</f>
        <v>2293.1817361273243</v>
      </c>
      <c r="CB18" s="1432">
        <f>(BY18/BD18)^(1/5)-1</f>
        <v>7.9576437290078239E-2</v>
      </c>
      <c r="CC18" s="1449"/>
      <c r="CF18" s="798" t="str">
        <f t="shared" si="14"/>
        <v>Market Intelligence</v>
      </c>
      <c r="CG18" s="805"/>
      <c r="CH18" s="798"/>
      <c r="CI18" s="798"/>
      <c r="CJ18" s="798"/>
      <c r="CK18" s="798"/>
      <c r="CL18" s="798"/>
      <c r="CM18" s="804"/>
      <c r="CN18" s="804"/>
      <c r="CO18" s="804"/>
      <c r="CP18" s="804">
        <f>+AE18</f>
        <v>916</v>
      </c>
      <c r="CQ18" s="804">
        <f t="shared" si="15"/>
        <v>1031</v>
      </c>
      <c r="CR18" s="804">
        <f t="shared" si="16"/>
        <v>1125</v>
      </c>
      <c r="CS18" s="804">
        <f t="shared" si="17"/>
        <v>1169</v>
      </c>
      <c r="CT18" s="804">
        <f t="shared" si="18"/>
        <v>1237</v>
      </c>
      <c r="CU18" s="804">
        <f t="shared" si="19"/>
        <v>1405</v>
      </c>
      <c r="CV18" s="1434">
        <f t="shared" si="2"/>
        <v>1659</v>
      </c>
      <c r="CW18" s="798">
        <f t="shared" si="3"/>
        <v>1678</v>
      </c>
      <c r="CX18" s="798">
        <f t="shared" si="4"/>
        <v>1816.0258670274507</v>
      </c>
      <c r="CY18" s="798">
        <f t="shared" si="5"/>
        <v>1943.7367442466598</v>
      </c>
      <c r="CZ18" s="805">
        <f t="shared" si="6"/>
        <v>2060.3609489014593</v>
      </c>
      <c r="DA18" s="805">
        <f t="shared" si="7"/>
        <v>2183.982605835547</v>
      </c>
      <c r="DB18" s="805">
        <f t="shared" si="7"/>
        <v>2293.1817361273243</v>
      </c>
    </row>
    <row r="19" spans="1:106" s="1437" customFormat="1">
      <c r="A19" s="1435" t="s">
        <v>288</v>
      </c>
      <c r="B19" s="1436"/>
      <c r="C19" s="1436"/>
      <c r="D19" s="1436"/>
      <c r="E19" s="1436"/>
      <c r="F19" s="1436"/>
      <c r="G19" s="1319"/>
      <c r="H19" s="1319"/>
      <c r="I19" s="1319"/>
      <c r="J19" s="1278"/>
      <c r="K19" s="1278"/>
      <c r="L19" s="1319"/>
      <c r="M19" s="1319"/>
      <c r="N19" s="1319"/>
      <c r="O19" s="1278"/>
      <c r="P19" s="1278"/>
      <c r="Q19" s="1319"/>
      <c r="R19" s="1319"/>
      <c r="S19" s="1319"/>
      <c r="T19" s="1278"/>
      <c r="U19" s="1278"/>
      <c r="V19" s="1319"/>
      <c r="W19" s="1319"/>
      <c r="X19" s="1319"/>
      <c r="Y19" s="1278"/>
      <c r="Z19" s="1278"/>
      <c r="AA19" s="1331"/>
      <c r="AB19" s="1331"/>
      <c r="AC19" s="1331"/>
      <c r="AD19" s="1331"/>
      <c r="AE19" s="1332"/>
      <c r="AF19" s="1331">
        <f t="shared" ref="AF19:AL19" si="34">AF18/AA18-1</f>
        <v>0.14814814814814814</v>
      </c>
      <c r="AG19" s="1331">
        <f t="shared" si="34"/>
        <v>0.12946428571428581</v>
      </c>
      <c r="AH19" s="1331">
        <f t="shared" si="34"/>
        <v>0.15418502202643181</v>
      </c>
      <c r="AI19" s="1331">
        <f t="shared" si="34"/>
        <v>7.6305220883534197E-2</v>
      </c>
      <c r="AJ19" s="1332">
        <f t="shared" si="34"/>
        <v>0.12554585152838427</v>
      </c>
      <c r="AK19" s="1331">
        <f t="shared" si="34"/>
        <v>0.10483870967741926</v>
      </c>
      <c r="AL19" s="1331">
        <f t="shared" si="34"/>
        <v>9.486166007905128E-2</v>
      </c>
      <c r="AM19" s="1331">
        <f t="shared" ref="AM19:BS19" si="35">AM18/AH18-1</f>
        <v>8.3969465648854991E-2</v>
      </c>
      <c r="AN19" s="1331">
        <f t="shared" si="35"/>
        <v>8.2089552238805874E-2</v>
      </c>
      <c r="AO19" s="1332">
        <f t="shared" si="35"/>
        <v>9.1173617846750821E-2</v>
      </c>
      <c r="AP19" s="1331">
        <f t="shared" si="35"/>
        <v>5.1094890510948954E-2</v>
      </c>
      <c r="AQ19" s="1331">
        <f t="shared" si="35"/>
        <v>3.6101083032491044E-2</v>
      </c>
      <c r="AR19" s="1331">
        <f t="shared" si="35"/>
        <v>3.1690140845070491E-2</v>
      </c>
      <c r="AS19" s="1331">
        <f t="shared" si="35"/>
        <v>3.7931034482758585E-2</v>
      </c>
      <c r="AT19" s="1332">
        <f t="shared" si="35"/>
        <v>3.9111111111111097E-2</v>
      </c>
      <c r="AU19" s="1331">
        <f t="shared" si="35"/>
        <v>4.513888888888884E-2</v>
      </c>
      <c r="AV19" s="1331">
        <f t="shared" si="35"/>
        <v>6.9686411149825878E-2</v>
      </c>
      <c r="AW19" s="1331">
        <f t="shared" si="35"/>
        <v>6.1433447098976135E-2</v>
      </c>
      <c r="AX19" s="1331">
        <f t="shared" si="35"/>
        <v>5.6478405315614655E-2</v>
      </c>
      <c r="AY19" s="1332">
        <f t="shared" si="35"/>
        <v>5.8169375534645074E-2</v>
      </c>
      <c r="AZ19" s="1331">
        <f t="shared" si="35"/>
        <v>6.3122923588039948E-2</v>
      </c>
      <c r="BA19" s="1331">
        <f t="shared" si="35"/>
        <v>5.5374592833876246E-2</v>
      </c>
      <c r="BB19" s="1331">
        <f t="shared" si="35"/>
        <v>0.14469453376205799</v>
      </c>
      <c r="BC19" s="1331">
        <f t="shared" si="35"/>
        <v>0.27358490566037741</v>
      </c>
      <c r="BD19" s="1332">
        <f t="shared" si="35"/>
        <v>0.13581244947453519</v>
      </c>
      <c r="BE19" s="1331">
        <f t="shared" si="35"/>
        <v>0.27187500000000009</v>
      </c>
      <c r="BF19" s="1331">
        <f t="shared" si="35"/>
        <v>0.28395061728395055</v>
      </c>
      <c r="BG19" s="1331">
        <f t="shared" si="35"/>
        <v>0.20505617977528079</v>
      </c>
      <c r="BH19" s="1331">
        <f t="shared" si="35"/>
        <v>4.9382716049382047E-3</v>
      </c>
      <c r="BI19" s="1332">
        <f t="shared" si="35"/>
        <v>0.18078291814946623</v>
      </c>
      <c r="BJ19" s="1331">
        <f t="shared" si="35"/>
        <v>-1.2285012285012331E-2</v>
      </c>
      <c r="BK19" s="1331">
        <f t="shared" si="35"/>
        <v>-4.8076923076922906E-3</v>
      </c>
      <c r="BL19" s="1331">
        <f t="shared" si="35"/>
        <v>-1.631701631701632E-2</v>
      </c>
      <c r="BM19" s="1331">
        <f t="shared" si="35"/>
        <v>8.1081081081081141E-2</v>
      </c>
      <c r="BN19" s="1332">
        <f t="shared" si="35"/>
        <v>1.145268233875818E-2</v>
      </c>
      <c r="BO19" s="1331">
        <f t="shared" si="35"/>
        <v>8.7064676616915415E-2</v>
      </c>
      <c r="BP19" s="1331">
        <f t="shared" si="35"/>
        <v>8.3655137335839846E-2</v>
      </c>
      <c r="BQ19" s="1331">
        <f t="shared" si="35"/>
        <v>8.0229042115692817E-2</v>
      </c>
      <c r="BR19" s="1331">
        <f t="shared" si="35"/>
        <v>7.8490873630888247E-2</v>
      </c>
      <c r="BS19" s="1332">
        <f t="shared" si="35"/>
        <v>8.2256178204678676E-2</v>
      </c>
      <c r="BT19" s="1331">
        <f t="shared" ref="BT19" si="36">BT18/BO18-1</f>
        <v>7.1347978323311301E-2</v>
      </c>
      <c r="BU19" s="1331">
        <f t="shared" ref="BU19" si="37">BU18/BP18-1</f>
        <v>7.0000000000000062E-2</v>
      </c>
      <c r="BV19" s="1331">
        <f t="shared" ref="BV19" si="38">BV18/BQ18-1</f>
        <v>7.0000000000000062E-2</v>
      </c>
      <c r="BW19" s="1331">
        <f t="shared" ref="BW19" si="39">BW18/BR18-1</f>
        <v>7.0000000000000062E-2</v>
      </c>
      <c r="BX19" s="1332">
        <f t="shared" ref="BX19" si="40">BX18/BS18-1</f>
        <v>7.0324371220687354E-2</v>
      </c>
      <c r="BY19" s="1333">
        <f>BY18/BX18-1</f>
        <v>6.0000000000000053E-2</v>
      </c>
      <c r="BZ19" s="1333">
        <f>BZ18/BY18-1</f>
        <v>6.0000000000000053E-2</v>
      </c>
      <c r="CA19" s="1333">
        <f>CA18/BZ18-1</f>
        <v>5.0000000000000044E-2</v>
      </c>
      <c r="CF19" s="1438" t="str">
        <f t="shared" si="14"/>
        <v>y/y change</v>
      </c>
      <c r="CL19" s="1278"/>
      <c r="CM19" s="1332"/>
      <c r="CN19" s="1332"/>
      <c r="CO19" s="1332"/>
      <c r="CP19" s="1332"/>
      <c r="CQ19" s="1332">
        <f t="shared" si="15"/>
        <v>0.12554585152838427</v>
      </c>
      <c r="CR19" s="1332">
        <f t="shared" si="16"/>
        <v>9.1173617846750821E-2</v>
      </c>
      <c r="CS19" s="1332">
        <f t="shared" si="17"/>
        <v>3.9111111111111097E-2</v>
      </c>
      <c r="CT19" s="1332">
        <f t="shared" si="18"/>
        <v>5.8169375534645074E-2</v>
      </c>
      <c r="CU19" s="1332">
        <f t="shared" si="19"/>
        <v>0.13581244947453519</v>
      </c>
      <c r="CV19" s="1439">
        <f t="shared" si="2"/>
        <v>0.18078291814946623</v>
      </c>
      <c r="CW19" s="1332">
        <f t="shared" si="3"/>
        <v>1.145268233875818E-2</v>
      </c>
      <c r="CX19" s="1332">
        <f t="shared" si="4"/>
        <v>8.2256178204678676E-2</v>
      </c>
      <c r="CY19" s="1332">
        <f t="shared" si="5"/>
        <v>7.0324371220687354E-2</v>
      </c>
      <c r="CZ19" s="1333">
        <f t="shared" si="6"/>
        <v>6.0000000000000053E-2</v>
      </c>
      <c r="DA19" s="1333">
        <f t="shared" si="7"/>
        <v>6.0000000000000053E-2</v>
      </c>
      <c r="DB19" s="1333">
        <f t="shared" si="7"/>
        <v>5.0000000000000044E-2</v>
      </c>
    </row>
    <row r="20" spans="1:106" s="762" customFormat="1" ht="12" hidden="1" customHeight="1">
      <c r="A20" s="1450" t="s">
        <v>517</v>
      </c>
      <c r="B20" s="1292"/>
      <c r="C20" s="1292"/>
      <c r="D20" s="1292"/>
      <c r="E20" s="1292"/>
      <c r="F20" s="1292"/>
      <c r="G20" s="1338" t="s">
        <v>249</v>
      </c>
      <c r="H20" s="1338" t="s">
        <v>249</v>
      </c>
      <c r="I20" s="1338" t="s">
        <v>249</v>
      </c>
      <c r="J20" s="1339" t="s">
        <v>249</v>
      </c>
      <c r="K20" s="2076">
        <v>824</v>
      </c>
      <c r="L20" s="1338" t="s">
        <v>249</v>
      </c>
      <c r="M20" s="1338" t="s">
        <v>249</v>
      </c>
      <c r="N20" s="1338" t="s">
        <v>249</v>
      </c>
      <c r="O20" s="1339" t="s">
        <v>249</v>
      </c>
      <c r="P20" s="2072">
        <v>942</v>
      </c>
      <c r="Q20" s="1338" t="s">
        <v>249</v>
      </c>
      <c r="R20" s="1338" t="s">
        <v>249</v>
      </c>
      <c r="S20" s="1338" t="s">
        <v>249</v>
      </c>
      <c r="T20" s="1339" t="s">
        <v>249</v>
      </c>
      <c r="U20" s="2072">
        <v>1113.5</v>
      </c>
      <c r="V20" s="2075">
        <v>279.60000000000002</v>
      </c>
      <c r="W20" s="2075">
        <v>282.3</v>
      </c>
      <c r="X20" s="2075">
        <v>273.60000000000002</v>
      </c>
      <c r="Y20" s="2070">
        <v>286.3</v>
      </c>
      <c r="Z20" s="2072">
        <v>1121.8</v>
      </c>
      <c r="AA20" s="1452">
        <f>SUM(AA18,AA14)</f>
        <v>279</v>
      </c>
      <c r="AB20" s="1452">
        <f>SUM(AB18,AB14)</f>
        <v>294</v>
      </c>
      <c r="AC20" s="1452">
        <f>SUM(AC18,AC14)</f>
        <v>294</v>
      </c>
      <c r="AD20" s="1452">
        <f>SUM(AD18,AD14)</f>
        <v>322</v>
      </c>
      <c r="AE20" s="1453">
        <f>SUM(AA20:AD20)</f>
        <v>1189</v>
      </c>
      <c r="AF20" s="1452">
        <f>SUM(AF18,AF14)</f>
        <v>324</v>
      </c>
      <c r="AG20" s="1452">
        <f>SUM(AG18,AG14)</f>
        <v>333</v>
      </c>
      <c r="AH20" s="1452">
        <f>SUM(AH18,AH14)</f>
        <v>349</v>
      </c>
      <c r="AI20" s="1452">
        <f>SUM(AI18,AI14)</f>
        <v>348</v>
      </c>
      <c r="AJ20" s="1453">
        <f>SUM(AF20:AI20)</f>
        <v>1354</v>
      </c>
      <c r="AK20" s="1452">
        <f>SUM(AK18,AK14)</f>
        <v>353</v>
      </c>
      <c r="AL20" s="1452">
        <f>SUM(AL18,AL14)</f>
        <v>366</v>
      </c>
      <c r="AM20" s="1452">
        <f>SUM(AM18,AM14)</f>
        <v>393</v>
      </c>
      <c r="AN20" s="1452">
        <f>SUM(AN18,AN14)</f>
        <v>400</v>
      </c>
      <c r="AO20" s="1453">
        <f>SUM(AK20:AN20)</f>
        <v>1512</v>
      </c>
      <c r="AP20" s="1452">
        <f>SUM(AP18,AP14)</f>
        <v>403</v>
      </c>
      <c r="AQ20" s="1452">
        <f>SUM(AQ18,AQ14)</f>
        <v>410</v>
      </c>
      <c r="AR20" s="1452">
        <f>SUM(AR18,AR14)</f>
        <v>417</v>
      </c>
      <c r="AS20" s="1452">
        <f>SUM(AS18,AS14)</f>
        <v>431</v>
      </c>
      <c r="AT20" s="1453">
        <f>SUM(AP20:AS20)</f>
        <v>1661</v>
      </c>
      <c r="AU20" s="1452">
        <f>SUM(AU18,AU14)</f>
        <v>438</v>
      </c>
      <c r="AV20" s="1452">
        <f>SUM(AV18,AV14)</f>
        <v>440</v>
      </c>
      <c r="AW20" s="1452">
        <f>SUM(AW18,AW14)</f>
        <v>454</v>
      </c>
      <c r="AX20" s="1452">
        <f>SUM(AX18,AX14)</f>
        <v>458</v>
      </c>
      <c r="AY20" s="1453">
        <f>SUM(AU20:AX20)</f>
        <v>1790</v>
      </c>
      <c r="AZ20" s="1452">
        <f>SUM(AZ18,AZ14)</f>
        <v>463</v>
      </c>
      <c r="BA20" s="1452">
        <f>SUM(BA18,BA14)</f>
        <v>472</v>
      </c>
      <c r="BB20" s="1452">
        <f>SUM(BB18,BB14)</f>
        <v>512</v>
      </c>
      <c r="BC20" s="1452">
        <f>SUM(BC18,BC14)</f>
        <v>555</v>
      </c>
      <c r="BD20" s="1453">
        <f>SUM(AZ20:BC20)</f>
        <v>2002</v>
      </c>
      <c r="BE20" s="1452">
        <f>SUM(BE18,BE14)</f>
        <v>558</v>
      </c>
      <c r="BF20" s="1452">
        <f>SUM(BF18,BF14)</f>
        <v>569</v>
      </c>
      <c r="BG20" s="1452">
        <f>SUM(BG18,BG14)</f>
        <v>593</v>
      </c>
      <c r="BH20" s="1452">
        <f>SUM(BH18,BH14)</f>
        <v>578</v>
      </c>
      <c r="BI20" s="804">
        <f>+SUM(BE20:BH20)</f>
        <v>2298</v>
      </c>
      <c r="BJ20" s="1452">
        <f>SUM(BJ18,BJ14)</f>
        <v>573</v>
      </c>
      <c r="BK20" s="1452">
        <f>SUM(BK18,BK14)</f>
        <v>598</v>
      </c>
      <c r="BL20" s="1452">
        <f>SUM(BL18,BL14)</f>
        <v>609</v>
      </c>
      <c r="BM20" s="1452">
        <f>SUM(BM18,BM14)</f>
        <v>631</v>
      </c>
      <c r="BN20" s="804">
        <f>+SUM(BJ20:BM20)</f>
        <v>2411</v>
      </c>
      <c r="BO20" s="1452">
        <f>SUM(BO18,BO14)</f>
        <v>651</v>
      </c>
      <c r="BP20" s="1452">
        <f>SUM(BP18,BP14)</f>
        <v>658.38931738923156</v>
      </c>
      <c r="BQ20" s="1452">
        <f>SUM(BQ18,BQ14)</f>
        <v>665.9465569146887</v>
      </c>
      <c r="BR20" s="1452">
        <f>SUM(BR18,BR14)</f>
        <v>690.04070486666512</v>
      </c>
      <c r="BS20" s="804">
        <f>+SUM(BO20:BR20)</f>
        <v>2665.3765791705855</v>
      </c>
      <c r="BT20" s="1452">
        <f>SUM(BT18,BT14)</f>
        <v>689.08887664073779</v>
      </c>
      <c r="BU20" s="1452">
        <f>SUM(BU18,BU14)</f>
        <v>709.48480519160466</v>
      </c>
      <c r="BV20" s="1452">
        <f>SUM(BV18,BV14)</f>
        <v>719.97082884023234</v>
      </c>
      <c r="BW20" s="1452">
        <f>SUM(BW18,BW14)</f>
        <v>745.15033235163207</v>
      </c>
      <c r="BX20" s="804">
        <f>+SUM(BT20:BW20)</f>
        <v>2863.6948430242069</v>
      </c>
      <c r="BY20" s="1454">
        <f>SUM(BY18,BY14)</f>
        <v>3051.9036670706237</v>
      </c>
      <c r="BZ20" s="1454">
        <f>SUM(BZ18,BZ14)</f>
        <v>3252.4397687954265</v>
      </c>
      <c r="CA20" s="1454">
        <f>SUM(CA18,CA14)</f>
        <v>3437.9696017317806</v>
      </c>
      <c r="CB20" s="1340">
        <f>(BY20/BD20)^(1/5)-1</f>
        <v>8.7981096380276291E-2</v>
      </c>
      <c r="CF20" s="1455" t="str">
        <f t="shared" si="14"/>
        <v>S&amp;P Market Intelligence / S&amp;P Indices</v>
      </c>
      <c r="CG20" s="1341"/>
      <c r="CH20" s="1292"/>
      <c r="CI20" s="1292"/>
      <c r="CJ20" s="1292"/>
      <c r="CK20" s="1292"/>
      <c r="CL20" s="1451">
        <f>+K20</f>
        <v>824</v>
      </c>
      <c r="CM20" s="1453">
        <f>+P20</f>
        <v>942</v>
      </c>
      <c r="CN20" s="1453">
        <f>+U20</f>
        <v>1113.5</v>
      </c>
      <c r="CO20" s="1453">
        <f>+Z20</f>
        <v>1121.8</v>
      </c>
      <c r="CP20" s="1453">
        <f t="shared" ref="CP20:CP25" si="41">+AE20</f>
        <v>1189</v>
      </c>
      <c r="CQ20" s="1453">
        <f t="shared" si="15"/>
        <v>1354</v>
      </c>
      <c r="CR20" s="1453">
        <f t="shared" si="16"/>
        <v>1512</v>
      </c>
      <c r="CS20" s="1453">
        <f t="shared" si="17"/>
        <v>1661</v>
      </c>
      <c r="CT20" s="1453">
        <f t="shared" si="18"/>
        <v>1790</v>
      </c>
      <c r="CU20" s="1453">
        <f t="shared" si="19"/>
        <v>2002</v>
      </c>
      <c r="CV20" s="1456">
        <f t="shared" si="2"/>
        <v>2298</v>
      </c>
      <c r="CW20" s="1453">
        <f t="shared" si="3"/>
        <v>2411</v>
      </c>
      <c r="CX20" s="1453">
        <f t="shared" si="4"/>
        <v>2665.3765791705855</v>
      </c>
      <c r="CY20" s="1453">
        <f t="shared" si="5"/>
        <v>2863.6948430242069</v>
      </c>
      <c r="CZ20" s="1454">
        <f t="shared" si="6"/>
        <v>3051.9036670706237</v>
      </c>
      <c r="DA20" s="1454">
        <f t="shared" si="7"/>
        <v>3252.4397687954265</v>
      </c>
      <c r="DB20" s="1454">
        <f t="shared" si="7"/>
        <v>3437.9696017317806</v>
      </c>
    </row>
    <row r="21" spans="1:106" s="762" customFormat="1" ht="12" customHeight="1">
      <c r="A21" s="1320" t="s">
        <v>579</v>
      </c>
      <c r="B21" s="1292">
        <v>846</v>
      </c>
      <c r="C21" s="1292">
        <v>810</v>
      </c>
      <c r="D21" s="1292">
        <v>773</v>
      </c>
      <c r="E21" s="1292">
        <v>800</v>
      </c>
      <c r="F21" s="1292">
        <v>931</v>
      </c>
      <c r="G21" s="1338" t="s">
        <v>249</v>
      </c>
      <c r="H21" s="1338" t="s">
        <v>249</v>
      </c>
      <c r="I21" s="1338" t="s">
        <v>249</v>
      </c>
      <c r="J21" s="1339" t="s">
        <v>249</v>
      </c>
      <c r="K21" s="2072">
        <v>985</v>
      </c>
      <c r="L21" s="1338" t="s">
        <v>249</v>
      </c>
      <c r="M21" s="1338" t="s">
        <v>249</v>
      </c>
      <c r="N21" s="1338" t="s">
        <v>249</v>
      </c>
      <c r="O21" s="1339" t="s">
        <v>249</v>
      </c>
      <c r="P21" s="2072">
        <v>1020</v>
      </c>
      <c r="Q21" s="1338" t="s">
        <v>249</v>
      </c>
      <c r="R21" s="1338" t="s">
        <v>249</v>
      </c>
      <c r="S21" s="1338" t="s">
        <v>249</v>
      </c>
      <c r="T21" s="1339" t="s">
        <v>249</v>
      </c>
      <c r="U21" s="2072">
        <v>1062</v>
      </c>
      <c r="V21" s="1338" t="s">
        <v>249</v>
      </c>
      <c r="W21" s="1338" t="s">
        <v>249</v>
      </c>
      <c r="X21" s="1338" t="s">
        <v>249</v>
      </c>
      <c r="Y21" s="1339" t="s">
        <v>249</v>
      </c>
      <c r="Z21" s="2072">
        <v>873</v>
      </c>
      <c r="AA21" s="1452">
        <f>SUM(AA22,AA23)</f>
        <v>187</v>
      </c>
      <c r="AB21" s="1452">
        <f>SUM(AB22,AB23)</f>
        <v>199</v>
      </c>
      <c r="AC21" s="1452">
        <f>SUM(AC22,AC23)</f>
        <v>204</v>
      </c>
      <c r="AD21" s="1452">
        <f>SUM(AD22,AD23)</f>
        <v>221</v>
      </c>
      <c r="AE21" s="1453">
        <f>SUM(AA21:AD21)</f>
        <v>811</v>
      </c>
      <c r="AF21" s="1452">
        <f>SUM(AF22,AF23)</f>
        <v>207</v>
      </c>
      <c r="AG21" s="1452">
        <f>SUM(AG22,AG23)</f>
        <v>222</v>
      </c>
      <c r="AH21" s="1452">
        <f>SUM(AH22,AH23)</f>
        <v>228</v>
      </c>
      <c r="AI21" s="1452">
        <f>SUM(AI22,AI23)</f>
        <v>239</v>
      </c>
      <c r="AJ21" s="1453">
        <f>SUM(AF21:AI21)</f>
        <v>896</v>
      </c>
      <c r="AK21" s="1452">
        <f>SUM(AK22,AK23)</f>
        <v>233</v>
      </c>
      <c r="AL21" s="1452">
        <f>SUM(AL22,AL23)</f>
        <v>240</v>
      </c>
      <c r="AM21" s="1452">
        <f>SUM(AM22,AM23)</f>
        <v>239</v>
      </c>
      <c r="AN21" s="1452">
        <f>SUM(AN22,AN23)</f>
        <v>260</v>
      </c>
      <c r="AO21" s="1453">
        <f>SUM(AK21:AN21)</f>
        <v>972</v>
      </c>
      <c r="AP21" s="1452">
        <f>SUM(AP22,AP23)</f>
        <v>236</v>
      </c>
      <c r="AQ21" s="1452">
        <f>SUM(AQ22,AQ23)</f>
        <v>259</v>
      </c>
      <c r="AR21" s="1452">
        <f>SUM(AR22,AR23)</f>
        <v>213</v>
      </c>
      <c r="AS21" s="1452">
        <f>SUM(AS22,AS23)</f>
        <v>220</v>
      </c>
      <c r="AT21" s="1453">
        <f>SUM(AP21:AS21)</f>
        <v>928</v>
      </c>
      <c r="AU21" s="2073">
        <f>AU367</f>
        <v>211</v>
      </c>
      <c r="AV21" s="2073">
        <f>AV367</f>
        <v>219</v>
      </c>
      <c r="AW21" s="2073">
        <f>AW367</f>
        <v>227</v>
      </c>
      <c r="AX21" s="2073">
        <f>AX367</f>
        <v>236</v>
      </c>
      <c r="AY21" s="2074">
        <f>AY367</f>
        <v>893</v>
      </c>
      <c r="AZ21" s="2016">
        <v>225</v>
      </c>
      <c r="BA21" s="2070">
        <v>234</v>
      </c>
      <c r="BB21" s="2070">
        <v>248</v>
      </c>
      <c r="BC21" s="2070">
        <f>971-SUM(AZ21:BB21)</f>
        <v>264</v>
      </c>
      <c r="BD21" s="1453">
        <f>SUM(AZ21:BC21)</f>
        <v>971</v>
      </c>
      <c r="BE21" s="2071">
        <v>254</v>
      </c>
      <c r="BF21" s="2071">
        <v>255</v>
      </c>
      <c r="BG21" s="2071">
        <v>229</v>
      </c>
      <c r="BH21" s="2071">
        <v>188</v>
      </c>
      <c r="BI21" s="804">
        <f>+SUM(BE21:BH21)</f>
        <v>926</v>
      </c>
      <c r="BJ21" s="2070">
        <v>191</v>
      </c>
      <c r="BK21" s="2070">
        <v>192</v>
      </c>
      <c r="BL21" s="2070">
        <v>184</v>
      </c>
      <c r="BM21" s="2218">
        <v>197</v>
      </c>
      <c r="BN21" s="804">
        <f>+SUM(BJ21:BM21)</f>
        <v>764</v>
      </c>
      <c r="BO21" s="2218">
        <v>196</v>
      </c>
      <c r="BP21" s="1452">
        <f>BP367</f>
        <v>201.60000000000002</v>
      </c>
      <c r="BQ21" s="1452">
        <f>BQ367</f>
        <v>202.65</v>
      </c>
      <c r="BR21" s="1452">
        <f>BR367</f>
        <v>206.85000000000002</v>
      </c>
      <c r="BS21" s="804">
        <f>+SUM(BO21:BR21)</f>
        <v>807.1</v>
      </c>
      <c r="BT21" s="1452">
        <f>BT367</f>
        <v>203.84</v>
      </c>
      <c r="BU21" s="1452">
        <f>BU367</f>
        <v>209.66400000000004</v>
      </c>
      <c r="BV21" s="1452">
        <f>BV367</f>
        <v>210.756</v>
      </c>
      <c r="BW21" s="1452">
        <f>BW367</f>
        <v>215.12400000000002</v>
      </c>
      <c r="BX21" s="804">
        <f>+SUM(BT21:BW21)</f>
        <v>839.38400000000001</v>
      </c>
      <c r="BY21" s="1454">
        <f>BY367</f>
        <v>872.95936000000006</v>
      </c>
      <c r="BZ21" s="1454">
        <f>BZ367</f>
        <v>907.87773440000012</v>
      </c>
      <c r="CA21" s="1454">
        <f>CA367</f>
        <v>944.19284377600013</v>
      </c>
      <c r="CB21" s="1340">
        <f>(BY21/BD21)^(1/5)-1</f>
        <v>-2.106251369301626E-2</v>
      </c>
      <c r="CF21" s="1318" t="str">
        <f t="shared" si="14"/>
        <v>S&amp;P Platts</v>
      </c>
      <c r="CG21" s="1341">
        <f>+B21</f>
        <v>846</v>
      </c>
      <c r="CH21" s="1292">
        <f>+C21</f>
        <v>810</v>
      </c>
      <c r="CI21" s="1292">
        <f>+D21</f>
        <v>773</v>
      </c>
      <c r="CJ21" s="1292">
        <f>+E21</f>
        <v>800</v>
      </c>
      <c r="CK21" s="1292">
        <f>+F21</f>
        <v>931</v>
      </c>
      <c r="CL21" s="1318">
        <f>+K21</f>
        <v>985</v>
      </c>
      <c r="CM21" s="1453">
        <f>+P21</f>
        <v>1020</v>
      </c>
      <c r="CN21" s="1453">
        <f>+U21</f>
        <v>1062</v>
      </c>
      <c r="CO21" s="1453">
        <f>+Z21</f>
        <v>873</v>
      </c>
      <c r="CP21" s="1453">
        <f t="shared" si="41"/>
        <v>811</v>
      </c>
      <c r="CQ21" s="1453">
        <f t="shared" si="15"/>
        <v>896</v>
      </c>
      <c r="CR21" s="1453">
        <f t="shared" si="16"/>
        <v>972</v>
      </c>
      <c r="CS21" s="1453">
        <f t="shared" si="17"/>
        <v>928</v>
      </c>
      <c r="CT21" s="1453">
        <f t="shared" si="18"/>
        <v>893</v>
      </c>
      <c r="CU21" s="1453">
        <f t="shared" si="19"/>
        <v>971</v>
      </c>
      <c r="CV21" s="1456">
        <f t="shared" si="2"/>
        <v>926</v>
      </c>
      <c r="CW21" s="1453">
        <f t="shared" si="3"/>
        <v>764</v>
      </c>
      <c r="CX21" s="1453">
        <f t="shared" si="4"/>
        <v>807.1</v>
      </c>
      <c r="CY21" s="1453">
        <f t="shared" si="5"/>
        <v>839.38400000000001</v>
      </c>
      <c r="CZ21" s="1454">
        <f t="shared" si="6"/>
        <v>872.95936000000006</v>
      </c>
      <c r="DA21" s="1454">
        <f t="shared" si="7"/>
        <v>907.87773440000012</v>
      </c>
      <c r="DB21" s="1454">
        <f t="shared" si="7"/>
        <v>944.19284377600013</v>
      </c>
    </row>
    <row r="22" spans="1:106" s="1330" customFormat="1" ht="12" hidden="1" customHeight="1">
      <c r="A22" s="1458" t="s">
        <v>292</v>
      </c>
      <c r="B22" s="1459"/>
      <c r="C22" s="1459"/>
      <c r="D22" s="1459"/>
      <c r="E22" s="1459"/>
      <c r="F22" s="1459"/>
      <c r="G22" s="1338" t="s">
        <v>249</v>
      </c>
      <c r="H22" s="1338" t="s">
        <v>249</v>
      </c>
      <c r="I22" s="1338" t="s">
        <v>249</v>
      </c>
      <c r="J22" s="1339" t="s">
        <v>249</v>
      </c>
      <c r="K22" s="1339" t="s">
        <v>249</v>
      </c>
      <c r="L22" s="1338" t="s">
        <v>249</v>
      </c>
      <c r="M22" s="1338" t="s">
        <v>249</v>
      </c>
      <c r="N22" s="1338" t="s">
        <v>249</v>
      </c>
      <c r="O22" s="1339" t="s">
        <v>249</v>
      </c>
      <c r="P22" s="1339" t="s">
        <v>249</v>
      </c>
      <c r="Q22" s="1338" t="s">
        <v>249</v>
      </c>
      <c r="R22" s="1338" t="s">
        <v>249</v>
      </c>
      <c r="S22" s="1338" t="s">
        <v>249</v>
      </c>
      <c r="T22" s="1339" t="s">
        <v>249</v>
      </c>
      <c r="U22" s="1339" t="s">
        <v>249</v>
      </c>
      <c r="V22" s="1338" t="s">
        <v>249</v>
      </c>
      <c r="W22" s="1338" t="s">
        <v>249</v>
      </c>
      <c r="X22" s="1338" t="s">
        <v>249</v>
      </c>
      <c r="Y22" s="1339" t="s">
        <v>249</v>
      </c>
      <c r="Z22" s="1339" t="s">
        <v>249</v>
      </c>
      <c r="AA22" s="1460">
        <v>83</v>
      </c>
      <c r="AB22" s="1460">
        <v>85</v>
      </c>
      <c r="AC22" s="1460">
        <v>85</v>
      </c>
      <c r="AD22" s="1460">
        <v>91</v>
      </c>
      <c r="AE22" s="1461">
        <f>SUM(AA22:AD22)</f>
        <v>344</v>
      </c>
      <c r="AF22" s="1460">
        <v>97</v>
      </c>
      <c r="AG22" s="1460">
        <v>101</v>
      </c>
      <c r="AH22" s="1460">
        <v>108</v>
      </c>
      <c r="AI22" s="1460">
        <v>113</v>
      </c>
      <c r="AJ22" s="1461">
        <f>SUM(AF22:AI22)</f>
        <v>419</v>
      </c>
      <c r="AK22" s="1460">
        <v>118</v>
      </c>
      <c r="AL22" s="1462">
        <v>120</v>
      </c>
      <c r="AM22" s="1462">
        <v>121</v>
      </c>
      <c r="AN22" s="1460">
        <v>129</v>
      </c>
      <c r="AO22" s="1461">
        <f>SUM(AK22:AN22)</f>
        <v>488</v>
      </c>
      <c r="AP22" s="1460">
        <v>130</v>
      </c>
      <c r="AQ22" s="1462">
        <v>137</v>
      </c>
      <c r="AR22" s="1462">
        <v>142</v>
      </c>
      <c r="AS22" s="1460">
        <f>550-AR22-AQ22-AP22</f>
        <v>141</v>
      </c>
      <c r="AT22" s="1461">
        <f>SUM(AP22:AS22)</f>
        <v>550</v>
      </c>
      <c r="AU22" s="1460">
        <v>148</v>
      </c>
      <c r="AV22" s="1462">
        <v>149</v>
      </c>
      <c r="AW22" s="1463">
        <f>+AW359</f>
        <v>152.65</v>
      </c>
      <c r="AX22" s="1463">
        <f>+AX359</f>
        <v>151.57499999999999</v>
      </c>
      <c r="AY22" s="1464">
        <f>SUM(AU22:AX22)</f>
        <v>601.22499999999991</v>
      </c>
      <c r="AZ22" s="1463">
        <f>+AZ359</f>
        <v>159.84</v>
      </c>
      <c r="BA22" s="1463">
        <f>+BA359</f>
        <v>160.92000000000002</v>
      </c>
      <c r="BB22" s="1463">
        <f>+BB359</f>
        <v>163.33550000000002</v>
      </c>
      <c r="BC22" s="1463">
        <f>+BC359</f>
        <v>167.85714285714283</v>
      </c>
      <c r="BD22" s="1464">
        <f>SUM(AZ22:BC22)</f>
        <v>651.95264285714279</v>
      </c>
      <c r="BE22" s="1463">
        <f>+BE359</f>
        <v>174</v>
      </c>
      <c r="BF22" s="1463">
        <f>+BF359</f>
        <v>172.18440000000004</v>
      </c>
      <c r="BG22" s="1463">
        <f>+BG359</f>
        <v>174</v>
      </c>
      <c r="BH22" s="1463">
        <f>BH21</f>
        <v>188</v>
      </c>
      <c r="BI22" s="1464">
        <f>SUM(BE22:BH22)</f>
        <v>708.1844000000001</v>
      </c>
      <c r="BJ22" s="1463">
        <f t="shared" ref="BJ22:BO22" si="42">BJ21</f>
        <v>191</v>
      </c>
      <c r="BK22" s="1463">
        <f t="shared" si="42"/>
        <v>192</v>
      </c>
      <c r="BL22" s="1463">
        <f t="shared" si="42"/>
        <v>184</v>
      </c>
      <c r="BM22" s="1463">
        <f t="shared" si="42"/>
        <v>197</v>
      </c>
      <c r="BN22" s="1464">
        <f t="shared" si="42"/>
        <v>764</v>
      </c>
      <c r="BO22" s="1463">
        <f t="shared" si="42"/>
        <v>196</v>
      </c>
      <c r="BP22" s="1463">
        <f>+BP359</f>
        <v>0</v>
      </c>
      <c r="BQ22" s="1463">
        <f>+BQ359</f>
        <v>0</v>
      </c>
      <c r="BR22" s="1463">
        <f>+BR359</f>
        <v>0</v>
      </c>
      <c r="BS22" s="1464">
        <f>SUM(BO22:BR22)</f>
        <v>196</v>
      </c>
      <c r="BT22" s="1463">
        <f>+BT359</f>
        <v>0</v>
      </c>
      <c r="BU22" s="1463">
        <f>+BU359</f>
        <v>0</v>
      </c>
      <c r="BV22" s="1463">
        <f>+BV359</f>
        <v>0</v>
      </c>
      <c r="BW22" s="1463">
        <f>+BW359</f>
        <v>0</v>
      </c>
      <c r="BX22" s="1464">
        <f>SUM(BT22:BW22)</f>
        <v>0</v>
      </c>
      <c r="BY22" s="1464">
        <f>+BY359</f>
        <v>0</v>
      </c>
      <c r="BZ22" s="1464">
        <f>+BZ359</f>
        <v>0</v>
      </c>
      <c r="CA22" s="1464">
        <f>+CA359</f>
        <v>0</v>
      </c>
      <c r="CB22" s="1340"/>
      <c r="CF22" s="1465" t="str">
        <f t="shared" si="14"/>
        <v>Commodities</v>
      </c>
      <c r="CG22" s="1466"/>
      <c r="CH22" s="1459"/>
      <c r="CI22" s="1459"/>
      <c r="CJ22" s="1459"/>
      <c r="CK22" s="1459"/>
      <c r="CL22" s="1339"/>
      <c r="CM22" s="1461"/>
      <c r="CN22" s="1461"/>
      <c r="CO22" s="1461"/>
      <c r="CP22" s="1461">
        <f t="shared" si="41"/>
        <v>344</v>
      </c>
      <c r="CQ22" s="1461">
        <f t="shared" si="15"/>
        <v>419</v>
      </c>
      <c r="CR22" s="1461">
        <f t="shared" si="16"/>
        <v>488</v>
      </c>
      <c r="CS22" s="1461">
        <f t="shared" si="17"/>
        <v>550</v>
      </c>
      <c r="CT22" s="1464">
        <f t="shared" si="18"/>
        <v>601.22499999999991</v>
      </c>
      <c r="CU22" s="1464">
        <f t="shared" si="19"/>
        <v>651.95264285714279</v>
      </c>
      <c r="CV22" s="1464">
        <f t="shared" si="2"/>
        <v>708.1844000000001</v>
      </c>
      <c r="CW22" s="1463">
        <f t="shared" si="3"/>
        <v>764</v>
      </c>
      <c r="CX22" s="1463">
        <f t="shared" si="4"/>
        <v>196</v>
      </c>
      <c r="CY22" s="1463">
        <f t="shared" si="5"/>
        <v>0</v>
      </c>
      <c r="CZ22" s="1463">
        <f t="shared" si="6"/>
        <v>0</v>
      </c>
      <c r="DA22" s="1467">
        <f t="shared" si="7"/>
        <v>0</v>
      </c>
      <c r="DB22" s="1467">
        <f t="shared" si="7"/>
        <v>0</v>
      </c>
    </row>
    <row r="23" spans="1:106" s="1330" customFormat="1" ht="12" hidden="1" customHeight="1">
      <c r="A23" s="1458" t="s">
        <v>293</v>
      </c>
      <c r="B23" s="1459"/>
      <c r="C23" s="1459"/>
      <c r="D23" s="1459"/>
      <c r="E23" s="1459"/>
      <c r="F23" s="1459"/>
      <c r="G23" s="1338" t="s">
        <v>249</v>
      </c>
      <c r="H23" s="1338" t="s">
        <v>249</v>
      </c>
      <c r="I23" s="1338" t="s">
        <v>249</v>
      </c>
      <c r="J23" s="1339" t="s">
        <v>249</v>
      </c>
      <c r="K23" s="1339" t="s">
        <v>249</v>
      </c>
      <c r="L23" s="1338" t="s">
        <v>249</v>
      </c>
      <c r="M23" s="1338" t="s">
        <v>249</v>
      </c>
      <c r="N23" s="1338" t="s">
        <v>249</v>
      </c>
      <c r="O23" s="1339" t="s">
        <v>249</v>
      </c>
      <c r="P23" s="1339" t="s">
        <v>249</v>
      </c>
      <c r="Q23" s="1338" t="s">
        <v>249</v>
      </c>
      <c r="R23" s="1338" t="s">
        <v>249</v>
      </c>
      <c r="S23" s="1338" t="s">
        <v>249</v>
      </c>
      <c r="T23" s="1339" t="s">
        <v>249</v>
      </c>
      <c r="U23" s="1339" t="s">
        <v>249</v>
      </c>
      <c r="V23" s="1338" t="s">
        <v>249</v>
      </c>
      <c r="W23" s="1338" t="s">
        <v>249</v>
      </c>
      <c r="X23" s="1338" t="s">
        <v>249</v>
      </c>
      <c r="Y23" s="1339" t="s">
        <v>249</v>
      </c>
      <c r="Z23" s="1339" t="s">
        <v>249</v>
      </c>
      <c r="AA23" s="1460">
        <v>104</v>
      </c>
      <c r="AB23" s="1460">
        <v>114</v>
      </c>
      <c r="AC23" s="1460">
        <v>119</v>
      </c>
      <c r="AD23" s="1460">
        <v>130</v>
      </c>
      <c r="AE23" s="1461">
        <f>SUM(AA23:AD23)</f>
        <v>467</v>
      </c>
      <c r="AF23" s="1460">
        <v>110</v>
      </c>
      <c r="AG23" s="1460">
        <v>121</v>
      </c>
      <c r="AH23" s="1460">
        <v>120</v>
      </c>
      <c r="AI23" s="1460">
        <v>126</v>
      </c>
      <c r="AJ23" s="1461">
        <f>SUM(AF23:AI23)</f>
        <v>477</v>
      </c>
      <c r="AK23" s="1460">
        <v>115</v>
      </c>
      <c r="AL23" s="1462">
        <v>120</v>
      </c>
      <c r="AM23" s="1462">
        <v>118</v>
      </c>
      <c r="AN23" s="1460">
        <v>131</v>
      </c>
      <c r="AO23" s="1461">
        <f>SUM(AK23:AN23)</f>
        <v>484</v>
      </c>
      <c r="AP23" s="1460">
        <v>106</v>
      </c>
      <c r="AQ23" s="1462">
        <v>122</v>
      </c>
      <c r="AR23" s="1462">
        <f>213-AR22</f>
        <v>71</v>
      </c>
      <c r="AS23" s="1460">
        <f>220-AS22</f>
        <v>79</v>
      </c>
      <c r="AT23" s="1461">
        <f>SUM(AP23:AS23)</f>
        <v>378</v>
      </c>
      <c r="AU23" s="1460">
        <f>103-42</f>
        <v>61</v>
      </c>
      <c r="AV23" s="1462">
        <f>114-42</f>
        <v>72</v>
      </c>
      <c r="AW23" s="1463">
        <f>+AW362</f>
        <v>74.349999999999994</v>
      </c>
      <c r="AX23" s="1463">
        <f>+AX362</f>
        <v>84.425000000000011</v>
      </c>
      <c r="AY23" s="1464">
        <f>SUM(AU23:AX23)</f>
        <v>291.77499999999998</v>
      </c>
      <c r="AZ23" s="1463">
        <f>+AZ362</f>
        <v>65.16</v>
      </c>
      <c r="BA23" s="1463">
        <f>+BA362</f>
        <v>73.079999999999984</v>
      </c>
      <c r="BB23" s="1463">
        <f>+BB362</f>
        <v>84.664499999999975</v>
      </c>
      <c r="BC23" s="1463">
        <f>+BC362</f>
        <v>96.142857142857167</v>
      </c>
      <c r="BD23" s="1464">
        <f>SUM(AZ23:BC23)</f>
        <v>319.04735714285709</v>
      </c>
      <c r="BE23" s="1463">
        <f>+BE362</f>
        <v>80</v>
      </c>
      <c r="BF23" s="1463">
        <f>+BF362</f>
        <v>82.815599999999961</v>
      </c>
      <c r="BG23" s="1463">
        <f>+BG362</f>
        <v>55</v>
      </c>
      <c r="BH23" s="1463"/>
      <c r="BI23" s="1464"/>
      <c r="BJ23" s="1463"/>
      <c r="BK23" s="1463"/>
      <c r="BL23" s="1463"/>
      <c r="BM23" s="1463"/>
      <c r="BN23" s="1464"/>
      <c r="BO23" s="1463"/>
      <c r="BP23" s="1463"/>
      <c r="BQ23" s="1463"/>
      <c r="BR23" s="1463"/>
      <c r="BS23" s="1464"/>
      <c r="BT23" s="1463"/>
      <c r="BU23" s="1463"/>
      <c r="BV23" s="1463"/>
      <c r="BW23" s="1463"/>
      <c r="BX23" s="1464"/>
      <c r="BY23" s="1464"/>
      <c r="BZ23" s="1464"/>
      <c r="CA23" s="1464"/>
      <c r="CB23" s="1340"/>
      <c r="CF23" s="1465" t="str">
        <f t="shared" si="14"/>
        <v>Commercial</v>
      </c>
      <c r="CG23" s="1466"/>
      <c r="CH23" s="1459"/>
      <c r="CI23" s="1459"/>
      <c r="CJ23" s="1459"/>
      <c r="CK23" s="1459"/>
      <c r="CL23" s="1339"/>
      <c r="CM23" s="1461"/>
      <c r="CN23" s="1461"/>
      <c r="CO23" s="1461"/>
      <c r="CP23" s="1461">
        <f t="shared" si="41"/>
        <v>467</v>
      </c>
      <c r="CQ23" s="1461">
        <f t="shared" si="15"/>
        <v>477</v>
      </c>
      <c r="CR23" s="1461">
        <f t="shared" si="16"/>
        <v>484</v>
      </c>
      <c r="CS23" s="1461">
        <f t="shared" si="17"/>
        <v>378</v>
      </c>
      <c r="CT23" s="1464">
        <f t="shared" si="18"/>
        <v>291.77499999999998</v>
      </c>
      <c r="CU23" s="1464">
        <f t="shared" si="19"/>
        <v>319.04735714285709</v>
      </c>
      <c r="CV23" s="1464">
        <f t="shared" si="2"/>
        <v>0</v>
      </c>
      <c r="CW23" s="1463">
        <f t="shared" si="3"/>
        <v>0</v>
      </c>
      <c r="CX23" s="1463">
        <f t="shared" si="4"/>
        <v>0</v>
      </c>
      <c r="CY23" s="1463">
        <f t="shared" si="5"/>
        <v>0</v>
      </c>
      <c r="CZ23" s="1463">
        <f t="shared" si="6"/>
        <v>0</v>
      </c>
      <c r="DA23" s="1467">
        <f t="shared" si="7"/>
        <v>0</v>
      </c>
      <c r="DB23" s="1467">
        <f t="shared" si="7"/>
        <v>0</v>
      </c>
    </row>
    <row r="24" spans="1:106" s="1437" customFormat="1" ht="12" customHeight="1">
      <c r="A24" s="769" t="s">
        <v>294</v>
      </c>
      <c r="B24" s="2087">
        <v>-0.16</v>
      </c>
      <c r="C24" s="1332">
        <f>C21/B21-1</f>
        <v>-4.2553191489361653E-2</v>
      </c>
      <c r="D24" s="1332">
        <f>D21/C21-1</f>
        <v>-4.567901234567906E-2</v>
      </c>
      <c r="E24" s="1332">
        <f>E21/D21-1</f>
        <v>3.4928848641655907E-2</v>
      </c>
      <c r="F24" s="1332">
        <f>F21/E21-1</f>
        <v>0.16375000000000006</v>
      </c>
      <c r="G24" s="1338"/>
      <c r="H24" s="1338"/>
      <c r="I24" s="1338"/>
      <c r="J24" s="1339"/>
      <c r="K24" s="1332">
        <f>K21/F21-1</f>
        <v>5.8002148227712214E-2</v>
      </c>
      <c r="L24" s="1338"/>
      <c r="M24" s="1338"/>
      <c r="N24" s="1338"/>
      <c r="O24" s="1339"/>
      <c r="P24" s="1332">
        <f>P21/K21-1</f>
        <v>3.5532994923857864E-2</v>
      </c>
      <c r="Q24" s="1338"/>
      <c r="R24" s="1338"/>
      <c r="S24" s="1338"/>
      <c r="T24" s="1339"/>
      <c r="U24" s="1332">
        <f>U21/P21-1</f>
        <v>4.117647058823537E-2</v>
      </c>
      <c r="V24" s="1338"/>
      <c r="W24" s="1338"/>
      <c r="X24" s="1338"/>
      <c r="Y24" s="1339"/>
      <c r="Z24" s="1332">
        <f>Z21/U21-1</f>
        <v>-0.17796610169491522</v>
      </c>
      <c r="AA24" s="1468"/>
      <c r="AB24" s="1468"/>
      <c r="AC24" s="1468"/>
      <c r="AD24" s="1469"/>
      <c r="AE24" s="1332">
        <f t="shared" ref="AE24:BS24" si="43">AE21/Z21-1</f>
        <v>-7.1019473081328721E-2</v>
      </c>
      <c r="AF24" s="1331">
        <f t="shared" si="43"/>
        <v>0.10695187165775399</v>
      </c>
      <c r="AG24" s="1331">
        <f t="shared" si="43"/>
        <v>0.11557788944723613</v>
      </c>
      <c r="AH24" s="1331">
        <f t="shared" si="43"/>
        <v>0.11764705882352944</v>
      </c>
      <c r="AI24" s="1331">
        <f t="shared" si="43"/>
        <v>8.144796380090491E-2</v>
      </c>
      <c r="AJ24" s="1332">
        <f t="shared" si="43"/>
        <v>0.10480887792848326</v>
      </c>
      <c r="AK24" s="1331">
        <f t="shared" si="43"/>
        <v>0.12560386473429941</v>
      </c>
      <c r="AL24" s="1470">
        <f t="shared" si="43"/>
        <v>8.1081081081081141E-2</v>
      </c>
      <c r="AM24" s="1331">
        <f t="shared" si="43"/>
        <v>4.8245614035087758E-2</v>
      </c>
      <c r="AN24" s="1331">
        <f t="shared" si="43"/>
        <v>8.786610878661083E-2</v>
      </c>
      <c r="AO24" s="1332">
        <f t="shared" si="43"/>
        <v>8.4821428571428603E-2</v>
      </c>
      <c r="AP24" s="1331">
        <f t="shared" si="43"/>
        <v>1.2875536480686733E-2</v>
      </c>
      <c r="AQ24" s="1470">
        <f t="shared" si="43"/>
        <v>7.9166666666666607E-2</v>
      </c>
      <c r="AR24" s="1331">
        <f t="shared" si="43"/>
        <v>-0.10878661087866104</v>
      </c>
      <c r="AS24" s="1331">
        <f t="shared" si="43"/>
        <v>-0.15384615384615385</v>
      </c>
      <c r="AT24" s="1332">
        <f t="shared" si="43"/>
        <v>-4.5267489711934172E-2</v>
      </c>
      <c r="AU24" s="1331">
        <f t="shared" si="43"/>
        <v>-0.10593220338983056</v>
      </c>
      <c r="AV24" s="1470">
        <f t="shared" si="43"/>
        <v>-0.15444015444015446</v>
      </c>
      <c r="AW24" s="1331">
        <f t="shared" si="43"/>
        <v>6.5727699530516492E-2</v>
      </c>
      <c r="AX24" s="1331">
        <f t="shared" si="43"/>
        <v>7.2727272727272751E-2</v>
      </c>
      <c r="AY24" s="1332">
        <f t="shared" si="43"/>
        <v>-3.7715517241379337E-2</v>
      </c>
      <c r="AZ24" s="1331">
        <f t="shared" si="43"/>
        <v>6.6350710900473953E-2</v>
      </c>
      <c r="BA24" s="1331">
        <f t="shared" si="43"/>
        <v>6.8493150684931559E-2</v>
      </c>
      <c r="BB24" s="1331">
        <f t="shared" si="43"/>
        <v>9.2511013215859084E-2</v>
      </c>
      <c r="BC24" s="1331">
        <f t="shared" si="43"/>
        <v>0.11864406779661008</v>
      </c>
      <c r="BD24" s="1332">
        <f t="shared" si="43"/>
        <v>8.7346024636058228E-2</v>
      </c>
      <c r="BE24" s="1331">
        <f t="shared" si="43"/>
        <v>0.12888888888888883</v>
      </c>
      <c r="BF24" s="1331">
        <f t="shared" si="43"/>
        <v>8.9743589743589647E-2</v>
      </c>
      <c r="BG24" s="1331">
        <f t="shared" si="43"/>
        <v>-7.6612903225806495E-2</v>
      </c>
      <c r="BH24" s="1331">
        <f t="shared" si="43"/>
        <v>-0.28787878787878785</v>
      </c>
      <c r="BI24" s="1332">
        <f t="shared" si="43"/>
        <v>-4.6343975283213212E-2</v>
      </c>
      <c r="BJ24" s="1331">
        <f t="shared" si="43"/>
        <v>-0.24803149606299213</v>
      </c>
      <c r="BK24" s="1331">
        <f t="shared" si="43"/>
        <v>-0.24705882352941178</v>
      </c>
      <c r="BL24" s="1331">
        <f t="shared" si="43"/>
        <v>-0.19650655021834063</v>
      </c>
      <c r="BM24" s="1331">
        <f t="shared" si="43"/>
        <v>4.7872340425531901E-2</v>
      </c>
      <c r="BN24" s="1332">
        <f t="shared" si="43"/>
        <v>-0.17494600431965446</v>
      </c>
      <c r="BO24" s="1331">
        <f t="shared" si="43"/>
        <v>2.6178010471204161E-2</v>
      </c>
      <c r="BP24" s="1331">
        <f t="shared" si="43"/>
        <v>5.0000000000000044E-2</v>
      </c>
      <c r="BQ24" s="1331">
        <f t="shared" si="43"/>
        <v>0.10135869565217392</v>
      </c>
      <c r="BR24" s="1331">
        <f t="shared" si="43"/>
        <v>5.0000000000000044E-2</v>
      </c>
      <c r="BS24" s="1332">
        <f t="shared" si="43"/>
        <v>5.6413612565445082E-2</v>
      </c>
      <c r="BT24" s="1331">
        <f t="shared" ref="BT24" si="44">BT21/BO21-1</f>
        <v>4.0000000000000036E-2</v>
      </c>
      <c r="BU24" s="1331">
        <f t="shared" ref="BU24" si="45">BU21/BP21-1</f>
        <v>4.0000000000000036E-2</v>
      </c>
      <c r="BV24" s="1331">
        <f t="shared" ref="BV24" si="46">BV21/BQ21-1</f>
        <v>4.0000000000000036E-2</v>
      </c>
      <c r="BW24" s="1331">
        <f t="shared" ref="BW24" si="47">BW21/BR21-1</f>
        <v>4.0000000000000036E-2</v>
      </c>
      <c r="BX24" s="1332">
        <f t="shared" ref="BX24" si="48">BX21/BS21-1</f>
        <v>4.0000000000000036E-2</v>
      </c>
      <c r="BY24" s="1333">
        <f>BY21/BX21-1</f>
        <v>4.0000000000000036E-2</v>
      </c>
      <c r="BZ24" s="1333">
        <f>BZ21/BY21-1</f>
        <v>4.0000000000000036E-2</v>
      </c>
      <c r="CA24" s="1333">
        <f>CA21/BZ21-1</f>
        <v>4.0000000000000036E-2</v>
      </c>
      <c r="CF24" s="770" t="str">
        <f t="shared" si="14"/>
        <v>y/y chg</v>
      </c>
      <c r="CG24" s="715">
        <f>+B24</f>
        <v>-0.16</v>
      </c>
      <c r="CH24" s="1332">
        <f>+C24</f>
        <v>-4.2553191489361653E-2</v>
      </c>
      <c r="CI24" s="1332">
        <f>+D24</f>
        <v>-4.567901234567906E-2</v>
      </c>
      <c r="CJ24" s="1332">
        <f>+E24</f>
        <v>3.4928848641655907E-2</v>
      </c>
      <c r="CK24" s="1332">
        <f>+F24</f>
        <v>0.16375000000000006</v>
      </c>
      <c r="CL24" s="1332">
        <f>+K24</f>
        <v>5.8002148227712214E-2</v>
      </c>
      <c r="CM24" s="1332">
        <f>+P24</f>
        <v>3.5532994923857864E-2</v>
      </c>
      <c r="CN24" s="1332">
        <f>+U24</f>
        <v>4.117647058823537E-2</v>
      </c>
      <c r="CO24" s="1332">
        <f>+Z24</f>
        <v>-0.17796610169491522</v>
      </c>
      <c r="CP24" s="1332">
        <f t="shared" si="41"/>
        <v>-7.1019473081328721E-2</v>
      </c>
      <c r="CQ24" s="1332">
        <f t="shared" si="15"/>
        <v>0.10480887792848326</v>
      </c>
      <c r="CR24" s="1332">
        <f t="shared" si="16"/>
        <v>8.4821428571428603E-2</v>
      </c>
      <c r="CS24" s="1332">
        <f t="shared" si="17"/>
        <v>-4.5267489711934172E-2</v>
      </c>
      <c r="CT24" s="1332">
        <f t="shared" si="18"/>
        <v>-3.7715517241379337E-2</v>
      </c>
      <c r="CU24" s="1332">
        <f t="shared" si="19"/>
        <v>8.7346024636058228E-2</v>
      </c>
      <c r="CV24" s="1439">
        <f t="shared" si="2"/>
        <v>-4.6343975283213212E-2</v>
      </c>
      <c r="CW24" s="1332">
        <f t="shared" si="3"/>
        <v>-0.17494600431965446</v>
      </c>
      <c r="CX24" s="1332">
        <f t="shared" si="4"/>
        <v>5.6413612565445082E-2</v>
      </c>
      <c r="CY24" s="1332">
        <f t="shared" si="5"/>
        <v>4.0000000000000036E-2</v>
      </c>
      <c r="CZ24" s="1333">
        <f t="shared" si="6"/>
        <v>4.0000000000000036E-2</v>
      </c>
      <c r="DA24" s="1333">
        <f t="shared" si="7"/>
        <v>4.0000000000000036E-2</v>
      </c>
      <c r="DB24" s="1333">
        <f t="shared" si="7"/>
        <v>4.0000000000000036E-2</v>
      </c>
    </row>
    <row r="25" spans="1:106" s="1287" customFormat="1" ht="12" customHeight="1">
      <c r="A25" s="1287" t="s">
        <v>295</v>
      </c>
      <c r="B25" s="2045">
        <v>0</v>
      </c>
      <c r="C25" s="2045">
        <v>0</v>
      </c>
      <c r="D25" s="2045">
        <v>0</v>
      </c>
      <c r="E25" s="2045">
        <v>0</v>
      </c>
      <c r="F25" s="2045">
        <v>0</v>
      </c>
      <c r="G25" s="2088" t="s">
        <v>249</v>
      </c>
      <c r="H25" s="2089" t="s">
        <v>249</v>
      </c>
      <c r="I25" s="2089" t="s">
        <v>249</v>
      </c>
      <c r="J25" s="2034" t="s">
        <v>249</v>
      </c>
      <c r="K25" s="2045">
        <v>-28</v>
      </c>
      <c r="L25" s="2088" t="s">
        <v>249</v>
      </c>
      <c r="M25" s="2089" t="s">
        <v>249</v>
      </c>
      <c r="N25" s="2089" t="s">
        <v>249</v>
      </c>
      <c r="O25" s="2034" t="s">
        <v>249</v>
      </c>
      <c r="P25" s="2045">
        <v>-34</v>
      </c>
      <c r="Q25" s="2088" t="s">
        <v>249</v>
      </c>
      <c r="R25" s="2089" t="s">
        <v>249</v>
      </c>
      <c r="S25" s="2089" t="s">
        <v>249</v>
      </c>
      <c r="T25" s="2034" t="s">
        <v>249</v>
      </c>
      <c r="U25" s="2045">
        <v>-42</v>
      </c>
      <c r="V25" s="2088" t="s">
        <v>249</v>
      </c>
      <c r="W25" s="2089" t="s">
        <v>249</v>
      </c>
      <c r="X25" s="2089" t="s">
        <v>249</v>
      </c>
      <c r="Y25" s="2034" t="s">
        <v>249</v>
      </c>
      <c r="Z25" s="2045">
        <v>-49</v>
      </c>
      <c r="AA25" s="2085">
        <v>-13</v>
      </c>
      <c r="AB25" s="2085">
        <v>-14</v>
      </c>
      <c r="AC25" s="2085">
        <v>-14</v>
      </c>
      <c r="AD25" s="2085">
        <v>-15</v>
      </c>
      <c r="AE25" s="796">
        <f>SUM(AA25:AD25)</f>
        <v>-56</v>
      </c>
      <c r="AF25" s="2086">
        <v>-15</v>
      </c>
      <c r="AG25" s="2085">
        <v>-15</v>
      </c>
      <c r="AH25" s="2085">
        <v>-16</v>
      </c>
      <c r="AI25" s="2085">
        <v>-17</v>
      </c>
      <c r="AJ25" s="796">
        <f>SUM(AF25:AI25)</f>
        <v>-63</v>
      </c>
      <c r="AK25" s="2085">
        <v>-17</v>
      </c>
      <c r="AL25" s="2085">
        <v>-17</v>
      </c>
      <c r="AM25" s="2085">
        <v>-18</v>
      </c>
      <c r="AN25" s="2085">
        <v>-18</v>
      </c>
      <c r="AO25" s="796">
        <f>SUM(AK25:AN25)</f>
        <v>-70</v>
      </c>
      <c r="AP25" s="2085">
        <v>-19</v>
      </c>
      <c r="AQ25" s="2085">
        <v>-18</v>
      </c>
      <c r="AR25" s="2085">
        <v>-18</v>
      </c>
      <c r="AS25" s="2085">
        <v>-19</v>
      </c>
      <c r="AT25" s="796">
        <f>SUM(AP25:AS25)</f>
        <v>-74</v>
      </c>
      <c r="AU25" s="2085">
        <v>-22</v>
      </c>
      <c r="AV25" s="2085">
        <v>-21</v>
      </c>
      <c r="AW25" s="2085">
        <v>-22</v>
      </c>
      <c r="AX25" s="2085">
        <v>-22</v>
      </c>
      <c r="AY25" s="1471">
        <f>SUM(AU25:AX25)</f>
        <v>-87</v>
      </c>
      <c r="AZ25" s="716">
        <v>-21</v>
      </c>
      <c r="BA25" s="717">
        <v>-22</v>
      </c>
      <c r="BB25" s="717">
        <v>-23</v>
      </c>
      <c r="BC25" s="718">
        <v>-22</v>
      </c>
      <c r="BD25" s="796">
        <f>SUM(AZ25:BC25)</f>
        <v>-88</v>
      </c>
      <c r="BE25" s="719">
        <v>-23</v>
      </c>
      <c r="BF25" s="719">
        <v>-24</v>
      </c>
      <c r="BG25" s="719">
        <v>-25</v>
      </c>
      <c r="BH25" s="718">
        <v>-25</v>
      </c>
      <c r="BI25" s="796">
        <f>SUM(BE25:BH25)</f>
        <v>-97</v>
      </c>
      <c r="BJ25" s="719">
        <v>-25</v>
      </c>
      <c r="BK25" s="717">
        <v>-28</v>
      </c>
      <c r="BL25" s="716">
        <v>-28</v>
      </c>
      <c r="BM25" s="2219">
        <v>-28</v>
      </c>
      <c r="BN25" s="2190">
        <f>SUM(BJ25:BM25)</f>
        <v>-109</v>
      </c>
      <c r="BO25" s="2219">
        <v>-28</v>
      </c>
      <c r="BP25" s="2189">
        <f>BO25</f>
        <v>-28</v>
      </c>
      <c r="BQ25" s="2189">
        <f>BP25</f>
        <v>-28</v>
      </c>
      <c r="BR25" s="2189">
        <f>BQ25</f>
        <v>-28</v>
      </c>
      <c r="BS25" s="2190">
        <f>SUM(BO25:BR25)</f>
        <v>-112</v>
      </c>
      <c r="BT25" s="2189">
        <f>BR25</f>
        <v>-28</v>
      </c>
      <c r="BU25" s="2189">
        <f>BT25</f>
        <v>-28</v>
      </c>
      <c r="BV25" s="2189">
        <f>BU25</f>
        <v>-28</v>
      </c>
      <c r="BW25" s="2189">
        <f>BV25</f>
        <v>-28</v>
      </c>
      <c r="BX25" s="2190">
        <f>SUM(BT25:BW25)</f>
        <v>-112</v>
      </c>
      <c r="BY25" s="2090">
        <f>BX25</f>
        <v>-112</v>
      </c>
      <c r="BZ25" s="2090">
        <f>BY25</f>
        <v>-112</v>
      </c>
      <c r="CA25" s="2090">
        <f>BZ25</f>
        <v>-112</v>
      </c>
      <c r="CB25" s="1286"/>
      <c r="CF25" s="1270" t="str">
        <f t="shared" si="14"/>
        <v>Intersegment Elimination</v>
      </c>
      <c r="CG25" s="1290"/>
      <c r="CH25" s="1270"/>
      <c r="CI25" s="1270"/>
      <c r="CJ25" s="1270"/>
      <c r="CK25" s="1270"/>
      <c r="CL25" s="1270">
        <f>+K25</f>
        <v>-28</v>
      </c>
      <c r="CM25" s="796">
        <f>+P25</f>
        <v>-34</v>
      </c>
      <c r="CN25" s="796">
        <f>+U25</f>
        <v>-42</v>
      </c>
      <c r="CO25" s="796">
        <f>+Z25</f>
        <v>-49</v>
      </c>
      <c r="CP25" s="796">
        <f t="shared" si="41"/>
        <v>-56</v>
      </c>
      <c r="CQ25" s="796">
        <f t="shared" si="15"/>
        <v>-63</v>
      </c>
      <c r="CR25" s="796">
        <f t="shared" si="16"/>
        <v>-70</v>
      </c>
      <c r="CS25" s="796">
        <f t="shared" si="17"/>
        <v>-74</v>
      </c>
      <c r="CT25" s="1471">
        <f t="shared" si="18"/>
        <v>-87</v>
      </c>
      <c r="CU25" s="796">
        <f t="shared" si="19"/>
        <v>-88</v>
      </c>
      <c r="CV25" s="1279">
        <f t="shared" si="2"/>
        <v>-97</v>
      </c>
      <c r="CW25" s="721">
        <f t="shared" si="3"/>
        <v>-109</v>
      </c>
      <c r="CX25" s="721">
        <f t="shared" si="4"/>
        <v>-112</v>
      </c>
      <c r="CY25" s="721">
        <f t="shared" si="5"/>
        <v>-112</v>
      </c>
      <c r="CZ25" s="722">
        <f t="shared" si="6"/>
        <v>-112</v>
      </c>
      <c r="DA25" s="722">
        <f t="shared" si="7"/>
        <v>-112</v>
      </c>
      <c r="DB25" s="722">
        <f t="shared" si="7"/>
        <v>-112</v>
      </c>
    </row>
    <row r="26" spans="1:106" s="1287" customFormat="1" ht="12" customHeight="1">
      <c r="B26" s="1270"/>
      <c r="C26" s="1270"/>
      <c r="D26" s="1270"/>
      <c r="E26" s="1270"/>
      <c r="F26" s="1270"/>
      <c r="G26" s="1276"/>
      <c r="H26" s="1276"/>
      <c r="I26" s="1276"/>
      <c r="J26" s="1276"/>
      <c r="K26" s="1270"/>
      <c r="L26" s="1276"/>
      <c r="M26" s="1276"/>
      <c r="N26" s="1276"/>
      <c r="O26" s="1276"/>
      <c r="P26" s="1270"/>
      <c r="Q26" s="1276"/>
      <c r="R26" s="1276"/>
      <c r="S26" s="1276"/>
      <c r="T26" s="1276"/>
      <c r="U26" s="1270"/>
      <c r="V26" s="1276"/>
      <c r="W26" s="1276"/>
      <c r="X26" s="1276"/>
      <c r="Y26" s="1276"/>
      <c r="Z26" s="1270"/>
      <c r="AA26" s="1280"/>
      <c r="AB26" s="1280"/>
      <c r="AC26" s="1280"/>
      <c r="AD26" s="1280"/>
      <c r="AE26" s="796"/>
      <c r="AF26" s="1280"/>
      <c r="AG26" s="1280"/>
      <c r="AH26" s="1280"/>
      <c r="AI26" s="1280"/>
      <c r="AJ26" s="796"/>
      <c r="AK26" s="1280"/>
      <c r="AL26" s="1280"/>
      <c r="AM26" s="1280"/>
      <c r="AN26" s="1280"/>
      <c r="AO26" s="796"/>
      <c r="AP26" s="1280"/>
      <c r="AQ26" s="1280"/>
      <c r="AR26" s="1280"/>
      <c r="AS26" s="1280"/>
      <c r="AT26" s="796"/>
      <c r="AU26" s="1280"/>
      <c r="AV26" s="1280"/>
      <c r="AW26" s="1280"/>
      <c r="AX26" s="1280"/>
      <c r="AY26" s="1471"/>
      <c r="AZ26" s="716"/>
      <c r="BA26" s="717"/>
      <c r="BB26" s="717"/>
      <c r="BC26" s="723"/>
      <c r="BD26" s="796"/>
      <c r="BE26" s="719"/>
      <c r="BF26" s="717"/>
      <c r="BG26" s="717"/>
      <c r="BH26" s="723"/>
      <c r="BI26" s="796"/>
      <c r="BJ26" s="717"/>
      <c r="BK26" s="717"/>
      <c r="BL26" s="717"/>
      <c r="BM26" s="720"/>
      <c r="BN26" s="796"/>
      <c r="BO26" s="717"/>
      <c r="BP26" s="717"/>
      <c r="BQ26" s="717"/>
      <c r="BR26" s="720"/>
      <c r="BS26" s="796"/>
      <c r="BT26" s="717"/>
      <c r="BU26" s="717"/>
      <c r="BV26" s="717"/>
      <c r="BW26" s="720"/>
      <c r="BX26" s="796"/>
      <c r="BY26" s="722"/>
      <c r="BZ26" s="722"/>
      <c r="CA26" s="722"/>
      <c r="CB26" s="1286"/>
      <c r="CF26" s="1270"/>
      <c r="CG26" s="1290"/>
      <c r="CH26" s="1270"/>
      <c r="CI26" s="1270"/>
      <c r="CJ26" s="1270"/>
      <c r="CK26" s="1270"/>
      <c r="CL26" s="1270"/>
      <c r="CM26" s="796"/>
      <c r="CN26" s="796"/>
      <c r="CO26" s="796"/>
      <c r="CP26" s="796"/>
      <c r="CQ26" s="796"/>
      <c r="CR26" s="796"/>
      <c r="CS26" s="796"/>
      <c r="CT26" s="1471"/>
      <c r="CU26" s="796"/>
      <c r="CV26" s="1279"/>
      <c r="CW26" s="721"/>
      <c r="CX26" s="721"/>
      <c r="CY26" s="721"/>
      <c r="CZ26" s="722"/>
      <c r="DA26" s="722"/>
      <c r="DB26" s="722"/>
    </row>
    <row r="27" spans="1:106" s="762" customFormat="1" ht="12" customHeight="1">
      <c r="A27" s="724" t="s">
        <v>533</v>
      </c>
      <c r="B27" s="725"/>
      <c r="C27" s="725"/>
      <c r="D27" s="725"/>
      <c r="E27" s="725"/>
      <c r="F27" s="725"/>
      <c r="G27" s="726"/>
      <c r="H27" s="726"/>
      <c r="I27" s="726"/>
      <c r="J27" s="726"/>
      <c r="K27" s="725"/>
      <c r="L27" s="726"/>
      <c r="M27" s="726"/>
      <c r="N27" s="726"/>
      <c r="O27" s="726"/>
      <c r="P27" s="725"/>
      <c r="Q27" s="726"/>
      <c r="R27" s="726"/>
      <c r="S27" s="726"/>
      <c r="T27" s="726"/>
      <c r="U27" s="725"/>
      <c r="V27" s="726"/>
      <c r="W27" s="726"/>
      <c r="X27" s="726"/>
      <c r="Y27" s="726"/>
      <c r="Z27" s="725"/>
      <c r="AA27" s="727"/>
      <c r="AB27" s="727"/>
      <c r="AC27" s="727"/>
      <c r="AD27" s="727"/>
      <c r="AE27" s="728"/>
      <c r="AF27" s="727"/>
      <c r="AG27" s="727"/>
      <c r="AH27" s="727"/>
      <c r="AI27" s="727"/>
      <c r="AJ27" s="728"/>
      <c r="AK27" s="727"/>
      <c r="AL27" s="727"/>
      <c r="AM27" s="727"/>
      <c r="AN27" s="727"/>
      <c r="AO27" s="728"/>
      <c r="AP27" s="727"/>
      <c r="AQ27" s="727"/>
      <c r="AR27" s="727"/>
      <c r="AS27" s="727"/>
      <c r="AT27" s="728"/>
      <c r="AU27" s="727"/>
      <c r="AV27" s="727"/>
      <c r="AW27" s="727"/>
      <c r="AX27" s="727"/>
      <c r="AY27" s="729"/>
      <c r="AZ27" s="1472"/>
      <c r="BA27" s="1472"/>
      <c r="BB27" s="1472"/>
      <c r="BC27" s="1472"/>
      <c r="BD27" s="728"/>
      <c r="BE27" s="1472"/>
      <c r="BF27" s="1472"/>
      <c r="BG27" s="1472"/>
      <c r="BH27" s="727"/>
      <c r="BI27" s="728"/>
      <c r="BJ27" s="727"/>
      <c r="BK27" s="727"/>
      <c r="BL27" s="2159"/>
      <c r="BM27" s="2159"/>
      <c r="BN27" s="728"/>
      <c r="BO27" s="727"/>
      <c r="BP27" s="727">
        <f t="shared" ref="BP27:BR27" si="49">+BK30*BP28</f>
        <v>15.766134285188587</v>
      </c>
      <c r="BQ27" s="727">
        <f t="shared" si="49"/>
        <v>9.0832788641118825</v>
      </c>
      <c r="BR27" s="727">
        <f t="shared" si="49"/>
        <v>6.1799219879540059</v>
      </c>
      <c r="BS27" s="796"/>
      <c r="BT27" s="727">
        <f>+BO30*BT28</f>
        <v>2.9453326364352148</v>
      </c>
      <c r="BU27" s="727"/>
      <c r="BV27" s="727"/>
      <c r="BW27" s="727"/>
      <c r="BX27" s="796"/>
      <c r="BY27" s="722"/>
      <c r="BZ27" s="722"/>
      <c r="CA27" s="722"/>
      <c r="CB27" s="1271"/>
      <c r="CF27" s="1270"/>
      <c r="CG27" s="1290"/>
      <c r="CH27" s="1270"/>
      <c r="CI27" s="1270"/>
      <c r="CJ27" s="1270"/>
      <c r="CK27" s="1270"/>
      <c r="CL27" s="1270"/>
      <c r="CM27" s="796"/>
      <c r="CN27" s="796"/>
      <c r="CO27" s="796"/>
      <c r="CP27" s="796"/>
      <c r="CQ27" s="796"/>
      <c r="CR27" s="796"/>
      <c r="CS27" s="796"/>
      <c r="CT27" s="1471"/>
      <c r="CU27" s="796"/>
      <c r="CV27" s="1279"/>
      <c r="CW27" s="721"/>
      <c r="CX27" s="721"/>
      <c r="CY27" s="721"/>
      <c r="CZ27" s="722"/>
      <c r="DA27" s="722"/>
      <c r="DB27" s="722"/>
    </row>
    <row r="28" spans="1:106" s="762" customFormat="1" ht="12" customHeight="1">
      <c r="A28" s="730" t="s">
        <v>534</v>
      </c>
      <c r="B28" s="731"/>
      <c r="C28" s="731"/>
      <c r="D28" s="731"/>
      <c r="E28" s="731"/>
      <c r="F28" s="731"/>
      <c r="G28" s="732"/>
      <c r="H28" s="733"/>
      <c r="I28" s="733"/>
      <c r="J28" s="734"/>
      <c r="K28" s="731"/>
      <c r="L28" s="732"/>
      <c r="M28" s="733"/>
      <c r="N28" s="733"/>
      <c r="O28" s="734"/>
      <c r="P28" s="731"/>
      <c r="Q28" s="732"/>
      <c r="R28" s="733"/>
      <c r="S28" s="733"/>
      <c r="T28" s="734"/>
      <c r="U28" s="731"/>
      <c r="V28" s="732"/>
      <c r="W28" s="733"/>
      <c r="X28" s="733"/>
      <c r="Y28" s="734"/>
      <c r="Z28" s="731"/>
      <c r="AA28" s="735"/>
      <c r="AB28" s="735"/>
      <c r="AC28" s="735"/>
      <c r="AD28" s="735"/>
      <c r="AE28" s="736"/>
      <c r="AF28" s="737"/>
      <c r="AG28" s="735"/>
      <c r="AH28" s="735"/>
      <c r="AI28" s="735"/>
      <c r="AJ28" s="736"/>
      <c r="AK28" s="735"/>
      <c r="AL28" s="735"/>
      <c r="AM28" s="735"/>
      <c r="AN28" s="735"/>
      <c r="AO28" s="736"/>
      <c r="AP28" s="735"/>
      <c r="AQ28" s="735"/>
      <c r="AR28" s="735"/>
      <c r="AS28" s="735"/>
      <c r="AT28" s="736"/>
      <c r="AU28" s="735"/>
      <c r="AV28" s="735"/>
      <c r="AW28" s="735"/>
      <c r="AX28" s="735"/>
      <c r="AY28" s="738"/>
      <c r="AZ28" s="1212"/>
      <c r="BA28" s="1212"/>
      <c r="BB28" s="1212"/>
      <c r="BC28" s="1212"/>
      <c r="BD28" s="736"/>
      <c r="BE28" s="1212"/>
      <c r="BF28" s="1212"/>
      <c r="BG28" s="1212"/>
      <c r="BH28" s="739"/>
      <c r="BI28" s="736"/>
      <c r="BJ28" s="739"/>
      <c r="BK28" s="739"/>
      <c r="BL28" s="2160"/>
      <c r="BM28" s="2160"/>
      <c r="BN28" s="1473"/>
      <c r="BO28" s="739"/>
      <c r="BP28" s="2101">
        <v>1.0448067783425174E-2</v>
      </c>
      <c r="BQ28" s="2101">
        <v>6.0034890047005168E-3</v>
      </c>
      <c r="BR28" s="2101">
        <v>3.8891894197319106E-3</v>
      </c>
      <c r="BS28" s="1473"/>
      <c r="BT28" s="2101">
        <v>1.8795996403543169E-3</v>
      </c>
      <c r="BU28" s="2101"/>
      <c r="BV28" s="2101"/>
      <c r="BW28" s="2101"/>
      <c r="BX28" s="1473"/>
      <c r="BY28" s="722"/>
      <c r="BZ28" s="722"/>
      <c r="CA28" s="722"/>
      <c r="CB28" s="1271"/>
      <c r="CF28" s="1270"/>
      <c r="CG28" s="1290"/>
      <c r="CH28" s="1270"/>
      <c r="CI28" s="1270"/>
      <c r="CJ28" s="1270"/>
      <c r="CK28" s="1270"/>
      <c r="CL28" s="1474"/>
      <c r="CM28" s="1473"/>
      <c r="CN28" s="1473"/>
      <c r="CO28" s="1473"/>
      <c r="CP28" s="1473"/>
      <c r="CQ28" s="1473"/>
      <c r="CR28" s="1473"/>
      <c r="CS28" s="1473"/>
      <c r="CT28" s="1475"/>
      <c r="CU28" s="1473"/>
      <c r="CV28" s="1476"/>
      <c r="CW28" s="721"/>
      <c r="CX28" s="721"/>
      <c r="CY28" s="721"/>
      <c r="CZ28" s="722"/>
      <c r="DA28" s="722"/>
      <c r="DB28" s="722"/>
    </row>
    <row r="29" spans="1:106" ht="12" customHeight="1">
      <c r="B29" s="1264"/>
      <c r="C29" s="1264"/>
      <c r="D29" s="1264"/>
      <c r="E29" s="1264"/>
      <c r="F29" s="1264"/>
      <c r="G29" s="1319"/>
      <c r="H29" s="1319"/>
      <c r="I29" s="1319"/>
      <c r="J29" s="1319"/>
      <c r="K29" s="1264"/>
      <c r="L29" s="1319"/>
      <c r="M29" s="1319"/>
      <c r="N29" s="1319"/>
      <c r="O29" s="1319"/>
      <c r="P29" s="1264"/>
      <c r="Q29" s="1319"/>
      <c r="R29" s="1319"/>
      <c r="S29" s="1319"/>
      <c r="T29" s="1319"/>
      <c r="U29" s="1264"/>
      <c r="V29" s="1319"/>
      <c r="W29" s="1319"/>
      <c r="X29" s="1319"/>
      <c r="Y29" s="1319"/>
      <c r="Z29" s="1264"/>
      <c r="AA29" s="1477"/>
      <c r="AB29" s="1477"/>
      <c r="AC29" s="1477"/>
      <c r="AD29" s="1477"/>
      <c r="AE29" s="1478"/>
      <c r="AF29" s="1477"/>
      <c r="AG29" s="1477"/>
      <c r="AH29" s="1477"/>
      <c r="AI29" s="1477"/>
      <c r="AJ29" s="796"/>
      <c r="AK29" s="1280"/>
      <c r="AL29" s="1280"/>
      <c r="AM29" s="1266"/>
      <c r="AN29" s="1477"/>
      <c r="AO29" s="796"/>
      <c r="AP29" s="1280"/>
      <c r="AQ29" s="1280"/>
      <c r="AR29" s="1266"/>
      <c r="AS29" s="1477"/>
      <c r="AT29" s="796"/>
      <c r="AU29" s="1280"/>
      <c r="AV29" s="1280"/>
      <c r="AW29" s="1266"/>
      <c r="AX29" s="1266"/>
      <c r="AY29" s="796"/>
      <c r="AZ29" s="717"/>
      <c r="BA29" s="717"/>
      <c r="BB29" s="1266"/>
      <c r="BC29" s="1266"/>
      <c r="BD29" s="796"/>
      <c r="BE29" s="717"/>
      <c r="BF29" s="717"/>
      <c r="BG29" s="1266"/>
      <c r="BH29" s="1266"/>
      <c r="BI29" s="796"/>
      <c r="BJ29" s="717"/>
      <c r="BK29" s="717"/>
      <c r="BL29" s="1266"/>
      <c r="BM29" s="1266"/>
      <c r="BN29" s="1419"/>
      <c r="BO29" s="717"/>
      <c r="BP29" s="717"/>
      <c r="BQ29" s="1266"/>
      <c r="BR29" s="1266"/>
      <c r="BS29" s="1419"/>
      <c r="BT29" s="717"/>
      <c r="BU29" s="717"/>
      <c r="BV29" s="1266"/>
      <c r="BW29" s="1266"/>
      <c r="BX29" s="1419"/>
      <c r="BY29" s="1420"/>
      <c r="BZ29" s="1420"/>
      <c r="CA29" s="1420"/>
      <c r="CF29" s="1426"/>
      <c r="CG29" s="1272"/>
      <c r="CH29" s="1264"/>
      <c r="CI29" s="1264"/>
      <c r="CJ29" s="1264"/>
      <c r="CK29" s="1264"/>
      <c r="CL29" s="1264"/>
      <c r="CM29" s="1478"/>
      <c r="CN29" s="1478"/>
      <c r="CO29" s="1478"/>
      <c r="CP29" s="1478"/>
      <c r="CQ29" s="796"/>
      <c r="CR29" s="796"/>
      <c r="CS29" s="796"/>
      <c r="CT29" s="796"/>
      <c r="CU29" s="796"/>
      <c r="CV29" s="1279"/>
      <c r="CW29" s="1419"/>
      <c r="CX29" s="1419"/>
      <c r="CY29" s="1419"/>
      <c r="CZ29" s="1420"/>
      <c r="DA29" s="1420"/>
      <c r="DB29" s="1420"/>
    </row>
    <row r="30" spans="1:106" s="762" customFormat="1" ht="12" customHeight="1">
      <c r="A30" s="1479" t="s">
        <v>297</v>
      </c>
      <c r="B30" s="1480">
        <f>B12+B20+B21+B25</f>
        <v>2244</v>
      </c>
      <c r="C30" s="1480">
        <f>C12+C20+C21+C25</f>
        <v>2365</v>
      </c>
      <c r="D30" s="1480">
        <f>D12+D20+D21+D25</f>
        <v>2541</v>
      </c>
      <c r="E30" s="1480">
        <f>E12+E20+E21+E25</f>
        <v>2855</v>
      </c>
      <c r="F30" s="1480">
        <f>F12+F20+F21+F25</f>
        <v>3332</v>
      </c>
      <c r="G30" s="1319" t="s">
        <v>249</v>
      </c>
      <c r="H30" s="1319" t="s">
        <v>249</v>
      </c>
      <c r="I30" s="1319" t="s">
        <v>249</v>
      </c>
      <c r="J30" s="1319" t="s">
        <v>249</v>
      </c>
      <c r="K30" s="1480">
        <f>K12+K20+K21+K25</f>
        <v>3731</v>
      </c>
      <c r="L30" s="1319" t="s">
        <v>249</v>
      </c>
      <c r="M30" s="1319" t="s">
        <v>249</v>
      </c>
      <c r="N30" s="1319" t="s">
        <v>249</v>
      </c>
      <c r="O30" s="1319" t="s">
        <v>249</v>
      </c>
      <c r="P30" s="1480">
        <f>P12+P20+P21+P25</f>
        <v>4066</v>
      </c>
      <c r="Q30" s="1319" t="s">
        <v>249</v>
      </c>
      <c r="R30" s="1319" t="s">
        <v>249</v>
      </c>
      <c r="S30" s="1319" t="s">
        <v>249</v>
      </c>
      <c r="T30" s="1319" t="s">
        <v>249</v>
      </c>
      <c r="U30" s="1480">
        <f>U12+U20+U21+U25</f>
        <v>3716.5</v>
      </c>
      <c r="V30" s="1319" t="s">
        <v>249</v>
      </c>
      <c r="W30" s="1319" t="s">
        <v>249</v>
      </c>
      <c r="X30" s="1319" t="s">
        <v>249</v>
      </c>
      <c r="Y30" s="1319" t="s">
        <v>249</v>
      </c>
      <c r="Z30" s="1480">
        <f>Z12+Z20+Z21+Z25</f>
        <v>3483.1</v>
      </c>
      <c r="AA30" s="785">
        <f t="shared" ref="AA30:BI30" si="50">AA12+AA18+AA14+AA21+AA25</f>
        <v>854</v>
      </c>
      <c r="AB30" s="785">
        <f t="shared" si="50"/>
        <v>884</v>
      </c>
      <c r="AC30" s="785">
        <f t="shared" si="50"/>
        <v>901</v>
      </c>
      <c r="AD30" s="785">
        <f t="shared" si="50"/>
        <v>1000</v>
      </c>
      <c r="AE30" s="1480">
        <f t="shared" si="50"/>
        <v>3639</v>
      </c>
      <c r="AF30" s="785">
        <f t="shared" si="50"/>
        <v>959</v>
      </c>
      <c r="AG30" s="785">
        <f t="shared" si="50"/>
        <v>1020</v>
      </c>
      <c r="AH30" s="785">
        <f t="shared" si="50"/>
        <v>971</v>
      </c>
      <c r="AI30" s="785">
        <f t="shared" si="50"/>
        <v>1004</v>
      </c>
      <c r="AJ30" s="1480">
        <f t="shared" si="50"/>
        <v>3954</v>
      </c>
      <c r="AK30" s="785">
        <f t="shared" si="50"/>
        <v>1035</v>
      </c>
      <c r="AL30" s="785">
        <f t="shared" si="50"/>
        <v>1072</v>
      </c>
      <c r="AM30" s="785">
        <f t="shared" si="50"/>
        <v>1116</v>
      </c>
      <c r="AN30" s="785">
        <f t="shared" si="50"/>
        <v>1226</v>
      </c>
      <c r="AO30" s="1480">
        <f t="shared" si="50"/>
        <v>4449</v>
      </c>
      <c r="AP30" s="785">
        <f t="shared" si="50"/>
        <v>1181</v>
      </c>
      <c r="AQ30" s="785">
        <f t="shared" si="50"/>
        <v>1250</v>
      </c>
      <c r="AR30" s="785">
        <f t="shared" si="50"/>
        <v>1152</v>
      </c>
      <c r="AS30" s="785">
        <f t="shared" si="50"/>
        <v>1206</v>
      </c>
      <c r="AT30" s="1480">
        <f t="shared" si="50"/>
        <v>4789</v>
      </c>
      <c r="AU30" s="785">
        <f t="shared" si="50"/>
        <v>1196</v>
      </c>
      <c r="AV30" s="785">
        <f t="shared" si="50"/>
        <v>1302</v>
      </c>
      <c r="AW30" s="785">
        <f t="shared" si="50"/>
        <v>1263</v>
      </c>
      <c r="AX30" s="785">
        <f t="shared" si="50"/>
        <v>1290</v>
      </c>
      <c r="AY30" s="1480">
        <f t="shared" si="50"/>
        <v>5051</v>
      </c>
      <c r="AZ30" s="785">
        <f t="shared" si="50"/>
        <v>1273</v>
      </c>
      <c r="BA30" s="785">
        <f t="shared" si="50"/>
        <v>1342</v>
      </c>
      <c r="BB30" s="785">
        <f t="shared" si="50"/>
        <v>1324</v>
      </c>
      <c r="BC30" s="785">
        <f t="shared" si="50"/>
        <v>1374</v>
      </c>
      <c r="BD30" s="1480">
        <f t="shared" si="50"/>
        <v>5313</v>
      </c>
      <c r="BE30" s="785">
        <f t="shared" si="50"/>
        <v>1341</v>
      </c>
      <c r="BF30" s="785">
        <f t="shared" si="50"/>
        <v>1482</v>
      </c>
      <c r="BG30" s="785">
        <f t="shared" si="50"/>
        <v>1439</v>
      </c>
      <c r="BH30" s="785">
        <f t="shared" si="50"/>
        <v>1399</v>
      </c>
      <c r="BI30" s="1480">
        <f t="shared" si="50"/>
        <v>5661</v>
      </c>
      <c r="BJ30" s="785">
        <f t="shared" ref="BJ30:CA30" si="51">+BJ12+BJ16+BJ14+BJ25</f>
        <v>1453</v>
      </c>
      <c r="BK30" s="1481">
        <f t="shared" si="51"/>
        <v>1509</v>
      </c>
      <c r="BL30" s="785">
        <f t="shared" si="51"/>
        <v>1513</v>
      </c>
      <c r="BM30" s="785">
        <f t="shared" si="51"/>
        <v>1589</v>
      </c>
      <c r="BN30" s="1480">
        <f t="shared" si="51"/>
        <v>6064</v>
      </c>
      <c r="BO30" s="785">
        <f t="shared" si="51"/>
        <v>1567</v>
      </c>
      <c r="BP30" s="1481">
        <f t="shared" si="51"/>
        <v>1640.3822248173824</v>
      </c>
      <c r="BQ30" s="785">
        <f t="shared" si="51"/>
        <v>1623.3294381545411</v>
      </c>
      <c r="BR30" s="785">
        <f t="shared" si="51"/>
        <v>1671.1382330674171</v>
      </c>
      <c r="BS30" s="1480">
        <f t="shared" si="51"/>
        <v>6501.8498960393417</v>
      </c>
      <c r="BT30" s="785">
        <f t="shared" si="51"/>
        <v>1646.431746002934</v>
      </c>
      <c r="BU30" s="1481">
        <f t="shared" si="51"/>
        <v>1737.3649564276409</v>
      </c>
      <c r="BV30" s="785">
        <f t="shared" si="51"/>
        <v>1721.2877523166724</v>
      </c>
      <c r="BW30" s="785">
        <f t="shared" si="51"/>
        <v>1770.9531816066255</v>
      </c>
      <c r="BX30" s="1480">
        <f t="shared" si="51"/>
        <v>6876.0376363538717</v>
      </c>
      <c r="BY30" s="1482">
        <f t="shared" si="51"/>
        <v>7231.525800987436</v>
      </c>
      <c r="BZ30" s="1482">
        <f t="shared" si="51"/>
        <v>7608.3788965346157</v>
      </c>
      <c r="CA30" s="1482">
        <f t="shared" si="51"/>
        <v>7964.8547754346873</v>
      </c>
      <c r="CB30" s="1432">
        <f>(CA30/BN30)^(1/5)-1</f>
        <v>5.6048183337107815E-2</v>
      </c>
      <c r="CF30" s="1483" t="str">
        <f t="shared" ref="CF30:CK30" si="52">+A30</f>
        <v>S&amp;P Global</v>
      </c>
      <c r="CG30" s="1482">
        <f t="shared" si="52"/>
        <v>2244</v>
      </c>
      <c r="CH30" s="1480">
        <f t="shared" si="52"/>
        <v>2365</v>
      </c>
      <c r="CI30" s="1480">
        <f t="shared" si="52"/>
        <v>2541</v>
      </c>
      <c r="CJ30" s="1480">
        <f t="shared" si="52"/>
        <v>2855</v>
      </c>
      <c r="CK30" s="1480">
        <f t="shared" si="52"/>
        <v>3332</v>
      </c>
      <c r="CL30" s="1480">
        <f>+K30</f>
        <v>3731</v>
      </c>
      <c r="CM30" s="1480">
        <f>+P30</f>
        <v>4066</v>
      </c>
      <c r="CN30" s="1480">
        <f>+U30</f>
        <v>3716.5</v>
      </c>
      <c r="CO30" s="1480">
        <f>+Z30</f>
        <v>3483.1</v>
      </c>
      <c r="CP30" s="1480">
        <f>+AE30</f>
        <v>3639</v>
      </c>
      <c r="CQ30" s="1480">
        <f>+AJ30</f>
        <v>3954</v>
      </c>
      <c r="CR30" s="1480">
        <f>+AO30</f>
        <v>4449</v>
      </c>
      <c r="CS30" s="1480">
        <f>+AT30</f>
        <v>4789</v>
      </c>
      <c r="CT30" s="1480">
        <f>+AY30</f>
        <v>5051</v>
      </c>
      <c r="CU30" s="1480">
        <f>+BD30</f>
        <v>5313</v>
      </c>
      <c r="CV30" s="1484">
        <f>+BI30</f>
        <v>5661</v>
      </c>
      <c r="CW30" s="1480">
        <f>+BN30</f>
        <v>6064</v>
      </c>
      <c r="CX30" s="1480">
        <f>+BS30</f>
        <v>6501.8498960393417</v>
      </c>
      <c r="CY30" s="1480">
        <f t="shared" ref="CY30:DB31" si="53">+BX30</f>
        <v>6876.0376363538717</v>
      </c>
      <c r="CZ30" s="1482">
        <f t="shared" si="53"/>
        <v>7231.525800987436</v>
      </c>
      <c r="DA30" s="1482">
        <f t="shared" si="53"/>
        <v>7608.3788965346157</v>
      </c>
      <c r="DB30" s="1482">
        <f t="shared" si="53"/>
        <v>7964.8547754346873</v>
      </c>
    </row>
    <row r="31" spans="1:106" ht="12" customHeight="1">
      <c r="A31" s="1485" t="s">
        <v>294</v>
      </c>
      <c r="B31" s="1264"/>
      <c r="C31" s="1342">
        <f>C30/B30-1</f>
        <v>5.3921568627451011E-2</v>
      </c>
      <c r="D31" s="1342">
        <f>D30/C30-1</f>
        <v>7.441860465116279E-2</v>
      </c>
      <c r="E31" s="1342">
        <f>E30/D30-1</f>
        <v>0.1235733963006691</v>
      </c>
      <c r="F31" s="1342">
        <f>F30/E30-1</f>
        <v>0.1670753064798598</v>
      </c>
      <c r="G31" s="1319"/>
      <c r="H31" s="1319"/>
      <c r="I31" s="1319"/>
      <c r="J31" s="1319"/>
      <c r="K31" s="1342">
        <f>K30/F30-1</f>
        <v>0.11974789915966388</v>
      </c>
      <c r="L31" s="1319"/>
      <c r="M31" s="1319"/>
      <c r="N31" s="1319"/>
      <c r="O31" s="1319"/>
      <c r="P31" s="1342">
        <f>P30/K30-1</f>
        <v>8.97882605199678E-2</v>
      </c>
      <c r="Q31" s="1319"/>
      <c r="R31" s="1319"/>
      <c r="S31" s="1319"/>
      <c r="T31" s="1319"/>
      <c r="U31" s="1342">
        <f>U30/P30-1</f>
        <v>-8.5956714215445151E-2</v>
      </c>
      <c r="V31" s="1319"/>
      <c r="W31" s="1319"/>
      <c r="X31" s="1319"/>
      <c r="Y31" s="1319"/>
      <c r="Z31" s="1342">
        <f>Z30/U30-1</f>
        <v>-6.2801022467375289E-2</v>
      </c>
      <c r="AA31" s="1266"/>
      <c r="AB31" s="1266"/>
      <c r="AC31" s="1266"/>
      <c r="AD31" s="1267"/>
      <c r="AE31" s="693">
        <f>AE30/Z30-1</f>
        <v>4.475897907036841E-2</v>
      </c>
      <c r="AF31" s="1408">
        <f t="shared" ref="AF31:BS31" si="54">AF30/AA30-1</f>
        <v>0.12295081967213117</v>
      </c>
      <c r="AG31" s="1408">
        <f t="shared" si="54"/>
        <v>0.15384615384615374</v>
      </c>
      <c r="AH31" s="1408">
        <f t="shared" si="54"/>
        <v>7.7691453940066602E-2</v>
      </c>
      <c r="AI31" s="1408">
        <f t="shared" si="54"/>
        <v>4.0000000000000036E-3</v>
      </c>
      <c r="AJ31" s="1342">
        <f t="shared" si="54"/>
        <v>8.6562242374278675E-2</v>
      </c>
      <c r="AK31" s="1408">
        <f t="shared" si="54"/>
        <v>7.9249217935349225E-2</v>
      </c>
      <c r="AL31" s="1408">
        <f t="shared" si="54"/>
        <v>5.0980392156862786E-2</v>
      </c>
      <c r="AM31" s="1408">
        <f t="shared" si="54"/>
        <v>0.14933058702368696</v>
      </c>
      <c r="AN31" s="1408">
        <f t="shared" si="54"/>
        <v>0.2211155378486056</v>
      </c>
      <c r="AO31" s="1342">
        <f t="shared" si="54"/>
        <v>0.12518968133535657</v>
      </c>
      <c r="AP31" s="1408">
        <f t="shared" si="54"/>
        <v>0.1410628019323672</v>
      </c>
      <c r="AQ31" s="1408">
        <f t="shared" si="54"/>
        <v>0.16604477611940305</v>
      </c>
      <c r="AR31" s="1408">
        <f t="shared" si="54"/>
        <v>3.2258064516129004E-2</v>
      </c>
      <c r="AS31" s="1408">
        <f>AS30/AN30-1</f>
        <v>-1.6313213703099461E-2</v>
      </c>
      <c r="AT31" s="1342">
        <f t="shared" si="54"/>
        <v>7.6421667790514736E-2</v>
      </c>
      <c r="AU31" s="1408">
        <f t="shared" si="54"/>
        <v>1.2701100762066098E-2</v>
      </c>
      <c r="AV31" s="1408">
        <f t="shared" si="54"/>
        <v>4.1600000000000081E-2</v>
      </c>
      <c r="AW31" s="1408">
        <f t="shared" si="54"/>
        <v>9.6354166666666741E-2</v>
      </c>
      <c r="AX31" s="1408">
        <f t="shared" si="54"/>
        <v>6.9651741293532243E-2</v>
      </c>
      <c r="AY31" s="1342">
        <f t="shared" si="54"/>
        <v>5.4708707454583339E-2</v>
      </c>
      <c r="AZ31" s="1408">
        <f t="shared" si="54"/>
        <v>6.4381270903010046E-2</v>
      </c>
      <c r="BA31" s="1408">
        <f t="shared" si="54"/>
        <v>3.0721966205837115E-2</v>
      </c>
      <c r="BB31" s="1408">
        <f t="shared" si="54"/>
        <v>4.829770387965171E-2</v>
      </c>
      <c r="BC31" s="1408">
        <f t="shared" si="54"/>
        <v>6.5116279069767469E-2</v>
      </c>
      <c r="BD31" s="1342">
        <f t="shared" si="54"/>
        <v>5.1870916650168297E-2</v>
      </c>
      <c r="BE31" s="1408">
        <f t="shared" si="54"/>
        <v>5.3417124901806723E-2</v>
      </c>
      <c r="BF31" s="1408">
        <f t="shared" si="54"/>
        <v>0.10432190760059612</v>
      </c>
      <c r="BG31" s="1408">
        <f t="shared" si="54"/>
        <v>8.6858006042296099E-2</v>
      </c>
      <c r="BH31" s="1408">
        <f t="shared" si="54"/>
        <v>1.8195050946142599E-2</v>
      </c>
      <c r="BI31" s="1342">
        <f t="shared" si="54"/>
        <v>6.549971767363072E-2</v>
      </c>
      <c r="BJ31" s="1408">
        <f t="shared" si="54"/>
        <v>8.3519761372110368E-2</v>
      </c>
      <c r="BK31" s="1408">
        <f t="shared" si="54"/>
        <v>1.8218623481781382E-2</v>
      </c>
      <c r="BL31" s="1408">
        <f t="shared" si="54"/>
        <v>5.142460041695629E-2</v>
      </c>
      <c r="BM31" s="1408">
        <f t="shared" si="54"/>
        <v>0.13581129378127232</v>
      </c>
      <c r="BN31" s="1342">
        <f t="shared" si="54"/>
        <v>7.1188835894718139E-2</v>
      </c>
      <c r="BO31" s="1408">
        <f t="shared" si="54"/>
        <v>7.8458362009635296E-2</v>
      </c>
      <c r="BP31" s="1408">
        <f t="shared" si="54"/>
        <v>8.7065755346177776E-2</v>
      </c>
      <c r="BQ31" s="1408">
        <f t="shared" si="54"/>
        <v>7.2920976969293561E-2</v>
      </c>
      <c r="BR31" s="1408">
        <f t="shared" si="54"/>
        <v>5.169177663147706E-2</v>
      </c>
      <c r="BS31" s="1342">
        <f t="shared" si="54"/>
        <v>7.2204798159521966E-2</v>
      </c>
      <c r="BT31" s="1408">
        <f t="shared" ref="BT31" si="55">BT30/BO30-1</f>
        <v>5.0690329293512359E-2</v>
      </c>
      <c r="BU31" s="1408">
        <f t="shared" ref="BU31" si="56">BU30/BP30-1</f>
        <v>5.9122032745176245E-2</v>
      </c>
      <c r="BV31" s="1408">
        <f t="shared" ref="BV31" si="57">BV30/BQ30-1</f>
        <v>6.0344075490612603E-2</v>
      </c>
      <c r="BW31" s="1408">
        <f t="shared" ref="BW31" si="58">BW30/BR30-1</f>
        <v>5.9728720559516724E-2</v>
      </c>
      <c r="BX31" s="1342">
        <f t="shared" ref="BX31" si="59">BX30/BS30-1</f>
        <v>5.7550965694004974E-2</v>
      </c>
      <c r="BY31" s="1486">
        <f>BY30/BX30-1</f>
        <v>5.1699566441301137E-2</v>
      </c>
      <c r="BZ31" s="1486">
        <f>BZ30/BY30-1</f>
        <v>5.2112528658297963E-2</v>
      </c>
      <c r="CA31" s="1486">
        <f>CA30/BZ30-1</f>
        <v>4.6853066040446034E-2</v>
      </c>
      <c r="CF31" s="1487" t="str">
        <f>+A31</f>
        <v>y/y chg</v>
      </c>
      <c r="CG31" s="1272"/>
      <c r="CH31" s="1342">
        <f>+C31</f>
        <v>5.3921568627451011E-2</v>
      </c>
      <c r="CI31" s="1342">
        <f>+D31</f>
        <v>7.441860465116279E-2</v>
      </c>
      <c r="CJ31" s="1342">
        <f>+E31</f>
        <v>0.1235733963006691</v>
      </c>
      <c r="CK31" s="1342">
        <f>+F31</f>
        <v>0.1670753064798598</v>
      </c>
      <c r="CL31" s="1342">
        <f>+K31</f>
        <v>0.11974789915966388</v>
      </c>
      <c r="CM31" s="693">
        <f>+P31</f>
        <v>8.97882605199678E-2</v>
      </c>
      <c r="CN31" s="693">
        <f>+U31</f>
        <v>-8.5956714215445151E-2</v>
      </c>
      <c r="CO31" s="693">
        <f>+Z31</f>
        <v>-6.2801022467375289E-2</v>
      </c>
      <c r="CP31" s="693">
        <f>+AE31</f>
        <v>4.475897907036841E-2</v>
      </c>
      <c r="CQ31" s="1342">
        <f>+AJ31</f>
        <v>8.6562242374278675E-2</v>
      </c>
      <c r="CR31" s="1342">
        <f>+AO31</f>
        <v>0.12518968133535657</v>
      </c>
      <c r="CS31" s="1342">
        <f>+AT31</f>
        <v>7.6421667790514736E-2</v>
      </c>
      <c r="CT31" s="1342">
        <f>+AY31</f>
        <v>5.4708707454583339E-2</v>
      </c>
      <c r="CU31" s="1342">
        <f>+BD31</f>
        <v>5.1870916650168297E-2</v>
      </c>
      <c r="CV31" s="1488">
        <f>+BI31</f>
        <v>6.549971767363072E-2</v>
      </c>
      <c r="CW31" s="1342">
        <f>+BN31</f>
        <v>7.1188835894718139E-2</v>
      </c>
      <c r="CX31" s="1342">
        <f>+BS31</f>
        <v>7.2204798159521966E-2</v>
      </c>
      <c r="CY31" s="1342">
        <f t="shared" si="53"/>
        <v>5.7550965694004974E-2</v>
      </c>
      <c r="CZ31" s="1486">
        <f t="shared" si="53"/>
        <v>5.1699566441301137E-2</v>
      </c>
      <c r="DA31" s="1486">
        <f t="shared" si="53"/>
        <v>5.2112528658297963E-2</v>
      </c>
      <c r="DB31" s="1486">
        <f t="shared" si="53"/>
        <v>4.6853066040446034E-2</v>
      </c>
    </row>
    <row r="32" spans="1:106" ht="12" customHeight="1">
      <c r="A32" s="1485"/>
      <c r="B32" s="1264"/>
      <c r="C32" s="1264"/>
      <c r="D32" s="1264"/>
      <c r="E32" s="1264"/>
      <c r="F32" s="1264"/>
      <c r="G32" s="1319"/>
      <c r="H32" s="1319"/>
      <c r="I32" s="1319"/>
      <c r="J32" s="1319"/>
      <c r="K32" s="1264"/>
      <c r="L32" s="1319"/>
      <c r="M32" s="1319"/>
      <c r="N32" s="1319"/>
      <c r="O32" s="1319"/>
      <c r="P32" s="1264"/>
      <c r="Q32" s="1319"/>
      <c r="R32" s="1319"/>
      <c r="S32" s="1319"/>
      <c r="T32" s="1319"/>
      <c r="U32" s="1264"/>
      <c r="V32" s="1266"/>
      <c r="W32" s="1266"/>
      <c r="X32" s="1266"/>
      <c r="Y32" s="1267"/>
      <c r="Z32" s="1264"/>
      <c r="AA32" s="1266"/>
      <c r="AB32" s="1266"/>
      <c r="AC32" s="1266"/>
      <c r="AD32" s="1267"/>
      <c r="AE32" s="1269"/>
      <c r="AF32" s="1408"/>
      <c r="AG32" s="1408"/>
      <c r="AH32" s="1408"/>
      <c r="AI32" s="1408"/>
      <c r="AJ32" s="1342"/>
      <c r="AK32" s="1408"/>
      <c r="AL32" s="1266"/>
      <c r="AM32" s="1266"/>
      <c r="AN32" s="1408"/>
      <c r="AO32" s="1342"/>
      <c r="AP32" s="1408"/>
      <c r="AQ32" s="1266"/>
      <c r="AR32" s="1266"/>
      <c r="AS32" s="1408"/>
      <c r="AT32" s="1453"/>
      <c r="AU32" s="1408"/>
      <c r="AV32" s="1266"/>
      <c r="AW32" s="1266"/>
      <c r="AX32" s="1267"/>
      <c r="AY32" s="1453"/>
      <c r="AZ32" s="1408"/>
      <c r="BA32" s="1266"/>
      <c r="BB32" s="1266"/>
      <c r="BC32" s="1267"/>
      <c r="BD32" s="1453"/>
      <c r="BE32" s="1408"/>
      <c r="BF32" s="1266"/>
      <c r="BG32" s="1266"/>
      <c r="BH32" s="1267"/>
      <c r="BI32" s="1453"/>
      <c r="BJ32" s="1408"/>
      <c r="BK32" s="1266"/>
      <c r="BL32" s="1266"/>
      <c r="BM32" s="1267"/>
      <c r="BN32" s="1269"/>
      <c r="BO32" s="1408"/>
      <c r="BP32" s="1266"/>
      <c r="BQ32" s="1266"/>
      <c r="BR32" s="1267"/>
      <c r="BS32" s="1269"/>
      <c r="BT32" s="1408"/>
      <c r="BU32" s="1266"/>
      <c r="BV32" s="1266"/>
      <c r="BW32" s="1267"/>
      <c r="BX32" s="1269"/>
      <c r="BY32" s="1489"/>
      <c r="BZ32" s="1489"/>
      <c r="CA32" s="1489"/>
      <c r="CF32" s="1487"/>
      <c r="CG32" s="1272"/>
      <c r="CH32" s="1264"/>
      <c r="CI32" s="1264"/>
      <c r="CJ32" s="1264"/>
      <c r="CK32" s="1264"/>
      <c r="CL32" s="1264"/>
      <c r="CM32" s="1269"/>
      <c r="CN32" s="1269"/>
      <c r="CO32" s="1269"/>
      <c r="CP32" s="1269"/>
      <c r="CQ32" s="1342"/>
      <c r="CR32" s="1342"/>
      <c r="CS32" s="1453"/>
      <c r="CT32" s="1453"/>
      <c r="CU32" s="1453"/>
      <c r="CV32" s="1456"/>
      <c r="CW32" s="1269"/>
      <c r="CX32" s="1269"/>
      <c r="CY32" s="1269"/>
      <c r="CZ32" s="1489"/>
      <c r="DA32" s="1489"/>
      <c r="DB32" s="1489"/>
    </row>
    <row r="33" spans="1:106" s="762" customFormat="1" ht="12" hidden="1" customHeight="1" outlineLevel="1">
      <c r="A33" s="1490" t="s">
        <v>298</v>
      </c>
      <c r="B33" s="741">
        <v>2290</v>
      </c>
      <c r="C33" s="741">
        <v>2343</v>
      </c>
      <c r="D33" s="741">
        <v>2349</v>
      </c>
      <c r="E33" s="741">
        <v>2396</v>
      </c>
      <c r="F33" s="741">
        <v>2672</v>
      </c>
      <c r="G33" s="1319" t="s">
        <v>249</v>
      </c>
      <c r="H33" s="1319" t="s">
        <v>249</v>
      </c>
      <c r="I33" s="1319" t="s">
        <v>249</v>
      </c>
      <c r="J33" s="1319" t="s">
        <v>249</v>
      </c>
      <c r="K33" s="1291">
        <v>2524</v>
      </c>
      <c r="L33" s="1319" t="s">
        <v>249</v>
      </c>
      <c r="M33" s="1319" t="s">
        <v>249</v>
      </c>
      <c r="N33" s="1319" t="s">
        <v>249</v>
      </c>
      <c r="O33" s="1319" t="s">
        <v>249</v>
      </c>
      <c r="P33" s="1291">
        <v>2706</v>
      </c>
      <c r="Q33" s="1319" t="s">
        <v>249</v>
      </c>
      <c r="R33" s="1319" t="s">
        <v>249</v>
      </c>
      <c r="S33" s="1319" t="s">
        <v>249</v>
      </c>
      <c r="T33" s="1319" t="s">
        <v>249</v>
      </c>
      <c r="U33" s="1291">
        <v>2638.893</v>
      </c>
      <c r="V33" s="768">
        <v>312.62799999999999</v>
      </c>
      <c r="W33" s="768">
        <v>555.18899999999996</v>
      </c>
      <c r="X33" s="768">
        <v>1000.015</v>
      </c>
      <c r="Y33" s="1481">
        <v>519.96800000000007</v>
      </c>
      <c r="Z33" s="1291">
        <v>2387.8000000000002</v>
      </c>
      <c r="AA33" s="1481">
        <v>317</v>
      </c>
      <c r="AB33" s="1481">
        <v>565</v>
      </c>
      <c r="AC33" s="1481">
        <v>1055</v>
      </c>
      <c r="AD33" s="1481">
        <v>496</v>
      </c>
      <c r="AE33" s="1480">
        <f>SUM(AA33:AD33)</f>
        <v>2433</v>
      </c>
      <c r="AF33" s="1456">
        <v>303</v>
      </c>
      <c r="AG33" s="1452">
        <v>537</v>
      </c>
      <c r="AH33" s="1452">
        <v>936</v>
      </c>
      <c r="AI33" s="1452">
        <v>516</v>
      </c>
      <c r="AJ33" s="1480">
        <f>SUM(AF33:AI33)</f>
        <v>2292</v>
      </c>
      <c r="AK33" s="1491"/>
      <c r="AL33" s="1492"/>
      <c r="AM33" s="1492"/>
      <c r="AN33" s="1493"/>
      <c r="AO33" s="1494"/>
      <c r="AP33" s="1491"/>
      <c r="AQ33" s="1492"/>
      <c r="AR33" s="1492"/>
      <c r="AS33" s="1493"/>
      <c r="AT33" s="1494"/>
      <c r="AU33" s="1491"/>
      <c r="AV33" s="1492"/>
      <c r="AW33" s="742"/>
      <c r="AX33" s="742"/>
      <c r="AY33" s="1494"/>
      <c r="AZ33" s="743"/>
      <c r="BA33" s="742"/>
      <c r="BB33" s="742"/>
      <c r="BC33" s="742"/>
      <c r="BD33" s="1494"/>
      <c r="BE33" s="743"/>
      <c r="BF33" s="742"/>
      <c r="BG33" s="742"/>
      <c r="BH33" s="742"/>
      <c r="BI33" s="1494"/>
      <c r="BJ33" s="743"/>
      <c r="BK33" s="742"/>
      <c r="BL33" s="742"/>
      <c r="BM33" s="742"/>
      <c r="BN33" s="1495"/>
      <c r="BO33" s="743"/>
      <c r="BP33" s="742"/>
      <c r="BQ33" s="742"/>
      <c r="BR33" s="742"/>
      <c r="BS33" s="1495"/>
      <c r="BT33" s="743"/>
      <c r="BU33" s="742"/>
      <c r="BV33" s="742"/>
      <c r="BW33" s="742"/>
      <c r="BX33" s="1495"/>
      <c r="BY33" s="1496"/>
      <c r="BZ33" s="1496"/>
      <c r="CA33" s="1496"/>
      <c r="CF33" s="1497" t="str">
        <f t="shared" ref="CF33:CK35" si="60">+A33</f>
        <v>McGraw-Hill Education</v>
      </c>
      <c r="CG33" s="744">
        <f t="shared" si="60"/>
        <v>2290</v>
      </c>
      <c r="CH33" s="741">
        <f t="shared" si="60"/>
        <v>2343</v>
      </c>
      <c r="CI33" s="741">
        <f t="shared" si="60"/>
        <v>2349</v>
      </c>
      <c r="CJ33" s="741">
        <f t="shared" si="60"/>
        <v>2396</v>
      </c>
      <c r="CK33" s="741">
        <f t="shared" si="60"/>
        <v>2672</v>
      </c>
      <c r="CL33" s="1291">
        <f>+K33</f>
        <v>2524</v>
      </c>
      <c r="CM33" s="1480">
        <f>+P33</f>
        <v>2706</v>
      </c>
      <c r="CN33" s="1480">
        <f>+U33</f>
        <v>2638.893</v>
      </c>
      <c r="CO33" s="1480">
        <f>+Z33</f>
        <v>2387.8000000000002</v>
      </c>
      <c r="CP33" s="1480">
        <f>+AE33</f>
        <v>2433</v>
      </c>
      <c r="CQ33" s="1480">
        <f>+AJ33</f>
        <v>2292</v>
      </c>
      <c r="CR33" s="1494"/>
      <c r="CS33" s="1494"/>
      <c r="CT33" s="1494"/>
      <c r="CU33" s="1494"/>
      <c r="CV33" s="1491"/>
      <c r="CW33" s="1495"/>
      <c r="CX33" s="1495"/>
      <c r="CY33" s="1495"/>
      <c r="CZ33" s="1496"/>
      <c r="DA33" s="1496"/>
      <c r="DB33" s="1496"/>
    </row>
    <row r="34" spans="1:106" ht="12" hidden="1" customHeight="1" outlineLevel="1">
      <c r="A34" s="1498" t="s">
        <v>294</v>
      </c>
      <c r="B34" s="745">
        <v>0.12</v>
      </c>
      <c r="C34" s="1342">
        <f>C33/B33-1</f>
        <v>2.3144104803493493E-2</v>
      </c>
      <c r="D34" s="1342">
        <f>D33/C33-1</f>
        <v>2.5608194622279701E-3</v>
      </c>
      <c r="E34" s="1342">
        <f>E33/D33-1</f>
        <v>2.0008514261387722E-2</v>
      </c>
      <c r="F34" s="1342">
        <f>F33/E33-1</f>
        <v>0.11519198664440733</v>
      </c>
      <c r="G34" s="1319"/>
      <c r="H34" s="1319"/>
      <c r="I34" s="1319"/>
      <c r="J34" s="1319"/>
      <c r="K34" s="1342">
        <f>K33/F33-1</f>
        <v>-5.5389221556886192E-2</v>
      </c>
      <c r="L34" s="1319"/>
      <c r="M34" s="1319"/>
      <c r="N34" s="1319"/>
      <c r="O34" s="1319"/>
      <c r="P34" s="1342">
        <f>P33/K33-1</f>
        <v>7.2107765451663974E-2</v>
      </c>
      <c r="Q34" s="1319"/>
      <c r="R34" s="1319"/>
      <c r="S34" s="1319"/>
      <c r="T34" s="1319"/>
      <c r="U34" s="1342">
        <f>U33/P33-1</f>
        <v>-2.4799334811529961E-2</v>
      </c>
      <c r="V34" s="1319"/>
      <c r="W34" s="1319"/>
      <c r="X34" s="1319"/>
      <c r="Y34" s="1319"/>
      <c r="Z34" s="1342">
        <f t="shared" ref="Z34:AJ34" si="61">Z33/U33-1</f>
        <v>-9.5150883343886994E-2</v>
      </c>
      <c r="AA34" s="1408">
        <f t="shared" si="61"/>
        <v>1.3984671878398691E-2</v>
      </c>
      <c r="AB34" s="1408">
        <f t="shared" si="61"/>
        <v>1.7671459629063246E-2</v>
      </c>
      <c r="AC34" s="1408">
        <f t="shared" si="61"/>
        <v>5.4984175237371424E-2</v>
      </c>
      <c r="AD34" s="1408">
        <f t="shared" si="61"/>
        <v>-4.6095144316573466E-2</v>
      </c>
      <c r="AE34" s="1342">
        <f t="shared" si="61"/>
        <v>1.8929558589496631E-2</v>
      </c>
      <c r="AF34" s="1408">
        <f t="shared" si="61"/>
        <v>-4.4164037854889537E-2</v>
      </c>
      <c r="AG34" s="1408">
        <f t="shared" si="61"/>
        <v>-4.955752212389386E-2</v>
      </c>
      <c r="AH34" s="1408">
        <f t="shared" si="61"/>
        <v>-0.11279620853080574</v>
      </c>
      <c r="AI34" s="1408">
        <f t="shared" si="61"/>
        <v>4.0322580645161255E-2</v>
      </c>
      <c r="AJ34" s="1342">
        <f t="shared" si="61"/>
        <v>-5.7953144266337908E-2</v>
      </c>
      <c r="AK34" s="1499"/>
      <c r="AL34" s="1499"/>
      <c r="AM34" s="1499"/>
      <c r="AN34" s="1499"/>
      <c r="AO34" s="1314"/>
      <c r="AP34" s="1499"/>
      <c r="AQ34" s="1499"/>
      <c r="AR34" s="1499"/>
      <c r="AS34" s="1499"/>
      <c r="AT34" s="1314"/>
      <c r="AU34" s="1499"/>
      <c r="AV34" s="1499"/>
      <c r="AW34" s="1499"/>
      <c r="AX34" s="746"/>
      <c r="AY34" s="1314"/>
      <c r="AZ34" s="1499"/>
      <c r="BA34" s="1499"/>
      <c r="BB34" s="1499"/>
      <c r="BC34" s="746"/>
      <c r="BD34" s="1314"/>
      <c r="BE34" s="1499"/>
      <c r="BF34" s="1499"/>
      <c r="BG34" s="1499"/>
      <c r="BH34" s="746"/>
      <c r="BI34" s="1314"/>
      <c r="BJ34" s="1499"/>
      <c r="BK34" s="1499"/>
      <c r="BL34" s="1499"/>
      <c r="BM34" s="746"/>
      <c r="BN34" s="1500"/>
      <c r="BO34" s="1499"/>
      <c r="BP34" s="1499"/>
      <c r="BQ34" s="1499"/>
      <c r="BR34" s="746"/>
      <c r="BS34" s="1500"/>
      <c r="BT34" s="1499"/>
      <c r="BU34" s="1499"/>
      <c r="BV34" s="1499"/>
      <c r="BW34" s="746"/>
      <c r="BX34" s="1500"/>
      <c r="BY34" s="1501"/>
      <c r="BZ34" s="1501"/>
      <c r="CA34" s="1501"/>
      <c r="CF34" s="1502" t="str">
        <f t="shared" si="60"/>
        <v>y/y chg</v>
      </c>
      <c r="CG34" s="747">
        <f t="shared" si="60"/>
        <v>0.12</v>
      </c>
      <c r="CH34" s="1342">
        <f t="shared" si="60"/>
        <v>2.3144104803493493E-2</v>
      </c>
      <c r="CI34" s="1342">
        <f t="shared" si="60"/>
        <v>2.5608194622279701E-3</v>
      </c>
      <c r="CJ34" s="1342">
        <f t="shared" si="60"/>
        <v>2.0008514261387722E-2</v>
      </c>
      <c r="CK34" s="1342">
        <f t="shared" si="60"/>
        <v>0.11519198664440733</v>
      </c>
      <c r="CL34" s="1342">
        <f>+K34</f>
        <v>-5.5389221556886192E-2</v>
      </c>
      <c r="CM34" s="1342">
        <f>+P34</f>
        <v>7.2107765451663974E-2</v>
      </c>
      <c r="CN34" s="1342">
        <f>+U34</f>
        <v>-2.4799334811529961E-2</v>
      </c>
      <c r="CO34" s="1342">
        <f>+Z34</f>
        <v>-9.5150883343886994E-2</v>
      </c>
      <c r="CP34" s="1342">
        <f>+AE34</f>
        <v>1.8929558589496631E-2</v>
      </c>
      <c r="CQ34" s="1342">
        <f>+AJ34</f>
        <v>-5.7953144266337908E-2</v>
      </c>
      <c r="CR34" s="1314"/>
      <c r="CS34" s="1314"/>
      <c r="CT34" s="1314"/>
      <c r="CU34" s="1314"/>
      <c r="CV34" s="1503"/>
      <c r="CW34" s="1500"/>
      <c r="CX34" s="1500"/>
      <c r="CY34" s="1500"/>
      <c r="CZ34" s="1501"/>
      <c r="DA34" s="1501"/>
      <c r="DB34" s="1501"/>
    </row>
    <row r="35" spans="1:106" ht="12" hidden="1" customHeight="1" outlineLevel="1">
      <c r="A35" s="1498" t="s">
        <v>299</v>
      </c>
      <c r="B35" s="1342">
        <f>B33/B37</f>
        <v>0.50507278341420381</v>
      </c>
      <c r="C35" s="1342">
        <f>C33/C37</f>
        <v>0.49766355140186919</v>
      </c>
      <c r="D35" s="1342">
        <f>D33/D37</f>
        <v>0.4803680981595092</v>
      </c>
      <c r="E35" s="1342">
        <f>E33/E37</f>
        <v>0.45629403923062273</v>
      </c>
      <c r="F35" s="1342">
        <f>F33/F37</f>
        <v>0.44503664223850764</v>
      </c>
      <c r="G35" s="1319"/>
      <c r="H35" s="1319"/>
      <c r="I35" s="1319"/>
      <c r="J35" s="1319"/>
      <c r="K35" s="1342">
        <f>K33/K37</f>
        <v>0.40351718625099919</v>
      </c>
      <c r="L35" s="1319"/>
      <c r="M35" s="1319"/>
      <c r="N35" s="1319"/>
      <c r="O35" s="1319"/>
      <c r="P35" s="1342">
        <f>P33/P37</f>
        <v>0.3995865327820437</v>
      </c>
      <c r="Q35" s="1319"/>
      <c r="R35" s="1319"/>
      <c r="S35" s="1319"/>
      <c r="T35" s="1319"/>
      <c r="U35" s="1342">
        <f>U33/U37</f>
        <v>0.41522105713997548</v>
      </c>
      <c r="V35" s="1319"/>
      <c r="W35" s="1319"/>
      <c r="X35" s="1319"/>
      <c r="Y35" s="1319"/>
      <c r="Z35" s="1342">
        <f t="shared" ref="Z35:AJ35" si="62">Z33/Z37</f>
        <v>0.4067178797117989</v>
      </c>
      <c r="AA35" s="1408">
        <f>AA33/AA37</f>
        <v>0.27070879590093938</v>
      </c>
      <c r="AB35" s="1408">
        <f t="shared" si="62"/>
        <v>0.38992408557625952</v>
      </c>
      <c r="AC35" s="1408">
        <f t="shared" si="62"/>
        <v>0.53936605316973418</v>
      </c>
      <c r="AD35" s="1408">
        <f t="shared" si="62"/>
        <v>0.33155080213903743</v>
      </c>
      <c r="AE35" s="1342">
        <f t="shared" si="62"/>
        <v>0.4006916996047431</v>
      </c>
      <c r="AF35" s="1408">
        <f t="shared" si="62"/>
        <v>0.24009508716323297</v>
      </c>
      <c r="AG35" s="1408">
        <f t="shared" si="62"/>
        <v>0.34489402697495181</v>
      </c>
      <c r="AH35" s="1408">
        <f t="shared" si="62"/>
        <v>0.4908232826428946</v>
      </c>
      <c r="AI35" s="1408">
        <f t="shared" si="62"/>
        <v>0.33947368421052632</v>
      </c>
      <c r="AJ35" s="1342">
        <f t="shared" si="62"/>
        <v>0.36695485110470699</v>
      </c>
      <c r="AK35" s="1499"/>
      <c r="AL35" s="1499"/>
      <c r="AM35" s="1499"/>
      <c r="AN35" s="1499"/>
      <c r="AO35" s="1314"/>
      <c r="AP35" s="1499"/>
      <c r="AQ35" s="1499"/>
      <c r="AR35" s="1499"/>
      <c r="AS35" s="1499"/>
      <c r="AT35" s="1314"/>
      <c r="AU35" s="1499"/>
      <c r="AV35" s="1499"/>
      <c r="AW35" s="1499"/>
      <c r="AX35" s="746"/>
      <c r="AY35" s="1314"/>
      <c r="AZ35" s="1499"/>
      <c r="BA35" s="1499"/>
      <c r="BB35" s="1499"/>
      <c r="BC35" s="746"/>
      <c r="BD35" s="1314"/>
      <c r="BE35" s="1499"/>
      <c r="BF35" s="1499"/>
      <c r="BG35" s="1499"/>
      <c r="BH35" s="746"/>
      <c r="BI35" s="1314"/>
      <c r="BJ35" s="1499"/>
      <c r="BK35" s="1499"/>
      <c r="BL35" s="1499"/>
      <c r="BM35" s="746"/>
      <c r="BN35" s="1500"/>
      <c r="BO35" s="1499"/>
      <c r="BP35" s="1499"/>
      <c r="BQ35" s="1499"/>
      <c r="BR35" s="746"/>
      <c r="BS35" s="1500"/>
      <c r="BT35" s="1499"/>
      <c r="BU35" s="1499"/>
      <c r="BV35" s="1499"/>
      <c r="BW35" s="746"/>
      <c r="BX35" s="1500"/>
      <c r="BY35" s="1501"/>
      <c r="BZ35" s="1501"/>
      <c r="CA35" s="1501"/>
      <c r="CF35" s="1502" t="str">
        <f t="shared" si="60"/>
        <v>% of total revenue</v>
      </c>
      <c r="CG35" s="1486">
        <f t="shared" si="60"/>
        <v>0.50507278341420381</v>
      </c>
      <c r="CH35" s="1342">
        <f t="shared" si="60"/>
        <v>0.49766355140186919</v>
      </c>
      <c r="CI35" s="1342">
        <f t="shared" si="60"/>
        <v>0.4803680981595092</v>
      </c>
      <c r="CJ35" s="1342">
        <f t="shared" si="60"/>
        <v>0.45629403923062273</v>
      </c>
      <c r="CK35" s="1342">
        <f t="shared" si="60"/>
        <v>0.44503664223850764</v>
      </c>
      <c r="CL35" s="1342">
        <f>+K35</f>
        <v>0.40351718625099919</v>
      </c>
      <c r="CM35" s="1342">
        <f>+P35</f>
        <v>0.3995865327820437</v>
      </c>
      <c r="CN35" s="1342">
        <f>+U35</f>
        <v>0.41522105713997548</v>
      </c>
      <c r="CO35" s="1342">
        <f>+Z35</f>
        <v>0.4067178797117989</v>
      </c>
      <c r="CP35" s="1342">
        <f>+AE35</f>
        <v>0.4006916996047431</v>
      </c>
      <c r="CQ35" s="1342">
        <f>+AJ35</f>
        <v>0.36695485110470699</v>
      </c>
      <c r="CR35" s="1314"/>
      <c r="CS35" s="1314"/>
      <c r="CT35" s="1314"/>
      <c r="CU35" s="1314"/>
      <c r="CV35" s="1503"/>
      <c r="CW35" s="1500"/>
      <c r="CX35" s="1500"/>
      <c r="CY35" s="1500"/>
      <c r="CZ35" s="1501"/>
      <c r="DA35" s="1501"/>
      <c r="DB35" s="1501"/>
    </row>
    <row r="36" spans="1:106" ht="12" hidden="1" customHeight="1" outlineLevel="1">
      <c r="A36" s="1485"/>
      <c r="B36" s="1264"/>
      <c r="C36" s="1264"/>
      <c r="D36" s="1264"/>
      <c r="E36" s="1264"/>
      <c r="F36" s="1264"/>
      <c r="G36" s="1319"/>
      <c r="H36" s="1319"/>
      <c r="I36" s="1319"/>
      <c r="J36" s="1319"/>
      <c r="K36" s="1264"/>
      <c r="L36" s="1319"/>
      <c r="M36" s="1319"/>
      <c r="N36" s="1319"/>
      <c r="O36" s="1319"/>
      <c r="P36" s="1264"/>
      <c r="Q36" s="1319"/>
      <c r="R36" s="1319"/>
      <c r="S36" s="1319"/>
      <c r="T36" s="1319"/>
      <c r="U36" s="1264"/>
      <c r="V36" s="1319"/>
      <c r="W36" s="1319"/>
      <c r="X36" s="1319"/>
      <c r="Y36" s="1319"/>
      <c r="Z36" s="1264"/>
      <c r="AA36" s="1266"/>
      <c r="AB36" s="1266"/>
      <c r="AC36" s="1266"/>
      <c r="AD36" s="1267"/>
      <c r="AE36" s="1269"/>
      <c r="AF36" s="1408"/>
      <c r="AG36" s="1408"/>
      <c r="AH36" s="1408"/>
      <c r="AI36" s="1408"/>
      <c r="AJ36" s="1342"/>
      <c r="AK36" s="1408"/>
      <c r="AL36" s="1266"/>
      <c r="AM36" s="1266"/>
      <c r="AN36" s="1408"/>
      <c r="AO36" s="1342"/>
      <c r="AP36" s="1408"/>
      <c r="AQ36" s="1266"/>
      <c r="AR36" s="1266"/>
      <c r="AS36" s="1408"/>
      <c r="AT36" s="1453"/>
      <c r="AU36" s="1408"/>
      <c r="AV36" s="1266"/>
      <c r="AW36" s="1266"/>
      <c r="AX36" s="1267"/>
      <c r="AY36" s="1453"/>
      <c r="AZ36" s="1408"/>
      <c r="BA36" s="1266"/>
      <c r="BB36" s="1266"/>
      <c r="BC36" s="1267"/>
      <c r="BD36" s="1453"/>
      <c r="BE36" s="1400"/>
      <c r="BF36" s="1266"/>
      <c r="BG36" s="1266"/>
      <c r="BH36" s="1267"/>
      <c r="BI36" s="1453"/>
      <c r="BJ36" s="1408"/>
      <c r="BK36" s="1266"/>
      <c r="BL36" s="1266"/>
      <c r="BM36" s="1267"/>
      <c r="BN36" s="1269"/>
      <c r="BO36" s="1408"/>
      <c r="BP36" s="1266"/>
      <c r="BQ36" s="1266"/>
      <c r="BR36" s="1267"/>
      <c r="BS36" s="1269"/>
      <c r="BT36" s="1408"/>
      <c r="BU36" s="1266"/>
      <c r="BV36" s="1266"/>
      <c r="BW36" s="1267"/>
      <c r="BX36" s="1269"/>
      <c r="BY36" s="1489"/>
      <c r="BZ36" s="1489"/>
      <c r="CA36" s="1489"/>
      <c r="CF36" s="1487"/>
      <c r="CG36" s="1272"/>
      <c r="CH36" s="1264"/>
      <c r="CI36" s="1264"/>
      <c r="CJ36" s="1264"/>
      <c r="CK36" s="1264"/>
      <c r="CL36" s="1264"/>
      <c r="CM36" s="1269"/>
      <c r="CN36" s="1269"/>
      <c r="CO36" s="1269"/>
      <c r="CP36" s="1269"/>
      <c r="CQ36" s="1342"/>
      <c r="CR36" s="1342"/>
      <c r="CS36" s="1453"/>
      <c r="CT36" s="1453"/>
      <c r="CU36" s="1453"/>
      <c r="CV36" s="1456"/>
      <c r="CW36" s="1269"/>
      <c r="CX36" s="1269"/>
      <c r="CY36" s="1269"/>
      <c r="CZ36" s="1489"/>
      <c r="DA36" s="1489"/>
      <c r="DB36" s="1489"/>
    </row>
    <row r="37" spans="1:106" s="768" customFormat="1" ht="12" hidden="1" customHeight="1" outlineLevel="1">
      <c r="A37" s="768" t="s">
        <v>188</v>
      </c>
      <c r="B37" s="1480">
        <f>B30+B33</f>
        <v>4534</v>
      </c>
      <c r="C37" s="1480">
        <f>C30+C33</f>
        <v>4708</v>
      </c>
      <c r="D37" s="1480">
        <f>D30+D33</f>
        <v>4890</v>
      </c>
      <c r="E37" s="1480">
        <f>E30+E33</f>
        <v>5251</v>
      </c>
      <c r="F37" s="1480">
        <f>F30+F33</f>
        <v>6004</v>
      </c>
      <c r="G37" s="1319" t="s">
        <v>249</v>
      </c>
      <c r="H37" s="1319" t="s">
        <v>249</v>
      </c>
      <c r="I37" s="1319" t="s">
        <v>249</v>
      </c>
      <c r="J37" s="1319" t="s">
        <v>249</v>
      </c>
      <c r="K37" s="1480">
        <f>K30+K33</f>
        <v>6255</v>
      </c>
      <c r="L37" s="1319" t="s">
        <v>249</v>
      </c>
      <c r="M37" s="1319" t="s">
        <v>249</v>
      </c>
      <c r="N37" s="1319" t="s">
        <v>249</v>
      </c>
      <c r="O37" s="1319" t="s">
        <v>249</v>
      </c>
      <c r="P37" s="1480">
        <f>P30+P33</f>
        <v>6772</v>
      </c>
      <c r="Q37" s="1319" t="s">
        <v>249</v>
      </c>
      <c r="R37" s="1319" t="s">
        <v>249</v>
      </c>
      <c r="S37" s="1319" t="s">
        <v>249</v>
      </c>
      <c r="T37" s="1319" t="s">
        <v>249</v>
      </c>
      <c r="U37" s="1480">
        <f>U30+U33</f>
        <v>6355.393</v>
      </c>
      <c r="V37" s="1319" t="s">
        <v>249</v>
      </c>
      <c r="W37" s="1319" t="s">
        <v>249</v>
      </c>
      <c r="X37" s="1319" t="s">
        <v>249</v>
      </c>
      <c r="Y37" s="1319" t="s">
        <v>249</v>
      </c>
      <c r="Z37" s="1480">
        <f>Z30+Z33</f>
        <v>5870.9</v>
      </c>
      <c r="AA37" s="1481">
        <f>AA30+AA33</f>
        <v>1171</v>
      </c>
      <c r="AB37" s="785">
        <f>AB30+AB33</f>
        <v>1449</v>
      </c>
      <c r="AC37" s="785">
        <f>AC30+AC33</f>
        <v>1956</v>
      </c>
      <c r="AD37" s="785">
        <f>AD30+AD33</f>
        <v>1496</v>
      </c>
      <c r="AE37" s="1480">
        <f>SUM(AA37:AD37)</f>
        <v>6072</v>
      </c>
      <c r="AF37" s="785">
        <f>AF30+AF33</f>
        <v>1262</v>
      </c>
      <c r="AG37" s="785">
        <f>AG30+AG33</f>
        <v>1557</v>
      </c>
      <c r="AH37" s="785">
        <f>AH30+AH33</f>
        <v>1907</v>
      </c>
      <c r="AI37" s="785">
        <f>AI30+AI33</f>
        <v>1520</v>
      </c>
      <c r="AJ37" s="1480">
        <f>SUM(AF37:AI37)</f>
        <v>6246</v>
      </c>
      <c r="AK37" s="785">
        <f t="shared" ref="AK37:AR37" si="63">AK30+AK33</f>
        <v>1035</v>
      </c>
      <c r="AL37" s="785">
        <f t="shared" si="63"/>
        <v>1072</v>
      </c>
      <c r="AM37" s="785">
        <f t="shared" si="63"/>
        <v>1116</v>
      </c>
      <c r="AN37" s="785">
        <f t="shared" si="63"/>
        <v>1226</v>
      </c>
      <c r="AO37" s="1453">
        <f t="shared" si="63"/>
        <v>4449</v>
      </c>
      <c r="AP37" s="785">
        <f t="shared" si="63"/>
        <v>1181</v>
      </c>
      <c r="AQ37" s="785">
        <f t="shared" si="63"/>
        <v>1250</v>
      </c>
      <c r="AR37" s="785">
        <f t="shared" si="63"/>
        <v>1152</v>
      </c>
      <c r="AS37" s="785">
        <f>AS30</f>
        <v>1206</v>
      </c>
      <c r="AT37" s="1480">
        <f>AT30</f>
        <v>4789</v>
      </c>
      <c r="AU37" s="785">
        <f>AU30+AU33</f>
        <v>1196</v>
      </c>
      <c r="AV37" s="785">
        <f>AV30+AV33</f>
        <v>1302</v>
      </c>
      <c r="AW37" s="785">
        <f>AW30+AW33</f>
        <v>1263</v>
      </c>
      <c r="AX37" s="785">
        <f>AX30</f>
        <v>1290</v>
      </c>
      <c r="AY37" s="1480">
        <f>AY30</f>
        <v>5051</v>
      </c>
      <c r="AZ37" s="785">
        <f>AZ30+AZ33</f>
        <v>1273</v>
      </c>
      <c r="BA37" s="785">
        <f>BA30+BA33</f>
        <v>1342</v>
      </c>
      <c r="BB37" s="785">
        <f>BB30+BB33</f>
        <v>1324</v>
      </c>
      <c r="BC37" s="785">
        <f>BC30+BC33</f>
        <v>1374</v>
      </c>
      <c r="BD37" s="1480">
        <f>BD30</f>
        <v>5313</v>
      </c>
      <c r="BE37" s="785">
        <f>BE30+BE33</f>
        <v>1341</v>
      </c>
      <c r="BF37" s="785">
        <f>BF30+BF33</f>
        <v>1482</v>
      </c>
      <c r="BG37" s="785">
        <f>BG30+BG33</f>
        <v>1439</v>
      </c>
      <c r="BH37" s="785">
        <f>BH30</f>
        <v>1399</v>
      </c>
      <c r="BI37" s="1480">
        <f>BI30</f>
        <v>5661</v>
      </c>
      <c r="BJ37" s="785">
        <f>BJ30+BJ33</f>
        <v>1453</v>
      </c>
      <c r="BK37" s="785">
        <f>BK30+BK33</f>
        <v>1509</v>
      </c>
      <c r="BL37" s="785">
        <f>BL30+BL33</f>
        <v>1513</v>
      </c>
      <c r="BM37" s="785">
        <f>BM30</f>
        <v>1589</v>
      </c>
      <c r="BN37" s="1480">
        <f>BN30</f>
        <v>6064</v>
      </c>
      <c r="BO37" s="785">
        <f>BO30+BO33</f>
        <v>1567</v>
      </c>
      <c r="BP37" s="785">
        <f>BP30+BP33</f>
        <v>1640.3822248173824</v>
      </c>
      <c r="BQ37" s="785">
        <f>BQ30+BQ33</f>
        <v>1623.3294381545411</v>
      </c>
      <c r="BR37" s="785">
        <f t="shared" ref="BR37:BZ38" si="64">BR30</f>
        <v>1671.1382330674171</v>
      </c>
      <c r="BS37" s="1480">
        <f t="shared" si="64"/>
        <v>6501.8498960393417</v>
      </c>
      <c r="BT37" s="785"/>
      <c r="BU37" s="785"/>
      <c r="BV37" s="785"/>
      <c r="BW37" s="785"/>
      <c r="BX37" s="1480">
        <f t="shared" si="64"/>
        <v>6876.0376363538717</v>
      </c>
      <c r="BY37" s="1482">
        <f t="shared" si="64"/>
        <v>7231.525800987436</v>
      </c>
      <c r="BZ37" s="1482">
        <f t="shared" si="64"/>
        <v>7608.3788965346157</v>
      </c>
      <c r="CA37" s="1482"/>
      <c r="CB37" s="1504"/>
      <c r="CF37" s="1291" t="str">
        <f t="shared" ref="CF37:CK38" si="65">+A37</f>
        <v>Total Revenue</v>
      </c>
      <c r="CG37" s="1482">
        <f t="shared" si="65"/>
        <v>4534</v>
      </c>
      <c r="CH37" s="1480">
        <f t="shared" si="65"/>
        <v>4708</v>
      </c>
      <c r="CI37" s="1480">
        <f t="shared" si="65"/>
        <v>4890</v>
      </c>
      <c r="CJ37" s="1480">
        <f t="shared" si="65"/>
        <v>5251</v>
      </c>
      <c r="CK37" s="1480">
        <f t="shared" si="65"/>
        <v>6004</v>
      </c>
      <c r="CL37" s="1480">
        <f>+K37</f>
        <v>6255</v>
      </c>
      <c r="CM37" s="1480">
        <f>+P37</f>
        <v>6772</v>
      </c>
      <c r="CN37" s="1480">
        <f>+U37</f>
        <v>6355.393</v>
      </c>
      <c r="CO37" s="1480">
        <f>+Z37</f>
        <v>5870.9</v>
      </c>
      <c r="CP37" s="1480">
        <f>+AE37</f>
        <v>6072</v>
      </c>
      <c r="CQ37" s="1480">
        <f>+AJ37</f>
        <v>6246</v>
      </c>
      <c r="CR37" s="1453">
        <f>+AO37</f>
        <v>4449</v>
      </c>
      <c r="CS37" s="1480">
        <f>+AT37</f>
        <v>4789</v>
      </c>
      <c r="CT37" s="1480">
        <f>+AY37</f>
        <v>5051</v>
      </c>
      <c r="CU37" s="1480">
        <f>+BD37</f>
        <v>5313</v>
      </c>
      <c r="CV37" s="1484">
        <f>+BI37</f>
        <v>5661</v>
      </c>
      <c r="CW37" s="1480">
        <f>+BN37</f>
        <v>6064</v>
      </c>
      <c r="CX37" s="1480">
        <f>+BS37</f>
        <v>6501.8498960393417</v>
      </c>
      <c r="CY37" s="1480">
        <f t="shared" ref="CY37:DB38" si="66">+BX37</f>
        <v>6876.0376363538717</v>
      </c>
      <c r="CZ37" s="1482">
        <f t="shared" si="66"/>
        <v>7231.525800987436</v>
      </c>
      <c r="DA37" s="1482">
        <f t="shared" si="66"/>
        <v>7608.3788965346157</v>
      </c>
      <c r="DB37" s="1482">
        <f t="shared" si="66"/>
        <v>0</v>
      </c>
    </row>
    <row r="38" spans="1:106" ht="12" hidden="1" customHeight="1" outlineLevel="1">
      <c r="A38" s="1505" t="s">
        <v>294</v>
      </c>
      <c r="B38" s="748">
        <v>7.0000000000000007E-2</v>
      </c>
      <c r="C38" s="1506">
        <f>C37/B37-1</f>
        <v>3.8376709307454737E-2</v>
      </c>
      <c r="D38" s="1506">
        <f>D37/C37-1</f>
        <v>3.8657604078164765E-2</v>
      </c>
      <c r="E38" s="1506">
        <f>E37/D37-1</f>
        <v>7.3824130879345695E-2</v>
      </c>
      <c r="F38" s="1506">
        <f>F37/E37-1</f>
        <v>0.14340125690344707</v>
      </c>
      <c r="G38" s="1507"/>
      <c r="H38" s="1507"/>
      <c r="I38" s="1507"/>
      <c r="J38" s="1507"/>
      <c r="K38" s="1506">
        <f>K37/F37-1</f>
        <v>4.1805463024650269E-2</v>
      </c>
      <c r="L38" s="1507"/>
      <c r="M38" s="1507"/>
      <c r="N38" s="1507"/>
      <c r="O38" s="1507"/>
      <c r="P38" s="1506">
        <f>P37/K37-1</f>
        <v>8.2653876898481249E-2</v>
      </c>
      <c r="Q38" s="1507"/>
      <c r="R38" s="1507"/>
      <c r="S38" s="1507"/>
      <c r="T38" s="1507"/>
      <c r="U38" s="1506">
        <f>U37/P37-1</f>
        <v>-6.1519049025398731E-2</v>
      </c>
      <c r="V38" s="1507"/>
      <c r="W38" s="1507"/>
      <c r="X38" s="1507"/>
      <c r="Y38" s="1507"/>
      <c r="Z38" s="1506">
        <f>Z37/U37-1</f>
        <v>-7.6233365898851657E-2</v>
      </c>
      <c r="AA38" s="1508"/>
      <c r="AB38" s="1508"/>
      <c r="AC38" s="1508"/>
      <c r="AD38" s="1509"/>
      <c r="AE38" s="1510"/>
      <c r="AF38" s="1511">
        <f t="shared" ref="AF38:AQ38" si="67">AF37/AA37-1</f>
        <v>7.7711357813834425E-2</v>
      </c>
      <c r="AG38" s="1511">
        <f t="shared" si="67"/>
        <v>7.4534161490683148E-2</v>
      </c>
      <c r="AH38" s="1511">
        <f t="shared" si="67"/>
        <v>-2.5051124744376319E-2</v>
      </c>
      <c r="AI38" s="1511">
        <f t="shared" si="67"/>
        <v>1.6042780748663166E-2</v>
      </c>
      <c r="AJ38" s="1506">
        <f t="shared" si="67"/>
        <v>2.8656126482213384E-2</v>
      </c>
      <c r="AK38" s="1511">
        <f t="shared" si="67"/>
        <v>-0.17987321711568938</v>
      </c>
      <c r="AL38" s="1511">
        <f t="shared" si="67"/>
        <v>-0.31149646756583171</v>
      </c>
      <c r="AM38" s="1511">
        <f t="shared" si="67"/>
        <v>-0.41478762454116413</v>
      </c>
      <c r="AN38" s="1511">
        <f t="shared" si="67"/>
        <v>-0.19342105263157894</v>
      </c>
      <c r="AO38" s="1506">
        <f t="shared" si="67"/>
        <v>-0.28770413064361189</v>
      </c>
      <c r="AP38" s="1511">
        <f t="shared" si="67"/>
        <v>0.1410628019323672</v>
      </c>
      <c r="AQ38" s="1511">
        <f t="shared" si="67"/>
        <v>0.16604477611940305</v>
      </c>
      <c r="AR38" s="1511">
        <f>AR37/AM37-1</f>
        <v>3.2258064516129004E-2</v>
      </c>
      <c r="AS38" s="1511">
        <f>AS31</f>
        <v>-1.6313213703099461E-2</v>
      </c>
      <c r="AT38" s="1506">
        <f>AT31</f>
        <v>7.6421667790514736E-2</v>
      </c>
      <c r="AU38" s="1511">
        <f>AU37/AP37-1</f>
        <v>1.2701100762066098E-2</v>
      </c>
      <c r="AV38" s="1511">
        <f>AV37/AQ37-1</f>
        <v>4.1600000000000081E-2</v>
      </c>
      <c r="AW38" s="1511">
        <f>AW37/AR37-1</f>
        <v>9.6354166666666741E-2</v>
      </c>
      <c r="AX38" s="1511">
        <f>AX31</f>
        <v>6.9651741293532243E-2</v>
      </c>
      <c r="AY38" s="1506">
        <f>AY31</f>
        <v>5.4708707454583339E-2</v>
      </c>
      <c r="AZ38" s="1511">
        <f>AZ37/AU37-1</f>
        <v>6.4381270903010046E-2</v>
      </c>
      <c r="BA38" s="1511">
        <f>BA37/AV37-1</f>
        <v>3.0721966205837115E-2</v>
      </c>
      <c r="BB38" s="1511">
        <f>BB37/AW37-1</f>
        <v>4.829770387965171E-2</v>
      </c>
      <c r="BC38" s="1511">
        <f>BC31</f>
        <v>6.5116279069767469E-2</v>
      </c>
      <c r="BD38" s="1506">
        <f>BD31</f>
        <v>5.1870916650168297E-2</v>
      </c>
      <c r="BE38" s="1511">
        <f>BE31</f>
        <v>5.3417124901806723E-2</v>
      </c>
      <c r="BF38" s="1511">
        <f>BF31</f>
        <v>0.10432190760059612</v>
      </c>
      <c r="BG38" s="1511">
        <f>BG37/BB37-1</f>
        <v>8.6858006042296099E-2</v>
      </c>
      <c r="BH38" s="1511">
        <f>BH31</f>
        <v>1.8195050946142599E-2</v>
      </c>
      <c r="BI38" s="1506">
        <f>BI31</f>
        <v>6.549971767363072E-2</v>
      </c>
      <c r="BJ38" s="1511">
        <f>BJ37/BE37-1</f>
        <v>8.3519761372110368E-2</v>
      </c>
      <c r="BK38" s="1511">
        <f>BK37/BF37-1</f>
        <v>1.8218623481781382E-2</v>
      </c>
      <c r="BL38" s="1511">
        <f>BL37/BG37-1</f>
        <v>5.142460041695629E-2</v>
      </c>
      <c r="BM38" s="1511">
        <f>BM31</f>
        <v>0.13581129378127232</v>
      </c>
      <c r="BN38" s="1506">
        <f>BN31</f>
        <v>7.1188835894718139E-2</v>
      </c>
      <c r="BO38" s="1511">
        <f>BO37/BJ37-1</f>
        <v>7.8458362009635296E-2</v>
      </c>
      <c r="BP38" s="1511">
        <f>BP37/BK37-1</f>
        <v>8.7065755346177776E-2</v>
      </c>
      <c r="BQ38" s="1511">
        <f>BQ37/BL37-1</f>
        <v>7.2920976969293561E-2</v>
      </c>
      <c r="BR38" s="1511">
        <f t="shared" si="64"/>
        <v>5.169177663147706E-2</v>
      </c>
      <c r="BS38" s="1506">
        <f t="shared" si="64"/>
        <v>7.2204798159521966E-2</v>
      </c>
      <c r="BT38" s="1511"/>
      <c r="BU38" s="1511"/>
      <c r="BV38" s="1511"/>
      <c r="BW38" s="1511"/>
      <c r="BX38" s="1506">
        <f t="shared" si="64"/>
        <v>5.7550965694004974E-2</v>
      </c>
      <c r="BY38" s="1512">
        <f t="shared" si="64"/>
        <v>5.1699566441301137E-2</v>
      </c>
      <c r="BZ38" s="1512">
        <f t="shared" si="64"/>
        <v>5.2112528658297963E-2</v>
      </c>
      <c r="CA38" s="1512"/>
      <c r="CF38" s="1513" t="str">
        <f t="shared" si="65"/>
        <v>y/y chg</v>
      </c>
      <c r="CG38" s="749">
        <f t="shared" si="65"/>
        <v>7.0000000000000007E-2</v>
      </c>
      <c r="CH38" s="1506">
        <f t="shared" si="65"/>
        <v>3.8376709307454737E-2</v>
      </c>
      <c r="CI38" s="1506">
        <f t="shared" si="65"/>
        <v>3.8657604078164765E-2</v>
      </c>
      <c r="CJ38" s="1506">
        <f t="shared" si="65"/>
        <v>7.3824130879345695E-2</v>
      </c>
      <c r="CK38" s="1506">
        <f t="shared" si="65"/>
        <v>0.14340125690344707</v>
      </c>
      <c r="CL38" s="1506">
        <f>+K38</f>
        <v>4.1805463024650269E-2</v>
      </c>
      <c r="CM38" s="1510">
        <f>+P38</f>
        <v>8.2653876898481249E-2</v>
      </c>
      <c r="CN38" s="1510">
        <f>+U38</f>
        <v>-6.1519049025398731E-2</v>
      </c>
      <c r="CO38" s="1510">
        <f>+Z38</f>
        <v>-7.6233365898851657E-2</v>
      </c>
      <c r="CP38" s="1510">
        <f>+AE38</f>
        <v>0</v>
      </c>
      <c r="CQ38" s="1506">
        <f>+AJ38</f>
        <v>2.8656126482213384E-2</v>
      </c>
      <c r="CR38" s="1506">
        <f>+AO38</f>
        <v>-0.28770413064361189</v>
      </c>
      <c r="CS38" s="1506">
        <f>+AT38</f>
        <v>7.6421667790514736E-2</v>
      </c>
      <c r="CT38" s="1506">
        <f>+AY38</f>
        <v>5.4708707454583339E-2</v>
      </c>
      <c r="CU38" s="1506">
        <f>+BD38</f>
        <v>5.1870916650168297E-2</v>
      </c>
      <c r="CV38" s="1514">
        <f>+BI38</f>
        <v>6.549971767363072E-2</v>
      </c>
      <c r="CW38" s="1506">
        <f>+BN38</f>
        <v>7.1188835894718139E-2</v>
      </c>
      <c r="CX38" s="1506">
        <f>+BS38</f>
        <v>7.2204798159521966E-2</v>
      </c>
      <c r="CY38" s="1506">
        <f t="shared" si="66"/>
        <v>5.7550965694004974E-2</v>
      </c>
      <c r="CZ38" s="1512">
        <f t="shared" si="66"/>
        <v>5.1699566441301137E-2</v>
      </c>
      <c r="DA38" s="1512">
        <f t="shared" si="66"/>
        <v>5.2112528658297963E-2</v>
      </c>
      <c r="DB38" s="1512">
        <f t="shared" si="66"/>
        <v>0</v>
      </c>
    </row>
    <row r="39" spans="1:106" s="1286" customFormat="1" ht="11.25" hidden="1" customHeight="1" collapsed="1">
      <c r="A39" s="2295" t="s">
        <v>300</v>
      </c>
      <c r="B39" s="1515"/>
      <c r="C39" s="1515"/>
      <c r="D39" s="1515"/>
      <c r="E39" s="1515"/>
      <c r="F39" s="1515"/>
      <c r="G39" s="1516"/>
      <c r="H39" s="1516"/>
      <c r="I39" s="1516"/>
      <c r="J39" s="1516"/>
      <c r="K39" s="1516"/>
      <c r="L39" s="1516"/>
      <c r="M39" s="1516"/>
      <c r="N39" s="1516"/>
      <c r="O39" s="1516"/>
      <c r="P39" s="1516"/>
      <c r="Q39" s="1516"/>
      <c r="R39" s="1516"/>
      <c r="S39" s="1516"/>
      <c r="T39" s="1516"/>
      <c r="U39" s="1516"/>
      <c r="V39" s="1515"/>
      <c r="W39" s="1515"/>
      <c r="X39" s="1515"/>
      <c r="Y39" s="1515"/>
      <c r="Z39" s="1515"/>
      <c r="AA39" s="1515"/>
      <c r="AB39" s="1515"/>
      <c r="AC39" s="1515"/>
      <c r="AD39" s="1515"/>
      <c r="AE39" s="1515"/>
      <c r="AF39" s="1515"/>
      <c r="AG39" s="1515"/>
      <c r="AH39" s="1515"/>
      <c r="AI39" s="1515"/>
      <c r="AJ39" s="1515"/>
      <c r="AK39" s="1515"/>
      <c r="AL39" s="1515"/>
      <c r="AM39" s="1515"/>
      <c r="AN39" s="1515"/>
      <c r="AO39" s="1515"/>
      <c r="AP39" s="1515"/>
      <c r="AQ39" s="1515"/>
      <c r="AR39" s="1515"/>
      <c r="AS39" s="1515"/>
      <c r="AT39" s="1515"/>
      <c r="AU39" s="1515"/>
      <c r="AV39" s="1515"/>
      <c r="AW39" s="1515"/>
      <c r="AX39" s="1515"/>
      <c r="AY39" s="1515"/>
      <c r="AZ39" s="1515"/>
      <c r="BA39" s="1515"/>
      <c r="BB39" s="1515"/>
      <c r="BC39" s="1515"/>
      <c r="BD39" s="1515"/>
      <c r="BE39" s="1515"/>
      <c r="BF39" s="1515"/>
      <c r="BG39" s="1515"/>
      <c r="BH39" s="1515"/>
      <c r="BI39" s="1515"/>
      <c r="BJ39" s="1515"/>
      <c r="BK39" s="1515"/>
      <c r="BL39" s="1515"/>
      <c r="BM39" s="1515"/>
      <c r="BN39" s="1515"/>
      <c r="BO39" s="1515"/>
      <c r="BP39" s="1515"/>
      <c r="BQ39" s="1515"/>
      <c r="BR39" s="1515"/>
      <c r="BS39" s="1515"/>
      <c r="BT39" s="1515"/>
      <c r="BU39" s="1515"/>
      <c r="BV39" s="1515"/>
      <c r="BW39" s="1515"/>
      <c r="BX39" s="1515"/>
      <c r="BY39" s="1517"/>
      <c r="BZ39" s="1517"/>
      <c r="CA39" s="1517"/>
      <c r="CF39" s="2297" t="str">
        <f t="shared" ref="CF39:CF44" si="68">+A39</f>
        <v>Expenses</v>
      </c>
      <c r="CG39" s="1515"/>
      <c r="CH39" s="1515"/>
      <c r="CI39" s="1515"/>
      <c r="CJ39" s="1515"/>
      <c r="CK39" s="1515"/>
      <c r="CL39" s="1516"/>
      <c r="CM39" s="1515"/>
      <c r="CN39" s="1515"/>
      <c r="CO39" s="1515"/>
      <c r="CP39" s="1515"/>
      <c r="CQ39" s="1515"/>
      <c r="CR39" s="1515"/>
      <c r="CS39" s="1515"/>
      <c r="CT39" s="1515"/>
      <c r="CU39" s="1515"/>
      <c r="CV39" s="1515"/>
      <c r="CW39" s="1515"/>
      <c r="CX39" s="1515"/>
      <c r="CY39" s="1515"/>
      <c r="CZ39" s="1517"/>
      <c r="DA39" s="1517"/>
      <c r="DB39" s="1517"/>
    </row>
    <row r="40" spans="1:106" s="1286" customFormat="1" ht="11.25" hidden="1" customHeight="1">
      <c r="A40" s="2296"/>
      <c r="B40" s="1518"/>
      <c r="C40" s="1518"/>
      <c r="D40" s="1518"/>
      <c r="E40" s="1518"/>
      <c r="F40" s="1518"/>
      <c r="G40" s="1519"/>
      <c r="H40" s="1519"/>
      <c r="I40" s="1519"/>
      <c r="J40" s="1519"/>
      <c r="K40" s="1519"/>
      <c r="L40" s="1519"/>
      <c r="M40" s="1519"/>
      <c r="N40" s="1519"/>
      <c r="O40" s="1519"/>
      <c r="P40" s="1519"/>
      <c r="Q40" s="1519"/>
      <c r="R40" s="1519"/>
      <c r="S40" s="1519"/>
      <c r="T40" s="1519"/>
      <c r="U40" s="1519"/>
      <c r="V40" s="1518"/>
      <c r="W40" s="1518"/>
      <c r="X40" s="1518"/>
      <c r="Y40" s="1518"/>
      <c r="Z40" s="1518"/>
      <c r="AA40" s="1518"/>
      <c r="AB40" s="1518"/>
      <c r="AC40" s="1518"/>
      <c r="AD40" s="1518"/>
      <c r="AE40" s="1518"/>
      <c r="AF40" s="1518"/>
      <c r="AG40" s="1518"/>
      <c r="AH40" s="1518"/>
      <c r="AI40" s="1518"/>
      <c r="AJ40" s="1518"/>
      <c r="AK40" s="1518"/>
      <c r="AL40" s="1518"/>
      <c r="AM40" s="1518"/>
      <c r="AN40" s="1518"/>
      <c r="AO40" s="1518"/>
      <c r="AP40" s="1518"/>
      <c r="AQ40" s="1518"/>
      <c r="AR40" s="1518"/>
      <c r="AS40" s="1518"/>
      <c r="AT40" s="1518"/>
      <c r="AU40" s="1518"/>
      <c r="AV40" s="1518"/>
      <c r="AW40" s="1518"/>
      <c r="AX40" s="1518"/>
      <c r="AY40" s="1518"/>
      <c r="AZ40" s="1518"/>
      <c r="BA40" s="1518"/>
      <c r="BB40" s="1518"/>
      <c r="BC40" s="1518"/>
      <c r="BD40" s="1518"/>
      <c r="BE40" s="1518"/>
      <c r="BF40" s="1518"/>
      <c r="BG40" s="1518"/>
      <c r="BH40" s="1518"/>
      <c r="BI40" s="1518"/>
      <c r="BJ40" s="1518"/>
      <c r="BK40" s="1518"/>
      <c r="BL40" s="1518"/>
      <c r="BM40" s="1518"/>
      <c r="BN40" s="1518"/>
      <c r="BO40" s="1518"/>
      <c r="BP40" s="1518"/>
      <c r="BQ40" s="1518"/>
      <c r="BR40" s="1518"/>
      <c r="BS40" s="1518"/>
      <c r="BT40" s="1518"/>
      <c r="BU40" s="1518"/>
      <c r="BV40" s="1518"/>
      <c r="BW40" s="1518"/>
      <c r="BX40" s="1518"/>
      <c r="BY40" s="1520"/>
      <c r="BZ40" s="1520"/>
      <c r="CA40" s="1520"/>
      <c r="CF40" s="2298">
        <f t="shared" si="68"/>
        <v>0</v>
      </c>
      <c r="CG40" s="1518"/>
      <c r="CH40" s="1518"/>
      <c r="CI40" s="1518"/>
      <c r="CJ40" s="1518"/>
      <c r="CK40" s="1518"/>
      <c r="CL40" s="1519"/>
      <c r="CM40" s="1518"/>
      <c r="CN40" s="1518"/>
      <c r="CO40" s="1518"/>
      <c r="CP40" s="1518"/>
      <c r="CQ40" s="1518"/>
      <c r="CR40" s="1518"/>
      <c r="CS40" s="1518"/>
      <c r="CT40" s="1518"/>
      <c r="CU40" s="1518"/>
      <c r="CV40" s="1518"/>
      <c r="CW40" s="1518"/>
      <c r="CX40" s="1518"/>
      <c r="CY40" s="1518"/>
      <c r="CZ40" s="1520"/>
      <c r="DA40" s="1520"/>
      <c r="DB40" s="1520"/>
    </row>
    <row r="41" spans="1:106" ht="12" hidden="1" customHeight="1">
      <c r="A41" s="1521" t="s">
        <v>301</v>
      </c>
      <c r="B41" s="1413"/>
      <c r="C41" s="1413"/>
      <c r="D41" s="1413"/>
      <c r="E41" s="1413"/>
      <c r="F41" s="1413"/>
      <c r="G41" s="1414" t="str">
        <f t="shared" ref="G41:AT41" si="69">G9</f>
        <v>1Q06</v>
      </c>
      <c r="H41" s="1414" t="str">
        <f t="shared" si="69"/>
        <v>2Q06</v>
      </c>
      <c r="I41" s="1414" t="str">
        <f t="shared" si="69"/>
        <v>3Q06</v>
      </c>
      <c r="J41" s="1414" t="str">
        <f t="shared" si="69"/>
        <v>4Q06</v>
      </c>
      <c r="K41" s="1415">
        <f t="shared" si="69"/>
        <v>2006</v>
      </c>
      <c r="L41" s="1414" t="str">
        <f t="shared" si="69"/>
        <v>1Q07</v>
      </c>
      <c r="M41" s="1414" t="str">
        <f t="shared" si="69"/>
        <v>2Q07</v>
      </c>
      <c r="N41" s="1414" t="str">
        <f t="shared" si="69"/>
        <v>3Q07</v>
      </c>
      <c r="O41" s="1414" t="str">
        <f t="shared" si="69"/>
        <v>4Q07</v>
      </c>
      <c r="P41" s="1415">
        <f t="shared" si="69"/>
        <v>2007</v>
      </c>
      <c r="Q41" s="1414" t="str">
        <f t="shared" si="69"/>
        <v>1Q08</v>
      </c>
      <c r="R41" s="1414" t="str">
        <f t="shared" si="69"/>
        <v>2Q08</v>
      </c>
      <c r="S41" s="1414" t="str">
        <f t="shared" si="69"/>
        <v>3Q08</v>
      </c>
      <c r="T41" s="1414" t="str">
        <f t="shared" si="69"/>
        <v>4Q08</v>
      </c>
      <c r="U41" s="1415">
        <f t="shared" si="69"/>
        <v>2008</v>
      </c>
      <c r="V41" s="1414" t="str">
        <f t="shared" si="69"/>
        <v>1Q09</v>
      </c>
      <c r="W41" s="1414" t="str">
        <f t="shared" si="69"/>
        <v>2Q09</v>
      </c>
      <c r="X41" s="1414" t="str">
        <f t="shared" si="69"/>
        <v>3Q09</v>
      </c>
      <c r="Y41" s="1414" t="str">
        <f t="shared" si="69"/>
        <v>4Q09</v>
      </c>
      <c r="Z41" s="1415">
        <f t="shared" si="69"/>
        <v>2009</v>
      </c>
      <c r="AA41" s="1414" t="str">
        <f t="shared" si="69"/>
        <v>1Q10</v>
      </c>
      <c r="AB41" s="1414" t="str">
        <f t="shared" si="69"/>
        <v>2Q10</v>
      </c>
      <c r="AC41" s="1414" t="str">
        <f t="shared" si="69"/>
        <v>3Q10</v>
      </c>
      <c r="AD41" s="1414" t="str">
        <f t="shared" si="69"/>
        <v>4Q10</v>
      </c>
      <c r="AE41" s="1415">
        <f t="shared" si="69"/>
        <v>2010</v>
      </c>
      <c r="AF41" s="1414" t="str">
        <f t="shared" si="69"/>
        <v>1Q11</v>
      </c>
      <c r="AG41" s="1414" t="str">
        <f t="shared" si="69"/>
        <v>2Q11</v>
      </c>
      <c r="AH41" s="1414" t="str">
        <f t="shared" si="69"/>
        <v>3Q11</v>
      </c>
      <c r="AI41" s="1414" t="str">
        <f t="shared" si="69"/>
        <v>4Q11</v>
      </c>
      <c r="AJ41" s="1415">
        <f t="shared" si="69"/>
        <v>2011</v>
      </c>
      <c r="AK41" s="1414" t="str">
        <f t="shared" si="69"/>
        <v>1Q12</v>
      </c>
      <c r="AL41" s="1414" t="str">
        <f t="shared" si="69"/>
        <v>2Q12</v>
      </c>
      <c r="AM41" s="1414" t="str">
        <f t="shared" si="69"/>
        <v>3Q12</v>
      </c>
      <c r="AN41" s="1414" t="str">
        <f t="shared" si="69"/>
        <v>4Q12</v>
      </c>
      <c r="AO41" s="1415">
        <f t="shared" si="69"/>
        <v>2012</v>
      </c>
      <c r="AP41" s="1414" t="str">
        <f t="shared" si="69"/>
        <v>1Q13</v>
      </c>
      <c r="AQ41" s="1414" t="str">
        <f t="shared" si="69"/>
        <v>2Q13</v>
      </c>
      <c r="AR41" s="1414" t="str">
        <f t="shared" si="69"/>
        <v>3Q13</v>
      </c>
      <c r="AS41" s="1414" t="str">
        <f t="shared" si="69"/>
        <v>4Q13</v>
      </c>
      <c r="AT41" s="1415">
        <f t="shared" si="69"/>
        <v>2013</v>
      </c>
      <c r="AU41" s="1414" t="str">
        <f>AU9&amp;"E"</f>
        <v>1Q14E</v>
      </c>
      <c r="AV41" s="1414" t="str">
        <f>AV9&amp;"E"</f>
        <v>2Q14E</v>
      </c>
      <c r="AW41" s="1414" t="str">
        <f t="shared" ref="AW41:BS41" si="70">AW9</f>
        <v>3Q14</v>
      </c>
      <c r="AX41" s="1414" t="str">
        <f t="shared" si="70"/>
        <v>4Q14</v>
      </c>
      <c r="AY41" s="1415">
        <f t="shared" si="70"/>
        <v>2014</v>
      </c>
      <c r="AZ41" s="1414" t="str">
        <f t="shared" si="70"/>
        <v>1Q15</v>
      </c>
      <c r="BA41" s="1414" t="str">
        <f t="shared" si="70"/>
        <v>2Q15</v>
      </c>
      <c r="BB41" s="1414" t="str">
        <f t="shared" si="70"/>
        <v>3Q15</v>
      </c>
      <c r="BC41" s="1414" t="str">
        <f t="shared" si="70"/>
        <v>4Q15</v>
      </c>
      <c r="BD41" s="1415">
        <f t="shared" si="70"/>
        <v>2015</v>
      </c>
      <c r="BE41" s="1414" t="str">
        <f t="shared" si="70"/>
        <v>1Q16</v>
      </c>
      <c r="BF41" s="1414" t="str">
        <f t="shared" si="70"/>
        <v>2Q16</v>
      </c>
      <c r="BG41" s="1414" t="str">
        <f t="shared" si="70"/>
        <v>3Q16</v>
      </c>
      <c r="BH41" s="1414" t="str">
        <f t="shared" si="70"/>
        <v>4Q16</v>
      </c>
      <c r="BI41" s="1415">
        <f t="shared" si="70"/>
        <v>2016</v>
      </c>
      <c r="BJ41" s="1414" t="str">
        <f t="shared" si="70"/>
        <v>1Q17</v>
      </c>
      <c r="BK41" s="1414" t="str">
        <f t="shared" si="70"/>
        <v>2Q17</v>
      </c>
      <c r="BL41" s="1414" t="str">
        <f t="shared" si="70"/>
        <v>3Q17</v>
      </c>
      <c r="BM41" s="1414" t="str">
        <f t="shared" si="70"/>
        <v>4Q17</v>
      </c>
      <c r="BN41" s="1415">
        <f t="shared" si="70"/>
        <v>2017</v>
      </c>
      <c r="BO41" s="1414" t="str">
        <f t="shared" si="70"/>
        <v>1Q18E</v>
      </c>
      <c r="BP41" s="1414" t="str">
        <f t="shared" si="70"/>
        <v>2Q18E</v>
      </c>
      <c r="BQ41" s="1414" t="str">
        <f t="shared" si="70"/>
        <v>3Q18E</v>
      </c>
      <c r="BR41" s="1414" t="str">
        <f t="shared" si="70"/>
        <v>4Q18E</v>
      </c>
      <c r="BS41" s="1415" t="str">
        <f t="shared" si="70"/>
        <v>2018E</v>
      </c>
      <c r="BT41" s="1414"/>
      <c r="BU41" s="1414"/>
      <c r="BV41" s="1414"/>
      <c r="BW41" s="1414"/>
      <c r="BX41" s="1415" t="str">
        <f>BX9</f>
        <v>2019E</v>
      </c>
      <c r="BY41" s="1417" t="str">
        <f>BY9</f>
        <v>2020E</v>
      </c>
      <c r="BZ41" s="1417" t="str">
        <f>BZ9</f>
        <v>2021E</v>
      </c>
      <c r="CA41" s="1417"/>
      <c r="CB41" s="1411"/>
      <c r="CF41" s="1522" t="str">
        <f t="shared" si="68"/>
        <v>Operating Expenses</v>
      </c>
      <c r="CG41" s="1413"/>
      <c r="CH41" s="1413"/>
      <c r="CI41" s="1413"/>
      <c r="CJ41" s="1413"/>
      <c r="CK41" s="1413"/>
      <c r="CL41" s="1415">
        <f>+K41</f>
        <v>2006</v>
      </c>
      <c r="CM41" s="1415">
        <f>+P41</f>
        <v>2007</v>
      </c>
      <c r="CN41" s="1415">
        <f>+U41</f>
        <v>2008</v>
      </c>
      <c r="CO41" s="1415">
        <f>+Z41</f>
        <v>2009</v>
      </c>
      <c r="CP41" s="1415">
        <f>+AE41</f>
        <v>2010</v>
      </c>
      <c r="CQ41" s="1415">
        <f>+AJ41</f>
        <v>2011</v>
      </c>
      <c r="CR41" s="1415">
        <f>+AO41</f>
        <v>2012</v>
      </c>
      <c r="CS41" s="1415">
        <f>+AT41</f>
        <v>2013</v>
      </c>
      <c r="CT41" s="1415">
        <f>+AY41</f>
        <v>2014</v>
      </c>
      <c r="CU41" s="1415">
        <f>+BD41</f>
        <v>2015</v>
      </c>
      <c r="CV41" s="1416">
        <f>+BI41</f>
        <v>2016</v>
      </c>
      <c r="CW41" s="1416">
        <f>+BN41</f>
        <v>2017</v>
      </c>
      <c r="CX41" s="1416" t="str">
        <f>+BS41</f>
        <v>2018E</v>
      </c>
      <c r="CY41" s="1416" t="str">
        <f t="shared" ref="CY41:DB44" si="71">+BX41</f>
        <v>2019E</v>
      </c>
      <c r="CZ41" s="1417" t="str">
        <f t="shared" si="71"/>
        <v>2020E</v>
      </c>
      <c r="DA41" s="1417" t="str">
        <f t="shared" si="71"/>
        <v>2021E</v>
      </c>
      <c r="DB41" s="1417">
        <f t="shared" si="71"/>
        <v>0</v>
      </c>
    </row>
    <row r="42" spans="1:106" s="762" customFormat="1" ht="12" hidden="1" customHeight="1">
      <c r="A42" s="768" t="s">
        <v>302</v>
      </c>
      <c r="B42" s="750"/>
      <c r="C42" s="750"/>
      <c r="D42" s="750"/>
      <c r="E42" s="750"/>
      <c r="F42" s="750"/>
      <c r="G42" s="1523"/>
      <c r="H42" s="768"/>
      <c r="I42" s="768"/>
      <c r="J42" s="768"/>
      <c r="K42" s="1291"/>
      <c r="L42" s="768"/>
      <c r="M42" s="768"/>
      <c r="N42" s="768"/>
      <c r="O42" s="768"/>
      <c r="P42" s="1291"/>
      <c r="Q42" s="768"/>
      <c r="R42" s="768"/>
      <c r="S42" s="768"/>
      <c r="T42" s="1320"/>
      <c r="U42" s="1291"/>
      <c r="V42" s="768"/>
      <c r="W42" s="768"/>
      <c r="X42" s="768"/>
      <c r="Y42" s="785"/>
      <c r="Z42" s="1291"/>
      <c r="AA42" s="785"/>
      <c r="AB42" s="785"/>
      <c r="AC42" s="785"/>
      <c r="AD42" s="785"/>
      <c r="AE42" s="1480"/>
      <c r="AF42" s="1524">
        <v>253</v>
      </c>
      <c r="AG42" s="1524">
        <v>267</v>
      </c>
      <c r="AH42" s="1524">
        <v>241</v>
      </c>
      <c r="AI42" s="787">
        <f>287-9</f>
        <v>278</v>
      </c>
      <c r="AJ42" s="1525">
        <f>SUM(AF42:AI42)</f>
        <v>1039</v>
      </c>
      <c r="AK42" s="787">
        <v>280</v>
      </c>
      <c r="AL42" s="1457">
        <v>275</v>
      </c>
      <c r="AM42" s="1254">
        <f>293-8</f>
        <v>285</v>
      </c>
      <c r="AN42" s="787">
        <f>338-8</f>
        <v>330</v>
      </c>
      <c r="AO42" s="1525">
        <f>SUM(AK42:AN42)</f>
        <v>1170</v>
      </c>
      <c r="AP42" s="1457">
        <v>312</v>
      </c>
      <c r="AQ42" s="1457">
        <v>331</v>
      </c>
      <c r="AR42" s="1254">
        <f>310+16</f>
        <v>326</v>
      </c>
      <c r="AS42" s="787">
        <f>363-10</f>
        <v>353</v>
      </c>
      <c r="AT42" s="1525">
        <f>SUM(AP42:AS42)</f>
        <v>1322</v>
      </c>
      <c r="AU42" s="787">
        <v>329</v>
      </c>
      <c r="AV42" s="1457">
        <v>356</v>
      </c>
      <c r="AW42" s="768">
        <f>421-60-23</f>
        <v>338</v>
      </c>
      <c r="AX42" s="768">
        <f>1931-1574+1</f>
        <v>358</v>
      </c>
      <c r="AY42" s="1480">
        <f>SUM(AU42:AX42)</f>
        <v>1381</v>
      </c>
      <c r="AZ42" s="787">
        <f>+AZ12-AZ80</f>
        <v>321</v>
      </c>
      <c r="BA42" s="787">
        <f>296.5+33</f>
        <v>329.5</v>
      </c>
      <c r="BB42" s="787">
        <f>393-86</f>
        <v>307</v>
      </c>
      <c r="BC42" s="1320">
        <f>346-20</f>
        <v>326</v>
      </c>
      <c r="BD42" s="1480">
        <f>SUM(AZ42:BC42)</f>
        <v>1283.5</v>
      </c>
      <c r="BE42" s="1254">
        <f>290+12</f>
        <v>302</v>
      </c>
      <c r="BF42" s="787">
        <f>286+29</f>
        <v>315</v>
      </c>
      <c r="BG42" s="768">
        <f>+BG12-BG80</f>
        <v>313</v>
      </c>
      <c r="BH42" s="1320">
        <f>+BH12-BH80</f>
        <v>346</v>
      </c>
      <c r="BI42" s="1480">
        <f>SUM(BE42:BH42)</f>
        <v>1276</v>
      </c>
      <c r="BJ42" s="768">
        <f>+BJ12-BJ80</f>
        <v>336</v>
      </c>
      <c r="BK42" s="768">
        <f>+BK12-BK80</f>
        <v>350</v>
      </c>
      <c r="BL42" s="768">
        <f>+BL12-BL80</f>
        <v>348</v>
      </c>
      <c r="BM42" s="768">
        <f>+BM12-BM80</f>
        <v>351</v>
      </c>
      <c r="BN42" s="1480">
        <f>SUM(BJ42:BM42)</f>
        <v>1385</v>
      </c>
      <c r="BO42" s="768">
        <f>+BO12-BO80</f>
        <v>340</v>
      </c>
      <c r="BP42" s="768">
        <f>+BP12-BP80</f>
        <v>369.35050047348858</v>
      </c>
      <c r="BQ42" s="768">
        <f>+BQ12-BQ80</f>
        <v>359.95531797286077</v>
      </c>
      <c r="BR42" s="768">
        <f>+BR12-BR80</f>
        <v>356.25640411467128</v>
      </c>
      <c r="BS42" s="1480">
        <f>SUM(BO42:BR42)</f>
        <v>1425.5622225610207</v>
      </c>
      <c r="BT42" s="768"/>
      <c r="BU42" s="768"/>
      <c r="BV42" s="768"/>
      <c r="BW42" s="768"/>
      <c r="BX42" s="1480">
        <f>+BX12-BX80</f>
        <v>1472.1753385476827</v>
      </c>
      <c r="BY42" s="1527">
        <f>+BY12-BY80</f>
        <v>1522.0448003434576</v>
      </c>
      <c r="BZ42" s="1527">
        <f>+BZ12-BZ80</f>
        <v>1574.3176032523058</v>
      </c>
      <c r="CA42" s="1527"/>
      <c r="CB42" s="692"/>
      <c r="CF42" s="1291" t="str">
        <f t="shared" si="68"/>
        <v>S&amp;P Rating Services</v>
      </c>
      <c r="CG42" s="744"/>
      <c r="CH42" s="741"/>
      <c r="CI42" s="741"/>
      <c r="CJ42" s="741"/>
      <c r="CK42" s="741"/>
      <c r="CL42" s="1291"/>
      <c r="CM42" s="1480"/>
      <c r="CN42" s="1480"/>
      <c r="CO42" s="1480"/>
      <c r="CP42" s="1480"/>
      <c r="CQ42" s="1525">
        <f>+AJ42</f>
        <v>1039</v>
      </c>
      <c r="CR42" s="1525">
        <f>+AO42</f>
        <v>1170</v>
      </c>
      <c r="CS42" s="1525">
        <f>+AT42</f>
        <v>1322</v>
      </c>
      <c r="CT42" s="1480">
        <f>+AY42</f>
        <v>1381</v>
      </c>
      <c r="CU42" s="1480">
        <f>+BD42</f>
        <v>1283.5</v>
      </c>
      <c r="CV42" s="1484">
        <f>+BI42</f>
        <v>1276</v>
      </c>
      <c r="CW42" s="1526">
        <f>+BN42</f>
        <v>1385</v>
      </c>
      <c r="CX42" s="1526">
        <f>+BS42</f>
        <v>1425.5622225610207</v>
      </c>
      <c r="CY42" s="1526">
        <f t="shared" si="71"/>
        <v>1472.1753385476827</v>
      </c>
      <c r="CZ42" s="1527">
        <f t="shared" si="71"/>
        <v>1522.0448003434576</v>
      </c>
      <c r="DA42" s="1527">
        <f t="shared" si="71"/>
        <v>1574.3176032523058</v>
      </c>
      <c r="DB42" s="1527">
        <f t="shared" si="71"/>
        <v>0</v>
      </c>
    </row>
    <row r="43" spans="1:106" s="1437" customFormat="1" ht="12" hidden="1" customHeight="1">
      <c r="A43" s="769" t="s">
        <v>294</v>
      </c>
      <c r="B43" s="1528"/>
      <c r="C43" s="1332"/>
      <c r="D43" s="1332"/>
      <c r="E43" s="1332"/>
      <c r="F43" s="1332"/>
      <c r="G43" s="1319"/>
      <c r="H43" s="1319"/>
      <c r="I43" s="1319"/>
      <c r="J43" s="1278"/>
      <c r="K43" s="1278"/>
      <c r="L43" s="1319"/>
      <c r="M43" s="1319"/>
      <c r="N43" s="1319"/>
      <c r="O43" s="1278"/>
      <c r="P43" s="1278"/>
      <c r="Q43" s="1319"/>
      <c r="R43" s="1319"/>
      <c r="S43" s="1319"/>
      <c r="T43" s="1278"/>
      <c r="U43" s="1278"/>
      <c r="V43" s="1319"/>
      <c r="W43" s="1319"/>
      <c r="X43" s="1319"/>
      <c r="Y43" s="1278"/>
      <c r="Z43" s="1278"/>
      <c r="AA43" s="1319"/>
      <c r="AB43" s="1319"/>
      <c r="AC43" s="1319"/>
      <c r="AD43" s="1278"/>
      <c r="AE43" s="1278"/>
      <c r="AF43" s="1319"/>
      <c r="AG43" s="1319"/>
      <c r="AH43" s="1319"/>
      <c r="AI43" s="1278"/>
      <c r="AJ43" s="1332"/>
      <c r="AK43" s="1331"/>
      <c r="AL43" s="1331"/>
      <c r="AM43" s="1331"/>
      <c r="AN43" s="1331"/>
      <c r="AO43" s="1332">
        <f t="shared" ref="AO43:BS43" si="72">AO42/AJ42-1</f>
        <v>0.12608277189605399</v>
      </c>
      <c r="AP43" s="1331">
        <f t="shared" si="72"/>
        <v>0.11428571428571432</v>
      </c>
      <c r="AQ43" s="1331">
        <f t="shared" si="72"/>
        <v>0.20363636363636362</v>
      </c>
      <c r="AR43" s="1331">
        <f t="shared" si="72"/>
        <v>0.14385964912280702</v>
      </c>
      <c r="AS43" s="1331">
        <f t="shared" si="72"/>
        <v>6.9696969696969591E-2</v>
      </c>
      <c r="AT43" s="1445">
        <f t="shared" si="72"/>
        <v>0.1299145299145299</v>
      </c>
      <c r="AU43" s="1447">
        <f t="shared" si="72"/>
        <v>5.4487179487179516E-2</v>
      </c>
      <c r="AV43" s="1331">
        <f t="shared" si="72"/>
        <v>7.5528700906344337E-2</v>
      </c>
      <c r="AW43" s="1331">
        <f t="shared" si="72"/>
        <v>3.6809815950920255E-2</v>
      </c>
      <c r="AX43" s="1331">
        <f t="shared" si="72"/>
        <v>1.4164305949008416E-2</v>
      </c>
      <c r="AY43" s="1332">
        <f t="shared" si="72"/>
        <v>4.4629349470499236E-2</v>
      </c>
      <c r="AZ43" s="1447">
        <f t="shared" si="72"/>
        <v>-2.4316109422492405E-2</v>
      </c>
      <c r="BA43" s="1331">
        <f t="shared" si="72"/>
        <v>-7.4438202247190999E-2</v>
      </c>
      <c r="BB43" s="1331">
        <f t="shared" si="72"/>
        <v>-9.1715976331360971E-2</v>
      </c>
      <c r="BC43" s="1331">
        <f t="shared" si="72"/>
        <v>-8.9385474860335212E-2</v>
      </c>
      <c r="BD43" s="1332">
        <f t="shared" si="72"/>
        <v>-7.0601013758146314E-2</v>
      </c>
      <c r="BE43" s="1331">
        <f t="shared" si="72"/>
        <v>-5.9190031152647982E-2</v>
      </c>
      <c r="BF43" s="1331">
        <f t="shared" si="72"/>
        <v>-4.4006069802731362E-2</v>
      </c>
      <c r="BG43" s="1331">
        <f t="shared" si="72"/>
        <v>1.9543973941368087E-2</v>
      </c>
      <c r="BH43" s="1331">
        <f t="shared" si="72"/>
        <v>6.1349693251533832E-2</v>
      </c>
      <c r="BI43" s="1332">
        <f t="shared" si="72"/>
        <v>-5.8433969614335446E-3</v>
      </c>
      <c r="BJ43" s="1331">
        <f t="shared" si="72"/>
        <v>0.11258278145695355</v>
      </c>
      <c r="BK43" s="1331">
        <f t="shared" si="72"/>
        <v>0.11111111111111116</v>
      </c>
      <c r="BL43" s="1331">
        <f t="shared" si="72"/>
        <v>0.11182108626198084</v>
      </c>
      <c r="BM43" s="1331">
        <f t="shared" si="72"/>
        <v>1.4450867052023142E-2</v>
      </c>
      <c r="BN43" s="1332">
        <f t="shared" si="72"/>
        <v>8.5423197492163094E-2</v>
      </c>
      <c r="BO43" s="1331">
        <f t="shared" si="72"/>
        <v>1.1904761904761862E-2</v>
      </c>
      <c r="BP43" s="1331">
        <f t="shared" si="72"/>
        <v>5.5287144209967387E-2</v>
      </c>
      <c r="BQ43" s="1331">
        <f t="shared" si="72"/>
        <v>3.4354361990979188E-2</v>
      </c>
      <c r="BR43" s="1331">
        <f t="shared" si="72"/>
        <v>1.4975510298208761E-2</v>
      </c>
      <c r="BS43" s="1332">
        <f t="shared" si="72"/>
        <v>2.9286803293155694E-2</v>
      </c>
      <c r="BT43" s="1331"/>
      <c r="BU43" s="1331"/>
      <c r="BV43" s="1331"/>
      <c r="BW43" s="1331"/>
      <c r="BX43" s="1332">
        <f>BX42/BS42-1</f>
        <v>3.2698057825158777E-2</v>
      </c>
      <c r="BY43" s="1333">
        <f>BY42/BX42-1</f>
        <v>3.3874675447947533E-2</v>
      </c>
      <c r="BZ43" s="1333">
        <f>BZ42/BY42-1</f>
        <v>3.434380045649954E-2</v>
      </c>
      <c r="CA43" s="1333"/>
      <c r="CF43" s="770" t="str">
        <f t="shared" si="68"/>
        <v>y/y chg</v>
      </c>
      <c r="CG43" s="1529"/>
      <c r="CH43" s="1332"/>
      <c r="CI43" s="1332"/>
      <c r="CJ43" s="1332"/>
      <c r="CK43" s="1332"/>
      <c r="CL43" s="1278"/>
      <c r="CM43" s="1278"/>
      <c r="CN43" s="1278"/>
      <c r="CO43" s="1278"/>
      <c r="CP43" s="1278"/>
      <c r="CQ43" s="1332">
        <f>+AJ43</f>
        <v>0</v>
      </c>
      <c r="CR43" s="1332">
        <f>+AO43</f>
        <v>0.12608277189605399</v>
      </c>
      <c r="CS43" s="1445">
        <f>+AT43</f>
        <v>0.1299145299145299</v>
      </c>
      <c r="CT43" s="1332">
        <f>+AY43</f>
        <v>4.4629349470499236E-2</v>
      </c>
      <c r="CU43" s="1332">
        <f>+BD43</f>
        <v>-7.0601013758146314E-2</v>
      </c>
      <c r="CV43" s="1439">
        <f>+BI43</f>
        <v>-5.8433969614335446E-3</v>
      </c>
      <c r="CW43" s="1332">
        <f>+BN43</f>
        <v>8.5423197492163094E-2</v>
      </c>
      <c r="CX43" s="1332">
        <f>+BS43</f>
        <v>2.9286803293155694E-2</v>
      </c>
      <c r="CY43" s="1332">
        <f t="shared" si="71"/>
        <v>3.2698057825158777E-2</v>
      </c>
      <c r="CZ43" s="1333">
        <f t="shared" si="71"/>
        <v>3.3874675447947533E-2</v>
      </c>
      <c r="DA43" s="1333">
        <f t="shared" si="71"/>
        <v>3.434380045649954E-2</v>
      </c>
      <c r="DB43" s="1333">
        <f t="shared" si="71"/>
        <v>0</v>
      </c>
    </row>
    <row r="44" spans="1:106" ht="12" hidden="1" customHeight="1">
      <c r="A44" s="1530" t="s">
        <v>191</v>
      </c>
      <c r="B44" s="1531"/>
      <c r="C44" s="1531"/>
      <c r="D44" s="1531"/>
      <c r="E44" s="1531"/>
      <c r="F44" s="1531"/>
      <c r="G44" s="1319"/>
      <c r="H44" s="1319"/>
      <c r="I44" s="1319"/>
      <c r="J44" s="1278"/>
      <c r="K44" s="1278"/>
      <c r="L44" s="1319"/>
      <c r="M44" s="1319"/>
      <c r="N44" s="1319"/>
      <c r="O44" s="1278"/>
      <c r="P44" s="1278"/>
      <c r="Q44" s="1319"/>
      <c r="R44" s="1319"/>
      <c r="S44" s="1319"/>
      <c r="T44" s="1278"/>
      <c r="U44" s="1278"/>
      <c r="V44" s="1319"/>
      <c r="W44" s="1319"/>
      <c r="X44" s="1319"/>
      <c r="Y44" s="1278"/>
      <c r="Z44" s="1278"/>
      <c r="AA44" s="1319"/>
      <c r="AB44" s="1319"/>
      <c r="AC44" s="1319"/>
      <c r="AD44" s="1278"/>
      <c r="AE44" s="1278"/>
      <c r="AF44" s="1319"/>
      <c r="AG44" s="1319"/>
      <c r="AH44" s="1319"/>
      <c r="AI44" s="1278"/>
      <c r="AJ44" s="693">
        <f t="shared" ref="AJ44:BF44" si="73">AJ42/AJ12</f>
        <v>0.58800226372382569</v>
      </c>
      <c r="AK44" s="692">
        <f t="shared" si="73"/>
        <v>0.60085836909871249</v>
      </c>
      <c r="AL44" s="692">
        <f t="shared" si="73"/>
        <v>0.56935817805383027</v>
      </c>
      <c r="AM44" s="692">
        <f t="shared" si="73"/>
        <v>0.5677290836653387</v>
      </c>
      <c r="AN44" s="692">
        <f t="shared" si="73"/>
        <v>0.56506849315068497</v>
      </c>
      <c r="AO44" s="693">
        <f t="shared" si="73"/>
        <v>0.57493857493857492</v>
      </c>
      <c r="AP44" s="692">
        <f t="shared" si="73"/>
        <v>0.55614973262032086</v>
      </c>
      <c r="AQ44" s="692">
        <f t="shared" si="73"/>
        <v>0.55258764607679467</v>
      </c>
      <c r="AR44" s="692">
        <f t="shared" si="73"/>
        <v>0.60370370370370374</v>
      </c>
      <c r="AS44" s="692">
        <f t="shared" si="73"/>
        <v>0.6149825783972126</v>
      </c>
      <c r="AT44" s="695">
        <f t="shared" si="73"/>
        <v>0.58135444151275284</v>
      </c>
      <c r="AU44" s="694">
        <f t="shared" si="73"/>
        <v>0.57820738137082606</v>
      </c>
      <c r="AV44" s="692">
        <f t="shared" si="73"/>
        <v>0.53614457831325302</v>
      </c>
      <c r="AW44" s="692">
        <f t="shared" si="73"/>
        <v>0.55960264900662249</v>
      </c>
      <c r="AX44" s="692">
        <f t="shared" si="73"/>
        <v>0.57928802588996764</v>
      </c>
      <c r="AY44" s="1531">
        <f t="shared" si="73"/>
        <v>0.56252545824847255</v>
      </c>
      <c r="AZ44" s="694">
        <f t="shared" si="73"/>
        <v>0.52970297029702973</v>
      </c>
      <c r="BA44" s="694">
        <f t="shared" si="73"/>
        <v>0.50075987841945291</v>
      </c>
      <c r="BB44" s="694">
        <f t="shared" si="73"/>
        <v>0.52299829642248719</v>
      </c>
      <c r="BC44" s="694">
        <f t="shared" si="73"/>
        <v>0.56499133448873484</v>
      </c>
      <c r="BD44" s="1531">
        <f t="shared" si="73"/>
        <v>0.52862438220757824</v>
      </c>
      <c r="BE44" s="694">
        <f t="shared" si="73"/>
        <v>0.54710144927536231</v>
      </c>
      <c r="BF44" s="694">
        <f t="shared" si="73"/>
        <v>0.46187683284457476</v>
      </c>
      <c r="BG44" s="692">
        <f>+BG42/BG12</f>
        <v>0.48753894080996885</v>
      </c>
      <c r="BH44" s="694">
        <f>+BH42/BH12</f>
        <v>0.52583586626139822</v>
      </c>
      <c r="BI44" s="1531">
        <f>BI42/BI12</f>
        <v>0.50355169692186263</v>
      </c>
      <c r="BJ44" s="692">
        <f>+BJ42/BJ12</f>
        <v>0.47058823529411764</v>
      </c>
      <c r="BK44" s="692">
        <f>+BK42/BK12</f>
        <v>0.46854082998661312</v>
      </c>
      <c r="BL44" s="692">
        <f>+BL42/BL12</f>
        <v>0.47090663058186738</v>
      </c>
      <c r="BM44" s="692">
        <f>+BM42/BM12</f>
        <v>0.44486692015209123</v>
      </c>
      <c r="BN44" s="1531">
        <f>BN42/BN12</f>
        <v>0.46336567413850788</v>
      </c>
      <c r="BO44" s="692">
        <f>+BO42/BO12</f>
        <v>0.45454545454545453</v>
      </c>
      <c r="BP44" s="692">
        <f>+BP42/BP12</f>
        <v>0.45689478108925152</v>
      </c>
      <c r="BQ44" s="692">
        <f>+BQ42/BQ12</f>
        <v>0.45986993340907034</v>
      </c>
      <c r="BR44" s="692">
        <f>+BR42/BR12</f>
        <v>0.44407292212375971</v>
      </c>
      <c r="BS44" s="1531">
        <f>BS42/BS12</f>
        <v>0.45380223194293456</v>
      </c>
      <c r="BT44" s="692"/>
      <c r="BU44" s="692"/>
      <c r="BV44" s="692"/>
      <c r="BW44" s="692"/>
      <c r="BX44" s="1531">
        <f>+BX42/BX12</f>
        <v>0.44815640961373276</v>
      </c>
      <c r="BY44" s="783">
        <f>+BY42/BY12</f>
        <v>0.44521641969372378</v>
      </c>
      <c r="BZ44" s="783">
        <f>+BZ42/BZ12</f>
        <v>0.44221641969372383</v>
      </c>
      <c r="CA44" s="783"/>
      <c r="CF44" s="1532" t="str">
        <f t="shared" si="68"/>
        <v>% of Revenues</v>
      </c>
      <c r="CG44" s="1533"/>
      <c r="CH44" s="1531"/>
      <c r="CI44" s="1531"/>
      <c r="CJ44" s="1531"/>
      <c r="CK44" s="1531"/>
      <c r="CL44" s="1278"/>
      <c r="CM44" s="1278"/>
      <c r="CN44" s="1278"/>
      <c r="CO44" s="1278"/>
      <c r="CP44" s="1278"/>
      <c r="CQ44" s="693">
        <f>+AJ44</f>
        <v>0.58800226372382569</v>
      </c>
      <c r="CR44" s="693">
        <f>+AO44</f>
        <v>0.57493857493857492</v>
      </c>
      <c r="CS44" s="695">
        <f>+AT44</f>
        <v>0.58135444151275284</v>
      </c>
      <c r="CT44" s="1531">
        <f>+AY44</f>
        <v>0.56252545824847255</v>
      </c>
      <c r="CU44" s="1531">
        <f>+BD44</f>
        <v>0.52862438220757824</v>
      </c>
      <c r="CV44" s="1534">
        <f>+BI44</f>
        <v>0.50355169692186263</v>
      </c>
      <c r="CW44" s="751">
        <f>+BN44</f>
        <v>0.46336567413850788</v>
      </c>
      <c r="CX44" s="751">
        <f>+BS44</f>
        <v>0.45380223194293456</v>
      </c>
      <c r="CY44" s="751">
        <f t="shared" si="71"/>
        <v>0.44815640961373276</v>
      </c>
      <c r="CZ44" s="752">
        <f t="shared" si="71"/>
        <v>0.44521641969372378</v>
      </c>
      <c r="DA44" s="752">
        <f t="shared" si="71"/>
        <v>0.44221641969372383</v>
      </c>
      <c r="DB44" s="752">
        <f t="shared" si="71"/>
        <v>0</v>
      </c>
    </row>
    <row r="45" spans="1:106" hidden="1">
      <c r="A45" s="1425"/>
      <c r="B45" s="1423"/>
      <c r="C45" s="1423"/>
      <c r="D45" s="1423"/>
      <c r="E45" s="1423"/>
      <c r="F45" s="1423"/>
      <c r="G45" s="1286"/>
      <c r="H45" s="1286"/>
      <c r="I45" s="1286"/>
      <c r="J45" s="1286"/>
      <c r="K45" s="1423"/>
      <c r="L45" s="1286"/>
      <c r="M45" s="1286"/>
      <c r="N45" s="1286"/>
      <c r="O45" s="1286"/>
      <c r="P45" s="1423"/>
      <c r="Q45" s="1286"/>
      <c r="R45" s="1286"/>
      <c r="S45" s="1286"/>
      <c r="T45" s="1286"/>
      <c r="U45" s="1423"/>
      <c r="V45" s="1286"/>
      <c r="W45" s="1286"/>
      <c r="X45" s="1286"/>
      <c r="Y45" s="1286"/>
      <c r="Z45" s="1423"/>
      <c r="AA45" s="1286"/>
      <c r="AB45" s="1286"/>
      <c r="AC45" s="1286"/>
      <c r="AD45" s="1286"/>
      <c r="AE45" s="1423"/>
      <c r="AF45" s="1286"/>
      <c r="AG45" s="1286"/>
      <c r="AH45" s="1286"/>
      <c r="AI45" s="1286"/>
      <c r="AJ45" s="1423"/>
      <c r="AK45" s="1286"/>
      <c r="AL45" s="1286"/>
      <c r="AM45" s="1286"/>
      <c r="AN45" s="1286"/>
      <c r="AO45" s="1423"/>
      <c r="AP45" s="1286"/>
      <c r="AQ45" s="1286"/>
      <c r="AR45" s="1286"/>
      <c r="AS45" s="1286"/>
      <c r="AT45" s="1535"/>
      <c r="AU45" s="1536"/>
      <c r="AV45" s="1286"/>
      <c r="AW45" s="1286"/>
      <c r="AX45" s="1537"/>
      <c r="AY45" s="1423"/>
      <c r="AZ45" s="1536"/>
      <c r="BA45" s="1286"/>
      <c r="BB45" s="1538"/>
      <c r="BC45" s="1539"/>
      <c r="BD45" s="1540"/>
      <c r="BE45" s="1541"/>
      <c r="BF45" s="1286"/>
      <c r="BG45" s="1537"/>
      <c r="BH45" s="1539"/>
      <c r="BI45" s="1540"/>
      <c r="BJ45" s="1541"/>
      <c r="BK45" s="1539"/>
      <c r="BL45" s="1537"/>
      <c r="BM45" s="1537"/>
      <c r="BN45" s="1542"/>
      <c r="BO45" s="1541"/>
      <c r="BP45" s="1539"/>
      <c r="BQ45" s="1537"/>
      <c r="BR45" s="1537"/>
      <c r="BS45" s="1542"/>
      <c r="BT45" s="1541"/>
      <c r="BU45" s="1539"/>
      <c r="BV45" s="1537"/>
      <c r="BW45" s="1537"/>
      <c r="BX45" s="1542"/>
      <c r="BY45" s="1422"/>
      <c r="BZ45" s="1422"/>
      <c r="CA45" s="1422"/>
      <c r="CF45" s="1423"/>
      <c r="CG45" s="1286"/>
      <c r="CH45" s="1286"/>
      <c r="CI45" s="1286"/>
      <c r="CJ45" s="1286"/>
      <c r="CK45" s="1286"/>
      <c r="CL45" s="1423"/>
      <c r="CM45" s="1423"/>
      <c r="CN45" s="1423"/>
      <c r="CO45" s="1423"/>
      <c r="CP45" s="1423"/>
      <c r="CQ45" s="1423"/>
      <c r="CR45" s="1423"/>
      <c r="CS45" s="1535"/>
      <c r="CT45" s="1423"/>
      <c r="CU45" s="1423"/>
      <c r="CV45" s="1425"/>
      <c r="CW45" s="1423"/>
      <c r="CX45" s="1423"/>
      <c r="CY45" s="1423"/>
      <c r="CZ45" s="1422"/>
      <c r="DA45" s="1422"/>
      <c r="DB45" s="1422"/>
    </row>
    <row r="46" spans="1:106" s="768" customFormat="1" hidden="1">
      <c r="A46" s="1428" t="s">
        <v>289</v>
      </c>
      <c r="B46" s="1291"/>
      <c r="C46" s="1291"/>
      <c r="D46" s="1291"/>
      <c r="E46" s="1291"/>
      <c r="F46" s="1291"/>
      <c r="G46" s="1543" t="s">
        <v>249</v>
      </c>
      <c r="H46" s="1543" t="s">
        <v>249</v>
      </c>
      <c r="I46" s="1543" t="s">
        <v>249</v>
      </c>
      <c r="J46" s="1544" t="s">
        <v>249</v>
      </c>
      <c r="K46" s="1544" t="s">
        <v>249</v>
      </c>
      <c r="L46" s="1543" t="s">
        <v>249</v>
      </c>
      <c r="M46" s="1543" t="s">
        <v>249</v>
      </c>
      <c r="N46" s="1543" t="s">
        <v>249</v>
      </c>
      <c r="O46" s="1544" t="s">
        <v>249</v>
      </c>
      <c r="P46" s="1544" t="s">
        <v>249</v>
      </c>
      <c r="Q46" s="1543" t="s">
        <v>249</v>
      </c>
      <c r="R46" s="1543" t="s">
        <v>249</v>
      </c>
      <c r="S46" s="1543" t="s">
        <v>249</v>
      </c>
      <c r="T46" s="1544" t="s">
        <v>249</v>
      </c>
      <c r="U46" s="1544" t="s">
        <v>249</v>
      </c>
      <c r="V46" s="1543" t="s">
        <v>249</v>
      </c>
      <c r="W46" s="1543" t="s">
        <v>249</v>
      </c>
      <c r="X46" s="1543" t="s">
        <v>249</v>
      </c>
      <c r="Y46" s="1544" t="s">
        <v>249</v>
      </c>
      <c r="Z46" s="1544" t="s">
        <v>249</v>
      </c>
      <c r="AA46" s="1543" t="s">
        <v>249</v>
      </c>
      <c r="AB46" s="1543" t="s">
        <v>249</v>
      </c>
      <c r="AC46" s="1543" t="s">
        <v>249</v>
      </c>
      <c r="AD46" s="1544" t="s">
        <v>249</v>
      </c>
      <c r="AE46" s="1544" t="s">
        <v>249</v>
      </c>
      <c r="AF46" s="1545" t="s">
        <v>249</v>
      </c>
      <c r="AG46" s="1545" t="s">
        <v>249</v>
      </c>
      <c r="AH46" s="1545" t="s">
        <v>249</v>
      </c>
      <c r="AI46" s="1546">
        <v>214</v>
      </c>
      <c r="AJ46" s="1547">
        <f>SUM(AF46:AI46)</f>
        <v>214</v>
      </c>
      <c r="AK46" s="1548">
        <v>212</v>
      </c>
      <c r="AL46" s="1548">
        <f>219-1</f>
        <v>218</v>
      </c>
      <c r="AM46" s="1548">
        <f>244-14</f>
        <v>230</v>
      </c>
      <c r="AN46" s="1548">
        <f>242-5</f>
        <v>237</v>
      </c>
      <c r="AO46" s="1547">
        <f>SUM(AK46:AN46)</f>
        <v>897</v>
      </c>
      <c r="AP46" s="1548">
        <v>238</v>
      </c>
      <c r="AQ46" s="1548">
        <v>238</v>
      </c>
      <c r="AR46" s="1548">
        <f>243-5</f>
        <v>238</v>
      </c>
      <c r="AS46" s="1548">
        <f>261-8</f>
        <v>253</v>
      </c>
      <c r="AT46" s="1547">
        <f>SUM(AP46:AS46)</f>
        <v>967</v>
      </c>
      <c r="AU46" s="1548">
        <v>248</v>
      </c>
      <c r="AV46" s="1548">
        <v>253</v>
      </c>
      <c r="AW46" s="1523">
        <f>247-4</f>
        <v>243</v>
      </c>
      <c r="AX46" s="1523">
        <f>262-6</f>
        <v>256</v>
      </c>
      <c r="AY46" s="1291">
        <f>SUM(AU46:AX46)</f>
        <v>1000</v>
      </c>
      <c r="AZ46" s="1548">
        <f>+AZ18-AZ107</f>
        <v>257</v>
      </c>
      <c r="BA46" s="1548">
        <f>260.5-12</f>
        <v>248.5</v>
      </c>
      <c r="BB46" s="1548">
        <f>303-32</f>
        <v>271</v>
      </c>
      <c r="BC46" s="1549">
        <f>355-25</f>
        <v>330</v>
      </c>
      <c r="BD46" s="1291">
        <f>SUM(AZ46:BC46)</f>
        <v>1106.5</v>
      </c>
      <c r="BE46" s="1548">
        <f>326-24</f>
        <v>302</v>
      </c>
      <c r="BF46" s="1548">
        <f>323-8</f>
        <v>315</v>
      </c>
      <c r="BG46" s="1523">
        <f>+BG18-BG107</f>
        <v>312</v>
      </c>
      <c r="BH46" s="1549">
        <f>+BH18-BH107</f>
        <v>306</v>
      </c>
      <c r="BI46" s="1291">
        <f>SUM(BE46:BH46)</f>
        <v>1235</v>
      </c>
      <c r="BJ46" s="1523">
        <f>+BJ18-BJ107</f>
        <v>294</v>
      </c>
      <c r="BK46" s="1523">
        <f>+BK18-BK107</f>
        <v>297</v>
      </c>
      <c r="BL46" s="1523">
        <f>+BL18-BL107</f>
        <v>298</v>
      </c>
      <c r="BM46" s="1523">
        <f>+BM18-BM107</f>
        <v>310</v>
      </c>
      <c r="BN46" s="1291">
        <f>SUM(BJ46:BM46)</f>
        <v>1199</v>
      </c>
      <c r="BO46" s="1523">
        <f>+BO18-BO107</f>
        <v>325</v>
      </c>
      <c r="BP46" s="1523">
        <f>+BP18-BP107</f>
        <v>327.07711012510396</v>
      </c>
      <c r="BQ46" s="1523">
        <f>+BQ18-BQ107</f>
        <v>326.26007833293045</v>
      </c>
      <c r="BR46" s="1523">
        <f>+BR18-BR107</f>
        <v>337.79917534807726</v>
      </c>
      <c r="BS46" s="1291">
        <f>SUM(BO46:BR46)</f>
        <v>1316.1363638061116</v>
      </c>
      <c r="BT46" s="1523"/>
      <c r="BU46" s="1523"/>
      <c r="BV46" s="1523"/>
      <c r="BW46" s="1523"/>
      <c r="BX46" s="1291">
        <f>+BX18-BX107</f>
        <v>1382.7959185609766</v>
      </c>
      <c r="BY46" s="1550">
        <f>+BY18-BY107</f>
        <v>1440.2737664489973</v>
      </c>
      <c r="BZ46" s="1550">
        <f>+BZ18-BZ107</f>
        <v>1492.8503663775818</v>
      </c>
      <c r="CA46" s="1550"/>
      <c r="CF46" s="798" t="str">
        <f>+A46</f>
        <v>Market Intelligence</v>
      </c>
      <c r="CG46" s="1523"/>
      <c r="CH46" s="1523"/>
      <c r="CI46" s="1523"/>
      <c r="CJ46" s="1523"/>
      <c r="CK46" s="1523"/>
      <c r="CL46" s="1544"/>
      <c r="CM46" s="1544"/>
      <c r="CN46" s="1544"/>
      <c r="CO46" s="1544"/>
      <c r="CP46" s="1544"/>
      <c r="CQ46" s="1547">
        <f>+AJ46</f>
        <v>214</v>
      </c>
      <c r="CR46" s="1547">
        <f>+AO46</f>
        <v>897</v>
      </c>
      <c r="CS46" s="1547">
        <f>+AT46</f>
        <v>967</v>
      </c>
      <c r="CT46" s="1291">
        <f>+AY46</f>
        <v>1000</v>
      </c>
      <c r="CU46" s="1291">
        <f>+BD46</f>
        <v>1106.5</v>
      </c>
      <c r="CV46" s="1289">
        <f>+BI46</f>
        <v>1235</v>
      </c>
      <c r="CW46" s="1291">
        <f>+BN46</f>
        <v>1199</v>
      </c>
      <c r="CX46" s="1291">
        <f>+BS46</f>
        <v>1316.1363638061116</v>
      </c>
      <c r="CY46" s="1291">
        <f t="shared" ref="CY46:DB48" si="74">+BX46</f>
        <v>1382.7959185609766</v>
      </c>
      <c r="CZ46" s="1550">
        <f t="shared" si="74"/>
        <v>1440.2737664489973</v>
      </c>
      <c r="DA46" s="1550">
        <f t="shared" si="74"/>
        <v>1492.8503663775818</v>
      </c>
      <c r="DB46" s="1550">
        <f t="shared" si="74"/>
        <v>0</v>
      </c>
    </row>
    <row r="47" spans="1:106" ht="12" hidden="1" customHeight="1">
      <c r="A47" s="1485" t="s">
        <v>294</v>
      </c>
      <c r="B47" s="1264"/>
      <c r="C47" s="1342"/>
      <c r="D47" s="1342"/>
      <c r="E47" s="1342"/>
      <c r="F47" s="1342"/>
      <c r="G47" s="1319"/>
      <c r="H47" s="1319"/>
      <c r="I47" s="1319"/>
      <c r="J47" s="1278"/>
      <c r="K47" s="1278"/>
      <c r="L47" s="1319"/>
      <c r="M47" s="1319"/>
      <c r="N47" s="1319"/>
      <c r="O47" s="1278"/>
      <c r="P47" s="1278"/>
      <c r="Q47" s="1319"/>
      <c r="R47" s="1319"/>
      <c r="S47" s="1319"/>
      <c r="T47" s="1278"/>
      <c r="U47" s="1278"/>
      <c r="V47" s="1319"/>
      <c r="W47" s="1319"/>
      <c r="X47" s="1319"/>
      <c r="Y47" s="1278"/>
      <c r="Z47" s="1278"/>
      <c r="AA47" s="1319"/>
      <c r="AB47" s="1319"/>
      <c r="AC47" s="1319"/>
      <c r="AD47" s="1278"/>
      <c r="AE47" s="1278"/>
      <c r="AF47" s="1319"/>
      <c r="AG47" s="1319"/>
      <c r="AH47" s="1319"/>
      <c r="AI47" s="1278"/>
      <c r="AJ47" s="1342"/>
      <c r="AK47" s="1408"/>
      <c r="AL47" s="1408"/>
      <c r="AM47" s="1408"/>
      <c r="AN47" s="1408"/>
      <c r="AO47" s="1342">
        <f t="shared" ref="AO47:BS47" si="75">AO46/AJ46-1</f>
        <v>3.1915887850467293</v>
      </c>
      <c r="AP47" s="1408">
        <f t="shared" si="75"/>
        <v>0.12264150943396235</v>
      </c>
      <c r="AQ47" s="1408">
        <f t="shared" si="75"/>
        <v>9.174311926605494E-2</v>
      </c>
      <c r="AR47" s="1408">
        <f t="shared" si="75"/>
        <v>3.4782608695652195E-2</v>
      </c>
      <c r="AS47" s="1408">
        <f t="shared" si="75"/>
        <v>6.7510548523206815E-2</v>
      </c>
      <c r="AT47" s="695">
        <f t="shared" si="75"/>
        <v>7.8037904124860669E-2</v>
      </c>
      <c r="AU47" s="781">
        <f t="shared" si="75"/>
        <v>4.2016806722689148E-2</v>
      </c>
      <c r="AV47" s="1408">
        <f t="shared" si="75"/>
        <v>6.3025210084033612E-2</v>
      </c>
      <c r="AW47" s="1408">
        <f t="shared" si="75"/>
        <v>2.1008403361344463E-2</v>
      </c>
      <c r="AX47" s="1408">
        <f t="shared" si="75"/>
        <v>1.1857707509881354E-2</v>
      </c>
      <c r="AY47" s="1342">
        <f t="shared" si="75"/>
        <v>3.4126163391933861E-2</v>
      </c>
      <c r="AZ47" s="781">
        <f t="shared" si="75"/>
        <v>3.629032258064524E-2</v>
      </c>
      <c r="BA47" s="1408">
        <f t="shared" si="75"/>
        <v>-1.7786561264822143E-2</v>
      </c>
      <c r="BB47" s="1408">
        <f t="shared" si="75"/>
        <v>0.11522633744855959</v>
      </c>
      <c r="BC47" s="1408">
        <f t="shared" si="75"/>
        <v>0.2890625</v>
      </c>
      <c r="BD47" s="1342">
        <f t="shared" si="75"/>
        <v>0.10650000000000004</v>
      </c>
      <c r="BE47" s="1408">
        <f t="shared" si="75"/>
        <v>0.17509727626459148</v>
      </c>
      <c r="BF47" s="1408">
        <f t="shared" si="75"/>
        <v>0.26760563380281699</v>
      </c>
      <c r="BG47" s="1408">
        <f t="shared" si="75"/>
        <v>0.1512915129151291</v>
      </c>
      <c r="BH47" s="1408">
        <f t="shared" si="75"/>
        <v>-7.2727272727272751E-2</v>
      </c>
      <c r="BI47" s="1342">
        <f t="shared" si="75"/>
        <v>0.11613194758246714</v>
      </c>
      <c r="BJ47" s="1408">
        <f t="shared" si="75"/>
        <v>-2.6490066225165587E-2</v>
      </c>
      <c r="BK47" s="1408">
        <f t="shared" si="75"/>
        <v>-5.7142857142857162E-2</v>
      </c>
      <c r="BL47" s="1408">
        <f t="shared" si="75"/>
        <v>-4.4871794871794823E-2</v>
      </c>
      <c r="BM47" s="1408">
        <f t="shared" si="75"/>
        <v>1.3071895424836555E-2</v>
      </c>
      <c r="BN47" s="1342">
        <f t="shared" si="75"/>
        <v>-2.9149797570850233E-2</v>
      </c>
      <c r="BO47" s="1408">
        <f t="shared" si="75"/>
        <v>0.10544217687074831</v>
      </c>
      <c r="BP47" s="1408">
        <f t="shared" si="75"/>
        <v>0.10126973106095605</v>
      </c>
      <c r="BQ47" s="1408">
        <f t="shared" si="75"/>
        <v>9.4832477627283307E-2</v>
      </c>
      <c r="BR47" s="1408">
        <f t="shared" si="75"/>
        <v>8.9674759187345909E-2</v>
      </c>
      <c r="BS47" s="1342">
        <f t="shared" si="75"/>
        <v>9.769504904596471E-2</v>
      </c>
      <c r="BT47" s="1408"/>
      <c r="BU47" s="1408"/>
      <c r="BV47" s="1408"/>
      <c r="BW47" s="1408"/>
      <c r="BX47" s="1342">
        <f>BX46/BS46-1</f>
        <v>5.0647908976614975E-2</v>
      </c>
      <c r="BY47" s="1486">
        <f>BY46/BX46-1</f>
        <v>4.1566399724288772E-2</v>
      </c>
      <c r="BZ47" s="1486">
        <f>BZ46/BY46-1</f>
        <v>3.6504587636982722E-2</v>
      </c>
      <c r="CA47" s="1486"/>
      <c r="CF47" s="1487" t="str">
        <f>+A47</f>
        <v>y/y chg</v>
      </c>
      <c r="CG47" s="1272"/>
      <c r="CH47" s="1342"/>
      <c r="CI47" s="1342"/>
      <c r="CJ47" s="1342"/>
      <c r="CK47" s="1342"/>
      <c r="CL47" s="1278"/>
      <c r="CM47" s="1278"/>
      <c r="CN47" s="1278"/>
      <c r="CO47" s="1278"/>
      <c r="CP47" s="1278"/>
      <c r="CQ47" s="1342">
        <f>+AJ47</f>
        <v>0</v>
      </c>
      <c r="CR47" s="1342">
        <f>+AO47</f>
        <v>3.1915887850467293</v>
      </c>
      <c r="CS47" s="695">
        <f>+AT47</f>
        <v>7.8037904124860669E-2</v>
      </c>
      <c r="CT47" s="1342">
        <f>+AY47</f>
        <v>3.4126163391933861E-2</v>
      </c>
      <c r="CU47" s="1342">
        <f>+BD47</f>
        <v>0.10650000000000004</v>
      </c>
      <c r="CV47" s="1488">
        <f>+BI47</f>
        <v>0.11613194758246714</v>
      </c>
      <c r="CW47" s="1342">
        <f>+BN47</f>
        <v>-2.9149797570850233E-2</v>
      </c>
      <c r="CX47" s="1342">
        <f>+BS47</f>
        <v>9.769504904596471E-2</v>
      </c>
      <c r="CY47" s="1342">
        <f t="shared" si="74"/>
        <v>5.0647908976614975E-2</v>
      </c>
      <c r="CZ47" s="1486">
        <f t="shared" si="74"/>
        <v>4.1566399724288772E-2</v>
      </c>
      <c r="DA47" s="1486">
        <f t="shared" si="74"/>
        <v>3.6504587636982722E-2</v>
      </c>
      <c r="DB47" s="1486">
        <f t="shared" si="74"/>
        <v>0</v>
      </c>
    </row>
    <row r="48" spans="1:106" ht="12" hidden="1" customHeight="1">
      <c r="A48" s="1530" t="s">
        <v>191</v>
      </c>
      <c r="B48" s="1531"/>
      <c r="C48" s="1531"/>
      <c r="D48" s="1531"/>
      <c r="E48" s="1531"/>
      <c r="F48" s="1531"/>
      <c r="G48" s="1319"/>
      <c r="H48" s="1319"/>
      <c r="I48" s="1319"/>
      <c r="J48" s="1278"/>
      <c r="K48" s="1278"/>
      <c r="L48" s="1319"/>
      <c r="M48" s="1319"/>
      <c r="N48" s="1319"/>
      <c r="O48" s="1278"/>
      <c r="P48" s="1278"/>
      <c r="Q48" s="1319"/>
      <c r="R48" s="1319"/>
      <c r="S48" s="1319"/>
      <c r="T48" s="1278"/>
      <c r="U48" s="1278"/>
      <c r="V48" s="1319"/>
      <c r="W48" s="1319"/>
      <c r="X48" s="1319"/>
      <c r="Y48" s="1278"/>
      <c r="Z48" s="1278"/>
      <c r="AA48" s="1319"/>
      <c r="AB48" s="1319"/>
      <c r="AC48" s="1319"/>
      <c r="AD48" s="1278"/>
      <c r="AE48" s="1278"/>
      <c r="AF48" s="1319"/>
      <c r="AG48" s="1319"/>
      <c r="AH48" s="1319"/>
      <c r="AI48" s="1278"/>
      <c r="AJ48" s="693">
        <f t="shared" ref="AJ48:BF48" si="76">AJ46/AJ18</f>
        <v>0.2075654704170708</v>
      </c>
      <c r="AK48" s="692">
        <f t="shared" si="76"/>
        <v>0.77372262773722633</v>
      </c>
      <c r="AL48" s="692">
        <f t="shared" si="76"/>
        <v>0.78700361010830322</v>
      </c>
      <c r="AM48" s="692">
        <f t="shared" si="76"/>
        <v>0.8098591549295775</v>
      </c>
      <c r="AN48" s="692">
        <f t="shared" si="76"/>
        <v>0.8172413793103448</v>
      </c>
      <c r="AO48" s="693">
        <f t="shared" si="76"/>
        <v>0.79733333333333334</v>
      </c>
      <c r="AP48" s="692">
        <f t="shared" si="76"/>
        <v>0.82638888888888884</v>
      </c>
      <c r="AQ48" s="692">
        <f t="shared" si="76"/>
        <v>0.82926829268292679</v>
      </c>
      <c r="AR48" s="692">
        <f t="shared" si="76"/>
        <v>0.8122866894197952</v>
      </c>
      <c r="AS48" s="692">
        <f t="shared" si="76"/>
        <v>0.84053156146179397</v>
      </c>
      <c r="AT48" s="695">
        <f t="shared" si="76"/>
        <v>0.82720273738237815</v>
      </c>
      <c r="AU48" s="694">
        <f t="shared" si="76"/>
        <v>0.82392026578073085</v>
      </c>
      <c r="AV48" s="692">
        <f t="shared" si="76"/>
        <v>0.82410423452768733</v>
      </c>
      <c r="AW48" s="692">
        <f t="shared" si="76"/>
        <v>0.7813504823151125</v>
      </c>
      <c r="AX48" s="692">
        <f t="shared" si="76"/>
        <v>0.80503144654088055</v>
      </c>
      <c r="AY48" s="1531">
        <f t="shared" si="76"/>
        <v>0.80840743734842357</v>
      </c>
      <c r="AZ48" s="694">
        <f t="shared" si="76"/>
        <v>0.80312499999999998</v>
      </c>
      <c r="BA48" s="694">
        <f t="shared" si="76"/>
        <v>0.76697530864197527</v>
      </c>
      <c r="BB48" s="694">
        <f t="shared" si="76"/>
        <v>0.7612359550561798</v>
      </c>
      <c r="BC48" s="694">
        <f t="shared" si="76"/>
        <v>0.81481481481481477</v>
      </c>
      <c r="BD48" s="1531">
        <f t="shared" si="76"/>
        <v>0.78754448398576515</v>
      </c>
      <c r="BE48" s="694">
        <f t="shared" si="76"/>
        <v>0.74201474201474205</v>
      </c>
      <c r="BF48" s="694">
        <f t="shared" si="76"/>
        <v>0.75721153846153844</v>
      </c>
      <c r="BG48" s="692">
        <f>+BG46/BG18</f>
        <v>0.72727272727272729</v>
      </c>
      <c r="BH48" s="694">
        <f>+BH46/BH18</f>
        <v>0.75184275184275184</v>
      </c>
      <c r="BI48" s="1531">
        <f>BI46/BI18</f>
        <v>0.74442435201928869</v>
      </c>
      <c r="BJ48" s="692">
        <f>+BJ46/BJ18</f>
        <v>0.73134328358208955</v>
      </c>
      <c r="BK48" s="692">
        <f>+BK46/BK18</f>
        <v>0.71739130434782605</v>
      </c>
      <c r="BL48" s="692">
        <f>+BL46/BL18</f>
        <v>0.70616113744075826</v>
      </c>
      <c r="BM48" s="692">
        <f>+BM46/BM18</f>
        <v>0.70454545454545459</v>
      </c>
      <c r="BN48" s="1531">
        <f>BN46/BN18</f>
        <v>0.71454112038140649</v>
      </c>
      <c r="BO48" s="692">
        <f>+BO46/BO18</f>
        <v>0.74370709382151035</v>
      </c>
      <c r="BP48" s="692">
        <f>+BP46/BP18</f>
        <v>0.72905235400527069</v>
      </c>
      <c r="BQ48" s="692">
        <f>+BQ46/BQ18</f>
        <v>0.71570761159517482</v>
      </c>
      <c r="BR48" s="692">
        <f>+BR46/BR18</f>
        <v>0.71185154857519006</v>
      </c>
      <c r="BS48" s="1531">
        <f>BS46/BS18</f>
        <v>0.72473437064000656</v>
      </c>
      <c r="BT48" s="692"/>
      <c r="BU48" s="692"/>
      <c r="BV48" s="692"/>
      <c r="BW48" s="692"/>
      <c r="BX48" s="1531">
        <f>+BX46/BX18</f>
        <v>0.7114111119491705</v>
      </c>
      <c r="BY48" s="783">
        <f>+BY46/BY18</f>
        <v>0.69903953829882126</v>
      </c>
      <c r="BZ48" s="783">
        <f>+BZ46/BZ18</f>
        <v>0.68354498904374184</v>
      </c>
      <c r="CA48" s="783"/>
      <c r="CF48" s="1532" t="str">
        <f>+A48</f>
        <v>% of Revenues</v>
      </c>
      <c r="CG48" s="1533"/>
      <c r="CH48" s="1531"/>
      <c r="CI48" s="1531"/>
      <c r="CJ48" s="1531"/>
      <c r="CK48" s="1531"/>
      <c r="CL48" s="1278"/>
      <c r="CM48" s="1278"/>
      <c r="CN48" s="1278"/>
      <c r="CO48" s="1278"/>
      <c r="CP48" s="1278"/>
      <c r="CQ48" s="693">
        <f>+AJ48</f>
        <v>0.2075654704170708</v>
      </c>
      <c r="CR48" s="693">
        <f>+AO48</f>
        <v>0.79733333333333334</v>
      </c>
      <c r="CS48" s="695">
        <f>+AT48</f>
        <v>0.82720273738237815</v>
      </c>
      <c r="CT48" s="1531">
        <f>+AY48</f>
        <v>0.80840743734842357</v>
      </c>
      <c r="CU48" s="1531">
        <f>+BD48</f>
        <v>0.78754448398576515</v>
      </c>
      <c r="CV48" s="1534">
        <f>+BI48</f>
        <v>0.74442435201928869</v>
      </c>
      <c r="CW48" s="751">
        <f>+BN48</f>
        <v>0.71454112038140649</v>
      </c>
      <c r="CX48" s="751">
        <f>+BS48</f>
        <v>0.72473437064000656</v>
      </c>
      <c r="CY48" s="751">
        <f t="shared" si="74"/>
        <v>0.7114111119491705</v>
      </c>
      <c r="CZ48" s="752">
        <f t="shared" si="74"/>
        <v>0.69903953829882126</v>
      </c>
      <c r="DA48" s="752">
        <f t="shared" si="74"/>
        <v>0.68354498904374184</v>
      </c>
      <c r="DB48" s="752">
        <f t="shared" si="74"/>
        <v>0</v>
      </c>
    </row>
    <row r="49" spans="1:106" hidden="1">
      <c r="A49" s="1425"/>
      <c r="B49" s="1423"/>
      <c r="C49" s="1423"/>
      <c r="D49" s="1423"/>
      <c r="E49" s="1423"/>
      <c r="F49" s="1423"/>
      <c r="G49" s="1286"/>
      <c r="H49" s="1286"/>
      <c r="I49" s="1286"/>
      <c r="J49" s="1286"/>
      <c r="K49" s="1423"/>
      <c r="L49" s="1286"/>
      <c r="M49" s="1286"/>
      <c r="N49" s="1286"/>
      <c r="O49" s="1286"/>
      <c r="P49" s="1423"/>
      <c r="Q49" s="1286"/>
      <c r="R49" s="1286"/>
      <c r="S49" s="1286"/>
      <c r="T49" s="1286"/>
      <c r="U49" s="1423"/>
      <c r="V49" s="1286"/>
      <c r="W49" s="1286"/>
      <c r="X49" s="1286"/>
      <c r="Y49" s="1286"/>
      <c r="Z49" s="1423"/>
      <c r="AA49" s="1286"/>
      <c r="AB49" s="1286"/>
      <c r="AC49" s="1286"/>
      <c r="AD49" s="1286"/>
      <c r="AE49" s="1423"/>
      <c r="AF49" s="1286"/>
      <c r="AG49" s="1286"/>
      <c r="AH49" s="1286"/>
      <c r="AI49" s="1286"/>
      <c r="AJ49" s="1423"/>
      <c r="AK49" s="1286"/>
      <c r="AL49" s="1286"/>
      <c r="AM49" s="1286"/>
      <c r="AN49" s="1286"/>
      <c r="AO49" s="1423"/>
      <c r="AP49" s="1286"/>
      <c r="AQ49" s="1286"/>
      <c r="AR49" s="1286"/>
      <c r="AS49" s="1286"/>
      <c r="AT49" s="1535"/>
      <c r="AU49" s="1536"/>
      <c r="AV49" s="1286"/>
      <c r="AW49" s="1286"/>
      <c r="AX49" s="1286"/>
      <c r="AY49" s="1423"/>
      <c r="AZ49" s="1536"/>
      <c r="BA49" s="1286"/>
      <c r="BB49" s="1286"/>
      <c r="BC49" s="1286"/>
      <c r="BD49" s="1551"/>
      <c r="BE49" s="1537"/>
      <c r="BF49" s="1286"/>
      <c r="BG49" s="1286"/>
      <c r="BH49" s="1286"/>
      <c r="BI49" s="1551"/>
      <c r="BJ49" s="1537"/>
      <c r="BK49" s="1286"/>
      <c r="BL49" s="1286"/>
      <c r="BM49" s="1286"/>
      <c r="BN49" s="1423"/>
      <c r="BO49" s="1537"/>
      <c r="BP49" s="1286"/>
      <c r="BQ49" s="1286"/>
      <c r="BR49" s="1286"/>
      <c r="BS49" s="1423"/>
      <c r="BT49" s="1537"/>
      <c r="BU49" s="1286"/>
      <c r="BV49" s="1286"/>
      <c r="BW49" s="1286"/>
      <c r="BX49" s="1423"/>
      <c r="BY49" s="1422"/>
      <c r="BZ49" s="1422"/>
      <c r="CA49" s="1422"/>
      <c r="CF49" s="1423"/>
      <c r="CG49" s="1286"/>
      <c r="CH49" s="1286"/>
      <c r="CI49" s="1286"/>
      <c r="CJ49" s="1286"/>
      <c r="CK49" s="1286"/>
      <c r="CL49" s="1423"/>
      <c r="CM49" s="1423"/>
      <c r="CN49" s="1423"/>
      <c r="CO49" s="1423"/>
      <c r="CP49" s="1423"/>
      <c r="CQ49" s="1423"/>
      <c r="CR49" s="1423"/>
      <c r="CS49" s="1535"/>
      <c r="CT49" s="1423"/>
      <c r="CU49" s="1423"/>
      <c r="CV49" s="1425"/>
      <c r="CW49" s="1423"/>
      <c r="CX49" s="1423"/>
      <c r="CY49" s="1423"/>
      <c r="CZ49" s="1422"/>
      <c r="DA49" s="1422"/>
      <c r="DB49" s="1422"/>
    </row>
    <row r="50" spans="1:106" s="768" customFormat="1" hidden="1">
      <c r="A50" s="1428" t="s">
        <v>290</v>
      </c>
      <c r="B50" s="1291"/>
      <c r="C50" s="1291"/>
      <c r="D50" s="1291"/>
      <c r="E50" s="1291"/>
      <c r="F50" s="1291"/>
      <c r="G50" s="1543" t="s">
        <v>249</v>
      </c>
      <c r="H50" s="1543" t="s">
        <v>249</v>
      </c>
      <c r="I50" s="1543" t="s">
        <v>249</v>
      </c>
      <c r="J50" s="1544" t="s">
        <v>249</v>
      </c>
      <c r="K50" s="1544" t="s">
        <v>249</v>
      </c>
      <c r="L50" s="1543" t="s">
        <v>249</v>
      </c>
      <c r="M50" s="1543" t="s">
        <v>249</v>
      </c>
      <c r="N50" s="1543" t="s">
        <v>249</v>
      </c>
      <c r="O50" s="1544" t="s">
        <v>249</v>
      </c>
      <c r="P50" s="1544" t="s">
        <v>249</v>
      </c>
      <c r="Q50" s="1543" t="s">
        <v>249</v>
      </c>
      <c r="R50" s="1543" t="s">
        <v>249</v>
      </c>
      <c r="S50" s="1543" t="s">
        <v>249</v>
      </c>
      <c r="T50" s="1544" t="s">
        <v>249</v>
      </c>
      <c r="U50" s="1544" t="s">
        <v>249</v>
      </c>
      <c r="V50" s="1543" t="s">
        <v>249</v>
      </c>
      <c r="W50" s="1543" t="s">
        <v>249</v>
      </c>
      <c r="X50" s="1543" t="s">
        <v>249</v>
      </c>
      <c r="Y50" s="1544" t="s">
        <v>249</v>
      </c>
      <c r="Z50" s="1544" t="s">
        <v>249</v>
      </c>
      <c r="AA50" s="1543" t="s">
        <v>249</v>
      </c>
      <c r="AB50" s="1543" t="s">
        <v>249</v>
      </c>
      <c r="AC50" s="1543" t="s">
        <v>249</v>
      </c>
      <c r="AD50" s="1544" t="s">
        <v>249</v>
      </c>
      <c r="AE50" s="1544" t="s">
        <v>249</v>
      </c>
      <c r="AF50" s="1552">
        <v>228</v>
      </c>
      <c r="AG50" s="1552">
        <v>235</v>
      </c>
      <c r="AH50" s="1552">
        <v>236</v>
      </c>
      <c r="AI50" s="1548">
        <v>37</v>
      </c>
      <c r="AJ50" s="1547">
        <f>SUM(AF50:AI50)</f>
        <v>736</v>
      </c>
      <c r="AK50" s="1548">
        <v>34</v>
      </c>
      <c r="AL50" s="1548">
        <f>47-14</f>
        <v>33</v>
      </c>
      <c r="AM50" s="1548">
        <f>48-4</f>
        <v>44</v>
      </c>
      <c r="AN50" s="1548">
        <f>46-3</f>
        <v>43</v>
      </c>
      <c r="AO50" s="1547">
        <f>SUM(AK50:AN50)</f>
        <v>154</v>
      </c>
      <c r="AP50" s="1548">
        <v>51</v>
      </c>
      <c r="AQ50" s="1548">
        <v>46</v>
      </c>
      <c r="AR50" s="1548">
        <v>47</v>
      </c>
      <c r="AS50" s="1548">
        <v>83</v>
      </c>
      <c r="AT50" s="1547">
        <f>SUM(AP50:AS50)</f>
        <v>227</v>
      </c>
      <c r="AU50" s="1548">
        <v>46</v>
      </c>
      <c r="AV50" s="1548">
        <v>51</v>
      </c>
      <c r="AW50" s="1548">
        <f>57-4</f>
        <v>53</v>
      </c>
      <c r="AX50" s="1523">
        <v>53</v>
      </c>
      <c r="AY50" s="1291">
        <f>SUM(AU50:AX50)</f>
        <v>203</v>
      </c>
      <c r="AZ50" s="1548">
        <f>+AZ14-AZ89</f>
        <v>48</v>
      </c>
      <c r="BA50" s="1548">
        <v>51.5</v>
      </c>
      <c r="BB50" s="1548">
        <v>50</v>
      </c>
      <c r="BC50" s="1549">
        <v>57</v>
      </c>
      <c r="BD50" s="1291">
        <f>SUM(AZ50:BC50)</f>
        <v>206.5</v>
      </c>
      <c r="BE50" s="1548">
        <v>50</v>
      </c>
      <c r="BF50" s="1548">
        <v>53</v>
      </c>
      <c r="BG50" s="1523">
        <f>+BG14-BG89</f>
        <v>57</v>
      </c>
      <c r="BH50" s="1549">
        <f>+BH14-BH89</f>
        <v>67</v>
      </c>
      <c r="BI50" s="1291">
        <f>SUM(BE50:BH50)</f>
        <v>227</v>
      </c>
      <c r="BJ50" s="1523">
        <f>+BJ14-BJ89</f>
        <v>56</v>
      </c>
      <c r="BK50" s="1523">
        <f>+BK14-BK89</f>
        <v>65</v>
      </c>
      <c r="BL50" s="1523">
        <f>+BL14-BL89</f>
        <v>68</v>
      </c>
      <c r="BM50" s="1523">
        <f>+BM14-BM89</f>
        <v>72</v>
      </c>
      <c r="BN50" s="1291">
        <f>SUM(BJ50:BM50)</f>
        <v>261</v>
      </c>
      <c r="BO50" s="1523">
        <f>+BO14-BO89</f>
        <v>67</v>
      </c>
      <c r="BP50" s="1523">
        <f>+BP14-BP89</f>
        <v>73.04983848534232</v>
      </c>
      <c r="BQ50" s="1523">
        <f>+BQ14-BQ89</f>
        <v>75.345878182242075</v>
      </c>
      <c r="BR50" s="1523">
        <f>+BR14-BR89</f>
        <v>80.159857935734976</v>
      </c>
      <c r="BS50" s="1291">
        <f>SUM(BO50:BR50)</f>
        <v>295.55557460331937</v>
      </c>
      <c r="BT50" s="1523"/>
      <c r="BU50" s="1523"/>
      <c r="BV50" s="1523"/>
      <c r="BW50" s="1523"/>
      <c r="BX50" s="1291">
        <f>+BX14-BX89</f>
        <v>316.05085340574192</v>
      </c>
      <c r="BY50" s="1550">
        <f>+BY14-BY89</f>
        <v>335.12772970538117</v>
      </c>
      <c r="BZ50" s="1550">
        <f>+BZ14-BZ89</f>
        <v>355.78146281335364</v>
      </c>
      <c r="CA50" s="1550"/>
      <c r="CF50" s="798" t="str">
        <f>+A50</f>
        <v>S&amp;P Dow Jones Indices</v>
      </c>
      <c r="CG50" s="1523"/>
      <c r="CH50" s="1523"/>
      <c r="CI50" s="1523"/>
      <c r="CJ50" s="1523"/>
      <c r="CK50" s="1523"/>
      <c r="CL50" s="1544"/>
      <c r="CM50" s="1544"/>
      <c r="CN50" s="1544"/>
      <c r="CO50" s="1544"/>
      <c r="CP50" s="1544"/>
      <c r="CQ50" s="1547">
        <f>+AJ50</f>
        <v>736</v>
      </c>
      <c r="CR50" s="1547">
        <f>+AO50</f>
        <v>154</v>
      </c>
      <c r="CS50" s="1547">
        <f>+AT50</f>
        <v>227</v>
      </c>
      <c r="CT50" s="1291">
        <f>+AY50</f>
        <v>203</v>
      </c>
      <c r="CU50" s="1291">
        <f>+BD50</f>
        <v>206.5</v>
      </c>
      <c r="CV50" s="1289">
        <f>+BI50</f>
        <v>227</v>
      </c>
      <c r="CW50" s="1291">
        <f>+BN50</f>
        <v>261</v>
      </c>
      <c r="CX50" s="1291">
        <f>+BS50</f>
        <v>295.55557460331937</v>
      </c>
      <c r="CY50" s="1291">
        <f t="shared" ref="CY50:DB52" si="77">+BX50</f>
        <v>316.05085340574192</v>
      </c>
      <c r="CZ50" s="1550">
        <f t="shared" si="77"/>
        <v>335.12772970538117</v>
      </c>
      <c r="DA50" s="1550">
        <f t="shared" si="77"/>
        <v>355.78146281335364</v>
      </c>
      <c r="DB50" s="1550">
        <f t="shared" si="77"/>
        <v>0</v>
      </c>
    </row>
    <row r="51" spans="1:106" ht="12" hidden="1" customHeight="1">
      <c r="A51" s="1485" t="s">
        <v>294</v>
      </c>
      <c r="B51" s="1264"/>
      <c r="C51" s="1342"/>
      <c r="D51" s="1342"/>
      <c r="E51" s="1342"/>
      <c r="F51" s="1342"/>
      <c r="G51" s="1319"/>
      <c r="H51" s="1319"/>
      <c r="I51" s="1319"/>
      <c r="J51" s="1278"/>
      <c r="K51" s="1278"/>
      <c r="L51" s="1319"/>
      <c r="M51" s="1319"/>
      <c r="N51" s="1319"/>
      <c r="O51" s="1278"/>
      <c r="P51" s="1278"/>
      <c r="Q51" s="1319"/>
      <c r="R51" s="1319"/>
      <c r="S51" s="1319"/>
      <c r="T51" s="1278"/>
      <c r="U51" s="1278"/>
      <c r="V51" s="1319"/>
      <c r="W51" s="1319"/>
      <c r="X51" s="1319"/>
      <c r="Y51" s="1278"/>
      <c r="Z51" s="1278"/>
      <c r="AA51" s="1319"/>
      <c r="AB51" s="1319"/>
      <c r="AC51" s="1319"/>
      <c r="AD51" s="1278"/>
      <c r="AE51" s="1278"/>
      <c r="AF51" s="1319"/>
      <c r="AG51" s="1319"/>
      <c r="AH51" s="1319"/>
      <c r="AI51" s="1278"/>
      <c r="AJ51" s="1342"/>
      <c r="AK51" s="1408"/>
      <c r="AL51" s="1408"/>
      <c r="AM51" s="1408"/>
      <c r="AN51" s="1408"/>
      <c r="AO51" s="1342">
        <f t="shared" ref="AO51:BS51" si="78">AO50/AJ50-1</f>
        <v>-0.79076086956521741</v>
      </c>
      <c r="AP51" s="1408">
        <f t="shared" si="78"/>
        <v>0.5</v>
      </c>
      <c r="AQ51" s="1408">
        <f t="shared" si="78"/>
        <v>0.39393939393939403</v>
      </c>
      <c r="AR51" s="1408">
        <f t="shared" si="78"/>
        <v>6.8181818181818121E-2</v>
      </c>
      <c r="AS51" s="1408">
        <f t="shared" si="78"/>
        <v>0.93023255813953498</v>
      </c>
      <c r="AT51" s="695">
        <f t="shared" si="78"/>
        <v>0.47402597402597402</v>
      </c>
      <c r="AU51" s="781">
        <f t="shared" si="78"/>
        <v>-9.8039215686274495E-2</v>
      </c>
      <c r="AV51" s="1408">
        <f t="shared" si="78"/>
        <v>0.10869565217391308</v>
      </c>
      <c r="AW51" s="1408">
        <f t="shared" si="78"/>
        <v>0.12765957446808507</v>
      </c>
      <c r="AX51" s="1408">
        <f t="shared" si="78"/>
        <v>-0.36144578313253017</v>
      </c>
      <c r="AY51" s="1342">
        <f t="shared" si="78"/>
        <v>-0.10572687224669608</v>
      </c>
      <c r="AZ51" s="781">
        <f t="shared" si="78"/>
        <v>4.3478260869565188E-2</v>
      </c>
      <c r="BA51" s="1408">
        <f t="shared" si="78"/>
        <v>9.8039215686274161E-3</v>
      </c>
      <c r="BB51" s="1408">
        <f t="shared" si="78"/>
        <v>-5.6603773584905648E-2</v>
      </c>
      <c r="BC51" s="1408">
        <f t="shared" si="78"/>
        <v>7.547169811320753E-2</v>
      </c>
      <c r="BD51" s="1342">
        <f t="shared" si="78"/>
        <v>1.7241379310344751E-2</v>
      </c>
      <c r="BE51" s="1408">
        <f t="shared" si="78"/>
        <v>4.1666666666666741E-2</v>
      </c>
      <c r="BF51" s="1408">
        <f t="shared" si="78"/>
        <v>2.9126213592232997E-2</v>
      </c>
      <c r="BG51" s="1408">
        <f t="shared" si="78"/>
        <v>0.1399999999999999</v>
      </c>
      <c r="BH51" s="1408">
        <f t="shared" si="78"/>
        <v>0.17543859649122817</v>
      </c>
      <c r="BI51" s="1342">
        <f t="shared" si="78"/>
        <v>9.9273607748183945E-2</v>
      </c>
      <c r="BJ51" s="1408">
        <f t="shared" si="78"/>
        <v>0.12000000000000011</v>
      </c>
      <c r="BK51" s="1408">
        <f t="shared" si="78"/>
        <v>0.22641509433962259</v>
      </c>
      <c r="BL51" s="1408">
        <f t="shared" si="78"/>
        <v>0.19298245614035081</v>
      </c>
      <c r="BM51" s="1408">
        <f t="shared" si="78"/>
        <v>7.4626865671641784E-2</v>
      </c>
      <c r="BN51" s="1342">
        <f t="shared" si="78"/>
        <v>0.14977973568281944</v>
      </c>
      <c r="BO51" s="1408">
        <f t="shared" si="78"/>
        <v>0.1964285714285714</v>
      </c>
      <c r="BP51" s="1408">
        <f t="shared" si="78"/>
        <v>0.12384366900526644</v>
      </c>
      <c r="BQ51" s="1408">
        <f t="shared" si="78"/>
        <v>0.10802762032708935</v>
      </c>
      <c r="BR51" s="1408">
        <f t="shared" si="78"/>
        <v>0.11333136021854129</v>
      </c>
      <c r="BS51" s="1342">
        <f t="shared" si="78"/>
        <v>0.1323968375606106</v>
      </c>
      <c r="BT51" s="1408"/>
      <c r="BU51" s="1408"/>
      <c r="BV51" s="1408"/>
      <c r="BW51" s="1408"/>
      <c r="BX51" s="1342">
        <f>BX50/BS50-1</f>
        <v>6.9344923809778747E-2</v>
      </c>
      <c r="BY51" s="1486">
        <f>BY50/BX50-1</f>
        <v>6.0360148039684702E-2</v>
      </c>
      <c r="BZ51" s="1486">
        <f>BZ50/BY50-1</f>
        <v>6.1629436412587113E-2</v>
      </c>
      <c r="CA51" s="1486"/>
      <c r="CF51" s="1487" t="str">
        <f>+A51</f>
        <v>y/y chg</v>
      </c>
      <c r="CG51" s="1272"/>
      <c r="CH51" s="1342"/>
      <c r="CI51" s="1342"/>
      <c r="CJ51" s="1342"/>
      <c r="CK51" s="1342"/>
      <c r="CL51" s="1278"/>
      <c r="CM51" s="1278"/>
      <c r="CN51" s="1278"/>
      <c r="CO51" s="1278"/>
      <c r="CP51" s="1278"/>
      <c r="CQ51" s="1342">
        <f>+AJ51</f>
        <v>0</v>
      </c>
      <c r="CR51" s="1342">
        <f>+AO51</f>
        <v>-0.79076086956521741</v>
      </c>
      <c r="CS51" s="695">
        <f>+AT51</f>
        <v>0.47402597402597402</v>
      </c>
      <c r="CT51" s="1342">
        <f>+AY51</f>
        <v>-0.10572687224669608</v>
      </c>
      <c r="CU51" s="1342">
        <f>+BD51</f>
        <v>1.7241379310344751E-2</v>
      </c>
      <c r="CV51" s="1488">
        <f>+BI51</f>
        <v>9.9273607748183945E-2</v>
      </c>
      <c r="CW51" s="1342">
        <f>+BN51</f>
        <v>0.14977973568281944</v>
      </c>
      <c r="CX51" s="1342">
        <f>+BS51</f>
        <v>0.1323968375606106</v>
      </c>
      <c r="CY51" s="1342">
        <f t="shared" si="77"/>
        <v>6.9344923809778747E-2</v>
      </c>
      <c r="CZ51" s="1486">
        <f t="shared" si="77"/>
        <v>6.0360148039684702E-2</v>
      </c>
      <c r="DA51" s="1486">
        <f t="shared" si="77"/>
        <v>6.1629436412587113E-2</v>
      </c>
      <c r="DB51" s="1486">
        <f t="shared" si="77"/>
        <v>0</v>
      </c>
    </row>
    <row r="52" spans="1:106" ht="12" hidden="1" customHeight="1">
      <c r="A52" s="1530" t="s">
        <v>191</v>
      </c>
      <c r="B52" s="1531"/>
      <c r="C52" s="1531"/>
      <c r="D52" s="1531"/>
      <c r="E52" s="1531"/>
      <c r="F52" s="1531"/>
      <c r="G52" s="1319"/>
      <c r="H52" s="1319"/>
      <c r="I52" s="1319"/>
      <c r="J52" s="1278"/>
      <c r="K52" s="1278"/>
      <c r="L52" s="1319"/>
      <c r="M52" s="1319"/>
      <c r="N52" s="1319"/>
      <c r="O52" s="1278"/>
      <c r="P52" s="1278"/>
      <c r="Q52" s="1319"/>
      <c r="R52" s="1319"/>
      <c r="S52" s="1319"/>
      <c r="T52" s="1278"/>
      <c r="U52" s="1278"/>
      <c r="V52" s="1319"/>
      <c r="W52" s="1319"/>
      <c r="X52" s="1319"/>
      <c r="Y52" s="1278"/>
      <c r="Z52" s="1278"/>
      <c r="AA52" s="1319"/>
      <c r="AB52" s="1319"/>
      <c r="AC52" s="1319"/>
      <c r="AD52" s="1278"/>
      <c r="AE52" s="1278"/>
      <c r="AF52" s="1319"/>
      <c r="AG52" s="1319"/>
      <c r="AH52" s="1319"/>
      <c r="AI52" s="1278"/>
      <c r="AJ52" s="693">
        <f t="shared" ref="AJ52:BF52" si="79">AJ50/AJ14</f>
        <v>2.2786377708978329</v>
      </c>
      <c r="AK52" s="692">
        <f t="shared" si="79"/>
        <v>0.43037974683544306</v>
      </c>
      <c r="AL52" s="692">
        <f t="shared" si="79"/>
        <v>0.3707865168539326</v>
      </c>
      <c r="AM52" s="692">
        <f t="shared" si="79"/>
        <v>0.40366972477064222</v>
      </c>
      <c r="AN52" s="692">
        <f t="shared" si="79"/>
        <v>0.39090909090909093</v>
      </c>
      <c r="AO52" s="693">
        <f t="shared" si="79"/>
        <v>0.3979328165374677</v>
      </c>
      <c r="AP52" s="692">
        <f t="shared" si="79"/>
        <v>0.44347826086956521</v>
      </c>
      <c r="AQ52" s="692">
        <f t="shared" si="79"/>
        <v>0.37398373983739835</v>
      </c>
      <c r="AR52" s="692">
        <f t="shared" si="79"/>
        <v>0.37903225806451613</v>
      </c>
      <c r="AS52" s="692">
        <f t="shared" si="79"/>
        <v>0.63846153846153841</v>
      </c>
      <c r="AT52" s="695">
        <f t="shared" si="79"/>
        <v>0.4613821138211382</v>
      </c>
      <c r="AU52" s="692">
        <f t="shared" si="79"/>
        <v>0.33576642335766421</v>
      </c>
      <c r="AV52" s="692">
        <f t="shared" si="79"/>
        <v>0.38345864661654133</v>
      </c>
      <c r="AW52" s="692">
        <f t="shared" si="79"/>
        <v>0.37062937062937062</v>
      </c>
      <c r="AX52" s="692">
        <f t="shared" si="79"/>
        <v>0.37857142857142856</v>
      </c>
      <c r="AY52" s="1531">
        <f t="shared" si="79"/>
        <v>0.36708860759493672</v>
      </c>
      <c r="AZ52" s="692">
        <f t="shared" si="79"/>
        <v>0.33566433566433568</v>
      </c>
      <c r="BA52" s="692">
        <f t="shared" si="79"/>
        <v>0.34797297297297297</v>
      </c>
      <c r="BB52" s="692">
        <f t="shared" si="79"/>
        <v>0.32051282051282054</v>
      </c>
      <c r="BC52" s="692">
        <f t="shared" si="79"/>
        <v>0.38</v>
      </c>
      <c r="BD52" s="1531">
        <f t="shared" si="79"/>
        <v>0.34589614740368507</v>
      </c>
      <c r="BE52" s="692">
        <f t="shared" si="79"/>
        <v>0.33112582781456956</v>
      </c>
      <c r="BF52" s="692">
        <f t="shared" si="79"/>
        <v>0.34640522875816993</v>
      </c>
      <c r="BG52" s="692">
        <f>+BG50/BG14</f>
        <v>0.34756097560975607</v>
      </c>
      <c r="BH52" s="692">
        <f>+BH50/BH14</f>
        <v>0.391812865497076</v>
      </c>
      <c r="BI52" s="1531">
        <f>BI50/BI14</f>
        <v>0.35524256651017216</v>
      </c>
      <c r="BJ52" s="692">
        <f>+BJ50/BJ14</f>
        <v>0.32748538011695905</v>
      </c>
      <c r="BK52" s="692">
        <f>+BK50/BK14</f>
        <v>0.35326086956521741</v>
      </c>
      <c r="BL52" s="692">
        <f>+BL50/BL14</f>
        <v>0.36363636363636365</v>
      </c>
      <c r="BM52" s="692">
        <f>+BM50/BM14</f>
        <v>0.37696335078534032</v>
      </c>
      <c r="BN52" s="1531">
        <f>BN50/BN14</f>
        <v>0.35607094133697137</v>
      </c>
      <c r="BO52" s="692">
        <f>+BO50/BO14</f>
        <v>0.31308411214953269</v>
      </c>
      <c r="BP52" s="692">
        <f>+BP50/BP14</f>
        <v>0.3482608695652174</v>
      </c>
      <c r="BQ52" s="692">
        <f>+BQ50/BQ14</f>
        <v>0.3586363636363637</v>
      </c>
      <c r="BR52" s="692">
        <f>+BR50/BR14</f>
        <v>0.37196335078534026</v>
      </c>
      <c r="BS52" s="1531">
        <f>BS50/BS14</f>
        <v>0.34797825018307826</v>
      </c>
      <c r="BT52" s="692"/>
      <c r="BU52" s="692"/>
      <c r="BV52" s="692"/>
      <c r="BW52" s="692"/>
      <c r="BX52" s="1531">
        <f>+BX50/BX14</f>
        <v>0.34354918319183725</v>
      </c>
      <c r="BY52" s="1531">
        <f>+BY50/BY14</f>
        <v>0.33798617403411352</v>
      </c>
      <c r="BZ52" s="1531">
        <f>+BZ50/BZ14</f>
        <v>0.33298617403411351</v>
      </c>
      <c r="CA52" s="1531"/>
      <c r="CF52" s="1532" t="str">
        <f>+A52</f>
        <v>% of Revenues</v>
      </c>
      <c r="CG52" s="1533"/>
      <c r="CH52" s="1531"/>
      <c r="CI52" s="1531"/>
      <c r="CJ52" s="1531"/>
      <c r="CK52" s="1531"/>
      <c r="CL52" s="1278"/>
      <c r="CM52" s="1278"/>
      <c r="CN52" s="1278"/>
      <c r="CO52" s="1278"/>
      <c r="CP52" s="1278"/>
      <c r="CQ52" s="693">
        <f>+AJ52</f>
        <v>2.2786377708978329</v>
      </c>
      <c r="CR52" s="693">
        <f>+AO52</f>
        <v>0.3979328165374677</v>
      </c>
      <c r="CS52" s="695">
        <f>+AT52</f>
        <v>0.4613821138211382</v>
      </c>
      <c r="CT52" s="1531">
        <f>+AY52</f>
        <v>0.36708860759493672</v>
      </c>
      <c r="CU52" s="1531">
        <f>+BD52</f>
        <v>0.34589614740368507</v>
      </c>
      <c r="CV52" s="1531">
        <f>+BI52</f>
        <v>0.35524256651017216</v>
      </c>
      <c r="CW52" s="1531">
        <f>+BN52</f>
        <v>0.35607094133697137</v>
      </c>
      <c r="CX52" s="1531">
        <f>+BS52</f>
        <v>0.34797825018307826</v>
      </c>
      <c r="CY52" s="1531">
        <f t="shared" si="77"/>
        <v>0.34354918319183725</v>
      </c>
      <c r="CZ52" s="1531">
        <f t="shared" si="77"/>
        <v>0.33798617403411352</v>
      </c>
      <c r="DA52" s="1531">
        <f t="shared" si="77"/>
        <v>0.33298617403411351</v>
      </c>
      <c r="DB52" s="1531">
        <f t="shared" si="77"/>
        <v>0</v>
      </c>
    </row>
    <row r="53" spans="1:106" hidden="1">
      <c r="B53" s="1423"/>
      <c r="C53" s="1423"/>
      <c r="D53" s="1423"/>
      <c r="E53" s="1423"/>
      <c r="F53" s="1423"/>
      <c r="AE53" s="1423"/>
      <c r="AI53" s="1422"/>
      <c r="AO53" s="1423"/>
      <c r="AT53" s="1423"/>
      <c r="AY53" s="1423"/>
      <c r="BB53" s="762"/>
      <c r="BD53" s="1423"/>
      <c r="BI53" s="1423"/>
      <c r="BN53" s="1423"/>
      <c r="BS53" s="1423"/>
      <c r="BX53" s="1423"/>
      <c r="BY53" s="1423"/>
      <c r="BZ53" s="1423"/>
      <c r="CA53" s="1422"/>
      <c r="CF53" s="1423"/>
      <c r="CG53" s="1271"/>
      <c r="CH53" s="1271"/>
      <c r="CI53" s="1271"/>
      <c r="CJ53" s="1271"/>
      <c r="CK53" s="1271"/>
      <c r="CL53" s="1271"/>
      <c r="CM53" s="1422"/>
      <c r="CN53" s="1423"/>
      <c r="CO53" s="1423"/>
      <c r="CP53" s="1423"/>
      <c r="CQ53" s="1271"/>
      <c r="CR53" s="1423"/>
      <c r="CS53" s="1423"/>
      <c r="CT53" s="1423"/>
      <c r="CU53" s="1423"/>
      <c r="CV53" s="1423"/>
      <c r="CW53" s="1423"/>
      <c r="CX53" s="1423"/>
      <c r="CY53" s="1423"/>
      <c r="CZ53" s="1423"/>
      <c r="DA53" s="1423"/>
      <c r="DB53" s="1423"/>
    </row>
    <row r="54" spans="1:106" s="768" customFormat="1" hidden="1">
      <c r="A54" s="1428" t="s">
        <v>291</v>
      </c>
      <c r="B54" s="1291"/>
      <c r="C54" s="1291"/>
      <c r="D54" s="1291"/>
      <c r="E54" s="1291"/>
      <c r="F54" s="1291"/>
      <c r="G54" s="1543" t="s">
        <v>249</v>
      </c>
      <c r="H54" s="1543" t="s">
        <v>249</v>
      </c>
      <c r="I54" s="1543" t="s">
        <v>249</v>
      </c>
      <c r="J54" s="1544" t="s">
        <v>249</v>
      </c>
      <c r="K54" s="1544" t="s">
        <v>249</v>
      </c>
      <c r="L54" s="1543" t="s">
        <v>249</v>
      </c>
      <c r="M54" s="1543" t="s">
        <v>249</v>
      </c>
      <c r="N54" s="1543" t="s">
        <v>249</v>
      </c>
      <c r="O54" s="1544" t="s">
        <v>249</v>
      </c>
      <c r="P54" s="1544" t="s">
        <v>249</v>
      </c>
      <c r="Q54" s="1543" t="s">
        <v>249</v>
      </c>
      <c r="R54" s="1543" t="s">
        <v>249</v>
      </c>
      <c r="S54" s="1543" t="s">
        <v>249</v>
      </c>
      <c r="T54" s="1544" t="s">
        <v>249</v>
      </c>
      <c r="U54" s="1544" t="s">
        <v>249</v>
      </c>
      <c r="V54" s="1543" t="s">
        <v>249</v>
      </c>
      <c r="W54" s="1543" t="s">
        <v>249</v>
      </c>
      <c r="X54" s="1543" t="s">
        <v>249</v>
      </c>
      <c r="Y54" s="1544" t="s">
        <v>249</v>
      </c>
      <c r="Z54" s="1544" t="s">
        <v>249</v>
      </c>
      <c r="AA54" s="1543" t="s">
        <v>249</v>
      </c>
      <c r="AB54" s="1543" t="s">
        <v>249</v>
      </c>
      <c r="AC54" s="1543" t="s">
        <v>249</v>
      </c>
      <c r="AD54" s="1544" t="s">
        <v>249</v>
      </c>
      <c r="AE54" s="1544" t="s">
        <v>249</v>
      </c>
      <c r="AF54" s="1552">
        <v>167</v>
      </c>
      <c r="AG54" s="1552">
        <v>173</v>
      </c>
      <c r="AH54" s="1552">
        <v>177</v>
      </c>
      <c r="AI54" s="1523">
        <f>198-6</f>
        <v>192</v>
      </c>
      <c r="AJ54" s="1291">
        <v>716</v>
      </c>
      <c r="AK54" s="1548">
        <v>169</v>
      </c>
      <c r="AL54" s="1548">
        <v>169</v>
      </c>
      <c r="AM54" s="1548">
        <f>179-7</f>
        <v>172</v>
      </c>
      <c r="AN54" s="1548">
        <f>206-5</f>
        <v>201</v>
      </c>
      <c r="AO54" s="1547">
        <f>SUM(AK54:AN54)</f>
        <v>711</v>
      </c>
      <c r="AP54" s="1552">
        <v>176</v>
      </c>
      <c r="AQ54" s="1552">
        <v>176</v>
      </c>
      <c r="AR54" s="1548">
        <f>126+10</f>
        <v>136</v>
      </c>
      <c r="AS54" s="1548">
        <f>154-7</f>
        <v>147</v>
      </c>
      <c r="AT54" s="1547">
        <f>SUM(AP54:AS54)</f>
        <v>635</v>
      </c>
      <c r="AU54" s="1548">
        <f>175+(603-16-659)/2+2</f>
        <v>141</v>
      </c>
      <c r="AV54" s="1548">
        <f>180+(603-16-659)/2-2</f>
        <v>142</v>
      </c>
      <c r="AW54" s="1523">
        <f>156-12</f>
        <v>144</v>
      </c>
      <c r="AX54" s="1523">
        <f>164-4</f>
        <v>160</v>
      </c>
      <c r="AY54" s="1291">
        <f>SUM(AU54:AX54)</f>
        <v>587</v>
      </c>
      <c r="AZ54" s="1548">
        <f>+AZ21-AZ116</f>
        <v>140</v>
      </c>
      <c r="BA54" s="1548">
        <f>146.5-1</f>
        <v>145.5</v>
      </c>
      <c r="BB54" s="1548">
        <v>155</v>
      </c>
      <c r="BC54" s="1549">
        <v>172</v>
      </c>
      <c r="BD54" s="1291">
        <f>SUM(AZ54:BC54)</f>
        <v>612.5</v>
      </c>
      <c r="BE54" s="1548">
        <f>152-3</f>
        <v>149</v>
      </c>
      <c r="BF54" s="1548">
        <f>162-2</f>
        <v>160</v>
      </c>
      <c r="BG54" s="1523">
        <f>+BG21-BG116</f>
        <v>138</v>
      </c>
      <c r="BH54" s="1549">
        <f>+BH21-BH116</f>
        <v>106</v>
      </c>
      <c r="BI54" s="1291">
        <f>SUM(BE54:BH54)</f>
        <v>553</v>
      </c>
      <c r="BJ54" s="1523">
        <f>+BJ21-BJ116</f>
        <v>98</v>
      </c>
      <c r="BK54" s="1523">
        <f>+BK21-BK116</f>
        <v>105</v>
      </c>
      <c r="BL54" s="1523">
        <f>+BL21-BL116</f>
        <v>100</v>
      </c>
      <c r="BM54" s="1523">
        <f>+BM21-BM116</f>
        <v>116</v>
      </c>
      <c r="BN54" s="1291">
        <f>SUM(BJ54:BM54)</f>
        <v>419</v>
      </c>
      <c r="BO54" s="1523">
        <f>+BO21-BO116</f>
        <v>106</v>
      </c>
      <c r="BP54" s="1523">
        <f>+BP21-BP116</f>
        <v>110.42045073683545</v>
      </c>
      <c r="BQ54" s="1523">
        <f>+BQ21-BQ116</f>
        <v>109.57380995986885</v>
      </c>
      <c r="BR54" s="1523">
        <f>+BR21-BR116</f>
        <v>114.19901777782319</v>
      </c>
      <c r="BS54" s="1291">
        <f>SUM(BO54:BR54)</f>
        <v>440.19327847452752</v>
      </c>
      <c r="BT54" s="1523"/>
      <c r="BU54" s="1523"/>
      <c r="BV54" s="1523"/>
      <c r="BW54" s="1523"/>
      <c r="BX54" s="1291">
        <f>+BX21-BX116</f>
        <v>454.13337338933582</v>
      </c>
      <c r="BY54" s="1550">
        <f>+BY21-BY116</f>
        <v>467.88968139265813</v>
      </c>
      <c r="BZ54" s="1550">
        <f>+BZ21-BZ116</f>
        <v>482.0658799763645</v>
      </c>
      <c r="CA54" s="1550"/>
      <c r="CF54" s="798" t="str">
        <f>+A54</f>
        <v>S&amp;P Global Platts</v>
      </c>
      <c r="CG54" s="1523"/>
      <c r="CH54" s="1523"/>
      <c r="CI54" s="1523"/>
      <c r="CJ54" s="1523"/>
      <c r="CK54" s="1523"/>
      <c r="CL54" s="1544"/>
      <c r="CM54" s="1544"/>
      <c r="CN54" s="1544"/>
      <c r="CO54" s="1544"/>
      <c r="CP54" s="1544"/>
      <c r="CQ54" s="1291">
        <f>+AJ54</f>
        <v>716</v>
      </c>
      <c r="CR54" s="1547">
        <f>+AO54</f>
        <v>711</v>
      </c>
      <c r="CS54" s="1547">
        <f>+AT54</f>
        <v>635</v>
      </c>
      <c r="CT54" s="1291">
        <f>+AY54</f>
        <v>587</v>
      </c>
      <c r="CU54" s="1291">
        <f>+BD54</f>
        <v>612.5</v>
      </c>
      <c r="CV54" s="1291">
        <f>+BI54</f>
        <v>553</v>
      </c>
      <c r="CW54" s="1291">
        <f>+BN54</f>
        <v>419</v>
      </c>
      <c r="CX54" s="1291">
        <f>+BS54</f>
        <v>440.19327847452752</v>
      </c>
      <c r="CY54" s="1291">
        <f t="shared" ref="CY54:DB56" si="80">+BX54</f>
        <v>454.13337338933582</v>
      </c>
      <c r="CZ54" s="1291">
        <f t="shared" si="80"/>
        <v>467.88968139265813</v>
      </c>
      <c r="DA54" s="1291">
        <f t="shared" si="80"/>
        <v>482.0658799763645</v>
      </c>
      <c r="DB54" s="1291">
        <f t="shared" si="80"/>
        <v>0</v>
      </c>
    </row>
    <row r="55" spans="1:106" ht="12" hidden="1" customHeight="1">
      <c r="A55" s="1485" t="s">
        <v>294</v>
      </c>
      <c r="B55" s="1264"/>
      <c r="C55" s="1342"/>
      <c r="D55" s="1342"/>
      <c r="E55" s="1342"/>
      <c r="F55" s="1342"/>
      <c r="G55" s="1319"/>
      <c r="H55" s="1319"/>
      <c r="I55" s="1319"/>
      <c r="J55" s="1278"/>
      <c r="K55" s="1278"/>
      <c r="L55" s="1319"/>
      <c r="M55" s="1319"/>
      <c r="N55" s="1319"/>
      <c r="O55" s="1278"/>
      <c r="P55" s="1278"/>
      <c r="Q55" s="1319"/>
      <c r="R55" s="1319"/>
      <c r="S55" s="1319"/>
      <c r="T55" s="1278"/>
      <c r="U55" s="1278"/>
      <c r="V55" s="1319"/>
      <c r="W55" s="1319"/>
      <c r="X55" s="1319"/>
      <c r="Y55" s="1278"/>
      <c r="Z55" s="1278"/>
      <c r="AA55" s="1319"/>
      <c r="AB55" s="1319"/>
      <c r="AC55" s="1319"/>
      <c r="AD55" s="1278"/>
      <c r="AE55" s="1278"/>
      <c r="AF55" s="1319"/>
      <c r="AG55" s="1319"/>
      <c r="AH55" s="1319"/>
      <c r="AI55" s="1278"/>
      <c r="AJ55" s="1342"/>
      <c r="AK55" s="1408"/>
      <c r="AL55" s="1408"/>
      <c r="AM55" s="1408"/>
      <c r="AN55" s="1408"/>
      <c r="AO55" s="1342">
        <f t="shared" ref="AO55:BS55" si="81">AO54/AJ54-1</f>
        <v>-6.9832402234636382E-3</v>
      </c>
      <c r="AP55" s="1408">
        <f t="shared" si="81"/>
        <v>4.1420118343195256E-2</v>
      </c>
      <c r="AQ55" s="1408">
        <f t="shared" si="81"/>
        <v>4.1420118343195256E-2</v>
      </c>
      <c r="AR55" s="1408">
        <f t="shared" si="81"/>
        <v>-0.20930232558139539</v>
      </c>
      <c r="AS55" s="1408">
        <f t="shared" si="81"/>
        <v>-0.26865671641791045</v>
      </c>
      <c r="AT55" s="1342">
        <f t="shared" si="81"/>
        <v>-0.10689170182841068</v>
      </c>
      <c r="AU55" s="1408">
        <f t="shared" si="81"/>
        <v>-0.19886363636363635</v>
      </c>
      <c r="AV55" s="1408">
        <f t="shared" si="81"/>
        <v>-0.19318181818181823</v>
      </c>
      <c r="AW55" s="1408">
        <f t="shared" si="81"/>
        <v>5.8823529411764719E-2</v>
      </c>
      <c r="AX55" s="1408">
        <f t="shared" si="81"/>
        <v>8.8435374149659962E-2</v>
      </c>
      <c r="AY55" s="1342">
        <f t="shared" si="81"/>
        <v>-7.5590551181102361E-2</v>
      </c>
      <c r="AZ55" s="1408">
        <f t="shared" si="81"/>
        <v>-7.0921985815602939E-3</v>
      </c>
      <c r="BA55" s="1408">
        <f t="shared" si="81"/>
        <v>2.464788732394374E-2</v>
      </c>
      <c r="BB55" s="1408">
        <f t="shared" si="81"/>
        <v>7.638888888888884E-2</v>
      </c>
      <c r="BC55" s="1408">
        <f t="shared" si="81"/>
        <v>7.4999999999999956E-2</v>
      </c>
      <c r="BD55" s="1342">
        <f t="shared" si="81"/>
        <v>4.3441226575809289E-2</v>
      </c>
      <c r="BE55" s="1408">
        <f t="shared" si="81"/>
        <v>6.4285714285714279E-2</v>
      </c>
      <c r="BF55" s="1408">
        <f t="shared" si="81"/>
        <v>9.9656357388316241E-2</v>
      </c>
      <c r="BG55" s="1408">
        <f t="shared" si="81"/>
        <v>-0.10967741935483866</v>
      </c>
      <c r="BH55" s="1408">
        <f t="shared" si="81"/>
        <v>-0.38372093023255816</v>
      </c>
      <c r="BI55" s="1342">
        <f t="shared" si="81"/>
        <v>-9.7142857142857197E-2</v>
      </c>
      <c r="BJ55" s="1408">
        <f t="shared" si="81"/>
        <v>-0.34228187919463082</v>
      </c>
      <c r="BK55" s="1408">
        <f t="shared" si="81"/>
        <v>-0.34375</v>
      </c>
      <c r="BL55" s="1408">
        <f t="shared" si="81"/>
        <v>-0.27536231884057971</v>
      </c>
      <c r="BM55" s="1408">
        <f t="shared" si="81"/>
        <v>9.4339622641509413E-2</v>
      </c>
      <c r="BN55" s="1342">
        <f t="shared" si="81"/>
        <v>-0.24231464737793851</v>
      </c>
      <c r="BO55" s="1408">
        <f t="shared" si="81"/>
        <v>8.163265306122458E-2</v>
      </c>
      <c r="BP55" s="1408">
        <f t="shared" si="81"/>
        <v>5.1623340350813729E-2</v>
      </c>
      <c r="BQ55" s="1408">
        <f t="shared" si="81"/>
        <v>9.5738099598688509E-2</v>
      </c>
      <c r="BR55" s="1408">
        <f t="shared" si="81"/>
        <v>-1.5525708811869099E-2</v>
      </c>
      <c r="BS55" s="1342">
        <f t="shared" si="81"/>
        <v>5.0580616884313923E-2</v>
      </c>
      <c r="BT55" s="1408"/>
      <c r="BU55" s="1408"/>
      <c r="BV55" s="1408"/>
      <c r="BW55" s="1408"/>
      <c r="BX55" s="1342">
        <f>BX54/BS54-1</f>
        <v>3.1668123064298337E-2</v>
      </c>
      <c r="BY55" s="1486">
        <f>BY54/BX54-1</f>
        <v>3.0291339085376512E-2</v>
      </c>
      <c r="BZ55" s="1486">
        <f>BZ54/BY54-1</f>
        <v>3.0298164604766198E-2</v>
      </c>
      <c r="CA55" s="1486"/>
      <c r="CF55" s="1487" t="str">
        <f>+A55</f>
        <v>y/y chg</v>
      </c>
      <c r="CG55" s="1272"/>
      <c r="CH55" s="1342"/>
      <c r="CI55" s="1342"/>
      <c r="CJ55" s="1342"/>
      <c r="CK55" s="1342"/>
      <c r="CL55" s="1278"/>
      <c r="CM55" s="1278"/>
      <c r="CN55" s="1278"/>
      <c r="CO55" s="1278"/>
      <c r="CP55" s="1278"/>
      <c r="CQ55" s="1342">
        <f>+AJ55</f>
        <v>0</v>
      </c>
      <c r="CR55" s="1342">
        <f>+AO55</f>
        <v>-6.9832402234636382E-3</v>
      </c>
      <c r="CS55" s="1342">
        <f>+AT55</f>
        <v>-0.10689170182841068</v>
      </c>
      <c r="CT55" s="1342">
        <f>+AY55</f>
        <v>-7.5590551181102361E-2</v>
      </c>
      <c r="CU55" s="1342">
        <f>+BD55</f>
        <v>4.3441226575809289E-2</v>
      </c>
      <c r="CV55" s="1342">
        <f>+BI55</f>
        <v>-9.7142857142857197E-2</v>
      </c>
      <c r="CW55" s="1342">
        <f>+BN55</f>
        <v>-0.24231464737793851</v>
      </c>
      <c r="CX55" s="1342">
        <f>+BS55</f>
        <v>5.0580616884313923E-2</v>
      </c>
      <c r="CY55" s="1342">
        <f t="shared" si="80"/>
        <v>3.1668123064298337E-2</v>
      </c>
      <c r="CZ55" s="1342">
        <f t="shared" si="80"/>
        <v>3.0291339085376512E-2</v>
      </c>
      <c r="DA55" s="1342">
        <f t="shared" si="80"/>
        <v>3.0298164604766198E-2</v>
      </c>
      <c r="DB55" s="1342">
        <f t="shared" si="80"/>
        <v>0</v>
      </c>
    </row>
    <row r="56" spans="1:106" ht="12" hidden="1" customHeight="1">
      <c r="A56" s="1530" t="s">
        <v>191</v>
      </c>
      <c r="B56" s="1531"/>
      <c r="C56" s="1531"/>
      <c r="D56" s="1531"/>
      <c r="E56" s="1531"/>
      <c r="F56" s="1531"/>
      <c r="G56" s="1319"/>
      <c r="H56" s="1319"/>
      <c r="I56" s="1319"/>
      <c r="J56" s="1278"/>
      <c r="K56" s="1278"/>
      <c r="L56" s="1319"/>
      <c r="M56" s="1319"/>
      <c r="N56" s="1319"/>
      <c r="O56" s="1278"/>
      <c r="P56" s="1278"/>
      <c r="Q56" s="1319"/>
      <c r="R56" s="1319"/>
      <c r="S56" s="1319"/>
      <c r="T56" s="1278"/>
      <c r="U56" s="1278"/>
      <c r="V56" s="1319"/>
      <c r="W56" s="1319"/>
      <c r="X56" s="1319"/>
      <c r="Y56" s="1278"/>
      <c r="Z56" s="1278"/>
      <c r="AA56" s="1319"/>
      <c r="AB56" s="1319"/>
      <c r="AC56" s="1319"/>
      <c r="AD56" s="1278"/>
      <c r="AE56" s="1278"/>
      <c r="AF56" s="1319"/>
      <c r="AG56" s="1319"/>
      <c r="AH56" s="1319"/>
      <c r="AI56" s="1278"/>
      <c r="AJ56" s="693">
        <f t="shared" ref="AJ56:BF56" si="82">AJ54/AJ21</f>
        <v>0.7991071428571429</v>
      </c>
      <c r="AK56" s="692">
        <f t="shared" si="82"/>
        <v>0.72532188841201717</v>
      </c>
      <c r="AL56" s="692">
        <f t="shared" si="82"/>
        <v>0.70416666666666672</v>
      </c>
      <c r="AM56" s="692">
        <f t="shared" si="82"/>
        <v>0.71966527196652719</v>
      </c>
      <c r="AN56" s="692">
        <f t="shared" si="82"/>
        <v>0.77307692307692311</v>
      </c>
      <c r="AO56" s="693">
        <f t="shared" si="82"/>
        <v>0.73148148148148151</v>
      </c>
      <c r="AP56" s="692">
        <f t="shared" si="82"/>
        <v>0.74576271186440679</v>
      </c>
      <c r="AQ56" s="692">
        <f t="shared" si="82"/>
        <v>0.67953667953667951</v>
      </c>
      <c r="AR56" s="692">
        <f t="shared" si="82"/>
        <v>0.63849765258215962</v>
      </c>
      <c r="AS56" s="692">
        <f t="shared" si="82"/>
        <v>0.66818181818181821</v>
      </c>
      <c r="AT56" s="693">
        <f t="shared" si="82"/>
        <v>0.68426724137931039</v>
      </c>
      <c r="AU56" s="692">
        <f t="shared" si="82"/>
        <v>0.66824644549763035</v>
      </c>
      <c r="AV56" s="692">
        <f t="shared" si="82"/>
        <v>0.64840182648401823</v>
      </c>
      <c r="AW56" s="692">
        <f t="shared" si="82"/>
        <v>0.63436123348017626</v>
      </c>
      <c r="AX56" s="692">
        <f t="shared" si="82"/>
        <v>0.67796610169491522</v>
      </c>
      <c r="AY56" s="1531">
        <f t="shared" si="82"/>
        <v>0.65733482642777152</v>
      </c>
      <c r="AZ56" s="692">
        <f t="shared" si="82"/>
        <v>0.62222222222222223</v>
      </c>
      <c r="BA56" s="692">
        <f t="shared" si="82"/>
        <v>0.62179487179487181</v>
      </c>
      <c r="BB56" s="692">
        <f t="shared" si="82"/>
        <v>0.625</v>
      </c>
      <c r="BC56" s="692">
        <f t="shared" si="82"/>
        <v>0.65151515151515149</v>
      </c>
      <c r="BD56" s="1531">
        <f t="shared" si="82"/>
        <v>0.63079299691040169</v>
      </c>
      <c r="BE56" s="692">
        <f t="shared" si="82"/>
        <v>0.58661417322834641</v>
      </c>
      <c r="BF56" s="692">
        <f t="shared" si="82"/>
        <v>0.62745098039215685</v>
      </c>
      <c r="BG56" s="692">
        <f>+BG54/BG21</f>
        <v>0.6026200873362445</v>
      </c>
      <c r="BH56" s="692">
        <f>+BH54/BH21</f>
        <v>0.56382978723404253</v>
      </c>
      <c r="BI56" s="1531">
        <f>BI54/BI21</f>
        <v>0.59719222462203025</v>
      </c>
      <c r="BJ56" s="692">
        <f>+BJ54/BJ21</f>
        <v>0.51308900523560208</v>
      </c>
      <c r="BK56" s="692">
        <f>+BK54/BK21</f>
        <v>0.546875</v>
      </c>
      <c r="BL56" s="692">
        <f>+BL54/BL21</f>
        <v>0.54347826086956519</v>
      </c>
      <c r="BM56" s="692">
        <f>+BM54/BM21</f>
        <v>0.58883248730964466</v>
      </c>
      <c r="BN56" s="1531">
        <f>BN54/BN21</f>
        <v>0.54842931937172779</v>
      </c>
      <c r="BO56" s="692">
        <f>+BO54/BO21</f>
        <v>0.54081632653061229</v>
      </c>
      <c r="BP56" s="692">
        <f>+BP54/BP21</f>
        <v>0.54772048976604881</v>
      </c>
      <c r="BQ56" s="692">
        <f>+BQ54/BQ21</f>
        <v>0.54070471236056672</v>
      </c>
      <c r="BR56" s="692">
        <f>+BR54/BR21</f>
        <v>0.5520861386406728</v>
      </c>
      <c r="BS56" s="1531">
        <f>BS54/BS21</f>
        <v>0.54540116277354422</v>
      </c>
      <c r="BT56" s="692"/>
      <c r="BU56" s="692"/>
      <c r="BV56" s="692"/>
      <c r="BW56" s="692"/>
      <c r="BX56" s="1531">
        <f>+BX54/BX21</f>
        <v>0.54103172491891172</v>
      </c>
      <c r="BY56" s="783">
        <f>+BY54/BY21</f>
        <v>0.53598105803305451</v>
      </c>
      <c r="BZ56" s="783">
        <f>+BZ54/BZ21</f>
        <v>0.53098105803305451</v>
      </c>
      <c r="CA56" s="783"/>
      <c r="CF56" s="1532" t="str">
        <f>+A56</f>
        <v>% of Revenues</v>
      </c>
      <c r="CG56" s="1533"/>
      <c r="CH56" s="1531"/>
      <c r="CI56" s="1531"/>
      <c r="CJ56" s="1531"/>
      <c r="CK56" s="1531"/>
      <c r="CL56" s="1278"/>
      <c r="CM56" s="1278"/>
      <c r="CN56" s="1278"/>
      <c r="CO56" s="1278"/>
      <c r="CP56" s="1278"/>
      <c r="CQ56" s="693">
        <f>+AJ56</f>
        <v>0.7991071428571429</v>
      </c>
      <c r="CR56" s="693">
        <f>+AO56</f>
        <v>0.73148148148148151</v>
      </c>
      <c r="CS56" s="693">
        <f>+AT56</f>
        <v>0.68426724137931039</v>
      </c>
      <c r="CT56" s="1531">
        <f>+AY56</f>
        <v>0.65733482642777152</v>
      </c>
      <c r="CU56" s="1531">
        <f>+BD56</f>
        <v>0.63079299691040169</v>
      </c>
      <c r="CV56" s="1531">
        <f>+BI56</f>
        <v>0.59719222462203025</v>
      </c>
      <c r="CW56" s="751">
        <f>+BN56</f>
        <v>0.54842931937172779</v>
      </c>
      <c r="CX56" s="751">
        <f>+BS56</f>
        <v>0.54540116277354422</v>
      </c>
      <c r="CY56" s="751">
        <f t="shared" si="80"/>
        <v>0.54103172491891172</v>
      </c>
      <c r="CZ56" s="751">
        <f t="shared" si="80"/>
        <v>0.53598105803305451</v>
      </c>
      <c r="DA56" s="751">
        <f t="shared" si="80"/>
        <v>0.53098105803305451</v>
      </c>
      <c r="DB56" s="751">
        <f t="shared" si="80"/>
        <v>0</v>
      </c>
    </row>
    <row r="57" spans="1:106" hidden="1">
      <c r="A57" s="1425"/>
      <c r="B57" s="1423"/>
      <c r="C57" s="1423"/>
      <c r="D57" s="1423"/>
      <c r="E57" s="1423"/>
      <c r="F57" s="1423"/>
      <c r="G57" s="1286"/>
      <c r="H57" s="1286"/>
      <c r="I57" s="1286"/>
      <c r="J57" s="1286"/>
      <c r="K57" s="1423"/>
      <c r="L57" s="1286"/>
      <c r="M57" s="1286"/>
      <c r="N57" s="1286"/>
      <c r="O57" s="1286"/>
      <c r="P57" s="1423"/>
      <c r="Q57" s="1286"/>
      <c r="R57" s="1286"/>
      <c r="S57" s="1286"/>
      <c r="T57" s="1286"/>
      <c r="U57" s="1423"/>
      <c r="V57" s="1286"/>
      <c r="W57" s="1286"/>
      <c r="X57" s="1286"/>
      <c r="Y57" s="1286"/>
      <c r="Z57" s="1423"/>
      <c r="AA57" s="1286"/>
      <c r="AB57" s="1286"/>
      <c r="AC57" s="1286"/>
      <c r="AD57" s="1286"/>
      <c r="AE57" s="1423"/>
      <c r="AF57" s="1286"/>
      <c r="AG57" s="1286"/>
      <c r="AH57" s="1286"/>
      <c r="AI57" s="1286"/>
      <c r="AJ57" s="1423"/>
      <c r="AK57" s="1286"/>
      <c r="AL57" s="1286"/>
      <c r="AM57" s="1286"/>
      <c r="AN57" s="1286"/>
      <c r="AO57" s="1423"/>
      <c r="AP57" s="1286"/>
      <c r="AQ57" s="1286"/>
      <c r="AR57" s="1286"/>
      <c r="AS57" s="1286"/>
      <c r="AT57" s="1423"/>
      <c r="AU57" s="1286"/>
      <c r="AV57" s="1286"/>
      <c r="AW57" s="1286"/>
      <c r="AX57" s="1286"/>
      <c r="AY57" s="1423"/>
      <c r="AZ57" s="1286"/>
      <c r="BA57" s="1286"/>
      <c r="BB57" s="1286"/>
      <c r="BC57" s="1286"/>
      <c r="BD57" s="1423"/>
      <c r="BE57" s="1286"/>
      <c r="BF57" s="1286"/>
      <c r="BG57" s="1286"/>
      <c r="BH57" s="1286"/>
      <c r="BI57" s="1423"/>
      <c r="BJ57" s="1286"/>
      <c r="BK57" s="1286"/>
      <c r="BL57" s="1286"/>
      <c r="BM57" s="1286"/>
      <c r="BN57" s="1423"/>
      <c r="BO57" s="1286"/>
      <c r="BP57" s="1286"/>
      <c r="BQ57" s="1286"/>
      <c r="BR57" s="1286"/>
      <c r="BS57" s="1423"/>
      <c r="BT57" s="1286"/>
      <c r="BU57" s="1286"/>
      <c r="BV57" s="1286"/>
      <c r="BW57" s="1286"/>
      <c r="BX57" s="1423"/>
      <c r="BY57" s="1422"/>
      <c r="BZ57" s="1422"/>
      <c r="CA57" s="1422"/>
      <c r="CF57" s="1423"/>
      <c r="CG57" s="1286"/>
      <c r="CH57" s="1286"/>
      <c r="CI57" s="1286"/>
      <c r="CJ57" s="1286"/>
      <c r="CK57" s="1286"/>
      <c r="CL57" s="1423"/>
      <c r="CM57" s="1423"/>
      <c r="CN57" s="1423"/>
      <c r="CO57" s="1423"/>
      <c r="CP57" s="1423"/>
      <c r="CQ57" s="1423"/>
      <c r="CR57" s="1423"/>
      <c r="CS57" s="1423"/>
      <c r="CT57" s="1423"/>
      <c r="CU57" s="1423"/>
      <c r="CV57" s="1423"/>
      <c r="CW57" s="1423"/>
      <c r="CX57" s="1423"/>
      <c r="CY57" s="1423"/>
      <c r="CZ57" s="1423"/>
      <c r="DA57" s="1423"/>
      <c r="DB57" s="1423"/>
    </row>
    <row r="58" spans="1:106" s="762" customFormat="1" ht="11.25" hidden="1" customHeight="1" outlineLevel="1">
      <c r="A58" s="1553" t="s">
        <v>298</v>
      </c>
      <c r="B58" s="1270"/>
      <c r="C58" s="1270"/>
      <c r="D58" s="1270"/>
      <c r="E58" s="1270"/>
      <c r="F58" s="1270"/>
      <c r="G58" s="1319"/>
      <c r="H58" s="1319"/>
      <c r="I58" s="1319"/>
      <c r="J58" s="1278"/>
      <c r="K58" s="1278"/>
      <c r="L58" s="1319"/>
      <c r="M58" s="1319"/>
      <c r="N58" s="1319"/>
      <c r="O58" s="1278"/>
      <c r="P58" s="1278"/>
      <c r="Q58" s="1319"/>
      <c r="R58" s="1319"/>
      <c r="S58" s="1319"/>
      <c r="T58" s="1278"/>
      <c r="U58" s="1278"/>
      <c r="V58" s="1319"/>
      <c r="W58" s="1319"/>
      <c r="X58" s="1319"/>
      <c r="Y58" s="1278"/>
      <c r="Z58" s="1278"/>
      <c r="AA58" s="1319"/>
      <c r="AB58" s="1319"/>
      <c r="AC58" s="1319"/>
      <c r="AD58" s="1278"/>
      <c r="AE58" s="1278"/>
      <c r="AF58" s="1287">
        <v>378</v>
      </c>
      <c r="AG58" s="1287">
        <v>495</v>
      </c>
      <c r="AH58" s="1287">
        <v>622</v>
      </c>
      <c r="AI58" s="1278">
        <v>0</v>
      </c>
      <c r="AJ58" s="1270">
        <f>SUM(AF58:AI58)</f>
        <v>1495</v>
      </c>
      <c r="AK58" s="1287"/>
      <c r="AL58" s="1287"/>
      <c r="AM58" s="1287"/>
      <c r="AN58" s="1287"/>
      <c r="AO58" s="1270"/>
      <c r="AP58" s="1287"/>
      <c r="AQ58" s="1287"/>
      <c r="AR58" s="1287"/>
      <c r="AS58" s="1287"/>
      <c r="AT58" s="1270"/>
      <c r="AU58" s="1287"/>
      <c r="AV58" s="1287"/>
      <c r="AW58" s="1287"/>
      <c r="AX58" s="1287"/>
      <c r="AY58" s="1270"/>
      <c r="AZ58" s="1287"/>
      <c r="BA58" s="1287"/>
      <c r="BB58" s="1287"/>
      <c r="BC58" s="1287"/>
      <c r="BD58" s="1270"/>
      <c r="BE58" s="1287"/>
      <c r="BF58" s="1287"/>
      <c r="BG58" s="1287"/>
      <c r="BH58" s="1287"/>
      <c r="BI58" s="1270"/>
      <c r="BJ58" s="1287"/>
      <c r="BK58" s="1287"/>
      <c r="BL58" s="1287"/>
      <c r="BM58" s="1287"/>
      <c r="BN58" s="1270"/>
      <c r="BO58" s="1287"/>
      <c r="BP58" s="1287"/>
      <c r="BQ58" s="1287"/>
      <c r="BR58" s="1287"/>
      <c r="BS58" s="1270"/>
      <c r="BT58" s="1287"/>
      <c r="BU58" s="1287"/>
      <c r="BV58" s="1287"/>
      <c r="BW58" s="1287"/>
      <c r="BX58" s="1270"/>
      <c r="BY58" s="1290"/>
      <c r="BZ58" s="1290"/>
      <c r="CA58" s="1290"/>
      <c r="CF58" s="1554"/>
      <c r="CG58" s="1287"/>
      <c r="CH58" s="1287"/>
      <c r="CI58" s="1287"/>
      <c r="CJ58" s="1287"/>
      <c r="CK58" s="1287"/>
      <c r="CL58" s="1278"/>
      <c r="CM58" s="1278"/>
      <c r="CN58" s="1278"/>
      <c r="CO58" s="1278"/>
      <c r="CP58" s="1278"/>
      <c r="CQ58" s="1270"/>
      <c r="CR58" s="1270"/>
      <c r="CS58" s="1270"/>
      <c r="CT58" s="1270"/>
      <c r="CU58" s="1270"/>
      <c r="CV58" s="1270"/>
      <c r="CW58" s="1270"/>
      <c r="CX58" s="1270"/>
      <c r="CY58" s="1270"/>
      <c r="CZ58" s="1270"/>
      <c r="DA58" s="1270"/>
      <c r="DB58" s="1270"/>
    </row>
    <row r="59" spans="1:106" ht="12" hidden="1" customHeight="1" outlineLevel="1">
      <c r="A59" s="1555" t="s">
        <v>294</v>
      </c>
      <c r="B59" s="1264"/>
      <c r="C59" s="1342"/>
      <c r="D59" s="1342"/>
      <c r="E59" s="1342"/>
      <c r="F59" s="1342"/>
      <c r="G59" s="1319"/>
      <c r="H59" s="1319"/>
      <c r="I59" s="1319"/>
      <c r="J59" s="1278"/>
      <c r="K59" s="1278"/>
      <c r="L59" s="1319"/>
      <c r="M59" s="1319"/>
      <c r="N59" s="1319"/>
      <c r="O59" s="1278"/>
      <c r="P59" s="1278"/>
      <c r="Q59" s="1319"/>
      <c r="R59" s="1319"/>
      <c r="S59" s="1319"/>
      <c r="T59" s="1278"/>
      <c r="U59" s="1278"/>
      <c r="V59" s="1319"/>
      <c r="W59" s="1319"/>
      <c r="X59" s="1319"/>
      <c r="Y59" s="1278"/>
      <c r="Z59" s="1278"/>
      <c r="AA59" s="1319"/>
      <c r="AB59" s="1319"/>
      <c r="AC59" s="1319"/>
      <c r="AD59" s="1278"/>
      <c r="AE59" s="1278"/>
      <c r="AF59" s="1319"/>
      <c r="AG59" s="1319"/>
      <c r="AH59" s="1319"/>
      <c r="AI59" s="1278"/>
      <c r="AJ59" s="1278"/>
      <c r="AK59" s="1408"/>
      <c r="AL59" s="1408"/>
      <c r="AM59" s="1408"/>
      <c r="AN59" s="1408"/>
      <c r="AO59" s="1342"/>
      <c r="AP59" s="1408"/>
      <c r="AQ59" s="1408"/>
      <c r="AR59" s="1408"/>
      <c r="AS59" s="1408"/>
      <c r="AT59" s="1342"/>
      <c r="AU59" s="1408"/>
      <c r="AV59" s="1408"/>
      <c r="AW59" s="1408"/>
      <c r="AX59" s="1408"/>
      <c r="AY59" s="1342"/>
      <c r="AZ59" s="1408"/>
      <c r="BA59" s="1408"/>
      <c r="BB59" s="1408"/>
      <c r="BC59" s="1408"/>
      <c r="BD59" s="1342"/>
      <c r="BE59" s="1408"/>
      <c r="BF59" s="1408"/>
      <c r="BG59" s="1408"/>
      <c r="BH59" s="1408"/>
      <c r="BI59" s="1342"/>
      <c r="BJ59" s="1408"/>
      <c r="BK59" s="1408"/>
      <c r="BL59" s="1408"/>
      <c r="BM59" s="1408"/>
      <c r="BN59" s="1342"/>
      <c r="BO59" s="1408"/>
      <c r="BP59" s="1408"/>
      <c r="BQ59" s="1408"/>
      <c r="BR59" s="1408"/>
      <c r="BS59" s="1342"/>
      <c r="BT59" s="1408"/>
      <c r="BU59" s="1408"/>
      <c r="BV59" s="1408"/>
      <c r="BW59" s="1408"/>
      <c r="BX59" s="1342"/>
      <c r="BY59" s="1486"/>
      <c r="BZ59" s="1486"/>
      <c r="CA59" s="1486"/>
      <c r="CF59" s="1556"/>
      <c r="CG59" s="1272"/>
      <c r="CH59" s="1342"/>
      <c r="CI59" s="1342"/>
      <c r="CJ59" s="1342"/>
      <c r="CK59" s="1342"/>
      <c r="CL59" s="1278"/>
      <c r="CM59" s="1278"/>
      <c r="CN59" s="1278"/>
      <c r="CO59" s="1278"/>
      <c r="CP59" s="1278"/>
      <c r="CQ59" s="1278"/>
      <c r="CR59" s="1342"/>
      <c r="CS59" s="1342"/>
      <c r="CT59" s="1342"/>
      <c r="CU59" s="1342"/>
      <c r="CV59" s="1342"/>
      <c r="CW59" s="1342"/>
      <c r="CX59" s="1342"/>
      <c r="CY59" s="1342"/>
      <c r="CZ59" s="1342"/>
      <c r="DA59" s="1342"/>
      <c r="DB59" s="1342"/>
    </row>
    <row r="60" spans="1:106" ht="12" hidden="1" customHeight="1" outlineLevel="1">
      <c r="A60" s="1557" t="s">
        <v>191</v>
      </c>
      <c r="B60" s="1531"/>
      <c r="C60" s="1531"/>
      <c r="D60" s="1531"/>
      <c r="E60" s="1531"/>
      <c r="F60" s="1531"/>
      <c r="G60" s="1319"/>
      <c r="H60" s="1319"/>
      <c r="I60" s="1319"/>
      <c r="J60" s="1278"/>
      <c r="K60" s="1278"/>
      <c r="L60" s="1319"/>
      <c r="M60" s="1319"/>
      <c r="N60" s="1319"/>
      <c r="O60" s="1278"/>
      <c r="P60" s="1278"/>
      <c r="Q60" s="1319"/>
      <c r="R60" s="1319"/>
      <c r="S60" s="1319"/>
      <c r="T60" s="1278"/>
      <c r="U60" s="1278"/>
      <c r="V60" s="1319"/>
      <c r="W60" s="1319"/>
      <c r="X60" s="1319"/>
      <c r="Y60" s="1278"/>
      <c r="Z60" s="1278"/>
      <c r="AA60" s="1319"/>
      <c r="AB60" s="1319"/>
      <c r="AC60" s="1319"/>
      <c r="AD60" s="1278"/>
      <c r="AE60" s="1278"/>
      <c r="AF60" s="1319"/>
      <c r="AG60" s="1319"/>
      <c r="AH60" s="1319"/>
      <c r="AI60" s="1278"/>
      <c r="AJ60" s="1278"/>
      <c r="AK60" s="692"/>
      <c r="AL60" s="692"/>
      <c r="AM60" s="692"/>
      <c r="AN60" s="692"/>
      <c r="AO60" s="693"/>
      <c r="AP60" s="692"/>
      <c r="AQ60" s="692"/>
      <c r="AR60" s="692"/>
      <c r="AS60" s="692"/>
      <c r="AT60" s="693"/>
      <c r="AU60" s="692"/>
      <c r="AV60" s="692"/>
      <c r="AW60" s="753"/>
      <c r="AX60" s="753"/>
      <c r="AY60" s="1531"/>
      <c r="AZ60" s="753"/>
      <c r="BA60" s="753"/>
      <c r="BB60" s="753"/>
      <c r="BC60" s="753"/>
      <c r="BD60" s="1531"/>
      <c r="BE60" s="753"/>
      <c r="BF60" s="753"/>
      <c r="BG60" s="753"/>
      <c r="BH60" s="753"/>
      <c r="BI60" s="1531"/>
      <c r="BJ60" s="753"/>
      <c r="BK60" s="753"/>
      <c r="BL60" s="753"/>
      <c r="BM60" s="753"/>
      <c r="BN60" s="751"/>
      <c r="BO60" s="753"/>
      <c r="BP60" s="753"/>
      <c r="BQ60" s="753"/>
      <c r="BR60" s="753"/>
      <c r="BS60" s="751"/>
      <c r="BT60" s="753"/>
      <c r="BU60" s="753"/>
      <c r="BV60" s="753"/>
      <c r="BW60" s="753"/>
      <c r="BX60" s="751"/>
      <c r="BY60" s="752"/>
      <c r="BZ60" s="752"/>
      <c r="CA60" s="752"/>
      <c r="CF60" s="1558"/>
      <c r="CG60" s="1533"/>
      <c r="CH60" s="1531"/>
      <c r="CI60" s="1531"/>
      <c r="CJ60" s="1531"/>
      <c r="CK60" s="1531"/>
      <c r="CL60" s="1278"/>
      <c r="CM60" s="1278"/>
      <c r="CN60" s="1278"/>
      <c r="CO60" s="1278"/>
      <c r="CP60" s="1278"/>
      <c r="CQ60" s="1278"/>
      <c r="CR60" s="693"/>
      <c r="CS60" s="693"/>
      <c r="CT60" s="1531"/>
      <c r="CU60" s="1531"/>
      <c r="CV60" s="1531"/>
      <c r="CW60" s="751"/>
      <c r="CX60" s="751"/>
      <c r="CY60" s="751"/>
      <c r="CZ60" s="751"/>
      <c r="DA60" s="751"/>
      <c r="DB60" s="751"/>
    </row>
    <row r="61" spans="1:106" ht="12" hidden="1" customHeight="1" outlineLevel="1">
      <c r="A61" s="1559" t="s">
        <v>213</v>
      </c>
      <c r="B61" s="754"/>
      <c r="C61" s="754"/>
      <c r="D61" s="754"/>
      <c r="E61" s="754"/>
      <c r="F61" s="754"/>
      <c r="G61" s="1338"/>
      <c r="H61" s="1338"/>
      <c r="I61" s="1338"/>
      <c r="J61" s="1339"/>
      <c r="K61" s="1339"/>
      <c r="L61" s="1338"/>
      <c r="M61" s="1338"/>
      <c r="N61" s="1338"/>
      <c r="O61" s="1339"/>
      <c r="P61" s="1339"/>
      <c r="Q61" s="1338"/>
      <c r="R61" s="1338"/>
      <c r="S61" s="1338"/>
      <c r="T61" s="1339"/>
      <c r="U61" s="1339"/>
      <c r="V61" s="1338"/>
      <c r="W61" s="1338"/>
      <c r="X61" s="1338"/>
      <c r="Y61" s="1339"/>
      <c r="Z61" s="1339"/>
      <c r="AA61" s="1338"/>
      <c r="AB61" s="1338"/>
      <c r="AC61" s="1338"/>
      <c r="AD61" s="1339"/>
      <c r="AE61" s="1339"/>
      <c r="AF61" s="1338"/>
      <c r="AG61" s="1338"/>
      <c r="AH61" s="1338"/>
      <c r="AI61" s="1339"/>
      <c r="AJ61" s="1339"/>
      <c r="AK61" s="692"/>
      <c r="AL61" s="692"/>
      <c r="AM61" s="1560"/>
      <c r="AN61" s="692"/>
      <c r="AO61" s="693"/>
      <c r="AP61" s="692"/>
      <c r="AQ61" s="692"/>
      <c r="AR61" s="692"/>
      <c r="AS61" s="692"/>
      <c r="AT61" s="693"/>
      <c r="AU61" s="692"/>
      <c r="AV61" s="692"/>
      <c r="AW61" s="753"/>
      <c r="AX61" s="753"/>
      <c r="AY61" s="751"/>
      <c r="AZ61" s="753"/>
      <c r="BA61" s="753"/>
      <c r="BB61" s="753"/>
      <c r="BC61" s="753"/>
      <c r="BD61" s="751"/>
      <c r="BE61" s="753"/>
      <c r="BF61" s="753"/>
      <c r="BG61" s="753"/>
      <c r="BH61" s="753"/>
      <c r="BI61" s="751"/>
      <c r="BJ61" s="753"/>
      <c r="BK61" s="753"/>
      <c r="BL61" s="753"/>
      <c r="BM61" s="753"/>
      <c r="BN61" s="751"/>
      <c r="BO61" s="753"/>
      <c r="BP61" s="753"/>
      <c r="BQ61" s="753"/>
      <c r="BR61" s="753"/>
      <c r="BS61" s="751"/>
      <c r="BT61" s="753"/>
      <c r="BU61" s="753"/>
      <c r="BV61" s="753"/>
      <c r="BW61" s="753"/>
      <c r="BX61" s="751"/>
      <c r="BY61" s="752"/>
      <c r="BZ61" s="752"/>
      <c r="CA61" s="752"/>
      <c r="CF61" s="1561"/>
      <c r="CG61" s="755"/>
      <c r="CH61" s="754"/>
      <c r="CI61" s="754"/>
      <c r="CJ61" s="754"/>
      <c r="CK61" s="754"/>
      <c r="CL61" s="1339"/>
      <c r="CM61" s="1339"/>
      <c r="CN61" s="1339"/>
      <c r="CO61" s="1339"/>
      <c r="CP61" s="1339"/>
      <c r="CQ61" s="1339"/>
      <c r="CR61" s="693"/>
      <c r="CS61" s="693"/>
      <c r="CT61" s="751"/>
      <c r="CU61" s="751"/>
      <c r="CV61" s="751"/>
      <c r="CW61" s="751"/>
      <c r="CX61" s="751"/>
      <c r="CY61" s="751"/>
      <c r="CZ61" s="751"/>
      <c r="DA61" s="751"/>
      <c r="DB61" s="751"/>
    </row>
    <row r="62" spans="1:106" ht="12" hidden="1" customHeight="1" outlineLevel="1">
      <c r="A62" s="1559" t="s">
        <v>214</v>
      </c>
      <c r="B62" s="754"/>
      <c r="C62" s="754"/>
      <c r="D62" s="754"/>
      <c r="E62" s="754"/>
      <c r="F62" s="754"/>
      <c r="G62" s="1338"/>
      <c r="H62" s="1338"/>
      <c r="I62" s="1338"/>
      <c r="J62" s="1339"/>
      <c r="K62" s="1339"/>
      <c r="L62" s="1338"/>
      <c r="M62" s="1338"/>
      <c r="N62" s="1338"/>
      <c r="O62" s="1339"/>
      <c r="P62" s="1339"/>
      <c r="Q62" s="1338"/>
      <c r="R62" s="1338"/>
      <c r="S62" s="1338"/>
      <c r="T62" s="1339"/>
      <c r="U62" s="1339"/>
      <c r="V62" s="1338"/>
      <c r="W62" s="1338"/>
      <c r="X62" s="1338"/>
      <c r="Y62" s="1339"/>
      <c r="Z62" s="1339"/>
      <c r="AA62" s="1338"/>
      <c r="AB62" s="1338"/>
      <c r="AC62" s="1338"/>
      <c r="AD62" s="1339"/>
      <c r="AE62" s="1339"/>
      <c r="AF62" s="1338"/>
      <c r="AG62" s="1338"/>
      <c r="AH62" s="1338"/>
      <c r="AI62" s="1339"/>
      <c r="AJ62" s="1339"/>
      <c r="AK62" s="692"/>
      <c r="AL62" s="692"/>
      <c r="AM62" s="1560"/>
      <c r="AN62" s="692"/>
      <c r="AO62" s="693"/>
      <c r="AP62" s="692"/>
      <c r="AQ62" s="692"/>
      <c r="AR62" s="692"/>
      <c r="AS62" s="692"/>
      <c r="AT62" s="693"/>
      <c r="AU62" s="692"/>
      <c r="AV62" s="692"/>
      <c r="AW62" s="753"/>
      <c r="AX62" s="753"/>
      <c r="AY62" s="751"/>
      <c r="AZ62" s="753"/>
      <c r="BA62" s="753"/>
      <c r="BB62" s="753"/>
      <c r="BC62" s="753"/>
      <c r="BD62" s="751"/>
      <c r="BE62" s="753"/>
      <c r="BF62" s="753"/>
      <c r="BG62" s="753"/>
      <c r="BH62" s="753"/>
      <c r="BI62" s="751"/>
      <c r="BJ62" s="753"/>
      <c r="BK62" s="753"/>
      <c r="BL62" s="753"/>
      <c r="BM62" s="753"/>
      <c r="BN62" s="751"/>
      <c r="BO62" s="753"/>
      <c r="BP62" s="753"/>
      <c r="BQ62" s="753"/>
      <c r="BR62" s="753"/>
      <c r="BS62" s="751"/>
      <c r="BT62" s="753"/>
      <c r="BU62" s="753"/>
      <c r="BV62" s="753"/>
      <c r="BW62" s="753"/>
      <c r="BX62" s="751"/>
      <c r="BY62" s="752"/>
      <c r="BZ62" s="752"/>
      <c r="CA62" s="752"/>
      <c r="CF62" s="1561"/>
      <c r="CG62" s="755"/>
      <c r="CH62" s="754"/>
      <c r="CI62" s="754"/>
      <c r="CJ62" s="754"/>
      <c r="CK62" s="754"/>
      <c r="CL62" s="1339"/>
      <c r="CM62" s="1339"/>
      <c r="CN62" s="1339"/>
      <c r="CO62" s="1339"/>
      <c r="CP62" s="1339"/>
      <c r="CQ62" s="1339"/>
      <c r="CR62" s="693"/>
      <c r="CS62" s="693"/>
      <c r="CT62" s="751"/>
      <c r="CU62" s="751"/>
      <c r="CV62" s="751"/>
      <c r="CW62" s="751"/>
      <c r="CX62" s="751"/>
      <c r="CY62" s="751"/>
      <c r="CZ62" s="751"/>
      <c r="DA62" s="751"/>
      <c r="DB62" s="751"/>
    </row>
    <row r="63" spans="1:106" ht="12" hidden="1" customHeight="1" outlineLevel="1">
      <c r="A63" s="1559" t="s">
        <v>215</v>
      </c>
      <c r="B63" s="754"/>
      <c r="C63" s="754"/>
      <c r="D63" s="754"/>
      <c r="E63" s="754"/>
      <c r="F63" s="754"/>
      <c r="G63" s="1338"/>
      <c r="H63" s="1338"/>
      <c r="I63" s="1338"/>
      <c r="J63" s="1339"/>
      <c r="K63" s="1339"/>
      <c r="L63" s="1338"/>
      <c r="M63" s="1338"/>
      <c r="N63" s="1338"/>
      <c r="O63" s="1339"/>
      <c r="P63" s="1339"/>
      <c r="Q63" s="1338"/>
      <c r="R63" s="1338"/>
      <c r="S63" s="1338"/>
      <c r="T63" s="1339"/>
      <c r="U63" s="1339"/>
      <c r="V63" s="1338"/>
      <c r="W63" s="1338"/>
      <c r="X63" s="1338"/>
      <c r="Y63" s="1339"/>
      <c r="Z63" s="1339"/>
      <c r="AA63" s="1338"/>
      <c r="AB63" s="1338"/>
      <c r="AC63" s="1338"/>
      <c r="AD63" s="1339"/>
      <c r="AE63" s="1339"/>
      <c r="AF63" s="1338"/>
      <c r="AG63" s="1338"/>
      <c r="AH63" s="1338"/>
      <c r="AI63" s="1339"/>
      <c r="AJ63" s="1339"/>
      <c r="AK63" s="692"/>
      <c r="AL63" s="692"/>
      <c r="AM63" s="1560"/>
      <c r="AN63" s="692"/>
      <c r="AO63" s="693"/>
      <c r="AP63" s="692"/>
      <c r="AQ63" s="692"/>
      <c r="AR63" s="692"/>
      <c r="AS63" s="692"/>
      <c r="AT63" s="693"/>
      <c r="AU63" s="692"/>
      <c r="AV63" s="692"/>
      <c r="AW63" s="753"/>
      <c r="AX63" s="753"/>
      <c r="AY63" s="751"/>
      <c r="AZ63" s="753"/>
      <c r="BA63" s="753"/>
      <c r="BB63" s="753"/>
      <c r="BC63" s="753"/>
      <c r="BD63" s="751"/>
      <c r="BE63" s="753"/>
      <c r="BF63" s="753"/>
      <c r="BG63" s="753"/>
      <c r="BH63" s="753"/>
      <c r="BI63" s="751"/>
      <c r="BJ63" s="753"/>
      <c r="BK63" s="753"/>
      <c r="BL63" s="753"/>
      <c r="BM63" s="753"/>
      <c r="BN63" s="751"/>
      <c r="BO63" s="753"/>
      <c r="BP63" s="753"/>
      <c r="BQ63" s="753"/>
      <c r="BR63" s="753"/>
      <c r="BS63" s="751"/>
      <c r="BT63" s="753"/>
      <c r="BU63" s="753"/>
      <c r="BV63" s="753"/>
      <c r="BW63" s="753"/>
      <c r="BX63" s="751"/>
      <c r="BY63" s="752"/>
      <c r="BZ63" s="752"/>
      <c r="CA63" s="752"/>
      <c r="CF63" s="1561"/>
      <c r="CG63" s="755"/>
      <c r="CH63" s="754"/>
      <c r="CI63" s="754"/>
      <c r="CJ63" s="754"/>
      <c r="CK63" s="754"/>
      <c r="CL63" s="1339"/>
      <c r="CM63" s="1339"/>
      <c r="CN63" s="1339"/>
      <c r="CO63" s="1339"/>
      <c r="CP63" s="1339"/>
      <c r="CQ63" s="1339"/>
      <c r="CR63" s="693"/>
      <c r="CS63" s="693"/>
      <c r="CT63" s="751"/>
      <c r="CU63" s="751"/>
      <c r="CV63" s="751"/>
      <c r="CW63" s="751"/>
      <c r="CX63" s="751"/>
      <c r="CY63" s="751"/>
      <c r="CZ63" s="751"/>
      <c r="DA63" s="751"/>
      <c r="DB63" s="751"/>
    </row>
    <row r="64" spans="1:106" hidden="1" collapsed="1">
      <c r="A64" s="1286"/>
      <c r="B64" s="1423"/>
      <c r="C64" s="1423"/>
      <c r="D64" s="1423"/>
      <c r="E64" s="1423"/>
      <c r="F64" s="1423"/>
      <c r="G64" s="1286"/>
      <c r="H64" s="1286"/>
      <c r="I64" s="1286"/>
      <c r="J64" s="1286"/>
      <c r="K64" s="1423"/>
      <c r="L64" s="1286"/>
      <c r="M64" s="1286"/>
      <c r="N64" s="1286"/>
      <c r="O64" s="1286"/>
      <c r="P64" s="1423"/>
      <c r="Q64" s="1286"/>
      <c r="R64" s="1286"/>
      <c r="S64" s="1286"/>
      <c r="T64" s="1286"/>
      <c r="U64" s="1423"/>
      <c r="V64" s="1286"/>
      <c r="W64" s="1286"/>
      <c r="X64" s="1286"/>
      <c r="Y64" s="1286"/>
      <c r="Z64" s="1423"/>
      <c r="AA64" s="1286"/>
      <c r="AB64" s="1286"/>
      <c r="AC64" s="1286"/>
      <c r="AD64" s="1286"/>
      <c r="AE64" s="1423"/>
      <c r="AF64" s="1286"/>
      <c r="AG64" s="1286"/>
      <c r="AH64" s="1286"/>
      <c r="AI64" s="1286"/>
      <c r="AJ64" s="1423"/>
      <c r="AK64" s="1286"/>
      <c r="AL64" s="1286"/>
      <c r="AM64" s="1286"/>
      <c r="AN64" s="1286"/>
      <c r="AO64" s="1423"/>
      <c r="AP64" s="1286"/>
      <c r="AQ64" s="1286"/>
      <c r="AR64" s="1286"/>
      <c r="AS64" s="1286"/>
      <c r="AT64" s="1423"/>
      <c r="AU64" s="1286"/>
      <c r="AV64" s="1286"/>
      <c r="AW64" s="1286"/>
      <c r="AX64" s="1286"/>
      <c r="AY64" s="1423"/>
      <c r="AZ64" s="1286"/>
      <c r="BA64" s="1286"/>
      <c r="BB64" s="1286"/>
      <c r="BC64" s="1286"/>
      <c r="BD64" s="1423"/>
      <c r="BE64" s="1286"/>
      <c r="BF64" s="1286"/>
      <c r="BG64" s="1286"/>
      <c r="BH64" s="1286"/>
      <c r="BI64" s="1423"/>
      <c r="BJ64" s="1286"/>
      <c r="BK64" s="1286"/>
      <c r="BL64" s="1286"/>
      <c r="BM64" s="1286"/>
      <c r="BN64" s="1423"/>
      <c r="BO64" s="1286"/>
      <c r="BP64" s="1286"/>
      <c r="BQ64" s="1286"/>
      <c r="BR64" s="1286"/>
      <c r="BS64" s="1423"/>
      <c r="BT64" s="1286"/>
      <c r="BU64" s="1286"/>
      <c r="BV64" s="1286"/>
      <c r="BW64" s="1286"/>
      <c r="BX64" s="1423"/>
      <c r="BY64" s="1422"/>
      <c r="BZ64" s="1422"/>
      <c r="CA64" s="1422"/>
      <c r="CF64" s="1423"/>
      <c r="CG64" s="1286"/>
      <c r="CH64" s="1286"/>
      <c r="CI64" s="1286"/>
      <c r="CJ64" s="1286"/>
      <c r="CK64" s="1286"/>
      <c r="CL64" s="1423"/>
      <c r="CM64" s="1423"/>
      <c r="CN64" s="1423"/>
      <c r="CO64" s="1423"/>
      <c r="CP64" s="1423"/>
      <c r="CQ64" s="1423"/>
      <c r="CR64" s="1423"/>
      <c r="CS64" s="1423"/>
      <c r="CT64" s="1423"/>
      <c r="CU64" s="1423"/>
      <c r="CV64" s="1423"/>
      <c r="CW64" s="1423"/>
      <c r="CX64" s="1423"/>
      <c r="CY64" s="1423"/>
      <c r="CZ64" s="1423"/>
      <c r="DA64" s="1423"/>
      <c r="DB64" s="1423"/>
    </row>
    <row r="65" spans="1:106" hidden="1">
      <c r="A65" s="1287" t="s">
        <v>303</v>
      </c>
      <c r="B65" s="1423"/>
      <c r="C65" s="1423"/>
      <c r="D65" s="1423"/>
      <c r="E65" s="1423"/>
      <c r="F65" s="1423"/>
      <c r="G65" s="1286"/>
      <c r="H65" s="1286"/>
      <c r="I65" s="1286"/>
      <c r="J65" s="1286"/>
      <c r="K65" s="1423"/>
      <c r="L65" s="1286"/>
      <c r="M65" s="1286"/>
      <c r="N65" s="1286"/>
      <c r="O65" s="1286"/>
      <c r="P65" s="1423"/>
      <c r="Q65" s="1286"/>
      <c r="R65" s="1286"/>
      <c r="S65" s="1286"/>
      <c r="T65" s="1286"/>
      <c r="U65" s="1423"/>
      <c r="V65" s="1286"/>
      <c r="W65" s="1286"/>
      <c r="X65" s="1286"/>
      <c r="Y65" s="1286"/>
      <c r="Z65" s="1423"/>
      <c r="AA65" s="1286"/>
      <c r="AB65" s="1286"/>
      <c r="AC65" s="1286"/>
      <c r="AD65" s="1286"/>
      <c r="AE65" s="1423"/>
      <c r="AF65" s="1286"/>
      <c r="AG65" s="1286"/>
      <c r="AH65" s="1286"/>
      <c r="AI65" s="1286"/>
      <c r="AJ65" s="1423"/>
      <c r="AK65" s="1286"/>
      <c r="AL65" s="1286"/>
      <c r="AM65" s="1286"/>
      <c r="AN65" s="1286"/>
      <c r="AO65" s="1423"/>
      <c r="AP65" s="1286"/>
      <c r="AQ65" s="1286"/>
      <c r="AR65" s="1286"/>
      <c r="AS65" s="1286"/>
      <c r="AT65" s="1423"/>
      <c r="AU65" s="1286"/>
      <c r="AV65" s="1286"/>
      <c r="AW65" s="1286"/>
      <c r="AX65" s="1286"/>
      <c r="AY65" s="1423"/>
      <c r="AZ65" s="1286"/>
      <c r="BA65" s="1286"/>
      <c r="BB65" s="1286"/>
      <c r="BC65" s="1286"/>
      <c r="BD65" s="1423"/>
      <c r="BE65" s="1286"/>
      <c r="BF65" s="1286"/>
      <c r="BG65" s="1283">
        <v>-8.4369401825957271E-3</v>
      </c>
      <c r="BH65" s="811">
        <v>-1.0676796447058268E-2</v>
      </c>
      <c r="BI65" s="1284"/>
      <c r="BJ65" s="1283">
        <v>-8.0207172161283254E-3</v>
      </c>
      <c r="BK65" s="1283">
        <v>-3.5340622986559911E-3</v>
      </c>
      <c r="BL65" s="1283">
        <v>3.7019711748203553E-3</v>
      </c>
      <c r="BM65" s="1286"/>
      <c r="BN65" s="1423"/>
      <c r="BO65" s="1286"/>
      <c r="BP65" s="1286"/>
      <c r="BQ65" s="1286"/>
      <c r="BR65" s="1286"/>
      <c r="BS65" s="1423"/>
      <c r="BT65" s="1286"/>
      <c r="BU65" s="1286"/>
      <c r="BV65" s="1286"/>
      <c r="BW65" s="1286"/>
      <c r="BX65" s="1423"/>
      <c r="BY65" s="1422"/>
      <c r="BZ65" s="1422"/>
      <c r="CA65" s="1422"/>
      <c r="CF65" s="1423"/>
      <c r="CG65" s="1286"/>
      <c r="CH65" s="1286"/>
      <c r="CI65" s="1286"/>
      <c r="CJ65" s="1286"/>
      <c r="CK65" s="1286"/>
      <c r="CL65" s="1423"/>
      <c r="CM65" s="1423"/>
      <c r="CN65" s="1423"/>
      <c r="CO65" s="1423"/>
      <c r="CP65" s="1423"/>
      <c r="CQ65" s="1423"/>
      <c r="CR65" s="1423"/>
      <c r="CS65" s="1423"/>
      <c r="CT65" s="1423"/>
      <c r="CU65" s="1423"/>
      <c r="CV65" s="1423"/>
      <c r="CW65" s="1423"/>
      <c r="CX65" s="1423"/>
      <c r="CY65" s="1423"/>
      <c r="CZ65" s="1423"/>
      <c r="DA65" s="1423"/>
      <c r="DB65" s="1423"/>
    </row>
    <row r="66" spans="1:106" hidden="1">
      <c r="A66" s="1286"/>
      <c r="B66" s="1423"/>
      <c r="C66" s="1423"/>
      <c r="D66" s="1423"/>
      <c r="E66" s="1423"/>
      <c r="F66" s="1423"/>
      <c r="G66" s="1286"/>
      <c r="H66" s="1286"/>
      <c r="I66" s="1286"/>
      <c r="J66" s="1286"/>
      <c r="K66" s="1423"/>
      <c r="L66" s="1286"/>
      <c r="M66" s="1286"/>
      <c r="N66" s="1286"/>
      <c r="O66" s="1286"/>
      <c r="P66" s="1423"/>
      <c r="Q66" s="1286"/>
      <c r="R66" s="1286"/>
      <c r="S66" s="1286"/>
      <c r="T66" s="1286"/>
      <c r="U66" s="1423"/>
      <c r="V66" s="1286"/>
      <c r="W66" s="1286"/>
      <c r="X66" s="1286"/>
      <c r="Y66" s="1286"/>
      <c r="Z66" s="1423"/>
      <c r="AA66" s="1286"/>
      <c r="AB66" s="1286"/>
      <c r="AC66" s="1286"/>
      <c r="AD66" s="1286"/>
      <c r="AE66" s="1423"/>
      <c r="AF66" s="1286"/>
      <c r="AG66" s="1286"/>
      <c r="AH66" s="1286"/>
      <c r="AI66" s="1286"/>
      <c r="AJ66" s="1423"/>
      <c r="AK66" s="1286"/>
      <c r="AL66" s="1286"/>
      <c r="AM66" s="1286"/>
      <c r="AN66" s="1286"/>
      <c r="AO66" s="1423"/>
      <c r="AP66" s="1286"/>
      <c r="AQ66" s="1286"/>
      <c r="AR66" s="1286"/>
      <c r="AS66" s="1286"/>
      <c r="AT66" s="1423"/>
      <c r="AU66" s="1286"/>
      <c r="AV66" s="1286"/>
      <c r="AW66" s="1286"/>
      <c r="AX66" s="1286"/>
      <c r="AY66" s="1423"/>
      <c r="AZ66" s="1286"/>
      <c r="BA66" s="1286"/>
      <c r="BB66" s="1286"/>
      <c r="BC66" s="1286"/>
      <c r="BD66" s="1423"/>
      <c r="BE66" s="1286"/>
      <c r="BF66" s="1286"/>
      <c r="BG66" s="1286"/>
      <c r="BH66" s="1286"/>
      <c r="BI66" s="1423"/>
      <c r="BJ66" s="1286"/>
      <c r="BK66" s="1286"/>
      <c r="BL66" s="1286"/>
      <c r="BM66" s="1286"/>
      <c r="BN66" s="1423"/>
      <c r="BO66" s="1286"/>
      <c r="BP66" s="1286"/>
      <c r="BQ66" s="1286"/>
      <c r="BR66" s="1286"/>
      <c r="BS66" s="1423"/>
      <c r="BT66" s="1286"/>
      <c r="BU66" s="1286"/>
      <c r="BV66" s="1286"/>
      <c r="BW66" s="1286"/>
      <c r="BX66" s="1423"/>
      <c r="BY66" s="1422"/>
      <c r="BZ66" s="1422"/>
      <c r="CA66" s="1422"/>
      <c r="CF66" s="1423"/>
      <c r="CG66" s="1286"/>
      <c r="CH66" s="1286"/>
      <c r="CI66" s="1286"/>
      <c r="CJ66" s="1286"/>
      <c r="CK66" s="1286"/>
      <c r="CL66" s="1423"/>
      <c r="CM66" s="1423"/>
      <c r="CN66" s="1423"/>
      <c r="CO66" s="1423"/>
      <c r="CP66" s="1423"/>
      <c r="CQ66" s="1423"/>
      <c r="CR66" s="1423"/>
      <c r="CS66" s="1423"/>
      <c r="CT66" s="1423"/>
      <c r="CU66" s="1423"/>
      <c r="CV66" s="1423"/>
      <c r="CW66" s="1423"/>
      <c r="CX66" s="1423"/>
      <c r="CY66" s="1423"/>
      <c r="CZ66" s="1423"/>
      <c r="DA66" s="1423"/>
      <c r="DB66" s="1423"/>
    </row>
    <row r="67" spans="1:106" s="1287" customFormat="1" ht="12" hidden="1" customHeight="1">
      <c r="A67" s="1287" t="s">
        <v>295</v>
      </c>
      <c r="B67" s="721"/>
      <c r="C67" s="721"/>
      <c r="D67" s="721"/>
      <c r="E67" s="721"/>
      <c r="F67" s="721"/>
      <c r="G67" s="1276" t="s">
        <v>249</v>
      </c>
      <c r="H67" s="1276" t="s">
        <v>249</v>
      </c>
      <c r="I67" s="1276" t="s">
        <v>249</v>
      </c>
      <c r="J67" s="1278" t="s">
        <v>249</v>
      </c>
      <c r="K67" s="1277" t="s">
        <v>249</v>
      </c>
      <c r="L67" s="1275" t="s">
        <v>249</v>
      </c>
      <c r="M67" s="1276" t="s">
        <v>249</v>
      </c>
      <c r="N67" s="1276" t="s">
        <v>249</v>
      </c>
      <c r="O67" s="1278" t="s">
        <v>249</v>
      </c>
      <c r="P67" s="1277" t="s">
        <v>249</v>
      </c>
      <c r="Q67" s="1275" t="s">
        <v>249</v>
      </c>
      <c r="R67" s="1276" t="s">
        <v>249</v>
      </c>
      <c r="S67" s="1276" t="s">
        <v>249</v>
      </c>
      <c r="T67" s="1278" t="s">
        <v>249</v>
      </c>
      <c r="U67" s="1277" t="s">
        <v>249</v>
      </c>
      <c r="V67" s="1275" t="s">
        <v>249</v>
      </c>
      <c r="W67" s="1276" t="s">
        <v>249</v>
      </c>
      <c r="X67" s="1276" t="s">
        <v>249</v>
      </c>
      <c r="Y67" s="1278" t="s">
        <v>249</v>
      </c>
      <c r="Z67" s="1277" t="s">
        <v>249</v>
      </c>
      <c r="AA67" s="1275" t="s">
        <v>249</v>
      </c>
      <c r="AB67" s="1276" t="s">
        <v>249</v>
      </c>
      <c r="AC67" s="1276" t="s">
        <v>249</v>
      </c>
      <c r="AD67" s="1278" t="s">
        <v>249</v>
      </c>
      <c r="AE67" s="1277" t="s">
        <v>249</v>
      </c>
      <c r="AF67" s="1279">
        <v>-15</v>
      </c>
      <c r="AG67" s="1280">
        <v>-15</v>
      </c>
      <c r="AH67" s="1280">
        <v>-16</v>
      </c>
      <c r="AI67" s="1280">
        <v>-17</v>
      </c>
      <c r="AJ67" s="796">
        <v>-63</v>
      </c>
      <c r="AK67" s="1280">
        <v>-17</v>
      </c>
      <c r="AL67" s="1280">
        <v>-17</v>
      </c>
      <c r="AM67" s="1280">
        <v>-18</v>
      </c>
      <c r="AN67" s="1280">
        <f>-69-AM67-AL67-AK67</f>
        <v>-17</v>
      </c>
      <c r="AO67" s="796">
        <f>SUM(AK67:AN67)</f>
        <v>-69</v>
      </c>
      <c r="AP67" s="1280">
        <v>-19</v>
      </c>
      <c r="AQ67" s="1280">
        <v>-18</v>
      </c>
      <c r="AR67" s="1280">
        <v>-18</v>
      </c>
      <c r="AS67" s="1280">
        <v>-19</v>
      </c>
      <c r="AT67" s="796">
        <f>SUM(AP67:AS67)</f>
        <v>-74</v>
      </c>
      <c r="AU67" s="1280">
        <v>-22</v>
      </c>
      <c r="AV67" s="1280">
        <v>-21</v>
      </c>
      <c r="AW67" s="1280">
        <v>-22</v>
      </c>
      <c r="AX67" s="1280">
        <f>-86-SUM(AU67:AW67)</f>
        <v>-21</v>
      </c>
      <c r="AY67" s="796">
        <f>SUM(AU67:AX67)</f>
        <v>-86</v>
      </c>
      <c r="AZ67" s="1281">
        <f>+AZ25</f>
        <v>-21</v>
      </c>
      <c r="BA67" s="1281">
        <f>+BA25</f>
        <v>-22</v>
      </c>
      <c r="BB67" s="1281">
        <f>+BB25</f>
        <v>-23</v>
      </c>
      <c r="BC67" s="1281">
        <f>+BC25</f>
        <v>-22</v>
      </c>
      <c r="BD67" s="796">
        <f>SUM(AZ67:BC67)</f>
        <v>-88</v>
      </c>
      <c r="BE67" s="1281">
        <f>+BE25</f>
        <v>-23</v>
      </c>
      <c r="BF67" s="1281">
        <f>+BF25</f>
        <v>-24</v>
      </c>
      <c r="BG67" s="1281">
        <f>BF67</f>
        <v>-24</v>
      </c>
      <c r="BH67" s="1281">
        <f>BG67</f>
        <v>-24</v>
      </c>
      <c r="BI67" s="796">
        <f>SUM(BE67:BH67)</f>
        <v>-95</v>
      </c>
      <c r="BJ67" s="1281">
        <f>BH67</f>
        <v>-24</v>
      </c>
      <c r="BK67" s="1281">
        <f>BJ67</f>
        <v>-24</v>
      </c>
      <c r="BL67" s="1281">
        <f>BK67</f>
        <v>-24</v>
      </c>
      <c r="BM67" s="1285">
        <f>BL67</f>
        <v>-24</v>
      </c>
      <c r="BN67" s="796">
        <f>SUM(BJ67:BM67)</f>
        <v>-96</v>
      </c>
      <c r="BO67" s="1281">
        <f>BM67</f>
        <v>-24</v>
      </c>
      <c r="BP67" s="1281">
        <f>BO67</f>
        <v>-24</v>
      </c>
      <c r="BQ67" s="1281">
        <f>BP67</f>
        <v>-24</v>
      </c>
      <c r="BR67" s="1285">
        <f>BQ67</f>
        <v>-24</v>
      </c>
      <c r="BS67" s="796">
        <f>SUM(BO67:BR67)</f>
        <v>-96</v>
      </c>
      <c r="BT67" s="1281"/>
      <c r="BU67" s="1281"/>
      <c r="BV67" s="1281"/>
      <c r="BW67" s="1285"/>
      <c r="BX67" s="796">
        <f>BS67</f>
        <v>-96</v>
      </c>
      <c r="BY67" s="1279">
        <f>BX67</f>
        <v>-96</v>
      </c>
      <c r="BZ67" s="1279">
        <f>BY67</f>
        <v>-96</v>
      </c>
      <c r="CA67" s="796"/>
      <c r="CB67" s="1286"/>
      <c r="CF67" s="1270" t="str">
        <f>+A67</f>
        <v>Intersegment Elimination</v>
      </c>
      <c r="CG67" s="722"/>
      <c r="CH67" s="721"/>
      <c r="CI67" s="721"/>
      <c r="CJ67" s="721"/>
      <c r="CK67" s="721"/>
      <c r="CL67" s="1277"/>
      <c r="CM67" s="1277"/>
      <c r="CN67" s="1277"/>
      <c r="CO67" s="1277"/>
      <c r="CP67" s="1277"/>
      <c r="CQ67" s="796">
        <f>+AJ67</f>
        <v>-63</v>
      </c>
      <c r="CR67" s="796">
        <f>+AO67</f>
        <v>-69</v>
      </c>
      <c r="CS67" s="796">
        <f>+AT67</f>
        <v>-74</v>
      </c>
      <c r="CT67" s="796">
        <f>+AY67</f>
        <v>-86</v>
      </c>
      <c r="CU67" s="796">
        <f>+BD67</f>
        <v>-88</v>
      </c>
      <c r="CV67" s="796">
        <f>+BI67</f>
        <v>-95</v>
      </c>
      <c r="CW67" s="796">
        <f>+BN67</f>
        <v>-96</v>
      </c>
      <c r="CX67" s="796">
        <f>+BS67</f>
        <v>-96</v>
      </c>
      <c r="CY67" s="796">
        <f>+BX67</f>
        <v>-96</v>
      </c>
      <c r="CZ67" s="796">
        <f>+BY67</f>
        <v>-96</v>
      </c>
      <c r="DA67" s="796">
        <f>+BZ67</f>
        <v>-96</v>
      </c>
      <c r="DB67" s="796">
        <f>+CA67</f>
        <v>0</v>
      </c>
    </row>
    <row r="68" spans="1:106" hidden="1">
      <c r="A68" s="1286"/>
      <c r="B68" s="1423"/>
      <c r="C68" s="1423"/>
      <c r="D68" s="1423"/>
      <c r="E68" s="1423"/>
      <c r="F68" s="1423"/>
      <c r="G68" s="1286"/>
      <c r="H68" s="1286"/>
      <c r="I68" s="1286"/>
      <c r="J68" s="1286"/>
      <c r="K68" s="1423"/>
      <c r="L68" s="1286"/>
      <c r="M68" s="1286"/>
      <c r="N68" s="1286"/>
      <c r="O68" s="1286"/>
      <c r="P68" s="1423"/>
      <c r="Q68" s="1286"/>
      <c r="R68" s="1286"/>
      <c r="S68" s="1286"/>
      <c r="T68" s="1286"/>
      <c r="U68" s="1423"/>
      <c r="V68" s="1286"/>
      <c r="W68" s="1286"/>
      <c r="X68" s="1286"/>
      <c r="Y68" s="1286"/>
      <c r="Z68" s="1423"/>
      <c r="AA68" s="1286"/>
      <c r="AB68" s="1286"/>
      <c r="AC68" s="1286"/>
      <c r="AD68" s="1286"/>
      <c r="AE68" s="1423"/>
      <c r="AF68" s="1286"/>
      <c r="AG68" s="1286"/>
      <c r="AH68" s="1286"/>
      <c r="AI68" s="1286"/>
      <c r="AJ68" s="1423"/>
      <c r="AK68" s="1286"/>
      <c r="AL68" s="1286"/>
      <c r="AM68" s="1286"/>
      <c r="AN68" s="1286"/>
      <c r="AO68" s="1423"/>
      <c r="AP68" s="1286"/>
      <c r="AQ68" s="1286"/>
      <c r="AR68" s="1286"/>
      <c r="AS68" s="1286"/>
      <c r="AT68" s="1423"/>
      <c r="AU68" s="1286"/>
      <c r="AV68" s="1286"/>
      <c r="AW68" s="1286"/>
      <c r="AX68" s="1286"/>
      <c r="AY68" s="1423"/>
      <c r="AZ68" s="1286"/>
      <c r="BA68" s="1287"/>
      <c r="BB68" s="1286"/>
      <c r="BC68" s="1286"/>
      <c r="BD68" s="1423"/>
      <c r="BE68" s="1286"/>
      <c r="BF68" s="1287"/>
      <c r="BG68" s="1286"/>
      <c r="BH68" s="1286"/>
      <c r="BI68" s="1423"/>
      <c r="BJ68" s="1286"/>
      <c r="BK68" s="1286"/>
      <c r="BL68" s="1286"/>
      <c r="BM68" s="1286"/>
      <c r="BN68" s="1423"/>
      <c r="BO68" s="1286"/>
      <c r="BP68" s="1286"/>
      <c r="BQ68" s="1286"/>
      <c r="BR68" s="1286"/>
      <c r="BS68" s="1423"/>
      <c r="BT68" s="1286"/>
      <c r="BU68" s="1286"/>
      <c r="BV68" s="1286"/>
      <c r="BW68" s="1286"/>
      <c r="BX68" s="1423"/>
      <c r="BY68" s="1425"/>
      <c r="BZ68" s="1425"/>
      <c r="CA68" s="1423"/>
      <c r="CF68" s="1423"/>
      <c r="CG68" s="1286"/>
      <c r="CH68" s="1286"/>
      <c r="CI68" s="1286"/>
      <c r="CJ68" s="1286"/>
      <c r="CK68" s="1286"/>
      <c r="CL68" s="1423"/>
      <c r="CM68" s="1423"/>
      <c r="CN68" s="1423"/>
      <c r="CO68" s="1423"/>
      <c r="CP68" s="1423"/>
      <c r="CQ68" s="1423"/>
      <c r="CR68" s="1423"/>
      <c r="CS68" s="1423"/>
      <c r="CT68" s="1423"/>
      <c r="CU68" s="1423"/>
      <c r="CV68" s="1425"/>
      <c r="CW68" s="1425"/>
      <c r="CX68" s="1425"/>
      <c r="CY68" s="1425"/>
      <c r="CZ68" s="1425"/>
      <c r="DA68" s="1425"/>
      <c r="DB68" s="1425"/>
    </row>
    <row r="69" spans="1:106" s="768" customFormat="1" ht="12" hidden="1" customHeight="1">
      <c r="A69" s="1562" t="s">
        <v>304</v>
      </c>
      <c r="B69" s="1563"/>
      <c r="C69" s="1563"/>
      <c r="D69" s="1563"/>
      <c r="E69" s="1563"/>
      <c r="F69" s="1563"/>
      <c r="G69" s="1507" t="s">
        <v>249</v>
      </c>
      <c r="H69" s="1507" t="s">
        <v>249</v>
      </c>
      <c r="I69" s="1507" t="s">
        <v>249</v>
      </c>
      <c r="J69" s="1564" t="s">
        <v>249</v>
      </c>
      <c r="K69" s="1565" t="s">
        <v>249</v>
      </c>
      <c r="L69" s="1566" t="s">
        <v>249</v>
      </c>
      <c r="M69" s="1507" t="s">
        <v>249</v>
      </c>
      <c r="N69" s="1507" t="s">
        <v>249</v>
      </c>
      <c r="O69" s="1564" t="s">
        <v>249</v>
      </c>
      <c r="P69" s="1565" t="s">
        <v>249</v>
      </c>
      <c r="Q69" s="1566" t="s">
        <v>249</v>
      </c>
      <c r="R69" s="1507" t="s">
        <v>249</v>
      </c>
      <c r="S69" s="1507" t="s">
        <v>249</v>
      </c>
      <c r="T69" s="1564" t="s">
        <v>249</v>
      </c>
      <c r="U69" s="1565" t="s">
        <v>249</v>
      </c>
      <c r="V69" s="1566" t="s">
        <v>249</v>
      </c>
      <c r="W69" s="1507" t="s">
        <v>249</v>
      </c>
      <c r="X69" s="1507" t="s">
        <v>249</v>
      </c>
      <c r="Y69" s="1564" t="s">
        <v>249</v>
      </c>
      <c r="Z69" s="1565" t="s">
        <v>249</v>
      </c>
      <c r="AA69" s="1566" t="s">
        <v>249</v>
      </c>
      <c r="AB69" s="1507" t="s">
        <v>249</v>
      </c>
      <c r="AC69" s="1507" t="s">
        <v>249</v>
      </c>
      <c r="AD69" s="1564" t="s">
        <v>249</v>
      </c>
      <c r="AE69" s="1565" t="s">
        <v>249</v>
      </c>
      <c r="AF69" s="1567">
        <f>AF42+AF50+AF54+AF67+AF58</f>
        <v>1011</v>
      </c>
      <c r="AG69" s="1567">
        <f>AG42+AG50+AG54+AG67+AG58</f>
        <v>1155</v>
      </c>
      <c r="AH69" s="1567">
        <f>AH42+AH50+AH54+AH67+AH58</f>
        <v>1260</v>
      </c>
      <c r="AI69" s="1567">
        <f>AI42+AI50+AI54+AI67+AI58</f>
        <v>490</v>
      </c>
      <c r="AJ69" s="1563">
        <f>AJ42+AJ50+AJ54+AJ67+AJ58</f>
        <v>3923</v>
      </c>
      <c r="AK69" s="1567">
        <f t="shared" ref="AK69:BZ69" si="83">AK42+AK46+AK50+AK54+AK67</f>
        <v>678</v>
      </c>
      <c r="AL69" s="1567">
        <f t="shared" si="83"/>
        <v>678</v>
      </c>
      <c r="AM69" s="1567">
        <f t="shared" si="83"/>
        <v>713</v>
      </c>
      <c r="AN69" s="1567">
        <f t="shared" si="83"/>
        <v>794</v>
      </c>
      <c r="AO69" s="1563">
        <f t="shared" si="83"/>
        <v>2863</v>
      </c>
      <c r="AP69" s="1567">
        <f t="shared" si="83"/>
        <v>758</v>
      </c>
      <c r="AQ69" s="1567">
        <f t="shared" si="83"/>
        <v>773</v>
      </c>
      <c r="AR69" s="1567">
        <f t="shared" si="83"/>
        <v>729</v>
      </c>
      <c r="AS69" s="1567">
        <f t="shared" si="83"/>
        <v>817</v>
      </c>
      <c r="AT69" s="1563">
        <f t="shared" si="83"/>
        <v>3077</v>
      </c>
      <c r="AU69" s="1567">
        <f t="shared" si="83"/>
        <v>742</v>
      </c>
      <c r="AV69" s="1567">
        <f t="shared" si="83"/>
        <v>781</v>
      </c>
      <c r="AW69" s="1567">
        <f t="shared" si="83"/>
        <v>756</v>
      </c>
      <c r="AX69" s="1567">
        <f t="shared" si="83"/>
        <v>806</v>
      </c>
      <c r="AY69" s="1563">
        <f t="shared" si="83"/>
        <v>3085</v>
      </c>
      <c r="AZ69" s="1567">
        <f t="shared" si="83"/>
        <v>745</v>
      </c>
      <c r="BA69" s="1567">
        <f t="shared" si="83"/>
        <v>753</v>
      </c>
      <c r="BB69" s="1567">
        <f t="shared" si="83"/>
        <v>760</v>
      </c>
      <c r="BC69" s="1567">
        <f t="shared" si="83"/>
        <v>863</v>
      </c>
      <c r="BD69" s="1563">
        <f t="shared" si="83"/>
        <v>3121</v>
      </c>
      <c r="BE69" s="1567">
        <f t="shared" si="83"/>
        <v>780</v>
      </c>
      <c r="BF69" s="1567">
        <f t="shared" si="83"/>
        <v>819</v>
      </c>
      <c r="BG69" s="1567">
        <f t="shared" si="83"/>
        <v>796</v>
      </c>
      <c r="BH69" s="1567">
        <f t="shared" si="83"/>
        <v>801</v>
      </c>
      <c r="BI69" s="1563">
        <f t="shared" si="83"/>
        <v>3196</v>
      </c>
      <c r="BJ69" s="1567">
        <f t="shared" si="83"/>
        <v>760</v>
      </c>
      <c r="BK69" s="1567">
        <f t="shared" si="83"/>
        <v>793</v>
      </c>
      <c r="BL69" s="1567">
        <f t="shared" si="83"/>
        <v>790</v>
      </c>
      <c r="BM69" s="1567">
        <f t="shared" si="83"/>
        <v>825</v>
      </c>
      <c r="BN69" s="1563">
        <f t="shared" si="83"/>
        <v>3168</v>
      </c>
      <c r="BO69" s="1567">
        <f t="shared" si="83"/>
        <v>814</v>
      </c>
      <c r="BP69" s="1567">
        <f t="shared" si="83"/>
        <v>855.89789982077036</v>
      </c>
      <c r="BQ69" s="1567">
        <f t="shared" si="83"/>
        <v>847.13508444790227</v>
      </c>
      <c r="BR69" s="1567">
        <f t="shared" si="83"/>
        <v>864.41445517630666</v>
      </c>
      <c r="BS69" s="1563">
        <f t="shared" si="83"/>
        <v>3381.4474394449794</v>
      </c>
      <c r="BT69" s="1567"/>
      <c r="BU69" s="1567"/>
      <c r="BV69" s="1567"/>
      <c r="BW69" s="1567"/>
      <c r="BX69" s="1563">
        <f t="shared" si="83"/>
        <v>3529.1554839037367</v>
      </c>
      <c r="BY69" s="1568">
        <f t="shared" si="83"/>
        <v>3669.3359778904942</v>
      </c>
      <c r="BZ69" s="1568">
        <f t="shared" si="83"/>
        <v>3809.0153124196063</v>
      </c>
      <c r="CA69" s="1563"/>
      <c r="CB69" s="1569"/>
      <c r="CF69" s="1570" t="str">
        <f>+A69</f>
        <v>Total (Segment-wise)</v>
      </c>
      <c r="CG69" s="1571"/>
      <c r="CH69" s="1563"/>
      <c r="CI69" s="1563"/>
      <c r="CJ69" s="1563"/>
      <c r="CK69" s="1563"/>
      <c r="CL69" s="1565"/>
      <c r="CM69" s="1565"/>
      <c r="CN69" s="1565"/>
      <c r="CO69" s="1565"/>
      <c r="CP69" s="1565"/>
      <c r="CQ69" s="1563">
        <f>+AJ69</f>
        <v>3923</v>
      </c>
      <c r="CR69" s="1563">
        <f>+AO69</f>
        <v>2863</v>
      </c>
      <c r="CS69" s="1563">
        <f>+AT69</f>
        <v>3077</v>
      </c>
      <c r="CT69" s="1563">
        <f>+AY69</f>
        <v>3085</v>
      </c>
      <c r="CU69" s="1563">
        <f>+BD69</f>
        <v>3121</v>
      </c>
      <c r="CV69" s="1568">
        <f>+BI69</f>
        <v>3196</v>
      </c>
      <c r="CW69" s="1568">
        <f>+BN69</f>
        <v>3168</v>
      </c>
      <c r="CX69" s="1568">
        <f>+BS69</f>
        <v>3381.4474394449794</v>
      </c>
      <c r="CY69" s="1568">
        <f>+BX69</f>
        <v>3529.1554839037367</v>
      </c>
      <c r="CZ69" s="1568">
        <f>+BY69</f>
        <v>3669.3359778904942</v>
      </c>
      <c r="DA69" s="1568">
        <f>+BZ69</f>
        <v>3809.0153124196063</v>
      </c>
      <c r="DB69" s="1568">
        <f>+CA69</f>
        <v>0</v>
      </c>
    </row>
    <row r="70" spans="1:106" hidden="1">
      <c r="A70" s="1286"/>
      <c r="B70" s="1423"/>
      <c r="C70" s="1423"/>
      <c r="D70" s="1423"/>
      <c r="E70" s="1423"/>
      <c r="F70" s="1423"/>
      <c r="G70" s="1286"/>
      <c r="H70" s="1286"/>
      <c r="I70" s="1286"/>
      <c r="J70" s="1286"/>
      <c r="K70" s="1423"/>
      <c r="L70" s="1286"/>
      <c r="M70" s="1286"/>
      <c r="N70" s="1286"/>
      <c r="O70" s="1286"/>
      <c r="P70" s="1423"/>
      <c r="Q70" s="1286"/>
      <c r="R70" s="1286"/>
      <c r="S70" s="1286"/>
      <c r="T70" s="1286"/>
      <c r="U70" s="1423"/>
      <c r="V70" s="1286"/>
      <c r="W70" s="1286"/>
      <c r="X70" s="1286"/>
      <c r="Y70" s="1286"/>
      <c r="Z70" s="1423"/>
      <c r="AA70" s="1286"/>
      <c r="AB70" s="1286"/>
      <c r="AC70" s="1286"/>
      <c r="AD70" s="1286"/>
      <c r="AE70" s="1423"/>
      <c r="AF70" s="1286"/>
      <c r="AG70" s="1286"/>
      <c r="AH70" s="1286"/>
      <c r="AI70" s="1286"/>
      <c r="AJ70" s="1423"/>
      <c r="AK70" s="1286"/>
      <c r="AL70" s="1286"/>
      <c r="AM70" s="1286"/>
      <c r="AN70" s="1286"/>
      <c r="AO70" s="1423"/>
      <c r="AP70" s="1286"/>
      <c r="AQ70" s="1286"/>
      <c r="AR70" s="1286"/>
      <c r="AS70" s="1286"/>
      <c r="AT70" s="1423"/>
      <c r="AU70" s="1286"/>
      <c r="AV70" s="1286"/>
      <c r="AW70" s="1286"/>
      <c r="AX70" s="1286"/>
      <c r="AY70" s="1423"/>
      <c r="AZ70" s="1286"/>
      <c r="BA70" s="1286"/>
      <c r="BB70" s="1286"/>
      <c r="BC70" s="1286"/>
      <c r="BD70" s="1423"/>
      <c r="BE70" s="1286"/>
      <c r="BF70" s="1286"/>
      <c r="BG70" s="1286"/>
      <c r="BH70" s="1286"/>
      <c r="BI70" s="1423"/>
      <c r="BJ70" s="1286"/>
      <c r="BK70" s="1286"/>
      <c r="BL70" s="1286"/>
      <c r="BM70" s="1286"/>
      <c r="BN70" s="1423"/>
      <c r="BO70" s="1286"/>
      <c r="BP70" s="1286"/>
      <c r="BQ70" s="1286"/>
      <c r="BR70" s="1286"/>
      <c r="BS70" s="1423"/>
      <c r="BT70" s="1286"/>
      <c r="BU70" s="1286"/>
      <c r="BV70" s="1286"/>
      <c r="BW70" s="1286"/>
      <c r="BX70" s="1423"/>
      <c r="BY70" s="1425"/>
      <c r="BZ70" s="1425"/>
      <c r="CA70" s="1423"/>
      <c r="CF70" s="1423"/>
      <c r="CG70" s="1286"/>
      <c r="CH70" s="1286"/>
      <c r="CI70" s="1286"/>
      <c r="CJ70" s="1286"/>
      <c r="CK70" s="1286"/>
      <c r="CL70" s="1423"/>
      <c r="CM70" s="1423"/>
      <c r="CN70" s="1423"/>
      <c r="CO70" s="1423"/>
      <c r="CP70" s="1423"/>
      <c r="CQ70" s="1423"/>
      <c r="CR70" s="1423"/>
      <c r="CS70" s="1423"/>
      <c r="CT70" s="1423"/>
      <c r="CU70" s="1423"/>
      <c r="CV70" s="1425"/>
      <c r="CW70" s="1425"/>
      <c r="CX70" s="1425"/>
      <c r="CY70" s="1425"/>
      <c r="CZ70" s="1425"/>
      <c r="DA70" s="1425"/>
      <c r="DB70" s="1425"/>
    </row>
    <row r="71" spans="1:106" s="762" customFormat="1" ht="12" hidden="1" customHeight="1">
      <c r="A71" s="1253" t="s">
        <v>305</v>
      </c>
      <c r="B71" s="721">
        <v>-93</v>
      </c>
      <c r="C71" s="721">
        <v>-92</v>
      </c>
      <c r="D71" s="721">
        <v>38</v>
      </c>
      <c r="E71" s="721">
        <v>-124</v>
      </c>
      <c r="F71" s="721">
        <v>-125</v>
      </c>
      <c r="G71" s="1319" t="s">
        <v>249</v>
      </c>
      <c r="H71" s="1319" t="s">
        <v>249</v>
      </c>
      <c r="I71" s="1319" t="s">
        <v>249</v>
      </c>
      <c r="J71" s="1278" t="s">
        <v>249</v>
      </c>
      <c r="K71" s="1270">
        <v>-163</v>
      </c>
      <c r="L71" s="1319" t="s">
        <v>249</v>
      </c>
      <c r="M71" s="1319" t="s">
        <v>249</v>
      </c>
      <c r="N71" s="1319" t="s">
        <v>249</v>
      </c>
      <c r="O71" s="1278" t="s">
        <v>249</v>
      </c>
      <c r="P71" s="1270">
        <v>-160</v>
      </c>
      <c r="Q71" s="1319" t="s">
        <v>249</v>
      </c>
      <c r="R71" s="1319" t="s">
        <v>249</v>
      </c>
      <c r="S71" s="1319" t="s">
        <v>249</v>
      </c>
      <c r="T71" s="1278" t="s">
        <v>249</v>
      </c>
      <c r="U71" s="1270">
        <v>-109</v>
      </c>
      <c r="V71" s="1319" t="s">
        <v>249</v>
      </c>
      <c r="W71" s="1319" t="s">
        <v>249</v>
      </c>
      <c r="X71" s="1319" t="s">
        <v>249</v>
      </c>
      <c r="Y71" s="1278" t="s">
        <v>249</v>
      </c>
      <c r="Z71" s="1270">
        <v>-127</v>
      </c>
      <c r="AA71" s="762">
        <v>-35.700000000000003</v>
      </c>
      <c r="AB71" s="762">
        <v>-37.6</v>
      </c>
      <c r="AC71" s="762">
        <v>-44.4</v>
      </c>
      <c r="AD71" s="762">
        <v>-63</v>
      </c>
      <c r="AE71" s="1270">
        <f>SUM(AA71:AD71)</f>
        <v>-180.70000000000002</v>
      </c>
      <c r="AF71" s="1572">
        <v>-34</v>
      </c>
      <c r="AG71" s="1572">
        <v>-44</v>
      </c>
      <c r="AH71" s="1572">
        <v>-41</v>
      </c>
      <c r="AI71" s="1287">
        <f>+-85+27</f>
        <v>-58</v>
      </c>
      <c r="AJ71" s="1270">
        <f>SUM(AF71:AI71)</f>
        <v>-177</v>
      </c>
      <c r="AK71" s="1253">
        <f>+-75+29</f>
        <v>-46</v>
      </c>
      <c r="AL71" s="1253">
        <f>+-71+24</f>
        <v>-47</v>
      </c>
      <c r="AM71" s="1253">
        <f>+-95+48</f>
        <v>-47</v>
      </c>
      <c r="AN71" s="1287">
        <f>+-65+3</f>
        <v>-62</v>
      </c>
      <c r="AO71" s="1270">
        <f>SUM(AK71:AN71)</f>
        <v>-202</v>
      </c>
      <c r="AP71" s="1253">
        <f>-145+77+44</f>
        <v>-24</v>
      </c>
      <c r="AQ71" s="1253">
        <f>+-41+10</f>
        <v>-31</v>
      </c>
      <c r="AR71" s="1253">
        <f>+-49+10</f>
        <v>-39</v>
      </c>
      <c r="AS71" s="762">
        <f>-93+52</f>
        <v>-41</v>
      </c>
      <c r="AT71" s="1270">
        <f>SUM(AP71:AS71)</f>
        <v>-135</v>
      </c>
      <c r="AU71" s="762">
        <f>-30-(152-143)/2+1</f>
        <v>-33.5</v>
      </c>
      <c r="AV71" s="762">
        <f>-41-(152-143)/2-1</f>
        <v>-46.5</v>
      </c>
      <c r="AW71" s="762">
        <f>-38+7</f>
        <v>-31</v>
      </c>
      <c r="AX71" s="762">
        <f>-50+10</f>
        <v>-40</v>
      </c>
      <c r="AY71" s="1270">
        <f>SUM(AU71:AX71)</f>
        <v>-151</v>
      </c>
      <c r="AZ71" s="1573">
        <v>-33</v>
      </c>
      <c r="BA71" s="1574">
        <f>-25-10</f>
        <v>-35</v>
      </c>
      <c r="BB71" s="1574">
        <v>-36</v>
      </c>
      <c r="BC71" s="1573">
        <f>+-44+9</f>
        <v>-35</v>
      </c>
      <c r="BD71" s="1270">
        <f>SUM(AZ71:BC71)</f>
        <v>-139</v>
      </c>
      <c r="BE71" s="1574">
        <v>-34</v>
      </c>
      <c r="BF71" s="1574">
        <f>+-31-3</f>
        <v>-34</v>
      </c>
      <c r="BG71" s="1575">
        <f>+BB71-3</f>
        <v>-39</v>
      </c>
      <c r="BH71" s="1573">
        <f>+BC71-3</f>
        <v>-38</v>
      </c>
      <c r="BI71" s="1270">
        <f>SUM(BE71:BH71)</f>
        <v>-145</v>
      </c>
      <c r="BJ71" s="1575">
        <f>+BE71</f>
        <v>-34</v>
      </c>
      <c r="BK71" s="1575">
        <f>+BF71</f>
        <v>-34</v>
      </c>
      <c r="BL71" s="1575">
        <f>+BG71</f>
        <v>-39</v>
      </c>
      <c r="BM71" s="1575">
        <f>+BH71</f>
        <v>-38</v>
      </c>
      <c r="BN71" s="1270">
        <f>SUM(BJ71:BM71)</f>
        <v>-145</v>
      </c>
      <c r="BO71" s="1575">
        <f>+BJ71</f>
        <v>-34</v>
      </c>
      <c r="BP71" s="1575">
        <f>+BK71</f>
        <v>-34</v>
      </c>
      <c r="BQ71" s="1575">
        <f>+BL71</f>
        <v>-39</v>
      </c>
      <c r="BR71" s="1575">
        <f>+BM71</f>
        <v>-38</v>
      </c>
      <c r="BS71" s="1270">
        <f>SUM(BO71:BR71)</f>
        <v>-145</v>
      </c>
      <c r="BT71" s="1575"/>
      <c r="BU71" s="1575"/>
      <c r="BV71" s="1575"/>
      <c r="BW71" s="1575"/>
      <c r="BX71" s="1270">
        <f>BS71</f>
        <v>-145</v>
      </c>
      <c r="BY71" s="1273">
        <f>BX71</f>
        <v>-145</v>
      </c>
      <c r="BZ71" s="1273">
        <f>BY71</f>
        <v>-145</v>
      </c>
      <c r="CA71" s="1270"/>
      <c r="CF71" s="1322" t="str">
        <f t="shared" ref="CF71:CK73" si="84">+A71</f>
        <v>Unallocated expense, ex one-time items</v>
      </c>
      <c r="CG71" s="722">
        <f t="shared" si="84"/>
        <v>-93</v>
      </c>
      <c r="CH71" s="721">
        <f t="shared" si="84"/>
        <v>-92</v>
      </c>
      <c r="CI71" s="721">
        <f t="shared" si="84"/>
        <v>38</v>
      </c>
      <c r="CJ71" s="721">
        <f t="shared" si="84"/>
        <v>-124</v>
      </c>
      <c r="CK71" s="721">
        <f t="shared" si="84"/>
        <v>-125</v>
      </c>
      <c r="CL71" s="1270">
        <f>+K71</f>
        <v>-163</v>
      </c>
      <c r="CM71" s="1270">
        <f>+P71</f>
        <v>-160</v>
      </c>
      <c r="CN71" s="1270">
        <f>+U71</f>
        <v>-109</v>
      </c>
      <c r="CO71" s="1270">
        <f>+Z71</f>
        <v>-127</v>
      </c>
      <c r="CP71" s="1270">
        <f>+AE71</f>
        <v>-180.70000000000002</v>
      </c>
      <c r="CQ71" s="1270">
        <f>+AJ71</f>
        <v>-177</v>
      </c>
      <c r="CR71" s="1270">
        <f>+AO71</f>
        <v>-202</v>
      </c>
      <c r="CS71" s="1270">
        <f>+AT71</f>
        <v>-135</v>
      </c>
      <c r="CT71" s="1270">
        <f>+AY71</f>
        <v>-151</v>
      </c>
      <c r="CU71" s="1270">
        <f>+BD71</f>
        <v>-139</v>
      </c>
      <c r="CV71" s="1273">
        <f>+BI71</f>
        <v>-145</v>
      </c>
      <c r="CW71" s="1273">
        <f>+BN71</f>
        <v>-145</v>
      </c>
      <c r="CX71" s="1273">
        <f>+BS71</f>
        <v>-145</v>
      </c>
      <c r="CY71" s="1273">
        <f t="shared" ref="CY71:DB73" si="85">+BX71</f>
        <v>-145</v>
      </c>
      <c r="CZ71" s="1273">
        <f t="shared" si="85"/>
        <v>-145</v>
      </c>
      <c r="DA71" s="1273">
        <f t="shared" si="85"/>
        <v>-145</v>
      </c>
      <c r="DB71" s="1273">
        <f t="shared" si="85"/>
        <v>0</v>
      </c>
    </row>
    <row r="72" spans="1:106" s="762" customFormat="1" ht="12" hidden="1" customHeight="1">
      <c r="A72" s="1253" t="s">
        <v>306</v>
      </c>
      <c r="B72" s="1270"/>
      <c r="C72" s="1270"/>
      <c r="D72" s="1270"/>
      <c r="E72" s="1270"/>
      <c r="F72" s="1270"/>
      <c r="G72" s="1319" t="s">
        <v>249</v>
      </c>
      <c r="H72" s="1319" t="s">
        <v>249</v>
      </c>
      <c r="I72" s="1319" t="s">
        <v>249</v>
      </c>
      <c r="J72" s="1276" t="s">
        <v>249</v>
      </c>
      <c r="K72" s="1277">
        <f>SUM(G72:J72)</f>
        <v>0</v>
      </c>
      <c r="L72" s="1319" t="s">
        <v>249</v>
      </c>
      <c r="M72" s="1319" t="s">
        <v>249</v>
      </c>
      <c r="N72" s="1319" t="s">
        <v>249</v>
      </c>
      <c r="O72" s="1278" t="s">
        <v>249</v>
      </c>
      <c r="P72" s="1278">
        <f>SUM(L72:O72)</f>
        <v>0</v>
      </c>
      <c r="Q72" s="1319" t="s">
        <v>249</v>
      </c>
      <c r="R72" s="1319" t="s">
        <v>249</v>
      </c>
      <c r="S72" s="1319" t="s">
        <v>249</v>
      </c>
      <c r="T72" s="1278" t="s">
        <v>249</v>
      </c>
      <c r="U72" s="1278">
        <f>SUM(Q72:T72)</f>
        <v>0</v>
      </c>
      <c r="V72" s="1319" t="s">
        <v>249</v>
      </c>
      <c r="W72" s="1319" t="s">
        <v>249</v>
      </c>
      <c r="X72" s="1319" t="s">
        <v>249</v>
      </c>
      <c r="Y72" s="1278" t="s">
        <v>249</v>
      </c>
      <c r="Z72" s="1270">
        <f>SUM(V72:Y72)</f>
        <v>0</v>
      </c>
      <c r="AA72" s="762">
        <v>0</v>
      </c>
      <c r="AB72" s="762">
        <v>0</v>
      </c>
      <c r="AC72" s="762">
        <v>0</v>
      </c>
      <c r="AD72" s="762">
        <v>0</v>
      </c>
      <c r="AE72" s="1270">
        <f>SUM(AA72:AD72)</f>
        <v>0</v>
      </c>
      <c r="AF72" s="762">
        <v>0</v>
      </c>
      <c r="AG72" s="762">
        <v>0</v>
      </c>
      <c r="AH72" s="762">
        <v>0</v>
      </c>
      <c r="AI72" s="1287">
        <v>0</v>
      </c>
      <c r="AJ72" s="1270">
        <f>SUM(AF72:AI72)</f>
        <v>0</v>
      </c>
      <c r="AK72" s="762">
        <v>29</v>
      </c>
      <c r="AL72" s="762">
        <v>24</v>
      </c>
      <c r="AM72" s="762">
        <v>48</v>
      </c>
      <c r="AN72" s="1287">
        <v>0</v>
      </c>
      <c r="AO72" s="1270">
        <f>SUM(AK72:AN72)</f>
        <v>101</v>
      </c>
      <c r="AP72" s="762">
        <f>44+77</f>
        <v>121</v>
      </c>
      <c r="AQ72" s="762">
        <v>10</v>
      </c>
      <c r="AR72" s="762">
        <v>10</v>
      </c>
      <c r="AS72" s="762">
        <f>36+14</f>
        <v>50</v>
      </c>
      <c r="AT72" s="1270">
        <f>SUM(AP72:AS72)</f>
        <v>191</v>
      </c>
      <c r="AU72" s="762">
        <v>0</v>
      </c>
      <c r="AV72" s="762">
        <v>0</v>
      </c>
      <c r="AW72" s="1576">
        <v>7</v>
      </c>
      <c r="AX72" s="1577">
        <v>10</v>
      </c>
      <c r="AY72" s="1270">
        <f>SUM(AU72:AX72)</f>
        <v>17</v>
      </c>
      <c r="AZ72" s="1578">
        <v>0</v>
      </c>
      <c r="BA72" s="1579">
        <f>-33+12+1+10+12</f>
        <v>2</v>
      </c>
      <c r="BB72" s="1579">
        <f>-86-32</f>
        <v>-118</v>
      </c>
      <c r="BC72" s="1580">
        <f>+-20-25-9</f>
        <v>-54</v>
      </c>
      <c r="BD72" s="1270">
        <f>SUM(AZ72:BC72)</f>
        <v>-170</v>
      </c>
      <c r="BE72" s="1579">
        <f>12-24-3</f>
        <v>-15</v>
      </c>
      <c r="BF72" s="1579">
        <f>29-8-2+3</f>
        <v>22</v>
      </c>
      <c r="BG72" s="1579">
        <v>0</v>
      </c>
      <c r="BH72" s="1580">
        <f>BG72</f>
        <v>0</v>
      </c>
      <c r="BI72" s="1270">
        <f>SUM(BE72:BH72)</f>
        <v>7</v>
      </c>
      <c r="BJ72" s="1578">
        <v>0</v>
      </c>
      <c r="BK72" s="1578">
        <v>0</v>
      </c>
      <c r="BL72" s="1579">
        <v>0</v>
      </c>
      <c r="BM72" s="1578">
        <v>0</v>
      </c>
      <c r="BN72" s="1270">
        <f>SUM(BJ72:BM72)</f>
        <v>0</v>
      </c>
      <c r="BO72" s="1578">
        <v>0</v>
      </c>
      <c r="BP72" s="1578">
        <v>0</v>
      </c>
      <c r="BQ72" s="1578">
        <v>0</v>
      </c>
      <c r="BR72" s="1578">
        <v>0</v>
      </c>
      <c r="BS72" s="1270">
        <f>SUM(BO72:BR72)</f>
        <v>0</v>
      </c>
      <c r="BT72" s="1578"/>
      <c r="BU72" s="1578"/>
      <c r="BV72" s="1578"/>
      <c r="BW72" s="1578"/>
      <c r="BX72" s="1270">
        <v>0</v>
      </c>
      <c r="BY72" s="1273">
        <v>0</v>
      </c>
      <c r="BZ72" s="1273">
        <v>0</v>
      </c>
      <c r="CA72" s="1270"/>
      <c r="CF72" s="1322" t="str">
        <f t="shared" si="84"/>
        <v>One-time items (excluded from Above)</v>
      </c>
      <c r="CG72" s="1290">
        <f t="shared" si="84"/>
        <v>0</v>
      </c>
      <c r="CH72" s="1270">
        <f t="shared" si="84"/>
        <v>0</v>
      </c>
      <c r="CI72" s="1270">
        <f t="shared" si="84"/>
        <v>0</v>
      </c>
      <c r="CJ72" s="1270">
        <f t="shared" si="84"/>
        <v>0</v>
      </c>
      <c r="CK72" s="1270">
        <f t="shared" si="84"/>
        <v>0</v>
      </c>
      <c r="CL72" s="1278">
        <f>+K72</f>
        <v>0</v>
      </c>
      <c r="CM72" s="1270">
        <f>+P72</f>
        <v>0</v>
      </c>
      <c r="CN72" s="1270">
        <f>+U72</f>
        <v>0</v>
      </c>
      <c r="CO72" s="1270">
        <f>+Z72</f>
        <v>0</v>
      </c>
      <c r="CP72" s="1270">
        <f>+AE72</f>
        <v>0</v>
      </c>
      <c r="CQ72" s="1270">
        <f>+AJ72</f>
        <v>0</v>
      </c>
      <c r="CR72" s="1270">
        <f>+AO72</f>
        <v>101</v>
      </c>
      <c r="CS72" s="1270">
        <f>+AT72</f>
        <v>191</v>
      </c>
      <c r="CT72" s="1270">
        <f>+AY72</f>
        <v>17</v>
      </c>
      <c r="CU72" s="1270">
        <f>+BD72</f>
        <v>-170</v>
      </c>
      <c r="CV72" s="1273">
        <f>+BI72</f>
        <v>7</v>
      </c>
      <c r="CW72" s="1273">
        <f>+BN72</f>
        <v>0</v>
      </c>
      <c r="CX72" s="1273">
        <f>+BS72</f>
        <v>0</v>
      </c>
      <c r="CY72" s="1273">
        <f t="shared" si="85"/>
        <v>0</v>
      </c>
      <c r="CZ72" s="1273">
        <f t="shared" si="85"/>
        <v>0</v>
      </c>
      <c r="DA72" s="1273">
        <f t="shared" si="85"/>
        <v>0</v>
      </c>
      <c r="DB72" s="1273">
        <f t="shared" si="85"/>
        <v>0</v>
      </c>
    </row>
    <row r="73" spans="1:106" s="762" customFormat="1" ht="12" hidden="1" customHeight="1">
      <c r="A73" s="1253" t="s">
        <v>307</v>
      </c>
      <c r="B73" s="1270"/>
      <c r="C73" s="1270"/>
      <c r="D73" s="1270"/>
      <c r="E73" s="1270"/>
      <c r="F73" s="1270"/>
      <c r="G73" s="1319"/>
      <c r="H73" s="1319"/>
      <c r="I73" s="1319"/>
      <c r="J73" s="1276"/>
      <c r="K73" s="1277"/>
      <c r="L73" s="1319"/>
      <c r="M73" s="1319"/>
      <c r="N73" s="1319"/>
      <c r="O73" s="1276"/>
      <c r="P73" s="1277"/>
      <c r="Q73" s="1319"/>
      <c r="R73" s="1319"/>
      <c r="S73" s="1319"/>
      <c r="T73" s="1276"/>
      <c r="U73" s="1277"/>
      <c r="V73" s="1319"/>
      <c r="W73" s="1319"/>
      <c r="X73" s="1319"/>
      <c r="Y73" s="1276"/>
      <c r="Z73" s="1270"/>
      <c r="AE73" s="1270"/>
      <c r="AI73" s="1287"/>
      <c r="AJ73" s="1270"/>
      <c r="AK73" s="762">
        <f t="shared" ref="AK73:BZ73" si="86">+AK71-AK72</f>
        <v>-75</v>
      </c>
      <c r="AL73" s="762">
        <f t="shared" si="86"/>
        <v>-71</v>
      </c>
      <c r="AM73" s="762">
        <f t="shared" si="86"/>
        <v>-95</v>
      </c>
      <c r="AN73" s="762">
        <f t="shared" si="86"/>
        <v>-62</v>
      </c>
      <c r="AO73" s="1270">
        <f t="shared" si="86"/>
        <v>-303</v>
      </c>
      <c r="AP73" s="762">
        <f t="shared" si="86"/>
        <v>-145</v>
      </c>
      <c r="AQ73" s="762">
        <f t="shared" si="86"/>
        <v>-41</v>
      </c>
      <c r="AR73" s="762">
        <f t="shared" si="86"/>
        <v>-49</v>
      </c>
      <c r="AS73" s="762">
        <f t="shared" si="86"/>
        <v>-91</v>
      </c>
      <c r="AT73" s="1270">
        <f t="shared" si="86"/>
        <v>-326</v>
      </c>
      <c r="AU73" s="762">
        <f t="shared" si="86"/>
        <v>-33.5</v>
      </c>
      <c r="AV73" s="762">
        <f t="shared" si="86"/>
        <v>-46.5</v>
      </c>
      <c r="AW73" s="762">
        <f t="shared" si="86"/>
        <v>-38</v>
      </c>
      <c r="AX73" s="762">
        <f t="shared" si="86"/>
        <v>-50</v>
      </c>
      <c r="AY73" s="1270">
        <f t="shared" si="86"/>
        <v>-168</v>
      </c>
      <c r="AZ73" s="762">
        <f t="shared" si="86"/>
        <v>-33</v>
      </c>
      <c r="BA73" s="762">
        <f t="shared" si="86"/>
        <v>-37</v>
      </c>
      <c r="BB73" s="762">
        <f t="shared" si="86"/>
        <v>82</v>
      </c>
      <c r="BC73" s="762">
        <f t="shared" si="86"/>
        <v>19</v>
      </c>
      <c r="BD73" s="1270">
        <f>SUM(AZ73:BC73)</f>
        <v>31</v>
      </c>
      <c r="BE73" s="762">
        <f t="shared" si="86"/>
        <v>-19</v>
      </c>
      <c r="BF73" s="762">
        <f t="shared" si="86"/>
        <v>-56</v>
      </c>
      <c r="BG73" s="762">
        <f t="shared" si="86"/>
        <v>-39</v>
      </c>
      <c r="BH73" s="762">
        <f t="shared" si="86"/>
        <v>-38</v>
      </c>
      <c r="BI73" s="1270">
        <f>SUM(BE73:BH73)</f>
        <v>-152</v>
      </c>
      <c r="BJ73" s="762">
        <f t="shared" si="86"/>
        <v>-34</v>
      </c>
      <c r="BK73" s="762">
        <f t="shared" si="86"/>
        <v>-34</v>
      </c>
      <c r="BL73" s="762">
        <f t="shared" si="86"/>
        <v>-39</v>
      </c>
      <c r="BM73" s="762">
        <f t="shared" si="86"/>
        <v>-38</v>
      </c>
      <c r="BN73" s="1270">
        <f>SUM(BJ73:BM73)</f>
        <v>-145</v>
      </c>
      <c r="BO73" s="762">
        <f t="shared" si="86"/>
        <v>-34</v>
      </c>
      <c r="BP73" s="762">
        <f t="shared" si="86"/>
        <v>-34</v>
      </c>
      <c r="BQ73" s="762">
        <f t="shared" si="86"/>
        <v>-39</v>
      </c>
      <c r="BR73" s="762">
        <f t="shared" si="86"/>
        <v>-38</v>
      </c>
      <c r="BS73" s="1270">
        <f>SUM(BO73:BR73)</f>
        <v>-145</v>
      </c>
      <c r="BX73" s="1270">
        <f t="shared" si="86"/>
        <v>-145</v>
      </c>
      <c r="BY73" s="1273">
        <f t="shared" si="86"/>
        <v>-145</v>
      </c>
      <c r="BZ73" s="1273">
        <f t="shared" si="86"/>
        <v>-145</v>
      </c>
      <c r="CA73" s="1270"/>
      <c r="CF73" s="1322" t="str">
        <f t="shared" si="84"/>
        <v>Reported unallocated</v>
      </c>
      <c r="CG73" s="1287">
        <f t="shared" si="84"/>
        <v>0</v>
      </c>
      <c r="CH73" s="1287">
        <f t="shared" si="84"/>
        <v>0</v>
      </c>
      <c r="CI73" s="1287">
        <f t="shared" si="84"/>
        <v>0</v>
      </c>
      <c r="CJ73" s="1287">
        <f t="shared" si="84"/>
        <v>0</v>
      </c>
      <c r="CK73" s="1287">
        <f t="shared" si="84"/>
        <v>0</v>
      </c>
      <c r="CL73" s="1278">
        <f>+K73</f>
        <v>0</v>
      </c>
      <c r="CM73" s="1270">
        <f>+P73</f>
        <v>0</v>
      </c>
      <c r="CN73" s="1270">
        <f>+U73</f>
        <v>0</v>
      </c>
      <c r="CO73" s="1270">
        <f>+Z73</f>
        <v>0</v>
      </c>
      <c r="CP73" s="1270">
        <f>+AE73</f>
        <v>0</v>
      </c>
      <c r="CQ73" s="1270">
        <f>+AJ73</f>
        <v>0</v>
      </c>
      <c r="CR73" s="1270">
        <f>+AO73</f>
        <v>-303</v>
      </c>
      <c r="CS73" s="1270">
        <f>+AT73</f>
        <v>-326</v>
      </c>
      <c r="CT73" s="1270">
        <f>+AY73</f>
        <v>-168</v>
      </c>
      <c r="CU73" s="1270">
        <f>+BD73</f>
        <v>31</v>
      </c>
      <c r="CV73" s="1273">
        <f>+BI73</f>
        <v>-152</v>
      </c>
      <c r="CW73" s="1273">
        <f>+BN73</f>
        <v>-145</v>
      </c>
      <c r="CX73" s="1273">
        <f>+BS73</f>
        <v>-145</v>
      </c>
      <c r="CY73" s="1273">
        <f t="shared" si="85"/>
        <v>-145</v>
      </c>
      <c r="CZ73" s="1273">
        <f t="shared" si="85"/>
        <v>-145</v>
      </c>
      <c r="DA73" s="1273">
        <f t="shared" si="85"/>
        <v>-145</v>
      </c>
      <c r="DB73" s="1273">
        <f t="shared" si="85"/>
        <v>0</v>
      </c>
    </row>
    <row r="74" spans="1:106" ht="11.25" hidden="1" customHeight="1">
      <c r="A74" s="1286"/>
      <c r="B74" s="1423"/>
      <c r="C74" s="1423"/>
      <c r="D74" s="1423"/>
      <c r="E74" s="1423"/>
      <c r="F74" s="1423"/>
      <c r="G74" s="1286"/>
      <c r="H74" s="1286"/>
      <c r="I74" s="1286"/>
      <c r="J74" s="1286"/>
      <c r="K74" s="1423"/>
      <c r="L74" s="1286"/>
      <c r="M74" s="1286"/>
      <c r="N74" s="1286"/>
      <c r="O74" s="1286"/>
      <c r="P74" s="1423"/>
      <c r="Q74" s="1286"/>
      <c r="R74" s="1286"/>
      <c r="S74" s="1286"/>
      <c r="T74" s="1286"/>
      <c r="U74" s="1423"/>
      <c r="V74" s="1286"/>
      <c r="W74" s="1286"/>
      <c r="X74" s="1286"/>
      <c r="Y74" s="1286"/>
      <c r="Z74" s="1423"/>
      <c r="AA74" s="1286"/>
      <c r="AB74" s="1286"/>
      <c r="AC74" s="1286"/>
      <c r="AD74" s="1286"/>
      <c r="AE74" s="1423"/>
      <c r="AF74" s="1286"/>
      <c r="AG74" s="1286"/>
      <c r="AH74" s="1286"/>
      <c r="AI74" s="1286"/>
      <c r="AJ74" s="1423"/>
      <c r="AK74" s="1286"/>
      <c r="AL74" s="1286"/>
      <c r="AM74" s="1286"/>
      <c r="AN74" s="1286"/>
      <c r="AO74" s="1423"/>
      <c r="AP74" s="1286"/>
      <c r="AQ74" s="1286"/>
      <c r="AR74" s="1286"/>
      <c r="AS74" s="1286"/>
      <c r="AT74" s="1423"/>
      <c r="AU74" s="1286"/>
      <c r="AV74" s="1286"/>
      <c r="AW74" s="1286"/>
      <c r="AX74" s="1286"/>
      <c r="AY74" s="1423"/>
      <c r="AZ74" s="1537"/>
      <c r="BA74" s="1286"/>
      <c r="BB74" s="1287"/>
      <c r="BC74" s="1287"/>
      <c r="BD74" s="1423"/>
      <c r="BE74" s="1286"/>
      <c r="BF74" s="1286"/>
      <c r="BG74" s="1286"/>
      <c r="BH74" s="1287"/>
      <c r="BI74" s="1423"/>
      <c r="BJ74" s="1286"/>
      <c r="BK74" s="1286"/>
      <c r="BL74" s="1286"/>
      <c r="BM74" s="1286"/>
      <c r="BN74" s="1423"/>
      <c r="BO74" s="1286"/>
      <c r="BP74" s="1286"/>
      <c r="BQ74" s="1286"/>
      <c r="BR74" s="1286"/>
      <c r="BS74" s="1423"/>
      <c r="BT74" s="1286"/>
      <c r="BU74" s="1286"/>
      <c r="BV74" s="1286"/>
      <c r="BW74" s="1286"/>
      <c r="BX74" s="1423"/>
      <c r="BY74" s="1425"/>
      <c r="BZ74" s="1425"/>
      <c r="CA74" s="1423"/>
      <c r="CF74" s="1423"/>
      <c r="CG74" s="1286"/>
      <c r="CH74" s="1286"/>
      <c r="CI74" s="1286"/>
      <c r="CJ74" s="1286"/>
      <c r="CK74" s="1286"/>
      <c r="CL74" s="1423"/>
      <c r="CM74" s="1423"/>
      <c r="CN74" s="1423"/>
      <c r="CO74" s="1423"/>
      <c r="CP74" s="1423"/>
      <c r="CQ74" s="1423"/>
      <c r="CR74" s="1423"/>
      <c r="CS74" s="1423"/>
      <c r="CT74" s="1423"/>
      <c r="CU74" s="1423"/>
      <c r="CV74" s="1425"/>
      <c r="CW74" s="1425"/>
      <c r="CX74" s="1425"/>
      <c r="CY74" s="1425"/>
      <c r="CZ74" s="1425"/>
      <c r="DA74" s="1425"/>
      <c r="DB74" s="1425"/>
    </row>
    <row r="75" spans="1:106" s="768" customFormat="1" ht="12" hidden="1" customHeight="1">
      <c r="A75" s="1562" t="s">
        <v>308</v>
      </c>
      <c r="B75" s="1563"/>
      <c r="C75" s="1563"/>
      <c r="D75" s="1563"/>
      <c r="E75" s="1563"/>
      <c r="F75" s="1563"/>
      <c r="G75" s="1507"/>
      <c r="H75" s="1507"/>
      <c r="I75" s="1507"/>
      <c r="J75" s="1564"/>
      <c r="K75" s="1565"/>
      <c r="L75" s="1566"/>
      <c r="M75" s="1507"/>
      <c r="N75" s="1507"/>
      <c r="O75" s="1564"/>
      <c r="P75" s="1565"/>
      <c r="Q75" s="1566"/>
      <c r="R75" s="1507"/>
      <c r="S75" s="1507"/>
      <c r="T75" s="1564"/>
      <c r="U75" s="1565"/>
      <c r="V75" s="1566"/>
      <c r="W75" s="1507"/>
      <c r="X75" s="1507"/>
      <c r="Y75" s="1564"/>
      <c r="Z75" s="1565"/>
      <c r="AA75" s="1566"/>
      <c r="AB75" s="1507"/>
      <c r="AC75" s="1507"/>
      <c r="AD75" s="1564"/>
      <c r="AE75" s="1565"/>
      <c r="AF75" s="1567"/>
      <c r="AG75" s="1567"/>
      <c r="AH75" s="1567"/>
      <c r="AI75" s="1567">
        <f>AI30-AI137</f>
        <v>762</v>
      </c>
      <c r="AJ75" s="1563">
        <f>AJ30-AJ137</f>
        <v>3831</v>
      </c>
      <c r="AK75" s="1567">
        <f>+AK69-AK71</f>
        <v>724</v>
      </c>
      <c r="AL75" s="1567">
        <f>+AL69-AL71</f>
        <v>725</v>
      </c>
      <c r="AM75" s="1567">
        <f>+AM69-AM71</f>
        <v>760</v>
      </c>
      <c r="AN75" s="1567">
        <f>+AN69-AN71</f>
        <v>856</v>
      </c>
      <c r="AO75" s="1563">
        <f>+AO69-AO71</f>
        <v>3065</v>
      </c>
      <c r="AP75" s="1567">
        <f t="shared" ref="AP75:AZ75" si="87">+AP69-AP71</f>
        <v>782</v>
      </c>
      <c r="AQ75" s="1567">
        <f t="shared" si="87"/>
        <v>804</v>
      </c>
      <c r="AR75" s="1567">
        <f t="shared" si="87"/>
        <v>768</v>
      </c>
      <c r="AS75" s="1567">
        <f t="shared" si="87"/>
        <v>858</v>
      </c>
      <c r="AT75" s="1563">
        <f t="shared" si="87"/>
        <v>3212</v>
      </c>
      <c r="AU75" s="1567">
        <f t="shared" si="87"/>
        <v>775.5</v>
      </c>
      <c r="AV75" s="1567">
        <f t="shared" si="87"/>
        <v>827.5</v>
      </c>
      <c r="AW75" s="1567">
        <f t="shared" si="87"/>
        <v>787</v>
      </c>
      <c r="AX75" s="1567">
        <f t="shared" si="87"/>
        <v>846</v>
      </c>
      <c r="AY75" s="1563">
        <f t="shared" si="87"/>
        <v>3236</v>
      </c>
      <c r="AZ75" s="1567">
        <f t="shared" si="87"/>
        <v>778</v>
      </c>
      <c r="BA75" s="1567">
        <f t="shared" ref="BA75:BZ75" si="88">+BA69-BA73</f>
        <v>790</v>
      </c>
      <c r="BB75" s="1567">
        <f t="shared" si="88"/>
        <v>678</v>
      </c>
      <c r="BC75" s="1567">
        <f t="shared" si="88"/>
        <v>844</v>
      </c>
      <c r="BD75" s="1563">
        <f t="shared" si="88"/>
        <v>3090</v>
      </c>
      <c r="BE75" s="1567">
        <f t="shared" si="88"/>
        <v>799</v>
      </c>
      <c r="BF75" s="1567">
        <f t="shared" si="88"/>
        <v>875</v>
      </c>
      <c r="BG75" s="1567">
        <f t="shared" si="88"/>
        <v>835</v>
      </c>
      <c r="BH75" s="1567">
        <f t="shared" si="88"/>
        <v>839</v>
      </c>
      <c r="BI75" s="1563">
        <f t="shared" si="88"/>
        <v>3348</v>
      </c>
      <c r="BJ75" s="1567">
        <f t="shared" si="88"/>
        <v>794</v>
      </c>
      <c r="BK75" s="1567">
        <f t="shared" si="88"/>
        <v>827</v>
      </c>
      <c r="BL75" s="1567">
        <f t="shared" si="88"/>
        <v>829</v>
      </c>
      <c r="BM75" s="1567">
        <f t="shared" si="88"/>
        <v>863</v>
      </c>
      <c r="BN75" s="1563">
        <f t="shared" si="88"/>
        <v>3313</v>
      </c>
      <c r="BO75" s="1567">
        <f t="shared" si="88"/>
        <v>848</v>
      </c>
      <c r="BP75" s="1567">
        <f t="shared" si="88"/>
        <v>889.89789982077036</v>
      </c>
      <c r="BQ75" s="1567">
        <f t="shared" si="88"/>
        <v>886.13508444790227</v>
      </c>
      <c r="BR75" s="1567">
        <f t="shared" si="88"/>
        <v>902.41445517630666</v>
      </c>
      <c r="BS75" s="1563">
        <f t="shared" si="88"/>
        <v>3526.4474394449794</v>
      </c>
      <c r="BT75" s="1567"/>
      <c r="BU75" s="1567"/>
      <c r="BV75" s="1567"/>
      <c r="BW75" s="1567"/>
      <c r="BX75" s="1563">
        <f t="shared" si="88"/>
        <v>3674.1554839037367</v>
      </c>
      <c r="BY75" s="1568">
        <f t="shared" si="88"/>
        <v>3814.3359778904942</v>
      </c>
      <c r="BZ75" s="1568">
        <f t="shared" si="88"/>
        <v>3954.0153124196063</v>
      </c>
      <c r="CA75" s="1563"/>
      <c r="CB75" s="1569"/>
      <c r="CF75" s="1570" t="str">
        <f t="shared" ref="CF75:CF81" si="89">+A75</f>
        <v>Total (IS)</v>
      </c>
      <c r="CG75" s="1571"/>
      <c r="CH75" s="1563"/>
      <c r="CI75" s="1563"/>
      <c r="CJ75" s="1563"/>
      <c r="CK75" s="1563"/>
      <c r="CL75" s="1565"/>
      <c r="CM75" s="1565"/>
      <c r="CN75" s="1565"/>
      <c r="CO75" s="1565"/>
      <c r="CP75" s="1565"/>
      <c r="CQ75" s="1563">
        <f>+AJ75</f>
        <v>3831</v>
      </c>
      <c r="CR75" s="1563">
        <f>+AO75</f>
        <v>3065</v>
      </c>
      <c r="CS75" s="1563">
        <f>+AT75</f>
        <v>3212</v>
      </c>
      <c r="CT75" s="1563">
        <f>+AY75</f>
        <v>3236</v>
      </c>
      <c r="CU75" s="1563">
        <f>+BD75</f>
        <v>3090</v>
      </c>
      <c r="CV75" s="1568">
        <f>+BI75</f>
        <v>3348</v>
      </c>
      <c r="CW75" s="1568">
        <f>+BN75</f>
        <v>3313</v>
      </c>
      <c r="CX75" s="1568">
        <f>+BS75</f>
        <v>3526.4474394449794</v>
      </c>
      <c r="CY75" s="1568">
        <f>+BX75</f>
        <v>3674.1554839037367</v>
      </c>
      <c r="CZ75" s="1568">
        <f>+BY75</f>
        <v>3814.3359778904942</v>
      </c>
      <c r="DA75" s="1568">
        <f>+BZ75</f>
        <v>3954.0153124196063</v>
      </c>
      <c r="DB75" s="1568">
        <f>+CA75</f>
        <v>0</v>
      </c>
    </row>
    <row r="76" spans="1:106" s="1286" customFormat="1" ht="11.25" customHeight="1">
      <c r="A76" s="2295" t="s">
        <v>529</v>
      </c>
      <c r="B76" s="1515"/>
      <c r="C76" s="1515"/>
      <c r="D76" s="1515"/>
      <c r="E76" s="1515"/>
      <c r="F76" s="1515"/>
      <c r="G76" s="1516"/>
      <c r="H76" s="1516"/>
      <c r="I76" s="1516"/>
      <c r="J76" s="1516"/>
      <c r="K76" s="1516"/>
      <c r="L76" s="1516"/>
      <c r="M76" s="1516"/>
      <c r="N76" s="1516"/>
      <c r="O76" s="1516"/>
      <c r="P76" s="1516"/>
      <c r="Q76" s="1516"/>
      <c r="R76" s="1516"/>
      <c r="S76" s="1516"/>
      <c r="T76" s="1516"/>
      <c r="U76" s="1516"/>
      <c r="V76" s="1515"/>
      <c r="W76" s="1515"/>
      <c r="X76" s="1515"/>
      <c r="Y76" s="1515"/>
      <c r="Z76" s="1515"/>
      <c r="AA76" s="1515"/>
      <c r="AB76" s="1515"/>
      <c r="AC76" s="1515"/>
      <c r="AD76" s="1515"/>
      <c r="AE76" s="1515"/>
      <c r="AF76" s="1515"/>
      <c r="AG76" s="1515"/>
      <c r="AH76" s="1515"/>
      <c r="AI76" s="1515"/>
      <c r="AJ76" s="1515"/>
      <c r="AK76" s="1515"/>
      <c r="AL76" s="1515"/>
      <c r="AM76" s="1515"/>
      <c r="AN76" s="1515"/>
      <c r="AO76" s="1515"/>
      <c r="AP76" s="1515"/>
      <c r="AQ76" s="1515"/>
      <c r="AR76" s="1515"/>
      <c r="AS76" s="1515"/>
      <c r="AT76" s="1515"/>
      <c r="AU76" s="1515"/>
      <c r="AV76" s="1515"/>
      <c r="AW76" s="1515"/>
      <c r="AX76" s="1515"/>
      <c r="AY76" s="1515"/>
      <c r="AZ76" s="1515"/>
      <c r="BA76" s="1515"/>
      <c r="BB76" s="1515"/>
      <c r="BC76" s="1515"/>
      <c r="BD76" s="1515"/>
      <c r="BE76" s="1515"/>
      <c r="BF76" s="1515"/>
      <c r="BG76" s="1515"/>
      <c r="BH76" s="1515"/>
      <c r="BI76" s="1515"/>
      <c r="BJ76" s="1515"/>
      <c r="BK76" s="1515"/>
      <c r="BL76" s="1515"/>
      <c r="BM76" s="1515"/>
      <c r="BN76" s="1515"/>
      <c r="BO76" s="1515"/>
      <c r="BP76" s="1515"/>
      <c r="BQ76" s="1515"/>
      <c r="BR76" s="1515"/>
      <c r="BS76" s="1515"/>
      <c r="BT76" s="1515"/>
      <c r="BU76" s="1515"/>
      <c r="BV76" s="1515"/>
      <c r="BW76" s="1515"/>
      <c r="BX76" s="1515"/>
      <c r="BY76" s="1517"/>
      <c r="BZ76" s="1517"/>
      <c r="CA76" s="1517"/>
      <c r="CF76" s="2297" t="str">
        <f t="shared" si="89"/>
        <v>Op Income/Margin</v>
      </c>
      <c r="CG76" s="1515"/>
      <c r="CH76" s="1515"/>
      <c r="CI76" s="1515"/>
      <c r="CJ76" s="1515"/>
      <c r="CK76" s="1515"/>
      <c r="CL76" s="1516"/>
      <c r="CM76" s="1515"/>
      <c r="CN76" s="1515"/>
      <c r="CO76" s="1515"/>
      <c r="CP76" s="1515"/>
      <c r="CQ76" s="1515"/>
      <c r="CR76" s="1515"/>
      <c r="CS76" s="1515"/>
      <c r="CT76" s="1515"/>
      <c r="CU76" s="1515"/>
      <c r="CV76" s="1515"/>
      <c r="CW76" s="1515"/>
      <c r="CX76" s="1515"/>
      <c r="CY76" s="1515"/>
      <c r="CZ76" s="1517"/>
      <c r="DA76" s="1517"/>
      <c r="DB76" s="1517"/>
    </row>
    <row r="77" spans="1:106" s="1286" customFormat="1" ht="11.25" customHeight="1">
      <c r="A77" s="2296"/>
      <c r="B77" s="1518"/>
      <c r="C77" s="1518"/>
      <c r="D77" s="1518"/>
      <c r="E77" s="1518"/>
      <c r="F77" s="1518"/>
      <c r="G77" s="1519"/>
      <c r="H77" s="1519"/>
      <c r="I77" s="1519"/>
      <c r="J77" s="1519"/>
      <c r="K77" s="1519"/>
      <c r="L77" s="1519"/>
      <c r="M77" s="1519"/>
      <c r="N77" s="1519"/>
      <c r="O77" s="1519"/>
      <c r="P77" s="1519"/>
      <c r="Q77" s="1519"/>
      <c r="R77" s="1519"/>
      <c r="S77" s="1519"/>
      <c r="T77" s="1519"/>
      <c r="U77" s="1519"/>
      <c r="V77" s="1518"/>
      <c r="W77" s="1518"/>
      <c r="X77" s="1518"/>
      <c r="Y77" s="1518"/>
      <c r="Z77" s="1518"/>
      <c r="AA77" s="1518"/>
      <c r="AB77" s="1518"/>
      <c r="AC77" s="1518"/>
      <c r="AD77" s="1518"/>
      <c r="AE77" s="1518"/>
      <c r="AF77" s="1518"/>
      <c r="AG77" s="1518"/>
      <c r="AH77" s="1518"/>
      <c r="AI77" s="1518"/>
      <c r="AJ77" s="1518"/>
      <c r="AK77" s="1518"/>
      <c r="AL77" s="1518"/>
      <c r="AM77" s="1518"/>
      <c r="AN77" s="1518"/>
      <c r="AO77" s="1518"/>
      <c r="AP77" s="1518"/>
      <c r="AQ77" s="1518"/>
      <c r="AR77" s="1518"/>
      <c r="AS77" s="1518"/>
      <c r="AT77" s="1518"/>
      <c r="AU77" s="1518"/>
      <c r="AV77" s="1518"/>
      <c r="AW77" s="1518"/>
      <c r="AX77" s="1518"/>
      <c r="AY77" s="1518"/>
      <c r="AZ77" s="1518"/>
      <c r="BA77" s="1581"/>
      <c r="BB77" s="1518"/>
      <c r="BC77" s="1518"/>
      <c r="BD77" s="1518"/>
      <c r="BE77" s="1518"/>
      <c r="BF77" s="1581"/>
      <c r="BG77" s="1518"/>
      <c r="BH77" s="1518"/>
      <c r="BI77" s="1518"/>
      <c r="BJ77" s="1518"/>
      <c r="BK77" s="1518"/>
      <c r="BL77" s="1518"/>
      <c r="BM77" s="1518"/>
      <c r="BN77" s="1518"/>
      <c r="BO77" s="1518"/>
      <c r="BP77" s="1518"/>
      <c r="BQ77" s="1518"/>
      <c r="BR77" s="1518"/>
      <c r="BS77" s="1518"/>
      <c r="BT77" s="1518"/>
      <c r="BU77" s="1518"/>
      <c r="BV77" s="1518"/>
      <c r="BW77" s="1518"/>
      <c r="BX77" s="1518"/>
      <c r="BY77" s="1520"/>
      <c r="BZ77" s="1520"/>
      <c r="CA77" s="1520"/>
      <c r="CF77" s="2298">
        <f t="shared" si="89"/>
        <v>0</v>
      </c>
      <c r="CG77" s="1518"/>
      <c r="CH77" s="1518"/>
      <c r="CI77" s="1518"/>
      <c r="CJ77" s="1518"/>
      <c r="CK77" s="1518"/>
      <c r="CL77" s="1519"/>
      <c r="CM77" s="1518"/>
      <c r="CN77" s="1518"/>
      <c r="CO77" s="1518"/>
      <c r="CP77" s="1518"/>
      <c r="CQ77" s="1518"/>
      <c r="CR77" s="1518"/>
      <c r="CS77" s="1518"/>
      <c r="CT77" s="1518"/>
      <c r="CU77" s="1518"/>
      <c r="CV77" s="1518"/>
      <c r="CW77" s="1518"/>
      <c r="CX77" s="1518"/>
      <c r="CY77" s="1518"/>
      <c r="CZ77" s="1520"/>
      <c r="DA77" s="1520"/>
      <c r="DB77" s="1520"/>
    </row>
    <row r="78" spans="1:106" ht="12" customHeight="1">
      <c r="A78" s="1412" t="s">
        <v>57</v>
      </c>
      <c r="B78" s="1413">
        <v>2001</v>
      </c>
      <c r="C78" s="1413">
        <v>2002</v>
      </c>
      <c r="D78" s="1413">
        <v>2003</v>
      </c>
      <c r="E78" s="1413">
        <v>2004</v>
      </c>
      <c r="F78" s="1413">
        <v>2005</v>
      </c>
      <c r="G78" s="1414" t="s">
        <v>0</v>
      </c>
      <c r="H78" s="1414" t="s">
        <v>1</v>
      </c>
      <c r="I78" s="1414" t="s">
        <v>2</v>
      </c>
      <c r="J78" s="1414" t="s">
        <v>3</v>
      </c>
      <c r="K78" s="1415">
        <v>2006</v>
      </c>
      <c r="L78" s="1414" t="s">
        <v>4</v>
      </c>
      <c r="M78" s="1414" t="s">
        <v>5</v>
      </c>
      <c r="N78" s="1414" t="s">
        <v>6</v>
      </c>
      <c r="O78" s="1414" t="s">
        <v>7</v>
      </c>
      <c r="P78" s="1415">
        <v>2007</v>
      </c>
      <c r="Q78" s="1414" t="s">
        <v>8</v>
      </c>
      <c r="R78" s="1414" t="s">
        <v>9</v>
      </c>
      <c r="S78" s="1414" t="s">
        <v>10</v>
      </c>
      <c r="T78" s="1414" t="s">
        <v>11</v>
      </c>
      <c r="U78" s="1415">
        <v>2008</v>
      </c>
      <c r="V78" s="1414" t="s">
        <v>12</v>
      </c>
      <c r="W78" s="1414" t="s">
        <v>13</v>
      </c>
      <c r="X78" s="1414" t="s">
        <v>14</v>
      </c>
      <c r="Y78" s="1414" t="s">
        <v>15</v>
      </c>
      <c r="Z78" s="1415">
        <v>2009</v>
      </c>
      <c r="AA78" s="1414" t="s">
        <v>16</v>
      </c>
      <c r="AB78" s="1414" t="s">
        <v>17</v>
      </c>
      <c r="AC78" s="1414" t="s">
        <v>18</v>
      </c>
      <c r="AD78" s="1414" t="s">
        <v>19</v>
      </c>
      <c r="AE78" s="1415">
        <v>2010</v>
      </c>
      <c r="AF78" s="1414" t="s">
        <v>20</v>
      </c>
      <c r="AG78" s="1414" t="s">
        <v>21</v>
      </c>
      <c r="AH78" s="1414" t="s">
        <v>22</v>
      </c>
      <c r="AI78" s="1414" t="s">
        <v>23</v>
      </c>
      <c r="AJ78" s="1415">
        <v>2011</v>
      </c>
      <c r="AK78" s="1414" t="s">
        <v>24</v>
      </c>
      <c r="AL78" s="1414" t="str">
        <f>AL9</f>
        <v>2Q12</v>
      </c>
      <c r="AM78" s="1414" t="str">
        <f>AM9</f>
        <v>3Q12</v>
      </c>
      <c r="AN78" s="1414" t="str">
        <f>AN9</f>
        <v>4Q12</v>
      </c>
      <c r="AO78" s="1415">
        <f>AO9</f>
        <v>2012</v>
      </c>
      <c r="AP78" s="1414" t="s">
        <v>309</v>
      </c>
      <c r="AQ78" s="1414" t="s">
        <v>310</v>
      </c>
      <c r="AR78" s="1414" t="s">
        <v>311</v>
      </c>
      <c r="AS78" s="1414" t="s">
        <v>312</v>
      </c>
      <c r="AT78" s="1415">
        <f t="shared" ref="AT78:CA78" si="90">AT9</f>
        <v>2013</v>
      </c>
      <c r="AU78" s="1414" t="str">
        <f t="shared" si="90"/>
        <v>1Q14</v>
      </c>
      <c r="AV78" s="1414" t="str">
        <f t="shared" si="90"/>
        <v>2Q14</v>
      </c>
      <c r="AW78" s="1414" t="str">
        <f t="shared" si="90"/>
        <v>3Q14</v>
      </c>
      <c r="AX78" s="1414" t="str">
        <f t="shared" si="90"/>
        <v>4Q14</v>
      </c>
      <c r="AY78" s="1415">
        <f t="shared" si="90"/>
        <v>2014</v>
      </c>
      <c r="AZ78" s="1414" t="str">
        <f t="shared" si="90"/>
        <v>1Q15</v>
      </c>
      <c r="BA78" s="1414" t="str">
        <f t="shared" si="90"/>
        <v>2Q15</v>
      </c>
      <c r="BB78" s="1414" t="str">
        <f t="shared" si="90"/>
        <v>3Q15</v>
      </c>
      <c r="BC78" s="1414" t="str">
        <f t="shared" si="90"/>
        <v>4Q15</v>
      </c>
      <c r="BD78" s="1415">
        <f t="shared" si="90"/>
        <v>2015</v>
      </c>
      <c r="BE78" s="1414" t="str">
        <f t="shared" si="90"/>
        <v>1Q16</v>
      </c>
      <c r="BF78" s="1414" t="str">
        <f t="shared" si="90"/>
        <v>2Q16</v>
      </c>
      <c r="BG78" s="1414" t="str">
        <f t="shared" si="90"/>
        <v>3Q16</v>
      </c>
      <c r="BH78" s="1414" t="str">
        <f t="shared" si="90"/>
        <v>4Q16</v>
      </c>
      <c r="BI78" s="1415">
        <f t="shared" si="90"/>
        <v>2016</v>
      </c>
      <c r="BJ78" s="1414" t="str">
        <f t="shared" si="90"/>
        <v>1Q17</v>
      </c>
      <c r="BK78" s="1414" t="str">
        <f t="shared" si="90"/>
        <v>2Q17</v>
      </c>
      <c r="BL78" s="1414" t="str">
        <f t="shared" si="90"/>
        <v>3Q17</v>
      </c>
      <c r="BM78" s="1414" t="str">
        <f t="shared" si="90"/>
        <v>4Q17</v>
      </c>
      <c r="BN78" s="1415">
        <f t="shared" si="90"/>
        <v>2017</v>
      </c>
      <c r="BO78" s="1414" t="str">
        <f t="shared" si="90"/>
        <v>1Q18E</v>
      </c>
      <c r="BP78" s="1414" t="str">
        <f t="shared" si="90"/>
        <v>2Q18E</v>
      </c>
      <c r="BQ78" s="1414" t="str">
        <f t="shared" si="90"/>
        <v>3Q18E</v>
      </c>
      <c r="BR78" s="1414" t="str">
        <f t="shared" si="90"/>
        <v>4Q18E</v>
      </c>
      <c r="BS78" s="1415" t="str">
        <f t="shared" si="90"/>
        <v>2018E</v>
      </c>
      <c r="BT78" s="1414" t="str">
        <f t="shared" si="90"/>
        <v>1Q19E</v>
      </c>
      <c r="BU78" s="1414" t="str">
        <f t="shared" si="90"/>
        <v>2Q19E</v>
      </c>
      <c r="BV78" s="1414" t="str">
        <f t="shared" si="90"/>
        <v>3Q19E</v>
      </c>
      <c r="BW78" s="1414" t="str">
        <f t="shared" si="90"/>
        <v>4Q19E</v>
      </c>
      <c r="BX78" s="1415" t="str">
        <f t="shared" si="90"/>
        <v>2019E</v>
      </c>
      <c r="BY78" s="1417" t="str">
        <f t="shared" si="90"/>
        <v>2020E</v>
      </c>
      <c r="BZ78" s="1417" t="str">
        <f t="shared" si="90"/>
        <v>2021E</v>
      </c>
      <c r="CA78" s="1417" t="str">
        <f t="shared" si="90"/>
        <v>2022E</v>
      </c>
      <c r="CB78" s="1411"/>
      <c r="CF78" s="1582" t="str">
        <f t="shared" si="89"/>
        <v>Fiscal Year Ending December 31</v>
      </c>
      <c r="CG78" s="1413">
        <f>+B78</f>
        <v>2001</v>
      </c>
      <c r="CH78" s="1413">
        <f>+C78</f>
        <v>2002</v>
      </c>
      <c r="CI78" s="1413">
        <f>+D78</f>
        <v>2003</v>
      </c>
      <c r="CJ78" s="1413">
        <f>+E78</f>
        <v>2004</v>
      </c>
      <c r="CK78" s="1413">
        <f>+F78</f>
        <v>2005</v>
      </c>
      <c r="CL78" s="1415">
        <f>+K78</f>
        <v>2006</v>
      </c>
      <c r="CM78" s="1415">
        <f>+P78</f>
        <v>2007</v>
      </c>
      <c r="CN78" s="1415">
        <f>+U78</f>
        <v>2008</v>
      </c>
      <c r="CO78" s="1415">
        <f>+Z78</f>
        <v>2009</v>
      </c>
      <c r="CP78" s="1415">
        <f>+AE78</f>
        <v>2010</v>
      </c>
      <c r="CQ78" s="1415">
        <f>+AJ78</f>
        <v>2011</v>
      </c>
      <c r="CR78" s="1415">
        <f>+AO78</f>
        <v>2012</v>
      </c>
      <c r="CS78" s="1415">
        <f>+AT78</f>
        <v>2013</v>
      </c>
      <c r="CT78" s="1415">
        <f>+AY78</f>
        <v>2014</v>
      </c>
      <c r="CU78" s="1415">
        <f>+BD78</f>
        <v>2015</v>
      </c>
      <c r="CV78" s="1415">
        <f>+BI78</f>
        <v>2016</v>
      </c>
      <c r="CW78" s="1416">
        <f>+BN78</f>
        <v>2017</v>
      </c>
      <c r="CX78" s="1416" t="str">
        <f>+BS78</f>
        <v>2018E</v>
      </c>
      <c r="CY78" s="1416" t="str">
        <f>+BX78</f>
        <v>2019E</v>
      </c>
      <c r="CZ78" s="1417" t="str">
        <f>+BY78</f>
        <v>2020E</v>
      </c>
      <c r="DA78" s="1417" t="str">
        <f>+BZ78</f>
        <v>2021E</v>
      </c>
      <c r="DB78" s="1417" t="str">
        <f>+CA78</f>
        <v>2022E</v>
      </c>
    </row>
    <row r="79" spans="1:106" ht="12" customHeight="1">
      <c r="A79" s="788" t="s">
        <v>313</v>
      </c>
      <c r="B79" s="1264"/>
      <c r="C79" s="1264"/>
      <c r="D79" s="1264"/>
      <c r="E79" s="1264"/>
      <c r="F79" s="1264"/>
      <c r="G79" s="1265"/>
      <c r="H79" s="1266"/>
      <c r="I79" s="1266"/>
      <c r="J79" s="1266"/>
      <c r="K79" s="1264"/>
      <c r="L79" s="1266"/>
      <c r="M79" s="1266"/>
      <c r="N79" s="1266"/>
      <c r="O79" s="1266"/>
      <c r="P79" s="1264"/>
      <c r="Q79" s="1266"/>
      <c r="R79" s="1266"/>
      <c r="S79" s="1266"/>
      <c r="T79" s="1267"/>
      <c r="U79" s="1264"/>
      <c r="V79" s="1266"/>
      <c r="W79" s="1266"/>
      <c r="X79" s="1266"/>
      <c r="Y79" s="1267"/>
      <c r="Z79" s="1264"/>
      <c r="AA79" s="1266"/>
      <c r="AB79" s="1266"/>
      <c r="AC79" s="1266"/>
      <c r="AD79" s="1267"/>
      <c r="AE79" s="1269"/>
      <c r="AF79" s="1266"/>
      <c r="AG79" s="1266"/>
      <c r="AH79" s="1266"/>
      <c r="AI79" s="1266"/>
      <c r="AJ79" s="1264"/>
      <c r="AK79" s="1266"/>
      <c r="AL79" s="1266"/>
      <c r="AM79" s="1266"/>
      <c r="AN79" s="1266"/>
      <c r="AO79" s="1264"/>
      <c r="AP79" s="1583"/>
      <c r="AQ79" s="1266"/>
      <c r="AR79" s="1266"/>
      <c r="AS79" s="1266"/>
      <c r="AT79" s="1264"/>
      <c r="AU79" s="1266"/>
      <c r="AV79" s="1266"/>
      <c r="AW79" s="1266"/>
      <c r="AX79" s="1266"/>
      <c r="AY79" s="1264"/>
      <c r="AZ79" s="1266"/>
      <c r="BA79" s="1266"/>
      <c r="BB79" s="1266"/>
      <c r="BC79" s="1266"/>
      <c r="BD79" s="809"/>
      <c r="BE79" s="1266"/>
      <c r="BF79" s="1266"/>
      <c r="BG79" s="1266"/>
      <c r="BH79" s="1266"/>
      <c r="BI79" s="809"/>
      <c r="BJ79" s="1266"/>
      <c r="BK79" s="1266"/>
      <c r="BL79" s="1266"/>
      <c r="BM79" s="1266"/>
      <c r="BN79" s="1264"/>
      <c r="BO79" s="1266"/>
      <c r="BP79" s="1266"/>
      <c r="BQ79" s="1266"/>
      <c r="BR79" s="1266"/>
      <c r="BS79" s="1264"/>
      <c r="BT79" s="1266"/>
      <c r="BU79" s="1266"/>
      <c r="BV79" s="1266"/>
      <c r="BW79" s="1266"/>
      <c r="BX79" s="1264"/>
      <c r="BY79" s="1272"/>
      <c r="BZ79" s="1272"/>
      <c r="CA79" s="1272"/>
      <c r="CF79" s="1421" t="str">
        <f t="shared" si="89"/>
        <v>Operating income</v>
      </c>
      <c r="CG79" s="1272"/>
      <c r="CH79" s="1264"/>
      <c r="CI79" s="1264"/>
      <c r="CJ79" s="1264"/>
      <c r="CK79" s="1264"/>
      <c r="CL79" s="1264"/>
      <c r="CM79" s="1269"/>
      <c r="CN79" s="1269"/>
      <c r="CO79" s="1269"/>
      <c r="CP79" s="1269"/>
      <c r="CQ79" s="1264"/>
      <c r="CR79" s="1264"/>
      <c r="CS79" s="1264"/>
      <c r="CT79" s="1264"/>
      <c r="CU79" s="1264"/>
      <c r="CV79" s="1584"/>
      <c r="CW79" s="1264"/>
      <c r="CX79" s="1264"/>
      <c r="CY79" s="1264"/>
      <c r="CZ79" s="1272"/>
      <c r="DA79" s="1272"/>
      <c r="DB79" s="1272"/>
    </row>
    <row r="80" spans="1:106" s="768" customFormat="1" ht="12" customHeight="1">
      <c r="A80" s="768" t="s">
        <v>314</v>
      </c>
      <c r="B80" s="741">
        <v>426</v>
      </c>
      <c r="C80" s="741">
        <v>560</v>
      </c>
      <c r="D80" s="741">
        <v>667</v>
      </c>
      <c r="E80" s="741">
        <v>840</v>
      </c>
      <c r="F80" s="741">
        <v>1021</v>
      </c>
      <c r="G80" s="1319" t="s">
        <v>249</v>
      </c>
      <c r="H80" s="1319" t="s">
        <v>249</v>
      </c>
      <c r="I80" s="1319" t="s">
        <v>249</v>
      </c>
      <c r="J80" s="1278" t="s">
        <v>249</v>
      </c>
      <c r="K80" s="1291">
        <v>1097</v>
      </c>
      <c r="L80" s="1319" t="s">
        <v>249</v>
      </c>
      <c r="M80" s="1319" t="s">
        <v>249</v>
      </c>
      <c r="N80" s="1319" t="s">
        <v>249</v>
      </c>
      <c r="O80" s="1278" t="s">
        <v>249</v>
      </c>
      <c r="P80" s="1291">
        <v>1159</v>
      </c>
      <c r="Q80" s="1319" t="s">
        <v>249</v>
      </c>
      <c r="R80" s="1319" t="s">
        <v>249</v>
      </c>
      <c r="S80" s="1319" t="s">
        <v>249</v>
      </c>
      <c r="T80" s="1278" t="s">
        <v>249</v>
      </c>
      <c r="U80" s="1291">
        <v>749.3</v>
      </c>
      <c r="V80" s="1319" t="s">
        <v>249</v>
      </c>
      <c r="W80" s="1319" t="s">
        <v>249</v>
      </c>
      <c r="X80" s="1319" t="s">
        <v>249</v>
      </c>
      <c r="Y80" s="1278" t="s">
        <v>249</v>
      </c>
      <c r="Z80" s="1291">
        <v>712</v>
      </c>
      <c r="AA80" s="1320">
        <v>189</v>
      </c>
      <c r="AB80" s="1320">
        <v>181</v>
      </c>
      <c r="AC80" s="1320">
        <v>187</v>
      </c>
      <c r="AD80" s="1320">
        <v>205</v>
      </c>
      <c r="AE80" s="1318">
        <f>SUM(AA80:AD80)</f>
        <v>762</v>
      </c>
      <c r="AF80" s="768">
        <f>AF12-AF42</f>
        <v>190</v>
      </c>
      <c r="AG80" s="768">
        <f>AG12-AG42</f>
        <v>213</v>
      </c>
      <c r="AH80" s="768">
        <f>AH12-AH42</f>
        <v>169</v>
      </c>
      <c r="AI80" s="768">
        <f>AI12-AI42</f>
        <v>156</v>
      </c>
      <c r="AJ80" s="1291">
        <f>SUM(AF80:AI80)</f>
        <v>728</v>
      </c>
      <c r="AK80" s="768">
        <f>AK12-AK42</f>
        <v>186</v>
      </c>
      <c r="AL80" s="768">
        <f>AL12-AL42</f>
        <v>208</v>
      </c>
      <c r="AM80" s="768">
        <f>AM12-AM42</f>
        <v>217</v>
      </c>
      <c r="AN80" s="768">
        <f>AN12-AN42</f>
        <v>254</v>
      </c>
      <c r="AO80" s="1291">
        <f>SUM(AK80:AN80)</f>
        <v>865</v>
      </c>
      <c r="AP80" s="1254">
        <f>AP12-AP42</f>
        <v>249</v>
      </c>
      <c r="AQ80" s="768">
        <f>AQ12-AQ42</f>
        <v>268</v>
      </c>
      <c r="AR80" s="1254">
        <f>AR12-AR42</f>
        <v>214</v>
      </c>
      <c r="AS80" s="1254">
        <f>AS12-AS42</f>
        <v>221</v>
      </c>
      <c r="AT80" s="1291">
        <f>SUM(AP80:AS80)</f>
        <v>952</v>
      </c>
      <c r="AU80" s="768">
        <v>240</v>
      </c>
      <c r="AV80" s="768">
        <v>308</v>
      </c>
      <c r="AW80" s="768">
        <f>AW12-AW42</f>
        <v>266</v>
      </c>
      <c r="AX80" s="768">
        <f>AX12-AX42</f>
        <v>260</v>
      </c>
      <c r="AY80" s="1291">
        <f>SUM(AU80:AX80)</f>
        <v>1074</v>
      </c>
      <c r="AZ80" s="2019">
        <f>291-6</f>
        <v>285</v>
      </c>
      <c r="BA80" s="2019">
        <f>361-32.5</f>
        <v>328.5</v>
      </c>
      <c r="BB80" s="2019">
        <f>BB12-BB42</f>
        <v>280</v>
      </c>
      <c r="BC80" s="2019">
        <f>BC12-BC42</f>
        <v>251</v>
      </c>
      <c r="BD80" s="1291">
        <f>SUM(AZ80:BC80)</f>
        <v>1144.5</v>
      </c>
      <c r="BE80" s="2019">
        <f>BE12-BE42</f>
        <v>250</v>
      </c>
      <c r="BF80" s="2019">
        <f>396-29</f>
        <v>367</v>
      </c>
      <c r="BG80" s="2018">
        <f>346-17</f>
        <v>329</v>
      </c>
      <c r="BH80" s="2019">
        <f>258+54</f>
        <v>312</v>
      </c>
      <c r="BI80" s="1291">
        <f>SUM(BE80:BH80)</f>
        <v>1258</v>
      </c>
      <c r="BJ80" s="2018">
        <f>376+2</f>
        <v>378</v>
      </c>
      <c r="BK80" s="2019">
        <v>397</v>
      </c>
      <c r="BL80" s="2075">
        <f>376+15</f>
        <v>391</v>
      </c>
      <c r="BM80" s="2175">
        <f>374+64</f>
        <v>438</v>
      </c>
      <c r="BN80" s="1291">
        <f>SUM(BJ80:BM80)</f>
        <v>1604</v>
      </c>
      <c r="BO80" s="2175">
        <v>408</v>
      </c>
      <c r="BP80" s="768">
        <f>+BP81*BP12</f>
        <v>439.04240695466234</v>
      </c>
      <c r="BQ80" s="768">
        <f>+BQ81*BQ12</f>
        <v>422.77756326699176</v>
      </c>
      <c r="BR80" s="768">
        <f>+BR81*BR12</f>
        <v>445.99112408608079</v>
      </c>
      <c r="BS80" s="1291">
        <f>SUM(BO80:BR80)</f>
        <v>1715.8110943077349</v>
      </c>
      <c r="BT80" s="768">
        <f>+BT81*BT12</f>
        <v>429.80466312632075</v>
      </c>
      <c r="BU80" s="768">
        <f>+BU81*BU12</f>
        <v>464.66170497027468</v>
      </c>
      <c r="BV80" s="768">
        <f>+BV81*BV12</f>
        <v>447.04073164692102</v>
      </c>
      <c r="BW80" s="768">
        <f>+BW81*BW12</f>
        <v>471.27635503846625</v>
      </c>
      <c r="BX80" s="1291">
        <f>SUM(BT80:BW80)</f>
        <v>1812.7834547819825</v>
      </c>
      <c r="BY80" s="1550">
        <f>+BY81*BY12</f>
        <v>1896.6179735733549</v>
      </c>
      <c r="BZ80" s="1550">
        <f>+BZ81*BZ12</f>
        <v>1985.7437900868829</v>
      </c>
      <c r="CA80" s="1550">
        <f>+CA81*CA12</f>
        <v>2071.9227929065482</v>
      </c>
      <c r="CF80" s="1291" t="str">
        <f t="shared" si="89"/>
        <v>Standard &amp; Poor's Ratings</v>
      </c>
      <c r="CG80" s="744">
        <f t="shared" ref="CG80:CK81" si="91">+B80</f>
        <v>426</v>
      </c>
      <c r="CH80" s="741">
        <f t="shared" si="91"/>
        <v>560</v>
      </c>
      <c r="CI80" s="741">
        <f t="shared" si="91"/>
        <v>667</v>
      </c>
      <c r="CJ80" s="741">
        <f t="shared" si="91"/>
        <v>840</v>
      </c>
      <c r="CK80" s="741">
        <f t="shared" si="91"/>
        <v>1021</v>
      </c>
      <c r="CL80" s="1291">
        <f>+K80</f>
        <v>1097</v>
      </c>
      <c r="CM80" s="1318">
        <f>+P80</f>
        <v>1159</v>
      </c>
      <c r="CN80" s="1318">
        <f>+U80</f>
        <v>749.3</v>
      </c>
      <c r="CO80" s="1318">
        <f>+Z80</f>
        <v>712</v>
      </c>
      <c r="CP80" s="1318">
        <f>+AE80</f>
        <v>762</v>
      </c>
      <c r="CQ80" s="1291">
        <f>+AJ80</f>
        <v>728</v>
      </c>
      <c r="CR80" s="1291">
        <f>+AO80</f>
        <v>865</v>
      </c>
      <c r="CS80" s="1291">
        <f>+AT80</f>
        <v>952</v>
      </c>
      <c r="CT80" s="1291">
        <f>+AY80</f>
        <v>1074</v>
      </c>
      <c r="CU80" s="1291">
        <f>+BD80</f>
        <v>1144.5</v>
      </c>
      <c r="CV80" s="1289">
        <f>+BI80</f>
        <v>1258</v>
      </c>
      <c r="CW80" s="1291">
        <f>+BN80</f>
        <v>1604</v>
      </c>
      <c r="CX80" s="1291">
        <f>+BS80</f>
        <v>1715.8110943077349</v>
      </c>
      <c r="CY80" s="1291">
        <f t="shared" ref="CY80:DB81" si="92">+BX80</f>
        <v>1812.7834547819825</v>
      </c>
      <c r="CZ80" s="1550">
        <f t="shared" si="92"/>
        <v>1896.6179735733549</v>
      </c>
      <c r="DA80" s="1550">
        <f t="shared" si="92"/>
        <v>1985.7437900868829</v>
      </c>
      <c r="DB80" s="1550">
        <f t="shared" si="92"/>
        <v>2071.9227929065482</v>
      </c>
    </row>
    <row r="81" spans="1:106" s="1437" customFormat="1" ht="12" customHeight="1">
      <c r="A81" s="1585" t="s">
        <v>531</v>
      </c>
      <c r="B81" s="1332">
        <f>B80/B12</f>
        <v>0.30472103004291845</v>
      </c>
      <c r="C81" s="1332">
        <f>C80/C12</f>
        <v>0.36012861736334406</v>
      </c>
      <c r="D81" s="1332">
        <f>D80/D12</f>
        <v>0.37726244343891402</v>
      </c>
      <c r="E81" s="1332">
        <f>E80/E12</f>
        <v>0.40875912408759124</v>
      </c>
      <c r="F81" s="1332">
        <f>F80/F12</f>
        <v>0.42523948354852142</v>
      </c>
      <c r="G81" s="1319"/>
      <c r="H81" s="1319"/>
      <c r="I81" s="1319"/>
      <c r="J81" s="1278"/>
      <c r="K81" s="1332">
        <f>K80/K12</f>
        <v>0.56256410256410261</v>
      </c>
      <c r="L81" s="1319"/>
      <c r="M81" s="1319"/>
      <c r="N81" s="1319"/>
      <c r="O81" s="1278"/>
      <c r="P81" s="1332">
        <f>P80/P12</f>
        <v>0.54209541627689428</v>
      </c>
      <c r="Q81" s="1319"/>
      <c r="R81" s="1319"/>
      <c r="S81" s="1319"/>
      <c r="T81" s="1278"/>
      <c r="U81" s="1332">
        <f>U80/U12</f>
        <v>0.47334175615919138</v>
      </c>
      <c r="V81" s="1319"/>
      <c r="W81" s="1319"/>
      <c r="X81" s="1319"/>
      <c r="Y81" s="1278"/>
      <c r="Z81" s="1332">
        <f t="shared" ref="Z81:BO81" si="93">Z80/Z12</f>
        <v>0.46314967800689522</v>
      </c>
      <c r="AA81" s="1331">
        <f t="shared" si="93"/>
        <v>0.47132169576059851</v>
      </c>
      <c r="AB81" s="1331">
        <f t="shared" si="93"/>
        <v>0.44691358024691358</v>
      </c>
      <c r="AC81" s="1331">
        <f t="shared" si="93"/>
        <v>0.44844124700239807</v>
      </c>
      <c r="AD81" s="1331">
        <f t="shared" si="93"/>
        <v>0.43432203389830509</v>
      </c>
      <c r="AE81" s="1332">
        <f t="shared" si="93"/>
        <v>0.44955752212389383</v>
      </c>
      <c r="AF81" s="1331">
        <f t="shared" si="93"/>
        <v>0.42889390519187359</v>
      </c>
      <c r="AG81" s="1331">
        <f t="shared" si="93"/>
        <v>0.44374999999999998</v>
      </c>
      <c r="AH81" s="1331">
        <f t="shared" si="93"/>
        <v>0.41219512195121949</v>
      </c>
      <c r="AI81" s="1331">
        <f t="shared" si="93"/>
        <v>0.35944700460829493</v>
      </c>
      <c r="AJ81" s="1332">
        <f t="shared" si="93"/>
        <v>0.41199773627617431</v>
      </c>
      <c r="AK81" s="1331">
        <f t="shared" si="93"/>
        <v>0.39914163090128757</v>
      </c>
      <c r="AL81" s="1331">
        <f t="shared" si="93"/>
        <v>0.43064182194616979</v>
      </c>
      <c r="AM81" s="1331">
        <f t="shared" si="93"/>
        <v>0.43227091633466136</v>
      </c>
      <c r="AN81" s="1331">
        <f t="shared" si="93"/>
        <v>0.43493150684931509</v>
      </c>
      <c r="AO81" s="1332">
        <f t="shared" si="93"/>
        <v>0.42506142506142508</v>
      </c>
      <c r="AP81" s="1447">
        <f t="shared" si="93"/>
        <v>0.44385026737967914</v>
      </c>
      <c r="AQ81" s="1331">
        <f t="shared" si="93"/>
        <v>0.44741235392320533</v>
      </c>
      <c r="AR81" s="1447">
        <f t="shared" si="93"/>
        <v>0.39629629629629631</v>
      </c>
      <c r="AS81" s="1447">
        <f t="shared" si="93"/>
        <v>0.38501742160278746</v>
      </c>
      <c r="AT81" s="1332">
        <f t="shared" si="93"/>
        <v>0.41864555848724716</v>
      </c>
      <c r="AU81" s="1331">
        <f t="shared" si="93"/>
        <v>0.421792618629174</v>
      </c>
      <c r="AV81" s="1331">
        <f t="shared" si="93"/>
        <v>0.46385542168674698</v>
      </c>
      <c r="AW81" s="1331">
        <f t="shared" si="93"/>
        <v>0.44039735099337746</v>
      </c>
      <c r="AX81" s="1331">
        <f t="shared" si="93"/>
        <v>0.42071197411003236</v>
      </c>
      <c r="AY81" s="1332">
        <f t="shared" si="93"/>
        <v>0.4374745417515275</v>
      </c>
      <c r="AZ81" s="1331">
        <f t="shared" si="93"/>
        <v>0.47029702970297027</v>
      </c>
      <c r="BA81" s="1331">
        <f t="shared" si="93"/>
        <v>0.49924012158054709</v>
      </c>
      <c r="BB81" s="1331">
        <f t="shared" si="93"/>
        <v>0.47700170357751276</v>
      </c>
      <c r="BC81" s="1331">
        <f t="shared" si="93"/>
        <v>0.43500866551126516</v>
      </c>
      <c r="BD81" s="1332">
        <f t="shared" si="93"/>
        <v>0.47137561779242176</v>
      </c>
      <c r="BE81" s="1331">
        <f t="shared" si="93"/>
        <v>0.45289855072463769</v>
      </c>
      <c r="BF81" s="1331">
        <f t="shared" si="93"/>
        <v>0.53812316715542519</v>
      </c>
      <c r="BG81" s="1331">
        <f t="shared" si="93"/>
        <v>0.51246105919003115</v>
      </c>
      <c r="BH81" s="1331">
        <f t="shared" si="93"/>
        <v>0.47416413373860183</v>
      </c>
      <c r="BI81" s="1332">
        <f t="shared" si="93"/>
        <v>0.49644830307813731</v>
      </c>
      <c r="BJ81" s="1331">
        <f t="shared" si="93"/>
        <v>0.52941176470588236</v>
      </c>
      <c r="BK81" s="1331">
        <f t="shared" si="93"/>
        <v>0.53145917001338683</v>
      </c>
      <c r="BL81" s="1331">
        <f t="shared" si="93"/>
        <v>0.52909336941813256</v>
      </c>
      <c r="BM81" s="1331">
        <f t="shared" si="93"/>
        <v>0.55513307984790872</v>
      </c>
      <c r="BN81" s="1332">
        <f t="shared" si="93"/>
        <v>0.53663432586149218</v>
      </c>
      <c r="BO81" s="1331">
        <f t="shared" si="93"/>
        <v>0.54545454545454541</v>
      </c>
      <c r="BP81" s="1331">
        <f>CHOOSE(MHFI!$A$3,BP82,BP83,BP84)</f>
        <v>0.54310521891074848</v>
      </c>
      <c r="BQ81" s="1331">
        <f>CHOOSE(MHFI!$A$3,BQ82,BQ83,BQ84)</f>
        <v>0.54013006659092966</v>
      </c>
      <c r="BR81" s="1331">
        <f>CHOOSE(MHFI!$A$3,BR82,BR83,BR84)</f>
        <v>0.55592707787624029</v>
      </c>
      <c r="BS81" s="1332">
        <f>BS80/BS12</f>
        <v>0.54619776805706544</v>
      </c>
      <c r="BT81" s="1331">
        <f>CHOOSE(MHFI!$A$3,BT82,BT83,BT84)</f>
        <v>0.54997195784718611</v>
      </c>
      <c r="BU81" s="1331">
        <f>CHOOSE(MHFI!$A$3,BU82,BU83,BU84)</f>
        <v>0.54910521891074848</v>
      </c>
      <c r="BV81" s="1331">
        <f>CHOOSE(MHFI!$A$3,BV82,BV83,BV84)</f>
        <v>0.54613006659092966</v>
      </c>
      <c r="BW81" s="1331">
        <f>CHOOSE(MHFI!$A$3,BW82,BW83,BW84)</f>
        <v>0.5619270778762403</v>
      </c>
      <c r="BX81" s="1332">
        <f>BX80/BX12</f>
        <v>0.55184359038626729</v>
      </c>
      <c r="BY81" s="1333">
        <f>CHOOSE(MHFI!$A$3,BY82,BY83,BY84)</f>
        <v>0.55478358030627617</v>
      </c>
      <c r="BZ81" s="1333">
        <f>CHOOSE(MHFI!$A$3,BZ82,BZ83,BZ84)</f>
        <v>0.55778358030627617</v>
      </c>
      <c r="CA81" s="1333">
        <f>CHOOSE(MHFI!$A$3,CA82,CA83,CA84)</f>
        <v>0.56078358030627617</v>
      </c>
      <c r="CF81" s="1586" t="str">
        <f t="shared" si="89"/>
        <v>Margin % (Incl deal amort)</v>
      </c>
      <c r="CG81" s="1333">
        <f t="shared" si="91"/>
        <v>0.30472103004291845</v>
      </c>
      <c r="CH81" s="1332">
        <f t="shared" si="91"/>
        <v>0.36012861736334406</v>
      </c>
      <c r="CI81" s="1332">
        <f t="shared" si="91"/>
        <v>0.37726244343891402</v>
      </c>
      <c r="CJ81" s="1332">
        <f t="shared" si="91"/>
        <v>0.40875912408759124</v>
      </c>
      <c r="CK81" s="1332">
        <f t="shared" si="91"/>
        <v>0.42523948354852142</v>
      </c>
      <c r="CL81" s="1332">
        <f>+K81</f>
        <v>0.56256410256410261</v>
      </c>
      <c r="CM81" s="1332">
        <f>+P81</f>
        <v>0.54209541627689428</v>
      </c>
      <c r="CN81" s="1332">
        <f>+U81</f>
        <v>0.47334175615919138</v>
      </c>
      <c r="CO81" s="1332">
        <f>+Z81</f>
        <v>0.46314967800689522</v>
      </c>
      <c r="CP81" s="1332">
        <f>+AE81</f>
        <v>0.44955752212389383</v>
      </c>
      <c r="CQ81" s="1332">
        <f>+AJ81</f>
        <v>0.41199773627617431</v>
      </c>
      <c r="CR81" s="1332">
        <f>+AO81</f>
        <v>0.42506142506142508</v>
      </c>
      <c r="CS81" s="1332">
        <f>+AT81</f>
        <v>0.41864555848724716</v>
      </c>
      <c r="CT81" s="1332">
        <f>+AY81</f>
        <v>0.4374745417515275</v>
      </c>
      <c r="CU81" s="1332">
        <f>+BD81</f>
        <v>0.47137561779242176</v>
      </c>
      <c r="CV81" s="1439">
        <f>+BI81</f>
        <v>0.49644830307813731</v>
      </c>
      <c r="CW81" s="1332">
        <f>+BN81</f>
        <v>0.53663432586149218</v>
      </c>
      <c r="CX81" s="1332">
        <f>+BS81</f>
        <v>0.54619776805706544</v>
      </c>
      <c r="CY81" s="1332">
        <f t="shared" si="92"/>
        <v>0.55184359038626729</v>
      </c>
      <c r="CZ81" s="1333">
        <f t="shared" si="92"/>
        <v>0.55478358030627617</v>
      </c>
      <c r="DA81" s="1333">
        <f t="shared" si="92"/>
        <v>0.55778358030627617</v>
      </c>
      <c r="DB81" s="1333">
        <f t="shared" si="92"/>
        <v>0.56078358030627617</v>
      </c>
    </row>
    <row r="82" spans="1:106" ht="12" hidden="1" customHeight="1" outlineLevel="1">
      <c r="A82" s="1587" t="s">
        <v>213</v>
      </c>
      <c r="B82" s="757"/>
      <c r="C82" s="757"/>
      <c r="D82" s="757"/>
      <c r="E82" s="757"/>
      <c r="F82" s="757"/>
      <c r="G82" s="1588"/>
      <c r="H82" s="1588"/>
      <c r="I82" s="1588"/>
      <c r="J82" s="1589"/>
      <c r="K82" s="1589"/>
      <c r="L82" s="1588"/>
      <c r="M82" s="1588"/>
      <c r="N82" s="1588"/>
      <c r="O82" s="1589"/>
      <c r="P82" s="1589"/>
      <c r="Q82" s="1588"/>
      <c r="R82" s="1588"/>
      <c r="S82" s="1588"/>
      <c r="T82" s="1589"/>
      <c r="U82" s="1589"/>
      <c r="V82" s="1588"/>
      <c r="W82" s="1588"/>
      <c r="X82" s="1588"/>
      <c r="Y82" s="1589"/>
      <c r="Z82" s="1589"/>
      <c r="AA82" s="1588"/>
      <c r="AB82" s="1588"/>
      <c r="AC82" s="1588"/>
      <c r="AD82" s="1589"/>
      <c r="AE82" s="1589"/>
      <c r="AF82" s="1588"/>
      <c r="AG82" s="1588"/>
      <c r="AH82" s="1588"/>
      <c r="AI82" s="1589"/>
      <c r="AJ82" s="1589"/>
      <c r="AK82" s="1588"/>
      <c r="AL82" s="1588"/>
      <c r="AM82" s="1588"/>
      <c r="AN82" s="1589"/>
      <c r="AO82" s="1589"/>
      <c r="AP82" s="1588"/>
      <c r="AQ82" s="1588"/>
      <c r="AR82" s="1588"/>
      <c r="AS82" s="1589"/>
      <c r="AT82" s="1589"/>
      <c r="AU82" s="1588"/>
      <c r="AV82" s="1588"/>
      <c r="AW82" s="758"/>
      <c r="AX82" s="758"/>
      <c r="AY82" s="759"/>
      <c r="AZ82" s="1588"/>
      <c r="BA82" s="758"/>
      <c r="BB82" s="760"/>
      <c r="BC82" s="758"/>
      <c r="BD82" s="761"/>
      <c r="BE82" s="758"/>
      <c r="BF82" s="758"/>
      <c r="BG82" s="758"/>
      <c r="BH82" s="758"/>
      <c r="BI82" s="761"/>
      <c r="BJ82" s="758"/>
      <c r="BK82" s="758"/>
      <c r="BL82" s="758"/>
      <c r="BM82" s="758"/>
      <c r="BN82" s="759"/>
      <c r="BO82" s="758"/>
      <c r="BP82" s="758">
        <f>+BP83-0.04</f>
        <v>0.50310521891074844</v>
      </c>
      <c r="BQ82" s="758">
        <f>+BQ83-0.04</f>
        <v>0.50013006659092962</v>
      </c>
      <c r="BR82" s="758">
        <f>+BR83-0.04</f>
        <v>0.51592707787624026</v>
      </c>
      <c r="BS82" s="759"/>
      <c r="BT82" s="758">
        <f>+BT83-0.04</f>
        <v>0.50997195784718607</v>
      </c>
      <c r="BU82" s="758">
        <f>+BU83-0.04</f>
        <v>0.50910521891074845</v>
      </c>
      <c r="BV82" s="758">
        <f>+BV83-0.04</f>
        <v>0.50613006659092963</v>
      </c>
      <c r="BW82" s="758">
        <f>+BW83-0.04</f>
        <v>0.52192707787624026</v>
      </c>
      <c r="BX82" s="759"/>
      <c r="BY82" s="759">
        <f>+BY83-0.07</f>
        <v>0.48478358030627616</v>
      </c>
      <c r="BZ82" s="759">
        <f>+BZ83-0.05</f>
        <v>0.50778358030627613</v>
      </c>
      <c r="CA82" s="759">
        <f>+CA83-0.05</f>
        <v>0.51078358030627613</v>
      </c>
      <c r="CF82" s="1590"/>
      <c r="CG82" s="1591"/>
      <c r="CH82" s="1592"/>
      <c r="CI82" s="1592"/>
      <c r="CJ82" s="1592"/>
      <c r="CK82" s="1592"/>
      <c r="CL82" s="1593"/>
      <c r="CM82" s="1593"/>
      <c r="CN82" s="1593"/>
      <c r="CO82" s="1593"/>
      <c r="CP82" s="1593"/>
      <c r="CQ82" s="1593"/>
      <c r="CR82" s="1593"/>
      <c r="CS82" s="1593"/>
      <c r="CT82" s="1594"/>
      <c r="CU82" s="1594"/>
      <c r="CV82" s="1595"/>
      <c r="CW82" s="1594"/>
      <c r="CX82" s="1594"/>
      <c r="CY82" s="1594"/>
      <c r="CZ82" s="1596"/>
      <c r="DA82" s="1596"/>
      <c r="DB82" s="1596"/>
    </row>
    <row r="83" spans="1:106" ht="12" hidden="1" customHeight="1" outlineLevel="1">
      <c r="A83" s="1587" t="s">
        <v>214</v>
      </c>
      <c r="B83" s="757"/>
      <c r="C83" s="757"/>
      <c r="D83" s="757"/>
      <c r="E83" s="757"/>
      <c r="F83" s="757"/>
      <c r="G83" s="1588"/>
      <c r="H83" s="1588"/>
      <c r="I83" s="1588"/>
      <c r="J83" s="1589"/>
      <c r="K83" s="1589"/>
      <c r="L83" s="1588"/>
      <c r="M83" s="1588"/>
      <c r="N83" s="1588"/>
      <c r="O83" s="1589"/>
      <c r="P83" s="1589"/>
      <c r="Q83" s="1588"/>
      <c r="R83" s="1588"/>
      <c r="S83" s="1588"/>
      <c r="T83" s="1589"/>
      <c r="U83" s="1589"/>
      <c r="V83" s="1588"/>
      <c r="W83" s="1588"/>
      <c r="X83" s="1588"/>
      <c r="Y83" s="1589"/>
      <c r="Z83" s="1589"/>
      <c r="AA83" s="1588"/>
      <c r="AB83" s="1588"/>
      <c r="AC83" s="1588"/>
      <c r="AD83" s="1589"/>
      <c r="AE83" s="1589"/>
      <c r="AF83" s="1588"/>
      <c r="AG83" s="1588"/>
      <c r="AH83" s="1588"/>
      <c r="AI83" s="1589"/>
      <c r="AJ83" s="1589"/>
      <c r="AK83" s="1588"/>
      <c r="AL83" s="1588"/>
      <c r="AM83" s="1588"/>
      <c r="AN83" s="1589"/>
      <c r="AO83" s="1589"/>
      <c r="AP83" s="1588"/>
      <c r="AQ83" s="1588"/>
      <c r="AR83" s="1588"/>
      <c r="AS83" s="1589"/>
      <c r="AT83" s="1589"/>
      <c r="AU83" s="1588"/>
      <c r="AV83" s="1588"/>
      <c r="AW83" s="758"/>
      <c r="AX83" s="758"/>
      <c r="AY83" s="759"/>
      <c r="AZ83" s="1588"/>
      <c r="BA83" s="758"/>
      <c r="BB83" s="760"/>
      <c r="BC83" s="758"/>
      <c r="BD83" s="761"/>
      <c r="BE83" s="758"/>
      <c r="BF83" s="1308"/>
      <c r="BG83" s="758"/>
      <c r="BH83" s="758"/>
      <c r="BI83" s="761"/>
      <c r="BJ83" s="758">
        <f>BJ81</f>
        <v>0.52941176470588236</v>
      </c>
      <c r="BK83" s="758">
        <f>BK81</f>
        <v>0.53145917001338683</v>
      </c>
      <c r="BL83" s="758">
        <f>BL81</f>
        <v>0.52909336941813256</v>
      </c>
      <c r="BM83" s="758">
        <f>BM81</f>
        <v>0.55513307984790872</v>
      </c>
      <c r="BN83" s="759"/>
      <c r="BO83" s="758">
        <f>BO81</f>
        <v>0.54545454545454541</v>
      </c>
      <c r="BP83" s="758">
        <f>+BK81+0.0175+0.5*BP133/BK12</f>
        <v>0.54310521891074848</v>
      </c>
      <c r="BQ83" s="758">
        <f>+BL81+0.015+0.5*BQ133/BL12</f>
        <v>0.54013006659092966</v>
      </c>
      <c r="BR83" s="758">
        <f>+BM81+0.0025+0.5*BR133/BM12</f>
        <v>0.55592707787624029</v>
      </c>
      <c r="BS83" s="759"/>
      <c r="BT83" s="2243">
        <f>+BO83+0.006+0.5*BT133/BJ12</f>
        <v>0.54997195784718611</v>
      </c>
      <c r="BU83" s="758">
        <f>+BP83+0.006+0.5*BU133/BK12</f>
        <v>0.54910521891074848</v>
      </c>
      <c r="BV83" s="758">
        <f>+BQ83+0.006+0.5*BV133/BL12</f>
        <v>0.54613006659092966</v>
      </c>
      <c r="BW83" s="758">
        <f>+BR83+0.006+0.5*BW133/BM12</f>
        <v>0.5619270778762403</v>
      </c>
      <c r="BX83" s="759"/>
      <c r="BY83" s="759">
        <f>+AVERAGE(BT83:BW83)+0.003+0.5*BY133/BS12</f>
        <v>0.55478358030627617</v>
      </c>
      <c r="BZ83" s="759">
        <f>+BY83+0.003+0.5*BZ133/BX12</f>
        <v>0.55778358030627617</v>
      </c>
      <c r="CA83" s="759">
        <f>+BZ83+0.003+0.5*CA133/BY12</f>
        <v>0.56078358030627617</v>
      </c>
      <c r="CF83" s="1590"/>
      <c r="CG83" s="1591"/>
      <c r="CH83" s="1592"/>
      <c r="CI83" s="1592"/>
      <c r="CJ83" s="1592"/>
      <c r="CK83" s="1592"/>
      <c r="CL83" s="1593"/>
      <c r="CM83" s="1593"/>
      <c r="CN83" s="1593"/>
      <c r="CO83" s="1593"/>
      <c r="CP83" s="1593"/>
      <c r="CQ83" s="1593"/>
      <c r="CR83" s="1593"/>
      <c r="CS83" s="1593"/>
      <c r="CT83" s="1594"/>
      <c r="CU83" s="1594"/>
      <c r="CV83" s="1595"/>
      <c r="CW83" s="1594"/>
      <c r="CX83" s="1594"/>
      <c r="CY83" s="1594"/>
      <c r="CZ83" s="1596"/>
      <c r="DA83" s="1596"/>
      <c r="DB83" s="1596"/>
    </row>
    <row r="84" spans="1:106" ht="12" hidden="1" customHeight="1" outlineLevel="1">
      <c r="A84" s="1587" t="s">
        <v>215</v>
      </c>
      <c r="B84" s="757"/>
      <c r="C84" s="757"/>
      <c r="D84" s="757"/>
      <c r="E84" s="757"/>
      <c r="F84" s="757"/>
      <c r="G84" s="1588"/>
      <c r="H84" s="1588"/>
      <c r="I84" s="1588"/>
      <c r="J84" s="1589"/>
      <c r="K84" s="1589"/>
      <c r="L84" s="1588"/>
      <c r="M84" s="1588"/>
      <c r="N84" s="1588"/>
      <c r="O84" s="1589"/>
      <c r="P84" s="1589"/>
      <c r="Q84" s="1588"/>
      <c r="R84" s="1588"/>
      <c r="S84" s="1588"/>
      <c r="T84" s="1589"/>
      <c r="U84" s="1589"/>
      <c r="V84" s="1588"/>
      <c r="W84" s="1588"/>
      <c r="X84" s="1588"/>
      <c r="Y84" s="1589"/>
      <c r="Z84" s="1589"/>
      <c r="AA84" s="1588"/>
      <c r="AB84" s="1588"/>
      <c r="AC84" s="1588"/>
      <c r="AD84" s="1589"/>
      <c r="AE84" s="1589"/>
      <c r="AF84" s="1588"/>
      <c r="AG84" s="1588"/>
      <c r="AH84" s="1588"/>
      <c r="AI84" s="1589"/>
      <c r="AJ84" s="1589"/>
      <c r="AK84" s="1588"/>
      <c r="AL84" s="1588"/>
      <c r="AM84" s="1588"/>
      <c r="AN84" s="1589"/>
      <c r="AO84" s="1589"/>
      <c r="AP84" s="1588"/>
      <c r="AQ84" s="1588"/>
      <c r="AR84" s="1588"/>
      <c r="AS84" s="1589"/>
      <c r="AT84" s="1589"/>
      <c r="AU84" s="1588"/>
      <c r="AV84" s="1588"/>
      <c r="AW84" s="758"/>
      <c r="AX84" s="758"/>
      <c r="AY84" s="759"/>
      <c r="AZ84" s="1588"/>
      <c r="BA84" s="758"/>
      <c r="BB84" s="760"/>
      <c r="BC84" s="758"/>
      <c r="BD84" s="761"/>
      <c r="BE84" s="758"/>
      <c r="BF84" s="758"/>
      <c r="BG84" s="758"/>
      <c r="BH84" s="758"/>
      <c r="BI84" s="761"/>
      <c r="BJ84" s="758"/>
      <c r="BK84" s="758"/>
      <c r="BL84" s="758"/>
      <c r="BM84" s="758"/>
      <c r="BN84" s="759"/>
      <c r="BO84" s="758"/>
      <c r="BP84" s="758">
        <f>+BP83+0.01</f>
        <v>0.55310521891074849</v>
      </c>
      <c r="BQ84" s="758">
        <f>+BQ83+0.01</f>
        <v>0.55013006659092967</v>
      </c>
      <c r="BR84" s="758">
        <f>+BR83+0.01</f>
        <v>0.5659270778762403</v>
      </c>
      <c r="BS84" s="759"/>
      <c r="BT84" s="758">
        <f>+BT83+0.01</f>
        <v>0.55997195784718612</v>
      </c>
      <c r="BU84" s="758">
        <f>+BU83+0.01</f>
        <v>0.55910521891074849</v>
      </c>
      <c r="BV84" s="758">
        <f>+BV83+0.01</f>
        <v>0.55613006659092967</v>
      </c>
      <c r="BW84" s="758">
        <f>+BW83+0.01</f>
        <v>0.57192707787624031</v>
      </c>
      <c r="BX84" s="759"/>
      <c r="BY84" s="759">
        <f>+BY83+0.015</f>
        <v>0.56978358030627618</v>
      </c>
      <c r="BZ84" s="759">
        <f>+BZ83+0.02</f>
        <v>0.57778358030627619</v>
      </c>
      <c r="CA84" s="759">
        <f>+CA83+0.02</f>
        <v>0.58078358030627619</v>
      </c>
      <c r="CF84" s="1590"/>
      <c r="CG84" s="1591"/>
      <c r="CH84" s="1592"/>
      <c r="CI84" s="1592"/>
      <c r="CJ84" s="1592"/>
      <c r="CK84" s="1592"/>
      <c r="CL84" s="1593"/>
      <c r="CM84" s="1593"/>
      <c r="CN84" s="1593"/>
      <c r="CO84" s="1593"/>
      <c r="CP84" s="1593"/>
      <c r="CQ84" s="1593"/>
      <c r="CR84" s="1593"/>
      <c r="CS84" s="1593"/>
      <c r="CT84" s="1594"/>
      <c r="CU84" s="1594"/>
      <c r="CV84" s="1595"/>
      <c r="CW84" s="1594"/>
      <c r="CX84" s="1594"/>
      <c r="CY84" s="1594"/>
      <c r="CZ84" s="1596"/>
      <c r="DA84" s="1596"/>
      <c r="DB84" s="1596"/>
    </row>
    <row r="85" spans="1:106" s="768" customFormat="1" ht="12" customHeight="1" collapsed="1">
      <c r="A85" s="762" t="s">
        <v>316</v>
      </c>
      <c r="B85" s="741"/>
      <c r="C85" s="741"/>
      <c r="D85" s="741"/>
      <c r="E85" s="741"/>
      <c r="F85" s="741"/>
      <c r="G85" s="1319"/>
      <c r="H85" s="1319"/>
      <c r="I85" s="1319"/>
      <c r="J85" s="1278"/>
      <c r="K85" s="1291"/>
      <c r="L85" s="1319"/>
      <c r="M85" s="1319"/>
      <c r="N85" s="1319"/>
      <c r="O85" s="1278"/>
      <c r="P85" s="1291"/>
      <c r="Q85" s="1319"/>
      <c r="R85" s="1319"/>
      <c r="S85" s="1319"/>
      <c r="T85" s="1278"/>
      <c r="U85" s="1291"/>
      <c r="V85" s="1319"/>
      <c r="W85" s="1319"/>
      <c r="X85" s="1319"/>
      <c r="Y85" s="1278"/>
      <c r="Z85" s="1291"/>
      <c r="AA85" s="1320"/>
      <c r="AB85" s="1320"/>
      <c r="AC85" s="1320"/>
      <c r="AD85" s="1320"/>
      <c r="AE85" s="1318"/>
      <c r="AJ85" s="1291"/>
      <c r="AO85" s="1291"/>
      <c r="AP85" s="1254"/>
      <c r="AR85" s="1254"/>
      <c r="AS85" s="1254"/>
      <c r="AT85" s="1291"/>
      <c r="AY85" s="1291"/>
      <c r="AZ85" s="2020">
        <v>1</v>
      </c>
      <c r="BA85" s="2020">
        <v>1</v>
      </c>
      <c r="BB85" s="2020">
        <v>1</v>
      </c>
      <c r="BC85" s="2020">
        <v>2</v>
      </c>
      <c r="BD85" s="764">
        <f>+SUM(AZ85:BC85)</f>
        <v>5</v>
      </c>
      <c r="BE85" s="2020">
        <v>1</v>
      </c>
      <c r="BF85" s="2021">
        <v>1</v>
      </c>
      <c r="BG85" s="2021">
        <v>1</v>
      </c>
      <c r="BH85" s="2020">
        <v>1</v>
      </c>
      <c r="BI85" s="764">
        <f>+SUM(BE85:BH85)</f>
        <v>4</v>
      </c>
      <c r="BJ85" s="2021">
        <v>1</v>
      </c>
      <c r="BK85" s="2022">
        <v>1</v>
      </c>
      <c r="BL85" s="2161">
        <v>1</v>
      </c>
      <c r="BM85" s="2220">
        <v>1</v>
      </c>
      <c r="BN85" s="764">
        <f>+SUM(BJ85:BM85)</f>
        <v>4</v>
      </c>
      <c r="BO85" s="2248">
        <v>0</v>
      </c>
      <c r="BP85" s="766">
        <f>+BO85</f>
        <v>0</v>
      </c>
      <c r="BQ85" s="766">
        <f>+BP85</f>
        <v>0</v>
      </c>
      <c r="BR85" s="766">
        <f>+BQ85</f>
        <v>0</v>
      </c>
      <c r="BS85" s="764">
        <f>+SUM(BO85:BR85)</f>
        <v>0</v>
      </c>
      <c r="BT85" s="766">
        <f>+BR85</f>
        <v>0</v>
      </c>
      <c r="BU85" s="766">
        <f>+BT85</f>
        <v>0</v>
      </c>
      <c r="BV85" s="766">
        <f>+BU85</f>
        <v>0</v>
      </c>
      <c r="BW85" s="766">
        <f>+BV85</f>
        <v>0</v>
      </c>
      <c r="BX85" s="764">
        <f>+SUM(BT85:BW85)</f>
        <v>0</v>
      </c>
      <c r="BY85" s="767">
        <f>+BX85</f>
        <v>0</v>
      </c>
      <c r="BZ85" s="767">
        <f>+BY85</f>
        <v>0</v>
      </c>
      <c r="CA85" s="767">
        <f>+BZ85</f>
        <v>0</v>
      </c>
      <c r="CF85" s="1273" t="str">
        <f>+A85</f>
        <v>Deal Related Amortization</v>
      </c>
      <c r="CG85" s="744"/>
      <c r="CH85" s="741"/>
      <c r="CI85" s="741"/>
      <c r="CJ85" s="741"/>
      <c r="CK85" s="741"/>
      <c r="CL85" s="1291"/>
      <c r="CM85" s="1318"/>
      <c r="CN85" s="1318"/>
      <c r="CO85" s="1318"/>
      <c r="CP85" s="1318"/>
      <c r="CQ85" s="1291"/>
      <c r="CR85" s="1291"/>
      <c r="CS85" s="1291"/>
      <c r="CT85" s="1291"/>
      <c r="CU85" s="1270">
        <f>+BD85</f>
        <v>5</v>
      </c>
      <c r="CV85" s="1273">
        <f>+BI85</f>
        <v>4</v>
      </c>
      <c r="CW85" s="1270">
        <f>+BN85</f>
        <v>4</v>
      </c>
      <c r="CX85" s="1270">
        <f>+BS85</f>
        <v>0</v>
      </c>
      <c r="CY85" s="1270">
        <f t="shared" ref="CY85:DB87" si="94">+BX85</f>
        <v>0</v>
      </c>
      <c r="CZ85" s="1290">
        <f t="shared" si="94"/>
        <v>0</v>
      </c>
      <c r="DA85" s="1290">
        <f t="shared" si="94"/>
        <v>0</v>
      </c>
      <c r="DB85" s="1290">
        <f t="shared" si="94"/>
        <v>0</v>
      </c>
    </row>
    <row r="86" spans="1:106" s="768" customFormat="1" ht="12" customHeight="1">
      <c r="A86" s="768" t="s">
        <v>317</v>
      </c>
      <c r="B86" s="741"/>
      <c r="C86" s="741"/>
      <c r="D86" s="741"/>
      <c r="E86" s="741"/>
      <c r="F86" s="741"/>
      <c r="G86" s="1319"/>
      <c r="H86" s="1319"/>
      <c r="I86" s="1319"/>
      <c r="J86" s="1278"/>
      <c r="K86" s="1291">
        <f>+K80+K85</f>
        <v>1097</v>
      </c>
      <c r="L86" s="1319"/>
      <c r="M86" s="1319"/>
      <c r="N86" s="1319"/>
      <c r="O86" s="1278"/>
      <c r="P86" s="1291">
        <f>+P80+P85</f>
        <v>1159</v>
      </c>
      <c r="Q86" s="1319"/>
      <c r="R86" s="1319"/>
      <c r="S86" s="1319"/>
      <c r="T86" s="1278"/>
      <c r="U86" s="1291">
        <f>+U80+U85</f>
        <v>749.3</v>
      </c>
      <c r="V86" s="1319"/>
      <c r="W86" s="1319"/>
      <c r="X86" s="1319"/>
      <c r="Y86" s="1278"/>
      <c r="Z86" s="1291"/>
      <c r="AA86" s="1320"/>
      <c r="AB86" s="1320"/>
      <c r="AC86" s="1320"/>
      <c r="AD86" s="1320"/>
      <c r="AE86" s="1318"/>
      <c r="AJ86" s="1291"/>
      <c r="AO86" s="1291"/>
      <c r="AP86" s="1254"/>
      <c r="AR86" s="1254"/>
      <c r="AS86" s="1254"/>
      <c r="AT86" s="1291"/>
      <c r="AY86" s="1291"/>
      <c r="AZ86" s="768">
        <f>+AZ80+AZ85</f>
        <v>286</v>
      </c>
      <c r="BA86" s="768">
        <f t="shared" ref="BA86:BZ86" si="95">+BA80+BA85</f>
        <v>329.5</v>
      </c>
      <c r="BB86" s="768">
        <f t="shared" si="95"/>
        <v>281</v>
      </c>
      <c r="BC86" s="768">
        <f t="shared" si="95"/>
        <v>253</v>
      </c>
      <c r="BD86" s="1291">
        <f t="shared" si="95"/>
        <v>1149.5</v>
      </c>
      <c r="BE86" s="768">
        <f t="shared" si="95"/>
        <v>251</v>
      </c>
      <c r="BF86" s="768">
        <f t="shared" si="95"/>
        <v>368</v>
      </c>
      <c r="BG86" s="768">
        <f t="shared" si="95"/>
        <v>330</v>
      </c>
      <c r="BH86" s="768">
        <f t="shared" si="95"/>
        <v>313</v>
      </c>
      <c r="BI86" s="1291">
        <f t="shared" si="95"/>
        <v>1262</v>
      </c>
      <c r="BJ86" s="768">
        <f t="shared" si="95"/>
        <v>379</v>
      </c>
      <c r="BK86" s="768">
        <f t="shared" si="95"/>
        <v>398</v>
      </c>
      <c r="BL86" s="768">
        <f t="shared" si="95"/>
        <v>392</v>
      </c>
      <c r="BM86" s="768">
        <f t="shared" si="95"/>
        <v>439</v>
      </c>
      <c r="BN86" s="1291">
        <f t="shared" si="95"/>
        <v>1608</v>
      </c>
      <c r="BO86" s="768">
        <f t="shared" si="95"/>
        <v>408</v>
      </c>
      <c r="BP86" s="768">
        <f t="shared" si="95"/>
        <v>439.04240695466234</v>
      </c>
      <c r="BQ86" s="768">
        <f t="shared" si="95"/>
        <v>422.77756326699176</v>
      </c>
      <c r="BR86" s="768">
        <f t="shared" si="95"/>
        <v>445.99112408608079</v>
      </c>
      <c r="BS86" s="1291">
        <f t="shared" si="95"/>
        <v>1715.8110943077349</v>
      </c>
      <c r="BT86" s="768">
        <f t="shared" ref="BT86:BX86" si="96">+BT80+BT85</f>
        <v>429.80466312632075</v>
      </c>
      <c r="BU86" s="768">
        <f t="shared" si="96"/>
        <v>464.66170497027468</v>
      </c>
      <c r="BV86" s="768">
        <f t="shared" si="96"/>
        <v>447.04073164692102</v>
      </c>
      <c r="BW86" s="768">
        <f t="shared" si="96"/>
        <v>471.27635503846625</v>
      </c>
      <c r="BX86" s="1291">
        <f t="shared" si="96"/>
        <v>1812.7834547819825</v>
      </c>
      <c r="BY86" s="1550">
        <f t="shared" si="95"/>
        <v>1896.6179735733549</v>
      </c>
      <c r="BZ86" s="1550">
        <f t="shared" si="95"/>
        <v>1985.7437900868829</v>
      </c>
      <c r="CA86" s="1550">
        <f t="shared" ref="CA86" si="97">+CA80+CA85</f>
        <v>2071.9227929065482</v>
      </c>
      <c r="CF86" s="1289" t="str">
        <f>+A86</f>
        <v>Adjusted Operating Income</v>
      </c>
      <c r="CG86" s="744"/>
      <c r="CH86" s="741"/>
      <c r="CI86" s="741"/>
      <c r="CJ86" s="741"/>
      <c r="CK86" s="741"/>
      <c r="CL86" s="1291"/>
      <c r="CM86" s="1318"/>
      <c r="CN86" s="1318"/>
      <c r="CO86" s="1318"/>
      <c r="CP86" s="1318"/>
      <c r="CQ86" s="1291"/>
      <c r="CR86" s="1291"/>
      <c r="CS86" s="1291"/>
      <c r="CT86" s="1291"/>
      <c r="CU86" s="1291">
        <f>+BD86</f>
        <v>1149.5</v>
      </c>
      <c r="CV86" s="1289">
        <f>+BI86</f>
        <v>1262</v>
      </c>
      <c r="CW86" s="1291">
        <f>+BN86</f>
        <v>1608</v>
      </c>
      <c r="CX86" s="1291">
        <f>+BS86</f>
        <v>1715.8110943077349</v>
      </c>
      <c r="CY86" s="1291">
        <f t="shared" si="94"/>
        <v>1812.7834547819825</v>
      </c>
      <c r="CZ86" s="1550">
        <f t="shared" si="94"/>
        <v>1896.6179735733549</v>
      </c>
      <c r="DA86" s="1550">
        <f t="shared" si="94"/>
        <v>1985.7437900868829</v>
      </c>
      <c r="DB86" s="1550">
        <f t="shared" si="94"/>
        <v>2071.9227929065482</v>
      </c>
    </row>
    <row r="87" spans="1:106" s="1437" customFormat="1" ht="12" customHeight="1">
      <c r="A87" s="1585" t="s">
        <v>530</v>
      </c>
      <c r="B87" s="1332"/>
      <c r="C87" s="1332"/>
      <c r="D87" s="1332"/>
      <c r="E87" s="1332"/>
      <c r="F87" s="1332"/>
      <c r="G87" s="1319"/>
      <c r="H87" s="1319"/>
      <c r="I87" s="1319"/>
      <c r="J87" s="1278"/>
      <c r="K87" s="1332">
        <f>+K86/K12</f>
        <v>0.56256410256410261</v>
      </c>
      <c r="L87" s="1319"/>
      <c r="M87" s="1319"/>
      <c r="N87" s="1319"/>
      <c r="O87" s="1278"/>
      <c r="P87" s="1332">
        <f>+P86/P12</f>
        <v>0.54209541627689428</v>
      </c>
      <c r="Q87" s="1319"/>
      <c r="R87" s="1319"/>
      <c r="S87" s="1319"/>
      <c r="T87" s="1278"/>
      <c r="U87" s="1332">
        <f>+U86/U12</f>
        <v>0.47334175615919138</v>
      </c>
      <c r="V87" s="1319"/>
      <c r="W87" s="1319"/>
      <c r="X87" s="1319"/>
      <c r="Y87" s="1278"/>
      <c r="Z87" s="1332"/>
      <c r="AA87" s="1331"/>
      <c r="AB87" s="1331"/>
      <c r="AC87" s="1331"/>
      <c r="AD87" s="1331"/>
      <c r="AE87" s="1332"/>
      <c r="AF87" s="1331"/>
      <c r="AG87" s="1331"/>
      <c r="AH87" s="1331"/>
      <c r="AI87" s="1331"/>
      <c r="AJ87" s="1332"/>
      <c r="AK87" s="1331"/>
      <c r="AL87" s="1331"/>
      <c r="AM87" s="1331"/>
      <c r="AN87" s="1331"/>
      <c r="AO87" s="1332"/>
      <c r="AP87" s="1447"/>
      <c r="AQ87" s="1331"/>
      <c r="AR87" s="1447"/>
      <c r="AS87" s="1447"/>
      <c r="AT87" s="1332"/>
      <c r="AU87" s="1331"/>
      <c r="AV87" s="1331"/>
      <c r="AW87" s="1331"/>
      <c r="AX87" s="1331"/>
      <c r="AY87" s="1332"/>
      <c r="AZ87" s="1331">
        <f t="shared" ref="AZ87:CA87" si="98">+AZ86/AZ12</f>
        <v>0.47194719471947194</v>
      </c>
      <c r="BA87" s="1331">
        <f t="shared" si="98"/>
        <v>0.50075987841945291</v>
      </c>
      <c r="BB87" s="1331">
        <f t="shared" si="98"/>
        <v>0.47870528109028959</v>
      </c>
      <c r="BC87" s="1331">
        <f t="shared" si="98"/>
        <v>0.43847487001733104</v>
      </c>
      <c r="BD87" s="1332">
        <f t="shared" si="98"/>
        <v>0.47343492586490937</v>
      </c>
      <c r="BE87" s="1331">
        <f t="shared" si="98"/>
        <v>0.45471014492753625</v>
      </c>
      <c r="BF87" s="1331">
        <f t="shared" si="98"/>
        <v>0.53958944281524923</v>
      </c>
      <c r="BG87" s="1331">
        <f t="shared" si="98"/>
        <v>0.51401869158878499</v>
      </c>
      <c r="BH87" s="1331">
        <f t="shared" si="98"/>
        <v>0.4756838905775076</v>
      </c>
      <c r="BI87" s="1332">
        <f t="shared" si="98"/>
        <v>0.49802683504340961</v>
      </c>
      <c r="BJ87" s="1331">
        <f t="shared" si="98"/>
        <v>0.53081232492997199</v>
      </c>
      <c r="BK87" s="1331">
        <f t="shared" si="98"/>
        <v>0.53279785809906288</v>
      </c>
      <c r="BL87" s="1331">
        <f t="shared" si="98"/>
        <v>0.53044654939106906</v>
      </c>
      <c r="BM87" s="1331">
        <f t="shared" si="98"/>
        <v>0.5564005069708492</v>
      </c>
      <c r="BN87" s="1332">
        <f t="shared" si="98"/>
        <v>0.53797256607561061</v>
      </c>
      <c r="BO87" s="1331">
        <f t="shared" si="98"/>
        <v>0.54545454545454541</v>
      </c>
      <c r="BP87" s="1331">
        <f t="shared" si="98"/>
        <v>0.54310521891074848</v>
      </c>
      <c r="BQ87" s="1331">
        <f t="shared" si="98"/>
        <v>0.54013006659092966</v>
      </c>
      <c r="BR87" s="1331">
        <f t="shared" si="98"/>
        <v>0.55592707787624029</v>
      </c>
      <c r="BS87" s="1332">
        <f t="shared" si="98"/>
        <v>0.54619776805706544</v>
      </c>
      <c r="BT87" s="1331">
        <f t="shared" si="98"/>
        <v>0.54997195784718611</v>
      </c>
      <c r="BU87" s="1331">
        <f t="shared" si="98"/>
        <v>0.54910521891074848</v>
      </c>
      <c r="BV87" s="1331">
        <f t="shared" si="98"/>
        <v>0.54613006659092966</v>
      </c>
      <c r="BW87" s="1331">
        <f t="shared" si="98"/>
        <v>0.5619270778762403</v>
      </c>
      <c r="BX87" s="1332">
        <f t="shared" si="98"/>
        <v>0.55184359038626729</v>
      </c>
      <c r="BY87" s="1333">
        <f t="shared" si="98"/>
        <v>0.55478358030627617</v>
      </c>
      <c r="BZ87" s="1333">
        <f t="shared" si="98"/>
        <v>0.55778358030627617</v>
      </c>
      <c r="CA87" s="1333">
        <f t="shared" si="98"/>
        <v>0.56078358030627617</v>
      </c>
      <c r="CF87" s="1597" t="str">
        <f>+A87</f>
        <v>Adjusted Margin % (Operating)</v>
      </c>
      <c r="CG87" s="1333"/>
      <c r="CH87" s="1332"/>
      <c r="CI87" s="1332"/>
      <c r="CJ87" s="1332"/>
      <c r="CK87" s="1332"/>
      <c r="CL87" s="1332"/>
      <c r="CM87" s="1332"/>
      <c r="CN87" s="1332"/>
      <c r="CO87" s="1332"/>
      <c r="CP87" s="1332"/>
      <c r="CQ87" s="1332"/>
      <c r="CR87" s="1332"/>
      <c r="CS87" s="1332"/>
      <c r="CT87" s="1332"/>
      <c r="CU87" s="1332">
        <f>+BD87</f>
        <v>0.47343492586490937</v>
      </c>
      <c r="CV87" s="1439">
        <f>+BI87</f>
        <v>0.49802683504340961</v>
      </c>
      <c r="CW87" s="1332">
        <f>+BN87</f>
        <v>0.53797256607561061</v>
      </c>
      <c r="CX87" s="1332">
        <f>+BS87</f>
        <v>0.54619776805706544</v>
      </c>
      <c r="CY87" s="1332">
        <f t="shared" si="94"/>
        <v>0.55184359038626729</v>
      </c>
      <c r="CZ87" s="1333">
        <f t="shared" si="94"/>
        <v>0.55478358030627617</v>
      </c>
      <c r="DA87" s="1333">
        <f t="shared" si="94"/>
        <v>0.55778358030627617</v>
      </c>
      <c r="DB87" s="1333">
        <f t="shared" si="94"/>
        <v>0.56078358030627617</v>
      </c>
    </row>
    <row r="88" spans="1:106" ht="12" customHeight="1">
      <c r="B88" s="1264"/>
      <c r="C88" s="1264"/>
      <c r="D88" s="1264"/>
      <c r="E88" s="1264"/>
      <c r="F88" s="1264"/>
      <c r="G88" s="1265"/>
      <c r="H88" s="1266"/>
      <c r="I88" s="1266"/>
      <c r="J88" s="1266"/>
      <c r="K88" s="1264"/>
      <c r="L88" s="1266"/>
      <c r="M88" s="1266"/>
      <c r="N88" s="1266"/>
      <c r="O88" s="1266"/>
      <c r="P88" s="1264"/>
      <c r="Q88" s="1266"/>
      <c r="R88" s="1266"/>
      <c r="S88" s="1266"/>
      <c r="T88" s="1267"/>
      <c r="U88" s="1264"/>
      <c r="V88" s="1266"/>
      <c r="W88" s="1266"/>
      <c r="X88" s="1266"/>
      <c r="Y88" s="1267"/>
      <c r="Z88" s="1264"/>
      <c r="AA88" s="1266"/>
      <c r="AB88" s="1266"/>
      <c r="AC88" s="1266"/>
      <c r="AD88" s="1267"/>
      <c r="AE88" s="1269"/>
      <c r="AF88" s="1408"/>
      <c r="AG88" s="1408"/>
      <c r="AH88" s="1408"/>
      <c r="AI88" s="1408"/>
      <c r="AJ88" s="1342"/>
      <c r="AK88" s="1408"/>
      <c r="AL88" s="1408"/>
      <c r="AM88" s="1408"/>
      <c r="AN88" s="1408"/>
      <c r="AO88" s="1342"/>
      <c r="AP88" s="781"/>
      <c r="AQ88" s="1408"/>
      <c r="AR88" s="781"/>
      <c r="AS88" s="781"/>
      <c r="AT88" s="1342"/>
      <c r="AU88" s="1408"/>
      <c r="AV88" s="1408"/>
      <c r="AW88" s="1266"/>
      <c r="AX88" s="1266"/>
      <c r="AY88" s="1342"/>
      <c r="AZ88" s="1408"/>
      <c r="BA88" s="1266"/>
      <c r="BB88" s="1266"/>
      <c r="BC88" s="1266"/>
      <c r="BD88" s="1342"/>
      <c r="BE88" s="1410"/>
      <c r="BF88" s="1266"/>
      <c r="BG88" s="1266"/>
      <c r="BH88" s="1266"/>
      <c r="BI88" s="1342"/>
      <c r="BJ88" s="1410"/>
      <c r="BK88" s="1266"/>
      <c r="BL88" s="1266"/>
      <c r="BM88" s="1266"/>
      <c r="BN88" s="1342"/>
      <c r="BO88" s="2263"/>
      <c r="BP88" s="1266"/>
      <c r="BQ88" s="1266"/>
      <c r="BR88" s="1266"/>
      <c r="BS88" s="1342"/>
      <c r="BT88" s="1266"/>
      <c r="BU88" s="1266"/>
      <c r="BV88" s="1266"/>
      <c r="BW88" s="1266"/>
      <c r="BX88" s="1342"/>
      <c r="BY88" s="1272"/>
      <c r="BZ88" s="1272"/>
      <c r="CA88" s="1272"/>
      <c r="CF88" s="1423"/>
      <c r="CG88" s="1272"/>
      <c r="CH88" s="1264"/>
      <c r="CI88" s="1264"/>
      <c r="CJ88" s="1264"/>
      <c r="CK88" s="1264"/>
      <c r="CL88" s="1264"/>
      <c r="CM88" s="1269"/>
      <c r="CN88" s="1269"/>
      <c r="CO88" s="1269"/>
      <c r="CP88" s="1269"/>
      <c r="CQ88" s="1342"/>
      <c r="CR88" s="1342"/>
      <c r="CS88" s="1342"/>
      <c r="CT88" s="1342"/>
      <c r="CU88" s="1342"/>
      <c r="CV88" s="1488"/>
      <c r="CW88" s="1264"/>
      <c r="CX88" s="1264"/>
      <c r="CY88" s="1264"/>
      <c r="CZ88" s="1272"/>
      <c r="DA88" s="1272"/>
      <c r="DB88" s="1272"/>
    </row>
    <row r="89" spans="1:106" s="768" customFormat="1" ht="12" customHeight="1">
      <c r="A89" s="768" t="s">
        <v>290</v>
      </c>
      <c r="B89" s="741"/>
      <c r="C89" s="741"/>
      <c r="D89" s="741"/>
      <c r="E89" s="741"/>
      <c r="F89" s="741"/>
      <c r="G89" s="1319" t="s">
        <v>249</v>
      </c>
      <c r="H89" s="1319" t="s">
        <v>249</v>
      </c>
      <c r="I89" s="1319" t="s">
        <v>249</v>
      </c>
      <c r="J89" s="1276" t="s">
        <v>249</v>
      </c>
      <c r="K89" s="1291">
        <v>111</v>
      </c>
      <c r="L89" s="1319" t="s">
        <v>249</v>
      </c>
      <c r="M89" s="1319" t="s">
        <v>249</v>
      </c>
      <c r="N89" s="1319" t="s">
        <v>249</v>
      </c>
      <c r="O89" s="1278" t="s">
        <v>249</v>
      </c>
      <c r="P89" s="1291">
        <v>211</v>
      </c>
      <c r="Q89" s="1319" t="s">
        <v>249</v>
      </c>
      <c r="R89" s="1319" t="s">
        <v>249</v>
      </c>
      <c r="S89" s="1319" t="s">
        <v>249</v>
      </c>
      <c r="T89" s="1278" t="s">
        <v>249</v>
      </c>
      <c r="U89" s="1291">
        <v>321.10000000000002</v>
      </c>
      <c r="V89" s="1319" t="s">
        <v>249</v>
      </c>
      <c r="W89" s="1319" t="s">
        <v>249</v>
      </c>
      <c r="X89" s="1319" t="s">
        <v>249</v>
      </c>
      <c r="Y89" s="1278" t="s">
        <v>249</v>
      </c>
      <c r="Z89" s="1291">
        <v>302</v>
      </c>
      <c r="AA89" s="1320">
        <v>71</v>
      </c>
      <c r="AB89" s="1320">
        <v>83</v>
      </c>
      <c r="AC89" s="1320">
        <v>86</v>
      </c>
      <c r="AD89" s="1320">
        <v>75</v>
      </c>
      <c r="AE89" s="1318">
        <f>SUM(AA89:AD89)</f>
        <v>315</v>
      </c>
      <c r="AF89" s="768">
        <f>AF14-AF50</f>
        <v>-152</v>
      </c>
      <c r="AG89" s="768">
        <f>AG14-AG50</f>
        <v>-155</v>
      </c>
      <c r="AH89" s="768">
        <f>AH14-AH50</f>
        <v>-149</v>
      </c>
      <c r="AI89" s="768">
        <f>AI14-AI50</f>
        <v>43</v>
      </c>
      <c r="AJ89" s="1291">
        <f>SUM(AF89:AI89)</f>
        <v>-413</v>
      </c>
      <c r="AK89" s="768">
        <f>AK14-AK50</f>
        <v>45</v>
      </c>
      <c r="AL89" s="768">
        <f>AL14-AL50</f>
        <v>56</v>
      </c>
      <c r="AM89" s="768">
        <f>AM14-AM50</f>
        <v>65</v>
      </c>
      <c r="AN89" s="768">
        <f>AN14-AN50</f>
        <v>67</v>
      </c>
      <c r="AO89" s="1291">
        <f>SUM(AK89:AN89)</f>
        <v>233</v>
      </c>
      <c r="AP89" s="1254">
        <f>AP14-AP50</f>
        <v>64</v>
      </c>
      <c r="AQ89" s="768">
        <f>AQ14-AQ50</f>
        <v>77</v>
      </c>
      <c r="AR89" s="1254">
        <f>AR14-AR50</f>
        <v>77</v>
      </c>
      <c r="AS89" s="1254">
        <f>AS14-AS50</f>
        <v>47</v>
      </c>
      <c r="AT89" s="1291">
        <f>SUM(AP89:AS89)</f>
        <v>265</v>
      </c>
      <c r="AU89" s="2019">
        <v>91</v>
      </c>
      <c r="AV89" s="768">
        <f>AV14-AV50</f>
        <v>82</v>
      </c>
      <c r="AW89" s="768">
        <f>AW14-AW50</f>
        <v>90</v>
      </c>
      <c r="AX89" s="768">
        <f>AX14-AX50</f>
        <v>87</v>
      </c>
      <c r="AY89" s="1291">
        <f>SUM(AU89:AX89)</f>
        <v>350</v>
      </c>
      <c r="AZ89" s="2019">
        <v>95</v>
      </c>
      <c r="BA89" s="2019">
        <v>96</v>
      </c>
      <c r="BB89" s="2019">
        <f>BB14-BB50</f>
        <v>106</v>
      </c>
      <c r="BC89" s="2019">
        <f>BC14-BC50</f>
        <v>93</v>
      </c>
      <c r="BD89" s="1291">
        <f>SUM(AZ89:BC89)</f>
        <v>390</v>
      </c>
      <c r="BE89" s="768">
        <f>BE14-BE50</f>
        <v>101</v>
      </c>
      <c r="BF89" s="2019">
        <v>100</v>
      </c>
      <c r="BG89" s="2018">
        <v>107</v>
      </c>
      <c r="BH89" s="2018">
        <v>104</v>
      </c>
      <c r="BI89" s="1291">
        <f>SUM(BE89:BH89)</f>
        <v>412</v>
      </c>
      <c r="BJ89" s="2018">
        <v>115</v>
      </c>
      <c r="BK89" s="2019">
        <v>119</v>
      </c>
      <c r="BL89" s="2075">
        <v>119</v>
      </c>
      <c r="BM89" s="2175">
        <v>119</v>
      </c>
      <c r="BN89" s="1291">
        <f>SUM(BJ89:BM89)</f>
        <v>472</v>
      </c>
      <c r="BO89" s="2175">
        <v>147</v>
      </c>
      <c r="BP89" s="768">
        <f>+BP90*BP14</f>
        <v>136.7062520468516</v>
      </c>
      <c r="BQ89" s="768">
        <f>+BQ90*BQ14</f>
        <v>134.74402295962426</v>
      </c>
      <c r="BR89" s="768">
        <f>+BR90*BR14</f>
        <v>135.34486253333932</v>
      </c>
      <c r="BS89" s="1291">
        <f>SUM(BO89:BR89)</f>
        <v>553.79513753981519</v>
      </c>
      <c r="BT89" s="768">
        <f>+BT90*BT14</f>
        <v>152.85100739952642</v>
      </c>
      <c r="BU89" s="768">
        <f>+BU90*BU14</f>
        <v>150.68698905766715</v>
      </c>
      <c r="BV89" s="768">
        <f>+BV90*BV14</f>
        <v>150.08835572101376</v>
      </c>
      <c r="BW89" s="768">
        <f>+BW90*BW14</f>
        <v>150.2808931935981</v>
      </c>
      <c r="BX89" s="1291">
        <f>SUM(BT89:BW89)</f>
        <v>603.9072453718054</v>
      </c>
      <c r="BY89" s="1550">
        <f>+BY90*BY14</f>
        <v>656.41498846378317</v>
      </c>
      <c r="BZ89" s="1550">
        <f>+BZ90*BZ14</f>
        <v>712.67570014652586</v>
      </c>
      <c r="CA89" s="1550">
        <f>+CA90*CA14</f>
        <v>769.31327348417176</v>
      </c>
      <c r="CF89" s="1291" t="str">
        <f>+A89</f>
        <v>S&amp;P Dow Jones Indices</v>
      </c>
      <c r="CG89" s="744"/>
      <c r="CH89" s="741"/>
      <c r="CI89" s="741"/>
      <c r="CJ89" s="741"/>
      <c r="CK89" s="741"/>
      <c r="CL89" s="1291">
        <f>+K89</f>
        <v>111</v>
      </c>
      <c r="CM89" s="1318">
        <f>+P89</f>
        <v>211</v>
      </c>
      <c r="CN89" s="1318">
        <f>+U89</f>
        <v>321.10000000000002</v>
      </c>
      <c r="CO89" s="1318">
        <f>+Z89</f>
        <v>302</v>
      </c>
      <c r="CP89" s="1318">
        <f>+AE89</f>
        <v>315</v>
      </c>
      <c r="CQ89" s="1291">
        <f>+AJ89</f>
        <v>-413</v>
      </c>
      <c r="CR89" s="1291">
        <f>+AO89</f>
        <v>233</v>
      </c>
      <c r="CS89" s="1291">
        <f>+AT89</f>
        <v>265</v>
      </c>
      <c r="CT89" s="1291">
        <f>+AY89</f>
        <v>350</v>
      </c>
      <c r="CU89" s="1291">
        <f>+BD89</f>
        <v>390</v>
      </c>
      <c r="CV89" s="1289">
        <f>+BI89</f>
        <v>412</v>
      </c>
      <c r="CW89" s="1291">
        <f>+BN89</f>
        <v>472</v>
      </c>
      <c r="CX89" s="1291">
        <f>+BS89</f>
        <v>553.79513753981519</v>
      </c>
      <c r="CY89" s="1291">
        <f t="shared" ref="CY89:DB90" si="99">+BX89</f>
        <v>603.9072453718054</v>
      </c>
      <c r="CZ89" s="1550">
        <f t="shared" si="99"/>
        <v>656.41498846378317</v>
      </c>
      <c r="DA89" s="1550">
        <f t="shared" si="99"/>
        <v>712.67570014652586</v>
      </c>
      <c r="DB89" s="1550">
        <f t="shared" si="99"/>
        <v>769.31327348417176</v>
      </c>
    </row>
    <row r="90" spans="1:106" s="1437" customFormat="1" ht="12" customHeight="1">
      <c r="A90" s="1585" t="s">
        <v>531</v>
      </c>
      <c r="B90" s="1332"/>
      <c r="C90" s="1332"/>
      <c r="D90" s="1332"/>
      <c r="E90" s="1332"/>
      <c r="F90" s="1332"/>
      <c r="G90" s="1319"/>
      <c r="H90" s="1319"/>
      <c r="I90" s="1319"/>
      <c r="J90" s="1276"/>
      <c r="K90" s="1332">
        <f>K89/K20</f>
        <v>0.13470873786407767</v>
      </c>
      <c r="L90" s="1319"/>
      <c r="M90" s="1319"/>
      <c r="N90" s="1319"/>
      <c r="O90" s="1278"/>
      <c r="P90" s="1332"/>
      <c r="Q90" s="1319"/>
      <c r="R90" s="1319"/>
      <c r="S90" s="1319"/>
      <c r="T90" s="1278"/>
      <c r="U90" s="1332"/>
      <c r="V90" s="1319"/>
      <c r="W90" s="1319"/>
      <c r="X90" s="1319"/>
      <c r="Y90" s="1278"/>
      <c r="Z90" s="1332"/>
      <c r="AA90" s="1331">
        <f t="shared" ref="AA90:BJ90" si="100">AA89/AA14</f>
        <v>1.126984126984127</v>
      </c>
      <c r="AB90" s="1331">
        <f t="shared" si="100"/>
        <v>1.1857142857142857</v>
      </c>
      <c r="AC90" s="1331">
        <f t="shared" si="100"/>
        <v>1.2835820895522387</v>
      </c>
      <c r="AD90" s="1331">
        <f t="shared" si="100"/>
        <v>1.0273972602739727</v>
      </c>
      <c r="AE90" s="1332">
        <f t="shared" si="100"/>
        <v>1.1538461538461537</v>
      </c>
      <c r="AF90" s="1331">
        <f t="shared" si="100"/>
        <v>-2</v>
      </c>
      <c r="AG90" s="1331">
        <f t="shared" si="100"/>
        <v>-1.9375</v>
      </c>
      <c r="AH90" s="1331">
        <f t="shared" si="100"/>
        <v>-1.7126436781609196</v>
      </c>
      <c r="AI90" s="1331">
        <f t="shared" si="100"/>
        <v>0.53749999999999998</v>
      </c>
      <c r="AJ90" s="1332">
        <f t="shared" si="100"/>
        <v>-1.2786377708978329</v>
      </c>
      <c r="AK90" s="1331">
        <f t="shared" si="100"/>
        <v>0.569620253164557</v>
      </c>
      <c r="AL90" s="1331">
        <f t="shared" si="100"/>
        <v>0.6292134831460674</v>
      </c>
      <c r="AM90" s="1331">
        <f t="shared" si="100"/>
        <v>0.59633027522935778</v>
      </c>
      <c r="AN90" s="1331">
        <f t="shared" si="100"/>
        <v>0.60909090909090913</v>
      </c>
      <c r="AO90" s="1332">
        <f t="shared" si="100"/>
        <v>0.6020671834625323</v>
      </c>
      <c r="AP90" s="1447">
        <f t="shared" si="100"/>
        <v>0.55652173913043479</v>
      </c>
      <c r="AQ90" s="1331">
        <f t="shared" si="100"/>
        <v>0.62601626016260159</v>
      </c>
      <c r="AR90" s="1447">
        <f t="shared" si="100"/>
        <v>0.62096774193548387</v>
      </c>
      <c r="AS90" s="1447">
        <f t="shared" si="100"/>
        <v>0.36153846153846153</v>
      </c>
      <c r="AT90" s="1332">
        <f t="shared" si="100"/>
        <v>0.53861788617886175</v>
      </c>
      <c r="AU90" s="1331">
        <f t="shared" si="100"/>
        <v>0.66423357664233573</v>
      </c>
      <c r="AV90" s="1331">
        <f t="shared" si="100"/>
        <v>0.61654135338345861</v>
      </c>
      <c r="AW90" s="1331">
        <f t="shared" si="100"/>
        <v>0.62937062937062938</v>
      </c>
      <c r="AX90" s="1331">
        <f t="shared" si="100"/>
        <v>0.62142857142857144</v>
      </c>
      <c r="AY90" s="1332">
        <f t="shared" si="100"/>
        <v>0.63291139240506333</v>
      </c>
      <c r="AZ90" s="1331">
        <f t="shared" si="100"/>
        <v>0.66433566433566438</v>
      </c>
      <c r="BA90" s="1331">
        <f t="shared" si="100"/>
        <v>0.64864864864864868</v>
      </c>
      <c r="BB90" s="1331">
        <f t="shared" si="100"/>
        <v>0.67948717948717952</v>
      </c>
      <c r="BC90" s="1331">
        <f t="shared" si="100"/>
        <v>0.62</v>
      </c>
      <c r="BD90" s="1332">
        <f t="shared" si="100"/>
        <v>0.65326633165829151</v>
      </c>
      <c r="BE90" s="1331">
        <f t="shared" si="100"/>
        <v>0.66887417218543044</v>
      </c>
      <c r="BF90" s="1331">
        <f t="shared" si="100"/>
        <v>0.65359477124183007</v>
      </c>
      <c r="BG90" s="1331">
        <f t="shared" si="100"/>
        <v>0.65243902439024393</v>
      </c>
      <c r="BH90" s="1447">
        <f t="shared" si="100"/>
        <v>0.60818713450292394</v>
      </c>
      <c r="BI90" s="1332">
        <f t="shared" si="100"/>
        <v>0.64475743348982784</v>
      </c>
      <c r="BJ90" s="1331">
        <f t="shared" si="100"/>
        <v>0.67251461988304095</v>
      </c>
      <c r="BK90" s="1331">
        <f>BK89/BK14</f>
        <v>0.64673913043478259</v>
      </c>
      <c r="BL90" s="1331">
        <f>BL89/BL14</f>
        <v>0.63636363636363635</v>
      </c>
      <c r="BM90" s="1331">
        <f>BM89/BM14</f>
        <v>0.62303664921465973</v>
      </c>
      <c r="BN90" s="1332">
        <f>BN89/BN14</f>
        <v>0.64392905866302863</v>
      </c>
      <c r="BO90" s="1331">
        <f t="shared" ref="BO90" si="101">BO89/BO14</f>
        <v>0.68691588785046731</v>
      </c>
      <c r="BP90" s="1331">
        <f>CHOOSE(MHFI!$A$3,BP91,BP92,BP93)</f>
        <v>0.6517391304347826</v>
      </c>
      <c r="BQ90" s="1331">
        <f>CHOOSE(MHFI!$A$3,BQ91,BQ92,BQ93)</f>
        <v>0.64136363636363636</v>
      </c>
      <c r="BR90" s="1331">
        <f>CHOOSE(MHFI!$A$3,BR91,BR92,BR93)</f>
        <v>0.62803664921465974</v>
      </c>
      <c r="BS90" s="1332">
        <f>BS89/BS14</f>
        <v>0.65202174981692174</v>
      </c>
      <c r="BT90" s="1331">
        <f>CHOOSE(MHFI!$A$3,BT91,BT92,BT93)</f>
        <v>0.69191588785046731</v>
      </c>
      <c r="BU90" s="1331">
        <f>CHOOSE(MHFI!$A$3,BU91,BU92,BU93)</f>
        <v>0.6567391304347826</v>
      </c>
      <c r="BV90" s="1331">
        <f>CHOOSE(MHFI!$A$3,BV91,BV92,BV93)</f>
        <v>0.64636363636363636</v>
      </c>
      <c r="BW90" s="1331">
        <f>CHOOSE(MHFI!$A$3,BW91,BW92,BW93)</f>
        <v>0.63303664921465974</v>
      </c>
      <c r="BX90" s="1332">
        <f>BX89/BX14</f>
        <v>0.65645081680816275</v>
      </c>
      <c r="BY90" s="1333">
        <f>CHOOSE(MHFI!$A$3,BY91,BY92,BY93)</f>
        <v>0.66201382596588643</v>
      </c>
      <c r="BZ90" s="1333">
        <f>CHOOSE(MHFI!$A$3,BZ91,BZ92,BZ93)</f>
        <v>0.66701382596588643</v>
      </c>
      <c r="CA90" s="1333">
        <f>CHOOSE(MHFI!$A$3,CA91,CA92,CA93)</f>
        <v>0.67201382596588644</v>
      </c>
      <c r="CF90" s="1586" t="str">
        <f>+A90</f>
        <v>Margin % (Incl deal amort)</v>
      </c>
      <c r="CG90" s="1333"/>
      <c r="CH90" s="1332"/>
      <c r="CI90" s="1332"/>
      <c r="CJ90" s="1332"/>
      <c r="CK90" s="1332"/>
      <c r="CL90" s="1332">
        <f>+K90</f>
        <v>0.13470873786407767</v>
      </c>
      <c r="CM90" s="1332"/>
      <c r="CN90" s="1332"/>
      <c r="CO90" s="1332"/>
      <c r="CP90" s="1332">
        <f>+AE90</f>
        <v>1.1538461538461537</v>
      </c>
      <c r="CQ90" s="1332">
        <f>+AJ90</f>
        <v>-1.2786377708978329</v>
      </c>
      <c r="CR90" s="1332">
        <f>+AO90</f>
        <v>0.6020671834625323</v>
      </c>
      <c r="CS90" s="1332">
        <f>+AT90</f>
        <v>0.53861788617886175</v>
      </c>
      <c r="CT90" s="1332">
        <f>+AY90</f>
        <v>0.63291139240506333</v>
      </c>
      <c r="CU90" s="1332">
        <f>+BD90</f>
        <v>0.65326633165829151</v>
      </c>
      <c r="CV90" s="1439">
        <f>+BI90</f>
        <v>0.64475743348982784</v>
      </c>
      <c r="CW90" s="1332">
        <f>+BN90</f>
        <v>0.64392905866302863</v>
      </c>
      <c r="CX90" s="1332">
        <f>+BS90</f>
        <v>0.65202174981692174</v>
      </c>
      <c r="CY90" s="1332">
        <f t="shared" si="99"/>
        <v>0.65645081680816275</v>
      </c>
      <c r="CZ90" s="1333">
        <f t="shared" si="99"/>
        <v>0.66201382596588643</v>
      </c>
      <c r="DA90" s="1333">
        <f t="shared" si="99"/>
        <v>0.66701382596588643</v>
      </c>
      <c r="DB90" s="1333">
        <f t="shared" si="99"/>
        <v>0.67201382596588644</v>
      </c>
    </row>
    <row r="91" spans="1:106" ht="12" hidden="1" customHeight="1" outlineLevel="1">
      <c r="A91" s="1587" t="s">
        <v>213</v>
      </c>
      <c r="B91" s="757"/>
      <c r="C91" s="757"/>
      <c r="D91" s="757"/>
      <c r="E91" s="757"/>
      <c r="F91" s="757"/>
      <c r="G91" s="1588"/>
      <c r="H91" s="1588"/>
      <c r="I91" s="1588"/>
      <c r="J91" s="1589"/>
      <c r="K91" s="1589"/>
      <c r="L91" s="1588"/>
      <c r="M91" s="1588"/>
      <c r="N91" s="1588"/>
      <c r="O91" s="1589"/>
      <c r="P91" s="1589"/>
      <c r="Q91" s="1588"/>
      <c r="R91" s="1588"/>
      <c r="S91" s="1588"/>
      <c r="T91" s="1589"/>
      <c r="U91" s="1589"/>
      <c r="V91" s="1588"/>
      <c r="W91" s="1588"/>
      <c r="X91" s="1588"/>
      <c r="Y91" s="1589"/>
      <c r="Z91" s="1589"/>
      <c r="AA91" s="1588"/>
      <c r="AB91" s="1588"/>
      <c r="AC91" s="1588"/>
      <c r="AD91" s="1589"/>
      <c r="AE91" s="1589"/>
      <c r="AF91" s="1588"/>
      <c r="AG91" s="1588"/>
      <c r="AH91" s="1588"/>
      <c r="AI91" s="1589"/>
      <c r="AJ91" s="1589"/>
      <c r="AK91" s="1588"/>
      <c r="AL91" s="1588"/>
      <c r="AM91" s="1588"/>
      <c r="AN91" s="1589"/>
      <c r="AO91" s="1589"/>
      <c r="AP91" s="1588"/>
      <c r="AQ91" s="1588"/>
      <c r="AR91" s="1588"/>
      <c r="AS91" s="1589"/>
      <c r="AT91" s="1589"/>
      <c r="AU91" s="1588"/>
      <c r="AV91" s="1588"/>
      <c r="AW91" s="758"/>
      <c r="AX91" s="758"/>
      <c r="AY91" s="759"/>
      <c r="AZ91" s="1588"/>
      <c r="BA91" s="758"/>
      <c r="BB91" s="760"/>
      <c r="BC91" s="758"/>
      <c r="BD91" s="761"/>
      <c r="BE91" s="758"/>
      <c r="BF91" s="758"/>
      <c r="BG91" s="758"/>
      <c r="BH91" s="758"/>
      <c r="BI91" s="761"/>
      <c r="BJ91" s="758"/>
      <c r="BK91" s="758"/>
      <c r="BL91" s="758"/>
      <c r="BM91" s="758"/>
      <c r="BN91" s="759"/>
      <c r="BO91" s="758"/>
      <c r="BP91" s="758">
        <f>+BP92-0.02</f>
        <v>0.63173913043478258</v>
      </c>
      <c r="BQ91" s="758">
        <f>+BQ92-0.02</f>
        <v>0.62136363636363634</v>
      </c>
      <c r="BR91" s="758">
        <f>+BR92-0.02</f>
        <v>0.60803664921465972</v>
      </c>
      <c r="BS91" s="759"/>
      <c r="BT91" s="758">
        <f t="shared" ref="BT91:BW91" si="102">+BT92-0.03</f>
        <v>0.66191588785046729</v>
      </c>
      <c r="BU91" s="758">
        <f t="shared" si="102"/>
        <v>0.62673913043478258</v>
      </c>
      <c r="BV91" s="758">
        <f t="shared" si="102"/>
        <v>0.61636363636363634</v>
      </c>
      <c r="BW91" s="758">
        <f t="shared" si="102"/>
        <v>0.60303664921465971</v>
      </c>
      <c r="BX91" s="759"/>
      <c r="BY91" s="759">
        <f>BY92-0.035</f>
        <v>0.6270138259658864</v>
      </c>
      <c r="BZ91" s="759">
        <f>BZ92-0.04</f>
        <v>0.6270138259658864</v>
      </c>
      <c r="CA91" s="759">
        <f>CA92-0.045</f>
        <v>0.6270138259658864</v>
      </c>
      <c r="CF91" s="1590"/>
      <c r="CG91" s="1591"/>
      <c r="CH91" s="1592"/>
      <c r="CI91" s="1592"/>
      <c r="CJ91" s="1592"/>
      <c r="CK91" s="1592"/>
      <c r="CL91" s="1593"/>
      <c r="CM91" s="1593"/>
      <c r="CN91" s="1593"/>
      <c r="CO91" s="1593"/>
      <c r="CP91" s="1593"/>
      <c r="CQ91" s="1593"/>
      <c r="CR91" s="1593"/>
      <c r="CS91" s="1593"/>
      <c r="CT91" s="1594"/>
      <c r="CU91" s="1594"/>
      <c r="CV91" s="1595"/>
      <c r="CW91" s="1594"/>
      <c r="CX91" s="1594"/>
      <c r="CY91" s="1594"/>
      <c r="CZ91" s="1596"/>
      <c r="DA91" s="1596"/>
      <c r="DB91" s="1596"/>
    </row>
    <row r="92" spans="1:106" ht="12" hidden="1" customHeight="1" outlineLevel="1">
      <c r="A92" s="1587" t="s">
        <v>214</v>
      </c>
      <c r="B92" s="757"/>
      <c r="C92" s="757"/>
      <c r="D92" s="757"/>
      <c r="E92" s="757"/>
      <c r="F92" s="757"/>
      <c r="G92" s="1588"/>
      <c r="H92" s="1588"/>
      <c r="I92" s="1588"/>
      <c r="J92" s="1589"/>
      <c r="K92" s="1589"/>
      <c r="L92" s="1588"/>
      <c r="M92" s="1588"/>
      <c r="N92" s="1588"/>
      <c r="O92" s="1589"/>
      <c r="P92" s="1589"/>
      <c r="Q92" s="1588"/>
      <c r="R92" s="1588"/>
      <c r="S92" s="1588"/>
      <c r="T92" s="1589"/>
      <c r="U92" s="1589"/>
      <c r="V92" s="1588"/>
      <c r="W92" s="1588"/>
      <c r="X92" s="1588"/>
      <c r="Y92" s="1589"/>
      <c r="Z92" s="1589"/>
      <c r="AA92" s="1588"/>
      <c r="AB92" s="1588"/>
      <c r="AC92" s="1588"/>
      <c r="AD92" s="1589"/>
      <c r="AE92" s="1589"/>
      <c r="AF92" s="1588"/>
      <c r="AG92" s="1588"/>
      <c r="AH92" s="1588"/>
      <c r="AI92" s="1589"/>
      <c r="AJ92" s="1589"/>
      <c r="AK92" s="1588"/>
      <c r="AL92" s="1588"/>
      <c r="AM92" s="1588"/>
      <c r="AN92" s="1589"/>
      <c r="AO92" s="1589"/>
      <c r="AP92" s="1588"/>
      <c r="AQ92" s="1588"/>
      <c r="AR92" s="1588"/>
      <c r="AS92" s="1589"/>
      <c r="AT92" s="1589"/>
      <c r="AU92" s="1588"/>
      <c r="AV92" s="1588"/>
      <c r="AW92" s="758"/>
      <c r="AX92" s="758"/>
      <c r="AY92" s="759"/>
      <c r="AZ92" s="1588"/>
      <c r="BA92" s="758"/>
      <c r="BB92" s="760"/>
      <c r="BC92" s="758"/>
      <c r="BD92" s="761"/>
      <c r="BE92" s="758"/>
      <c r="BF92" s="758"/>
      <c r="BG92" s="758"/>
      <c r="BH92" s="758"/>
      <c r="BI92" s="761"/>
      <c r="BJ92" s="758">
        <f>BJ90</f>
        <v>0.67251461988304095</v>
      </c>
      <c r="BK92" s="758">
        <f>BK90</f>
        <v>0.64673913043478259</v>
      </c>
      <c r="BL92" s="758">
        <f>BL90</f>
        <v>0.63636363636363635</v>
      </c>
      <c r="BM92" s="758">
        <f>BM90</f>
        <v>0.62303664921465973</v>
      </c>
      <c r="BN92" s="759"/>
      <c r="BO92" s="758">
        <f>BO90</f>
        <v>0.68691588785046731</v>
      </c>
      <c r="BP92" s="758">
        <f>+BK92+0.005</f>
        <v>0.6517391304347826</v>
      </c>
      <c r="BQ92" s="758">
        <f>+BL92+0.005</f>
        <v>0.64136363636363636</v>
      </c>
      <c r="BR92" s="758">
        <f>+BM92+0.005</f>
        <v>0.62803664921465974</v>
      </c>
      <c r="BS92" s="759"/>
      <c r="BT92" s="758">
        <f>BO92+0.005</f>
        <v>0.69191588785046731</v>
      </c>
      <c r="BU92" s="758">
        <f t="shared" ref="BU92:BW92" si="103">BP92+0.005</f>
        <v>0.6567391304347826</v>
      </c>
      <c r="BV92" s="758">
        <f t="shared" si="103"/>
        <v>0.64636363636363636</v>
      </c>
      <c r="BW92" s="758">
        <f t="shared" si="103"/>
        <v>0.63303664921465974</v>
      </c>
      <c r="BX92" s="759"/>
      <c r="BY92" s="759">
        <f>+AVERAGE(BT92:BW92)+0.005</f>
        <v>0.66201382596588643</v>
      </c>
      <c r="BZ92" s="759">
        <f>+BY92+0.005</f>
        <v>0.66701382596588643</v>
      </c>
      <c r="CA92" s="759">
        <f>+BZ92+0.005</f>
        <v>0.67201382596588644</v>
      </c>
      <c r="CF92" s="1590"/>
      <c r="CG92" s="1591"/>
      <c r="CH92" s="1592"/>
      <c r="CI92" s="1592"/>
      <c r="CJ92" s="1592"/>
      <c r="CK92" s="1592"/>
      <c r="CL92" s="1593"/>
      <c r="CM92" s="1593"/>
      <c r="CN92" s="1593"/>
      <c r="CO92" s="1593"/>
      <c r="CP92" s="1593"/>
      <c r="CQ92" s="1593"/>
      <c r="CR92" s="1593"/>
      <c r="CS92" s="1593"/>
      <c r="CT92" s="1594"/>
      <c r="CU92" s="1594"/>
      <c r="CV92" s="1595"/>
      <c r="CW92" s="1594"/>
      <c r="CX92" s="1594"/>
      <c r="CY92" s="1594"/>
      <c r="CZ92" s="1596"/>
      <c r="DA92" s="1596"/>
      <c r="DB92" s="1596"/>
    </row>
    <row r="93" spans="1:106" ht="12" hidden="1" customHeight="1" outlineLevel="1">
      <c r="A93" s="1587" t="s">
        <v>215</v>
      </c>
      <c r="B93" s="757"/>
      <c r="C93" s="757"/>
      <c r="D93" s="757"/>
      <c r="E93" s="757"/>
      <c r="F93" s="757"/>
      <c r="G93" s="1588"/>
      <c r="H93" s="1588"/>
      <c r="I93" s="1588"/>
      <c r="J93" s="1589"/>
      <c r="K93" s="1589"/>
      <c r="L93" s="1588"/>
      <c r="M93" s="1588"/>
      <c r="N93" s="1588"/>
      <c r="O93" s="1589"/>
      <c r="P93" s="1589"/>
      <c r="Q93" s="1588"/>
      <c r="R93" s="1588"/>
      <c r="S93" s="1588"/>
      <c r="T93" s="1589"/>
      <c r="U93" s="1589"/>
      <c r="V93" s="1588"/>
      <c r="W93" s="1588"/>
      <c r="X93" s="1588"/>
      <c r="Y93" s="1589"/>
      <c r="Z93" s="1589"/>
      <c r="AA93" s="1588"/>
      <c r="AB93" s="1588"/>
      <c r="AC93" s="1588"/>
      <c r="AD93" s="1589"/>
      <c r="AE93" s="1589"/>
      <c r="AF93" s="1588"/>
      <c r="AG93" s="1588"/>
      <c r="AH93" s="1588"/>
      <c r="AI93" s="1589"/>
      <c r="AJ93" s="1589"/>
      <c r="AK93" s="1588"/>
      <c r="AL93" s="1588"/>
      <c r="AM93" s="1588"/>
      <c r="AN93" s="1589"/>
      <c r="AO93" s="1589"/>
      <c r="AP93" s="1588"/>
      <c r="AQ93" s="1588"/>
      <c r="AR93" s="1588"/>
      <c r="AS93" s="1589"/>
      <c r="AT93" s="1589"/>
      <c r="AU93" s="1588"/>
      <c r="AV93" s="1588"/>
      <c r="AW93" s="758"/>
      <c r="AX93" s="758"/>
      <c r="AY93" s="759"/>
      <c r="AZ93" s="1588"/>
      <c r="BA93" s="758"/>
      <c r="BB93" s="760"/>
      <c r="BC93" s="758"/>
      <c r="BD93" s="761"/>
      <c r="BE93" s="758"/>
      <c r="BF93" s="758"/>
      <c r="BG93" s="758"/>
      <c r="BH93" s="758"/>
      <c r="BI93" s="761"/>
      <c r="BJ93" s="758"/>
      <c r="BK93" s="758"/>
      <c r="BL93" s="758"/>
      <c r="BM93" s="758"/>
      <c r="BN93" s="759"/>
      <c r="BO93" s="758"/>
      <c r="BP93" s="758">
        <f>+BP92+0.015</f>
        <v>0.66673913043478261</v>
      </c>
      <c r="BQ93" s="758">
        <f>+BQ92+0.015</f>
        <v>0.65636363636363637</v>
      </c>
      <c r="BR93" s="758">
        <f>+BR92+0.015</f>
        <v>0.64303664921465975</v>
      </c>
      <c r="BS93" s="759"/>
      <c r="BT93" s="758">
        <f t="shared" ref="BT93:BW93" si="104">+BT92+0.02</f>
        <v>0.71191588785046733</v>
      </c>
      <c r="BU93" s="758">
        <f t="shared" si="104"/>
        <v>0.67673913043478262</v>
      </c>
      <c r="BV93" s="758">
        <f t="shared" si="104"/>
        <v>0.66636363636363638</v>
      </c>
      <c r="BW93" s="758">
        <f t="shared" si="104"/>
        <v>0.65303664921465976</v>
      </c>
      <c r="BX93" s="759"/>
      <c r="BY93" s="759">
        <f>+BY92+0.02</f>
        <v>0.68201382596588644</v>
      </c>
      <c r="BZ93" s="759">
        <f>+BZ92+0.02</f>
        <v>0.68701382596588645</v>
      </c>
      <c r="CA93" s="759">
        <f>+CA92+0.02</f>
        <v>0.69201382596588645</v>
      </c>
      <c r="CF93" s="1590"/>
      <c r="CG93" s="1591"/>
      <c r="CH93" s="1592"/>
      <c r="CI93" s="1592"/>
      <c r="CJ93" s="1592"/>
      <c r="CK93" s="1592"/>
      <c r="CL93" s="1593"/>
      <c r="CM93" s="1593"/>
      <c r="CN93" s="1593"/>
      <c r="CO93" s="1593"/>
      <c r="CP93" s="1593"/>
      <c r="CQ93" s="1593"/>
      <c r="CR93" s="1593"/>
      <c r="CS93" s="1593"/>
      <c r="CT93" s="1594"/>
      <c r="CU93" s="1594"/>
      <c r="CV93" s="1595"/>
      <c r="CW93" s="1594"/>
      <c r="CX93" s="1594"/>
      <c r="CY93" s="1594"/>
      <c r="CZ93" s="1596"/>
      <c r="DA93" s="1596"/>
      <c r="DB93" s="1596"/>
    </row>
    <row r="94" spans="1:106" s="768" customFormat="1" ht="12" customHeight="1" collapsed="1">
      <c r="A94" s="762" t="s">
        <v>316</v>
      </c>
      <c r="B94" s="741"/>
      <c r="C94" s="741"/>
      <c r="D94" s="741"/>
      <c r="E94" s="741"/>
      <c r="F94" s="741"/>
      <c r="G94" s="1319"/>
      <c r="H94" s="1319"/>
      <c r="I94" s="1319"/>
      <c r="J94" s="1278"/>
      <c r="K94" s="1291"/>
      <c r="L94" s="1319"/>
      <c r="M94" s="1319"/>
      <c r="N94" s="1319"/>
      <c r="O94" s="1278"/>
      <c r="P94" s="1291"/>
      <c r="Q94" s="1319"/>
      <c r="R94" s="1319"/>
      <c r="S94" s="1319"/>
      <c r="T94" s="1278"/>
      <c r="U94" s="1291"/>
      <c r="V94" s="1319"/>
      <c r="W94" s="1319"/>
      <c r="X94" s="1319"/>
      <c r="Y94" s="1278"/>
      <c r="Z94" s="1291"/>
      <c r="AA94" s="1320"/>
      <c r="AB94" s="1320"/>
      <c r="AC94" s="1320"/>
      <c r="AD94" s="1320"/>
      <c r="AE94" s="1318"/>
      <c r="AJ94" s="1291"/>
      <c r="AO94" s="1291"/>
      <c r="AP94" s="1254"/>
      <c r="AR94" s="1254"/>
      <c r="AS94" s="1254"/>
      <c r="AT94" s="1291"/>
      <c r="AY94" s="1291"/>
      <c r="AZ94" s="2020">
        <v>1</v>
      </c>
      <c r="BA94" s="2020">
        <v>1</v>
      </c>
      <c r="BB94" s="2020">
        <v>1</v>
      </c>
      <c r="BC94" s="2020">
        <f>5-SUM(AZ94:BB94)</f>
        <v>2</v>
      </c>
      <c r="BD94" s="764">
        <f>+SUM(AZ94:BC94)</f>
        <v>5</v>
      </c>
      <c r="BE94" s="2020">
        <v>1</v>
      </c>
      <c r="BF94" s="2021">
        <v>1</v>
      </c>
      <c r="BG94" s="2021">
        <v>1</v>
      </c>
      <c r="BH94" s="2021">
        <v>1</v>
      </c>
      <c r="BI94" s="764">
        <f>+SUM(BE94:BH94)</f>
        <v>4</v>
      </c>
      <c r="BJ94" s="2021">
        <v>1</v>
      </c>
      <c r="BK94" s="2022">
        <v>1</v>
      </c>
      <c r="BL94" s="2161">
        <v>1</v>
      </c>
      <c r="BM94" s="766">
        <v>3</v>
      </c>
      <c r="BN94" s="764">
        <f>+SUM(BJ94:BM94)</f>
        <v>6</v>
      </c>
      <c r="BO94" s="2220">
        <v>2</v>
      </c>
      <c r="BP94" s="766">
        <f>+BO94</f>
        <v>2</v>
      </c>
      <c r="BQ94" s="766">
        <f>+BP94</f>
        <v>2</v>
      </c>
      <c r="BR94" s="766">
        <f>+BQ94</f>
        <v>2</v>
      </c>
      <c r="BS94" s="764">
        <f>+SUM(BO94:BR94)</f>
        <v>8</v>
      </c>
      <c r="BT94" s="766">
        <f>BR94</f>
        <v>2</v>
      </c>
      <c r="BU94" s="766">
        <f>BT94</f>
        <v>2</v>
      </c>
      <c r="BV94" s="766">
        <f t="shared" ref="BV94:BW94" si="105">BU94</f>
        <v>2</v>
      </c>
      <c r="BW94" s="766">
        <f t="shared" si="105"/>
        <v>2</v>
      </c>
      <c r="BX94" s="764">
        <f>+SUM(BT94:BW94)</f>
        <v>8</v>
      </c>
      <c r="BY94" s="767">
        <f>+BX94</f>
        <v>8</v>
      </c>
      <c r="BZ94" s="767">
        <f>+BY94</f>
        <v>8</v>
      </c>
      <c r="CA94" s="767">
        <f>+BZ94</f>
        <v>8</v>
      </c>
      <c r="CF94" s="1273" t="str">
        <f>+A94</f>
        <v>Deal Related Amortization</v>
      </c>
      <c r="CG94" s="744"/>
      <c r="CH94" s="741"/>
      <c r="CI94" s="741"/>
      <c r="CJ94" s="741"/>
      <c r="CK94" s="741"/>
      <c r="CL94" s="1291"/>
      <c r="CM94" s="1292"/>
      <c r="CN94" s="1292"/>
      <c r="CO94" s="1292"/>
      <c r="CP94" s="1292"/>
      <c r="CQ94" s="1270"/>
      <c r="CR94" s="1270"/>
      <c r="CS94" s="1270"/>
      <c r="CT94" s="1270"/>
      <c r="CU94" s="1270">
        <f>+BD94</f>
        <v>5</v>
      </c>
      <c r="CV94" s="1273">
        <f>+BI94</f>
        <v>4</v>
      </c>
      <c r="CW94" s="1270">
        <f>+BN94</f>
        <v>6</v>
      </c>
      <c r="CX94" s="1270">
        <f>+BS94</f>
        <v>8</v>
      </c>
      <c r="CY94" s="1270">
        <f t="shared" ref="CY94:DB96" si="106">+BX94</f>
        <v>8</v>
      </c>
      <c r="CZ94" s="1290">
        <f t="shared" si="106"/>
        <v>8</v>
      </c>
      <c r="DA94" s="1290">
        <f t="shared" si="106"/>
        <v>8</v>
      </c>
      <c r="DB94" s="1290">
        <f t="shared" si="106"/>
        <v>8</v>
      </c>
    </row>
    <row r="95" spans="1:106" s="768" customFormat="1" ht="12" customHeight="1">
      <c r="A95" s="768" t="s">
        <v>317</v>
      </c>
      <c r="B95" s="741"/>
      <c r="C95" s="741"/>
      <c r="D95" s="741"/>
      <c r="E95" s="741"/>
      <c r="F95" s="741"/>
      <c r="G95" s="1319"/>
      <c r="H95" s="1319"/>
      <c r="I95" s="1319"/>
      <c r="J95" s="1278"/>
      <c r="K95" s="1291"/>
      <c r="L95" s="1319"/>
      <c r="M95" s="1319"/>
      <c r="N95" s="1319"/>
      <c r="O95" s="1278"/>
      <c r="P95" s="1291"/>
      <c r="Q95" s="1319"/>
      <c r="R95" s="1319"/>
      <c r="S95" s="1319"/>
      <c r="T95" s="1278"/>
      <c r="U95" s="1291"/>
      <c r="V95" s="1319"/>
      <c r="W95" s="1319"/>
      <c r="X95" s="1319"/>
      <c r="Y95" s="1278"/>
      <c r="Z95" s="1291"/>
      <c r="AA95" s="1320"/>
      <c r="AB95" s="1320"/>
      <c r="AC95" s="1320"/>
      <c r="AD95" s="1320"/>
      <c r="AE95" s="1318"/>
      <c r="AJ95" s="1291"/>
      <c r="AO95" s="1291"/>
      <c r="AP95" s="1254"/>
      <c r="AR95" s="1254"/>
      <c r="AS95" s="1254"/>
      <c r="AT95" s="1291"/>
      <c r="AY95" s="1291"/>
      <c r="AZ95" s="768">
        <f t="shared" ref="AZ95:BZ95" si="107">+AZ89+AZ94</f>
        <v>96</v>
      </c>
      <c r="BA95" s="768">
        <f t="shared" si="107"/>
        <v>97</v>
      </c>
      <c r="BB95" s="768">
        <f t="shared" si="107"/>
        <v>107</v>
      </c>
      <c r="BC95" s="768">
        <f t="shared" si="107"/>
        <v>95</v>
      </c>
      <c r="BD95" s="1291">
        <f t="shared" si="107"/>
        <v>395</v>
      </c>
      <c r="BE95" s="768">
        <f t="shared" si="107"/>
        <v>102</v>
      </c>
      <c r="BF95" s="768">
        <f t="shared" si="107"/>
        <v>101</v>
      </c>
      <c r="BG95" s="768">
        <f t="shared" si="107"/>
        <v>108</v>
      </c>
      <c r="BH95" s="768">
        <f t="shared" si="107"/>
        <v>105</v>
      </c>
      <c r="BI95" s="1291">
        <f t="shared" si="107"/>
        <v>416</v>
      </c>
      <c r="BJ95" s="768">
        <f t="shared" si="107"/>
        <v>116</v>
      </c>
      <c r="BK95" s="768">
        <f t="shared" si="107"/>
        <v>120</v>
      </c>
      <c r="BL95" s="768">
        <f t="shared" si="107"/>
        <v>120</v>
      </c>
      <c r="BM95" s="768">
        <f t="shared" si="107"/>
        <v>122</v>
      </c>
      <c r="BN95" s="1291">
        <f t="shared" si="107"/>
        <v>478</v>
      </c>
      <c r="BO95" s="768">
        <f t="shared" si="107"/>
        <v>149</v>
      </c>
      <c r="BP95" s="768">
        <f t="shared" si="107"/>
        <v>138.7062520468516</v>
      </c>
      <c r="BQ95" s="768">
        <f t="shared" si="107"/>
        <v>136.74402295962426</v>
      </c>
      <c r="BR95" s="768">
        <f t="shared" si="107"/>
        <v>137.34486253333932</v>
      </c>
      <c r="BS95" s="1291">
        <f t="shared" si="107"/>
        <v>561.79513753981519</v>
      </c>
      <c r="BT95" s="768">
        <f t="shared" ref="BT95:BX95" si="108">+BT89+BT94</f>
        <v>154.85100739952642</v>
      </c>
      <c r="BU95" s="768">
        <f t="shared" si="108"/>
        <v>152.68698905766715</v>
      </c>
      <c r="BV95" s="768">
        <f t="shared" si="108"/>
        <v>152.08835572101376</v>
      </c>
      <c r="BW95" s="768">
        <f t="shared" si="108"/>
        <v>152.2808931935981</v>
      </c>
      <c r="BX95" s="1291">
        <f t="shared" si="108"/>
        <v>611.9072453718054</v>
      </c>
      <c r="BY95" s="1550">
        <f t="shared" si="107"/>
        <v>664.41498846378317</v>
      </c>
      <c r="BZ95" s="1550">
        <f t="shared" si="107"/>
        <v>720.67570014652586</v>
      </c>
      <c r="CA95" s="1550">
        <f t="shared" ref="CA95" si="109">+CA89+CA94</f>
        <v>777.31327348417176</v>
      </c>
      <c r="CF95" s="1291" t="str">
        <f>+A95</f>
        <v>Adjusted Operating Income</v>
      </c>
      <c r="CG95" s="744"/>
      <c r="CH95" s="741"/>
      <c r="CI95" s="741"/>
      <c r="CJ95" s="741"/>
      <c r="CK95" s="741"/>
      <c r="CL95" s="1550"/>
      <c r="CM95" s="1451"/>
      <c r="CN95" s="1451"/>
      <c r="CO95" s="1451"/>
      <c r="CP95" s="1451"/>
      <c r="CQ95" s="1550"/>
      <c r="CR95" s="1291"/>
      <c r="CS95" s="1291"/>
      <c r="CT95" s="1291"/>
      <c r="CU95" s="1291">
        <f>+BD95</f>
        <v>395</v>
      </c>
      <c r="CV95" s="1289">
        <f>+BI95</f>
        <v>416</v>
      </c>
      <c r="CW95" s="1291">
        <f>+BN95</f>
        <v>478</v>
      </c>
      <c r="CX95" s="1291">
        <f>+BS95</f>
        <v>561.79513753981519</v>
      </c>
      <c r="CY95" s="1291">
        <f t="shared" si="106"/>
        <v>611.9072453718054</v>
      </c>
      <c r="CZ95" s="1550">
        <f t="shared" si="106"/>
        <v>664.41498846378317</v>
      </c>
      <c r="DA95" s="1550">
        <f t="shared" si="106"/>
        <v>720.67570014652586</v>
      </c>
      <c r="DB95" s="1550">
        <f t="shared" si="106"/>
        <v>777.31327348417176</v>
      </c>
    </row>
    <row r="96" spans="1:106" s="1437" customFormat="1" ht="12" customHeight="1">
      <c r="A96" s="1585" t="s">
        <v>530</v>
      </c>
      <c r="B96" s="1332"/>
      <c r="C96" s="1332"/>
      <c r="D96" s="1332"/>
      <c r="E96" s="1332"/>
      <c r="F96" s="1332"/>
      <c r="G96" s="1319"/>
      <c r="H96" s="1319"/>
      <c r="I96" s="1319"/>
      <c r="J96" s="1278"/>
      <c r="K96" s="1332"/>
      <c r="L96" s="1319"/>
      <c r="M96" s="1319"/>
      <c r="N96" s="1319"/>
      <c r="O96" s="1278"/>
      <c r="P96" s="1332"/>
      <c r="Q96" s="1319"/>
      <c r="R96" s="1319"/>
      <c r="S96" s="1319"/>
      <c r="T96" s="1278"/>
      <c r="U96" s="1332"/>
      <c r="V96" s="1319"/>
      <c r="W96" s="1319"/>
      <c r="X96" s="1319"/>
      <c r="Y96" s="1278"/>
      <c r="Z96" s="1332"/>
      <c r="AA96" s="1331"/>
      <c r="AB96" s="1331"/>
      <c r="AC96" s="1331"/>
      <c r="AD96" s="1331"/>
      <c r="AE96" s="1332"/>
      <c r="AF96" s="1331"/>
      <c r="AG96" s="1331"/>
      <c r="AH96" s="1331"/>
      <c r="AI96" s="1331"/>
      <c r="AJ96" s="1332"/>
      <c r="AK96" s="1331"/>
      <c r="AL96" s="1331"/>
      <c r="AM96" s="1331"/>
      <c r="AN96" s="1331"/>
      <c r="AO96" s="1332"/>
      <c r="AP96" s="1447"/>
      <c r="AQ96" s="1331"/>
      <c r="AR96" s="1447"/>
      <c r="AS96" s="1447"/>
      <c r="AT96" s="1332"/>
      <c r="AU96" s="1331"/>
      <c r="AV96" s="1331"/>
      <c r="AW96" s="1331"/>
      <c r="AX96" s="1331"/>
      <c r="AY96" s="1332"/>
      <c r="AZ96" s="1331">
        <f t="shared" ref="AZ96:BZ96" si="110">+AZ95/AZ14</f>
        <v>0.67132867132867136</v>
      </c>
      <c r="BA96" s="1331">
        <f t="shared" si="110"/>
        <v>0.65540540540540537</v>
      </c>
      <c r="BB96" s="1331">
        <f t="shared" si="110"/>
        <v>0.6858974358974359</v>
      </c>
      <c r="BC96" s="1331">
        <f t="shared" si="110"/>
        <v>0.6333333333333333</v>
      </c>
      <c r="BD96" s="1332">
        <f t="shared" si="110"/>
        <v>0.66164154103852602</v>
      </c>
      <c r="BE96" s="1331">
        <f t="shared" si="110"/>
        <v>0.67549668874172186</v>
      </c>
      <c r="BF96" s="1331">
        <f t="shared" si="110"/>
        <v>0.66013071895424835</v>
      </c>
      <c r="BG96" s="1331">
        <f t="shared" si="110"/>
        <v>0.65853658536585369</v>
      </c>
      <c r="BH96" s="1331">
        <f t="shared" si="110"/>
        <v>0.61403508771929827</v>
      </c>
      <c r="BI96" s="1332">
        <f t="shared" si="110"/>
        <v>0.65101721439749605</v>
      </c>
      <c r="BJ96" s="1331">
        <f t="shared" si="110"/>
        <v>0.67836257309941517</v>
      </c>
      <c r="BK96" s="1331">
        <f t="shared" si="110"/>
        <v>0.65217391304347827</v>
      </c>
      <c r="BL96" s="1331">
        <f t="shared" si="110"/>
        <v>0.64171122994652408</v>
      </c>
      <c r="BM96" s="1331">
        <f t="shared" si="110"/>
        <v>0.63874345549738221</v>
      </c>
      <c r="BN96" s="1332">
        <f t="shared" si="110"/>
        <v>0.65211459754433831</v>
      </c>
      <c r="BO96" s="1331">
        <f t="shared" si="110"/>
        <v>0.69626168224299068</v>
      </c>
      <c r="BP96" s="1331">
        <f t="shared" si="110"/>
        <v>0.66127401447522016</v>
      </c>
      <c r="BQ96" s="1331">
        <f t="shared" si="110"/>
        <v>0.65088337048283829</v>
      </c>
      <c r="BR96" s="1331">
        <f t="shared" si="110"/>
        <v>0.63731718838636209</v>
      </c>
      <c r="BS96" s="1332">
        <f t="shared" si="110"/>
        <v>0.66144070936522636</v>
      </c>
      <c r="BT96" s="1331">
        <f t="shared" ref="BT96:BX96" si="111">+BT95/BT14</f>
        <v>0.70096935631786073</v>
      </c>
      <c r="BU96" s="1331">
        <f t="shared" si="111"/>
        <v>0.66545573078019726</v>
      </c>
      <c r="BV96" s="1331">
        <f t="shared" si="111"/>
        <v>0.65497674473248424</v>
      </c>
      <c r="BW96" s="1331">
        <f t="shared" si="111"/>
        <v>0.64146136157512135</v>
      </c>
      <c r="BX96" s="1332">
        <f t="shared" si="111"/>
        <v>0.66514686504191434</v>
      </c>
      <c r="BY96" s="1333">
        <f t="shared" si="110"/>
        <v>0.67008206130603565</v>
      </c>
      <c r="BZ96" s="1333">
        <f t="shared" si="110"/>
        <v>0.6745012576359013</v>
      </c>
      <c r="CA96" s="1333">
        <f t="shared" ref="CA96" si="112">+CA95/CA14</f>
        <v>0.67900202023345579</v>
      </c>
      <c r="CF96" s="1586" t="str">
        <f>+A96</f>
        <v>Adjusted Margin % (Operating)</v>
      </c>
      <c r="CG96" s="1333"/>
      <c r="CH96" s="1332"/>
      <c r="CI96" s="1332"/>
      <c r="CJ96" s="1332"/>
      <c r="CK96" s="1332"/>
      <c r="CL96" s="1332"/>
      <c r="CM96" s="1332"/>
      <c r="CN96" s="1332"/>
      <c r="CO96" s="1332"/>
      <c r="CP96" s="1332"/>
      <c r="CQ96" s="1332"/>
      <c r="CR96" s="1332"/>
      <c r="CS96" s="1332"/>
      <c r="CT96" s="1332"/>
      <c r="CU96" s="1332">
        <f>+BD96</f>
        <v>0.66164154103852602</v>
      </c>
      <c r="CV96" s="1439">
        <f>+BI96</f>
        <v>0.65101721439749605</v>
      </c>
      <c r="CW96" s="1332">
        <f>+BN96</f>
        <v>0.65211459754433831</v>
      </c>
      <c r="CX96" s="1332">
        <f>+BS96</f>
        <v>0.66144070936522636</v>
      </c>
      <c r="CY96" s="1332">
        <f t="shared" si="106"/>
        <v>0.66514686504191434</v>
      </c>
      <c r="CZ96" s="1333">
        <f t="shared" si="106"/>
        <v>0.67008206130603565</v>
      </c>
      <c r="DA96" s="1333">
        <f t="shared" si="106"/>
        <v>0.6745012576359013</v>
      </c>
      <c r="DB96" s="1333">
        <f t="shared" si="106"/>
        <v>0.67900202023345579</v>
      </c>
    </row>
    <row r="97" spans="1:106" s="1437" customFormat="1" ht="12" customHeight="1">
      <c r="A97" s="1585"/>
      <c r="B97" s="1332"/>
      <c r="C97" s="1332"/>
      <c r="D97" s="1332"/>
      <c r="E97" s="1332"/>
      <c r="F97" s="1332"/>
      <c r="G97" s="1319"/>
      <c r="H97" s="1319"/>
      <c r="I97" s="1319"/>
      <c r="J97" s="1276"/>
      <c r="K97" s="1332"/>
      <c r="L97" s="1319"/>
      <c r="M97" s="1319"/>
      <c r="N97" s="1319"/>
      <c r="O97" s="1276"/>
      <c r="P97" s="1332"/>
      <c r="Q97" s="1319"/>
      <c r="R97" s="1319"/>
      <c r="S97" s="1319"/>
      <c r="T97" s="1276"/>
      <c r="U97" s="1332"/>
      <c r="V97" s="1319"/>
      <c r="W97" s="1319"/>
      <c r="X97" s="1319"/>
      <c r="Y97" s="1276"/>
      <c r="Z97" s="1332"/>
      <c r="AA97" s="1331"/>
      <c r="AB97" s="1331"/>
      <c r="AC97" s="1331"/>
      <c r="AD97" s="1331"/>
      <c r="AE97" s="1332"/>
      <c r="AF97" s="1331"/>
      <c r="AG97" s="1331"/>
      <c r="AH97" s="1331"/>
      <c r="AI97" s="1331"/>
      <c r="AJ97" s="1332"/>
      <c r="AK97" s="1331"/>
      <c r="AL97" s="1331"/>
      <c r="AM97" s="1331"/>
      <c r="AN97" s="1331"/>
      <c r="AO97" s="1332"/>
      <c r="AP97" s="1447"/>
      <c r="AQ97" s="1331"/>
      <c r="AR97" s="1447"/>
      <c r="AS97" s="1447"/>
      <c r="AT97" s="1332"/>
      <c r="AU97" s="1331"/>
      <c r="AV97" s="1331"/>
      <c r="AW97" s="1331"/>
      <c r="AX97" s="1331"/>
      <c r="AY97" s="1332"/>
      <c r="AZ97" s="1331"/>
      <c r="BA97" s="1331"/>
      <c r="BB97" s="1331"/>
      <c r="BC97" s="1331"/>
      <c r="BD97" s="1332"/>
      <c r="BE97" s="1331"/>
      <c r="BF97" s="1331"/>
      <c r="BG97" s="1331"/>
      <c r="BH97" s="1331"/>
      <c r="BI97" s="1332"/>
      <c r="BJ97" s="1331"/>
      <c r="BK97" s="1331"/>
      <c r="BL97" s="1331"/>
      <c r="BM97" s="1331"/>
      <c r="BN97" s="1332"/>
      <c r="BO97" s="2263"/>
      <c r="BP97" s="2225"/>
      <c r="BQ97" s="2225"/>
      <c r="BR97" s="2225"/>
      <c r="BS97" s="2226"/>
      <c r="BT97" s="2225"/>
      <c r="BU97" s="2225"/>
      <c r="BV97" s="2225"/>
      <c r="BW97" s="2225"/>
      <c r="BX97" s="2226"/>
      <c r="BY97" s="2227"/>
      <c r="BZ97" s="2227"/>
      <c r="CA97" s="2227"/>
      <c r="CF97" s="1586"/>
      <c r="CG97" s="1333"/>
      <c r="CH97" s="1332"/>
      <c r="CI97" s="1332"/>
      <c r="CJ97" s="1332"/>
      <c r="CK97" s="1332"/>
      <c r="CL97" s="1332"/>
      <c r="CM97" s="1332"/>
      <c r="CN97" s="1332"/>
      <c r="CO97" s="1332"/>
      <c r="CP97" s="1332"/>
      <c r="CQ97" s="1332"/>
      <c r="CR97" s="1332"/>
      <c r="CS97" s="1332"/>
      <c r="CT97" s="1332"/>
      <c r="CU97" s="1332"/>
      <c r="CV97" s="1439"/>
      <c r="CW97" s="1332"/>
      <c r="CX97" s="1332"/>
      <c r="CY97" s="1332"/>
      <c r="CZ97" s="1333"/>
      <c r="DA97" s="1333"/>
      <c r="DB97" s="1333"/>
    </row>
    <row r="98" spans="1:106" s="1600" customFormat="1" ht="12" customHeight="1">
      <c r="A98" s="1254" t="s">
        <v>535</v>
      </c>
      <c r="B98" s="1598"/>
      <c r="C98" s="1598"/>
      <c r="D98" s="1598"/>
      <c r="E98" s="1598"/>
      <c r="F98" s="1598"/>
      <c r="G98" s="1599"/>
      <c r="H98" s="1583"/>
      <c r="I98" s="1583"/>
      <c r="J98" s="1583"/>
      <c r="K98" s="1598"/>
      <c r="L98" s="1583"/>
      <c r="M98" s="1583"/>
      <c r="N98" s="1583"/>
      <c r="O98" s="1583"/>
      <c r="P98" s="1598"/>
      <c r="Q98" s="1583"/>
      <c r="R98" s="1583"/>
      <c r="S98" s="1583"/>
      <c r="T98" s="1583"/>
      <c r="U98" s="1598"/>
      <c r="V98" s="1583"/>
      <c r="W98" s="1583"/>
      <c r="X98" s="1583"/>
      <c r="Y98" s="1583"/>
      <c r="Z98" s="1598"/>
      <c r="AA98" s="1583"/>
      <c r="AB98" s="1583"/>
      <c r="AC98" s="1583"/>
      <c r="AD98" s="1583"/>
      <c r="AE98" s="1598"/>
      <c r="AF98" s="781"/>
      <c r="AG98" s="781"/>
      <c r="AH98" s="781"/>
      <c r="AI98" s="781"/>
      <c r="AJ98" s="695"/>
      <c r="AK98" s="781"/>
      <c r="AL98" s="781"/>
      <c r="AM98" s="781"/>
      <c r="AN98" s="781"/>
      <c r="AO98" s="695"/>
      <c r="AP98" s="781"/>
      <c r="AQ98" s="781"/>
      <c r="AR98" s="781"/>
      <c r="AS98" s="781"/>
      <c r="AT98" s="695"/>
      <c r="AU98" s="781"/>
      <c r="AV98" s="781"/>
      <c r="AW98" s="1583"/>
      <c r="AX98" s="1583"/>
      <c r="AY98" s="695"/>
      <c r="AZ98" s="2023">
        <f t="shared" ref="AZ98:BG98" si="113">+AZ107+AZ116</f>
        <v>148</v>
      </c>
      <c r="BA98" s="2023">
        <f t="shared" si="113"/>
        <v>162.4</v>
      </c>
      <c r="BB98" s="2023">
        <f t="shared" si="113"/>
        <v>178</v>
      </c>
      <c r="BC98" s="2023">
        <f t="shared" si="113"/>
        <v>167</v>
      </c>
      <c r="BD98" s="1251">
        <f t="shared" si="113"/>
        <v>655.4</v>
      </c>
      <c r="BE98" s="2023">
        <f t="shared" si="113"/>
        <v>210</v>
      </c>
      <c r="BF98" s="2023">
        <f t="shared" si="113"/>
        <v>196</v>
      </c>
      <c r="BG98" s="2023">
        <f t="shared" si="113"/>
        <v>208</v>
      </c>
      <c r="BH98" s="2023">
        <f>530-347</f>
        <v>183</v>
      </c>
      <c r="BI98" s="1251">
        <f t="shared" ref="BI98" si="114">+BI107+BI116</f>
        <v>797</v>
      </c>
      <c r="BJ98" s="2023">
        <f>186+15</f>
        <v>201</v>
      </c>
      <c r="BK98" s="2023">
        <f>191+13</f>
        <v>204</v>
      </c>
      <c r="BL98" s="2162">
        <v>208</v>
      </c>
      <c r="BM98" s="2221">
        <f>208+3</f>
        <v>211</v>
      </c>
      <c r="BN98" s="1251">
        <f>SUM(BJ98:BM98)</f>
        <v>824</v>
      </c>
      <c r="BO98" s="2250">
        <f>BO107+BO116</f>
        <v>202</v>
      </c>
      <c r="BP98" s="1250">
        <f t="shared" ref="BP98:CA98" si="115">BP107+BP116</f>
        <v>212.73566599509832</v>
      </c>
      <c r="BQ98" s="1250">
        <f t="shared" si="115"/>
        <v>222.67276748002303</v>
      </c>
      <c r="BR98" s="1250">
        <f t="shared" si="115"/>
        <v>229.38779127169045</v>
      </c>
      <c r="BS98" s="1251">
        <f>SUM(BO98:BR98)</f>
        <v>866.79622474681173</v>
      </c>
      <c r="BT98" s="1250">
        <f>BT107+BT116</f>
        <v>212.35839668582918</v>
      </c>
      <c r="BU98" s="1250">
        <f t="shared" ref="BU98:BW98" si="116">BU107+BU116</f>
        <v>235.03213833089731</v>
      </c>
      <c r="BV98" s="1250">
        <f t="shared" si="116"/>
        <v>245.69068838585659</v>
      </c>
      <c r="BW98" s="1250">
        <f t="shared" si="116"/>
        <v>253.11022889376434</v>
      </c>
      <c r="BX98" s="1251">
        <f>SUM(BT98:BW98)</f>
        <v>946.19145229634739</v>
      </c>
      <c r="BY98" s="1252">
        <f t="shared" si="115"/>
        <v>1025.156861059804</v>
      </c>
      <c r="BZ98" s="1252">
        <f t="shared" si="115"/>
        <v>1116.944093881601</v>
      </c>
      <c r="CA98" s="1252">
        <f t="shared" si="115"/>
        <v>1198.1859616115978</v>
      </c>
      <c r="CF98" s="1291" t="str">
        <f>+A98</f>
        <v>Market and Commodities Intelligence</v>
      </c>
      <c r="CG98" s="1601"/>
      <c r="CH98" s="1598"/>
      <c r="CI98" s="1598"/>
      <c r="CJ98" s="1598"/>
      <c r="CK98" s="1598"/>
      <c r="CL98" s="1598"/>
      <c r="CM98" s="1318"/>
      <c r="CN98" s="1318"/>
      <c r="CO98" s="1318"/>
      <c r="CP98" s="1318"/>
      <c r="CQ98" s="1291"/>
      <c r="CR98" s="1291"/>
      <c r="CS98" s="1291"/>
      <c r="CT98" s="1291"/>
      <c r="CU98" s="1291">
        <f>+BD98</f>
        <v>655.4</v>
      </c>
      <c r="CV98" s="1289">
        <f>+BI98</f>
        <v>797</v>
      </c>
      <c r="CW98" s="1291">
        <f>+BN98</f>
        <v>824</v>
      </c>
      <c r="CX98" s="1291">
        <f>+BS98</f>
        <v>866.79622474681173</v>
      </c>
      <c r="CY98" s="1291">
        <f t="shared" ref="CY98:DB99" si="117">+BX98</f>
        <v>946.19145229634739</v>
      </c>
      <c r="CZ98" s="1550">
        <f t="shared" si="117"/>
        <v>1025.156861059804</v>
      </c>
      <c r="DA98" s="1550">
        <f t="shared" si="117"/>
        <v>1116.944093881601</v>
      </c>
      <c r="DB98" s="1550">
        <f t="shared" si="117"/>
        <v>1198.1859616115978</v>
      </c>
    </row>
    <row r="99" spans="1:106" s="1600" customFormat="1" ht="12" customHeight="1">
      <c r="A99" s="1602" t="s">
        <v>531</v>
      </c>
      <c r="B99" s="1598"/>
      <c r="C99" s="1598"/>
      <c r="D99" s="1598"/>
      <c r="E99" s="1598"/>
      <c r="F99" s="1598"/>
      <c r="G99" s="1599"/>
      <c r="H99" s="1583"/>
      <c r="I99" s="1583"/>
      <c r="J99" s="1583"/>
      <c r="K99" s="1598"/>
      <c r="L99" s="1583"/>
      <c r="M99" s="1583"/>
      <c r="N99" s="1583"/>
      <c r="O99" s="1583"/>
      <c r="P99" s="1598"/>
      <c r="Q99" s="1583"/>
      <c r="R99" s="1583"/>
      <c r="S99" s="1583"/>
      <c r="T99" s="1583"/>
      <c r="U99" s="1598"/>
      <c r="V99" s="1583"/>
      <c r="W99" s="1583"/>
      <c r="X99" s="1583"/>
      <c r="Y99" s="1583"/>
      <c r="Z99" s="1598"/>
      <c r="AA99" s="1583"/>
      <c r="AB99" s="1583"/>
      <c r="AC99" s="1583"/>
      <c r="AD99" s="1583"/>
      <c r="AE99" s="1598"/>
      <c r="AF99" s="781"/>
      <c r="AG99" s="781"/>
      <c r="AH99" s="781"/>
      <c r="AI99" s="781"/>
      <c r="AJ99" s="695"/>
      <c r="AK99" s="781"/>
      <c r="AL99" s="781"/>
      <c r="AM99" s="781"/>
      <c r="AN99" s="781"/>
      <c r="AO99" s="695"/>
      <c r="AP99" s="781"/>
      <c r="AQ99" s="781"/>
      <c r="AR99" s="781"/>
      <c r="AS99" s="781"/>
      <c r="AT99" s="695"/>
      <c r="AU99" s="781"/>
      <c r="AV99" s="781"/>
      <c r="AW99" s="1583"/>
      <c r="AX99" s="1583"/>
      <c r="AY99" s="695"/>
      <c r="AZ99" s="781">
        <f t="shared" ref="AZ99:BG99" si="118">+AZ98/(AZ18+AZ21)</f>
        <v>0.27155963302752295</v>
      </c>
      <c r="BA99" s="1256">
        <f t="shared" si="118"/>
        <v>0.29103942652329751</v>
      </c>
      <c r="BB99" s="1256">
        <f t="shared" si="118"/>
        <v>0.29470198675496689</v>
      </c>
      <c r="BC99" s="1256">
        <f t="shared" si="118"/>
        <v>0.24962630792227206</v>
      </c>
      <c r="BD99" s="695">
        <f t="shared" si="118"/>
        <v>0.27584175084175083</v>
      </c>
      <c r="BE99" s="781">
        <f t="shared" si="118"/>
        <v>0.31770045385779122</v>
      </c>
      <c r="BF99" s="1256">
        <f t="shared" si="118"/>
        <v>0.29210134128166915</v>
      </c>
      <c r="BG99" s="1256">
        <f t="shared" si="118"/>
        <v>0.3161094224924012</v>
      </c>
      <c r="BH99" s="1256">
        <f t="shared" ref="BH99:CA99" si="119">+BH98/BH16</f>
        <v>0.30756302521008405</v>
      </c>
      <c r="BI99" s="695">
        <f t="shared" si="119"/>
        <v>0.30831721470019341</v>
      </c>
      <c r="BJ99" s="781">
        <f t="shared" si="119"/>
        <v>0.33895446880269814</v>
      </c>
      <c r="BK99" s="1256">
        <f t="shared" si="119"/>
        <v>0.33663366336633666</v>
      </c>
      <c r="BL99" s="1256">
        <f t="shared" si="119"/>
        <v>0.33821138211382112</v>
      </c>
      <c r="BM99" s="1256">
        <f t="shared" si="119"/>
        <v>0.33124018838304553</v>
      </c>
      <c r="BN99" s="695">
        <f t="shared" si="119"/>
        <v>0.33618931048551609</v>
      </c>
      <c r="BO99" s="1256">
        <f t="shared" si="119"/>
        <v>0.31911532385466035</v>
      </c>
      <c r="BP99" s="1256">
        <f t="shared" si="119"/>
        <v>0.32716824857347843</v>
      </c>
      <c r="BQ99" s="1256">
        <f t="shared" si="119"/>
        <v>0.33814808935939245</v>
      </c>
      <c r="BR99" s="1256">
        <f t="shared" si="119"/>
        <v>0.33664882537096913</v>
      </c>
      <c r="BS99" s="695">
        <f t="shared" si="119"/>
        <v>0.33044400790766199</v>
      </c>
      <c r="BT99" s="781">
        <f t="shared" si="119"/>
        <v>0.31600055305455604</v>
      </c>
      <c r="BU99" s="1256">
        <f t="shared" si="119"/>
        <v>0.34077368304912375</v>
      </c>
      <c r="BV99" s="1256">
        <f t="shared" si="119"/>
        <v>0.35172903605617689</v>
      </c>
      <c r="BW99" s="1256">
        <f t="shared" si="119"/>
        <v>0.35014262822732084</v>
      </c>
      <c r="BX99" s="695">
        <f t="shared" si="119"/>
        <v>0.33997499183330049</v>
      </c>
      <c r="BY99" s="1332">
        <f t="shared" si="119"/>
        <v>0.34948684531616303</v>
      </c>
      <c r="BZ99" s="1332">
        <f t="shared" si="119"/>
        <v>0.36125308745236173</v>
      </c>
      <c r="CA99" s="1332">
        <f t="shared" si="119"/>
        <v>0.37011038792038037</v>
      </c>
      <c r="CF99" s="1586" t="str">
        <f>+A99</f>
        <v>Margin % (Incl deal amort)</v>
      </c>
      <c r="CG99" s="1601"/>
      <c r="CH99" s="1598"/>
      <c r="CI99" s="1598"/>
      <c r="CJ99" s="1598"/>
      <c r="CK99" s="1598"/>
      <c r="CL99" s="1598"/>
      <c r="CM99" s="1332"/>
      <c r="CN99" s="1332"/>
      <c r="CO99" s="1332"/>
      <c r="CP99" s="1332"/>
      <c r="CQ99" s="1332"/>
      <c r="CR99" s="1332"/>
      <c r="CS99" s="1332"/>
      <c r="CT99" s="1332"/>
      <c r="CU99" s="1332">
        <f>+BD99</f>
        <v>0.27584175084175083</v>
      </c>
      <c r="CV99" s="1439">
        <f>+BI99</f>
        <v>0.30831721470019341</v>
      </c>
      <c r="CW99" s="1332">
        <f>+BN99</f>
        <v>0.33618931048551609</v>
      </c>
      <c r="CX99" s="1332">
        <f>+BS99</f>
        <v>0.33044400790766199</v>
      </c>
      <c r="CY99" s="1332">
        <f t="shared" si="117"/>
        <v>0.33997499183330049</v>
      </c>
      <c r="CZ99" s="1333">
        <f t="shared" si="117"/>
        <v>0.34948684531616303</v>
      </c>
      <c r="DA99" s="1333">
        <f t="shared" si="117"/>
        <v>0.36125308745236173</v>
      </c>
      <c r="DB99" s="1333">
        <f t="shared" si="117"/>
        <v>0.37011038792038037</v>
      </c>
    </row>
    <row r="100" spans="1:106" ht="12" hidden="1" customHeight="1" outlineLevel="2">
      <c r="A100" s="1587" t="s">
        <v>213</v>
      </c>
      <c r="B100" s="757"/>
      <c r="C100" s="757"/>
      <c r="D100" s="757"/>
      <c r="E100" s="757"/>
      <c r="F100" s="757"/>
      <c r="G100" s="1588"/>
      <c r="H100" s="1588"/>
      <c r="I100" s="1588"/>
      <c r="J100" s="1589"/>
      <c r="K100" s="1589"/>
      <c r="L100" s="1588"/>
      <c r="M100" s="1588"/>
      <c r="N100" s="1588"/>
      <c r="O100" s="1589"/>
      <c r="P100" s="1589"/>
      <c r="Q100" s="1588"/>
      <c r="R100" s="1588"/>
      <c r="S100" s="1588"/>
      <c r="T100" s="1589"/>
      <c r="U100" s="1589"/>
      <c r="V100" s="1588"/>
      <c r="W100" s="1588"/>
      <c r="X100" s="1588"/>
      <c r="Y100" s="1589"/>
      <c r="Z100" s="1589"/>
      <c r="AA100" s="1588"/>
      <c r="AB100" s="1588"/>
      <c r="AC100" s="1588"/>
      <c r="AD100" s="1589"/>
      <c r="AE100" s="1589"/>
      <c r="AF100" s="1588"/>
      <c r="AG100" s="1588"/>
      <c r="AH100" s="1588"/>
      <c r="AI100" s="1589"/>
      <c r="AJ100" s="1589"/>
      <c r="AK100" s="1588"/>
      <c r="AL100" s="1588"/>
      <c r="AM100" s="1588"/>
      <c r="AN100" s="1589"/>
      <c r="AO100" s="1589"/>
      <c r="AP100" s="1588"/>
      <c r="AQ100" s="1588"/>
      <c r="AR100" s="1588"/>
      <c r="AS100" s="1589"/>
      <c r="AT100" s="1589"/>
      <c r="AU100" s="1588"/>
      <c r="AV100" s="1588"/>
      <c r="AW100" s="758"/>
      <c r="AX100" s="758"/>
      <c r="AY100" s="759"/>
      <c r="AZ100" s="1588"/>
      <c r="BA100" s="758"/>
      <c r="BB100" s="760"/>
      <c r="BC100" s="758"/>
      <c r="BD100" s="761"/>
      <c r="BE100" s="758"/>
      <c r="BF100" s="758"/>
      <c r="BG100" s="758"/>
      <c r="BH100" s="758"/>
      <c r="BI100" s="761"/>
      <c r="BJ100" s="758"/>
      <c r="BK100" s="758"/>
      <c r="BL100" s="758"/>
      <c r="BM100" s="758"/>
      <c r="BN100" s="759"/>
      <c r="BO100" s="758"/>
      <c r="BP100" s="758"/>
      <c r="BQ100" s="758"/>
      <c r="BR100" s="758"/>
      <c r="BS100" s="759"/>
      <c r="BT100" s="758"/>
      <c r="BU100" s="758"/>
      <c r="BV100" s="758"/>
      <c r="BW100" s="758"/>
      <c r="BX100" s="759"/>
      <c r="BY100" s="759"/>
      <c r="BZ100" s="759"/>
      <c r="CA100" s="759"/>
      <c r="CF100" s="1590"/>
      <c r="CG100" s="1591"/>
      <c r="CH100" s="1592"/>
      <c r="CI100" s="1592"/>
      <c r="CJ100" s="1592"/>
      <c r="CK100" s="1592"/>
      <c r="CL100" s="1593"/>
      <c r="CM100" s="1593"/>
      <c r="CN100" s="1593"/>
      <c r="CO100" s="1593"/>
      <c r="CP100" s="1593"/>
      <c r="CQ100" s="1593"/>
      <c r="CR100" s="1593"/>
      <c r="CS100" s="1593"/>
      <c r="CT100" s="1594"/>
      <c r="CU100" s="1594"/>
      <c r="CV100" s="1595"/>
      <c r="CW100" s="1594"/>
      <c r="CX100" s="1594"/>
      <c r="CY100" s="1594"/>
      <c r="CZ100" s="1596"/>
      <c r="DA100" s="1596"/>
      <c r="DB100" s="1596"/>
    </row>
    <row r="101" spans="1:106" ht="12" hidden="1" customHeight="1" outlineLevel="2">
      <c r="A101" s="1587" t="s">
        <v>214</v>
      </c>
      <c r="B101" s="757"/>
      <c r="C101" s="757"/>
      <c r="D101" s="757"/>
      <c r="E101" s="757"/>
      <c r="F101" s="757"/>
      <c r="G101" s="1588"/>
      <c r="H101" s="1588"/>
      <c r="I101" s="1588"/>
      <c r="J101" s="1589"/>
      <c r="K101" s="1589"/>
      <c r="L101" s="1588"/>
      <c r="M101" s="1588"/>
      <c r="N101" s="1588"/>
      <c r="O101" s="1589"/>
      <c r="P101" s="1589"/>
      <c r="Q101" s="1588"/>
      <c r="R101" s="1588"/>
      <c r="S101" s="1588"/>
      <c r="T101" s="1589"/>
      <c r="U101" s="1589"/>
      <c r="V101" s="1588"/>
      <c r="W101" s="1588"/>
      <c r="X101" s="1588"/>
      <c r="Y101" s="1589"/>
      <c r="Z101" s="1589"/>
      <c r="AA101" s="1588"/>
      <c r="AB101" s="1588"/>
      <c r="AC101" s="1588"/>
      <c r="AD101" s="1589"/>
      <c r="AE101" s="1589"/>
      <c r="AF101" s="1588"/>
      <c r="AG101" s="1588"/>
      <c r="AH101" s="1588"/>
      <c r="AI101" s="1589"/>
      <c r="AJ101" s="1589"/>
      <c r="AK101" s="1588"/>
      <c r="AL101" s="1588"/>
      <c r="AM101" s="1588"/>
      <c r="AN101" s="1589"/>
      <c r="AO101" s="1589"/>
      <c r="AP101" s="1588"/>
      <c r="AQ101" s="1588"/>
      <c r="AR101" s="1588"/>
      <c r="AS101" s="1589"/>
      <c r="AT101" s="1589"/>
      <c r="AU101" s="1588"/>
      <c r="AV101" s="1588"/>
      <c r="AW101" s="758"/>
      <c r="AX101" s="758"/>
      <c r="AY101" s="759"/>
      <c r="AZ101" s="1588"/>
      <c r="BA101" s="758"/>
      <c r="BB101" s="760"/>
      <c r="BC101" s="758"/>
      <c r="BD101" s="761"/>
      <c r="BE101" s="758"/>
      <c r="BF101" s="758"/>
      <c r="BG101" s="758"/>
      <c r="BH101" s="758"/>
      <c r="BI101" s="761"/>
      <c r="BJ101" s="758"/>
      <c r="BK101" s="758"/>
      <c r="BL101" s="758"/>
      <c r="BM101" s="758"/>
      <c r="BN101" s="759"/>
      <c r="BO101" s="758"/>
      <c r="BP101" s="758"/>
      <c r="BQ101" s="758"/>
      <c r="BR101" s="758"/>
      <c r="BS101" s="759"/>
      <c r="BT101" s="758"/>
      <c r="BU101" s="758"/>
      <c r="BV101" s="758"/>
      <c r="BW101" s="758"/>
      <c r="BX101" s="759"/>
      <c r="BY101" s="759"/>
      <c r="BZ101" s="759"/>
      <c r="CA101" s="759"/>
      <c r="CF101" s="1590"/>
      <c r="CG101" s="1591"/>
      <c r="CH101" s="1592"/>
      <c r="CI101" s="1592"/>
      <c r="CJ101" s="1592"/>
      <c r="CK101" s="1592"/>
      <c r="CL101" s="1593"/>
      <c r="CM101" s="1593"/>
      <c r="CN101" s="1593"/>
      <c r="CO101" s="1593"/>
      <c r="CP101" s="1593"/>
      <c r="CQ101" s="1593"/>
      <c r="CR101" s="1593"/>
      <c r="CS101" s="1593"/>
      <c r="CT101" s="1594"/>
      <c r="CU101" s="1594"/>
      <c r="CV101" s="1595"/>
      <c r="CW101" s="1594"/>
      <c r="CX101" s="1594"/>
      <c r="CY101" s="1594"/>
      <c r="CZ101" s="1596"/>
      <c r="DA101" s="1596"/>
      <c r="DB101" s="1596"/>
    </row>
    <row r="102" spans="1:106" ht="12" hidden="1" customHeight="1" outlineLevel="2">
      <c r="A102" s="1587" t="s">
        <v>215</v>
      </c>
      <c r="B102" s="757"/>
      <c r="C102" s="757"/>
      <c r="D102" s="757"/>
      <c r="E102" s="757"/>
      <c r="F102" s="757"/>
      <c r="G102" s="1588"/>
      <c r="H102" s="1588"/>
      <c r="I102" s="1588"/>
      <c r="J102" s="1589"/>
      <c r="K102" s="1589"/>
      <c r="L102" s="1588"/>
      <c r="M102" s="1588"/>
      <c r="N102" s="1588"/>
      <c r="O102" s="1589"/>
      <c r="P102" s="1589"/>
      <c r="Q102" s="1588"/>
      <c r="R102" s="1588"/>
      <c r="S102" s="1588"/>
      <c r="T102" s="1589"/>
      <c r="U102" s="1589"/>
      <c r="V102" s="1588"/>
      <c r="W102" s="1588"/>
      <c r="X102" s="1588"/>
      <c r="Y102" s="1589"/>
      <c r="Z102" s="1589"/>
      <c r="AA102" s="1588"/>
      <c r="AB102" s="1588"/>
      <c r="AC102" s="1588"/>
      <c r="AD102" s="1589"/>
      <c r="AE102" s="1589"/>
      <c r="AF102" s="1588"/>
      <c r="AG102" s="1588"/>
      <c r="AH102" s="1588"/>
      <c r="AI102" s="1589"/>
      <c r="AJ102" s="1589"/>
      <c r="AK102" s="1588"/>
      <c r="AL102" s="1588"/>
      <c r="AM102" s="1588"/>
      <c r="AN102" s="1589"/>
      <c r="AO102" s="1589"/>
      <c r="AP102" s="1588"/>
      <c r="AQ102" s="1588"/>
      <c r="AR102" s="1588"/>
      <c r="AS102" s="1589"/>
      <c r="AT102" s="1589"/>
      <c r="AU102" s="1588"/>
      <c r="AV102" s="1588"/>
      <c r="AW102" s="758"/>
      <c r="AX102" s="758"/>
      <c r="AY102" s="759"/>
      <c r="AZ102" s="1588"/>
      <c r="BA102" s="758"/>
      <c r="BB102" s="760"/>
      <c r="BC102" s="758"/>
      <c r="BD102" s="761"/>
      <c r="BE102" s="758"/>
      <c r="BF102" s="758"/>
      <c r="BG102" s="758"/>
      <c r="BH102" s="758"/>
      <c r="BI102" s="761"/>
      <c r="BJ102" s="758"/>
      <c r="BK102" s="758"/>
      <c r="BL102" s="758"/>
      <c r="BM102" s="758"/>
      <c r="BN102" s="759"/>
      <c r="BO102" s="758"/>
      <c r="BP102" s="758"/>
      <c r="BQ102" s="758"/>
      <c r="BR102" s="758"/>
      <c r="BS102" s="759"/>
      <c r="BT102" s="758"/>
      <c r="BU102" s="758"/>
      <c r="BV102" s="758"/>
      <c r="BW102" s="758"/>
      <c r="BX102" s="759"/>
      <c r="BY102" s="759"/>
      <c r="BZ102" s="759"/>
      <c r="CA102" s="759"/>
      <c r="CF102" s="1590"/>
      <c r="CG102" s="1591"/>
      <c r="CH102" s="1592"/>
      <c r="CI102" s="1592"/>
      <c r="CJ102" s="1592"/>
      <c r="CK102" s="1592"/>
      <c r="CL102" s="1593"/>
      <c r="CM102" s="1593"/>
      <c r="CN102" s="1593"/>
      <c r="CO102" s="1593"/>
      <c r="CP102" s="1593"/>
      <c r="CQ102" s="1593"/>
      <c r="CR102" s="1593"/>
      <c r="CS102" s="1593"/>
      <c r="CT102" s="1594"/>
      <c r="CU102" s="1594"/>
      <c r="CV102" s="1595"/>
      <c r="CW102" s="1594"/>
      <c r="CX102" s="1594"/>
      <c r="CY102" s="1594"/>
      <c r="CZ102" s="1596"/>
      <c r="DA102" s="1596"/>
      <c r="DB102" s="1596"/>
    </row>
    <row r="103" spans="1:106" s="1600" customFormat="1" ht="12" customHeight="1" collapsed="1">
      <c r="A103" s="1253" t="s">
        <v>316</v>
      </c>
      <c r="B103" s="1598"/>
      <c r="C103" s="1598"/>
      <c r="D103" s="1598"/>
      <c r="E103" s="1598"/>
      <c r="F103" s="1598"/>
      <c r="G103" s="1599"/>
      <c r="H103" s="1583"/>
      <c r="I103" s="1583"/>
      <c r="J103" s="1583"/>
      <c r="K103" s="1598"/>
      <c r="L103" s="1583"/>
      <c r="M103" s="1583"/>
      <c r="N103" s="1583"/>
      <c r="O103" s="1583"/>
      <c r="P103" s="1598"/>
      <c r="Q103" s="1583"/>
      <c r="R103" s="1583"/>
      <c r="S103" s="1583"/>
      <c r="T103" s="1583"/>
      <c r="U103" s="1598"/>
      <c r="V103" s="1583"/>
      <c r="W103" s="1583"/>
      <c r="X103" s="1583"/>
      <c r="Y103" s="1583"/>
      <c r="Z103" s="1598"/>
      <c r="AA103" s="1583"/>
      <c r="AB103" s="1583"/>
      <c r="AC103" s="1583"/>
      <c r="AD103" s="1583"/>
      <c r="AE103" s="1598"/>
      <c r="AF103" s="781"/>
      <c r="AG103" s="781"/>
      <c r="AH103" s="781"/>
      <c r="AI103" s="781"/>
      <c r="AJ103" s="695"/>
      <c r="AK103" s="781"/>
      <c r="AL103" s="781"/>
      <c r="AM103" s="781"/>
      <c r="AN103" s="781"/>
      <c r="AO103" s="695"/>
      <c r="AP103" s="781"/>
      <c r="AQ103" s="781"/>
      <c r="AR103" s="781"/>
      <c r="AS103" s="781"/>
      <c r="AT103" s="695"/>
      <c r="AU103" s="781"/>
      <c r="AV103" s="781"/>
      <c r="AW103" s="1583"/>
      <c r="AX103" s="1583"/>
      <c r="AY103" s="695"/>
      <c r="AZ103" s="1603">
        <f t="shared" ref="AZ103:BG103" si="120">+AZ112+AZ121</f>
        <v>9</v>
      </c>
      <c r="BA103" s="1603">
        <f t="shared" si="120"/>
        <v>9</v>
      </c>
      <c r="BB103" s="1603">
        <f t="shared" si="120"/>
        <v>15</v>
      </c>
      <c r="BC103" s="1603">
        <f t="shared" si="120"/>
        <v>24</v>
      </c>
      <c r="BD103" s="1604">
        <f t="shared" si="120"/>
        <v>57</v>
      </c>
      <c r="BE103" s="1603">
        <f t="shared" si="120"/>
        <v>22</v>
      </c>
      <c r="BF103" s="1603">
        <f t="shared" si="120"/>
        <v>21</v>
      </c>
      <c r="BG103" s="1603">
        <f t="shared" si="120"/>
        <v>21</v>
      </c>
      <c r="BH103" s="2024">
        <v>23</v>
      </c>
      <c r="BI103" s="1604">
        <f t="shared" ref="BI103" si="121">+BI112+BI121</f>
        <v>88</v>
      </c>
      <c r="BJ103" s="2024">
        <v>22</v>
      </c>
      <c r="BK103" s="2024">
        <v>23</v>
      </c>
      <c r="BL103" s="2163">
        <v>22</v>
      </c>
      <c r="BM103" s="2163">
        <v>22</v>
      </c>
      <c r="BN103" s="1604">
        <f>SUM(BJ103:BM103)</f>
        <v>89</v>
      </c>
      <c r="BO103" s="2249">
        <f>BO112+BO121</f>
        <v>22</v>
      </c>
      <c r="BP103" s="1606">
        <f>+BP141-'Op Metrics'!BP94-'Op Metrics'!BP85</f>
        <v>32.5</v>
      </c>
      <c r="BQ103" s="1606">
        <f>+BQ141-'Op Metrics'!BQ94-'Op Metrics'!BQ85</f>
        <v>32.5</v>
      </c>
      <c r="BR103" s="1606">
        <f>+BR141-'Op Metrics'!BR94-'Op Metrics'!BR85</f>
        <v>32.5</v>
      </c>
      <c r="BS103" s="1604">
        <f>+BS141-'Op Metrics'!BS94-'Op Metrics'!BS85</f>
        <v>119.5</v>
      </c>
      <c r="BT103" s="1606">
        <f>+BT141-'Op Metrics'!BT94-'Op Metrics'!BT85</f>
        <v>28.125</v>
      </c>
      <c r="BU103" s="1606">
        <f>+BU141-'Op Metrics'!BU94-'Op Metrics'!BU85</f>
        <v>28.125</v>
      </c>
      <c r="BV103" s="1606">
        <f>+BV141-'Op Metrics'!BV94-'Op Metrics'!BV85</f>
        <v>28.125</v>
      </c>
      <c r="BW103" s="1606">
        <f>+BW141-'Op Metrics'!BW94-'Op Metrics'!BW85</f>
        <v>28.125</v>
      </c>
      <c r="BX103" s="1604">
        <f>+BX141-'Op Metrics'!BX94-'Op Metrics'!BX85</f>
        <v>112.5</v>
      </c>
      <c r="BY103" s="1604">
        <f>+BY141-'Op Metrics'!BY94-'Op Metrics'!BY85</f>
        <v>106.5</v>
      </c>
      <c r="BZ103" s="1604">
        <f>+BZ141-'Op Metrics'!BZ94-'Op Metrics'!BZ85</f>
        <v>94.5</v>
      </c>
      <c r="CA103" s="1604">
        <f>+CA141-'Op Metrics'!CA94-'Op Metrics'!CA85</f>
        <v>92.5</v>
      </c>
      <c r="CF103" s="1273" t="str">
        <f>+A103</f>
        <v>Deal Related Amortization</v>
      </c>
      <c r="CG103" s="1601"/>
      <c r="CH103" s="1598"/>
      <c r="CI103" s="1598"/>
      <c r="CJ103" s="1598"/>
      <c r="CK103" s="1598"/>
      <c r="CL103" s="1598"/>
      <c r="CM103" s="1598"/>
      <c r="CN103" s="1598"/>
      <c r="CO103" s="1598"/>
      <c r="CP103" s="1598"/>
      <c r="CQ103" s="695"/>
      <c r="CR103" s="695"/>
      <c r="CS103" s="695"/>
      <c r="CT103" s="695"/>
      <c r="CU103" s="1270">
        <f>+BD103</f>
        <v>57</v>
      </c>
      <c r="CV103" s="1273">
        <f>+BI103</f>
        <v>88</v>
      </c>
      <c r="CW103" s="1270">
        <f>+BN103</f>
        <v>89</v>
      </c>
      <c r="CX103" s="1270">
        <f>+BS103</f>
        <v>119.5</v>
      </c>
      <c r="CY103" s="1270">
        <f t="shared" ref="CY103:DB105" si="122">+BX103</f>
        <v>112.5</v>
      </c>
      <c r="CZ103" s="1290">
        <f t="shared" si="122"/>
        <v>106.5</v>
      </c>
      <c r="DA103" s="1290">
        <f t="shared" si="122"/>
        <v>94.5</v>
      </c>
      <c r="DB103" s="1290">
        <f t="shared" si="122"/>
        <v>92.5</v>
      </c>
    </row>
    <row r="104" spans="1:106" s="1600" customFormat="1" ht="12" customHeight="1">
      <c r="A104" s="1254" t="s">
        <v>317</v>
      </c>
      <c r="B104" s="1598"/>
      <c r="C104" s="1598"/>
      <c r="D104" s="1598"/>
      <c r="E104" s="1598"/>
      <c r="F104" s="1598"/>
      <c r="G104" s="1599"/>
      <c r="H104" s="1583"/>
      <c r="I104" s="1583"/>
      <c r="J104" s="1583"/>
      <c r="K104" s="1598"/>
      <c r="L104" s="1583"/>
      <c r="M104" s="1583"/>
      <c r="N104" s="1583"/>
      <c r="O104" s="1583"/>
      <c r="P104" s="1598"/>
      <c r="Q104" s="1583"/>
      <c r="R104" s="1583"/>
      <c r="S104" s="1583"/>
      <c r="T104" s="1583"/>
      <c r="U104" s="1598"/>
      <c r="V104" s="1583"/>
      <c r="W104" s="1583"/>
      <c r="X104" s="1583"/>
      <c r="Y104" s="1583"/>
      <c r="Z104" s="1598"/>
      <c r="AA104" s="1583"/>
      <c r="AB104" s="1583"/>
      <c r="AC104" s="1583"/>
      <c r="AD104" s="1583"/>
      <c r="AE104" s="1598"/>
      <c r="AF104" s="781"/>
      <c r="AG104" s="781"/>
      <c r="AH104" s="781"/>
      <c r="AI104" s="781"/>
      <c r="AJ104" s="695"/>
      <c r="AK104" s="781"/>
      <c r="AL104" s="781"/>
      <c r="AM104" s="781"/>
      <c r="AN104" s="781"/>
      <c r="AO104" s="695"/>
      <c r="AP104" s="781"/>
      <c r="AQ104" s="781"/>
      <c r="AR104" s="781"/>
      <c r="AS104" s="781"/>
      <c r="AT104" s="695"/>
      <c r="AU104" s="781"/>
      <c r="AV104" s="781"/>
      <c r="AW104" s="1583"/>
      <c r="AX104" s="1583"/>
      <c r="AY104" s="695"/>
      <c r="AZ104" s="1250">
        <f>+AZ98+AZ103</f>
        <v>157</v>
      </c>
      <c r="BA104" s="1250">
        <f t="shared" ref="BA104:BZ104" si="123">+BA98+BA103</f>
        <v>171.4</v>
      </c>
      <c r="BB104" s="1250">
        <f t="shared" si="123"/>
        <v>193</v>
      </c>
      <c r="BC104" s="1250">
        <f t="shared" si="123"/>
        <v>191</v>
      </c>
      <c r="BD104" s="1251">
        <f t="shared" si="123"/>
        <v>712.4</v>
      </c>
      <c r="BE104" s="1250">
        <f t="shared" si="123"/>
        <v>232</v>
      </c>
      <c r="BF104" s="1250">
        <f t="shared" si="123"/>
        <v>217</v>
      </c>
      <c r="BG104" s="1250">
        <f t="shared" si="123"/>
        <v>229</v>
      </c>
      <c r="BH104" s="1250">
        <f t="shared" si="123"/>
        <v>206</v>
      </c>
      <c r="BI104" s="1251">
        <f t="shared" si="123"/>
        <v>885</v>
      </c>
      <c r="BJ104" s="1250">
        <f t="shared" si="123"/>
        <v>223</v>
      </c>
      <c r="BK104" s="1250">
        <f t="shared" si="123"/>
        <v>227</v>
      </c>
      <c r="BL104" s="1250">
        <f t="shared" si="123"/>
        <v>230</v>
      </c>
      <c r="BM104" s="1250">
        <f t="shared" si="123"/>
        <v>233</v>
      </c>
      <c r="BN104" s="1251">
        <f t="shared" si="123"/>
        <v>913</v>
      </c>
      <c r="BO104" s="1250">
        <f t="shared" si="123"/>
        <v>224</v>
      </c>
      <c r="BP104" s="1250">
        <f t="shared" si="123"/>
        <v>245.23566599509832</v>
      </c>
      <c r="BQ104" s="1250">
        <f t="shared" si="123"/>
        <v>255.17276748002303</v>
      </c>
      <c r="BR104" s="1250">
        <f t="shared" si="123"/>
        <v>261.88779127169045</v>
      </c>
      <c r="BS104" s="1251">
        <f t="shared" si="123"/>
        <v>986.29622474681173</v>
      </c>
      <c r="BT104" s="1250">
        <f t="shared" ref="BT104:BX104" si="124">+BT98+BT103</f>
        <v>240.48339668582918</v>
      </c>
      <c r="BU104" s="1250">
        <f t="shared" si="124"/>
        <v>263.15713833089728</v>
      </c>
      <c r="BV104" s="1250">
        <f t="shared" si="124"/>
        <v>273.81568838585656</v>
      </c>
      <c r="BW104" s="1250">
        <f t="shared" si="124"/>
        <v>281.23522889376432</v>
      </c>
      <c r="BX104" s="1251">
        <f t="shared" si="124"/>
        <v>1058.6914522963475</v>
      </c>
      <c r="BY104" s="1252">
        <f t="shared" si="123"/>
        <v>1131.656861059804</v>
      </c>
      <c r="BZ104" s="1252">
        <f t="shared" si="123"/>
        <v>1211.444093881601</v>
      </c>
      <c r="CA104" s="1252">
        <f t="shared" ref="CA104" si="125">+CA98+CA103</f>
        <v>1290.6859616115978</v>
      </c>
      <c r="CF104" s="1291" t="str">
        <f>+A104</f>
        <v>Adjusted Operating Income</v>
      </c>
      <c r="CG104" s="1601"/>
      <c r="CH104" s="1598"/>
      <c r="CI104" s="1598"/>
      <c r="CJ104" s="1598"/>
      <c r="CK104" s="1598"/>
      <c r="CL104" s="1598"/>
      <c r="CM104" s="1598"/>
      <c r="CN104" s="1598"/>
      <c r="CO104" s="1598"/>
      <c r="CP104" s="1598"/>
      <c r="CQ104" s="695"/>
      <c r="CR104" s="695"/>
      <c r="CS104" s="695"/>
      <c r="CT104" s="695"/>
      <c r="CU104" s="1291">
        <f>+BD104</f>
        <v>712.4</v>
      </c>
      <c r="CV104" s="1289">
        <f>+BI104</f>
        <v>885</v>
      </c>
      <c r="CW104" s="1291">
        <f>+BN104</f>
        <v>913</v>
      </c>
      <c r="CX104" s="1291">
        <f>+BS104</f>
        <v>986.29622474681173</v>
      </c>
      <c r="CY104" s="1291">
        <f t="shared" si="122"/>
        <v>1058.6914522963475</v>
      </c>
      <c r="CZ104" s="1550">
        <f t="shared" si="122"/>
        <v>1131.656861059804</v>
      </c>
      <c r="DA104" s="1550">
        <f t="shared" si="122"/>
        <v>1211.444093881601</v>
      </c>
      <c r="DB104" s="1550">
        <f t="shared" si="122"/>
        <v>1290.6859616115978</v>
      </c>
    </row>
    <row r="105" spans="1:106" s="1600" customFormat="1" ht="12" customHeight="1">
      <c r="A105" s="1602" t="s">
        <v>530</v>
      </c>
      <c r="B105" s="1598"/>
      <c r="C105" s="1598"/>
      <c r="D105" s="1598"/>
      <c r="E105" s="1598"/>
      <c r="F105" s="1598"/>
      <c r="G105" s="1599"/>
      <c r="H105" s="1583"/>
      <c r="I105" s="1583"/>
      <c r="J105" s="1583"/>
      <c r="K105" s="1598"/>
      <c r="L105" s="1583"/>
      <c r="M105" s="1583"/>
      <c r="N105" s="1583"/>
      <c r="O105" s="1583"/>
      <c r="P105" s="1598"/>
      <c r="Q105" s="1583"/>
      <c r="R105" s="1583"/>
      <c r="S105" s="1583"/>
      <c r="T105" s="1583"/>
      <c r="U105" s="1598"/>
      <c r="V105" s="1583"/>
      <c r="W105" s="1583"/>
      <c r="X105" s="1583"/>
      <c r="Y105" s="1583"/>
      <c r="Z105" s="1598"/>
      <c r="AA105" s="1583"/>
      <c r="AB105" s="1583"/>
      <c r="AC105" s="1583"/>
      <c r="AD105" s="1583"/>
      <c r="AE105" s="1598"/>
      <c r="AF105" s="781"/>
      <c r="AG105" s="781"/>
      <c r="AH105" s="781"/>
      <c r="AI105" s="781"/>
      <c r="AJ105" s="695"/>
      <c r="AK105" s="781"/>
      <c r="AL105" s="781"/>
      <c r="AM105" s="781"/>
      <c r="AN105" s="781"/>
      <c r="AO105" s="695"/>
      <c r="AP105" s="781"/>
      <c r="AQ105" s="781"/>
      <c r="AR105" s="781"/>
      <c r="AS105" s="781"/>
      <c r="AT105" s="695"/>
      <c r="AU105" s="781"/>
      <c r="AV105" s="781"/>
      <c r="AW105" s="1583"/>
      <c r="AX105" s="1583"/>
      <c r="AY105" s="695"/>
      <c r="AZ105" s="781">
        <f t="shared" ref="AZ105:BG105" si="126">+AZ104/(AZ18+AZ21)</f>
        <v>0.28807339449541286</v>
      </c>
      <c r="BA105" s="1256">
        <f t="shared" si="126"/>
        <v>0.30716845878136201</v>
      </c>
      <c r="BB105" s="1256">
        <f t="shared" si="126"/>
        <v>0.31953642384105962</v>
      </c>
      <c r="BC105" s="1256">
        <f t="shared" si="126"/>
        <v>0.28550074738415543</v>
      </c>
      <c r="BD105" s="695">
        <f t="shared" si="126"/>
        <v>0.29983164983164984</v>
      </c>
      <c r="BE105" s="781">
        <f t="shared" si="126"/>
        <v>0.35098335854765506</v>
      </c>
      <c r="BF105" s="1256">
        <f t="shared" si="126"/>
        <v>0.32339791356184799</v>
      </c>
      <c r="BG105" s="1256">
        <f t="shared" si="126"/>
        <v>0.34802431610942247</v>
      </c>
      <c r="BH105" s="1256">
        <f t="shared" ref="BH105:CA105" si="127">+BH104/(BH16)</f>
        <v>0.34621848739495797</v>
      </c>
      <c r="BI105" s="695">
        <f t="shared" si="127"/>
        <v>0.34235976789168276</v>
      </c>
      <c r="BJ105" s="781">
        <f t="shared" si="127"/>
        <v>0.37605396290050591</v>
      </c>
      <c r="BK105" s="1256">
        <f t="shared" si="127"/>
        <v>0.37458745874587457</v>
      </c>
      <c r="BL105" s="1256">
        <f t="shared" si="127"/>
        <v>0.37398373983739835</v>
      </c>
      <c r="BM105" s="1256">
        <f t="shared" si="127"/>
        <v>0.36577708006279436</v>
      </c>
      <c r="BN105" s="695">
        <f t="shared" si="127"/>
        <v>0.37250101999184004</v>
      </c>
      <c r="BO105" s="1256">
        <f t="shared" si="127"/>
        <v>0.35387045813586099</v>
      </c>
      <c r="BP105" s="1256">
        <f t="shared" si="127"/>
        <v>0.3771503144809556</v>
      </c>
      <c r="BQ105" s="1256">
        <f t="shared" si="127"/>
        <v>0.38750218428779992</v>
      </c>
      <c r="BR105" s="1256">
        <f t="shared" si="127"/>
        <v>0.3843457266049049</v>
      </c>
      <c r="BS105" s="695">
        <f t="shared" si="127"/>
        <v>0.37600034262347126</v>
      </c>
      <c r="BT105" s="1256">
        <f t="shared" si="127"/>
        <v>0.35785204418164296</v>
      </c>
      <c r="BU105" s="1256">
        <f t="shared" si="127"/>
        <v>0.38155219063459744</v>
      </c>
      <c r="BV105" s="1256">
        <f t="shared" si="127"/>
        <v>0.39199258533462578</v>
      </c>
      <c r="BW105" s="1256">
        <f t="shared" si="127"/>
        <v>0.38904963511492752</v>
      </c>
      <c r="BX105" s="695">
        <f t="shared" si="127"/>
        <v>0.38039724093354638</v>
      </c>
      <c r="BY105" s="1257">
        <f t="shared" si="127"/>
        <v>0.38579382470631518</v>
      </c>
      <c r="BZ105" s="1257">
        <f t="shared" si="127"/>
        <v>0.39181721053717117</v>
      </c>
      <c r="CA105" s="1257">
        <f t="shared" si="127"/>
        <v>0.39868292338606698</v>
      </c>
      <c r="CF105" s="1586" t="str">
        <f>+A105</f>
        <v>Adjusted Margin % (Operating)</v>
      </c>
      <c r="CG105" s="1601"/>
      <c r="CH105" s="1598"/>
      <c r="CI105" s="1598"/>
      <c r="CJ105" s="1598"/>
      <c r="CK105" s="1598"/>
      <c r="CL105" s="1598"/>
      <c r="CM105" s="1598"/>
      <c r="CN105" s="1598"/>
      <c r="CO105" s="1598"/>
      <c r="CP105" s="1598"/>
      <c r="CQ105" s="695"/>
      <c r="CR105" s="695"/>
      <c r="CS105" s="695"/>
      <c r="CT105" s="695"/>
      <c r="CU105" s="1332">
        <f>+BD105</f>
        <v>0.29983164983164984</v>
      </c>
      <c r="CV105" s="1439">
        <f>+BI105</f>
        <v>0.34235976789168276</v>
      </c>
      <c r="CW105" s="1332">
        <f>+BN105</f>
        <v>0.37250101999184004</v>
      </c>
      <c r="CX105" s="1332">
        <f>+BS105</f>
        <v>0.37600034262347126</v>
      </c>
      <c r="CY105" s="1332">
        <f t="shared" si="122"/>
        <v>0.38039724093354638</v>
      </c>
      <c r="CZ105" s="1333">
        <f t="shared" si="122"/>
        <v>0.38579382470631518</v>
      </c>
      <c r="DA105" s="1333">
        <f t="shared" si="122"/>
        <v>0.39181721053717117</v>
      </c>
      <c r="DB105" s="1333">
        <f t="shared" si="122"/>
        <v>0.39868292338606698</v>
      </c>
    </row>
    <row r="106" spans="1:106" ht="12" customHeight="1">
      <c r="B106" s="1264"/>
      <c r="C106" s="1264"/>
      <c r="D106" s="1264"/>
      <c r="E106" s="1264"/>
      <c r="F106" s="1264"/>
      <c r="G106" s="1265"/>
      <c r="H106" s="1266"/>
      <c r="I106" s="1266"/>
      <c r="J106" s="1266"/>
      <c r="K106" s="1264"/>
      <c r="L106" s="1266"/>
      <c r="M106" s="1266"/>
      <c r="N106" s="1266"/>
      <c r="O106" s="1266"/>
      <c r="P106" s="1264"/>
      <c r="Q106" s="1266"/>
      <c r="R106" s="1266"/>
      <c r="S106" s="1266"/>
      <c r="T106" s="1267"/>
      <c r="U106" s="1264"/>
      <c r="V106" s="1266"/>
      <c r="W106" s="1266"/>
      <c r="X106" s="1266"/>
      <c r="Y106" s="1267"/>
      <c r="Z106" s="1264"/>
      <c r="AA106" s="1266"/>
      <c r="AB106" s="1266"/>
      <c r="AC106" s="1266"/>
      <c r="AD106" s="1267"/>
      <c r="AE106" s="1269"/>
      <c r="AF106" s="1408"/>
      <c r="AG106" s="1408"/>
      <c r="AH106" s="1408"/>
      <c r="AI106" s="1408"/>
      <c r="AJ106" s="1342"/>
      <c r="AK106" s="1408"/>
      <c r="AL106" s="1408"/>
      <c r="AM106" s="1408"/>
      <c r="AN106" s="1408"/>
      <c r="AO106" s="1342"/>
      <c r="AP106" s="781"/>
      <c r="AQ106" s="1408"/>
      <c r="AR106" s="781"/>
      <c r="AS106" s="781"/>
      <c r="AT106" s="1342"/>
      <c r="AU106" s="1408"/>
      <c r="AV106" s="1408"/>
      <c r="AW106" s="1266"/>
      <c r="AX106" s="1266"/>
      <c r="AY106" s="1342"/>
      <c r="AZ106" s="1408"/>
      <c r="BA106" s="1266"/>
      <c r="BB106" s="1266"/>
      <c r="BC106" s="1266"/>
      <c r="BD106" s="1342"/>
      <c r="BE106" s="1410"/>
      <c r="BF106" s="1266"/>
      <c r="BG106" s="1266"/>
      <c r="BH106" s="1605"/>
      <c r="BI106" s="1342"/>
      <c r="BJ106" s="1266"/>
      <c r="BK106" s="1266"/>
      <c r="BL106" s="1266"/>
      <c r="BM106" s="1266"/>
      <c r="BN106" s="1342"/>
      <c r="BO106" s="1266"/>
      <c r="BP106" s="1266"/>
      <c r="BQ106" s="1266"/>
      <c r="BR106" s="1266"/>
      <c r="BS106" s="1342"/>
      <c r="BT106" s="1266"/>
      <c r="BU106" s="1266"/>
      <c r="BV106" s="1266"/>
      <c r="BW106" s="1266"/>
      <c r="BX106" s="1342"/>
      <c r="BY106" s="1272"/>
      <c r="BZ106" s="1272"/>
      <c r="CA106" s="1272"/>
      <c r="CF106" s="1423"/>
      <c r="CG106" s="1272"/>
      <c r="CH106" s="1264"/>
      <c r="CI106" s="1264"/>
      <c r="CJ106" s="1264"/>
      <c r="CK106" s="1264"/>
      <c r="CL106" s="1264"/>
      <c r="CM106" s="1269"/>
      <c r="CN106" s="1269"/>
      <c r="CO106" s="1269"/>
      <c r="CP106" s="1269"/>
      <c r="CQ106" s="1342"/>
      <c r="CR106" s="1342"/>
      <c r="CS106" s="1342"/>
      <c r="CT106" s="1342"/>
      <c r="CU106" s="1342"/>
      <c r="CV106" s="1488"/>
      <c r="CW106" s="1264"/>
      <c r="CX106" s="1264"/>
      <c r="CY106" s="1264"/>
      <c r="CZ106" s="1272"/>
      <c r="DA106" s="1272"/>
      <c r="DB106" s="1272"/>
    </row>
    <row r="107" spans="1:106" s="768" customFormat="1" ht="12" hidden="1" customHeight="1" outlineLevel="1">
      <c r="A107" s="768" t="s">
        <v>289</v>
      </c>
      <c r="B107" s="741"/>
      <c r="C107" s="741"/>
      <c r="D107" s="741"/>
      <c r="E107" s="741"/>
      <c r="F107" s="741"/>
      <c r="G107" s="1319" t="s">
        <v>249</v>
      </c>
      <c r="H107" s="1319" t="s">
        <v>249</v>
      </c>
      <c r="I107" s="1319" t="s">
        <v>249</v>
      </c>
      <c r="J107" s="1278" t="s">
        <v>249</v>
      </c>
      <c r="K107" s="1291">
        <v>111</v>
      </c>
      <c r="L107" s="1319" t="s">
        <v>249</v>
      </c>
      <c r="M107" s="1319" t="s">
        <v>249</v>
      </c>
      <c r="N107" s="1319" t="s">
        <v>249</v>
      </c>
      <c r="O107" s="1278" t="s">
        <v>249</v>
      </c>
      <c r="P107" s="1291" t="s">
        <v>249</v>
      </c>
      <c r="Q107" s="1319" t="s">
        <v>249</v>
      </c>
      <c r="R107" s="1319" t="s">
        <v>249</v>
      </c>
      <c r="S107" s="1319" t="s">
        <v>249</v>
      </c>
      <c r="T107" s="1278" t="s">
        <v>249</v>
      </c>
      <c r="U107" s="1291" t="s">
        <v>249</v>
      </c>
      <c r="V107" s="1319" t="s">
        <v>249</v>
      </c>
      <c r="W107" s="1319" t="s">
        <v>249</v>
      </c>
      <c r="X107" s="1319" t="s">
        <v>249</v>
      </c>
      <c r="Y107" s="1278" t="s">
        <v>249</v>
      </c>
      <c r="Z107" s="1291" t="s">
        <v>249</v>
      </c>
      <c r="AA107" s="1320" t="s">
        <v>249</v>
      </c>
      <c r="AB107" s="1320" t="s">
        <v>249</v>
      </c>
      <c r="AC107" s="1320" t="s">
        <v>249</v>
      </c>
      <c r="AD107" s="1320" t="s">
        <v>249</v>
      </c>
      <c r="AE107" s="1318" t="s">
        <v>249</v>
      </c>
      <c r="AI107" s="768">
        <f>AI18-AI46</f>
        <v>54</v>
      </c>
      <c r="AJ107" s="1291">
        <f>SUM(AF107:AI107)</f>
        <v>54</v>
      </c>
      <c r="AK107" s="768">
        <f>AK18-AK46</f>
        <v>62</v>
      </c>
      <c r="AL107" s="768">
        <f>AL18-AL46</f>
        <v>59</v>
      </c>
      <c r="AM107" s="768">
        <f>AM18-AM46</f>
        <v>54</v>
      </c>
      <c r="AN107" s="768">
        <f>AN18-AN46</f>
        <v>53</v>
      </c>
      <c r="AO107" s="1291">
        <f>SUM(AK107:AN107)</f>
        <v>228</v>
      </c>
      <c r="AP107" s="1254">
        <f>AP18-AP46</f>
        <v>50</v>
      </c>
      <c r="AQ107" s="768">
        <f>AQ18-AQ46</f>
        <v>49</v>
      </c>
      <c r="AR107" s="1254">
        <f>AR18-AR46</f>
        <v>55</v>
      </c>
      <c r="AS107" s="1254">
        <f>AS18-AS46</f>
        <v>48</v>
      </c>
      <c r="AT107" s="1291">
        <f>SUM(AP107:AS107)</f>
        <v>202</v>
      </c>
      <c r="AU107" s="768">
        <v>53</v>
      </c>
      <c r="AV107" s="768">
        <f>AV18-AV46</f>
        <v>54</v>
      </c>
      <c r="AW107" s="768">
        <f>AW18-AW46</f>
        <v>68</v>
      </c>
      <c r="AX107" s="768">
        <f>AX18-AX46</f>
        <v>62</v>
      </c>
      <c r="AY107" s="1291">
        <f>SUM(AU107:AX107)</f>
        <v>237</v>
      </c>
      <c r="AZ107" s="768">
        <v>63</v>
      </c>
      <c r="BA107" s="768">
        <f>62.9+11.5</f>
        <v>74.400000000000006</v>
      </c>
      <c r="BB107" s="768">
        <f>BB18-BB46</f>
        <v>85</v>
      </c>
      <c r="BC107" s="768">
        <f>BC18-BC46</f>
        <v>75</v>
      </c>
      <c r="BD107" s="1291">
        <f>SUM(AZ107:BC107)</f>
        <v>297.39999999999998</v>
      </c>
      <c r="BE107" s="768">
        <f>BE18-BE46</f>
        <v>105</v>
      </c>
      <c r="BF107" s="2091">
        <f>93+8</f>
        <v>101</v>
      </c>
      <c r="BG107" s="2092">
        <f>112+6-1</f>
        <v>117</v>
      </c>
      <c r="BH107" s="2094">
        <v>101</v>
      </c>
      <c r="BI107" s="1547">
        <f>SUM(BE107:BH107)</f>
        <v>424</v>
      </c>
      <c r="BJ107" s="2228">
        <f>104+4</f>
        <v>108</v>
      </c>
      <c r="BK107" s="2228">
        <f>113+4</f>
        <v>117</v>
      </c>
      <c r="BL107" s="2175">
        <f>124</f>
        <v>124</v>
      </c>
      <c r="BM107" s="2175">
        <f>127+3</f>
        <v>130</v>
      </c>
      <c r="BN107" s="1291">
        <f>SUM(BJ107:BM107)</f>
        <v>479</v>
      </c>
      <c r="BO107" s="2175">
        <v>112</v>
      </c>
      <c r="BP107" s="768">
        <f>+BP108*BP18</f>
        <v>121.55611673193376</v>
      </c>
      <c r="BQ107" s="768">
        <f>+BQ108*BQ18</f>
        <v>129.59657743989189</v>
      </c>
      <c r="BR107" s="768">
        <f>+BR108*BR18</f>
        <v>136.7368090495136</v>
      </c>
      <c r="BS107" s="1291">
        <f>SUM(BO107:BR107)</f>
        <v>499.88950322133917</v>
      </c>
      <c r="BT107" s="768">
        <f>+BT108*BT18</f>
        <v>118.26848046165647</v>
      </c>
      <c r="BU107" s="768">
        <f>+BU108*BU18</f>
        <v>139.15708709720613</v>
      </c>
      <c r="BV107" s="768">
        <f>+BV108*BV18</f>
        <v>147.8376707441202</v>
      </c>
      <c r="BW107" s="768">
        <f>+BW108*BW18</f>
        <v>155.67758738270044</v>
      </c>
      <c r="BX107" s="1291">
        <f>SUM(BT107:BW107)</f>
        <v>560.94082568568319</v>
      </c>
      <c r="BY107" s="1451">
        <f>+BY108*BY18</f>
        <v>620.087182452462</v>
      </c>
      <c r="BZ107" s="1451">
        <f>+BZ108*BZ18</f>
        <v>691.13223945796528</v>
      </c>
      <c r="CA107" s="1451">
        <f>+CA108*CA18</f>
        <v>750.62066879213671</v>
      </c>
      <c r="CF107" s="1291" t="str">
        <f>+A107</f>
        <v>Market Intelligence</v>
      </c>
      <c r="CG107" s="744"/>
      <c r="CH107" s="741"/>
      <c r="CI107" s="741"/>
      <c r="CJ107" s="741"/>
      <c r="CK107" s="741"/>
      <c r="CL107" s="1291">
        <f>+K107</f>
        <v>111</v>
      </c>
      <c r="CM107" s="1318" t="str">
        <f>+P107</f>
        <v>--</v>
      </c>
      <c r="CN107" s="1318" t="str">
        <f>+U107</f>
        <v>--</v>
      </c>
      <c r="CO107" s="1318" t="str">
        <f>+Z107</f>
        <v>--</v>
      </c>
      <c r="CP107" s="1318" t="str">
        <f>+AE107</f>
        <v>--</v>
      </c>
      <c r="CQ107" s="1291">
        <f>+AJ107</f>
        <v>54</v>
      </c>
      <c r="CR107" s="1291">
        <f>+AO107</f>
        <v>228</v>
      </c>
      <c r="CS107" s="1291">
        <f>+AT107</f>
        <v>202</v>
      </c>
      <c r="CT107" s="1291">
        <f>+AY107</f>
        <v>237</v>
      </c>
      <c r="CU107" s="1291">
        <f>+BD107</f>
        <v>297.39999999999998</v>
      </c>
      <c r="CV107" s="1289">
        <f>+BI107</f>
        <v>424</v>
      </c>
      <c r="CW107" s="1291">
        <f>+BN107</f>
        <v>479</v>
      </c>
      <c r="CX107" s="1291">
        <f>+BS107</f>
        <v>499.88950322133917</v>
      </c>
      <c r="CY107" s="1291">
        <f t="shared" ref="CY107:DB108" si="128">+BX107</f>
        <v>560.94082568568319</v>
      </c>
      <c r="CZ107" s="1550">
        <f t="shared" si="128"/>
        <v>620.087182452462</v>
      </c>
      <c r="DA107" s="1550">
        <f t="shared" si="128"/>
        <v>691.13223945796528</v>
      </c>
      <c r="DB107" s="1550">
        <f t="shared" si="128"/>
        <v>750.62066879213671</v>
      </c>
    </row>
    <row r="108" spans="1:106" s="1437" customFormat="1" ht="12" hidden="1" customHeight="1" outlineLevel="1">
      <c r="A108" s="1585" t="s">
        <v>531</v>
      </c>
      <c r="B108" s="1332"/>
      <c r="C108" s="1332"/>
      <c r="D108" s="1332"/>
      <c r="E108" s="1332"/>
      <c r="F108" s="1332"/>
      <c r="G108" s="1319"/>
      <c r="H108" s="1319"/>
      <c r="I108" s="1319"/>
      <c r="J108" s="1276"/>
      <c r="K108" s="1277"/>
      <c r="L108" s="1319"/>
      <c r="M108" s="1319"/>
      <c r="N108" s="1319"/>
      <c r="O108" s="1278"/>
      <c r="P108" s="1278"/>
      <c r="Q108" s="1319"/>
      <c r="R108" s="1319"/>
      <c r="S108" s="1319"/>
      <c r="T108" s="1278"/>
      <c r="U108" s="1278"/>
      <c r="V108" s="1319"/>
      <c r="W108" s="1319"/>
      <c r="X108" s="1319"/>
      <c r="Y108" s="1278"/>
      <c r="Z108" s="1278"/>
      <c r="AA108" s="1319"/>
      <c r="AB108" s="1319"/>
      <c r="AC108" s="1319"/>
      <c r="AD108" s="1278"/>
      <c r="AE108" s="1278"/>
      <c r="AF108" s="1319"/>
      <c r="AG108" s="1319"/>
      <c r="AH108" s="1319"/>
      <c r="AI108" s="1331">
        <f t="shared" ref="AI108:BJ108" si="129">AI107/AI18</f>
        <v>0.20149253731343283</v>
      </c>
      <c r="AJ108" s="1332">
        <f t="shared" si="129"/>
        <v>5.2376333656644035E-2</v>
      </c>
      <c r="AK108" s="1331">
        <f t="shared" si="129"/>
        <v>0.22627737226277372</v>
      </c>
      <c r="AL108" s="1331">
        <f t="shared" si="129"/>
        <v>0.21299638989169675</v>
      </c>
      <c r="AM108" s="1331">
        <f t="shared" si="129"/>
        <v>0.19014084507042253</v>
      </c>
      <c r="AN108" s="1331">
        <f t="shared" si="129"/>
        <v>0.18275862068965518</v>
      </c>
      <c r="AO108" s="1332">
        <f t="shared" si="129"/>
        <v>0.20266666666666666</v>
      </c>
      <c r="AP108" s="1447">
        <f t="shared" si="129"/>
        <v>0.1736111111111111</v>
      </c>
      <c r="AQ108" s="1331">
        <f t="shared" si="129"/>
        <v>0.17073170731707318</v>
      </c>
      <c r="AR108" s="1447">
        <f t="shared" si="129"/>
        <v>0.18771331058020477</v>
      </c>
      <c r="AS108" s="1447">
        <f t="shared" si="129"/>
        <v>0.15946843853820597</v>
      </c>
      <c r="AT108" s="1332">
        <f t="shared" si="129"/>
        <v>0.17279726261762191</v>
      </c>
      <c r="AU108" s="1447">
        <f t="shared" si="129"/>
        <v>0.17607973421926909</v>
      </c>
      <c r="AV108" s="1447">
        <f t="shared" si="129"/>
        <v>0.1758957654723127</v>
      </c>
      <c r="AW108" s="1447">
        <f t="shared" si="129"/>
        <v>0.21864951768488747</v>
      </c>
      <c r="AX108" s="1447">
        <f t="shared" si="129"/>
        <v>0.19496855345911951</v>
      </c>
      <c r="AY108" s="1332">
        <f t="shared" si="129"/>
        <v>0.1915925626515764</v>
      </c>
      <c r="AZ108" s="1447">
        <f t="shared" si="129"/>
        <v>0.19687499999999999</v>
      </c>
      <c r="BA108" s="1447">
        <f t="shared" si="129"/>
        <v>0.22962962962962966</v>
      </c>
      <c r="BB108" s="1447">
        <f t="shared" si="129"/>
        <v>0.23876404494382023</v>
      </c>
      <c r="BC108" s="1447">
        <f t="shared" si="129"/>
        <v>0.18518518518518517</v>
      </c>
      <c r="BD108" s="1332">
        <f t="shared" si="129"/>
        <v>0.21167259786476866</v>
      </c>
      <c r="BE108" s="1447">
        <f t="shared" si="129"/>
        <v>0.25798525798525801</v>
      </c>
      <c r="BF108" s="1447">
        <f t="shared" si="129"/>
        <v>0.24278846153846154</v>
      </c>
      <c r="BG108" s="1447">
        <f t="shared" si="129"/>
        <v>0.27272727272727271</v>
      </c>
      <c r="BH108" s="2093">
        <f t="shared" si="129"/>
        <v>0.24815724815724816</v>
      </c>
      <c r="BI108" s="1332">
        <f t="shared" si="129"/>
        <v>0.25557564798071125</v>
      </c>
      <c r="BJ108" s="2093">
        <f t="shared" si="129"/>
        <v>0.26865671641791045</v>
      </c>
      <c r="BK108" s="2093">
        <f>BK107/BK18</f>
        <v>0.28260869565217389</v>
      </c>
      <c r="BL108" s="1447">
        <f>BL107/BL18</f>
        <v>0.29383886255924169</v>
      </c>
      <c r="BM108" s="1447">
        <f>BM107/BM18</f>
        <v>0.29545454545454547</v>
      </c>
      <c r="BN108" s="1332">
        <f>+BN107/BN18</f>
        <v>0.28545887961859356</v>
      </c>
      <c r="BO108" s="2093">
        <f t="shared" ref="BO108" si="130">BO107/BO18</f>
        <v>0.25629290617848971</v>
      </c>
      <c r="BP108" s="1331">
        <f>CHOOSE(MHFI!$A$3,BP109,BP110,BP111)</f>
        <v>0.27094764599472937</v>
      </c>
      <c r="BQ108" s="1331">
        <f>CHOOSE(MHFI!$A$3,BQ109,BQ110,BQ111)</f>
        <v>0.28429238840482512</v>
      </c>
      <c r="BR108" s="1331">
        <f>CHOOSE(MHFI!$A$3,BR109,BR110,BR111)</f>
        <v>0.28814845142480999</v>
      </c>
      <c r="BS108" s="1332">
        <f>+BS107/BS18</f>
        <v>0.27526562935999355</v>
      </c>
      <c r="BT108" s="1331">
        <f>CHOOSE(MHFI!$A$3,BT109,BT110,BT111)</f>
        <v>0.25261377305677418</v>
      </c>
      <c r="BU108" s="1331">
        <f>CHOOSE(MHFI!$A$3,BU109,BU110,BU111)</f>
        <v>0.28988791877588344</v>
      </c>
      <c r="BV108" s="1331">
        <f>CHOOSE(MHFI!$A$3,BV109,BV110,BV111)</f>
        <v>0.30309099510717002</v>
      </c>
      <c r="BW108" s="1331">
        <f>CHOOSE(MHFI!$A$3,BW109,BW110,BW111)</f>
        <v>0.30660071544411927</v>
      </c>
      <c r="BX108" s="1332">
        <f>+BX107/BX18</f>
        <v>0.28858888805082955</v>
      </c>
      <c r="BY108" s="1333">
        <f>CHOOSE(MHFI!$A$3,BY109,BY110,BY111)</f>
        <v>0.30096046170117879</v>
      </c>
      <c r="BZ108" s="1333">
        <f>CHOOSE(MHFI!$A$3,BZ109,BZ110,BZ111)</f>
        <v>0.31645501095625816</v>
      </c>
      <c r="CA108" s="1333">
        <f>CHOOSE(MHFI!$A$3,CA109,CA110,CA111)</f>
        <v>0.32732716163166758</v>
      </c>
      <c r="CF108" s="1586" t="str">
        <f>+A108</f>
        <v>Margin % (Incl deal amort)</v>
      </c>
      <c r="CG108" s="1333"/>
      <c r="CH108" s="1332"/>
      <c r="CI108" s="1332"/>
      <c r="CJ108" s="1332"/>
      <c r="CK108" s="1332"/>
      <c r="CL108" s="1278"/>
      <c r="CM108" s="1278"/>
      <c r="CN108" s="1278"/>
      <c r="CO108" s="1278"/>
      <c r="CP108" s="1278"/>
      <c r="CQ108" s="1332">
        <f>+AJ108</f>
        <v>5.2376333656644035E-2</v>
      </c>
      <c r="CR108" s="1332">
        <f>+AO108</f>
        <v>0.20266666666666666</v>
      </c>
      <c r="CS108" s="1332">
        <f>+AT108</f>
        <v>0.17279726261762191</v>
      </c>
      <c r="CT108" s="1332">
        <f>+AY108</f>
        <v>0.1915925626515764</v>
      </c>
      <c r="CU108" s="1332">
        <f>+BD108</f>
        <v>0.21167259786476866</v>
      </c>
      <c r="CV108" s="1439">
        <f>+BI108</f>
        <v>0.25557564798071125</v>
      </c>
      <c r="CW108" s="1332">
        <f>+BN108</f>
        <v>0.28545887961859356</v>
      </c>
      <c r="CX108" s="1332">
        <f>+BS108</f>
        <v>0.27526562935999355</v>
      </c>
      <c r="CY108" s="1332">
        <f t="shared" si="128"/>
        <v>0.28858888805082955</v>
      </c>
      <c r="CZ108" s="1333">
        <f t="shared" si="128"/>
        <v>0.30096046170117879</v>
      </c>
      <c r="DA108" s="1333">
        <f t="shared" si="128"/>
        <v>0.31645501095625816</v>
      </c>
      <c r="DB108" s="1333">
        <f t="shared" si="128"/>
        <v>0.32732716163166758</v>
      </c>
    </row>
    <row r="109" spans="1:106" ht="12" hidden="1" customHeight="1" outlineLevel="1">
      <c r="A109" s="1587" t="s">
        <v>213</v>
      </c>
      <c r="B109" s="757"/>
      <c r="C109" s="757"/>
      <c r="D109" s="757"/>
      <c r="E109" s="757"/>
      <c r="F109" s="757"/>
      <c r="G109" s="1588"/>
      <c r="H109" s="1588"/>
      <c r="I109" s="1588"/>
      <c r="J109" s="1589"/>
      <c r="K109" s="1589"/>
      <c r="L109" s="1588"/>
      <c r="M109" s="1588"/>
      <c r="N109" s="1588"/>
      <c r="O109" s="1589"/>
      <c r="P109" s="1589"/>
      <c r="Q109" s="1588"/>
      <c r="R109" s="1588"/>
      <c r="S109" s="1588"/>
      <c r="T109" s="1589"/>
      <c r="U109" s="1589"/>
      <c r="V109" s="1588"/>
      <c r="W109" s="1588"/>
      <c r="X109" s="1588"/>
      <c r="Y109" s="1589"/>
      <c r="Z109" s="1589"/>
      <c r="AA109" s="1588"/>
      <c r="AB109" s="1588"/>
      <c r="AC109" s="1588"/>
      <c r="AD109" s="1589"/>
      <c r="AE109" s="1589"/>
      <c r="AF109" s="1588"/>
      <c r="AG109" s="1588"/>
      <c r="AH109" s="1588"/>
      <c r="AI109" s="1589"/>
      <c r="AJ109" s="1589"/>
      <c r="AK109" s="1588"/>
      <c r="AL109" s="1588"/>
      <c r="AM109" s="1588"/>
      <c r="AN109" s="1589"/>
      <c r="AO109" s="1589"/>
      <c r="AP109" s="1588"/>
      <c r="AQ109" s="1588"/>
      <c r="AR109" s="1588"/>
      <c r="AS109" s="1589"/>
      <c r="AT109" s="1589"/>
      <c r="AU109" s="1588"/>
      <c r="AV109" s="1588"/>
      <c r="AW109" s="758"/>
      <c r="AX109" s="758"/>
      <c r="AY109" s="759"/>
      <c r="AZ109" s="1588"/>
      <c r="BA109" s="758"/>
      <c r="BB109" s="760"/>
      <c r="BC109" s="758"/>
      <c r="BD109" s="761"/>
      <c r="BE109" s="758"/>
      <c r="BF109" s="758"/>
      <c r="BG109" s="758"/>
      <c r="BH109" s="758"/>
      <c r="BI109" s="761"/>
      <c r="BJ109" s="758"/>
      <c r="BK109" s="758"/>
      <c r="BL109" s="758"/>
      <c r="BM109" s="758"/>
      <c r="BN109" s="759"/>
      <c r="BO109" s="758"/>
      <c r="BP109" s="758">
        <f>+BP110-0.03</f>
        <v>0.24094764599472937</v>
      </c>
      <c r="BQ109" s="758">
        <f>+BQ110-0.03</f>
        <v>0.25429238840482515</v>
      </c>
      <c r="BR109" s="758">
        <f>+BR110-0.03</f>
        <v>0.25814845142481002</v>
      </c>
      <c r="BS109" s="759"/>
      <c r="BT109" s="758">
        <f t="shared" ref="BT109:BW109" si="131">+BT110-0.03</f>
        <v>0.22261377305677418</v>
      </c>
      <c r="BU109" s="758">
        <f t="shared" si="131"/>
        <v>0.25988791877588346</v>
      </c>
      <c r="BV109" s="758">
        <f t="shared" si="131"/>
        <v>0.27309099510717005</v>
      </c>
      <c r="BW109" s="758">
        <f t="shared" si="131"/>
        <v>0.27660071544411924</v>
      </c>
      <c r="BX109" s="759"/>
      <c r="BY109" s="759">
        <f>BY110-0.04</f>
        <v>0.26096046170117881</v>
      </c>
      <c r="BZ109" s="759">
        <f>BZ110-0.05</f>
        <v>0.26645501095625818</v>
      </c>
      <c r="CA109" s="759">
        <f>CA110-0.06</f>
        <v>0.26732716163166759</v>
      </c>
      <c r="CF109" s="1590"/>
      <c r="CG109" s="1591"/>
      <c r="CH109" s="1592"/>
      <c r="CI109" s="1592"/>
      <c r="CJ109" s="1592"/>
      <c r="CK109" s="1592"/>
      <c r="CL109" s="1593"/>
      <c r="CM109" s="1593"/>
      <c r="CN109" s="1593"/>
      <c r="CO109" s="1593"/>
      <c r="CP109" s="1593"/>
      <c r="CQ109" s="1593"/>
      <c r="CR109" s="1593"/>
      <c r="CS109" s="1593"/>
      <c r="CT109" s="1594"/>
      <c r="CU109" s="1594"/>
      <c r="CV109" s="1595"/>
      <c r="CW109" s="1594"/>
      <c r="CX109" s="1594"/>
      <c r="CY109" s="1594"/>
      <c r="CZ109" s="1596"/>
      <c r="DA109" s="1596"/>
      <c r="DB109" s="1596"/>
    </row>
    <row r="110" spans="1:106" ht="12" hidden="1" customHeight="1" outlineLevel="1">
      <c r="A110" s="1587" t="s">
        <v>214</v>
      </c>
      <c r="B110" s="757"/>
      <c r="C110" s="757"/>
      <c r="D110" s="757"/>
      <c r="E110" s="757"/>
      <c r="F110" s="757"/>
      <c r="G110" s="1588"/>
      <c r="H110" s="1588"/>
      <c r="I110" s="1588"/>
      <c r="J110" s="1589"/>
      <c r="K110" s="1589"/>
      <c r="L110" s="1588"/>
      <c r="M110" s="1588"/>
      <c r="N110" s="1588"/>
      <c r="O110" s="1589"/>
      <c r="P110" s="1589"/>
      <c r="Q110" s="1588"/>
      <c r="R110" s="1588"/>
      <c r="S110" s="1588"/>
      <c r="T110" s="1589"/>
      <c r="U110" s="1589"/>
      <c r="V110" s="1588"/>
      <c r="W110" s="1588"/>
      <c r="X110" s="1588"/>
      <c r="Y110" s="1589"/>
      <c r="Z110" s="1589"/>
      <c r="AA110" s="1588"/>
      <c r="AB110" s="1588"/>
      <c r="AC110" s="1588"/>
      <c r="AD110" s="1589"/>
      <c r="AE110" s="1589"/>
      <c r="AF110" s="1588"/>
      <c r="AG110" s="1588"/>
      <c r="AH110" s="1588"/>
      <c r="AI110" s="1589"/>
      <c r="AJ110" s="1589"/>
      <c r="AK110" s="1588"/>
      <c r="AL110" s="1588"/>
      <c r="AM110" s="1588"/>
      <c r="AN110" s="1589"/>
      <c r="AO110" s="1589"/>
      <c r="AP110" s="1588"/>
      <c r="AQ110" s="1588"/>
      <c r="AR110" s="1588"/>
      <c r="AS110" s="1589"/>
      <c r="AT110" s="1589"/>
      <c r="AU110" s="1588"/>
      <c r="AV110" s="1588"/>
      <c r="AW110" s="758"/>
      <c r="AX110" s="758"/>
      <c r="AY110" s="759"/>
      <c r="AZ110" s="1588"/>
      <c r="BA110" s="758"/>
      <c r="BB110" s="760"/>
      <c r="BC110" s="758"/>
      <c r="BD110" s="761"/>
      <c r="BE110" s="758"/>
      <c r="BF110" s="758"/>
      <c r="BG110" s="758"/>
      <c r="BH110" s="758"/>
      <c r="BI110" s="761"/>
      <c r="BJ110" s="758">
        <f>BJ108</f>
        <v>0.26865671641791045</v>
      </c>
      <c r="BK110" s="758">
        <f t="shared" ref="BK110:BM110" si="132">BK108</f>
        <v>0.28260869565217389</v>
      </c>
      <c r="BL110" s="758">
        <f t="shared" si="132"/>
        <v>0.29383886255924169</v>
      </c>
      <c r="BM110" s="758">
        <f t="shared" si="132"/>
        <v>0.29545454545454547</v>
      </c>
      <c r="BN110" s="759"/>
      <c r="BO110" s="758">
        <f>BO108</f>
        <v>0.25629290617848971</v>
      </c>
      <c r="BP110" s="758">
        <f>+BK108+0.0025+5/BP18+(0.25*BP133/BP18)+(BK112-BP112)/BP18</f>
        <v>0.27094764599472937</v>
      </c>
      <c r="BQ110" s="758">
        <f>+BL108+0.005+5/BQ18+(0.25*BQ133/BQ18)+(BL112-BQ112)/BQ18</f>
        <v>0.28429238840482512</v>
      </c>
      <c r="BR110" s="758">
        <f>+BM108+0.005+5/BR18+(0.25*BR133/BR18)+(BM112-BR112)/BR18</f>
        <v>0.28814845142480999</v>
      </c>
      <c r="BS110" s="759"/>
      <c r="BT110" s="758">
        <f>BO110+0.01+(0.25*BT133/BT18)+(BO112-BT112)/BT18</f>
        <v>0.25261377305677418</v>
      </c>
      <c r="BU110" s="758">
        <f t="shared" ref="BU110:BW110" si="133">BP110+0.01+(0.25*BU133/BU18)+(BP112-BU112)/BU18</f>
        <v>0.28988791877588344</v>
      </c>
      <c r="BV110" s="758">
        <f t="shared" si="133"/>
        <v>0.30309099510717002</v>
      </c>
      <c r="BW110" s="758">
        <f t="shared" si="133"/>
        <v>0.30660071544411927</v>
      </c>
      <c r="BX110" s="759"/>
      <c r="BY110" s="759">
        <f>+AVERAGE(BT110:BW110)+0.01+(0.25*BY133/BY18)+(BX112-BY112)/BY18</f>
        <v>0.30096046170117879</v>
      </c>
      <c r="BZ110" s="759">
        <f t="shared" ref="BZ110:CA110" si="134">+BY110+0.01+(0.25*BZ133/BZ18)+(BY112-BZ112)/BZ18</f>
        <v>0.31645501095625816</v>
      </c>
      <c r="CA110" s="759">
        <f t="shared" si="134"/>
        <v>0.32732716163166758</v>
      </c>
      <c r="CF110" s="1590"/>
      <c r="CG110" s="1591"/>
      <c r="CH110" s="1592"/>
      <c r="CI110" s="1592"/>
      <c r="CJ110" s="1592"/>
      <c r="CK110" s="1592"/>
      <c r="CL110" s="1593"/>
      <c r="CM110" s="1593"/>
      <c r="CN110" s="1593"/>
      <c r="CO110" s="1593"/>
      <c r="CP110" s="1593"/>
      <c r="CQ110" s="1593"/>
      <c r="CR110" s="1593"/>
      <c r="CS110" s="1593"/>
      <c r="CT110" s="1594"/>
      <c r="CU110" s="1594"/>
      <c r="CV110" s="1595"/>
      <c r="CW110" s="1594"/>
      <c r="CX110" s="1594"/>
      <c r="CY110" s="1594"/>
      <c r="CZ110" s="1596"/>
      <c r="DA110" s="1596"/>
      <c r="DB110" s="1596"/>
    </row>
    <row r="111" spans="1:106" ht="12" hidden="1" customHeight="1" outlineLevel="1">
      <c r="A111" s="1587" t="s">
        <v>215</v>
      </c>
      <c r="B111" s="757"/>
      <c r="C111" s="757"/>
      <c r="D111" s="757"/>
      <c r="E111" s="757"/>
      <c r="F111" s="757"/>
      <c r="G111" s="1588"/>
      <c r="H111" s="1588"/>
      <c r="I111" s="1588"/>
      <c r="J111" s="1589"/>
      <c r="K111" s="1589"/>
      <c r="L111" s="1588"/>
      <c r="M111" s="1588"/>
      <c r="N111" s="1588"/>
      <c r="O111" s="1589"/>
      <c r="P111" s="1589"/>
      <c r="Q111" s="1588"/>
      <c r="R111" s="1588"/>
      <c r="S111" s="1588"/>
      <c r="T111" s="1589"/>
      <c r="U111" s="1589"/>
      <c r="V111" s="1588"/>
      <c r="W111" s="1588"/>
      <c r="X111" s="1588"/>
      <c r="Y111" s="1589"/>
      <c r="Z111" s="1589"/>
      <c r="AA111" s="1588"/>
      <c r="AB111" s="1588"/>
      <c r="AC111" s="1588"/>
      <c r="AD111" s="1589"/>
      <c r="AE111" s="1589"/>
      <c r="AF111" s="1588"/>
      <c r="AG111" s="1588"/>
      <c r="AH111" s="1588"/>
      <c r="AI111" s="1589"/>
      <c r="AJ111" s="1589"/>
      <c r="AK111" s="1588"/>
      <c r="AL111" s="1588"/>
      <c r="AM111" s="1588"/>
      <c r="AN111" s="1589"/>
      <c r="AO111" s="1589"/>
      <c r="AP111" s="1588"/>
      <c r="AQ111" s="1588"/>
      <c r="AR111" s="1588"/>
      <c r="AS111" s="1589"/>
      <c r="AT111" s="1589"/>
      <c r="AU111" s="1588"/>
      <c r="AV111" s="1588"/>
      <c r="AW111" s="758"/>
      <c r="AX111" s="758"/>
      <c r="AY111" s="759"/>
      <c r="AZ111" s="1588"/>
      <c r="BA111" s="758"/>
      <c r="BB111" s="760"/>
      <c r="BC111" s="758"/>
      <c r="BD111" s="761"/>
      <c r="BE111" s="758"/>
      <c r="BF111" s="758"/>
      <c r="BG111" s="758"/>
      <c r="BH111" s="758"/>
      <c r="BI111" s="761"/>
      <c r="BJ111" s="758"/>
      <c r="BK111" s="758"/>
      <c r="BL111" s="758"/>
      <c r="BM111" s="758"/>
      <c r="BN111" s="759"/>
      <c r="BO111" s="758"/>
      <c r="BP111" s="758">
        <f>+BP110+0.015</f>
        <v>0.28594764599472938</v>
      </c>
      <c r="BQ111" s="758">
        <f>+BQ110+0.015</f>
        <v>0.29929238840482514</v>
      </c>
      <c r="BR111" s="758">
        <f>+BR110+0.015</f>
        <v>0.30314845142481001</v>
      </c>
      <c r="BS111" s="759"/>
      <c r="BT111" s="758">
        <f t="shared" ref="BT111:BW111" si="135">+BT110+0.01</f>
        <v>0.26261377305677419</v>
      </c>
      <c r="BU111" s="758">
        <f t="shared" si="135"/>
        <v>0.29988791877588344</v>
      </c>
      <c r="BV111" s="758">
        <f t="shared" si="135"/>
        <v>0.31309099510717003</v>
      </c>
      <c r="BW111" s="758">
        <f t="shared" si="135"/>
        <v>0.31660071544411927</v>
      </c>
      <c r="BX111" s="759"/>
      <c r="BY111" s="759">
        <f>+BY110+0.01</f>
        <v>0.3109604617011788</v>
      </c>
      <c r="BZ111" s="759">
        <f>+BZ110+0.01</f>
        <v>0.32645501095625817</v>
      </c>
      <c r="CA111" s="759">
        <f>+CA110+0.01</f>
        <v>0.33732716163166759</v>
      </c>
      <c r="CF111" s="1590"/>
      <c r="CG111" s="1591"/>
      <c r="CH111" s="1592"/>
      <c r="CI111" s="1592"/>
      <c r="CJ111" s="1592"/>
      <c r="CK111" s="1592"/>
      <c r="CL111" s="1593"/>
      <c r="CM111" s="1593"/>
      <c r="CN111" s="1593"/>
      <c r="CO111" s="1593"/>
      <c r="CP111" s="1593"/>
      <c r="CQ111" s="1593"/>
      <c r="CR111" s="1593"/>
      <c r="CS111" s="1593"/>
      <c r="CT111" s="1594"/>
      <c r="CU111" s="1594"/>
      <c r="CV111" s="1595"/>
      <c r="CW111" s="1594"/>
      <c r="CX111" s="1594"/>
      <c r="CY111" s="1594"/>
      <c r="CZ111" s="1596"/>
      <c r="DA111" s="1596"/>
      <c r="DB111" s="1596"/>
    </row>
    <row r="112" spans="1:106" s="768" customFormat="1" ht="12" hidden="1" customHeight="1" outlineLevel="1">
      <c r="A112" s="762" t="s">
        <v>316</v>
      </c>
      <c r="B112" s="741"/>
      <c r="C112" s="741"/>
      <c r="D112" s="741"/>
      <c r="E112" s="741"/>
      <c r="F112" s="741"/>
      <c r="G112" s="1319"/>
      <c r="H112" s="1319"/>
      <c r="I112" s="1319"/>
      <c r="J112" s="1278"/>
      <c r="K112" s="1291"/>
      <c r="L112" s="1319"/>
      <c r="M112" s="1319"/>
      <c r="N112" s="1319"/>
      <c r="O112" s="1278"/>
      <c r="P112" s="1291"/>
      <c r="Q112" s="1319"/>
      <c r="R112" s="1319"/>
      <c r="S112" s="1319"/>
      <c r="T112" s="1278"/>
      <c r="U112" s="1291"/>
      <c r="V112" s="1319"/>
      <c r="W112" s="1319"/>
      <c r="X112" s="1319"/>
      <c r="Y112" s="1278"/>
      <c r="Z112" s="1291"/>
      <c r="AA112" s="1320"/>
      <c r="AB112" s="1320"/>
      <c r="AC112" s="1320"/>
      <c r="AD112" s="1320"/>
      <c r="AE112" s="1318"/>
      <c r="AJ112" s="1291"/>
      <c r="AO112" s="1291"/>
      <c r="AP112" s="1254"/>
      <c r="AR112" s="1254"/>
      <c r="AS112" s="1254"/>
      <c r="AT112" s="1291"/>
      <c r="AY112" s="1291"/>
      <c r="AZ112" s="763">
        <v>6</v>
      </c>
      <c r="BA112" s="763">
        <v>6</v>
      </c>
      <c r="BB112" s="763">
        <v>10</v>
      </c>
      <c r="BC112" s="763">
        <v>19</v>
      </c>
      <c r="BD112" s="764">
        <f>+SUM(AZ112:BC112)</f>
        <v>41</v>
      </c>
      <c r="BE112" s="2245">
        <v>19</v>
      </c>
      <c r="BF112" s="2223">
        <v>18</v>
      </c>
      <c r="BG112" s="2223">
        <v>18</v>
      </c>
      <c r="BH112" s="2223">
        <v>18</v>
      </c>
      <c r="BI112" s="764">
        <f>+SUM(BE112:BH112)</f>
        <v>73</v>
      </c>
      <c r="BJ112" s="2224">
        <v>17</v>
      </c>
      <c r="BK112" s="2224">
        <v>18</v>
      </c>
      <c r="BL112" s="2223">
        <v>17</v>
      </c>
      <c r="BM112" s="2224">
        <v>17</v>
      </c>
      <c r="BN112" s="764">
        <f>SUM(BJ112:BM112)</f>
        <v>69</v>
      </c>
      <c r="BO112" s="2248">
        <v>17</v>
      </c>
      <c r="BP112" s="1606">
        <f>+($BS$112-$BO$112)/3</f>
        <v>27.166666666666668</v>
      </c>
      <c r="BQ112" s="1606">
        <f>+($BS$112-$BO$112)/3</f>
        <v>27.166666666666668</v>
      </c>
      <c r="BR112" s="1606">
        <f>+BS112-SUM(BO112:BQ112)</f>
        <v>27.166666666666657</v>
      </c>
      <c r="BS112" s="764">
        <f>+BN112-(MHFI!BN36-MHFI!BS36)</f>
        <v>98.5</v>
      </c>
      <c r="BT112" s="1606">
        <f>+$BX$112/4</f>
        <v>22.875</v>
      </c>
      <c r="BU112" s="1606">
        <f t="shared" ref="BU112:BV112" si="136">+$BX$112/4</f>
        <v>22.875</v>
      </c>
      <c r="BV112" s="1606">
        <f t="shared" si="136"/>
        <v>22.875</v>
      </c>
      <c r="BW112" s="1606">
        <f>+BX112-SUM(BT112:BV112)</f>
        <v>22.875</v>
      </c>
      <c r="BX112" s="764">
        <f>+BS112-(MHFI!BS36-MHFI!BX36)</f>
        <v>91.5</v>
      </c>
      <c r="BY112" s="764">
        <f>+BX112-(MHFI!BX36-MHFI!BY36)</f>
        <v>85.5</v>
      </c>
      <c r="BZ112" s="764">
        <f>+BY112-(MHFI!BY36-MHFI!BZ36)</f>
        <v>73.5</v>
      </c>
      <c r="CA112" s="764">
        <f>+BZ112-(MHFI!BZ36-MHFI!CA36)</f>
        <v>71.5</v>
      </c>
      <c r="CF112" s="1291"/>
      <c r="CG112" s="744"/>
      <c r="CH112" s="741"/>
      <c r="CI112" s="741"/>
      <c r="CJ112" s="741"/>
      <c r="CK112" s="741"/>
      <c r="CL112" s="1291"/>
      <c r="CM112" s="1318"/>
      <c r="CN112" s="1318"/>
      <c r="CO112" s="1318"/>
      <c r="CP112" s="1318"/>
      <c r="CQ112" s="1291"/>
      <c r="CR112" s="1291"/>
      <c r="CS112" s="1291"/>
      <c r="CT112" s="1291"/>
      <c r="CU112" s="1291"/>
      <c r="CV112" s="1289"/>
      <c r="CW112" s="1291"/>
      <c r="CX112" s="1291"/>
      <c r="CY112" s="1291"/>
      <c r="CZ112" s="1550"/>
      <c r="DA112" s="1550"/>
      <c r="DB112" s="1550"/>
    </row>
    <row r="113" spans="1:106" s="768" customFormat="1" ht="12" hidden="1" customHeight="1" outlineLevel="1">
      <c r="A113" s="768" t="s">
        <v>317</v>
      </c>
      <c r="B113" s="741"/>
      <c r="C113" s="741"/>
      <c r="D113" s="741"/>
      <c r="E113" s="741"/>
      <c r="F113" s="741"/>
      <c r="G113" s="1319"/>
      <c r="H113" s="1319"/>
      <c r="I113" s="1319"/>
      <c r="J113" s="1278"/>
      <c r="K113" s="1291"/>
      <c r="L113" s="1319"/>
      <c r="M113" s="1319"/>
      <c r="N113" s="1319"/>
      <c r="O113" s="1278"/>
      <c r="P113" s="1291"/>
      <c r="Q113" s="1319"/>
      <c r="R113" s="1319"/>
      <c r="S113" s="1319"/>
      <c r="T113" s="1278"/>
      <c r="U113" s="1291"/>
      <c r="V113" s="1319"/>
      <c r="W113" s="1319"/>
      <c r="X113" s="1319"/>
      <c r="Y113" s="1278"/>
      <c r="Z113" s="1291"/>
      <c r="AA113" s="1320"/>
      <c r="AB113" s="1320"/>
      <c r="AC113" s="1320"/>
      <c r="AD113" s="1320"/>
      <c r="AE113" s="1318"/>
      <c r="AJ113" s="1291"/>
      <c r="AO113" s="1291"/>
      <c r="AP113" s="1254"/>
      <c r="AR113" s="1254"/>
      <c r="AS113" s="1254"/>
      <c r="AT113" s="1291"/>
      <c r="AY113" s="1291"/>
      <c r="AZ113" s="768">
        <f t="shared" ref="AZ113:BZ113" si="137">+AZ107+AZ112</f>
        <v>69</v>
      </c>
      <c r="BA113" s="768">
        <f t="shared" si="137"/>
        <v>80.400000000000006</v>
      </c>
      <c r="BB113" s="768">
        <f t="shared" si="137"/>
        <v>95</v>
      </c>
      <c r="BC113" s="768">
        <f t="shared" si="137"/>
        <v>94</v>
      </c>
      <c r="BD113" s="1291">
        <f t="shared" si="137"/>
        <v>338.4</v>
      </c>
      <c r="BE113" s="768">
        <f t="shared" si="137"/>
        <v>124</v>
      </c>
      <c r="BF113" s="768">
        <f t="shared" si="137"/>
        <v>119</v>
      </c>
      <c r="BG113" s="768">
        <f t="shared" si="137"/>
        <v>135</v>
      </c>
      <c r="BH113" s="768">
        <f t="shared" si="137"/>
        <v>119</v>
      </c>
      <c r="BI113" s="1291">
        <f t="shared" si="137"/>
        <v>497</v>
      </c>
      <c r="BJ113" s="768">
        <f t="shared" si="137"/>
        <v>125</v>
      </c>
      <c r="BK113" s="768">
        <f t="shared" si="137"/>
        <v>135</v>
      </c>
      <c r="BL113" s="768">
        <f t="shared" si="137"/>
        <v>141</v>
      </c>
      <c r="BM113" s="768">
        <f t="shared" si="137"/>
        <v>147</v>
      </c>
      <c r="BN113" s="1291">
        <f t="shared" si="137"/>
        <v>548</v>
      </c>
      <c r="BO113" s="768">
        <f t="shared" si="137"/>
        <v>129</v>
      </c>
      <c r="BP113" s="768">
        <f t="shared" si="137"/>
        <v>148.72278339860043</v>
      </c>
      <c r="BQ113" s="768">
        <f t="shared" si="137"/>
        <v>156.76324410655855</v>
      </c>
      <c r="BR113" s="768">
        <f t="shared" si="137"/>
        <v>163.90347571618025</v>
      </c>
      <c r="BS113" s="1291">
        <f t="shared" si="137"/>
        <v>598.38950322133917</v>
      </c>
      <c r="BT113" s="768">
        <f t="shared" ref="BT113:BX113" si="138">+BT107+BT112</f>
        <v>141.14348046165645</v>
      </c>
      <c r="BU113" s="768">
        <f t="shared" si="138"/>
        <v>162.03208709720613</v>
      </c>
      <c r="BV113" s="768">
        <f t="shared" si="138"/>
        <v>170.7126707441202</v>
      </c>
      <c r="BW113" s="768">
        <f t="shared" si="138"/>
        <v>178.55258738270044</v>
      </c>
      <c r="BX113" s="1291">
        <f t="shared" si="138"/>
        <v>652.44082568568319</v>
      </c>
      <c r="BY113" s="1550">
        <f t="shared" si="137"/>
        <v>705.587182452462</v>
      </c>
      <c r="BZ113" s="1550">
        <f t="shared" si="137"/>
        <v>764.63223945796528</v>
      </c>
      <c r="CA113" s="1550">
        <f t="shared" ref="CA113" si="139">+CA107+CA112</f>
        <v>822.12066879213671</v>
      </c>
      <c r="CF113" s="1291"/>
      <c r="CG113" s="744"/>
      <c r="CH113" s="741"/>
      <c r="CI113" s="741"/>
      <c r="CJ113" s="741"/>
      <c r="CK113" s="741"/>
      <c r="CL113" s="1550"/>
      <c r="CM113" s="1451"/>
      <c r="CN113" s="1451"/>
      <c r="CO113" s="1451"/>
      <c r="CP113" s="1451"/>
      <c r="CQ113" s="1550"/>
      <c r="CR113" s="1291"/>
      <c r="CS113" s="1291"/>
      <c r="CT113" s="1291"/>
      <c r="CU113" s="1291"/>
      <c r="CV113" s="1289"/>
      <c r="CW113" s="1291"/>
      <c r="CX113" s="1291"/>
      <c r="CY113" s="1291"/>
      <c r="CZ113" s="1550"/>
      <c r="DA113" s="1550"/>
      <c r="DB113" s="1550"/>
    </row>
    <row r="114" spans="1:106" s="1437" customFormat="1" ht="12" hidden="1" customHeight="1" outlineLevel="1">
      <c r="A114" s="1585" t="s">
        <v>530</v>
      </c>
      <c r="B114" s="1332"/>
      <c r="C114" s="1332"/>
      <c r="D114" s="1332"/>
      <c r="E114" s="1332"/>
      <c r="F114" s="1332"/>
      <c r="G114" s="1319"/>
      <c r="H114" s="1319"/>
      <c r="I114" s="1319"/>
      <c r="J114" s="1278"/>
      <c r="K114" s="1332"/>
      <c r="L114" s="1319"/>
      <c r="M114" s="1319"/>
      <c r="N114" s="1319"/>
      <c r="O114" s="1278"/>
      <c r="P114" s="1332"/>
      <c r="Q114" s="1319"/>
      <c r="R114" s="1319"/>
      <c r="S114" s="1319"/>
      <c r="T114" s="1278"/>
      <c r="U114" s="1332"/>
      <c r="V114" s="1319"/>
      <c r="W114" s="1319"/>
      <c r="X114" s="1319"/>
      <c r="Y114" s="1278"/>
      <c r="Z114" s="1332"/>
      <c r="AA114" s="1331"/>
      <c r="AB114" s="1331"/>
      <c r="AC114" s="1331"/>
      <c r="AD114" s="1331"/>
      <c r="AE114" s="1332"/>
      <c r="AF114" s="1331"/>
      <c r="AG114" s="1331"/>
      <c r="AH114" s="1331"/>
      <c r="AI114" s="1331"/>
      <c r="AJ114" s="1332"/>
      <c r="AK114" s="1331"/>
      <c r="AL114" s="1331"/>
      <c r="AM114" s="1331"/>
      <c r="AN114" s="1331"/>
      <c r="AO114" s="1332"/>
      <c r="AP114" s="1447"/>
      <c r="AQ114" s="1331"/>
      <c r="AR114" s="1447"/>
      <c r="AS114" s="1447"/>
      <c r="AT114" s="1332"/>
      <c r="AU114" s="1331"/>
      <c r="AV114" s="1331"/>
      <c r="AW114" s="1331"/>
      <c r="AX114" s="1331"/>
      <c r="AY114" s="1332"/>
      <c r="AZ114" s="1331">
        <f t="shared" ref="AZ114:BZ114" si="140">+AZ113/AZ18</f>
        <v>0.21562500000000001</v>
      </c>
      <c r="BA114" s="1331">
        <f t="shared" si="140"/>
        <v>0.24814814814814817</v>
      </c>
      <c r="BB114" s="1331">
        <f t="shared" si="140"/>
        <v>0.26685393258426965</v>
      </c>
      <c r="BC114" s="1331">
        <f t="shared" si="140"/>
        <v>0.23209876543209876</v>
      </c>
      <c r="BD114" s="1332">
        <f t="shared" si="140"/>
        <v>0.24085409252669038</v>
      </c>
      <c r="BE114" s="1331">
        <f t="shared" si="140"/>
        <v>0.30466830466830469</v>
      </c>
      <c r="BF114" s="1331">
        <f t="shared" si="140"/>
        <v>0.28605769230769229</v>
      </c>
      <c r="BG114" s="1331">
        <f t="shared" si="140"/>
        <v>0.31468531468531469</v>
      </c>
      <c r="BH114" s="1331">
        <f t="shared" si="140"/>
        <v>0.29238329238329236</v>
      </c>
      <c r="BI114" s="1332">
        <f t="shared" si="140"/>
        <v>0.29957805907172996</v>
      </c>
      <c r="BJ114" s="1331">
        <f t="shared" si="140"/>
        <v>0.31094527363184077</v>
      </c>
      <c r="BK114" s="1331">
        <f t="shared" si="140"/>
        <v>0.32608695652173914</v>
      </c>
      <c r="BL114" s="1331">
        <f t="shared" si="140"/>
        <v>0.33412322274881517</v>
      </c>
      <c r="BM114" s="1331">
        <f t="shared" si="140"/>
        <v>0.33409090909090911</v>
      </c>
      <c r="BN114" s="1332">
        <f t="shared" si="140"/>
        <v>0.32657926102502982</v>
      </c>
      <c r="BO114" s="1331">
        <f t="shared" si="140"/>
        <v>0.29519450800915331</v>
      </c>
      <c r="BP114" s="1331">
        <f t="shared" si="140"/>
        <v>0.33150193631554781</v>
      </c>
      <c r="BQ114" s="1331">
        <f t="shared" si="140"/>
        <v>0.34388714549049387</v>
      </c>
      <c r="BR114" s="1331">
        <f t="shared" si="140"/>
        <v>0.34539735890472201</v>
      </c>
      <c r="BS114" s="1332">
        <f t="shared" si="140"/>
        <v>0.32950494488319643</v>
      </c>
      <c r="BT114" s="1331">
        <f t="shared" ref="BT114:BX114" si="141">+BT113/BT18</f>
        <v>0.30147328352074054</v>
      </c>
      <c r="BU114" s="1331">
        <f t="shared" si="141"/>
        <v>0.33754044068708311</v>
      </c>
      <c r="BV114" s="1331">
        <f t="shared" si="141"/>
        <v>0.34998842306432865</v>
      </c>
      <c r="BW114" s="1331">
        <f t="shared" si="141"/>
        <v>0.35165210327519508</v>
      </c>
      <c r="BX114" s="1332">
        <f t="shared" si="141"/>
        <v>0.33566316406625929</v>
      </c>
      <c r="BY114" s="1333">
        <f t="shared" si="140"/>
        <v>0.34245804495016569</v>
      </c>
      <c r="BZ114" s="1333">
        <f t="shared" si="140"/>
        <v>0.3501091251436193</v>
      </c>
      <c r="CA114" s="1333">
        <f t="shared" ref="CA114" si="142">+CA113/CA18</f>
        <v>0.35850654827755446</v>
      </c>
      <c r="CF114" s="1586"/>
      <c r="CG114" s="1333"/>
      <c r="CH114" s="1332"/>
      <c r="CI114" s="1332"/>
      <c r="CJ114" s="1332"/>
      <c r="CK114" s="1332"/>
      <c r="CL114" s="1332"/>
      <c r="CM114" s="1332"/>
      <c r="CN114" s="1332"/>
      <c r="CO114" s="1332"/>
      <c r="CP114" s="1332"/>
      <c r="CQ114" s="1332"/>
      <c r="CR114" s="1332"/>
      <c r="CS114" s="1332"/>
      <c r="CT114" s="1332"/>
      <c r="CU114" s="1332"/>
      <c r="CV114" s="1439"/>
      <c r="CW114" s="1332"/>
      <c r="CX114" s="1332"/>
      <c r="CY114" s="1332"/>
      <c r="CZ114" s="1333"/>
      <c r="DA114" s="1333"/>
      <c r="DB114" s="1333"/>
    </row>
    <row r="115" spans="1:106" ht="12" customHeight="1" collapsed="1">
      <c r="B115" s="1264"/>
      <c r="C115" s="1264"/>
      <c r="D115" s="1264"/>
      <c r="E115" s="1264"/>
      <c r="F115" s="1264"/>
      <c r="G115" s="1265"/>
      <c r="H115" s="1266"/>
      <c r="I115" s="1266"/>
      <c r="J115" s="1266"/>
      <c r="K115" s="1264"/>
      <c r="L115" s="1319"/>
      <c r="M115" s="1319"/>
      <c r="N115" s="1319"/>
      <c r="O115" s="1278"/>
      <c r="P115" s="1278"/>
      <c r="Q115" s="1319"/>
      <c r="R115" s="1319"/>
      <c r="S115" s="1319"/>
      <c r="T115" s="1278"/>
      <c r="U115" s="1278"/>
      <c r="V115" s="1319"/>
      <c r="W115" s="1319"/>
      <c r="X115" s="1319"/>
      <c r="Y115" s="1278"/>
      <c r="Z115" s="1278"/>
      <c r="AA115" s="1319"/>
      <c r="AB115" s="1319"/>
      <c r="AC115" s="1319"/>
      <c r="AD115" s="1278"/>
      <c r="AE115" s="1278"/>
      <c r="AF115" s="1319"/>
      <c r="AG115" s="1319"/>
      <c r="AH115" s="1319"/>
      <c r="AI115" s="1278"/>
      <c r="AJ115" s="1278"/>
      <c r="AK115" s="1408"/>
      <c r="AL115" s="1408"/>
      <c r="AM115" s="1408"/>
      <c r="AN115" s="1408"/>
      <c r="AO115" s="1342"/>
      <c r="AP115" s="781"/>
      <c r="AQ115" s="1408"/>
      <c r="AR115" s="781"/>
      <c r="AS115" s="781"/>
      <c r="AT115" s="1342"/>
      <c r="AU115" s="1408"/>
      <c r="AV115" s="1408"/>
      <c r="AW115" s="1266"/>
      <c r="AX115" s="1266"/>
      <c r="AY115" s="1342"/>
      <c r="AZ115" s="1408"/>
      <c r="BA115" s="1266"/>
      <c r="BB115" s="1266"/>
      <c r="BC115" s="1266"/>
      <c r="BD115" s="1342"/>
      <c r="BE115" s="1266"/>
      <c r="BF115" s="1266"/>
      <c r="BG115" s="1266"/>
      <c r="BH115" s="1266"/>
      <c r="BI115" s="1342"/>
      <c r="BJ115" s="1266"/>
      <c r="BK115" s="1266"/>
      <c r="BL115" s="1266"/>
      <c r="BM115" s="1266"/>
      <c r="BN115" s="1342"/>
      <c r="BO115" s="1402"/>
      <c r="BP115" s="1266"/>
      <c r="BQ115" s="1266"/>
      <c r="BR115" s="1266"/>
      <c r="BS115" s="1342"/>
      <c r="BT115" s="1266"/>
      <c r="BU115" s="1266"/>
      <c r="BV115" s="1266"/>
      <c r="BW115" s="1266"/>
      <c r="BX115" s="1342"/>
      <c r="BY115" s="1272"/>
      <c r="BZ115" s="1272"/>
      <c r="CA115" s="1272"/>
      <c r="CF115" s="1423"/>
      <c r="CG115" s="1272"/>
      <c r="CH115" s="1264"/>
      <c r="CI115" s="1264"/>
      <c r="CJ115" s="1264"/>
      <c r="CK115" s="1264"/>
      <c r="CL115" s="1264"/>
      <c r="CM115" s="1278"/>
      <c r="CN115" s="1278"/>
      <c r="CO115" s="1278"/>
      <c r="CP115" s="1278"/>
      <c r="CQ115" s="1278"/>
      <c r="CR115" s="1342"/>
      <c r="CS115" s="1342"/>
      <c r="CT115" s="1342"/>
      <c r="CU115" s="1342"/>
      <c r="CV115" s="1488"/>
      <c r="CW115" s="1264"/>
      <c r="CX115" s="1264"/>
      <c r="CY115" s="1264"/>
      <c r="CZ115" s="1272"/>
      <c r="DA115" s="1272"/>
      <c r="DB115" s="1272"/>
    </row>
    <row r="116" spans="1:106" s="768" customFormat="1" ht="12" hidden="1" customHeight="1" outlineLevel="2">
      <c r="A116" s="1428" t="s">
        <v>365</v>
      </c>
      <c r="B116" s="741">
        <v>65</v>
      </c>
      <c r="C116" s="741">
        <v>118</v>
      </c>
      <c r="D116" s="741">
        <v>110</v>
      </c>
      <c r="E116" s="741">
        <v>119</v>
      </c>
      <c r="F116" s="741">
        <v>61</v>
      </c>
      <c r="G116" s="1319" t="s">
        <v>249</v>
      </c>
      <c r="H116" s="1319" t="s">
        <v>249</v>
      </c>
      <c r="I116" s="1319" t="s">
        <v>249</v>
      </c>
      <c r="J116" s="1276" t="s">
        <v>249</v>
      </c>
      <c r="K116" s="1291">
        <v>50</v>
      </c>
      <c r="L116" s="1319" t="s">
        <v>249</v>
      </c>
      <c r="M116" s="1319" t="s">
        <v>249</v>
      </c>
      <c r="N116" s="1319" t="s">
        <v>249</v>
      </c>
      <c r="O116" s="1278" t="s">
        <v>249</v>
      </c>
      <c r="P116" s="1291">
        <v>64</v>
      </c>
      <c r="Q116" s="1319" t="s">
        <v>249</v>
      </c>
      <c r="R116" s="1319" t="s">
        <v>249</v>
      </c>
      <c r="S116" s="1319" t="s">
        <v>249</v>
      </c>
      <c r="T116" s="1278" t="s">
        <v>249</v>
      </c>
      <c r="U116" s="1291">
        <v>92</v>
      </c>
      <c r="V116" s="1319" t="s">
        <v>249</v>
      </c>
      <c r="W116" s="1319" t="s">
        <v>249</v>
      </c>
      <c r="X116" s="1319" t="s">
        <v>249</v>
      </c>
      <c r="Y116" s="1278" t="s">
        <v>249</v>
      </c>
      <c r="Z116" s="1291">
        <v>96</v>
      </c>
      <c r="AA116" s="1320">
        <v>30</v>
      </c>
      <c r="AB116" s="1320">
        <v>44</v>
      </c>
      <c r="AC116" s="1320">
        <v>44</v>
      </c>
      <c r="AD116" s="1320">
        <v>35</v>
      </c>
      <c r="AE116" s="1318">
        <f>SUM(AA116:AD116)</f>
        <v>153</v>
      </c>
      <c r="AF116" s="768">
        <f>AF21-AF54</f>
        <v>40</v>
      </c>
      <c r="AG116" s="768">
        <f>AG21-AG54</f>
        <v>49</v>
      </c>
      <c r="AH116" s="768">
        <f>AH21-AH54</f>
        <v>51</v>
      </c>
      <c r="AI116" s="768">
        <f>AI21-AI54</f>
        <v>47</v>
      </c>
      <c r="AJ116" s="1291">
        <f>SUM(AF116:AI116)</f>
        <v>187</v>
      </c>
      <c r="AK116" s="768">
        <f>AK21-AK54</f>
        <v>64</v>
      </c>
      <c r="AL116" s="768">
        <f>AL21-AL54</f>
        <v>71</v>
      </c>
      <c r="AM116" s="768">
        <f>AM21-AM54</f>
        <v>67</v>
      </c>
      <c r="AN116" s="768">
        <f>AN21-AN54</f>
        <v>59</v>
      </c>
      <c r="AO116" s="1291">
        <f>SUM(AK116:AN116)</f>
        <v>261</v>
      </c>
      <c r="AP116" s="1254">
        <f>AP21-AP54</f>
        <v>60</v>
      </c>
      <c r="AQ116" s="768">
        <f>AQ21-AQ54</f>
        <v>83</v>
      </c>
      <c r="AR116" s="768">
        <f>AR21-AR54</f>
        <v>77</v>
      </c>
      <c r="AS116" s="768">
        <f>AS21-AS54</f>
        <v>73</v>
      </c>
      <c r="AT116" s="1291">
        <f>SUM(AP116:AS116)</f>
        <v>293</v>
      </c>
      <c r="AU116" s="1254">
        <f>AU21-AU54</f>
        <v>70</v>
      </c>
      <c r="AV116" s="1254">
        <f>AV21-AV54</f>
        <v>77</v>
      </c>
      <c r="AW116" s="768">
        <f>AW21-AW54</f>
        <v>83</v>
      </c>
      <c r="AX116" s="768">
        <f>AX21-AX54</f>
        <v>76</v>
      </c>
      <c r="AY116" s="1291">
        <f>SUM(AU116:AX116)</f>
        <v>306</v>
      </c>
      <c r="AZ116" s="1254">
        <v>85</v>
      </c>
      <c r="BA116" s="768">
        <f>87+1</f>
        <v>88</v>
      </c>
      <c r="BB116" s="768">
        <f>BB21-BB54</f>
        <v>93</v>
      </c>
      <c r="BC116" s="768">
        <f>BC21-BC54</f>
        <v>92</v>
      </c>
      <c r="BD116" s="1291">
        <f>SUM(AZ116:BC116)</f>
        <v>358</v>
      </c>
      <c r="BE116" s="768">
        <f>BE21-BE54</f>
        <v>105</v>
      </c>
      <c r="BF116" s="2019">
        <f>93+2</f>
        <v>95</v>
      </c>
      <c r="BG116" s="2018">
        <f>812-721</f>
        <v>91</v>
      </c>
      <c r="BH116" s="2094">
        <f>BH98-BH107</f>
        <v>82</v>
      </c>
      <c r="BI116" s="1547">
        <f>SUM(BE116:BH116)</f>
        <v>373</v>
      </c>
      <c r="BJ116" s="2228">
        <f>82+11</f>
        <v>93</v>
      </c>
      <c r="BK116" s="2228">
        <f>78+9</f>
        <v>87</v>
      </c>
      <c r="BL116" s="2175">
        <v>84</v>
      </c>
      <c r="BM116" s="2175">
        <v>81</v>
      </c>
      <c r="BN116" s="1291">
        <f>SUM(BJ116:BM116)</f>
        <v>345</v>
      </c>
      <c r="BO116" s="2175">
        <v>90</v>
      </c>
      <c r="BP116" s="768">
        <f>+BP117*BP21</f>
        <v>91.179549263164574</v>
      </c>
      <c r="BQ116" s="768">
        <f>+BQ117*BQ21</f>
        <v>93.076190040131152</v>
      </c>
      <c r="BR116" s="768">
        <f>+BR117*BR21</f>
        <v>92.650982222176836</v>
      </c>
      <c r="BS116" s="1291">
        <f>SUM(BO116:BR116)</f>
        <v>366.90672152547256</v>
      </c>
      <c r="BT116" s="768">
        <f>+BT117*BT21</f>
        <v>94.089916224172725</v>
      </c>
      <c r="BU116" s="768">
        <f>+BU117*BU21</f>
        <v>95.875051233691181</v>
      </c>
      <c r="BV116" s="768">
        <f>+BV117*BV21</f>
        <v>97.853017641736386</v>
      </c>
      <c r="BW116" s="768">
        <f>+BW117*BW21</f>
        <v>97.432641511063906</v>
      </c>
      <c r="BX116" s="1291">
        <f>SUM(BT116:BW116)</f>
        <v>385.2506266106642</v>
      </c>
      <c r="BY116" s="1550">
        <f>+BY117*BY21</f>
        <v>405.06967860734193</v>
      </c>
      <c r="BZ116" s="1550">
        <f>+BZ117*BZ21</f>
        <v>425.81185442363562</v>
      </c>
      <c r="CA116" s="1550">
        <f>+CA117*CA21</f>
        <v>447.56529281946104</v>
      </c>
      <c r="CF116" s="1291" t="str">
        <f t="shared" ref="CF116:CK117" si="143">+A116</f>
        <v>Platts</v>
      </c>
      <c r="CG116" s="744">
        <f t="shared" si="143"/>
        <v>65</v>
      </c>
      <c r="CH116" s="741">
        <f t="shared" si="143"/>
        <v>118</v>
      </c>
      <c r="CI116" s="741">
        <f t="shared" si="143"/>
        <v>110</v>
      </c>
      <c r="CJ116" s="741">
        <f t="shared" si="143"/>
        <v>119</v>
      </c>
      <c r="CK116" s="741">
        <f t="shared" si="143"/>
        <v>61</v>
      </c>
      <c r="CL116" s="1291">
        <f>+K116</f>
        <v>50</v>
      </c>
      <c r="CM116" s="1318">
        <f>+P116</f>
        <v>64</v>
      </c>
      <c r="CN116" s="1318">
        <f>+U116</f>
        <v>92</v>
      </c>
      <c r="CO116" s="1318">
        <f>+Z116</f>
        <v>96</v>
      </c>
      <c r="CP116" s="1318">
        <f>+AE116</f>
        <v>153</v>
      </c>
      <c r="CQ116" s="1291">
        <f>+AJ116</f>
        <v>187</v>
      </c>
      <c r="CR116" s="1291">
        <f>+AO116</f>
        <v>261</v>
      </c>
      <c r="CS116" s="1291">
        <f>+AT116</f>
        <v>293</v>
      </c>
      <c r="CT116" s="1291">
        <f>+AY116</f>
        <v>306</v>
      </c>
      <c r="CU116" s="1291">
        <f>+BD116</f>
        <v>358</v>
      </c>
      <c r="CV116" s="1289">
        <f>+BI116</f>
        <v>373</v>
      </c>
      <c r="CW116" s="1291">
        <f>+BN116</f>
        <v>345</v>
      </c>
      <c r="CX116" s="1291">
        <f>+BS116</f>
        <v>366.90672152547256</v>
      </c>
      <c r="CY116" s="1291">
        <f t="shared" ref="CY116:DB117" si="144">+BX116</f>
        <v>385.2506266106642</v>
      </c>
      <c r="CZ116" s="1550">
        <f t="shared" si="144"/>
        <v>405.06967860734193</v>
      </c>
      <c r="DA116" s="1550">
        <f t="shared" si="144"/>
        <v>425.81185442363562</v>
      </c>
      <c r="DB116" s="1550">
        <f t="shared" si="144"/>
        <v>447.56529281946104</v>
      </c>
    </row>
    <row r="117" spans="1:106" s="1437" customFormat="1" ht="12" hidden="1" customHeight="1" outlineLevel="2">
      <c r="A117" s="1585" t="s">
        <v>531</v>
      </c>
      <c r="B117" s="1332">
        <f>B116/B21</f>
        <v>7.6832151300236406E-2</v>
      </c>
      <c r="C117" s="1332">
        <f>C116/C21</f>
        <v>0.14567901234567901</v>
      </c>
      <c r="D117" s="1332">
        <f>D116/D21</f>
        <v>0.14230271668822769</v>
      </c>
      <c r="E117" s="1332">
        <f>E116/E21</f>
        <v>0.14874999999999999</v>
      </c>
      <c r="F117" s="1332">
        <f>F116/F21</f>
        <v>6.5520945220193347E-2</v>
      </c>
      <c r="G117" s="1319"/>
      <c r="H117" s="1319"/>
      <c r="I117" s="1319"/>
      <c r="J117" s="1276"/>
      <c r="K117" s="1332">
        <f>K116/K21</f>
        <v>5.0761421319796954E-2</v>
      </c>
      <c r="L117" s="1319"/>
      <c r="M117" s="1319"/>
      <c r="N117" s="1319"/>
      <c r="O117" s="1278"/>
      <c r="P117" s="1332">
        <f>P116/P21</f>
        <v>6.2745098039215685E-2</v>
      </c>
      <c r="Q117" s="1319"/>
      <c r="R117" s="1319"/>
      <c r="S117" s="1319"/>
      <c r="T117" s="1278"/>
      <c r="U117" s="1332">
        <f>U116/U21</f>
        <v>8.6629001883239173E-2</v>
      </c>
      <c r="V117" s="1319"/>
      <c r="W117" s="1319"/>
      <c r="X117" s="1319"/>
      <c r="Y117" s="1278"/>
      <c r="Z117" s="1332">
        <f t="shared" ref="Z117:BI117" si="145">Z116/Z21</f>
        <v>0.10996563573883161</v>
      </c>
      <c r="AA117" s="1331">
        <f t="shared" si="145"/>
        <v>0.16042780748663102</v>
      </c>
      <c r="AB117" s="1331">
        <f t="shared" si="145"/>
        <v>0.22110552763819097</v>
      </c>
      <c r="AC117" s="1331">
        <f t="shared" si="145"/>
        <v>0.21568627450980393</v>
      </c>
      <c r="AD117" s="1331">
        <f t="shared" si="145"/>
        <v>0.15837104072398189</v>
      </c>
      <c r="AE117" s="1332">
        <f t="shared" si="145"/>
        <v>0.18865598027127004</v>
      </c>
      <c r="AF117" s="1331">
        <f t="shared" si="145"/>
        <v>0.19323671497584541</v>
      </c>
      <c r="AG117" s="1331">
        <f t="shared" si="145"/>
        <v>0.22072072072072071</v>
      </c>
      <c r="AH117" s="1331">
        <f t="shared" si="145"/>
        <v>0.22368421052631579</v>
      </c>
      <c r="AI117" s="1331">
        <f t="shared" si="145"/>
        <v>0.19665271966527198</v>
      </c>
      <c r="AJ117" s="1332">
        <f t="shared" si="145"/>
        <v>0.20870535714285715</v>
      </c>
      <c r="AK117" s="1331">
        <f t="shared" si="145"/>
        <v>0.27467811158798283</v>
      </c>
      <c r="AL117" s="1331">
        <f t="shared" si="145"/>
        <v>0.29583333333333334</v>
      </c>
      <c r="AM117" s="1331">
        <f t="shared" si="145"/>
        <v>0.28033472803347281</v>
      </c>
      <c r="AN117" s="1331">
        <f t="shared" si="145"/>
        <v>0.22692307692307692</v>
      </c>
      <c r="AO117" s="1332">
        <f t="shared" si="145"/>
        <v>0.26851851851851855</v>
      </c>
      <c r="AP117" s="1447">
        <f t="shared" si="145"/>
        <v>0.25423728813559321</v>
      </c>
      <c r="AQ117" s="1331">
        <f t="shared" si="145"/>
        <v>0.32046332046332049</v>
      </c>
      <c r="AR117" s="1331">
        <f t="shared" si="145"/>
        <v>0.36150234741784038</v>
      </c>
      <c r="AS117" s="1331">
        <f t="shared" si="145"/>
        <v>0.33181818181818185</v>
      </c>
      <c r="AT117" s="1332">
        <f t="shared" si="145"/>
        <v>0.31573275862068967</v>
      </c>
      <c r="AU117" s="1331">
        <f t="shared" si="145"/>
        <v>0.33175355450236965</v>
      </c>
      <c r="AV117" s="1331">
        <f t="shared" si="145"/>
        <v>0.35159817351598172</v>
      </c>
      <c r="AW117" s="1331">
        <f t="shared" si="145"/>
        <v>0.3656387665198238</v>
      </c>
      <c r="AX117" s="1331">
        <f t="shared" si="145"/>
        <v>0.32203389830508472</v>
      </c>
      <c r="AY117" s="1332">
        <f t="shared" si="145"/>
        <v>0.34266517357222842</v>
      </c>
      <c r="AZ117" s="1331">
        <f t="shared" si="145"/>
        <v>0.37777777777777777</v>
      </c>
      <c r="BA117" s="1331">
        <f t="shared" si="145"/>
        <v>0.37606837606837606</v>
      </c>
      <c r="BB117" s="1331">
        <f t="shared" si="145"/>
        <v>0.375</v>
      </c>
      <c r="BC117" s="1331">
        <f t="shared" si="145"/>
        <v>0.34848484848484851</v>
      </c>
      <c r="BD117" s="1332">
        <f t="shared" si="145"/>
        <v>0.36869207003089599</v>
      </c>
      <c r="BE117" s="1331">
        <f t="shared" si="145"/>
        <v>0.41338582677165353</v>
      </c>
      <c r="BF117" s="1331">
        <f t="shared" si="145"/>
        <v>0.37254901960784315</v>
      </c>
      <c r="BG117" s="1331">
        <f t="shared" si="145"/>
        <v>0.39737991266375544</v>
      </c>
      <c r="BH117" s="2093">
        <f>BH116/BH21</f>
        <v>0.43617021276595747</v>
      </c>
      <c r="BI117" s="1332">
        <f t="shared" si="145"/>
        <v>0.40280777537796975</v>
      </c>
      <c r="BJ117" s="2093">
        <f t="shared" ref="BJ117:BO117" si="146">BJ116/BJ21</f>
        <v>0.48691099476439792</v>
      </c>
      <c r="BK117" s="2093">
        <f t="shared" si="146"/>
        <v>0.453125</v>
      </c>
      <c r="BL117" s="1447">
        <f t="shared" si="146"/>
        <v>0.45652173913043476</v>
      </c>
      <c r="BM117" s="1447">
        <f t="shared" si="146"/>
        <v>0.41116751269035534</v>
      </c>
      <c r="BN117" s="1332">
        <f t="shared" si="146"/>
        <v>0.45157068062827227</v>
      </c>
      <c r="BO117" s="1331">
        <f t="shared" si="146"/>
        <v>0.45918367346938777</v>
      </c>
      <c r="BP117" s="1331">
        <f>CHOOSE(MHFI!$A$3,BP118,BP119,BP120)</f>
        <v>0.45227951023395124</v>
      </c>
      <c r="BQ117" s="1331">
        <f>CHOOSE(MHFI!$A$3,BQ118,BQ119,BQ120)</f>
        <v>0.45929528763943323</v>
      </c>
      <c r="BR117" s="1331">
        <f>CHOOSE(MHFI!$A$3,BR118,BR119,BR120)</f>
        <v>0.44791386135932715</v>
      </c>
      <c r="BS117" s="1332">
        <f>BS116/BS21</f>
        <v>0.45459883722645589</v>
      </c>
      <c r="BT117" s="1331">
        <f>CHOOSE(MHFI!$A$3,BT118,BT119,BT120)</f>
        <v>0.4615871086350703</v>
      </c>
      <c r="BU117" s="1331">
        <f>CHOOSE(MHFI!$A$3,BU118,BU119,BU120)</f>
        <v>0.45727951023395125</v>
      </c>
      <c r="BV117" s="1331">
        <f>CHOOSE(MHFI!$A$3,BV118,BV119,BV120)</f>
        <v>0.46429528763943323</v>
      </c>
      <c r="BW117" s="1331">
        <f>CHOOSE(MHFI!$A$3,BW118,BW119,BW120)</f>
        <v>0.45291386135932715</v>
      </c>
      <c r="BX117" s="1332">
        <f>BX116/BX21</f>
        <v>0.45896827508108828</v>
      </c>
      <c r="BY117" s="1333">
        <f>CHOOSE(MHFI!$A$3,BY118,BY119,BY120)</f>
        <v>0.46401894196694549</v>
      </c>
      <c r="BZ117" s="1333">
        <f>CHOOSE(MHFI!$A$3,BZ118,BZ119,BZ120)</f>
        <v>0.46901894196694549</v>
      </c>
      <c r="CA117" s="1333">
        <f>CHOOSE(MHFI!$A$3,CA118,CA119,CA120)</f>
        <v>0.4740189419669455</v>
      </c>
      <c r="CF117" s="1586" t="str">
        <f t="shared" si="143"/>
        <v>Margin % (Incl deal amort)</v>
      </c>
      <c r="CG117" s="1333">
        <f t="shared" si="143"/>
        <v>7.6832151300236406E-2</v>
      </c>
      <c r="CH117" s="1332">
        <f t="shared" si="143"/>
        <v>0.14567901234567901</v>
      </c>
      <c r="CI117" s="1332">
        <f t="shared" si="143"/>
        <v>0.14230271668822769</v>
      </c>
      <c r="CJ117" s="1332">
        <f t="shared" si="143"/>
        <v>0.14874999999999999</v>
      </c>
      <c r="CK117" s="1332">
        <f t="shared" si="143"/>
        <v>6.5520945220193347E-2</v>
      </c>
      <c r="CL117" s="1332">
        <f>+K117</f>
        <v>5.0761421319796954E-2</v>
      </c>
      <c r="CM117" s="1332">
        <f>+P117</f>
        <v>6.2745098039215685E-2</v>
      </c>
      <c r="CN117" s="1332">
        <f>+U117</f>
        <v>8.6629001883239173E-2</v>
      </c>
      <c r="CO117" s="1332">
        <f>+Z117</f>
        <v>0.10996563573883161</v>
      </c>
      <c r="CP117" s="1332">
        <f>+AE117</f>
        <v>0.18865598027127004</v>
      </c>
      <c r="CQ117" s="1332">
        <f>+AJ117</f>
        <v>0.20870535714285715</v>
      </c>
      <c r="CR117" s="1332">
        <f>+AO117</f>
        <v>0.26851851851851855</v>
      </c>
      <c r="CS117" s="1332">
        <f>+AT117</f>
        <v>0.31573275862068967</v>
      </c>
      <c r="CT117" s="1332">
        <f>+AY117</f>
        <v>0.34266517357222842</v>
      </c>
      <c r="CU117" s="1332">
        <f>+BD117</f>
        <v>0.36869207003089599</v>
      </c>
      <c r="CV117" s="1439">
        <f>+BI117</f>
        <v>0.40280777537796975</v>
      </c>
      <c r="CW117" s="1332">
        <f>+BN117</f>
        <v>0.45157068062827227</v>
      </c>
      <c r="CX117" s="1332">
        <f>+BS117</f>
        <v>0.45459883722645589</v>
      </c>
      <c r="CY117" s="1332">
        <f t="shared" si="144"/>
        <v>0.45896827508108828</v>
      </c>
      <c r="CZ117" s="1333">
        <f t="shared" si="144"/>
        <v>0.46401894196694549</v>
      </c>
      <c r="DA117" s="1333">
        <f t="shared" si="144"/>
        <v>0.46901894196694549</v>
      </c>
      <c r="DB117" s="1333">
        <f t="shared" si="144"/>
        <v>0.4740189419669455</v>
      </c>
    </row>
    <row r="118" spans="1:106" ht="12" hidden="1" customHeight="1" outlineLevel="2">
      <c r="A118" s="1587" t="s">
        <v>213</v>
      </c>
      <c r="B118" s="757"/>
      <c r="C118" s="757"/>
      <c r="D118" s="757"/>
      <c r="E118" s="757"/>
      <c r="F118" s="757"/>
      <c r="G118" s="1588"/>
      <c r="H118" s="1588"/>
      <c r="I118" s="1588"/>
      <c r="J118" s="1589"/>
      <c r="K118" s="1589"/>
      <c r="L118" s="1588"/>
      <c r="M118" s="1588"/>
      <c r="N118" s="1588"/>
      <c r="O118" s="1589"/>
      <c r="P118" s="1589"/>
      <c r="Q118" s="1588"/>
      <c r="R118" s="1588"/>
      <c r="S118" s="1588"/>
      <c r="T118" s="1589"/>
      <c r="U118" s="1589"/>
      <c r="V118" s="1588"/>
      <c r="W118" s="1588"/>
      <c r="X118" s="1588"/>
      <c r="Y118" s="1589"/>
      <c r="Z118" s="1589"/>
      <c r="AA118" s="1588"/>
      <c r="AB118" s="1588"/>
      <c r="AC118" s="1588"/>
      <c r="AD118" s="1589"/>
      <c r="AE118" s="1589"/>
      <c r="AF118" s="1588"/>
      <c r="AG118" s="1588"/>
      <c r="AH118" s="1588"/>
      <c r="AI118" s="1589"/>
      <c r="AJ118" s="1589"/>
      <c r="AK118" s="1588"/>
      <c r="AL118" s="1588"/>
      <c r="AM118" s="1588"/>
      <c r="AN118" s="1589"/>
      <c r="AO118" s="1589"/>
      <c r="AP118" s="1588"/>
      <c r="AQ118" s="1588"/>
      <c r="AR118" s="1588"/>
      <c r="AS118" s="1589"/>
      <c r="AT118" s="1589"/>
      <c r="AU118" s="1588"/>
      <c r="AV118" s="1588"/>
      <c r="AW118" s="758"/>
      <c r="AX118" s="758"/>
      <c r="AY118" s="759"/>
      <c r="AZ118" s="1588"/>
      <c r="BA118" s="758"/>
      <c r="BB118" s="760"/>
      <c r="BC118" s="758"/>
      <c r="BD118" s="761"/>
      <c r="BE118" s="758"/>
      <c r="BF118" s="758"/>
      <c r="BG118" s="758"/>
      <c r="BH118" s="758"/>
      <c r="BI118" s="761"/>
      <c r="BJ118" s="758"/>
      <c r="BK118" s="758"/>
      <c r="BL118" s="758"/>
      <c r="BM118" s="758"/>
      <c r="BN118" s="759"/>
      <c r="BO118" s="758"/>
      <c r="BP118" s="758">
        <f>+BP119-0.04</f>
        <v>0.41227951023395126</v>
      </c>
      <c r="BQ118" s="758">
        <f>+BQ119-0.04</f>
        <v>0.41929528763943325</v>
      </c>
      <c r="BR118" s="758">
        <f>+BR119-0.04</f>
        <v>0.40791386135932717</v>
      </c>
      <c r="BS118" s="759"/>
      <c r="BT118" s="758">
        <f t="shared" ref="BT118:BW118" si="147">+BT119-0.04</f>
        <v>0.42158710863507032</v>
      </c>
      <c r="BU118" s="758">
        <f t="shared" si="147"/>
        <v>0.41727951023395127</v>
      </c>
      <c r="BV118" s="758">
        <f t="shared" si="147"/>
        <v>0.42429528763943325</v>
      </c>
      <c r="BW118" s="758">
        <f t="shared" si="147"/>
        <v>0.41291386135932717</v>
      </c>
      <c r="BX118" s="759"/>
      <c r="BY118" s="759">
        <f>BY119-0.04</f>
        <v>0.42401894196694551</v>
      </c>
      <c r="BZ118" s="759">
        <f>BZ119-0.045</f>
        <v>0.42401894196694551</v>
      </c>
      <c r="CA118" s="759">
        <f>CA119-0.05</f>
        <v>0.42401894196694551</v>
      </c>
      <c r="CF118" s="1590"/>
      <c r="CG118" s="1591"/>
      <c r="CH118" s="1592"/>
      <c r="CI118" s="1592"/>
      <c r="CJ118" s="1592"/>
      <c r="CK118" s="1592"/>
      <c r="CL118" s="1593"/>
      <c r="CM118" s="1593"/>
      <c r="CN118" s="1593"/>
      <c r="CO118" s="1593"/>
      <c r="CP118" s="1593"/>
      <c r="CQ118" s="1593"/>
      <c r="CR118" s="1593"/>
      <c r="CS118" s="1593"/>
      <c r="CT118" s="1594"/>
      <c r="CU118" s="1594"/>
      <c r="CV118" s="1595"/>
      <c r="CW118" s="1594"/>
      <c r="CX118" s="1594"/>
      <c r="CY118" s="1594"/>
      <c r="CZ118" s="1596"/>
      <c r="DA118" s="1596"/>
      <c r="DB118" s="1596"/>
    </row>
    <row r="119" spans="1:106" ht="12" hidden="1" customHeight="1" outlineLevel="2">
      <c r="A119" s="1587" t="s">
        <v>214</v>
      </c>
      <c r="B119" s="757"/>
      <c r="C119" s="757"/>
      <c r="D119" s="757"/>
      <c r="E119" s="757"/>
      <c r="F119" s="757"/>
      <c r="G119" s="1588"/>
      <c r="H119" s="1588"/>
      <c r="I119" s="1588"/>
      <c r="J119" s="1589"/>
      <c r="K119" s="1589"/>
      <c r="L119" s="1588"/>
      <c r="M119" s="1588"/>
      <c r="N119" s="1588"/>
      <c r="O119" s="1589"/>
      <c r="P119" s="1589"/>
      <c r="Q119" s="1588"/>
      <c r="R119" s="1588"/>
      <c r="S119" s="1588"/>
      <c r="T119" s="1589"/>
      <c r="U119" s="1589"/>
      <c r="V119" s="1588"/>
      <c r="W119" s="1588"/>
      <c r="X119" s="1588"/>
      <c r="Y119" s="1589"/>
      <c r="Z119" s="1589"/>
      <c r="AA119" s="1588"/>
      <c r="AB119" s="1588"/>
      <c r="AC119" s="1588"/>
      <c r="AD119" s="1589"/>
      <c r="AE119" s="1589"/>
      <c r="AF119" s="1588"/>
      <c r="AG119" s="1588"/>
      <c r="AH119" s="1588"/>
      <c r="AI119" s="1589"/>
      <c r="AJ119" s="1589"/>
      <c r="AK119" s="1588"/>
      <c r="AL119" s="1588"/>
      <c r="AM119" s="1588"/>
      <c r="AN119" s="1589"/>
      <c r="AO119" s="1589"/>
      <c r="AP119" s="1588"/>
      <c r="AQ119" s="1588"/>
      <c r="AR119" s="1588"/>
      <c r="AS119" s="1589"/>
      <c r="AT119" s="1589"/>
      <c r="AU119" s="1588"/>
      <c r="AV119" s="1588"/>
      <c r="AW119" s="758"/>
      <c r="AX119" s="758"/>
      <c r="AY119" s="759"/>
      <c r="AZ119" s="1588"/>
      <c r="BA119" s="758"/>
      <c r="BB119" s="760"/>
      <c r="BC119" s="758"/>
      <c r="BD119" s="761"/>
      <c r="BE119" s="758"/>
      <c r="BF119" s="758"/>
      <c r="BG119" s="758"/>
      <c r="BH119" s="758"/>
      <c r="BI119" s="761"/>
      <c r="BJ119" s="758">
        <f>BJ117</f>
        <v>0.48691099476439792</v>
      </c>
      <c r="BK119" s="758">
        <f t="shared" ref="BK119:BM119" si="148">BK117</f>
        <v>0.453125</v>
      </c>
      <c r="BL119" s="758">
        <f t="shared" si="148"/>
        <v>0.45652173913043476</v>
      </c>
      <c r="BM119" s="758">
        <f t="shared" si="148"/>
        <v>0.41116751269035534</v>
      </c>
      <c r="BN119" s="759"/>
      <c r="BO119" s="758">
        <f>BO117</f>
        <v>0.45918367346938777</v>
      </c>
      <c r="BP119" s="758">
        <f>+BK117+0.01+(0.25*BP133/BP21)</f>
        <v>0.45227951023395124</v>
      </c>
      <c r="BQ119" s="758">
        <f>+BL117+0.01+(0.25*BQ133/BQ21)</f>
        <v>0.45929528763943323</v>
      </c>
      <c r="BR119" s="758">
        <f>+BM117+0.04+(0.25*BR133/BR21)</f>
        <v>0.44791386135932715</v>
      </c>
      <c r="BS119" s="759"/>
      <c r="BT119" s="758">
        <f>BO119+0.005+(BT133*0.25/BT21)</f>
        <v>0.4615871086350703</v>
      </c>
      <c r="BU119" s="758">
        <f t="shared" ref="BU119:BW119" si="149">BP119+0.005+(BU133*0.25/BU21)</f>
        <v>0.45727951023395125</v>
      </c>
      <c r="BV119" s="758">
        <f t="shared" si="149"/>
        <v>0.46429528763943323</v>
      </c>
      <c r="BW119" s="758">
        <f t="shared" si="149"/>
        <v>0.45291386135932715</v>
      </c>
      <c r="BX119" s="759"/>
      <c r="BY119" s="759">
        <f>AVERAGE(BT119:BW119)+0.005+(BY133*0.25/BY21)</f>
        <v>0.46401894196694549</v>
      </c>
      <c r="BZ119" s="759">
        <f t="shared" ref="BZ119:CA119" si="150">BY119+0.005+(BZ133*0.25/BZ21)</f>
        <v>0.46901894196694549</v>
      </c>
      <c r="CA119" s="759">
        <f t="shared" si="150"/>
        <v>0.4740189419669455</v>
      </c>
      <c r="CF119" s="1590"/>
      <c r="CG119" s="1591"/>
      <c r="CH119" s="1592"/>
      <c r="CI119" s="1592"/>
      <c r="CJ119" s="1592"/>
      <c r="CK119" s="1592"/>
      <c r="CL119" s="1593"/>
      <c r="CM119" s="1593"/>
      <c r="CN119" s="1593"/>
      <c r="CO119" s="1593"/>
      <c r="CP119" s="1593"/>
      <c r="CQ119" s="1593"/>
      <c r="CR119" s="1593"/>
      <c r="CS119" s="1593"/>
      <c r="CT119" s="1594"/>
      <c r="CU119" s="1594"/>
      <c r="CV119" s="1595"/>
      <c r="CW119" s="1594"/>
      <c r="CX119" s="1594"/>
      <c r="CY119" s="1594"/>
      <c r="CZ119" s="1596"/>
      <c r="DA119" s="1596"/>
      <c r="DB119" s="1596"/>
    </row>
    <row r="120" spans="1:106" ht="12" hidden="1" customHeight="1" outlineLevel="2">
      <c r="A120" s="1587" t="s">
        <v>215</v>
      </c>
      <c r="B120" s="757"/>
      <c r="C120" s="757"/>
      <c r="D120" s="757"/>
      <c r="E120" s="757"/>
      <c r="F120" s="757"/>
      <c r="G120" s="1588"/>
      <c r="H120" s="1588"/>
      <c r="I120" s="1588"/>
      <c r="J120" s="1589"/>
      <c r="K120" s="1589"/>
      <c r="L120" s="1588"/>
      <c r="M120" s="1588"/>
      <c r="N120" s="1588"/>
      <c r="O120" s="1589"/>
      <c r="P120" s="1589"/>
      <c r="Q120" s="1588"/>
      <c r="R120" s="1588"/>
      <c r="S120" s="1588"/>
      <c r="T120" s="1589"/>
      <c r="U120" s="1589"/>
      <c r="V120" s="1588"/>
      <c r="W120" s="1588"/>
      <c r="X120" s="1588"/>
      <c r="Y120" s="1589"/>
      <c r="Z120" s="1589"/>
      <c r="AA120" s="1588"/>
      <c r="AB120" s="1588"/>
      <c r="AC120" s="1588"/>
      <c r="AD120" s="1589"/>
      <c r="AE120" s="1589"/>
      <c r="AF120" s="1588"/>
      <c r="AG120" s="1588"/>
      <c r="AH120" s="1588"/>
      <c r="AI120" s="1589"/>
      <c r="AJ120" s="1589"/>
      <c r="AK120" s="1588"/>
      <c r="AL120" s="1588"/>
      <c r="AM120" s="1588"/>
      <c r="AN120" s="1589"/>
      <c r="AO120" s="1589"/>
      <c r="AP120" s="1588"/>
      <c r="AQ120" s="1588"/>
      <c r="AR120" s="1588"/>
      <c r="AS120" s="1589"/>
      <c r="AT120" s="1589"/>
      <c r="AU120" s="1588"/>
      <c r="AV120" s="1588"/>
      <c r="AW120" s="758"/>
      <c r="AX120" s="758"/>
      <c r="AY120" s="759"/>
      <c r="AZ120" s="1588"/>
      <c r="BA120" s="758"/>
      <c r="BB120" s="760"/>
      <c r="BC120" s="758"/>
      <c r="BD120" s="761"/>
      <c r="BE120" s="758"/>
      <c r="BF120" s="758"/>
      <c r="BG120" s="758"/>
      <c r="BH120" s="758"/>
      <c r="BI120" s="761"/>
      <c r="BJ120" s="758"/>
      <c r="BK120" s="758"/>
      <c r="BL120" s="758"/>
      <c r="BM120" s="758"/>
      <c r="BN120" s="759"/>
      <c r="BO120" s="758"/>
      <c r="BP120" s="758">
        <f>+BP119+0.02</f>
        <v>0.47227951023395126</v>
      </c>
      <c r="BQ120" s="758">
        <f>+BQ119+0.02</f>
        <v>0.47929528763943324</v>
      </c>
      <c r="BR120" s="758">
        <f>+BR119+0.02</f>
        <v>0.46791386135932717</v>
      </c>
      <c r="BS120" s="759"/>
      <c r="BT120" s="758">
        <f t="shared" ref="BT120:BW120" si="151">+BT119+0.02</f>
        <v>0.48158710863507032</v>
      </c>
      <c r="BU120" s="758">
        <f t="shared" si="151"/>
        <v>0.47727951023395127</v>
      </c>
      <c r="BV120" s="758">
        <f t="shared" si="151"/>
        <v>0.48429528763943325</v>
      </c>
      <c r="BW120" s="758">
        <f t="shared" si="151"/>
        <v>0.47291386135932717</v>
      </c>
      <c r="BX120" s="759"/>
      <c r="BY120" s="759">
        <f>+BY119+0.02</f>
        <v>0.4840189419669455</v>
      </c>
      <c r="BZ120" s="759">
        <f>+BZ119+0.02</f>
        <v>0.48901894196694551</v>
      </c>
      <c r="CA120" s="759">
        <f>+CA119+0.02</f>
        <v>0.49401894196694551</v>
      </c>
      <c r="CF120" s="1590"/>
      <c r="CG120" s="1591"/>
      <c r="CH120" s="1592"/>
      <c r="CI120" s="1592"/>
      <c r="CJ120" s="1592"/>
      <c r="CK120" s="1592"/>
      <c r="CL120" s="1593"/>
      <c r="CM120" s="1593"/>
      <c r="CN120" s="1593"/>
      <c r="CO120" s="1593"/>
      <c r="CP120" s="1593"/>
      <c r="CQ120" s="1593"/>
      <c r="CR120" s="1593"/>
      <c r="CS120" s="1593"/>
      <c r="CT120" s="1594"/>
      <c r="CU120" s="1594"/>
      <c r="CV120" s="1595"/>
      <c r="CW120" s="1594"/>
      <c r="CX120" s="1594"/>
      <c r="CY120" s="1594"/>
      <c r="CZ120" s="1596"/>
      <c r="DA120" s="1596"/>
      <c r="DB120" s="1596"/>
    </row>
    <row r="121" spans="1:106" s="768" customFormat="1" ht="12" hidden="1" customHeight="1" outlineLevel="2">
      <c r="A121" s="762" t="s">
        <v>316</v>
      </c>
      <c r="B121" s="741"/>
      <c r="C121" s="741"/>
      <c r="D121" s="741"/>
      <c r="E121" s="741"/>
      <c r="F121" s="741"/>
      <c r="G121" s="1319"/>
      <c r="H121" s="1319"/>
      <c r="I121" s="1319"/>
      <c r="J121" s="1278"/>
      <c r="K121" s="1291"/>
      <c r="L121" s="1319"/>
      <c r="M121" s="1319"/>
      <c r="N121" s="1319"/>
      <c r="O121" s="1278"/>
      <c r="P121" s="1291"/>
      <c r="Q121" s="1319"/>
      <c r="R121" s="1319"/>
      <c r="S121" s="1319"/>
      <c r="T121" s="1278"/>
      <c r="U121" s="1291"/>
      <c r="V121" s="1319"/>
      <c r="W121" s="1319"/>
      <c r="X121" s="1319"/>
      <c r="Y121" s="1278"/>
      <c r="Z121" s="1291"/>
      <c r="AA121" s="1320"/>
      <c r="AB121" s="1320"/>
      <c r="AC121" s="1320"/>
      <c r="AD121" s="1320"/>
      <c r="AE121" s="1318"/>
      <c r="AJ121" s="1291"/>
      <c r="AO121" s="1291"/>
      <c r="AP121" s="1254"/>
      <c r="AR121" s="1254"/>
      <c r="AS121" s="1254"/>
      <c r="AT121" s="1291"/>
      <c r="AY121" s="1291"/>
      <c r="AZ121" s="763">
        <v>3</v>
      </c>
      <c r="BA121" s="763">
        <v>3</v>
      </c>
      <c r="BB121" s="763">
        <v>5</v>
      </c>
      <c r="BC121" s="763">
        <v>5</v>
      </c>
      <c r="BD121" s="764">
        <f>+SUM(AZ121:BC121)</f>
        <v>16</v>
      </c>
      <c r="BE121" s="763">
        <v>3</v>
      </c>
      <c r="BF121" s="765">
        <v>3</v>
      </c>
      <c r="BG121" s="765">
        <v>3</v>
      </c>
      <c r="BH121" s="765">
        <f>+BH103-BH112</f>
        <v>5</v>
      </c>
      <c r="BI121" s="764">
        <f>+MHFI!BI77-'Op Metrics'!BI94-'Op Metrics'!BI112-'Op Metrics'!BI85</f>
        <v>15</v>
      </c>
      <c r="BJ121" s="2223">
        <v>5</v>
      </c>
      <c r="BK121" s="2224">
        <v>5</v>
      </c>
      <c r="BL121" s="2223">
        <v>5</v>
      </c>
      <c r="BM121" s="2224">
        <v>5</v>
      </c>
      <c r="BN121" s="764">
        <f>SUM(BJ121:BM121)</f>
        <v>20</v>
      </c>
      <c r="BO121" s="2248">
        <v>5</v>
      </c>
      <c r="BP121" s="1606">
        <f>+BP141-'Op Metrics'!BP94-'Op Metrics'!BP112-'Op Metrics'!BP85</f>
        <v>5.3333333333333321</v>
      </c>
      <c r="BQ121" s="1606">
        <f>+BQ141-'Op Metrics'!BQ94-'Op Metrics'!BQ112-'Op Metrics'!BQ85</f>
        <v>5.3333333333333321</v>
      </c>
      <c r="BR121" s="1606">
        <f>+BR141-'Op Metrics'!BR94-'Op Metrics'!BR112-'Op Metrics'!BR85</f>
        <v>5.3333333333333428</v>
      </c>
      <c r="BS121" s="764">
        <f>+MHFI!BS77-'Op Metrics'!BS94-'Op Metrics'!BS112-'Op Metrics'!BS85</f>
        <v>21</v>
      </c>
      <c r="BT121" s="1606">
        <f>+BT141-'Op Metrics'!BT94-'Op Metrics'!BT112-'Op Metrics'!BT85</f>
        <v>5.25</v>
      </c>
      <c r="BU121" s="1606">
        <f>+BU141-'Op Metrics'!BU94-'Op Metrics'!BU112-'Op Metrics'!BU85</f>
        <v>5.25</v>
      </c>
      <c r="BV121" s="1606">
        <f>+BV141-'Op Metrics'!BV94-'Op Metrics'!BV112-'Op Metrics'!BV85</f>
        <v>5.25</v>
      </c>
      <c r="BW121" s="1606">
        <f>+BW141-'Op Metrics'!BW94-'Op Metrics'!BW112-'Op Metrics'!BW85</f>
        <v>5.25</v>
      </c>
      <c r="BX121" s="764">
        <f>+MHFI!BX77-'Op Metrics'!BX94-'Op Metrics'!BX112-'Op Metrics'!BX85</f>
        <v>21</v>
      </c>
      <c r="BY121" s="764">
        <f>+BY141-'Op Metrics'!BY94-'Op Metrics'!BY112-'Op Metrics'!BY85</f>
        <v>21</v>
      </c>
      <c r="BZ121" s="764">
        <f>+BZ141-'Op Metrics'!BZ94-'Op Metrics'!BZ112-'Op Metrics'!BZ85</f>
        <v>21</v>
      </c>
      <c r="CA121" s="764">
        <f>+CA141-'Op Metrics'!CA94-'Op Metrics'!CA112-'Op Metrics'!CA85</f>
        <v>21</v>
      </c>
      <c r="CF121" s="1291"/>
      <c r="CG121" s="744"/>
      <c r="CH121" s="741"/>
      <c r="CI121" s="741"/>
      <c r="CJ121" s="741"/>
      <c r="CK121" s="741"/>
      <c r="CL121" s="1291"/>
      <c r="CM121" s="1318"/>
      <c r="CN121" s="1318"/>
      <c r="CO121" s="1318"/>
      <c r="CP121" s="1318"/>
      <c r="CQ121" s="1291"/>
      <c r="CR121" s="1291"/>
      <c r="CS121" s="1291"/>
      <c r="CT121" s="1291"/>
      <c r="CU121" s="1291"/>
      <c r="CV121" s="1289"/>
      <c r="CW121" s="1291"/>
      <c r="CX121" s="1291"/>
      <c r="CY121" s="1291"/>
      <c r="CZ121" s="1550"/>
      <c r="DA121" s="1550"/>
      <c r="DB121" s="1550"/>
    </row>
    <row r="122" spans="1:106" s="768" customFormat="1" ht="12" hidden="1" customHeight="1" outlineLevel="2">
      <c r="A122" s="768" t="s">
        <v>317</v>
      </c>
      <c r="B122" s="741"/>
      <c r="C122" s="741"/>
      <c r="D122" s="741"/>
      <c r="E122" s="741"/>
      <c r="F122" s="741"/>
      <c r="G122" s="1319"/>
      <c r="H122" s="1319"/>
      <c r="I122" s="1319"/>
      <c r="J122" s="1278"/>
      <c r="K122" s="1291"/>
      <c r="L122" s="1319"/>
      <c r="M122" s="1319"/>
      <c r="N122" s="1319"/>
      <c r="O122" s="1278"/>
      <c r="P122" s="1291"/>
      <c r="Q122" s="1319"/>
      <c r="R122" s="1319"/>
      <c r="S122" s="1319"/>
      <c r="T122" s="1278"/>
      <c r="U122" s="1291"/>
      <c r="V122" s="1319"/>
      <c r="W122" s="1319"/>
      <c r="X122" s="1319"/>
      <c r="Y122" s="1278"/>
      <c r="Z122" s="1291"/>
      <c r="AA122" s="1320"/>
      <c r="AB122" s="1320"/>
      <c r="AC122" s="1320"/>
      <c r="AD122" s="1320"/>
      <c r="AE122" s="1318"/>
      <c r="AJ122" s="1291"/>
      <c r="AO122" s="1291"/>
      <c r="AP122" s="1254"/>
      <c r="AR122" s="1254"/>
      <c r="AS122" s="1254"/>
      <c r="AT122" s="1291"/>
      <c r="AY122" s="1291"/>
      <c r="AZ122" s="768">
        <f t="shared" ref="AZ122:BZ122" si="152">+AZ116+AZ121</f>
        <v>88</v>
      </c>
      <c r="BA122" s="768">
        <f t="shared" si="152"/>
        <v>91</v>
      </c>
      <c r="BB122" s="768">
        <f t="shared" si="152"/>
        <v>98</v>
      </c>
      <c r="BC122" s="768">
        <f t="shared" si="152"/>
        <v>97</v>
      </c>
      <c r="BD122" s="1291">
        <f t="shared" si="152"/>
        <v>374</v>
      </c>
      <c r="BE122" s="768">
        <f t="shared" si="152"/>
        <v>108</v>
      </c>
      <c r="BF122" s="768">
        <f t="shared" si="152"/>
        <v>98</v>
      </c>
      <c r="BG122" s="768">
        <f t="shared" si="152"/>
        <v>94</v>
      </c>
      <c r="BH122" s="768">
        <f t="shared" si="152"/>
        <v>87</v>
      </c>
      <c r="BI122" s="1291">
        <f t="shared" si="152"/>
        <v>388</v>
      </c>
      <c r="BJ122" s="768">
        <f t="shared" si="152"/>
        <v>98</v>
      </c>
      <c r="BK122" s="768">
        <f t="shared" si="152"/>
        <v>92</v>
      </c>
      <c r="BL122" s="768">
        <f t="shared" si="152"/>
        <v>89</v>
      </c>
      <c r="BM122" s="768">
        <f t="shared" si="152"/>
        <v>86</v>
      </c>
      <c r="BN122" s="1291">
        <f t="shared" si="152"/>
        <v>365</v>
      </c>
      <c r="BO122" s="768">
        <f t="shared" si="152"/>
        <v>95</v>
      </c>
      <c r="BP122" s="768">
        <f t="shared" si="152"/>
        <v>96.512882596497903</v>
      </c>
      <c r="BQ122" s="768">
        <f t="shared" si="152"/>
        <v>98.409523373464481</v>
      </c>
      <c r="BR122" s="768">
        <f t="shared" si="152"/>
        <v>97.984315555510179</v>
      </c>
      <c r="BS122" s="1291">
        <f t="shared" si="152"/>
        <v>387.90672152547256</v>
      </c>
      <c r="BT122" s="768">
        <f t="shared" ref="BT122:BX122" si="153">+BT116+BT121</f>
        <v>99.339916224172725</v>
      </c>
      <c r="BU122" s="768">
        <f t="shared" si="153"/>
        <v>101.12505123369118</v>
      </c>
      <c r="BV122" s="768">
        <f t="shared" si="153"/>
        <v>103.10301764173639</v>
      </c>
      <c r="BW122" s="768">
        <f t="shared" si="153"/>
        <v>102.68264151106391</v>
      </c>
      <c r="BX122" s="1291">
        <f t="shared" si="153"/>
        <v>406.2506266106642</v>
      </c>
      <c r="BY122" s="1550">
        <f t="shared" si="152"/>
        <v>426.06967860734193</v>
      </c>
      <c r="BZ122" s="1550">
        <f t="shared" si="152"/>
        <v>446.81185442363562</v>
      </c>
      <c r="CA122" s="1550">
        <f t="shared" ref="CA122" si="154">+CA116+CA121</f>
        <v>468.56529281946104</v>
      </c>
      <c r="CF122" s="1291"/>
      <c r="CG122" s="744"/>
      <c r="CH122" s="741"/>
      <c r="CI122" s="741"/>
      <c r="CJ122" s="741"/>
      <c r="CK122" s="741"/>
      <c r="CL122" s="1550"/>
      <c r="CM122" s="1451"/>
      <c r="CN122" s="1451"/>
      <c r="CO122" s="1451"/>
      <c r="CP122" s="1451"/>
      <c r="CQ122" s="1550"/>
      <c r="CR122" s="1291"/>
      <c r="CS122" s="1291"/>
      <c r="CT122" s="1291"/>
      <c r="CU122" s="1291"/>
      <c r="CV122" s="1289"/>
      <c r="CW122" s="1291"/>
      <c r="CX122" s="1291"/>
      <c r="CY122" s="1291"/>
      <c r="CZ122" s="1550"/>
      <c r="DA122" s="1550"/>
      <c r="DB122" s="1550"/>
    </row>
    <row r="123" spans="1:106" s="1437" customFormat="1" ht="12" hidden="1" customHeight="1" outlineLevel="2">
      <c r="A123" s="1585" t="s">
        <v>530</v>
      </c>
      <c r="B123" s="1332"/>
      <c r="C123" s="1332"/>
      <c r="D123" s="1332"/>
      <c r="E123" s="1332"/>
      <c r="F123" s="1332"/>
      <c r="G123" s="1319"/>
      <c r="H123" s="1319"/>
      <c r="I123" s="1319"/>
      <c r="J123" s="1278"/>
      <c r="K123" s="1332"/>
      <c r="L123" s="1319"/>
      <c r="M123" s="1319"/>
      <c r="N123" s="1319"/>
      <c r="O123" s="1278"/>
      <c r="P123" s="1332"/>
      <c r="Q123" s="1319"/>
      <c r="R123" s="1319"/>
      <c r="S123" s="1319"/>
      <c r="T123" s="1278"/>
      <c r="U123" s="1332"/>
      <c r="V123" s="1319"/>
      <c r="W123" s="1319"/>
      <c r="X123" s="1319"/>
      <c r="Y123" s="1278"/>
      <c r="Z123" s="1332"/>
      <c r="AA123" s="1331"/>
      <c r="AB123" s="1331"/>
      <c r="AC123" s="1331"/>
      <c r="AD123" s="1331"/>
      <c r="AE123" s="1332"/>
      <c r="AF123" s="1331"/>
      <c r="AG123" s="1331"/>
      <c r="AH123" s="1331"/>
      <c r="AI123" s="1331"/>
      <c r="AJ123" s="1332"/>
      <c r="AK123" s="1331"/>
      <c r="AL123" s="1331"/>
      <c r="AM123" s="1331"/>
      <c r="AN123" s="1331"/>
      <c r="AO123" s="1332"/>
      <c r="AP123" s="1447"/>
      <c r="AQ123" s="1331"/>
      <c r="AR123" s="1447"/>
      <c r="AS123" s="1447"/>
      <c r="AT123" s="1332"/>
      <c r="AU123" s="1331"/>
      <c r="AV123" s="1331"/>
      <c r="AW123" s="1331"/>
      <c r="AX123" s="1331"/>
      <c r="AY123" s="1332"/>
      <c r="AZ123" s="1331">
        <f t="shared" ref="AZ123:BZ123" si="155">+AZ122/AZ21</f>
        <v>0.39111111111111113</v>
      </c>
      <c r="BA123" s="1331">
        <f t="shared" si="155"/>
        <v>0.3888888888888889</v>
      </c>
      <c r="BB123" s="1331">
        <f t="shared" si="155"/>
        <v>0.39516129032258063</v>
      </c>
      <c r="BC123" s="1331">
        <f t="shared" si="155"/>
        <v>0.36742424242424243</v>
      </c>
      <c r="BD123" s="1332">
        <f t="shared" si="155"/>
        <v>0.38516992790937177</v>
      </c>
      <c r="BE123" s="1331">
        <f t="shared" si="155"/>
        <v>0.42519685039370081</v>
      </c>
      <c r="BF123" s="1331">
        <f t="shared" si="155"/>
        <v>0.3843137254901961</v>
      </c>
      <c r="BG123" s="1331">
        <f t="shared" si="155"/>
        <v>0.41048034934497818</v>
      </c>
      <c r="BH123" s="1331">
        <f t="shared" si="155"/>
        <v>0.46276595744680848</v>
      </c>
      <c r="BI123" s="1332">
        <f t="shared" si="155"/>
        <v>0.41900647948164149</v>
      </c>
      <c r="BJ123" s="1331">
        <f t="shared" si="155"/>
        <v>0.51308900523560208</v>
      </c>
      <c r="BK123" s="1331">
        <f t="shared" si="155"/>
        <v>0.47916666666666669</v>
      </c>
      <c r="BL123" s="1331">
        <f t="shared" si="155"/>
        <v>0.48369565217391303</v>
      </c>
      <c r="BM123" s="1331">
        <f t="shared" si="155"/>
        <v>0.43654822335025378</v>
      </c>
      <c r="BN123" s="1332">
        <f t="shared" si="155"/>
        <v>0.47774869109947643</v>
      </c>
      <c r="BO123" s="1331">
        <f t="shared" si="155"/>
        <v>0.48469387755102039</v>
      </c>
      <c r="BP123" s="1331">
        <f t="shared" si="155"/>
        <v>0.47873453668897764</v>
      </c>
      <c r="BQ123" s="1331">
        <f t="shared" si="155"/>
        <v>0.48561324141852691</v>
      </c>
      <c r="BR123" s="1331">
        <f t="shared" si="155"/>
        <v>0.4736974404423987</v>
      </c>
      <c r="BS123" s="1332">
        <f t="shared" si="155"/>
        <v>0.48061791788560593</v>
      </c>
      <c r="BT123" s="1331">
        <f t="shared" ref="BT123:BX123" si="156">+BT122/BT21</f>
        <v>0.48734260314056477</v>
      </c>
      <c r="BU123" s="1331">
        <f t="shared" si="156"/>
        <v>0.4823195743365154</v>
      </c>
      <c r="BV123" s="1331">
        <f t="shared" si="156"/>
        <v>0.48920561047721717</v>
      </c>
      <c r="BW123" s="1331">
        <f t="shared" si="156"/>
        <v>0.47731839083999877</v>
      </c>
      <c r="BX123" s="1332">
        <f t="shared" si="156"/>
        <v>0.48398662186873254</v>
      </c>
      <c r="BY123" s="1333">
        <f t="shared" si="155"/>
        <v>0.48807504464737272</v>
      </c>
      <c r="BZ123" s="1333">
        <f t="shared" si="155"/>
        <v>0.49214980992889473</v>
      </c>
      <c r="CA123" s="1333">
        <f t="shared" ref="CA123" si="157">+CA122/CA21</f>
        <v>0.49626016116112742</v>
      </c>
      <c r="CF123" s="1586"/>
      <c r="CG123" s="1333"/>
      <c r="CH123" s="1332"/>
      <c r="CI123" s="1332"/>
      <c r="CJ123" s="1332"/>
      <c r="CK123" s="1332"/>
      <c r="CL123" s="1332"/>
      <c r="CM123" s="1332"/>
      <c r="CN123" s="1332"/>
      <c r="CO123" s="1332"/>
      <c r="CP123" s="1332"/>
      <c r="CQ123" s="1332"/>
      <c r="CR123" s="1332"/>
      <c r="CS123" s="1332"/>
      <c r="CT123" s="1332"/>
      <c r="CU123" s="1332"/>
      <c r="CV123" s="1439"/>
      <c r="CW123" s="1332"/>
      <c r="CX123" s="1332"/>
      <c r="CY123" s="1332"/>
      <c r="CZ123" s="1333"/>
      <c r="DA123" s="1333"/>
      <c r="DB123" s="1333"/>
    </row>
    <row r="124" spans="1:106" ht="12" customHeight="1" collapsed="1">
      <c r="A124" s="1274"/>
      <c r="B124" s="1342"/>
      <c r="C124" s="1342"/>
      <c r="D124" s="1342"/>
      <c r="E124" s="1342"/>
      <c r="F124" s="1342"/>
      <c r="G124" s="1265"/>
      <c r="H124" s="1266"/>
      <c r="I124" s="1266"/>
      <c r="J124" s="1266"/>
      <c r="K124" s="1342"/>
      <c r="L124" s="1266"/>
      <c r="M124" s="1266"/>
      <c r="N124" s="1266"/>
      <c r="O124" s="1266"/>
      <c r="P124" s="1342"/>
      <c r="Q124" s="1266"/>
      <c r="R124" s="1266"/>
      <c r="S124" s="1266"/>
      <c r="T124" s="1267"/>
      <c r="U124" s="1342"/>
      <c r="V124" s="1266"/>
      <c r="W124" s="1266"/>
      <c r="X124" s="1266"/>
      <c r="Y124" s="1267"/>
      <c r="Z124" s="1342"/>
      <c r="AA124" s="1408"/>
      <c r="AB124" s="1408"/>
      <c r="AC124" s="1408"/>
      <c r="AD124" s="1408"/>
      <c r="AE124" s="1342"/>
      <c r="AF124" s="1408"/>
      <c r="AG124" s="1408"/>
      <c r="AH124" s="1408"/>
      <c r="AI124" s="1408"/>
      <c r="AJ124" s="1342"/>
      <c r="AK124" s="1408"/>
      <c r="AL124" s="1408"/>
      <c r="AM124" s="1408"/>
      <c r="AN124" s="1408"/>
      <c r="AO124" s="1342"/>
      <c r="AP124" s="781"/>
      <c r="AQ124" s="1408"/>
      <c r="AR124" s="1408"/>
      <c r="AS124" s="1408"/>
      <c r="AT124" s="1342"/>
      <c r="AU124" s="1408"/>
      <c r="AV124" s="1408"/>
      <c r="AW124" s="1408"/>
      <c r="AX124" s="1408"/>
      <c r="AY124" s="1342"/>
      <c r="AZ124" s="1408"/>
      <c r="BA124" s="1408"/>
      <c r="BB124" s="1408"/>
      <c r="BC124" s="1408"/>
      <c r="BD124" s="1342"/>
      <c r="BE124" s="1408"/>
      <c r="BF124" s="1408"/>
      <c r="BG124" s="1408"/>
      <c r="BH124" s="1408"/>
      <c r="BI124" s="1342"/>
      <c r="BJ124" s="1408"/>
      <c r="BK124" s="1408"/>
      <c r="BL124" s="1408"/>
      <c r="BM124" s="1408"/>
      <c r="BN124" s="1342"/>
      <c r="BO124" s="1402"/>
      <c r="BP124" s="1408"/>
      <c r="BQ124" s="1408"/>
      <c r="BR124" s="1408"/>
      <c r="BS124" s="1342"/>
      <c r="BT124" s="1408"/>
      <c r="BU124" s="1408"/>
      <c r="BV124" s="1408"/>
      <c r="BW124" s="1408"/>
      <c r="BX124" s="1342"/>
      <c r="BY124" s="1486"/>
      <c r="BZ124" s="1486"/>
      <c r="CA124" s="1486"/>
      <c r="CF124" s="1607"/>
      <c r="CG124" s="1486"/>
      <c r="CH124" s="1342"/>
      <c r="CI124" s="1342"/>
      <c r="CJ124" s="1342"/>
      <c r="CK124" s="1342"/>
      <c r="CL124" s="1342"/>
      <c r="CM124" s="1342"/>
      <c r="CN124" s="1342"/>
      <c r="CO124" s="1342"/>
      <c r="CP124" s="1342"/>
      <c r="CQ124" s="1342"/>
      <c r="CR124" s="1342"/>
      <c r="CS124" s="1342"/>
      <c r="CT124" s="1342"/>
      <c r="CU124" s="1342"/>
      <c r="CV124" s="1488"/>
      <c r="CW124" s="1342"/>
      <c r="CX124" s="1342"/>
      <c r="CY124" s="1342"/>
      <c r="CZ124" s="1486"/>
      <c r="DA124" s="1486"/>
      <c r="DB124" s="1486"/>
    </row>
    <row r="125" spans="1:106" s="1406" customFormat="1" ht="12" customHeight="1">
      <c r="A125" s="1608" t="s">
        <v>513</v>
      </c>
      <c r="B125" s="1480">
        <f>SUM(B80+B89+B116)</f>
        <v>491</v>
      </c>
      <c r="C125" s="1480">
        <f>SUM(C80+C89+C116)</f>
        <v>678</v>
      </c>
      <c r="D125" s="1480">
        <f>SUM(D80+D89+D116)</f>
        <v>777</v>
      </c>
      <c r="E125" s="1480">
        <f>SUM(E80+E89+E116)</f>
        <v>959</v>
      </c>
      <c r="F125" s="1480">
        <f>SUM(F80+F89+F116)</f>
        <v>1082</v>
      </c>
      <c r="G125" s="1319" t="s">
        <v>249</v>
      </c>
      <c r="H125" s="1319" t="s">
        <v>249</v>
      </c>
      <c r="I125" s="1319" t="s">
        <v>249</v>
      </c>
      <c r="J125" s="1278" t="s">
        <v>249</v>
      </c>
      <c r="K125" s="1480">
        <f>SUM(K80+K89+K116)</f>
        <v>1258</v>
      </c>
      <c r="L125" s="1319" t="s">
        <v>249</v>
      </c>
      <c r="M125" s="1319" t="s">
        <v>249</v>
      </c>
      <c r="N125" s="1319" t="s">
        <v>249</v>
      </c>
      <c r="O125" s="1278" t="s">
        <v>249</v>
      </c>
      <c r="P125" s="1480">
        <f>SUM(P80+P89+P116)</f>
        <v>1434</v>
      </c>
      <c r="Q125" s="1319" t="s">
        <v>249</v>
      </c>
      <c r="R125" s="1319" t="s">
        <v>249</v>
      </c>
      <c r="S125" s="1319" t="s">
        <v>249</v>
      </c>
      <c r="T125" s="1278" t="s">
        <v>249</v>
      </c>
      <c r="U125" s="1480">
        <f>SUM(U80+U89+U116)</f>
        <v>1162.4000000000001</v>
      </c>
      <c r="V125" s="1319" t="s">
        <v>249</v>
      </c>
      <c r="W125" s="1319" t="s">
        <v>249</v>
      </c>
      <c r="X125" s="1319" t="s">
        <v>249</v>
      </c>
      <c r="Y125" s="1278" t="s">
        <v>249</v>
      </c>
      <c r="Z125" s="1480">
        <f>SUM(Z80+Z89+Z116)</f>
        <v>1110</v>
      </c>
      <c r="AA125" s="1319"/>
      <c r="AB125" s="1319"/>
      <c r="AC125" s="1319"/>
      <c r="AD125" s="1278"/>
      <c r="AE125" s="1480">
        <f>SUM(AE80+AE89+AE116)</f>
        <v>1230</v>
      </c>
      <c r="AF125" s="785"/>
      <c r="AG125" s="785"/>
      <c r="AH125" s="785"/>
      <c r="AI125" s="785">
        <f>SUM(AI80+AI107+AI89+AI116)</f>
        <v>300</v>
      </c>
      <c r="AJ125" s="1480">
        <f>SUM(AF125:AI125)</f>
        <v>300</v>
      </c>
      <c r="AK125" s="785">
        <f>SUM(AK80+AK107+AK89+AK116)</f>
        <v>357</v>
      </c>
      <c r="AL125" s="785">
        <f>SUM(AL80+AL107+AL89+AL116)</f>
        <v>394</v>
      </c>
      <c r="AM125" s="785">
        <f>SUM(AM80+AM107+AM89+AM116)</f>
        <v>403</v>
      </c>
      <c r="AN125" s="785">
        <f>SUM(AN80+AN107+AN89+AN116)</f>
        <v>433</v>
      </c>
      <c r="AO125" s="1480">
        <f>SUM(AK125:AN125)</f>
        <v>1587</v>
      </c>
      <c r="AP125" s="787">
        <f>SUM(AP80+AP107+AP89+AP116)</f>
        <v>423</v>
      </c>
      <c r="AQ125" s="785">
        <f>SUM(AQ80+AQ107+AQ89+AQ116)</f>
        <v>477</v>
      </c>
      <c r="AR125" s="785">
        <f>SUM(AR80+AR107+AR89+AR116)</f>
        <v>423</v>
      </c>
      <c r="AS125" s="785">
        <f>SUM(AS80+AS107+AS89+AS116)</f>
        <v>389</v>
      </c>
      <c r="AT125" s="1480">
        <f>SUM(AP125:AS125)</f>
        <v>1712</v>
      </c>
      <c r="AU125" s="785">
        <f>SUM(AU80+AU107+AU89+AU116)</f>
        <v>454</v>
      </c>
      <c r="AV125" s="785">
        <f>SUM(AV80+AV107+AV89+AV116)</f>
        <v>521</v>
      </c>
      <c r="AW125" s="785">
        <f>SUM(AW80+AW107+AW89+AW116)</f>
        <v>507</v>
      </c>
      <c r="AX125" s="785">
        <f>SUM(AX80+AX107+AX89+AX116)</f>
        <v>485</v>
      </c>
      <c r="AY125" s="1480">
        <f>SUM(AY80+AY107+AY89+AY116)</f>
        <v>1967</v>
      </c>
      <c r="AZ125" s="785">
        <f t="shared" ref="AZ125:BG125" si="158">SUM(AZ86+AZ113+AZ95+AZ122)</f>
        <v>539</v>
      </c>
      <c r="BA125" s="785">
        <f t="shared" si="158"/>
        <v>597.9</v>
      </c>
      <c r="BB125" s="785">
        <f t="shared" si="158"/>
        <v>581</v>
      </c>
      <c r="BC125" s="785">
        <f t="shared" si="158"/>
        <v>539</v>
      </c>
      <c r="BD125" s="1480">
        <f t="shared" si="158"/>
        <v>2256.9</v>
      </c>
      <c r="BE125" s="785">
        <f t="shared" si="158"/>
        <v>585</v>
      </c>
      <c r="BF125" s="785">
        <f t="shared" si="158"/>
        <v>686</v>
      </c>
      <c r="BG125" s="785">
        <f t="shared" si="158"/>
        <v>667</v>
      </c>
      <c r="BH125" s="785">
        <f>SUM(BH86+BH104+BH95)</f>
        <v>624</v>
      </c>
      <c r="BI125" s="1480">
        <f>SUM(BI86+BI113+BI95+BI122)</f>
        <v>2563</v>
      </c>
      <c r="BJ125" s="785">
        <f>SUM(BJ86+BJ104+BJ95)</f>
        <v>718</v>
      </c>
      <c r="BK125" s="785">
        <f>SUM(BK86+BK104+BK95)</f>
        <v>745</v>
      </c>
      <c r="BL125" s="785">
        <f t="shared" ref="BL125:BZ125" si="159">SUM(BL86+BL104+BL95)</f>
        <v>742</v>
      </c>
      <c r="BM125" s="785">
        <f>SUM(BM86+BM104+BM95)</f>
        <v>794</v>
      </c>
      <c r="BN125" s="1480">
        <f t="shared" si="159"/>
        <v>2999</v>
      </c>
      <c r="BO125" s="785">
        <f t="shared" si="159"/>
        <v>781</v>
      </c>
      <c r="BP125" s="785">
        <f>SUM(BP86+BP104+BP95)</f>
        <v>822.98432499661226</v>
      </c>
      <c r="BQ125" s="785">
        <f t="shared" si="159"/>
        <v>814.69435370663905</v>
      </c>
      <c r="BR125" s="785">
        <f t="shared" si="159"/>
        <v>845.22377789111056</v>
      </c>
      <c r="BS125" s="1480">
        <f t="shared" si="159"/>
        <v>3263.9024565943619</v>
      </c>
      <c r="BT125" s="785">
        <f t="shared" ref="BT125:BX125" si="160">SUM(BT86+BT104+BT95)</f>
        <v>825.13906721167632</v>
      </c>
      <c r="BU125" s="785">
        <f t="shared" si="160"/>
        <v>880.50583235883903</v>
      </c>
      <c r="BV125" s="785">
        <f t="shared" si="160"/>
        <v>872.9447757537913</v>
      </c>
      <c r="BW125" s="785">
        <f t="shared" si="160"/>
        <v>904.79247712582867</v>
      </c>
      <c r="BX125" s="1480">
        <f t="shared" si="160"/>
        <v>3483.3821524501354</v>
      </c>
      <c r="BY125" s="1482">
        <f t="shared" si="159"/>
        <v>3692.6898230969423</v>
      </c>
      <c r="BZ125" s="1482">
        <f t="shared" si="159"/>
        <v>3917.8635841150099</v>
      </c>
      <c r="CA125" s="1482">
        <f t="shared" ref="CA125" si="161">SUM(CA86+CA104+CA95)</f>
        <v>4139.9220280023183</v>
      </c>
      <c r="CB125" s="1432">
        <f>(CA125/BN125)^(1/5)-1</f>
        <v>6.6603830840568756E-2</v>
      </c>
      <c r="CF125" s="1291" t="str">
        <f t="shared" ref="CF125:CK126" si="162">+A125</f>
        <v>S&amp;P Global, Segment Adj. Op Income</v>
      </c>
      <c r="CG125" s="744">
        <f t="shared" si="162"/>
        <v>491</v>
      </c>
      <c r="CH125" s="741">
        <f t="shared" si="162"/>
        <v>678</v>
      </c>
      <c r="CI125" s="741">
        <f t="shared" si="162"/>
        <v>777</v>
      </c>
      <c r="CJ125" s="741">
        <f t="shared" si="162"/>
        <v>959</v>
      </c>
      <c r="CK125" s="741">
        <f t="shared" si="162"/>
        <v>1082</v>
      </c>
      <c r="CL125" s="1291">
        <f>+K125</f>
        <v>1258</v>
      </c>
      <c r="CM125" s="1318">
        <f>+P125</f>
        <v>1434</v>
      </c>
      <c r="CN125" s="1318">
        <f>+U125</f>
        <v>1162.4000000000001</v>
      </c>
      <c r="CO125" s="1318">
        <f>+Z125</f>
        <v>1110</v>
      </c>
      <c r="CP125" s="1318">
        <f>+AE125</f>
        <v>1230</v>
      </c>
      <c r="CQ125" s="1291">
        <f>+AJ125</f>
        <v>300</v>
      </c>
      <c r="CR125" s="1291">
        <f>+AO125</f>
        <v>1587</v>
      </c>
      <c r="CS125" s="1291">
        <f>+AT125</f>
        <v>1712</v>
      </c>
      <c r="CT125" s="1291">
        <f>+AY125</f>
        <v>1967</v>
      </c>
      <c r="CU125" s="1291">
        <f>+BD125</f>
        <v>2256.9</v>
      </c>
      <c r="CV125" s="1289">
        <f>+BI125</f>
        <v>2563</v>
      </c>
      <c r="CW125" s="1291">
        <f>+BN125</f>
        <v>2999</v>
      </c>
      <c r="CX125" s="1291">
        <f>+BS125</f>
        <v>3263.9024565943619</v>
      </c>
      <c r="CY125" s="1291">
        <f t="shared" ref="CY125:DB126" si="163">+BX125</f>
        <v>3483.3821524501354</v>
      </c>
      <c r="CZ125" s="1550">
        <f t="shared" si="163"/>
        <v>3692.6898230969423</v>
      </c>
      <c r="DA125" s="1550">
        <f t="shared" si="163"/>
        <v>3917.8635841150099</v>
      </c>
      <c r="DB125" s="1550">
        <f t="shared" si="163"/>
        <v>4139.9220280023183</v>
      </c>
    </row>
    <row r="126" spans="1:106" s="1437" customFormat="1" ht="12" customHeight="1">
      <c r="A126" s="1609" t="s">
        <v>315</v>
      </c>
      <c r="B126" s="1332">
        <f>B125/B30</f>
        <v>0.21880570409982175</v>
      </c>
      <c r="C126" s="1332">
        <f>C125/C30</f>
        <v>0.28668076109936574</v>
      </c>
      <c r="D126" s="1332">
        <f>D125/D30</f>
        <v>0.30578512396694213</v>
      </c>
      <c r="E126" s="1332">
        <f>E125/E30</f>
        <v>0.33590192644483363</v>
      </c>
      <c r="F126" s="1332">
        <f>F125/F30</f>
        <v>0.3247298919567827</v>
      </c>
      <c r="G126" s="1319"/>
      <c r="H126" s="1319"/>
      <c r="I126" s="1319"/>
      <c r="J126" s="1278"/>
      <c r="K126" s="1332">
        <f>K125/K30</f>
        <v>0.33717502010184935</v>
      </c>
      <c r="L126" s="1319"/>
      <c r="M126" s="1319"/>
      <c r="N126" s="1319"/>
      <c r="O126" s="1278"/>
      <c r="P126" s="1332">
        <f>P125/P30</f>
        <v>0.35268076733890802</v>
      </c>
      <c r="Q126" s="1319"/>
      <c r="R126" s="1319"/>
      <c r="S126" s="1319"/>
      <c r="T126" s="1278"/>
      <c r="U126" s="1332">
        <f>U125/U30</f>
        <v>0.31276738867213777</v>
      </c>
      <c r="V126" s="1319"/>
      <c r="W126" s="1319"/>
      <c r="X126" s="1319"/>
      <c r="Y126" s="1278"/>
      <c r="Z126" s="1332">
        <f>Z125/Z30</f>
        <v>0.31868163417645201</v>
      </c>
      <c r="AA126" s="1319"/>
      <c r="AB126" s="1319"/>
      <c r="AC126" s="1319"/>
      <c r="AD126" s="1278"/>
      <c r="AE126" s="1332">
        <f>AE125/AE30</f>
        <v>0.33800494641384998</v>
      </c>
      <c r="AF126" s="1319"/>
      <c r="AG126" s="1319"/>
      <c r="AH126" s="1319"/>
      <c r="AI126" s="1331">
        <f t="shared" ref="AI126:BZ126" si="164">AI125/AI30</f>
        <v>0.29880478087649404</v>
      </c>
      <c r="AJ126" s="1332">
        <f t="shared" si="164"/>
        <v>7.5872534142640363E-2</v>
      </c>
      <c r="AK126" s="1331">
        <f t="shared" si="164"/>
        <v>0.34492753623188405</v>
      </c>
      <c r="AL126" s="1331">
        <f t="shared" si="164"/>
        <v>0.3675373134328358</v>
      </c>
      <c r="AM126" s="1331">
        <f t="shared" si="164"/>
        <v>0.3611111111111111</v>
      </c>
      <c r="AN126" s="1331">
        <f t="shared" si="164"/>
        <v>0.35318107667210441</v>
      </c>
      <c r="AO126" s="1332">
        <f t="shared" si="164"/>
        <v>0.35670937289278487</v>
      </c>
      <c r="AP126" s="1331">
        <f t="shared" si="164"/>
        <v>0.35817104149026247</v>
      </c>
      <c r="AQ126" s="1331">
        <f t="shared" si="164"/>
        <v>0.38159999999999999</v>
      </c>
      <c r="AR126" s="1331">
        <f t="shared" si="164"/>
        <v>0.3671875</v>
      </c>
      <c r="AS126" s="1331">
        <f t="shared" si="164"/>
        <v>0.32255389718076283</v>
      </c>
      <c r="AT126" s="1332">
        <f t="shared" si="164"/>
        <v>0.35748590519941531</v>
      </c>
      <c r="AU126" s="1331">
        <f t="shared" si="164"/>
        <v>0.37959866220735788</v>
      </c>
      <c r="AV126" s="1331">
        <f t="shared" si="164"/>
        <v>0.40015360983102921</v>
      </c>
      <c r="AW126" s="1331">
        <f t="shared" si="164"/>
        <v>0.40142517814726841</v>
      </c>
      <c r="AX126" s="1331">
        <f t="shared" si="164"/>
        <v>0.37596899224806202</v>
      </c>
      <c r="AY126" s="1332">
        <f t="shared" si="164"/>
        <v>0.38942783607206494</v>
      </c>
      <c r="AZ126" s="1331">
        <f t="shared" si="164"/>
        <v>0.42340926944226237</v>
      </c>
      <c r="BA126" s="1331">
        <f t="shared" si="164"/>
        <v>0.44552906110283158</v>
      </c>
      <c r="BB126" s="1331">
        <f t="shared" si="164"/>
        <v>0.43882175226586101</v>
      </c>
      <c r="BC126" s="1331">
        <f t="shared" si="164"/>
        <v>0.39228529839883552</v>
      </c>
      <c r="BD126" s="1332">
        <f t="shared" si="164"/>
        <v>0.42478825522303787</v>
      </c>
      <c r="BE126" s="1331">
        <f t="shared" si="164"/>
        <v>0.43624161073825501</v>
      </c>
      <c r="BF126" s="1331">
        <f t="shared" si="164"/>
        <v>0.46288798920377866</v>
      </c>
      <c r="BG126" s="1331">
        <f t="shared" si="164"/>
        <v>0.46351633078526755</v>
      </c>
      <c r="BH126" s="1331">
        <f t="shared" si="164"/>
        <v>0.44603288062902074</v>
      </c>
      <c r="BI126" s="1332">
        <f t="shared" si="164"/>
        <v>0.45274686451157037</v>
      </c>
      <c r="BJ126" s="1331">
        <f t="shared" si="164"/>
        <v>0.4941500344115623</v>
      </c>
      <c r="BK126" s="1331">
        <f t="shared" si="164"/>
        <v>0.4937044400265076</v>
      </c>
      <c r="BL126" s="1331">
        <f t="shared" si="164"/>
        <v>0.49041639127561137</v>
      </c>
      <c r="BM126" s="1331">
        <f t="shared" si="164"/>
        <v>0.49968533668974197</v>
      </c>
      <c r="BN126" s="1332">
        <f t="shared" si="164"/>
        <v>0.49455804749340371</v>
      </c>
      <c r="BO126" s="1331">
        <f t="shared" si="164"/>
        <v>0.49840459476707083</v>
      </c>
      <c r="BP126" s="1331">
        <f t="shared" si="164"/>
        <v>0.50170278155033776</v>
      </c>
      <c r="BQ126" s="1331">
        <f t="shared" si="164"/>
        <v>0.50186630917801422</v>
      </c>
      <c r="BR126" s="1331">
        <f t="shared" si="164"/>
        <v>0.50577729667502169</v>
      </c>
      <c r="BS126" s="1332">
        <f t="shared" si="164"/>
        <v>0.50199597172838395</v>
      </c>
      <c r="BT126" s="1331">
        <f t="shared" ref="BT126:BX126" si="165">BT125/BT30</f>
        <v>0.50116809835262122</v>
      </c>
      <c r="BU126" s="1331">
        <f t="shared" si="165"/>
        <v>0.50680533707168218</v>
      </c>
      <c r="BV126" s="1331">
        <f t="shared" si="165"/>
        <v>0.5071463353985407</v>
      </c>
      <c r="BW126" s="1331">
        <f t="shared" si="165"/>
        <v>0.51090705645024015</v>
      </c>
      <c r="BX126" s="1332">
        <f t="shared" si="165"/>
        <v>0.50659730744249598</v>
      </c>
      <c r="BY126" s="1333">
        <f t="shared" si="164"/>
        <v>0.51063771667560398</v>
      </c>
      <c r="BZ126" s="1333">
        <f t="shared" si="164"/>
        <v>0.51494065127322686</v>
      </c>
      <c r="CA126" s="1333">
        <f t="shared" ref="CA126" si="166">CA125/CA30</f>
        <v>0.51977369892175829</v>
      </c>
      <c r="CF126" s="1586" t="str">
        <f t="shared" si="162"/>
        <v>Margin %</v>
      </c>
      <c r="CG126" s="1333">
        <f t="shared" si="162"/>
        <v>0.21880570409982175</v>
      </c>
      <c r="CH126" s="1332">
        <f t="shared" si="162"/>
        <v>0.28668076109936574</v>
      </c>
      <c r="CI126" s="1332">
        <f t="shared" si="162"/>
        <v>0.30578512396694213</v>
      </c>
      <c r="CJ126" s="1332">
        <f t="shared" si="162"/>
        <v>0.33590192644483363</v>
      </c>
      <c r="CK126" s="1332">
        <f t="shared" si="162"/>
        <v>0.3247298919567827</v>
      </c>
      <c r="CL126" s="1332">
        <f>+K126</f>
        <v>0.33717502010184935</v>
      </c>
      <c r="CM126" s="1332">
        <f>+P126</f>
        <v>0.35268076733890802</v>
      </c>
      <c r="CN126" s="1332">
        <f>+U126</f>
        <v>0.31276738867213777</v>
      </c>
      <c r="CO126" s="1332">
        <f>+Z126</f>
        <v>0.31868163417645201</v>
      </c>
      <c r="CP126" s="1332">
        <f>+AE126</f>
        <v>0.33800494641384998</v>
      </c>
      <c r="CQ126" s="1332">
        <f>+AJ126</f>
        <v>7.5872534142640363E-2</v>
      </c>
      <c r="CR126" s="1332">
        <f>+AO126</f>
        <v>0.35670937289278487</v>
      </c>
      <c r="CS126" s="1332">
        <f>+AT126</f>
        <v>0.35748590519941531</v>
      </c>
      <c r="CT126" s="1332">
        <f>+AY126</f>
        <v>0.38942783607206494</v>
      </c>
      <c r="CU126" s="1332">
        <f>+BD126</f>
        <v>0.42478825522303787</v>
      </c>
      <c r="CV126" s="1439">
        <f>+BI126</f>
        <v>0.45274686451157037</v>
      </c>
      <c r="CW126" s="1332">
        <f>+BN126</f>
        <v>0.49455804749340371</v>
      </c>
      <c r="CX126" s="1332">
        <f>+BS126</f>
        <v>0.50199597172838395</v>
      </c>
      <c r="CY126" s="1332">
        <f t="shared" si="163"/>
        <v>0.50659730744249598</v>
      </c>
      <c r="CZ126" s="1333">
        <f t="shared" si="163"/>
        <v>0.51063771667560398</v>
      </c>
      <c r="DA126" s="1333">
        <f t="shared" si="163"/>
        <v>0.51494065127322686</v>
      </c>
      <c r="DB126" s="1333">
        <f t="shared" si="163"/>
        <v>0.51977369892175829</v>
      </c>
    </row>
    <row r="127" spans="1:106" s="1408" customFormat="1" ht="12" hidden="1" customHeight="1" outlineLevel="1">
      <c r="A127" s="769"/>
      <c r="B127" s="1342"/>
      <c r="C127" s="1342"/>
      <c r="D127" s="1342"/>
      <c r="E127" s="1342"/>
      <c r="F127" s="1342"/>
      <c r="G127" s="1610"/>
      <c r="K127" s="1342"/>
      <c r="P127" s="1342"/>
      <c r="T127" s="1175"/>
      <c r="U127" s="1342"/>
      <c r="Y127" s="1175"/>
      <c r="Z127" s="1342"/>
      <c r="AE127" s="1342"/>
      <c r="AJ127" s="1342"/>
      <c r="AO127" s="1342"/>
      <c r="AT127" s="1342"/>
      <c r="AY127" s="1342"/>
      <c r="BD127" s="1342"/>
      <c r="BI127" s="1342"/>
      <c r="BN127" s="1342"/>
      <c r="BS127" s="1342"/>
      <c r="BX127" s="1342"/>
      <c r="BY127" s="1486"/>
      <c r="BZ127" s="1486"/>
      <c r="CA127" s="1486"/>
      <c r="CF127" s="770"/>
      <c r="CG127" s="1486"/>
      <c r="CH127" s="1342"/>
      <c r="CI127" s="1342"/>
      <c r="CJ127" s="1342"/>
      <c r="CK127" s="1342"/>
      <c r="CL127" s="1342"/>
      <c r="CM127" s="1342"/>
      <c r="CN127" s="1342"/>
      <c r="CO127" s="1342"/>
      <c r="CP127" s="1342"/>
      <c r="CQ127" s="1342"/>
      <c r="CR127" s="1342"/>
      <c r="CS127" s="1342"/>
      <c r="CT127" s="1342"/>
      <c r="CU127" s="1342"/>
      <c r="CV127" s="1488"/>
      <c r="CW127" s="1342"/>
      <c r="CX127" s="1342"/>
      <c r="CY127" s="1342"/>
      <c r="CZ127" s="1486"/>
      <c r="DA127" s="1486"/>
      <c r="DB127" s="1486"/>
    </row>
    <row r="128" spans="1:106" s="762" customFormat="1" ht="12" hidden="1" customHeight="1" outlineLevel="1">
      <c r="A128" s="1479" t="s">
        <v>298</v>
      </c>
      <c r="B128" s="721">
        <v>275</v>
      </c>
      <c r="C128" s="721">
        <v>335</v>
      </c>
      <c r="D128" s="721">
        <v>324</v>
      </c>
      <c r="E128" s="721">
        <v>342</v>
      </c>
      <c r="F128" s="721">
        <v>413</v>
      </c>
      <c r="G128" s="1319" t="s">
        <v>249</v>
      </c>
      <c r="H128" s="1319" t="s">
        <v>249</v>
      </c>
      <c r="I128" s="1319" t="s">
        <v>249</v>
      </c>
      <c r="J128" s="1278" t="s">
        <v>249</v>
      </c>
      <c r="K128" s="1270">
        <v>332</v>
      </c>
      <c r="L128" s="1319" t="s">
        <v>249</v>
      </c>
      <c r="M128" s="1319" t="s">
        <v>249</v>
      </c>
      <c r="N128" s="1319" t="s">
        <v>249</v>
      </c>
      <c r="O128" s="1278" t="s">
        <v>249</v>
      </c>
      <c r="P128" s="1270">
        <v>403</v>
      </c>
      <c r="Q128" s="1319" t="s">
        <v>249</v>
      </c>
      <c r="R128" s="1319" t="s">
        <v>249</v>
      </c>
      <c r="S128" s="1319" t="s">
        <v>249</v>
      </c>
      <c r="T128" s="1278" t="s">
        <v>249</v>
      </c>
      <c r="U128" s="1270">
        <v>322</v>
      </c>
      <c r="V128" s="1319" t="s">
        <v>249</v>
      </c>
      <c r="W128" s="1319" t="s">
        <v>249</v>
      </c>
      <c r="X128" s="1319" t="s">
        <v>249</v>
      </c>
      <c r="Y128" s="1278" t="s">
        <v>249</v>
      </c>
      <c r="Z128" s="1270">
        <v>276</v>
      </c>
      <c r="AA128" s="1335">
        <v>-62</v>
      </c>
      <c r="AB128" s="1335">
        <v>53</v>
      </c>
      <c r="AC128" s="1335">
        <v>357</v>
      </c>
      <c r="AD128" s="762">
        <v>15</v>
      </c>
      <c r="AE128" s="1292">
        <f>SUM(AA128:AD128)</f>
        <v>363</v>
      </c>
      <c r="AF128" s="762">
        <v>-75</v>
      </c>
      <c r="AG128" s="762">
        <v>42</v>
      </c>
      <c r="AH128" s="762">
        <v>315</v>
      </c>
      <c r="AI128" s="1335">
        <v>0</v>
      </c>
      <c r="AJ128" s="1480">
        <f>SUM(AF128:AI128)</f>
        <v>282</v>
      </c>
      <c r="AK128" s="1611"/>
      <c r="AL128" s="1611"/>
      <c r="AM128" s="1611"/>
      <c r="AN128" s="1611"/>
      <c r="AO128" s="1495"/>
      <c r="AP128" s="1611"/>
      <c r="AQ128" s="1611"/>
      <c r="AR128" s="1611"/>
      <c r="AS128" s="1611"/>
      <c r="AT128" s="1495"/>
      <c r="AU128" s="1611"/>
      <c r="AV128" s="1611"/>
      <c r="AW128" s="771"/>
      <c r="AX128" s="1612"/>
      <c r="AY128" s="1495"/>
      <c r="AZ128" s="771"/>
      <c r="BA128" s="771"/>
      <c r="BB128" s="771"/>
      <c r="BC128" s="1612"/>
      <c r="BD128" s="1495"/>
      <c r="BE128" s="771"/>
      <c r="BF128" s="771"/>
      <c r="BG128" s="771"/>
      <c r="BH128" s="1612"/>
      <c r="BI128" s="1495"/>
      <c r="BJ128" s="771"/>
      <c r="BK128" s="771"/>
      <c r="BL128" s="771"/>
      <c r="BM128" s="1612"/>
      <c r="BN128" s="1495"/>
      <c r="BO128" s="771"/>
      <c r="BP128" s="771"/>
      <c r="BQ128" s="771"/>
      <c r="BR128" s="1612"/>
      <c r="BS128" s="1495"/>
      <c r="BT128" s="771"/>
      <c r="BU128" s="771"/>
      <c r="BV128" s="771"/>
      <c r="BW128" s="1612"/>
      <c r="BX128" s="1495"/>
      <c r="BY128" s="1496"/>
      <c r="BZ128" s="1496"/>
      <c r="CA128" s="1496"/>
      <c r="CF128" s="1483" t="str">
        <f t="shared" ref="CF128:CK129" si="167">+A128</f>
        <v>McGraw-Hill Education</v>
      </c>
      <c r="CG128" s="722">
        <f t="shared" si="167"/>
        <v>275</v>
      </c>
      <c r="CH128" s="721">
        <f t="shared" si="167"/>
        <v>335</v>
      </c>
      <c r="CI128" s="721">
        <f t="shared" si="167"/>
        <v>324</v>
      </c>
      <c r="CJ128" s="721">
        <f t="shared" si="167"/>
        <v>342</v>
      </c>
      <c r="CK128" s="721">
        <f t="shared" si="167"/>
        <v>413</v>
      </c>
      <c r="CL128" s="1270">
        <f>+K128</f>
        <v>332</v>
      </c>
      <c r="CM128" s="1292">
        <f>+P128</f>
        <v>403</v>
      </c>
      <c r="CN128" s="1292">
        <f>+U128</f>
        <v>322</v>
      </c>
      <c r="CO128" s="1292">
        <f>+Z128</f>
        <v>276</v>
      </c>
      <c r="CP128" s="1292">
        <f>+AE128</f>
        <v>363</v>
      </c>
      <c r="CQ128" s="1480">
        <f>+AJ128</f>
        <v>282</v>
      </c>
      <c r="CR128" s="1495">
        <f>+AO128</f>
        <v>0</v>
      </c>
      <c r="CS128" s="1495">
        <f>+AT128</f>
        <v>0</v>
      </c>
      <c r="CT128" s="1495">
        <f>+AY128</f>
        <v>0</v>
      </c>
      <c r="CU128" s="1495">
        <f>+BD128</f>
        <v>0</v>
      </c>
      <c r="CV128" s="1613">
        <f>+BI128</f>
        <v>0</v>
      </c>
      <c r="CW128" s="1495">
        <f>+BN128</f>
        <v>0</v>
      </c>
      <c r="CX128" s="1495">
        <f>+BS128</f>
        <v>0</v>
      </c>
      <c r="CY128" s="1495">
        <f t="shared" ref="CY128:DB131" si="168">+BX128</f>
        <v>0</v>
      </c>
      <c r="CZ128" s="1496">
        <f t="shared" si="168"/>
        <v>0</v>
      </c>
      <c r="DA128" s="1496">
        <f t="shared" si="168"/>
        <v>0</v>
      </c>
      <c r="DB128" s="1496">
        <f t="shared" si="168"/>
        <v>0</v>
      </c>
    </row>
    <row r="129" spans="1:106" ht="12" hidden="1" customHeight="1" outlineLevel="1">
      <c r="A129" s="1614" t="s">
        <v>315</v>
      </c>
      <c r="B129" s="693">
        <f>B128/B33</f>
        <v>0.12008733624454149</v>
      </c>
      <c r="C129" s="693">
        <f>C128/C33</f>
        <v>0.14297908664105846</v>
      </c>
      <c r="D129" s="693">
        <f>D128/D33</f>
        <v>0.13793103448275862</v>
      </c>
      <c r="E129" s="693">
        <f>E128/E33</f>
        <v>0.14273789649415694</v>
      </c>
      <c r="F129" s="693">
        <f>F128/F33</f>
        <v>0.15456586826347304</v>
      </c>
      <c r="G129" s="1319"/>
      <c r="H129" s="1319"/>
      <c r="I129" s="1319"/>
      <c r="J129" s="1278"/>
      <c r="K129" s="693">
        <f>K128/K33</f>
        <v>0.13153724247226625</v>
      </c>
      <c r="L129" s="1319"/>
      <c r="M129" s="1319"/>
      <c r="N129" s="1319"/>
      <c r="O129" s="1278"/>
      <c r="P129" s="693">
        <f>P128/P33</f>
        <v>0.14892830746489283</v>
      </c>
      <c r="Q129" s="1319"/>
      <c r="R129" s="1319"/>
      <c r="S129" s="1319"/>
      <c r="T129" s="1278"/>
      <c r="U129" s="693">
        <f>U128/U33</f>
        <v>0.12202086253591941</v>
      </c>
      <c r="V129" s="1319"/>
      <c r="W129" s="1319"/>
      <c r="X129" s="1319"/>
      <c r="Y129" s="1278"/>
      <c r="Z129" s="693">
        <f t="shared" ref="Z129:AJ129" si="169">Z128/Z33</f>
        <v>0.11558757014825362</v>
      </c>
      <c r="AA129" s="1408">
        <f t="shared" si="169"/>
        <v>-0.19558359621451105</v>
      </c>
      <c r="AB129" s="1408">
        <f t="shared" si="169"/>
        <v>9.3805309734513273E-2</v>
      </c>
      <c r="AC129" s="1408">
        <f t="shared" si="169"/>
        <v>0.33838862559241706</v>
      </c>
      <c r="AD129" s="1408">
        <f t="shared" si="169"/>
        <v>3.0241935483870969E-2</v>
      </c>
      <c r="AE129" s="693">
        <f t="shared" si="169"/>
        <v>0.14919852034525277</v>
      </c>
      <c r="AF129" s="1408">
        <f t="shared" si="169"/>
        <v>-0.24752475247524752</v>
      </c>
      <c r="AG129" s="1408">
        <f t="shared" si="169"/>
        <v>7.8212290502793297E-2</v>
      </c>
      <c r="AH129" s="1408">
        <f t="shared" si="169"/>
        <v>0.33653846153846156</v>
      </c>
      <c r="AI129" s="1408">
        <f t="shared" si="169"/>
        <v>0</v>
      </c>
      <c r="AJ129" s="693">
        <f t="shared" si="169"/>
        <v>0.12303664921465969</v>
      </c>
      <c r="AK129" s="1499"/>
      <c r="AL129" s="1499"/>
      <c r="AM129" s="1499"/>
      <c r="AN129" s="1615"/>
      <c r="AO129" s="1616"/>
      <c r="AP129" s="1615"/>
      <c r="AQ129" s="1615"/>
      <c r="AR129" s="1615"/>
      <c r="AS129" s="1615"/>
      <c r="AT129" s="1314"/>
      <c r="AU129" s="1611"/>
      <c r="AV129" s="1611"/>
      <c r="AW129" s="771"/>
      <c r="AX129" s="1612"/>
      <c r="AY129" s="1495"/>
      <c r="AZ129" s="771"/>
      <c r="BA129" s="771"/>
      <c r="BB129" s="771"/>
      <c r="BC129" s="1612"/>
      <c r="BD129" s="1495"/>
      <c r="BE129" s="771"/>
      <c r="BF129" s="771"/>
      <c r="BG129" s="771"/>
      <c r="BH129" s="1612"/>
      <c r="BI129" s="1495"/>
      <c r="BJ129" s="771"/>
      <c r="BK129" s="771"/>
      <c r="BL129" s="771"/>
      <c r="BM129" s="1612"/>
      <c r="BN129" s="1495"/>
      <c r="BO129" s="771"/>
      <c r="BP129" s="771"/>
      <c r="BQ129" s="771"/>
      <c r="BR129" s="1612"/>
      <c r="BS129" s="1495"/>
      <c r="BT129" s="771"/>
      <c r="BU129" s="771"/>
      <c r="BV129" s="771"/>
      <c r="BW129" s="1612"/>
      <c r="BX129" s="1495"/>
      <c r="BY129" s="1496"/>
      <c r="BZ129" s="1496"/>
      <c r="CA129" s="1496"/>
      <c r="CF129" s="1617" t="str">
        <f t="shared" si="167"/>
        <v>Margin %</v>
      </c>
      <c r="CG129" s="783">
        <f t="shared" si="167"/>
        <v>0.12008733624454149</v>
      </c>
      <c r="CH129" s="693">
        <f t="shared" si="167"/>
        <v>0.14297908664105846</v>
      </c>
      <c r="CI129" s="693">
        <f t="shared" si="167"/>
        <v>0.13793103448275862</v>
      </c>
      <c r="CJ129" s="693">
        <f t="shared" si="167"/>
        <v>0.14273789649415694</v>
      </c>
      <c r="CK129" s="693">
        <f t="shared" si="167"/>
        <v>0.15456586826347304</v>
      </c>
      <c r="CL129" s="693">
        <f>+K129</f>
        <v>0.13153724247226625</v>
      </c>
      <c r="CM129" s="693">
        <f>+P129</f>
        <v>0.14892830746489283</v>
      </c>
      <c r="CN129" s="693">
        <f>+U129</f>
        <v>0.12202086253591941</v>
      </c>
      <c r="CO129" s="693">
        <f>+Z129</f>
        <v>0.11558757014825362</v>
      </c>
      <c r="CP129" s="693">
        <f>+AE129</f>
        <v>0.14919852034525277</v>
      </c>
      <c r="CQ129" s="693">
        <f>+AJ129</f>
        <v>0.12303664921465969</v>
      </c>
      <c r="CR129" s="1616">
        <f>+AO129</f>
        <v>0</v>
      </c>
      <c r="CS129" s="1314">
        <f>+AT129</f>
        <v>0</v>
      </c>
      <c r="CT129" s="1495">
        <f>+AY129</f>
        <v>0</v>
      </c>
      <c r="CU129" s="1495">
        <f>+BD129</f>
        <v>0</v>
      </c>
      <c r="CV129" s="1613">
        <f>+BI129</f>
        <v>0</v>
      </c>
      <c r="CW129" s="1495">
        <f>+BN129</f>
        <v>0</v>
      </c>
      <c r="CX129" s="1495">
        <f>+BS129</f>
        <v>0</v>
      </c>
      <c r="CY129" s="1495">
        <f t="shared" si="168"/>
        <v>0</v>
      </c>
      <c r="CZ129" s="1496">
        <f t="shared" si="168"/>
        <v>0</v>
      </c>
      <c r="DA129" s="1496">
        <f t="shared" si="168"/>
        <v>0</v>
      </c>
      <c r="DB129" s="1496">
        <f t="shared" si="168"/>
        <v>0</v>
      </c>
    </row>
    <row r="130" spans="1:106" s="1408" customFormat="1" ht="12" hidden="1" customHeight="1" outlineLevel="1">
      <c r="A130" s="1618" t="s">
        <v>288</v>
      </c>
      <c r="B130" s="1342"/>
      <c r="C130" s="1342"/>
      <c r="D130" s="1342"/>
      <c r="E130" s="1342"/>
      <c r="F130" s="1342"/>
      <c r="G130" s="1319"/>
      <c r="H130" s="1319"/>
      <c r="I130" s="1319"/>
      <c r="J130" s="1278"/>
      <c r="K130" s="1342"/>
      <c r="L130" s="1319"/>
      <c r="M130" s="1319"/>
      <c r="N130" s="1319"/>
      <c r="O130" s="1278"/>
      <c r="P130" s="1278"/>
      <c r="Q130" s="1319"/>
      <c r="R130" s="1319"/>
      <c r="S130" s="1319"/>
      <c r="T130" s="1278"/>
      <c r="U130" s="1342"/>
      <c r="V130" s="1319"/>
      <c r="W130" s="1319"/>
      <c r="X130" s="1319"/>
      <c r="Y130" s="1278"/>
      <c r="Z130" s="1278"/>
      <c r="AA130" s="1319"/>
      <c r="AB130" s="1319"/>
      <c r="AC130" s="1319"/>
      <c r="AD130" s="1278"/>
      <c r="AE130" s="1278"/>
      <c r="AF130" s="1408">
        <f>AF128/AA128-1</f>
        <v>0.20967741935483875</v>
      </c>
      <c r="AG130" s="1408">
        <f>AG128/AB128-1</f>
        <v>-0.20754716981132071</v>
      </c>
      <c r="AH130" s="1408">
        <f>AH128/AC128-1</f>
        <v>-0.11764705882352944</v>
      </c>
      <c r="AI130" s="1408">
        <f>AI128/AD128-1</f>
        <v>-1</v>
      </c>
      <c r="AJ130" s="693">
        <f>AJ128/AE128-1</f>
        <v>-0.22314049586776863</v>
      </c>
      <c r="AK130" s="1499"/>
      <c r="AL130" s="1499"/>
      <c r="AM130" s="1499"/>
      <c r="AN130" s="1615"/>
      <c r="AO130" s="1616"/>
      <c r="AP130" s="1615"/>
      <c r="AQ130" s="1615"/>
      <c r="AR130" s="1615"/>
      <c r="AS130" s="1615"/>
      <c r="AT130" s="1314"/>
      <c r="AU130" s="1611"/>
      <c r="AV130" s="1611"/>
      <c r="AW130" s="771"/>
      <c r="AX130" s="1612"/>
      <c r="AY130" s="1495"/>
      <c r="AZ130" s="771"/>
      <c r="BA130" s="771"/>
      <c r="BB130" s="771"/>
      <c r="BC130" s="1612"/>
      <c r="BD130" s="1495"/>
      <c r="BE130" s="771"/>
      <c r="BF130" s="771"/>
      <c r="BG130" s="771"/>
      <c r="BH130" s="1612"/>
      <c r="BI130" s="1495"/>
      <c r="BJ130" s="771"/>
      <c r="BK130" s="771"/>
      <c r="BL130" s="771"/>
      <c r="BM130" s="1612"/>
      <c r="BN130" s="1495"/>
      <c r="BO130" s="771"/>
      <c r="BP130" s="771"/>
      <c r="BQ130" s="771"/>
      <c r="BR130" s="1612"/>
      <c r="BS130" s="1495"/>
      <c r="BT130" s="771"/>
      <c r="BU130" s="771"/>
      <c r="BV130" s="771"/>
      <c r="BW130" s="1612"/>
      <c r="BX130" s="1495"/>
      <c r="BY130" s="1496"/>
      <c r="BZ130" s="1496"/>
      <c r="CA130" s="1496"/>
      <c r="CF130" s="1619" t="str">
        <f>+A130</f>
        <v>y/y change</v>
      </c>
      <c r="CG130" s="1486"/>
      <c r="CH130" s="1342"/>
      <c r="CI130" s="1342"/>
      <c r="CJ130" s="1342"/>
      <c r="CK130" s="1342"/>
      <c r="CL130" s="1342"/>
      <c r="CM130" s="1278"/>
      <c r="CN130" s="1278"/>
      <c r="CO130" s="1278"/>
      <c r="CP130" s="1278"/>
      <c r="CQ130" s="693">
        <f>+AJ130</f>
        <v>-0.22314049586776863</v>
      </c>
      <c r="CR130" s="1616">
        <f>+AO130</f>
        <v>0</v>
      </c>
      <c r="CS130" s="1314">
        <f>+AT130</f>
        <v>0</v>
      </c>
      <c r="CT130" s="1495">
        <f>+AY130</f>
        <v>0</v>
      </c>
      <c r="CU130" s="1495">
        <f>+BD130</f>
        <v>0</v>
      </c>
      <c r="CV130" s="1613">
        <f>+BI130</f>
        <v>0</v>
      </c>
      <c r="CW130" s="1495">
        <f>+BN130</f>
        <v>0</v>
      </c>
      <c r="CX130" s="1495">
        <f>+BS130</f>
        <v>0</v>
      </c>
      <c r="CY130" s="1495">
        <f t="shared" si="168"/>
        <v>0</v>
      </c>
      <c r="CZ130" s="1496">
        <f t="shared" si="168"/>
        <v>0</v>
      </c>
      <c r="DA130" s="1496">
        <f t="shared" si="168"/>
        <v>0</v>
      </c>
      <c r="DB130" s="1496">
        <f t="shared" si="168"/>
        <v>0</v>
      </c>
    </row>
    <row r="131" spans="1:106" s="768" customFormat="1" ht="12" hidden="1" customHeight="1" outlineLevel="1">
      <c r="A131" s="768" t="s">
        <v>318</v>
      </c>
      <c r="B131" s="741">
        <f>B125+B128</f>
        <v>766</v>
      </c>
      <c r="C131" s="741">
        <f>C125+C128</f>
        <v>1013</v>
      </c>
      <c r="D131" s="741">
        <f>D125+D128</f>
        <v>1101</v>
      </c>
      <c r="E131" s="741">
        <f>E125+E128</f>
        <v>1301</v>
      </c>
      <c r="F131" s="741">
        <f>F125+F128</f>
        <v>1495</v>
      </c>
      <c r="G131" s="1319" t="s">
        <v>249</v>
      </c>
      <c r="H131" s="1319" t="s">
        <v>249</v>
      </c>
      <c r="I131" s="1319" t="s">
        <v>249</v>
      </c>
      <c r="J131" s="1278" t="s">
        <v>249</v>
      </c>
      <c r="K131" s="1291">
        <f>K125+K128</f>
        <v>1590</v>
      </c>
      <c r="L131" s="1319" t="s">
        <v>249</v>
      </c>
      <c r="M131" s="1319" t="s">
        <v>249</v>
      </c>
      <c r="N131" s="1319" t="s">
        <v>249</v>
      </c>
      <c r="O131" s="1278" t="s">
        <v>249</v>
      </c>
      <c r="P131" s="1291">
        <f>P125+P128</f>
        <v>1837</v>
      </c>
      <c r="Q131" s="1319" t="s">
        <v>249</v>
      </c>
      <c r="R131" s="1319" t="s">
        <v>249</v>
      </c>
      <c r="S131" s="1319" t="s">
        <v>249</v>
      </c>
      <c r="T131" s="1278" t="s">
        <v>249</v>
      </c>
      <c r="U131" s="1291">
        <f>U125+U128</f>
        <v>1484.4</v>
      </c>
      <c r="V131" s="1319" t="s">
        <v>249</v>
      </c>
      <c r="W131" s="1319" t="s">
        <v>249</v>
      </c>
      <c r="X131" s="1319" t="s">
        <v>249</v>
      </c>
      <c r="Y131" s="1278" t="s">
        <v>249</v>
      </c>
      <c r="Z131" s="1318">
        <f>Z125+Z128</f>
        <v>1386</v>
      </c>
      <c r="AA131" s="1319" t="s">
        <v>249</v>
      </c>
      <c r="AB131" s="1319" t="s">
        <v>249</v>
      </c>
      <c r="AC131" s="1319" t="s">
        <v>249</v>
      </c>
      <c r="AD131" s="1278" t="s">
        <v>249</v>
      </c>
      <c r="AE131" s="1278" t="s">
        <v>249</v>
      </c>
      <c r="AF131" s="1319" t="s">
        <v>249</v>
      </c>
      <c r="AG131" s="1319" t="s">
        <v>249</v>
      </c>
      <c r="AH131" s="1319" t="s">
        <v>249</v>
      </c>
      <c r="AI131" s="768">
        <f t="shared" ref="AI131:AN131" si="170">AI125+AI128</f>
        <v>300</v>
      </c>
      <c r="AJ131" s="1291">
        <f t="shared" si="170"/>
        <v>582</v>
      </c>
      <c r="AK131" s="768">
        <f t="shared" si="170"/>
        <v>357</v>
      </c>
      <c r="AL131" s="768">
        <f t="shared" si="170"/>
        <v>394</v>
      </c>
      <c r="AM131" s="768">
        <f t="shared" si="170"/>
        <v>403</v>
      </c>
      <c r="AN131" s="768">
        <f t="shared" si="170"/>
        <v>433</v>
      </c>
      <c r="AO131" s="1291">
        <f>SUM(AK131:AN131)</f>
        <v>1587</v>
      </c>
      <c r="AP131" s="768">
        <f>AP125+AP128</f>
        <v>423</v>
      </c>
      <c r="AQ131" s="768">
        <f>AQ125+AQ128</f>
        <v>477</v>
      </c>
      <c r="AR131" s="768">
        <f>AR125+AR128</f>
        <v>423</v>
      </c>
      <c r="AS131" s="768">
        <f>AS125+AS128</f>
        <v>389</v>
      </c>
      <c r="AT131" s="1291">
        <f>SUM(AP131:AS131)</f>
        <v>1712</v>
      </c>
      <c r="AU131" s="768">
        <f t="shared" ref="AU131:BZ131" si="171">AU125+AU128</f>
        <v>454</v>
      </c>
      <c r="AV131" s="768">
        <f t="shared" si="171"/>
        <v>521</v>
      </c>
      <c r="AW131" s="768">
        <f t="shared" si="171"/>
        <v>507</v>
      </c>
      <c r="AX131" s="768">
        <f t="shared" si="171"/>
        <v>485</v>
      </c>
      <c r="AY131" s="1291">
        <f t="shared" si="171"/>
        <v>1967</v>
      </c>
      <c r="AZ131" s="768">
        <f t="shared" si="171"/>
        <v>539</v>
      </c>
      <c r="BA131" s="768">
        <f t="shared" si="171"/>
        <v>597.9</v>
      </c>
      <c r="BB131" s="768">
        <f t="shared" si="171"/>
        <v>581</v>
      </c>
      <c r="BC131" s="768">
        <f t="shared" si="171"/>
        <v>539</v>
      </c>
      <c r="BD131" s="1291">
        <f t="shared" si="171"/>
        <v>2256.9</v>
      </c>
      <c r="BE131" s="768">
        <f t="shared" si="171"/>
        <v>585</v>
      </c>
      <c r="BF131" s="768">
        <f t="shared" si="171"/>
        <v>686</v>
      </c>
      <c r="BG131" s="768">
        <f t="shared" si="171"/>
        <v>667</v>
      </c>
      <c r="BH131" s="768">
        <f t="shared" si="171"/>
        <v>624</v>
      </c>
      <c r="BI131" s="1291">
        <f t="shared" si="171"/>
        <v>2563</v>
      </c>
      <c r="BJ131" s="768">
        <f t="shared" si="171"/>
        <v>718</v>
      </c>
      <c r="BK131" s="768">
        <f t="shared" si="171"/>
        <v>745</v>
      </c>
      <c r="BL131" s="768">
        <f t="shared" si="171"/>
        <v>742</v>
      </c>
      <c r="BM131" s="768">
        <f t="shared" si="171"/>
        <v>794</v>
      </c>
      <c r="BN131" s="1291">
        <f t="shared" si="171"/>
        <v>2999</v>
      </c>
      <c r="BO131" s="768">
        <f t="shared" si="171"/>
        <v>781</v>
      </c>
      <c r="BP131" s="768">
        <f t="shared" si="171"/>
        <v>822.98432499661226</v>
      </c>
      <c r="BQ131" s="768">
        <f t="shared" si="171"/>
        <v>814.69435370663905</v>
      </c>
      <c r="BR131" s="768">
        <f t="shared" si="171"/>
        <v>845.22377789111056</v>
      </c>
      <c r="BS131" s="1291">
        <f t="shared" si="171"/>
        <v>3263.9024565943619</v>
      </c>
      <c r="BX131" s="1291">
        <f t="shared" si="171"/>
        <v>3483.3821524501354</v>
      </c>
      <c r="BY131" s="1550">
        <f t="shared" si="171"/>
        <v>3692.6898230969423</v>
      </c>
      <c r="BZ131" s="1550">
        <f t="shared" si="171"/>
        <v>3917.8635841150099</v>
      </c>
      <c r="CA131" s="1550">
        <f t="shared" ref="CA131" si="172">CA125+CA128</f>
        <v>4139.9220280023183</v>
      </c>
      <c r="CB131" s="1504"/>
      <c r="CF131" s="1291" t="str">
        <f>+A131</f>
        <v>Segment Operating Income</v>
      </c>
      <c r="CG131" s="744">
        <f>+B131</f>
        <v>766</v>
      </c>
      <c r="CH131" s="741">
        <f>+C131</f>
        <v>1013</v>
      </c>
      <c r="CI131" s="741">
        <f>+D131</f>
        <v>1101</v>
      </c>
      <c r="CJ131" s="741">
        <f>+E131</f>
        <v>1301</v>
      </c>
      <c r="CK131" s="741">
        <f>+F131</f>
        <v>1495</v>
      </c>
      <c r="CL131" s="1291">
        <f>+K131</f>
        <v>1590</v>
      </c>
      <c r="CM131" s="1278">
        <f>+P131</f>
        <v>1837</v>
      </c>
      <c r="CN131" s="1278">
        <f>+U131</f>
        <v>1484.4</v>
      </c>
      <c r="CO131" s="1278">
        <f>+Z131</f>
        <v>1386</v>
      </c>
      <c r="CP131" s="1278" t="str">
        <f>+AE131</f>
        <v>--</v>
      </c>
      <c r="CQ131" s="1291">
        <f>+AJ131</f>
        <v>582</v>
      </c>
      <c r="CR131" s="1291">
        <f>+AO131</f>
        <v>1587</v>
      </c>
      <c r="CS131" s="1291">
        <f>+AT131</f>
        <v>1712</v>
      </c>
      <c r="CT131" s="1291">
        <f>+AY131</f>
        <v>1967</v>
      </c>
      <c r="CU131" s="1291">
        <f>+BD131</f>
        <v>2256.9</v>
      </c>
      <c r="CV131" s="1289">
        <f>+BI131</f>
        <v>2563</v>
      </c>
      <c r="CW131" s="1291">
        <f>+BN131</f>
        <v>2999</v>
      </c>
      <c r="CX131" s="1291">
        <f>+BS131</f>
        <v>3263.9024565943619</v>
      </c>
      <c r="CY131" s="1291">
        <f t="shared" si="168"/>
        <v>3483.3821524501354</v>
      </c>
      <c r="CZ131" s="1550">
        <f t="shared" si="168"/>
        <v>3692.6898230969423</v>
      </c>
      <c r="DA131" s="1550">
        <f t="shared" si="168"/>
        <v>3917.8635841150099</v>
      </c>
      <c r="DB131" s="1550">
        <f t="shared" si="168"/>
        <v>4139.9220280023183</v>
      </c>
    </row>
    <row r="132" spans="1:106" ht="12" customHeight="1" collapsed="1">
      <c r="A132" s="772"/>
      <c r="B132" s="1264"/>
      <c r="C132" s="1264"/>
      <c r="D132" s="1264"/>
      <c r="E132" s="1264"/>
      <c r="F132" s="1264"/>
      <c r="G132" s="1265"/>
      <c r="H132" s="1266"/>
      <c r="I132" s="1266"/>
      <c r="J132" s="1266"/>
      <c r="K132" s="1264"/>
      <c r="L132" s="1266"/>
      <c r="M132" s="1266"/>
      <c r="N132" s="1266"/>
      <c r="O132" s="1266"/>
      <c r="P132" s="1264"/>
      <c r="Q132" s="1266"/>
      <c r="R132" s="1266"/>
      <c r="S132" s="1266"/>
      <c r="T132" s="1267"/>
      <c r="U132" s="1264"/>
      <c r="V132" s="1266"/>
      <c r="W132" s="1266"/>
      <c r="X132" s="1266"/>
      <c r="Y132" s="1267"/>
      <c r="Z132" s="1264"/>
      <c r="AA132" s="1266"/>
      <c r="AB132" s="1266"/>
      <c r="AC132" s="1266"/>
      <c r="AD132" s="1266"/>
      <c r="AE132" s="1264"/>
      <c r="AF132" s="1266"/>
      <c r="AG132" s="1266"/>
      <c r="AH132" s="1266"/>
      <c r="AI132" s="1266"/>
      <c r="AJ132" s="1264"/>
      <c r="AK132" s="1268"/>
      <c r="AL132" s="1266"/>
      <c r="AM132" s="1267"/>
      <c r="AN132" s="1266"/>
      <c r="AO132" s="1264"/>
      <c r="AP132" s="1268"/>
      <c r="AQ132" s="1266"/>
      <c r="AR132" s="1267"/>
      <c r="AS132" s="1266"/>
      <c r="AT132" s="1269"/>
      <c r="AU132" s="768"/>
      <c r="AV132" s="768"/>
      <c r="AW132" s="768"/>
      <c r="AX132" s="768"/>
      <c r="AY132" s="1291"/>
      <c r="AZ132" s="768"/>
      <c r="BA132" s="768"/>
      <c r="BB132" s="768"/>
      <c r="BC132" s="768"/>
      <c r="BD132" s="1291"/>
      <c r="BE132" s="768"/>
      <c r="BF132" s="768"/>
      <c r="BG132" s="768"/>
      <c r="BH132" s="768"/>
      <c r="BI132" s="1291"/>
      <c r="BJ132" s="768"/>
      <c r="BK132" s="768"/>
      <c r="BL132" s="768"/>
      <c r="BM132" s="768"/>
      <c r="BN132" s="1291"/>
      <c r="BO132" s="768"/>
      <c r="BP132" s="768"/>
      <c r="BQ132" s="768"/>
      <c r="BR132" s="768"/>
      <c r="BS132" s="1291"/>
      <c r="BT132" s="768"/>
      <c r="BU132" s="768"/>
      <c r="BV132" s="768"/>
      <c r="BW132" s="768"/>
      <c r="BX132" s="1291"/>
      <c r="BY132" s="1550"/>
      <c r="BZ132" s="1550"/>
      <c r="CA132" s="1550"/>
      <c r="CF132" s="773"/>
      <c r="CG132" s="1272"/>
      <c r="CH132" s="1264"/>
      <c r="CI132" s="1264"/>
      <c r="CJ132" s="1264"/>
      <c r="CK132" s="1264"/>
      <c r="CL132" s="1264"/>
      <c r="CM132" s="1264"/>
      <c r="CN132" s="1264"/>
      <c r="CO132" s="1264"/>
      <c r="CP132" s="1264"/>
      <c r="CQ132" s="1264"/>
      <c r="CR132" s="1264"/>
      <c r="CS132" s="1269"/>
      <c r="CT132" s="1291"/>
      <c r="CU132" s="1291"/>
      <c r="CV132" s="1289"/>
      <c r="CW132" s="1291"/>
      <c r="CX132" s="1291"/>
      <c r="CY132" s="1289"/>
      <c r="CZ132" s="1291"/>
      <c r="DA132" s="1291"/>
      <c r="DB132" s="1291"/>
    </row>
    <row r="133" spans="1:106" ht="12" customHeight="1">
      <c r="A133" s="724" t="s">
        <v>551</v>
      </c>
      <c r="B133" s="1264"/>
      <c r="C133" s="1264"/>
      <c r="D133" s="1264"/>
      <c r="E133" s="1264"/>
      <c r="F133" s="1264"/>
      <c r="G133" s="1265"/>
      <c r="H133" s="1266"/>
      <c r="I133" s="1266"/>
      <c r="J133" s="1266"/>
      <c r="K133" s="1264"/>
      <c r="L133" s="1266"/>
      <c r="M133" s="1266"/>
      <c r="N133" s="1266"/>
      <c r="O133" s="1266"/>
      <c r="P133" s="1264"/>
      <c r="Q133" s="1266"/>
      <c r="R133" s="1266"/>
      <c r="S133" s="1266"/>
      <c r="T133" s="1267"/>
      <c r="U133" s="1264"/>
      <c r="V133" s="1266"/>
      <c r="W133" s="1266"/>
      <c r="X133" s="1266"/>
      <c r="Y133" s="1267"/>
      <c r="Z133" s="1264"/>
      <c r="AA133" s="1266"/>
      <c r="AB133" s="1266"/>
      <c r="AC133" s="1266"/>
      <c r="AD133" s="1266"/>
      <c r="AE133" s="1264"/>
      <c r="AF133" s="1266"/>
      <c r="AG133" s="1266"/>
      <c r="AH133" s="1266"/>
      <c r="AI133" s="1266"/>
      <c r="AJ133" s="1264"/>
      <c r="AK133" s="1268"/>
      <c r="AL133" s="1266"/>
      <c r="AM133" s="1267"/>
      <c r="AN133" s="1266"/>
      <c r="AO133" s="1264"/>
      <c r="AP133" s="1268"/>
      <c r="AQ133" s="1266"/>
      <c r="AR133" s="1267"/>
      <c r="AS133" s="1266"/>
      <c r="AT133" s="1269"/>
      <c r="AU133" s="762"/>
      <c r="AV133" s="762"/>
      <c r="AW133" s="762"/>
      <c r="AX133" s="762"/>
      <c r="AY133" s="1270"/>
      <c r="AZ133" s="762"/>
      <c r="BA133" s="762"/>
      <c r="BB133" s="762"/>
      <c r="BC133" s="762"/>
      <c r="BD133" s="1270"/>
      <c r="BE133" s="762"/>
      <c r="BF133" s="762"/>
      <c r="BG133" s="762"/>
      <c r="BH133" s="762"/>
      <c r="BI133" s="1270"/>
      <c r="BJ133" s="762"/>
      <c r="BK133" s="762"/>
      <c r="BL133" s="762"/>
      <c r="BM133" s="762"/>
      <c r="BN133" s="1270"/>
      <c r="BO133" s="762"/>
      <c r="BP133" s="762">
        <f>+BP134*(BK30-BK137)</f>
        <v>-8.7458029473417138</v>
      </c>
      <c r="BQ133" s="762">
        <f>+BQ134*(BL30-BL137)</f>
        <v>-5.8577615786058379</v>
      </c>
      <c r="BR133" s="762">
        <f>+BR134*(BM30-BM137)</f>
        <v>-2.6920711112927047</v>
      </c>
      <c r="BS133" s="1270">
        <f>SUM(BO133:BR133)</f>
        <v>-17.295635637240256</v>
      </c>
      <c r="BT133" s="762">
        <f>+BT134*(BO30-BO137)</f>
        <v>-2.1171351033090957</v>
      </c>
      <c r="BU133" s="762"/>
      <c r="BV133" s="762"/>
      <c r="BW133" s="762"/>
      <c r="BX133" s="1270">
        <f>SUM(BT133:BW133)</f>
        <v>-2.1171351033090957</v>
      </c>
      <c r="BY133" s="1270"/>
      <c r="BZ133" s="1270"/>
      <c r="CA133" s="1270"/>
      <c r="CF133" s="773"/>
      <c r="CG133" s="1272"/>
      <c r="CH133" s="1264"/>
      <c r="CI133" s="1264"/>
      <c r="CJ133" s="1264"/>
      <c r="CK133" s="1264"/>
      <c r="CL133" s="1264"/>
      <c r="CM133" s="1264"/>
      <c r="CN133" s="1264"/>
      <c r="CO133" s="1264"/>
      <c r="CP133" s="1264"/>
      <c r="CQ133" s="1264"/>
      <c r="CR133" s="1264"/>
      <c r="CS133" s="1269"/>
      <c r="CT133" s="1270"/>
      <c r="CU133" s="1270"/>
      <c r="CV133" s="1273"/>
      <c r="CW133" s="1270"/>
      <c r="CX133" s="1270"/>
      <c r="CY133" s="1273"/>
      <c r="CZ133" s="1270"/>
      <c r="DA133" s="1270"/>
      <c r="DB133" s="1270"/>
    </row>
    <row r="134" spans="1:106" s="1287" customFormat="1" ht="12" customHeight="1">
      <c r="A134" s="1274" t="s">
        <v>486</v>
      </c>
      <c r="B134" s="721"/>
      <c r="C134" s="721"/>
      <c r="D134" s="721"/>
      <c r="E134" s="721"/>
      <c r="F134" s="721"/>
      <c r="G134" s="1275"/>
      <c r="H134" s="1276"/>
      <c r="I134" s="1276"/>
      <c r="J134" s="1276"/>
      <c r="K134" s="1277"/>
      <c r="L134" s="1275"/>
      <c r="M134" s="1276"/>
      <c r="N134" s="1276"/>
      <c r="O134" s="1278"/>
      <c r="P134" s="1277"/>
      <c r="Q134" s="1275"/>
      <c r="R134" s="1276"/>
      <c r="S134" s="1276"/>
      <c r="T134" s="1276"/>
      <c r="U134" s="1277"/>
      <c r="V134" s="1275"/>
      <c r="W134" s="1276"/>
      <c r="X134" s="1276"/>
      <c r="Y134" s="1278"/>
      <c r="Z134" s="1277"/>
      <c r="AA134" s="1275"/>
      <c r="AB134" s="1276"/>
      <c r="AC134" s="1276"/>
      <c r="AD134" s="1276"/>
      <c r="AE134" s="1277"/>
      <c r="AF134" s="1279"/>
      <c r="AG134" s="1280"/>
      <c r="AH134" s="1280"/>
      <c r="AI134" s="1280"/>
      <c r="AJ134" s="796"/>
      <c r="AK134" s="1280"/>
      <c r="AL134" s="1280"/>
      <c r="AM134" s="1280"/>
      <c r="AN134" s="1280"/>
      <c r="AO134" s="796"/>
      <c r="AP134" s="1280"/>
      <c r="AQ134" s="1280"/>
      <c r="AR134" s="1280"/>
      <c r="AS134" s="1280"/>
      <c r="AT134" s="796"/>
      <c r="AU134" s="1280"/>
      <c r="AV134" s="1280"/>
      <c r="AW134" s="1280"/>
      <c r="AX134" s="1280"/>
      <c r="AY134" s="796"/>
      <c r="AZ134" s="1281"/>
      <c r="BA134" s="1281"/>
      <c r="BB134" s="1281"/>
      <c r="BC134" s="1281"/>
      <c r="BD134" s="796"/>
      <c r="BE134" s="1282"/>
      <c r="BF134" s="1282"/>
      <c r="BG134" s="1283"/>
      <c r="BH134" s="1283"/>
      <c r="BI134" s="1284"/>
      <c r="BJ134" s="1282"/>
      <c r="BK134" s="1283"/>
      <c r="BL134" s="1283"/>
      <c r="BM134" s="2025"/>
      <c r="BN134" s="796"/>
      <c r="BO134" s="1282"/>
      <c r="BP134" s="2025">
        <v>-1.1014865172974451E-2</v>
      </c>
      <c r="BQ134" s="2025">
        <v>-7.2139920918791109E-3</v>
      </c>
      <c r="BR134" s="2025">
        <v>-3.2201807551348145E-3</v>
      </c>
      <c r="BS134" s="796"/>
      <c r="BT134" s="2025">
        <v>-2.5446335376311247E-3</v>
      </c>
      <c r="BU134" s="2025"/>
      <c r="BV134" s="2025"/>
      <c r="BW134" s="2025"/>
      <c r="BX134" s="796"/>
      <c r="BY134" s="1279"/>
      <c r="BZ134" s="1279"/>
      <c r="CA134" s="796"/>
      <c r="CB134" s="1286"/>
      <c r="CF134" s="1270"/>
      <c r="CG134" s="722"/>
      <c r="CH134" s="721"/>
      <c r="CI134" s="721"/>
      <c r="CJ134" s="721"/>
      <c r="CK134" s="721"/>
      <c r="CL134" s="1277"/>
      <c r="CM134" s="1277"/>
      <c r="CN134" s="1277"/>
      <c r="CO134" s="1277"/>
      <c r="CP134" s="1277"/>
      <c r="CQ134" s="796"/>
      <c r="CR134" s="796"/>
      <c r="CS134" s="796"/>
      <c r="CT134" s="796"/>
      <c r="CU134" s="796"/>
      <c r="CV134" s="796"/>
      <c r="CW134" s="796"/>
      <c r="CX134" s="796"/>
      <c r="CY134" s="1279"/>
      <c r="CZ134" s="796"/>
      <c r="DA134" s="796"/>
      <c r="DB134" s="796"/>
    </row>
    <row r="135" spans="1:106" ht="12" customHeight="1">
      <c r="A135" s="772"/>
      <c r="B135" s="1264"/>
      <c r="C135" s="1264"/>
      <c r="D135" s="1264"/>
      <c r="E135" s="1264"/>
      <c r="F135" s="1264"/>
      <c r="G135" s="1265"/>
      <c r="H135" s="1266"/>
      <c r="I135" s="1266"/>
      <c r="J135" s="1266"/>
      <c r="K135" s="1264"/>
      <c r="L135" s="1266"/>
      <c r="M135" s="1266"/>
      <c r="N135" s="1266"/>
      <c r="O135" s="1266"/>
      <c r="P135" s="1264"/>
      <c r="Q135" s="1266"/>
      <c r="R135" s="1266"/>
      <c r="S135" s="1266"/>
      <c r="T135" s="1267"/>
      <c r="U135" s="1264"/>
      <c r="V135" s="1266"/>
      <c r="W135" s="1266"/>
      <c r="X135" s="1266"/>
      <c r="Y135" s="1267"/>
      <c r="Z135" s="1264"/>
      <c r="AA135" s="1266"/>
      <c r="AB135" s="1266"/>
      <c r="AC135" s="1266"/>
      <c r="AD135" s="1266"/>
      <c r="AE135" s="1264"/>
      <c r="AF135" s="1266"/>
      <c r="AG135" s="1266"/>
      <c r="AH135" s="1266"/>
      <c r="AI135" s="1266"/>
      <c r="AJ135" s="1264"/>
      <c r="AK135" s="1268"/>
      <c r="AL135" s="1266"/>
      <c r="AM135" s="1267"/>
      <c r="AN135" s="1266"/>
      <c r="AO135" s="1264"/>
      <c r="AP135" s="1268"/>
      <c r="AQ135" s="1266"/>
      <c r="AR135" s="1267"/>
      <c r="AS135" s="1266"/>
      <c r="AT135" s="1269"/>
      <c r="AU135" s="768"/>
      <c r="AV135" s="768"/>
      <c r="AW135" s="768"/>
      <c r="AX135" s="768"/>
      <c r="AY135" s="1291"/>
      <c r="AZ135" s="768"/>
      <c r="BA135" s="768"/>
      <c r="BB135" s="768"/>
      <c r="BC135" s="768"/>
      <c r="BD135" s="1291"/>
      <c r="BH135" s="768"/>
      <c r="BI135" s="1291"/>
      <c r="BJ135" s="768"/>
      <c r="BK135" s="768"/>
      <c r="BM135" s="768"/>
      <c r="BN135" s="1291"/>
      <c r="BO135" s="768"/>
      <c r="BP135" s="768"/>
      <c r="BQ135" s="768"/>
      <c r="BR135" s="768"/>
      <c r="BS135" s="1291"/>
      <c r="BT135" s="768"/>
      <c r="BU135" s="768"/>
      <c r="BV135" s="768"/>
      <c r="BW135" s="768"/>
      <c r="BX135" s="1291"/>
      <c r="BY135" s="1550"/>
      <c r="BZ135" s="1550"/>
      <c r="CA135" s="1550"/>
      <c r="CF135" s="773"/>
      <c r="CG135" s="1272"/>
      <c r="CH135" s="1264"/>
      <c r="CI135" s="1264"/>
      <c r="CJ135" s="1264"/>
      <c r="CK135" s="1264"/>
      <c r="CL135" s="1272"/>
      <c r="CM135" s="1272"/>
      <c r="CN135" s="1272"/>
      <c r="CO135" s="1272"/>
      <c r="CP135" s="1272"/>
      <c r="CQ135" s="1264"/>
      <c r="CR135" s="1264"/>
      <c r="CS135" s="1269"/>
      <c r="CT135" s="1291"/>
      <c r="CU135" s="1291"/>
      <c r="CV135" s="1289"/>
      <c r="CW135" s="1291"/>
      <c r="CX135" s="1291"/>
      <c r="CY135" s="1289"/>
      <c r="CZ135" s="1291"/>
      <c r="DA135" s="1291"/>
      <c r="DB135" s="1291"/>
    </row>
    <row r="136" spans="1:106" s="762" customFormat="1" ht="12" customHeight="1">
      <c r="A136" s="1253" t="s">
        <v>305</v>
      </c>
      <c r="B136" s="721">
        <v>-93</v>
      </c>
      <c r="C136" s="721">
        <v>-92</v>
      </c>
      <c r="D136" s="721">
        <v>38</v>
      </c>
      <c r="E136" s="721">
        <v>-124</v>
      </c>
      <c r="F136" s="721">
        <v>-125</v>
      </c>
      <c r="G136" s="1327" t="s">
        <v>249</v>
      </c>
      <c r="H136" s="1327" t="s">
        <v>249</v>
      </c>
      <c r="I136" s="1327" t="s">
        <v>249</v>
      </c>
      <c r="J136" s="1334" t="s">
        <v>249</v>
      </c>
      <c r="K136" s="1322">
        <v>-163</v>
      </c>
      <c r="L136" s="1327" t="s">
        <v>249</v>
      </c>
      <c r="M136" s="1327" t="s">
        <v>249</v>
      </c>
      <c r="N136" s="1327" t="s">
        <v>249</v>
      </c>
      <c r="O136" s="1334" t="s">
        <v>249</v>
      </c>
      <c r="P136" s="1322">
        <v>-160</v>
      </c>
      <c r="Q136" s="1327" t="s">
        <v>249</v>
      </c>
      <c r="R136" s="1327" t="s">
        <v>249</v>
      </c>
      <c r="S136" s="1327" t="s">
        <v>249</v>
      </c>
      <c r="T136" s="1334" t="s">
        <v>249</v>
      </c>
      <c r="U136" s="1322">
        <v>-109</v>
      </c>
      <c r="V136" s="1327" t="s">
        <v>249</v>
      </c>
      <c r="W136" s="1327" t="s">
        <v>249</v>
      </c>
      <c r="X136" s="1327" t="s">
        <v>249</v>
      </c>
      <c r="Y136" s="1334" t="s">
        <v>249</v>
      </c>
      <c r="Z136" s="1322">
        <v>-127</v>
      </c>
      <c r="AA136" s="1253">
        <v>-35.700000000000003</v>
      </c>
      <c r="AB136" s="1253">
        <v>-37.6</v>
      </c>
      <c r="AC136" s="1253">
        <v>-44.4</v>
      </c>
      <c r="AD136" s="1253">
        <v>-63</v>
      </c>
      <c r="AE136" s="1322">
        <f>SUM(AA136:AD136)</f>
        <v>-180.70000000000002</v>
      </c>
      <c r="AF136" s="1253">
        <v>-34</v>
      </c>
      <c r="AG136" s="1253">
        <v>-44</v>
      </c>
      <c r="AH136" s="1253">
        <v>-41</v>
      </c>
      <c r="AI136" s="1287">
        <f>+-85+27</f>
        <v>-58</v>
      </c>
      <c r="AJ136" s="1270">
        <f>SUM(AF136:AI136)</f>
        <v>-177</v>
      </c>
      <c r="AK136" s="1573">
        <f>+-75+29</f>
        <v>-46</v>
      </c>
      <c r="AL136" s="1574">
        <f>+-71+24</f>
        <v>-47</v>
      </c>
      <c r="AM136" s="1574">
        <f>+-95+48</f>
        <v>-47</v>
      </c>
      <c r="AN136" s="1573">
        <f>+-65+3</f>
        <v>-62</v>
      </c>
      <c r="AO136" s="1270">
        <f>SUM(AK136:AN136)</f>
        <v>-202</v>
      </c>
      <c r="AP136" s="1573">
        <f>-145+77+44</f>
        <v>-24</v>
      </c>
      <c r="AQ136" s="1574">
        <f>+-41+10</f>
        <v>-31</v>
      </c>
      <c r="AR136" s="1574">
        <f>+-49+10</f>
        <v>-39</v>
      </c>
      <c r="AS136" s="1573">
        <f>-93+52</f>
        <v>-41</v>
      </c>
      <c r="AT136" s="1270">
        <f>SUM(AP136:AS136)</f>
        <v>-135</v>
      </c>
      <c r="AU136" s="1573">
        <f>-30-(152-143)/2+1</f>
        <v>-33.5</v>
      </c>
      <c r="AV136" s="1574">
        <f>-41-(152-143)/2-1</f>
        <v>-46.5</v>
      </c>
      <c r="AW136" s="1574">
        <f>-38+7</f>
        <v>-31</v>
      </c>
      <c r="AX136" s="1573">
        <f>-50+10</f>
        <v>-40</v>
      </c>
      <c r="AY136" s="1270">
        <f>SUM(AU136:AX136)</f>
        <v>-151</v>
      </c>
      <c r="AZ136" s="1573">
        <v>-33</v>
      </c>
      <c r="BA136" s="1574">
        <f>-25-10</f>
        <v>-35</v>
      </c>
      <c r="BB136" s="1574">
        <v>-36</v>
      </c>
      <c r="BC136" s="1573">
        <f>+-44+9</f>
        <v>-35</v>
      </c>
      <c r="BD136" s="1270">
        <f>SUM(AZ136:BC136)</f>
        <v>-139</v>
      </c>
      <c r="BE136" s="2095">
        <v>-34</v>
      </c>
      <c r="BF136" s="2095">
        <f>+-31+-3</f>
        <v>-34</v>
      </c>
      <c r="BG136" s="2095">
        <v>-29</v>
      </c>
      <c r="BH136" s="2095">
        <v>-35</v>
      </c>
      <c r="BI136" s="1270">
        <f>SUM(BE136:BH136)</f>
        <v>-132</v>
      </c>
      <c r="BJ136" s="1620">
        <v>-29</v>
      </c>
      <c r="BK136" s="774">
        <v>-30</v>
      </c>
      <c r="BL136" s="2164">
        <f>-45+4</f>
        <v>-41</v>
      </c>
      <c r="BM136" s="2205">
        <f>-73+32</f>
        <v>-41</v>
      </c>
      <c r="BN136" s="1270">
        <f>SUM(BJ136:BM136)</f>
        <v>-141</v>
      </c>
      <c r="BO136" s="2205">
        <f>-(757-711)</f>
        <v>-46</v>
      </c>
      <c r="BP136" s="774">
        <f>+BK136-2</f>
        <v>-32</v>
      </c>
      <c r="BQ136" s="774">
        <f t="shared" ref="BQ136:BR136" si="173">+BL136-2</f>
        <v>-43</v>
      </c>
      <c r="BR136" s="774">
        <f t="shared" si="173"/>
        <v>-43</v>
      </c>
      <c r="BS136" s="1270">
        <f>SUM(BO136:BR136)</f>
        <v>-164</v>
      </c>
      <c r="BT136" s="774">
        <f>BO136+20</f>
        <v>-26</v>
      </c>
      <c r="BU136" s="774">
        <f>BP136</f>
        <v>-32</v>
      </c>
      <c r="BV136" s="774">
        <f>BQ136</f>
        <v>-43</v>
      </c>
      <c r="BW136" s="774">
        <f>BR136</f>
        <v>-43</v>
      </c>
      <c r="BX136" s="1270">
        <f>SUM(BT136:BW136)</f>
        <v>-144</v>
      </c>
      <c r="BY136" s="775">
        <f>BX136</f>
        <v>-144</v>
      </c>
      <c r="BZ136" s="775">
        <f>BY136</f>
        <v>-144</v>
      </c>
      <c r="CA136" s="721">
        <f>BZ136</f>
        <v>-144</v>
      </c>
      <c r="CF136" s="1270" t="str">
        <f>+A136</f>
        <v>Unallocated expense, ex one-time items</v>
      </c>
      <c r="CG136" s="722"/>
      <c r="CH136" s="721"/>
      <c r="CI136" s="721"/>
      <c r="CJ136" s="721"/>
      <c r="CK136" s="721"/>
      <c r="CL136" s="1270"/>
      <c r="CM136" s="1270"/>
      <c r="CN136" s="1270"/>
      <c r="CO136" s="1270"/>
      <c r="CP136" s="1270"/>
      <c r="CQ136" s="1270"/>
      <c r="CR136" s="1270">
        <f>+AO136</f>
        <v>-202</v>
      </c>
      <c r="CS136" s="1270">
        <f>+AT136</f>
        <v>-135</v>
      </c>
      <c r="CT136" s="1270">
        <f>+AY136</f>
        <v>-151</v>
      </c>
      <c r="CU136" s="1270">
        <f>+BD136</f>
        <v>-139</v>
      </c>
      <c r="CV136" s="1273">
        <f>+BI136</f>
        <v>-132</v>
      </c>
      <c r="CW136" s="1270">
        <f>+BN136</f>
        <v>-141</v>
      </c>
      <c r="CX136" s="1270">
        <f>+BS136</f>
        <v>-164</v>
      </c>
      <c r="CY136" s="1273">
        <f t="shared" ref="CY136:DB138" si="174">+BX136</f>
        <v>-144</v>
      </c>
      <c r="CZ136" s="1270">
        <f t="shared" si="174"/>
        <v>-144</v>
      </c>
      <c r="DA136" s="1270">
        <f t="shared" si="174"/>
        <v>-144</v>
      </c>
      <c r="DB136" s="1270">
        <f t="shared" si="174"/>
        <v>-144</v>
      </c>
    </row>
    <row r="137" spans="1:106" s="768" customFormat="1" ht="12" customHeight="1">
      <c r="A137" s="1492" t="s">
        <v>319</v>
      </c>
      <c r="B137" s="1964"/>
      <c r="C137" s="1964"/>
      <c r="D137" s="1964"/>
      <c r="E137" s="1964"/>
      <c r="F137" s="1964"/>
      <c r="G137" s="1751" t="s">
        <v>249</v>
      </c>
      <c r="H137" s="1751" t="s">
        <v>249</v>
      </c>
      <c r="I137" s="1751" t="s">
        <v>249</v>
      </c>
      <c r="J137" s="1711" t="s">
        <v>249</v>
      </c>
      <c r="K137" s="1757" t="s">
        <v>249</v>
      </c>
      <c r="L137" s="1751" t="s">
        <v>249</v>
      </c>
      <c r="M137" s="1751" t="s">
        <v>249</v>
      </c>
      <c r="N137" s="1751" t="s">
        <v>249</v>
      </c>
      <c r="O137" s="1752" t="s">
        <v>249</v>
      </c>
      <c r="P137" s="1752" t="s">
        <v>249</v>
      </c>
      <c r="Q137" s="1751" t="s">
        <v>249</v>
      </c>
      <c r="R137" s="1751" t="s">
        <v>249</v>
      </c>
      <c r="S137" s="1751" t="s">
        <v>249</v>
      </c>
      <c r="T137" s="1752" t="s">
        <v>249</v>
      </c>
      <c r="U137" s="1752" t="s">
        <v>249</v>
      </c>
      <c r="V137" s="1751" t="s">
        <v>249</v>
      </c>
      <c r="W137" s="1751" t="s">
        <v>249</v>
      </c>
      <c r="X137" s="1751" t="s">
        <v>249</v>
      </c>
      <c r="Y137" s="1752" t="s">
        <v>249</v>
      </c>
      <c r="Z137" s="1964">
        <f>Z131+Z71+Z72</f>
        <v>1259</v>
      </c>
      <c r="AA137" s="1751" t="s">
        <v>249</v>
      </c>
      <c r="AB137" s="1751" t="s">
        <v>249</v>
      </c>
      <c r="AC137" s="1751" t="s">
        <v>249</v>
      </c>
      <c r="AD137" s="1752" t="s">
        <v>249</v>
      </c>
      <c r="AE137" s="1752" t="s">
        <v>249</v>
      </c>
      <c r="AF137" s="1492"/>
      <c r="AG137" s="1492"/>
      <c r="AH137" s="1492"/>
      <c r="AI137" s="1492">
        <f t="shared" ref="AI137:BZ137" si="175">+AI125+AI136</f>
        <v>242</v>
      </c>
      <c r="AJ137" s="1964">
        <f t="shared" si="175"/>
        <v>123</v>
      </c>
      <c r="AK137" s="1492">
        <f t="shared" si="175"/>
        <v>311</v>
      </c>
      <c r="AL137" s="1492">
        <f t="shared" si="175"/>
        <v>347</v>
      </c>
      <c r="AM137" s="1492">
        <f t="shared" si="175"/>
        <v>356</v>
      </c>
      <c r="AN137" s="1492">
        <f t="shared" si="175"/>
        <v>371</v>
      </c>
      <c r="AO137" s="1964">
        <f t="shared" si="175"/>
        <v>1385</v>
      </c>
      <c r="AP137" s="1492">
        <f t="shared" si="175"/>
        <v>399</v>
      </c>
      <c r="AQ137" s="1492">
        <f t="shared" si="175"/>
        <v>446</v>
      </c>
      <c r="AR137" s="1492">
        <f t="shared" si="175"/>
        <v>384</v>
      </c>
      <c r="AS137" s="1492">
        <f t="shared" si="175"/>
        <v>348</v>
      </c>
      <c r="AT137" s="1964">
        <f t="shared" si="175"/>
        <v>1577</v>
      </c>
      <c r="AU137" s="1492">
        <f t="shared" si="175"/>
        <v>420.5</v>
      </c>
      <c r="AV137" s="1492">
        <f t="shared" si="175"/>
        <v>474.5</v>
      </c>
      <c r="AW137" s="1492">
        <f t="shared" si="175"/>
        <v>476</v>
      </c>
      <c r="AX137" s="1492">
        <f t="shared" si="175"/>
        <v>445</v>
      </c>
      <c r="AY137" s="1964">
        <f t="shared" si="175"/>
        <v>1816</v>
      </c>
      <c r="AZ137" s="1492">
        <f t="shared" si="175"/>
        <v>506</v>
      </c>
      <c r="BA137" s="1492">
        <f t="shared" si="175"/>
        <v>562.9</v>
      </c>
      <c r="BB137" s="1492">
        <f t="shared" si="175"/>
        <v>545</v>
      </c>
      <c r="BC137" s="1492">
        <f t="shared" si="175"/>
        <v>504</v>
      </c>
      <c r="BD137" s="1964">
        <f t="shared" si="175"/>
        <v>2117.9</v>
      </c>
      <c r="BE137" s="1492">
        <f t="shared" si="175"/>
        <v>551</v>
      </c>
      <c r="BF137" s="1492">
        <f t="shared" si="175"/>
        <v>652</v>
      </c>
      <c r="BG137" s="1492">
        <f>+BG125+BG136-0.5</f>
        <v>637.5</v>
      </c>
      <c r="BH137" s="1492">
        <f t="shared" si="175"/>
        <v>589</v>
      </c>
      <c r="BI137" s="1964">
        <f t="shared" si="175"/>
        <v>2431</v>
      </c>
      <c r="BJ137" s="1492">
        <f t="shared" si="175"/>
        <v>689</v>
      </c>
      <c r="BK137" s="1492">
        <f>+BK125+BK136</f>
        <v>715</v>
      </c>
      <c r="BL137" s="1492">
        <f t="shared" si="175"/>
        <v>701</v>
      </c>
      <c r="BM137" s="1492">
        <f t="shared" si="175"/>
        <v>753</v>
      </c>
      <c r="BN137" s="1964">
        <f t="shared" si="175"/>
        <v>2858</v>
      </c>
      <c r="BO137" s="1492">
        <f t="shared" si="175"/>
        <v>735</v>
      </c>
      <c r="BP137" s="1492">
        <f t="shared" si="175"/>
        <v>790.98432499661226</v>
      </c>
      <c r="BQ137" s="1492">
        <f t="shared" si="175"/>
        <v>771.69435370663905</v>
      </c>
      <c r="BR137" s="1492">
        <f t="shared" si="175"/>
        <v>802.22377789111056</v>
      </c>
      <c r="BS137" s="1964">
        <f t="shared" si="175"/>
        <v>3099.9024565943619</v>
      </c>
      <c r="BT137" s="1492">
        <f t="shared" ref="BT137:BX137" si="176">+BT125+BT136</f>
        <v>799.13906721167632</v>
      </c>
      <c r="BU137" s="1492">
        <f t="shared" si="176"/>
        <v>848.50583235883903</v>
      </c>
      <c r="BV137" s="1492">
        <f t="shared" si="176"/>
        <v>829.9447757537913</v>
      </c>
      <c r="BW137" s="1492">
        <f t="shared" si="176"/>
        <v>861.79247712582867</v>
      </c>
      <c r="BX137" s="1964">
        <f t="shared" si="176"/>
        <v>3339.3821524501354</v>
      </c>
      <c r="BY137" s="1965">
        <f t="shared" si="175"/>
        <v>3548.6898230969423</v>
      </c>
      <c r="BZ137" s="1965">
        <f t="shared" si="175"/>
        <v>3773.8635841150099</v>
      </c>
      <c r="CA137" s="1965">
        <f t="shared" ref="CA137" si="177">+CA125+CA136</f>
        <v>3995.9220280023183</v>
      </c>
      <c r="CF137" s="1291" t="str">
        <f>+A137</f>
        <v>Operating Income, as Adjusted</v>
      </c>
      <c r="CG137" s="744">
        <f>+B137</f>
        <v>0</v>
      </c>
      <c r="CH137" s="741">
        <f>+C137</f>
        <v>0</v>
      </c>
      <c r="CI137" s="741">
        <f>+D137</f>
        <v>0</v>
      </c>
      <c r="CJ137" s="741">
        <f>+E137</f>
        <v>0</v>
      </c>
      <c r="CK137" s="741">
        <f>+F137</f>
        <v>0</v>
      </c>
      <c r="CL137" s="1291" t="str">
        <f>+K137</f>
        <v>--</v>
      </c>
      <c r="CM137" s="1318"/>
      <c r="CN137" s="1318"/>
      <c r="CO137" s="1318"/>
      <c r="CP137" s="1318"/>
      <c r="CQ137" s="1291"/>
      <c r="CR137" s="1291">
        <f>+AO137</f>
        <v>1385</v>
      </c>
      <c r="CS137" s="1291">
        <f>+AT137</f>
        <v>1577</v>
      </c>
      <c r="CT137" s="1291">
        <f>+AY137</f>
        <v>1816</v>
      </c>
      <c r="CU137" s="1291">
        <f>+BD137</f>
        <v>2117.9</v>
      </c>
      <c r="CV137" s="1289">
        <f>+BI137</f>
        <v>2431</v>
      </c>
      <c r="CW137" s="1291">
        <f>+BN137</f>
        <v>2858</v>
      </c>
      <c r="CX137" s="1291">
        <f>+BS137</f>
        <v>3099.9024565943619</v>
      </c>
      <c r="CY137" s="1289">
        <f t="shared" si="174"/>
        <v>3339.3821524501354</v>
      </c>
      <c r="CZ137" s="1291">
        <f t="shared" si="174"/>
        <v>3548.6898230969423</v>
      </c>
      <c r="DA137" s="1291">
        <f t="shared" si="174"/>
        <v>3773.8635841150099</v>
      </c>
      <c r="DB137" s="1291">
        <f t="shared" si="174"/>
        <v>3995.9220280023183</v>
      </c>
    </row>
    <row r="138" spans="1:106" s="1437" customFormat="1" ht="12" customHeight="1">
      <c r="A138" s="1609" t="s">
        <v>315</v>
      </c>
      <c r="B138" s="1332"/>
      <c r="C138" s="1332"/>
      <c r="D138" s="1332"/>
      <c r="E138" s="1332"/>
      <c r="F138" s="1332"/>
      <c r="G138" s="1327"/>
      <c r="H138" s="1327"/>
      <c r="I138" s="1327"/>
      <c r="J138" s="1334"/>
      <c r="K138" s="1445"/>
      <c r="L138" s="1327"/>
      <c r="M138" s="1327"/>
      <c r="N138" s="1327"/>
      <c r="O138" s="1334"/>
      <c r="P138" s="1445"/>
      <c r="Q138" s="1327"/>
      <c r="R138" s="1327"/>
      <c r="S138" s="1327"/>
      <c r="T138" s="1334"/>
      <c r="U138" s="1445"/>
      <c r="V138" s="1327"/>
      <c r="W138" s="1327"/>
      <c r="X138" s="1327"/>
      <c r="Y138" s="1334"/>
      <c r="Z138" s="1445"/>
      <c r="AA138" s="1327"/>
      <c r="AB138" s="1327"/>
      <c r="AC138" s="1327"/>
      <c r="AD138" s="1334"/>
      <c r="AE138" s="1334"/>
      <c r="AF138" s="1327"/>
      <c r="AG138" s="1327"/>
      <c r="AH138" s="1327"/>
      <c r="AI138" s="1331">
        <f t="shared" ref="AI138:BZ138" si="178">+AI137/AI30</f>
        <v>0.24103585657370519</v>
      </c>
      <c r="AJ138" s="1332">
        <f t="shared" si="178"/>
        <v>3.1107738998482549E-2</v>
      </c>
      <c r="AK138" s="1331">
        <f t="shared" si="178"/>
        <v>0.30048309178743959</v>
      </c>
      <c r="AL138" s="1331">
        <f t="shared" si="178"/>
        <v>0.32369402985074625</v>
      </c>
      <c r="AM138" s="1331">
        <f t="shared" si="178"/>
        <v>0.31899641577060933</v>
      </c>
      <c r="AN138" s="1331">
        <f t="shared" si="178"/>
        <v>0.30261011419249595</v>
      </c>
      <c r="AO138" s="1332">
        <f t="shared" si="178"/>
        <v>0.31130591144077319</v>
      </c>
      <c r="AP138" s="1331">
        <f t="shared" si="178"/>
        <v>0.33784928027095684</v>
      </c>
      <c r="AQ138" s="1331">
        <f t="shared" si="178"/>
        <v>0.35680000000000001</v>
      </c>
      <c r="AR138" s="1331">
        <f t="shared" si="178"/>
        <v>0.33333333333333331</v>
      </c>
      <c r="AS138" s="1331">
        <f t="shared" si="178"/>
        <v>0.28855721393034828</v>
      </c>
      <c r="AT138" s="1332">
        <f t="shared" si="178"/>
        <v>0.32929630403006893</v>
      </c>
      <c r="AU138" s="1331">
        <f t="shared" si="178"/>
        <v>0.35158862876254182</v>
      </c>
      <c r="AV138" s="1331">
        <f t="shared" si="178"/>
        <v>0.36443932411674346</v>
      </c>
      <c r="AW138" s="1331">
        <f t="shared" si="178"/>
        <v>0.37688044338875692</v>
      </c>
      <c r="AX138" s="1331">
        <f t="shared" si="178"/>
        <v>0.34496124031007752</v>
      </c>
      <c r="AY138" s="1332">
        <f t="shared" si="178"/>
        <v>0.35953276578895266</v>
      </c>
      <c r="AZ138" s="1331">
        <f t="shared" si="178"/>
        <v>0.39748625294579731</v>
      </c>
      <c r="BA138" s="1331">
        <f t="shared" si="178"/>
        <v>0.41944858420268255</v>
      </c>
      <c r="BB138" s="1331">
        <f t="shared" si="178"/>
        <v>0.41163141993957703</v>
      </c>
      <c r="BC138" s="1331">
        <f t="shared" si="178"/>
        <v>0.36681222707423583</v>
      </c>
      <c r="BD138" s="1332">
        <f t="shared" si="178"/>
        <v>0.39862601166948997</v>
      </c>
      <c r="BE138" s="1331">
        <f t="shared" si="178"/>
        <v>0.4108873974645787</v>
      </c>
      <c r="BF138" s="1331">
        <f t="shared" si="178"/>
        <v>0.4399460188933873</v>
      </c>
      <c r="BG138" s="1331">
        <f t="shared" si="178"/>
        <v>0.44301598332175124</v>
      </c>
      <c r="BH138" s="1331">
        <f t="shared" si="178"/>
        <v>0.42101501072194425</v>
      </c>
      <c r="BI138" s="1332">
        <f t="shared" si="178"/>
        <v>0.42942942942942941</v>
      </c>
      <c r="BJ138" s="1331">
        <f t="shared" si="178"/>
        <v>0.47419132828630423</v>
      </c>
      <c r="BK138" s="1331">
        <f t="shared" si="178"/>
        <v>0.47382372432074221</v>
      </c>
      <c r="BL138" s="1331">
        <f t="shared" si="178"/>
        <v>0.46331791143423662</v>
      </c>
      <c r="BM138" s="1331">
        <f t="shared" si="178"/>
        <v>0.47388294524858404</v>
      </c>
      <c r="BN138" s="1332">
        <f>+BN137/BN30</f>
        <v>0.47130606860158314</v>
      </c>
      <c r="BO138" s="1331">
        <f t="shared" si="178"/>
        <v>0.46904913848117424</v>
      </c>
      <c r="BP138" s="1331">
        <f t="shared" si="178"/>
        <v>0.48219513295730182</v>
      </c>
      <c r="BQ138" s="1331">
        <f t="shared" si="178"/>
        <v>0.47537753925286341</v>
      </c>
      <c r="BR138" s="1331">
        <f t="shared" si="178"/>
        <v>0.48004633130714042</v>
      </c>
      <c r="BS138" s="1332">
        <f>+BS137/BS30</f>
        <v>0.47677238111613346</v>
      </c>
      <c r="BT138" s="1331">
        <f t="shared" ref="BT138:BW138" si="179">+BT137/BT30</f>
        <v>0.48537637175167309</v>
      </c>
      <c r="BU138" s="1331">
        <f t="shared" si="179"/>
        <v>0.48838663932967286</v>
      </c>
      <c r="BV138" s="1331">
        <f t="shared" si="179"/>
        <v>0.48216503872567085</v>
      </c>
      <c r="BW138" s="1331">
        <f t="shared" si="179"/>
        <v>0.48662634680381689</v>
      </c>
      <c r="BX138" s="1332">
        <f>+BX137/BX30</f>
        <v>0.48565501369490699</v>
      </c>
      <c r="BY138" s="1333">
        <f t="shared" si="178"/>
        <v>0.49072490657675355</v>
      </c>
      <c r="BZ138" s="1333">
        <f t="shared" si="178"/>
        <v>0.49601414906319791</v>
      </c>
      <c r="CA138" s="1333">
        <f t="shared" ref="CA138" si="180">+CA137/CA30</f>
        <v>0.50169427323729676</v>
      </c>
      <c r="CE138" s="768"/>
      <c r="CF138" s="1811" t="s">
        <v>315</v>
      </c>
      <c r="CG138" s="1333"/>
      <c r="CH138" s="1332"/>
      <c r="CI138" s="1332"/>
      <c r="CJ138" s="1332"/>
      <c r="CK138" s="1332"/>
      <c r="CL138" s="1332"/>
      <c r="CM138" s="1278"/>
      <c r="CN138" s="1278"/>
      <c r="CO138" s="1278"/>
      <c r="CP138" s="1278"/>
      <c r="CQ138" s="1332"/>
      <c r="CR138" s="1332">
        <f>+AO138</f>
        <v>0.31130591144077319</v>
      </c>
      <c r="CS138" s="1332">
        <f>+AT138</f>
        <v>0.32929630403006893</v>
      </c>
      <c r="CT138" s="1332">
        <f>+AY138</f>
        <v>0.35953276578895266</v>
      </c>
      <c r="CU138" s="1332">
        <f>+BD138</f>
        <v>0.39862601166948997</v>
      </c>
      <c r="CV138" s="1439">
        <f>+BI138</f>
        <v>0.42942942942942941</v>
      </c>
      <c r="CW138" s="1332">
        <f>+BN138</f>
        <v>0.47130606860158314</v>
      </c>
      <c r="CX138" s="1332">
        <f>+BS138</f>
        <v>0.47677238111613346</v>
      </c>
      <c r="CY138" s="1439">
        <f t="shared" si="174"/>
        <v>0.48565501369490699</v>
      </c>
      <c r="CZ138" s="1332">
        <f t="shared" si="174"/>
        <v>0.49072490657675355</v>
      </c>
      <c r="DA138" s="1332">
        <f t="shared" si="174"/>
        <v>0.49601414906319791</v>
      </c>
      <c r="DB138" s="1332">
        <f t="shared" si="174"/>
        <v>0.50169427323729676</v>
      </c>
    </row>
    <row r="139" spans="1:106" s="768" customFormat="1" ht="12" customHeight="1">
      <c r="B139" s="1291"/>
      <c r="C139" s="1291"/>
      <c r="D139" s="1291"/>
      <c r="E139" s="1291"/>
      <c r="F139" s="1291"/>
      <c r="G139" s="1327"/>
      <c r="H139" s="1327"/>
      <c r="I139" s="1327"/>
      <c r="J139" s="1446"/>
      <c r="K139" s="1621"/>
      <c r="L139" s="1327"/>
      <c r="M139" s="1327"/>
      <c r="N139" s="1327"/>
      <c r="O139" s="1334"/>
      <c r="P139" s="1334"/>
      <c r="Q139" s="1327"/>
      <c r="R139" s="1327"/>
      <c r="S139" s="1327"/>
      <c r="T139" s="1334"/>
      <c r="U139" s="1334"/>
      <c r="V139" s="1327"/>
      <c r="W139" s="1327"/>
      <c r="X139" s="1327"/>
      <c r="Y139" s="1334"/>
      <c r="Z139" s="1547"/>
      <c r="AA139" s="1327"/>
      <c r="AB139" s="1327"/>
      <c r="AC139" s="1327"/>
      <c r="AD139" s="1446"/>
      <c r="AE139" s="1621"/>
      <c r="AF139" s="1254"/>
      <c r="AG139" s="1254"/>
      <c r="AH139" s="1254"/>
      <c r="AI139" s="1254"/>
      <c r="AJ139" s="1547"/>
      <c r="AK139" s="1254"/>
      <c r="AL139" s="1254"/>
      <c r="AM139" s="1254"/>
      <c r="AN139" s="1254"/>
      <c r="AO139" s="1547"/>
      <c r="AP139" s="1254"/>
      <c r="AQ139" s="1254"/>
      <c r="AR139" s="1254"/>
      <c r="AS139" s="1254"/>
      <c r="AT139" s="1547"/>
      <c r="AU139" s="1254"/>
      <c r="AV139" s="1254"/>
      <c r="AY139" s="1291"/>
      <c r="BB139" s="1356"/>
      <c r="BD139" s="1291"/>
      <c r="BI139" s="1291"/>
      <c r="BJ139" s="1622"/>
      <c r="BN139" s="1291"/>
      <c r="BS139" s="1291"/>
      <c r="BX139" s="1291"/>
      <c r="BY139" s="1291"/>
      <c r="BZ139" s="1291"/>
      <c r="CA139" s="1291"/>
      <c r="CF139" s="1811"/>
      <c r="CG139" s="1550"/>
      <c r="CH139" s="1291"/>
      <c r="CI139" s="1291"/>
      <c r="CJ139" s="1291"/>
      <c r="CK139" s="1291"/>
      <c r="CL139" s="1278"/>
      <c r="CM139" s="1278"/>
      <c r="CN139" s="1278"/>
      <c r="CO139" s="1278"/>
      <c r="CP139" s="1278"/>
      <c r="CQ139" s="1547"/>
      <c r="CR139" s="1547"/>
      <c r="CS139" s="1547"/>
      <c r="CT139" s="1291"/>
      <c r="CU139" s="1291"/>
      <c r="CV139" s="1289"/>
      <c r="CW139" s="1289"/>
      <c r="CX139" s="1289"/>
      <c r="CY139" s="1289"/>
      <c r="CZ139" s="1291"/>
      <c r="DA139" s="1291"/>
      <c r="DB139" s="1291"/>
    </row>
    <row r="140" spans="1:106" s="762" customFormat="1" ht="12" customHeight="1">
      <c r="A140" s="1336" t="s">
        <v>320</v>
      </c>
      <c r="B140" s="1322"/>
      <c r="C140" s="1322"/>
      <c r="D140" s="1322"/>
      <c r="E140" s="1322"/>
      <c r="F140" s="1322"/>
      <c r="G140" s="1327" t="s">
        <v>249</v>
      </c>
      <c r="H140" s="1327" t="s">
        <v>249</v>
      </c>
      <c r="I140" s="1327" t="s">
        <v>249</v>
      </c>
      <c r="J140" s="1334" t="s">
        <v>249</v>
      </c>
      <c r="K140" s="1334" t="s">
        <v>249</v>
      </c>
      <c r="L140" s="1327" t="s">
        <v>249</v>
      </c>
      <c r="M140" s="1327" t="s">
        <v>249</v>
      </c>
      <c r="N140" s="1327" t="s">
        <v>249</v>
      </c>
      <c r="O140" s="1334" t="s">
        <v>249</v>
      </c>
      <c r="P140" s="1334" t="s">
        <v>249</v>
      </c>
      <c r="Q140" s="1327" t="s">
        <v>249</v>
      </c>
      <c r="R140" s="1327" t="s">
        <v>249</v>
      </c>
      <c r="S140" s="1327" t="s">
        <v>249</v>
      </c>
      <c r="T140" s="1334" t="s">
        <v>249</v>
      </c>
      <c r="U140" s="1334" t="s">
        <v>249</v>
      </c>
      <c r="V140" s="1327" t="s">
        <v>249</v>
      </c>
      <c r="W140" s="1327" t="s">
        <v>249</v>
      </c>
      <c r="X140" s="1327" t="s">
        <v>249</v>
      </c>
      <c r="Y140" s="1334" t="s">
        <v>249</v>
      </c>
      <c r="Z140" s="1334" t="s">
        <v>249</v>
      </c>
      <c r="AA140" s="1327" t="s">
        <v>249</v>
      </c>
      <c r="AB140" s="1327" t="s">
        <v>249</v>
      </c>
      <c r="AC140" s="1327" t="s">
        <v>249</v>
      </c>
      <c r="AD140" s="1623">
        <v>27</v>
      </c>
      <c r="AE140" s="1334" t="s">
        <v>249</v>
      </c>
      <c r="AF140" s="1327" t="s">
        <v>249</v>
      </c>
      <c r="AG140" s="1327" t="s">
        <v>249</v>
      </c>
      <c r="AH140" s="1327" t="s">
        <v>249</v>
      </c>
      <c r="AI140" s="1580">
        <f>-(-9+-6+-27)</f>
        <v>42</v>
      </c>
      <c r="AJ140" s="1322">
        <f>SUM(AF140:AI140)</f>
        <v>42</v>
      </c>
      <c r="AK140" s="1578">
        <v>29</v>
      </c>
      <c r="AL140" s="1579">
        <f>-(-1-14-24)</f>
        <v>39</v>
      </c>
      <c r="AM140" s="1579">
        <f>-(-8-14-4-7-48)</f>
        <v>81</v>
      </c>
      <c r="AN140" s="1580">
        <f>-(-8-5-3-6-3)</f>
        <v>25</v>
      </c>
      <c r="AO140" s="1322">
        <f>SUM(AK140:AN140)</f>
        <v>174</v>
      </c>
      <c r="AP140" s="1578">
        <v>121</v>
      </c>
      <c r="AQ140" s="1579">
        <v>10</v>
      </c>
      <c r="AR140" s="1579">
        <f>-(16-5+10-10)</f>
        <v>-11</v>
      </c>
      <c r="AS140" s="1580">
        <f>-(-10-8-7-52)</f>
        <v>77</v>
      </c>
      <c r="AT140" s="1322">
        <f>SUM(AP140:AS140)</f>
        <v>197</v>
      </c>
      <c r="AU140" s="1578">
        <v>0</v>
      </c>
      <c r="AV140" s="1579">
        <v>0</v>
      </c>
      <c r="AW140" s="1579">
        <f>+-(-83-4-4-12-7)</f>
        <v>110</v>
      </c>
      <c r="AX140" s="1580">
        <f>-(-1583-9)</f>
        <v>1592</v>
      </c>
      <c r="AY140" s="1322">
        <f>SUM(AU140:AX140)</f>
        <v>1702</v>
      </c>
      <c r="AZ140" s="1337">
        <v>-6</v>
      </c>
      <c r="BA140" s="1337">
        <f>-(33-12-1+10)</f>
        <v>-30</v>
      </c>
      <c r="BB140" s="1337">
        <f>-(-86-32)</f>
        <v>118</v>
      </c>
      <c r="BC140" s="1337">
        <f>-(-20-25-9)</f>
        <v>54</v>
      </c>
      <c r="BD140" s="1270">
        <f>SUM(AZ140:BC140)</f>
        <v>136</v>
      </c>
      <c r="BE140" s="2114">
        <f>-(12-24-3)</f>
        <v>15</v>
      </c>
      <c r="BF140" s="2114">
        <f>+-29+8+2-3</f>
        <v>-22</v>
      </c>
      <c r="BG140" s="2114">
        <f>+-17+6-721-1</f>
        <v>-733</v>
      </c>
      <c r="BH140" s="2114">
        <f>54-347</f>
        <v>-293</v>
      </c>
      <c r="BI140" s="1270">
        <f>SUM(BE140:BH140)</f>
        <v>-1033</v>
      </c>
      <c r="BJ140" s="2114">
        <v>17</v>
      </c>
      <c r="BK140" s="2114">
        <v>13</v>
      </c>
      <c r="BL140" s="2165">
        <v>19</v>
      </c>
      <c r="BM140" s="2165">
        <f>64+3+32</f>
        <v>99</v>
      </c>
      <c r="BN140" s="1270">
        <f>SUM(BJ140:BM140)</f>
        <v>148</v>
      </c>
      <c r="BO140" s="2165">
        <v>0</v>
      </c>
      <c r="BP140" s="1578">
        <f>32.5/3</f>
        <v>10.833333333333334</v>
      </c>
      <c r="BQ140" s="1578">
        <f t="shared" ref="BQ140:BR140" si="181">32.5/3</f>
        <v>10.833333333333334</v>
      </c>
      <c r="BR140" s="1578">
        <f t="shared" si="181"/>
        <v>10.833333333333334</v>
      </c>
      <c r="BS140" s="1270">
        <f>SUM(BO140:BR140)</f>
        <v>32.5</v>
      </c>
      <c r="BT140" s="1578">
        <v>0</v>
      </c>
      <c r="BU140" s="1578">
        <v>0</v>
      </c>
      <c r="BV140" s="1578">
        <v>0</v>
      </c>
      <c r="BW140" s="1578">
        <v>0</v>
      </c>
      <c r="BX140" s="1270">
        <f>SUM(BT140:BW140)</f>
        <v>0</v>
      </c>
      <c r="BY140" s="1273">
        <v>0</v>
      </c>
      <c r="BZ140" s="1273">
        <v>0</v>
      </c>
      <c r="CA140" s="1270">
        <v>0</v>
      </c>
      <c r="CF140" s="1322" t="str">
        <f t="shared" ref="CF140:CK140" si="182">+A140</f>
        <v>Non-GAAP adjustments</v>
      </c>
      <c r="CG140" s="1290">
        <f t="shared" si="182"/>
        <v>0</v>
      </c>
      <c r="CH140" s="1270">
        <f t="shared" si="182"/>
        <v>0</v>
      </c>
      <c r="CI140" s="1270">
        <f t="shared" si="182"/>
        <v>0</v>
      </c>
      <c r="CJ140" s="1270">
        <f t="shared" si="182"/>
        <v>0</v>
      </c>
      <c r="CK140" s="1270">
        <f t="shared" si="182"/>
        <v>0</v>
      </c>
      <c r="CL140" s="1278" t="str">
        <f>+K140</f>
        <v>--</v>
      </c>
      <c r="CM140" s="1270"/>
      <c r="CN140" s="1270"/>
      <c r="CO140" s="1270"/>
      <c r="CP140" s="1270"/>
      <c r="CQ140" s="1270"/>
      <c r="CR140" s="1270">
        <f>+AO140</f>
        <v>174</v>
      </c>
      <c r="CS140" s="1270">
        <f>+AT140</f>
        <v>197</v>
      </c>
      <c r="CT140" s="1270">
        <f>+AY140</f>
        <v>1702</v>
      </c>
      <c r="CU140" s="1270">
        <f>+BD140</f>
        <v>136</v>
      </c>
      <c r="CV140" s="1273">
        <f>+BI140</f>
        <v>-1033</v>
      </c>
      <c r="CW140" s="1273">
        <f>+BN140</f>
        <v>148</v>
      </c>
      <c r="CX140" s="1273">
        <f>+BS140</f>
        <v>32.5</v>
      </c>
      <c r="CY140" s="1273">
        <f>+BX140</f>
        <v>0</v>
      </c>
      <c r="CZ140" s="1270">
        <f>+BY140</f>
        <v>0</v>
      </c>
      <c r="DA140" s="1270">
        <f>+BZ140</f>
        <v>0</v>
      </c>
      <c r="DB140" s="1270">
        <f>+CA140</f>
        <v>0</v>
      </c>
    </row>
    <row r="141" spans="1:106" s="762" customFormat="1" ht="12" customHeight="1">
      <c r="A141" s="1336" t="s">
        <v>321</v>
      </c>
      <c r="B141" s="1270"/>
      <c r="C141" s="1270"/>
      <c r="D141" s="1270"/>
      <c r="E141" s="1270"/>
      <c r="F141" s="1270"/>
      <c r="G141" s="1319"/>
      <c r="H141" s="1319"/>
      <c r="I141" s="1319"/>
      <c r="J141" s="1276"/>
      <c r="K141" s="1277"/>
      <c r="L141" s="1319"/>
      <c r="M141" s="1319"/>
      <c r="N141" s="1319"/>
      <c r="O141" s="1276"/>
      <c r="P141" s="1277"/>
      <c r="Q141" s="1319"/>
      <c r="R141" s="1319"/>
      <c r="S141" s="1319"/>
      <c r="T141" s="1276"/>
      <c r="U141" s="1270"/>
      <c r="V141" s="1319"/>
      <c r="W141" s="1319"/>
      <c r="X141" s="1319"/>
      <c r="Y141" s="1276"/>
      <c r="Z141" s="1270"/>
      <c r="AE141" s="1270"/>
      <c r="AI141" s="1287"/>
      <c r="AJ141" s="1270"/>
      <c r="AN141" s="1287"/>
      <c r="AO141" s="1270"/>
      <c r="AT141" s="1270"/>
      <c r="AW141" s="1576"/>
      <c r="AX141" s="5"/>
      <c r="AY141" s="1270"/>
      <c r="AZ141" s="1337">
        <f>+AZ85+AZ112+AZ94+AZ121</f>
        <v>11</v>
      </c>
      <c r="BA141" s="1337">
        <f>+BA85+BA112+BA94+BA121</f>
        <v>11</v>
      </c>
      <c r="BB141" s="1337">
        <f>+BB85+BB112+BB94+BB121</f>
        <v>17</v>
      </c>
      <c r="BC141" s="1337">
        <f>+BC85+BC112+BC94+BC121</f>
        <v>28</v>
      </c>
      <c r="BD141" s="1270">
        <f>+SUM(AZ141:BC141)</f>
        <v>67</v>
      </c>
      <c r="BE141" s="1337">
        <f>+BE85+BE112+BE94+BE121</f>
        <v>24</v>
      </c>
      <c r="BF141" s="1337">
        <f>+BF85+BF112+BF94+BF121</f>
        <v>23</v>
      </c>
      <c r="BG141" s="1337">
        <f>+BG85+BG112+BG94+BG121+1</f>
        <v>24</v>
      </c>
      <c r="BH141" s="1337">
        <f>+BH85+BH103+BH94</f>
        <v>25</v>
      </c>
      <c r="BI141" s="1270">
        <f>+SUM(BE141:BH141)</f>
        <v>96</v>
      </c>
      <c r="BJ141" s="1337">
        <f>+BJ85+BJ103+BJ94</f>
        <v>24</v>
      </c>
      <c r="BK141" s="1337">
        <f>+BK85+BK103+BK94</f>
        <v>25</v>
      </c>
      <c r="BL141" s="1337">
        <f>+BL85+BL103+BL94</f>
        <v>24</v>
      </c>
      <c r="BM141" s="1337">
        <f>+BM85+BM103+BM94</f>
        <v>26</v>
      </c>
      <c r="BN141" s="1270">
        <f>+SUM(BJ141:BM141)</f>
        <v>99</v>
      </c>
      <c r="BO141" s="1337">
        <f>+BO85+BO103+BO94</f>
        <v>24</v>
      </c>
      <c r="BP141" s="1579">
        <f>+MHFI!BP77</f>
        <v>34.5</v>
      </c>
      <c r="BQ141" s="1579">
        <f>+MHFI!BQ77</f>
        <v>34.5</v>
      </c>
      <c r="BR141" s="1579">
        <f>+MHFI!BR77</f>
        <v>34.5</v>
      </c>
      <c r="BS141" s="1270">
        <f>+SUM(BO141:BR141)</f>
        <v>127.5</v>
      </c>
      <c r="BT141" s="1579">
        <f>+MHFI!BT77</f>
        <v>30.125</v>
      </c>
      <c r="BU141" s="1579">
        <f>+MHFI!BU77</f>
        <v>30.125</v>
      </c>
      <c r="BV141" s="1579">
        <f>+MHFI!BV77</f>
        <v>30.125</v>
      </c>
      <c r="BW141" s="1579">
        <f>+MHFI!BW77</f>
        <v>30.125</v>
      </c>
      <c r="BX141" s="1270">
        <f>+SUM(BT141:BW141)</f>
        <v>120.5</v>
      </c>
      <c r="BY141" s="1273">
        <f>+MHFI!BY77</f>
        <v>114.5</v>
      </c>
      <c r="BZ141" s="1273">
        <f>+MHFI!BZ77</f>
        <v>102.5</v>
      </c>
      <c r="CA141" s="1270">
        <f>+MHFI!CA77</f>
        <v>100.5</v>
      </c>
      <c r="CF141" s="1322"/>
      <c r="CG141" s="1287"/>
      <c r="CH141" s="1287"/>
      <c r="CI141" s="1287"/>
      <c r="CJ141" s="1287"/>
      <c r="CK141" s="1287"/>
      <c r="CL141" s="1278"/>
      <c r="CM141" s="1270"/>
      <c r="CN141" s="1270"/>
      <c r="CO141" s="1270"/>
      <c r="CP141" s="1270"/>
      <c r="CQ141" s="1270"/>
      <c r="CR141" s="1270"/>
      <c r="CS141" s="1270"/>
      <c r="CT141" s="1270"/>
      <c r="CU141" s="1270"/>
      <c r="CV141" s="1273"/>
      <c r="CW141" s="1273"/>
      <c r="CX141" s="1273"/>
      <c r="CY141" s="1273"/>
      <c r="CZ141" s="1270"/>
      <c r="DA141" s="1270"/>
      <c r="DB141" s="1270"/>
    </row>
    <row r="142" spans="1:106" s="762" customFormat="1" ht="12" customHeight="1">
      <c r="A142" s="768" t="s">
        <v>322</v>
      </c>
      <c r="B142" s="1270"/>
      <c r="C142" s="1270"/>
      <c r="D142" s="1270"/>
      <c r="E142" s="1270"/>
      <c r="F142" s="1270"/>
      <c r="G142" s="1319" t="s">
        <v>249</v>
      </c>
      <c r="H142" s="1319" t="s">
        <v>249</v>
      </c>
      <c r="I142" s="1319" t="s">
        <v>249</v>
      </c>
      <c r="J142" s="1278" t="s">
        <v>249</v>
      </c>
      <c r="K142" s="1278" t="s">
        <v>249</v>
      </c>
      <c r="L142" s="1319" t="s">
        <v>249</v>
      </c>
      <c r="M142" s="1319" t="s">
        <v>249</v>
      </c>
      <c r="N142" s="1319" t="s">
        <v>249</v>
      </c>
      <c r="O142" s="1278" t="s">
        <v>249</v>
      </c>
      <c r="P142" s="1278" t="s">
        <v>249</v>
      </c>
      <c r="Q142" s="1319" t="s">
        <v>249</v>
      </c>
      <c r="R142" s="1319" t="s">
        <v>249</v>
      </c>
      <c r="S142" s="1319" t="s">
        <v>249</v>
      </c>
      <c r="T142" s="1278" t="s">
        <v>249</v>
      </c>
      <c r="U142" s="1278" t="s">
        <v>249</v>
      </c>
      <c r="V142" s="1319" t="s">
        <v>249</v>
      </c>
      <c r="W142" s="1319" t="s">
        <v>249</v>
      </c>
      <c r="X142" s="1319" t="s">
        <v>249</v>
      </c>
      <c r="Y142" s="1278" t="s">
        <v>249</v>
      </c>
      <c r="Z142" s="1278" t="s">
        <v>249</v>
      </c>
      <c r="AA142" s="1319" t="s">
        <v>249</v>
      </c>
      <c r="AB142" s="1319" t="s">
        <v>249</v>
      </c>
      <c r="AC142" s="1319" t="s">
        <v>249</v>
      </c>
      <c r="AD142" s="1278" t="s">
        <v>249</v>
      </c>
      <c r="AE142" s="1278" t="s">
        <v>249</v>
      </c>
      <c r="AF142" s="1319" t="s">
        <v>249</v>
      </c>
      <c r="AG142" s="1319" t="s">
        <v>249</v>
      </c>
      <c r="AH142" s="1319" t="s">
        <v>249</v>
      </c>
      <c r="AI142" s="768">
        <f t="shared" ref="AI142:BZ142" si="183">AI137-AI140-AI141</f>
        <v>200</v>
      </c>
      <c r="AJ142" s="1291">
        <f t="shared" si="183"/>
        <v>81</v>
      </c>
      <c r="AK142" s="768">
        <f t="shared" si="183"/>
        <v>282</v>
      </c>
      <c r="AL142" s="768">
        <f t="shared" si="183"/>
        <v>308</v>
      </c>
      <c r="AM142" s="768">
        <f t="shared" si="183"/>
        <v>275</v>
      </c>
      <c r="AN142" s="768">
        <f t="shared" si="183"/>
        <v>346</v>
      </c>
      <c r="AO142" s="1291">
        <f t="shared" si="183"/>
        <v>1211</v>
      </c>
      <c r="AP142" s="768">
        <f t="shared" si="183"/>
        <v>278</v>
      </c>
      <c r="AQ142" s="768">
        <f t="shared" si="183"/>
        <v>436</v>
      </c>
      <c r="AR142" s="768">
        <f t="shared" si="183"/>
        <v>395</v>
      </c>
      <c r="AS142" s="768">
        <f t="shared" si="183"/>
        <v>271</v>
      </c>
      <c r="AT142" s="1291">
        <f t="shared" si="183"/>
        <v>1380</v>
      </c>
      <c r="AU142" s="768">
        <f t="shared" si="183"/>
        <v>420.5</v>
      </c>
      <c r="AV142" s="768">
        <f t="shared" si="183"/>
        <v>474.5</v>
      </c>
      <c r="AW142" s="768">
        <f t="shared" si="183"/>
        <v>366</v>
      </c>
      <c r="AX142" s="768">
        <f t="shared" si="183"/>
        <v>-1147</v>
      </c>
      <c r="AY142" s="1291">
        <f t="shared" si="183"/>
        <v>114</v>
      </c>
      <c r="AZ142" s="768">
        <f t="shared" si="183"/>
        <v>501</v>
      </c>
      <c r="BA142" s="768">
        <f t="shared" si="183"/>
        <v>581.9</v>
      </c>
      <c r="BB142" s="768">
        <f t="shared" si="183"/>
        <v>410</v>
      </c>
      <c r="BC142" s="768">
        <f t="shared" si="183"/>
        <v>422</v>
      </c>
      <c r="BD142" s="1291">
        <f t="shared" si="183"/>
        <v>1914.9</v>
      </c>
      <c r="BE142" s="1320">
        <f t="shared" si="183"/>
        <v>512</v>
      </c>
      <c r="BF142" s="768">
        <f t="shared" si="183"/>
        <v>651</v>
      </c>
      <c r="BG142" s="768">
        <f t="shared" si="183"/>
        <v>1346.5</v>
      </c>
      <c r="BH142" s="768">
        <f t="shared" si="183"/>
        <v>857</v>
      </c>
      <c r="BI142" s="1291">
        <f t="shared" si="183"/>
        <v>3368</v>
      </c>
      <c r="BJ142" s="768">
        <f t="shared" si="183"/>
        <v>648</v>
      </c>
      <c r="BK142" s="768">
        <f t="shared" si="183"/>
        <v>677</v>
      </c>
      <c r="BL142" s="768">
        <f t="shared" si="183"/>
        <v>658</v>
      </c>
      <c r="BM142" s="768">
        <f t="shared" ref="BM142" si="184">BM137-BM140-BM141</f>
        <v>628</v>
      </c>
      <c r="BN142" s="1291">
        <f t="shared" si="183"/>
        <v>2611</v>
      </c>
      <c r="BO142" s="768">
        <f t="shared" si="183"/>
        <v>711</v>
      </c>
      <c r="BP142" s="768">
        <f t="shared" si="183"/>
        <v>745.65099166327889</v>
      </c>
      <c r="BQ142" s="768">
        <f t="shared" si="183"/>
        <v>726.36102037330568</v>
      </c>
      <c r="BR142" s="768">
        <f t="shared" si="183"/>
        <v>756.89044455777719</v>
      </c>
      <c r="BS142" s="1291">
        <f t="shared" si="183"/>
        <v>2939.9024565943619</v>
      </c>
      <c r="BT142" s="768">
        <f t="shared" ref="BT142:BX142" si="185">BT137-BT140-BT141</f>
        <v>769.01406721167632</v>
      </c>
      <c r="BU142" s="768">
        <f t="shared" si="185"/>
        <v>818.38083235883903</v>
      </c>
      <c r="BV142" s="768">
        <f t="shared" si="185"/>
        <v>799.8197757537913</v>
      </c>
      <c r="BW142" s="768">
        <f t="shared" si="185"/>
        <v>831.66747712582867</v>
      </c>
      <c r="BX142" s="1291">
        <f t="shared" si="185"/>
        <v>3218.8821524501354</v>
      </c>
      <c r="BY142" s="1550">
        <f>BY137-BY140-BY141</f>
        <v>3434.1898230969423</v>
      </c>
      <c r="BZ142" s="1550">
        <f t="shared" si="183"/>
        <v>3671.3635841150099</v>
      </c>
      <c r="CA142" s="1550">
        <f t="shared" ref="CA142" si="186">CA137-CA140-CA141</f>
        <v>3895.4220280023183</v>
      </c>
      <c r="CF142" s="1291" t="str">
        <f t="shared" ref="CF142:CK143" si="187">+A142</f>
        <v>Operating Income, as Reported</v>
      </c>
      <c r="CG142" s="1290">
        <f t="shared" si="187"/>
        <v>0</v>
      </c>
      <c r="CH142" s="1270">
        <f t="shared" si="187"/>
        <v>0</v>
      </c>
      <c r="CI142" s="1270">
        <f t="shared" si="187"/>
        <v>0</v>
      </c>
      <c r="CJ142" s="1270">
        <f t="shared" si="187"/>
        <v>0</v>
      </c>
      <c r="CK142" s="1270">
        <f t="shared" si="187"/>
        <v>0</v>
      </c>
      <c r="CL142" s="1278" t="str">
        <f>+K142</f>
        <v>--</v>
      </c>
      <c r="CM142" s="1278"/>
      <c r="CN142" s="1278"/>
      <c r="CO142" s="1278"/>
      <c r="CP142" s="1278"/>
      <c r="CQ142" s="1291"/>
      <c r="CR142" s="1291">
        <f>+AO142</f>
        <v>1211</v>
      </c>
      <c r="CS142" s="1291">
        <f>+AT142</f>
        <v>1380</v>
      </c>
      <c r="CT142" s="1291">
        <f>+AY142</f>
        <v>114</v>
      </c>
      <c r="CU142" s="1291">
        <f>+BD142</f>
        <v>1914.9</v>
      </c>
      <c r="CV142" s="1289">
        <f>+BI142</f>
        <v>3368</v>
      </c>
      <c r="CW142" s="1291">
        <f>+BN142</f>
        <v>2611</v>
      </c>
      <c r="CX142" s="1291">
        <f>+BS142</f>
        <v>2939.9024565943619</v>
      </c>
      <c r="CY142" s="1289">
        <f t="shared" ref="CY142:DB143" si="188">+BX142</f>
        <v>3218.8821524501354</v>
      </c>
      <c r="CZ142" s="1291">
        <f t="shared" si="188"/>
        <v>3434.1898230969423</v>
      </c>
      <c r="DA142" s="1291">
        <f t="shared" si="188"/>
        <v>3671.3635841150099</v>
      </c>
      <c r="DB142" s="1291">
        <f t="shared" si="188"/>
        <v>3895.4220280023183</v>
      </c>
    </row>
    <row r="143" spans="1:106" s="1437" customFormat="1" ht="12" customHeight="1">
      <c r="A143" s="1624" t="s">
        <v>315</v>
      </c>
      <c r="B143" s="1625"/>
      <c r="C143" s="1625"/>
      <c r="D143" s="1625"/>
      <c r="E143" s="1625"/>
      <c r="F143" s="1625"/>
      <c r="G143" s="1507"/>
      <c r="H143" s="1507"/>
      <c r="I143" s="1507"/>
      <c r="J143" s="1564"/>
      <c r="K143" s="1625"/>
      <c r="L143" s="1507"/>
      <c r="M143" s="1507"/>
      <c r="N143" s="1507"/>
      <c r="O143" s="1564"/>
      <c r="P143" s="1625"/>
      <c r="Q143" s="1507"/>
      <c r="R143" s="1507"/>
      <c r="S143" s="1507"/>
      <c r="T143" s="1564"/>
      <c r="U143" s="1625"/>
      <c r="V143" s="1507"/>
      <c r="W143" s="1507"/>
      <c r="X143" s="1507"/>
      <c r="Y143" s="1564"/>
      <c r="Z143" s="1625"/>
      <c r="AA143" s="1507"/>
      <c r="AB143" s="1507"/>
      <c r="AC143" s="1507"/>
      <c r="AD143" s="1564"/>
      <c r="AE143" s="1564"/>
      <c r="AF143" s="1507"/>
      <c r="AG143" s="1507"/>
      <c r="AH143" s="1507"/>
      <c r="AI143" s="1626">
        <f t="shared" ref="AI143:BZ143" si="189">+AI142/AI30</f>
        <v>0.19920318725099601</v>
      </c>
      <c r="AJ143" s="1625">
        <f t="shared" si="189"/>
        <v>2.04855842185129E-2</v>
      </c>
      <c r="AK143" s="1626">
        <f t="shared" si="189"/>
        <v>0.27246376811594203</v>
      </c>
      <c r="AL143" s="1626">
        <f t="shared" si="189"/>
        <v>0.28731343283582089</v>
      </c>
      <c r="AM143" s="1626">
        <f t="shared" si="189"/>
        <v>0.24641577060931899</v>
      </c>
      <c r="AN143" s="1626">
        <f t="shared" si="189"/>
        <v>0.28221859706362151</v>
      </c>
      <c r="AO143" s="1625">
        <f t="shared" si="189"/>
        <v>0.27219599910092157</v>
      </c>
      <c r="AP143" s="1626">
        <f t="shared" si="189"/>
        <v>0.23539373412362405</v>
      </c>
      <c r="AQ143" s="1626">
        <f t="shared" si="189"/>
        <v>0.3488</v>
      </c>
      <c r="AR143" s="1626">
        <f t="shared" si="189"/>
        <v>0.34288194444444442</v>
      </c>
      <c r="AS143" s="1626">
        <f t="shared" si="189"/>
        <v>0.22470978441127695</v>
      </c>
      <c r="AT143" s="1625">
        <f t="shared" si="189"/>
        <v>0.28816036750887453</v>
      </c>
      <c r="AU143" s="1626">
        <f t="shared" si="189"/>
        <v>0.35158862876254182</v>
      </c>
      <c r="AV143" s="1626">
        <f t="shared" si="189"/>
        <v>0.36443932411674346</v>
      </c>
      <c r="AW143" s="1626">
        <f t="shared" si="189"/>
        <v>0.28978622327790976</v>
      </c>
      <c r="AX143" s="1626">
        <f t="shared" si="189"/>
        <v>-0.88914728682170541</v>
      </c>
      <c r="AY143" s="1625">
        <f t="shared" si="189"/>
        <v>2.2569788160760246E-2</v>
      </c>
      <c r="AZ143" s="1626">
        <f t="shared" si="189"/>
        <v>0.39355852317360568</v>
      </c>
      <c r="BA143" s="1626">
        <f t="shared" si="189"/>
        <v>0.43360655737704917</v>
      </c>
      <c r="BB143" s="1626">
        <f t="shared" si="189"/>
        <v>0.30966767371601206</v>
      </c>
      <c r="BC143" s="1626">
        <f t="shared" si="189"/>
        <v>0.30713245997088789</v>
      </c>
      <c r="BD143" s="1625">
        <f t="shared" si="189"/>
        <v>0.36041784302653868</v>
      </c>
      <c r="BE143" s="1626">
        <f t="shared" si="189"/>
        <v>0.38180462341536164</v>
      </c>
      <c r="BF143" s="1626">
        <f t="shared" si="189"/>
        <v>0.43927125506072873</v>
      </c>
      <c r="BG143" s="1626">
        <f t="shared" si="189"/>
        <v>0.93571924947880469</v>
      </c>
      <c r="BH143" s="1626">
        <f t="shared" si="189"/>
        <v>0.6125804145818442</v>
      </c>
      <c r="BI143" s="1625">
        <f t="shared" si="189"/>
        <v>0.59494788906553608</v>
      </c>
      <c r="BJ143" s="1626">
        <f t="shared" si="189"/>
        <v>0.44597384721266348</v>
      </c>
      <c r="BK143" s="1626">
        <f t="shared" si="189"/>
        <v>0.44864148442677271</v>
      </c>
      <c r="BL143" s="1626">
        <f t="shared" si="189"/>
        <v>0.43489755452742895</v>
      </c>
      <c r="BM143" s="1626">
        <f t="shared" ref="BM143" si="190">+BM142/BM30</f>
        <v>0.39521711768407802</v>
      </c>
      <c r="BN143" s="1625">
        <f t="shared" si="189"/>
        <v>0.43057387862796836</v>
      </c>
      <c r="BO143" s="1626">
        <f t="shared" si="189"/>
        <v>0.45373324824505423</v>
      </c>
      <c r="BP143" s="1626">
        <f t="shared" si="189"/>
        <v>0.45455929745050083</v>
      </c>
      <c r="BQ143" s="1626">
        <f t="shared" si="189"/>
        <v>0.44745139421549507</v>
      </c>
      <c r="BR143" s="1626">
        <f t="shared" si="189"/>
        <v>0.45291911200456791</v>
      </c>
      <c r="BS143" s="1625">
        <f t="shared" si="189"/>
        <v>0.45216400003101104</v>
      </c>
      <c r="BT143" s="1626">
        <f t="shared" ref="BT143:BX143" si="191">+BT142/BT30</f>
        <v>0.46707922698807453</v>
      </c>
      <c r="BU143" s="1626">
        <f t="shared" si="191"/>
        <v>0.47104716215848436</v>
      </c>
      <c r="BV143" s="1626">
        <f t="shared" si="191"/>
        <v>0.46466360704496851</v>
      </c>
      <c r="BW143" s="1626">
        <f t="shared" si="191"/>
        <v>0.46961573335966567</v>
      </c>
      <c r="BX143" s="1625">
        <f t="shared" si="191"/>
        <v>0.46813038594084816</v>
      </c>
      <c r="BY143" s="1627">
        <f t="shared" si="189"/>
        <v>0.47489145688009815</v>
      </c>
      <c r="BZ143" s="1627">
        <f t="shared" si="189"/>
        <v>0.48254215964286479</v>
      </c>
      <c r="CA143" s="1627">
        <f t="shared" ref="CA143" si="192">+CA142/CA30</f>
        <v>0.48907634072834971</v>
      </c>
      <c r="CF143" s="1628" t="str">
        <f t="shared" si="187"/>
        <v>Margin %</v>
      </c>
      <c r="CG143" s="1627">
        <f t="shared" si="187"/>
        <v>0</v>
      </c>
      <c r="CH143" s="1625">
        <f t="shared" si="187"/>
        <v>0</v>
      </c>
      <c r="CI143" s="1625">
        <f t="shared" si="187"/>
        <v>0</v>
      </c>
      <c r="CJ143" s="1625">
        <f t="shared" si="187"/>
        <v>0</v>
      </c>
      <c r="CK143" s="1625">
        <f t="shared" si="187"/>
        <v>0</v>
      </c>
      <c r="CL143" s="1625">
        <f>+K143</f>
        <v>0</v>
      </c>
      <c r="CM143" s="1564"/>
      <c r="CN143" s="1564"/>
      <c r="CO143" s="1564"/>
      <c r="CP143" s="1564"/>
      <c r="CQ143" s="1625"/>
      <c r="CR143" s="1625">
        <f>+AO143</f>
        <v>0.27219599910092157</v>
      </c>
      <c r="CS143" s="1625">
        <f>+AT143</f>
        <v>0.28816036750887453</v>
      </c>
      <c r="CT143" s="1625">
        <f>+AY143</f>
        <v>2.2569788160760246E-2</v>
      </c>
      <c r="CU143" s="1625">
        <f>+BD143</f>
        <v>0.36041784302653868</v>
      </c>
      <c r="CV143" s="1629">
        <f>+BI143</f>
        <v>0.59494788906553608</v>
      </c>
      <c r="CW143" s="1625">
        <f>+BN143</f>
        <v>0.43057387862796836</v>
      </c>
      <c r="CX143" s="1625">
        <f>+BS143</f>
        <v>0.45216400003101104</v>
      </c>
      <c r="CY143" s="1629">
        <f t="shared" si="188"/>
        <v>0.46813038594084816</v>
      </c>
      <c r="CZ143" s="1625">
        <f t="shared" si="188"/>
        <v>0.47489145688009815</v>
      </c>
      <c r="DA143" s="1625">
        <f t="shared" si="188"/>
        <v>0.48254215964286479</v>
      </c>
      <c r="DB143" s="1625">
        <f t="shared" si="188"/>
        <v>0.48907634072834971</v>
      </c>
    </row>
    <row r="144" spans="1:106" s="762" customFormat="1" ht="12" hidden="1" customHeight="1" outlineLevel="1">
      <c r="A144" s="1609"/>
      <c r="B144" s="1270"/>
      <c r="C144" s="1270"/>
      <c r="D144" s="1270"/>
      <c r="E144" s="1270"/>
      <c r="F144" s="1270"/>
      <c r="G144" s="1287"/>
      <c r="K144" s="1270"/>
      <c r="L144" s="1319"/>
      <c r="M144" s="1319"/>
      <c r="N144" s="1319"/>
      <c r="O144" s="1278"/>
      <c r="P144" s="1290"/>
      <c r="T144" s="1335"/>
      <c r="U144" s="1270"/>
      <c r="Y144" s="1335"/>
      <c r="Z144" s="1270"/>
      <c r="AA144" s="1630"/>
      <c r="AB144" s="1630"/>
      <c r="AC144" s="1630"/>
      <c r="AD144" s="768"/>
      <c r="AE144" s="1292"/>
      <c r="AF144" s="768"/>
      <c r="AG144" s="768"/>
      <c r="AH144" s="768"/>
      <c r="AI144" s="768"/>
      <c r="AJ144" s="1631"/>
      <c r="AK144" s="768"/>
      <c r="AL144" s="768"/>
      <c r="AM144" s="768"/>
      <c r="AN144" s="768"/>
      <c r="AO144" s="1631"/>
      <c r="AP144" s="768"/>
      <c r="AQ144" s="768"/>
      <c r="AR144" s="768"/>
      <c r="AS144" s="768"/>
      <c r="AT144" s="1631"/>
      <c r="AU144" s="768"/>
      <c r="AV144" s="768"/>
      <c r="AW144" s="768"/>
      <c r="AX144" s="768"/>
      <c r="AY144" s="1291"/>
      <c r="AZ144" s="768"/>
      <c r="BA144" s="768"/>
      <c r="BB144" s="768"/>
      <c r="BC144" s="768"/>
      <c r="BD144" s="1291"/>
      <c r="BE144" s="768"/>
      <c r="BF144" s="768"/>
      <c r="BG144" s="768"/>
      <c r="BH144" s="768"/>
      <c r="BI144" s="1291"/>
      <c r="BJ144" s="768"/>
      <c r="BK144" s="768"/>
      <c r="BL144" s="768"/>
      <c r="BM144" s="768"/>
      <c r="BN144" s="1291"/>
      <c r="BO144" s="768"/>
      <c r="BP144" s="768"/>
      <c r="BQ144" s="768"/>
      <c r="BR144" s="768"/>
      <c r="BS144" s="1291"/>
      <c r="BT144" s="768"/>
      <c r="BU144" s="768"/>
      <c r="BV144" s="768"/>
      <c r="BW144" s="768"/>
      <c r="BX144" s="1291"/>
      <c r="BY144" s="1550"/>
      <c r="BZ144" s="1550"/>
      <c r="CA144" s="1550"/>
      <c r="CF144" s="1291"/>
      <c r="CG144" s="1290"/>
      <c r="CH144" s="1270"/>
      <c r="CI144" s="1270"/>
      <c r="CJ144" s="1270"/>
      <c r="CK144" s="1270"/>
      <c r="CL144" s="1290"/>
      <c r="CM144" s="1341"/>
      <c r="CN144" s="1341"/>
      <c r="CO144" s="1341"/>
      <c r="CP144" s="1341"/>
      <c r="CQ144" s="1631"/>
      <c r="CR144" s="1631"/>
      <c r="CS144" s="1631"/>
      <c r="CT144" s="1291"/>
      <c r="CU144" s="1291"/>
      <c r="CV144" s="1289"/>
      <c r="CW144" s="1291"/>
      <c r="CX144" s="1291"/>
      <c r="CY144" s="1291"/>
      <c r="CZ144" s="1550"/>
      <c r="DA144" s="1550"/>
      <c r="DB144" s="1550"/>
    </row>
    <row r="145" spans="1:106" ht="12" hidden="1" customHeight="1" outlineLevel="1">
      <c r="A145" s="1485" t="s">
        <v>323</v>
      </c>
      <c r="B145" s="1264"/>
      <c r="C145" s="1264"/>
      <c r="D145" s="1264"/>
      <c r="E145" s="1264"/>
      <c r="F145" s="1264"/>
      <c r="G145" s="1319"/>
      <c r="H145" s="1319"/>
      <c r="I145" s="1319"/>
      <c r="J145" s="1278"/>
      <c r="K145" s="1278"/>
      <c r="L145" s="1319"/>
      <c r="M145" s="1319"/>
      <c r="N145" s="1319"/>
      <c r="O145" s="1278"/>
      <c r="P145" s="1278"/>
      <c r="Q145" s="1319"/>
      <c r="R145" s="1319"/>
      <c r="S145" s="1319"/>
      <c r="T145" s="1278"/>
      <c r="U145" s="1278"/>
      <c r="V145" s="1319"/>
      <c r="W145" s="1319"/>
      <c r="X145" s="1319"/>
      <c r="Y145" s="1278"/>
      <c r="Z145" s="1278"/>
      <c r="AA145" s="1319"/>
      <c r="AB145" s="1319"/>
      <c r="AC145" s="1319"/>
      <c r="AD145" s="1278"/>
      <c r="AE145" s="1278"/>
      <c r="AF145" s="1319"/>
      <c r="AG145" s="1319"/>
      <c r="AH145" s="1319"/>
      <c r="AI145" s="1278"/>
      <c r="AJ145" s="1278"/>
      <c r="AK145" s="1335">
        <f>AK89*0.27</f>
        <v>12.15</v>
      </c>
      <c r="AL145" s="1335">
        <f>AL89*0.27</f>
        <v>15.120000000000001</v>
      </c>
      <c r="AM145" s="1335">
        <f>AM89*0.27</f>
        <v>17.55</v>
      </c>
      <c r="AN145" s="1335">
        <f>AN89*0.27</f>
        <v>18.09</v>
      </c>
      <c r="AO145" s="1292">
        <f>SUM(AK145:AN145)</f>
        <v>62.910000000000011</v>
      </c>
      <c r="AP145" s="1335">
        <f>AP89*0.27</f>
        <v>17.28</v>
      </c>
      <c r="AQ145" s="1335">
        <f>AQ89*0.27</f>
        <v>20.790000000000003</v>
      </c>
      <c r="AR145" s="1335">
        <f>AR89*0.27</f>
        <v>20.790000000000003</v>
      </c>
      <c r="AS145" s="1335">
        <f>AS89*0.27</f>
        <v>12.690000000000001</v>
      </c>
      <c r="AT145" s="1292">
        <f>SUM(AP145:AS145)</f>
        <v>71.550000000000011</v>
      </c>
      <c r="AU145" s="1335">
        <f>AU89*0.27</f>
        <v>24.57</v>
      </c>
      <c r="AV145" s="1335">
        <f>AV89*0.27</f>
        <v>22.14</v>
      </c>
      <c r="AW145" s="1335">
        <f>AW89*0.27</f>
        <v>24.3</v>
      </c>
      <c r="AX145" s="1335">
        <f>AX89*0.27</f>
        <v>23.490000000000002</v>
      </c>
      <c r="AY145" s="1292">
        <f>SUM(AU145:AX145)</f>
        <v>94.5</v>
      </c>
      <c r="AZ145" s="1335">
        <f>AZ89*0.27</f>
        <v>25.650000000000002</v>
      </c>
      <c r="BA145" s="1335">
        <f>BA89*0.27</f>
        <v>25.92</v>
      </c>
      <c r="BB145" s="1335">
        <f>BB89*0.27</f>
        <v>28.62</v>
      </c>
      <c r="BC145" s="1335">
        <f>BC89*0.27</f>
        <v>25.110000000000003</v>
      </c>
      <c r="BD145" s="1292">
        <f>SUM(AZ145:BC145)</f>
        <v>105.30000000000001</v>
      </c>
      <c r="BE145" s="1335">
        <f>BE89*0.27</f>
        <v>27.270000000000003</v>
      </c>
      <c r="BF145" s="1335">
        <f>BF89*0.27</f>
        <v>27</v>
      </c>
      <c r="BG145" s="1335">
        <f>BG89*0.27</f>
        <v>28.89</v>
      </c>
      <c r="BH145" s="1335">
        <f>BH89*0.27</f>
        <v>28.080000000000002</v>
      </c>
      <c r="BI145" s="1292">
        <f>SUM(BE145:BH145)</f>
        <v>111.24</v>
      </c>
      <c r="BJ145" s="1335">
        <f>BJ89*0.27</f>
        <v>31.05</v>
      </c>
      <c r="BK145" s="1335">
        <f>BK89*0.27</f>
        <v>32.130000000000003</v>
      </c>
      <c r="BL145" s="1335">
        <f>BL89*0.27</f>
        <v>32.130000000000003</v>
      </c>
      <c r="BM145" s="762">
        <f>BM89*0.27</f>
        <v>32.130000000000003</v>
      </c>
      <c r="BN145" s="1292">
        <f>SUM(BJ145:BM145)</f>
        <v>127.44</v>
      </c>
      <c r="BO145" s="1335">
        <f>BO89*0.27</f>
        <v>39.690000000000005</v>
      </c>
      <c r="BP145" s="1335">
        <f>BP89*0.27</f>
        <v>36.910688052649938</v>
      </c>
      <c r="BQ145" s="762">
        <f>BQ89*0.27</f>
        <v>36.380886199098555</v>
      </c>
      <c r="BR145" s="762">
        <f>BR89*0.27</f>
        <v>36.543112884001623</v>
      </c>
      <c r="BS145" s="1292">
        <f>SUM(BO145:BR145)</f>
        <v>149.52468713575013</v>
      </c>
      <c r="BT145" s="1335">
        <f>BT89*0.27</f>
        <v>41.269771997872134</v>
      </c>
      <c r="BU145" s="1335">
        <f>BU89*0.27</f>
        <v>40.685487045570135</v>
      </c>
      <c r="BV145" s="762">
        <f>BV89*0.27</f>
        <v>40.523856044673714</v>
      </c>
      <c r="BW145" s="762">
        <f>BW89*0.27</f>
        <v>40.575841162271487</v>
      </c>
      <c r="BX145" s="1292">
        <f>SUM(BT145:BW145)</f>
        <v>163.05495625038748</v>
      </c>
      <c r="BY145" s="1290">
        <f>BY89*0.27</f>
        <v>177.23204688522148</v>
      </c>
      <c r="BZ145" s="1290">
        <f>BZ89*0.27</f>
        <v>192.42243903956199</v>
      </c>
      <c r="CA145" s="1290">
        <f>CA89*0.27</f>
        <v>207.71458384072639</v>
      </c>
      <c r="CF145" s="1487" t="str">
        <f>+A145</f>
        <v>S&amp;P Dow Jones Indices - NCI</v>
      </c>
      <c r="CG145" s="1272"/>
      <c r="CH145" s="1264"/>
      <c r="CI145" s="1264"/>
      <c r="CJ145" s="1264"/>
      <c r="CK145" s="1264"/>
      <c r="CL145" s="1278"/>
      <c r="CM145" s="1278"/>
      <c r="CN145" s="1278"/>
      <c r="CO145" s="1278"/>
      <c r="CP145" s="1278"/>
      <c r="CQ145" s="1278"/>
      <c r="CR145" s="1292">
        <f>+AO145</f>
        <v>62.910000000000011</v>
      </c>
      <c r="CS145" s="1292">
        <f>+AT145</f>
        <v>71.550000000000011</v>
      </c>
      <c r="CT145" s="1292">
        <f>+AY145</f>
        <v>94.5</v>
      </c>
      <c r="CU145" s="1292">
        <f>+BD145</f>
        <v>105.30000000000001</v>
      </c>
      <c r="CV145" s="1270">
        <f>+BI145</f>
        <v>111.24</v>
      </c>
      <c r="CW145" s="1270">
        <f>+BN145</f>
        <v>127.44</v>
      </c>
      <c r="CX145" s="1270">
        <f>+BS145</f>
        <v>149.52468713575013</v>
      </c>
      <c r="CY145" s="1270">
        <f t="shared" ref="CY145:DB148" si="193">+BX145</f>
        <v>163.05495625038748</v>
      </c>
      <c r="CZ145" s="1290">
        <f t="shared" si="193"/>
        <v>177.23204688522148</v>
      </c>
      <c r="DA145" s="1290">
        <f t="shared" si="193"/>
        <v>192.42243903956199</v>
      </c>
      <c r="DB145" s="1290">
        <f t="shared" si="193"/>
        <v>207.71458384072639</v>
      </c>
    </row>
    <row r="146" spans="1:106" ht="12" hidden="1" customHeight="1" outlineLevel="1">
      <c r="A146" s="1485" t="s">
        <v>324</v>
      </c>
      <c r="B146" s="1264"/>
      <c r="C146" s="1264"/>
      <c r="D146" s="1264"/>
      <c r="E146" s="1264"/>
      <c r="F146" s="1264"/>
      <c r="G146" s="1319"/>
      <c r="H146" s="1319"/>
      <c r="I146" s="1319"/>
      <c r="J146" s="1278"/>
      <c r="K146" s="1278"/>
      <c r="L146" s="1319"/>
      <c r="M146" s="1319"/>
      <c r="N146" s="1319"/>
      <c r="O146" s="1278"/>
      <c r="P146" s="1278"/>
      <c r="Q146" s="1319"/>
      <c r="R146" s="1319"/>
      <c r="S146" s="1319"/>
      <c r="T146" s="1278"/>
      <c r="U146" s="1278"/>
      <c r="V146" s="1319"/>
      <c r="W146" s="1319"/>
      <c r="X146" s="1319"/>
      <c r="Y146" s="1278"/>
      <c r="Z146" s="1278"/>
      <c r="AA146" s="1319"/>
      <c r="AB146" s="1319"/>
      <c r="AC146" s="1319"/>
      <c r="AD146" s="1278"/>
      <c r="AE146" s="1278"/>
      <c r="AF146" s="1319"/>
      <c r="AG146" s="1319"/>
      <c r="AH146" s="1319"/>
      <c r="AI146" s="1278"/>
      <c r="AJ146" s="1278"/>
      <c r="AK146" s="762">
        <v>3.6448402377424469</v>
      </c>
      <c r="AL146" s="762">
        <v>2.5982153719475831</v>
      </c>
      <c r="AM146" s="762">
        <v>3.4799754925311457</v>
      </c>
      <c r="AN146" s="762">
        <v>3.5604156208694206</v>
      </c>
      <c r="AO146" s="1270">
        <f>SUM(AK146:AN146)</f>
        <v>13.283446723090597</v>
      </c>
      <c r="AP146" s="762">
        <v>2.9423204278136312</v>
      </c>
      <c r="AQ146" s="762">
        <v>3.4862145920896856</v>
      </c>
      <c r="AR146" s="762">
        <v>3.7956500172854164</v>
      </c>
      <c r="AS146" s="762">
        <v>3.6766828617554022</v>
      </c>
      <c r="AT146" s="1270">
        <f>SUM(AP146:AS146)</f>
        <v>13.900867898944135</v>
      </c>
      <c r="AU146" s="762">
        <v>3.6999690351150671</v>
      </c>
      <c r="AV146" s="762">
        <v>3.0922156608555409</v>
      </c>
      <c r="AW146" s="762">
        <v>3.7028785381216434</v>
      </c>
      <c r="AX146" s="762">
        <v>3.6066481399389465</v>
      </c>
      <c r="AY146" s="1270">
        <f>SUM(AU146:AX146)</f>
        <v>14.101711374031197</v>
      </c>
      <c r="AZ146" s="762">
        <v>2.8942399637412111</v>
      </c>
      <c r="BA146" s="762">
        <v>3.2786234759793391</v>
      </c>
      <c r="BB146" s="762">
        <v>3.7662084095063952</v>
      </c>
      <c r="BC146" s="762">
        <v>4.2316908833254603</v>
      </c>
      <c r="BD146" s="1270">
        <f>SUM(AZ146:BC146)</f>
        <v>14.170762732552404</v>
      </c>
      <c r="BE146" s="762">
        <v>3.8170960321349412</v>
      </c>
      <c r="BF146" s="762">
        <v>3.3263052567630345</v>
      </c>
      <c r="BG146" s="762">
        <v>3.8564957965522013</v>
      </c>
      <c r="BH146" s="762">
        <v>4.360814755315447</v>
      </c>
      <c r="BI146" s="1270">
        <f>SUM(BE146:BH146)</f>
        <v>15.360711840765624</v>
      </c>
      <c r="BJ146" s="762">
        <v>3.6322699201438344</v>
      </c>
      <c r="BK146" s="762">
        <v>3.3459835240835507</v>
      </c>
      <c r="BL146" s="762">
        <v>3.4192263635908109</v>
      </c>
      <c r="BM146" s="762">
        <v>4.6945487256167739</v>
      </c>
      <c r="BN146" s="1270">
        <f>SUM(BJ146:BM146)</f>
        <v>15.09202853343497</v>
      </c>
      <c r="BO146" s="762">
        <v>3.9102482177035069</v>
      </c>
      <c r="BP146" s="762">
        <v>3.6020522701118276</v>
      </c>
      <c r="BQ146" s="762">
        <v>3.6809003978499395</v>
      </c>
      <c r="BR146" s="762">
        <v>5.0538234191963216</v>
      </c>
      <c r="BS146" s="1270">
        <f>SUM(BO146:BR146)</f>
        <v>16.247024304861597</v>
      </c>
      <c r="BT146" s="762">
        <v>4.209500246459652</v>
      </c>
      <c r="BU146" s="762">
        <v>3.8777180052527309</v>
      </c>
      <c r="BV146" s="762">
        <v>3.9626003949802548</v>
      </c>
      <c r="BW146" s="762">
        <v>5.4405934723920826</v>
      </c>
      <c r="BX146" s="1270">
        <f>SUM(BT146:BW146)</f>
        <v>17.49041211908472</v>
      </c>
      <c r="BY146" s="1290">
        <v>18.828956635701406</v>
      </c>
      <c r="BZ146" s="1290">
        <v>20.269940214975147</v>
      </c>
      <c r="CA146" s="1290">
        <v>21.821202537564879</v>
      </c>
      <c r="CF146" s="1487" t="str">
        <f>+A146</f>
        <v>S&amp;P (CRISIL) - NCI</v>
      </c>
      <c r="CG146" s="1272"/>
      <c r="CH146" s="1264"/>
      <c r="CI146" s="1264"/>
      <c r="CJ146" s="1264"/>
      <c r="CK146" s="1264"/>
      <c r="CL146" s="1278"/>
      <c r="CM146" s="1278"/>
      <c r="CN146" s="1278"/>
      <c r="CO146" s="1278"/>
      <c r="CP146" s="1278"/>
      <c r="CQ146" s="1278"/>
      <c r="CR146" s="1270">
        <f>+AO146</f>
        <v>13.283446723090597</v>
      </c>
      <c r="CS146" s="1270">
        <f>+AT146</f>
        <v>13.900867898944135</v>
      </c>
      <c r="CT146" s="1270">
        <f>+AY146</f>
        <v>14.101711374031197</v>
      </c>
      <c r="CU146" s="1270">
        <f>+BD146</f>
        <v>14.170762732552404</v>
      </c>
      <c r="CV146" s="1270">
        <f>+BI146</f>
        <v>15.360711840765624</v>
      </c>
      <c r="CW146" s="1270">
        <f>+BN146</f>
        <v>15.09202853343497</v>
      </c>
      <c r="CX146" s="1270">
        <f>+BS146</f>
        <v>16.247024304861597</v>
      </c>
      <c r="CY146" s="1270">
        <f t="shared" si="193"/>
        <v>17.49041211908472</v>
      </c>
      <c r="CZ146" s="1290">
        <f t="shared" si="193"/>
        <v>18.828956635701406</v>
      </c>
      <c r="DA146" s="1290">
        <f t="shared" si="193"/>
        <v>20.269940214975147</v>
      </c>
      <c r="DB146" s="1290">
        <f t="shared" si="193"/>
        <v>21.821202537564879</v>
      </c>
    </row>
    <row r="147" spans="1:106" ht="12" hidden="1" customHeight="1" outlineLevel="1">
      <c r="A147" s="1632" t="s">
        <v>325</v>
      </c>
      <c r="B147" s="1633"/>
      <c r="C147" s="1633"/>
      <c r="D147" s="1633"/>
      <c r="E147" s="1633"/>
      <c r="F147" s="1633"/>
      <c r="G147" s="1507"/>
      <c r="H147" s="1507"/>
      <c r="I147" s="1507"/>
      <c r="J147" s="1564"/>
      <c r="K147" s="1564"/>
      <c r="L147" s="1507"/>
      <c r="M147" s="1507"/>
      <c r="N147" s="1507"/>
      <c r="O147" s="1564"/>
      <c r="P147" s="1564"/>
      <c r="Q147" s="1507"/>
      <c r="R147" s="1507"/>
      <c r="S147" s="1507"/>
      <c r="T147" s="1564"/>
      <c r="U147" s="1564"/>
      <c r="V147" s="1507"/>
      <c r="W147" s="1507"/>
      <c r="X147" s="1507"/>
      <c r="Y147" s="1507"/>
      <c r="Z147" s="1564"/>
      <c r="AA147" s="1507"/>
      <c r="AB147" s="1507"/>
      <c r="AC147" s="1507"/>
      <c r="AD147" s="1564"/>
      <c r="AE147" s="1564"/>
      <c r="AF147" s="1507"/>
      <c r="AG147" s="1507"/>
      <c r="AH147" s="1507"/>
      <c r="AI147" s="1564"/>
      <c r="AJ147" s="1564"/>
      <c r="AK147" s="1634">
        <f>AK148-AK146-AK145</f>
        <v>-11.794840237742447</v>
      </c>
      <c r="AL147" s="1634">
        <f>AL148-AL146-AL145</f>
        <v>-13.718215371947585</v>
      </c>
      <c r="AM147" s="1634">
        <f>AM148-AM146-AM145</f>
        <v>1.9700245074688532</v>
      </c>
      <c r="AN147" s="1634">
        <f>AN148-AN146-AN145</f>
        <v>-0.65041562086942051</v>
      </c>
      <c r="AO147" s="1474">
        <f>SUM(AK147:AN147)</f>
        <v>-24.193446723090599</v>
      </c>
      <c r="AP147" s="1634">
        <f>AP148-AP146-AP145</f>
        <v>0.77767957218636852</v>
      </c>
      <c r="AQ147" s="1634">
        <f>AQ148-AQ146-AQ145</f>
        <v>-1.276214592089687</v>
      </c>
      <c r="AR147" s="1634">
        <f>AR148-AR146-AR145</f>
        <v>5.4143499827145796</v>
      </c>
      <c r="AS147" s="1634">
        <f>AS148-AS146-AS145</f>
        <v>0.63331713824459612</v>
      </c>
      <c r="AT147" s="1474">
        <f>SUM(AP147:AS147)</f>
        <v>5.5491321010558572</v>
      </c>
      <c r="AU147" s="1634">
        <f>AU148-AU146-AU145</f>
        <v>-0.77996903511506943</v>
      </c>
      <c r="AV147" s="1634">
        <f>AV148-AV146-AV145</f>
        <v>-1.232215660855541</v>
      </c>
      <c r="AW147" s="1634">
        <f>AW148-AW146-AW145</f>
        <v>-1.0028785381216458</v>
      </c>
      <c r="AX147" s="1634">
        <f>AX148-AX146-AX145</f>
        <v>-3.0966481399389494</v>
      </c>
      <c r="AY147" s="1474">
        <f>SUM(AU147:AX147)</f>
        <v>-6.1117113740312057</v>
      </c>
      <c r="AZ147" s="1634">
        <f>AZ148-AZ146-AZ145</f>
        <v>-2.5442399637412123</v>
      </c>
      <c r="BA147" s="1634">
        <f>BA148-BA146-BA145</f>
        <v>-1.0986234759793376</v>
      </c>
      <c r="BB147" s="1634">
        <f>BB148-BB146-BB145</f>
        <v>-3.3862084095063949</v>
      </c>
      <c r="BC147" s="1634">
        <f>BC148-BC146-BC145</f>
        <v>-1.3416908833254624</v>
      </c>
      <c r="BD147" s="1474">
        <f>SUM(AZ147:BC147)</f>
        <v>-8.3707627325524072</v>
      </c>
      <c r="BE147" s="1634">
        <f>BE148-BE146-BE145</f>
        <v>-2.0870960321349443</v>
      </c>
      <c r="BF147" s="1634">
        <f>BF148-BF146-BF145</f>
        <v>-1.3263052567630353</v>
      </c>
      <c r="BG147" s="1634">
        <f>BG148-BG146-BG145</f>
        <v>-1.7464957965522032</v>
      </c>
      <c r="BH147" s="1634">
        <f>BH148-BH146-BH145</f>
        <v>-0.44081475531544712</v>
      </c>
      <c r="BI147" s="1474">
        <f>SUM(BE147:BH147)</f>
        <v>-5.60071184076563</v>
      </c>
      <c r="BJ147" s="1634">
        <f>BJ148-BJ146-BJ145</f>
        <v>-3.6822699201438347</v>
      </c>
      <c r="BK147" s="1634">
        <f>BK148-BK146-BK145</f>
        <v>0.52401647591644718</v>
      </c>
      <c r="BL147" s="1634">
        <f>BL148-BL146-BL145</f>
        <v>2.4507736364091883</v>
      </c>
      <c r="BM147" s="1634">
        <f>BM148-BM146-BM145</f>
        <v>-0.82454872561677561</v>
      </c>
      <c r="BN147" s="1474">
        <f>SUM(BJ147:BM147)</f>
        <v>-1.5320285334349748</v>
      </c>
      <c r="BO147" s="1634">
        <f>BO148-BO146-BO145</f>
        <v>-0.60024821770350911</v>
      </c>
      <c r="BP147" s="740">
        <f>BO147</f>
        <v>-0.60024821770350911</v>
      </c>
      <c r="BQ147" s="740">
        <f>BP147</f>
        <v>-0.60024821770350911</v>
      </c>
      <c r="BR147" s="740">
        <f>BQ147</f>
        <v>-0.60024821770350911</v>
      </c>
      <c r="BS147" s="1474">
        <f>SUM(BO147:BR147)</f>
        <v>-2.4009928708140365</v>
      </c>
      <c r="BT147" s="740">
        <f>BR147</f>
        <v>-0.60024821770350911</v>
      </c>
      <c r="BU147" s="740">
        <f>BT147</f>
        <v>-0.60024821770350911</v>
      </c>
      <c r="BV147" s="740">
        <f>BU147</f>
        <v>-0.60024821770350911</v>
      </c>
      <c r="BW147" s="740">
        <f>BV147</f>
        <v>-0.60024821770350911</v>
      </c>
      <c r="BX147" s="1474">
        <f>SUM(BT147:BW147)</f>
        <v>-2.4009928708140365</v>
      </c>
      <c r="BY147" s="777">
        <f>BX147</f>
        <v>-2.4009928708140365</v>
      </c>
      <c r="BZ147" s="777">
        <f>BY147</f>
        <v>-2.4009928708140365</v>
      </c>
      <c r="CA147" s="777">
        <f>BZ147</f>
        <v>-2.4009928708140365</v>
      </c>
      <c r="CF147" s="1635" t="str">
        <f>+A147</f>
        <v>Other Impact (Balancing)</v>
      </c>
      <c r="CG147" s="1636"/>
      <c r="CH147" s="1633"/>
      <c r="CI147" s="1633"/>
      <c r="CJ147" s="1633"/>
      <c r="CK147" s="1633"/>
      <c r="CL147" s="1564"/>
      <c r="CM147" s="1564"/>
      <c r="CN147" s="1564"/>
      <c r="CO147" s="1564"/>
      <c r="CP147" s="1564"/>
      <c r="CQ147" s="1564"/>
      <c r="CR147" s="1474">
        <f>+AO147</f>
        <v>-24.193446723090599</v>
      </c>
      <c r="CS147" s="1474">
        <f>+AT147</f>
        <v>5.5491321010558572</v>
      </c>
      <c r="CT147" s="1474">
        <f>+AY147</f>
        <v>-6.1117113740312057</v>
      </c>
      <c r="CU147" s="1474">
        <f>+BD147</f>
        <v>-8.3707627325524072</v>
      </c>
      <c r="CV147" s="1474">
        <f>+BI147</f>
        <v>-5.60071184076563</v>
      </c>
      <c r="CW147" s="776">
        <f>+BN147</f>
        <v>-1.5320285334349748</v>
      </c>
      <c r="CX147" s="776">
        <f>+BS147</f>
        <v>-2.4009928708140365</v>
      </c>
      <c r="CY147" s="776">
        <f t="shared" si="193"/>
        <v>-2.4009928708140365</v>
      </c>
      <c r="CZ147" s="777">
        <f t="shared" si="193"/>
        <v>-2.4009928708140365</v>
      </c>
      <c r="DA147" s="777">
        <f t="shared" si="193"/>
        <v>-2.4009928708140365</v>
      </c>
      <c r="DB147" s="777">
        <f t="shared" si="193"/>
        <v>-2.4009928708140365</v>
      </c>
    </row>
    <row r="148" spans="1:106" s="788" customFormat="1" ht="12" hidden="1" customHeight="1" outlineLevel="1">
      <c r="A148" s="1637" t="s">
        <v>326</v>
      </c>
      <c r="B148" s="1638"/>
      <c r="C148" s="1638"/>
      <c r="D148" s="1638"/>
      <c r="E148" s="1638"/>
      <c r="F148" s="1638"/>
      <c r="G148" s="1639"/>
      <c r="H148" s="1639"/>
      <c r="I148" s="1639"/>
      <c r="J148" s="1640"/>
      <c r="K148" s="1640"/>
      <c r="L148" s="1639"/>
      <c r="M148" s="1639"/>
      <c r="N148" s="1639"/>
      <c r="O148" s="1640"/>
      <c r="P148" s="1640"/>
      <c r="Q148" s="1639"/>
      <c r="R148" s="1639"/>
      <c r="S148" s="1639"/>
      <c r="T148" s="1640"/>
      <c r="U148" s="1640"/>
      <c r="V148" s="1639"/>
      <c r="W148" s="1639"/>
      <c r="X148" s="1639"/>
      <c r="Y148" s="1640"/>
      <c r="Z148" s="1640"/>
      <c r="AA148" s="1639"/>
      <c r="AB148" s="1639"/>
      <c r="AC148" s="1639"/>
      <c r="AD148" s="1640"/>
      <c r="AE148" s="1640"/>
      <c r="AF148" s="1639"/>
      <c r="AG148" s="1639"/>
      <c r="AH148" s="1639"/>
      <c r="AI148" s="1640"/>
      <c r="AJ148" s="1640"/>
      <c r="AK148" s="1641">
        <f>-MHFI!AK58</f>
        <v>4</v>
      </c>
      <c r="AL148" s="1641">
        <f>-MHFI!AL58</f>
        <v>4</v>
      </c>
      <c r="AM148" s="1641">
        <f>-MHFI!AM58</f>
        <v>23</v>
      </c>
      <c r="AN148" s="1641">
        <f>-MHFI!AN58</f>
        <v>21</v>
      </c>
      <c r="AO148" s="1642">
        <f>-MHFI!AO58</f>
        <v>52</v>
      </c>
      <c r="AP148" s="1641">
        <f>-MHFI!AP58</f>
        <v>21</v>
      </c>
      <c r="AQ148" s="1641">
        <f>-MHFI!AQ58</f>
        <v>23</v>
      </c>
      <c r="AR148" s="1641">
        <f>-MHFI!AR58</f>
        <v>30</v>
      </c>
      <c r="AS148" s="1641">
        <f>-MHFI!AS58</f>
        <v>17</v>
      </c>
      <c r="AT148" s="1642">
        <f>-MHFI!AT58</f>
        <v>91</v>
      </c>
      <c r="AU148" s="1641">
        <f>-MHFI!AU58</f>
        <v>27.49</v>
      </c>
      <c r="AV148" s="1641">
        <f>-MHFI!AV58</f>
        <v>24</v>
      </c>
      <c r="AW148" s="1641">
        <f>-MHFI!AW58</f>
        <v>27</v>
      </c>
      <c r="AX148" s="1641">
        <f>-MHFI!AX58</f>
        <v>24</v>
      </c>
      <c r="AY148" s="1642">
        <f>AY145+AY146+AY147</f>
        <v>102.49</v>
      </c>
      <c r="AZ148" s="1641">
        <f>-MHFI!AZ58</f>
        <v>26</v>
      </c>
      <c r="BA148" s="1641">
        <f>-MHFI!BA58</f>
        <v>28.1</v>
      </c>
      <c r="BB148" s="1641">
        <f>-MHFI!BB58</f>
        <v>29</v>
      </c>
      <c r="BC148" s="1641">
        <f>-MHFI!BC58</f>
        <v>28</v>
      </c>
      <c r="BD148" s="1642">
        <f>BD145+BD146+BD147</f>
        <v>111.10000000000001</v>
      </c>
      <c r="BE148" s="1641">
        <f>-MHFI!BE58</f>
        <v>29</v>
      </c>
      <c r="BF148" s="1641">
        <f>-MHFI!BF58</f>
        <v>29</v>
      </c>
      <c r="BG148" s="1641">
        <f>-MHFI!BG58</f>
        <v>31</v>
      </c>
      <c r="BH148" s="1641">
        <f>-MHFI!BH58</f>
        <v>32</v>
      </c>
      <c r="BI148" s="1642">
        <f t="shared" ref="BI148:BZ148" si="194">BI145+BI146+BI147</f>
        <v>121</v>
      </c>
      <c r="BJ148" s="1641">
        <f>-MHFI!BJ58</f>
        <v>31</v>
      </c>
      <c r="BK148" s="1641">
        <f>-MHFI!BK58</f>
        <v>36</v>
      </c>
      <c r="BL148" s="1641">
        <f>-MHFI!BL58</f>
        <v>38</v>
      </c>
      <c r="BM148" s="1641">
        <f>-MHFI!BM58</f>
        <v>36</v>
      </c>
      <c r="BN148" s="1642">
        <f t="shared" si="194"/>
        <v>141</v>
      </c>
      <c r="BO148" s="1641">
        <f>-MHFI!BO58</f>
        <v>43</v>
      </c>
      <c r="BP148" s="1641">
        <f t="shared" si="194"/>
        <v>39.912492105058256</v>
      </c>
      <c r="BQ148" s="1641">
        <f t="shared" si="194"/>
        <v>39.461538379244985</v>
      </c>
      <c r="BR148" s="1641">
        <f t="shared" si="194"/>
        <v>40.996688085494434</v>
      </c>
      <c r="BS148" s="1642">
        <f t="shared" si="194"/>
        <v>163.3707185697977</v>
      </c>
      <c r="BT148" s="1641">
        <f t="shared" ref="BT148:BX148" si="195">BT145+BT146+BT147</f>
        <v>44.879024026628279</v>
      </c>
      <c r="BU148" s="1641">
        <f t="shared" si="195"/>
        <v>43.962956833119357</v>
      </c>
      <c r="BV148" s="1641">
        <f t="shared" si="195"/>
        <v>43.886208221950461</v>
      </c>
      <c r="BW148" s="1641">
        <f t="shared" si="195"/>
        <v>45.416186416960059</v>
      </c>
      <c r="BX148" s="1642">
        <f t="shared" si="195"/>
        <v>178.14437549865815</v>
      </c>
      <c r="BY148" s="1643">
        <f t="shared" si="194"/>
        <v>193.66001065010886</v>
      </c>
      <c r="BZ148" s="1643">
        <f t="shared" si="194"/>
        <v>210.29138638372311</v>
      </c>
      <c r="CA148" s="1643">
        <f t="shared" ref="CA148" si="196">CA145+CA146+CA147</f>
        <v>227.13479350747724</v>
      </c>
      <c r="CF148" s="1644" t="str">
        <f>+A148</f>
        <v>IS - NCI</v>
      </c>
      <c r="CG148" s="1645"/>
      <c r="CH148" s="1638"/>
      <c r="CI148" s="1638"/>
      <c r="CJ148" s="1638"/>
      <c r="CK148" s="1638"/>
      <c r="CL148" s="1640"/>
      <c r="CM148" s="1640"/>
      <c r="CN148" s="1640"/>
      <c r="CO148" s="1640"/>
      <c r="CP148" s="1640"/>
      <c r="CQ148" s="1640"/>
      <c r="CR148" s="1642">
        <f>+AO148</f>
        <v>52</v>
      </c>
      <c r="CS148" s="1642">
        <f>+AT148</f>
        <v>91</v>
      </c>
      <c r="CT148" s="1642">
        <f>+AY148</f>
        <v>102.49</v>
      </c>
      <c r="CU148" s="1642">
        <f>+BD148</f>
        <v>111.10000000000001</v>
      </c>
      <c r="CV148" s="1642">
        <f>+BI148</f>
        <v>121</v>
      </c>
      <c r="CW148" s="1642">
        <f>+BN148</f>
        <v>141</v>
      </c>
      <c r="CX148" s="1642">
        <f>+BS148</f>
        <v>163.3707185697977</v>
      </c>
      <c r="CY148" s="1642">
        <f t="shared" si="193"/>
        <v>178.14437549865815</v>
      </c>
      <c r="CZ148" s="1550">
        <f t="shared" si="193"/>
        <v>193.66001065010886</v>
      </c>
      <c r="DA148" s="1550">
        <f t="shared" si="193"/>
        <v>210.29138638372311</v>
      </c>
      <c r="DB148" s="1550">
        <f t="shared" si="193"/>
        <v>227.13479350747724</v>
      </c>
    </row>
    <row r="149" spans="1:106" ht="12" customHeight="1" collapsed="1">
      <c r="A149" s="1646"/>
      <c r="B149" s="778"/>
      <c r="C149" s="1647"/>
      <c r="D149" s="1647"/>
      <c r="E149" s="1647"/>
      <c r="F149" s="1647"/>
      <c r="G149" s="1276"/>
      <c r="H149" s="1276"/>
      <c r="I149" s="1276"/>
      <c r="J149" s="1276"/>
      <c r="K149" s="1610"/>
      <c r="L149" s="1276"/>
      <c r="M149" s="1276"/>
      <c r="N149" s="1276"/>
      <c r="O149" s="1276"/>
      <c r="P149" s="1610"/>
      <c r="Q149" s="1276"/>
      <c r="R149" s="1276"/>
      <c r="S149" s="1276"/>
      <c r="T149" s="1276"/>
      <c r="U149" s="1610"/>
      <c r="V149" s="1276"/>
      <c r="W149" s="1276"/>
      <c r="X149" s="1276"/>
      <c r="Y149" s="1276"/>
      <c r="Z149" s="1610"/>
      <c r="AA149" s="1265"/>
      <c r="AB149" s="1265"/>
      <c r="AC149" s="1265"/>
      <c r="AD149" s="1560"/>
      <c r="AE149" s="1560"/>
      <c r="AF149" s="1610"/>
      <c r="AG149" s="1610"/>
      <c r="AH149" s="1610"/>
      <c r="AI149" s="1610"/>
      <c r="AJ149" s="1610"/>
      <c r="AK149" s="1610"/>
      <c r="AL149" s="1610"/>
      <c r="AM149" s="1610"/>
      <c r="AN149" s="1610"/>
      <c r="AO149" s="1610"/>
      <c r="AP149" s="1610"/>
      <c r="AQ149" s="1610"/>
      <c r="AR149" s="1610"/>
      <c r="AS149" s="1610"/>
      <c r="AT149" s="1610"/>
      <c r="AU149" s="1610"/>
      <c r="AV149" s="1610"/>
      <c r="AW149" s="1610"/>
      <c r="AX149" s="1610"/>
      <c r="AY149" s="1610"/>
      <c r="AZ149" s="1610"/>
      <c r="BA149" s="1610"/>
      <c r="BB149" s="1610"/>
      <c r="BC149" s="1610"/>
      <c r="BD149" s="1610"/>
      <c r="BE149" s="1610"/>
      <c r="BF149" s="1610"/>
      <c r="BG149" s="1610"/>
      <c r="BH149" s="1610"/>
      <c r="BI149" s="1610"/>
      <c r="BJ149" s="1610"/>
      <c r="BK149" s="1610"/>
      <c r="BL149" s="1610"/>
      <c r="BM149" s="1610"/>
      <c r="BN149" s="1610"/>
      <c r="BO149" s="1610"/>
      <c r="BP149" s="1610"/>
      <c r="BQ149" s="1610"/>
      <c r="BR149" s="1610"/>
      <c r="BS149" s="1610"/>
      <c r="BT149" s="1610"/>
      <c r="BU149" s="1610"/>
      <c r="BV149" s="1610"/>
      <c r="BW149" s="1610"/>
      <c r="BX149" s="1610"/>
      <c r="BY149" s="1610"/>
      <c r="BZ149" s="1610"/>
      <c r="CA149" s="1647"/>
      <c r="CF149" s="1646"/>
      <c r="CG149" s="779"/>
      <c r="CH149" s="1610"/>
      <c r="CI149" s="1610"/>
      <c r="CJ149" s="1610"/>
      <c r="CK149" s="1610"/>
      <c r="CL149" s="1610"/>
      <c r="CM149" s="1560"/>
      <c r="CN149" s="1560"/>
      <c r="CO149" s="1560"/>
      <c r="CP149" s="1560"/>
      <c r="CQ149" s="1610"/>
      <c r="CR149" s="1610"/>
      <c r="CS149" s="1610"/>
      <c r="CT149" s="1610"/>
      <c r="CU149" s="1610"/>
      <c r="CV149" s="1610"/>
      <c r="CW149" s="1610"/>
      <c r="CX149" s="1610"/>
      <c r="CY149" s="1610"/>
      <c r="CZ149" s="1610"/>
      <c r="DA149" s="1610"/>
      <c r="DB149" s="1610"/>
    </row>
    <row r="150" spans="1:106" ht="12" customHeight="1">
      <c r="A150" s="1646"/>
      <c r="B150" s="779"/>
      <c r="C150" s="1610"/>
      <c r="D150" s="1610"/>
      <c r="E150" s="1610"/>
      <c r="F150" s="1610"/>
      <c r="G150" s="1276"/>
      <c r="H150" s="1276"/>
      <c r="I150" s="1276"/>
      <c r="J150" s="1276"/>
      <c r="K150" s="1610"/>
      <c r="L150" s="1276"/>
      <c r="M150" s="1276"/>
      <c r="N150" s="1276"/>
      <c r="O150" s="1276"/>
      <c r="P150" s="1610"/>
      <c r="Q150" s="1276"/>
      <c r="R150" s="1276"/>
      <c r="S150" s="1276"/>
      <c r="T150" s="1276"/>
      <c r="U150" s="1610"/>
      <c r="V150" s="1276"/>
      <c r="W150" s="1276"/>
      <c r="X150" s="1276"/>
      <c r="Y150" s="1276"/>
      <c r="Z150" s="1610"/>
      <c r="AA150" s="1265"/>
      <c r="AB150" s="1265"/>
      <c r="AC150" s="1265"/>
      <c r="AD150" s="1560"/>
      <c r="AE150" s="1560"/>
      <c r="AF150" s="1610"/>
      <c r="AG150" s="1610"/>
      <c r="AH150" s="1610"/>
      <c r="AI150" s="1610"/>
      <c r="AJ150" s="1610"/>
      <c r="AK150" s="1610"/>
      <c r="AL150" s="1610"/>
      <c r="AM150" s="1610"/>
      <c r="AN150" s="1610"/>
      <c r="AO150" s="1610"/>
      <c r="AP150" s="1610"/>
      <c r="AQ150" s="1610"/>
      <c r="AR150" s="1610"/>
      <c r="AS150" s="1610"/>
      <c r="AT150" s="1610"/>
      <c r="AU150" s="1610"/>
      <c r="AV150" s="1610"/>
      <c r="AW150" s="1610"/>
      <c r="AX150" s="1610"/>
      <c r="AY150" s="1610"/>
      <c r="AZ150" s="1610"/>
      <c r="BA150" s="1610"/>
      <c r="BB150" s="1610"/>
      <c r="BC150" s="1610"/>
      <c r="BD150" s="1610"/>
      <c r="BE150" s="1610"/>
      <c r="BF150" s="1610"/>
      <c r="BG150" s="1610"/>
      <c r="BH150" s="1610"/>
      <c r="BI150" s="1610"/>
      <c r="BJ150" s="1610"/>
      <c r="BK150" s="1610"/>
      <c r="BL150" s="1610"/>
      <c r="BM150" s="1610"/>
      <c r="BN150" s="1610"/>
      <c r="BO150" s="1610"/>
      <c r="BP150" s="1610"/>
      <c r="BQ150" s="1610"/>
      <c r="BR150" s="1610"/>
      <c r="BS150" s="1610"/>
      <c r="BT150" s="1610"/>
      <c r="BU150" s="1610"/>
      <c r="BV150" s="1610"/>
      <c r="BW150" s="1610"/>
      <c r="BX150" s="1610"/>
      <c r="BY150" s="1610"/>
      <c r="BZ150" s="1610"/>
      <c r="CA150" s="1610"/>
      <c r="CF150" s="1646"/>
      <c r="CG150" s="779"/>
      <c r="CH150" s="1610"/>
      <c r="CI150" s="1610"/>
      <c r="CJ150" s="1610"/>
      <c r="CK150" s="1610"/>
      <c r="CL150" s="1610"/>
      <c r="CM150" s="1560"/>
      <c r="CN150" s="1560"/>
      <c r="CO150" s="1560"/>
      <c r="CP150" s="1560"/>
      <c r="CQ150" s="1610"/>
      <c r="CR150" s="1610"/>
      <c r="CS150" s="1610"/>
      <c r="CT150" s="1610"/>
      <c r="CU150" s="1610"/>
      <c r="CV150" s="1610"/>
      <c r="CW150" s="1610"/>
      <c r="CX150" s="1610"/>
      <c r="CY150" s="1610"/>
      <c r="CZ150" s="1610"/>
      <c r="DA150" s="1610"/>
      <c r="DB150" s="1610"/>
    </row>
    <row r="151" spans="1:106" ht="12" customHeight="1">
      <c r="A151" s="2299" t="s">
        <v>327</v>
      </c>
      <c r="B151" s="1648"/>
      <c r="C151" s="1648"/>
      <c r="D151" s="1648"/>
      <c r="E151" s="1648"/>
      <c r="F151" s="1648"/>
      <c r="G151" s="1648"/>
      <c r="H151" s="1649"/>
      <c r="I151" s="1649"/>
      <c r="J151" s="1649"/>
      <c r="K151" s="1648"/>
      <c r="L151" s="1648"/>
      <c r="M151" s="1648"/>
      <c r="N151" s="1648"/>
      <c r="O151" s="1648"/>
      <c r="P151" s="1648"/>
      <c r="Q151" s="1648"/>
      <c r="R151" s="1648"/>
      <c r="S151" s="1648"/>
      <c r="T151" s="1648"/>
      <c r="U151" s="1648"/>
      <c r="V151" s="1648"/>
      <c r="W151" s="1648"/>
      <c r="X151" s="1648"/>
      <c r="Y151" s="1648"/>
      <c r="Z151" s="1648"/>
      <c r="AA151" s="1648"/>
      <c r="AB151" s="1648"/>
      <c r="AC151" s="1648"/>
      <c r="AD151" s="1648"/>
      <c r="AE151" s="1650"/>
      <c r="AF151" s="1651"/>
      <c r="AG151" s="1651"/>
      <c r="AH151" s="1651"/>
      <c r="AI151" s="1651"/>
      <c r="AJ151" s="1650"/>
      <c r="AK151" s="1652"/>
      <c r="AL151" s="1648"/>
      <c r="AM151" s="1648"/>
      <c r="AN151" s="1648"/>
      <c r="AO151" s="1650"/>
      <c r="AP151" s="1652"/>
      <c r="AQ151" s="1648"/>
      <c r="AR151" s="1648"/>
      <c r="AS151" s="1648"/>
      <c r="AT151" s="1650"/>
      <c r="AU151" s="1652"/>
      <c r="AV151" s="1648"/>
      <c r="AW151" s="1648"/>
      <c r="AX151" s="1648"/>
      <c r="AY151" s="1650"/>
      <c r="AZ151" s="1652"/>
      <c r="BA151" s="1648"/>
      <c r="BB151" s="1648"/>
      <c r="BC151" s="1648"/>
      <c r="BD151" s="1650"/>
      <c r="BE151" s="1652"/>
      <c r="BF151" s="1648"/>
      <c r="BG151" s="1648"/>
      <c r="BH151" s="1648"/>
      <c r="BI151" s="1650"/>
      <c r="BJ151" s="1652"/>
      <c r="BK151" s="1648"/>
      <c r="BL151" s="1648"/>
      <c r="BM151" s="1648"/>
      <c r="BN151" s="1648"/>
      <c r="BO151" s="1652"/>
      <c r="BP151" s="1648"/>
      <c r="BQ151" s="1648"/>
      <c r="BR151" s="1648"/>
      <c r="BS151" s="1648"/>
      <c r="BT151" s="1652"/>
      <c r="BU151" s="1648"/>
      <c r="BV151" s="1648"/>
      <c r="BW151" s="1648"/>
      <c r="BX151" s="1648"/>
      <c r="BY151" s="1648"/>
      <c r="BZ151" s="1648"/>
      <c r="CA151" s="1653"/>
      <c r="CF151" s="2297" t="str">
        <f t="shared" ref="CF151:CF161" si="197">+A151</f>
        <v>RATINGS</v>
      </c>
      <c r="CG151" s="1653"/>
      <c r="CH151" s="1654"/>
      <c r="CI151" s="1654"/>
      <c r="CJ151" s="1654"/>
      <c r="CK151" s="1654"/>
      <c r="CL151" s="1648"/>
      <c r="CM151" s="1650"/>
      <c r="CN151" s="1650"/>
      <c r="CO151" s="1650"/>
      <c r="CP151" s="1650"/>
      <c r="CQ151" s="1650"/>
      <c r="CR151" s="1650"/>
      <c r="CS151" s="1650"/>
      <c r="CT151" s="1650"/>
      <c r="CU151" s="1650"/>
      <c r="CV151" s="1650"/>
      <c r="CW151" s="1648"/>
      <c r="CX151" s="1648"/>
      <c r="CY151" s="1648"/>
      <c r="CZ151" s="1655"/>
      <c r="DA151" s="1655"/>
      <c r="DB151" s="1655"/>
    </row>
    <row r="152" spans="1:106" ht="12" customHeight="1">
      <c r="A152" s="2300"/>
      <c r="B152" s="1648"/>
      <c r="C152" s="1648"/>
      <c r="D152" s="1648"/>
      <c r="E152" s="1648"/>
      <c r="F152" s="1648"/>
      <c r="G152" s="1648"/>
      <c r="H152" s="1649"/>
      <c r="I152" s="1649"/>
      <c r="J152" s="1649"/>
      <c r="K152" s="1648"/>
      <c r="L152" s="1648"/>
      <c r="M152" s="1648"/>
      <c r="N152" s="1648"/>
      <c r="O152" s="1648"/>
      <c r="P152" s="1648"/>
      <c r="Q152" s="1648"/>
      <c r="R152" s="1648"/>
      <c r="S152" s="1648"/>
      <c r="T152" s="1648"/>
      <c r="U152" s="1648"/>
      <c r="V152" s="1648"/>
      <c r="W152" s="1648"/>
      <c r="X152" s="1648"/>
      <c r="Y152" s="1648"/>
      <c r="Z152" s="1648"/>
      <c r="AA152" s="1648"/>
      <c r="AB152" s="1648"/>
      <c r="AC152" s="1648"/>
      <c r="AD152" s="1648"/>
      <c r="AE152" s="1650"/>
      <c r="AF152" s="1651"/>
      <c r="AG152" s="1651"/>
      <c r="AH152" s="1651"/>
      <c r="AI152" s="1651"/>
      <c r="AJ152" s="1650"/>
      <c r="AK152" s="1652"/>
      <c r="AL152" s="1648"/>
      <c r="AM152" s="1648"/>
      <c r="AN152" s="1648"/>
      <c r="AO152" s="1650"/>
      <c r="AP152" s="1652"/>
      <c r="AQ152" s="1648"/>
      <c r="AR152" s="1648"/>
      <c r="AS152" s="1648"/>
      <c r="AT152" s="1650"/>
      <c r="AU152" s="1652"/>
      <c r="AV152" s="1648"/>
      <c r="AW152" s="1648"/>
      <c r="AX152" s="1648"/>
      <c r="AY152" s="1650"/>
      <c r="AZ152" s="1652"/>
      <c r="BA152" s="1648"/>
      <c r="BB152" s="1648"/>
      <c r="BC152" s="1648"/>
      <c r="BD152" s="1650"/>
      <c r="BE152" s="1652"/>
      <c r="BF152" s="1648"/>
      <c r="BG152" s="1648"/>
      <c r="BH152" s="1648"/>
      <c r="BI152" s="1650"/>
      <c r="BJ152" s="1652"/>
      <c r="BK152" s="1648"/>
      <c r="BL152" s="1648"/>
      <c r="BM152" s="1648"/>
      <c r="BN152" s="1648"/>
      <c r="BO152" s="1652"/>
      <c r="BP152" s="1648"/>
      <c r="BQ152" s="1648"/>
      <c r="BR152" s="1648"/>
      <c r="BS152" s="1648"/>
      <c r="BT152" s="1652"/>
      <c r="BU152" s="1648"/>
      <c r="BV152" s="1648"/>
      <c r="BW152" s="1648"/>
      <c r="BX152" s="1648"/>
      <c r="BY152" s="1656"/>
      <c r="BZ152" s="1656"/>
      <c r="CA152" s="1657"/>
      <c r="CF152" s="2298">
        <f t="shared" si="197"/>
        <v>0</v>
      </c>
      <c r="CG152" s="1653"/>
      <c r="CH152" s="1654"/>
      <c r="CI152" s="1654"/>
      <c r="CJ152" s="1654"/>
      <c r="CK152" s="1654"/>
      <c r="CL152" s="1648"/>
      <c r="CM152" s="1650"/>
      <c r="CN152" s="1650"/>
      <c r="CO152" s="1650"/>
      <c r="CP152" s="1650"/>
      <c r="CQ152" s="1650"/>
      <c r="CR152" s="1650"/>
      <c r="CS152" s="1650"/>
      <c r="CT152" s="1650"/>
      <c r="CU152" s="1650"/>
      <c r="CV152" s="1650"/>
      <c r="CW152" s="1648"/>
      <c r="CX152" s="1648"/>
      <c r="CY152" s="1648"/>
      <c r="CZ152" s="1657"/>
      <c r="DA152" s="1657"/>
      <c r="DB152" s="1657"/>
    </row>
    <row r="153" spans="1:106" ht="12" customHeight="1">
      <c r="A153" s="1412" t="s">
        <v>57</v>
      </c>
      <c r="B153" s="1658">
        <v>2001</v>
      </c>
      <c r="C153" s="1658">
        <v>2002</v>
      </c>
      <c r="D153" s="1658">
        <v>2003</v>
      </c>
      <c r="E153" s="1658">
        <v>2004</v>
      </c>
      <c r="F153" s="1658">
        <v>2005</v>
      </c>
      <c r="G153" s="1414" t="s">
        <v>0</v>
      </c>
      <c r="H153" s="1414" t="s">
        <v>1</v>
      </c>
      <c r="I153" s="1414" t="s">
        <v>2</v>
      </c>
      <c r="J153" s="1414" t="s">
        <v>3</v>
      </c>
      <c r="K153" s="1415">
        <v>2006</v>
      </c>
      <c r="L153" s="1414" t="s">
        <v>4</v>
      </c>
      <c r="M153" s="1414" t="s">
        <v>5</v>
      </c>
      <c r="N153" s="1414" t="s">
        <v>6</v>
      </c>
      <c r="O153" s="1414" t="s">
        <v>7</v>
      </c>
      <c r="P153" s="1415">
        <v>2007</v>
      </c>
      <c r="Q153" s="1414" t="s">
        <v>8</v>
      </c>
      <c r="R153" s="1414" t="s">
        <v>9</v>
      </c>
      <c r="S153" s="1414" t="s">
        <v>10</v>
      </c>
      <c r="T153" s="1414" t="s">
        <v>11</v>
      </c>
      <c r="U153" s="1415">
        <v>2008</v>
      </c>
      <c r="V153" s="1414" t="s">
        <v>12</v>
      </c>
      <c r="W153" s="1414" t="s">
        <v>13</v>
      </c>
      <c r="X153" s="1414" t="s">
        <v>14</v>
      </c>
      <c r="Y153" s="1414" t="s">
        <v>15</v>
      </c>
      <c r="Z153" s="1415">
        <v>2009</v>
      </c>
      <c r="AA153" s="1414" t="s">
        <v>16</v>
      </c>
      <c r="AB153" s="1414" t="s">
        <v>17</v>
      </c>
      <c r="AC153" s="1414" t="s">
        <v>18</v>
      </c>
      <c r="AD153" s="1414" t="s">
        <v>19</v>
      </c>
      <c r="AE153" s="1415">
        <v>2010</v>
      </c>
      <c r="AF153" s="1414" t="s">
        <v>20</v>
      </c>
      <c r="AG153" s="1414" t="s">
        <v>21</v>
      </c>
      <c r="AH153" s="1414" t="s">
        <v>22</v>
      </c>
      <c r="AI153" s="1414" t="s">
        <v>23</v>
      </c>
      <c r="AJ153" s="1415">
        <v>2011</v>
      </c>
      <c r="AK153" s="1414" t="s">
        <v>24</v>
      </c>
      <c r="AL153" s="1414" t="str">
        <f>AL78</f>
        <v>2Q12</v>
      </c>
      <c r="AM153" s="1414" t="str">
        <f>AM78</f>
        <v>3Q12</v>
      </c>
      <c r="AN153" s="1414" t="str">
        <f>AN78</f>
        <v>4Q12</v>
      </c>
      <c r="AO153" s="1415">
        <f>AO78</f>
        <v>2012</v>
      </c>
      <c r="AP153" s="1414" t="s">
        <v>28</v>
      </c>
      <c r="AQ153" s="1414" t="str">
        <f t="shared" ref="AQ153:CA153" si="198">AQ78</f>
        <v>2Q13R</v>
      </c>
      <c r="AR153" s="1414" t="str">
        <f t="shared" si="198"/>
        <v>3Q13R</v>
      </c>
      <c r="AS153" s="1414" t="str">
        <f t="shared" si="198"/>
        <v>4Q13R</v>
      </c>
      <c r="AT153" s="1415">
        <f t="shared" si="198"/>
        <v>2013</v>
      </c>
      <c r="AU153" s="1414" t="str">
        <f t="shared" si="198"/>
        <v>1Q14</v>
      </c>
      <c r="AV153" s="1414" t="str">
        <f t="shared" si="198"/>
        <v>2Q14</v>
      </c>
      <c r="AW153" s="1414" t="str">
        <f t="shared" si="198"/>
        <v>3Q14</v>
      </c>
      <c r="AX153" s="1414" t="str">
        <f t="shared" si="198"/>
        <v>4Q14</v>
      </c>
      <c r="AY153" s="1415">
        <f t="shared" si="198"/>
        <v>2014</v>
      </c>
      <c r="AZ153" s="1414" t="str">
        <f t="shared" si="198"/>
        <v>1Q15</v>
      </c>
      <c r="BA153" s="1414" t="str">
        <f t="shared" si="198"/>
        <v>2Q15</v>
      </c>
      <c r="BB153" s="1414" t="str">
        <f t="shared" si="198"/>
        <v>3Q15</v>
      </c>
      <c r="BC153" s="1414" t="str">
        <f t="shared" si="198"/>
        <v>4Q15</v>
      </c>
      <c r="BD153" s="1415">
        <f t="shared" si="198"/>
        <v>2015</v>
      </c>
      <c r="BE153" s="1414" t="str">
        <f t="shared" si="198"/>
        <v>1Q16</v>
      </c>
      <c r="BF153" s="1414" t="str">
        <f t="shared" si="198"/>
        <v>2Q16</v>
      </c>
      <c r="BG153" s="1414" t="str">
        <f t="shared" si="198"/>
        <v>3Q16</v>
      </c>
      <c r="BH153" s="1414" t="str">
        <f t="shared" si="198"/>
        <v>4Q16</v>
      </c>
      <c r="BI153" s="1415">
        <f t="shared" si="198"/>
        <v>2016</v>
      </c>
      <c r="BJ153" s="1414" t="str">
        <f t="shared" si="198"/>
        <v>1Q17</v>
      </c>
      <c r="BK153" s="1414" t="str">
        <f t="shared" si="198"/>
        <v>2Q17</v>
      </c>
      <c r="BL153" s="1414" t="str">
        <f t="shared" si="198"/>
        <v>3Q17</v>
      </c>
      <c r="BM153" s="1414" t="str">
        <f t="shared" si="198"/>
        <v>4Q17</v>
      </c>
      <c r="BN153" s="1415">
        <f t="shared" si="198"/>
        <v>2017</v>
      </c>
      <c r="BO153" s="1414" t="str">
        <f t="shared" si="198"/>
        <v>1Q18E</v>
      </c>
      <c r="BP153" s="1414" t="str">
        <f t="shared" si="198"/>
        <v>2Q18E</v>
      </c>
      <c r="BQ153" s="1414" t="str">
        <f t="shared" si="198"/>
        <v>3Q18E</v>
      </c>
      <c r="BR153" s="1414" t="str">
        <f t="shared" si="198"/>
        <v>4Q18E</v>
      </c>
      <c r="BS153" s="1415" t="str">
        <f t="shared" si="198"/>
        <v>2018E</v>
      </c>
      <c r="BT153" s="1414" t="str">
        <f t="shared" si="198"/>
        <v>1Q19E</v>
      </c>
      <c r="BU153" s="1414" t="str">
        <f t="shared" si="198"/>
        <v>2Q19E</v>
      </c>
      <c r="BV153" s="1414" t="str">
        <f t="shared" si="198"/>
        <v>3Q19E</v>
      </c>
      <c r="BW153" s="1414" t="str">
        <f t="shared" si="198"/>
        <v>4Q19E</v>
      </c>
      <c r="BX153" s="1415" t="str">
        <f t="shared" si="198"/>
        <v>2019E</v>
      </c>
      <c r="BY153" s="1659" t="str">
        <f t="shared" si="198"/>
        <v>2020E</v>
      </c>
      <c r="BZ153" s="1659" t="str">
        <f t="shared" si="198"/>
        <v>2021E</v>
      </c>
      <c r="CA153" s="1659" t="str">
        <f t="shared" si="198"/>
        <v>2022E</v>
      </c>
      <c r="CF153" s="1582" t="str">
        <f t="shared" si="197"/>
        <v>Fiscal Year Ending December 31</v>
      </c>
      <c r="CG153" s="1413">
        <f>+B153</f>
        <v>2001</v>
      </c>
      <c r="CH153" s="1413">
        <f>+C153</f>
        <v>2002</v>
      </c>
      <c r="CI153" s="1413">
        <f>+D153</f>
        <v>2003</v>
      </c>
      <c r="CJ153" s="1413">
        <f>+E153</f>
        <v>2004</v>
      </c>
      <c r="CK153" s="1413">
        <f>+F153</f>
        <v>2005</v>
      </c>
      <c r="CL153" s="1415">
        <f>+K153</f>
        <v>2006</v>
      </c>
      <c r="CM153" s="1415">
        <f>+P153</f>
        <v>2007</v>
      </c>
      <c r="CN153" s="1415">
        <f>+U153</f>
        <v>2008</v>
      </c>
      <c r="CO153" s="1415">
        <f>+Z153</f>
        <v>2009</v>
      </c>
      <c r="CP153" s="1415">
        <f>+AE153</f>
        <v>2010</v>
      </c>
      <c r="CQ153" s="1415">
        <f>+AJ153</f>
        <v>2011</v>
      </c>
      <c r="CR153" s="1415">
        <f>+AO153</f>
        <v>2012</v>
      </c>
      <c r="CS153" s="1415">
        <f>+AT153</f>
        <v>2013</v>
      </c>
      <c r="CT153" s="1415">
        <f>+AY153</f>
        <v>2014</v>
      </c>
      <c r="CU153" s="1415">
        <f>+BD153</f>
        <v>2015</v>
      </c>
      <c r="CV153" s="1660">
        <f>+BI153</f>
        <v>2016</v>
      </c>
      <c r="CW153" s="1415">
        <f>+BN153</f>
        <v>2017</v>
      </c>
      <c r="CX153" s="1415" t="str">
        <f>+BS153</f>
        <v>2018E</v>
      </c>
      <c r="CY153" s="1415" t="str">
        <f>+BX153</f>
        <v>2019E</v>
      </c>
      <c r="CZ153" s="1659" t="str">
        <f>+BY153</f>
        <v>2020E</v>
      </c>
      <c r="DA153" s="1659" t="str">
        <f>+BZ153</f>
        <v>2021E</v>
      </c>
      <c r="DB153" s="1659" t="str">
        <f>+CA153</f>
        <v>2022E</v>
      </c>
    </row>
    <row r="154" spans="1:106">
      <c r="A154" s="788" t="s">
        <v>328</v>
      </c>
      <c r="G154" s="1319"/>
      <c r="H154" s="1319"/>
      <c r="I154" s="1319"/>
      <c r="J154" s="1661"/>
      <c r="K154" s="1278"/>
      <c r="L154" s="1319"/>
      <c r="M154" s="1319"/>
      <c r="N154" s="1319"/>
      <c r="O154" s="1661"/>
      <c r="P154" s="1278"/>
      <c r="Q154" s="1319"/>
      <c r="R154" s="1319"/>
      <c r="S154" s="1319"/>
      <c r="T154" s="1661"/>
      <c r="U154" s="1278"/>
      <c r="Z154" s="1423"/>
      <c r="AE154" s="1423"/>
      <c r="AJ154" s="1423"/>
      <c r="AO154" s="1426"/>
      <c r="AT154" s="1426"/>
      <c r="AY154" s="1426"/>
      <c r="BD154" s="1426"/>
      <c r="BI154" s="1426"/>
      <c r="BN154" s="1423"/>
      <c r="BS154" s="1423"/>
      <c r="BX154" s="1423"/>
      <c r="BY154" s="1422"/>
      <c r="BZ154" s="1422"/>
      <c r="CA154" s="1422"/>
      <c r="CF154" s="1421" t="str">
        <f t="shared" si="197"/>
        <v>Additional Revenue Metrics</v>
      </c>
      <c r="CG154" s="1271"/>
      <c r="CH154" s="1271"/>
      <c r="CI154" s="1271"/>
      <c r="CJ154" s="1271"/>
      <c r="CK154" s="1271"/>
      <c r="CL154" s="1278"/>
      <c r="CM154" s="1423"/>
      <c r="CN154" s="1423"/>
      <c r="CO154" s="1423"/>
      <c r="CP154" s="1423"/>
      <c r="CQ154" s="1423"/>
      <c r="CR154" s="1426"/>
      <c r="CS154" s="1426"/>
      <c r="CT154" s="1426"/>
      <c r="CU154" s="1426"/>
      <c r="CV154" s="1662"/>
      <c r="CW154" s="1423"/>
      <c r="CX154" s="1423"/>
      <c r="CY154" s="1423"/>
      <c r="CZ154" s="1422"/>
      <c r="DA154" s="1422"/>
      <c r="DB154" s="1422"/>
    </row>
    <row r="155" spans="1:106">
      <c r="A155" s="788" t="s">
        <v>314</v>
      </c>
      <c r="G155" s="1319"/>
      <c r="H155" s="1319"/>
      <c r="I155" s="1319"/>
      <c r="J155" s="1278"/>
      <c r="K155" s="1278"/>
      <c r="L155" s="1319"/>
      <c r="M155" s="1319"/>
      <c r="N155" s="1319"/>
      <c r="O155" s="1278"/>
      <c r="P155" s="1278"/>
      <c r="Q155" s="1319"/>
      <c r="R155" s="1319"/>
      <c r="S155" s="1319"/>
      <c r="T155" s="1278"/>
      <c r="U155" s="1278"/>
      <c r="Z155" s="1423"/>
      <c r="AE155" s="1423"/>
      <c r="AJ155" s="1423"/>
      <c r="AO155" s="1423"/>
      <c r="AT155" s="1423"/>
      <c r="AY155" s="1423"/>
      <c r="BB155" s="1663"/>
      <c r="BD155" s="1423"/>
      <c r="BI155" s="1423"/>
      <c r="BN155" s="1423"/>
      <c r="BS155" s="1423"/>
      <c r="BX155" s="1423"/>
      <c r="BY155" s="1422"/>
      <c r="BZ155" s="1422"/>
      <c r="CA155" s="1422"/>
      <c r="CF155" s="1421" t="str">
        <f t="shared" si="197"/>
        <v>Standard &amp; Poor's Ratings</v>
      </c>
      <c r="CG155" s="1271"/>
      <c r="CH155" s="1271"/>
      <c r="CI155" s="1271"/>
      <c r="CJ155" s="1271"/>
      <c r="CK155" s="1271"/>
      <c r="CL155" s="1278"/>
      <c r="CM155" s="1423"/>
      <c r="CN155" s="1423"/>
      <c r="CO155" s="1423"/>
      <c r="CP155" s="1423"/>
      <c r="CQ155" s="1423"/>
      <c r="CR155" s="1423"/>
      <c r="CS155" s="1423"/>
      <c r="CT155" s="1423"/>
      <c r="CU155" s="1423"/>
      <c r="CV155" s="1425"/>
      <c r="CW155" s="1423"/>
      <c r="CX155" s="1423"/>
      <c r="CY155" s="1423"/>
      <c r="CZ155" s="1422"/>
      <c r="DA155" s="1422"/>
      <c r="DB155" s="1422"/>
    </row>
    <row r="156" spans="1:106" s="762" customFormat="1">
      <c r="A156" s="762" t="s">
        <v>329</v>
      </c>
      <c r="B156" s="1287"/>
      <c r="C156" s="1287"/>
      <c r="D156" s="1287"/>
      <c r="E156" s="1287"/>
      <c r="F156" s="1287"/>
      <c r="G156" s="1319" t="s">
        <v>249</v>
      </c>
      <c r="H156" s="1319" t="s">
        <v>249</v>
      </c>
      <c r="I156" s="1319" t="s">
        <v>249</v>
      </c>
      <c r="J156" s="1278" t="s">
        <v>249</v>
      </c>
      <c r="K156" s="1278" t="s">
        <v>249</v>
      </c>
      <c r="L156" s="1319" t="s">
        <v>249</v>
      </c>
      <c r="M156" s="1319" t="s">
        <v>249</v>
      </c>
      <c r="N156" s="1319" t="s">
        <v>249</v>
      </c>
      <c r="O156" s="1278" t="s">
        <v>249</v>
      </c>
      <c r="P156" s="1278" t="s">
        <v>249</v>
      </c>
      <c r="Q156" s="1319" t="s">
        <v>249</v>
      </c>
      <c r="R156" s="1319" t="s">
        <v>249</v>
      </c>
      <c r="S156" s="1319" t="s">
        <v>249</v>
      </c>
      <c r="T156" s="1278" t="s">
        <v>249</v>
      </c>
      <c r="U156" s="1278" t="s">
        <v>249</v>
      </c>
      <c r="V156" s="2027">
        <v>115.9</v>
      </c>
      <c r="W156" s="2027">
        <v>150.19999999999999</v>
      </c>
      <c r="X156" s="2027">
        <v>129.4</v>
      </c>
      <c r="Y156" s="2027">
        <v>154.19999999999999</v>
      </c>
      <c r="Z156" s="1270">
        <f>SUM(V156:Y156)</f>
        <v>549.70000000000005</v>
      </c>
      <c r="AA156" s="2027">
        <v>150.4</v>
      </c>
      <c r="AB156" s="2027">
        <v>148.9</v>
      </c>
      <c r="AC156" s="2027">
        <v>163.1</v>
      </c>
      <c r="AD156" s="2027">
        <v>199.9</v>
      </c>
      <c r="AE156" s="1270">
        <f>SUM(AA156:AD156)</f>
        <v>662.3</v>
      </c>
      <c r="AF156" s="2027">
        <v>176</v>
      </c>
      <c r="AG156" s="2027">
        <v>196</v>
      </c>
      <c r="AH156" s="2027">
        <v>131</v>
      </c>
      <c r="AI156" s="2027">
        <v>148</v>
      </c>
      <c r="AJ156" s="1270">
        <f>SUM(AF156:AI156)</f>
        <v>651</v>
      </c>
      <c r="AK156" s="2027">
        <v>194</v>
      </c>
      <c r="AL156" s="2027">
        <v>203</v>
      </c>
      <c r="AM156" s="2027">
        <v>215</v>
      </c>
      <c r="AN156" s="2027">
        <v>292</v>
      </c>
      <c r="AO156" s="1270">
        <f>SUM(AK156:AN156)</f>
        <v>904</v>
      </c>
      <c r="AP156" s="2027">
        <v>264</v>
      </c>
      <c r="AQ156" s="2027">
        <v>287</v>
      </c>
      <c r="AR156" s="2028">
        <v>227</v>
      </c>
      <c r="AS156" s="2027">
        <v>257</v>
      </c>
      <c r="AT156" s="1270">
        <f>SUM(AP156:AS156)</f>
        <v>1035</v>
      </c>
      <c r="AU156" s="2027">
        <v>245</v>
      </c>
      <c r="AV156" s="2027">
        <v>327</v>
      </c>
      <c r="AW156" s="2027">
        <v>269</v>
      </c>
      <c r="AX156" s="2026">
        <v>288</v>
      </c>
      <c r="AY156" s="1270">
        <f>SUM(AU156:AX156)</f>
        <v>1129</v>
      </c>
      <c r="AZ156" s="2027">
        <v>289</v>
      </c>
      <c r="BA156" s="2027">
        <v>329</v>
      </c>
      <c r="BB156" s="2027">
        <v>244</v>
      </c>
      <c r="BC156" s="2028">
        <v>247</v>
      </c>
      <c r="BD156" s="1270">
        <f>SUM(AZ156:BC156)</f>
        <v>1109</v>
      </c>
      <c r="BE156" s="2026">
        <v>225</v>
      </c>
      <c r="BF156" s="2026">
        <v>343</v>
      </c>
      <c r="BG156" s="2026">
        <v>299</v>
      </c>
      <c r="BH156" s="2026">
        <v>311</v>
      </c>
      <c r="BI156" s="1270">
        <f>SUM(BE156:BH156)</f>
        <v>1178</v>
      </c>
      <c r="BJ156" s="2026">
        <v>373</v>
      </c>
      <c r="BK156" s="2027">
        <v>394</v>
      </c>
      <c r="BL156" s="2164">
        <v>372</v>
      </c>
      <c r="BM156" s="2164">
        <v>401</v>
      </c>
      <c r="BN156" s="1270">
        <f>SUM(BJ156:BM156)</f>
        <v>1540</v>
      </c>
      <c r="BO156" s="2164">
        <v>368</v>
      </c>
      <c r="BP156" s="762">
        <f>(1+BP157)*BK156</f>
        <v>426.31290742815088</v>
      </c>
      <c r="BQ156" s="762">
        <f>(1+BQ157)*BL156</f>
        <v>397.86662309128951</v>
      </c>
      <c r="BR156" s="762">
        <f>(1+BR157)*BM156</f>
        <v>413.96393759036323</v>
      </c>
      <c r="BS156" s="1270">
        <f>SUM(BO156:BR156)</f>
        <v>1606.1434681098037</v>
      </c>
      <c r="BT156" s="762">
        <f>(1+BT157)*BO156</f>
        <v>390.08000000000004</v>
      </c>
      <c r="BU156" s="762">
        <f>(1+BU157)*BP156</f>
        <v>451.89168187383996</v>
      </c>
      <c r="BV156" s="762">
        <f>(1+BV157)*BQ156</f>
        <v>421.73862047676693</v>
      </c>
      <c r="BW156" s="762">
        <f>(1+BW157)*BR156</f>
        <v>438.80177384578502</v>
      </c>
      <c r="BX156" s="1270">
        <f>SUM(BT156:BW156)</f>
        <v>1702.5120761963919</v>
      </c>
      <c r="BY156" s="1290">
        <f>(1+BY157)*BX156</f>
        <v>1804.6628007681757</v>
      </c>
      <c r="BZ156" s="1290">
        <f>(1+BZ157)*BY156</f>
        <v>1912.9425688142662</v>
      </c>
      <c r="CA156" s="1290">
        <f>(1+CA157)*BZ156</f>
        <v>2027.7191229431223</v>
      </c>
      <c r="CB156" s="1432">
        <f>(CA156/BN156)^(1/5)-1</f>
        <v>5.6567907622463887E-2</v>
      </c>
      <c r="CF156" s="1270" t="str">
        <f t="shared" si="197"/>
        <v>Transaction</v>
      </c>
      <c r="CL156" s="1278"/>
      <c r="CM156" s="1270"/>
      <c r="CN156" s="1270"/>
      <c r="CO156" s="1270">
        <f>+Z156</f>
        <v>549.70000000000005</v>
      </c>
      <c r="CP156" s="1270">
        <f>+AE156</f>
        <v>662.3</v>
      </c>
      <c r="CQ156" s="1270">
        <f>+AJ156</f>
        <v>651</v>
      </c>
      <c r="CR156" s="1270">
        <f>+AO156</f>
        <v>904</v>
      </c>
      <c r="CS156" s="1270">
        <f>+AT156</f>
        <v>1035</v>
      </c>
      <c r="CT156" s="1270">
        <f>+AY156</f>
        <v>1129</v>
      </c>
      <c r="CU156" s="1270">
        <f>+BD156</f>
        <v>1109</v>
      </c>
      <c r="CV156" s="1273">
        <f>+BI156</f>
        <v>1178</v>
      </c>
      <c r="CW156" s="1270">
        <f t="shared" ref="CW156:CW161" si="199">+BN156</f>
        <v>1540</v>
      </c>
      <c r="CX156" s="1270">
        <f t="shared" ref="CX156:CX161" si="200">+BS156</f>
        <v>1606.1434681098037</v>
      </c>
      <c r="CY156" s="1270">
        <f t="shared" ref="CY156:DB161" si="201">+BX156</f>
        <v>1702.5120761963919</v>
      </c>
      <c r="CZ156" s="1290">
        <f t="shared" si="201"/>
        <v>1804.6628007681757</v>
      </c>
      <c r="DA156" s="1290">
        <f t="shared" si="201"/>
        <v>1912.9425688142662</v>
      </c>
      <c r="DB156" s="1290">
        <f t="shared" si="201"/>
        <v>2027.7191229431223</v>
      </c>
    </row>
    <row r="157" spans="1:106" ht="12" customHeight="1">
      <c r="A157" s="1485" t="s">
        <v>294</v>
      </c>
      <c r="B157" s="779">
        <v>0.16</v>
      </c>
      <c r="C157" s="1610">
        <f>C12/B12-1</f>
        <v>0.11230329041487841</v>
      </c>
      <c r="D157" s="1610">
        <f>D12/C12-1</f>
        <v>0.13697749196141484</v>
      </c>
      <c r="E157" s="1610">
        <f>E12/D12-1</f>
        <v>0.16233031674208154</v>
      </c>
      <c r="F157" s="1610">
        <f>F12/E12-1</f>
        <v>0.1683698296836984</v>
      </c>
      <c r="G157" s="1319"/>
      <c r="H157" s="1319"/>
      <c r="I157" s="1319"/>
      <c r="J157" s="1278"/>
      <c r="K157" s="1278"/>
      <c r="L157" s="1319"/>
      <c r="M157" s="1319"/>
      <c r="N157" s="1319"/>
      <c r="O157" s="1278"/>
      <c r="P157" s="1278"/>
      <c r="Q157" s="1319"/>
      <c r="R157" s="1319"/>
      <c r="S157" s="1319"/>
      <c r="T157" s="1278"/>
      <c r="U157" s="1278"/>
      <c r="V157" s="1319"/>
      <c r="W157" s="1319"/>
      <c r="X157" s="1319"/>
      <c r="Y157" s="1278"/>
      <c r="Z157" s="1278"/>
      <c r="AA157" s="1408">
        <f t="shared" ref="AA157:BO157" si="202">AA156/V156-1</f>
        <v>0.29767040552200164</v>
      </c>
      <c r="AB157" s="1408">
        <f t="shared" si="202"/>
        <v>-8.6551264980025966E-3</v>
      </c>
      <c r="AC157" s="1408">
        <f t="shared" si="202"/>
        <v>0.26043276661514669</v>
      </c>
      <c r="AD157" s="1408">
        <f t="shared" si="202"/>
        <v>0.29636835278858631</v>
      </c>
      <c r="AE157" s="1342">
        <f t="shared" si="202"/>
        <v>0.20483900309259573</v>
      </c>
      <c r="AF157" s="1408">
        <f t="shared" si="202"/>
        <v>0.17021276595744683</v>
      </c>
      <c r="AG157" s="1408">
        <f t="shared" si="202"/>
        <v>0.31631967763599733</v>
      </c>
      <c r="AH157" s="1408">
        <f t="shared" si="202"/>
        <v>-0.19681177191906807</v>
      </c>
      <c r="AI157" s="1408">
        <f t="shared" si="202"/>
        <v>-0.25962981490745374</v>
      </c>
      <c r="AJ157" s="1342">
        <f t="shared" si="202"/>
        <v>-1.7061754491922043E-2</v>
      </c>
      <c r="AK157" s="1408">
        <f t="shared" si="202"/>
        <v>0.10227272727272729</v>
      </c>
      <c r="AL157" s="1610">
        <f t="shared" si="202"/>
        <v>3.5714285714285809E-2</v>
      </c>
      <c r="AM157" s="1610">
        <f t="shared" si="202"/>
        <v>0.64122137404580148</v>
      </c>
      <c r="AN157" s="1408">
        <f t="shared" si="202"/>
        <v>0.97297297297297303</v>
      </c>
      <c r="AO157" s="693">
        <f t="shared" si="202"/>
        <v>0.38863287250384015</v>
      </c>
      <c r="AP157" s="1408">
        <f t="shared" si="202"/>
        <v>0.36082474226804129</v>
      </c>
      <c r="AQ157" s="1610">
        <f t="shared" si="202"/>
        <v>0.4137931034482758</v>
      </c>
      <c r="AR157" s="1610">
        <f t="shared" si="202"/>
        <v>5.5813953488372148E-2</v>
      </c>
      <c r="AS157" s="1610">
        <f t="shared" si="202"/>
        <v>-0.11986301369863017</v>
      </c>
      <c r="AT157" s="1342">
        <f t="shared" si="202"/>
        <v>0.14491150442477885</v>
      </c>
      <c r="AU157" s="1408">
        <f t="shared" si="202"/>
        <v>-7.1969696969697017E-2</v>
      </c>
      <c r="AV157" s="1610">
        <f t="shared" si="202"/>
        <v>0.13937282229965153</v>
      </c>
      <c r="AW157" s="1610">
        <f t="shared" si="202"/>
        <v>0.18502202643171817</v>
      </c>
      <c r="AX157" s="1610">
        <f t="shared" si="202"/>
        <v>0.12062256809338523</v>
      </c>
      <c r="AY157" s="1342">
        <f t="shared" si="202"/>
        <v>9.0821256038647435E-2</v>
      </c>
      <c r="AZ157" s="1408">
        <f t="shared" si="202"/>
        <v>0.17959183673469381</v>
      </c>
      <c r="BA157" s="1408">
        <f t="shared" si="202"/>
        <v>6.1162079510703737E-3</v>
      </c>
      <c r="BB157" s="1408">
        <f t="shared" si="202"/>
        <v>-9.2936802973977661E-2</v>
      </c>
      <c r="BC157" s="1408">
        <f t="shared" si="202"/>
        <v>-0.14236111111111116</v>
      </c>
      <c r="BD157" s="1342">
        <f>BD156/AY156-1</f>
        <v>-1.7714791851195733E-2</v>
      </c>
      <c r="BE157" s="1408">
        <f t="shared" si="202"/>
        <v>-0.22145328719723179</v>
      </c>
      <c r="BF157" s="1408">
        <f t="shared" si="202"/>
        <v>4.2553191489361764E-2</v>
      </c>
      <c r="BG157" s="1408">
        <f t="shared" si="202"/>
        <v>0.22540983606557385</v>
      </c>
      <c r="BH157" s="1408">
        <f t="shared" si="202"/>
        <v>0.25910931174089069</v>
      </c>
      <c r="BI157" s="1342">
        <f>BI156/BD156-1</f>
        <v>6.2218214607754785E-2</v>
      </c>
      <c r="BJ157" s="1408">
        <f t="shared" si="202"/>
        <v>0.65777777777777779</v>
      </c>
      <c r="BK157" s="692">
        <f t="shared" si="202"/>
        <v>0.14868804664723023</v>
      </c>
      <c r="BL157" s="692">
        <f t="shared" si="202"/>
        <v>0.24414715719063551</v>
      </c>
      <c r="BM157" s="692">
        <f t="shared" si="202"/>
        <v>0.28938906752411575</v>
      </c>
      <c r="BN157" s="1342">
        <f>BN156/BI156-1</f>
        <v>0.30730050933786068</v>
      </c>
      <c r="BO157" s="1408">
        <f t="shared" si="202"/>
        <v>-1.3404825737265424E-2</v>
      </c>
      <c r="BP157" s="692">
        <f>CHOOSE(MHFI!$A$3,BP158,BP159,BP160)</f>
        <v>8.2012455401398149E-2</v>
      </c>
      <c r="BQ157" s="692">
        <f>CHOOSE(MHFI!$A$3,BQ158,BQ159,BQ160)</f>
        <v>6.9533933041100823E-2</v>
      </c>
      <c r="BR157" s="692">
        <f>CHOOSE(MHFI!$A$3,BR158,BR159,BR160)</f>
        <v>3.2329021422352132E-2</v>
      </c>
      <c r="BS157" s="1342">
        <f>BS156/BN156-1</f>
        <v>4.2950303967405068E-2</v>
      </c>
      <c r="BT157" s="692">
        <f>CHOOSE(MHFI!$A$3,BT158,BT159,BT160)</f>
        <v>0.06</v>
      </c>
      <c r="BU157" s="692">
        <f>CHOOSE(MHFI!$A$3,BU158,BU159,BU160)</f>
        <v>0.06</v>
      </c>
      <c r="BV157" s="692">
        <f>CHOOSE(MHFI!$A$3,BV158,BV159,BV160)</f>
        <v>0.06</v>
      </c>
      <c r="BW157" s="692">
        <f>CHOOSE(MHFI!$A$3,BW158,BW159,BW160)</f>
        <v>0.06</v>
      </c>
      <c r="BX157" s="1342">
        <f>BX156/BS156-1</f>
        <v>6.0000000000000053E-2</v>
      </c>
      <c r="BY157" s="783">
        <f>CHOOSE(MHFI!$A$3,BY158,BY159,BY160)</f>
        <v>0.06</v>
      </c>
      <c r="BZ157" s="783">
        <f>CHOOSE(MHFI!$A$3,BZ158,BZ159,BZ160)</f>
        <v>0.06</v>
      </c>
      <c r="CA157" s="783">
        <f>CHOOSE(MHFI!$A$3,CA158,CA159,CA160)</f>
        <v>0.06</v>
      </c>
      <c r="CF157" s="1487" t="str">
        <f t="shared" si="197"/>
        <v>y/y chg</v>
      </c>
      <c r="CG157" s="747">
        <f>+B157</f>
        <v>0.16</v>
      </c>
      <c r="CH157" s="1342">
        <f>+C157</f>
        <v>0.11230329041487841</v>
      </c>
      <c r="CI157" s="1342">
        <f>+D157</f>
        <v>0.13697749196141484</v>
      </c>
      <c r="CJ157" s="1342">
        <f>+E157</f>
        <v>0.16233031674208154</v>
      </c>
      <c r="CK157" s="1342">
        <f>+F157</f>
        <v>0.1683698296836984</v>
      </c>
      <c r="CL157" s="1278">
        <f>+K157</f>
        <v>0</v>
      </c>
      <c r="CM157" s="1342"/>
      <c r="CN157" s="1342"/>
      <c r="CO157" s="1342">
        <f>+Z157</f>
        <v>0</v>
      </c>
      <c r="CP157" s="1342">
        <f>+AE157</f>
        <v>0.20483900309259573</v>
      </c>
      <c r="CQ157" s="1342">
        <f>+AJ157</f>
        <v>-1.7061754491922043E-2</v>
      </c>
      <c r="CR157" s="693">
        <f>+AO157</f>
        <v>0.38863287250384015</v>
      </c>
      <c r="CS157" s="1342">
        <f>+AT157</f>
        <v>0.14491150442477885</v>
      </c>
      <c r="CT157" s="1342">
        <f>+AY157</f>
        <v>9.0821256038647435E-2</v>
      </c>
      <c r="CU157" s="1342">
        <f>+BD157</f>
        <v>-1.7714791851195733E-2</v>
      </c>
      <c r="CV157" s="1488">
        <f>+BI157</f>
        <v>6.2218214607754785E-2</v>
      </c>
      <c r="CW157" s="751">
        <f t="shared" si="199"/>
        <v>0.30730050933786068</v>
      </c>
      <c r="CX157" s="751">
        <f t="shared" si="200"/>
        <v>4.2950303967405068E-2</v>
      </c>
      <c r="CY157" s="751">
        <f t="shared" si="201"/>
        <v>6.0000000000000053E-2</v>
      </c>
      <c r="CZ157" s="752">
        <f t="shared" si="201"/>
        <v>0.06</v>
      </c>
      <c r="DA157" s="752">
        <f t="shared" si="201"/>
        <v>0.06</v>
      </c>
      <c r="DB157" s="752">
        <f t="shared" si="201"/>
        <v>0.06</v>
      </c>
    </row>
    <row r="158" spans="1:106" ht="12" hidden="1" customHeight="1" outlineLevel="1">
      <c r="A158" s="1664" t="s">
        <v>213</v>
      </c>
      <c r="B158" s="1665"/>
      <c r="C158" s="1665"/>
      <c r="D158" s="1665"/>
      <c r="E158" s="1665"/>
      <c r="F158" s="1665"/>
      <c r="G158" s="1666"/>
      <c r="H158" s="1666"/>
      <c r="I158" s="1666"/>
      <c r="J158" s="1593"/>
      <c r="K158" s="1593"/>
      <c r="L158" s="1666"/>
      <c r="M158" s="1666"/>
      <c r="N158" s="1666"/>
      <c r="O158" s="1593"/>
      <c r="P158" s="1593"/>
      <c r="Q158" s="1666"/>
      <c r="R158" s="1666"/>
      <c r="S158" s="1666"/>
      <c r="T158" s="1593"/>
      <c r="U158" s="1593"/>
      <c r="V158" s="1666"/>
      <c r="W158" s="1666"/>
      <c r="X158" s="1666"/>
      <c r="Y158" s="1593"/>
      <c r="Z158" s="1593"/>
      <c r="AA158" s="1666"/>
      <c r="AB158" s="1666"/>
      <c r="AC158" s="1666"/>
      <c r="AD158" s="1593"/>
      <c r="AE158" s="1593"/>
      <c r="AF158" s="1666"/>
      <c r="AG158" s="1666"/>
      <c r="AH158" s="1666"/>
      <c r="AI158" s="1593"/>
      <c r="AJ158" s="1593"/>
      <c r="AK158" s="1666"/>
      <c r="AL158" s="1666"/>
      <c r="AM158" s="1666"/>
      <c r="AN158" s="1593"/>
      <c r="AO158" s="1593"/>
      <c r="AP158" s="1666"/>
      <c r="AQ158" s="1666"/>
      <c r="AR158" s="1666"/>
      <c r="AS158" s="1593"/>
      <c r="AT158" s="1593"/>
      <c r="AU158" s="1666"/>
      <c r="AV158" s="1666"/>
      <c r="AW158" s="1667"/>
      <c r="AX158" s="1667"/>
      <c r="AY158" s="1594"/>
      <c r="AZ158" s="1666"/>
      <c r="BA158" s="1667"/>
      <c r="BB158" s="1667"/>
      <c r="BC158" s="1667"/>
      <c r="BD158" s="1594"/>
      <c r="BE158" s="1667"/>
      <c r="BF158" s="1667"/>
      <c r="BG158" s="1667"/>
      <c r="BH158" s="1667"/>
      <c r="BI158" s="1594"/>
      <c r="BJ158" s="1667"/>
      <c r="BK158" s="1667"/>
      <c r="BL158" s="1667"/>
      <c r="BM158" s="1667"/>
      <c r="BN158" s="1594"/>
      <c r="BO158" s="1667"/>
      <c r="BP158" s="1667">
        <f>BP159-0.1</f>
        <v>-1.7987544598601857E-2</v>
      </c>
      <c r="BQ158" s="1667">
        <f>BQ159-0.1</f>
        <v>-3.0466066958899182E-2</v>
      </c>
      <c r="BR158" s="1667">
        <f>BR159-0.1</f>
        <v>-6.7670978577647867E-2</v>
      </c>
      <c r="BS158" s="1594"/>
      <c r="BT158" s="1667">
        <f>BT159-0.1</f>
        <v>-4.0000000000000008E-2</v>
      </c>
      <c r="BU158" s="1667">
        <f t="shared" ref="BU158:BW158" si="203">BU159-0.1</f>
        <v>-4.0000000000000008E-2</v>
      </c>
      <c r="BV158" s="1667">
        <f t="shared" si="203"/>
        <v>-4.0000000000000008E-2</v>
      </c>
      <c r="BW158" s="1667">
        <f t="shared" si="203"/>
        <v>-4.0000000000000008E-2</v>
      </c>
      <c r="BX158" s="1594">
        <f>BX159-0.1</f>
        <v>-4.0000000000000008E-2</v>
      </c>
      <c r="BY158" s="1594">
        <f>BY159-0.25</f>
        <v>-0.19</v>
      </c>
      <c r="BZ158" s="1594">
        <f>BZ159-0.1</f>
        <v>-4.0000000000000008E-2</v>
      </c>
      <c r="CA158" s="1594">
        <f>CA159-0.1</f>
        <v>-4.0000000000000008E-2</v>
      </c>
      <c r="CF158" s="1590" t="str">
        <f t="shared" si="197"/>
        <v>BEAR</v>
      </c>
      <c r="CG158" s="1591"/>
      <c r="CH158" s="1592"/>
      <c r="CI158" s="1592"/>
      <c r="CJ158" s="1592"/>
      <c r="CK158" s="1592"/>
      <c r="CL158" s="1593"/>
      <c r="CM158" s="1593"/>
      <c r="CN158" s="1593"/>
      <c r="CO158" s="1593"/>
      <c r="CP158" s="1593"/>
      <c r="CQ158" s="1593"/>
      <c r="CR158" s="1593"/>
      <c r="CS158" s="1593"/>
      <c r="CT158" s="1594"/>
      <c r="CU158" s="1594"/>
      <c r="CV158" s="1595"/>
      <c r="CW158" s="1594">
        <f t="shared" si="199"/>
        <v>0</v>
      </c>
      <c r="CX158" s="1594">
        <f t="shared" si="200"/>
        <v>0</v>
      </c>
      <c r="CY158" s="1594">
        <f t="shared" si="201"/>
        <v>-4.0000000000000008E-2</v>
      </c>
      <c r="CZ158" s="1596">
        <f t="shared" si="201"/>
        <v>-0.19</v>
      </c>
      <c r="DA158" s="1596">
        <f t="shared" si="201"/>
        <v>-4.0000000000000008E-2</v>
      </c>
      <c r="DB158" s="1596">
        <f t="shared" si="201"/>
        <v>-4.0000000000000008E-2</v>
      </c>
    </row>
    <row r="159" spans="1:106" ht="12" hidden="1" customHeight="1" outlineLevel="1">
      <c r="A159" s="1664" t="s">
        <v>214</v>
      </c>
      <c r="B159" s="1665"/>
      <c r="C159" s="1665"/>
      <c r="D159" s="1665"/>
      <c r="E159" s="1665"/>
      <c r="F159" s="1665"/>
      <c r="G159" s="1666"/>
      <c r="H159" s="1666"/>
      <c r="I159" s="1666"/>
      <c r="J159" s="1593"/>
      <c r="K159" s="1593"/>
      <c r="L159" s="1666"/>
      <c r="M159" s="1666"/>
      <c r="N159" s="1666"/>
      <c r="O159" s="1593"/>
      <c r="P159" s="1593"/>
      <c r="Q159" s="1666"/>
      <c r="R159" s="1666"/>
      <c r="S159" s="1666"/>
      <c r="T159" s="1593"/>
      <c r="U159" s="1593"/>
      <c r="V159" s="1666"/>
      <c r="W159" s="1666"/>
      <c r="X159" s="1666"/>
      <c r="Y159" s="1593"/>
      <c r="Z159" s="1593"/>
      <c r="AA159" s="1666"/>
      <c r="AB159" s="1666"/>
      <c r="AC159" s="1666"/>
      <c r="AD159" s="1593"/>
      <c r="AE159" s="1593"/>
      <c r="AF159" s="1666"/>
      <c r="AG159" s="1666"/>
      <c r="AH159" s="1666"/>
      <c r="AI159" s="1593"/>
      <c r="AJ159" s="1593"/>
      <c r="AK159" s="1666"/>
      <c r="AL159" s="1666"/>
      <c r="AM159" s="1666"/>
      <c r="AN159" s="1593"/>
      <c r="AO159" s="1593"/>
      <c r="AP159" s="1666"/>
      <c r="AQ159" s="1666"/>
      <c r="AR159" s="1666"/>
      <c r="AS159" s="1593"/>
      <c r="AT159" s="1593"/>
      <c r="AU159" s="1666"/>
      <c r="AV159" s="1666"/>
      <c r="AW159" s="1667"/>
      <c r="AX159" s="1667"/>
      <c r="AY159" s="1594"/>
      <c r="AZ159" s="1666"/>
      <c r="BA159" s="1667"/>
      <c r="BB159" s="1667"/>
      <c r="BC159" s="1667"/>
      <c r="BD159" s="1594"/>
      <c r="BE159" s="1667"/>
      <c r="BF159" s="1667"/>
      <c r="BG159" s="1667"/>
      <c r="BH159" s="1667"/>
      <c r="BI159" s="1594"/>
      <c r="BJ159" s="1667"/>
      <c r="BK159" s="1667"/>
      <c r="BL159" s="1667"/>
      <c r="BM159" s="1667"/>
      <c r="BN159" s="1594"/>
      <c r="BO159" s="1667"/>
      <c r="BP159" s="2007">
        <f>5%+(BP170/BK156)</f>
        <v>8.2012455401398149E-2</v>
      </c>
      <c r="BQ159" s="2007">
        <f>5%+(BQ170/BL156)</f>
        <v>6.9533933041100823E-2</v>
      </c>
      <c r="BR159" s="2007">
        <f>2%+(BR170/BM156)</f>
        <v>3.2329021422352132E-2</v>
      </c>
      <c r="BS159" s="1594"/>
      <c r="BT159" s="2007">
        <v>0.06</v>
      </c>
      <c r="BU159" s="2007">
        <v>0.06</v>
      </c>
      <c r="BV159" s="2007">
        <v>0.06</v>
      </c>
      <c r="BW159" s="2007">
        <v>0.06</v>
      </c>
      <c r="BX159" s="1594">
        <v>0.06</v>
      </c>
      <c r="BY159" s="1995">
        <v>0.06</v>
      </c>
      <c r="BZ159" s="1995">
        <v>0.06</v>
      </c>
      <c r="CA159" s="1995">
        <v>0.06</v>
      </c>
      <c r="CF159" s="1590" t="str">
        <f t="shared" si="197"/>
        <v>BASE</v>
      </c>
      <c r="CG159" s="1591"/>
      <c r="CH159" s="1592"/>
      <c r="CI159" s="1592"/>
      <c r="CJ159" s="1592"/>
      <c r="CK159" s="1592"/>
      <c r="CL159" s="1593"/>
      <c r="CM159" s="1593"/>
      <c r="CN159" s="1593"/>
      <c r="CO159" s="1593"/>
      <c r="CP159" s="1593"/>
      <c r="CQ159" s="1593"/>
      <c r="CR159" s="1593"/>
      <c r="CS159" s="1593"/>
      <c r="CT159" s="1594"/>
      <c r="CU159" s="1594"/>
      <c r="CV159" s="1595"/>
      <c r="CW159" s="1594">
        <f t="shared" si="199"/>
        <v>0</v>
      </c>
      <c r="CX159" s="1594">
        <f t="shared" si="200"/>
        <v>0</v>
      </c>
      <c r="CY159" s="1594">
        <f t="shared" si="201"/>
        <v>0.06</v>
      </c>
      <c r="CZ159" s="1596">
        <f t="shared" si="201"/>
        <v>0.06</v>
      </c>
      <c r="DA159" s="1596">
        <f t="shared" si="201"/>
        <v>0.06</v>
      </c>
      <c r="DB159" s="1596">
        <f t="shared" si="201"/>
        <v>0.06</v>
      </c>
    </row>
    <row r="160" spans="1:106" ht="12" hidden="1" customHeight="1" outlineLevel="1">
      <c r="A160" s="1664" t="s">
        <v>215</v>
      </c>
      <c r="B160" s="1665"/>
      <c r="C160" s="1665"/>
      <c r="D160" s="1665"/>
      <c r="E160" s="1665"/>
      <c r="F160" s="1665"/>
      <c r="G160" s="1666"/>
      <c r="H160" s="1666"/>
      <c r="I160" s="1666"/>
      <c r="J160" s="1593"/>
      <c r="K160" s="1593"/>
      <c r="L160" s="1666"/>
      <c r="M160" s="1666"/>
      <c r="N160" s="1666"/>
      <c r="O160" s="1593"/>
      <c r="P160" s="1593"/>
      <c r="Q160" s="1666"/>
      <c r="R160" s="1666"/>
      <c r="S160" s="1666"/>
      <c r="T160" s="1593"/>
      <c r="U160" s="1593"/>
      <c r="V160" s="1666"/>
      <c r="W160" s="1666"/>
      <c r="X160" s="1666"/>
      <c r="Y160" s="1593"/>
      <c r="Z160" s="1593"/>
      <c r="AA160" s="1666"/>
      <c r="AB160" s="1666"/>
      <c r="AC160" s="1666"/>
      <c r="AD160" s="1593"/>
      <c r="AE160" s="1593"/>
      <c r="AF160" s="1666"/>
      <c r="AG160" s="1666"/>
      <c r="AH160" s="1666"/>
      <c r="AI160" s="1593"/>
      <c r="AJ160" s="1593"/>
      <c r="AK160" s="1666"/>
      <c r="AL160" s="1666"/>
      <c r="AM160" s="1666"/>
      <c r="AN160" s="1593"/>
      <c r="AO160" s="1593"/>
      <c r="AP160" s="1666"/>
      <c r="AQ160" s="1666"/>
      <c r="AR160" s="1666"/>
      <c r="AS160" s="1593"/>
      <c r="AT160" s="1593"/>
      <c r="AU160" s="1666"/>
      <c r="AV160" s="1666"/>
      <c r="AW160" s="1667"/>
      <c r="AX160" s="1667"/>
      <c r="AY160" s="1594"/>
      <c r="AZ160" s="1666"/>
      <c r="BA160" s="1667"/>
      <c r="BB160" s="1667"/>
      <c r="BC160" s="1667"/>
      <c r="BD160" s="1594"/>
      <c r="BE160" s="1667"/>
      <c r="BF160" s="1667"/>
      <c r="BG160" s="1667"/>
      <c r="BH160" s="1667"/>
      <c r="BI160" s="1594"/>
      <c r="BJ160" s="1667"/>
      <c r="BK160" s="1667"/>
      <c r="BL160" s="1667"/>
      <c r="BM160" s="1667"/>
      <c r="BN160" s="1594"/>
      <c r="BO160" s="1667"/>
      <c r="BP160" s="1667">
        <f>BP159+0.04</f>
        <v>0.12201245540139816</v>
      </c>
      <c r="BQ160" s="1667">
        <f>BQ159+0.04</f>
        <v>0.10953393304110082</v>
      </c>
      <c r="BR160" s="1667">
        <f>BR159+0.04</f>
        <v>7.2329021422352133E-2</v>
      </c>
      <c r="BS160" s="1594"/>
      <c r="BT160" s="1667">
        <f>BT159+0.04</f>
        <v>0.1</v>
      </c>
      <c r="BU160" s="1667">
        <f t="shared" ref="BU160:BW160" si="204">BU159+0.04</f>
        <v>0.1</v>
      </c>
      <c r="BV160" s="1667">
        <f t="shared" si="204"/>
        <v>0.1</v>
      </c>
      <c r="BW160" s="1667">
        <f t="shared" si="204"/>
        <v>0.1</v>
      </c>
      <c r="BX160" s="1594">
        <f>BX159+0.08</f>
        <v>0.14000000000000001</v>
      </c>
      <c r="BY160" s="1596">
        <f>+BX160</f>
        <v>0.14000000000000001</v>
      </c>
      <c r="BZ160" s="1596">
        <f>+BY160</f>
        <v>0.14000000000000001</v>
      </c>
      <c r="CA160" s="1596">
        <f>+BZ160</f>
        <v>0.14000000000000001</v>
      </c>
      <c r="CF160" s="1590" t="str">
        <f t="shared" si="197"/>
        <v>BULL</v>
      </c>
      <c r="CG160" s="1591"/>
      <c r="CH160" s="1592"/>
      <c r="CI160" s="1592"/>
      <c r="CJ160" s="1592"/>
      <c r="CK160" s="1592"/>
      <c r="CL160" s="1593"/>
      <c r="CM160" s="1593"/>
      <c r="CN160" s="1593"/>
      <c r="CO160" s="1593"/>
      <c r="CP160" s="1593"/>
      <c r="CQ160" s="1593"/>
      <c r="CR160" s="1593"/>
      <c r="CS160" s="1593"/>
      <c r="CT160" s="1594"/>
      <c r="CU160" s="1594"/>
      <c r="CV160" s="1595"/>
      <c r="CW160" s="1594">
        <f t="shared" si="199"/>
        <v>0</v>
      </c>
      <c r="CX160" s="1594">
        <f t="shared" si="200"/>
        <v>0</v>
      </c>
      <c r="CY160" s="1594">
        <f t="shared" si="201"/>
        <v>0.14000000000000001</v>
      </c>
      <c r="CZ160" s="1596">
        <f t="shared" si="201"/>
        <v>0.14000000000000001</v>
      </c>
      <c r="DA160" s="1596">
        <f t="shared" si="201"/>
        <v>0.14000000000000001</v>
      </c>
      <c r="DB160" s="1596">
        <f t="shared" si="201"/>
        <v>0.14000000000000001</v>
      </c>
    </row>
    <row r="161" spans="1:106" collapsed="1">
      <c r="A161" s="1485" t="s">
        <v>330</v>
      </c>
      <c r="G161" s="1319"/>
      <c r="H161" s="1319"/>
      <c r="I161" s="1319"/>
      <c r="J161" s="1278"/>
      <c r="K161" s="1278"/>
      <c r="L161" s="1319"/>
      <c r="M161" s="1319"/>
      <c r="N161" s="1319"/>
      <c r="O161" s="1278"/>
      <c r="P161" s="1278"/>
      <c r="Q161" s="1319"/>
      <c r="R161" s="1319"/>
      <c r="S161" s="1319"/>
      <c r="T161" s="1278"/>
      <c r="U161" s="1278"/>
      <c r="V161" s="1319"/>
      <c r="W161" s="1319"/>
      <c r="X161" s="1319"/>
      <c r="Y161" s="1278"/>
      <c r="Z161" s="1342">
        <f t="shared" ref="Z161:BY161" si="205">Z156/Z$12</f>
        <v>0.3575749691016718</v>
      </c>
      <c r="AA161" s="1408">
        <f t="shared" si="205"/>
        <v>0.37506234413965089</v>
      </c>
      <c r="AB161" s="1408">
        <f t="shared" si="205"/>
        <v>0.36765432098765433</v>
      </c>
      <c r="AC161" s="1408">
        <f t="shared" si="205"/>
        <v>0.3911270983213429</v>
      </c>
      <c r="AD161" s="1408">
        <f t="shared" si="205"/>
        <v>0.4235169491525424</v>
      </c>
      <c r="AE161" s="1342">
        <f t="shared" si="205"/>
        <v>0.39073746312684365</v>
      </c>
      <c r="AF161" s="1408">
        <f t="shared" si="205"/>
        <v>0.39729119638826182</v>
      </c>
      <c r="AG161" s="1408">
        <f t="shared" si="205"/>
        <v>0.40833333333333333</v>
      </c>
      <c r="AH161" s="1408">
        <f t="shared" si="205"/>
        <v>0.31951219512195123</v>
      </c>
      <c r="AI161" s="1408">
        <f t="shared" si="205"/>
        <v>0.34101382488479265</v>
      </c>
      <c r="AJ161" s="1342">
        <f t="shared" si="205"/>
        <v>0.36842105263157893</v>
      </c>
      <c r="AK161" s="1408">
        <f t="shared" si="205"/>
        <v>0.41630901287553645</v>
      </c>
      <c r="AL161" s="1408">
        <f t="shared" si="205"/>
        <v>0.42028985507246375</v>
      </c>
      <c r="AM161" s="1408">
        <f t="shared" si="205"/>
        <v>0.42828685258964144</v>
      </c>
      <c r="AN161" s="1408">
        <f t="shared" si="205"/>
        <v>0.5</v>
      </c>
      <c r="AO161" s="1342">
        <f t="shared" si="205"/>
        <v>0.44422604422604423</v>
      </c>
      <c r="AP161" s="1408">
        <f t="shared" si="205"/>
        <v>0.47058823529411764</v>
      </c>
      <c r="AQ161" s="1408">
        <f t="shared" si="205"/>
        <v>0.47913188647746241</v>
      </c>
      <c r="AR161" s="1408">
        <f t="shared" si="205"/>
        <v>0.42037037037037039</v>
      </c>
      <c r="AS161" s="1408">
        <f t="shared" si="205"/>
        <v>0.44773519163763065</v>
      </c>
      <c r="AT161" s="1342">
        <f t="shared" si="205"/>
        <v>0.45514511873350921</v>
      </c>
      <c r="AU161" s="1408">
        <f t="shared" si="205"/>
        <v>0.43057996485061512</v>
      </c>
      <c r="AV161" s="1408">
        <f t="shared" si="205"/>
        <v>0.49246987951807231</v>
      </c>
      <c r="AW161" s="1408">
        <f t="shared" si="205"/>
        <v>0.44536423841059603</v>
      </c>
      <c r="AX161" s="1408">
        <f t="shared" si="205"/>
        <v>0.46601941747572817</v>
      </c>
      <c r="AY161" s="1342">
        <f t="shared" si="205"/>
        <v>0.45987780040733195</v>
      </c>
      <c r="AZ161" s="1408">
        <f t="shared" si="205"/>
        <v>0.4768976897689769</v>
      </c>
      <c r="BA161" s="1408">
        <f t="shared" si="205"/>
        <v>0.5</v>
      </c>
      <c r="BB161" s="1408">
        <f t="shared" si="205"/>
        <v>0.41567291311754684</v>
      </c>
      <c r="BC161" s="1408">
        <f t="shared" si="205"/>
        <v>0.42807625649913345</v>
      </c>
      <c r="BD161" s="1342">
        <f t="shared" si="205"/>
        <v>0.45675453047775949</v>
      </c>
      <c r="BE161" s="1408">
        <f t="shared" si="205"/>
        <v>0.40760869565217389</v>
      </c>
      <c r="BF161" s="1408">
        <f t="shared" si="205"/>
        <v>0.50293255131964809</v>
      </c>
      <c r="BG161" s="1408">
        <f t="shared" si="205"/>
        <v>0.46573208722741433</v>
      </c>
      <c r="BH161" s="1408">
        <f t="shared" si="205"/>
        <v>0.47264437689969607</v>
      </c>
      <c r="BI161" s="1342">
        <f t="shared" si="205"/>
        <v>0.46487766377269141</v>
      </c>
      <c r="BJ161" s="1408">
        <f>BJ156/BJ$12</f>
        <v>0.52240896358543421</v>
      </c>
      <c r="BK161" s="1408">
        <f>BK156/BK$12</f>
        <v>0.52744310575635878</v>
      </c>
      <c r="BL161" s="1408">
        <f>BL156/BL$12</f>
        <v>0.50338294993234101</v>
      </c>
      <c r="BM161" s="1408">
        <f>BM156/BM$12</f>
        <v>0.50823827629911278</v>
      </c>
      <c r="BN161" s="1342">
        <f t="shared" si="205"/>
        <v>0.51522248243559721</v>
      </c>
      <c r="BO161" s="1408">
        <f>BO156/BO$12</f>
        <v>0.49197860962566847</v>
      </c>
      <c r="BP161" s="1408">
        <f t="shared" si="205"/>
        <v>0.5273585449734306</v>
      </c>
      <c r="BQ161" s="1408">
        <f t="shared" si="205"/>
        <v>0.50830447094680231</v>
      </c>
      <c r="BR161" s="1408">
        <f t="shared" si="205"/>
        <v>0.51600525154472532</v>
      </c>
      <c r="BS161" s="1342">
        <f t="shared" si="205"/>
        <v>0.51128704108009948</v>
      </c>
      <c r="BT161" s="1408">
        <f t="shared" si="205"/>
        <v>0.49914084169435485</v>
      </c>
      <c r="BU161" s="1408">
        <f t="shared" si="205"/>
        <v>0.53401448461339196</v>
      </c>
      <c r="BV161" s="1408">
        <f t="shared" si="205"/>
        <v>0.5152195864489072</v>
      </c>
      <c r="BW161" s="1408">
        <f t="shared" si="205"/>
        <v>0.52320596165692856</v>
      </c>
      <c r="BX161" s="1342">
        <f t="shared" si="205"/>
        <v>0.51827501752943139</v>
      </c>
      <c r="BY161" s="1486">
        <f t="shared" si="205"/>
        <v>0.52788558571413191</v>
      </c>
      <c r="BZ161" s="1486">
        <f>BZ156/BZ$12</f>
        <v>0.53733415170686316</v>
      </c>
      <c r="CA161" s="1486">
        <f>CA156/CA$12</f>
        <v>0.54881947991139957</v>
      </c>
      <c r="CF161" s="1487" t="str">
        <f t="shared" si="197"/>
        <v>% of revenue</v>
      </c>
      <c r="CG161" s="1271"/>
      <c r="CH161" s="1271"/>
      <c r="CI161" s="1271"/>
      <c r="CJ161" s="1271"/>
      <c r="CK161" s="1271"/>
      <c r="CL161" s="1278"/>
      <c r="CM161" s="1342"/>
      <c r="CN161" s="1342"/>
      <c r="CO161" s="1342">
        <f>+Z161</f>
        <v>0.3575749691016718</v>
      </c>
      <c r="CP161" s="1342">
        <f>+AE161</f>
        <v>0.39073746312684365</v>
      </c>
      <c r="CQ161" s="1342">
        <f>+AJ161</f>
        <v>0.36842105263157893</v>
      </c>
      <c r="CR161" s="1342">
        <f>+AO161</f>
        <v>0.44422604422604423</v>
      </c>
      <c r="CS161" s="1342">
        <f>+AT161</f>
        <v>0.45514511873350921</v>
      </c>
      <c r="CT161" s="1342">
        <f>+AY161</f>
        <v>0.45987780040733195</v>
      </c>
      <c r="CU161" s="1342">
        <f>+BD161</f>
        <v>0.45675453047775949</v>
      </c>
      <c r="CV161" s="1488">
        <f>+BI161</f>
        <v>0.46487766377269141</v>
      </c>
      <c r="CW161" s="1342">
        <f t="shared" si="199"/>
        <v>0.51522248243559721</v>
      </c>
      <c r="CX161" s="1342">
        <f t="shared" si="200"/>
        <v>0.51128704108009948</v>
      </c>
      <c r="CY161" s="1342">
        <f t="shared" si="201"/>
        <v>0.51827501752943139</v>
      </c>
      <c r="CZ161" s="1486">
        <f t="shared" si="201"/>
        <v>0.52788558571413191</v>
      </c>
      <c r="DA161" s="1486">
        <f t="shared" si="201"/>
        <v>0.53733415170686316</v>
      </c>
      <c r="DB161" s="1486">
        <f t="shared" si="201"/>
        <v>0.54881947991139957</v>
      </c>
    </row>
    <row r="162" spans="1:106">
      <c r="A162" s="1485"/>
      <c r="G162" s="1319"/>
      <c r="H162" s="1319"/>
      <c r="I162" s="1319"/>
      <c r="J162" s="1278"/>
      <c r="K162" s="1278"/>
      <c r="L162" s="1319"/>
      <c r="M162" s="1319"/>
      <c r="N162" s="1319"/>
      <c r="O162" s="1278"/>
      <c r="P162" s="1278"/>
      <c r="Q162" s="1319"/>
      <c r="R162" s="1319"/>
      <c r="S162" s="1319"/>
      <c r="T162" s="1278"/>
      <c r="U162" s="1278"/>
      <c r="Y162" s="1408"/>
      <c r="Z162" s="1342"/>
      <c r="AA162" s="1408"/>
      <c r="AB162" s="1408"/>
      <c r="AC162" s="1408"/>
      <c r="AD162" s="1408"/>
      <c r="AE162" s="1342"/>
      <c r="AF162" s="1408"/>
      <c r="AG162" s="1408"/>
      <c r="AH162" s="1408"/>
      <c r="AI162" s="1408"/>
      <c r="AJ162" s="1342"/>
      <c r="AK162" s="1408"/>
      <c r="AN162" s="1408"/>
      <c r="AO162" s="1342"/>
      <c r="AP162" s="1408"/>
      <c r="AS162" s="1408"/>
      <c r="AT162" s="1342"/>
      <c r="AU162" s="1408"/>
      <c r="AY162" s="1342"/>
      <c r="AZ162" s="1408"/>
      <c r="BD162" s="1342"/>
      <c r="BE162" s="1408"/>
      <c r="BI162" s="1342"/>
      <c r="BJ162" s="1408"/>
      <c r="BN162" s="1342"/>
      <c r="BO162" s="1408"/>
      <c r="BS162" s="1342"/>
      <c r="BT162" s="1408"/>
      <c r="BX162" s="1342"/>
      <c r="BY162" s="1486"/>
      <c r="BZ162" s="1486"/>
      <c r="CA162" s="1486"/>
      <c r="CF162" s="1487"/>
      <c r="CG162" s="1271"/>
      <c r="CH162" s="1271"/>
      <c r="CI162" s="1271"/>
      <c r="CJ162" s="1271"/>
      <c r="CK162" s="1271"/>
      <c r="CL162" s="1278"/>
      <c r="CM162" s="1342"/>
      <c r="CN162" s="1342"/>
      <c r="CO162" s="1342"/>
      <c r="CP162" s="1342"/>
      <c r="CQ162" s="1342"/>
      <c r="CR162" s="1342"/>
      <c r="CS162" s="1342"/>
      <c r="CT162" s="1342"/>
      <c r="CU162" s="1342"/>
      <c r="CV162" s="1488"/>
      <c r="CW162" s="1342"/>
      <c r="CX162" s="1342"/>
      <c r="CY162" s="1342"/>
      <c r="CZ162" s="1486"/>
      <c r="DA162" s="1486"/>
      <c r="DB162" s="1486"/>
    </row>
    <row r="163" spans="1:106" ht="11.25" hidden="1" customHeight="1" outlineLevel="1">
      <c r="A163" s="1485" t="s">
        <v>331</v>
      </c>
      <c r="G163" s="1319"/>
      <c r="H163" s="1319"/>
      <c r="I163" s="1319"/>
      <c r="J163" s="1278"/>
      <c r="K163" s="1278"/>
      <c r="L163" s="1319"/>
      <c r="M163" s="1319"/>
      <c r="N163" s="1319"/>
      <c r="O163" s="1278"/>
      <c r="P163" s="1278"/>
      <c r="Q163" s="1319"/>
      <c r="R163" s="1319"/>
      <c r="S163" s="1319"/>
      <c r="T163" s="1278"/>
      <c r="U163" s="1278"/>
      <c r="Y163" s="1408"/>
      <c r="Z163" s="1342"/>
      <c r="AA163" s="1408"/>
      <c r="AB163" s="1408"/>
      <c r="AC163" s="1408"/>
      <c r="AD163" s="1408"/>
      <c r="AE163" s="1270">
        <f>+AE166-AE164</f>
        <v>977.40000000000009</v>
      </c>
      <c r="AF163" s="1408"/>
      <c r="AG163" s="1408"/>
      <c r="AH163" s="1408"/>
      <c r="AI163" s="1408"/>
      <c r="AJ163" s="1270">
        <f>+AJ166-AJ164</f>
        <v>1053</v>
      </c>
      <c r="AK163" s="1408"/>
      <c r="AN163" s="1408"/>
      <c r="AO163" s="1270">
        <f>+AO166-AO164</f>
        <v>1062</v>
      </c>
      <c r="AP163" s="1408"/>
      <c r="AS163" s="1408"/>
      <c r="AT163" s="1270">
        <f>+AT166-AT164</f>
        <v>1167</v>
      </c>
      <c r="AU163" s="1408"/>
      <c r="AY163" s="1270">
        <f>+AY166-AY164</f>
        <v>1249</v>
      </c>
      <c r="AZ163" s="1408"/>
      <c r="BD163" s="1342"/>
      <c r="BE163" s="1408"/>
      <c r="BI163" s="1342"/>
      <c r="BJ163" s="1408"/>
      <c r="BN163" s="1342"/>
      <c r="BO163" s="1408"/>
      <c r="BS163" s="1342"/>
      <c r="BT163" s="1408"/>
      <c r="BX163" s="1342"/>
      <c r="BY163" s="1486"/>
      <c r="BZ163" s="1486"/>
      <c r="CA163" s="1486"/>
      <c r="CF163" s="1487" t="str">
        <f t="shared" ref="CF163:CF168" si="206">+A163</f>
        <v>Other Non Transactions</v>
      </c>
      <c r="CG163" s="1271"/>
      <c r="CH163" s="1271"/>
      <c r="CI163" s="1271"/>
      <c r="CJ163" s="1271"/>
      <c r="CK163" s="1271"/>
      <c r="CL163" s="1278"/>
      <c r="CM163" s="1270"/>
      <c r="CN163" s="1270"/>
      <c r="CO163" s="1270">
        <f>+Z163</f>
        <v>0</v>
      </c>
      <c r="CP163" s="1270">
        <f t="shared" ref="CP163:CP168" si="207">+AE163</f>
        <v>977.40000000000009</v>
      </c>
      <c r="CQ163" s="1270">
        <f t="shared" ref="CQ163:CQ168" si="208">+AJ163</f>
        <v>1053</v>
      </c>
      <c r="CR163" s="1270">
        <f t="shared" ref="CR163:CR168" si="209">+AO163</f>
        <v>1062</v>
      </c>
      <c r="CS163" s="1270">
        <f t="shared" ref="CS163:CS168" si="210">+AT163</f>
        <v>1167</v>
      </c>
      <c r="CT163" s="1270">
        <f t="shared" ref="CT163:CT168" si="211">+AY163</f>
        <v>1249</v>
      </c>
      <c r="CU163" s="1342">
        <f t="shared" ref="CU163:CU168" si="212">+BD163</f>
        <v>0</v>
      </c>
      <c r="CV163" s="1488">
        <f t="shared" ref="CV163:CV168" si="213">+BI163</f>
        <v>0</v>
      </c>
      <c r="CW163" s="1342">
        <f t="shared" ref="CW163:CW168" si="214">+BN163</f>
        <v>0</v>
      </c>
      <c r="CX163" s="1342">
        <f t="shared" ref="CX163:CX168" si="215">+BS163</f>
        <v>0</v>
      </c>
      <c r="CY163" s="1342">
        <f t="shared" ref="CY163:DB168" si="216">+BX163</f>
        <v>0</v>
      </c>
      <c r="CZ163" s="1486">
        <f t="shared" si="216"/>
        <v>0</v>
      </c>
      <c r="DA163" s="1486">
        <f t="shared" si="216"/>
        <v>0</v>
      </c>
      <c r="DB163" s="1486">
        <f t="shared" si="216"/>
        <v>0</v>
      </c>
    </row>
    <row r="164" spans="1:106" ht="11.25" hidden="1" customHeight="1" outlineLevel="1">
      <c r="A164" s="1485" t="s">
        <v>332</v>
      </c>
      <c r="G164" s="1319"/>
      <c r="H164" s="1319"/>
      <c r="I164" s="1319"/>
      <c r="J164" s="1278"/>
      <c r="K164" s="1278"/>
      <c r="L164" s="1319"/>
      <c r="M164" s="1319"/>
      <c r="N164" s="1319"/>
      <c r="O164" s="1278"/>
      <c r="P164" s="1278"/>
      <c r="Q164" s="1319"/>
      <c r="R164" s="1319"/>
      <c r="S164" s="1319"/>
      <c r="T164" s="1278"/>
      <c r="U164" s="1278"/>
      <c r="Y164" s="1408"/>
      <c r="Z164" s="1342"/>
      <c r="AA164" s="1408"/>
      <c r="AB164" s="1408"/>
      <c r="AC164" s="1408"/>
      <c r="AD164" s="1408"/>
      <c r="AE164" s="1270">
        <v>56</v>
      </c>
      <c r="AF164" s="1408"/>
      <c r="AG164" s="1408"/>
      <c r="AH164" s="1408"/>
      <c r="AI164" s="1408"/>
      <c r="AJ164" s="1270">
        <v>63</v>
      </c>
      <c r="AK164" s="1408"/>
      <c r="AN164" s="1408"/>
      <c r="AO164" s="1270">
        <v>69</v>
      </c>
      <c r="AP164" s="1408"/>
      <c r="AS164" s="1408"/>
      <c r="AT164" s="1270">
        <v>72</v>
      </c>
      <c r="AU164" s="1408"/>
      <c r="AY164" s="1270">
        <v>77</v>
      </c>
      <c r="AZ164" s="1408"/>
      <c r="BD164" s="1342"/>
      <c r="BE164" s="1408"/>
      <c r="BI164" s="1342"/>
      <c r="BJ164" s="1408"/>
      <c r="BN164" s="1342"/>
      <c r="BO164" s="1408"/>
      <c r="BS164" s="1342"/>
      <c r="BT164" s="1408"/>
      <c r="BX164" s="1342"/>
      <c r="BY164" s="1486"/>
      <c r="BZ164" s="1486"/>
      <c r="CA164" s="1486"/>
      <c r="CF164" s="1487" t="str">
        <f t="shared" si="206"/>
        <v>Royalty - Capital IQ</v>
      </c>
      <c r="CG164" s="1271"/>
      <c r="CH164" s="1271"/>
      <c r="CI164" s="1271"/>
      <c r="CJ164" s="1271"/>
      <c r="CK164" s="1271"/>
      <c r="CL164" s="1278"/>
      <c r="CM164" s="1270"/>
      <c r="CN164" s="1270"/>
      <c r="CO164" s="1270">
        <f>+Z164</f>
        <v>0</v>
      </c>
      <c r="CP164" s="1270">
        <f t="shared" si="207"/>
        <v>56</v>
      </c>
      <c r="CQ164" s="1270">
        <f t="shared" si="208"/>
        <v>63</v>
      </c>
      <c r="CR164" s="1270">
        <f t="shared" si="209"/>
        <v>69</v>
      </c>
      <c r="CS164" s="1270">
        <f t="shared" si="210"/>
        <v>72</v>
      </c>
      <c r="CT164" s="1270">
        <f t="shared" si="211"/>
        <v>77</v>
      </c>
      <c r="CU164" s="1342">
        <f t="shared" si="212"/>
        <v>0</v>
      </c>
      <c r="CV164" s="1488">
        <f t="shared" si="213"/>
        <v>0</v>
      </c>
      <c r="CW164" s="1342">
        <f t="shared" si="214"/>
        <v>0</v>
      </c>
      <c r="CX164" s="1342">
        <f t="shared" si="215"/>
        <v>0</v>
      </c>
      <c r="CY164" s="1342">
        <f t="shared" si="216"/>
        <v>0</v>
      </c>
      <c r="CZ164" s="1486">
        <f t="shared" si="216"/>
        <v>0</v>
      </c>
      <c r="DA164" s="1486">
        <f t="shared" si="216"/>
        <v>0</v>
      </c>
      <c r="DB164" s="1486">
        <f t="shared" si="216"/>
        <v>0</v>
      </c>
    </row>
    <row r="165" spans="1:106" ht="11.25" hidden="1" customHeight="1" outlineLevel="1">
      <c r="A165" s="1485" t="s">
        <v>333</v>
      </c>
      <c r="G165" s="1319"/>
      <c r="H165" s="1319"/>
      <c r="I165" s="1319"/>
      <c r="J165" s="1278"/>
      <c r="K165" s="1278"/>
      <c r="L165" s="1319"/>
      <c r="M165" s="1319"/>
      <c r="N165" s="1319"/>
      <c r="O165" s="1278"/>
      <c r="P165" s="1278"/>
      <c r="Q165" s="1319"/>
      <c r="R165" s="1319"/>
      <c r="S165" s="1319"/>
      <c r="T165" s="1278"/>
      <c r="U165" s="1278"/>
      <c r="Y165" s="1408"/>
      <c r="Z165" s="1342"/>
      <c r="AA165" s="1408"/>
      <c r="AB165" s="1408"/>
      <c r="AC165" s="1408"/>
      <c r="AD165" s="1408"/>
      <c r="AE165" s="1342"/>
      <c r="AF165" s="1408"/>
      <c r="AG165" s="1663"/>
      <c r="AH165" s="1408"/>
      <c r="AI165" s="1408"/>
      <c r="AJ165" s="809">
        <f>+AJ164/AE164-1</f>
        <v>0.125</v>
      </c>
      <c r="AK165" s="1408"/>
      <c r="AL165" s="1663"/>
      <c r="AN165" s="1408"/>
      <c r="AO165" s="809">
        <f>+AO164/AJ164-1</f>
        <v>9.5238095238095344E-2</v>
      </c>
      <c r="AP165" s="1408"/>
      <c r="AQ165" s="1663"/>
      <c r="AS165" s="1408"/>
      <c r="AT165" s="809">
        <f>+AT164/AO164-1</f>
        <v>4.3478260869565188E-2</v>
      </c>
      <c r="AU165" s="1663"/>
      <c r="AY165" s="809">
        <f>+AY164/AT164-1</f>
        <v>6.944444444444442E-2</v>
      </c>
      <c r="AZ165" s="1663"/>
      <c r="BD165" s="1342"/>
      <c r="BE165" s="1409"/>
      <c r="BF165" s="1409"/>
      <c r="BG165" s="1409"/>
      <c r="BH165" s="1409"/>
      <c r="BI165" s="1342"/>
      <c r="BJ165" s="1408"/>
      <c r="BL165" s="1409"/>
      <c r="BN165" s="1342"/>
      <c r="BO165" s="1408"/>
      <c r="BS165" s="1342"/>
      <c r="BT165" s="1408"/>
      <c r="BX165" s="1342"/>
      <c r="BY165" s="1486"/>
      <c r="BZ165" s="1486"/>
      <c r="CA165" s="1486"/>
      <c r="CF165" s="1487" t="str">
        <f t="shared" si="206"/>
        <v>Change in Royalty y/y</v>
      </c>
      <c r="CG165" s="1271"/>
      <c r="CH165" s="1271"/>
      <c r="CI165" s="1271"/>
      <c r="CJ165" s="1271"/>
      <c r="CK165" s="1271"/>
      <c r="CL165" s="1278"/>
      <c r="CM165" s="1342"/>
      <c r="CN165" s="1342"/>
      <c r="CO165" s="1342">
        <f>+Z165</f>
        <v>0</v>
      </c>
      <c r="CP165" s="1342">
        <f t="shared" si="207"/>
        <v>0</v>
      </c>
      <c r="CQ165" s="809">
        <f t="shared" si="208"/>
        <v>0.125</v>
      </c>
      <c r="CR165" s="809">
        <f t="shared" si="209"/>
        <v>9.5238095238095344E-2</v>
      </c>
      <c r="CS165" s="809">
        <f t="shared" si="210"/>
        <v>4.3478260869565188E-2</v>
      </c>
      <c r="CT165" s="809">
        <f t="shared" si="211"/>
        <v>6.944444444444442E-2</v>
      </c>
      <c r="CU165" s="1342">
        <f t="shared" si="212"/>
        <v>0</v>
      </c>
      <c r="CV165" s="1488">
        <f t="shared" si="213"/>
        <v>0</v>
      </c>
      <c r="CW165" s="1342">
        <f t="shared" si="214"/>
        <v>0</v>
      </c>
      <c r="CX165" s="1342">
        <f t="shared" si="215"/>
        <v>0</v>
      </c>
      <c r="CY165" s="1342">
        <f t="shared" si="216"/>
        <v>0</v>
      </c>
      <c r="CZ165" s="1486">
        <f t="shared" si="216"/>
        <v>0</v>
      </c>
      <c r="DA165" s="1486">
        <f t="shared" si="216"/>
        <v>0</v>
      </c>
      <c r="DB165" s="1486">
        <f t="shared" si="216"/>
        <v>0</v>
      </c>
    </row>
    <row r="166" spans="1:106" s="762" customFormat="1" collapsed="1">
      <c r="A166" s="762" t="s">
        <v>334</v>
      </c>
      <c r="G166" s="1319" t="s">
        <v>249</v>
      </c>
      <c r="H166" s="1319" t="s">
        <v>249</v>
      </c>
      <c r="I166" s="1319" t="s">
        <v>249</v>
      </c>
      <c r="J166" s="1278" t="s">
        <v>249</v>
      </c>
      <c r="K166" s="1278" t="s">
        <v>249</v>
      </c>
      <c r="L166" s="1319" t="s">
        <v>249</v>
      </c>
      <c r="M166" s="1319" t="s">
        <v>249</v>
      </c>
      <c r="N166" s="1319" t="s">
        <v>249</v>
      </c>
      <c r="O166" s="1278" t="s">
        <v>249</v>
      </c>
      <c r="P166" s="1278" t="s">
        <v>249</v>
      </c>
      <c r="Q166" s="1319" t="s">
        <v>249</v>
      </c>
      <c r="R166" s="1319" t="s">
        <v>249</v>
      </c>
      <c r="S166" s="1319" t="s">
        <v>249</v>
      </c>
      <c r="T166" s="1278" t="s">
        <v>249</v>
      </c>
      <c r="U166" s="1278" t="s">
        <v>249</v>
      </c>
      <c r="V166" s="2027">
        <v>226.2</v>
      </c>
      <c r="W166" s="2027">
        <v>253.5</v>
      </c>
      <c r="X166" s="2027">
        <v>246.2</v>
      </c>
      <c r="Y166" s="2027">
        <v>261.7</v>
      </c>
      <c r="Z166" s="1270">
        <f>SUM(V166:Y166)</f>
        <v>987.59999999999991</v>
      </c>
      <c r="AA166" s="2027">
        <v>250.9</v>
      </c>
      <c r="AB166" s="2027">
        <v>256.10000000000002</v>
      </c>
      <c r="AC166" s="2027">
        <v>254.4</v>
      </c>
      <c r="AD166" s="2027">
        <v>272</v>
      </c>
      <c r="AE166" s="1270">
        <f>SUM(AA166:AD166)</f>
        <v>1033.4000000000001</v>
      </c>
      <c r="AF166" s="2027">
        <v>267</v>
      </c>
      <c r="AG166" s="2027">
        <v>284</v>
      </c>
      <c r="AH166" s="2027">
        <v>279</v>
      </c>
      <c r="AI166" s="2027">
        <v>286</v>
      </c>
      <c r="AJ166" s="1270">
        <f>SUM(AF166:AI166)</f>
        <v>1116</v>
      </c>
      <c r="AK166" s="2027">
        <v>272</v>
      </c>
      <c r="AL166" s="2027">
        <v>280</v>
      </c>
      <c r="AM166" s="2027">
        <v>287</v>
      </c>
      <c r="AN166" s="2027">
        <v>292</v>
      </c>
      <c r="AO166" s="1270">
        <f>SUM(AK166:AN166)</f>
        <v>1131</v>
      </c>
      <c r="AP166" s="2027">
        <v>297</v>
      </c>
      <c r="AQ166" s="2027">
        <v>312</v>
      </c>
      <c r="AR166" s="2028">
        <v>313</v>
      </c>
      <c r="AS166" s="2027">
        <v>317</v>
      </c>
      <c r="AT166" s="1270">
        <f>SUM(AP166:AS166)</f>
        <v>1239</v>
      </c>
      <c r="AU166" s="2027">
        <v>324</v>
      </c>
      <c r="AV166" s="2027">
        <v>337</v>
      </c>
      <c r="AW166" s="2027">
        <v>335</v>
      </c>
      <c r="AX166" s="2027">
        <v>330</v>
      </c>
      <c r="AY166" s="1270">
        <f>SUM(AU166:AX166)</f>
        <v>1326</v>
      </c>
      <c r="AZ166" s="2027">
        <v>317</v>
      </c>
      <c r="BA166" s="2027">
        <v>329</v>
      </c>
      <c r="BB166" s="2027">
        <v>343</v>
      </c>
      <c r="BC166" s="2028">
        <v>331</v>
      </c>
      <c r="BD166" s="1270">
        <f>SUM(AZ166:BC166)</f>
        <v>1320</v>
      </c>
      <c r="BE166" s="2026">
        <v>327</v>
      </c>
      <c r="BF166" s="2026">
        <v>339</v>
      </c>
      <c r="BG166" s="2026">
        <v>343</v>
      </c>
      <c r="BH166" s="2026">
        <v>347</v>
      </c>
      <c r="BI166" s="1270">
        <f>SUM(BE166:BH166)</f>
        <v>1356</v>
      </c>
      <c r="BJ166" s="2026">
        <v>341</v>
      </c>
      <c r="BK166" s="1620">
        <v>353</v>
      </c>
      <c r="BL166" s="2028">
        <v>367</v>
      </c>
      <c r="BM166" s="2164">
        <v>388</v>
      </c>
      <c r="BN166" s="1322">
        <f>SUM(BJ166:BM166)</f>
        <v>1449</v>
      </c>
      <c r="BO166" s="2164">
        <v>380</v>
      </c>
      <c r="BP166" s="1253">
        <f>BO166+(2%*BO156)-2%*AP156</f>
        <v>382.08000000000004</v>
      </c>
      <c r="BQ166" s="1253">
        <f>BP166+(2%*BP156)-2%*AQ156</f>
        <v>384.86625814856308</v>
      </c>
      <c r="BR166" s="1253">
        <f>BQ166+(2%*BQ156)-2%*AR156</f>
        <v>388.28359061038884</v>
      </c>
      <c r="BS166" s="1322">
        <f>SUM(BO166:BR166)</f>
        <v>1535.2298487589519</v>
      </c>
      <c r="BT166" s="1253">
        <f>BR166+(2%*BR156)-2%*AS156</f>
        <v>391.42286936219614</v>
      </c>
      <c r="BU166" s="1253">
        <f>BT166+(2%*BT156)-2%*AU156</f>
        <v>394.32446936219617</v>
      </c>
      <c r="BV166" s="1253">
        <f>BU166+(2%*BU156)-2%*AV156</f>
        <v>396.82230299967296</v>
      </c>
      <c r="BW166" s="1253">
        <f>BV166+(2%*BV156)-2%*AW156</f>
        <v>399.87707540920832</v>
      </c>
      <c r="BX166" s="1322">
        <f>SUM(BT166:BW166)</f>
        <v>1582.4467171332735</v>
      </c>
      <c r="BY166" s="1322">
        <f>BX166+(2%*BY156)-2%*(AR156)</f>
        <v>1613.9999731486371</v>
      </c>
      <c r="BZ166" s="1322">
        <f>BY166+(2%*BZ156)-2%*(AS156)</f>
        <v>1647.1188245249223</v>
      </c>
      <c r="CA166" s="1322">
        <f>BZ166+(2%*CA156)-2%*(AT156)</f>
        <v>1666.9732069837846</v>
      </c>
      <c r="CF166" s="1270" t="str">
        <f t="shared" si="206"/>
        <v>Non-Transaction</v>
      </c>
      <c r="CL166" s="1278"/>
      <c r="CM166" s="1270"/>
      <c r="CN166" s="1270"/>
      <c r="CO166" s="1270">
        <f>+Z166</f>
        <v>987.59999999999991</v>
      </c>
      <c r="CP166" s="1270">
        <f t="shared" si="207"/>
        <v>1033.4000000000001</v>
      </c>
      <c r="CQ166" s="1270">
        <f t="shared" si="208"/>
        <v>1116</v>
      </c>
      <c r="CR166" s="1270">
        <f t="shared" si="209"/>
        <v>1131</v>
      </c>
      <c r="CS166" s="1270">
        <f t="shared" si="210"/>
        <v>1239</v>
      </c>
      <c r="CT166" s="1270">
        <f t="shared" si="211"/>
        <v>1326</v>
      </c>
      <c r="CU166" s="1270">
        <f t="shared" si="212"/>
        <v>1320</v>
      </c>
      <c r="CV166" s="1273">
        <f t="shared" si="213"/>
        <v>1356</v>
      </c>
      <c r="CW166" s="721">
        <f t="shared" si="214"/>
        <v>1449</v>
      </c>
      <c r="CX166" s="721">
        <f t="shared" si="215"/>
        <v>1535.2298487589519</v>
      </c>
      <c r="CY166" s="721">
        <f t="shared" si="216"/>
        <v>1582.4467171332735</v>
      </c>
      <c r="CZ166" s="721">
        <f t="shared" si="216"/>
        <v>1613.9999731486371</v>
      </c>
      <c r="DA166" s="721">
        <f t="shared" si="216"/>
        <v>1647.1188245249223</v>
      </c>
      <c r="DB166" s="721">
        <f t="shared" si="216"/>
        <v>1666.9732069837846</v>
      </c>
    </row>
    <row r="167" spans="1:106">
      <c r="A167" s="1618" t="s">
        <v>288</v>
      </c>
      <c r="G167" s="1319"/>
      <c r="H167" s="1319"/>
      <c r="I167" s="1319"/>
      <c r="J167" s="1278"/>
      <c r="K167" s="1278"/>
      <c r="L167" s="1319"/>
      <c r="M167" s="1319"/>
      <c r="N167" s="1319"/>
      <c r="O167" s="1276"/>
      <c r="P167" s="1277"/>
      <c r="Q167" s="1319"/>
      <c r="R167" s="1319"/>
      <c r="S167" s="1319"/>
      <c r="T167" s="1278"/>
      <c r="U167" s="1278"/>
      <c r="V167" s="1319"/>
      <c r="W167" s="1319"/>
      <c r="X167" s="1319"/>
      <c r="Y167" s="1278"/>
      <c r="Z167" s="1278"/>
      <c r="AA167" s="1408">
        <f t="shared" ref="AA167:BS167" si="217">AA166/V166-1</f>
        <v>0.10919540229885061</v>
      </c>
      <c r="AB167" s="1408">
        <f t="shared" si="217"/>
        <v>1.0256410256410442E-2</v>
      </c>
      <c r="AC167" s="1408">
        <f t="shared" si="217"/>
        <v>3.3306255077172997E-2</v>
      </c>
      <c r="AD167" s="1408">
        <f t="shared" si="217"/>
        <v>3.9358043561329881E-2</v>
      </c>
      <c r="AE167" s="1342">
        <f t="shared" si="217"/>
        <v>4.6375050627784686E-2</v>
      </c>
      <c r="AF167" s="1408">
        <f t="shared" si="217"/>
        <v>6.4168991630131567E-2</v>
      </c>
      <c r="AG167" s="1408">
        <f t="shared" si="217"/>
        <v>0.108941819601718</v>
      </c>
      <c r="AH167" s="1408">
        <f t="shared" si="217"/>
        <v>9.6698113207547065E-2</v>
      </c>
      <c r="AI167" s="1408">
        <f t="shared" si="217"/>
        <v>5.1470588235294157E-2</v>
      </c>
      <c r="AJ167" s="1342">
        <f t="shared" si="217"/>
        <v>7.993032707567238E-2</v>
      </c>
      <c r="AK167" s="1408">
        <f t="shared" si="217"/>
        <v>1.8726591760299671E-2</v>
      </c>
      <c r="AL167" s="1408">
        <f t="shared" si="217"/>
        <v>-1.4084507042253502E-2</v>
      </c>
      <c r="AM167" s="1408">
        <f t="shared" si="217"/>
        <v>2.8673835125448077E-2</v>
      </c>
      <c r="AN167" s="1408">
        <f t="shared" si="217"/>
        <v>2.0979020979021046E-2</v>
      </c>
      <c r="AO167" s="1342">
        <f t="shared" si="217"/>
        <v>1.3440860215053752E-2</v>
      </c>
      <c r="AP167" s="1408">
        <f t="shared" si="217"/>
        <v>9.1911764705882248E-2</v>
      </c>
      <c r="AQ167" s="1408">
        <f t="shared" si="217"/>
        <v>0.11428571428571432</v>
      </c>
      <c r="AR167" s="1408">
        <f t="shared" si="217"/>
        <v>9.0592334494773441E-2</v>
      </c>
      <c r="AS167" s="1408">
        <f t="shared" si="217"/>
        <v>8.5616438356164393E-2</v>
      </c>
      <c r="AT167" s="1342">
        <f t="shared" si="217"/>
        <v>9.5490716180371304E-2</v>
      </c>
      <c r="AU167" s="1408">
        <f t="shared" si="217"/>
        <v>9.0909090909090828E-2</v>
      </c>
      <c r="AV167" s="1408">
        <f t="shared" si="217"/>
        <v>8.0128205128205066E-2</v>
      </c>
      <c r="AW167" s="1408">
        <f t="shared" si="217"/>
        <v>7.0287539936102261E-2</v>
      </c>
      <c r="AX167" s="1408">
        <f t="shared" si="217"/>
        <v>4.1009463722397443E-2</v>
      </c>
      <c r="AY167" s="1342">
        <f t="shared" si="217"/>
        <v>7.0217917675544861E-2</v>
      </c>
      <c r="AZ167" s="1408">
        <f t="shared" si="217"/>
        <v>-2.1604938271604923E-2</v>
      </c>
      <c r="BA167" s="1408">
        <f t="shared" si="217"/>
        <v>-2.3738872403560873E-2</v>
      </c>
      <c r="BB167" s="1408">
        <f t="shared" si="217"/>
        <v>2.3880597014925398E-2</v>
      </c>
      <c r="BC167" s="1408">
        <f t="shared" si="217"/>
        <v>3.0303030303029388E-3</v>
      </c>
      <c r="BD167" s="1342">
        <f t="shared" si="217"/>
        <v>-4.5248868778280382E-3</v>
      </c>
      <c r="BE167" s="1408">
        <f t="shared" si="217"/>
        <v>3.1545741324921162E-2</v>
      </c>
      <c r="BF167" s="1408">
        <f t="shared" si="217"/>
        <v>3.039513677811545E-2</v>
      </c>
      <c r="BG167" s="1408">
        <f t="shared" si="217"/>
        <v>0</v>
      </c>
      <c r="BH167" s="1408">
        <f t="shared" si="217"/>
        <v>4.8338368580060465E-2</v>
      </c>
      <c r="BI167" s="1342">
        <f t="shared" si="217"/>
        <v>2.7272727272727337E-2</v>
      </c>
      <c r="BJ167" s="1408">
        <f t="shared" si="217"/>
        <v>4.2813455657492394E-2</v>
      </c>
      <c r="BK167" s="1408">
        <f t="shared" si="217"/>
        <v>4.1297935103244754E-2</v>
      </c>
      <c r="BL167" s="1408">
        <f t="shared" si="217"/>
        <v>6.9970845481049482E-2</v>
      </c>
      <c r="BM167" s="1408">
        <f t="shared" si="217"/>
        <v>0.11815561959654186</v>
      </c>
      <c r="BN167" s="1342">
        <f t="shared" si="217"/>
        <v>6.8584070796460228E-2</v>
      </c>
      <c r="BO167" s="1408">
        <f t="shared" si="217"/>
        <v>0.11436950146627556</v>
      </c>
      <c r="BP167" s="1408">
        <f t="shared" si="217"/>
        <v>8.237960339943351E-2</v>
      </c>
      <c r="BQ167" s="1408">
        <f t="shared" si="217"/>
        <v>4.8681902312160963E-2</v>
      </c>
      <c r="BR167" s="1408">
        <f t="shared" si="217"/>
        <v>7.3090363502270606E-4</v>
      </c>
      <c r="BS167" s="1342">
        <f t="shared" si="217"/>
        <v>5.9509902525156644E-2</v>
      </c>
      <c r="BT167" s="1408">
        <f t="shared" ref="BT167" si="218">BT166/BO166-1</f>
        <v>3.0060182532095192E-2</v>
      </c>
      <c r="BU167" s="1408">
        <f t="shared" ref="BU167" si="219">BU166/BP166-1</f>
        <v>3.2046873330705994E-2</v>
      </c>
      <c r="BV167" s="1408">
        <f t="shared" ref="BV167" si="220">BV166/BQ166-1</f>
        <v>3.1065453512671093E-2</v>
      </c>
      <c r="BW167" s="1408">
        <f t="shared" ref="BW167" si="221">BW166/BR166-1</f>
        <v>2.9858291926770031E-2</v>
      </c>
      <c r="BX167" s="1342">
        <f t="shared" ref="BX167" si="222">BX166/BS166-1</f>
        <v>3.0755569540606986E-2</v>
      </c>
      <c r="BY167" s="1486">
        <f>BY166/BX166-1</f>
        <v>1.9939537725810252E-2</v>
      </c>
      <c r="BZ167" s="1486">
        <f>BZ166/BY166-1</f>
        <v>2.0519734775259035E-2</v>
      </c>
      <c r="CA167" s="1486">
        <f>CA166/BZ166-1</f>
        <v>1.2054007375326359E-2</v>
      </c>
      <c r="CF167" s="1619" t="str">
        <f t="shared" si="206"/>
        <v>y/y change</v>
      </c>
      <c r="CG167" s="1271"/>
      <c r="CH167" s="1271"/>
      <c r="CI167" s="1271"/>
      <c r="CJ167" s="1271"/>
      <c r="CK167" s="1271"/>
      <c r="CL167" s="1278"/>
      <c r="CM167" s="1342"/>
      <c r="CN167" s="1342"/>
      <c r="CO167" s="1342"/>
      <c r="CP167" s="1342">
        <f t="shared" si="207"/>
        <v>4.6375050627784686E-2</v>
      </c>
      <c r="CQ167" s="1342">
        <f t="shared" si="208"/>
        <v>7.993032707567238E-2</v>
      </c>
      <c r="CR167" s="1342">
        <f t="shared" si="209"/>
        <v>1.3440860215053752E-2</v>
      </c>
      <c r="CS167" s="1342">
        <f t="shared" si="210"/>
        <v>9.5490716180371304E-2</v>
      </c>
      <c r="CT167" s="1342">
        <f t="shared" si="211"/>
        <v>7.0217917675544861E-2</v>
      </c>
      <c r="CU167" s="1342">
        <f t="shared" si="212"/>
        <v>-4.5248868778280382E-3</v>
      </c>
      <c r="CV167" s="1488">
        <f t="shared" si="213"/>
        <v>2.7272727272727337E-2</v>
      </c>
      <c r="CW167" s="1342">
        <f t="shared" si="214"/>
        <v>6.8584070796460228E-2</v>
      </c>
      <c r="CX167" s="1342">
        <f t="shared" si="215"/>
        <v>5.9509902525156644E-2</v>
      </c>
      <c r="CY167" s="1342">
        <f t="shared" si="216"/>
        <v>3.0755569540606986E-2</v>
      </c>
      <c r="CZ167" s="1486">
        <f t="shared" si="216"/>
        <v>1.9939537725810252E-2</v>
      </c>
      <c r="DA167" s="1486">
        <f t="shared" si="216"/>
        <v>2.0519734775259035E-2</v>
      </c>
      <c r="DB167" s="1486">
        <f t="shared" si="216"/>
        <v>1.2054007375326359E-2</v>
      </c>
    </row>
    <row r="168" spans="1:106">
      <c r="A168" s="1485" t="s">
        <v>330</v>
      </c>
      <c r="G168" s="1319"/>
      <c r="H168" s="1319"/>
      <c r="I168" s="1319"/>
      <c r="J168" s="1276"/>
      <c r="K168" s="1277"/>
      <c r="L168" s="1319"/>
      <c r="M168" s="1319"/>
      <c r="N168" s="1319"/>
      <c r="O168" s="1276"/>
      <c r="P168" s="1277"/>
      <c r="Q168" s="1319"/>
      <c r="R168" s="1319"/>
      <c r="S168" s="1319"/>
      <c r="T168" s="1276"/>
      <c r="U168" s="1277"/>
      <c r="V168" s="1319"/>
      <c r="W168" s="1319"/>
      <c r="X168" s="1319"/>
      <c r="Y168" s="1278"/>
      <c r="Z168" s="1342">
        <f t="shared" ref="Z168:BY168" si="223">Z166/Z$12</f>
        <v>0.64242503089832825</v>
      </c>
      <c r="AA168" s="1408">
        <f t="shared" si="223"/>
        <v>0.62568578553615961</v>
      </c>
      <c r="AB168" s="1408">
        <f t="shared" si="223"/>
        <v>0.63234567901234573</v>
      </c>
      <c r="AC168" s="1408">
        <f t="shared" si="223"/>
        <v>0.61007194244604313</v>
      </c>
      <c r="AD168" s="1408">
        <f t="shared" si="223"/>
        <v>0.57627118644067798</v>
      </c>
      <c r="AE168" s="1342">
        <f t="shared" si="223"/>
        <v>0.60967551622418881</v>
      </c>
      <c r="AF168" s="1408">
        <f t="shared" si="223"/>
        <v>0.60270880361173818</v>
      </c>
      <c r="AG168" s="1408">
        <f t="shared" si="223"/>
        <v>0.59166666666666667</v>
      </c>
      <c r="AH168" s="1408">
        <f t="shared" si="223"/>
        <v>0.68048780487804883</v>
      </c>
      <c r="AI168" s="1408">
        <f t="shared" si="223"/>
        <v>0.65898617511520741</v>
      </c>
      <c r="AJ168" s="1342">
        <f t="shared" si="223"/>
        <v>0.63157894736842102</v>
      </c>
      <c r="AK168" s="1408">
        <f t="shared" si="223"/>
        <v>0.58369098712446355</v>
      </c>
      <c r="AL168" s="1408">
        <f t="shared" si="223"/>
        <v>0.57971014492753625</v>
      </c>
      <c r="AM168" s="1408">
        <f t="shared" si="223"/>
        <v>0.57171314741035861</v>
      </c>
      <c r="AN168" s="1408">
        <f t="shared" si="223"/>
        <v>0.5</v>
      </c>
      <c r="AO168" s="1342">
        <f t="shared" si="223"/>
        <v>0.55577395577395572</v>
      </c>
      <c r="AP168" s="1408">
        <f t="shared" si="223"/>
        <v>0.52941176470588236</v>
      </c>
      <c r="AQ168" s="1408">
        <f t="shared" si="223"/>
        <v>0.52086811352253759</v>
      </c>
      <c r="AR168" s="1408">
        <f t="shared" si="223"/>
        <v>0.57962962962962961</v>
      </c>
      <c r="AS168" s="1408">
        <f t="shared" si="223"/>
        <v>0.55226480836236935</v>
      </c>
      <c r="AT168" s="1342">
        <f t="shared" si="223"/>
        <v>0.54485488126649073</v>
      </c>
      <c r="AU168" s="1408">
        <f t="shared" si="223"/>
        <v>0.56942003514938488</v>
      </c>
      <c r="AV168" s="1408">
        <f t="shared" si="223"/>
        <v>0.50753012048192769</v>
      </c>
      <c r="AW168" s="1408">
        <f t="shared" si="223"/>
        <v>0.55463576158940397</v>
      </c>
      <c r="AX168" s="1408">
        <f t="shared" si="223"/>
        <v>0.53398058252427183</v>
      </c>
      <c r="AY168" s="1342">
        <f t="shared" si="223"/>
        <v>0.54012219959266805</v>
      </c>
      <c r="AZ168" s="1408">
        <f t="shared" si="223"/>
        <v>0.52310231023102305</v>
      </c>
      <c r="BA168" s="1408">
        <f t="shared" si="223"/>
        <v>0.5</v>
      </c>
      <c r="BB168" s="1408">
        <f t="shared" si="223"/>
        <v>0.58432708688245316</v>
      </c>
      <c r="BC168" s="1408">
        <f t="shared" si="223"/>
        <v>0.57365684575389952</v>
      </c>
      <c r="BD168" s="1342">
        <f t="shared" si="223"/>
        <v>0.54365733113673809</v>
      </c>
      <c r="BE168" s="1408">
        <f t="shared" si="223"/>
        <v>0.59239130434782605</v>
      </c>
      <c r="BF168" s="1408">
        <f t="shared" si="223"/>
        <v>0.49706744868035191</v>
      </c>
      <c r="BG168" s="1408">
        <f t="shared" si="223"/>
        <v>0.53426791277258567</v>
      </c>
      <c r="BH168" s="1408">
        <f t="shared" si="223"/>
        <v>0.52735562310030393</v>
      </c>
      <c r="BI168" s="1342">
        <f t="shared" si="223"/>
        <v>0.53512233622730865</v>
      </c>
      <c r="BJ168" s="1408">
        <f t="shared" si="223"/>
        <v>0.47759103641456585</v>
      </c>
      <c r="BK168" s="1408">
        <f>BK166/BK$12</f>
        <v>0.47255689424364122</v>
      </c>
      <c r="BL168" s="1408">
        <f t="shared" si="223"/>
        <v>0.49661705006765899</v>
      </c>
      <c r="BM168" s="1408">
        <f t="shared" ref="BM168" si="224">BM166/BM$12</f>
        <v>0.49176172370088722</v>
      </c>
      <c r="BN168" s="1342">
        <f t="shared" si="223"/>
        <v>0.48477751756440279</v>
      </c>
      <c r="BO168" s="1408">
        <f t="shared" si="223"/>
        <v>0.50802139037433158</v>
      </c>
      <c r="BP168" s="1408">
        <f t="shared" si="223"/>
        <v>0.47264145502656935</v>
      </c>
      <c r="BQ168" s="1408">
        <f t="shared" si="223"/>
        <v>0.49169552905319774</v>
      </c>
      <c r="BR168" s="1408">
        <f t="shared" si="223"/>
        <v>0.48399474845527463</v>
      </c>
      <c r="BS168" s="1342">
        <f t="shared" si="223"/>
        <v>0.48871295891990058</v>
      </c>
      <c r="BT168" s="1408">
        <f t="shared" ref="BT168:BX168" si="225">BT166/BT$12</f>
        <v>0.5008591583056452</v>
      </c>
      <c r="BU168" s="1408">
        <f t="shared" si="225"/>
        <v>0.46598551538660804</v>
      </c>
      <c r="BV168" s="1408">
        <f t="shared" si="225"/>
        <v>0.48478041355109275</v>
      </c>
      <c r="BW168" s="1408">
        <f t="shared" si="225"/>
        <v>0.47679403834307144</v>
      </c>
      <c r="BX168" s="1342">
        <f t="shared" si="225"/>
        <v>0.48172498247056872</v>
      </c>
      <c r="BY168" s="1486">
        <f t="shared" si="223"/>
        <v>0.47211441428586809</v>
      </c>
      <c r="BZ168" s="1486">
        <f>BZ166/BZ$12</f>
        <v>0.46266584829313678</v>
      </c>
      <c r="CA168" s="1486">
        <f>CA166/CA$12</f>
        <v>0.45118052008860038</v>
      </c>
      <c r="CF168" s="1487" t="str">
        <f t="shared" si="206"/>
        <v>% of revenue</v>
      </c>
      <c r="CG168" s="1271"/>
      <c r="CH168" s="1271"/>
      <c r="CI168" s="1271"/>
      <c r="CJ168" s="1271"/>
      <c r="CK168" s="1271"/>
      <c r="CL168" s="1278"/>
      <c r="CM168" s="1342"/>
      <c r="CN168" s="1342"/>
      <c r="CO168" s="1342">
        <f>+Z168</f>
        <v>0.64242503089832825</v>
      </c>
      <c r="CP168" s="1342">
        <f t="shared" si="207"/>
        <v>0.60967551622418881</v>
      </c>
      <c r="CQ168" s="1342">
        <f t="shared" si="208"/>
        <v>0.63157894736842102</v>
      </c>
      <c r="CR168" s="1342">
        <f t="shared" si="209"/>
        <v>0.55577395577395572</v>
      </c>
      <c r="CS168" s="1342">
        <f t="shared" si="210"/>
        <v>0.54485488126649073</v>
      </c>
      <c r="CT168" s="1342">
        <f t="shared" si="211"/>
        <v>0.54012219959266805</v>
      </c>
      <c r="CU168" s="1342">
        <f t="shared" si="212"/>
        <v>0.54365733113673809</v>
      </c>
      <c r="CV168" s="1488">
        <f t="shared" si="213"/>
        <v>0.53512233622730865</v>
      </c>
      <c r="CW168" s="1342">
        <f t="shared" si="214"/>
        <v>0.48477751756440279</v>
      </c>
      <c r="CX168" s="1342">
        <f t="shared" si="215"/>
        <v>0.48871295891990058</v>
      </c>
      <c r="CY168" s="1342">
        <f t="shared" si="216"/>
        <v>0.48172498247056872</v>
      </c>
      <c r="CZ168" s="1486">
        <f t="shared" si="216"/>
        <v>0.47211441428586809</v>
      </c>
      <c r="DA168" s="1486">
        <f t="shared" si="216"/>
        <v>0.46266584829313678</v>
      </c>
      <c r="DB168" s="1486">
        <f t="shared" si="216"/>
        <v>0.45118052008860038</v>
      </c>
    </row>
    <row r="169" spans="1:106">
      <c r="A169" s="1485"/>
      <c r="G169" s="1319"/>
      <c r="H169" s="1319"/>
      <c r="I169" s="1319"/>
      <c r="J169" s="1276"/>
      <c r="K169" s="1277"/>
      <c r="L169" s="1319"/>
      <c r="M169" s="1319"/>
      <c r="N169" s="1319"/>
      <c r="O169" s="1276"/>
      <c r="P169" s="1277"/>
      <c r="Q169" s="1319"/>
      <c r="R169" s="1319"/>
      <c r="S169" s="1319"/>
      <c r="T169" s="1276"/>
      <c r="U169" s="1277"/>
      <c r="V169" s="1319"/>
      <c r="W169" s="1319"/>
      <c r="X169" s="1319"/>
      <c r="Y169" s="1276"/>
      <c r="Z169" s="1342"/>
      <c r="AA169" s="1408"/>
      <c r="AB169" s="1408"/>
      <c r="AC169" s="1408"/>
      <c r="AD169" s="1408"/>
      <c r="AE169" s="1342"/>
      <c r="AF169" s="1408"/>
      <c r="AG169" s="1408"/>
      <c r="AH169" s="1408"/>
      <c r="AI169" s="1408"/>
      <c r="AJ169" s="1342"/>
      <c r="AK169" s="1408"/>
      <c r="AL169" s="1408"/>
      <c r="AM169" s="1408"/>
      <c r="AN169" s="1408"/>
      <c r="AO169" s="1342"/>
      <c r="AP169" s="1408"/>
      <c r="AQ169" s="1408"/>
      <c r="AR169" s="1408"/>
      <c r="AS169" s="1408"/>
      <c r="AT169" s="1342"/>
      <c r="AU169" s="1408"/>
      <c r="AV169" s="1408"/>
      <c r="AW169" s="1408"/>
      <c r="AX169" s="1408"/>
      <c r="AY169" s="1342"/>
      <c r="AZ169" s="1408"/>
      <c r="BA169" s="1408"/>
      <c r="BB169" s="1408"/>
      <c r="BC169" s="1408"/>
      <c r="BD169" s="1342"/>
      <c r="BE169" s="1408"/>
      <c r="BF169" s="1408"/>
      <c r="BG169" s="1408"/>
      <c r="BH169" s="1408"/>
      <c r="BI169" s="1342"/>
      <c r="BJ169" s="1408"/>
      <c r="BK169" s="1408"/>
      <c r="BL169" s="1408"/>
      <c r="BM169" s="1408"/>
      <c r="BN169" s="1342"/>
      <c r="BO169" s="1408"/>
      <c r="BP169" s="1408"/>
      <c r="BQ169" s="1408"/>
      <c r="BR169" s="1408"/>
      <c r="BS169" s="1342"/>
      <c r="BT169" s="1408"/>
      <c r="BU169" s="1408"/>
      <c r="BV169" s="1408"/>
      <c r="BW169" s="1408"/>
      <c r="BX169" s="1342"/>
      <c r="BY169" s="1486"/>
      <c r="BZ169" s="1486"/>
      <c r="CA169" s="1486"/>
      <c r="CF169" s="1487"/>
      <c r="CG169" s="1271"/>
      <c r="CH169" s="1271"/>
      <c r="CI169" s="1271"/>
      <c r="CJ169" s="1271"/>
      <c r="CK169" s="1271"/>
      <c r="CL169" s="1278"/>
      <c r="CM169" s="1342"/>
      <c r="CN169" s="1342"/>
      <c r="CO169" s="1342"/>
      <c r="CP169" s="1342"/>
      <c r="CQ169" s="1342"/>
      <c r="CR169" s="1342"/>
      <c r="CS169" s="1342"/>
      <c r="CT169" s="1342"/>
      <c r="CU169" s="1342"/>
      <c r="CV169" s="1488"/>
      <c r="CW169" s="1342"/>
      <c r="CX169" s="1342"/>
      <c r="CY169" s="1342"/>
      <c r="CZ169" s="1486"/>
      <c r="DA169" s="1486"/>
      <c r="DB169" s="1486"/>
    </row>
    <row r="170" spans="1:106">
      <c r="A170" s="780" t="s">
        <v>303</v>
      </c>
      <c r="G170" s="1319"/>
      <c r="H170" s="1319"/>
      <c r="I170" s="1319"/>
      <c r="J170" s="1276"/>
      <c r="K170" s="1277"/>
      <c r="L170" s="1319"/>
      <c r="M170" s="1319"/>
      <c r="N170" s="1319"/>
      <c r="O170" s="1276"/>
      <c r="P170" s="1277"/>
      <c r="Q170" s="1319"/>
      <c r="R170" s="1319"/>
      <c r="S170" s="1319"/>
      <c r="T170" s="1276"/>
      <c r="U170" s="1277"/>
      <c r="V170" s="1319"/>
      <c r="W170" s="1319"/>
      <c r="X170" s="1319"/>
      <c r="Y170" s="1276"/>
      <c r="Z170" s="1342"/>
      <c r="AA170" s="1408"/>
      <c r="AB170" s="1408"/>
      <c r="AC170" s="1408"/>
      <c r="AD170" s="1408"/>
      <c r="AE170" s="1342"/>
      <c r="AF170" s="1408"/>
      <c r="AG170" s="1408"/>
      <c r="AH170" s="1408"/>
      <c r="AI170" s="1408"/>
      <c r="AJ170" s="1342"/>
      <c r="AK170" s="1408"/>
      <c r="AL170" s="1408"/>
      <c r="AM170" s="1408"/>
      <c r="AN170" s="1408"/>
      <c r="AO170" s="1342"/>
      <c r="AP170" s="1408"/>
      <c r="AQ170" s="1408"/>
      <c r="AR170" s="1408"/>
      <c r="AS170" s="1408"/>
      <c r="AT170" s="1342"/>
      <c r="AU170" s="1408"/>
      <c r="AV170" s="1408"/>
      <c r="AW170" s="1408"/>
      <c r="AX170" s="1408"/>
      <c r="AY170" s="1342"/>
      <c r="AZ170" s="1408"/>
      <c r="BA170" s="1409"/>
      <c r="BB170" s="1409"/>
      <c r="BC170" s="1409"/>
      <c r="BD170" s="1342"/>
      <c r="BE170" s="1409"/>
      <c r="BF170" s="1409"/>
      <c r="BG170" s="1409"/>
      <c r="BH170" s="1409"/>
      <c r="BI170" s="796"/>
      <c r="BJ170" s="2182">
        <v>-6</v>
      </c>
      <c r="BK170" s="2183">
        <v>-6</v>
      </c>
      <c r="BL170" s="2183">
        <v>4</v>
      </c>
      <c r="BM170" s="2222">
        <v>14</v>
      </c>
      <c r="BN170" s="796">
        <f>SUM(BJ170:BM170)</f>
        <v>6</v>
      </c>
      <c r="BO170" s="2222">
        <v>22</v>
      </c>
      <c r="BP170" s="2029">
        <f>0.8*BP27</f>
        <v>12.612907428150869</v>
      </c>
      <c r="BQ170" s="2029">
        <f>0.8*BQ27</f>
        <v>7.2666230912895067</v>
      </c>
      <c r="BR170" s="2029">
        <f>0.8*BR27</f>
        <v>4.9439375903632055</v>
      </c>
      <c r="BS170" s="796">
        <f>SUM(BO170:BR170)</f>
        <v>46.823468109803585</v>
      </c>
      <c r="BT170" s="2029">
        <f>0.8*BT27</f>
        <v>2.356266109148172</v>
      </c>
      <c r="BU170" s="2029"/>
      <c r="BV170" s="2029"/>
      <c r="BW170" s="2029"/>
      <c r="BX170" s="796"/>
      <c r="BY170" s="1486"/>
      <c r="BZ170" s="1486"/>
      <c r="CA170" s="1486"/>
      <c r="CF170" s="1487"/>
      <c r="CG170" s="1271"/>
      <c r="CH170" s="1271"/>
      <c r="CI170" s="1271"/>
      <c r="CJ170" s="1271"/>
      <c r="CK170" s="1271"/>
      <c r="CL170" s="1278"/>
      <c r="CM170" s="1342"/>
      <c r="CN170" s="1342"/>
      <c r="CO170" s="1342"/>
      <c r="CP170" s="1342"/>
      <c r="CQ170" s="1342"/>
      <c r="CR170" s="1342"/>
      <c r="CS170" s="1342"/>
      <c r="CT170" s="1342"/>
      <c r="CU170" s="1342"/>
      <c r="CV170" s="1488"/>
      <c r="CW170" s="1342"/>
      <c r="CX170" s="1342"/>
      <c r="CY170" s="1342"/>
      <c r="CZ170" s="1486"/>
      <c r="DA170" s="1486"/>
      <c r="DB170" s="1486"/>
    </row>
    <row r="171" spans="1:106">
      <c r="A171" s="1485"/>
      <c r="K171" s="1423"/>
      <c r="P171" s="1423"/>
      <c r="U171" s="1423"/>
      <c r="Y171" s="1408"/>
      <c r="Z171" s="1342"/>
      <c r="AA171" s="1408"/>
      <c r="AB171" s="1408"/>
      <c r="AC171" s="1408"/>
      <c r="AD171" s="1408"/>
      <c r="AE171" s="1342"/>
      <c r="AF171" s="1408"/>
      <c r="AG171" s="1408"/>
      <c r="AH171" s="1408"/>
      <c r="AI171" s="1408"/>
      <c r="AJ171" s="1342"/>
      <c r="AK171" s="1408"/>
      <c r="AL171" s="1408"/>
      <c r="AM171" s="1408"/>
      <c r="AO171" s="1342"/>
      <c r="AP171" s="1408"/>
      <c r="AQ171" s="1408"/>
      <c r="AR171" s="1408"/>
      <c r="AT171" s="1342"/>
      <c r="AU171" s="1408"/>
      <c r="AV171" s="1408"/>
      <c r="AW171" s="1408"/>
      <c r="AY171" s="1342"/>
      <c r="AZ171" s="1408"/>
      <c r="BA171" s="1408"/>
      <c r="BB171" s="1408"/>
      <c r="BD171" s="1342"/>
      <c r="BE171" s="1408"/>
      <c r="BF171" s="1408"/>
      <c r="BG171" s="1408"/>
      <c r="BI171" s="1342"/>
      <c r="BJ171" s="1408"/>
      <c r="BK171" s="1408"/>
      <c r="BL171" s="1408"/>
      <c r="BN171" s="1342"/>
      <c r="BO171" s="1408"/>
      <c r="BP171" s="1408"/>
      <c r="BQ171" s="1408"/>
      <c r="BS171" s="1342"/>
      <c r="BT171" s="1408"/>
      <c r="BU171" s="1408"/>
      <c r="BV171" s="1408"/>
      <c r="BX171" s="1342"/>
      <c r="BY171" s="1486"/>
      <c r="BZ171" s="1486"/>
      <c r="CA171" s="1486"/>
      <c r="CF171" s="1487"/>
      <c r="CG171" s="1271"/>
      <c r="CH171" s="1271"/>
      <c r="CI171" s="1271"/>
      <c r="CJ171" s="1271"/>
      <c r="CK171" s="1271"/>
      <c r="CL171" s="1423"/>
      <c r="CM171" s="1342"/>
      <c r="CN171" s="1342"/>
      <c r="CO171" s="1342"/>
      <c r="CP171" s="1342"/>
      <c r="CQ171" s="1342"/>
      <c r="CR171" s="1342"/>
      <c r="CS171" s="1342"/>
      <c r="CT171" s="1342"/>
      <c r="CU171" s="1342"/>
      <c r="CV171" s="1488"/>
      <c r="CW171" s="1342"/>
      <c r="CX171" s="1342"/>
      <c r="CY171" s="1342"/>
      <c r="CZ171" s="1486"/>
      <c r="DA171" s="1486"/>
      <c r="DB171" s="1486"/>
    </row>
    <row r="172" spans="1:106" s="768" customFormat="1">
      <c r="A172" s="768" t="s">
        <v>335</v>
      </c>
      <c r="G172" s="1319" t="s">
        <v>249</v>
      </c>
      <c r="H172" s="1319" t="s">
        <v>249</v>
      </c>
      <c r="I172" s="1319" t="s">
        <v>249</v>
      </c>
      <c r="J172" s="1276" t="s">
        <v>249</v>
      </c>
      <c r="K172" s="1277" t="s">
        <v>249</v>
      </c>
      <c r="L172" s="1319" t="s">
        <v>249</v>
      </c>
      <c r="M172" s="1319" t="s">
        <v>249</v>
      </c>
      <c r="N172" s="1319" t="s">
        <v>249</v>
      </c>
      <c r="O172" s="1276" t="s">
        <v>249</v>
      </c>
      <c r="P172" s="1277" t="s">
        <v>249</v>
      </c>
      <c r="Q172" s="1319" t="s">
        <v>249</v>
      </c>
      <c r="R172" s="1319" t="s">
        <v>249</v>
      </c>
      <c r="S172" s="1319" t="s">
        <v>249</v>
      </c>
      <c r="T172" s="1276" t="s">
        <v>249</v>
      </c>
      <c r="U172" s="1277" t="s">
        <v>249</v>
      </c>
      <c r="V172" s="768">
        <f t="shared" ref="V172:BF172" si="226">V156+V166</f>
        <v>342.1</v>
      </c>
      <c r="W172" s="768">
        <f t="shared" si="226"/>
        <v>403.7</v>
      </c>
      <c r="X172" s="768">
        <f t="shared" si="226"/>
        <v>375.6</v>
      </c>
      <c r="Y172" s="768">
        <f t="shared" si="226"/>
        <v>415.9</v>
      </c>
      <c r="Z172" s="1291">
        <f t="shared" si="226"/>
        <v>1537.3</v>
      </c>
      <c r="AA172" s="768">
        <f t="shared" si="226"/>
        <v>401.3</v>
      </c>
      <c r="AB172" s="768">
        <f t="shared" si="226"/>
        <v>405</v>
      </c>
      <c r="AC172" s="768">
        <f t="shared" si="226"/>
        <v>417.5</v>
      </c>
      <c r="AD172" s="768">
        <f t="shared" si="226"/>
        <v>471.9</v>
      </c>
      <c r="AE172" s="1291">
        <f t="shared" si="226"/>
        <v>1695.7</v>
      </c>
      <c r="AF172" s="768">
        <f t="shared" si="226"/>
        <v>443</v>
      </c>
      <c r="AG172" s="768">
        <f t="shared" si="226"/>
        <v>480</v>
      </c>
      <c r="AH172" s="768">
        <f t="shared" si="226"/>
        <v>410</v>
      </c>
      <c r="AI172" s="768">
        <f t="shared" si="226"/>
        <v>434</v>
      </c>
      <c r="AJ172" s="1291">
        <f t="shared" si="226"/>
        <v>1767</v>
      </c>
      <c r="AK172" s="768">
        <f t="shared" si="226"/>
        <v>466</v>
      </c>
      <c r="AL172" s="768">
        <f t="shared" si="226"/>
        <v>483</v>
      </c>
      <c r="AM172" s="768">
        <f t="shared" si="226"/>
        <v>502</v>
      </c>
      <c r="AN172" s="768">
        <f t="shared" si="226"/>
        <v>584</v>
      </c>
      <c r="AO172" s="1291">
        <f t="shared" si="226"/>
        <v>2035</v>
      </c>
      <c r="AP172" s="768">
        <f t="shared" si="226"/>
        <v>561</v>
      </c>
      <c r="AQ172" s="768">
        <f t="shared" si="226"/>
        <v>599</v>
      </c>
      <c r="AR172" s="768">
        <f t="shared" si="226"/>
        <v>540</v>
      </c>
      <c r="AS172" s="768">
        <f t="shared" si="226"/>
        <v>574</v>
      </c>
      <c r="AT172" s="1291">
        <f t="shared" si="226"/>
        <v>2274</v>
      </c>
      <c r="AU172" s="768">
        <f t="shared" si="226"/>
        <v>569</v>
      </c>
      <c r="AV172" s="768">
        <f t="shared" si="226"/>
        <v>664</v>
      </c>
      <c r="AW172" s="768">
        <f t="shared" si="226"/>
        <v>604</v>
      </c>
      <c r="AX172" s="768">
        <f t="shared" si="226"/>
        <v>618</v>
      </c>
      <c r="AY172" s="1291">
        <f t="shared" si="226"/>
        <v>2455</v>
      </c>
      <c r="AZ172" s="768">
        <f t="shared" si="226"/>
        <v>606</v>
      </c>
      <c r="BA172" s="768">
        <f t="shared" si="226"/>
        <v>658</v>
      </c>
      <c r="BB172" s="768">
        <f t="shared" si="226"/>
        <v>587</v>
      </c>
      <c r="BC172" s="768">
        <f t="shared" si="226"/>
        <v>578</v>
      </c>
      <c r="BD172" s="1291">
        <f t="shared" si="226"/>
        <v>2429</v>
      </c>
      <c r="BE172" s="768">
        <f t="shared" si="226"/>
        <v>552</v>
      </c>
      <c r="BF172" s="768">
        <f t="shared" si="226"/>
        <v>682</v>
      </c>
      <c r="BG172" s="768">
        <f>BG156+BG166</f>
        <v>642</v>
      </c>
      <c r="BH172" s="768">
        <f t="shared" ref="BH172:BZ172" si="227">BH156+BH166</f>
        <v>658</v>
      </c>
      <c r="BI172" s="1291">
        <f t="shared" si="227"/>
        <v>2534</v>
      </c>
      <c r="BJ172" s="768">
        <f t="shared" si="227"/>
        <v>714</v>
      </c>
      <c r="BK172" s="768">
        <f t="shared" si="227"/>
        <v>747</v>
      </c>
      <c r="BL172" s="768">
        <f t="shared" si="227"/>
        <v>739</v>
      </c>
      <c r="BM172" s="768">
        <f t="shared" si="227"/>
        <v>789</v>
      </c>
      <c r="BN172" s="1291">
        <f t="shared" si="227"/>
        <v>2989</v>
      </c>
      <c r="BO172" s="768">
        <f t="shared" si="227"/>
        <v>748</v>
      </c>
      <c r="BP172" s="768">
        <f t="shared" si="227"/>
        <v>808.39290742815092</v>
      </c>
      <c r="BQ172" s="768">
        <f t="shared" si="227"/>
        <v>782.73288123985253</v>
      </c>
      <c r="BR172" s="768">
        <f t="shared" si="227"/>
        <v>802.24752820075207</v>
      </c>
      <c r="BS172" s="1291">
        <f t="shared" si="227"/>
        <v>3141.3733168687559</v>
      </c>
      <c r="BT172" s="768">
        <f t="shared" ref="BT172:BX172" si="228">BT156+BT166</f>
        <v>781.50286936219618</v>
      </c>
      <c r="BU172" s="768">
        <f t="shared" si="228"/>
        <v>846.21615123603613</v>
      </c>
      <c r="BV172" s="768">
        <f t="shared" si="228"/>
        <v>818.56092347643994</v>
      </c>
      <c r="BW172" s="768">
        <f t="shared" si="228"/>
        <v>838.67884925499334</v>
      </c>
      <c r="BX172" s="1291">
        <f t="shared" si="228"/>
        <v>3284.9587933296652</v>
      </c>
      <c r="BY172" s="1550">
        <f t="shared" si="227"/>
        <v>3418.6627739168125</v>
      </c>
      <c r="BZ172" s="1550">
        <f t="shared" si="227"/>
        <v>3560.0613933391887</v>
      </c>
      <c r="CA172" s="1550">
        <f t="shared" ref="CA172" si="229">CA156+CA166</f>
        <v>3694.692329926907</v>
      </c>
      <c r="CB172" s="1432"/>
      <c r="CF172" s="1291" t="str">
        <f>+A172</f>
        <v>Standard &amp; Poor's Ratings (Total)</v>
      </c>
      <c r="CL172" s="1278"/>
      <c r="CM172" s="1291"/>
      <c r="CN172" s="1291"/>
      <c r="CO172" s="1291">
        <f>+Z172</f>
        <v>1537.3</v>
      </c>
      <c r="CP172" s="1291">
        <f>+AE172</f>
        <v>1695.7</v>
      </c>
      <c r="CQ172" s="1291">
        <f>+AJ172</f>
        <v>1767</v>
      </c>
      <c r="CR172" s="1291">
        <f>+AO172</f>
        <v>2035</v>
      </c>
      <c r="CS172" s="1291">
        <f>+AT172</f>
        <v>2274</v>
      </c>
      <c r="CT172" s="1291">
        <f>+AY172</f>
        <v>2455</v>
      </c>
      <c r="CU172" s="1291">
        <f>+BD172</f>
        <v>2429</v>
      </c>
      <c r="CV172" s="1289">
        <f>+BI172</f>
        <v>2534</v>
      </c>
      <c r="CW172" s="1291">
        <f>+BN172</f>
        <v>2989</v>
      </c>
      <c r="CX172" s="1291">
        <f>+BS172</f>
        <v>3141.3733168687559</v>
      </c>
      <c r="CY172" s="1291">
        <f t="shared" ref="CY172:DB173" si="230">+BX172</f>
        <v>3284.9587933296652</v>
      </c>
      <c r="CZ172" s="1550">
        <f t="shared" si="230"/>
        <v>3418.6627739168125</v>
      </c>
      <c r="DA172" s="1550">
        <f t="shared" si="230"/>
        <v>3560.0613933391887</v>
      </c>
      <c r="DB172" s="1550">
        <f t="shared" si="230"/>
        <v>3694.692329926907</v>
      </c>
    </row>
    <row r="173" spans="1:106" s="1254" customFormat="1">
      <c r="A173" s="1343" t="s">
        <v>528</v>
      </c>
      <c r="G173" s="1327"/>
      <c r="H173" s="1327"/>
      <c r="I173" s="1327"/>
      <c r="J173" s="1446"/>
      <c r="K173" s="1621"/>
      <c r="L173" s="1327"/>
      <c r="M173" s="1327"/>
      <c r="N173" s="1327"/>
      <c r="O173" s="1446"/>
      <c r="P173" s="1621"/>
      <c r="Q173" s="1327"/>
      <c r="R173" s="1327"/>
      <c r="S173" s="1327"/>
      <c r="T173" s="1446"/>
      <c r="U173" s="1621"/>
      <c r="Z173" s="695">
        <f t="shared" ref="Z173:BE173" si="231">+Z172/Z37</f>
        <v>0.26185082355345857</v>
      </c>
      <c r="AA173" s="781">
        <f t="shared" si="231"/>
        <v>0.34269854824935952</v>
      </c>
      <c r="AB173" s="781">
        <f t="shared" si="231"/>
        <v>0.27950310559006208</v>
      </c>
      <c r="AC173" s="781">
        <f t="shared" si="231"/>
        <v>0.21344580777096114</v>
      </c>
      <c r="AD173" s="781">
        <f t="shared" si="231"/>
        <v>0.31544117647058822</v>
      </c>
      <c r="AE173" s="695">
        <f t="shared" si="231"/>
        <v>0.27926548089591569</v>
      </c>
      <c r="AF173" s="781">
        <f t="shared" si="231"/>
        <v>0.35103011093502379</v>
      </c>
      <c r="AG173" s="781">
        <f t="shared" si="231"/>
        <v>0.30828516377649323</v>
      </c>
      <c r="AH173" s="781">
        <f t="shared" si="231"/>
        <v>0.21499737808075511</v>
      </c>
      <c r="AI173" s="781">
        <f t="shared" si="231"/>
        <v>0.28552631578947368</v>
      </c>
      <c r="AJ173" s="695">
        <f t="shared" si="231"/>
        <v>0.2829010566762728</v>
      </c>
      <c r="AK173" s="781">
        <f t="shared" si="231"/>
        <v>0.45024154589371979</v>
      </c>
      <c r="AL173" s="781">
        <f t="shared" si="231"/>
        <v>0.45055970149253732</v>
      </c>
      <c r="AM173" s="781">
        <f t="shared" si="231"/>
        <v>0.44982078853046598</v>
      </c>
      <c r="AN173" s="781">
        <f t="shared" si="231"/>
        <v>0.47634584013050568</v>
      </c>
      <c r="AO173" s="695">
        <f t="shared" si="231"/>
        <v>0.45740615868734547</v>
      </c>
      <c r="AP173" s="781">
        <f t="shared" si="231"/>
        <v>0.47502116850127013</v>
      </c>
      <c r="AQ173" s="781">
        <f t="shared" si="231"/>
        <v>0.47920000000000001</v>
      </c>
      <c r="AR173" s="781">
        <f t="shared" si="231"/>
        <v>0.46875</v>
      </c>
      <c r="AS173" s="781">
        <f t="shared" si="231"/>
        <v>0.47595356550580431</v>
      </c>
      <c r="AT173" s="695">
        <f t="shared" si="231"/>
        <v>0.47483817080810192</v>
      </c>
      <c r="AU173" s="781">
        <f t="shared" si="231"/>
        <v>0.47575250836120403</v>
      </c>
      <c r="AV173" s="781">
        <f t="shared" si="231"/>
        <v>0.50998463901689706</v>
      </c>
      <c r="AW173" s="781">
        <f t="shared" si="231"/>
        <v>0.47822644497228822</v>
      </c>
      <c r="AX173" s="782">
        <f t="shared" si="231"/>
        <v>0.47906976744186047</v>
      </c>
      <c r="AY173" s="782">
        <f t="shared" si="231"/>
        <v>0.48604236784795091</v>
      </c>
      <c r="AZ173" s="781">
        <f t="shared" si="231"/>
        <v>0.47604084838963079</v>
      </c>
      <c r="BA173" s="781">
        <f t="shared" si="231"/>
        <v>0.49031296572280181</v>
      </c>
      <c r="BB173" s="781">
        <f t="shared" si="231"/>
        <v>0.44335347432024169</v>
      </c>
      <c r="BC173" s="782">
        <f t="shared" si="231"/>
        <v>0.42066957787481807</v>
      </c>
      <c r="BD173" s="782">
        <f t="shared" si="231"/>
        <v>0.45718050065876153</v>
      </c>
      <c r="BE173" s="781">
        <f t="shared" si="231"/>
        <v>0.4116331096196868</v>
      </c>
      <c r="BF173" s="781">
        <f t="shared" ref="BF173:BI173" si="232">+BF172/BF37</f>
        <v>0.46018893387314441</v>
      </c>
      <c r="BG173" s="781">
        <f t="shared" si="232"/>
        <v>0.44614315496872831</v>
      </c>
      <c r="BH173" s="782">
        <f t="shared" si="232"/>
        <v>0.47033595425303787</v>
      </c>
      <c r="BI173" s="782">
        <f t="shared" si="232"/>
        <v>0.44762409468291819</v>
      </c>
      <c r="BJ173" s="781">
        <f>+BJ172/BJ30</f>
        <v>0.49139710942876808</v>
      </c>
      <c r="BK173" s="781">
        <f t="shared" ref="BK173:CA173" si="233">+BK172/BK30</f>
        <v>0.49502982107355864</v>
      </c>
      <c r="BL173" s="781">
        <f t="shared" si="233"/>
        <v>0.48843357567746198</v>
      </c>
      <c r="BM173" s="782">
        <f t="shared" si="233"/>
        <v>0.49653870358716173</v>
      </c>
      <c r="BN173" s="782">
        <f t="shared" si="233"/>
        <v>0.4929089709762533</v>
      </c>
      <c r="BO173" s="781">
        <f t="shared" si="233"/>
        <v>0.47734524569240588</v>
      </c>
      <c r="BP173" s="781">
        <f t="shared" si="233"/>
        <v>0.49280764885034417</v>
      </c>
      <c r="BQ173" s="781">
        <f t="shared" si="233"/>
        <v>0.48217746986076421</v>
      </c>
      <c r="BR173" s="782">
        <f t="shared" si="233"/>
        <v>0.48006054336283488</v>
      </c>
      <c r="BS173" s="782">
        <f t="shared" si="233"/>
        <v>0.48315069820088447</v>
      </c>
      <c r="BT173" s="781">
        <f t="shared" ref="BT173:BX173" si="234">+BT172/BT30</f>
        <v>0.47466460195478005</v>
      </c>
      <c r="BU173" s="781">
        <f t="shared" si="234"/>
        <v>0.48706873481321999</v>
      </c>
      <c r="BV173" s="781">
        <f t="shared" si="234"/>
        <v>0.47555147149263277</v>
      </c>
      <c r="BW173" s="782">
        <f t="shared" si="234"/>
        <v>0.47357482849667198</v>
      </c>
      <c r="BX173" s="782">
        <f t="shared" si="234"/>
        <v>0.47774008332385554</v>
      </c>
      <c r="BY173" s="782">
        <f t="shared" si="233"/>
        <v>0.47274432367371322</v>
      </c>
      <c r="BZ173" s="782">
        <f t="shared" si="233"/>
        <v>0.46791326270050615</v>
      </c>
      <c r="CA173" s="782">
        <f t="shared" si="233"/>
        <v>0.46387441254071915</v>
      </c>
      <c r="CF173" s="1668" t="str">
        <f>+A173</f>
        <v>% of total SPGI revenue</v>
      </c>
      <c r="CL173" s="1334"/>
      <c r="CM173" s="695"/>
      <c r="CN173" s="695"/>
      <c r="CO173" s="695">
        <f>+Z173</f>
        <v>0.26185082355345857</v>
      </c>
      <c r="CP173" s="695">
        <f>+AE173</f>
        <v>0.27926548089591569</v>
      </c>
      <c r="CQ173" s="695">
        <f>+AJ173</f>
        <v>0.2829010566762728</v>
      </c>
      <c r="CR173" s="695">
        <f>+AO173</f>
        <v>0.45740615868734547</v>
      </c>
      <c r="CS173" s="695">
        <f>+AT173</f>
        <v>0.47483817080810192</v>
      </c>
      <c r="CT173" s="782">
        <f>+AY173</f>
        <v>0.48604236784795091</v>
      </c>
      <c r="CU173" s="782">
        <f>+BD173</f>
        <v>0.45718050065876153</v>
      </c>
      <c r="CV173" s="694">
        <f>+BI173</f>
        <v>0.44762409468291819</v>
      </c>
      <c r="CW173" s="695">
        <f>+BN173</f>
        <v>0.4929089709762533</v>
      </c>
      <c r="CX173" s="695">
        <f>+BS173</f>
        <v>0.48315069820088447</v>
      </c>
      <c r="CY173" s="695">
        <f t="shared" si="230"/>
        <v>0.47774008332385554</v>
      </c>
      <c r="CZ173" s="782">
        <f t="shared" si="230"/>
        <v>0.47274432367371322</v>
      </c>
      <c r="DA173" s="782">
        <f t="shared" si="230"/>
        <v>0.46791326270050615</v>
      </c>
      <c r="DB173" s="782">
        <f t="shared" si="230"/>
        <v>0.46387441254071915</v>
      </c>
    </row>
    <row r="174" spans="1:106" s="1254" customFormat="1">
      <c r="A174" s="1618" t="s">
        <v>288</v>
      </c>
      <c r="G174" s="1327"/>
      <c r="H174" s="1327"/>
      <c r="I174" s="1327"/>
      <c r="J174" s="1446"/>
      <c r="K174" s="1621"/>
      <c r="L174" s="1327"/>
      <c r="M174" s="1327"/>
      <c r="N174" s="1327"/>
      <c r="O174" s="1446"/>
      <c r="P174" s="1621"/>
      <c r="Q174" s="1327"/>
      <c r="R174" s="1327"/>
      <c r="S174" s="1327"/>
      <c r="T174" s="1446"/>
      <c r="U174" s="1621"/>
      <c r="Z174" s="695"/>
      <c r="AA174" s="781">
        <f t="shared" ref="AA174:AW174" si="235">+AA172/V172-1</f>
        <v>0.17304881613563272</v>
      </c>
      <c r="AB174" s="781">
        <f t="shared" si="235"/>
        <v>3.2202130294773923E-3</v>
      </c>
      <c r="AC174" s="781">
        <f t="shared" si="235"/>
        <v>0.11155484558040452</v>
      </c>
      <c r="AD174" s="781">
        <f t="shared" si="235"/>
        <v>0.13464775186342881</v>
      </c>
      <c r="AE174" s="695">
        <f t="shared" si="235"/>
        <v>0.10303779353411824</v>
      </c>
      <c r="AF174" s="781">
        <f t="shared" si="235"/>
        <v>0.10391228507351102</v>
      </c>
      <c r="AG174" s="781">
        <f t="shared" si="235"/>
        <v>0.18518518518518512</v>
      </c>
      <c r="AH174" s="781">
        <f t="shared" si="235"/>
        <v>-1.7964071856287456E-2</v>
      </c>
      <c r="AI174" s="781">
        <f t="shared" si="235"/>
        <v>-8.0313625768171137E-2</v>
      </c>
      <c r="AJ174" s="695">
        <f t="shared" si="235"/>
        <v>4.2047531992687404E-2</v>
      </c>
      <c r="AK174" s="781">
        <f t="shared" si="235"/>
        <v>5.1918735891647749E-2</v>
      </c>
      <c r="AL174" s="781">
        <f t="shared" si="235"/>
        <v>6.2500000000000888E-3</v>
      </c>
      <c r="AM174" s="781">
        <f t="shared" si="235"/>
        <v>0.224390243902439</v>
      </c>
      <c r="AN174" s="781">
        <f t="shared" si="235"/>
        <v>0.34562211981566815</v>
      </c>
      <c r="AO174" s="695">
        <f t="shared" si="235"/>
        <v>0.15166949632144888</v>
      </c>
      <c r="AP174" s="781">
        <f t="shared" si="235"/>
        <v>0.20386266094420602</v>
      </c>
      <c r="AQ174" s="781">
        <f t="shared" si="235"/>
        <v>0.24016563146997938</v>
      </c>
      <c r="AR174" s="781">
        <f t="shared" si="235"/>
        <v>7.5697211155378419E-2</v>
      </c>
      <c r="AS174" s="781">
        <f t="shared" si="235"/>
        <v>-1.7123287671232834E-2</v>
      </c>
      <c r="AT174" s="695">
        <f t="shared" si="235"/>
        <v>0.11744471744471752</v>
      </c>
      <c r="AU174" s="781">
        <f t="shared" si="235"/>
        <v>1.426024955436711E-2</v>
      </c>
      <c r="AV174" s="781">
        <f t="shared" si="235"/>
        <v>0.10851419031719534</v>
      </c>
      <c r="AW174" s="781">
        <f t="shared" si="235"/>
        <v>0.11851851851851847</v>
      </c>
      <c r="AX174" s="782">
        <f>+AX172/AS172-1</f>
        <v>7.6655052264808399E-2</v>
      </c>
      <c r="AY174" s="782">
        <f t="shared" ref="AY174:BS174" si="236">+AY172/AT172-1</f>
        <v>7.9595426561125837E-2</v>
      </c>
      <c r="AZ174" s="781">
        <f t="shared" si="236"/>
        <v>6.5026362038664409E-2</v>
      </c>
      <c r="BA174" s="781">
        <f t="shared" si="236"/>
        <v>-9.0361445783132543E-3</v>
      </c>
      <c r="BB174" s="781">
        <f t="shared" si="236"/>
        <v>-2.8145695364238388E-2</v>
      </c>
      <c r="BC174" s="782">
        <f t="shared" si="236"/>
        <v>-6.4724919093851141E-2</v>
      </c>
      <c r="BD174" s="782">
        <f t="shared" si="236"/>
        <v>-1.0590631364562064E-2</v>
      </c>
      <c r="BE174" s="781">
        <f t="shared" si="236"/>
        <v>-8.9108910891089077E-2</v>
      </c>
      <c r="BF174" s="781">
        <f t="shared" si="236"/>
        <v>3.6474164133738496E-2</v>
      </c>
      <c r="BG174" s="781">
        <f t="shared" si="236"/>
        <v>9.3696763202725686E-2</v>
      </c>
      <c r="BH174" s="782">
        <f t="shared" si="236"/>
        <v>0.1384083044982698</v>
      </c>
      <c r="BI174" s="782">
        <f t="shared" si="236"/>
        <v>4.3227665706051965E-2</v>
      </c>
      <c r="BJ174" s="781">
        <f t="shared" si="236"/>
        <v>0.29347826086956519</v>
      </c>
      <c r="BK174" s="781">
        <f t="shared" si="236"/>
        <v>9.5307917888562965E-2</v>
      </c>
      <c r="BL174" s="781">
        <f t="shared" si="236"/>
        <v>0.15109034267912769</v>
      </c>
      <c r="BM174" s="782">
        <f t="shared" si="236"/>
        <v>0.19908814589665647</v>
      </c>
      <c r="BN174" s="782">
        <f t="shared" si="236"/>
        <v>0.17955801104972369</v>
      </c>
      <c r="BO174" s="781">
        <f t="shared" si="236"/>
        <v>4.7619047619047672E-2</v>
      </c>
      <c r="BP174" s="781">
        <f t="shared" si="236"/>
        <v>8.2185953719077443E-2</v>
      </c>
      <c r="BQ174" s="781">
        <f t="shared" si="236"/>
        <v>5.9178459052574572E-2</v>
      </c>
      <c r="BR174" s="782">
        <f t="shared" si="236"/>
        <v>1.6790276553551475E-2</v>
      </c>
      <c r="BS174" s="782">
        <f t="shared" si="236"/>
        <v>5.0978025048094899E-2</v>
      </c>
      <c r="BT174" s="781">
        <f t="shared" ref="BT174" si="237">+BT172/BO172-1</f>
        <v>4.4789932302401247E-2</v>
      </c>
      <c r="BU174" s="781">
        <f t="shared" ref="BU174" si="238">+BU172/BP172-1</f>
        <v>4.6788193538482847E-2</v>
      </c>
      <c r="BV174" s="781">
        <f t="shared" ref="BV174" si="239">+BV172/BQ172-1</f>
        <v>4.5773012856998641E-2</v>
      </c>
      <c r="BW174" s="782">
        <f t="shared" ref="BW174" si="240">+BW172/BR172-1</f>
        <v>4.5411571583084731E-2</v>
      </c>
      <c r="BX174" s="782">
        <f t="shared" ref="BX174" si="241">+BX172/BS172-1</f>
        <v>4.5707867858262752E-2</v>
      </c>
      <c r="BY174" s="695">
        <f>+BY172/BX172-1</f>
        <v>4.0701874513203062E-2</v>
      </c>
      <c r="BZ174" s="695">
        <f>+BZ172/BY172-1</f>
        <v>4.1360797707570729E-2</v>
      </c>
      <c r="CA174" s="695">
        <f>+CA172/BZ172-1</f>
        <v>3.7817026650048824E-2</v>
      </c>
      <c r="CF174" s="1668"/>
      <c r="CL174" s="1334"/>
      <c r="CM174" s="695"/>
      <c r="CN174" s="695"/>
      <c r="CO174" s="695"/>
      <c r="CP174" s="695"/>
      <c r="CQ174" s="695"/>
      <c r="CR174" s="695"/>
      <c r="CS174" s="695"/>
      <c r="CT174" s="782"/>
      <c r="CU174" s="782"/>
      <c r="CV174" s="694"/>
      <c r="CW174" s="695"/>
      <c r="CX174" s="695"/>
      <c r="CY174" s="695"/>
      <c r="CZ174" s="782"/>
      <c r="DA174" s="782"/>
      <c r="DB174" s="782"/>
    </row>
    <row r="175" spans="1:106" s="1254" customFormat="1">
      <c r="A175" s="1618" t="s">
        <v>337</v>
      </c>
      <c r="G175" s="1327"/>
      <c r="H175" s="1327"/>
      <c r="I175" s="1327"/>
      <c r="J175" s="1446"/>
      <c r="K175" s="1621"/>
      <c r="L175" s="1327"/>
      <c r="M175" s="1327"/>
      <c r="N175" s="1327"/>
      <c r="O175" s="1446"/>
      <c r="P175" s="1621"/>
      <c r="Q175" s="1327"/>
      <c r="R175" s="1327"/>
      <c r="S175" s="1327"/>
      <c r="T175" s="1446"/>
      <c r="U175" s="1621"/>
      <c r="Z175" s="695"/>
      <c r="AA175" s="781"/>
      <c r="AB175" s="781"/>
      <c r="AC175" s="781"/>
      <c r="AD175" s="781"/>
      <c r="AE175" s="695"/>
      <c r="AF175" s="781"/>
      <c r="AG175" s="781"/>
      <c r="AH175" s="781"/>
      <c r="AI175" s="781"/>
      <c r="AJ175" s="695"/>
      <c r="AK175" s="781"/>
      <c r="AL175" s="781"/>
      <c r="AM175" s="781"/>
      <c r="AN175" s="781"/>
      <c r="AO175" s="695"/>
      <c r="AP175" s="781"/>
      <c r="AQ175" s="781"/>
      <c r="AR175" s="781"/>
      <c r="AS175" s="781"/>
      <c r="AT175" s="695"/>
      <c r="AU175" s="781"/>
      <c r="AV175" s="781"/>
      <c r="AW175" s="781"/>
      <c r="AX175" s="782"/>
      <c r="AY175" s="782"/>
      <c r="AZ175" s="781"/>
      <c r="BA175" s="781">
        <v>0.03</v>
      </c>
      <c r="BB175" s="781">
        <v>0.01</v>
      </c>
      <c r="BC175" s="783">
        <v>-0.04</v>
      </c>
      <c r="BD175" s="782"/>
      <c r="BE175" s="781">
        <f>+BE174</f>
        <v>-8.9108910891089077E-2</v>
      </c>
      <c r="BF175" s="781">
        <f>+BF174</f>
        <v>3.6474164133738496E-2</v>
      </c>
      <c r="BG175" s="781">
        <f>+BG174+0.01</f>
        <v>0.10369676320272568</v>
      </c>
      <c r="BH175" s="782">
        <f>+(BH172+8)/BC172-1</f>
        <v>0.15224913494809678</v>
      </c>
      <c r="BI175" s="782">
        <f>+(BI172+18)/BD172-1</f>
        <v>5.063812268423229E-2</v>
      </c>
      <c r="BJ175" s="791">
        <f>+(BJ172-BJ170)/BE172-1</f>
        <v>0.30434782608695654</v>
      </c>
      <c r="BK175" s="781">
        <f>+(BK172-BK170)/BF172-1</f>
        <v>0.10410557184750724</v>
      </c>
      <c r="BL175" s="781">
        <f>+(BL172-BL170)/BG172-1</f>
        <v>0.14485981308411211</v>
      </c>
      <c r="BM175" s="782">
        <f>+(BM172-BM170)/BH172-1</f>
        <v>0.17781155015197569</v>
      </c>
      <c r="BN175" s="695">
        <f>(BN172-BN170)/BI172-1</f>
        <v>0.17719021310181526</v>
      </c>
      <c r="BO175" s="781">
        <f t="shared" ref="BO175:BP175" si="242">+(BO172-BO170)/BJ172-1</f>
        <v>1.6806722689075571E-2</v>
      </c>
      <c r="BP175" s="781">
        <f t="shared" si="242"/>
        <v>6.5301204819277148E-2</v>
      </c>
      <c r="BQ175" s="781">
        <f t="shared" ref="BQ175" si="243">+(BQ172-BQ170)/BL172-1</f>
        <v>4.9345410214564289E-2</v>
      </c>
      <c r="BR175" s="781">
        <f t="shared" ref="BR175" si="244">+(BR172-BR170)/BM172-1</f>
        <v>1.0524195957400284E-2</v>
      </c>
      <c r="BS175" s="695">
        <f>(BS172-BS170)/BN172-1</f>
        <v>3.5312763050837193E-2</v>
      </c>
      <c r="BT175" s="781">
        <f t="shared" ref="BT175" si="245">+(BT172-BT170)/BO172-1</f>
        <v>4.1639843921187136E-2</v>
      </c>
      <c r="BU175" s="781">
        <f t="shared" ref="BU175" si="246">+(BU172-BU170)/BP172-1</f>
        <v>4.6788193538482847E-2</v>
      </c>
      <c r="BV175" s="781">
        <f t="shared" ref="BV175" si="247">+(BV172-BV170)/BQ172-1</f>
        <v>4.5773012856998641E-2</v>
      </c>
      <c r="BW175" s="781">
        <f t="shared" ref="BW175" si="248">+(BW172-BW170)/BR172-1</f>
        <v>4.5411571583084731E-2</v>
      </c>
      <c r="BX175" s="695">
        <f>(BX172-BX170)/BS172-1</f>
        <v>4.5707867858262752E-2</v>
      </c>
      <c r="BY175" s="782"/>
      <c r="BZ175" s="782"/>
      <c r="CA175" s="782"/>
      <c r="CF175" s="1668"/>
      <c r="CL175" s="1334"/>
      <c r="CM175" s="695"/>
      <c r="CN175" s="695"/>
      <c r="CO175" s="695"/>
      <c r="CP175" s="695"/>
      <c r="CQ175" s="695"/>
      <c r="CR175" s="695"/>
      <c r="CS175" s="695"/>
      <c r="CT175" s="782"/>
      <c r="CU175" s="782"/>
      <c r="CV175" s="694"/>
      <c r="CW175" s="695"/>
      <c r="CX175" s="695"/>
      <c r="CY175" s="695"/>
      <c r="CZ175" s="782"/>
      <c r="DA175" s="782"/>
      <c r="DB175" s="782"/>
    </row>
    <row r="176" spans="1:106" s="1254" customFormat="1">
      <c r="A176" s="1618"/>
      <c r="G176" s="1327"/>
      <c r="H176" s="1327"/>
      <c r="I176" s="1327"/>
      <c r="J176" s="1446"/>
      <c r="K176" s="1621"/>
      <c r="L176" s="1327"/>
      <c r="M176" s="1327"/>
      <c r="N176" s="1327"/>
      <c r="O176" s="1446"/>
      <c r="P176" s="1621"/>
      <c r="Q176" s="1327"/>
      <c r="R176" s="1327"/>
      <c r="S176" s="1327"/>
      <c r="T176" s="1446"/>
      <c r="U176" s="1621"/>
      <c r="Z176" s="695"/>
      <c r="AA176" s="781"/>
      <c r="AB176" s="781"/>
      <c r="AC176" s="781"/>
      <c r="AD176" s="781"/>
      <c r="AE176" s="695"/>
      <c r="AF176" s="781"/>
      <c r="AG176" s="781"/>
      <c r="AH176" s="781"/>
      <c r="AI176" s="781"/>
      <c r="AJ176" s="695"/>
      <c r="AK176" s="781"/>
      <c r="AL176" s="781"/>
      <c r="AM176" s="781"/>
      <c r="AN176" s="781"/>
      <c r="AO176" s="695"/>
      <c r="AP176" s="781"/>
      <c r="AQ176" s="781"/>
      <c r="AR176" s="781"/>
      <c r="AS176" s="781"/>
      <c r="AT176" s="695"/>
      <c r="AU176" s="781"/>
      <c r="AV176" s="781"/>
      <c r="AW176" s="781"/>
      <c r="AX176" s="782"/>
      <c r="AY176" s="782"/>
      <c r="AZ176" s="781"/>
      <c r="BA176" s="781"/>
      <c r="BB176" s="781"/>
      <c r="BC176" s="782"/>
      <c r="BD176" s="782"/>
      <c r="BE176" s="781"/>
      <c r="BF176" s="781"/>
      <c r="BG176" s="781"/>
      <c r="BH176" s="782"/>
      <c r="BI176" s="782"/>
      <c r="BJ176" s="781"/>
      <c r="BK176" s="781"/>
      <c r="BL176" s="781"/>
      <c r="BM176" s="782"/>
      <c r="BN176" s="695"/>
      <c r="BO176" s="781"/>
      <c r="BP176" s="781"/>
      <c r="BQ176" s="781"/>
      <c r="BR176" s="782"/>
      <c r="BS176" s="695"/>
      <c r="BT176" s="781"/>
      <c r="BU176" s="781"/>
      <c r="BV176" s="781"/>
      <c r="BW176" s="782"/>
      <c r="BX176" s="695"/>
      <c r="BY176" s="782"/>
      <c r="BZ176" s="782"/>
      <c r="CA176" s="782"/>
      <c r="CF176" s="1668"/>
      <c r="CL176" s="1334"/>
      <c r="CM176" s="695"/>
      <c r="CN176" s="695"/>
      <c r="CO176" s="695"/>
      <c r="CP176" s="695"/>
      <c r="CQ176" s="695"/>
      <c r="CR176" s="695"/>
      <c r="CS176" s="695"/>
      <c r="CT176" s="782"/>
      <c r="CU176" s="782"/>
      <c r="CV176" s="694"/>
      <c r="CW176" s="695"/>
      <c r="CX176" s="695"/>
      <c r="CY176" s="695"/>
      <c r="CZ176" s="782"/>
      <c r="DA176" s="782"/>
      <c r="DB176" s="782"/>
    </row>
    <row r="177" spans="1:106" s="1254" customFormat="1" hidden="1" outlineLevel="1">
      <c r="A177" s="768" t="s">
        <v>538</v>
      </c>
      <c r="G177" s="1327"/>
      <c r="H177" s="1327"/>
      <c r="I177" s="1327"/>
      <c r="J177" s="1446"/>
      <c r="K177" s="1621"/>
      <c r="L177" s="1327"/>
      <c r="M177" s="1327"/>
      <c r="N177" s="1327"/>
      <c r="O177" s="1446"/>
      <c r="P177" s="1621"/>
      <c r="Q177" s="1327"/>
      <c r="R177" s="1327"/>
      <c r="S177" s="1327"/>
      <c r="T177" s="1446"/>
      <c r="U177" s="1621"/>
      <c r="Z177" s="695"/>
      <c r="AA177" s="781"/>
      <c r="AB177" s="781"/>
      <c r="AC177" s="781"/>
      <c r="AD177" s="781"/>
      <c r="AE177" s="695"/>
      <c r="AF177" s="781"/>
      <c r="AG177" s="781"/>
      <c r="AH177" s="781"/>
      <c r="AI177" s="781"/>
      <c r="AJ177" s="695"/>
      <c r="AK177" s="781"/>
      <c r="AL177" s="781"/>
      <c r="AM177" s="781"/>
      <c r="AN177" s="781"/>
      <c r="AO177" s="695"/>
      <c r="AP177" s="781"/>
      <c r="AQ177" s="781"/>
      <c r="AR177" s="781"/>
      <c r="AS177" s="781"/>
      <c r="AT177" s="695"/>
      <c r="AU177" s="781"/>
      <c r="AV177" s="781"/>
      <c r="AW177" s="781"/>
      <c r="AX177" s="782"/>
      <c r="AY177" s="782"/>
      <c r="AZ177" s="781"/>
      <c r="BA177" s="781"/>
      <c r="BB177" s="781"/>
      <c r="BC177" s="782"/>
      <c r="BD177" s="782"/>
      <c r="BE177" s="781"/>
      <c r="BF177" s="781"/>
      <c r="BG177" s="781"/>
      <c r="BH177" s="782"/>
      <c r="BI177" s="782"/>
      <c r="BJ177" s="781"/>
      <c r="BK177" s="781"/>
      <c r="BL177" s="781"/>
      <c r="BM177" s="782"/>
      <c r="BN177" s="695"/>
      <c r="BO177" s="781"/>
      <c r="BP177" s="781"/>
      <c r="BQ177" s="781"/>
      <c r="BR177" s="782"/>
      <c r="BS177" s="695"/>
      <c r="BT177" s="781"/>
      <c r="BU177" s="781"/>
      <c r="BV177" s="781"/>
      <c r="BW177" s="782"/>
      <c r="BX177" s="695"/>
      <c r="BY177" s="782"/>
      <c r="BZ177" s="782"/>
      <c r="CA177" s="782"/>
      <c r="CF177" s="1668"/>
      <c r="CL177" s="1334"/>
      <c r="CM177" s="695"/>
      <c r="CN177" s="695"/>
      <c r="CO177" s="695"/>
      <c r="CP177" s="695"/>
      <c r="CQ177" s="695"/>
      <c r="CR177" s="695"/>
      <c r="CS177" s="695"/>
      <c r="CT177" s="782"/>
      <c r="CU177" s="782"/>
      <c r="CV177" s="694"/>
      <c r="CW177" s="695"/>
      <c r="CX177" s="695"/>
      <c r="CY177" s="695"/>
      <c r="CZ177" s="782"/>
      <c r="DA177" s="782"/>
      <c r="DB177" s="782"/>
    </row>
    <row r="178" spans="1:106" s="1254" customFormat="1" hidden="1" outlineLevel="1">
      <c r="A178" s="1343" t="s">
        <v>539</v>
      </c>
      <c r="G178" s="1327"/>
      <c r="H178" s="1327"/>
      <c r="I178" s="1327"/>
      <c r="J178" s="1446"/>
      <c r="K178" s="1621"/>
      <c r="L178" s="1327"/>
      <c r="M178" s="1327"/>
      <c r="N178" s="1327"/>
      <c r="O178" s="1446"/>
      <c r="P178" s="2057">
        <v>123</v>
      </c>
      <c r="Q178" s="2055"/>
      <c r="R178" s="2055"/>
      <c r="S178" s="2055"/>
      <c r="T178" s="2055"/>
      <c r="U178" s="2057"/>
      <c r="V178" s="2055"/>
      <c r="W178" s="2055"/>
      <c r="X178" s="2055"/>
      <c r="Y178" s="2055"/>
      <c r="Z178" s="2057"/>
      <c r="AA178" s="1992"/>
      <c r="AB178" s="1992"/>
      <c r="AC178" s="1992"/>
      <c r="AD178" s="1992"/>
      <c r="AE178" s="2057"/>
      <c r="AF178" s="1992"/>
      <c r="AG178" s="1992"/>
      <c r="AH178" s="1992"/>
      <c r="AI178" s="1992"/>
      <c r="AJ178" s="2056"/>
      <c r="AK178" s="1992"/>
      <c r="AL178" s="1992"/>
      <c r="AM178" s="1992"/>
      <c r="AN178" s="1992"/>
      <c r="AO178" s="2057">
        <v>221</v>
      </c>
      <c r="AP178" s="1992"/>
      <c r="AQ178" s="1992"/>
      <c r="AR178" s="1992"/>
      <c r="AS178" s="1992"/>
      <c r="AT178" s="2057">
        <v>252</v>
      </c>
      <c r="AU178" s="1992"/>
      <c r="AV178" s="1992"/>
      <c r="AW178" s="1992"/>
      <c r="AX178" s="2055"/>
      <c r="AY178" s="2057">
        <v>273</v>
      </c>
      <c r="AZ178" s="2058">
        <v>65</v>
      </c>
      <c r="BA178" s="2058">
        <v>70</v>
      </c>
      <c r="BB178" s="2058">
        <v>77</v>
      </c>
      <c r="BC178" s="2059">
        <v>66</v>
      </c>
      <c r="BD178" s="2057">
        <v>278</v>
      </c>
      <c r="BE178" s="2059">
        <v>71</v>
      </c>
      <c r="BF178" s="2058">
        <v>75</v>
      </c>
      <c r="BG178" s="2058">
        <v>78</v>
      </c>
      <c r="BH178" s="2059">
        <v>80</v>
      </c>
      <c r="BI178" s="2057">
        <v>305</v>
      </c>
      <c r="BJ178" s="2259">
        <v>79</v>
      </c>
      <c r="BK178" s="2058">
        <v>83</v>
      </c>
      <c r="BL178" s="2184">
        <v>87</v>
      </c>
      <c r="BM178" s="2230">
        <v>86</v>
      </c>
      <c r="BN178" s="2231">
        <f>SUM(BJ178:BM178)</f>
        <v>335</v>
      </c>
      <c r="BO178" s="2259">
        <v>88</v>
      </c>
      <c r="BP178" s="781"/>
      <c r="BQ178" s="781"/>
      <c r="BR178" s="782"/>
      <c r="BS178" s="695"/>
      <c r="BT178" s="781"/>
      <c r="BU178" s="781"/>
      <c r="BV178" s="781"/>
      <c r="BW178" s="782"/>
      <c r="BX178" s="695"/>
      <c r="BY178" s="782"/>
      <c r="BZ178" s="782"/>
      <c r="CA178" s="782"/>
      <c r="CF178" s="1668"/>
      <c r="CL178" s="1334"/>
      <c r="CM178" s="695"/>
      <c r="CN178" s="695"/>
      <c r="CO178" s="695"/>
      <c r="CP178" s="695"/>
      <c r="CQ178" s="695"/>
      <c r="CR178" s="695"/>
      <c r="CS178" s="695"/>
      <c r="CT178" s="782"/>
      <c r="CU178" s="782"/>
      <c r="CV178" s="694"/>
      <c r="CW178" s="695"/>
      <c r="CX178" s="695"/>
      <c r="CY178" s="695"/>
      <c r="CZ178" s="782"/>
      <c r="DA178" s="782"/>
      <c r="DB178" s="782"/>
    </row>
    <row r="179" spans="1:106" s="1254" customFormat="1" hidden="1" outlineLevel="1">
      <c r="A179" s="1343" t="s">
        <v>540</v>
      </c>
      <c r="G179" s="1327"/>
      <c r="H179" s="1327"/>
      <c r="I179" s="1327"/>
      <c r="J179" s="1446"/>
      <c r="K179" s="1621"/>
      <c r="L179" s="1327"/>
      <c r="M179" s="1327"/>
      <c r="N179" s="1327"/>
      <c r="O179" s="1446"/>
      <c r="P179" s="2057">
        <v>183</v>
      </c>
      <c r="Q179" s="2055"/>
      <c r="R179" s="2055"/>
      <c r="S179" s="2055"/>
      <c r="T179" s="2055"/>
      <c r="U179" s="2057"/>
      <c r="V179" s="2055"/>
      <c r="W179" s="2055"/>
      <c r="X179" s="2055"/>
      <c r="Y179" s="2055"/>
      <c r="Z179" s="2057"/>
      <c r="AA179" s="1992"/>
      <c r="AB179" s="1992"/>
      <c r="AC179" s="1992"/>
      <c r="AD179" s="1992"/>
      <c r="AE179" s="2057"/>
      <c r="AF179" s="1992"/>
      <c r="AG179" s="1992"/>
      <c r="AH179" s="1992"/>
      <c r="AI179" s="1992"/>
      <c r="AJ179" s="2056"/>
      <c r="AK179" s="1992"/>
      <c r="AL179" s="1992"/>
      <c r="AM179" s="1992"/>
      <c r="AN179" s="1992"/>
      <c r="AO179" s="2057">
        <v>215</v>
      </c>
      <c r="AP179" s="1992"/>
      <c r="AQ179" s="1992"/>
      <c r="AR179" s="1992"/>
      <c r="AS179" s="1992"/>
      <c r="AT179" s="2057">
        <v>203</v>
      </c>
      <c r="AU179" s="1992"/>
      <c r="AV179" s="1992"/>
      <c r="AW179" s="1992"/>
      <c r="AX179" s="2055"/>
      <c r="AY179" s="2057">
        <v>205</v>
      </c>
      <c r="AZ179" s="2058">
        <v>61</v>
      </c>
      <c r="BA179" s="2058">
        <v>64</v>
      </c>
      <c r="BB179" s="2058">
        <v>51</v>
      </c>
      <c r="BC179" s="2059">
        <v>49</v>
      </c>
      <c r="BD179" s="2057">
        <v>225</v>
      </c>
      <c r="BE179" s="2059">
        <v>55</v>
      </c>
      <c r="BF179" s="2058">
        <v>65</v>
      </c>
      <c r="BG179" s="2058">
        <v>62</v>
      </c>
      <c r="BH179" s="2059">
        <v>63</v>
      </c>
      <c r="BI179" s="2057">
        <v>244</v>
      </c>
      <c r="BJ179" s="2259">
        <v>68</v>
      </c>
      <c r="BK179" s="2058">
        <v>59</v>
      </c>
      <c r="BL179" s="2184">
        <v>55</v>
      </c>
      <c r="BM179" s="2230">
        <v>73</v>
      </c>
      <c r="BN179" s="2231">
        <f t="shared" ref="BN179:BN182" si="249">SUM(BJ179:BM179)</f>
        <v>255</v>
      </c>
      <c r="BO179" s="2259">
        <v>49</v>
      </c>
      <c r="BP179" s="781"/>
      <c r="BQ179" s="781"/>
      <c r="BR179" s="782"/>
      <c r="BS179" s="695"/>
      <c r="BT179" s="781"/>
      <c r="BU179" s="781"/>
      <c r="BV179" s="781"/>
      <c r="BW179" s="782"/>
      <c r="BX179" s="695"/>
      <c r="BY179" s="782"/>
      <c r="BZ179" s="782"/>
      <c r="CA179" s="782"/>
      <c r="CF179" s="1668"/>
      <c r="CL179" s="1334"/>
      <c r="CM179" s="695"/>
      <c r="CN179" s="695"/>
      <c r="CO179" s="695"/>
      <c r="CP179" s="695"/>
      <c r="CQ179" s="695"/>
      <c r="CR179" s="695"/>
      <c r="CS179" s="695"/>
      <c r="CT179" s="782"/>
      <c r="CU179" s="782"/>
      <c r="CV179" s="694"/>
      <c r="CW179" s="695"/>
      <c r="CX179" s="695"/>
      <c r="CY179" s="695"/>
      <c r="CZ179" s="782"/>
      <c r="DA179" s="782"/>
      <c r="DB179" s="782"/>
    </row>
    <row r="180" spans="1:106" s="1254" customFormat="1" hidden="1" outlineLevel="1">
      <c r="A180" s="1343" t="s">
        <v>541</v>
      </c>
      <c r="G180" s="1327"/>
      <c r="H180" s="1327"/>
      <c r="I180" s="1327"/>
      <c r="J180" s="1446"/>
      <c r="K180" s="1621"/>
      <c r="L180" s="1327"/>
      <c r="M180" s="1327"/>
      <c r="N180" s="1327"/>
      <c r="O180" s="1446"/>
      <c r="P180" s="2057">
        <v>933</v>
      </c>
      <c r="Q180" s="2055"/>
      <c r="R180" s="2055"/>
      <c r="S180" s="2055"/>
      <c r="T180" s="2055"/>
      <c r="U180" s="2057"/>
      <c r="V180" s="2055"/>
      <c r="W180" s="2055"/>
      <c r="X180" s="2055"/>
      <c r="Y180" s="2055"/>
      <c r="Z180" s="2057"/>
      <c r="AA180" s="1992"/>
      <c r="AB180" s="1992"/>
      <c r="AC180" s="1992"/>
      <c r="AD180" s="1992"/>
      <c r="AE180" s="2057"/>
      <c r="AF180" s="1992"/>
      <c r="AG180" s="1992"/>
      <c r="AH180" s="1992"/>
      <c r="AI180" s="1992"/>
      <c r="AJ180" s="2056"/>
      <c r="AK180" s="1992"/>
      <c r="AL180" s="1992"/>
      <c r="AM180" s="1992"/>
      <c r="AN180" s="1992"/>
      <c r="AO180" s="2057">
        <v>295</v>
      </c>
      <c r="AP180" s="1992"/>
      <c r="AQ180" s="1992"/>
      <c r="AR180" s="1992"/>
      <c r="AS180" s="1992"/>
      <c r="AT180" s="2057">
        <v>320</v>
      </c>
      <c r="AU180" s="1992"/>
      <c r="AV180" s="1992"/>
      <c r="AW180" s="1992"/>
      <c r="AX180" s="2055"/>
      <c r="AY180" s="2057">
        <v>307</v>
      </c>
      <c r="AZ180" s="2058">
        <v>67</v>
      </c>
      <c r="BA180" s="2058">
        <v>76</v>
      </c>
      <c r="BB180" s="2058">
        <v>63</v>
      </c>
      <c r="BC180" s="2059">
        <v>64</v>
      </c>
      <c r="BD180" s="2057">
        <v>271</v>
      </c>
      <c r="BE180" s="2059">
        <v>57</v>
      </c>
      <c r="BF180" s="2058">
        <v>64</v>
      </c>
      <c r="BG180" s="2058">
        <v>60</v>
      </c>
      <c r="BH180" s="2059">
        <v>72</v>
      </c>
      <c r="BI180" s="2057">
        <v>253</v>
      </c>
      <c r="BJ180" s="2259">
        <v>58</v>
      </c>
      <c r="BK180" s="2058">
        <v>74</v>
      </c>
      <c r="BL180" s="2184">
        <v>81</v>
      </c>
      <c r="BM180" s="2230">
        <v>94</v>
      </c>
      <c r="BN180" s="2231">
        <f t="shared" si="249"/>
        <v>307</v>
      </c>
      <c r="BO180" s="2259">
        <v>76</v>
      </c>
      <c r="BP180" s="781"/>
      <c r="BQ180" s="781"/>
      <c r="BR180" s="782"/>
      <c r="BS180" s="695"/>
      <c r="BT180" s="781"/>
      <c r="BU180" s="781"/>
      <c r="BV180" s="781"/>
      <c r="BW180" s="782"/>
      <c r="BX180" s="695"/>
      <c r="BY180" s="782"/>
      <c r="BZ180" s="782"/>
      <c r="CA180" s="782"/>
      <c r="CF180" s="1668"/>
      <c r="CL180" s="1334"/>
      <c r="CM180" s="695"/>
      <c r="CN180" s="695"/>
      <c r="CO180" s="695"/>
      <c r="CP180" s="695"/>
      <c r="CQ180" s="695"/>
      <c r="CR180" s="695"/>
      <c r="CS180" s="695"/>
      <c r="CT180" s="782"/>
      <c r="CU180" s="782"/>
      <c r="CV180" s="694"/>
      <c r="CW180" s="695"/>
      <c r="CX180" s="695"/>
      <c r="CY180" s="695"/>
      <c r="CZ180" s="782"/>
      <c r="DA180" s="782"/>
      <c r="DB180" s="782"/>
    </row>
    <row r="181" spans="1:106" s="1254" customFormat="1" hidden="1" outlineLevel="1">
      <c r="A181" s="1343" t="s">
        <v>542</v>
      </c>
      <c r="G181" s="1327"/>
      <c r="H181" s="1327"/>
      <c r="I181" s="1327"/>
      <c r="J181" s="1446"/>
      <c r="K181" s="1621"/>
      <c r="L181" s="1327"/>
      <c r="M181" s="1327"/>
      <c r="N181" s="1327"/>
      <c r="O181" s="1446"/>
      <c r="P181" s="2057">
        <v>321</v>
      </c>
      <c r="Q181" s="2055"/>
      <c r="R181" s="2055"/>
      <c r="S181" s="2055"/>
      <c r="T181" s="2055"/>
      <c r="U181" s="2057"/>
      <c r="V181" s="2055"/>
      <c r="W181" s="2055"/>
      <c r="X181" s="2055"/>
      <c r="Y181" s="2055"/>
      <c r="Z181" s="2057"/>
      <c r="AA181" s="1992"/>
      <c r="AB181" s="1992"/>
      <c r="AC181" s="1992"/>
      <c r="AD181" s="1992"/>
      <c r="AE181" s="2057"/>
      <c r="AF181" s="1992"/>
      <c r="AG181" s="1992"/>
      <c r="AH181" s="1992"/>
      <c r="AI181" s="1992"/>
      <c r="AJ181" s="2056"/>
      <c r="AK181" s="1992"/>
      <c r="AL181" s="1992"/>
      <c r="AM181" s="1992"/>
      <c r="AN181" s="1992"/>
      <c r="AO181" s="2057">
        <v>333</v>
      </c>
      <c r="AP181" s="1992"/>
      <c r="AQ181" s="1992"/>
      <c r="AR181" s="1992"/>
      <c r="AS181" s="1992"/>
      <c r="AT181" s="2057">
        <v>360</v>
      </c>
      <c r="AU181" s="1992"/>
      <c r="AV181" s="1992"/>
      <c r="AW181" s="1992"/>
      <c r="AX181" s="2055"/>
      <c r="AY181" s="2057">
        <v>411</v>
      </c>
      <c r="AZ181" s="2058">
        <v>94</v>
      </c>
      <c r="BA181" s="2058">
        <v>100</v>
      </c>
      <c r="BB181" s="2058">
        <v>104</v>
      </c>
      <c r="BC181" s="2059">
        <v>115</v>
      </c>
      <c r="BD181" s="2057">
        <v>412</v>
      </c>
      <c r="BE181" s="2059">
        <v>98</v>
      </c>
      <c r="BF181" s="2058">
        <v>107</v>
      </c>
      <c r="BG181" s="2058">
        <v>96</v>
      </c>
      <c r="BH181" s="2059">
        <v>104</v>
      </c>
      <c r="BI181" s="2057">
        <v>404</v>
      </c>
      <c r="BJ181" s="2259">
        <v>110</v>
      </c>
      <c r="BK181" s="2058">
        <v>113</v>
      </c>
      <c r="BL181" s="2184">
        <v>104</v>
      </c>
      <c r="BM181" s="2230">
        <v>122</v>
      </c>
      <c r="BN181" s="2231">
        <f t="shared" si="249"/>
        <v>449</v>
      </c>
      <c r="BO181" s="2259">
        <v>116</v>
      </c>
      <c r="BP181" s="781"/>
      <c r="BQ181" s="781"/>
      <c r="BR181" s="782"/>
      <c r="BS181" s="695"/>
      <c r="BT181" s="781"/>
      <c r="BU181" s="781"/>
      <c r="BV181" s="781"/>
      <c r="BW181" s="782"/>
      <c r="BX181" s="695"/>
      <c r="BY181" s="782"/>
      <c r="BZ181" s="782"/>
      <c r="CA181" s="782"/>
      <c r="CF181" s="1668"/>
      <c r="CL181" s="1334"/>
      <c r="CM181" s="695"/>
      <c r="CN181" s="695"/>
      <c r="CO181" s="695"/>
      <c r="CP181" s="695"/>
      <c r="CQ181" s="695"/>
      <c r="CR181" s="695"/>
      <c r="CS181" s="695"/>
      <c r="CT181" s="782"/>
      <c r="CU181" s="782"/>
      <c r="CV181" s="694"/>
      <c r="CW181" s="695"/>
      <c r="CX181" s="695"/>
      <c r="CY181" s="695"/>
      <c r="CZ181" s="782"/>
      <c r="DA181" s="782"/>
      <c r="DB181" s="782"/>
    </row>
    <row r="182" spans="1:106" s="1254" customFormat="1" hidden="1" outlineLevel="1">
      <c r="A182" s="1343" t="s">
        <v>356</v>
      </c>
      <c r="G182" s="1327"/>
      <c r="H182" s="1327"/>
      <c r="I182" s="1327"/>
      <c r="J182" s="1446"/>
      <c r="K182" s="1621"/>
      <c r="L182" s="1327"/>
      <c r="M182" s="1327"/>
      <c r="N182" s="1327"/>
      <c r="O182" s="1446"/>
      <c r="P182" s="2057">
        <v>578</v>
      </c>
      <c r="Q182" s="2055"/>
      <c r="R182" s="2055"/>
      <c r="S182" s="2055"/>
      <c r="T182" s="2055"/>
      <c r="U182" s="2057"/>
      <c r="V182" s="2055"/>
      <c r="W182" s="2055"/>
      <c r="X182" s="2055"/>
      <c r="Y182" s="2055"/>
      <c r="Z182" s="2057"/>
      <c r="AA182" s="1992"/>
      <c r="AB182" s="1992"/>
      <c r="AC182" s="1992"/>
      <c r="AD182" s="1992"/>
      <c r="AE182" s="2057"/>
      <c r="AF182" s="1992"/>
      <c r="AG182" s="1992"/>
      <c r="AH182" s="1992"/>
      <c r="AI182" s="1992"/>
      <c r="AJ182" s="2056"/>
      <c r="AK182" s="1992"/>
      <c r="AL182" s="1992"/>
      <c r="AM182" s="1992"/>
      <c r="AN182" s="1992"/>
      <c r="AO182" s="2057">
        <v>970</v>
      </c>
      <c r="AP182" s="1992"/>
      <c r="AQ182" s="1992"/>
      <c r="AR182" s="1992"/>
      <c r="AS182" s="1992"/>
      <c r="AT182" s="2057">
        <v>1140</v>
      </c>
      <c r="AU182" s="1992"/>
      <c r="AV182" s="1992"/>
      <c r="AW182" s="1992"/>
      <c r="AX182" s="2055"/>
      <c r="AY182" s="2057">
        <v>1258</v>
      </c>
      <c r="AZ182" s="2058">
        <v>319</v>
      </c>
      <c r="BA182" s="2058">
        <v>347</v>
      </c>
      <c r="BB182" s="2058">
        <v>292</v>
      </c>
      <c r="BC182" s="2059">
        <v>283</v>
      </c>
      <c r="BD182" s="2057">
        <v>1242</v>
      </c>
      <c r="BE182" s="2059">
        <v>272</v>
      </c>
      <c r="BF182" s="2058">
        <v>370</v>
      </c>
      <c r="BG182" s="2058">
        <v>346</v>
      </c>
      <c r="BH182" s="2059">
        <v>340</v>
      </c>
      <c r="BI182" s="2057">
        <v>1327</v>
      </c>
      <c r="BJ182" s="2259">
        <v>410</v>
      </c>
      <c r="BK182" s="2058">
        <v>419</v>
      </c>
      <c r="BL182" s="2184">
        <v>412</v>
      </c>
      <c r="BM182" s="2230">
        <v>414</v>
      </c>
      <c r="BN182" s="2231">
        <f t="shared" si="249"/>
        <v>1655</v>
      </c>
      <c r="BO182" s="2259">
        <v>419</v>
      </c>
      <c r="BP182" s="781"/>
      <c r="BQ182" s="781"/>
      <c r="BR182" s="782"/>
      <c r="BS182" s="695"/>
      <c r="BT182" s="781"/>
      <c r="BU182" s="781"/>
      <c r="BV182" s="781"/>
      <c r="BW182" s="782"/>
      <c r="BX182" s="695"/>
      <c r="BY182" s="782"/>
      <c r="BZ182" s="782"/>
      <c r="CA182" s="782"/>
      <c r="CF182" s="1668"/>
      <c r="CL182" s="1334"/>
      <c r="CM182" s="695"/>
      <c r="CN182" s="695"/>
      <c r="CO182" s="695"/>
      <c r="CP182" s="695"/>
      <c r="CQ182" s="695"/>
      <c r="CR182" s="695"/>
      <c r="CS182" s="695"/>
      <c r="CT182" s="782"/>
      <c r="CU182" s="782"/>
      <c r="CV182" s="694"/>
      <c r="CW182" s="695"/>
      <c r="CX182" s="695"/>
      <c r="CY182" s="695"/>
      <c r="CZ182" s="782"/>
      <c r="DA182" s="782"/>
      <c r="DB182" s="782"/>
    </row>
    <row r="183" spans="1:106" s="1254" customFormat="1" hidden="1" outlineLevel="1">
      <c r="A183" s="1618"/>
      <c r="G183" s="1327"/>
      <c r="H183" s="1327"/>
      <c r="I183" s="1327"/>
      <c r="J183" s="1446"/>
      <c r="K183" s="1621"/>
      <c r="L183" s="1327"/>
      <c r="M183" s="1327"/>
      <c r="N183" s="1327"/>
      <c r="O183" s="1446"/>
      <c r="P183" s="1621"/>
      <c r="Q183" s="1327"/>
      <c r="R183" s="1327"/>
      <c r="S183" s="1327"/>
      <c r="T183" s="1446"/>
      <c r="U183" s="1621"/>
      <c r="Z183" s="695"/>
      <c r="AA183" s="781"/>
      <c r="AB183" s="781"/>
      <c r="AC183" s="781"/>
      <c r="AD183" s="781"/>
      <c r="AE183" s="695"/>
      <c r="AF183" s="781"/>
      <c r="AG183" s="781"/>
      <c r="AH183" s="781"/>
      <c r="AI183" s="781"/>
      <c r="AJ183" s="695"/>
      <c r="AK183" s="781"/>
      <c r="AL183" s="781"/>
      <c r="AM183" s="781"/>
      <c r="AN183" s="781"/>
      <c r="AO183" s="695"/>
      <c r="AP183" s="781"/>
      <c r="AQ183" s="781"/>
      <c r="AR183" s="781"/>
      <c r="AS183" s="781"/>
      <c r="AT183" s="695"/>
      <c r="AU183" s="781"/>
      <c r="AV183" s="781"/>
      <c r="AW183" s="781"/>
      <c r="AX183" s="782"/>
      <c r="AY183" s="782"/>
      <c r="AZ183" s="781"/>
      <c r="BA183" s="781"/>
      <c r="BB183" s="781"/>
      <c r="BC183" s="782"/>
      <c r="BD183" s="782"/>
      <c r="BE183" s="781"/>
      <c r="BF183" s="781"/>
      <c r="BG183" s="781"/>
      <c r="BH183" s="782"/>
      <c r="BI183" s="782"/>
      <c r="BJ183" s="781"/>
      <c r="BK183" s="781"/>
      <c r="BL183" s="781"/>
      <c r="BM183" s="782"/>
      <c r="BN183" s="695"/>
      <c r="BO183" s="781"/>
      <c r="BP183" s="781"/>
      <c r="BQ183" s="781"/>
      <c r="BR183" s="782"/>
      <c r="BS183" s="695"/>
      <c r="BT183" s="781"/>
      <c r="BU183" s="781"/>
      <c r="BV183" s="781"/>
      <c r="BW183" s="782"/>
      <c r="BX183" s="695"/>
      <c r="BY183" s="782"/>
      <c r="BZ183" s="782"/>
      <c r="CA183" s="782"/>
      <c r="CF183" s="1668"/>
      <c r="CL183" s="1334"/>
      <c r="CM183" s="695"/>
      <c r="CN183" s="695"/>
      <c r="CO183" s="695"/>
      <c r="CP183" s="695"/>
      <c r="CQ183" s="695"/>
      <c r="CR183" s="695"/>
      <c r="CS183" s="695"/>
      <c r="CT183" s="782"/>
      <c r="CU183" s="782"/>
      <c r="CV183" s="694"/>
      <c r="CW183" s="695"/>
      <c r="CX183" s="695"/>
      <c r="CY183" s="695"/>
      <c r="CZ183" s="782"/>
      <c r="DA183" s="782"/>
      <c r="DB183" s="782"/>
    </row>
    <row r="184" spans="1:106" s="1254" customFormat="1" hidden="1" outlineLevel="1">
      <c r="A184" s="768" t="s">
        <v>543</v>
      </c>
      <c r="G184" s="1327"/>
      <c r="H184" s="1327"/>
      <c r="I184" s="1327"/>
      <c r="J184" s="1446"/>
      <c r="K184" s="1621"/>
      <c r="L184" s="1327"/>
      <c r="M184" s="1327"/>
      <c r="N184" s="1327"/>
      <c r="O184" s="1446"/>
      <c r="P184" s="1621"/>
      <c r="Q184" s="1327"/>
      <c r="R184" s="1327"/>
      <c r="S184" s="1327"/>
      <c r="T184" s="1446"/>
      <c r="U184" s="1621"/>
      <c r="Z184" s="695"/>
      <c r="AA184" s="781"/>
      <c r="AB184" s="781"/>
      <c r="AC184" s="781"/>
      <c r="AD184" s="781"/>
      <c r="AE184" s="695"/>
      <c r="AF184" s="781"/>
      <c r="AG184" s="781"/>
      <c r="AH184" s="781"/>
      <c r="AI184" s="781"/>
      <c r="AJ184" s="695"/>
      <c r="AK184" s="781"/>
      <c r="AL184" s="781"/>
      <c r="AM184" s="781"/>
      <c r="AN184" s="781"/>
      <c r="AO184" s="695"/>
      <c r="AP184" s="781"/>
      <c r="AQ184" s="781"/>
      <c r="AR184" s="781"/>
      <c r="AS184" s="781"/>
      <c r="AT184" s="695"/>
      <c r="AU184" s="781"/>
      <c r="AV184" s="781"/>
      <c r="AW184" s="781"/>
      <c r="AX184" s="782"/>
      <c r="AY184" s="782"/>
      <c r="AZ184" s="781"/>
      <c r="BA184" s="781"/>
      <c r="BB184" s="781"/>
      <c r="BC184" s="782"/>
      <c r="BD184" s="782"/>
      <c r="BE184" s="781"/>
      <c r="BF184" s="781"/>
      <c r="BG184" s="781"/>
      <c r="BH184" s="782"/>
      <c r="BI184" s="782"/>
      <c r="BJ184" s="781"/>
      <c r="BK184" s="781"/>
      <c r="BL184" s="781"/>
      <c r="BM184" s="782"/>
      <c r="BN184" s="695"/>
      <c r="BO184" s="781"/>
      <c r="BP184" s="781"/>
      <c r="BQ184" s="781"/>
      <c r="BR184" s="782"/>
      <c r="BS184" s="695"/>
      <c r="BT184" s="781"/>
      <c r="BU184" s="781"/>
      <c r="BV184" s="781"/>
      <c r="BW184" s="782"/>
      <c r="BX184" s="695"/>
      <c r="BY184" s="782"/>
      <c r="BZ184" s="782"/>
      <c r="CA184" s="782"/>
      <c r="CF184" s="1668"/>
      <c r="CL184" s="1334"/>
      <c r="CM184" s="695"/>
      <c r="CN184" s="695"/>
      <c r="CO184" s="695"/>
      <c r="CP184" s="695"/>
      <c r="CQ184" s="695"/>
      <c r="CR184" s="695"/>
      <c r="CS184" s="695"/>
      <c r="CT184" s="782"/>
      <c r="CU184" s="782"/>
      <c r="CV184" s="694"/>
      <c r="CW184" s="695"/>
      <c r="CX184" s="695"/>
      <c r="CY184" s="695"/>
      <c r="CZ184" s="782"/>
      <c r="DA184" s="782"/>
      <c r="DB184" s="782"/>
    </row>
    <row r="185" spans="1:106" s="1254" customFormat="1" hidden="1" outlineLevel="1">
      <c r="A185" s="1343" t="s">
        <v>539</v>
      </c>
      <c r="G185" s="1327"/>
      <c r="H185" s="1327"/>
      <c r="I185" s="1327"/>
      <c r="J185" s="1446"/>
      <c r="K185" s="1621"/>
      <c r="L185" s="1327"/>
      <c r="M185" s="1327"/>
      <c r="N185" s="1327"/>
      <c r="O185" s="1446"/>
      <c r="P185" s="1621"/>
      <c r="Q185" s="1327"/>
      <c r="R185" s="1327"/>
      <c r="S185" s="1327"/>
      <c r="T185" s="1446"/>
      <c r="U185" s="1621"/>
      <c r="Z185" s="695"/>
      <c r="AA185" s="781"/>
      <c r="AB185" s="781"/>
      <c r="AC185" s="781"/>
      <c r="AD185" s="781"/>
      <c r="AE185" s="695"/>
      <c r="AF185" s="781"/>
      <c r="AG185" s="781"/>
      <c r="AH185" s="781"/>
      <c r="AI185" s="781"/>
      <c r="AJ185" s="695"/>
      <c r="AK185" s="781"/>
      <c r="AL185" s="781"/>
      <c r="AM185" s="781"/>
      <c r="AN185" s="781"/>
      <c r="AO185" s="695"/>
      <c r="AP185" s="781"/>
      <c r="AQ185" s="781"/>
      <c r="AR185" s="781"/>
      <c r="AS185" s="781"/>
      <c r="AT185" s="695">
        <f>+AT178/AO178-1</f>
        <v>0.14027149321266963</v>
      </c>
      <c r="AU185" s="781"/>
      <c r="AV185" s="781"/>
      <c r="AW185" s="781"/>
      <c r="AX185" s="782"/>
      <c r="AY185" s="782">
        <f>+AY178/AT178-1</f>
        <v>8.3333333333333259E-2</v>
      </c>
      <c r="AZ185" s="781"/>
      <c r="BA185" s="781"/>
      <c r="BB185" s="781"/>
      <c r="BC185" s="782"/>
      <c r="BD185" s="1258">
        <f t="shared" ref="BD185:BL189" si="250">+BD178/AY178-1</f>
        <v>1.831501831501825E-2</v>
      </c>
      <c r="BE185" s="1991">
        <f t="shared" si="250"/>
        <v>9.2307692307692202E-2</v>
      </c>
      <c r="BF185" s="1991">
        <f t="shared" si="250"/>
        <v>7.1428571428571397E-2</v>
      </c>
      <c r="BG185" s="1991">
        <f t="shared" si="250"/>
        <v>1.298701298701288E-2</v>
      </c>
      <c r="BH185" s="1258">
        <f t="shared" si="250"/>
        <v>0.21212121212121215</v>
      </c>
      <c r="BI185" s="1258">
        <f t="shared" si="250"/>
        <v>9.7122302158273444E-2</v>
      </c>
      <c r="BJ185" s="1307">
        <f t="shared" si="250"/>
        <v>0.11267605633802824</v>
      </c>
      <c r="BK185" s="1991">
        <f t="shared" si="250"/>
        <v>0.10666666666666669</v>
      </c>
      <c r="BL185" s="1991">
        <f t="shared" si="250"/>
        <v>0.11538461538461542</v>
      </c>
      <c r="BM185" s="1258">
        <f t="shared" ref="BM185:BM189" si="251">+BM178/BH178-1</f>
        <v>7.4999999999999956E-2</v>
      </c>
      <c r="BN185" s="1258">
        <f t="shared" ref="BN185:BO189" si="252">+BN178/BI178-1</f>
        <v>9.8360655737705027E-2</v>
      </c>
      <c r="BO185" s="1307">
        <f t="shared" si="252"/>
        <v>0.11392405063291133</v>
      </c>
      <c r="BP185" s="781"/>
      <c r="BQ185" s="781"/>
      <c r="BR185" s="782"/>
      <c r="BS185" s="695"/>
      <c r="BT185" s="781"/>
      <c r="BU185" s="781"/>
      <c r="BV185" s="781"/>
      <c r="BW185" s="782"/>
      <c r="BX185" s="695"/>
      <c r="BY185" s="782"/>
      <c r="BZ185" s="782"/>
      <c r="CA185" s="782"/>
      <c r="CF185" s="1668"/>
      <c r="CL185" s="1334"/>
      <c r="CM185" s="695"/>
      <c r="CN185" s="695"/>
      <c r="CO185" s="695"/>
      <c r="CP185" s="695"/>
      <c r="CQ185" s="695"/>
      <c r="CR185" s="695"/>
      <c r="CS185" s="695"/>
      <c r="CT185" s="782"/>
      <c r="CU185" s="782"/>
      <c r="CV185" s="694"/>
      <c r="CW185" s="695"/>
      <c r="CX185" s="695"/>
      <c r="CY185" s="695"/>
      <c r="CZ185" s="782"/>
      <c r="DA185" s="782"/>
      <c r="DB185" s="782"/>
    </row>
    <row r="186" spans="1:106" s="1254" customFormat="1" hidden="1" outlineLevel="1">
      <c r="A186" s="1343" t="s">
        <v>540</v>
      </c>
      <c r="G186" s="1327"/>
      <c r="H186" s="1327"/>
      <c r="I186" s="1327"/>
      <c r="J186" s="1446"/>
      <c r="K186" s="1621"/>
      <c r="L186" s="1327"/>
      <c r="M186" s="1327"/>
      <c r="N186" s="1327"/>
      <c r="O186" s="1446"/>
      <c r="P186" s="1621"/>
      <c r="Q186" s="1327"/>
      <c r="R186" s="1327"/>
      <c r="S186" s="1327"/>
      <c r="T186" s="1446"/>
      <c r="U186" s="1621"/>
      <c r="Z186" s="695"/>
      <c r="AA186" s="781"/>
      <c r="AB186" s="781"/>
      <c r="AC186" s="781"/>
      <c r="AD186" s="781"/>
      <c r="AE186" s="695"/>
      <c r="AF186" s="781"/>
      <c r="AG186" s="781"/>
      <c r="AH186" s="781"/>
      <c r="AI186" s="781"/>
      <c r="AJ186" s="695"/>
      <c r="AK186" s="781"/>
      <c r="AL186" s="781"/>
      <c r="AM186" s="781"/>
      <c r="AN186" s="781"/>
      <c r="AO186" s="695"/>
      <c r="AP186" s="781"/>
      <c r="AQ186" s="781"/>
      <c r="AR186" s="781"/>
      <c r="AS186" s="781"/>
      <c r="AT186" s="695">
        <f>+AT179/AO179-1</f>
        <v>-5.5813953488372148E-2</v>
      </c>
      <c r="AU186" s="781"/>
      <c r="AV186" s="781"/>
      <c r="AW186" s="781"/>
      <c r="AX186" s="782"/>
      <c r="AY186" s="782">
        <f>+AY179/AT179-1</f>
        <v>9.8522167487684609E-3</v>
      </c>
      <c r="AZ186" s="781"/>
      <c r="BA186" s="781"/>
      <c r="BB186" s="781"/>
      <c r="BC186" s="782"/>
      <c r="BD186" s="1258">
        <f t="shared" si="250"/>
        <v>9.7560975609756184E-2</v>
      </c>
      <c r="BE186" s="1991">
        <f t="shared" si="250"/>
        <v>-9.8360655737704916E-2</v>
      </c>
      <c r="BF186" s="1991">
        <f t="shared" si="250"/>
        <v>1.5625E-2</v>
      </c>
      <c r="BG186" s="1991">
        <f t="shared" si="250"/>
        <v>0.21568627450980382</v>
      </c>
      <c r="BH186" s="1258">
        <f t="shared" si="250"/>
        <v>0.28571428571428581</v>
      </c>
      <c r="BI186" s="1258">
        <f t="shared" si="250"/>
        <v>8.4444444444444544E-2</v>
      </c>
      <c r="BJ186" s="1307">
        <f t="shared" si="250"/>
        <v>0.23636363636363633</v>
      </c>
      <c r="BK186" s="1991">
        <f t="shared" si="250"/>
        <v>-9.2307692307692313E-2</v>
      </c>
      <c r="BL186" s="1991">
        <f t="shared" si="250"/>
        <v>-0.11290322580645162</v>
      </c>
      <c r="BM186" s="1258">
        <f t="shared" si="251"/>
        <v>0.15873015873015883</v>
      </c>
      <c r="BN186" s="1258">
        <f t="shared" si="252"/>
        <v>4.508196721311486E-2</v>
      </c>
      <c r="BO186" s="2260">
        <f>+BO179/57-1</f>
        <v>-0.14035087719298245</v>
      </c>
      <c r="BP186" s="781"/>
      <c r="BQ186" s="781"/>
      <c r="BR186" s="782"/>
      <c r="BS186" s="695"/>
      <c r="BT186" s="781"/>
      <c r="BU186" s="781"/>
      <c r="BV186" s="781"/>
      <c r="BW186" s="782"/>
      <c r="BX186" s="695"/>
      <c r="BY186" s="782"/>
      <c r="BZ186" s="782"/>
      <c r="CA186" s="782"/>
      <c r="CF186" s="1668"/>
      <c r="CL186" s="1334"/>
      <c r="CM186" s="695"/>
      <c r="CN186" s="695"/>
      <c r="CO186" s="695"/>
      <c r="CP186" s="695"/>
      <c r="CQ186" s="695"/>
      <c r="CR186" s="695"/>
      <c r="CS186" s="695"/>
      <c r="CT186" s="782"/>
      <c r="CU186" s="782"/>
      <c r="CV186" s="694"/>
      <c r="CW186" s="695"/>
      <c r="CX186" s="695"/>
      <c r="CY186" s="695"/>
      <c r="CZ186" s="782"/>
      <c r="DA186" s="782"/>
      <c r="DB186" s="782"/>
    </row>
    <row r="187" spans="1:106" s="1254" customFormat="1" hidden="1" outlineLevel="1">
      <c r="A187" s="1343" t="s">
        <v>541</v>
      </c>
      <c r="G187" s="1327"/>
      <c r="H187" s="1327"/>
      <c r="I187" s="1327"/>
      <c r="J187" s="1446"/>
      <c r="K187" s="1621"/>
      <c r="L187" s="1327"/>
      <c r="M187" s="1327"/>
      <c r="N187" s="1327"/>
      <c r="O187" s="1446"/>
      <c r="P187" s="1621"/>
      <c r="Q187" s="1327"/>
      <c r="R187" s="1327"/>
      <c r="S187" s="1327"/>
      <c r="T187" s="1446"/>
      <c r="U187" s="1621"/>
      <c r="Z187" s="695"/>
      <c r="AA187" s="781"/>
      <c r="AB187" s="781"/>
      <c r="AC187" s="781"/>
      <c r="AD187" s="781"/>
      <c r="AE187" s="695"/>
      <c r="AF187" s="781"/>
      <c r="AG187" s="781"/>
      <c r="AH187" s="781"/>
      <c r="AI187" s="781"/>
      <c r="AJ187" s="695"/>
      <c r="AK187" s="781"/>
      <c r="AL187" s="781"/>
      <c r="AM187" s="781"/>
      <c r="AN187" s="781"/>
      <c r="AO187" s="695"/>
      <c r="AP187" s="781"/>
      <c r="AQ187" s="781"/>
      <c r="AR187" s="781"/>
      <c r="AS187" s="781"/>
      <c r="AT187" s="695">
        <f>+AT180/AO180-1</f>
        <v>8.4745762711864403E-2</v>
      </c>
      <c r="AU187" s="781"/>
      <c r="AV187" s="781"/>
      <c r="AW187" s="781"/>
      <c r="AX187" s="782"/>
      <c r="AY187" s="782">
        <f>+AY180/AT180-1</f>
        <v>-4.0625000000000022E-2</v>
      </c>
      <c r="AZ187" s="781"/>
      <c r="BA187" s="781"/>
      <c r="BB187" s="781"/>
      <c r="BC187" s="782"/>
      <c r="BD187" s="1258">
        <f t="shared" si="250"/>
        <v>-0.11726384364820852</v>
      </c>
      <c r="BE187" s="1991">
        <f t="shared" si="250"/>
        <v>-0.14925373134328357</v>
      </c>
      <c r="BF187" s="1991">
        <f t="shared" si="250"/>
        <v>-0.15789473684210531</v>
      </c>
      <c r="BG187" s="1991">
        <f t="shared" si="250"/>
        <v>-4.7619047619047672E-2</v>
      </c>
      <c r="BH187" s="1258">
        <f t="shared" si="250"/>
        <v>0.125</v>
      </c>
      <c r="BI187" s="1258">
        <f t="shared" si="250"/>
        <v>-6.6420664206642055E-2</v>
      </c>
      <c r="BJ187" s="1307">
        <f t="shared" si="250"/>
        <v>1.7543859649122862E-2</v>
      </c>
      <c r="BK187" s="1991">
        <f t="shared" si="250"/>
        <v>0.15625</v>
      </c>
      <c r="BL187" s="1991">
        <f t="shared" si="250"/>
        <v>0.35000000000000009</v>
      </c>
      <c r="BM187" s="1258">
        <f t="shared" si="251"/>
        <v>0.30555555555555558</v>
      </c>
      <c r="BN187" s="1258">
        <f t="shared" si="252"/>
        <v>0.21343873517786571</v>
      </c>
      <c r="BO187" s="1307">
        <f t="shared" si="252"/>
        <v>0.31034482758620685</v>
      </c>
      <c r="BP187" s="781"/>
      <c r="BQ187" s="781"/>
      <c r="BR187" s="782"/>
      <c r="BS187" s="695"/>
      <c r="BT187" s="781"/>
      <c r="BU187" s="781"/>
      <c r="BV187" s="781"/>
      <c r="BW187" s="782"/>
      <c r="BX187" s="695"/>
      <c r="BY187" s="782"/>
      <c r="BZ187" s="782"/>
      <c r="CA187" s="782"/>
      <c r="CF187" s="1668"/>
      <c r="CL187" s="1334"/>
      <c r="CM187" s="695"/>
      <c r="CN187" s="695"/>
      <c r="CO187" s="695"/>
      <c r="CP187" s="695"/>
      <c r="CQ187" s="695"/>
      <c r="CR187" s="695"/>
      <c r="CS187" s="695"/>
      <c r="CT187" s="782"/>
      <c r="CU187" s="782"/>
      <c r="CV187" s="694"/>
      <c r="CW187" s="695"/>
      <c r="CX187" s="695"/>
      <c r="CY187" s="695"/>
      <c r="CZ187" s="782"/>
      <c r="DA187" s="782"/>
      <c r="DB187" s="782"/>
    </row>
    <row r="188" spans="1:106" s="1254" customFormat="1" hidden="1" outlineLevel="1">
      <c r="A188" s="1343" t="s">
        <v>542</v>
      </c>
      <c r="G188" s="1327"/>
      <c r="H188" s="1327"/>
      <c r="I188" s="1327"/>
      <c r="J188" s="1446"/>
      <c r="K188" s="1621"/>
      <c r="L188" s="1327"/>
      <c r="M188" s="1327"/>
      <c r="N188" s="1327"/>
      <c r="O188" s="1446"/>
      <c r="P188" s="1621"/>
      <c r="Q188" s="1327"/>
      <c r="R188" s="1327"/>
      <c r="S188" s="1327"/>
      <c r="T188" s="1446"/>
      <c r="U188" s="1621"/>
      <c r="Z188" s="695"/>
      <c r="AA188" s="781"/>
      <c r="AB188" s="781"/>
      <c r="AC188" s="781"/>
      <c r="AD188" s="781"/>
      <c r="AE188" s="695"/>
      <c r="AF188" s="781"/>
      <c r="AG188" s="781"/>
      <c r="AH188" s="781"/>
      <c r="AI188" s="781"/>
      <c r="AJ188" s="695"/>
      <c r="AK188" s="781"/>
      <c r="AL188" s="781"/>
      <c r="AM188" s="781"/>
      <c r="AN188" s="781"/>
      <c r="AO188" s="695"/>
      <c r="AP188" s="781"/>
      <c r="AQ188" s="781"/>
      <c r="AR188" s="781"/>
      <c r="AS188" s="781"/>
      <c r="AT188" s="695">
        <f>+AT181/AO181-1</f>
        <v>8.1081081081081141E-2</v>
      </c>
      <c r="AU188" s="781"/>
      <c r="AV188" s="781"/>
      <c r="AW188" s="781"/>
      <c r="AX188" s="782"/>
      <c r="AY188" s="782">
        <f>+AY181/AT181-1</f>
        <v>0.14166666666666661</v>
      </c>
      <c r="AZ188" s="781"/>
      <c r="BA188" s="781"/>
      <c r="BB188" s="781"/>
      <c r="BC188" s="782"/>
      <c r="BD188" s="1258">
        <f t="shared" si="250"/>
        <v>2.4330900243310083E-3</v>
      </c>
      <c r="BE188" s="1991">
        <f t="shared" si="250"/>
        <v>4.2553191489361764E-2</v>
      </c>
      <c r="BF188" s="1991">
        <f t="shared" si="250"/>
        <v>7.0000000000000062E-2</v>
      </c>
      <c r="BG188" s="1991">
        <f t="shared" si="250"/>
        <v>-7.6923076923076872E-2</v>
      </c>
      <c r="BH188" s="1258">
        <f t="shared" si="250"/>
        <v>-9.5652173913043481E-2</v>
      </c>
      <c r="BI188" s="1258">
        <f t="shared" si="250"/>
        <v>-1.9417475728155331E-2</v>
      </c>
      <c r="BJ188" s="1307">
        <f t="shared" si="250"/>
        <v>0.12244897959183665</v>
      </c>
      <c r="BK188" s="1991">
        <f t="shared" si="250"/>
        <v>5.6074766355140193E-2</v>
      </c>
      <c r="BL188" s="1991">
        <f t="shared" si="250"/>
        <v>8.3333333333333259E-2</v>
      </c>
      <c r="BM188" s="1258">
        <f t="shared" si="251"/>
        <v>0.17307692307692313</v>
      </c>
      <c r="BN188" s="1258">
        <f t="shared" si="252"/>
        <v>0.11138613861386149</v>
      </c>
      <c r="BO188" s="1307">
        <f t="shared" si="252"/>
        <v>5.4545454545454453E-2</v>
      </c>
      <c r="BP188" s="781"/>
      <c r="BQ188" s="781"/>
      <c r="BR188" s="782"/>
      <c r="BS188" s="695"/>
      <c r="BT188" s="781"/>
      <c r="BU188" s="781"/>
      <c r="BV188" s="781"/>
      <c r="BW188" s="782"/>
      <c r="BX188" s="695"/>
      <c r="BY188" s="782"/>
      <c r="BZ188" s="782"/>
      <c r="CA188" s="782"/>
      <c r="CF188" s="1668"/>
      <c r="CL188" s="1334"/>
      <c r="CM188" s="695"/>
      <c r="CN188" s="695"/>
      <c r="CO188" s="695"/>
      <c r="CP188" s="695"/>
      <c r="CQ188" s="695"/>
      <c r="CR188" s="695"/>
      <c r="CS188" s="695"/>
      <c r="CT188" s="782"/>
      <c r="CU188" s="782"/>
      <c r="CV188" s="694"/>
      <c r="CW188" s="695"/>
      <c r="CX188" s="695"/>
      <c r="CY188" s="695"/>
      <c r="CZ188" s="782"/>
      <c r="DA188" s="782"/>
      <c r="DB188" s="782"/>
    </row>
    <row r="189" spans="1:106" s="1254" customFormat="1" hidden="1" outlineLevel="1">
      <c r="A189" s="1343" t="s">
        <v>356</v>
      </c>
      <c r="G189" s="1327"/>
      <c r="H189" s="1327"/>
      <c r="I189" s="1327"/>
      <c r="J189" s="1446"/>
      <c r="K189" s="1621"/>
      <c r="L189" s="1327"/>
      <c r="M189" s="1327"/>
      <c r="N189" s="1327"/>
      <c r="O189" s="1446"/>
      <c r="P189" s="1621"/>
      <c r="Q189" s="1327"/>
      <c r="R189" s="1327"/>
      <c r="S189" s="1327"/>
      <c r="T189" s="1446"/>
      <c r="U189" s="1621"/>
      <c r="Z189" s="695"/>
      <c r="AA189" s="781"/>
      <c r="AB189" s="781"/>
      <c r="AC189" s="781"/>
      <c r="AD189" s="781"/>
      <c r="AE189" s="695"/>
      <c r="AF189" s="781"/>
      <c r="AG189" s="781"/>
      <c r="AH189" s="781"/>
      <c r="AI189" s="781"/>
      <c r="AJ189" s="695"/>
      <c r="AK189" s="781"/>
      <c r="AL189" s="781"/>
      <c r="AM189" s="781"/>
      <c r="AN189" s="781"/>
      <c r="AO189" s="695"/>
      <c r="AP189" s="781"/>
      <c r="AQ189" s="781"/>
      <c r="AR189" s="781"/>
      <c r="AS189" s="781"/>
      <c r="AT189" s="695">
        <f>+AT182/AO182-1</f>
        <v>0.17525773195876293</v>
      </c>
      <c r="AU189" s="781"/>
      <c r="AV189" s="781"/>
      <c r="AW189" s="781"/>
      <c r="AX189" s="782"/>
      <c r="AY189" s="782">
        <f>+AY182/AT182-1</f>
        <v>0.10350877192982466</v>
      </c>
      <c r="AZ189" s="781"/>
      <c r="BA189" s="781"/>
      <c r="BB189" s="781"/>
      <c r="BC189" s="782"/>
      <c r="BD189" s="1258">
        <f t="shared" si="250"/>
        <v>-1.2718600953895098E-2</v>
      </c>
      <c r="BE189" s="1991">
        <f t="shared" si="250"/>
        <v>-0.14733542319749215</v>
      </c>
      <c r="BF189" s="1991">
        <f t="shared" si="250"/>
        <v>6.6282420749279591E-2</v>
      </c>
      <c r="BG189" s="1991">
        <f t="shared" si="250"/>
        <v>0.18493150684931514</v>
      </c>
      <c r="BH189" s="1258">
        <f t="shared" si="250"/>
        <v>0.20141342756183755</v>
      </c>
      <c r="BI189" s="1258">
        <f t="shared" si="250"/>
        <v>6.8438003220611998E-2</v>
      </c>
      <c r="BJ189" s="1307">
        <f t="shared" si="250"/>
        <v>0.50735294117647056</v>
      </c>
      <c r="BK189" s="1991">
        <f t="shared" si="250"/>
        <v>0.13243243243243241</v>
      </c>
      <c r="BL189" s="1991">
        <f t="shared" si="250"/>
        <v>0.19075144508670516</v>
      </c>
      <c r="BM189" s="1258">
        <f t="shared" si="251"/>
        <v>0.2176470588235293</v>
      </c>
      <c r="BN189" s="1258">
        <f t="shared" si="252"/>
        <v>0.24717407686510917</v>
      </c>
      <c r="BO189" s="1307">
        <f t="shared" si="252"/>
        <v>2.1951219512195141E-2</v>
      </c>
      <c r="BP189" s="781"/>
      <c r="BQ189" s="781"/>
      <c r="BR189" s="782"/>
      <c r="BS189" s="695"/>
      <c r="BT189" s="781"/>
      <c r="BU189" s="781"/>
      <c r="BV189" s="781"/>
      <c r="BW189" s="782"/>
      <c r="BX189" s="695"/>
      <c r="BY189" s="782"/>
      <c r="BZ189" s="782"/>
      <c r="CA189" s="782"/>
      <c r="CF189" s="1668"/>
      <c r="CL189" s="1334"/>
      <c r="CM189" s="695"/>
      <c r="CN189" s="695"/>
      <c r="CO189" s="695"/>
      <c r="CP189" s="695"/>
      <c r="CQ189" s="695"/>
      <c r="CR189" s="695"/>
      <c r="CS189" s="695"/>
      <c r="CT189" s="782"/>
      <c r="CU189" s="782"/>
      <c r="CV189" s="694"/>
      <c r="CW189" s="695"/>
      <c r="CX189" s="695"/>
      <c r="CY189" s="695"/>
      <c r="CZ189" s="782"/>
      <c r="DA189" s="782"/>
      <c r="DB189" s="782"/>
    </row>
    <row r="190" spans="1:106" s="1254" customFormat="1" hidden="1" outlineLevel="1">
      <c r="A190" s="1618"/>
      <c r="G190" s="1327"/>
      <c r="H190" s="1327"/>
      <c r="I190" s="1327"/>
      <c r="J190" s="1446"/>
      <c r="K190" s="1621"/>
      <c r="L190" s="1327"/>
      <c r="M190" s="1327"/>
      <c r="N190" s="1327"/>
      <c r="O190" s="1446"/>
      <c r="P190" s="1621"/>
      <c r="Q190" s="1327"/>
      <c r="R190" s="1327"/>
      <c r="S190" s="1327"/>
      <c r="T190" s="1446"/>
      <c r="U190" s="1621"/>
      <c r="Z190" s="695"/>
      <c r="AA190" s="781"/>
      <c r="AB190" s="781"/>
      <c r="AC190" s="781"/>
      <c r="AD190" s="781"/>
      <c r="AE190" s="695"/>
      <c r="AF190" s="781"/>
      <c r="AG190" s="781"/>
      <c r="AH190" s="781"/>
      <c r="AI190" s="781"/>
      <c r="AJ190" s="695"/>
      <c r="AK190" s="781"/>
      <c r="AL190" s="781"/>
      <c r="AM190" s="781"/>
      <c r="AN190" s="781"/>
      <c r="AO190" s="695"/>
      <c r="AP190" s="781"/>
      <c r="AQ190" s="781"/>
      <c r="AR190" s="781"/>
      <c r="AS190" s="781"/>
      <c r="AT190" s="695"/>
      <c r="AU190" s="781"/>
      <c r="AV190" s="781"/>
      <c r="AW190" s="781"/>
      <c r="AX190" s="782"/>
      <c r="AY190" s="782"/>
      <c r="AZ190" s="781"/>
      <c r="BA190" s="781"/>
      <c r="BB190" s="781"/>
      <c r="BC190" s="782"/>
      <c r="BD190" s="782"/>
      <c r="BE190" s="781"/>
      <c r="BF190" s="781"/>
      <c r="BG190" s="781"/>
      <c r="BH190" s="782"/>
      <c r="BI190" s="782"/>
      <c r="BJ190" s="781"/>
      <c r="BK190" s="781"/>
      <c r="BL190" s="781"/>
      <c r="BM190" s="782"/>
      <c r="BN190" s="695"/>
      <c r="BO190" s="781"/>
      <c r="BP190" s="781"/>
      <c r="BQ190" s="781"/>
      <c r="BR190" s="782"/>
      <c r="BS190" s="695"/>
      <c r="BT190" s="781"/>
      <c r="BU190" s="781"/>
      <c r="BV190" s="781"/>
      <c r="BW190" s="782"/>
      <c r="BX190" s="695"/>
      <c r="BY190" s="782"/>
      <c r="BZ190" s="782"/>
      <c r="CA190" s="782"/>
      <c r="CF190" s="1668"/>
      <c r="CL190" s="1334"/>
      <c r="CM190" s="695"/>
      <c r="CN190" s="695"/>
      <c r="CO190" s="695"/>
      <c r="CP190" s="695"/>
      <c r="CQ190" s="695"/>
      <c r="CR190" s="695"/>
      <c r="CS190" s="695"/>
      <c r="CT190" s="782"/>
      <c r="CU190" s="782"/>
      <c r="CV190" s="694"/>
      <c r="CW190" s="695"/>
      <c r="CX190" s="695"/>
      <c r="CY190" s="695"/>
      <c r="CZ190" s="782"/>
      <c r="DA190" s="782"/>
      <c r="DB190" s="782"/>
    </row>
    <row r="191" spans="1:106" collapsed="1">
      <c r="A191" s="788" t="s">
        <v>338</v>
      </c>
      <c r="K191" s="1423"/>
      <c r="P191" s="1423"/>
      <c r="U191" s="1423"/>
      <c r="Y191" s="1408"/>
      <c r="Z191" s="1342"/>
      <c r="AA191" s="1408"/>
      <c r="AB191" s="1408"/>
      <c r="AC191" s="1408"/>
      <c r="AD191" s="1408"/>
      <c r="AE191" s="1342"/>
      <c r="AF191" s="1408"/>
      <c r="AG191" s="1408"/>
      <c r="AH191" s="1408"/>
      <c r="AI191" s="1408"/>
      <c r="AJ191" s="1342"/>
      <c r="AK191" s="1408"/>
      <c r="AL191" s="1408"/>
      <c r="AM191" s="1408"/>
      <c r="AO191" s="1342"/>
      <c r="AP191" s="1408"/>
      <c r="AQ191" s="1408"/>
      <c r="AR191" s="1408"/>
      <c r="AT191" s="1342"/>
      <c r="AU191" s="1408"/>
      <c r="AV191" s="1408"/>
      <c r="AW191" s="1408"/>
      <c r="AX191" s="1422"/>
      <c r="AY191" s="1486"/>
      <c r="AZ191" s="1408"/>
      <c r="BA191" s="1408"/>
      <c r="BB191" s="1408"/>
      <c r="BC191" s="1422"/>
      <c r="BD191" s="1486"/>
      <c r="BE191" s="1408"/>
      <c r="BF191" s="1408"/>
      <c r="BG191" s="1408"/>
      <c r="BH191" s="1422"/>
      <c r="BI191" s="1486"/>
      <c r="BJ191" s="1408"/>
      <c r="BK191" s="1408"/>
      <c r="BL191" s="1408"/>
      <c r="BM191" s="1422"/>
      <c r="BN191" s="1342"/>
      <c r="BO191" s="1408"/>
      <c r="BP191" s="1408"/>
      <c r="BQ191" s="1408"/>
      <c r="BR191" s="1422"/>
      <c r="BS191" s="1342"/>
      <c r="BT191" s="1408"/>
      <c r="BU191" s="1408"/>
      <c r="BV191" s="1408"/>
      <c r="BW191" s="1422"/>
      <c r="BX191" s="1342"/>
      <c r="BY191" s="1486"/>
      <c r="BZ191" s="1486"/>
      <c r="CA191" s="1486"/>
      <c r="CF191" s="1421" t="str">
        <f>+A191</f>
        <v>Domestic and International Mix</v>
      </c>
      <c r="CG191" s="1271"/>
      <c r="CH191" s="1271"/>
      <c r="CI191" s="1271"/>
      <c r="CJ191" s="1271"/>
      <c r="CK191" s="1271"/>
      <c r="CL191" s="1423"/>
      <c r="CM191" s="1342"/>
      <c r="CN191" s="1342"/>
      <c r="CO191" s="1342"/>
      <c r="CP191" s="1342"/>
      <c r="CQ191" s="1342"/>
      <c r="CR191" s="1342"/>
      <c r="CS191" s="1342"/>
      <c r="CT191" s="1486"/>
      <c r="CU191" s="1486"/>
      <c r="CV191" s="1610"/>
      <c r="CW191" s="1342"/>
      <c r="CX191" s="1342"/>
      <c r="CY191" s="1342"/>
      <c r="CZ191" s="1486"/>
      <c r="DA191" s="1486"/>
      <c r="DB191" s="1486"/>
    </row>
    <row r="192" spans="1:106" s="762" customFormat="1" ht="11.25" customHeight="1">
      <c r="A192" s="762" t="s">
        <v>339</v>
      </c>
      <c r="G192" s="1319" t="s">
        <v>249</v>
      </c>
      <c r="H192" s="1319" t="s">
        <v>249</v>
      </c>
      <c r="I192" s="1319" t="s">
        <v>249</v>
      </c>
      <c r="J192" s="1276" t="s">
        <v>249</v>
      </c>
      <c r="K192" s="1277" t="s">
        <v>249</v>
      </c>
      <c r="L192" s="1319" t="s">
        <v>249</v>
      </c>
      <c r="M192" s="1319" t="s">
        <v>249</v>
      </c>
      <c r="N192" s="1319" t="s">
        <v>249</v>
      </c>
      <c r="O192" s="1276" t="s">
        <v>249</v>
      </c>
      <c r="P192" s="1277" t="s">
        <v>249</v>
      </c>
      <c r="Q192" s="1319" t="s">
        <v>249</v>
      </c>
      <c r="R192" s="1319" t="s">
        <v>249</v>
      </c>
      <c r="S192" s="1319" t="s">
        <v>249</v>
      </c>
      <c r="T192" s="1278" t="s">
        <v>249</v>
      </c>
      <c r="U192" s="1278" t="s">
        <v>249</v>
      </c>
      <c r="V192" s="2027">
        <v>184.6</v>
      </c>
      <c r="W192" s="2027">
        <v>217.5</v>
      </c>
      <c r="X192" s="2027">
        <v>190.5</v>
      </c>
      <c r="Y192" s="2027">
        <v>206.8</v>
      </c>
      <c r="Z192" s="1270">
        <f>+SUM(V192:Y192)</f>
        <v>799.40000000000009</v>
      </c>
      <c r="AA192" s="2027">
        <v>212.6</v>
      </c>
      <c r="AB192" s="2035">
        <v>224.9</v>
      </c>
      <c r="AC192" s="2035">
        <v>231.8</v>
      </c>
      <c r="AD192" s="2027">
        <v>250</v>
      </c>
      <c r="AE192" s="1270">
        <f>+SUM(AA192:AD192)</f>
        <v>919.3</v>
      </c>
      <c r="AF192" s="2027">
        <v>239</v>
      </c>
      <c r="AG192" s="2027">
        <v>246</v>
      </c>
      <c r="AH192" s="2027">
        <v>207</v>
      </c>
      <c r="AI192" s="2027">
        <v>218</v>
      </c>
      <c r="AJ192" s="1270">
        <f>+SUM(AF192:AI192)</f>
        <v>910</v>
      </c>
      <c r="AK192" s="2027">
        <v>248</v>
      </c>
      <c r="AL192" s="2027">
        <v>263</v>
      </c>
      <c r="AM192" s="2027">
        <v>275</v>
      </c>
      <c r="AN192" s="2027">
        <v>318</v>
      </c>
      <c r="AO192" s="1270">
        <f>+SUM(AK192:AN192)</f>
        <v>1104</v>
      </c>
      <c r="AP192" s="2027">
        <v>313</v>
      </c>
      <c r="AQ192" s="2027">
        <v>323</v>
      </c>
      <c r="AR192" s="2028">
        <v>290</v>
      </c>
      <c r="AS192" s="2027">
        <v>287</v>
      </c>
      <c r="AT192" s="1270">
        <f>+SUM(AP192:AS192)</f>
        <v>1213</v>
      </c>
      <c r="AU192" s="2027">
        <v>305</v>
      </c>
      <c r="AV192" s="2027">
        <v>356</v>
      </c>
      <c r="AW192" s="2031">
        <v>316</v>
      </c>
      <c r="AX192" s="2034">
        <v>328</v>
      </c>
      <c r="AY192" s="1278">
        <f>+SUM(AU192:AX192)</f>
        <v>1305</v>
      </c>
      <c r="AZ192" s="2031">
        <v>352</v>
      </c>
      <c r="BA192" s="2031">
        <v>386</v>
      </c>
      <c r="BB192" s="2031">
        <v>340</v>
      </c>
      <c r="BC192" s="2033">
        <v>312</v>
      </c>
      <c r="BD192" s="1323">
        <f>+SUM(AZ192:BC192)</f>
        <v>1390</v>
      </c>
      <c r="BE192" s="2030">
        <v>330</v>
      </c>
      <c r="BF192" s="2030">
        <v>398</v>
      </c>
      <c r="BG192" s="2031">
        <v>370</v>
      </c>
      <c r="BH192" s="2032">
        <v>365</v>
      </c>
      <c r="BI192" s="1323">
        <f>+SUM(BE192:BH192)</f>
        <v>1463</v>
      </c>
      <c r="BJ192" s="2030">
        <v>418</v>
      </c>
      <c r="BK192" s="2031">
        <v>432</v>
      </c>
      <c r="BL192" s="2180">
        <v>425</v>
      </c>
      <c r="BM192" s="2032">
        <v>440</v>
      </c>
      <c r="BN192" s="1323">
        <f>+SUM(BJ192:BM192)</f>
        <v>1715</v>
      </c>
      <c r="BO192" s="2180">
        <v>422</v>
      </c>
      <c r="BP192" s="1319" t="s">
        <v>249</v>
      </c>
      <c r="BQ192" s="1319" t="s">
        <v>249</v>
      </c>
      <c r="BR192" s="1278" t="s">
        <v>249</v>
      </c>
      <c r="BS192" s="1278" t="s">
        <v>249</v>
      </c>
      <c r="BT192" s="1319" t="s">
        <v>249</v>
      </c>
      <c r="BU192" s="1319" t="s">
        <v>249</v>
      </c>
      <c r="BV192" s="1319" t="s">
        <v>249</v>
      </c>
      <c r="BW192" s="1278" t="s">
        <v>249</v>
      </c>
      <c r="BX192" s="1278" t="s">
        <v>249</v>
      </c>
      <c r="BY192" s="1670" t="s">
        <v>249</v>
      </c>
      <c r="BZ192" s="1670" t="s">
        <v>249</v>
      </c>
      <c r="CA192" s="1670" t="s">
        <v>249</v>
      </c>
      <c r="CF192" s="1270" t="str">
        <f>+A192</f>
        <v>Domestic</v>
      </c>
      <c r="CL192" s="1278"/>
      <c r="CM192" s="1270"/>
      <c r="CN192" s="1270"/>
      <c r="CO192" s="1270"/>
      <c r="CP192" s="1270"/>
      <c r="CQ192" s="1270"/>
      <c r="CR192" s="1270"/>
      <c r="CS192" s="1270"/>
      <c r="CT192" s="1278"/>
      <c r="CU192" s="1278"/>
      <c r="CV192" s="1276"/>
      <c r="CW192" s="1669"/>
      <c r="CX192" s="1669"/>
      <c r="CY192" s="1669"/>
      <c r="CZ192" s="1670"/>
      <c r="DA192" s="1670"/>
      <c r="DB192" s="1670"/>
    </row>
    <row r="193" spans="1:106" ht="11.25" customHeight="1">
      <c r="A193" s="1618" t="s">
        <v>288</v>
      </c>
      <c r="G193" s="1319"/>
      <c r="H193" s="1319"/>
      <c r="I193" s="1319"/>
      <c r="J193" s="1276"/>
      <c r="K193" s="1277"/>
      <c r="L193" s="1319"/>
      <c r="M193" s="1319"/>
      <c r="N193" s="1319"/>
      <c r="O193" s="1276"/>
      <c r="P193" s="1277"/>
      <c r="Q193" s="1319"/>
      <c r="R193" s="1319"/>
      <c r="S193" s="1319"/>
      <c r="T193" s="1278"/>
      <c r="U193" s="1278"/>
      <c r="V193" s="1319"/>
      <c r="W193" s="1319"/>
      <c r="X193" s="1319"/>
      <c r="Y193" s="1278"/>
      <c r="Z193" s="1278"/>
      <c r="AA193" s="1408">
        <f t="shared" ref="AA193:BO193" si="253">AA192/V192-1</f>
        <v>0.15167930660888418</v>
      </c>
      <c r="AB193" s="1610">
        <f t="shared" si="253"/>
        <v>3.4022988505747254E-2</v>
      </c>
      <c r="AC193" s="1610">
        <f t="shared" si="253"/>
        <v>0.21679790026246715</v>
      </c>
      <c r="AD193" s="1408">
        <f t="shared" si="253"/>
        <v>0.20889748549323017</v>
      </c>
      <c r="AE193" s="1342">
        <f t="shared" si="253"/>
        <v>0.14998749061796324</v>
      </c>
      <c r="AF193" s="1408">
        <f t="shared" si="253"/>
        <v>0.12417685794920041</v>
      </c>
      <c r="AG193" s="1408">
        <f t="shared" si="253"/>
        <v>9.3819475322365564E-2</v>
      </c>
      <c r="AH193" s="1408">
        <f t="shared" si="253"/>
        <v>-0.10698878343399487</v>
      </c>
      <c r="AI193" s="1408">
        <f t="shared" si="253"/>
        <v>-0.128</v>
      </c>
      <c r="AJ193" s="1342">
        <f t="shared" si="253"/>
        <v>-1.0116392907647098E-2</v>
      </c>
      <c r="AK193" s="1408">
        <f t="shared" si="253"/>
        <v>3.7656903765690419E-2</v>
      </c>
      <c r="AL193" s="1408">
        <f t="shared" si="253"/>
        <v>6.9105691056910556E-2</v>
      </c>
      <c r="AM193" s="1408">
        <f t="shared" si="253"/>
        <v>0.3285024154589371</v>
      </c>
      <c r="AN193" s="1408">
        <f t="shared" si="253"/>
        <v>0.45871559633027514</v>
      </c>
      <c r="AO193" s="1342">
        <f t="shared" si="253"/>
        <v>0.2131868131868131</v>
      </c>
      <c r="AP193" s="1408">
        <f t="shared" si="253"/>
        <v>0.26209677419354849</v>
      </c>
      <c r="AQ193" s="1408">
        <f t="shared" si="253"/>
        <v>0.22813688212927752</v>
      </c>
      <c r="AR193" s="1408">
        <f t="shared" si="253"/>
        <v>5.4545454545454453E-2</v>
      </c>
      <c r="AS193" s="1408">
        <f t="shared" si="253"/>
        <v>-9.7484276729559727E-2</v>
      </c>
      <c r="AT193" s="1342">
        <f t="shared" si="253"/>
        <v>9.8731884057970953E-2</v>
      </c>
      <c r="AU193" s="1408">
        <f t="shared" si="253"/>
        <v>-2.5559105431309903E-2</v>
      </c>
      <c r="AV193" s="1408">
        <f t="shared" si="253"/>
        <v>0.10216718266253877</v>
      </c>
      <c r="AW193" s="1408">
        <f t="shared" si="253"/>
        <v>8.9655172413793061E-2</v>
      </c>
      <c r="AX193" s="1486">
        <f t="shared" si="253"/>
        <v>0.14285714285714279</v>
      </c>
      <c r="AY193" s="1671">
        <f t="shared" si="253"/>
        <v>7.5845012366034581E-2</v>
      </c>
      <c r="AZ193" s="1408">
        <f t="shared" si="253"/>
        <v>0.15409836065573779</v>
      </c>
      <c r="BA193" s="1408">
        <f t="shared" si="253"/>
        <v>8.4269662921348409E-2</v>
      </c>
      <c r="BB193" s="1408">
        <f t="shared" si="253"/>
        <v>7.5949367088607556E-2</v>
      </c>
      <c r="BC193" s="1486">
        <f t="shared" si="253"/>
        <v>-4.8780487804878092E-2</v>
      </c>
      <c r="BD193" s="1671">
        <f>BD192/AY192-1</f>
        <v>6.5134099616858343E-2</v>
      </c>
      <c r="BE193" s="1488">
        <f t="shared" si="253"/>
        <v>-6.25E-2</v>
      </c>
      <c r="BF193" s="1610">
        <f t="shared" si="253"/>
        <v>3.1088082901554515E-2</v>
      </c>
      <c r="BG193" s="1610">
        <f t="shared" si="253"/>
        <v>8.8235294117646967E-2</v>
      </c>
      <c r="BH193" s="782">
        <f t="shared" si="253"/>
        <v>0.16987179487179493</v>
      </c>
      <c r="BI193" s="1671">
        <f>BI192/BD192-1</f>
        <v>5.2517985611510776E-2</v>
      </c>
      <c r="BJ193" s="791">
        <f t="shared" si="253"/>
        <v>0.26666666666666661</v>
      </c>
      <c r="BK193" s="1962">
        <f t="shared" si="253"/>
        <v>8.5427135678391997E-2</v>
      </c>
      <c r="BL193" s="1962">
        <f t="shared" si="253"/>
        <v>0.14864864864864868</v>
      </c>
      <c r="BM193" s="782">
        <f t="shared" si="253"/>
        <v>0.20547945205479445</v>
      </c>
      <c r="BN193" s="1671">
        <f>BN192/BI192-1</f>
        <v>0.17224880382775121</v>
      </c>
      <c r="BO193" s="791">
        <f t="shared" si="253"/>
        <v>9.5693779904306719E-3</v>
      </c>
      <c r="BP193" s="1319" t="s">
        <v>249</v>
      </c>
      <c r="BQ193" s="1319" t="s">
        <v>249</v>
      </c>
      <c r="BR193" s="1278" t="s">
        <v>249</v>
      </c>
      <c r="BS193" s="1278" t="s">
        <v>249</v>
      </c>
      <c r="BT193" s="1319" t="s">
        <v>249</v>
      </c>
      <c r="BU193" s="1319" t="s">
        <v>249</v>
      </c>
      <c r="BV193" s="1319" t="s">
        <v>249</v>
      </c>
      <c r="BW193" s="1278" t="s">
        <v>249</v>
      </c>
      <c r="BX193" s="1278" t="s">
        <v>249</v>
      </c>
      <c r="BY193" s="1670" t="s">
        <v>249</v>
      </c>
      <c r="BZ193" s="1670" t="s">
        <v>249</v>
      </c>
      <c r="CA193" s="1670" t="s">
        <v>249</v>
      </c>
      <c r="CF193" s="1619" t="str">
        <f>+A193</f>
        <v>y/y change</v>
      </c>
      <c r="CG193" s="1271"/>
      <c r="CH193" s="1271"/>
      <c r="CI193" s="1271"/>
      <c r="CJ193" s="1271"/>
      <c r="CK193" s="1271"/>
      <c r="CL193" s="1278"/>
      <c r="CM193" s="1342"/>
      <c r="CN193" s="1342"/>
      <c r="CO193" s="1342"/>
      <c r="CP193" s="1342"/>
      <c r="CQ193" s="1342"/>
      <c r="CR193" s="1342"/>
      <c r="CS193" s="1342"/>
      <c r="CT193" s="1278"/>
      <c r="CU193" s="1278"/>
      <c r="CV193" s="1276"/>
      <c r="CW193" s="1669"/>
      <c r="CX193" s="1669"/>
      <c r="CY193" s="1669"/>
      <c r="CZ193" s="1670"/>
      <c r="DA193" s="1670"/>
      <c r="DB193" s="1670"/>
    </row>
    <row r="194" spans="1:106" ht="11.25" customHeight="1">
      <c r="A194" s="1485" t="s">
        <v>330</v>
      </c>
      <c r="G194" s="1319"/>
      <c r="H194" s="1319"/>
      <c r="I194" s="1319"/>
      <c r="J194" s="1276"/>
      <c r="K194" s="1277"/>
      <c r="L194" s="1319"/>
      <c r="M194" s="1319"/>
      <c r="N194" s="1319"/>
      <c r="O194" s="1278"/>
      <c r="P194" s="1278"/>
      <c r="Q194" s="1319"/>
      <c r="R194" s="1319"/>
      <c r="S194" s="1319"/>
      <c r="T194" s="1278"/>
      <c r="U194" s="1278"/>
      <c r="V194" s="1319"/>
      <c r="W194" s="1319"/>
      <c r="X194" s="1319"/>
      <c r="Y194" s="1278"/>
      <c r="Z194" s="1342">
        <f t="shared" ref="Z194:AW194" si="254">Z192/Z$12</f>
        <v>0.52000260196448322</v>
      </c>
      <c r="AA194" s="1408">
        <f t="shared" si="254"/>
        <v>0.53017456359102244</v>
      </c>
      <c r="AB194" s="1610">
        <f t="shared" si="254"/>
        <v>0.5553086419753086</v>
      </c>
      <c r="AC194" s="1610">
        <f t="shared" si="254"/>
        <v>0.5558752997601919</v>
      </c>
      <c r="AD194" s="1408">
        <f t="shared" si="254"/>
        <v>0.52966101694915257</v>
      </c>
      <c r="AE194" s="1342">
        <f t="shared" si="254"/>
        <v>0.54235988200589968</v>
      </c>
      <c r="AF194" s="1408">
        <f t="shared" si="254"/>
        <v>0.53950338600451464</v>
      </c>
      <c r="AG194" s="1408">
        <f t="shared" si="254"/>
        <v>0.51249999999999996</v>
      </c>
      <c r="AH194" s="1408">
        <f t="shared" si="254"/>
        <v>0.50487804878048781</v>
      </c>
      <c r="AI194" s="1408">
        <f t="shared" si="254"/>
        <v>0.50230414746543783</v>
      </c>
      <c r="AJ194" s="1342">
        <f t="shared" si="254"/>
        <v>0.51499717034521786</v>
      </c>
      <c r="AK194" s="1408">
        <f t="shared" si="254"/>
        <v>0.53218884120171672</v>
      </c>
      <c r="AL194" s="1408">
        <f t="shared" si="254"/>
        <v>0.54451345755693581</v>
      </c>
      <c r="AM194" s="1408">
        <f t="shared" si="254"/>
        <v>0.547808764940239</v>
      </c>
      <c r="AN194" s="1408">
        <f t="shared" si="254"/>
        <v>0.54452054794520544</v>
      </c>
      <c r="AO194" s="1342">
        <f t="shared" si="254"/>
        <v>0.54250614250614249</v>
      </c>
      <c r="AP194" s="1408">
        <f t="shared" si="254"/>
        <v>0.5579322638146168</v>
      </c>
      <c r="AQ194" s="1408">
        <f t="shared" si="254"/>
        <v>0.53923205342237057</v>
      </c>
      <c r="AR194" s="1408">
        <f t="shared" si="254"/>
        <v>0.53703703703703709</v>
      </c>
      <c r="AS194" s="1408">
        <f t="shared" si="254"/>
        <v>0.5</v>
      </c>
      <c r="AT194" s="1342">
        <f t="shared" si="254"/>
        <v>0.53342128408091471</v>
      </c>
      <c r="AU194" s="1408">
        <f t="shared" si="254"/>
        <v>0.53602811950790863</v>
      </c>
      <c r="AV194" s="1408">
        <f t="shared" si="254"/>
        <v>0.53614457831325302</v>
      </c>
      <c r="AW194" s="1408">
        <f t="shared" si="254"/>
        <v>0.52317880794701987</v>
      </c>
      <c r="AX194" s="1486">
        <f>AX192/AX$12</f>
        <v>0.53074433656957931</v>
      </c>
      <c r="AY194" s="1671">
        <f>AY192/AY$12</f>
        <v>0.53156822810590632</v>
      </c>
      <c r="AZ194" s="1408">
        <f t="shared" ref="AZ194:BF194" si="255">AZ192/AZ$12</f>
        <v>0.58085808580858089</v>
      </c>
      <c r="BA194" s="1408">
        <f t="shared" si="255"/>
        <v>0.58662613981762923</v>
      </c>
      <c r="BB194" s="1408">
        <f t="shared" si="255"/>
        <v>0.57921635434412266</v>
      </c>
      <c r="BC194" s="1486">
        <f t="shared" si="255"/>
        <v>0.54072790294627382</v>
      </c>
      <c r="BD194" s="1671">
        <f t="shared" si="255"/>
        <v>0.57248764415156506</v>
      </c>
      <c r="BE194" s="1488">
        <f t="shared" si="255"/>
        <v>0.59782608695652173</v>
      </c>
      <c r="BF194" s="1610">
        <f t="shared" si="255"/>
        <v>0.58357771260997071</v>
      </c>
      <c r="BG194" s="1610">
        <f t="shared" ref="BG194:BL194" si="256">BG192/BG$12</f>
        <v>0.57632398753894076</v>
      </c>
      <c r="BH194" s="782">
        <f t="shared" si="256"/>
        <v>0.55471124620060785</v>
      </c>
      <c r="BI194" s="1671">
        <f t="shared" si="256"/>
        <v>0.57734806629834257</v>
      </c>
      <c r="BJ194" s="791">
        <f t="shared" si="256"/>
        <v>0.58543417366946782</v>
      </c>
      <c r="BK194" s="1962">
        <f t="shared" si="256"/>
        <v>0.57831325301204817</v>
      </c>
      <c r="BL194" s="1962">
        <f t="shared" si="256"/>
        <v>0.57510148849797027</v>
      </c>
      <c r="BM194" s="782">
        <f t="shared" ref="BM194:BO194" si="257">BM192/BM$12</f>
        <v>0.55766793409378956</v>
      </c>
      <c r="BN194" s="1671">
        <f t="shared" si="257"/>
        <v>0.57377049180327866</v>
      </c>
      <c r="BO194" s="791">
        <f t="shared" si="257"/>
        <v>0.56417112299465244</v>
      </c>
      <c r="BP194" s="1319" t="s">
        <v>249</v>
      </c>
      <c r="BQ194" s="1319" t="s">
        <v>249</v>
      </c>
      <c r="BR194" s="1278" t="s">
        <v>249</v>
      </c>
      <c r="BS194" s="1278" t="s">
        <v>249</v>
      </c>
      <c r="BT194" s="1319" t="s">
        <v>249</v>
      </c>
      <c r="BU194" s="1319" t="s">
        <v>249</v>
      </c>
      <c r="BV194" s="1319" t="s">
        <v>249</v>
      </c>
      <c r="BW194" s="1278" t="s">
        <v>249</v>
      </c>
      <c r="BX194" s="1278" t="s">
        <v>249</v>
      </c>
      <c r="BY194" s="1670" t="s">
        <v>249</v>
      </c>
      <c r="BZ194" s="1670" t="s">
        <v>249</v>
      </c>
      <c r="CA194" s="1670" t="s">
        <v>249</v>
      </c>
      <c r="CF194" s="1487" t="str">
        <f>+A194</f>
        <v>% of revenue</v>
      </c>
      <c r="CG194" s="1271"/>
      <c r="CH194" s="1271"/>
      <c r="CI194" s="1271"/>
      <c r="CJ194" s="1271"/>
      <c r="CK194" s="1271"/>
      <c r="CL194" s="1278"/>
      <c r="CM194" s="1342"/>
      <c r="CN194" s="1342"/>
      <c r="CO194" s="1342"/>
      <c r="CP194" s="1342"/>
      <c r="CQ194" s="1342"/>
      <c r="CR194" s="1342"/>
      <c r="CS194" s="1342"/>
      <c r="CT194" s="1278"/>
      <c r="CU194" s="1278"/>
      <c r="CV194" s="1276"/>
      <c r="CW194" s="1669"/>
      <c r="CX194" s="1669"/>
      <c r="CY194" s="1669"/>
      <c r="CZ194" s="1670"/>
      <c r="DA194" s="1670"/>
      <c r="DB194" s="1670"/>
    </row>
    <row r="195" spans="1:106" ht="11.25" customHeight="1">
      <c r="A195" s="1485"/>
      <c r="K195" s="1423"/>
      <c r="P195" s="1423"/>
      <c r="U195" s="1423"/>
      <c r="Y195" s="1408"/>
      <c r="Z195" s="1423"/>
      <c r="AA195" s="1408"/>
      <c r="AB195" s="1610"/>
      <c r="AC195" s="1610"/>
      <c r="AD195" s="1408"/>
      <c r="AE195" s="1342"/>
      <c r="AF195" s="1408"/>
      <c r="AG195" s="1408"/>
      <c r="AH195" s="1408"/>
      <c r="AI195" s="1408"/>
      <c r="AJ195" s="1342"/>
      <c r="AK195" s="1408"/>
      <c r="AL195" s="1408"/>
      <c r="AM195" s="1408"/>
      <c r="AN195" s="1408"/>
      <c r="AO195" s="1342"/>
      <c r="AP195" s="1408"/>
      <c r="AQ195" s="1408"/>
      <c r="AR195" s="1408"/>
      <c r="AS195" s="1408"/>
      <c r="AT195" s="1342"/>
      <c r="AU195" s="1408"/>
      <c r="AV195" s="1408"/>
      <c r="AW195" s="1408"/>
      <c r="AX195" s="1422"/>
      <c r="AY195" s="1422"/>
      <c r="AZ195" s="1408"/>
      <c r="BA195" s="1408"/>
      <c r="BB195" s="1408"/>
      <c r="BC195" s="1422"/>
      <c r="BD195" s="1422"/>
      <c r="BE195" s="1408"/>
      <c r="BF195" s="1408"/>
      <c r="BG195" s="1408"/>
      <c r="BH195" s="1672"/>
      <c r="BI195" s="1422"/>
      <c r="BJ195" s="781"/>
      <c r="BK195" s="1408"/>
      <c r="BL195" s="1408"/>
      <c r="BM195" s="1672"/>
      <c r="BN195" s="1422"/>
      <c r="BO195" s="1175"/>
      <c r="BP195" s="1408"/>
      <c r="BQ195" s="1408"/>
      <c r="BR195" s="1422"/>
      <c r="BS195" s="1422"/>
      <c r="BT195" s="1408"/>
      <c r="BU195" s="1408"/>
      <c r="BV195" s="1408"/>
      <c r="BW195" s="1422"/>
      <c r="BX195" s="1422"/>
      <c r="BY195" s="1486"/>
      <c r="BZ195" s="1486"/>
      <c r="CA195" s="1486"/>
      <c r="CF195" s="1487"/>
      <c r="CG195" s="1271"/>
      <c r="CH195" s="1271"/>
      <c r="CI195" s="1271"/>
      <c r="CJ195" s="1271"/>
      <c r="CK195" s="1271"/>
      <c r="CL195" s="1423"/>
      <c r="CM195" s="1342"/>
      <c r="CN195" s="1342"/>
      <c r="CO195" s="1342"/>
      <c r="CP195" s="1342"/>
      <c r="CQ195" s="1342"/>
      <c r="CR195" s="1342"/>
      <c r="CS195" s="1342"/>
      <c r="CT195" s="1422"/>
      <c r="CU195" s="1422"/>
      <c r="CV195" s="1286"/>
      <c r="CW195" s="1342"/>
      <c r="CX195" s="1342"/>
      <c r="CY195" s="1342"/>
      <c r="CZ195" s="1486"/>
      <c r="DA195" s="1486"/>
      <c r="DB195" s="1486"/>
    </row>
    <row r="196" spans="1:106" s="762" customFormat="1" ht="11.25" customHeight="1">
      <c r="A196" s="762" t="s">
        <v>340</v>
      </c>
      <c r="G196" s="1319" t="s">
        <v>249</v>
      </c>
      <c r="H196" s="1319" t="s">
        <v>249</v>
      </c>
      <c r="I196" s="1319" t="s">
        <v>249</v>
      </c>
      <c r="J196" s="1278" t="s">
        <v>249</v>
      </c>
      <c r="K196" s="1278" t="s">
        <v>249</v>
      </c>
      <c r="L196" s="1319" t="s">
        <v>249</v>
      </c>
      <c r="M196" s="1319" t="s">
        <v>249</v>
      </c>
      <c r="N196" s="1319" t="s">
        <v>249</v>
      </c>
      <c r="O196" s="1278" t="s">
        <v>249</v>
      </c>
      <c r="P196" s="1278" t="s">
        <v>249</v>
      </c>
      <c r="Q196" s="1319" t="s">
        <v>249</v>
      </c>
      <c r="R196" s="1319" t="s">
        <v>249</v>
      </c>
      <c r="S196" s="1319" t="s">
        <v>249</v>
      </c>
      <c r="T196" s="1278" t="s">
        <v>249</v>
      </c>
      <c r="U196" s="1278" t="s">
        <v>249</v>
      </c>
      <c r="V196" s="2027">
        <v>157.4</v>
      </c>
      <c r="W196" s="2027">
        <v>186.2</v>
      </c>
      <c r="X196" s="2027">
        <v>185.1</v>
      </c>
      <c r="Y196" s="2027">
        <v>209.1</v>
      </c>
      <c r="Z196" s="1270">
        <f>SUM(V196:Y196)</f>
        <v>737.80000000000007</v>
      </c>
      <c r="AA196" s="2027">
        <v>188.7</v>
      </c>
      <c r="AB196" s="2035">
        <v>180.1</v>
      </c>
      <c r="AC196" s="2035">
        <v>185.7</v>
      </c>
      <c r="AD196" s="2027">
        <v>222</v>
      </c>
      <c r="AE196" s="1270">
        <f>SUM(AA196:AD196)</f>
        <v>776.5</v>
      </c>
      <c r="AF196" s="2027">
        <v>204</v>
      </c>
      <c r="AG196" s="2027">
        <v>234</v>
      </c>
      <c r="AH196" s="2027">
        <v>203</v>
      </c>
      <c r="AI196" s="2027">
        <v>216</v>
      </c>
      <c r="AJ196" s="1270">
        <f>SUM(AF196:AI196)</f>
        <v>857</v>
      </c>
      <c r="AK196" s="2027">
        <v>218</v>
      </c>
      <c r="AL196" s="2027">
        <v>220</v>
      </c>
      <c r="AM196" s="2027">
        <v>227</v>
      </c>
      <c r="AN196" s="2027">
        <v>266</v>
      </c>
      <c r="AO196" s="1270">
        <f>SUM(AK196:AN196)</f>
        <v>931</v>
      </c>
      <c r="AP196" s="2027">
        <v>248</v>
      </c>
      <c r="AQ196" s="2027">
        <v>276</v>
      </c>
      <c r="AR196" s="2028">
        <v>250</v>
      </c>
      <c r="AS196" s="2027">
        <v>287</v>
      </c>
      <c r="AT196" s="1270">
        <f>SUM(AP196:AS196)</f>
        <v>1061</v>
      </c>
      <c r="AU196" s="2027">
        <v>264</v>
      </c>
      <c r="AV196" s="2027">
        <v>308</v>
      </c>
      <c r="AW196" s="2031">
        <v>288</v>
      </c>
      <c r="AX196" s="2034">
        <v>290</v>
      </c>
      <c r="AY196" s="1278" t="s">
        <v>249</v>
      </c>
      <c r="AZ196" s="2031">
        <v>254</v>
      </c>
      <c r="BA196" s="2031">
        <v>272</v>
      </c>
      <c r="BB196" s="2031">
        <f>+BB172-BB192</f>
        <v>247</v>
      </c>
      <c r="BC196" s="2034">
        <f>+BC172-BC192</f>
        <v>266</v>
      </c>
      <c r="BD196" s="1323">
        <f>+SUM(AZ196:BC196)</f>
        <v>1039</v>
      </c>
      <c r="BE196" s="2031">
        <f>+BE172-BE192</f>
        <v>222</v>
      </c>
      <c r="BF196" s="2031">
        <f>+BF172-BF192</f>
        <v>284</v>
      </c>
      <c r="BG196" s="2031">
        <v>272</v>
      </c>
      <c r="BH196" s="2032">
        <v>293</v>
      </c>
      <c r="BI196" s="1323">
        <f>+SUM(BE196:BH196)</f>
        <v>1071</v>
      </c>
      <c r="BJ196" s="2030">
        <v>296</v>
      </c>
      <c r="BK196" s="2031">
        <v>315</v>
      </c>
      <c r="BL196" s="2180">
        <v>314</v>
      </c>
      <c r="BM196" s="2032">
        <v>349</v>
      </c>
      <c r="BN196" s="1323">
        <f>+SUM(BJ196:BM196)</f>
        <v>1274</v>
      </c>
      <c r="BO196" s="2180">
        <v>326</v>
      </c>
      <c r="BP196" s="1319" t="s">
        <v>249</v>
      </c>
      <c r="BQ196" s="1319" t="s">
        <v>249</v>
      </c>
      <c r="BR196" s="1278" t="s">
        <v>249</v>
      </c>
      <c r="BS196" s="1278" t="s">
        <v>249</v>
      </c>
      <c r="BT196" s="1319" t="s">
        <v>249</v>
      </c>
      <c r="BU196" s="1319" t="s">
        <v>249</v>
      </c>
      <c r="BV196" s="1319" t="s">
        <v>249</v>
      </c>
      <c r="BW196" s="1278" t="s">
        <v>249</v>
      </c>
      <c r="BX196" s="1278" t="s">
        <v>249</v>
      </c>
      <c r="BY196" s="1670" t="s">
        <v>249</v>
      </c>
      <c r="BZ196" s="1670" t="s">
        <v>249</v>
      </c>
      <c r="CA196" s="1670" t="s">
        <v>249</v>
      </c>
      <c r="CF196" s="1270" t="str">
        <f>+A196</f>
        <v>International</v>
      </c>
      <c r="CL196" s="1278"/>
      <c r="CM196" s="1270"/>
      <c r="CN196" s="1270"/>
      <c r="CO196" s="1270"/>
      <c r="CP196" s="1270"/>
      <c r="CQ196" s="1270"/>
      <c r="CR196" s="1270"/>
      <c r="CS196" s="1270"/>
      <c r="CT196" s="1278"/>
      <c r="CU196" s="1278"/>
      <c r="CV196" s="1276"/>
      <c r="CW196" s="1669"/>
      <c r="CX196" s="1669"/>
      <c r="CY196" s="1669"/>
      <c r="CZ196" s="1670"/>
      <c r="DA196" s="1670"/>
      <c r="DB196" s="1670"/>
    </row>
    <row r="197" spans="1:106" ht="11.25" customHeight="1">
      <c r="A197" s="1618" t="s">
        <v>288</v>
      </c>
      <c r="G197" s="1319"/>
      <c r="H197" s="1319"/>
      <c r="I197" s="1319"/>
      <c r="J197" s="1278"/>
      <c r="K197" s="1278"/>
      <c r="L197" s="1319"/>
      <c r="M197" s="1319"/>
      <c r="N197" s="1319"/>
      <c r="O197" s="1278"/>
      <c r="P197" s="1278"/>
      <c r="Q197" s="1319"/>
      <c r="R197" s="1319"/>
      <c r="S197" s="1319"/>
      <c r="T197" s="1278"/>
      <c r="U197" s="1278"/>
      <c r="V197" s="1319"/>
      <c r="W197" s="1319"/>
      <c r="X197" s="1319"/>
      <c r="Y197" s="1278"/>
      <c r="Z197" s="1278"/>
      <c r="AA197" s="1408">
        <f t="shared" ref="AA197:BO197" si="258">AA196/V196-1</f>
        <v>0.19885641677255395</v>
      </c>
      <c r="AB197" s="1610">
        <f t="shared" si="258"/>
        <v>-3.2760472610096625E-2</v>
      </c>
      <c r="AC197" s="1610">
        <f t="shared" si="258"/>
        <v>3.2414910858995505E-3</v>
      </c>
      <c r="AD197" s="1408">
        <f t="shared" si="258"/>
        <v>6.1692969870875247E-2</v>
      </c>
      <c r="AE197" s="1342">
        <f t="shared" si="258"/>
        <v>5.245323936026014E-2</v>
      </c>
      <c r="AF197" s="1408">
        <f t="shared" si="258"/>
        <v>8.1081081081081141E-2</v>
      </c>
      <c r="AG197" s="1408">
        <f t="shared" si="258"/>
        <v>0.29927817878956131</v>
      </c>
      <c r="AH197" s="1408">
        <f t="shared" si="258"/>
        <v>9.3161012385568176E-2</v>
      </c>
      <c r="AI197" s="1408">
        <f t="shared" si="258"/>
        <v>-2.7027027027026973E-2</v>
      </c>
      <c r="AJ197" s="1342">
        <f t="shared" si="258"/>
        <v>0.1036703155183516</v>
      </c>
      <c r="AK197" s="1408">
        <f t="shared" si="258"/>
        <v>6.8627450980392135E-2</v>
      </c>
      <c r="AL197" s="1408">
        <f t="shared" si="258"/>
        <v>-5.9829059829059839E-2</v>
      </c>
      <c r="AM197" s="1408">
        <f t="shared" si="258"/>
        <v>0.11822660098522175</v>
      </c>
      <c r="AN197" s="1408">
        <f>AN196/AI196-1</f>
        <v>0.2314814814814814</v>
      </c>
      <c r="AO197" s="1342">
        <f t="shared" si="258"/>
        <v>8.6347724620770228E-2</v>
      </c>
      <c r="AP197" s="1408">
        <f t="shared" si="258"/>
        <v>0.13761467889908263</v>
      </c>
      <c r="AQ197" s="1408">
        <f t="shared" si="258"/>
        <v>0.25454545454545463</v>
      </c>
      <c r="AR197" s="1408">
        <f t="shared" si="258"/>
        <v>0.1013215859030836</v>
      </c>
      <c r="AS197" s="1408">
        <f t="shared" si="258"/>
        <v>7.8947368421052655E-2</v>
      </c>
      <c r="AT197" s="1342">
        <f t="shared" si="258"/>
        <v>0.13963480128893657</v>
      </c>
      <c r="AU197" s="1408">
        <f t="shared" si="258"/>
        <v>6.4516129032258007E-2</v>
      </c>
      <c r="AV197" s="1408">
        <f t="shared" si="258"/>
        <v>0.11594202898550732</v>
      </c>
      <c r="AW197" s="1408">
        <f t="shared" si="258"/>
        <v>0.15199999999999991</v>
      </c>
      <c r="AX197" s="1486">
        <f t="shared" si="258"/>
        <v>1.0452961672473782E-2</v>
      </c>
      <c r="AY197" s="1278" t="s">
        <v>249</v>
      </c>
      <c r="AZ197" s="1408">
        <f t="shared" si="258"/>
        <v>-3.7878787878787845E-2</v>
      </c>
      <c r="BA197" s="1408">
        <f t="shared" si="258"/>
        <v>-0.11688311688311692</v>
      </c>
      <c r="BB197" s="1408">
        <f t="shared" si="258"/>
        <v>-0.14236111111111116</v>
      </c>
      <c r="BC197" s="1673">
        <f t="shared" si="258"/>
        <v>-8.2758620689655227E-2</v>
      </c>
      <c r="BD197" s="1671"/>
      <c r="BE197" s="1408">
        <f t="shared" si="258"/>
        <v>-0.12598425196850394</v>
      </c>
      <c r="BF197" s="1408">
        <f t="shared" si="258"/>
        <v>4.4117647058823595E-2</v>
      </c>
      <c r="BG197" s="1408">
        <f t="shared" si="258"/>
        <v>0.10121457489878538</v>
      </c>
      <c r="BH197" s="782">
        <f t="shared" si="258"/>
        <v>0.10150375939849621</v>
      </c>
      <c r="BI197" s="1671">
        <f>BI196/BD196-1</f>
        <v>3.0798845043310985E-2</v>
      </c>
      <c r="BJ197" s="781">
        <f t="shared" si="258"/>
        <v>0.33333333333333326</v>
      </c>
      <c r="BK197" s="1962">
        <f t="shared" si="258"/>
        <v>0.10915492957746475</v>
      </c>
      <c r="BL197" s="1962">
        <f t="shared" si="258"/>
        <v>0.15441176470588225</v>
      </c>
      <c r="BM197" s="782">
        <f t="shared" si="258"/>
        <v>0.19112627986348119</v>
      </c>
      <c r="BN197" s="1671">
        <f>BN196/BI196-1</f>
        <v>0.18954248366013071</v>
      </c>
      <c r="BO197" s="781">
        <f t="shared" si="258"/>
        <v>0.10135135135135132</v>
      </c>
      <c r="BP197" s="1319" t="s">
        <v>249</v>
      </c>
      <c r="BQ197" s="1319" t="s">
        <v>249</v>
      </c>
      <c r="BR197" s="1278" t="s">
        <v>249</v>
      </c>
      <c r="BS197" s="1278" t="s">
        <v>249</v>
      </c>
      <c r="BT197" s="1319" t="s">
        <v>249</v>
      </c>
      <c r="BU197" s="1319" t="s">
        <v>249</v>
      </c>
      <c r="BV197" s="1319" t="s">
        <v>249</v>
      </c>
      <c r="BW197" s="1278" t="s">
        <v>249</v>
      </c>
      <c r="BX197" s="1278" t="s">
        <v>249</v>
      </c>
      <c r="BY197" s="1670" t="s">
        <v>249</v>
      </c>
      <c r="BZ197" s="1670" t="s">
        <v>249</v>
      </c>
      <c r="CA197" s="1670" t="s">
        <v>249</v>
      </c>
      <c r="CF197" s="1619" t="str">
        <f>+A197</f>
        <v>y/y change</v>
      </c>
      <c r="CG197" s="1271"/>
      <c r="CH197" s="1271"/>
      <c r="CI197" s="1271"/>
      <c r="CJ197" s="1271"/>
      <c r="CK197" s="1271"/>
      <c r="CL197" s="1278"/>
      <c r="CM197" s="1342"/>
      <c r="CN197" s="1342"/>
      <c r="CO197" s="1342"/>
      <c r="CP197" s="1342"/>
      <c r="CQ197" s="1342"/>
      <c r="CR197" s="1342"/>
      <c r="CS197" s="1342"/>
      <c r="CT197" s="1278"/>
      <c r="CU197" s="1278"/>
      <c r="CV197" s="1276"/>
      <c r="CW197" s="1669"/>
      <c r="CX197" s="1669"/>
      <c r="CY197" s="1669"/>
      <c r="CZ197" s="1670"/>
      <c r="DA197" s="1670"/>
      <c r="DB197" s="1670"/>
    </row>
    <row r="198" spans="1:106" s="1286" customFormat="1" ht="11.25" customHeight="1">
      <c r="A198" s="1646" t="s">
        <v>330</v>
      </c>
      <c r="G198" s="1276"/>
      <c r="H198" s="1276"/>
      <c r="I198" s="1276"/>
      <c r="J198" s="1278"/>
      <c r="K198" s="1278"/>
      <c r="L198" s="1276"/>
      <c r="M198" s="1276"/>
      <c r="N198" s="1276"/>
      <c r="O198" s="1278"/>
      <c r="P198" s="1278"/>
      <c r="Q198" s="1276"/>
      <c r="R198" s="1276"/>
      <c r="S198" s="1276"/>
      <c r="T198" s="1278"/>
      <c r="U198" s="1278"/>
      <c r="V198" s="1276"/>
      <c r="W198" s="1276"/>
      <c r="X198" s="1276"/>
      <c r="Y198" s="1278"/>
      <c r="Z198" s="1342">
        <f t="shared" ref="Z198:AW198" si="259">Z196/Z$12</f>
        <v>0.47993234892343728</v>
      </c>
      <c r="AA198" s="1610">
        <f t="shared" si="259"/>
        <v>0.47057356608478801</v>
      </c>
      <c r="AB198" s="1610">
        <f t="shared" si="259"/>
        <v>0.44469135802469134</v>
      </c>
      <c r="AC198" s="1610">
        <f t="shared" si="259"/>
        <v>0.44532374100719424</v>
      </c>
      <c r="AD198" s="1610">
        <f t="shared" si="259"/>
        <v>0.47033898305084748</v>
      </c>
      <c r="AE198" s="1342">
        <f t="shared" si="259"/>
        <v>0.45811209439528022</v>
      </c>
      <c r="AF198" s="1610">
        <f t="shared" si="259"/>
        <v>0.4604966139954853</v>
      </c>
      <c r="AG198" s="1610">
        <f t="shared" si="259"/>
        <v>0.48749999999999999</v>
      </c>
      <c r="AH198" s="1610">
        <f t="shared" si="259"/>
        <v>0.49512195121951219</v>
      </c>
      <c r="AI198" s="1610">
        <f t="shared" si="259"/>
        <v>0.49769585253456222</v>
      </c>
      <c r="AJ198" s="1342">
        <f t="shared" si="259"/>
        <v>0.48500282965478214</v>
      </c>
      <c r="AK198" s="1610">
        <f t="shared" si="259"/>
        <v>0.46781115879828328</v>
      </c>
      <c r="AL198" s="1610">
        <f t="shared" si="259"/>
        <v>0.45548654244306419</v>
      </c>
      <c r="AM198" s="1610">
        <f t="shared" si="259"/>
        <v>0.45219123505976094</v>
      </c>
      <c r="AN198" s="1610">
        <f t="shared" si="259"/>
        <v>0.45547945205479451</v>
      </c>
      <c r="AO198" s="1342">
        <f t="shared" si="259"/>
        <v>0.45749385749385751</v>
      </c>
      <c r="AP198" s="1610">
        <f t="shared" si="259"/>
        <v>0.44206773618538325</v>
      </c>
      <c r="AQ198" s="1610">
        <f t="shared" si="259"/>
        <v>0.46076794657762937</v>
      </c>
      <c r="AR198" s="1610">
        <f t="shared" si="259"/>
        <v>0.46296296296296297</v>
      </c>
      <c r="AS198" s="1610">
        <f t="shared" si="259"/>
        <v>0.5</v>
      </c>
      <c r="AT198" s="1342">
        <f t="shared" si="259"/>
        <v>0.46657871591908529</v>
      </c>
      <c r="AU198" s="1610">
        <f t="shared" si="259"/>
        <v>0.46397188049209137</v>
      </c>
      <c r="AV198" s="1610">
        <f t="shared" si="259"/>
        <v>0.46385542168674698</v>
      </c>
      <c r="AW198" s="1610">
        <f t="shared" si="259"/>
        <v>0.47682119205298013</v>
      </c>
      <c r="AX198" s="1486">
        <f>AX196/AX$12</f>
        <v>0.46925566343042069</v>
      </c>
      <c r="AY198" s="1278" t="s">
        <v>249</v>
      </c>
      <c r="AZ198" s="1610">
        <f t="shared" ref="AZ198:BE198" si="260">AZ196/AZ$12</f>
        <v>0.41914191419141916</v>
      </c>
      <c r="BA198" s="1610">
        <f t="shared" si="260"/>
        <v>0.41337386018237082</v>
      </c>
      <c r="BB198" s="1610">
        <f t="shared" si="260"/>
        <v>0.42078364565587734</v>
      </c>
      <c r="BC198" s="1673">
        <f t="shared" si="260"/>
        <v>0.46100519930675909</v>
      </c>
      <c r="BD198" s="1671">
        <f t="shared" si="260"/>
        <v>0.42792421746293247</v>
      </c>
      <c r="BE198" s="1610">
        <f t="shared" si="260"/>
        <v>0.40217391304347827</v>
      </c>
      <c r="BF198" s="1610">
        <f t="shared" ref="BF198:BK198" si="261">BF196/BF$12</f>
        <v>0.41642228739002934</v>
      </c>
      <c r="BG198" s="1610">
        <f t="shared" si="261"/>
        <v>0.42367601246105918</v>
      </c>
      <c r="BH198" s="782">
        <f t="shared" si="261"/>
        <v>0.44528875379939209</v>
      </c>
      <c r="BI198" s="1671">
        <f t="shared" si="261"/>
        <v>0.42265193370165743</v>
      </c>
      <c r="BJ198" s="694">
        <f t="shared" si="261"/>
        <v>0.41456582633053224</v>
      </c>
      <c r="BK198" s="1681">
        <f t="shared" si="261"/>
        <v>0.42168674698795183</v>
      </c>
      <c r="BL198" s="1681">
        <f t="shared" ref="BL198:BO198" si="262">BL196/BL$12</f>
        <v>0.42489851150202979</v>
      </c>
      <c r="BM198" s="782">
        <f t="shared" si="262"/>
        <v>0.44233206590621038</v>
      </c>
      <c r="BN198" s="1671">
        <f t="shared" si="262"/>
        <v>0.42622950819672129</v>
      </c>
      <c r="BO198" s="694">
        <f t="shared" si="262"/>
        <v>0.43582887700534761</v>
      </c>
      <c r="BP198" s="1276" t="s">
        <v>249</v>
      </c>
      <c r="BQ198" s="1276" t="s">
        <v>249</v>
      </c>
      <c r="BR198" s="1278" t="s">
        <v>249</v>
      </c>
      <c r="BS198" s="1278" t="s">
        <v>249</v>
      </c>
      <c r="BT198" s="1276" t="s">
        <v>249</v>
      </c>
      <c r="BU198" s="1276" t="s">
        <v>249</v>
      </c>
      <c r="BV198" s="1276" t="s">
        <v>249</v>
      </c>
      <c r="BW198" s="1278" t="s">
        <v>249</v>
      </c>
      <c r="BX198" s="1278" t="s">
        <v>249</v>
      </c>
      <c r="BY198" s="1670" t="s">
        <v>249</v>
      </c>
      <c r="BZ198" s="1670" t="s">
        <v>249</v>
      </c>
      <c r="CA198" s="1670" t="s">
        <v>249</v>
      </c>
      <c r="CB198" s="1271"/>
      <c r="CC198" s="1271"/>
      <c r="CD198" s="1271"/>
      <c r="CE198" s="1271"/>
      <c r="CF198" s="1487" t="str">
        <f>+A198</f>
        <v>% of revenue</v>
      </c>
      <c r="CL198" s="1278"/>
      <c r="CM198" s="1342"/>
      <c r="CN198" s="1342"/>
      <c r="CO198" s="1342"/>
      <c r="CP198" s="1342"/>
      <c r="CQ198" s="1342"/>
      <c r="CR198" s="1342"/>
      <c r="CS198" s="1342"/>
      <c r="CT198" s="1278"/>
      <c r="CU198" s="1278"/>
      <c r="CV198" s="1276"/>
      <c r="CW198" s="1669"/>
      <c r="CX198" s="1669"/>
      <c r="CY198" s="1669"/>
      <c r="CZ198" s="1670"/>
      <c r="DA198" s="1670"/>
      <c r="DB198" s="1670"/>
    </row>
    <row r="199" spans="1:106" s="1286" customFormat="1" ht="11.25" customHeight="1">
      <c r="A199" s="1646"/>
      <c r="G199" s="1276"/>
      <c r="H199" s="1276"/>
      <c r="I199" s="1276"/>
      <c r="J199" s="1278"/>
      <c r="K199" s="1278"/>
      <c r="L199" s="1276"/>
      <c r="M199" s="1276"/>
      <c r="N199" s="1276"/>
      <c r="O199" s="1278"/>
      <c r="P199" s="1278"/>
      <c r="Q199" s="1276"/>
      <c r="R199" s="1276"/>
      <c r="S199" s="1276"/>
      <c r="T199" s="1278"/>
      <c r="U199" s="1278"/>
      <c r="V199" s="1276"/>
      <c r="W199" s="1276"/>
      <c r="X199" s="1276"/>
      <c r="Y199" s="1278"/>
      <c r="Z199" s="1342"/>
      <c r="AA199" s="1610"/>
      <c r="AB199" s="1610"/>
      <c r="AC199" s="1610"/>
      <c r="AD199" s="1610"/>
      <c r="AE199" s="1342"/>
      <c r="AF199" s="1610"/>
      <c r="AG199" s="1610"/>
      <c r="AH199" s="1610"/>
      <c r="AI199" s="1610"/>
      <c r="AJ199" s="1342"/>
      <c r="AK199" s="1610"/>
      <c r="AL199" s="1610"/>
      <c r="AM199" s="1610"/>
      <c r="AN199" s="1610"/>
      <c r="AO199" s="1342"/>
      <c r="AP199" s="1610"/>
      <c r="AQ199" s="1610"/>
      <c r="AR199" s="1610"/>
      <c r="AS199" s="1610"/>
      <c r="AT199" s="1342"/>
      <c r="AU199" s="1610"/>
      <c r="AV199" s="1610"/>
      <c r="AW199" s="1610"/>
      <c r="AX199" s="1486"/>
      <c r="AY199" s="1278"/>
      <c r="AZ199" s="1610"/>
      <c r="BA199" s="1610"/>
      <c r="BB199" s="1610"/>
      <c r="BC199" s="1673"/>
      <c r="BD199" s="1671"/>
      <c r="BE199" s="1610"/>
      <c r="BF199" s="1610"/>
      <c r="BG199" s="1610"/>
      <c r="BH199" s="782"/>
      <c r="BI199" s="1671"/>
      <c r="BJ199" s="1276"/>
      <c r="BK199" s="1276"/>
      <c r="BL199" s="1610"/>
      <c r="BM199" s="1278"/>
      <c r="BN199" s="1278"/>
      <c r="BO199" s="1276"/>
      <c r="BP199" s="1276"/>
      <c r="BQ199" s="1276"/>
      <c r="BR199" s="1278"/>
      <c r="BS199" s="1278"/>
      <c r="BT199" s="1276"/>
      <c r="BU199" s="1276"/>
      <c r="BV199" s="1276"/>
      <c r="BW199" s="1278"/>
      <c r="BX199" s="1278"/>
      <c r="BY199" s="1670"/>
      <c r="BZ199" s="1670"/>
      <c r="CA199" s="1670"/>
      <c r="CB199" s="1271"/>
      <c r="CC199" s="1271"/>
      <c r="CD199" s="1271"/>
      <c r="CE199" s="1271"/>
      <c r="CF199" s="1487"/>
      <c r="CL199" s="1278"/>
      <c r="CM199" s="1342"/>
      <c r="CN199" s="1342"/>
      <c r="CO199" s="1342"/>
      <c r="CP199" s="1342"/>
      <c r="CQ199" s="1342"/>
      <c r="CR199" s="1342"/>
      <c r="CS199" s="1342"/>
      <c r="CT199" s="1278"/>
      <c r="CU199" s="1278"/>
      <c r="CV199" s="1276"/>
      <c r="CW199" s="1669"/>
      <c r="CX199" s="1669"/>
      <c r="CY199" s="1669"/>
      <c r="CZ199" s="1670"/>
      <c r="DA199" s="1670"/>
      <c r="DB199" s="1670"/>
    </row>
    <row r="200" spans="1:106" s="1286" customFormat="1" ht="11.25" customHeight="1">
      <c r="A200" s="2295" t="s">
        <v>535</v>
      </c>
      <c r="B200" s="1515"/>
      <c r="C200" s="1515"/>
      <c r="D200" s="1515"/>
      <c r="E200" s="1515"/>
      <c r="F200" s="1515"/>
      <c r="G200" s="1516"/>
      <c r="H200" s="1516"/>
      <c r="I200" s="1516"/>
      <c r="J200" s="1516"/>
      <c r="K200" s="1516"/>
      <c r="L200" s="1516"/>
      <c r="M200" s="1516"/>
      <c r="N200" s="1516"/>
      <c r="O200" s="1516"/>
      <c r="P200" s="1516"/>
      <c r="Q200" s="1516"/>
      <c r="R200" s="1516"/>
      <c r="S200" s="1516"/>
      <c r="T200" s="1516"/>
      <c r="U200" s="1516"/>
      <c r="V200" s="1515"/>
      <c r="W200" s="1515"/>
      <c r="X200" s="1515"/>
      <c r="Y200" s="1515"/>
      <c r="Z200" s="1515"/>
      <c r="AA200" s="1515"/>
      <c r="AB200" s="1515"/>
      <c r="AC200" s="1515"/>
      <c r="AD200" s="1515"/>
      <c r="AE200" s="1515"/>
      <c r="AF200" s="1515"/>
      <c r="AG200" s="1515"/>
      <c r="AH200" s="1515"/>
      <c r="AI200" s="1515"/>
      <c r="AJ200" s="1515"/>
      <c r="AK200" s="1515"/>
      <c r="AL200" s="1515"/>
      <c r="AM200" s="1515"/>
      <c r="AN200" s="1515"/>
      <c r="AO200" s="1515"/>
      <c r="AP200" s="1515"/>
      <c r="AQ200" s="1515"/>
      <c r="AR200" s="1515"/>
      <c r="AS200" s="1515"/>
      <c r="AT200" s="1515"/>
      <c r="AU200" s="1515"/>
      <c r="AV200" s="1515"/>
      <c r="AW200" s="1515"/>
      <c r="AX200" s="1515"/>
      <c r="AY200" s="1515"/>
      <c r="AZ200" s="1515"/>
      <c r="BA200" s="1515"/>
      <c r="BB200" s="1515"/>
      <c r="BC200" s="1515"/>
      <c r="BD200" s="1515"/>
      <c r="BE200" s="1515"/>
      <c r="BF200" s="1515"/>
      <c r="BG200" s="1515"/>
      <c r="BH200" s="1515"/>
      <c r="BI200" s="1515"/>
      <c r="BJ200" s="1515"/>
      <c r="BK200" s="1515"/>
      <c r="BL200" s="1515"/>
      <c r="BM200" s="1515"/>
      <c r="BN200" s="1515"/>
      <c r="BO200" s="1515"/>
      <c r="BP200" s="1515"/>
      <c r="BQ200" s="1515"/>
      <c r="BR200" s="1515"/>
      <c r="BS200" s="1515"/>
      <c r="BT200" s="1515"/>
      <c r="BU200" s="1515"/>
      <c r="BV200" s="1515"/>
      <c r="BW200" s="1515"/>
      <c r="BX200" s="1515"/>
      <c r="BY200" s="1517"/>
      <c r="BZ200" s="1517"/>
      <c r="CA200" s="1517"/>
      <c r="CF200" s="2297" t="str">
        <f>+A200</f>
        <v>Market and Commodities Intelligence</v>
      </c>
      <c r="CG200" s="1515"/>
      <c r="CH200" s="1515"/>
      <c r="CI200" s="1515"/>
      <c r="CJ200" s="1515"/>
      <c r="CK200" s="1515"/>
      <c r="CL200" s="1516"/>
      <c r="CM200" s="1515"/>
      <c r="CN200" s="1515"/>
      <c r="CO200" s="1515"/>
      <c r="CP200" s="1515"/>
      <c r="CQ200" s="1515"/>
      <c r="CR200" s="1515"/>
      <c r="CS200" s="1515"/>
      <c r="CT200" s="1515"/>
      <c r="CU200" s="1515"/>
      <c r="CV200" s="1515"/>
      <c r="CW200" s="1515"/>
      <c r="CX200" s="1515"/>
      <c r="CY200" s="1515"/>
      <c r="CZ200" s="1517"/>
      <c r="DA200" s="1517"/>
      <c r="DB200" s="1517"/>
    </row>
    <row r="201" spans="1:106" s="1286" customFormat="1" ht="11.25" customHeight="1">
      <c r="A201" s="2296"/>
      <c r="B201" s="1518"/>
      <c r="C201" s="1518"/>
      <c r="D201" s="1518"/>
      <c r="E201" s="1518"/>
      <c r="F201" s="1518"/>
      <c r="G201" s="1519"/>
      <c r="H201" s="1519"/>
      <c r="I201" s="1519"/>
      <c r="J201" s="1519"/>
      <c r="K201" s="1519"/>
      <c r="L201" s="1519"/>
      <c r="M201" s="1519"/>
      <c r="N201" s="1519"/>
      <c r="O201" s="1519"/>
      <c r="P201" s="1519"/>
      <c r="Q201" s="1519"/>
      <c r="R201" s="1519"/>
      <c r="S201" s="1519"/>
      <c r="T201" s="1519"/>
      <c r="U201" s="1519"/>
      <c r="V201" s="1518"/>
      <c r="W201" s="1518"/>
      <c r="X201" s="1518"/>
      <c r="Y201" s="1518"/>
      <c r="Z201" s="1518"/>
      <c r="AA201" s="1518"/>
      <c r="AB201" s="1518"/>
      <c r="AC201" s="1518"/>
      <c r="AD201" s="1518"/>
      <c r="AE201" s="1518"/>
      <c r="AF201" s="1518"/>
      <c r="AG201" s="1518"/>
      <c r="AH201" s="1518"/>
      <c r="AI201" s="1518"/>
      <c r="AJ201" s="1518"/>
      <c r="AK201" s="1518"/>
      <c r="AL201" s="1518"/>
      <c r="AM201" s="1518"/>
      <c r="AN201" s="1518"/>
      <c r="AO201" s="1518"/>
      <c r="AP201" s="1518"/>
      <c r="AQ201" s="1518"/>
      <c r="AR201" s="1518"/>
      <c r="AS201" s="1518"/>
      <c r="AT201" s="1518"/>
      <c r="AU201" s="1518"/>
      <c r="AV201" s="1518"/>
      <c r="AW201" s="1518"/>
      <c r="AX201" s="1518"/>
      <c r="AY201" s="1518"/>
      <c r="AZ201" s="1518"/>
      <c r="BA201" s="1518"/>
      <c r="BB201" s="1518"/>
      <c r="BC201" s="1518"/>
      <c r="BD201" s="1518"/>
      <c r="BE201" s="1518"/>
      <c r="BF201" s="1518"/>
      <c r="BG201" s="1518"/>
      <c r="BH201" s="1518"/>
      <c r="BI201" s="1518"/>
      <c r="BJ201" s="1518"/>
      <c r="BK201" s="1518"/>
      <c r="BL201" s="1518"/>
      <c r="BM201" s="1518"/>
      <c r="BN201" s="1518"/>
      <c r="BO201" s="1518"/>
      <c r="BP201" s="1518"/>
      <c r="BQ201" s="1518"/>
      <c r="BR201" s="1518"/>
      <c r="BS201" s="1518"/>
      <c r="BT201" s="1518"/>
      <c r="BU201" s="1518"/>
      <c r="BV201" s="1518"/>
      <c r="BW201" s="1518"/>
      <c r="BX201" s="1518"/>
      <c r="BY201" s="1520"/>
      <c r="BZ201" s="1520"/>
      <c r="CA201" s="1520"/>
      <c r="CF201" s="2298">
        <f>+A201</f>
        <v>0</v>
      </c>
      <c r="CG201" s="1518"/>
      <c r="CH201" s="1518"/>
      <c r="CI201" s="1518"/>
      <c r="CJ201" s="1518"/>
      <c r="CK201" s="1518"/>
      <c r="CL201" s="1519"/>
      <c r="CM201" s="1518"/>
      <c r="CN201" s="1518"/>
      <c r="CO201" s="1518"/>
      <c r="CP201" s="1518"/>
      <c r="CQ201" s="1518"/>
      <c r="CR201" s="1518"/>
      <c r="CS201" s="1518"/>
      <c r="CT201" s="1518"/>
      <c r="CU201" s="1518"/>
      <c r="CV201" s="1518"/>
      <c r="CW201" s="1518"/>
      <c r="CX201" s="1518"/>
      <c r="CY201" s="1518"/>
      <c r="CZ201" s="1520"/>
      <c r="DA201" s="1520"/>
      <c r="DB201" s="1520"/>
    </row>
    <row r="202" spans="1:106" ht="11.25" customHeight="1">
      <c r="A202" s="788" t="s">
        <v>535</v>
      </c>
      <c r="B202" s="1286"/>
      <c r="C202" s="1286"/>
      <c r="D202" s="1286"/>
      <c r="E202" s="1286"/>
      <c r="F202" s="1286"/>
      <c r="G202" s="1276"/>
      <c r="H202" s="1276"/>
      <c r="I202" s="1276"/>
      <c r="J202" s="1276"/>
      <c r="K202" s="1674"/>
      <c r="L202" s="1276"/>
      <c r="M202" s="1276"/>
      <c r="N202" s="1276"/>
      <c r="O202" s="1276"/>
      <c r="P202" s="1674"/>
      <c r="Q202" s="1276"/>
      <c r="R202" s="1276"/>
      <c r="S202" s="1276"/>
      <c r="T202" s="1276"/>
      <c r="U202" s="1674"/>
      <c r="V202" s="1276"/>
      <c r="W202" s="1276"/>
      <c r="X202" s="1276"/>
      <c r="Y202" s="1276"/>
      <c r="Z202" s="1674"/>
      <c r="AA202" s="1610"/>
      <c r="AB202" s="1610"/>
      <c r="AC202" s="1610"/>
      <c r="AD202" s="1610"/>
      <c r="AE202" s="1674"/>
      <c r="AF202" s="1276"/>
      <c r="AG202" s="1276"/>
      <c r="AH202" s="1276"/>
      <c r="AI202" s="1276"/>
      <c r="AJ202" s="1674"/>
      <c r="AK202" s="1276"/>
      <c r="AL202" s="1276"/>
      <c r="AM202" s="1276"/>
      <c r="AN202" s="1276"/>
      <c r="AO202" s="1674"/>
      <c r="AP202" s="1276"/>
      <c r="AQ202" s="1276"/>
      <c r="AR202" s="1276"/>
      <c r="AS202" s="1276"/>
      <c r="AT202" s="1674"/>
      <c r="AU202" s="1276"/>
      <c r="AV202" s="1276"/>
      <c r="AW202" s="1276"/>
      <c r="AX202" s="1276"/>
      <c r="AY202" s="1674"/>
      <c r="AZ202" s="1276"/>
      <c r="BA202" s="1276"/>
      <c r="BB202" s="1276"/>
      <c r="BC202" s="1276"/>
      <c r="BD202" s="1674"/>
      <c r="BE202" s="1276"/>
      <c r="BF202" s="1276"/>
      <c r="BG202" s="1276"/>
      <c r="BH202" s="1276"/>
      <c r="BI202" s="1674"/>
      <c r="BJ202" s="1276"/>
      <c r="BK202" s="1276"/>
      <c r="BL202" s="1276"/>
      <c r="BM202" s="1276"/>
      <c r="BN202" s="1674"/>
      <c r="BO202" s="1276"/>
      <c r="BP202" s="1276"/>
      <c r="BQ202" s="1276"/>
      <c r="BR202" s="1276"/>
      <c r="BS202" s="1674"/>
      <c r="BT202" s="1276"/>
      <c r="BU202" s="1276"/>
      <c r="BV202" s="1276"/>
      <c r="BW202" s="1276"/>
      <c r="BX202" s="1674"/>
      <c r="BY202" s="1674"/>
      <c r="BZ202" s="1674"/>
      <c r="CA202" s="1670"/>
      <c r="CF202" s="1487"/>
      <c r="CG202" s="1286"/>
      <c r="CH202" s="1286"/>
      <c r="CI202" s="1286"/>
      <c r="CJ202" s="1286"/>
      <c r="CK202" s="1286"/>
      <c r="CL202" s="1276"/>
      <c r="CM202" s="1610"/>
      <c r="CN202" s="1675"/>
      <c r="CO202" s="1675"/>
      <c r="CP202" s="1675"/>
      <c r="CQ202" s="1675"/>
      <c r="CR202" s="1675"/>
      <c r="CS202" s="1675"/>
      <c r="CT202" s="1676"/>
      <c r="CU202" s="1676"/>
      <c r="CV202" s="1676"/>
      <c r="CW202" s="1677"/>
      <c r="CX202" s="1677"/>
      <c r="CY202" s="1677"/>
      <c r="CZ202" s="1677"/>
      <c r="DA202" s="1677"/>
      <c r="DB202" s="1677"/>
    </row>
    <row r="203" spans="1:106" ht="11.25" customHeight="1">
      <c r="A203" s="762" t="s">
        <v>329</v>
      </c>
      <c r="B203" s="1286"/>
      <c r="C203" s="1286"/>
      <c r="D203" s="1286"/>
      <c r="E203" s="1286"/>
      <c r="F203" s="1286"/>
      <c r="G203" s="1276"/>
      <c r="H203" s="1276"/>
      <c r="I203" s="1276"/>
      <c r="J203" s="1276"/>
      <c r="K203" s="1678"/>
      <c r="L203" s="1276"/>
      <c r="M203" s="1276"/>
      <c r="N203" s="1276"/>
      <c r="O203" s="1276"/>
      <c r="P203" s="1678"/>
      <c r="Q203" s="1276"/>
      <c r="R203" s="1276"/>
      <c r="S203" s="1276"/>
      <c r="T203" s="1276"/>
      <c r="U203" s="1678"/>
      <c r="V203" s="1276"/>
      <c r="W203" s="1276"/>
      <c r="X203" s="1276"/>
      <c r="Y203" s="1276"/>
      <c r="Z203" s="1678"/>
      <c r="AA203" s="1610"/>
      <c r="AB203" s="1610"/>
      <c r="AC203" s="1610"/>
      <c r="AD203" s="1610"/>
      <c r="AE203" s="1678"/>
      <c r="AF203" s="1276"/>
      <c r="AG203" s="1276"/>
      <c r="AH203" s="1276"/>
      <c r="AI203" s="1276"/>
      <c r="AJ203" s="1678"/>
      <c r="AK203" s="1679">
        <f t="shared" ref="AK203:BG203" si="263">+AK235+AK385</f>
        <v>108</v>
      </c>
      <c r="AL203" s="1679">
        <f t="shared" si="263"/>
        <v>119</v>
      </c>
      <c r="AM203" s="1679">
        <f t="shared" si="263"/>
        <v>117</v>
      </c>
      <c r="AN203" s="1679">
        <f t="shared" si="263"/>
        <v>130</v>
      </c>
      <c r="AO203" s="1324">
        <f t="shared" si="263"/>
        <v>460</v>
      </c>
      <c r="AP203" s="1679">
        <f t="shared" si="263"/>
        <v>106</v>
      </c>
      <c r="AQ203" s="1679">
        <f t="shared" si="263"/>
        <v>123</v>
      </c>
      <c r="AR203" s="1679">
        <f t="shared" si="263"/>
        <v>107</v>
      </c>
      <c r="AS203" s="1679">
        <f t="shared" si="263"/>
        <v>127</v>
      </c>
      <c r="AT203" s="1324">
        <f t="shared" si="263"/>
        <v>463</v>
      </c>
      <c r="AU203" s="1679">
        <f t="shared" si="263"/>
        <v>97</v>
      </c>
      <c r="AV203" s="1679">
        <f t="shared" si="263"/>
        <v>106</v>
      </c>
      <c r="AW203" s="1679">
        <f t="shared" si="263"/>
        <v>110</v>
      </c>
      <c r="AX203" s="1679">
        <f t="shared" si="263"/>
        <v>120</v>
      </c>
      <c r="AY203" s="1324">
        <f t="shared" si="263"/>
        <v>433</v>
      </c>
      <c r="AZ203" s="1679">
        <f t="shared" si="263"/>
        <v>109</v>
      </c>
      <c r="BA203" s="1679">
        <f t="shared" si="263"/>
        <v>112</v>
      </c>
      <c r="BB203" s="1679">
        <f t="shared" si="263"/>
        <v>117</v>
      </c>
      <c r="BC203" s="1679">
        <f t="shared" si="263"/>
        <v>127</v>
      </c>
      <c r="BD203" s="1324">
        <f t="shared" si="263"/>
        <v>465</v>
      </c>
      <c r="BE203" s="1679">
        <f t="shared" si="263"/>
        <v>114</v>
      </c>
      <c r="BF203" s="1679">
        <f t="shared" si="263"/>
        <v>114</v>
      </c>
      <c r="BG203" s="1679">
        <f t="shared" si="263"/>
        <v>92</v>
      </c>
      <c r="BH203" s="2099">
        <v>35</v>
      </c>
      <c r="BI203" s="1324">
        <f>+SUM(BE203:BH203)</f>
        <v>355</v>
      </c>
      <c r="BJ203" s="2098">
        <v>53</v>
      </c>
      <c r="BK203" s="2097">
        <v>59</v>
      </c>
      <c r="BL203" s="2117">
        <v>32</v>
      </c>
      <c r="BM203" s="2117">
        <v>34</v>
      </c>
      <c r="BN203" s="1324">
        <f>+SUM(BJ203:BM203)</f>
        <v>178</v>
      </c>
      <c r="BO203" s="2117">
        <f>BO235+BO385</f>
        <v>23</v>
      </c>
      <c r="BP203" s="1680">
        <f>+BP205*BP213</f>
        <v>58.115279972045528</v>
      </c>
      <c r="BQ203" s="1680">
        <f>+BQ205*BQ213</f>
        <v>58.854726401280921</v>
      </c>
      <c r="BR203" s="1680">
        <f>+BR205*BR213</f>
        <v>60.899590511083161</v>
      </c>
      <c r="BS203" s="1324">
        <f>+SUM(BO203:BR203)</f>
        <v>200.86959688440959</v>
      </c>
      <c r="BT203" s="1680">
        <f>+BT205*BT213</f>
        <v>60.062412354040831</v>
      </c>
      <c r="BU203" s="1680">
        <f>+BU205*BU213</f>
        <v>61.6428031957211</v>
      </c>
      <c r="BV203" s="1680">
        <f>+BV205*BV213</f>
        <v>62.431195529303132</v>
      </c>
      <c r="BW203" s="1680">
        <f>+BW205*BW213</f>
        <v>64.607938743992207</v>
      </c>
      <c r="BX203" s="1324">
        <f>+SUM(BT203:BW203)</f>
        <v>248.74434982305726</v>
      </c>
      <c r="BY203" s="1669">
        <f>+BY205*BY213</f>
        <v>262.1685942188488</v>
      </c>
      <c r="BZ203" s="1669">
        <f>+BZ205*BZ213</f>
        <v>276.33827661464414</v>
      </c>
      <c r="CA203" s="1669">
        <f>+CA205*CA213</f>
        <v>289.34376515156185</v>
      </c>
      <c r="CF203" s="1487"/>
      <c r="CG203" s="1286"/>
      <c r="CH203" s="1286"/>
      <c r="CI203" s="1286"/>
      <c r="CJ203" s="1286"/>
      <c r="CK203" s="1286"/>
      <c r="CL203" s="1276"/>
      <c r="CM203" s="1610"/>
      <c r="CN203" s="1342"/>
      <c r="CO203" s="1342"/>
      <c r="CP203" s="1342"/>
      <c r="CQ203" s="1342"/>
      <c r="CR203" s="1342"/>
      <c r="CS203" s="1342"/>
      <c r="CT203" s="1277"/>
      <c r="CU203" s="1277"/>
      <c r="CV203" s="1277"/>
      <c r="CW203" s="1669"/>
      <c r="CX203" s="1669"/>
      <c r="CY203" s="1669"/>
      <c r="CZ203" s="1669"/>
      <c r="DA203" s="1669"/>
      <c r="DB203" s="1669"/>
    </row>
    <row r="204" spans="1:106" ht="11.25" customHeight="1">
      <c r="A204" s="1485" t="s">
        <v>294</v>
      </c>
      <c r="B204" s="1286"/>
      <c r="C204" s="1286"/>
      <c r="D204" s="1286"/>
      <c r="E204" s="1286"/>
      <c r="F204" s="1286"/>
      <c r="G204" s="1276"/>
      <c r="H204" s="1276"/>
      <c r="I204" s="1276"/>
      <c r="J204" s="1276"/>
      <c r="K204" s="1678"/>
      <c r="L204" s="1276"/>
      <c r="M204" s="1276"/>
      <c r="N204" s="1276"/>
      <c r="O204" s="1276"/>
      <c r="P204" s="1678"/>
      <c r="Q204" s="1276"/>
      <c r="R204" s="1276"/>
      <c r="S204" s="1276"/>
      <c r="T204" s="1276"/>
      <c r="U204" s="1678"/>
      <c r="V204" s="1276"/>
      <c r="W204" s="1276"/>
      <c r="X204" s="1276"/>
      <c r="Y204" s="1276"/>
      <c r="Z204" s="1678"/>
      <c r="AA204" s="1610"/>
      <c r="AB204" s="1610"/>
      <c r="AC204" s="1610"/>
      <c r="AD204" s="1610"/>
      <c r="AE204" s="1678"/>
      <c r="AF204" s="1276"/>
      <c r="AG204" s="1276"/>
      <c r="AH204" s="1276"/>
      <c r="AI204" s="1276"/>
      <c r="AJ204" s="1678"/>
      <c r="AK204" s="1276"/>
      <c r="AL204" s="1276"/>
      <c r="AM204" s="1276"/>
      <c r="AN204" s="1276"/>
      <c r="AO204" s="1678"/>
      <c r="AP204" s="1681">
        <f>+AP203/AK203-1</f>
        <v>-1.851851851851849E-2</v>
      </c>
      <c r="AQ204" s="1681">
        <f t="shared" ref="AQ204:BN204" si="264">+AQ203/AL203-1</f>
        <v>3.3613445378151363E-2</v>
      </c>
      <c r="AR204" s="1681">
        <f t="shared" si="264"/>
        <v>-8.54700854700855E-2</v>
      </c>
      <c r="AS204" s="1681">
        <f t="shared" si="264"/>
        <v>-2.3076923076923106E-2</v>
      </c>
      <c r="AT204" s="1682">
        <f t="shared" si="264"/>
        <v>6.521739130434856E-3</v>
      </c>
      <c r="AU204" s="1681">
        <f t="shared" si="264"/>
        <v>-8.4905660377358472E-2</v>
      </c>
      <c r="AV204" s="1681">
        <f t="shared" si="264"/>
        <v>-0.13821138211382111</v>
      </c>
      <c r="AW204" s="1681">
        <f t="shared" si="264"/>
        <v>2.8037383177569986E-2</v>
      </c>
      <c r="AX204" s="1681">
        <f t="shared" si="264"/>
        <v>-5.5118110236220486E-2</v>
      </c>
      <c r="AY204" s="1682">
        <f t="shared" si="264"/>
        <v>-6.4794816414686873E-2</v>
      </c>
      <c r="AZ204" s="1681">
        <f t="shared" si="264"/>
        <v>0.12371134020618557</v>
      </c>
      <c r="BA204" s="1681">
        <f t="shared" si="264"/>
        <v>5.6603773584905648E-2</v>
      </c>
      <c r="BB204" s="1681">
        <f t="shared" si="264"/>
        <v>6.3636363636363713E-2</v>
      </c>
      <c r="BC204" s="1681">
        <f t="shared" si="264"/>
        <v>5.8333333333333348E-2</v>
      </c>
      <c r="BD204" s="1682">
        <f t="shared" si="264"/>
        <v>7.390300230946889E-2</v>
      </c>
      <c r="BE204" s="1681">
        <f t="shared" si="264"/>
        <v>4.587155963302747E-2</v>
      </c>
      <c r="BF204" s="1681">
        <f t="shared" si="264"/>
        <v>1.7857142857142794E-2</v>
      </c>
      <c r="BG204" s="1681">
        <f t="shared" si="264"/>
        <v>-0.21367521367521369</v>
      </c>
      <c r="BH204" s="1681">
        <f t="shared" si="264"/>
        <v>-0.72440944881889768</v>
      </c>
      <c r="BI204" s="1682">
        <f t="shared" si="264"/>
        <v>-0.23655913978494625</v>
      </c>
      <c r="BJ204" s="1681">
        <f t="shared" si="264"/>
        <v>-0.53508771929824561</v>
      </c>
      <c r="BK204" s="1681">
        <f t="shared" si="264"/>
        <v>-0.48245614035087714</v>
      </c>
      <c r="BL204" s="1681">
        <f t="shared" si="264"/>
        <v>-0.65217391304347827</v>
      </c>
      <c r="BM204" s="1681">
        <f t="shared" si="264"/>
        <v>-2.8571428571428581E-2</v>
      </c>
      <c r="BN204" s="1682">
        <f t="shared" si="264"/>
        <v>-0.49859154929577465</v>
      </c>
      <c r="BO204" s="1681">
        <f t="shared" ref="BO204:BX204" si="265">+BO203/BJ203-1</f>
        <v>-0.56603773584905659</v>
      </c>
      <c r="BP204" s="1681">
        <f t="shared" si="265"/>
        <v>-1.4995254711092754E-2</v>
      </c>
      <c r="BQ204" s="1681">
        <f t="shared" si="265"/>
        <v>0.83921020004002878</v>
      </c>
      <c r="BR204" s="1681">
        <f t="shared" si="265"/>
        <v>0.79116442679656362</v>
      </c>
      <c r="BS204" s="1682">
        <f t="shared" si="265"/>
        <v>0.12848088137308755</v>
      </c>
      <c r="BT204" s="1681">
        <f t="shared" si="265"/>
        <v>1.6114092327843839</v>
      </c>
      <c r="BU204" s="1681">
        <f t="shared" si="265"/>
        <v>6.0698722012048734E-2</v>
      </c>
      <c r="BV204" s="1681">
        <f t="shared" si="265"/>
        <v>6.0767747073315226E-2</v>
      </c>
      <c r="BW204" s="1681">
        <f t="shared" si="265"/>
        <v>6.0892827058240506E-2</v>
      </c>
      <c r="BX204" s="1682">
        <f t="shared" si="265"/>
        <v>0.23833747705580954</v>
      </c>
      <c r="BY204" s="1678">
        <f>+BY203/BX203-1</f>
        <v>5.3968037486442633E-2</v>
      </c>
      <c r="BZ204" s="1678">
        <f>+BZ203/BY203-1</f>
        <v>5.4047977935782088E-2</v>
      </c>
      <c r="CA204" s="1678">
        <f>+CA203/BZ203-1</f>
        <v>4.7063652188342964E-2</v>
      </c>
      <c r="CF204" s="1487"/>
      <c r="CG204" s="1286"/>
      <c r="CH204" s="1286"/>
      <c r="CI204" s="1286"/>
      <c r="CJ204" s="1286"/>
      <c r="CK204" s="1286"/>
      <c r="CL204" s="1276"/>
      <c r="CM204" s="1610"/>
      <c r="CN204" s="1342"/>
      <c r="CO204" s="1342"/>
      <c r="CP204" s="1342"/>
      <c r="CQ204" s="1342"/>
      <c r="CR204" s="1342"/>
      <c r="CS204" s="1342"/>
      <c r="CT204" s="1277"/>
      <c r="CU204" s="1277"/>
      <c r="CV204" s="1277"/>
      <c r="CW204" s="1669"/>
      <c r="CX204" s="1669"/>
      <c r="CY204" s="1669"/>
      <c r="CZ204" s="1669"/>
      <c r="DA204" s="1669"/>
      <c r="DB204" s="1669"/>
    </row>
    <row r="205" spans="1:106" ht="11.25" customHeight="1">
      <c r="A205" s="1485" t="s">
        <v>330</v>
      </c>
      <c r="B205" s="1286"/>
      <c r="C205" s="1286"/>
      <c r="D205" s="1286"/>
      <c r="E205" s="1286"/>
      <c r="F205" s="1286"/>
      <c r="G205" s="1276"/>
      <c r="H205" s="1276"/>
      <c r="I205" s="1276"/>
      <c r="J205" s="1276"/>
      <c r="K205" s="1678"/>
      <c r="L205" s="1276"/>
      <c r="M205" s="1276"/>
      <c r="N205" s="1276"/>
      <c r="O205" s="1276"/>
      <c r="P205" s="1678"/>
      <c r="Q205" s="1276"/>
      <c r="R205" s="1276"/>
      <c r="S205" s="1276"/>
      <c r="T205" s="1276"/>
      <c r="U205" s="1678"/>
      <c r="V205" s="1276"/>
      <c r="W205" s="1276"/>
      <c r="X205" s="1276"/>
      <c r="Y205" s="1276"/>
      <c r="Z205" s="1678"/>
      <c r="AA205" s="1610"/>
      <c r="AB205" s="1610"/>
      <c r="AC205" s="1610"/>
      <c r="AD205" s="1610"/>
      <c r="AE205" s="1678"/>
      <c r="AF205" s="1276"/>
      <c r="AG205" s="1276"/>
      <c r="AH205" s="1276"/>
      <c r="AI205" s="1276"/>
      <c r="AJ205" s="1678"/>
      <c r="AK205" s="1681">
        <f t="shared" ref="AK205:BJ205" si="266">+AK203/AK213</f>
        <v>0.21301775147928995</v>
      </c>
      <c r="AL205" s="1681">
        <f t="shared" si="266"/>
        <v>0.23017408123791103</v>
      </c>
      <c r="AM205" s="1681">
        <f t="shared" si="266"/>
        <v>0.22370936902485661</v>
      </c>
      <c r="AN205" s="1681">
        <f t="shared" si="266"/>
        <v>0.23636363636363636</v>
      </c>
      <c r="AO205" s="1682">
        <f t="shared" si="266"/>
        <v>0.21936099189318073</v>
      </c>
      <c r="AP205" s="1681">
        <f t="shared" si="266"/>
        <v>0.20229007633587787</v>
      </c>
      <c r="AQ205" s="1681">
        <f t="shared" si="266"/>
        <v>0.22527472527472528</v>
      </c>
      <c r="AR205" s="1681">
        <f t="shared" si="266"/>
        <v>0.21146245059288538</v>
      </c>
      <c r="AS205" s="1681">
        <f t="shared" si="266"/>
        <v>0.2437619961612284</v>
      </c>
      <c r="AT205" s="1682">
        <f t="shared" si="266"/>
        <v>0.22079160705770148</v>
      </c>
      <c r="AU205" s="1681">
        <f t="shared" si="266"/>
        <v>0.189453125</v>
      </c>
      <c r="AV205" s="1681">
        <f t="shared" si="266"/>
        <v>0.20152091254752852</v>
      </c>
      <c r="AW205" s="1681">
        <f t="shared" si="266"/>
        <v>0.20446096654275092</v>
      </c>
      <c r="AX205" s="1681">
        <f t="shared" si="266"/>
        <v>0.21660649819494585</v>
      </c>
      <c r="AY205" s="1682">
        <f t="shared" si="266"/>
        <v>0.20328638497652582</v>
      </c>
      <c r="AZ205" s="1681">
        <f t="shared" si="266"/>
        <v>0.2</v>
      </c>
      <c r="BA205" s="1681">
        <f t="shared" si="266"/>
        <v>0.20071684587813621</v>
      </c>
      <c r="BB205" s="1681">
        <f t="shared" si="266"/>
        <v>0.19370860927152317</v>
      </c>
      <c r="BC205" s="1681">
        <f t="shared" si="266"/>
        <v>0.18983557548579971</v>
      </c>
      <c r="BD205" s="1682">
        <f t="shared" si="266"/>
        <v>0.19570707070707072</v>
      </c>
      <c r="BE205" s="1681">
        <f t="shared" si="266"/>
        <v>0.17246596066565809</v>
      </c>
      <c r="BF205" s="1681">
        <f t="shared" si="266"/>
        <v>0.16989567809239942</v>
      </c>
      <c r="BG205" s="1681">
        <f t="shared" si="266"/>
        <v>0.1398176291793313</v>
      </c>
      <c r="BH205" s="1681">
        <f t="shared" si="266"/>
        <v>5.8823529411764705E-2</v>
      </c>
      <c r="BI205" s="1682">
        <f t="shared" si="266"/>
        <v>0.13733075435203096</v>
      </c>
      <c r="BJ205" s="1681">
        <f t="shared" si="266"/>
        <v>8.9376053962900506E-2</v>
      </c>
      <c r="BK205" s="1681">
        <f>+BJ205</f>
        <v>8.9376053962900506E-2</v>
      </c>
      <c r="BL205" s="1681">
        <f>+BK205</f>
        <v>8.9376053962900506E-2</v>
      </c>
      <c r="BM205" s="1681">
        <f>+BL205</f>
        <v>8.9376053962900506E-2</v>
      </c>
      <c r="BN205" s="1682">
        <f>+BN203/BN213</f>
        <v>7.2623419012647905E-2</v>
      </c>
      <c r="BO205" s="1681">
        <f>+BJ205</f>
        <v>8.9376053962900506E-2</v>
      </c>
      <c r="BP205" s="1681">
        <f>+BK205</f>
        <v>8.9376053962900506E-2</v>
      </c>
      <c r="BQ205" s="1681">
        <f>+BL205</f>
        <v>8.9376053962900506E-2</v>
      </c>
      <c r="BR205" s="1681">
        <f>+BM205</f>
        <v>8.9376053962900506E-2</v>
      </c>
      <c r="BS205" s="1682">
        <f>+BS203/BS213</f>
        <v>7.6576423346408767E-2</v>
      </c>
      <c r="BT205" s="1681">
        <f>+BO205</f>
        <v>8.9376053962900506E-2</v>
      </c>
      <c r="BU205" s="1681">
        <f>+BP205</f>
        <v>8.9376053962900506E-2</v>
      </c>
      <c r="BV205" s="1681">
        <f>+BQ205</f>
        <v>8.9376053962900506E-2</v>
      </c>
      <c r="BW205" s="1681">
        <f>+BR205</f>
        <v>8.9376053962900506E-2</v>
      </c>
      <c r="BX205" s="1682">
        <f>+BX203/BX213</f>
        <v>8.9376053962900492E-2</v>
      </c>
      <c r="BY205" s="1682">
        <f>+BX205</f>
        <v>8.9376053962900492E-2</v>
      </c>
      <c r="BZ205" s="1682">
        <f>+BY205</f>
        <v>8.9376053962900492E-2</v>
      </c>
      <c r="CA205" s="1682">
        <f>+BZ205</f>
        <v>8.9376053962900492E-2</v>
      </c>
      <c r="CF205" s="1487"/>
      <c r="CG205" s="1286"/>
      <c r="CH205" s="1286"/>
      <c r="CI205" s="1286"/>
      <c r="CJ205" s="1286"/>
      <c r="CK205" s="1286"/>
      <c r="CL205" s="1276"/>
      <c r="CM205" s="1610"/>
      <c r="CN205" s="1342"/>
      <c r="CO205" s="1342"/>
      <c r="CP205" s="1342"/>
      <c r="CQ205" s="1342"/>
      <c r="CR205" s="1342"/>
      <c r="CS205" s="1342"/>
      <c r="CT205" s="1277"/>
      <c r="CU205" s="1277"/>
      <c r="CV205" s="1277"/>
      <c r="CW205" s="1669"/>
      <c r="CX205" s="1669"/>
      <c r="CY205" s="1669"/>
      <c r="CZ205" s="1669"/>
      <c r="DA205" s="1669"/>
      <c r="DB205" s="1669"/>
    </row>
    <row r="206" spans="1:106" ht="11.25" customHeight="1">
      <c r="A206" s="1485"/>
      <c r="B206" s="1286"/>
      <c r="C206" s="1286"/>
      <c r="D206" s="1286"/>
      <c r="E206" s="1286"/>
      <c r="F206" s="1286"/>
      <c r="G206" s="1276"/>
      <c r="H206" s="1276"/>
      <c r="I206" s="1276"/>
      <c r="J206" s="1276"/>
      <c r="K206" s="1678"/>
      <c r="L206" s="1276"/>
      <c r="M206" s="1276"/>
      <c r="N206" s="1276"/>
      <c r="O206" s="1276"/>
      <c r="P206" s="1678"/>
      <c r="Q206" s="1276"/>
      <c r="R206" s="1276"/>
      <c r="S206" s="1276"/>
      <c r="T206" s="1276"/>
      <c r="U206" s="1678"/>
      <c r="V206" s="1276"/>
      <c r="W206" s="1276"/>
      <c r="X206" s="1276"/>
      <c r="Y206" s="1276"/>
      <c r="Z206" s="1678"/>
      <c r="AA206" s="1610"/>
      <c r="AB206" s="1610"/>
      <c r="AC206" s="1610"/>
      <c r="AD206" s="1610"/>
      <c r="AE206" s="1678"/>
      <c r="AF206" s="1276"/>
      <c r="AG206" s="1276"/>
      <c r="AH206" s="1276"/>
      <c r="AI206" s="1276"/>
      <c r="AJ206" s="1678"/>
      <c r="AK206" s="1276"/>
      <c r="AL206" s="1276"/>
      <c r="AM206" s="1276"/>
      <c r="AN206" s="1276"/>
      <c r="AO206" s="1678"/>
      <c r="AP206" s="1276"/>
      <c r="AQ206" s="1276"/>
      <c r="AR206" s="1276"/>
      <c r="AS206" s="1276"/>
      <c r="AT206" s="1678"/>
      <c r="AU206" s="1276"/>
      <c r="AV206" s="1276"/>
      <c r="AW206" s="1276"/>
      <c r="AX206" s="1276"/>
      <c r="AY206" s="1678"/>
      <c r="AZ206" s="1276"/>
      <c r="BA206" s="1276"/>
      <c r="BB206" s="1276"/>
      <c r="BC206" s="1276"/>
      <c r="BD206" s="1678"/>
      <c r="BE206" s="1276"/>
      <c r="BF206" s="1276"/>
      <c r="BG206" s="1276"/>
      <c r="BH206" s="1276"/>
      <c r="BI206" s="1678"/>
      <c r="BJ206" s="1276"/>
      <c r="BK206" s="1276"/>
      <c r="BL206" s="1276"/>
      <c r="BM206" s="1276"/>
      <c r="BN206" s="1678"/>
      <c r="BO206" s="1276"/>
      <c r="BP206" s="1276"/>
      <c r="BQ206" s="1276"/>
      <c r="BR206" s="1276"/>
      <c r="BS206" s="1678"/>
      <c r="BT206" s="1276"/>
      <c r="BU206" s="1276"/>
      <c r="BV206" s="1276"/>
      <c r="BW206" s="1276"/>
      <c r="BX206" s="1678"/>
      <c r="BY206" s="1678"/>
      <c r="BZ206" s="1678"/>
      <c r="CA206" s="1678"/>
      <c r="CF206" s="1487"/>
      <c r="CG206" s="1286"/>
      <c r="CH206" s="1286"/>
      <c r="CI206" s="1286"/>
      <c r="CJ206" s="1286"/>
      <c r="CK206" s="1286"/>
      <c r="CL206" s="1276"/>
      <c r="CM206" s="1610"/>
      <c r="CN206" s="1342"/>
      <c r="CO206" s="1342"/>
      <c r="CP206" s="1342"/>
      <c r="CQ206" s="1342"/>
      <c r="CR206" s="1342"/>
      <c r="CS206" s="1342"/>
      <c r="CT206" s="1277"/>
      <c r="CU206" s="1277"/>
      <c r="CV206" s="1277"/>
      <c r="CW206" s="1669"/>
      <c r="CX206" s="1669"/>
      <c r="CY206" s="1669"/>
      <c r="CZ206" s="1669"/>
      <c r="DA206" s="1669"/>
      <c r="DB206" s="1669"/>
    </row>
    <row r="207" spans="1:106" ht="11.25" customHeight="1">
      <c r="A207" s="762" t="s">
        <v>334</v>
      </c>
      <c r="B207" s="1286"/>
      <c r="C207" s="1286"/>
      <c r="D207" s="1286"/>
      <c r="E207" s="1286"/>
      <c r="F207" s="1286"/>
      <c r="G207" s="1276"/>
      <c r="H207" s="1276"/>
      <c r="I207" s="1276"/>
      <c r="J207" s="1276"/>
      <c r="K207" s="1678"/>
      <c r="L207" s="1276"/>
      <c r="M207" s="1276"/>
      <c r="N207" s="1276"/>
      <c r="O207" s="1276"/>
      <c r="P207" s="1678"/>
      <c r="Q207" s="1276"/>
      <c r="R207" s="1276"/>
      <c r="S207" s="1276"/>
      <c r="T207" s="1276"/>
      <c r="U207" s="1678"/>
      <c r="V207" s="1276"/>
      <c r="W207" s="1276"/>
      <c r="X207" s="1276"/>
      <c r="Y207" s="1276"/>
      <c r="Z207" s="1678"/>
      <c r="AA207" s="1610"/>
      <c r="AB207" s="1610"/>
      <c r="AC207" s="1610"/>
      <c r="AD207" s="1610"/>
      <c r="AE207" s="1678"/>
      <c r="AF207" s="1276"/>
      <c r="AG207" s="1276"/>
      <c r="AH207" s="1276"/>
      <c r="AI207" s="1276"/>
      <c r="AJ207" s="1678"/>
      <c r="AK207" s="1679">
        <f t="shared" ref="AK207:BG207" si="267">+AK239+AK380</f>
        <v>399</v>
      </c>
      <c r="AL207" s="1679">
        <f t="shared" si="267"/>
        <v>398</v>
      </c>
      <c r="AM207" s="1679">
        <f t="shared" si="267"/>
        <v>406</v>
      </c>
      <c r="AN207" s="1679">
        <f t="shared" si="267"/>
        <v>420</v>
      </c>
      <c r="AO207" s="1324">
        <f t="shared" si="267"/>
        <v>1638</v>
      </c>
      <c r="AP207" s="1679">
        <f t="shared" si="267"/>
        <v>418</v>
      </c>
      <c r="AQ207" s="1679">
        <f t="shared" si="267"/>
        <v>423</v>
      </c>
      <c r="AR207" s="1679">
        <f t="shared" si="267"/>
        <v>399</v>
      </c>
      <c r="AS207" s="1679">
        <f t="shared" si="267"/>
        <v>438</v>
      </c>
      <c r="AT207" s="1324">
        <f t="shared" si="267"/>
        <v>1678</v>
      </c>
      <c r="AU207" s="1679">
        <f t="shared" si="267"/>
        <v>415</v>
      </c>
      <c r="AV207" s="1679">
        <f t="shared" si="267"/>
        <v>420</v>
      </c>
      <c r="AW207" s="1679">
        <f t="shared" si="267"/>
        <v>428</v>
      </c>
      <c r="AX207" s="1679">
        <f t="shared" si="267"/>
        <v>434</v>
      </c>
      <c r="AY207" s="1324">
        <f t="shared" si="267"/>
        <v>1697</v>
      </c>
      <c r="AZ207" s="1679">
        <f t="shared" si="267"/>
        <v>436</v>
      </c>
      <c r="BA207" s="1679">
        <f t="shared" si="267"/>
        <v>446</v>
      </c>
      <c r="BB207" s="1679">
        <f t="shared" si="267"/>
        <v>487</v>
      </c>
      <c r="BC207" s="1679">
        <f t="shared" si="267"/>
        <v>542</v>
      </c>
      <c r="BD207" s="1324">
        <f t="shared" si="267"/>
        <v>1911</v>
      </c>
      <c r="BE207" s="1679">
        <f t="shared" si="267"/>
        <v>547</v>
      </c>
      <c r="BF207" s="1679">
        <f t="shared" si="267"/>
        <v>557</v>
      </c>
      <c r="BG207" s="1679">
        <f t="shared" si="267"/>
        <v>566</v>
      </c>
      <c r="BH207" s="2100">
        <v>560</v>
      </c>
      <c r="BI207" s="1324">
        <f>+SUM(BE207:BH207)</f>
        <v>2230</v>
      </c>
      <c r="BJ207" s="2098">
        <v>540</v>
      </c>
      <c r="BK207" s="2097">
        <v>547</v>
      </c>
      <c r="BL207" s="2117">
        <v>583</v>
      </c>
      <c r="BM207" s="2117">
        <v>603</v>
      </c>
      <c r="BN207" s="1324">
        <f>+SUM(BJ207:BM207)</f>
        <v>2273</v>
      </c>
      <c r="BO207" s="2117">
        <f>BO239+BO380</f>
        <v>610</v>
      </c>
      <c r="BP207" s="1680">
        <f>+BP209*BP213</f>
        <v>592.11794688499219</v>
      </c>
      <c r="BQ207" s="1680">
        <f>+BQ209*BQ213</f>
        <v>599.65192937154143</v>
      </c>
      <c r="BR207" s="1680">
        <f>+BR209*BR213</f>
        <v>620.4863938865077</v>
      </c>
      <c r="BS207" s="1324">
        <f>+SUM(BO207:BR207)</f>
        <v>2422.2562701430415</v>
      </c>
      <c r="BT207" s="1680">
        <f>+BT209*BT213</f>
        <v>611.95665417324619</v>
      </c>
      <c r="BU207" s="1680">
        <f>+BU209*BU213</f>
        <v>628.05874954130934</v>
      </c>
      <c r="BV207" s="1680">
        <f>+BV209*BV213</f>
        <v>636.09142614761686</v>
      </c>
      <c r="BW207" s="1680">
        <f>+BW209*BW213</f>
        <v>658.26956456143</v>
      </c>
      <c r="BX207" s="1324">
        <f>+SUM(BT207:BW207)</f>
        <v>2534.3763944236025</v>
      </c>
      <c r="BY207" s="1324">
        <f>+BY209*BY213</f>
        <v>2671.1517146826109</v>
      </c>
      <c r="BZ207" s="1324">
        <f>+BZ209*BZ213</f>
        <v>2815.5220636209028</v>
      </c>
      <c r="CA207" s="1324">
        <f>+CA209*CA213</f>
        <v>2948.0308147517626</v>
      </c>
      <c r="CF207" s="1487"/>
      <c r="CG207" s="1286"/>
      <c r="CH207" s="1286"/>
      <c r="CI207" s="1286"/>
      <c r="CJ207" s="1286"/>
      <c r="CK207" s="1286"/>
      <c r="CL207" s="1276"/>
      <c r="CM207" s="1610"/>
      <c r="CN207" s="1342"/>
      <c r="CO207" s="1342"/>
      <c r="CP207" s="1342"/>
      <c r="CQ207" s="1342"/>
      <c r="CR207" s="1342"/>
      <c r="CS207" s="1342"/>
      <c r="CT207" s="1277"/>
      <c r="CU207" s="1277"/>
      <c r="CV207" s="1277"/>
      <c r="CW207" s="1669"/>
      <c r="CX207" s="1669"/>
      <c r="CY207" s="1669"/>
      <c r="CZ207" s="1669"/>
      <c r="DA207" s="1669"/>
      <c r="DB207" s="1669"/>
    </row>
    <row r="208" spans="1:106" ht="11.25" customHeight="1">
      <c r="A208" s="1485" t="s">
        <v>294</v>
      </c>
      <c r="B208" s="1286"/>
      <c r="C208" s="1286"/>
      <c r="D208" s="1286"/>
      <c r="E208" s="1286"/>
      <c r="F208" s="1286"/>
      <c r="G208" s="1276"/>
      <c r="H208" s="1276"/>
      <c r="I208" s="1276"/>
      <c r="J208" s="1276"/>
      <c r="K208" s="1678"/>
      <c r="L208" s="1276"/>
      <c r="M208" s="1276"/>
      <c r="N208" s="1276"/>
      <c r="O208" s="1276"/>
      <c r="P208" s="1678"/>
      <c r="Q208" s="1276"/>
      <c r="R208" s="1276"/>
      <c r="S208" s="1276"/>
      <c r="T208" s="1276"/>
      <c r="U208" s="1678"/>
      <c r="V208" s="1276"/>
      <c r="W208" s="1276"/>
      <c r="X208" s="1276"/>
      <c r="Y208" s="1276"/>
      <c r="Z208" s="1678"/>
      <c r="AA208" s="1610"/>
      <c r="AB208" s="1610"/>
      <c r="AC208" s="1610"/>
      <c r="AD208" s="1610"/>
      <c r="AE208" s="1678"/>
      <c r="AF208" s="1276"/>
      <c r="AG208" s="1276"/>
      <c r="AH208" s="1276"/>
      <c r="AI208" s="1276"/>
      <c r="AJ208" s="1678"/>
      <c r="AK208" s="1276"/>
      <c r="AL208" s="1276"/>
      <c r="AM208" s="1276"/>
      <c r="AN208" s="1276"/>
      <c r="AO208" s="1678"/>
      <c r="AP208" s="1681">
        <f t="shared" ref="AP208:BS208" si="268">+AP207/AK207-1</f>
        <v>4.7619047619047672E-2</v>
      </c>
      <c r="AQ208" s="1681">
        <f t="shared" si="268"/>
        <v>6.2814070351758788E-2</v>
      </c>
      <c r="AR208" s="1681">
        <f t="shared" si="268"/>
        <v>-1.7241379310344862E-2</v>
      </c>
      <c r="AS208" s="1681">
        <f t="shared" si="268"/>
        <v>4.2857142857142927E-2</v>
      </c>
      <c r="AT208" s="1682">
        <f t="shared" si="268"/>
        <v>2.4420024420024333E-2</v>
      </c>
      <c r="AU208" s="1681">
        <f t="shared" si="268"/>
        <v>-7.1770334928229484E-3</v>
      </c>
      <c r="AV208" s="1681">
        <f t="shared" si="268"/>
        <v>-7.0921985815602939E-3</v>
      </c>
      <c r="AW208" s="1681">
        <f t="shared" si="268"/>
        <v>7.268170426065157E-2</v>
      </c>
      <c r="AX208" s="1681">
        <f t="shared" si="268"/>
        <v>-9.1324200913242004E-3</v>
      </c>
      <c r="AY208" s="1682">
        <f t="shared" si="268"/>
        <v>1.1323003575685275E-2</v>
      </c>
      <c r="AZ208" s="1681">
        <f t="shared" si="268"/>
        <v>5.0602409638554224E-2</v>
      </c>
      <c r="BA208" s="1681">
        <f t="shared" si="268"/>
        <v>6.1904761904761907E-2</v>
      </c>
      <c r="BB208" s="1681">
        <f t="shared" si="268"/>
        <v>0.13785046728971961</v>
      </c>
      <c r="BC208" s="1681">
        <f t="shared" si="268"/>
        <v>0.24884792626728114</v>
      </c>
      <c r="BD208" s="1682">
        <f t="shared" si="268"/>
        <v>0.12610489098408961</v>
      </c>
      <c r="BE208" s="1681">
        <f t="shared" si="268"/>
        <v>0.25458715596330284</v>
      </c>
      <c r="BF208" s="1681">
        <f t="shared" si="268"/>
        <v>0.24887892376681608</v>
      </c>
      <c r="BG208" s="1681">
        <f t="shared" si="268"/>
        <v>0.16221765913757702</v>
      </c>
      <c r="BH208" s="1681">
        <f t="shared" si="268"/>
        <v>3.3210332103321027E-2</v>
      </c>
      <c r="BI208" s="1682">
        <f t="shared" si="268"/>
        <v>0.16692830978545259</v>
      </c>
      <c r="BJ208" s="1681">
        <f t="shared" si="268"/>
        <v>-1.2797074954296161E-2</v>
      </c>
      <c r="BK208" s="1681">
        <f t="shared" si="268"/>
        <v>-1.7953321364452379E-2</v>
      </c>
      <c r="BL208" s="1681">
        <f t="shared" si="268"/>
        <v>3.0035335689045928E-2</v>
      </c>
      <c r="BM208" s="1681">
        <f t="shared" si="268"/>
        <v>7.6785714285714235E-2</v>
      </c>
      <c r="BN208" s="1682">
        <f t="shared" si="268"/>
        <v>1.928251121076241E-2</v>
      </c>
      <c r="BO208" s="1681">
        <f t="shared" si="268"/>
        <v>0.12962962962962954</v>
      </c>
      <c r="BP208" s="1681">
        <f t="shared" si="268"/>
        <v>8.2482535438742621E-2</v>
      </c>
      <c r="BQ208" s="1681">
        <f t="shared" si="268"/>
        <v>2.8562486057532421E-2</v>
      </c>
      <c r="BR208" s="1681">
        <f t="shared" si="268"/>
        <v>2.8998994836662906E-2</v>
      </c>
      <c r="BS208" s="1682">
        <f t="shared" si="268"/>
        <v>6.5664879077449001E-2</v>
      </c>
      <c r="BT208" s="1681">
        <f t="shared" ref="BT208" si="269">+BT207/BO207-1</f>
        <v>3.2076297922067898E-3</v>
      </c>
      <c r="BU208" s="1681">
        <f t="shared" ref="BU208" si="270">+BU207/BP207-1</f>
        <v>6.0698722012048734E-2</v>
      </c>
      <c r="BV208" s="1681">
        <f t="shared" ref="BV208" si="271">+BV207/BQ207-1</f>
        <v>6.0767747073315448E-2</v>
      </c>
      <c r="BW208" s="1681">
        <f t="shared" ref="BW208" si="272">+BW207/BR207-1</f>
        <v>6.0892827058240284E-2</v>
      </c>
      <c r="BX208" s="1682">
        <f t="shared" ref="BX208" si="273">+BX207/BS207-1</f>
        <v>4.6287474063980927E-2</v>
      </c>
      <c r="BY208" s="1682">
        <f>+BY207/BX207-1</f>
        <v>5.3968037486442633E-2</v>
      </c>
      <c r="BZ208" s="1682">
        <f>+BZ207/BY207-1</f>
        <v>5.4047977935782088E-2</v>
      </c>
      <c r="CA208" s="1682">
        <f>+CA207/BZ207-1</f>
        <v>4.7063652188342964E-2</v>
      </c>
      <c r="CF208" s="1487"/>
      <c r="CG208" s="1286"/>
      <c r="CH208" s="1286"/>
      <c r="CI208" s="1286"/>
      <c r="CJ208" s="1286"/>
      <c r="CK208" s="1286"/>
      <c r="CL208" s="1276"/>
      <c r="CM208" s="1610"/>
      <c r="CN208" s="1342"/>
      <c r="CO208" s="1342"/>
      <c r="CP208" s="1342"/>
      <c r="CQ208" s="1342"/>
      <c r="CR208" s="1342"/>
      <c r="CS208" s="1342"/>
      <c r="CT208" s="1277"/>
      <c r="CU208" s="1277"/>
      <c r="CV208" s="1277"/>
      <c r="CW208" s="1669"/>
      <c r="CX208" s="1669"/>
      <c r="CY208" s="1669"/>
      <c r="CZ208" s="1669"/>
      <c r="DA208" s="1669"/>
      <c r="DB208" s="1669"/>
    </row>
    <row r="209" spans="1:106" ht="11.25" customHeight="1">
      <c r="A209" s="1485" t="s">
        <v>330</v>
      </c>
      <c r="B209" s="1286"/>
      <c r="C209" s="1286"/>
      <c r="D209" s="1286"/>
      <c r="E209" s="1286"/>
      <c r="F209" s="1286"/>
      <c r="G209" s="1276"/>
      <c r="H209" s="1276"/>
      <c r="I209" s="1276"/>
      <c r="J209" s="1276"/>
      <c r="K209" s="1678"/>
      <c r="L209" s="1276"/>
      <c r="M209" s="1276"/>
      <c r="N209" s="1276"/>
      <c r="O209" s="1276"/>
      <c r="P209" s="1678"/>
      <c r="Q209" s="1276"/>
      <c r="R209" s="1276"/>
      <c r="S209" s="1276"/>
      <c r="T209" s="1276"/>
      <c r="U209" s="1678"/>
      <c r="V209" s="1276"/>
      <c r="W209" s="1276"/>
      <c r="X209" s="1276"/>
      <c r="Y209" s="1276"/>
      <c r="Z209" s="1678"/>
      <c r="AA209" s="1610"/>
      <c r="AB209" s="1610"/>
      <c r="AC209" s="1610"/>
      <c r="AD209" s="1610"/>
      <c r="AE209" s="1678"/>
      <c r="AF209" s="1276"/>
      <c r="AG209" s="1276"/>
      <c r="AH209" s="1276"/>
      <c r="AI209" s="1276"/>
      <c r="AJ209" s="1678"/>
      <c r="AK209" s="1681">
        <f t="shared" ref="AK209:BJ209" si="274">+AK207/AK213</f>
        <v>0.78698224852071008</v>
      </c>
      <c r="AL209" s="1681">
        <f t="shared" si="274"/>
        <v>0.76982591876208895</v>
      </c>
      <c r="AM209" s="1681">
        <f t="shared" si="274"/>
        <v>0.77629063097514339</v>
      </c>
      <c r="AN209" s="1681">
        <f t="shared" si="274"/>
        <v>0.76363636363636367</v>
      </c>
      <c r="AO209" s="1682">
        <f t="shared" si="274"/>
        <v>0.7811158798283262</v>
      </c>
      <c r="AP209" s="1681">
        <f t="shared" si="274"/>
        <v>0.79770992366412219</v>
      </c>
      <c r="AQ209" s="1681">
        <f t="shared" si="274"/>
        <v>0.77472527472527475</v>
      </c>
      <c r="AR209" s="1681">
        <f t="shared" si="274"/>
        <v>0.78853754940711462</v>
      </c>
      <c r="AS209" s="1681">
        <f t="shared" si="274"/>
        <v>0.84069097888675626</v>
      </c>
      <c r="AT209" s="1682">
        <f t="shared" si="274"/>
        <v>0.80019074868860274</v>
      </c>
      <c r="AU209" s="1681">
        <f t="shared" si="274"/>
        <v>0.810546875</v>
      </c>
      <c r="AV209" s="1681">
        <f t="shared" si="274"/>
        <v>0.79847908745247154</v>
      </c>
      <c r="AW209" s="1681">
        <f t="shared" si="274"/>
        <v>0.79553903345724908</v>
      </c>
      <c r="AX209" s="1681">
        <f t="shared" si="274"/>
        <v>0.78339350180505418</v>
      </c>
      <c r="AY209" s="1682">
        <f t="shared" si="274"/>
        <v>0.79671361502347415</v>
      </c>
      <c r="AZ209" s="1681">
        <f t="shared" si="274"/>
        <v>0.8</v>
      </c>
      <c r="BA209" s="1681">
        <f t="shared" si="274"/>
        <v>0.79928315412186379</v>
      </c>
      <c r="BB209" s="1681">
        <f t="shared" si="274"/>
        <v>0.80629139072847678</v>
      </c>
      <c r="BC209" s="1681">
        <f t="shared" si="274"/>
        <v>0.81016442451420034</v>
      </c>
      <c r="BD209" s="1682">
        <f t="shared" si="274"/>
        <v>0.80429292929292928</v>
      </c>
      <c r="BE209" s="1681">
        <f t="shared" si="274"/>
        <v>0.82753403933434189</v>
      </c>
      <c r="BF209" s="1681">
        <f t="shared" si="274"/>
        <v>0.83010432190760064</v>
      </c>
      <c r="BG209" s="1681">
        <f t="shared" si="274"/>
        <v>0.86018237082066873</v>
      </c>
      <c r="BH209" s="1681">
        <f t="shared" si="274"/>
        <v>0.94117647058823528</v>
      </c>
      <c r="BI209" s="1682">
        <f t="shared" si="274"/>
        <v>0.8626692456479691</v>
      </c>
      <c r="BJ209" s="1681">
        <f t="shared" si="274"/>
        <v>0.91062394603709951</v>
      </c>
      <c r="BK209" s="1681">
        <f>1-BK205</f>
        <v>0.91062394603709951</v>
      </c>
      <c r="BL209" s="1681">
        <f>1-BL205</f>
        <v>0.91062394603709951</v>
      </c>
      <c r="BM209" s="1681">
        <f>1-BM205</f>
        <v>0.91062394603709951</v>
      </c>
      <c r="BN209" s="1682">
        <f>+BN207/BN213</f>
        <v>0.92737658098735209</v>
      </c>
      <c r="BO209" s="1681">
        <f>1-BO205</f>
        <v>0.91062394603709951</v>
      </c>
      <c r="BP209" s="1681">
        <f>1-BP205</f>
        <v>0.91062394603709951</v>
      </c>
      <c r="BQ209" s="1681">
        <f>1-BQ205</f>
        <v>0.91062394603709951</v>
      </c>
      <c r="BR209" s="1681">
        <f>1-BR205</f>
        <v>0.91062394603709951</v>
      </c>
      <c r="BS209" s="1682">
        <f>+BS207/BS213</f>
        <v>0.92342357665359143</v>
      </c>
      <c r="BT209" s="1681">
        <f>1-BT205</f>
        <v>0.91062394603709951</v>
      </c>
      <c r="BU209" s="1681">
        <f>1-BU205</f>
        <v>0.91062394603709951</v>
      </c>
      <c r="BV209" s="1681">
        <f>1-BV205</f>
        <v>0.91062394603709951</v>
      </c>
      <c r="BW209" s="1681">
        <f>1-BW205</f>
        <v>0.91062394603709951</v>
      </c>
      <c r="BX209" s="1682">
        <f>+BX207/BX213</f>
        <v>0.91062394603709951</v>
      </c>
      <c r="BY209" s="1682">
        <f>1-BY205</f>
        <v>0.91062394603709951</v>
      </c>
      <c r="BZ209" s="1682">
        <f>1-BZ205</f>
        <v>0.91062394603709951</v>
      </c>
      <c r="CA209" s="1682">
        <f>1-CA205</f>
        <v>0.91062394603709951</v>
      </c>
      <c r="CF209" s="1487"/>
      <c r="CG209" s="1286"/>
      <c r="CH209" s="1286"/>
      <c r="CI209" s="1286"/>
      <c r="CJ209" s="1286"/>
      <c r="CK209" s="1286"/>
      <c r="CL209" s="1276"/>
      <c r="CM209" s="1610"/>
      <c r="CN209" s="1342"/>
      <c r="CO209" s="1342"/>
      <c r="CP209" s="1342"/>
      <c r="CQ209" s="1342"/>
      <c r="CR209" s="1342"/>
      <c r="CS209" s="1342"/>
      <c r="CT209" s="1277"/>
      <c r="CU209" s="1277"/>
      <c r="CV209" s="1277"/>
      <c r="CW209" s="1669"/>
      <c r="CX209" s="1669"/>
      <c r="CY209" s="1669"/>
      <c r="CZ209" s="1669"/>
      <c r="DA209" s="1669"/>
      <c r="DB209" s="1669"/>
    </row>
    <row r="210" spans="1:106" ht="11.25" customHeight="1">
      <c r="A210" s="1646"/>
      <c r="B210" s="1286"/>
      <c r="C210" s="1286"/>
      <c r="D210" s="1286"/>
      <c r="E210" s="1286"/>
      <c r="F210" s="1286"/>
      <c r="G210" s="1276"/>
      <c r="H210" s="1276"/>
      <c r="I210" s="1276"/>
      <c r="J210" s="1276"/>
      <c r="K210" s="1678"/>
      <c r="L210" s="1276"/>
      <c r="M210" s="1276"/>
      <c r="N210" s="1276"/>
      <c r="O210" s="1276"/>
      <c r="P210" s="1678"/>
      <c r="Q210" s="1276"/>
      <c r="R210" s="1276"/>
      <c r="S210" s="1276"/>
      <c r="T210" s="1276"/>
      <c r="U210" s="1678"/>
      <c r="V210" s="1276"/>
      <c r="W210" s="1276"/>
      <c r="X210" s="1276"/>
      <c r="Y210" s="1276"/>
      <c r="Z210" s="1678"/>
      <c r="AA210" s="1610"/>
      <c r="AB210" s="1610"/>
      <c r="AC210" s="1610"/>
      <c r="AD210" s="1610"/>
      <c r="AE210" s="1678"/>
      <c r="AF210" s="1276"/>
      <c r="AG210" s="1276"/>
      <c r="AH210" s="1276"/>
      <c r="AI210" s="1276"/>
      <c r="AJ210" s="1678"/>
      <c r="AK210" s="1276"/>
      <c r="AL210" s="1276"/>
      <c r="AM210" s="1276"/>
      <c r="AN210" s="1276"/>
      <c r="AO210" s="1678"/>
      <c r="AP210" s="1276"/>
      <c r="AQ210" s="1276"/>
      <c r="AR210" s="1276"/>
      <c r="AS210" s="1276"/>
      <c r="AT210" s="1678"/>
      <c r="AU210" s="1276"/>
      <c r="AV210" s="1276"/>
      <c r="AW210" s="1276"/>
      <c r="AX210" s="1276"/>
      <c r="AY210" s="1678"/>
      <c r="AZ210" s="1276"/>
      <c r="BA210" s="1276"/>
      <c r="BB210" s="1276"/>
      <c r="BC210" s="1276"/>
      <c r="BD210" s="1678"/>
      <c r="BE210" s="1276"/>
      <c r="BF210" s="1276"/>
      <c r="BG210" s="1276"/>
      <c r="BH210" s="1276"/>
      <c r="BI210" s="1678"/>
      <c r="BJ210" s="1276"/>
      <c r="BK210" s="1276"/>
      <c r="BL210" s="1276"/>
      <c r="BM210" s="1276"/>
      <c r="BN210" s="1678"/>
      <c r="BO210" s="1276"/>
      <c r="BP210" s="1276"/>
      <c r="BQ210" s="1276"/>
      <c r="BR210" s="1276"/>
      <c r="BS210" s="1678"/>
      <c r="BT210" s="1276"/>
      <c r="BU210" s="1276"/>
      <c r="BV210" s="1276"/>
      <c r="BW210" s="1276"/>
      <c r="BX210" s="1678"/>
      <c r="BY210" s="1678"/>
      <c r="BZ210" s="1678"/>
      <c r="CA210" s="1678"/>
      <c r="CF210" s="1487"/>
      <c r="CG210" s="1286"/>
      <c r="CH210" s="1286"/>
      <c r="CI210" s="1286"/>
      <c r="CJ210" s="1286"/>
      <c r="CK210" s="1286"/>
      <c r="CL210" s="1276"/>
      <c r="CM210" s="1610"/>
      <c r="CN210" s="1342"/>
      <c r="CO210" s="1342"/>
      <c r="CP210" s="1342"/>
      <c r="CQ210" s="1342"/>
      <c r="CR210" s="1342"/>
      <c r="CS210" s="1342"/>
      <c r="CT210" s="1277"/>
      <c r="CU210" s="1277"/>
      <c r="CV210" s="1277"/>
      <c r="CW210" s="1669"/>
      <c r="CX210" s="1669"/>
      <c r="CY210" s="1669"/>
      <c r="CZ210" s="1669"/>
      <c r="DA210" s="1669"/>
      <c r="DB210" s="1669"/>
    </row>
    <row r="211" spans="1:106" ht="11.25" customHeight="1">
      <c r="A211" s="784" t="s">
        <v>303</v>
      </c>
      <c r="B211" s="1286"/>
      <c r="C211" s="1286"/>
      <c r="D211" s="1286"/>
      <c r="E211" s="1286"/>
      <c r="F211" s="1286"/>
      <c r="G211" s="1276"/>
      <c r="H211" s="1276"/>
      <c r="I211" s="1276"/>
      <c r="J211" s="1276"/>
      <c r="K211" s="1678"/>
      <c r="L211" s="1276"/>
      <c r="M211" s="1276"/>
      <c r="N211" s="1276"/>
      <c r="O211" s="1276"/>
      <c r="P211" s="1678"/>
      <c r="Q211" s="1276"/>
      <c r="R211" s="1276"/>
      <c r="S211" s="1276"/>
      <c r="T211" s="1276"/>
      <c r="U211" s="1678"/>
      <c r="V211" s="1276"/>
      <c r="W211" s="1276"/>
      <c r="X211" s="1276"/>
      <c r="Y211" s="1276"/>
      <c r="Z211" s="1678"/>
      <c r="AA211" s="1610"/>
      <c r="AB211" s="1610"/>
      <c r="AC211" s="1610"/>
      <c r="AD211" s="1610"/>
      <c r="AE211" s="1678"/>
      <c r="AF211" s="1276"/>
      <c r="AG211" s="1276"/>
      <c r="AH211" s="1276"/>
      <c r="AI211" s="1276"/>
      <c r="AJ211" s="1678"/>
      <c r="AK211" s="1276"/>
      <c r="AL211" s="1276"/>
      <c r="AM211" s="1276"/>
      <c r="AN211" s="1276"/>
      <c r="AO211" s="1678"/>
      <c r="AP211" s="1276"/>
      <c r="AQ211" s="1276"/>
      <c r="AR211" s="1276"/>
      <c r="AS211" s="1276"/>
      <c r="AT211" s="1678"/>
      <c r="AU211" s="1276"/>
      <c r="AV211" s="1276"/>
      <c r="AW211" s="1276"/>
      <c r="AX211" s="1276"/>
      <c r="AY211" s="1678"/>
      <c r="AZ211" s="1276"/>
      <c r="BA211" s="1276"/>
      <c r="BB211" s="1276"/>
      <c r="BC211" s="1276"/>
      <c r="BD211" s="1678"/>
      <c r="BE211" s="1276"/>
      <c r="BF211" s="1276"/>
      <c r="BG211" s="1276"/>
      <c r="BH211" s="1276"/>
      <c r="BI211" s="1678"/>
      <c r="BJ211" s="1276"/>
      <c r="BK211" s="1679"/>
      <c r="BL211" s="1679"/>
      <c r="BM211" s="2100">
        <v>2</v>
      </c>
      <c r="BN211" s="1324">
        <f>+BN243+BN378</f>
        <v>0</v>
      </c>
      <c r="BO211" s="2256">
        <f>BO243+BO378</f>
        <v>3</v>
      </c>
      <c r="BP211" s="1993">
        <f t="shared" ref="BP211:BT211" si="275">BP243+BP378</f>
        <v>3.1532268570377173</v>
      </c>
      <c r="BQ211" s="1993">
        <f t="shared" si="275"/>
        <v>1.8166557728223767</v>
      </c>
      <c r="BR211" s="1993">
        <f t="shared" si="275"/>
        <v>1.2359843975908014</v>
      </c>
      <c r="BS211" s="1324">
        <f>SUM(BO211:BR211)</f>
        <v>9.2058670274508962</v>
      </c>
      <c r="BT211" s="1993">
        <f t="shared" si="275"/>
        <v>0.58906652728704301</v>
      </c>
      <c r="BU211" s="1993"/>
      <c r="BV211" s="1993"/>
      <c r="BW211" s="1993"/>
      <c r="BX211" s="1324">
        <f>SUM(BT211:BW211)</f>
        <v>0.58906652728704301</v>
      </c>
      <c r="BY211" s="1678"/>
      <c r="BZ211" s="1678"/>
      <c r="CA211" s="1678"/>
      <c r="CF211" s="1487"/>
      <c r="CG211" s="1286"/>
      <c r="CH211" s="1286"/>
      <c r="CI211" s="1286"/>
      <c r="CJ211" s="1286"/>
      <c r="CK211" s="1286"/>
      <c r="CL211" s="1276"/>
      <c r="CM211" s="1610"/>
      <c r="CN211" s="1342"/>
      <c r="CO211" s="1342"/>
      <c r="CP211" s="1342"/>
      <c r="CQ211" s="1342"/>
      <c r="CR211" s="1342"/>
      <c r="CS211" s="1342"/>
      <c r="CT211" s="1277"/>
      <c r="CU211" s="1277"/>
      <c r="CV211" s="1277"/>
      <c r="CW211" s="1669"/>
      <c r="CX211" s="1669"/>
      <c r="CY211" s="1669"/>
      <c r="CZ211" s="1669"/>
      <c r="DA211" s="1669"/>
      <c r="DB211" s="1669"/>
    </row>
    <row r="212" spans="1:106" ht="11.25" customHeight="1">
      <c r="A212" s="1646"/>
      <c r="B212" s="1286"/>
      <c r="C212" s="1286"/>
      <c r="D212" s="1286"/>
      <c r="E212" s="1286"/>
      <c r="F212" s="1286"/>
      <c r="G212" s="1276"/>
      <c r="H212" s="1276"/>
      <c r="I212" s="1276"/>
      <c r="J212" s="1276"/>
      <c r="K212" s="1678"/>
      <c r="L212" s="1276"/>
      <c r="M212" s="1276"/>
      <c r="N212" s="1276"/>
      <c r="O212" s="1276"/>
      <c r="P212" s="1678"/>
      <c r="Q212" s="1276"/>
      <c r="R212" s="1276"/>
      <c r="S212" s="1276"/>
      <c r="T212" s="1276"/>
      <c r="U212" s="1678"/>
      <c r="V212" s="1276"/>
      <c r="W212" s="1276"/>
      <c r="X212" s="1276"/>
      <c r="Y212" s="1276"/>
      <c r="Z212" s="1678"/>
      <c r="AA212" s="1610"/>
      <c r="AB212" s="1610"/>
      <c r="AC212" s="1610"/>
      <c r="AD212" s="1610"/>
      <c r="AE212" s="1678"/>
      <c r="AF212" s="1276"/>
      <c r="AG212" s="1276"/>
      <c r="AH212" s="1276"/>
      <c r="AI212" s="1276"/>
      <c r="AJ212" s="1678"/>
      <c r="AK212" s="1276"/>
      <c r="AL212" s="1276"/>
      <c r="AM212" s="1276"/>
      <c r="AN212" s="1276"/>
      <c r="AO212" s="1678"/>
      <c r="AP212" s="1276"/>
      <c r="AQ212" s="1276"/>
      <c r="AR212" s="1276"/>
      <c r="AS212" s="1276"/>
      <c r="AT212" s="1678"/>
      <c r="AU212" s="1276"/>
      <c r="AV212" s="1276"/>
      <c r="AW212" s="1276"/>
      <c r="AX212" s="1276"/>
      <c r="AY212" s="1678"/>
      <c r="AZ212" s="1276"/>
      <c r="BA212" s="1276"/>
      <c r="BB212" s="1276"/>
      <c r="BC212" s="1276"/>
      <c r="BD212" s="1678"/>
      <c r="BE212" s="1276"/>
      <c r="BF212" s="1276"/>
      <c r="BG212" s="1276"/>
      <c r="BH212" s="1276"/>
      <c r="BI212" s="1678"/>
      <c r="BJ212" s="1276"/>
      <c r="BK212" s="1276"/>
      <c r="BL212" s="1276"/>
      <c r="BM212" s="1276"/>
      <c r="BN212" s="1678"/>
      <c r="BO212" s="1276"/>
      <c r="BP212" s="1276"/>
      <c r="BQ212" s="1276"/>
      <c r="BR212" s="1276"/>
      <c r="BS212" s="1678"/>
      <c r="BT212" s="1276"/>
      <c r="BU212" s="1276"/>
      <c r="BV212" s="1276"/>
      <c r="BW212" s="1276"/>
      <c r="BX212" s="1678"/>
      <c r="BY212" s="1678"/>
      <c r="BZ212" s="1678"/>
      <c r="CA212" s="1678"/>
      <c r="CF212" s="1487"/>
      <c r="CG212" s="1286"/>
      <c r="CH212" s="1286"/>
      <c r="CI212" s="1286"/>
      <c r="CJ212" s="1286"/>
      <c r="CK212" s="1286"/>
      <c r="CL212" s="1276"/>
      <c r="CM212" s="1610"/>
      <c r="CN212" s="1342"/>
      <c r="CO212" s="1342"/>
      <c r="CP212" s="1342"/>
      <c r="CQ212" s="1342"/>
      <c r="CR212" s="1342"/>
      <c r="CS212" s="1342"/>
      <c r="CT212" s="1277"/>
      <c r="CU212" s="1277"/>
      <c r="CV212" s="1277"/>
      <c r="CW212" s="1669"/>
      <c r="CX212" s="1669"/>
      <c r="CY212" s="1669"/>
      <c r="CZ212" s="1669"/>
      <c r="DA212" s="1669"/>
      <c r="DB212" s="1669"/>
    </row>
    <row r="213" spans="1:106" s="1600" customFormat="1" ht="11.25" customHeight="1">
      <c r="A213" s="1254" t="s">
        <v>537</v>
      </c>
      <c r="B213" s="1536"/>
      <c r="C213" s="1536"/>
      <c r="D213" s="1536"/>
      <c r="E213" s="1536"/>
      <c r="K213" s="1547"/>
      <c r="P213" s="1547"/>
      <c r="U213" s="1547"/>
      <c r="Z213" s="1547"/>
      <c r="AE213" s="1547"/>
      <c r="AF213" s="1254"/>
      <c r="AG213" s="1254"/>
      <c r="AH213" s="1254"/>
      <c r="AI213" s="1254"/>
      <c r="AJ213" s="1547"/>
      <c r="AK213" s="1254">
        <f t="shared" ref="AK213:BG213" si="276">+AK245+AK367</f>
        <v>507</v>
      </c>
      <c r="AL213" s="1254">
        <f t="shared" si="276"/>
        <v>517</v>
      </c>
      <c r="AM213" s="1254">
        <f t="shared" si="276"/>
        <v>523</v>
      </c>
      <c r="AN213" s="1254">
        <f t="shared" si="276"/>
        <v>550</v>
      </c>
      <c r="AO213" s="1547">
        <f t="shared" si="276"/>
        <v>2097</v>
      </c>
      <c r="AP213" s="1254">
        <f t="shared" si="276"/>
        <v>524</v>
      </c>
      <c r="AQ213" s="1254">
        <f t="shared" si="276"/>
        <v>546</v>
      </c>
      <c r="AR213" s="1254">
        <f t="shared" si="276"/>
        <v>506</v>
      </c>
      <c r="AS213" s="1254">
        <f t="shared" si="276"/>
        <v>521</v>
      </c>
      <c r="AT213" s="1547">
        <f t="shared" si="276"/>
        <v>2097</v>
      </c>
      <c r="AU213" s="1254">
        <f t="shared" si="276"/>
        <v>512</v>
      </c>
      <c r="AV213" s="1254">
        <f t="shared" si="276"/>
        <v>526</v>
      </c>
      <c r="AW213" s="1254">
        <f t="shared" si="276"/>
        <v>538</v>
      </c>
      <c r="AX213" s="1254">
        <f t="shared" si="276"/>
        <v>554</v>
      </c>
      <c r="AY213" s="1547">
        <f t="shared" si="276"/>
        <v>2130</v>
      </c>
      <c r="AZ213" s="1254">
        <f t="shared" si="276"/>
        <v>545</v>
      </c>
      <c r="BA213" s="1254">
        <f t="shared" si="276"/>
        <v>558</v>
      </c>
      <c r="BB213" s="1254">
        <f t="shared" si="276"/>
        <v>604</v>
      </c>
      <c r="BC213" s="1254">
        <f t="shared" si="276"/>
        <v>669</v>
      </c>
      <c r="BD213" s="1547">
        <f t="shared" si="276"/>
        <v>2376</v>
      </c>
      <c r="BE213" s="1254">
        <f t="shared" si="276"/>
        <v>661</v>
      </c>
      <c r="BF213" s="1254">
        <f t="shared" si="276"/>
        <v>671</v>
      </c>
      <c r="BG213" s="1254">
        <f t="shared" si="276"/>
        <v>658</v>
      </c>
      <c r="BH213" s="1254">
        <f>+BH203+BH207</f>
        <v>595</v>
      </c>
      <c r="BI213" s="1547">
        <f t="shared" ref="BI213:BZ213" si="277">+BI245+BI367</f>
        <v>2585</v>
      </c>
      <c r="BJ213" s="1254">
        <f t="shared" ref="BJ213:BO213" si="278">+BJ203+BJ207</f>
        <v>593</v>
      </c>
      <c r="BK213" s="1254">
        <f t="shared" si="278"/>
        <v>606</v>
      </c>
      <c r="BL213" s="1254">
        <f t="shared" si="278"/>
        <v>615</v>
      </c>
      <c r="BM213" s="1254">
        <f t="shared" si="278"/>
        <v>637</v>
      </c>
      <c r="BN213" s="1547">
        <f t="shared" si="278"/>
        <v>2451</v>
      </c>
      <c r="BO213" s="1254">
        <f t="shared" si="278"/>
        <v>633</v>
      </c>
      <c r="BP213" s="1254">
        <f t="shared" si="277"/>
        <v>650.23322685703772</v>
      </c>
      <c r="BQ213" s="1254">
        <f t="shared" si="277"/>
        <v>658.50665577282234</v>
      </c>
      <c r="BR213" s="1254">
        <f t="shared" si="277"/>
        <v>681.38598439759085</v>
      </c>
      <c r="BS213" s="1547">
        <f t="shared" si="277"/>
        <v>2623.1258670274506</v>
      </c>
      <c r="BT213" s="1254">
        <f t="shared" ref="BT213:BX213" si="279">+BT245+BT367</f>
        <v>672.01906652728701</v>
      </c>
      <c r="BU213" s="1254">
        <f t="shared" si="279"/>
        <v>689.7015527370304</v>
      </c>
      <c r="BV213" s="1254">
        <f t="shared" si="279"/>
        <v>698.52262167691993</v>
      </c>
      <c r="BW213" s="1254">
        <f t="shared" si="279"/>
        <v>722.87750330542224</v>
      </c>
      <c r="BX213" s="1547">
        <f t="shared" si="279"/>
        <v>2783.1207442466598</v>
      </c>
      <c r="BY213" s="1547">
        <f t="shared" si="277"/>
        <v>2933.3203089014596</v>
      </c>
      <c r="BZ213" s="1547">
        <f t="shared" si="277"/>
        <v>3091.860340235547</v>
      </c>
      <c r="CA213" s="1547">
        <f t="shared" ref="CA213" si="280">+CA245+CA367</f>
        <v>3237.3745799033245</v>
      </c>
      <c r="CF213" s="1535"/>
      <c r="CL213" s="1672"/>
      <c r="CM213" s="1672"/>
      <c r="CN213" s="1535"/>
      <c r="CO213" s="1535"/>
      <c r="CP213" s="1535"/>
      <c r="CQ213" s="1535"/>
      <c r="CR213" s="1535"/>
      <c r="CS213" s="1535"/>
      <c r="CT213" s="1535"/>
      <c r="CU213" s="1535"/>
      <c r="CV213" s="1535"/>
      <c r="CW213" s="1535"/>
      <c r="CX213" s="1535"/>
      <c r="CY213" s="1535"/>
      <c r="CZ213" s="1535"/>
      <c r="DA213" s="1535"/>
      <c r="DB213" s="1535"/>
    </row>
    <row r="214" spans="1:106" s="1600" customFormat="1" ht="11.25" customHeight="1">
      <c r="A214" s="1343" t="s">
        <v>336</v>
      </c>
      <c r="B214" s="1536"/>
      <c r="C214" s="1536"/>
      <c r="D214" s="1536"/>
      <c r="E214" s="1536"/>
      <c r="K214" s="1547"/>
      <c r="P214" s="1547"/>
      <c r="U214" s="1547"/>
      <c r="Z214" s="1547"/>
      <c r="AE214" s="1547"/>
      <c r="AF214" s="1254"/>
      <c r="AG214" s="1254"/>
      <c r="AH214" s="1254"/>
      <c r="AI214" s="1254"/>
      <c r="AJ214" s="1547"/>
      <c r="AK214" s="1256">
        <f t="shared" ref="AK214:BZ214" si="281">+AK213/AK30</f>
        <v>0.48985507246376814</v>
      </c>
      <c r="AL214" s="1256">
        <f t="shared" si="281"/>
        <v>0.48227611940298509</v>
      </c>
      <c r="AM214" s="1256">
        <f t="shared" si="281"/>
        <v>0.46863799283154123</v>
      </c>
      <c r="AN214" s="1256">
        <f t="shared" si="281"/>
        <v>0.44861337683523655</v>
      </c>
      <c r="AO214" s="1255">
        <f t="shared" si="281"/>
        <v>0.47134187457855697</v>
      </c>
      <c r="AP214" s="1256">
        <f t="shared" si="281"/>
        <v>0.44369178662150721</v>
      </c>
      <c r="AQ214" s="1256">
        <f t="shared" si="281"/>
        <v>0.43680000000000002</v>
      </c>
      <c r="AR214" s="1256">
        <f t="shared" si="281"/>
        <v>0.4392361111111111</v>
      </c>
      <c r="AS214" s="1256">
        <f t="shared" si="281"/>
        <v>0.43200663349917079</v>
      </c>
      <c r="AT214" s="1255">
        <f t="shared" si="281"/>
        <v>0.43787847149718107</v>
      </c>
      <c r="AU214" s="1256">
        <f t="shared" si="281"/>
        <v>0.42809364548494983</v>
      </c>
      <c r="AV214" s="1256">
        <f t="shared" si="281"/>
        <v>0.40399385560675882</v>
      </c>
      <c r="AW214" s="1256">
        <f t="shared" si="281"/>
        <v>0.4259699129057799</v>
      </c>
      <c r="AX214" s="1256">
        <f t="shared" si="281"/>
        <v>0.42945736434108528</v>
      </c>
      <c r="AY214" s="1255">
        <f t="shared" si="281"/>
        <v>0.42169867352999407</v>
      </c>
      <c r="AZ214" s="1256">
        <f t="shared" si="281"/>
        <v>0.42812254516889237</v>
      </c>
      <c r="BA214" s="1256">
        <f t="shared" si="281"/>
        <v>0.41579731743666171</v>
      </c>
      <c r="BB214" s="1256">
        <f t="shared" si="281"/>
        <v>0.45619335347432022</v>
      </c>
      <c r="BC214" s="1256">
        <f t="shared" si="281"/>
        <v>0.48689956331877732</v>
      </c>
      <c r="BD214" s="1255">
        <f t="shared" si="281"/>
        <v>0.44720496894409939</v>
      </c>
      <c r="BE214" s="1256">
        <f t="shared" si="281"/>
        <v>0.4929157345264728</v>
      </c>
      <c r="BF214" s="1256">
        <f t="shared" si="281"/>
        <v>0.45276653171390013</v>
      </c>
      <c r="BG214" s="1256">
        <f t="shared" si="281"/>
        <v>0.45726198749131342</v>
      </c>
      <c r="BH214" s="1256">
        <f t="shared" si="281"/>
        <v>0.4253037884203002</v>
      </c>
      <c r="BI214" s="1255">
        <f t="shared" si="281"/>
        <v>0.45663310369192722</v>
      </c>
      <c r="BJ214" s="1256">
        <f t="shared" si="281"/>
        <v>0.40812112869924294</v>
      </c>
      <c r="BK214" s="1256">
        <f t="shared" si="281"/>
        <v>0.40159045725646125</v>
      </c>
      <c r="BL214" s="1256">
        <f t="shared" si="281"/>
        <v>0.40647719762062129</v>
      </c>
      <c r="BM214" s="1256">
        <f t="shared" si="281"/>
        <v>0.40088105726872247</v>
      </c>
      <c r="BN214" s="1255">
        <f t="shared" si="281"/>
        <v>0.40418865435356199</v>
      </c>
      <c r="BO214" s="1256">
        <f t="shared" si="281"/>
        <v>0.40395660497766434</v>
      </c>
      <c r="BP214" s="1256">
        <f t="shared" si="281"/>
        <v>0.3963912904075913</v>
      </c>
      <c r="BQ214" s="1256">
        <f t="shared" si="281"/>
        <v>0.40565189067318108</v>
      </c>
      <c r="BR214" s="1256">
        <f t="shared" si="281"/>
        <v>0.40773765503939752</v>
      </c>
      <c r="BS214" s="1255">
        <f t="shared" si="281"/>
        <v>0.40344300606283612</v>
      </c>
      <c r="BT214" s="1256">
        <f t="shared" ref="BT214:BX214" si="282">+BT213/BT30</f>
        <v>0.40816697573935717</v>
      </c>
      <c r="BU214" s="1256">
        <f t="shared" si="282"/>
        <v>0.39698138850180936</v>
      </c>
      <c r="BV214" s="1256">
        <f t="shared" si="282"/>
        <v>0.40581397313539347</v>
      </c>
      <c r="BW214" s="1256">
        <f t="shared" si="282"/>
        <v>0.40818555273698476</v>
      </c>
      <c r="BX214" s="1255">
        <f t="shared" si="282"/>
        <v>0.40475647334043008</v>
      </c>
      <c r="BY214" s="1255">
        <f t="shared" si="281"/>
        <v>0.4056295157656668</v>
      </c>
      <c r="BZ214" s="1255">
        <f t="shared" si="281"/>
        <v>0.40637570529561756</v>
      </c>
      <c r="CA214" s="1255">
        <f t="shared" ref="CA214" si="283">+CA213/CA30</f>
        <v>0.40645745229254887</v>
      </c>
      <c r="CF214" s="1535"/>
      <c r="CL214" s="1672"/>
      <c r="CM214" s="1672"/>
      <c r="CN214" s="1535"/>
      <c r="CO214" s="1535"/>
      <c r="CP214" s="1535"/>
      <c r="CQ214" s="1535"/>
      <c r="CR214" s="1535"/>
      <c r="CS214" s="1535"/>
      <c r="CT214" s="1535"/>
      <c r="CU214" s="1535"/>
      <c r="CV214" s="1535"/>
      <c r="CW214" s="1535"/>
      <c r="CX214" s="1535"/>
      <c r="CY214" s="1535"/>
      <c r="CZ214" s="1535"/>
      <c r="DA214" s="1535"/>
      <c r="DB214" s="1535"/>
    </row>
    <row r="215" spans="1:106" ht="11.25" customHeight="1">
      <c r="A215" s="1343" t="s">
        <v>341</v>
      </c>
      <c r="B215" s="1286"/>
      <c r="C215" s="1286"/>
      <c r="D215" s="1286"/>
      <c r="E215" s="1286"/>
      <c r="F215" s="1286"/>
      <c r="G215" s="1276"/>
      <c r="H215" s="1276"/>
      <c r="I215" s="1276"/>
      <c r="J215" s="1276"/>
      <c r="K215" s="1678"/>
      <c r="L215" s="1276"/>
      <c r="M215" s="1276"/>
      <c r="N215" s="1276"/>
      <c r="O215" s="1276"/>
      <c r="P215" s="1678"/>
      <c r="Q215" s="1276"/>
      <c r="R215" s="1276"/>
      <c r="S215" s="1276"/>
      <c r="T215" s="1276"/>
      <c r="U215" s="1678"/>
      <c r="V215" s="1276"/>
      <c r="W215" s="1276"/>
      <c r="X215" s="1276"/>
      <c r="Y215" s="1276"/>
      <c r="Z215" s="1678"/>
      <c r="AA215" s="1610"/>
      <c r="AB215" s="1610"/>
      <c r="AC215" s="1610"/>
      <c r="AD215" s="1610"/>
      <c r="AE215" s="1678"/>
      <c r="AF215" s="1276"/>
      <c r="AG215" s="1276"/>
      <c r="AH215" s="1276"/>
      <c r="AI215" s="1276"/>
      <c r="AJ215" s="1678"/>
      <c r="AK215" s="1276"/>
      <c r="AL215" s="1276"/>
      <c r="AM215" s="1276"/>
      <c r="AN215" s="1276"/>
      <c r="AO215" s="1678"/>
      <c r="AP215" s="1276"/>
      <c r="AQ215" s="1276"/>
      <c r="AR215" s="1276"/>
      <c r="AS215" s="1276"/>
      <c r="AT215" s="1678"/>
      <c r="AU215" s="1276"/>
      <c r="AV215" s="1276"/>
      <c r="AW215" s="1276"/>
      <c r="AX215" s="1276"/>
      <c r="AY215" s="1678"/>
      <c r="AZ215" s="1276"/>
      <c r="BA215" s="1276"/>
      <c r="BB215" s="1276"/>
      <c r="BC215" s="1276"/>
      <c r="BD215" s="1678"/>
      <c r="BE215" s="1276"/>
      <c r="BF215" s="1276"/>
      <c r="BG215" s="1276"/>
      <c r="BH215" s="2103">
        <v>0.08</v>
      </c>
      <c r="BI215" s="1678"/>
      <c r="BJ215" s="2104">
        <v>7.0000000000000007E-2</v>
      </c>
      <c r="BK215" s="2103">
        <v>0.08</v>
      </c>
      <c r="BL215" s="2174">
        <v>7.0000000000000007E-2</v>
      </c>
      <c r="BM215" s="2174">
        <v>0.08</v>
      </c>
      <c r="BN215" s="2204">
        <f t="shared" ref="BN215:BS215" si="284">+(BN213-BN211-BN222)/BI213-1</f>
        <v>6.5377176015473992E-2</v>
      </c>
      <c r="BO215" s="1681">
        <f t="shared" si="284"/>
        <v>6.4080944350758839E-2</v>
      </c>
      <c r="BP215" s="1681">
        <f t="shared" si="284"/>
        <v>6.7788778877887923E-2</v>
      </c>
      <c r="BQ215" s="1681">
        <f t="shared" si="284"/>
        <v>6.7788617886178848E-2</v>
      </c>
      <c r="BR215" s="1681">
        <f t="shared" si="284"/>
        <v>6.773940345368934E-2</v>
      </c>
      <c r="BS215" s="1682">
        <f t="shared" si="284"/>
        <v>6.6470828233373913E-2</v>
      </c>
      <c r="BT215" s="1681">
        <f t="shared" ref="BT215" si="285">+(BT213-BT211-BT222)/BO213-1</f>
        <v>6.071090047393346E-2</v>
      </c>
      <c r="BU215" s="1681">
        <f t="shared" ref="BU215" si="286">+(BU213-BU211-BU222)/BP213-1</f>
        <v>6.0698722012048512E-2</v>
      </c>
      <c r="BV215" s="1681">
        <f t="shared" ref="BV215" si="287">+(BV213-BV211-BV222)/BQ213-1</f>
        <v>6.0767747073315226E-2</v>
      </c>
      <c r="BW215" s="1681">
        <f t="shared" ref="BW215" si="288">+(BW213-BW211-BW222)/BR213-1</f>
        <v>6.0892827058240506E-2</v>
      </c>
      <c r="BX215" s="1682">
        <f t="shared" ref="BX215" si="289">+(BX213-BX211-BX222)/BS213-1</f>
        <v>6.0769409770093263E-2</v>
      </c>
      <c r="BY215" s="1682">
        <f>+(BY213-BY211-BY222)/BX213-1</f>
        <v>5.3968037486442633E-2</v>
      </c>
      <c r="BZ215" s="1682">
        <f>+(BZ213-BZ211-BZ222)/BY213-1</f>
        <v>5.4047977935782088E-2</v>
      </c>
      <c r="CA215" s="1682">
        <f>+(CA213-CA211-CA222)/BZ213-1</f>
        <v>4.7063652188342964E-2</v>
      </c>
      <c r="CF215" s="1487"/>
      <c r="CG215" s="1286"/>
      <c r="CH215" s="1286"/>
      <c r="CI215" s="1286"/>
      <c r="CJ215" s="1286"/>
      <c r="CK215" s="1286"/>
      <c r="CL215" s="1276"/>
      <c r="CM215" s="1610"/>
      <c r="CN215" s="1342"/>
      <c r="CO215" s="1342"/>
      <c r="CP215" s="1342"/>
      <c r="CQ215" s="1342"/>
      <c r="CR215" s="1342"/>
      <c r="CS215" s="1342"/>
      <c r="CT215" s="1277"/>
      <c r="CU215" s="1277"/>
      <c r="CV215" s="1277"/>
      <c r="CW215" s="1669"/>
      <c r="CX215" s="1669"/>
      <c r="CY215" s="1669"/>
      <c r="CZ215" s="1669"/>
      <c r="DA215" s="1669"/>
      <c r="DB215" s="1669"/>
    </row>
    <row r="216" spans="1:106" ht="11.25" customHeight="1">
      <c r="A216" s="1485" t="s">
        <v>294</v>
      </c>
      <c r="B216" s="1286"/>
      <c r="C216" s="1286"/>
      <c r="D216" s="1286"/>
      <c r="E216" s="1286"/>
      <c r="F216" s="1286"/>
      <c r="G216" s="1276"/>
      <c r="H216" s="1276"/>
      <c r="I216" s="1276"/>
      <c r="J216" s="1276"/>
      <c r="K216" s="1678"/>
      <c r="L216" s="1276"/>
      <c r="M216" s="1276"/>
      <c r="N216" s="1276"/>
      <c r="O216" s="1276"/>
      <c r="P216" s="1678"/>
      <c r="Q216" s="1276"/>
      <c r="R216" s="1276"/>
      <c r="S216" s="1276"/>
      <c r="T216" s="1276"/>
      <c r="U216" s="1678"/>
      <c r="V216" s="1276"/>
      <c r="W216" s="1276"/>
      <c r="X216" s="1276"/>
      <c r="Y216" s="1276"/>
      <c r="Z216" s="1678"/>
      <c r="AA216" s="1610"/>
      <c r="AB216" s="1610"/>
      <c r="AC216" s="1610"/>
      <c r="AD216" s="1610"/>
      <c r="AE216" s="1678"/>
      <c r="AF216" s="1276"/>
      <c r="AG216" s="1276"/>
      <c r="AH216" s="1276"/>
      <c r="AI216" s="1276"/>
      <c r="AJ216" s="1678"/>
      <c r="AK216" s="1276"/>
      <c r="AL216" s="1276"/>
      <c r="AM216" s="1276"/>
      <c r="AN216" s="1276"/>
      <c r="AO216" s="1682"/>
      <c r="AP216" s="1681">
        <f t="shared" ref="AP216:BS216" si="290">+AP213/AK213-1</f>
        <v>3.3530571992110403E-2</v>
      </c>
      <c r="AQ216" s="1681">
        <f t="shared" si="290"/>
        <v>5.6092843326885911E-2</v>
      </c>
      <c r="AR216" s="1681">
        <f t="shared" si="290"/>
        <v>-3.2504780114722798E-2</v>
      </c>
      <c r="AS216" s="1681">
        <f t="shared" si="290"/>
        <v>-5.2727272727272734E-2</v>
      </c>
      <c r="AT216" s="1682">
        <f t="shared" si="290"/>
        <v>0</v>
      </c>
      <c r="AU216" s="1681">
        <f t="shared" si="290"/>
        <v>-2.2900763358778664E-2</v>
      </c>
      <c r="AV216" s="1681">
        <f t="shared" si="290"/>
        <v>-3.6630036630036611E-2</v>
      </c>
      <c r="AW216" s="1681">
        <f t="shared" si="290"/>
        <v>6.3241106719367668E-2</v>
      </c>
      <c r="AX216" s="1681">
        <f t="shared" si="290"/>
        <v>6.3339731285988465E-2</v>
      </c>
      <c r="AY216" s="1682">
        <f t="shared" si="290"/>
        <v>1.5736766809728131E-2</v>
      </c>
      <c r="AZ216" s="1681">
        <f t="shared" si="290"/>
        <v>6.4453125E-2</v>
      </c>
      <c r="BA216" s="1681">
        <f t="shared" si="290"/>
        <v>6.083650190114076E-2</v>
      </c>
      <c r="BB216" s="1681">
        <f t="shared" si="290"/>
        <v>0.12267657992565062</v>
      </c>
      <c r="BC216" s="1681">
        <f t="shared" si="290"/>
        <v>0.20758122743682317</v>
      </c>
      <c r="BD216" s="1682">
        <f t="shared" si="290"/>
        <v>0.11549295774647894</v>
      </c>
      <c r="BE216" s="1681">
        <f t="shared" si="290"/>
        <v>0.21284403669724772</v>
      </c>
      <c r="BF216" s="1681">
        <f t="shared" si="290"/>
        <v>0.20250896057347667</v>
      </c>
      <c r="BG216" s="1681">
        <f t="shared" si="290"/>
        <v>8.9403973509933676E-2</v>
      </c>
      <c r="BH216" s="1681">
        <f t="shared" si="290"/>
        <v>-0.11061285500747386</v>
      </c>
      <c r="BI216" s="1682">
        <f t="shared" si="290"/>
        <v>8.7962962962963021E-2</v>
      </c>
      <c r="BJ216" s="1681">
        <f t="shared" si="290"/>
        <v>-0.10287443267776097</v>
      </c>
      <c r="BK216" s="1681">
        <f t="shared" si="290"/>
        <v>-9.6870342771982143E-2</v>
      </c>
      <c r="BL216" s="1681">
        <f t="shared" si="290"/>
        <v>-6.5349544072948351E-2</v>
      </c>
      <c r="BM216" s="1681">
        <f t="shared" si="290"/>
        <v>7.0588235294117618E-2</v>
      </c>
      <c r="BN216" s="1682">
        <f t="shared" si="290"/>
        <v>-5.1837524177949734E-2</v>
      </c>
      <c r="BO216" s="1681">
        <f t="shared" si="290"/>
        <v>6.7453625632377667E-2</v>
      </c>
      <c r="BP216" s="1681">
        <f t="shared" si="290"/>
        <v>7.2992123526464781E-2</v>
      </c>
      <c r="BQ216" s="1681">
        <f t="shared" si="290"/>
        <v>7.0742529711906199E-2</v>
      </c>
      <c r="BR216" s="1681">
        <f t="shared" si="290"/>
        <v>6.9679724329027914E-2</v>
      </c>
      <c r="BS216" s="1682">
        <f t="shared" si="290"/>
        <v>7.0226791932864296E-2</v>
      </c>
      <c r="BT216" s="1681">
        <f t="shared" ref="BT216" si="291">+BT213/BO213-1</f>
        <v>6.1641495303770943E-2</v>
      </c>
      <c r="BU216" s="1681">
        <f t="shared" ref="BU216" si="292">+BU213/BP213-1</f>
        <v>6.0698722012048512E-2</v>
      </c>
      <c r="BV216" s="1681">
        <f t="shared" ref="BV216" si="293">+BV213/BQ213-1</f>
        <v>6.0767747073315226E-2</v>
      </c>
      <c r="BW216" s="1681">
        <f t="shared" ref="BW216" si="294">+BW213/BR213-1</f>
        <v>6.0892827058240506E-2</v>
      </c>
      <c r="BX216" s="1682">
        <f t="shared" ref="BX216" si="295">+BX213/BS213-1</f>
        <v>6.0993976396762406E-2</v>
      </c>
      <c r="BY216" s="1682">
        <f>+BY213/BX213-1</f>
        <v>5.3968037486442633E-2</v>
      </c>
      <c r="BZ216" s="1682">
        <f>+BZ213/BY213-1</f>
        <v>5.4047977935782088E-2</v>
      </c>
      <c r="CA216" s="1682">
        <f>+CA213/BZ213-1</f>
        <v>4.7063652188342964E-2</v>
      </c>
      <c r="CF216" s="1487"/>
      <c r="CG216" s="1286"/>
      <c r="CH216" s="1286"/>
      <c r="CI216" s="1286"/>
      <c r="CJ216" s="1286"/>
      <c r="CK216" s="1286"/>
      <c r="CL216" s="1276"/>
      <c r="CM216" s="1610"/>
      <c r="CN216" s="1342"/>
      <c r="CO216" s="1342"/>
      <c r="CP216" s="1342"/>
      <c r="CQ216" s="1342"/>
      <c r="CR216" s="1342"/>
      <c r="CS216" s="1342"/>
      <c r="CT216" s="1277"/>
      <c r="CU216" s="1277"/>
      <c r="CV216" s="1277"/>
      <c r="CW216" s="1669"/>
      <c r="CX216" s="1669"/>
      <c r="CY216" s="1669"/>
      <c r="CZ216" s="1669"/>
      <c r="DA216" s="1669"/>
      <c r="DB216" s="1669"/>
    </row>
    <row r="217" spans="1:106" ht="12" hidden="1" customHeight="1" outlineLevel="1">
      <c r="A217" s="1664" t="s">
        <v>213</v>
      </c>
      <c r="B217" s="1665"/>
      <c r="C217" s="1665"/>
      <c r="D217" s="1665"/>
      <c r="E217" s="1665"/>
      <c r="F217" s="1591"/>
      <c r="G217" s="1666"/>
      <c r="H217" s="1666"/>
      <c r="I217" s="1666"/>
      <c r="J217" s="1684"/>
      <c r="K217" s="1685"/>
      <c r="L217" s="1666"/>
      <c r="M217" s="1666"/>
      <c r="N217" s="1666"/>
      <c r="O217" s="1684"/>
      <c r="P217" s="1685"/>
      <c r="Q217" s="1666"/>
      <c r="R217" s="1666"/>
      <c r="S217" s="1666"/>
      <c r="T217" s="1684"/>
      <c r="U217" s="1685"/>
      <c r="V217" s="1666"/>
      <c r="W217" s="1666"/>
      <c r="X217" s="1666"/>
      <c r="Y217" s="1593"/>
      <c r="Z217" s="1685"/>
      <c r="AA217" s="1666"/>
      <c r="AB217" s="1666"/>
      <c r="AC217" s="1666"/>
      <c r="AD217" s="1593"/>
      <c r="AE217" s="1685"/>
      <c r="AF217" s="1666"/>
      <c r="AG217" s="1666"/>
      <c r="AH217" s="1666"/>
      <c r="AI217" s="1593"/>
      <c r="AJ217" s="1593"/>
      <c r="AK217" s="1666"/>
      <c r="AL217" s="1666"/>
      <c r="AM217" s="1666"/>
      <c r="AN217" s="1593"/>
      <c r="AO217" s="1593"/>
      <c r="AP217" s="1666"/>
      <c r="AQ217" s="1666"/>
      <c r="AR217" s="1666"/>
      <c r="AS217" s="1593"/>
      <c r="AT217" s="1593"/>
      <c r="AU217" s="1666"/>
      <c r="AV217" s="1666"/>
      <c r="AW217" s="1667"/>
      <c r="AX217" s="1686"/>
      <c r="AY217" s="1594"/>
      <c r="AZ217" s="1667"/>
      <c r="BA217" s="1667"/>
      <c r="BB217" s="1667"/>
      <c r="BC217" s="1667"/>
      <c r="BD217" s="1594"/>
      <c r="BE217" s="1667"/>
      <c r="BF217" s="1667"/>
      <c r="BG217" s="1667"/>
      <c r="BH217" s="1667"/>
      <c r="BI217" s="1594"/>
      <c r="BJ217" s="1667"/>
      <c r="BK217" s="1667"/>
      <c r="BL217" s="1667"/>
      <c r="BM217" s="1667"/>
      <c r="BN217" s="1594"/>
      <c r="BO217" s="1667"/>
      <c r="BP217" s="1667"/>
      <c r="BQ217" s="1667"/>
      <c r="BR217" s="1667"/>
      <c r="BS217" s="1594"/>
      <c r="BT217" s="1667"/>
      <c r="BU217" s="1667"/>
      <c r="BV217" s="1667"/>
      <c r="BW217" s="1667"/>
      <c r="BX217" s="1594"/>
      <c r="BY217" s="1594"/>
      <c r="BZ217" s="1594"/>
      <c r="CA217" s="1594"/>
      <c r="CD217" s="787"/>
      <c r="CF217" s="1590"/>
      <c r="CG217" s="1591"/>
      <c r="CH217" s="1592"/>
      <c r="CI217" s="1592"/>
      <c r="CJ217" s="1592"/>
      <c r="CK217" s="1592"/>
      <c r="CL217" s="1593"/>
      <c r="CM217" s="1593"/>
      <c r="CN217" s="1593"/>
      <c r="CO217" s="1593"/>
      <c r="CP217" s="1593"/>
      <c r="CQ217" s="1593"/>
      <c r="CR217" s="1593"/>
      <c r="CS217" s="1593"/>
      <c r="CT217" s="1594"/>
      <c r="CU217" s="1594"/>
      <c r="CV217" s="1595"/>
      <c r="CW217" s="1594"/>
      <c r="CX217" s="1594"/>
      <c r="CY217" s="1594"/>
      <c r="CZ217" s="1594"/>
      <c r="DA217" s="1594"/>
      <c r="DB217" s="1594"/>
    </row>
    <row r="218" spans="1:106" ht="12" hidden="1" customHeight="1" outlineLevel="1">
      <c r="A218" s="1664" t="s">
        <v>214</v>
      </c>
      <c r="B218" s="1665"/>
      <c r="C218" s="1665"/>
      <c r="D218" s="1665"/>
      <c r="E218" s="1665"/>
      <c r="F218" s="1591"/>
      <c r="G218" s="1666"/>
      <c r="H218" s="1666"/>
      <c r="I218" s="1666"/>
      <c r="J218" s="1684"/>
      <c r="K218" s="1685"/>
      <c r="L218" s="1666"/>
      <c r="M218" s="1666"/>
      <c r="N218" s="1666"/>
      <c r="O218" s="1684"/>
      <c r="P218" s="1685"/>
      <c r="Q218" s="1666"/>
      <c r="R218" s="1666"/>
      <c r="S218" s="1666"/>
      <c r="T218" s="1684"/>
      <c r="U218" s="1685"/>
      <c r="V218" s="1666"/>
      <c r="W218" s="1666"/>
      <c r="X218" s="1666"/>
      <c r="Y218" s="1593"/>
      <c r="Z218" s="1685"/>
      <c r="AA218" s="1666"/>
      <c r="AB218" s="1666"/>
      <c r="AC218" s="1666"/>
      <c r="AD218" s="1593"/>
      <c r="AE218" s="1685"/>
      <c r="AF218" s="1666"/>
      <c r="AG218" s="1666"/>
      <c r="AH218" s="1666"/>
      <c r="AI218" s="1593"/>
      <c r="AJ218" s="1593"/>
      <c r="AK218" s="1666"/>
      <c r="AL218" s="1666"/>
      <c r="AM218" s="1666"/>
      <c r="AN218" s="1593"/>
      <c r="AO218" s="1593"/>
      <c r="AP218" s="1666"/>
      <c r="AQ218" s="1666"/>
      <c r="AR218" s="1666"/>
      <c r="AS218" s="1593"/>
      <c r="AT218" s="1593"/>
      <c r="AU218" s="1666"/>
      <c r="AV218" s="1666"/>
      <c r="AW218" s="1667"/>
      <c r="AX218" s="1686"/>
      <c r="AY218" s="1687"/>
      <c r="AZ218" s="1667"/>
      <c r="BA218" s="1667"/>
      <c r="BB218" s="1667"/>
      <c r="BC218" s="1667"/>
      <c r="BD218" s="1687"/>
      <c r="BE218" s="1667"/>
      <c r="BF218" s="1667"/>
      <c r="BG218" s="1667"/>
      <c r="BH218" s="1667"/>
      <c r="BI218" s="1687"/>
      <c r="BJ218" s="1688"/>
      <c r="BK218" s="1688"/>
      <c r="BL218" s="1688"/>
      <c r="BM218" s="1688"/>
      <c r="BN218" s="1594"/>
      <c r="BO218" s="1688"/>
      <c r="BP218" s="1688"/>
      <c r="BQ218" s="1688"/>
      <c r="BR218" s="1688"/>
      <c r="BS218" s="1594"/>
      <c r="BT218" s="1688"/>
      <c r="BU218" s="1688"/>
      <c r="BV218" s="1688"/>
      <c r="BW218" s="1688"/>
      <c r="BX218" s="1594"/>
      <c r="BY218" s="1594"/>
      <c r="BZ218" s="1594"/>
      <c r="CA218" s="1594"/>
      <c r="CD218" s="785"/>
      <c r="CF218" s="1590"/>
      <c r="CG218" s="1591"/>
      <c r="CH218" s="1592"/>
      <c r="CI218" s="1592"/>
      <c r="CJ218" s="1592"/>
      <c r="CK218" s="1592"/>
      <c r="CL218" s="1593"/>
      <c r="CM218" s="1593"/>
      <c r="CN218" s="1593"/>
      <c r="CO218" s="1593"/>
      <c r="CP218" s="1593"/>
      <c r="CQ218" s="1593"/>
      <c r="CR218" s="1593"/>
      <c r="CS218" s="1593"/>
      <c r="CT218" s="1687"/>
      <c r="CU218" s="1687"/>
      <c r="CV218" s="1689"/>
      <c r="CW218" s="1594"/>
      <c r="CX218" s="1594"/>
      <c r="CY218" s="1594"/>
      <c r="CZ218" s="1594"/>
      <c r="DA218" s="1594"/>
      <c r="DB218" s="1594"/>
    </row>
    <row r="219" spans="1:106" ht="12" hidden="1" customHeight="1" outlineLevel="1">
      <c r="A219" s="1664" t="s">
        <v>215</v>
      </c>
      <c r="B219" s="1665"/>
      <c r="C219" s="1665"/>
      <c r="D219" s="1665"/>
      <c r="E219" s="1665"/>
      <c r="F219" s="1591"/>
      <c r="G219" s="1666"/>
      <c r="H219" s="1666"/>
      <c r="I219" s="1666"/>
      <c r="J219" s="1684"/>
      <c r="K219" s="1685"/>
      <c r="L219" s="1666"/>
      <c r="M219" s="1666"/>
      <c r="N219" s="1666"/>
      <c r="O219" s="1684"/>
      <c r="P219" s="1685"/>
      <c r="Q219" s="1666"/>
      <c r="R219" s="1666"/>
      <c r="S219" s="1666"/>
      <c r="T219" s="1684"/>
      <c r="U219" s="1685"/>
      <c r="V219" s="1666"/>
      <c r="W219" s="1666"/>
      <c r="X219" s="1666"/>
      <c r="Y219" s="1593"/>
      <c r="Z219" s="1685"/>
      <c r="AA219" s="1666"/>
      <c r="AB219" s="1666"/>
      <c r="AC219" s="1666"/>
      <c r="AD219" s="1593"/>
      <c r="AE219" s="1685"/>
      <c r="AF219" s="1666"/>
      <c r="AG219" s="1666"/>
      <c r="AH219" s="1666"/>
      <c r="AI219" s="1593"/>
      <c r="AJ219" s="1593"/>
      <c r="AK219" s="1666"/>
      <c r="AL219" s="1666"/>
      <c r="AM219" s="1666"/>
      <c r="AN219" s="1593"/>
      <c r="AO219" s="1593"/>
      <c r="AP219" s="1666"/>
      <c r="AQ219" s="1666"/>
      <c r="AR219" s="1666"/>
      <c r="AS219" s="1593"/>
      <c r="AT219" s="1593"/>
      <c r="AU219" s="1666"/>
      <c r="AV219" s="1666"/>
      <c r="AW219" s="1667"/>
      <c r="AX219" s="1686"/>
      <c r="AY219" s="1687"/>
      <c r="AZ219" s="1667"/>
      <c r="BA219" s="1667"/>
      <c r="BB219" s="1667"/>
      <c r="BC219" s="1667"/>
      <c r="BD219" s="1687"/>
      <c r="BE219" s="1667"/>
      <c r="BF219" s="1667"/>
      <c r="BG219" s="1667"/>
      <c r="BH219" s="1667"/>
      <c r="BI219" s="1687"/>
      <c r="BJ219" s="1667"/>
      <c r="BK219" s="1667"/>
      <c r="BL219" s="1667"/>
      <c r="BM219" s="1667"/>
      <c r="BN219" s="1594"/>
      <c r="BO219" s="1667"/>
      <c r="BP219" s="1667"/>
      <c r="BQ219" s="1667"/>
      <c r="BR219" s="1667"/>
      <c r="BS219" s="1594"/>
      <c r="BT219" s="1667"/>
      <c r="BU219" s="1667"/>
      <c r="BV219" s="1667"/>
      <c r="BW219" s="1667"/>
      <c r="BX219" s="1594"/>
      <c r="BY219" s="1594"/>
      <c r="BZ219" s="1594"/>
      <c r="CA219" s="1594"/>
      <c r="CD219" s="785"/>
      <c r="CF219" s="1590"/>
      <c r="CG219" s="1591"/>
      <c r="CH219" s="1592"/>
      <c r="CI219" s="1592"/>
      <c r="CJ219" s="1592"/>
      <c r="CK219" s="1592"/>
      <c r="CL219" s="1593"/>
      <c r="CM219" s="1593"/>
      <c r="CN219" s="1593"/>
      <c r="CO219" s="1593"/>
      <c r="CP219" s="1593"/>
      <c r="CQ219" s="1593"/>
      <c r="CR219" s="1593"/>
      <c r="CS219" s="1593"/>
      <c r="CT219" s="1687"/>
      <c r="CU219" s="1687"/>
      <c r="CV219" s="1689"/>
      <c r="CW219" s="1594"/>
      <c r="CX219" s="1594"/>
      <c r="CY219" s="1594"/>
      <c r="CZ219" s="1594"/>
      <c r="DA219" s="1594"/>
      <c r="DB219" s="1594"/>
    </row>
    <row r="220" spans="1:106" ht="11.25" customHeight="1" collapsed="1">
      <c r="A220" s="1485"/>
      <c r="B220" s="1286"/>
      <c r="C220" s="1286"/>
      <c r="D220" s="1286"/>
      <c r="E220" s="1286"/>
      <c r="F220" s="1286"/>
      <c r="G220" s="1276"/>
      <c r="H220" s="1276"/>
      <c r="I220" s="1276"/>
      <c r="J220" s="1276"/>
      <c r="K220" s="1678"/>
      <c r="L220" s="1276"/>
      <c r="M220" s="1276"/>
      <c r="N220" s="1276"/>
      <c r="O220" s="1276"/>
      <c r="P220" s="1678"/>
      <c r="Q220" s="1276"/>
      <c r="R220" s="1276"/>
      <c r="S220" s="1276"/>
      <c r="T220" s="1276"/>
      <c r="U220" s="1678"/>
      <c r="V220" s="1276"/>
      <c r="W220" s="1276"/>
      <c r="X220" s="1276"/>
      <c r="Y220" s="1276"/>
      <c r="Z220" s="1678"/>
      <c r="AA220" s="1610"/>
      <c r="AB220" s="1610"/>
      <c r="AC220" s="1610"/>
      <c r="AD220" s="1610"/>
      <c r="AE220" s="1678"/>
      <c r="AF220" s="1276"/>
      <c r="AG220" s="1276"/>
      <c r="AH220" s="1276"/>
      <c r="AI220" s="1276"/>
      <c r="AJ220" s="1678"/>
      <c r="AK220" s="1276"/>
      <c r="AL220" s="1276"/>
      <c r="AM220" s="1276"/>
      <c r="AN220" s="1276"/>
      <c r="AO220" s="1682"/>
      <c r="AP220" s="1681"/>
      <c r="AQ220" s="1681"/>
      <c r="AR220" s="1681"/>
      <c r="AS220" s="1681"/>
      <c r="AT220" s="1682"/>
      <c r="AU220" s="1681"/>
      <c r="AV220" s="1681"/>
      <c r="AW220" s="1681"/>
      <c r="AX220" s="1681"/>
      <c r="AY220" s="1682"/>
      <c r="AZ220" s="1681"/>
      <c r="BA220" s="1681"/>
      <c r="BB220" s="1681"/>
      <c r="BC220" s="1681"/>
      <c r="BD220" s="1682"/>
      <c r="BE220" s="1681"/>
      <c r="BF220" s="1681"/>
      <c r="BG220" s="1681"/>
      <c r="BH220" s="1690"/>
      <c r="BI220" s="1682"/>
      <c r="BJ220" s="1681"/>
      <c r="BK220" s="1681"/>
      <c r="BL220" s="1681"/>
      <c r="BM220" s="1681"/>
      <c r="BN220" s="1682"/>
      <c r="BO220" s="1681"/>
      <c r="BP220" s="1681"/>
      <c r="BQ220" s="1681"/>
      <c r="BR220" s="1681"/>
      <c r="BS220" s="1682"/>
      <c r="BT220" s="1681"/>
      <c r="BU220" s="1681"/>
      <c r="BV220" s="1681"/>
      <c r="BW220" s="1681"/>
      <c r="BX220" s="1682"/>
      <c r="BY220" s="1682"/>
      <c r="BZ220" s="1682"/>
      <c r="CA220" s="1691"/>
      <c r="CF220" s="1487"/>
      <c r="CG220" s="1286"/>
      <c r="CH220" s="1286"/>
      <c r="CI220" s="1286"/>
      <c r="CJ220" s="1286"/>
      <c r="CK220" s="1286"/>
      <c r="CL220" s="1276"/>
      <c r="CM220" s="1610"/>
      <c r="CN220" s="1342"/>
      <c r="CO220" s="1342"/>
      <c r="CP220" s="1342"/>
      <c r="CQ220" s="1342"/>
      <c r="CR220" s="1342"/>
      <c r="CS220" s="1342"/>
      <c r="CT220" s="1277"/>
      <c r="CU220" s="1277"/>
      <c r="CV220" s="1277"/>
      <c r="CW220" s="1669"/>
      <c r="CX220" s="1669"/>
      <c r="CY220" s="1669"/>
      <c r="CZ220" s="1669"/>
      <c r="DA220" s="1669"/>
      <c r="DB220" s="1669"/>
    </row>
    <row r="221" spans="1:106" ht="11.25" customHeight="1">
      <c r="A221" s="788" t="s">
        <v>342</v>
      </c>
      <c r="B221" s="1286"/>
      <c r="C221" s="1286"/>
      <c r="D221" s="1286"/>
      <c r="E221" s="1286"/>
      <c r="F221" s="1286"/>
      <c r="G221" s="1276"/>
      <c r="H221" s="1276"/>
      <c r="I221" s="1276"/>
      <c r="J221" s="1276"/>
      <c r="K221" s="1678"/>
      <c r="L221" s="1276"/>
      <c r="M221" s="1276"/>
      <c r="N221" s="1276"/>
      <c r="O221" s="1276"/>
      <c r="P221" s="1678"/>
      <c r="Q221" s="1276"/>
      <c r="R221" s="1276"/>
      <c r="S221" s="1276"/>
      <c r="T221" s="1276"/>
      <c r="U221" s="1678"/>
      <c r="V221" s="1276"/>
      <c r="W221" s="1276"/>
      <c r="X221" s="1276"/>
      <c r="Y221" s="1276"/>
      <c r="Z221" s="1678"/>
      <c r="AA221" s="1610"/>
      <c r="AB221" s="1610"/>
      <c r="AC221" s="1610"/>
      <c r="AD221" s="1610"/>
      <c r="AE221" s="1678"/>
      <c r="AF221" s="1276"/>
      <c r="AG221" s="1276"/>
      <c r="AH221" s="1276"/>
      <c r="AI221" s="1276"/>
      <c r="AJ221" s="1678"/>
      <c r="AK221" s="1276"/>
      <c r="AL221" s="1276"/>
      <c r="AM221" s="1276"/>
      <c r="AN221" s="1276"/>
      <c r="AO221" s="1682"/>
      <c r="AP221" s="1681"/>
      <c r="AQ221" s="1681"/>
      <c r="AR221" s="1681"/>
      <c r="AS221" s="1681"/>
      <c r="AT221" s="1682"/>
      <c r="AU221" s="1681"/>
      <c r="AV221" s="1681"/>
      <c r="AW221" s="1681"/>
      <c r="AX221" s="1681"/>
      <c r="AY221" s="1682"/>
      <c r="AZ221" s="1681"/>
      <c r="BA221" s="1681"/>
      <c r="BB221" s="1681"/>
      <c r="BC221" s="1681"/>
      <c r="BD221" s="1682"/>
      <c r="BE221" s="1681"/>
      <c r="BF221" s="1681"/>
      <c r="BG221" s="1681"/>
      <c r="BH221" s="1680">
        <f>+BH213-BH222</f>
        <v>722.52</v>
      </c>
      <c r="BI221" s="1682"/>
      <c r="BJ221" s="1680">
        <f>+BJ213-BJ222</f>
        <v>700</v>
      </c>
      <c r="BK221" s="1680">
        <f>+BK213-BK222</f>
        <v>713</v>
      </c>
      <c r="BL221" s="1680">
        <f>+BL213-BL222</f>
        <v>698</v>
      </c>
      <c r="BM221" s="1680">
        <f>+BM213-BM222</f>
        <v>643</v>
      </c>
      <c r="BN221" s="1669">
        <f>+SUM(BJ221:BM221)</f>
        <v>2754</v>
      </c>
      <c r="BO221" s="1680">
        <f>+BO213-BO222</f>
        <v>634</v>
      </c>
      <c r="BP221" s="1681"/>
      <c r="BQ221" s="1681"/>
      <c r="BR221" s="1681"/>
      <c r="BS221" s="1682"/>
      <c r="BT221" s="1681"/>
      <c r="BU221" s="1681"/>
      <c r="BV221" s="1681"/>
      <c r="BW221" s="1681"/>
      <c r="BX221" s="1682"/>
      <c r="BY221" s="1682"/>
      <c r="BZ221" s="1682"/>
      <c r="CA221" s="1691"/>
      <c r="CF221" s="1487"/>
      <c r="CG221" s="1286"/>
      <c r="CH221" s="1286"/>
      <c r="CI221" s="1286"/>
      <c r="CJ221" s="1286"/>
      <c r="CK221" s="1286"/>
      <c r="CL221" s="1276"/>
      <c r="CM221" s="1610"/>
      <c r="CN221" s="1342"/>
      <c r="CO221" s="1342"/>
      <c r="CP221" s="1342"/>
      <c r="CQ221" s="1342"/>
      <c r="CR221" s="1342"/>
      <c r="CS221" s="1342"/>
      <c r="CT221" s="1277"/>
      <c r="CU221" s="1277"/>
      <c r="CV221" s="1277"/>
      <c r="CW221" s="1669"/>
      <c r="CX221" s="1669"/>
      <c r="CY221" s="1669"/>
      <c r="CZ221" s="1669"/>
      <c r="DA221" s="1669"/>
      <c r="DB221" s="1669"/>
    </row>
    <row r="222" spans="1:106" ht="11.25" customHeight="1">
      <c r="A222" s="769" t="s">
        <v>343</v>
      </c>
      <c r="B222" s="1286"/>
      <c r="C222" s="1286"/>
      <c r="D222" s="1286"/>
      <c r="E222" s="1286"/>
      <c r="F222" s="1286"/>
      <c r="G222" s="1276"/>
      <c r="H222" s="1276"/>
      <c r="I222" s="1276"/>
      <c r="J222" s="1276"/>
      <c r="K222" s="1678"/>
      <c r="L222" s="1276"/>
      <c r="M222" s="1276"/>
      <c r="N222" s="1276"/>
      <c r="O222" s="1276"/>
      <c r="P222" s="1678"/>
      <c r="Q222" s="1276"/>
      <c r="R222" s="1276"/>
      <c r="S222" s="1276"/>
      <c r="T222" s="1276"/>
      <c r="U222" s="1678"/>
      <c r="V222" s="1276"/>
      <c r="W222" s="1276"/>
      <c r="X222" s="1276"/>
      <c r="Y222" s="1276"/>
      <c r="Z222" s="1678"/>
      <c r="AA222" s="1610"/>
      <c r="AB222" s="1610"/>
      <c r="AC222" s="1610"/>
      <c r="AD222" s="1610"/>
      <c r="AE222" s="1678"/>
      <c r="AF222" s="1276"/>
      <c r="AG222" s="1276"/>
      <c r="AH222" s="1276"/>
      <c r="AI222" s="1276"/>
      <c r="AJ222" s="1678"/>
      <c r="AK222" s="1276"/>
      <c r="AL222" s="1276"/>
      <c r="AM222" s="1276"/>
      <c r="AN222" s="1276"/>
      <c r="AO222" s="1682"/>
      <c r="AP222" s="1681"/>
      <c r="AQ222" s="1681"/>
      <c r="AR222" s="1681"/>
      <c r="AS222" s="1681"/>
      <c r="AT222" s="1682"/>
      <c r="AU222" s="1681"/>
      <c r="AV222" s="1681"/>
      <c r="AW222" s="1681"/>
      <c r="AX222" s="1681"/>
      <c r="AY222" s="1682"/>
      <c r="AZ222" s="1681"/>
      <c r="BA222" s="1681"/>
      <c r="BB222" s="1681"/>
      <c r="BC222" s="1681"/>
      <c r="BD222" s="1682"/>
      <c r="BE222" s="1681"/>
      <c r="BF222" s="1681"/>
      <c r="BG222" s="1681"/>
      <c r="BH222" s="1679">
        <f>+(BH216-BH215)*BC213</f>
        <v>-127.52000000000002</v>
      </c>
      <c r="BI222" s="1682"/>
      <c r="BJ222" s="2100">
        <f>-118+11</f>
        <v>-107</v>
      </c>
      <c r="BK222" s="2100">
        <f>-118+11</f>
        <v>-107</v>
      </c>
      <c r="BL222" s="2173">
        <f>-92+9</f>
        <v>-83</v>
      </c>
      <c r="BM222" s="2181">
        <v>-6</v>
      </c>
      <c r="BN222" s="1669">
        <f>+SUM(BJ222:BM222)</f>
        <v>-303</v>
      </c>
      <c r="BO222" s="2262">
        <f>BO254+BO374</f>
        <v>-1</v>
      </c>
      <c r="BP222" s="1681"/>
      <c r="BQ222" s="1681"/>
      <c r="BR222" s="1681"/>
      <c r="BS222" s="1682"/>
      <c r="BT222" s="1681"/>
      <c r="BU222" s="1681"/>
      <c r="BV222" s="1681"/>
      <c r="BW222" s="1681"/>
      <c r="BX222" s="1682"/>
      <c r="BY222" s="1682"/>
      <c r="BZ222" s="1682"/>
      <c r="CA222" s="1691"/>
      <c r="CF222" s="1487"/>
      <c r="CG222" s="1286"/>
      <c r="CH222" s="1286"/>
      <c r="CI222" s="1286"/>
      <c r="CJ222" s="1286"/>
      <c r="CK222" s="1286"/>
      <c r="CL222" s="1276"/>
      <c r="CM222" s="1610"/>
      <c r="CN222" s="1342"/>
      <c r="CO222" s="1342"/>
      <c r="CP222" s="1342"/>
      <c r="CQ222" s="1342"/>
      <c r="CR222" s="1342"/>
      <c r="CS222" s="1342"/>
      <c r="CT222" s="1277"/>
      <c r="CU222" s="1277"/>
      <c r="CV222" s="1277"/>
      <c r="CW222" s="1669"/>
      <c r="CX222" s="1669"/>
      <c r="CY222" s="1669"/>
      <c r="CZ222" s="1669"/>
      <c r="DA222" s="1669"/>
      <c r="DB222" s="1669"/>
    </row>
    <row r="223" spans="1:106" ht="11.25" customHeight="1">
      <c r="A223" s="1485"/>
      <c r="B223" s="1286"/>
      <c r="C223" s="1286"/>
      <c r="D223" s="1286"/>
      <c r="E223" s="1286"/>
      <c r="F223" s="1286"/>
      <c r="G223" s="1276"/>
      <c r="H223" s="1276"/>
      <c r="I223" s="1276"/>
      <c r="J223" s="1276"/>
      <c r="K223" s="1678"/>
      <c r="L223" s="1276"/>
      <c r="M223" s="1276"/>
      <c r="N223" s="1276"/>
      <c r="O223" s="1276"/>
      <c r="P223" s="1678"/>
      <c r="Q223" s="1276"/>
      <c r="R223" s="1276"/>
      <c r="S223" s="1276"/>
      <c r="T223" s="1276"/>
      <c r="U223" s="1678"/>
      <c r="V223" s="1276"/>
      <c r="W223" s="1276"/>
      <c r="X223" s="1276"/>
      <c r="Y223" s="1276"/>
      <c r="Z223" s="1678"/>
      <c r="AA223" s="1610"/>
      <c r="AB223" s="1610"/>
      <c r="AC223" s="1610"/>
      <c r="AD223" s="1610"/>
      <c r="AE223" s="1678"/>
      <c r="AF223" s="1276"/>
      <c r="AG223" s="1276"/>
      <c r="AH223" s="1276"/>
      <c r="AI223" s="1276"/>
      <c r="AJ223" s="1678"/>
      <c r="AK223" s="1276"/>
      <c r="AL223" s="1276"/>
      <c r="AM223" s="1276"/>
      <c r="AN223" s="1276"/>
      <c r="AO223" s="1682"/>
      <c r="AP223" s="1681"/>
      <c r="AQ223" s="1681"/>
      <c r="AR223" s="1681"/>
      <c r="AS223" s="1681"/>
      <c r="AT223" s="1682"/>
      <c r="AU223" s="1681"/>
      <c r="AV223" s="1681"/>
      <c r="AW223" s="1681"/>
      <c r="AX223" s="1681"/>
      <c r="AY223" s="1682"/>
      <c r="AZ223" s="1681"/>
      <c r="BA223" s="1681"/>
      <c r="BB223" s="1681"/>
      <c r="BC223" s="1681"/>
      <c r="BD223" s="1682"/>
      <c r="BE223" s="1681"/>
      <c r="BF223" s="1681"/>
      <c r="BG223" s="1681"/>
      <c r="BH223" s="1681"/>
      <c r="BI223" s="1682"/>
      <c r="BJ223" s="1681"/>
      <c r="BK223" s="1681"/>
      <c r="BL223" s="1681"/>
      <c r="BM223" s="1681"/>
      <c r="BN223" s="1682"/>
      <c r="BO223" s="1681"/>
      <c r="BP223" s="1681"/>
      <c r="BQ223" s="1681"/>
      <c r="BR223" s="1681"/>
      <c r="BS223" s="1682"/>
      <c r="BT223" s="1681"/>
      <c r="BU223" s="1681"/>
      <c r="BV223" s="1681"/>
      <c r="BW223" s="1681"/>
      <c r="BX223" s="1682"/>
      <c r="BY223" s="1682"/>
      <c r="BZ223" s="1682"/>
      <c r="CA223" s="1691"/>
      <c r="CF223" s="1487"/>
      <c r="CG223" s="1286"/>
      <c r="CH223" s="1286"/>
      <c r="CI223" s="1286"/>
      <c r="CJ223" s="1286"/>
      <c r="CK223" s="1286"/>
      <c r="CL223" s="1276"/>
      <c r="CM223" s="1610"/>
      <c r="CN223" s="1342"/>
      <c r="CO223" s="1342"/>
      <c r="CP223" s="1342"/>
      <c r="CQ223" s="1342"/>
      <c r="CR223" s="1342"/>
      <c r="CS223" s="1342"/>
      <c r="CT223" s="1277"/>
      <c r="CU223" s="1277"/>
      <c r="CV223" s="1277"/>
      <c r="CW223" s="1669"/>
      <c r="CX223" s="1669"/>
      <c r="CY223" s="1669"/>
      <c r="CZ223" s="1669"/>
      <c r="DA223" s="1669"/>
      <c r="DB223" s="1669"/>
    </row>
    <row r="224" spans="1:106" ht="11.25" customHeight="1">
      <c r="A224" s="762" t="s">
        <v>339</v>
      </c>
      <c r="B224" s="1286"/>
      <c r="C224" s="1286"/>
      <c r="D224" s="1286"/>
      <c r="E224" s="1286"/>
      <c r="F224" s="1286"/>
      <c r="G224" s="1276"/>
      <c r="H224" s="1276"/>
      <c r="I224" s="1276"/>
      <c r="J224" s="1276"/>
      <c r="K224" s="1678"/>
      <c r="L224" s="1276"/>
      <c r="M224" s="1276"/>
      <c r="N224" s="1276"/>
      <c r="O224" s="1276"/>
      <c r="P224" s="1678"/>
      <c r="Q224" s="1276"/>
      <c r="R224" s="1276"/>
      <c r="S224" s="1276"/>
      <c r="T224" s="1276"/>
      <c r="U224" s="1678"/>
      <c r="V224" s="1276"/>
      <c r="W224" s="1276"/>
      <c r="X224" s="1276"/>
      <c r="Y224" s="1276"/>
      <c r="Z224" s="1678"/>
      <c r="AA224" s="1610"/>
      <c r="AB224" s="1610"/>
      <c r="AC224" s="1610"/>
      <c r="AD224" s="1610"/>
      <c r="AE224" s="1678"/>
      <c r="AF224" s="1276"/>
      <c r="AG224" s="1276"/>
      <c r="AH224" s="1276"/>
      <c r="AI224" s="1276"/>
      <c r="AJ224" s="1678"/>
      <c r="AK224" s="1679">
        <f t="shared" ref="AK224:AS224" si="296">+AK256+AK389</f>
        <v>367</v>
      </c>
      <c r="AL224" s="1679">
        <f t="shared" si="296"/>
        <v>326</v>
      </c>
      <c r="AM224" s="1679">
        <f t="shared" si="296"/>
        <v>325</v>
      </c>
      <c r="AN224" s="1679">
        <f t="shared" si="296"/>
        <v>338</v>
      </c>
      <c r="AO224" s="1324">
        <f t="shared" si="296"/>
        <v>1312</v>
      </c>
      <c r="AP224" s="1679">
        <f t="shared" si="296"/>
        <v>321</v>
      </c>
      <c r="AQ224" s="1679">
        <f t="shared" si="296"/>
        <v>337</v>
      </c>
      <c r="AR224" s="1679">
        <f t="shared" si="296"/>
        <v>291</v>
      </c>
      <c r="AS224" s="1679">
        <f t="shared" si="296"/>
        <v>340</v>
      </c>
      <c r="AT224" s="1324">
        <f>+SUM(AP224:AS224)</f>
        <v>1289</v>
      </c>
      <c r="AU224" s="1679">
        <f>+AU256+AU389</f>
        <v>294</v>
      </c>
      <c r="AV224" s="1679">
        <f>+AV256+AV389</f>
        <v>300</v>
      </c>
      <c r="AW224" s="1679">
        <f>+AW256+AW389</f>
        <v>305</v>
      </c>
      <c r="AX224" s="1679">
        <f>+AX256+AX389</f>
        <v>311</v>
      </c>
      <c r="AY224" s="1324">
        <f>+SUM(AU224:AX224)</f>
        <v>1210</v>
      </c>
      <c r="AZ224" s="1679">
        <f>+AZ256+AZ389</f>
        <v>310</v>
      </c>
      <c r="BA224" s="1679">
        <f>+BA256+BA389</f>
        <v>314</v>
      </c>
      <c r="BB224" s="1679">
        <f>+BB256+BB389</f>
        <v>352</v>
      </c>
      <c r="BC224" s="1679">
        <f>+BC256+BC389</f>
        <v>393</v>
      </c>
      <c r="BD224" s="1324">
        <f>+SUM(AZ224:BC224)</f>
        <v>1369</v>
      </c>
      <c r="BE224" s="1679">
        <f>+BE256+BE389</f>
        <v>396</v>
      </c>
      <c r="BF224" s="1679">
        <f>+BF256+BF389</f>
        <v>397</v>
      </c>
      <c r="BG224" s="1679">
        <f>+BG256+BG389</f>
        <v>393</v>
      </c>
      <c r="BH224" s="2100">
        <v>336</v>
      </c>
      <c r="BI224" s="1324">
        <f>+SUM(BE224:BH224)</f>
        <v>1522</v>
      </c>
      <c r="BJ224" s="2099">
        <v>343</v>
      </c>
      <c r="BK224" s="2100">
        <v>353</v>
      </c>
      <c r="BL224" s="2181">
        <v>349</v>
      </c>
      <c r="BM224" s="2181">
        <v>351</v>
      </c>
      <c r="BN224" s="1324">
        <f>+SUM(BJ224:BM224)</f>
        <v>1396</v>
      </c>
      <c r="BO224" s="2257">
        <f>BO256+BO389</f>
        <v>359</v>
      </c>
      <c r="BP224" s="1679"/>
      <c r="BQ224" s="1679"/>
      <c r="BR224" s="1679"/>
      <c r="BS224" s="1324"/>
      <c r="BT224" s="1679"/>
      <c r="BU224" s="1679"/>
      <c r="BV224" s="1679"/>
      <c r="BW224" s="1679"/>
      <c r="BX224" s="1324"/>
      <c r="BY224" s="1324"/>
      <c r="BZ224" s="1324"/>
      <c r="CA224" s="1323"/>
      <c r="CF224" s="1487"/>
      <c r="CG224" s="1286"/>
      <c r="CH224" s="1286"/>
      <c r="CI224" s="1286"/>
      <c r="CJ224" s="1286"/>
      <c r="CK224" s="1286"/>
      <c r="CL224" s="1276"/>
      <c r="CM224" s="1610"/>
      <c r="CN224" s="1342"/>
      <c r="CO224" s="1342"/>
      <c r="CP224" s="1342"/>
      <c r="CQ224" s="1342"/>
      <c r="CR224" s="1342"/>
      <c r="CS224" s="1342"/>
      <c r="CT224" s="1277"/>
      <c r="CU224" s="1277"/>
      <c r="CV224" s="1277"/>
      <c r="CW224" s="1669"/>
      <c r="CX224" s="1669"/>
      <c r="CY224" s="1669"/>
      <c r="CZ224" s="1669"/>
      <c r="DA224" s="1669"/>
      <c r="DB224" s="1669"/>
    </row>
    <row r="225" spans="1:106" ht="11.25" customHeight="1">
      <c r="A225" s="1618" t="s">
        <v>288</v>
      </c>
      <c r="B225" s="1286"/>
      <c r="C225" s="1286"/>
      <c r="D225" s="1286"/>
      <c r="E225" s="1286"/>
      <c r="F225" s="1286"/>
      <c r="G225" s="1276"/>
      <c r="H225" s="1276"/>
      <c r="I225" s="1276"/>
      <c r="J225" s="1276"/>
      <c r="K225" s="1678"/>
      <c r="L225" s="1276"/>
      <c r="M225" s="1276"/>
      <c r="N225" s="1276"/>
      <c r="O225" s="1276"/>
      <c r="P225" s="1678"/>
      <c r="Q225" s="1276"/>
      <c r="R225" s="1276"/>
      <c r="S225" s="1276"/>
      <c r="T225" s="1276"/>
      <c r="U225" s="1678"/>
      <c r="V225" s="1276"/>
      <c r="W225" s="1276"/>
      <c r="X225" s="1276"/>
      <c r="Y225" s="1276"/>
      <c r="Z225" s="1678"/>
      <c r="AA225" s="1610"/>
      <c r="AB225" s="1610"/>
      <c r="AC225" s="1610"/>
      <c r="AD225" s="1610"/>
      <c r="AE225" s="1678"/>
      <c r="AF225" s="1276"/>
      <c r="AG225" s="1276"/>
      <c r="AH225" s="1276"/>
      <c r="AI225" s="1276"/>
      <c r="AJ225" s="1678"/>
      <c r="AK225" s="1276"/>
      <c r="AL225" s="1276"/>
      <c r="AM225" s="1276"/>
      <c r="AN225" s="1276"/>
      <c r="AO225" s="1678"/>
      <c r="AP225" s="1681">
        <f t="shared" ref="AP225:BL225" si="297">+AP224/AK224-1</f>
        <v>-0.12534059945504084</v>
      </c>
      <c r="AQ225" s="1681">
        <f t="shared" si="297"/>
        <v>3.3742331288343586E-2</v>
      </c>
      <c r="AR225" s="1681">
        <f t="shared" si="297"/>
        <v>-0.10461538461538467</v>
      </c>
      <c r="AS225" s="1681">
        <f t="shared" si="297"/>
        <v>5.9171597633136397E-3</v>
      </c>
      <c r="AT225" s="1682">
        <f t="shared" si="297"/>
        <v>-1.7530487804878092E-2</v>
      </c>
      <c r="AU225" s="1681">
        <f t="shared" si="297"/>
        <v>-8.411214953271029E-2</v>
      </c>
      <c r="AV225" s="1681">
        <f t="shared" si="297"/>
        <v>-0.10979228486646886</v>
      </c>
      <c r="AW225" s="1681">
        <f t="shared" si="297"/>
        <v>4.8109965635738883E-2</v>
      </c>
      <c r="AX225" s="1681">
        <f t="shared" si="297"/>
        <v>-8.5294117647058854E-2</v>
      </c>
      <c r="AY225" s="1682">
        <f t="shared" si="297"/>
        <v>-6.1287820015515915E-2</v>
      </c>
      <c r="AZ225" s="1681">
        <f t="shared" si="297"/>
        <v>5.4421768707483054E-2</v>
      </c>
      <c r="BA225" s="1681">
        <f t="shared" si="297"/>
        <v>4.6666666666666634E-2</v>
      </c>
      <c r="BB225" s="1681">
        <f t="shared" si="297"/>
        <v>0.15409836065573779</v>
      </c>
      <c r="BC225" s="1681">
        <f t="shared" si="297"/>
        <v>0.2636655948553055</v>
      </c>
      <c r="BD225" s="1682">
        <f t="shared" si="297"/>
        <v>0.13140495867768598</v>
      </c>
      <c r="BE225" s="1681">
        <f t="shared" si="297"/>
        <v>0.27741935483870961</v>
      </c>
      <c r="BF225" s="1681">
        <f t="shared" si="297"/>
        <v>0.26433121019108285</v>
      </c>
      <c r="BG225" s="1681">
        <f t="shared" si="297"/>
        <v>0.11647727272727271</v>
      </c>
      <c r="BH225" s="1681">
        <f t="shared" si="297"/>
        <v>-0.14503816793893132</v>
      </c>
      <c r="BI225" s="1682">
        <f t="shared" si="297"/>
        <v>0.11176040905770646</v>
      </c>
      <c r="BJ225" s="1683">
        <f t="shared" si="297"/>
        <v>-0.13383838383838387</v>
      </c>
      <c r="BK225" s="1681">
        <f t="shared" si="297"/>
        <v>-0.11083123425692698</v>
      </c>
      <c r="BL225" s="1681">
        <f t="shared" si="297"/>
        <v>-0.11195928753180662</v>
      </c>
      <c r="BM225" s="1681">
        <f t="shared" ref="BM225" si="298">+BM224/BH224-1</f>
        <v>4.4642857142857206E-2</v>
      </c>
      <c r="BN225" s="1682">
        <f t="shared" ref="BN225:BO225" si="299">+BN224/BI224-1</f>
        <v>-8.2785808147174733E-2</v>
      </c>
      <c r="BO225" s="2258">
        <f t="shared" si="299"/>
        <v>4.6647230320699729E-2</v>
      </c>
      <c r="BP225" s="1681"/>
      <c r="BQ225" s="1681"/>
      <c r="BR225" s="1681"/>
      <c r="BS225" s="1682"/>
      <c r="BT225" s="1681"/>
      <c r="BU225" s="1681"/>
      <c r="BV225" s="1681"/>
      <c r="BW225" s="1681"/>
      <c r="BX225" s="1682"/>
      <c r="BY225" s="1682"/>
      <c r="BZ225" s="1682"/>
      <c r="CA225" s="1682"/>
      <c r="CF225" s="1487"/>
      <c r="CG225" s="1286"/>
      <c r="CH225" s="1286"/>
      <c r="CI225" s="1286"/>
      <c r="CJ225" s="1286"/>
      <c r="CK225" s="1286"/>
      <c r="CL225" s="1276"/>
      <c r="CM225" s="1610"/>
      <c r="CN225" s="1342"/>
      <c r="CO225" s="1342"/>
      <c r="CP225" s="1342"/>
      <c r="CQ225" s="1342"/>
      <c r="CR225" s="1342"/>
      <c r="CS225" s="1342"/>
      <c r="CT225" s="1277"/>
      <c r="CU225" s="1277"/>
      <c r="CV225" s="1277"/>
      <c r="CW225" s="1669"/>
      <c r="CX225" s="1669"/>
      <c r="CY225" s="1669"/>
      <c r="CZ225" s="1669"/>
      <c r="DA225" s="1669"/>
      <c r="DB225" s="1669"/>
    </row>
    <row r="226" spans="1:106" ht="11.25" customHeight="1">
      <c r="A226" s="1485" t="s">
        <v>330</v>
      </c>
      <c r="B226" s="1286"/>
      <c r="C226" s="1286"/>
      <c r="D226" s="1286"/>
      <c r="E226" s="1286"/>
      <c r="F226" s="1286"/>
      <c r="G226" s="1276"/>
      <c r="H226" s="1276"/>
      <c r="I226" s="1276"/>
      <c r="J226" s="1276"/>
      <c r="K226" s="1678"/>
      <c r="L226" s="1276"/>
      <c r="M226" s="1276"/>
      <c r="N226" s="1276"/>
      <c r="O226" s="1276"/>
      <c r="P226" s="1678"/>
      <c r="Q226" s="1276"/>
      <c r="R226" s="1276"/>
      <c r="S226" s="1276"/>
      <c r="T226" s="1276"/>
      <c r="U226" s="1678"/>
      <c r="V226" s="1276"/>
      <c r="W226" s="1276"/>
      <c r="X226" s="1276"/>
      <c r="Y226" s="1276"/>
      <c r="Z226" s="1678"/>
      <c r="AA226" s="1610"/>
      <c r="AB226" s="1610"/>
      <c r="AC226" s="1610"/>
      <c r="AD226" s="1610"/>
      <c r="AE226" s="1678"/>
      <c r="AF226" s="1276"/>
      <c r="AG226" s="1276"/>
      <c r="AH226" s="1276"/>
      <c r="AI226" s="1276"/>
      <c r="AJ226" s="1678"/>
      <c r="AK226" s="1276"/>
      <c r="AL226" s="1276"/>
      <c r="AM226" s="1276"/>
      <c r="AN226" s="1276"/>
      <c r="AO226" s="1678"/>
      <c r="AP226" s="1681">
        <f>+AP224/AP$213</f>
        <v>0.61259541984732824</v>
      </c>
      <c r="AQ226" s="1681">
        <f t="shared" ref="AQ226:BH226" si="300">+AQ224/AQ$213</f>
        <v>0.61721611721611724</v>
      </c>
      <c r="AR226" s="1681">
        <f t="shared" si="300"/>
        <v>0.57509881422924902</v>
      </c>
      <c r="AS226" s="1681">
        <f t="shared" si="300"/>
        <v>0.65259117082533591</v>
      </c>
      <c r="AT226" s="1682">
        <f t="shared" si="300"/>
        <v>0.61468764902241302</v>
      </c>
      <c r="AU226" s="1681">
        <f t="shared" si="300"/>
        <v>0.57421875</v>
      </c>
      <c r="AV226" s="1681">
        <f t="shared" si="300"/>
        <v>0.57034220532319391</v>
      </c>
      <c r="AW226" s="1681">
        <f t="shared" si="300"/>
        <v>0.56691449814126393</v>
      </c>
      <c r="AX226" s="1681">
        <f t="shared" si="300"/>
        <v>0.56137184115523464</v>
      </c>
      <c r="AY226" s="1682">
        <f t="shared" si="300"/>
        <v>0.568075117370892</v>
      </c>
      <c r="AZ226" s="1681">
        <f t="shared" si="300"/>
        <v>0.56880733944954132</v>
      </c>
      <c r="BA226" s="1681">
        <f t="shared" si="300"/>
        <v>0.56272401433691754</v>
      </c>
      <c r="BB226" s="1681">
        <f t="shared" si="300"/>
        <v>0.58278145695364236</v>
      </c>
      <c r="BC226" s="1681">
        <f t="shared" si="300"/>
        <v>0.58744394618834084</v>
      </c>
      <c r="BD226" s="1682">
        <f t="shared" si="300"/>
        <v>0.57617845117845112</v>
      </c>
      <c r="BE226" s="1681">
        <f t="shared" si="300"/>
        <v>0.59909228441754914</v>
      </c>
      <c r="BF226" s="1681">
        <f t="shared" si="300"/>
        <v>0.59165424739195227</v>
      </c>
      <c r="BG226" s="1681">
        <f t="shared" si="300"/>
        <v>0.59726443768996962</v>
      </c>
      <c r="BH226" s="1681">
        <f t="shared" si="300"/>
        <v>0.56470588235294117</v>
      </c>
      <c r="BI226" s="1682">
        <f>+BI224/BI$213</f>
        <v>0.5887814313346228</v>
      </c>
      <c r="BJ226" s="1683">
        <f>+BJ224/BJ$213</f>
        <v>0.57841483979763908</v>
      </c>
      <c r="BK226" s="1681">
        <f>+BK224/BK$213</f>
        <v>0.58250825082508251</v>
      </c>
      <c r="BL226" s="1681">
        <f>+BL224/BL$213</f>
        <v>0.56747967479674799</v>
      </c>
      <c r="BM226" s="1681">
        <f t="shared" ref="BM226" si="301">+BM224/BM$213</f>
        <v>0.55102040816326525</v>
      </c>
      <c r="BN226" s="1682">
        <f>+BN224/BN$213</f>
        <v>0.56956344349245203</v>
      </c>
      <c r="BO226" s="2258">
        <f>+BO224/BO$213</f>
        <v>0.56714060031595581</v>
      </c>
      <c r="BP226" s="1276"/>
      <c r="BQ226" s="1276"/>
      <c r="BR226" s="1276"/>
      <c r="BS226" s="1678"/>
      <c r="BT226" s="1276"/>
      <c r="BU226" s="1276"/>
      <c r="BV226" s="1276"/>
      <c r="BW226" s="1276"/>
      <c r="BX226" s="1678"/>
      <c r="BY226" s="1678"/>
      <c r="BZ226" s="1678"/>
      <c r="CA226" s="1670"/>
      <c r="CF226" s="1487"/>
      <c r="CG226" s="1286"/>
      <c r="CH226" s="1286"/>
      <c r="CI226" s="1286"/>
      <c r="CJ226" s="1286"/>
      <c r="CK226" s="1286"/>
      <c r="CL226" s="1276"/>
      <c r="CM226" s="1610"/>
      <c r="CN226" s="1342"/>
      <c r="CO226" s="1342"/>
      <c r="CP226" s="1342"/>
      <c r="CQ226" s="1342"/>
      <c r="CR226" s="1342"/>
      <c r="CS226" s="1342"/>
      <c r="CT226" s="1277"/>
      <c r="CU226" s="1277"/>
      <c r="CV226" s="1277"/>
      <c r="CW226" s="1669"/>
      <c r="CX226" s="1669"/>
      <c r="CY226" s="1669"/>
      <c r="CZ226" s="1669"/>
      <c r="DA226" s="1669"/>
      <c r="DB226" s="1669"/>
    </row>
    <row r="227" spans="1:106" ht="11.25" customHeight="1">
      <c r="A227" s="1618"/>
      <c r="B227" s="1286"/>
      <c r="C227" s="1286"/>
      <c r="D227" s="1286"/>
      <c r="E227" s="1286"/>
      <c r="F227" s="1286"/>
      <c r="G227" s="1276"/>
      <c r="H227" s="1276"/>
      <c r="I227" s="1276"/>
      <c r="J227" s="1276"/>
      <c r="K227" s="1678"/>
      <c r="L227" s="1276"/>
      <c r="M227" s="1276"/>
      <c r="N227" s="1276"/>
      <c r="O227" s="1276"/>
      <c r="P227" s="1678"/>
      <c r="Q227" s="1276"/>
      <c r="R227" s="1276"/>
      <c r="S227" s="1276"/>
      <c r="T227" s="1276"/>
      <c r="U227" s="1678"/>
      <c r="V227" s="1276"/>
      <c r="W227" s="1276"/>
      <c r="X227" s="1276"/>
      <c r="Y227" s="1276"/>
      <c r="Z227" s="1678"/>
      <c r="AA227" s="1610"/>
      <c r="AB227" s="1610"/>
      <c r="AC227" s="1610"/>
      <c r="AD227" s="1610"/>
      <c r="AE227" s="1678"/>
      <c r="AF227" s="1276"/>
      <c r="AG227" s="1276"/>
      <c r="AH227" s="1276"/>
      <c r="AI227" s="1276"/>
      <c r="AJ227" s="1678"/>
      <c r="AK227" s="1276"/>
      <c r="AL227" s="1276"/>
      <c r="AM227" s="1276"/>
      <c r="AN227" s="1276"/>
      <c r="AO227" s="1678"/>
      <c r="AP227" s="1276"/>
      <c r="AQ227" s="1276"/>
      <c r="AR227" s="1276"/>
      <c r="AS227" s="1276"/>
      <c r="AT227" s="1678"/>
      <c r="AU227" s="1276"/>
      <c r="AV227" s="1276"/>
      <c r="AW227" s="1276"/>
      <c r="AX227" s="1276"/>
      <c r="AY227" s="1678"/>
      <c r="AZ227" s="1276"/>
      <c r="BA227" s="1276"/>
      <c r="BB227" s="1276"/>
      <c r="BC227" s="1276"/>
      <c r="BD227" s="1678"/>
      <c r="BE227" s="1276"/>
      <c r="BF227" s="1276"/>
      <c r="BG227" s="1276"/>
      <c r="BH227" s="1276"/>
      <c r="BI227" s="1678"/>
      <c r="BJ227" s="1446"/>
      <c r="BK227" s="1276"/>
      <c r="BL227" s="1276"/>
      <c r="BM227" s="1276"/>
      <c r="BN227" s="1678"/>
      <c r="BO227" s="1855"/>
      <c r="BP227" s="1276"/>
      <c r="BQ227" s="1276"/>
      <c r="BR227" s="1276"/>
      <c r="BS227" s="1678"/>
      <c r="BT227" s="1276"/>
      <c r="BU227" s="1276"/>
      <c r="BV227" s="1276"/>
      <c r="BW227" s="1276"/>
      <c r="BX227" s="1678"/>
      <c r="BY227" s="1678"/>
      <c r="BZ227" s="1678"/>
      <c r="CA227" s="1670"/>
      <c r="CF227" s="1487"/>
      <c r="CG227" s="1286"/>
      <c r="CH227" s="1286"/>
      <c r="CI227" s="1286"/>
      <c r="CJ227" s="1286"/>
      <c r="CK227" s="1286"/>
      <c r="CL227" s="1276"/>
      <c r="CM227" s="1610"/>
      <c r="CN227" s="1342"/>
      <c r="CO227" s="1342"/>
      <c r="CP227" s="1342"/>
      <c r="CQ227" s="1342"/>
      <c r="CR227" s="1342"/>
      <c r="CS227" s="1342"/>
      <c r="CT227" s="1277"/>
      <c r="CU227" s="1277"/>
      <c r="CV227" s="1277"/>
      <c r="CW227" s="1669"/>
      <c r="CX227" s="1669"/>
      <c r="CY227" s="1669"/>
      <c r="CZ227" s="1669"/>
      <c r="DA227" s="1669"/>
      <c r="DB227" s="1669"/>
    </row>
    <row r="228" spans="1:106" ht="11.25" customHeight="1">
      <c r="A228" s="762" t="s">
        <v>340</v>
      </c>
      <c r="B228" s="1286"/>
      <c r="C228" s="1286"/>
      <c r="D228" s="1286"/>
      <c r="E228" s="1286"/>
      <c r="F228" s="1286"/>
      <c r="G228" s="1276"/>
      <c r="H228" s="1276"/>
      <c r="I228" s="1276"/>
      <c r="J228" s="1276"/>
      <c r="K228" s="1678"/>
      <c r="L228" s="1276"/>
      <c r="M228" s="1276"/>
      <c r="N228" s="1276"/>
      <c r="O228" s="1276"/>
      <c r="P228" s="1678"/>
      <c r="Q228" s="1276"/>
      <c r="R228" s="1276"/>
      <c r="S228" s="1276"/>
      <c r="T228" s="1276"/>
      <c r="U228" s="1678"/>
      <c r="V228" s="1276"/>
      <c r="W228" s="1276"/>
      <c r="X228" s="1276"/>
      <c r="Y228" s="1276"/>
      <c r="Z228" s="1678"/>
      <c r="AA228" s="1610"/>
      <c r="AB228" s="1610"/>
      <c r="AC228" s="1610"/>
      <c r="AD228" s="1610"/>
      <c r="AE228" s="1678"/>
      <c r="AF228" s="1276"/>
      <c r="AG228" s="1276"/>
      <c r="AH228" s="1276"/>
      <c r="AI228" s="1276"/>
      <c r="AJ228" s="1678"/>
      <c r="AK228" s="1679">
        <f t="shared" ref="AK228:AS228" si="302">+AK260+AK393</f>
        <v>140</v>
      </c>
      <c r="AL228" s="1679">
        <f t="shared" si="302"/>
        <v>191</v>
      </c>
      <c r="AM228" s="1679">
        <f t="shared" si="302"/>
        <v>198</v>
      </c>
      <c r="AN228" s="1679">
        <f t="shared" si="302"/>
        <v>211</v>
      </c>
      <c r="AO228" s="1324">
        <f t="shared" si="302"/>
        <v>785</v>
      </c>
      <c r="AP228" s="1679">
        <f t="shared" si="302"/>
        <v>203</v>
      </c>
      <c r="AQ228" s="1679">
        <f t="shared" si="302"/>
        <v>209</v>
      </c>
      <c r="AR228" s="1679">
        <f t="shared" si="302"/>
        <v>215</v>
      </c>
      <c r="AS228" s="1679">
        <f t="shared" si="302"/>
        <v>225</v>
      </c>
      <c r="AT228" s="1324">
        <f>+SUM(AP228:AS228)</f>
        <v>852</v>
      </c>
      <c r="AU228" s="1679">
        <f>+AU260+AU393</f>
        <v>218</v>
      </c>
      <c r="AV228" s="1679">
        <f>+AV260+AV393</f>
        <v>226</v>
      </c>
      <c r="AW228" s="1679">
        <f>+AW260+AW393</f>
        <v>233</v>
      </c>
      <c r="AX228" s="1679">
        <f>+AX260+AX393</f>
        <v>243</v>
      </c>
      <c r="AY228" s="1324">
        <f>+SUM(AU228:AX228)</f>
        <v>920</v>
      </c>
      <c r="AZ228" s="1679">
        <f>+AZ260+AZ393</f>
        <v>235</v>
      </c>
      <c r="BA228" s="1679">
        <f>+BA260+BA393</f>
        <v>244</v>
      </c>
      <c r="BB228" s="1679">
        <f>+BB260+BB393</f>
        <v>252</v>
      </c>
      <c r="BC228" s="1679">
        <f>+BC260+BC393</f>
        <v>276</v>
      </c>
      <c r="BD228" s="1324">
        <f>+SUM(AZ228:BC228)</f>
        <v>1007</v>
      </c>
      <c r="BE228" s="1679">
        <f>+BE260+BE393</f>
        <v>265</v>
      </c>
      <c r="BF228" s="1679">
        <f>+BF260+BF393</f>
        <v>274</v>
      </c>
      <c r="BG228" s="1679">
        <f>+BG260+BG393</f>
        <v>265</v>
      </c>
      <c r="BH228" s="2100">
        <v>259</v>
      </c>
      <c r="BI228" s="1324">
        <f>+SUM(BE228:BH228)</f>
        <v>1063</v>
      </c>
      <c r="BJ228" s="2105">
        <v>250</v>
      </c>
      <c r="BK228" s="2106">
        <v>253</v>
      </c>
      <c r="BL228" s="2181">
        <v>266</v>
      </c>
      <c r="BM228" s="2232">
        <v>286</v>
      </c>
      <c r="BN228" s="1324">
        <f>+SUM(BJ228:BM228)</f>
        <v>1055</v>
      </c>
      <c r="BO228" s="1855">
        <f>BO260+BO335</f>
        <v>177</v>
      </c>
      <c r="BP228" s="1276"/>
      <c r="BQ228" s="1276"/>
      <c r="BR228" s="1276"/>
      <c r="BS228" s="1678"/>
      <c r="BT228" s="1276"/>
      <c r="BU228" s="1276"/>
      <c r="BV228" s="1276"/>
      <c r="BW228" s="1276"/>
      <c r="BX228" s="1678"/>
      <c r="BY228" s="1678"/>
      <c r="BZ228" s="1678"/>
      <c r="CA228" s="1670"/>
      <c r="CF228" s="1487"/>
      <c r="CG228" s="1286"/>
      <c r="CH228" s="1286"/>
      <c r="CI228" s="1286"/>
      <c r="CJ228" s="1286"/>
      <c r="CK228" s="1286"/>
      <c r="CL228" s="1276"/>
      <c r="CM228" s="1610"/>
      <c r="CN228" s="1342"/>
      <c r="CO228" s="1342"/>
      <c r="CP228" s="1342"/>
      <c r="CQ228" s="1342"/>
      <c r="CR228" s="1342"/>
      <c r="CS228" s="1342"/>
      <c r="CT228" s="1277"/>
      <c r="CU228" s="1277"/>
      <c r="CV228" s="1277"/>
      <c r="CW228" s="1669"/>
      <c r="CX228" s="1669"/>
      <c r="CY228" s="1669"/>
      <c r="CZ228" s="1669"/>
      <c r="DA228" s="1669"/>
      <c r="DB228" s="1669"/>
    </row>
    <row r="229" spans="1:106" ht="11.25" customHeight="1">
      <c r="A229" s="1618" t="s">
        <v>288</v>
      </c>
      <c r="B229" s="1286"/>
      <c r="C229" s="1286"/>
      <c r="D229" s="1286"/>
      <c r="E229" s="1286"/>
      <c r="F229" s="1286"/>
      <c r="G229" s="1276"/>
      <c r="H229" s="1276"/>
      <c r="I229" s="1276"/>
      <c r="J229" s="1276"/>
      <c r="K229" s="1678"/>
      <c r="L229" s="1276"/>
      <c r="M229" s="1276"/>
      <c r="N229" s="1276"/>
      <c r="O229" s="1276"/>
      <c r="P229" s="1678"/>
      <c r="Q229" s="1276"/>
      <c r="R229" s="1276"/>
      <c r="S229" s="1276"/>
      <c r="T229" s="1276"/>
      <c r="U229" s="1678"/>
      <c r="V229" s="1276"/>
      <c r="W229" s="1276"/>
      <c r="X229" s="1276"/>
      <c r="Y229" s="1276"/>
      <c r="Z229" s="1678"/>
      <c r="AA229" s="1610"/>
      <c r="AB229" s="1610"/>
      <c r="AC229" s="1610"/>
      <c r="AD229" s="1610"/>
      <c r="AE229" s="1678"/>
      <c r="AF229" s="1276"/>
      <c r="AG229" s="1276"/>
      <c r="AH229" s="1276"/>
      <c r="AI229" s="1276"/>
      <c r="AJ229" s="1678"/>
      <c r="AK229" s="1276"/>
      <c r="AL229" s="1276"/>
      <c r="AM229" s="1276"/>
      <c r="AN229" s="1276"/>
      <c r="AO229" s="1678"/>
      <c r="AP229" s="1681">
        <f t="shared" ref="AP229:BO229" si="303">+AP228/AK228-1</f>
        <v>0.44999999999999996</v>
      </c>
      <c r="AQ229" s="1681">
        <f t="shared" si="303"/>
        <v>9.4240837696335067E-2</v>
      </c>
      <c r="AR229" s="1681">
        <f t="shared" si="303"/>
        <v>8.5858585858585856E-2</v>
      </c>
      <c r="AS229" s="1681">
        <f t="shared" si="303"/>
        <v>6.6350710900473953E-2</v>
      </c>
      <c r="AT229" s="1682">
        <f t="shared" si="303"/>
        <v>8.5350318471337561E-2</v>
      </c>
      <c r="AU229" s="1681">
        <f t="shared" si="303"/>
        <v>7.3891625615763568E-2</v>
      </c>
      <c r="AV229" s="1681">
        <f t="shared" si="303"/>
        <v>8.1339712918660378E-2</v>
      </c>
      <c r="AW229" s="1681">
        <f t="shared" si="303"/>
        <v>8.3720930232558111E-2</v>
      </c>
      <c r="AX229" s="1681">
        <f t="shared" si="303"/>
        <v>8.0000000000000071E-2</v>
      </c>
      <c r="AY229" s="1682">
        <f t="shared" si="303"/>
        <v>7.9812206572769995E-2</v>
      </c>
      <c r="AZ229" s="1681">
        <f t="shared" si="303"/>
        <v>7.7981651376146877E-2</v>
      </c>
      <c r="BA229" s="1681">
        <f t="shared" si="303"/>
        <v>7.9646017699114946E-2</v>
      </c>
      <c r="BB229" s="1681">
        <f t="shared" si="303"/>
        <v>8.1545064377682497E-2</v>
      </c>
      <c r="BC229" s="1681">
        <f t="shared" si="303"/>
        <v>0.13580246913580241</v>
      </c>
      <c r="BD229" s="1682">
        <f t="shared" si="303"/>
        <v>9.4565217391304301E-2</v>
      </c>
      <c r="BE229" s="1681">
        <f t="shared" si="303"/>
        <v>0.12765957446808507</v>
      </c>
      <c r="BF229" s="1681">
        <f t="shared" si="303"/>
        <v>0.12295081967213117</v>
      </c>
      <c r="BG229" s="1681">
        <f t="shared" si="303"/>
        <v>5.1587301587301626E-2</v>
      </c>
      <c r="BH229" s="1681">
        <f t="shared" si="303"/>
        <v>-6.1594202898550776E-2</v>
      </c>
      <c r="BI229" s="1682">
        <f t="shared" si="303"/>
        <v>5.5610724925521327E-2</v>
      </c>
      <c r="BJ229" s="1683">
        <f t="shared" si="303"/>
        <v>-5.6603773584905648E-2</v>
      </c>
      <c r="BK229" s="1681">
        <f t="shared" si="303"/>
        <v>-7.664233576642332E-2</v>
      </c>
      <c r="BL229" s="1681">
        <f t="shared" si="303"/>
        <v>3.7735849056603765E-3</v>
      </c>
      <c r="BM229" s="1681">
        <f t="shared" si="303"/>
        <v>0.10424710424710426</v>
      </c>
      <c r="BN229" s="1682">
        <f t="shared" si="303"/>
        <v>-7.5258701787394022E-3</v>
      </c>
      <c r="BO229" s="2258">
        <f t="shared" si="303"/>
        <v>-0.29200000000000004</v>
      </c>
      <c r="BP229" s="1276"/>
      <c r="BQ229" s="1276"/>
      <c r="BR229" s="1276"/>
      <c r="BS229" s="1678"/>
      <c r="BT229" s="1276"/>
      <c r="BU229" s="1276"/>
      <c r="BV229" s="1276"/>
      <c r="BW229" s="1276"/>
      <c r="BX229" s="1678"/>
      <c r="BY229" s="1678"/>
      <c r="BZ229" s="1678"/>
      <c r="CA229" s="1670"/>
      <c r="CF229" s="1487"/>
      <c r="CG229" s="1286"/>
      <c r="CH229" s="1286"/>
      <c r="CI229" s="1286"/>
      <c r="CJ229" s="1286"/>
      <c r="CK229" s="1286"/>
      <c r="CL229" s="1276"/>
      <c r="CM229" s="1610"/>
      <c r="CN229" s="1342"/>
      <c r="CO229" s="1342"/>
      <c r="CP229" s="1342"/>
      <c r="CQ229" s="1342"/>
      <c r="CR229" s="1342"/>
      <c r="CS229" s="1342"/>
      <c r="CT229" s="1277"/>
      <c r="CU229" s="1277"/>
      <c r="CV229" s="1277"/>
      <c r="CW229" s="1669"/>
      <c r="CX229" s="1669"/>
      <c r="CY229" s="1669"/>
      <c r="CZ229" s="1669"/>
      <c r="DA229" s="1669"/>
      <c r="DB229" s="1669"/>
    </row>
    <row r="230" spans="1:106" ht="11.25" customHeight="1">
      <c r="A230" s="1646" t="s">
        <v>330</v>
      </c>
      <c r="B230" s="1286"/>
      <c r="C230" s="1286"/>
      <c r="D230" s="1286"/>
      <c r="E230" s="1286"/>
      <c r="F230" s="1286"/>
      <c r="G230" s="1276"/>
      <c r="H230" s="1276"/>
      <c r="I230" s="1276"/>
      <c r="J230" s="1276"/>
      <c r="K230" s="1678"/>
      <c r="L230" s="1276"/>
      <c r="M230" s="1276"/>
      <c r="N230" s="1276"/>
      <c r="O230" s="1276"/>
      <c r="P230" s="1678"/>
      <c r="Q230" s="1276"/>
      <c r="R230" s="1276"/>
      <c r="S230" s="1276"/>
      <c r="T230" s="1276"/>
      <c r="U230" s="1678"/>
      <c r="V230" s="1276"/>
      <c r="W230" s="1276"/>
      <c r="X230" s="1276"/>
      <c r="Y230" s="1276"/>
      <c r="Z230" s="1678"/>
      <c r="AA230" s="1610"/>
      <c r="AB230" s="1610"/>
      <c r="AC230" s="1610"/>
      <c r="AD230" s="1610"/>
      <c r="AE230" s="1678"/>
      <c r="AF230" s="1276"/>
      <c r="AG230" s="1276"/>
      <c r="AH230" s="1276"/>
      <c r="AI230" s="1276"/>
      <c r="AJ230" s="1678"/>
      <c r="AK230" s="1276"/>
      <c r="AL230" s="1276"/>
      <c r="AM230" s="1276"/>
      <c r="AN230" s="1276"/>
      <c r="AO230" s="1678"/>
      <c r="AP230" s="1681">
        <f>+AP228/AP$213</f>
        <v>0.38740458015267176</v>
      </c>
      <c r="AQ230" s="1681">
        <f t="shared" ref="AQ230:BH230" si="304">+AQ228/AQ$213</f>
        <v>0.38278388278388276</v>
      </c>
      <c r="AR230" s="1681">
        <f t="shared" si="304"/>
        <v>0.42490118577075098</v>
      </c>
      <c r="AS230" s="1681">
        <f t="shared" si="304"/>
        <v>0.43186180422264875</v>
      </c>
      <c r="AT230" s="1682">
        <f t="shared" si="304"/>
        <v>0.40629470672389129</v>
      </c>
      <c r="AU230" s="1681">
        <f t="shared" si="304"/>
        <v>0.42578125</v>
      </c>
      <c r="AV230" s="1681">
        <f t="shared" si="304"/>
        <v>0.42965779467680609</v>
      </c>
      <c r="AW230" s="1681">
        <f t="shared" si="304"/>
        <v>0.43308550185873607</v>
      </c>
      <c r="AX230" s="1681">
        <f t="shared" si="304"/>
        <v>0.43862815884476536</v>
      </c>
      <c r="AY230" s="1682">
        <f t="shared" si="304"/>
        <v>0.431924882629108</v>
      </c>
      <c r="AZ230" s="1681">
        <f t="shared" si="304"/>
        <v>0.43119266055045874</v>
      </c>
      <c r="BA230" s="1681">
        <f t="shared" si="304"/>
        <v>0.43727598566308246</v>
      </c>
      <c r="BB230" s="1681">
        <f t="shared" si="304"/>
        <v>0.41721854304635764</v>
      </c>
      <c r="BC230" s="1681">
        <f t="shared" si="304"/>
        <v>0.41255605381165922</v>
      </c>
      <c r="BD230" s="1682">
        <f t="shared" si="304"/>
        <v>0.42382154882154882</v>
      </c>
      <c r="BE230" s="1681">
        <f t="shared" si="304"/>
        <v>0.40090771558245081</v>
      </c>
      <c r="BF230" s="1681">
        <f t="shared" si="304"/>
        <v>0.40834575260804767</v>
      </c>
      <c r="BG230" s="1681">
        <f t="shared" si="304"/>
        <v>0.40273556231003038</v>
      </c>
      <c r="BH230" s="1681">
        <f t="shared" si="304"/>
        <v>0.43529411764705883</v>
      </c>
      <c r="BI230" s="1682">
        <f>+BI228/BI$213</f>
        <v>0.41121856866537715</v>
      </c>
      <c r="BJ230" s="1683">
        <f>+BJ228/BJ$213</f>
        <v>0.42158516020236086</v>
      </c>
      <c r="BK230" s="1681">
        <f>+BK228/BK$213</f>
        <v>0.41749174917491749</v>
      </c>
      <c r="BL230" s="1681">
        <f>+BL228/BL$213</f>
        <v>0.43252032520325201</v>
      </c>
      <c r="BM230" s="1681">
        <f t="shared" ref="BM230" si="305">+BM228/BM$213</f>
        <v>0.44897959183673469</v>
      </c>
      <c r="BN230" s="1682">
        <f>+BN228/BN$213</f>
        <v>0.43043655650754792</v>
      </c>
      <c r="BO230" s="1683">
        <f>+BO228/BO$213</f>
        <v>0.27962085308056872</v>
      </c>
      <c r="BP230" s="1276"/>
      <c r="BQ230" s="1276"/>
      <c r="BR230" s="1276"/>
      <c r="BS230" s="1678"/>
      <c r="BT230" s="1276"/>
      <c r="BU230" s="1276"/>
      <c r="BV230" s="1276"/>
      <c r="BW230" s="1276"/>
      <c r="BX230" s="1678"/>
      <c r="BY230" s="1678"/>
      <c r="BZ230" s="1678"/>
      <c r="CA230" s="1670"/>
      <c r="CF230" s="1487"/>
      <c r="CG230" s="1286"/>
      <c r="CH230" s="1286"/>
      <c r="CI230" s="1286"/>
      <c r="CJ230" s="1286"/>
      <c r="CK230" s="1286"/>
      <c r="CL230" s="1276"/>
      <c r="CM230" s="1610"/>
      <c r="CN230" s="1342"/>
      <c r="CO230" s="1342"/>
      <c r="CP230" s="1342"/>
      <c r="CQ230" s="1342"/>
      <c r="CR230" s="1342"/>
      <c r="CS230" s="1342"/>
      <c r="CT230" s="1277"/>
      <c r="CU230" s="1277"/>
      <c r="CV230" s="1277"/>
      <c r="CW230" s="1669"/>
      <c r="CX230" s="1669"/>
      <c r="CY230" s="1669"/>
      <c r="CZ230" s="1669"/>
      <c r="DA230" s="1669"/>
      <c r="DB230" s="1669"/>
    </row>
    <row r="231" spans="1:106" ht="11.25" customHeight="1">
      <c r="A231" s="1646"/>
      <c r="B231" s="1286"/>
      <c r="C231" s="1286"/>
      <c r="D231" s="1286"/>
      <c r="E231" s="1286"/>
      <c r="F231" s="1286"/>
      <c r="G231" s="1276"/>
      <c r="H231" s="1276"/>
      <c r="I231" s="1276"/>
      <c r="J231" s="1276"/>
      <c r="K231" s="1678"/>
      <c r="L231" s="1276"/>
      <c r="M231" s="1276"/>
      <c r="N231" s="1276"/>
      <c r="O231" s="1276"/>
      <c r="P231" s="1678"/>
      <c r="Q231" s="1276"/>
      <c r="R231" s="1276"/>
      <c r="S231" s="1276"/>
      <c r="T231" s="1276"/>
      <c r="U231" s="1678"/>
      <c r="V231" s="1276"/>
      <c r="W231" s="1276"/>
      <c r="X231" s="1276"/>
      <c r="Y231" s="1276"/>
      <c r="Z231" s="1678"/>
      <c r="AA231" s="1610"/>
      <c r="AB231" s="1610"/>
      <c r="AC231" s="1610"/>
      <c r="AD231" s="1610"/>
      <c r="AE231" s="1678"/>
      <c r="AF231" s="1276"/>
      <c r="AG231" s="1276"/>
      <c r="AH231" s="1276"/>
      <c r="AI231" s="1276"/>
      <c r="AJ231" s="1678"/>
      <c r="AK231" s="1276"/>
      <c r="AL231" s="1276"/>
      <c r="AM231" s="1276"/>
      <c r="AN231" s="1276"/>
      <c r="AO231" s="1678"/>
      <c r="AP231" s="1276"/>
      <c r="AQ231" s="1276"/>
      <c r="AR231" s="1276"/>
      <c r="AS231" s="1276"/>
      <c r="AT231" s="1678"/>
      <c r="AU231" s="1276"/>
      <c r="AV231" s="1276"/>
      <c r="AW231" s="1276"/>
      <c r="AX231" s="1276"/>
      <c r="AY231" s="1678"/>
      <c r="AZ231" s="1276"/>
      <c r="BA231" s="1276"/>
      <c r="BB231" s="1276"/>
      <c r="BC231" s="1276"/>
      <c r="BD231" s="1678"/>
      <c r="BE231" s="1276"/>
      <c r="BF231" s="1276"/>
      <c r="BG231" s="1276"/>
      <c r="BH231" s="1276"/>
      <c r="BI231" s="1678"/>
      <c r="BJ231" s="1276"/>
      <c r="BK231" s="1276"/>
      <c r="BL231" s="1276"/>
      <c r="BM231" s="1276"/>
      <c r="BN231" s="1678"/>
      <c r="BO231" s="1276"/>
      <c r="BP231" s="1276"/>
      <c r="BQ231" s="1276"/>
      <c r="BR231" s="1276"/>
      <c r="BS231" s="1678"/>
      <c r="BT231" s="1276"/>
      <c r="BU231" s="1276"/>
      <c r="BV231" s="1276"/>
      <c r="BW231" s="1276"/>
      <c r="BX231" s="1678"/>
      <c r="BY231" s="1678"/>
      <c r="BZ231" s="1678"/>
      <c r="CA231" s="1670"/>
      <c r="CF231" s="1487"/>
      <c r="CG231" s="1286"/>
      <c r="CH231" s="1286"/>
      <c r="CI231" s="1286"/>
      <c r="CJ231" s="1286"/>
      <c r="CK231" s="1286"/>
      <c r="CL231" s="1276"/>
      <c r="CM231" s="1610"/>
      <c r="CN231" s="1342"/>
      <c r="CO231" s="1342"/>
      <c r="CP231" s="1342"/>
      <c r="CQ231" s="1342"/>
      <c r="CR231" s="1342"/>
      <c r="CS231" s="1342"/>
      <c r="CT231" s="1277"/>
      <c r="CU231" s="1277"/>
      <c r="CV231" s="1277"/>
      <c r="CW231" s="1669"/>
      <c r="CX231" s="1669"/>
      <c r="CY231" s="1669"/>
      <c r="CZ231" s="1669"/>
      <c r="DA231" s="1669"/>
      <c r="DB231" s="1669"/>
    </row>
    <row r="232" spans="1:106" s="1286" customFormat="1" ht="11.25" customHeight="1">
      <c r="A232" s="2295" t="s">
        <v>289</v>
      </c>
      <c r="B232" s="1515"/>
      <c r="C232" s="1515"/>
      <c r="D232" s="1515"/>
      <c r="E232" s="1515"/>
      <c r="F232" s="1515"/>
      <c r="G232" s="1516"/>
      <c r="H232" s="1516"/>
      <c r="I232" s="1516"/>
      <c r="J232" s="1516"/>
      <c r="K232" s="1516"/>
      <c r="L232" s="1516"/>
      <c r="M232" s="1516"/>
      <c r="N232" s="1516"/>
      <c r="O232" s="1516"/>
      <c r="P232" s="1516"/>
      <c r="Q232" s="1516"/>
      <c r="R232" s="1516"/>
      <c r="S232" s="1516"/>
      <c r="T232" s="1516"/>
      <c r="U232" s="1516"/>
      <c r="V232" s="1515"/>
      <c r="W232" s="1515"/>
      <c r="X232" s="1515"/>
      <c r="Y232" s="1515"/>
      <c r="Z232" s="1515"/>
      <c r="AA232" s="1515"/>
      <c r="AB232" s="1515"/>
      <c r="AC232" s="1515"/>
      <c r="AD232" s="1515"/>
      <c r="AE232" s="1515"/>
      <c r="AF232" s="1515"/>
      <c r="AG232" s="1515"/>
      <c r="AH232" s="1515"/>
      <c r="AI232" s="1515"/>
      <c r="AJ232" s="1515"/>
      <c r="AK232" s="1515"/>
      <c r="AL232" s="1515"/>
      <c r="AM232" s="1515"/>
      <c r="AN232" s="1515"/>
      <c r="AO232" s="1515"/>
      <c r="AP232" s="1515"/>
      <c r="AQ232" s="1515"/>
      <c r="AR232" s="1515"/>
      <c r="AS232" s="1515"/>
      <c r="AT232" s="1515"/>
      <c r="AU232" s="1515"/>
      <c r="AV232" s="1515"/>
      <c r="AW232" s="1515"/>
      <c r="AX232" s="1515"/>
      <c r="AY232" s="1515"/>
      <c r="AZ232" s="1515"/>
      <c r="BA232" s="1515"/>
      <c r="BB232" s="1515"/>
      <c r="BC232" s="1515"/>
      <c r="BD232" s="1515"/>
      <c r="BE232" s="1515"/>
      <c r="BF232" s="1515"/>
      <c r="BG232" s="1515"/>
      <c r="BH232" s="1515"/>
      <c r="BI232" s="1515"/>
      <c r="BJ232" s="1515"/>
      <c r="BK232" s="1515"/>
      <c r="BL232" s="1515"/>
      <c r="BM232" s="1515"/>
      <c r="BN232" s="1515"/>
      <c r="BO232" s="1515"/>
      <c r="BP232" s="1515"/>
      <c r="BQ232" s="1515"/>
      <c r="BR232" s="1515"/>
      <c r="BS232" s="1515"/>
      <c r="BT232" s="1515"/>
      <c r="BU232" s="1515"/>
      <c r="BV232" s="1515"/>
      <c r="BW232" s="1515"/>
      <c r="BX232" s="1515"/>
      <c r="BY232" s="1517"/>
      <c r="BZ232" s="1517"/>
      <c r="CA232" s="1517"/>
      <c r="CF232" s="2297" t="str">
        <f t="shared" ref="CF232:CF237" si="306">+A232</f>
        <v>Market Intelligence</v>
      </c>
      <c r="CG232" s="1515"/>
      <c r="CH232" s="1515"/>
      <c r="CI232" s="1515"/>
      <c r="CJ232" s="1515"/>
      <c r="CK232" s="1515"/>
      <c r="CL232" s="1516"/>
      <c r="CM232" s="1515"/>
      <c r="CN232" s="1515"/>
      <c r="CO232" s="1515"/>
      <c r="CP232" s="1515"/>
      <c r="CQ232" s="1515"/>
      <c r="CR232" s="1515"/>
      <c r="CS232" s="1515"/>
      <c r="CT232" s="1515"/>
      <c r="CU232" s="1515"/>
      <c r="CV232" s="1515"/>
      <c r="CW232" s="1515"/>
      <c r="CX232" s="1515"/>
      <c r="CY232" s="1515"/>
      <c r="CZ232" s="1517"/>
      <c r="DA232" s="1517"/>
      <c r="DB232" s="1517"/>
    </row>
    <row r="233" spans="1:106" s="1286" customFormat="1" ht="11.25" customHeight="1">
      <c r="A233" s="2296"/>
      <c r="B233" s="1518"/>
      <c r="C233" s="1518"/>
      <c r="D233" s="1518"/>
      <c r="E233" s="1518"/>
      <c r="F233" s="1518"/>
      <c r="G233" s="1519"/>
      <c r="H233" s="1519"/>
      <c r="I233" s="1519"/>
      <c r="J233" s="1519"/>
      <c r="K233" s="1519"/>
      <c r="L233" s="1519"/>
      <c r="M233" s="1519"/>
      <c r="N233" s="1519"/>
      <c r="O233" s="1519"/>
      <c r="P233" s="1519"/>
      <c r="Q233" s="1519"/>
      <c r="R233" s="1519"/>
      <c r="S233" s="1519"/>
      <c r="T233" s="1519"/>
      <c r="U233" s="1519"/>
      <c r="V233" s="1518"/>
      <c r="W233" s="1518"/>
      <c r="X233" s="1518"/>
      <c r="Y233" s="1518"/>
      <c r="Z233" s="1518"/>
      <c r="AA233" s="1518"/>
      <c r="AB233" s="1518"/>
      <c r="AC233" s="1518"/>
      <c r="AD233" s="1518"/>
      <c r="AE233" s="1518"/>
      <c r="AF233" s="1518"/>
      <c r="AG233" s="1518"/>
      <c r="AH233" s="1518"/>
      <c r="AI233" s="1518"/>
      <c r="AJ233" s="1518"/>
      <c r="AK233" s="1518"/>
      <c r="AL233" s="1518"/>
      <c r="AM233" s="1518"/>
      <c r="AN233" s="1518"/>
      <c r="AO233" s="1518"/>
      <c r="AP233" s="1518"/>
      <c r="AQ233" s="1518"/>
      <c r="AR233" s="1518"/>
      <c r="AS233" s="1518"/>
      <c r="AT233" s="1518"/>
      <c r="AU233" s="1518"/>
      <c r="AV233" s="1518"/>
      <c r="AW233" s="1518"/>
      <c r="AX233" s="1518"/>
      <c r="AY233" s="1518"/>
      <c r="AZ233" s="1518"/>
      <c r="BA233" s="1518"/>
      <c r="BB233" s="1518"/>
      <c r="BC233" s="1518"/>
      <c r="BD233" s="1518"/>
      <c r="BE233" s="1518"/>
      <c r="BF233" s="1518"/>
      <c r="BG233" s="1518"/>
      <c r="BH233" s="1518"/>
      <c r="BI233" s="1518"/>
      <c r="BJ233" s="1518"/>
      <c r="BK233" s="1518"/>
      <c r="BL233" s="1518"/>
      <c r="BM233" s="1518"/>
      <c r="BN233" s="1518"/>
      <c r="BO233" s="1518"/>
      <c r="BP233" s="1518"/>
      <c r="BQ233" s="1518"/>
      <c r="BR233" s="1518"/>
      <c r="BS233" s="1518"/>
      <c r="BT233" s="1518"/>
      <c r="BU233" s="1518"/>
      <c r="BV233" s="1518"/>
      <c r="BW233" s="1518"/>
      <c r="BX233" s="1518"/>
      <c r="BY233" s="1520"/>
      <c r="BZ233" s="1520"/>
      <c r="CA233" s="1520"/>
      <c r="CF233" s="2298">
        <f t="shared" si="306"/>
        <v>0</v>
      </c>
      <c r="CG233" s="1518"/>
      <c r="CH233" s="1518"/>
      <c r="CI233" s="1518"/>
      <c r="CJ233" s="1518"/>
      <c r="CK233" s="1518"/>
      <c r="CL233" s="1519"/>
      <c r="CM233" s="1518"/>
      <c r="CN233" s="1518"/>
      <c r="CO233" s="1518"/>
      <c r="CP233" s="1518"/>
      <c r="CQ233" s="1518"/>
      <c r="CR233" s="1518"/>
      <c r="CS233" s="1518"/>
      <c r="CT233" s="1518"/>
      <c r="CU233" s="1518"/>
      <c r="CV233" s="1518"/>
      <c r="CW233" s="1518"/>
      <c r="CX233" s="1518"/>
      <c r="CY233" s="1518"/>
      <c r="CZ233" s="1520"/>
      <c r="DA233" s="1520"/>
      <c r="DB233" s="1520"/>
    </row>
    <row r="234" spans="1:106" ht="11.25" customHeight="1">
      <c r="A234" s="788" t="s">
        <v>289</v>
      </c>
      <c r="G234" s="1319"/>
      <c r="H234" s="1319"/>
      <c r="I234" s="1319"/>
      <c r="J234" s="1278"/>
      <c r="K234" s="1278"/>
      <c r="L234" s="1319"/>
      <c r="M234" s="1319"/>
      <c r="N234" s="1319"/>
      <c r="O234" s="1278"/>
      <c r="P234" s="1278"/>
      <c r="Q234" s="1319"/>
      <c r="R234" s="1319"/>
      <c r="S234" s="1319"/>
      <c r="T234" s="1278"/>
      <c r="U234" s="1278"/>
      <c r="V234" s="1319"/>
      <c r="W234" s="1319"/>
      <c r="X234" s="1319"/>
      <c r="Y234" s="1278"/>
      <c r="Z234" s="1278"/>
      <c r="AA234" s="1319"/>
      <c r="AB234" s="1319"/>
      <c r="AC234" s="1319"/>
      <c r="AD234" s="1278"/>
      <c r="AE234" s="1278"/>
      <c r="AF234" s="1319"/>
      <c r="AG234" s="1319"/>
      <c r="AH234" s="1319"/>
      <c r="AJ234" s="1423"/>
      <c r="AO234" s="1423"/>
      <c r="AT234" s="1423"/>
      <c r="AY234" s="1423"/>
      <c r="BD234" s="1423"/>
      <c r="BI234" s="1423"/>
      <c r="BN234" s="1426"/>
      <c r="BS234" s="1426"/>
      <c r="BX234" s="1426"/>
      <c r="BY234" s="1422"/>
      <c r="BZ234" s="1422"/>
      <c r="CA234" s="1422"/>
      <c r="CF234" s="1421" t="str">
        <f t="shared" si="306"/>
        <v>Market Intelligence</v>
      </c>
      <c r="CG234" s="1271">
        <f t="shared" ref="CG234:CG242" si="307">+B234</f>
        <v>0</v>
      </c>
      <c r="CH234" s="1271">
        <f t="shared" ref="CH234:CH242" si="308">+C234</f>
        <v>0</v>
      </c>
      <c r="CI234" s="1271">
        <f t="shared" ref="CI234:CI242" si="309">+D234</f>
        <v>0</v>
      </c>
      <c r="CJ234" s="1271">
        <f t="shared" ref="CJ234:CJ242" si="310">+E234</f>
        <v>0</v>
      </c>
      <c r="CK234" s="1271">
        <f t="shared" ref="CK234:CK242" si="311">+F234</f>
        <v>0</v>
      </c>
      <c r="CL234" s="1278">
        <f t="shared" ref="CL234:CL242" si="312">+K234</f>
        <v>0</v>
      </c>
      <c r="CM234" s="1278"/>
      <c r="CN234" s="1278"/>
      <c r="CO234" s="1278"/>
      <c r="CP234" s="1278"/>
      <c r="CQ234" s="1423"/>
      <c r="CR234" s="1423"/>
      <c r="CS234" s="1423"/>
      <c r="CT234" s="1423"/>
      <c r="CU234" s="1423"/>
      <c r="CV234" s="1425"/>
      <c r="CW234" s="1426"/>
      <c r="CX234" s="1426"/>
      <c r="CY234" s="1426"/>
      <c r="CZ234" s="1422"/>
      <c r="DA234" s="1422"/>
      <c r="DB234" s="1422"/>
    </row>
    <row r="235" spans="1:106" s="762" customFormat="1" ht="11.25" customHeight="1">
      <c r="A235" s="762" t="s">
        <v>329</v>
      </c>
      <c r="B235" s="1287"/>
      <c r="C235" s="1287"/>
      <c r="D235" s="1287"/>
      <c r="E235" s="1287"/>
      <c r="G235" s="1319" t="s">
        <v>249</v>
      </c>
      <c r="H235" s="1319" t="s">
        <v>249</v>
      </c>
      <c r="I235" s="1319" t="s">
        <v>249</v>
      </c>
      <c r="J235" s="1278" t="s">
        <v>249</v>
      </c>
      <c r="K235" s="1278" t="s">
        <v>249</v>
      </c>
      <c r="L235" s="1319" t="s">
        <v>249</v>
      </c>
      <c r="M235" s="1319" t="s">
        <v>249</v>
      </c>
      <c r="N235" s="1319" t="s">
        <v>249</v>
      </c>
      <c r="O235" s="1278" t="s">
        <v>249</v>
      </c>
      <c r="P235" s="1278" t="s">
        <v>249</v>
      </c>
      <c r="Q235" s="1319" t="s">
        <v>249</v>
      </c>
      <c r="R235" s="1319" t="s">
        <v>249</v>
      </c>
      <c r="S235" s="1319" t="s">
        <v>249</v>
      </c>
      <c r="T235" s="1278" t="s">
        <v>249</v>
      </c>
      <c r="U235" s="1278" t="s">
        <v>249</v>
      </c>
      <c r="V235" s="1319" t="s">
        <v>249</v>
      </c>
      <c r="W235" s="1319" t="s">
        <v>249</v>
      </c>
      <c r="X235" s="1319" t="s">
        <v>249</v>
      </c>
      <c r="Y235" s="1278" t="s">
        <v>249</v>
      </c>
      <c r="Z235" s="1278" t="s">
        <v>249</v>
      </c>
      <c r="AA235" s="1319" t="s">
        <v>249</v>
      </c>
      <c r="AB235" s="1319" t="s">
        <v>249</v>
      </c>
      <c r="AC235" s="1319" t="s">
        <v>249</v>
      </c>
      <c r="AD235" s="1278" t="s">
        <v>249</v>
      </c>
      <c r="AE235" s="1278" t="s">
        <v>249</v>
      </c>
      <c r="AF235" s="1319" t="s">
        <v>249</v>
      </c>
      <c r="AG235" s="1319" t="s">
        <v>249</v>
      </c>
      <c r="AH235" s="1319" t="s">
        <v>249</v>
      </c>
      <c r="AI235" s="2027">
        <v>30</v>
      </c>
      <c r="AJ235" s="1270">
        <f>SUM(AF235:AI235)</f>
        <v>30</v>
      </c>
      <c r="AK235" s="2027">
        <v>26</v>
      </c>
      <c r="AL235" s="2027">
        <v>26</v>
      </c>
      <c r="AM235" s="2036">
        <v>27</v>
      </c>
      <c r="AN235" s="2027">
        <v>30</v>
      </c>
      <c r="AO235" s="1270">
        <f>SUM(AK235:AN235)</f>
        <v>109</v>
      </c>
      <c r="AP235" s="2027">
        <f>28</f>
        <v>28</v>
      </c>
      <c r="AQ235" s="2027">
        <f>27</f>
        <v>27</v>
      </c>
      <c r="AR235" s="2036">
        <f>28</f>
        <v>28</v>
      </c>
      <c r="AS235" s="2027">
        <f>31</f>
        <v>31</v>
      </c>
      <c r="AT235" s="1270">
        <f>SUM(AP235:AS235)</f>
        <v>114</v>
      </c>
      <c r="AU235" s="2027">
        <f>27</f>
        <v>27</v>
      </c>
      <c r="AV235" s="2027">
        <v>29</v>
      </c>
      <c r="AW235" s="2027">
        <v>28</v>
      </c>
      <c r="AX235" s="2027">
        <v>32</v>
      </c>
      <c r="AY235" s="1270">
        <f>SUM(AU235:AX235)</f>
        <v>116</v>
      </c>
      <c r="AZ235" s="2027">
        <v>33</v>
      </c>
      <c r="BA235" s="2027">
        <v>32</v>
      </c>
      <c r="BB235" s="2027">
        <v>34</v>
      </c>
      <c r="BC235" s="2028">
        <v>35</v>
      </c>
      <c r="BD235" s="1270">
        <f>SUM(AZ235:BC235)</f>
        <v>134</v>
      </c>
      <c r="BE235" s="2026">
        <v>32</v>
      </c>
      <c r="BF235" s="2026">
        <v>34</v>
      </c>
      <c r="BG235" s="2026">
        <v>35</v>
      </c>
      <c r="BH235" s="1278" t="s">
        <v>249</v>
      </c>
      <c r="BI235" s="1278" t="s">
        <v>249</v>
      </c>
      <c r="BJ235" s="2111">
        <v>11</v>
      </c>
      <c r="BK235" s="1319" t="s">
        <v>249</v>
      </c>
      <c r="BL235" s="1319" t="s">
        <v>249</v>
      </c>
      <c r="BM235" s="1278" t="s">
        <v>249</v>
      </c>
      <c r="BN235" s="1278" t="s">
        <v>249</v>
      </c>
      <c r="BO235" s="2111">
        <v>8</v>
      </c>
      <c r="BP235" s="1319" t="s">
        <v>249</v>
      </c>
      <c r="BQ235" s="1319" t="s">
        <v>249</v>
      </c>
      <c r="BR235" s="1278" t="s">
        <v>249</v>
      </c>
      <c r="BS235" s="1278" t="s">
        <v>249</v>
      </c>
      <c r="BT235" s="1319"/>
      <c r="BU235" s="1319"/>
      <c r="BV235" s="1319"/>
      <c r="BW235" s="1278"/>
      <c r="BX235" s="1278" t="s">
        <v>249</v>
      </c>
      <c r="BY235" s="1670" t="s">
        <v>249</v>
      </c>
      <c r="BZ235" s="1670" t="s">
        <v>249</v>
      </c>
      <c r="CA235" s="1670" t="s">
        <v>249</v>
      </c>
      <c r="CF235" s="1270" t="str">
        <f t="shared" si="306"/>
        <v>Transaction</v>
      </c>
      <c r="CG235" s="762">
        <f t="shared" si="307"/>
        <v>0</v>
      </c>
      <c r="CH235" s="762">
        <f t="shared" si="308"/>
        <v>0</v>
      </c>
      <c r="CI235" s="762">
        <f t="shared" si="309"/>
        <v>0</v>
      </c>
      <c r="CJ235" s="762">
        <f t="shared" si="310"/>
        <v>0</v>
      </c>
      <c r="CK235" s="762">
        <f t="shared" si="311"/>
        <v>0</v>
      </c>
      <c r="CL235" s="1278" t="str">
        <f t="shared" si="312"/>
        <v>--</v>
      </c>
      <c r="CM235" s="1278"/>
      <c r="CN235" s="1278"/>
      <c r="CO235" s="1278"/>
      <c r="CP235" s="1278"/>
      <c r="CQ235" s="1270">
        <f>+AJ235</f>
        <v>30</v>
      </c>
      <c r="CR235" s="1270">
        <f>+AO235</f>
        <v>109</v>
      </c>
      <c r="CS235" s="1270">
        <f>+AT235</f>
        <v>114</v>
      </c>
      <c r="CT235" s="1270">
        <f>+AY235</f>
        <v>116</v>
      </c>
      <c r="CU235" s="1270">
        <f>+BD235</f>
        <v>134</v>
      </c>
      <c r="CV235" s="1692" t="str">
        <f>+BI235</f>
        <v>--</v>
      </c>
      <c r="CW235" s="1669" t="str">
        <f>+BN235</f>
        <v>--</v>
      </c>
      <c r="CX235" s="1669" t="str">
        <f>+BS235</f>
        <v>--</v>
      </c>
      <c r="CY235" s="1669" t="str">
        <f t="shared" ref="CY235:DB237" si="313">+BX235</f>
        <v>--</v>
      </c>
      <c r="CZ235" s="1670" t="str">
        <f t="shared" si="313"/>
        <v>--</v>
      </c>
      <c r="DA235" s="1670" t="str">
        <f t="shared" si="313"/>
        <v>--</v>
      </c>
      <c r="DB235" s="1670" t="str">
        <f t="shared" si="313"/>
        <v>--</v>
      </c>
    </row>
    <row r="236" spans="1:106" ht="12" customHeight="1">
      <c r="A236" s="1485" t="s">
        <v>294</v>
      </c>
      <c r="B236" s="1265"/>
      <c r="C236" s="1265"/>
      <c r="D236" s="1265"/>
      <c r="E236" s="1265"/>
      <c r="F236" s="1272"/>
      <c r="G236" s="1319"/>
      <c r="H236" s="1319"/>
      <c r="I236" s="1319"/>
      <c r="J236" s="1278"/>
      <c r="K236" s="1278"/>
      <c r="L236" s="1319"/>
      <c r="M236" s="1319"/>
      <c r="N236" s="1319"/>
      <c r="O236" s="1278"/>
      <c r="P236" s="1278"/>
      <c r="Q236" s="1319"/>
      <c r="R236" s="1319"/>
      <c r="S236" s="1319"/>
      <c r="T236" s="1278"/>
      <c r="U236" s="1278"/>
      <c r="V236" s="1319"/>
      <c r="W236" s="1319"/>
      <c r="X236" s="1319"/>
      <c r="Y236" s="1278"/>
      <c r="Z236" s="1278"/>
      <c r="AA236" s="1319"/>
      <c r="AB236" s="1319"/>
      <c r="AC236" s="1319"/>
      <c r="AD236" s="1278"/>
      <c r="AE236" s="1278"/>
      <c r="AF236" s="1319"/>
      <c r="AG236" s="1319"/>
      <c r="AH236" s="1319"/>
      <c r="AI236" s="1278"/>
      <c r="AJ236" s="1278"/>
      <c r="AK236" s="1319"/>
      <c r="AL236" s="1319"/>
      <c r="AM236" s="1319"/>
      <c r="AN236" s="1408">
        <f t="shared" ref="AN236:BG236" si="314">AN235/AI235-1</f>
        <v>0</v>
      </c>
      <c r="AO236" s="1342">
        <f t="shared" si="314"/>
        <v>2.6333333333333333</v>
      </c>
      <c r="AP236" s="1408">
        <f t="shared" si="314"/>
        <v>7.6923076923076872E-2</v>
      </c>
      <c r="AQ236" s="1610">
        <f t="shared" si="314"/>
        <v>3.8461538461538547E-2</v>
      </c>
      <c r="AR236" s="1610">
        <f t="shared" si="314"/>
        <v>3.7037037037036979E-2</v>
      </c>
      <c r="AS236" s="1610">
        <f t="shared" si="314"/>
        <v>3.3333333333333437E-2</v>
      </c>
      <c r="AT236" s="1342">
        <f t="shared" si="314"/>
        <v>4.587155963302747E-2</v>
      </c>
      <c r="AU236" s="1408">
        <f t="shared" si="314"/>
        <v>-3.5714285714285698E-2</v>
      </c>
      <c r="AV236" s="1610">
        <f t="shared" si="314"/>
        <v>7.4074074074074181E-2</v>
      </c>
      <c r="AW236" s="1610">
        <f t="shared" si="314"/>
        <v>0</v>
      </c>
      <c r="AX236" s="1693">
        <f t="shared" si="314"/>
        <v>3.2258064516129004E-2</v>
      </c>
      <c r="AY236" s="1342">
        <f t="shared" si="314"/>
        <v>1.7543859649122862E-2</v>
      </c>
      <c r="AZ236" s="1408">
        <f t="shared" si="314"/>
        <v>0.22222222222222232</v>
      </c>
      <c r="BA236" s="1610">
        <f t="shared" si="314"/>
        <v>0.10344827586206895</v>
      </c>
      <c r="BB236" s="1610">
        <f t="shared" si="314"/>
        <v>0.21428571428571419</v>
      </c>
      <c r="BC236" s="1693">
        <f t="shared" si="314"/>
        <v>9.375E-2</v>
      </c>
      <c r="BD236" s="1342">
        <f t="shared" si="314"/>
        <v>0.15517241379310343</v>
      </c>
      <c r="BE236" s="1408">
        <f t="shared" si="314"/>
        <v>-3.0303030303030276E-2</v>
      </c>
      <c r="BF236" s="1610">
        <f t="shared" si="314"/>
        <v>6.25E-2</v>
      </c>
      <c r="BG236" s="1610">
        <f t="shared" si="314"/>
        <v>2.9411764705882248E-2</v>
      </c>
      <c r="BH236" s="1278" t="s">
        <v>249</v>
      </c>
      <c r="BI236" s="1278" t="s">
        <v>249</v>
      </c>
      <c r="BJ236" s="1319" t="s">
        <v>249</v>
      </c>
      <c r="BK236" s="1319" t="s">
        <v>249</v>
      </c>
      <c r="BL236" s="1319" t="s">
        <v>249</v>
      </c>
      <c r="BM236" s="1278" t="s">
        <v>249</v>
      </c>
      <c r="BN236" s="1278" t="s">
        <v>249</v>
      </c>
      <c r="BO236" s="1319" t="s">
        <v>249</v>
      </c>
      <c r="BP236" s="1319" t="s">
        <v>249</v>
      </c>
      <c r="BQ236" s="1319" t="s">
        <v>249</v>
      </c>
      <c r="BR236" s="1278" t="s">
        <v>249</v>
      </c>
      <c r="BS236" s="1278" t="s">
        <v>249</v>
      </c>
      <c r="BT236" s="1319"/>
      <c r="BU236" s="1319"/>
      <c r="BV236" s="1319"/>
      <c r="BW236" s="1278"/>
      <c r="BX236" s="1278" t="s">
        <v>249</v>
      </c>
      <c r="BY236" s="1670" t="s">
        <v>249</v>
      </c>
      <c r="BZ236" s="1670" t="s">
        <v>249</v>
      </c>
      <c r="CA236" s="1670" t="s">
        <v>249</v>
      </c>
      <c r="CF236" s="1487" t="str">
        <f t="shared" si="306"/>
        <v>y/y chg</v>
      </c>
      <c r="CG236" s="1272">
        <f t="shared" si="307"/>
        <v>0</v>
      </c>
      <c r="CH236" s="1264">
        <f t="shared" si="308"/>
        <v>0</v>
      </c>
      <c r="CI236" s="1264">
        <f t="shared" si="309"/>
        <v>0</v>
      </c>
      <c r="CJ236" s="1264">
        <f t="shared" si="310"/>
        <v>0</v>
      </c>
      <c r="CK236" s="1264">
        <f t="shared" si="311"/>
        <v>0</v>
      </c>
      <c r="CL236" s="1278">
        <f t="shared" si="312"/>
        <v>0</v>
      </c>
      <c r="CM236" s="1278"/>
      <c r="CN236" s="1278"/>
      <c r="CO236" s="1278"/>
      <c r="CP236" s="1278"/>
      <c r="CQ236" s="1278"/>
      <c r="CR236" s="1342"/>
      <c r="CS236" s="1342">
        <f>+AT236</f>
        <v>4.587155963302747E-2</v>
      </c>
      <c r="CT236" s="1342">
        <f>+AY236</f>
        <v>1.7543859649122862E-2</v>
      </c>
      <c r="CU236" s="1342">
        <f>+BD236</f>
        <v>0.15517241379310343</v>
      </c>
      <c r="CV236" s="1694" t="str">
        <f>+BI236</f>
        <v>--</v>
      </c>
      <c r="CW236" s="1694" t="str">
        <f>+BN236</f>
        <v>--</v>
      </c>
      <c r="CX236" s="1694" t="str">
        <f>+BS236</f>
        <v>--</v>
      </c>
      <c r="CY236" s="1694" t="str">
        <f t="shared" si="313"/>
        <v>--</v>
      </c>
      <c r="CZ236" s="1694" t="str">
        <f t="shared" si="313"/>
        <v>--</v>
      </c>
      <c r="DA236" s="1694" t="str">
        <f t="shared" si="313"/>
        <v>--</v>
      </c>
      <c r="DB236" s="1694" t="str">
        <f t="shared" si="313"/>
        <v>--</v>
      </c>
    </row>
    <row r="237" spans="1:106" ht="11.25" customHeight="1">
      <c r="A237" s="1485" t="s">
        <v>330</v>
      </c>
      <c r="B237" s="1286"/>
      <c r="C237" s="1286"/>
      <c r="D237" s="1286"/>
      <c r="E237" s="1286"/>
      <c r="G237" s="1319"/>
      <c r="H237" s="1319"/>
      <c r="I237" s="1319"/>
      <c r="J237" s="1278"/>
      <c r="K237" s="1278"/>
      <c r="L237" s="1319"/>
      <c r="M237" s="1319"/>
      <c r="N237" s="1319"/>
      <c r="O237" s="1278"/>
      <c r="P237" s="1278"/>
      <c r="Q237" s="1319"/>
      <c r="R237" s="1319"/>
      <c r="S237" s="1319"/>
      <c r="T237" s="1278"/>
      <c r="U237" s="1278"/>
      <c r="V237" s="1319"/>
      <c r="W237" s="1319"/>
      <c r="X237" s="1319"/>
      <c r="Y237" s="1278"/>
      <c r="Z237" s="1278"/>
      <c r="AA237" s="1319"/>
      <c r="AB237" s="1319"/>
      <c r="AC237" s="1319"/>
      <c r="AD237" s="1278"/>
      <c r="AE237" s="1278"/>
      <c r="AF237" s="1319"/>
      <c r="AG237" s="1319"/>
      <c r="AH237" s="1319"/>
      <c r="AI237" s="1408">
        <f t="shared" ref="AI237:AY237" si="315">AI235/AI$18</f>
        <v>0.11194029850746269</v>
      </c>
      <c r="AJ237" s="1342">
        <f t="shared" si="315"/>
        <v>2.9097963142580018E-2</v>
      </c>
      <c r="AK237" s="1408">
        <f t="shared" si="315"/>
        <v>9.4890510948905105E-2</v>
      </c>
      <c r="AL237" s="1408">
        <f t="shared" si="315"/>
        <v>9.3862815884476536E-2</v>
      </c>
      <c r="AM237" s="1408">
        <f t="shared" si="315"/>
        <v>9.5070422535211266E-2</v>
      </c>
      <c r="AN237" s="1408">
        <f t="shared" si="315"/>
        <v>0.10344827586206896</v>
      </c>
      <c r="AO237" s="1342">
        <f t="shared" si="315"/>
        <v>9.6888888888888886E-2</v>
      </c>
      <c r="AP237" s="1408">
        <f t="shared" si="315"/>
        <v>9.7222222222222224E-2</v>
      </c>
      <c r="AQ237" s="1408">
        <f t="shared" si="315"/>
        <v>9.4076655052264813E-2</v>
      </c>
      <c r="AR237" s="1408">
        <f t="shared" si="315"/>
        <v>9.556313993174062E-2</v>
      </c>
      <c r="AS237" s="1408">
        <f t="shared" si="315"/>
        <v>0.10299003322259136</v>
      </c>
      <c r="AT237" s="1342">
        <f t="shared" si="315"/>
        <v>9.751924721984602E-2</v>
      </c>
      <c r="AU237" s="1408">
        <f t="shared" si="315"/>
        <v>8.9700996677740868E-2</v>
      </c>
      <c r="AV237" s="1408">
        <f t="shared" si="315"/>
        <v>9.4462540716612378E-2</v>
      </c>
      <c r="AW237" s="1408">
        <f t="shared" si="315"/>
        <v>9.0032154340836015E-2</v>
      </c>
      <c r="AX237" s="1695">
        <f t="shared" si="315"/>
        <v>0.10062893081761007</v>
      </c>
      <c r="AY237" s="1342">
        <f t="shared" si="315"/>
        <v>9.3775262732417139E-2</v>
      </c>
      <c r="AZ237" s="1408">
        <f>1-AZ241</f>
        <v>0.10312500000000002</v>
      </c>
      <c r="BA237" s="1408">
        <f>1-BA241</f>
        <v>9.8765432098765427E-2</v>
      </c>
      <c r="BB237" s="1408">
        <f t="shared" ref="BB237:BG237" si="316">+AW237</f>
        <v>9.0032154340836015E-2</v>
      </c>
      <c r="BC237" s="1408">
        <f t="shared" si="316"/>
        <v>0.10062893081761007</v>
      </c>
      <c r="BD237" s="1342">
        <f>BD235/BD$18</f>
        <v>9.5373665480427042E-2</v>
      </c>
      <c r="BE237" s="1408">
        <f t="shared" si="316"/>
        <v>0.10312500000000002</v>
      </c>
      <c r="BF237" s="1408">
        <f t="shared" si="316"/>
        <v>9.8765432098765427E-2</v>
      </c>
      <c r="BG237" s="1408">
        <f t="shared" si="316"/>
        <v>9.0032154340836015E-2</v>
      </c>
      <c r="BH237" s="1278" t="s">
        <v>249</v>
      </c>
      <c r="BI237" s="1278" t="s">
        <v>249</v>
      </c>
      <c r="BJ237" s="1319" t="s">
        <v>249</v>
      </c>
      <c r="BK237" s="1319" t="s">
        <v>249</v>
      </c>
      <c r="BL237" s="1319" t="s">
        <v>249</v>
      </c>
      <c r="BM237" s="1278" t="s">
        <v>249</v>
      </c>
      <c r="BN237" s="1278" t="s">
        <v>249</v>
      </c>
      <c r="BO237" s="1319" t="s">
        <v>249</v>
      </c>
      <c r="BP237" s="1319" t="s">
        <v>249</v>
      </c>
      <c r="BQ237" s="1319" t="s">
        <v>249</v>
      </c>
      <c r="BR237" s="1278" t="s">
        <v>249</v>
      </c>
      <c r="BS237" s="1278" t="s">
        <v>249</v>
      </c>
      <c r="BT237" s="1319"/>
      <c r="BU237" s="1319"/>
      <c r="BV237" s="1319"/>
      <c r="BW237" s="1278"/>
      <c r="BX237" s="1278" t="s">
        <v>249</v>
      </c>
      <c r="BY237" s="1670" t="s">
        <v>249</v>
      </c>
      <c r="BZ237" s="1670" t="s">
        <v>249</v>
      </c>
      <c r="CA237" s="1670" t="s">
        <v>249</v>
      </c>
      <c r="CF237" s="1487" t="str">
        <f t="shared" si="306"/>
        <v>% of revenue</v>
      </c>
      <c r="CG237" s="1271">
        <f t="shared" si="307"/>
        <v>0</v>
      </c>
      <c r="CH237" s="1271">
        <f t="shared" si="308"/>
        <v>0</v>
      </c>
      <c r="CI237" s="1271">
        <f t="shared" si="309"/>
        <v>0</v>
      </c>
      <c r="CJ237" s="1271">
        <f t="shared" si="310"/>
        <v>0</v>
      </c>
      <c r="CK237" s="1271">
        <f t="shared" si="311"/>
        <v>0</v>
      </c>
      <c r="CL237" s="1278">
        <f t="shared" si="312"/>
        <v>0</v>
      </c>
      <c r="CM237" s="1278"/>
      <c r="CN237" s="1278"/>
      <c r="CO237" s="1278"/>
      <c r="CP237" s="1278"/>
      <c r="CQ237" s="1342">
        <f>+AJ237</f>
        <v>2.9097963142580018E-2</v>
      </c>
      <c r="CR237" s="1342">
        <f>+AO237</f>
        <v>9.6888888888888886E-2</v>
      </c>
      <c r="CS237" s="1342">
        <f>+AT237</f>
        <v>9.751924721984602E-2</v>
      </c>
      <c r="CT237" s="1342">
        <f>+AY237</f>
        <v>9.3775262732417139E-2</v>
      </c>
      <c r="CU237" s="1342">
        <f>+BD237</f>
        <v>9.5373665480427042E-2</v>
      </c>
      <c r="CV237" s="1694" t="str">
        <f>+BI237</f>
        <v>--</v>
      </c>
      <c r="CW237" s="1694" t="str">
        <f>+BN237</f>
        <v>--</v>
      </c>
      <c r="CX237" s="1694" t="str">
        <f>+BS237</f>
        <v>--</v>
      </c>
      <c r="CY237" s="1694" t="str">
        <f t="shared" si="313"/>
        <v>--</v>
      </c>
      <c r="CZ237" s="1673" t="str">
        <f t="shared" si="313"/>
        <v>--</v>
      </c>
      <c r="DA237" s="1673" t="str">
        <f t="shared" si="313"/>
        <v>--</v>
      </c>
      <c r="DB237" s="1673" t="str">
        <f t="shared" si="313"/>
        <v>--</v>
      </c>
    </row>
    <row r="238" spans="1:106" ht="11.25" customHeight="1">
      <c r="A238" s="1485"/>
      <c r="B238" s="1286"/>
      <c r="C238" s="1286"/>
      <c r="D238" s="1286"/>
      <c r="E238" s="1286"/>
      <c r="K238" s="1423"/>
      <c r="P238" s="1423"/>
      <c r="U238" s="1423"/>
      <c r="Z238" s="1423"/>
      <c r="AA238" s="1408"/>
      <c r="AB238" s="1408"/>
      <c r="AC238" s="1408"/>
      <c r="AD238" s="1408"/>
      <c r="AE238" s="1342"/>
      <c r="AF238" s="1408"/>
      <c r="AG238" s="1408"/>
      <c r="AH238" s="1408"/>
      <c r="AI238" s="1408"/>
      <c r="AJ238" s="1342"/>
      <c r="AK238" s="1408"/>
      <c r="AL238" s="1408"/>
      <c r="AM238" s="1408"/>
      <c r="AN238" s="1408"/>
      <c r="AO238" s="1342"/>
      <c r="AP238" s="1408"/>
      <c r="AQ238" s="1408"/>
      <c r="AR238" s="1408"/>
      <c r="AS238" s="1408"/>
      <c r="AT238" s="1342"/>
      <c r="AU238" s="1408"/>
      <c r="AV238" s="1408"/>
      <c r="AW238" s="1408"/>
      <c r="AY238" s="1342"/>
      <c r="AZ238" s="1408"/>
      <c r="BA238" s="1408"/>
      <c r="BB238" s="1408"/>
      <c r="BD238" s="1342"/>
      <c r="BE238" s="1408"/>
      <c r="BF238" s="1408"/>
      <c r="BG238" s="1408"/>
      <c r="BH238" s="1422"/>
      <c r="BI238" s="1422"/>
      <c r="BJ238" s="1408"/>
      <c r="BK238" s="1408"/>
      <c r="BL238" s="1408"/>
      <c r="BM238" s="1486"/>
      <c r="BN238" s="1422"/>
      <c r="BO238" s="1408"/>
      <c r="BP238" s="1408"/>
      <c r="BQ238" s="1408"/>
      <c r="BR238" s="1422"/>
      <c r="BS238" s="1422"/>
      <c r="BT238" s="1408"/>
      <c r="BU238" s="1408"/>
      <c r="BV238" s="1408"/>
      <c r="BW238" s="1422"/>
      <c r="BX238" s="1422"/>
      <c r="BY238" s="1486"/>
      <c r="BZ238" s="1486"/>
      <c r="CA238" s="1486"/>
      <c r="CF238" s="1487"/>
      <c r="CG238" s="1271">
        <f t="shared" si="307"/>
        <v>0</v>
      </c>
      <c r="CH238" s="1271">
        <f t="shared" si="308"/>
        <v>0</v>
      </c>
      <c r="CI238" s="1271">
        <f t="shared" si="309"/>
        <v>0</v>
      </c>
      <c r="CJ238" s="1271">
        <f t="shared" si="310"/>
        <v>0</v>
      </c>
      <c r="CK238" s="1271">
        <f t="shared" si="311"/>
        <v>0</v>
      </c>
      <c r="CL238" s="1423">
        <f t="shared" si="312"/>
        <v>0</v>
      </c>
      <c r="CM238" s="1342"/>
      <c r="CN238" s="1342"/>
      <c r="CO238" s="1342"/>
      <c r="CP238" s="1342"/>
      <c r="CQ238" s="1342"/>
      <c r="CR238" s="1342"/>
      <c r="CS238" s="1342"/>
      <c r="CT238" s="1342"/>
      <c r="CU238" s="1342"/>
      <c r="CV238" s="1696"/>
      <c r="CW238" s="1694"/>
      <c r="CX238" s="1694"/>
      <c r="CY238" s="1694"/>
      <c r="CZ238" s="1673"/>
      <c r="DA238" s="1673"/>
      <c r="DB238" s="1673"/>
    </row>
    <row r="239" spans="1:106" s="762" customFormat="1" ht="11.25" customHeight="1">
      <c r="A239" s="762" t="s">
        <v>334</v>
      </c>
      <c r="B239" s="1287"/>
      <c r="C239" s="1287"/>
      <c r="D239" s="1287"/>
      <c r="E239" s="1287"/>
      <c r="G239" s="1319" t="s">
        <v>249</v>
      </c>
      <c r="H239" s="1319" t="s">
        <v>249</v>
      </c>
      <c r="I239" s="1319" t="s">
        <v>249</v>
      </c>
      <c r="J239" s="1278" t="s">
        <v>249</v>
      </c>
      <c r="K239" s="1278" t="s">
        <v>249</v>
      </c>
      <c r="L239" s="1319" t="s">
        <v>249</v>
      </c>
      <c r="M239" s="1319" t="s">
        <v>249</v>
      </c>
      <c r="N239" s="1319" t="s">
        <v>249</v>
      </c>
      <c r="O239" s="1278" t="s">
        <v>249</v>
      </c>
      <c r="P239" s="1278" t="s">
        <v>249</v>
      </c>
      <c r="Q239" s="1319" t="s">
        <v>249</v>
      </c>
      <c r="R239" s="1319" t="s">
        <v>249</v>
      </c>
      <c r="S239" s="1319" t="s">
        <v>249</v>
      </c>
      <c r="T239" s="1278" t="s">
        <v>249</v>
      </c>
      <c r="U239" s="1278" t="s">
        <v>249</v>
      </c>
      <c r="V239" s="1319" t="s">
        <v>249</v>
      </c>
      <c r="W239" s="1319" t="s">
        <v>249</v>
      </c>
      <c r="X239" s="1319" t="s">
        <v>249</v>
      </c>
      <c r="Y239" s="1278" t="s">
        <v>249</v>
      </c>
      <c r="Z239" s="1278" t="s">
        <v>249</v>
      </c>
      <c r="AA239" s="1319" t="s">
        <v>249</v>
      </c>
      <c r="AB239" s="1319" t="s">
        <v>249</v>
      </c>
      <c r="AC239" s="1319" t="s">
        <v>249</v>
      </c>
      <c r="AD239" s="1278" t="s">
        <v>249</v>
      </c>
      <c r="AE239" s="1278" t="s">
        <v>249</v>
      </c>
      <c r="AF239" s="1319" t="s">
        <v>249</v>
      </c>
      <c r="AG239" s="1319" t="s">
        <v>249</v>
      </c>
      <c r="AH239" s="1319" t="s">
        <v>249</v>
      </c>
      <c r="AI239" s="2027">
        <v>238</v>
      </c>
      <c r="AJ239" s="1270">
        <f>SUM(AF239:AI239)</f>
        <v>238</v>
      </c>
      <c r="AK239" s="2027">
        <v>248</v>
      </c>
      <c r="AL239" s="2036">
        <v>251</v>
      </c>
      <c r="AM239" s="2036">
        <v>257</v>
      </c>
      <c r="AN239" s="2027">
        <v>260</v>
      </c>
      <c r="AO239" s="1270">
        <f>SUM(AK239:AN239)</f>
        <v>1016</v>
      </c>
      <c r="AP239" s="2027">
        <f>260</f>
        <v>260</v>
      </c>
      <c r="AQ239" s="2036">
        <f>260</f>
        <v>260</v>
      </c>
      <c r="AR239" s="2036">
        <f>265</f>
        <v>265</v>
      </c>
      <c r="AS239" s="2027">
        <f>270</f>
        <v>270</v>
      </c>
      <c r="AT239" s="1270">
        <f>SUM(AP239:AS239)</f>
        <v>1055</v>
      </c>
      <c r="AU239" s="2027">
        <f>274</f>
        <v>274</v>
      </c>
      <c r="AV239" s="2036">
        <f>278</f>
        <v>278</v>
      </c>
      <c r="AW239" s="2027">
        <v>283</v>
      </c>
      <c r="AX239" s="2027">
        <v>286</v>
      </c>
      <c r="AY239" s="1270">
        <f>SUM(AU239:AX239)</f>
        <v>1121</v>
      </c>
      <c r="AZ239" s="2027">
        <v>287</v>
      </c>
      <c r="BA239" s="2027">
        <v>292</v>
      </c>
      <c r="BB239" s="2027">
        <v>322</v>
      </c>
      <c r="BC239" s="2028">
        <v>370</v>
      </c>
      <c r="BD239" s="1270">
        <f>SUM(AZ239:BC239)</f>
        <v>1271</v>
      </c>
      <c r="BE239" s="2026">
        <v>375</v>
      </c>
      <c r="BF239" s="2026">
        <v>382</v>
      </c>
      <c r="BG239" s="2026">
        <v>394</v>
      </c>
      <c r="BH239" s="1278" t="s">
        <v>249</v>
      </c>
      <c r="BI239" s="1278" t="s">
        <v>249</v>
      </c>
      <c r="BJ239" s="2111">
        <f>385+6</f>
        <v>391</v>
      </c>
      <c r="BK239" s="1319" t="s">
        <v>249</v>
      </c>
      <c r="BL239" s="1319" t="s">
        <v>249</v>
      </c>
      <c r="BM239" s="1278" t="s">
        <v>249</v>
      </c>
      <c r="BN239" s="1278" t="s">
        <v>249</v>
      </c>
      <c r="BO239" s="2111">
        <f>424+5</f>
        <v>429</v>
      </c>
      <c r="BP239" s="1319" t="s">
        <v>249</v>
      </c>
      <c r="BQ239" s="1319" t="s">
        <v>249</v>
      </c>
      <c r="BR239" s="1278" t="s">
        <v>249</v>
      </c>
      <c r="BS239" s="1278" t="s">
        <v>249</v>
      </c>
      <c r="BT239" s="1319"/>
      <c r="BU239" s="1319"/>
      <c r="BV239" s="1319"/>
      <c r="BW239" s="1278"/>
      <c r="BX239" s="1278" t="s">
        <v>249</v>
      </c>
      <c r="BY239" s="1670" t="s">
        <v>249</v>
      </c>
      <c r="BZ239" s="1670" t="s">
        <v>249</v>
      </c>
      <c r="CA239" s="1670" t="s">
        <v>249</v>
      </c>
      <c r="CF239" s="1270" t="str">
        <f>+A239</f>
        <v>Non-Transaction</v>
      </c>
      <c r="CG239" s="762">
        <f t="shared" si="307"/>
        <v>0</v>
      </c>
      <c r="CH239" s="762">
        <f t="shared" si="308"/>
        <v>0</v>
      </c>
      <c r="CI239" s="762">
        <f t="shared" si="309"/>
        <v>0</v>
      </c>
      <c r="CJ239" s="762">
        <f t="shared" si="310"/>
        <v>0</v>
      </c>
      <c r="CK239" s="762">
        <f t="shared" si="311"/>
        <v>0</v>
      </c>
      <c r="CL239" s="1278" t="str">
        <f t="shared" si="312"/>
        <v>--</v>
      </c>
      <c r="CM239" s="1278"/>
      <c r="CN239" s="1278"/>
      <c r="CO239" s="1278"/>
      <c r="CP239" s="1278"/>
      <c r="CQ239" s="1270">
        <f>+AJ239</f>
        <v>238</v>
      </c>
      <c r="CR239" s="1270">
        <f>+AO239</f>
        <v>1016</v>
      </c>
      <c r="CS239" s="1270">
        <f>+AT239</f>
        <v>1055</v>
      </c>
      <c r="CT239" s="1270">
        <f>+AY239</f>
        <v>1121</v>
      </c>
      <c r="CU239" s="1270">
        <f>+BD239</f>
        <v>1271</v>
      </c>
      <c r="CV239" s="1669" t="str">
        <f>+BI239</f>
        <v>--</v>
      </c>
      <c r="CW239" s="1669" t="str">
        <f>+BN239</f>
        <v>--</v>
      </c>
      <c r="CX239" s="1669" t="str">
        <f>+BS239</f>
        <v>--</v>
      </c>
      <c r="CY239" s="1669" t="str">
        <f t="shared" ref="CY239:DB241" si="317">+BX239</f>
        <v>--</v>
      </c>
      <c r="CZ239" s="1670" t="str">
        <f t="shared" si="317"/>
        <v>--</v>
      </c>
      <c r="DA239" s="1670" t="str">
        <f t="shared" si="317"/>
        <v>--</v>
      </c>
      <c r="DB239" s="1670" t="str">
        <f t="shared" si="317"/>
        <v>--</v>
      </c>
    </row>
    <row r="240" spans="1:106" ht="12" customHeight="1">
      <c r="A240" s="1485" t="s">
        <v>294</v>
      </c>
      <c r="B240" s="1265"/>
      <c r="C240" s="1265"/>
      <c r="D240" s="1265"/>
      <c r="E240" s="1265"/>
      <c r="F240" s="1272"/>
      <c r="G240" s="1319"/>
      <c r="H240" s="1319"/>
      <c r="I240" s="1319"/>
      <c r="J240" s="1278"/>
      <c r="K240" s="1278"/>
      <c r="L240" s="1319"/>
      <c r="M240" s="1319"/>
      <c r="N240" s="1319"/>
      <c r="O240" s="1278"/>
      <c r="P240" s="1278"/>
      <c r="Q240" s="1319"/>
      <c r="R240" s="1319"/>
      <c r="S240" s="1319"/>
      <c r="T240" s="1278"/>
      <c r="U240" s="1278"/>
      <c r="V240" s="1319"/>
      <c r="W240" s="1319"/>
      <c r="X240" s="1319"/>
      <c r="Y240" s="1278"/>
      <c r="Z240" s="1278"/>
      <c r="AA240" s="1319"/>
      <c r="AB240" s="1319"/>
      <c r="AC240" s="1319"/>
      <c r="AD240" s="1278"/>
      <c r="AE240" s="1278"/>
      <c r="AF240" s="1319"/>
      <c r="AG240" s="1319"/>
      <c r="AH240" s="1319"/>
      <c r="AI240" s="1278"/>
      <c r="AJ240" s="1278"/>
      <c r="AK240" s="1319"/>
      <c r="AL240" s="1319"/>
      <c r="AM240" s="1319"/>
      <c r="AN240" s="1408">
        <f t="shared" ref="AN240:BG240" si="318">AN239/AI239-1</f>
        <v>9.243697478991586E-2</v>
      </c>
      <c r="AO240" s="1342">
        <f t="shared" si="318"/>
        <v>3.26890756302521</v>
      </c>
      <c r="AP240" s="1408">
        <f t="shared" si="318"/>
        <v>4.8387096774193505E-2</v>
      </c>
      <c r="AQ240" s="1610">
        <f t="shared" si="318"/>
        <v>3.5856573705179251E-2</v>
      </c>
      <c r="AR240" s="1610">
        <f t="shared" si="318"/>
        <v>3.112840466926059E-2</v>
      </c>
      <c r="AS240" s="1610">
        <f t="shared" si="318"/>
        <v>3.8461538461538547E-2</v>
      </c>
      <c r="AT240" s="1342">
        <f t="shared" si="318"/>
        <v>3.8385826771653475E-2</v>
      </c>
      <c r="AU240" s="1408">
        <f t="shared" si="318"/>
        <v>5.3846153846153877E-2</v>
      </c>
      <c r="AV240" s="1610">
        <f t="shared" si="318"/>
        <v>6.9230769230769207E-2</v>
      </c>
      <c r="AW240" s="1610">
        <f t="shared" si="318"/>
        <v>6.7924528301886777E-2</v>
      </c>
      <c r="AX240" s="1610">
        <f t="shared" si="318"/>
        <v>5.9259259259259345E-2</v>
      </c>
      <c r="AY240" s="1342">
        <f t="shared" si="318"/>
        <v>6.2559241706161117E-2</v>
      </c>
      <c r="AZ240" s="1408">
        <f t="shared" si="318"/>
        <v>4.7445255474452663E-2</v>
      </c>
      <c r="BA240" s="1610">
        <f t="shared" si="318"/>
        <v>5.0359712230215736E-2</v>
      </c>
      <c r="BB240" s="1610">
        <f t="shared" si="318"/>
        <v>0.13780918727915203</v>
      </c>
      <c r="BC240" s="1693">
        <f t="shared" si="318"/>
        <v>0.29370629370629375</v>
      </c>
      <c r="BD240" s="1342">
        <f t="shared" si="318"/>
        <v>0.13380909901873328</v>
      </c>
      <c r="BE240" s="1408">
        <f t="shared" si="318"/>
        <v>0.30662020905923337</v>
      </c>
      <c r="BF240" s="1610">
        <f t="shared" si="318"/>
        <v>0.30821917808219168</v>
      </c>
      <c r="BG240" s="1610">
        <f t="shared" si="318"/>
        <v>0.22360248447204967</v>
      </c>
      <c r="BH240" s="1278" t="s">
        <v>249</v>
      </c>
      <c r="BI240" s="1278" t="s">
        <v>249</v>
      </c>
      <c r="BJ240" s="1319" t="s">
        <v>249</v>
      </c>
      <c r="BK240" s="1319" t="s">
        <v>249</v>
      </c>
      <c r="BL240" s="1319" t="s">
        <v>249</v>
      </c>
      <c r="BM240" s="1278" t="s">
        <v>249</v>
      </c>
      <c r="BN240" s="1278" t="s">
        <v>249</v>
      </c>
      <c r="BO240" s="1319" t="s">
        <v>249</v>
      </c>
      <c r="BP240" s="1319" t="s">
        <v>249</v>
      </c>
      <c r="BQ240" s="1319" t="s">
        <v>249</v>
      </c>
      <c r="BR240" s="1278" t="s">
        <v>249</v>
      </c>
      <c r="BS240" s="1278" t="s">
        <v>249</v>
      </c>
      <c r="BT240" s="1319"/>
      <c r="BU240" s="1319"/>
      <c r="BV240" s="1319"/>
      <c r="BW240" s="1278"/>
      <c r="BX240" s="1278" t="s">
        <v>249</v>
      </c>
      <c r="BY240" s="1670" t="s">
        <v>249</v>
      </c>
      <c r="BZ240" s="1670" t="s">
        <v>249</v>
      </c>
      <c r="CA240" s="1670" t="s">
        <v>249</v>
      </c>
      <c r="CF240" s="1487" t="str">
        <f>+A240</f>
        <v>y/y chg</v>
      </c>
      <c r="CG240" s="1272">
        <f t="shared" si="307"/>
        <v>0</v>
      </c>
      <c r="CH240" s="1264">
        <f t="shared" si="308"/>
        <v>0</v>
      </c>
      <c r="CI240" s="1264">
        <f t="shared" si="309"/>
        <v>0</v>
      </c>
      <c r="CJ240" s="1264">
        <f t="shared" si="310"/>
        <v>0</v>
      </c>
      <c r="CK240" s="1264">
        <f t="shared" si="311"/>
        <v>0</v>
      </c>
      <c r="CL240" s="1278">
        <f t="shared" si="312"/>
        <v>0</v>
      </c>
      <c r="CM240" s="1278"/>
      <c r="CN240" s="1278"/>
      <c r="CO240" s="1278"/>
      <c r="CP240" s="1278"/>
      <c r="CQ240" s="1278"/>
      <c r="CR240" s="1342"/>
      <c r="CS240" s="1342">
        <f>+AT240</f>
        <v>3.8385826771653475E-2</v>
      </c>
      <c r="CT240" s="1342">
        <f>+AY240</f>
        <v>6.2559241706161117E-2</v>
      </c>
      <c r="CU240" s="1342">
        <f>+BD240</f>
        <v>0.13380909901873328</v>
      </c>
      <c r="CV240" s="1694" t="str">
        <f>+BI240</f>
        <v>--</v>
      </c>
      <c r="CW240" s="1694" t="str">
        <f>+BN240</f>
        <v>--</v>
      </c>
      <c r="CX240" s="1694" t="str">
        <f>+BS240</f>
        <v>--</v>
      </c>
      <c r="CY240" s="1694" t="str">
        <f t="shared" si="317"/>
        <v>--</v>
      </c>
      <c r="CZ240" s="1694" t="str">
        <f t="shared" si="317"/>
        <v>--</v>
      </c>
      <c r="DA240" s="1694" t="str">
        <f t="shared" si="317"/>
        <v>--</v>
      </c>
      <c r="DB240" s="1694" t="str">
        <f t="shared" si="317"/>
        <v>--</v>
      </c>
    </row>
    <row r="241" spans="1:106" ht="11.25" customHeight="1">
      <c r="A241" s="1485" t="s">
        <v>330</v>
      </c>
      <c r="B241" s="1286"/>
      <c r="C241" s="1286"/>
      <c r="D241" s="1286"/>
      <c r="E241" s="1286"/>
      <c r="G241" s="1319" t="s">
        <v>249</v>
      </c>
      <c r="H241" s="1319" t="s">
        <v>249</v>
      </c>
      <c r="I241" s="1319" t="s">
        <v>249</v>
      </c>
      <c r="J241" s="1276" t="s">
        <v>249</v>
      </c>
      <c r="K241" s="1277" t="s">
        <v>249</v>
      </c>
      <c r="L241" s="1319" t="s">
        <v>249</v>
      </c>
      <c r="M241" s="1319" t="s">
        <v>249</v>
      </c>
      <c r="N241" s="1319" t="s">
        <v>249</v>
      </c>
      <c r="O241" s="1276" t="s">
        <v>249</v>
      </c>
      <c r="P241" s="1277" t="s">
        <v>249</v>
      </c>
      <c r="Q241" s="1319" t="s">
        <v>249</v>
      </c>
      <c r="R241" s="1319" t="s">
        <v>249</v>
      </c>
      <c r="S241" s="1319" t="s">
        <v>249</v>
      </c>
      <c r="T241" s="1278" t="s">
        <v>249</v>
      </c>
      <c r="U241" s="1278" t="s">
        <v>249</v>
      </c>
      <c r="V241" s="1319" t="s">
        <v>249</v>
      </c>
      <c r="W241" s="1319" t="s">
        <v>249</v>
      </c>
      <c r="X241" s="1319" t="s">
        <v>249</v>
      </c>
      <c r="Y241" s="1278" t="s">
        <v>249</v>
      </c>
      <c r="Z241" s="1278" t="s">
        <v>249</v>
      </c>
      <c r="AA241" s="1319" t="s">
        <v>249</v>
      </c>
      <c r="AB241" s="1319" t="s">
        <v>249</v>
      </c>
      <c r="AC241" s="1319" t="s">
        <v>249</v>
      </c>
      <c r="AD241" s="1278" t="s">
        <v>249</v>
      </c>
      <c r="AE241" s="1278" t="s">
        <v>249</v>
      </c>
      <c r="AF241" s="1319" t="s">
        <v>249</v>
      </c>
      <c r="AG241" s="1319" t="s">
        <v>249</v>
      </c>
      <c r="AH241" s="1319" t="s">
        <v>249</v>
      </c>
      <c r="AI241" s="1408">
        <f t="shared" ref="AI241:BG241" si="319">AI239/AI$18</f>
        <v>0.88805970149253732</v>
      </c>
      <c r="AJ241" s="1342">
        <f t="shared" si="319"/>
        <v>0.23084384093113483</v>
      </c>
      <c r="AK241" s="1408">
        <f t="shared" si="319"/>
        <v>0.9051094890510949</v>
      </c>
      <c r="AL241" s="1408">
        <f t="shared" si="319"/>
        <v>0.90613718411552346</v>
      </c>
      <c r="AM241" s="1408">
        <f t="shared" si="319"/>
        <v>0.90492957746478875</v>
      </c>
      <c r="AN241" s="1408">
        <f t="shared" si="319"/>
        <v>0.89655172413793105</v>
      </c>
      <c r="AO241" s="1342">
        <f t="shared" si="319"/>
        <v>0.90311111111111109</v>
      </c>
      <c r="AP241" s="1408">
        <f t="shared" si="319"/>
        <v>0.90277777777777779</v>
      </c>
      <c r="AQ241" s="1408">
        <f t="shared" si="319"/>
        <v>0.90592334494773519</v>
      </c>
      <c r="AR241" s="1408">
        <f t="shared" si="319"/>
        <v>0.90443686006825941</v>
      </c>
      <c r="AS241" s="1408">
        <f t="shared" si="319"/>
        <v>0.89700996677740863</v>
      </c>
      <c r="AT241" s="1342">
        <f t="shared" si="319"/>
        <v>0.90248075278015394</v>
      </c>
      <c r="AU241" s="1408">
        <f t="shared" si="319"/>
        <v>0.9102990033222591</v>
      </c>
      <c r="AV241" s="1408">
        <f t="shared" si="319"/>
        <v>0.90553745928338758</v>
      </c>
      <c r="AW241" s="1408">
        <f t="shared" si="319"/>
        <v>0.909967845659164</v>
      </c>
      <c r="AX241" s="1408">
        <f t="shared" si="319"/>
        <v>0.89937106918238996</v>
      </c>
      <c r="AY241" s="1342">
        <f t="shared" si="319"/>
        <v>0.9062247372675829</v>
      </c>
      <c r="AZ241" s="1408">
        <f t="shared" si="319"/>
        <v>0.89687499999999998</v>
      </c>
      <c r="BA241" s="1408">
        <f t="shared" si="319"/>
        <v>0.90123456790123457</v>
      </c>
      <c r="BB241" s="1408">
        <f t="shared" si="319"/>
        <v>0.9044943820224719</v>
      </c>
      <c r="BC241" s="1408">
        <f t="shared" si="319"/>
        <v>0.9135802469135802</v>
      </c>
      <c r="BD241" s="1342">
        <f>BD239/BD$18</f>
        <v>0.90462633451957297</v>
      </c>
      <c r="BE241" s="1408">
        <f t="shared" si="319"/>
        <v>0.92137592137592139</v>
      </c>
      <c r="BF241" s="1408">
        <f t="shared" si="319"/>
        <v>0.91826923076923073</v>
      </c>
      <c r="BG241" s="1408">
        <f t="shared" si="319"/>
        <v>0.9184149184149184</v>
      </c>
      <c r="BH241" s="1278" t="s">
        <v>249</v>
      </c>
      <c r="BI241" s="1278" t="s">
        <v>249</v>
      </c>
      <c r="BJ241" s="1276" t="s">
        <v>249</v>
      </c>
      <c r="BK241" s="1276" t="s">
        <v>249</v>
      </c>
      <c r="BL241" s="1276" t="s">
        <v>249</v>
      </c>
      <c r="BM241" s="1278" t="s">
        <v>249</v>
      </c>
      <c r="BN241" s="1278" t="s">
        <v>249</v>
      </c>
      <c r="BO241" s="1276" t="s">
        <v>249</v>
      </c>
      <c r="BP241" s="1276" t="s">
        <v>249</v>
      </c>
      <c r="BQ241" s="1276" t="s">
        <v>249</v>
      </c>
      <c r="BR241" s="1278" t="s">
        <v>249</v>
      </c>
      <c r="BS241" s="1278" t="s">
        <v>249</v>
      </c>
      <c r="BT241" s="1276"/>
      <c r="BU241" s="1276"/>
      <c r="BV241" s="1276"/>
      <c r="BW241" s="1278"/>
      <c r="BX241" s="1278" t="s">
        <v>249</v>
      </c>
      <c r="BY241" s="1697" t="s">
        <v>249</v>
      </c>
      <c r="BZ241" s="1697" t="s">
        <v>249</v>
      </c>
      <c r="CA241" s="1697" t="s">
        <v>249</v>
      </c>
      <c r="CF241" s="1487" t="str">
        <f>+A241</f>
        <v>% of revenue</v>
      </c>
      <c r="CG241" s="1271">
        <f t="shared" si="307"/>
        <v>0</v>
      </c>
      <c r="CH241" s="1271">
        <f t="shared" si="308"/>
        <v>0</v>
      </c>
      <c r="CI241" s="1271">
        <f t="shared" si="309"/>
        <v>0</v>
      </c>
      <c r="CJ241" s="1271">
        <f t="shared" si="310"/>
        <v>0</v>
      </c>
      <c r="CK241" s="1271">
        <f t="shared" si="311"/>
        <v>0</v>
      </c>
      <c r="CL241" s="1278" t="str">
        <f t="shared" si="312"/>
        <v>--</v>
      </c>
      <c r="CM241" s="1278"/>
      <c r="CN241" s="1278"/>
      <c r="CO241" s="1278"/>
      <c r="CP241" s="1278"/>
      <c r="CQ241" s="1342"/>
      <c r="CR241" s="1342"/>
      <c r="CS241" s="1342">
        <f>+AT241</f>
        <v>0.90248075278015394</v>
      </c>
      <c r="CT241" s="1342">
        <f>+AY241</f>
        <v>0.9062247372675829</v>
      </c>
      <c r="CU241" s="1342">
        <f>+BD241</f>
        <v>0.90462633451957297</v>
      </c>
      <c r="CV241" s="1696" t="str">
        <f>+BI241</f>
        <v>--</v>
      </c>
      <c r="CW241" s="1694" t="str">
        <f>+BN241</f>
        <v>--</v>
      </c>
      <c r="CX241" s="1694" t="str">
        <f>+BS241</f>
        <v>--</v>
      </c>
      <c r="CY241" s="1694" t="str">
        <f t="shared" si="317"/>
        <v>--</v>
      </c>
      <c r="CZ241" s="1694" t="str">
        <f t="shared" si="317"/>
        <v>--</v>
      </c>
      <c r="DA241" s="1694" t="str">
        <f t="shared" si="317"/>
        <v>--</v>
      </c>
      <c r="DB241" s="1694" t="str">
        <f t="shared" si="317"/>
        <v>--</v>
      </c>
    </row>
    <row r="242" spans="1:106" ht="11.25" customHeight="1">
      <c r="B242" s="1286"/>
      <c r="C242" s="1286"/>
      <c r="D242" s="1286"/>
      <c r="E242" s="1286"/>
      <c r="K242" s="1423"/>
      <c r="P242" s="1423"/>
      <c r="U242" s="1423"/>
      <c r="Z242" s="1423"/>
      <c r="AE242" s="1423"/>
      <c r="AJ242" s="1423"/>
      <c r="AO242" s="1423"/>
      <c r="AT242" s="1423"/>
      <c r="AW242" s="1663"/>
      <c r="AY242" s="1423"/>
      <c r="AZ242" s="1410"/>
      <c r="BA242" s="1410"/>
      <c r="BB242" s="1663"/>
      <c r="BC242" s="1400"/>
      <c r="BD242" s="1423"/>
      <c r="BE242" s="1663"/>
      <c r="BF242" s="1410"/>
      <c r="BG242" s="1410"/>
      <c r="BH242" s="1400"/>
      <c r="BI242" s="1423"/>
      <c r="BJ242" s="1663"/>
      <c r="BK242" s="1663"/>
      <c r="BL242" s="1410"/>
      <c r="BM242" s="2102"/>
      <c r="BN242" s="1422"/>
      <c r="BO242" s="1663"/>
      <c r="BP242" s="1663"/>
      <c r="BQ242" s="1663"/>
      <c r="BR242" s="1268"/>
      <c r="BS242" s="1423"/>
      <c r="BT242" s="1663"/>
      <c r="BU242" s="1663"/>
      <c r="BV242" s="1663"/>
      <c r="BW242" s="1268"/>
      <c r="BX242" s="1423"/>
      <c r="BY242" s="1698"/>
      <c r="BZ242" s="1698"/>
      <c r="CA242" s="1698"/>
      <c r="CF242" s="1423"/>
      <c r="CG242" s="1271">
        <f t="shared" si="307"/>
        <v>0</v>
      </c>
      <c r="CH242" s="1271">
        <f t="shared" si="308"/>
        <v>0</v>
      </c>
      <c r="CI242" s="1271">
        <f t="shared" si="309"/>
        <v>0</v>
      </c>
      <c r="CJ242" s="1271">
        <f t="shared" si="310"/>
        <v>0</v>
      </c>
      <c r="CK242" s="1271">
        <f t="shared" si="311"/>
        <v>0</v>
      </c>
      <c r="CL242" s="1423">
        <f t="shared" si="312"/>
        <v>0</v>
      </c>
      <c r="CM242" s="1423"/>
      <c r="CN242" s="1423"/>
      <c r="CO242" s="1423"/>
      <c r="CP242" s="1423"/>
      <c r="CQ242" s="1423"/>
      <c r="CR242" s="1423"/>
      <c r="CS242" s="1423"/>
      <c r="CT242" s="1423"/>
      <c r="CU242" s="1423"/>
      <c r="CV242" s="1425"/>
      <c r="CW242" s="1423"/>
      <c r="CX242" s="1423"/>
      <c r="CY242" s="1423"/>
      <c r="CZ242" s="1422"/>
      <c r="DA242" s="1422"/>
      <c r="DB242" s="1422"/>
    </row>
    <row r="243" spans="1:106" ht="11.25" customHeight="1">
      <c r="A243" s="784" t="s">
        <v>303</v>
      </c>
      <c r="B243" s="1286"/>
      <c r="C243" s="1286"/>
      <c r="D243" s="1286"/>
      <c r="E243" s="1286"/>
      <c r="K243" s="1423"/>
      <c r="P243" s="1423"/>
      <c r="U243" s="1423"/>
      <c r="Z243" s="1423"/>
      <c r="AE243" s="1423"/>
      <c r="AJ243" s="1423"/>
      <c r="AO243" s="1423"/>
      <c r="AT243" s="1423"/>
      <c r="AW243" s="1663"/>
      <c r="AY243" s="1423"/>
      <c r="AZ243" s="1410"/>
      <c r="BA243" s="1400"/>
      <c r="BB243" s="1409"/>
      <c r="BC243" s="1409"/>
      <c r="BD243" s="1551"/>
      <c r="BE243" s="1409"/>
      <c r="BF243" s="1404"/>
      <c r="BG243" s="1409"/>
      <c r="BH243" s="762"/>
      <c r="BI243" s="1270"/>
      <c r="BJ243" s="1409"/>
      <c r="BK243" s="762"/>
      <c r="BL243" s="762"/>
      <c r="BM243" s="762"/>
      <c r="BN243" s="1270">
        <f>+SUM(BJ243:BM243)</f>
        <v>0</v>
      </c>
      <c r="BO243" s="2164">
        <v>3</v>
      </c>
      <c r="BP243" s="762">
        <f>0.2*BP27</f>
        <v>3.1532268570377173</v>
      </c>
      <c r="BQ243" s="762">
        <f t="shared" ref="BQ243:BT243" si="320">0.2*BQ27</f>
        <v>1.8166557728223767</v>
      </c>
      <c r="BR243" s="762">
        <f t="shared" si="320"/>
        <v>1.2359843975908014</v>
      </c>
      <c r="BS243" s="1270">
        <f>+SUM(BO243:BR243)</f>
        <v>9.2058670274508962</v>
      </c>
      <c r="BT243" s="762">
        <f t="shared" si="320"/>
        <v>0.58906652728704301</v>
      </c>
      <c r="BU243" s="762"/>
      <c r="BV243" s="762"/>
      <c r="BW243" s="762"/>
      <c r="BX243" s="1270">
        <f>+SUM(BT243:BW243)</f>
        <v>0.58906652728704301</v>
      </c>
      <c r="BY243" s="1698"/>
      <c r="BZ243" s="1698"/>
      <c r="CA243" s="1698"/>
      <c r="CF243" s="1423"/>
      <c r="CG243" s="1271"/>
      <c r="CH243" s="1271"/>
      <c r="CI243" s="1271"/>
      <c r="CJ243" s="1271"/>
      <c r="CK243" s="1271"/>
      <c r="CL243" s="1422"/>
      <c r="CM243" s="1422"/>
      <c r="CN243" s="1422"/>
      <c r="CO243" s="1422"/>
      <c r="CP243" s="1422"/>
      <c r="CQ243" s="1423"/>
      <c r="CR243" s="1423"/>
      <c r="CS243" s="1423"/>
      <c r="CT243" s="1423"/>
      <c r="CU243" s="1423"/>
      <c r="CV243" s="1425"/>
      <c r="CW243" s="1423"/>
      <c r="CX243" s="1286"/>
      <c r="CY243" s="1423"/>
      <c r="CZ243" s="1422"/>
      <c r="DA243" s="1422"/>
      <c r="DB243" s="1422"/>
    </row>
    <row r="244" spans="1:106" ht="11.25" customHeight="1">
      <c r="B244" s="1286"/>
      <c r="C244" s="1286"/>
      <c r="D244" s="1286"/>
      <c r="E244" s="1286"/>
      <c r="K244" s="1423"/>
      <c r="P244" s="1423"/>
      <c r="U244" s="1423"/>
      <c r="Z244" s="1423"/>
      <c r="AE244" s="1423"/>
      <c r="AJ244" s="1423"/>
      <c r="AO244" s="1423"/>
      <c r="AT244" s="1423"/>
      <c r="AW244" s="1663"/>
      <c r="AY244" s="1423"/>
      <c r="AZ244" s="1410"/>
      <c r="BA244" s="1410"/>
      <c r="BB244" s="1402"/>
      <c r="BC244" s="1400"/>
      <c r="BD244" s="1423"/>
      <c r="BE244" s="1663"/>
      <c r="BF244" s="1410"/>
      <c r="BG244" s="1410"/>
      <c r="BH244" s="1400"/>
      <c r="BI244" s="1423"/>
      <c r="BJ244" s="1663"/>
      <c r="BK244" s="1663"/>
      <c r="BL244" s="1410"/>
      <c r="BM244" s="1268"/>
      <c r="BN244" s="1423"/>
      <c r="BO244" s="1663"/>
      <c r="BP244" s="1663"/>
      <c r="BQ244" s="1663"/>
      <c r="BR244" s="1268"/>
      <c r="BS244" s="1423"/>
      <c r="BT244" s="1663"/>
      <c r="BU244" s="1663"/>
      <c r="BV244" s="1663"/>
      <c r="BW244" s="1268"/>
      <c r="BX244" s="1423"/>
      <c r="BY244" s="1698"/>
      <c r="BZ244" s="1698"/>
      <c r="CA244" s="1698"/>
      <c r="CF244" s="1423"/>
      <c r="CG244" s="1271"/>
      <c r="CH244" s="1271"/>
      <c r="CI244" s="1271"/>
      <c r="CJ244" s="1271"/>
      <c r="CK244" s="1271"/>
      <c r="CL244" s="1422"/>
      <c r="CM244" s="1422"/>
      <c r="CN244" s="1422"/>
      <c r="CO244" s="1422"/>
      <c r="CP244" s="1422"/>
      <c r="CQ244" s="1423"/>
      <c r="CR244" s="1423"/>
      <c r="CS244" s="1423"/>
      <c r="CT244" s="1423"/>
      <c r="CU244" s="1423"/>
      <c r="CV244" s="1425"/>
      <c r="CW244" s="1423"/>
      <c r="CX244" s="1286"/>
      <c r="CY244" s="1423"/>
      <c r="CZ244" s="1422"/>
      <c r="DA244" s="1422"/>
      <c r="DB244" s="1422"/>
    </row>
    <row r="245" spans="1:106" s="768" customFormat="1">
      <c r="A245" s="788" t="s">
        <v>289</v>
      </c>
      <c r="B245" s="1523"/>
      <c r="C245" s="1523"/>
      <c r="D245" s="1523"/>
      <c r="E245" s="1523"/>
      <c r="G245" s="1319" t="s">
        <v>249</v>
      </c>
      <c r="H245" s="1319" t="s">
        <v>249</v>
      </c>
      <c r="I245" s="1319" t="s">
        <v>249</v>
      </c>
      <c r="J245" s="1276" t="s">
        <v>249</v>
      </c>
      <c r="K245" s="1277" t="s">
        <v>249</v>
      </c>
      <c r="L245" s="1319" t="s">
        <v>249</v>
      </c>
      <c r="M245" s="1319" t="s">
        <v>249</v>
      </c>
      <c r="N245" s="1319" t="s">
        <v>249</v>
      </c>
      <c r="O245" s="1276" t="s">
        <v>249</v>
      </c>
      <c r="P245" s="1277" t="s">
        <v>249</v>
      </c>
      <c r="Q245" s="1319" t="s">
        <v>249</v>
      </c>
      <c r="R245" s="1319" t="s">
        <v>249</v>
      </c>
      <c r="S245" s="1319" t="s">
        <v>249</v>
      </c>
      <c r="T245" s="1276" t="s">
        <v>249</v>
      </c>
      <c r="U245" s="1277" t="s">
        <v>249</v>
      </c>
      <c r="V245" s="1319" t="s">
        <v>249</v>
      </c>
      <c r="W245" s="1319" t="s">
        <v>249</v>
      </c>
      <c r="X245" s="1319" t="s">
        <v>249</v>
      </c>
      <c r="Y245" s="1278" t="s">
        <v>249</v>
      </c>
      <c r="Z245" s="1277" t="s">
        <v>249</v>
      </c>
      <c r="AA245" s="1319" t="s">
        <v>249</v>
      </c>
      <c r="AB245" s="1319" t="s">
        <v>249</v>
      </c>
      <c r="AC245" s="1319" t="s">
        <v>249</v>
      </c>
      <c r="AD245" s="1278" t="s">
        <v>249</v>
      </c>
      <c r="AE245" s="1277" t="s">
        <v>249</v>
      </c>
      <c r="AF245" s="1319" t="s">
        <v>249</v>
      </c>
      <c r="AG245" s="1319" t="s">
        <v>249</v>
      </c>
      <c r="AH245" s="1319" t="s">
        <v>249</v>
      </c>
      <c r="AI245" s="768">
        <f>AI235+AI239</f>
        <v>268</v>
      </c>
      <c r="AJ245" s="1291">
        <v>1031</v>
      </c>
      <c r="AK245" s="768">
        <f t="shared" ref="AK245:BC245" si="321">AK235+AK239</f>
        <v>274</v>
      </c>
      <c r="AL245" s="768">
        <f t="shared" si="321"/>
        <v>277</v>
      </c>
      <c r="AM245" s="768">
        <f t="shared" si="321"/>
        <v>284</v>
      </c>
      <c r="AN245" s="768">
        <f t="shared" si="321"/>
        <v>290</v>
      </c>
      <c r="AO245" s="1291">
        <f t="shared" si="321"/>
        <v>1125</v>
      </c>
      <c r="AP245" s="768">
        <f t="shared" si="321"/>
        <v>288</v>
      </c>
      <c r="AQ245" s="768">
        <f t="shared" si="321"/>
        <v>287</v>
      </c>
      <c r="AR245" s="768">
        <f t="shared" si="321"/>
        <v>293</v>
      </c>
      <c r="AS245" s="768">
        <f t="shared" si="321"/>
        <v>301</v>
      </c>
      <c r="AT245" s="1291">
        <f t="shared" si="321"/>
        <v>1169</v>
      </c>
      <c r="AU245" s="768">
        <f t="shared" si="321"/>
        <v>301</v>
      </c>
      <c r="AV245" s="768">
        <f t="shared" si="321"/>
        <v>307</v>
      </c>
      <c r="AW245" s="768">
        <f t="shared" si="321"/>
        <v>311</v>
      </c>
      <c r="AX245" s="768">
        <f t="shared" si="321"/>
        <v>318</v>
      </c>
      <c r="AY245" s="1291">
        <f t="shared" si="321"/>
        <v>1237</v>
      </c>
      <c r="AZ245" s="768">
        <f t="shared" si="321"/>
        <v>320</v>
      </c>
      <c r="BA245" s="768">
        <f t="shared" si="321"/>
        <v>324</v>
      </c>
      <c r="BB245" s="768">
        <f t="shared" si="321"/>
        <v>356</v>
      </c>
      <c r="BC245" s="768">
        <f t="shared" si="321"/>
        <v>405</v>
      </c>
      <c r="BD245" s="1291">
        <f>SUM(AZ245:BC245)</f>
        <v>1405</v>
      </c>
      <c r="BE245" s="768">
        <f>BE235+BE239</f>
        <v>407</v>
      </c>
      <c r="BF245" s="768">
        <f>BF235+BF239</f>
        <v>416</v>
      </c>
      <c r="BG245" s="768">
        <f>BG235+BG239</f>
        <v>429</v>
      </c>
      <c r="BH245" s="2107">
        <v>407</v>
      </c>
      <c r="BI245" s="1291">
        <f>SUM(BE245:BH245)</f>
        <v>1659</v>
      </c>
      <c r="BJ245" s="2108">
        <v>402</v>
      </c>
      <c r="BK245" s="2107">
        <v>414</v>
      </c>
      <c r="BL245" s="2175">
        <v>422</v>
      </c>
      <c r="BM245" s="2175">
        <v>440</v>
      </c>
      <c r="BN245" s="1291">
        <f>SUM(BJ245:BM245)</f>
        <v>1678</v>
      </c>
      <c r="BO245" s="2175">
        <v>437</v>
      </c>
      <c r="BP245" s="768">
        <f>BK245*(1+BP248)</f>
        <v>448.6332268570377</v>
      </c>
      <c r="BQ245" s="768">
        <f>BL245*(1+BQ248)</f>
        <v>455.85665577282236</v>
      </c>
      <c r="BR245" s="768">
        <f>BM245*(1+BR248)</f>
        <v>474.53598439759082</v>
      </c>
      <c r="BS245" s="1291">
        <f>SUM(BO245:BR245)</f>
        <v>1816.0258670274507</v>
      </c>
      <c r="BT245" s="768">
        <f>BO245*(1+BT248)</f>
        <v>468.17906652728703</v>
      </c>
      <c r="BU245" s="768">
        <f>BP245*(1+BU248)</f>
        <v>480.03755273703035</v>
      </c>
      <c r="BV245" s="768">
        <f>BQ245*(1+BV248)</f>
        <v>487.76662167691995</v>
      </c>
      <c r="BW245" s="768">
        <f>BR245*(1+BW248)</f>
        <v>507.75350330542221</v>
      </c>
      <c r="BX245" s="1291">
        <f>SUM(BT245:BW245)</f>
        <v>1943.7367442466598</v>
      </c>
      <c r="BY245" s="1291">
        <f>BX245*(1+BY248)</f>
        <v>2060.3609489014593</v>
      </c>
      <c r="BZ245" s="1291">
        <f>BY245*(1+BZ248)</f>
        <v>2183.982605835547</v>
      </c>
      <c r="CA245" s="1291">
        <f>BZ245*(1+CA248)</f>
        <v>2293.1817361273243</v>
      </c>
      <c r="CB245" s="1340"/>
      <c r="CD245" s="785"/>
      <c r="CF245" s="1291" t="str">
        <f>+A245</f>
        <v>Market Intelligence</v>
      </c>
      <c r="CL245" s="1278"/>
      <c r="CM245" s="1278"/>
      <c r="CN245" s="1278"/>
      <c r="CO245" s="1278"/>
      <c r="CP245" s="1278"/>
      <c r="CQ245" s="1291">
        <f>+AJ245</f>
        <v>1031</v>
      </c>
      <c r="CR245" s="1291">
        <f>+AO245</f>
        <v>1125</v>
      </c>
      <c r="CS245" s="1291">
        <f>+AT245</f>
        <v>1169</v>
      </c>
      <c r="CT245" s="1291">
        <f>+AY245</f>
        <v>1237</v>
      </c>
      <c r="CU245" s="1291">
        <f>+BD245</f>
        <v>1405</v>
      </c>
      <c r="CV245" s="1291">
        <f>+BI245</f>
        <v>1659</v>
      </c>
      <c r="CW245" s="1291">
        <f>+BN245</f>
        <v>1678</v>
      </c>
      <c r="CX245" s="768">
        <f>+BS245</f>
        <v>1816.0258670274507</v>
      </c>
      <c r="CY245" s="1291">
        <f t="shared" ref="CY245:DB246" si="322">+BX245</f>
        <v>1943.7367442466598</v>
      </c>
      <c r="CZ245" s="1291">
        <f t="shared" si="322"/>
        <v>2060.3609489014593</v>
      </c>
      <c r="DA245" s="1291">
        <f t="shared" si="322"/>
        <v>2183.982605835547</v>
      </c>
      <c r="DB245" s="1291">
        <f t="shared" si="322"/>
        <v>2293.1817361273243</v>
      </c>
    </row>
    <row r="246" spans="1:106" s="1254" customFormat="1">
      <c r="A246" s="1343" t="s">
        <v>336</v>
      </c>
      <c r="B246" s="1548"/>
      <c r="C246" s="1548"/>
      <c r="D246" s="1548"/>
      <c r="E246" s="1548"/>
      <c r="G246" s="1327"/>
      <c r="H246" s="1327"/>
      <c r="I246" s="1327"/>
      <c r="J246" s="1446"/>
      <c r="K246" s="1621"/>
      <c r="L246" s="1327"/>
      <c r="M246" s="1327"/>
      <c r="N246" s="1327"/>
      <c r="O246" s="1446"/>
      <c r="P246" s="1621"/>
      <c r="Q246" s="1327"/>
      <c r="R246" s="1327"/>
      <c r="S246" s="1327"/>
      <c r="T246" s="1446"/>
      <c r="U246" s="1621"/>
      <c r="V246" s="1327"/>
      <c r="W246" s="1327"/>
      <c r="X246" s="1327"/>
      <c r="Y246" s="1446"/>
      <c r="Z246" s="1621"/>
      <c r="AA246" s="1327"/>
      <c r="AB246" s="1327"/>
      <c r="AC246" s="1327"/>
      <c r="AD246" s="1446"/>
      <c r="AE246" s="1621"/>
      <c r="AF246" s="1327"/>
      <c r="AG246" s="1327"/>
      <c r="AH246" s="1327"/>
      <c r="AJ246" s="695">
        <f t="shared" ref="AJ246:BI246" si="323">+AJ245/AJ37</f>
        <v>0.16506564201088697</v>
      </c>
      <c r="AK246" s="781">
        <f t="shared" si="323"/>
        <v>0.26473429951690819</v>
      </c>
      <c r="AL246" s="781">
        <f t="shared" si="323"/>
        <v>0.25839552238805968</v>
      </c>
      <c r="AM246" s="781">
        <f t="shared" si="323"/>
        <v>0.25448028673835127</v>
      </c>
      <c r="AN246" s="781">
        <f t="shared" si="323"/>
        <v>0.2365415986949429</v>
      </c>
      <c r="AO246" s="695">
        <f t="shared" si="323"/>
        <v>0.2528658125421443</v>
      </c>
      <c r="AP246" s="781">
        <f t="shared" si="323"/>
        <v>0.24386113463166809</v>
      </c>
      <c r="AQ246" s="781">
        <f t="shared" si="323"/>
        <v>0.2296</v>
      </c>
      <c r="AR246" s="781">
        <f t="shared" si="323"/>
        <v>0.25434027777777779</v>
      </c>
      <c r="AS246" s="781">
        <f t="shared" si="323"/>
        <v>0.24958540630182421</v>
      </c>
      <c r="AT246" s="695">
        <f t="shared" si="323"/>
        <v>0.24410106494048861</v>
      </c>
      <c r="AU246" s="781">
        <f t="shared" si="323"/>
        <v>0.25167224080267558</v>
      </c>
      <c r="AV246" s="781">
        <f t="shared" si="323"/>
        <v>0.2357910906298003</v>
      </c>
      <c r="AW246" s="781">
        <f t="shared" si="323"/>
        <v>0.24623911322248615</v>
      </c>
      <c r="AX246" s="782">
        <f t="shared" si="323"/>
        <v>0.24651162790697675</v>
      </c>
      <c r="AY246" s="782">
        <f t="shared" si="323"/>
        <v>0.2449019996040388</v>
      </c>
      <c r="AZ246" s="781">
        <f t="shared" si="323"/>
        <v>0.25137470542026707</v>
      </c>
      <c r="BA246" s="781">
        <f t="shared" si="323"/>
        <v>0.24143070044709389</v>
      </c>
      <c r="BB246" s="781">
        <f t="shared" si="323"/>
        <v>0.26888217522658608</v>
      </c>
      <c r="BC246" s="782">
        <f t="shared" si="323"/>
        <v>0.29475982532751094</v>
      </c>
      <c r="BD246" s="782">
        <f t="shared" si="323"/>
        <v>0.26444569922830791</v>
      </c>
      <c r="BE246" s="781">
        <f t="shared" si="323"/>
        <v>0.30350484712900822</v>
      </c>
      <c r="BF246" s="781">
        <f t="shared" si="323"/>
        <v>0.2807017543859649</v>
      </c>
      <c r="BG246" s="781">
        <f t="shared" si="323"/>
        <v>0.29812369701181374</v>
      </c>
      <c r="BH246" s="782">
        <f t="shared" si="323"/>
        <v>0.29092208720514651</v>
      </c>
      <c r="BI246" s="782">
        <f t="shared" si="323"/>
        <v>0.29305776364599895</v>
      </c>
      <c r="BJ246" s="791">
        <f>+BJ245/BJ30</f>
        <v>0.27666896077081898</v>
      </c>
      <c r="BK246" s="781">
        <f t="shared" ref="BK246:CA246" si="324">+BK245/BK30</f>
        <v>0.27435387673956263</v>
      </c>
      <c r="BL246" s="781">
        <f t="shared" si="324"/>
        <v>0.27891606080634501</v>
      </c>
      <c r="BM246" s="782">
        <f t="shared" si="324"/>
        <v>0.27690371302706107</v>
      </c>
      <c r="BN246" s="695">
        <f t="shared" si="324"/>
        <v>0.27671503957783639</v>
      </c>
      <c r="BO246" s="781">
        <f t="shared" si="324"/>
        <v>0.27887683471601787</v>
      </c>
      <c r="BP246" s="781">
        <f t="shared" si="324"/>
        <v>0.27349310427146473</v>
      </c>
      <c r="BQ246" s="781">
        <f t="shared" si="324"/>
        <v>0.28081586217709237</v>
      </c>
      <c r="BR246" s="782">
        <f t="shared" si="324"/>
        <v>0.28395974372901989</v>
      </c>
      <c r="BS246" s="695">
        <f t="shared" si="324"/>
        <v>0.27930910372657153</v>
      </c>
      <c r="BT246" s="781">
        <f t="shared" ref="BT246:BX246" si="325">+BT245/BT30</f>
        <v>0.28435983918792385</v>
      </c>
      <c r="BU246" s="781">
        <f t="shared" si="325"/>
        <v>0.27630208089616393</v>
      </c>
      <c r="BV246" s="781">
        <f t="shared" si="325"/>
        <v>0.28337308565661806</v>
      </c>
      <c r="BW246" s="782">
        <f t="shared" si="325"/>
        <v>0.28671198571426004</v>
      </c>
      <c r="BX246" s="695">
        <f t="shared" si="325"/>
        <v>0.28268267962497035</v>
      </c>
      <c r="BY246" s="782">
        <f t="shared" si="324"/>
        <v>0.28491372437890289</v>
      </c>
      <c r="BZ246" s="782">
        <f t="shared" si="324"/>
        <v>0.2870496640000782</v>
      </c>
      <c r="CA246" s="782">
        <f t="shared" si="324"/>
        <v>0.28791256096721141</v>
      </c>
      <c r="CD246" s="786"/>
      <c r="CF246" s="1668" t="str">
        <f>+A246</f>
        <v>% of total MHFI revenue</v>
      </c>
      <c r="CL246" s="1334"/>
      <c r="CM246" s="1334"/>
      <c r="CN246" s="1334"/>
      <c r="CO246" s="1334"/>
      <c r="CP246" s="1334"/>
      <c r="CQ246" s="695">
        <f>+AJ246</f>
        <v>0.16506564201088697</v>
      </c>
      <c r="CR246" s="695">
        <f>+AO246</f>
        <v>0.2528658125421443</v>
      </c>
      <c r="CS246" s="695">
        <f>+AT246</f>
        <v>0.24410106494048861</v>
      </c>
      <c r="CT246" s="782">
        <f>+AY246</f>
        <v>0.2449019996040388</v>
      </c>
      <c r="CU246" s="782">
        <f>+BD246</f>
        <v>0.26444569922830791</v>
      </c>
      <c r="CV246" s="694">
        <f>+BI246</f>
        <v>0.29305776364599895</v>
      </c>
      <c r="CW246" s="695">
        <f>+BN246</f>
        <v>0.27671503957783639</v>
      </c>
      <c r="CX246" s="695">
        <f>+BS246</f>
        <v>0.27930910372657153</v>
      </c>
      <c r="CY246" s="695">
        <f t="shared" si="322"/>
        <v>0.28268267962497035</v>
      </c>
      <c r="CZ246" s="782">
        <f t="shared" si="322"/>
        <v>0.28491372437890289</v>
      </c>
      <c r="DA246" s="782">
        <f t="shared" si="322"/>
        <v>0.2870496640000782</v>
      </c>
      <c r="DB246" s="782">
        <f t="shared" si="322"/>
        <v>0.28791256096721141</v>
      </c>
    </row>
    <row r="247" spans="1:106" s="1254" customFormat="1">
      <c r="A247" s="1343" t="s">
        <v>341</v>
      </c>
      <c r="B247" s="1548"/>
      <c r="C247" s="1548"/>
      <c r="D247" s="1548"/>
      <c r="E247" s="1548"/>
      <c r="G247" s="1327"/>
      <c r="H247" s="1327"/>
      <c r="I247" s="1327"/>
      <c r="J247" s="1446"/>
      <c r="K247" s="1621"/>
      <c r="L247" s="1327"/>
      <c r="M247" s="1327"/>
      <c r="N247" s="1327"/>
      <c r="O247" s="1446"/>
      <c r="P247" s="1621"/>
      <c r="Q247" s="1327"/>
      <c r="R247" s="1327"/>
      <c r="S247" s="1327"/>
      <c r="T247" s="1446"/>
      <c r="U247" s="1621"/>
      <c r="V247" s="1327"/>
      <c r="W247" s="1327"/>
      <c r="X247" s="1327"/>
      <c r="Y247" s="1446"/>
      <c r="Z247" s="1621"/>
      <c r="AA247" s="1327"/>
      <c r="AB247" s="1327"/>
      <c r="AC247" s="1327"/>
      <c r="AD247" s="1446"/>
      <c r="AE247" s="1621"/>
      <c r="AF247" s="1327"/>
      <c r="AG247" s="1327"/>
      <c r="AH247" s="1327"/>
      <c r="AJ247" s="695"/>
      <c r="AK247" s="781"/>
      <c r="AL247" s="781"/>
      <c r="AM247" s="781"/>
      <c r="AN247" s="781">
        <v>0.05</v>
      </c>
      <c r="AO247" s="695">
        <v>7.0000000000000007E-2</v>
      </c>
      <c r="AP247" s="781">
        <v>0.03</v>
      </c>
      <c r="AQ247" s="781">
        <f>+AQ248</f>
        <v>3.6101083032491044E-2</v>
      </c>
      <c r="AR247" s="781">
        <v>0.05</v>
      </c>
      <c r="AS247" s="781">
        <v>0.05</v>
      </c>
      <c r="AT247" s="695"/>
      <c r="AU247" s="781">
        <v>0.06</v>
      </c>
      <c r="AV247" s="781">
        <v>0.09</v>
      </c>
      <c r="AW247" s="781">
        <v>7.0000000000000007E-2</v>
      </c>
      <c r="AX247" s="782">
        <v>0.06</v>
      </c>
      <c r="AY247" s="695">
        <v>7.0000000000000007E-2</v>
      </c>
      <c r="AZ247" s="781">
        <v>7.0000000000000007E-2</v>
      </c>
      <c r="BA247" s="781">
        <f>+BA248</f>
        <v>5.5374592833876246E-2</v>
      </c>
      <c r="BB247" s="781">
        <v>7.0000000000000007E-2</v>
      </c>
      <c r="BC247" s="783">
        <f>+(BC245-BC254)/AX245-1</f>
        <v>7.2327044025157328E-2</v>
      </c>
      <c r="BD247" s="782">
        <f>+BD253/AY245-1</f>
        <v>6.7962813257882004E-2</v>
      </c>
      <c r="BE247" s="781">
        <f>+(BE245-BE254)/(AZ245-AZ254)-1</f>
        <v>6.5830721003134807E-2</v>
      </c>
      <c r="BF247" s="781">
        <f>+(BF245-BF254)/(BA245-BA254)-1</f>
        <v>7.7399380804953566E-2</v>
      </c>
      <c r="BG247" s="781">
        <f>+(BG245-BG254)/(BB245-BB254)-1</f>
        <v>6.8862275449101729E-2</v>
      </c>
      <c r="BH247" s="2110">
        <v>0.1</v>
      </c>
      <c r="BI247" s="782">
        <f>+(BI245-BI254)/(BD245+BH254)-1</f>
        <v>9.0742773508964536E-2</v>
      </c>
      <c r="BJ247" s="2109">
        <v>0.09</v>
      </c>
      <c r="BK247" s="2096">
        <v>0.09</v>
      </c>
      <c r="BL247" s="2176">
        <v>0.08</v>
      </c>
      <c r="BM247" s="2229">
        <v>0.1</v>
      </c>
      <c r="BN247" s="782">
        <f>+BN253/BI245-1</f>
        <v>8.476793248945147E-2</v>
      </c>
      <c r="BO247" s="2176">
        <f>436/402-1</f>
        <v>8.4577114427860645E-2</v>
      </c>
      <c r="BP247" s="781">
        <f>+(BP245-BP254)/BK245-1</f>
        <v>8.3655137335839846E-2</v>
      </c>
      <c r="BQ247" s="781">
        <f>+(BQ245-BQ254)/BL245-1</f>
        <v>8.0229042115692817E-2</v>
      </c>
      <c r="BR247" s="782">
        <f>+(BR245-BR254)/BM245-1</f>
        <v>7.8490873630888247E-2</v>
      </c>
      <c r="BS247" s="782">
        <f>+BS253/BN245-1</f>
        <v>8.2852125761293527E-2</v>
      </c>
      <c r="BT247" s="781">
        <f>+(BT245-BT254)/BO245-1</f>
        <v>7.1347978323311301E-2</v>
      </c>
      <c r="BU247" s="781">
        <f>+(BU245-BU254)/BP245-1</f>
        <v>7.0000000000000062E-2</v>
      </c>
      <c r="BV247" s="781">
        <f>+(BV245-BV254)/BQ245-1</f>
        <v>7.0000000000000062E-2</v>
      </c>
      <c r="BW247" s="782">
        <f>+(BW245-BW254)/BR245-1</f>
        <v>7.0000000000000062E-2</v>
      </c>
      <c r="BX247" s="782">
        <f>+BX253/BS245-1</f>
        <v>7.0324371220687354E-2</v>
      </c>
      <c r="BY247" s="695">
        <f>+(BY245-BY254)/BX245-1</f>
        <v>6.0000000000000053E-2</v>
      </c>
      <c r="BZ247" s="695">
        <f>+(BZ245-BZ254)/BY245-1</f>
        <v>6.0000000000000053E-2</v>
      </c>
      <c r="CA247" s="695">
        <f>+(CA245-CA254)/BZ245-1</f>
        <v>5.0000000000000044E-2</v>
      </c>
      <c r="CD247" s="787"/>
      <c r="CF247" s="1668" t="s">
        <v>341</v>
      </c>
      <c r="CL247" s="1334"/>
      <c r="CM247" s="1334"/>
      <c r="CN247" s="1334"/>
      <c r="CO247" s="1334"/>
      <c r="CP247" s="1334"/>
      <c r="CQ247" s="782"/>
      <c r="CR247" s="695"/>
      <c r="CS247" s="695"/>
      <c r="CT247" s="782"/>
      <c r="CU247" s="782"/>
      <c r="CV247" s="694"/>
      <c r="CW247" s="695"/>
      <c r="CX247" s="695"/>
      <c r="CY247" s="695"/>
      <c r="CZ247" s="782"/>
      <c r="DA247" s="782"/>
      <c r="DB247" s="782"/>
    </row>
    <row r="248" spans="1:106" ht="12" customHeight="1">
      <c r="A248" s="1485" t="s">
        <v>294</v>
      </c>
      <c r="B248" s="1265"/>
      <c r="C248" s="1265"/>
      <c r="D248" s="1265"/>
      <c r="E248" s="1265"/>
      <c r="F248" s="1272"/>
      <c r="G248" s="1319"/>
      <c r="H248" s="1319"/>
      <c r="I248" s="1319"/>
      <c r="J248" s="1276"/>
      <c r="K248" s="1277"/>
      <c r="L248" s="1319"/>
      <c r="M248" s="1319"/>
      <c r="N248" s="1319"/>
      <c r="O248" s="1276"/>
      <c r="P248" s="1277"/>
      <c r="Q248" s="1319"/>
      <c r="R248" s="1319"/>
      <c r="S248" s="1319"/>
      <c r="T248" s="1276"/>
      <c r="U248" s="1277"/>
      <c r="V248" s="1319"/>
      <c r="W248" s="1319"/>
      <c r="X248" s="1319"/>
      <c r="Y248" s="1278"/>
      <c r="Z248" s="1277"/>
      <c r="AA248" s="1319"/>
      <c r="AB248" s="1319"/>
      <c r="AC248" s="1319"/>
      <c r="AD248" s="1278"/>
      <c r="AE248" s="1277"/>
      <c r="AF248" s="1319"/>
      <c r="AG248" s="1319"/>
      <c r="AH248" s="1319"/>
      <c r="AI248" s="1278"/>
      <c r="AJ248" s="1278"/>
      <c r="AK248" s="1319"/>
      <c r="AL248" s="1319"/>
      <c r="AM248" s="1319"/>
      <c r="AN248" s="1408">
        <f>AN245/AI245-1</f>
        <v>8.2089552238805874E-2</v>
      </c>
      <c r="AO248" s="1342">
        <f>AO245/AJ245-1</f>
        <v>9.1173617846750821E-2</v>
      </c>
      <c r="AP248" s="1408">
        <f t="shared" ref="AP248:BO248" si="326">AP245/AK245-1</f>
        <v>5.1094890510948954E-2</v>
      </c>
      <c r="AQ248" s="1610">
        <f t="shared" si="326"/>
        <v>3.6101083032491044E-2</v>
      </c>
      <c r="AR248" s="1610">
        <f t="shared" si="326"/>
        <v>3.1690140845070491E-2</v>
      </c>
      <c r="AS248" s="1610">
        <f t="shared" si="326"/>
        <v>3.7931034482758585E-2</v>
      </c>
      <c r="AT248" s="1342">
        <f t="shared" si="326"/>
        <v>3.9111111111111097E-2</v>
      </c>
      <c r="AU248" s="1408">
        <f t="shared" si="326"/>
        <v>4.513888888888884E-2</v>
      </c>
      <c r="AV248" s="1610">
        <f t="shared" si="326"/>
        <v>6.9686411149825878E-2</v>
      </c>
      <c r="AW248" s="1610">
        <f t="shared" si="326"/>
        <v>6.1433447098976135E-2</v>
      </c>
      <c r="AX248" s="1610">
        <f t="shared" si="326"/>
        <v>5.6478405315614655E-2</v>
      </c>
      <c r="AY248" s="1342">
        <f t="shared" si="326"/>
        <v>5.8169375534645074E-2</v>
      </c>
      <c r="AZ248" s="1610">
        <f t="shared" si="326"/>
        <v>6.3122923588039948E-2</v>
      </c>
      <c r="BA248" s="1610">
        <f t="shared" si="326"/>
        <v>5.5374592833876246E-2</v>
      </c>
      <c r="BB248" s="1610">
        <f t="shared" si="326"/>
        <v>0.14469453376205799</v>
      </c>
      <c r="BC248" s="1610">
        <f t="shared" si="326"/>
        <v>0.27358490566037741</v>
      </c>
      <c r="BD248" s="1342">
        <f>BD245/AY245-1</f>
        <v>0.13581244947453519</v>
      </c>
      <c r="BE248" s="1610">
        <f t="shared" si="326"/>
        <v>0.27187500000000009</v>
      </c>
      <c r="BF248" s="1610">
        <f t="shared" si="326"/>
        <v>0.28395061728395055</v>
      </c>
      <c r="BG248" s="1610">
        <f t="shared" si="326"/>
        <v>0.20505617977528079</v>
      </c>
      <c r="BH248" s="1610">
        <f t="shared" si="326"/>
        <v>4.9382716049382047E-3</v>
      </c>
      <c r="BI248" s="1342">
        <f>BI245/BD245-1</f>
        <v>0.18078291814946623</v>
      </c>
      <c r="BJ248" s="1610">
        <f t="shared" si="326"/>
        <v>-1.2285012285012331E-2</v>
      </c>
      <c r="BK248" s="692">
        <f t="shared" si="326"/>
        <v>-4.8076923076922906E-3</v>
      </c>
      <c r="BL248" s="692">
        <f t="shared" si="326"/>
        <v>-1.631701631701632E-2</v>
      </c>
      <c r="BM248" s="692">
        <f t="shared" si="326"/>
        <v>8.1081081081081141E-2</v>
      </c>
      <c r="BN248" s="693">
        <f>BN245/BI245-1</f>
        <v>1.145268233875818E-2</v>
      </c>
      <c r="BO248" s="1610">
        <f t="shared" si="326"/>
        <v>8.7064676616915415E-2</v>
      </c>
      <c r="BP248" s="692">
        <f>CHOOSE(MHFI!$A$3,BP249,BP250,BP251)</f>
        <v>8.3655137335839902E-2</v>
      </c>
      <c r="BQ248" s="692">
        <f>CHOOSE(MHFI!$A$3,BQ249,BQ250,BQ251)</f>
        <v>8.0229042115692845E-2</v>
      </c>
      <c r="BR248" s="692">
        <f>CHOOSE(MHFI!$A$3,BR249,BR250,BR251)</f>
        <v>7.8490873630888192E-2</v>
      </c>
      <c r="BS248" s="693">
        <f>BS245/BN245-1</f>
        <v>8.2256178204678676E-2</v>
      </c>
      <c r="BT248" s="692">
        <f>CHOOSE(MHFI!$A$3,BT249,BT250,BT251)</f>
        <v>7.1347978323311315E-2</v>
      </c>
      <c r="BU248" s="692">
        <f>CHOOSE(MHFI!$A$3,BU249,BU250,BU251)</f>
        <v>7.0000000000000007E-2</v>
      </c>
      <c r="BV248" s="692">
        <f>CHOOSE(MHFI!$A$3,BV249,BV250,BV251)</f>
        <v>7.0000000000000007E-2</v>
      </c>
      <c r="BW248" s="692">
        <f>CHOOSE(MHFI!$A$3,BW249,BW250,BW251)</f>
        <v>7.0000000000000007E-2</v>
      </c>
      <c r="BX248" s="693">
        <f>BX245/BS245-1</f>
        <v>7.0324371220687354E-2</v>
      </c>
      <c r="BY248" s="783">
        <f>CHOOSE(MHFI!$A$3,BY249,BY250,BY251)</f>
        <v>0.06</v>
      </c>
      <c r="BZ248" s="783">
        <f>CHOOSE(MHFI!$A$3,BZ249,BZ250,BZ251)</f>
        <v>0.06</v>
      </c>
      <c r="CA248" s="783">
        <f>CHOOSE(MHFI!$A$3,CA249,CA250,CA251)</f>
        <v>0.05</v>
      </c>
      <c r="CD248" s="787"/>
      <c r="CF248" s="1487" t="str">
        <f>+A248</f>
        <v>y/y chg</v>
      </c>
      <c r="CG248" s="1272"/>
      <c r="CH248" s="1264"/>
      <c r="CI248" s="1264"/>
      <c r="CJ248" s="1264"/>
      <c r="CK248" s="1264"/>
      <c r="CL248" s="1278"/>
      <c r="CM248" s="1278"/>
      <c r="CN248" s="1278"/>
      <c r="CO248" s="1278"/>
      <c r="CP248" s="1278"/>
      <c r="CQ248" s="1278"/>
      <c r="CR248" s="1342">
        <f>+AO248</f>
        <v>9.1173617846750821E-2</v>
      </c>
      <c r="CS248" s="1342">
        <f>+AT248</f>
        <v>3.9111111111111097E-2</v>
      </c>
      <c r="CT248" s="1342">
        <f>+AY248</f>
        <v>5.8169375534645074E-2</v>
      </c>
      <c r="CU248" s="1342">
        <f>+BD248</f>
        <v>0.13581244947453519</v>
      </c>
      <c r="CV248" s="1342">
        <f>+BI248</f>
        <v>0.18078291814946623</v>
      </c>
      <c r="CW248" s="751">
        <f>+BN248</f>
        <v>1.145268233875818E-2</v>
      </c>
      <c r="CX248" s="751">
        <f>+BS248</f>
        <v>8.2256178204678676E-2</v>
      </c>
      <c r="CY248" s="751">
        <f t="shared" ref="CY248:DB251" si="327">+BX248</f>
        <v>7.0324371220687354E-2</v>
      </c>
      <c r="CZ248" s="752">
        <f t="shared" si="327"/>
        <v>0.06</v>
      </c>
      <c r="DA248" s="752">
        <f t="shared" si="327"/>
        <v>0.06</v>
      </c>
      <c r="DB248" s="752">
        <f t="shared" si="327"/>
        <v>0.05</v>
      </c>
    </row>
    <row r="249" spans="1:106" ht="12" hidden="1" customHeight="1" outlineLevel="1">
      <c r="A249" s="1664" t="s">
        <v>213</v>
      </c>
      <c r="B249" s="1665"/>
      <c r="C249" s="1665"/>
      <c r="D249" s="1665"/>
      <c r="E249" s="1665"/>
      <c r="F249" s="1591"/>
      <c r="G249" s="1666"/>
      <c r="H249" s="1666"/>
      <c r="I249" s="1666"/>
      <c r="J249" s="1684"/>
      <c r="K249" s="1685"/>
      <c r="L249" s="1666"/>
      <c r="M249" s="1666"/>
      <c r="N249" s="1666"/>
      <c r="O249" s="1684"/>
      <c r="P249" s="1685"/>
      <c r="Q249" s="1666"/>
      <c r="R249" s="1666"/>
      <c r="S249" s="1666"/>
      <c r="T249" s="1684"/>
      <c r="U249" s="1685"/>
      <c r="V249" s="1666"/>
      <c r="W249" s="1666"/>
      <c r="X249" s="1666"/>
      <c r="Y249" s="1593"/>
      <c r="Z249" s="1685"/>
      <c r="AA249" s="1666"/>
      <c r="AB249" s="1666"/>
      <c r="AC249" s="1666"/>
      <c r="AD249" s="1593"/>
      <c r="AE249" s="1685"/>
      <c r="AF249" s="1666"/>
      <c r="AG249" s="1666"/>
      <c r="AH249" s="1666"/>
      <c r="AI249" s="1593"/>
      <c r="AJ249" s="1593"/>
      <c r="AK249" s="1666"/>
      <c r="AL249" s="1666"/>
      <c r="AM249" s="1666"/>
      <c r="AN249" s="1593"/>
      <c r="AO249" s="1593"/>
      <c r="AP249" s="1666"/>
      <c r="AQ249" s="1666"/>
      <c r="AR249" s="1666"/>
      <c r="AS249" s="1593"/>
      <c r="AT249" s="1593"/>
      <c r="AU249" s="1666"/>
      <c r="AV249" s="1666"/>
      <c r="AW249" s="1667"/>
      <c r="AX249" s="1686"/>
      <c r="AY249" s="1594"/>
      <c r="AZ249" s="1667"/>
      <c r="BA249" s="1667"/>
      <c r="BB249" s="1667"/>
      <c r="BC249" s="1667"/>
      <c r="BD249" s="1594"/>
      <c r="BE249" s="1667"/>
      <c r="BF249" s="1667"/>
      <c r="BG249" s="1667"/>
      <c r="BH249" s="1667"/>
      <c r="BI249" s="1594"/>
      <c r="BJ249" s="1667"/>
      <c r="BK249" s="1667"/>
      <c r="BL249" s="1667"/>
      <c r="BM249" s="1667"/>
      <c r="BN249" s="1594"/>
      <c r="BO249" s="1667"/>
      <c r="BP249" s="1667">
        <f>+BP250-0.05</f>
        <v>3.3655137335839899E-2</v>
      </c>
      <c r="BQ249" s="1667">
        <f>+BQ250-0.05</f>
        <v>3.0229042115692842E-2</v>
      </c>
      <c r="BR249" s="1667">
        <f>+BR250-0.05</f>
        <v>2.8490873630888189E-2</v>
      </c>
      <c r="BS249" s="1594"/>
      <c r="BT249" s="1667">
        <f>+BT250-0.05</f>
        <v>2.1347978323311312E-2</v>
      </c>
      <c r="BU249" s="1667">
        <f>+BU250-0.05</f>
        <v>2.0000000000000004E-2</v>
      </c>
      <c r="BV249" s="1667">
        <f>+BV250-0.05</f>
        <v>2.0000000000000004E-2</v>
      </c>
      <c r="BW249" s="1667">
        <f>+BW250-0.05</f>
        <v>2.0000000000000004E-2</v>
      </c>
      <c r="BX249" s="1594"/>
      <c r="BY249" s="1594">
        <f>+BY250-0.1</f>
        <v>-4.0000000000000008E-2</v>
      </c>
      <c r="BZ249" s="1594">
        <f>+BZ250-0.1</f>
        <v>-4.0000000000000008E-2</v>
      </c>
      <c r="CA249" s="1594">
        <f>+CA250-0.1</f>
        <v>-0.05</v>
      </c>
      <c r="CD249" s="787"/>
      <c r="CF249" s="1590" t="str">
        <f>+A249</f>
        <v>BEAR</v>
      </c>
      <c r="CG249" s="1591"/>
      <c r="CH249" s="1592"/>
      <c r="CI249" s="1592"/>
      <c r="CJ249" s="1592"/>
      <c r="CK249" s="1592"/>
      <c r="CL249" s="1593"/>
      <c r="CM249" s="1593"/>
      <c r="CN249" s="1593"/>
      <c r="CO249" s="1593"/>
      <c r="CP249" s="1593"/>
      <c r="CQ249" s="1593"/>
      <c r="CR249" s="1593"/>
      <c r="CS249" s="1593"/>
      <c r="CT249" s="1594"/>
      <c r="CU249" s="1594"/>
      <c r="CV249" s="1595"/>
      <c r="CW249" s="1594">
        <f>+BN249</f>
        <v>0</v>
      </c>
      <c r="CX249" s="1594">
        <f>+BS249</f>
        <v>0</v>
      </c>
      <c r="CY249" s="1594">
        <f t="shared" si="327"/>
        <v>0</v>
      </c>
      <c r="CZ249" s="1594">
        <f t="shared" si="327"/>
        <v>-4.0000000000000008E-2</v>
      </c>
      <c r="DA249" s="1594">
        <f t="shared" si="327"/>
        <v>-4.0000000000000008E-2</v>
      </c>
      <c r="DB249" s="1594">
        <f t="shared" si="327"/>
        <v>-0.05</v>
      </c>
    </row>
    <row r="250" spans="1:106" ht="12" hidden="1" customHeight="1" outlineLevel="1">
      <c r="A250" s="1664" t="s">
        <v>214</v>
      </c>
      <c r="B250" s="1665"/>
      <c r="C250" s="1665"/>
      <c r="D250" s="1665"/>
      <c r="E250" s="1665"/>
      <c r="F250" s="1591"/>
      <c r="G250" s="1666"/>
      <c r="H250" s="1666"/>
      <c r="I250" s="1666"/>
      <c r="J250" s="1684"/>
      <c r="K250" s="1685"/>
      <c r="L250" s="1666"/>
      <c r="M250" s="1666"/>
      <c r="N250" s="1666"/>
      <c r="O250" s="1684"/>
      <c r="P250" s="1685"/>
      <c r="Q250" s="1666"/>
      <c r="R250" s="1666"/>
      <c r="S250" s="1666"/>
      <c r="T250" s="1684"/>
      <c r="U250" s="1685"/>
      <c r="V250" s="1666"/>
      <c r="W250" s="1666"/>
      <c r="X250" s="1666"/>
      <c r="Y250" s="1593"/>
      <c r="Z250" s="1685"/>
      <c r="AA250" s="1666"/>
      <c r="AB250" s="1666"/>
      <c r="AC250" s="1666"/>
      <c r="AD250" s="1593"/>
      <c r="AE250" s="1685"/>
      <c r="AF250" s="1666"/>
      <c r="AG250" s="1666"/>
      <c r="AH250" s="1666"/>
      <c r="AI250" s="1593"/>
      <c r="AJ250" s="1593"/>
      <c r="AK250" s="1666"/>
      <c r="AL250" s="1666"/>
      <c r="AM250" s="1666"/>
      <c r="AN250" s="1593"/>
      <c r="AO250" s="1593"/>
      <c r="AP250" s="1666"/>
      <c r="AQ250" s="1666"/>
      <c r="AR250" s="1666"/>
      <c r="AS250" s="1593"/>
      <c r="AT250" s="1593"/>
      <c r="AU250" s="1666"/>
      <c r="AV250" s="1666"/>
      <c r="AW250" s="1667"/>
      <c r="AX250" s="1686"/>
      <c r="AY250" s="1687"/>
      <c r="AZ250" s="1667"/>
      <c r="BA250" s="1667"/>
      <c r="BB250" s="1667"/>
      <c r="BC250" s="1667"/>
      <c r="BD250" s="1687"/>
      <c r="BE250" s="1667"/>
      <c r="BF250" s="1667"/>
      <c r="BG250" s="1667"/>
      <c r="BH250" s="1667"/>
      <c r="BI250" s="1687"/>
      <c r="BJ250" s="1667"/>
      <c r="BK250" s="1688"/>
      <c r="BL250" s="1688"/>
      <c r="BM250" s="1688"/>
      <c r="BN250" s="1594"/>
      <c r="BO250" s="1667"/>
      <c r="BP250" s="2192">
        <f t="shared" ref="BP250:BR250" si="328">0.07+2.5/BK245+BP243/BK245+BP254/BK245</f>
        <v>8.3655137335839902E-2</v>
      </c>
      <c r="BQ250" s="2192">
        <f t="shared" si="328"/>
        <v>8.0229042115692845E-2</v>
      </c>
      <c r="BR250" s="2192">
        <f t="shared" si="328"/>
        <v>7.8490873630888192E-2</v>
      </c>
      <c r="BS250" s="1594"/>
      <c r="BT250" s="2242">
        <f>0.07+BT243/BO245</f>
        <v>7.1347978323311315E-2</v>
      </c>
      <c r="BU250" s="2192">
        <f t="shared" ref="BU250:BW250" si="329">0.07+BU243/BP245</f>
        <v>7.0000000000000007E-2</v>
      </c>
      <c r="BV250" s="2192">
        <f t="shared" si="329"/>
        <v>7.0000000000000007E-2</v>
      </c>
      <c r="BW250" s="2192">
        <f t="shared" si="329"/>
        <v>7.0000000000000007E-2</v>
      </c>
      <c r="BX250" s="1594"/>
      <c r="BY250" s="1995">
        <f>0.06+BY243/BX245</f>
        <v>0.06</v>
      </c>
      <c r="BZ250" s="1995">
        <f>0.06+BZ243/BY245</f>
        <v>0.06</v>
      </c>
      <c r="CA250" s="1995">
        <f>0.05+CA243/BZ245</f>
        <v>0.05</v>
      </c>
      <c r="CD250" s="785"/>
      <c r="CF250" s="1590" t="str">
        <f>+A250</f>
        <v>BASE</v>
      </c>
      <c r="CG250" s="1591"/>
      <c r="CH250" s="1592"/>
      <c r="CI250" s="1592"/>
      <c r="CJ250" s="1592"/>
      <c r="CK250" s="1592"/>
      <c r="CL250" s="1593"/>
      <c r="CM250" s="1593"/>
      <c r="CN250" s="1593"/>
      <c r="CO250" s="1593"/>
      <c r="CP250" s="1593"/>
      <c r="CQ250" s="1593"/>
      <c r="CR250" s="1593"/>
      <c r="CS250" s="1593"/>
      <c r="CT250" s="1687"/>
      <c r="CU250" s="1687"/>
      <c r="CV250" s="1689"/>
      <c r="CW250" s="1594">
        <f>+BN250</f>
        <v>0</v>
      </c>
      <c r="CX250" s="1594">
        <f>+BS250</f>
        <v>0</v>
      </c>
      <c r="CY250" s="1594">
        <f t="shared" si="327"/>
        <v>0</v>
      </c>
      <c r="CZ250" s="1594">
        <f t="shared" si="327"/>
        <v>0.06</v>
      </c>
      <c r="DA250" s="1594">
        <f t="shared" si="327"/>
        <v>0.06</v>
      </c>
      <c r="DB250" s="1594">
        <f t="shared" si="327"/>
        <v>0.05</v>
      </c>
    </row>
    <row r="251" spans="1:106" ht="12" hidden="1" customHeight="1" outlineLevel="1">
      <c r="A251" s="1664" t="s">
        <v>215</v>
      </c>
      <c r="B251" s="1665"/>
      <c r="C251" s="1665"/>
      <c r="D251" s="1665"/>
      <c r="E251" s="1665"/>
      <c r="F251" s="1591"/>
      <c r="G251" s="1666"/>
      <c r="H251" s="1666"/>
      <c r="I251" s="1666"/>
      <c r="J251" s="1684"/>
      <c r="K251" s="1685"/>
      <c r="L251" s="1666"/>
      <c r="M251" s="1666"/>
      <c r="N251" s="1666"/>
      <c r="O251" s="1684"/>
      <c r="P251" s="1685"/>
      <c r="Q251" s="1666"/>
      <c r="R251" s="1666"/>
      <c r="S251" s="1666"/>
      <c r="T251" s="1684"/>
      <c r="U251" s="1685"/>
      <c r="V251" s="1666"/>
      <c r="W251" s="1666"/>
      <c r="X251" s="1666"/>
      <c r="Y251" s="1593"/>
      <c r="Z251" s="1685"/>
      <c r="AA251" s="1666"/>
      <c r="AB251" s="1666"/>
      <c r="AC251" s="1666"/>
      <c r="AD251" s="1593"/>
      <c r="AE251" s="1685"/>
      <c r="AF251" s="1666"/>
      <c r="AG251" s="1666"/>
      <c r="AH251" s="1666"/>
      <c r="AI251" s="1593"/>
      <c r="AJ251" s="1593"/>
      <c r="AK251" s="1666"/>
      <c r="AL251" s="1666"/>
      <c r="AM251" s="1666"/>
      <c r="AN251" s="1593"/>
      <c r="AO251" s="1593"/>
      <c r="AP251" s="1666"/>
      <c r="AQ251" s="1666"/>
      <c r="AR251" s="1666"/>
      <c r="AS251" s="1593"/>
      <c r="AT251" s="1593"/>
      <c r="AU251" s="1666"/>
      <c r="AV251" s="1666"/>
      <c r="AW251" s="1667"/>
      <c r="AX251" s="1686"/>
      <c r="AY251" s="1687"/>
      <c r="AZ251" s="1667"/>
      <c r="BA251" s="1667"/>
      <c r="BB251" s="1667"/>
      <c r="BC251" s="1667"/>
      <c r="BD251" s="1687"/>
      <c r="BE251" s="1667"/>
      <c r="BF251" s="1667"/>
      <c r="BG251" s="1667"/>
      <c r="BH251" s="1667"/>
      <c r="BI251" s="1687"/>
      <c r="BJ251" s="1667"/>
      <c r="BK251" s="1667"/>
      <c r="BL251" s="1667"/>
      <c r="BM251" s="1667"/>
      <c r="BN251" s="1594"/>
      <c r="BO251" s="1667"/>
      <c r="BP251" s="1667">
        <f>+BP250+0.05</f>
        <v>0.13365513733583989</v>
      </c>
      <c r="BQ251" s="1667">
        <f>+BQ250+0.05</f>
        <v>0.13022904211569286</v>
      </c>
      <c r="BR251" s="1667">
        <f>+BR250+0.05</f>
        <v>0.12849087363088818</v>
      </c>
      <c r="BS251" s="1594"/>
      <c r="BT251" s="1667">
        <f>+BT250+0.05</f>
        <v>0.12134797832331132</v>
      </c>
      <c r="BU251" s="1667">
        <f>+BU250+0.05</f>
        <v>0.12000000000000001</v>
      </c>
      <c r="BV251" s="1667">
        <f>+BV250+0.05</f>
        <v>0.12000000000000001</v>
      </c>
      <c r="BW251" s="1667">
        <f>+BW250+0.05</f>
        <v>0.12000000000000001</v>
      </c>
      <c r="BX251" s="1594"/>
      <c r="BY251" s="1594">
        <f>+BY250+0.02</f>
        <v>0.08</v>
      </c>
      <c r="BZ251" s="1594">
        <f>+BZ250+0.02</f>
        <v>0.08</v>
      </c>
      <c r="CA251" s="1594">
        <f>+CA250+0.02</f>
        <v>7.0000000000000007E-2</v>
      </c>
      <c r="CD251" s="785"/>
      <c r="CF251" s="1590" t="str">
        <f>+A251</f>
        <v>BULL</v>
      </c>
      <c r="CG251" s="1591"/>
      <c r="CH251" s="1592"/>
      <c r="CI251" s="1592"/>
      <c r="CJ251" s="1592"/>
      <c r="CK251" s="1592"/>
      <c r="CL251" s="1593"/>
      <c r="CM251" s="1593"/>
      <c r="CN251" s="1593"/>
      <c r="CO251" s="1593"/>
      <c r="CP251" s="1593"/>
      <c r="CQ251" s="1593"/>
      <c r="CR251" s="1593"/>
      <c r="CS251" s="1593"/>
      <c r="CT251" s="1687"/>
      <c r="CU251" s="1687"/>
      <c r="CV251" s="1689"/>
      <c r="CW251" s="1594">
        <f>+BN251</f>
        <v>0</v>
      </c>
      <c r="CX251" s="1594">
        <f>+BS251</f>
        <v>0</v>
      </c>
      <c r="CY251" s="1594">
        <f t="shared" si="327"/>
        <v>0</v>
      </c>
      <c r="CZ251" s="1594">
        <f t="shared" si="327"/>
        <v>0.08</v>
      </c>
      <c r="DA251" s="1594">
        <f t="shared" si="327"/>
        <v>0.08</v>
      </c>
      <c r="DB251" s="1594">
        <f t="shared" si="327"/>
        <v>7.0000000000000007E-2</v>
      </c>
    </row>
    <row r="252" spans="1:106" collapsed="1">
      <c r="A252" s="788"/>
      <c r="K252" s="1423"/>
      <c r="P252" s="1423"/>
      <c r="U252" s="1423"/>
      <c r="Z252" s="1423"/>
      <c r="AE252" s="1423"/>
      <c r="AJ252" s="1423"/>
      <c r="AO252" s="1423"/>
      <c r="AT252" s="1423"/>
      <c r="AX252" s="1422"/>
      <c r="AY252" s="1423"/>
      <c r="BC252" s="1422"/>
      <c r="BD252" s="1422"/>
      <c r="BH252" s="1422"/>
      <c r="BI252" s="1422"/>
      <c r="BJ252" s="1399"/>
      <c r="BM252" s="1422"/>
      <c r="BN252" s="1551"/>
      <c r="BO252" s="1399"/>
      <c r="BR252" s="1422"/>
      <c r="BS252" s="1551"/>
      <c r="BW252" s="1422"/>
      <c r="BX252" s="1551"/>
      <c r="BY252" s="1422"/>
      <c r="BZ252" s="1422"/>
      <c r="CA252" s="1422"/>
      <c r="CD252" s="785"/>
      <c r="CF252" s="1421"/>
      <c r="CG252" s="1271"/>
      <c r="CH252" s="1271"/>
      <c r="CI252" s="1271"/>
      <c r="CJ252" s="1271"/>
      <c r="CK252" s="1271"/>
      <c r="CL252" s="1423"/>
      <c r="CM252" s="1423"/>
      <c r="CN252" s="1423"/>
      <c r="CO252" s="1423"/>
      <c r="CP252" s="1423"/>
      <c r="CQ252" s="1423"/>
      <c r="CR252" s="1423"/>
      <c r="CS252" s="1423"/>
      <c r="CT252" s="1422"/>
      <c r="CU252" s="1422"/>
      <c r="CV252" s="1286"/>
      <c r="CW252" s="1423"/>
      <c r="CX252" s="1423"/>
      <c r="CY252" s="1423"/>
      <c r="CZ252" s="1422"/>
      <c r="DA252" s="1422"/>
      <c r="DB252" s="1422"/>
    </row>
    <row r="253" spans="1:106">
      <c r="A253" s="788" t="s">
        <v>342</v>
      </c>
      <c r="K253" s="1423"/>
      <c r="P253" s="1423"/>
      <c r="U253" s="1423"/>
      <c r="Z253" s="1423"/>
      <c r="AE253" s="1423"/>
      <c r="AJ253" s="1423"/>
      <c r="AO253" s="1423"/>
      <c r="AT253" s="1423"/>
      <c r="AX253" s="1422"/>
      <c r="AY253" s="796">
        <f>+AT245*(1+AY247)</f>
        <v>1250.8300000000002</v>
      </c>
      <c r="AZ253" s="1406">
        <f>+AU245*(1+AZ247)</f>
        <v>322.07</v>
      </c>
      <c r="BA253" s="1406">
        <f>+AV245*(1+BA247)</f>
        <v>324</v>
      </c>
      <c r="BB253" s="1406">
        <f>+BB245-BB254</f>
        <v>334</v>
      </c>
      <c r="BC253" s="1699">
        <f>+BC245-BC254</f>
        <v>341</v>
      </c>
      <c r="BD253" s="1623">
        <f>+SUM(AZ253:BC253)</f>
        <v>1321.07</v>
      </c>
      <c r="BE253" s="1406">
        <f>+BE245-BE254</f>
        <v>340</v>
      </c>
      <c r="BF253" s="1406">
        <f>+BF245-BF254</f>
        <v>348</v>
      </c>
      <c r="BG253" s="1406">
        <f>+BG245-BG254</f>
        <v>357</v>
      </c>
      <c r="BH253" s="1699">
        <f>+BC245*(1+BH247)</f>
        <v>445.50000000000006</v>
      </c>
      <c r="BI253" s="1322">
        <f>+SUM(BE253:BH253)</f>
        <v>1490.5</v>
      </c>
      <c r="BJ253" s="1406">
        <f>+BE245*(1+BJ247)</f>
        <v>443.63000000000005</v>
      </c>
      <c r="BK253" s="1406">
        <f>BK245-BK254</f>
        <v>451</v>
      </c>
      <c r="BL253" s="1406">
        <f>BL245-BL254</f>
        <v>459</v>
      </c>
      <c r="BM253" s="1406">
        <f>BM245-BM254</f>
        <v>446</v>
      </c>
      <c r="BN253" s="1322">
        <f>+SUM(BJ253:BM253)</f>
        <v>1799.63</v>
      </c>
      <c r="BO253" s="1406">
        <f>BO245-BO254</f>
        <v>438</v>
      </c>
      <c r="BP253" s="1406">
        <f>+BK245*(1+BP247)</f>
        <v>448.6332268570377</v>
      </c>
      <c r="BQ253" s="1406">
        <f>+BL245*(1+BQ247)</f>
        <v>455.85665577282236</v>
      </c>
      <c r="BR253" s="1406">
        <f>+BM245*(1+BR247)</f>
        <v>474.53598439759082</v>
      </c>
      <c r="BS253" s="1322">
        <f>+SUM(BO253:BR253)</f>
        <v>1817.0258670274507</v>
      </c>
      <c r="BT253" s="1406">
        <f>+BO245*(1+BT247)</f>
        <v>468.17906652728703</v>
      </c>
      <c r="BU253" s="1406">
        <f>+BP245*(1+BU247)</f>
        <v>480.03755273703035</v>
      </c>
      <c r="BV253" s="1406">
        <f>+BQ245*(1+BV247)</f>
        <v>487.76662167691995</v>
      </c>
      <c r="BW253" s="1406">
        <f>+BR245*(1+BW247)</f>
        <v>507.75350330542221</v>
      </c>
      <c r="BX253" s="1322">
        <f>+SUM(BT253:BW253)</f>
        <v>1943.7367442466598</v>
      </c>
      <c r="BY253" s="1623">
        <f>+BX245*(1+BY247)</f>
        <v>2060.3609489014593</v>
      </c>
      <c r="BZ253" s="1623">
        <f>+BY245*(1+BZ247)</f>
        <v>2183.982605835547</v>
      </c>
      <c r="CA253" s="1623">
        <f>+BZ245*(1+CA247)</f>
        <v>2293.1817361273243</v>
      </c>
      <c r="CB253" s="1432">
        <f>(CA253/BN253)^(1/5)-1</f>
        <v>4.9665806399759482E-2</v>
      </c>
      <c r="CF253" s="1421"/>
      <c r="CG253" s="1271"/>
      <c r="CH253" s="1271"/>
      <c r="CI253" s="1271"/>
      <c r="CJ253" s="1271"/>
      <c r="CK253" s="1271"/>
      <c r="CL253" s="1422"/>
      <c r="CM253" s="1422"/>
      <c r="CN253" s="1422"/>
      <c r="CO253" s="1422"/>
      <c r="CP253" s="1422"/>
      <c r="CQ253" s="1423"/>
      <c r="CR253" s="1423"/>
      <c r="CS253" s="1423"/>
      <c r="CT253" s="1422"/>
      <c r="CU253" s="1422"/>
      <c r="CV253" s="1286"/>
      <c r="CW253" s="1423"/>
      <c r="CX253" s="1423"/>
      <c r="CY253" s="1423"/>
      <c r="CZ253" s="1422"/>
      <c r="DA253" s="1422"/>
      <c r="DB253" s="1422"/>
    </row>
    <row r="254" spans="1:106">
      <c r="A254" s="769" t="s">
        <v>343</v>
      </c>
      <c r="K254" s="1423"/>
      <c r="P254" s="1423"/>
      <c r="U254" s="1423"/>
      <c r="Z254" s="1423"/>
      <c r="AE254" s="1423"/>
      <c r="AJ254" s="1423"/>
      <c r="AO254" s="1423"/>
      <c r="AT254" s="1423"/>
      <c r="AX254" s="1422"/>
      <c r="AY254" s="1422"/>
      <c r="AZ254" s="2041">
        <v>1</v>
      </c>
      <c r="BA254" s="2042">
        <v>1</v>
      </c>
      <c r="BB254" s="2038">
        <v>22</v>
      </c>
      <c r="BC254" s="2043">
        <f>64</f>
        <v>64</v>
      </c>
      <c r="BD254" s="1623">
        <f>BD245-BD253</f>
        <v>83.930000000000064</v>
      </c>
      <c r="BE254" s="2038">
        <v>67</v>
      </c>
      <c r="BF254" s="2039">
        <v>68</v>
      </c>
      <c r="BG254" s="2039">
        <v>72</v>
      </c>
      <c r="BH254" s="2040">
        <f>+BH245-BH253</f>
        <v>-38.500000000000057</v>
      </c>
      <c r="BI254" s="1322">
        <f>+SUM(BE254:BH254)</f>
        <v>168.49999999999994</v>
      </c>
      <c r="BJ254" s="2037">
        <v>-38</v>
      </c>
      <c r="BK254" s="1700">
        <v>-37</v>
      </c>
      <c r="BL254" s="2177">
        <v>-37</v>
      </c>
      <c r="BM254" s="1701">
        <v>-6</v>
      </c>
      <c r="BN254" s="1322">
        <f>+SUM(BJ254:BM254)</f>
        <v>-118</v>
      </c>
      <c r="BO254" s="2251">
        <v>-1</v>
      </c>
      <c r="BP254" s="1701">
        <v>0</v>
      </c>
      <c r="BQ254" s="1701">
        <v>0</v>
      </c>
      <c r="BR254" s="1701">
        <v>0</v>
      </c>
      <c r="BS254" s="1322">
        <f>+SUM(BO254:BR254)</f>
        <v>-1</v>
      </c>
      <c r="BT254" s="1701">
        <v>0</v>
      </c>
      <c r="BU254" s="1701">
        <v>0</v>
      </c>
      <c r="BV254" s="1701">
        <v>0</v>
      </c>
      <c r="BW254" s="1701">
        <v>0</v>
      </c>
      <c r="BX254" s="1322">
        <f>+SUM(BT254:BW254)</f>
        <v>0</v>
      </c>
      <c r="BY254" s="1702">
        <v>0</v>
      </c>
      <c r="BZ254" s="1702">
        <v>0</v>
      </c>
      <c r="CA254" s="1702">
        <v>0</v>
      </c>
      <c r="CB254" s="1340"/>
      <c r="CD254" s="788"/>
      <c r="CF254" s="1421"/>
      <c r="CG254" s="1271"/>
      <c r="CH254" s="1271"/>
      <c r="CI254" s="1271"/>
      <c r="CJ254" s="1271"/>
      <c r="CK254" s="1271"/>
      <c r="CL254" s="1422"/>
      <c r="CM254" s="1422"/>
      <c r="CN254" s="1422"/>
      <c r="CO254" s="1422"/>
      <c r="CP254" s="1422"/>
      <c r="CQ254" s="1423"/>
      <c r="CR254" s="1423"/>
      <c r="CS254" s="1423"/>
      <c r="CT254" s="1422"/>
      <c r="CU254" s="1422"/>
      <c r="CV254" s="1286"/>
      <c r="CW254" s="1423"/>
      <c r="CX254" s="1423"/>
      <c r="CY254" s="1423"/>
      <c r="CZ254" s="1422"/>
      <c r="DA254" s="1422"/>
      <c r="DB254" s="1422"/>
    </row>
    <row r="255" spans="1:106">
      <c r="A255" s="788"/>
      <c r="K255" s="1423"/>
      <c r="P255" s="1423"/>
      <c r="U255" s="1423"/>
      <c r="Z255" s="1423"/>
      <c r="AE255" s="1423"/>
      <c r="AJ255" s="1423"/>
      <c r="AO255" s="1423"/>
      <c r="AT255" s="1423"/>
      <c r="AX255" s="1422"/>
      <c r="AY255" s="1422"/>
      <c r="BC255" s="1422"/>
      <c r="BD255" s="1422"/>
      <c r="BE255" s="1663"/>
      <c r="BH255" s="1422"/>
      <c r="BI255" s="1422"/>
      <c r="BM255" s="1422"/>
      <c r="BN255" s="1423"/>
      <c r="BR255" s="1422"/>
      <c r="BS255" s="1423"/>
      <c r="BW255" s="1422"/>
      <c r="BX255" s="1423"/>
      <c r="BY255" s="1422"/>
      <c r="BZ255" s="1422"/>
      <c r="CA255" s="1422"/>
      <c r="CD255" s="785"/>
      <c r="CF255" s="1421"/>
      <c r="CG255" s="1271"/>
      <c r="CH255" s="1271"/>
      <c r="CI255" s="1271"/>
      <c r="CJ255" s="1271"/>
      <c r="CK255" s="1271"/>
      <c r="CL255" s="1422"/>
      <c r="CM255" s="1422"/>
      <c r="CN255" s="1422"/>
      <c r="CO255" s="1422"/>
      <c r="CP255" s="1422"/>
      <c r="CQ255" s="1423"/>
      <c r="CR255" s="1423"/>
      <c r="CS255" s="1423"/>
      <c r="CT255" s="1422"/>
      <c r="CU255" s="1422"/>
      <c r="CV255" s="1286"/>
      <c r="CW255" s="1423"/>
      <c r="CX255" s="1423"/>
      <c r="CY255" s="1423"/>
      <c r="CZ255" s="1422"/>
      <c r="DA255" s="1422"/>
      <c r="DB255" s="1422"/>
    </row>
    <row r="256" spans="1:106" s="762" customFormat="1">
      <c r="A256" s="762" t="s">
        <v>339</v>
      </c>
      <c r="G256" s="1319" t="s">
        <v>249</v>
      </c>
      <c r="H256" s="1319" t="s">
        <v>249</v>
      </c>
      <c r="I256" s="1319" t="s">
        <v>249</v>
      </c>
      <c r="J256" s="1276" t="s">
        <v>249</v>
      </c>
      <c r="K256" s="1277" t="s">
        <v>249</v>
      </c>
      <c r="L256" s="1319" t="s">
        <v>249</v>
      </c>
      <c r="M256" s="1319" t="s">
        <v>249</v>
      </c>
      <c r="N256" s="1319" t="s">
        <v>249</v>
      </c>
      <c r="O256" s="1276" t="s">
        <v>249</v>
      </c>
      <c r="P256" s="1277" t="s">
        <v>249</v>
      </c>
      <c r="Q256" s="1319" t="s">
        <v>249</v>
      </c>
      <c r="R256" s="1319" t="s">
        <v>249</v>
      </c>
      <c r="S256" s="1319" t="s">
        <v>249</v>
      </c>
      <c r="T256" s="1276" t="s">
        <v>249</v>
      </c>
      <c r="U256" s="1277" t="s">
        <v>249</v>
      </c>
      <c r="V256" s="1319" t="s">
        <v>249</v>
      </c>
      <c r="W256" s="1319" t="s">
        <v>249</v>
      </c>
      <c r="X256" s="1319" t="s">
        <v>249</v>
      </c>
      <c r="Y256" s="1278" t="s">
        <v>249</v>
      </c>
      <c r="Z256" s="1277" t="s">
        <v>249</v>
      </c>
      <c r="AA256" s="1319" t="s">
        <v>249</v>
      </c>
      <c r="AB256" s="1319" t="s">
        <v>249</v>
      </c>
      <c r="AC256" s="1319" t="s">
        <v>249</v>
      </c>
      <c r="AD256" s="1278" t="s">
        <v>249</v>
      </c>
      <c r="AE256" s="1277" t="s">
        <v>249</v>
      </c>
      <c r="AF256" s="1319" t="s">
        <v>249</v>
      </c>
      <c r="AG256" s="1319" t="s">
        <v>249</v>
      </c>
      <c r="AH256" s="1319" t="s">
        <v>249</v>
      </c>
      <c r="AI256" s="762">
        <v>178</v>
      </c>
      <c r="AJ256" s="1270">
        <f>SUM(AF256:AI256)</f>
        <v>178</v>
      </c>
      <c r="AK256" s="762">
        <v>186</v>
      </c>
      <c r="AL256" s="762">
        <v>182</v>
      </c>
      <c r="AM256" s="1344">
        <v>191</v>
      </c>
      <c r="AN256" s="762">
        <v>190</v>
      </c>
      <c r="AO256" s="1270">
        <f>SUM(AK256:AN256)</f>
        <v>749</v>
      </c>
      <c r="AP256" s="762">
        <v>190</v>
      </c>
      <c r="AQ256" s="762">
        <v>190</v>
      </c>
      <c r="AR256" s="1344">
        <v>193</v>
      </c>
      <c r="AS256" s="762">
        <v>194</v>
      </c>
      <c r="AT256" s="1270">
        <f>SUM(AP256:AS256)</f>
        <v>767</v>
      </c>
      <c r="AU256" s="762">
        <v>199</v>
      </c>
      <c r="AV256" s="762">
        <v>201</v>
      </c>
      <c r="AW256" s="1319">
        <v>203</v>
      </c>
      <c r="AX256" s="1278">
        <v>206</v>
      </c>
      <c r="AY256" s="1270">
        <f>SUM(AU256:AX256)</f>
        <v>809</v>
      </c>
      <c r="AZ256" s="762">
        <v>212</v>
      </c>
      <c r="BA256" s="1319">
        <v>212</v>
      </c>
      <c r="BB256" s="1319">
        <v>236</v>
      </c>
      <c r="BC256" s="1339">
        <v>274</v>
      </c>
      <c r="BD256" s="1270">
        <f>SUM(AZ256:BC256)</f>
        <v>934</v>
      </c>
      <c r="BE256" s="1327">
        <v>280</v>
      </c>
      <c r="BF256" s="1327">
        <v>284</v>
      </c>
      <c r="BG256" s="1327">
        <v>292</v>
      </c>
      <c r="BH256" s="1278" t="s">
        <v>249</v>
      </c>
      <c r="BI256" s="1278" t="s">
        <v>249</v>
      </c>
      <c r="BJ256" s="2111">
        <v>271</v>
      </c>
      <c r="BK256" s="1319" t="s">
        <v>249</v>
      </c>
      <c r="BL256" s="1319" t="s">
        <v>249</v>
      </c>
      <c r="BM256" s="1278" t="s">
        <v>249</v>
      </c>
      <c r="BN256" s="1278" t="s">
        <v>249</v>
      </c>
      <c r="BO256" s="2111">
        <v>290</v>
      </c>
      <c r="BP256" s="1319" t="s">
        <v>249</v>
      </c>
      <c r="BQ256" s="1319" t="s">
        <v>249</v>
      </c>
      <c r="BR256" s="1278" t="s">
        <v>249</v>
      </c>
      <c r="BS256" s="1278" t="s">
        <v>249</v>
      </c>
      <c r="BT256" s="1319" t="s">
        <v>249</v>
      </c>
      <c r="BU256" s="1319" t="s">
        <v>249</v>
      </c>
      <c r="BV256" s="1319" t="s">
        <v>249</v>
      </c>
      <c r="BW256" s="1278" t="s">
        <v>249</v>
      </c>
      <c r="BX256" s="1278" t="s">
        <v>249</v>
      </c>
      <c r="BY256" s="1670" t="s">
        <v>249</v>
      </c>
      <c r="BZ256" s="1670" t="s">
        <v>249</v>
      </c>
      <c r="CA256" s="1670" t="s">
        <v>249</v>
      </c>
      <c r="CF256" s="1270" t="str">
        <f>+A256</f>
        <v>Domestic</v>
      </c>
      <c r="CL256" s="1278"/>
      <c r="CM256" s="1278"/>
      <c r="CN256" s="1278"/>
      <c r="CO256" s="1278"/>
      <c r="CP256" s="1278"/>
      <c r="CQ256" s="1270">
        <f>+AJ256</f>
        <v>178</v>
      </c>
      <c r="CR256" s="1270">
        <f>+AO256</f>
        <v>749</v>
      </c>
      <c r="CS256" s="1270">
        <f>+AT256</f>
        <v>767</v>
      </c>
      <c r="CT256" s="1278">
        <f>+AY256</f>
        <v>809</v>
      </c>
      <c r="CU256" s="1278">
        <f>+BD256</f>
        <v>934</v>
      </c>
      <c r="CV256" s="1276" t="str">
        <f>+BI256</f>
        <v>--</v>
      </c>
      <c r="CW256" s="1669" t="str">
        <f>+BN256</f>
        <v>--</v>
      </c>
      <c r="CX256" s="1669" t="str">
        <f>+BS256</f>
        <v>--</v>
      </c>
      <c r="CY256" s="1669" t="str">
        <f t="shared" ref="CY256:DB258" si="330">+BX256</f>
        <v>--</v>
      </c>
      <c r="CZ256" s="1670" t="str">
        <f t="shared" si="330"/>
        <v>--</v>
      </c>
      <c r="DA256" s="1670" t="str">
        <f t="shared" si="330"/>
        <v>--</v>
      </c>
      <c r="DB256" s="1670" t="str">
        <f t="shared" si="330"/>
        <v>--</v>
      </c>
    </row>
    <row r="257" spans="1:106">
      <c r="A257" s="1618" t="s">
        <v>288</v>
      </c>
      <c r="G257" s="1319"/>
      <c r="H257" s="1319"/>
      <c r="I257" s="1319"/>
      <c r="J257" s="1278"/>
      <c r="K257" s="1278"/>
      <c r="L257" s="1319"/>
      <c r="M257" s="1319"/>
      <c r="N257" s="1319"/>
      <c r="O257" s="1276"/>
      <c r="P257" s="1277"/>
      <c r="Q257" s="1319"/>
      <c r="R257" s="1319"/>
      <c r="S257" s="1319"/>
      <c r="T257" s="1276"/>
      <c r="U257" s="1277"/>
      <c r="V257" s="1319"/>
      <c r="W257" s="1319"/>
      <c r="X257" s="1319"/>
      <c r="Y257" s="1278"/>
      <c r="Z257" s="1277"/>
      <c r="AA257" s="1319"/>
      <c r="AB257" s="1319"/>
      <c r="AC257" s="1319"/>
      <c r="AD257" s="1278"/>
      <c r="AE257" s="1277"/>
      <c r="AF257" s="1319"/>
      <c r="AG257" s="1319"/>
      <c r="AH257" s="1319"/>
      <c r="AI257" s="1408"/>
      <c r="AJ257" s="1342"/>
      <c r="AK257" s="1408"/>
      <c r="AL257" s="1408"/>
      <c r="AM257" s="1408"/>
      <c r="AN257" s="1408">
        <f t="shared" ref="AN257:BG257" si="331">AN256/AI256-1</f>
        <v>6.7415730337078594E-2</v>
      </c>
      <c r="AO257" s="1342">
        <f t="shared" si="331"/>
        <v>3.2078651685393256</v>
      </c>
      <c r="AP257" s="1408">
        <f t="shared" si="331"/>
        <v>2.1505376344086002E-2</v>
      </c>
      <c r="AQ257" s="1408">
        <f t="shared" si="331"/>
        <v>4.3956043956044022E-2</v>
      </c>
      <c r="AR257" s="1408">
        <f t="shared" si="331"/>
        <v>1.0471204188481575E-2</v>
      </c>
      <c r="AS257" s="1408">
        <f t="shared" si="331"/>
        <v>2.1052631578947434E-2</v>
      </c>
      <c r="AT257" s="1342">
        <f t="shared" si="331"/>
        <v>2.4032042723631575E-2</v>
      </c>
      <c r="AU257" s="1408">
        <f t="shared" si="331"/>
        <v>4.7368421052631504E-2</v>
      </c>
      <c r="AV257" s="1408">
        <f t="shared" si="331"/>
        <v>5.7894736842105221E-2</v>
      </c>
      <c r="AW257" s="1408">
        <f t="shared" si="331"/>
        <v>5.1813471502590636E-2</v>
      </c>
      <c r="AX257" s="1486">
        <f t="shared" si="331"/>
        <v>6.1855670103092786E-2</v>
      </c>
      <c r="AY257" s="1342">
        <f t="shared" si="331"/>
        <v>5.4758800521512496E-2</v>
      </c>
      <c r="AZ257" s="1408">
        <f t="shared" si="331"/>
        <v>6.5326633165829096E-2</v>
      </c>
      <c r="BA257" s="1408">
        <f t="shared" si="331"/>
        <v>5.4726368159204064E-2</v>
      </c>
      <c r="BB257" s="1408">
        <f t="shared" si="331"/>
        <v>0.16256157635467972</v>
      </c>
      <c r="BC257" s="1673">
        <f t="shared" si="331"/>
        <v>0.33009708737864085</v>
      </c>
      <c r="BD257" s="1342">
        <f t="shared" si="331"/>
        <v>0.15451174289245984</v>
      </c>
      <c r="BE257" s="1696">
        <f t="shared" si="331"/>
        <v>0.320754716981132</v>
      </c>
      <c r="BF257" s="1408">
        <f t="shared" si="331"/>
        <v>0.33962264150943389</v>
      </c>
      <c r="BG257" s="1408">
        <f t="shared" si="331"/>
        <v>0.23728813559322037</v>
      </c>
      <c r="BH257" s="1278" t="s">
        <v>249</v>
      </c>
      <c r="BI257" s="1278" t="s">
        <v>249</v>
      </c>
      <c r="BJ257" s="1696">
        <f t="shared" ref="BJ257" si="332">BJ256/BE256-1</f>
        <v>-3.214285714285714E-2</v>
      </c>
      <c r="BK257" s="1319" t="s">
        <v>249</v>
      </c>
      <c r="BL257" s="1319" t="s">
        <v>249</v>
      </c>
      <c r="BM257" s="1278" t="s">
        <v>249</v>
      </c>
      <c r="BN257" s="1278" t="s">
        <v>249</v>
      </c>
      <c r="BO257" s="1696">
        <f t="shared" ref="BO257" si="333">BO256/BJ256-1</f>
        <v>7.0110701107011009E-2</v>
      </c>
      <c r="BP257" s="1319" t="s">
        <v>249</v>
      </c>
      <c r="BQ257" s="1319" t="s">
        <v>249</v>
      </c>
      <c r="BR257" s="1278" t="s">
        <v>249</v>
      </c>
      <c r="BS257" s="1278" t="s">
        <v>249</v>
      </c>
      <c r="BT257" s="1319" t="s">
        <v>249</v>
      </c>
      <c r="BU257" s="1319" t="s">
        <v>249</v>
      </c>
      <c r="BV257" s="1319" t="s">
        <v>249</v>
      </c>
      <c r="BW257" s="1278" t="s">
        <v>249</v>
      </c>
      <c r="BX257" s="1278" t="s">
        <v>249</v>
      </c>
      <c r="BY257" s="1670" t="s">
        <v>249</v>
      </c>
      <c r="BZ257" s="1670" t="s">
        <v>249</v>
      </c>
      <c r="CA257" s="1670" t="s">
        <v>249</v>
      </c>
      <c r="CF257" s="1619" t="str">
        <f>+A257</f>
        <v>y/y change</v>
      </c>
      <c r="CG257" s="1271"/>
      <c r="CH257" s="1271"/>
      <c r="CI257" s="1271"/>
      <c r="CJ257" s="1271"/>
      <c r="CK257" s="1271"/>
      <c r="CL257" s="1278"/>
      <c r="CM257" s="1278"/>
      <c r="CN257" s="1278"/>
      <c r="CO257" s="1278"/>
      <c r="CP257" s="1278"/>
      <c r="CQ257" s="1703"/>
      <c r="CR257" s="1703">
        <f>+AO257</f>
        <v>3.2078651685393256</v>
      </c>
      <c r="CS257" s="1703">
        <f>+AT257</f>
        <v>2.4032042723631575E-2</v>
      </c>
      <c r="CT257" s="1691">
        <f>+AY257</f>
        <v>5.4758800521512496E-2</v>
      </c>
      <c r="CU257" s="1691">
        <f>+BD257</f>
        <v>0.15451174289245984</v>
      </c>
      <c r="CV257" s="1276" t="str">
        <f>+BI257</f>
        <v>--</v>
      </c>
      <c r="CW257" s="1669" t="str">
        <f>+BN257</f>
        <v>--</v>
      </c>
      <c r="CX257" s="1669" t="str">
        <f>+BS257</f>
        <v>--</v>
      </c>
      <c r="CY257" s="1669" t="str">
        <f t="shared" si="330"/>
        <v>--</v>
      </c>
      <c r="CZ257" s="1670" t="str">
        <f t="shared" si="330"/>
        <v>--</v>
      </c>
      <c r="DA257" s="1670" t="str">
        <f t="shared" si="330"/>
        <v>--</v>
      </c>
      <c r="DB257" s="1670" t="str">
        <f t="shared" si="330"/>
        <v>--</v>
      </c>
    </row>
    <row r="258" spans="1:106">
      <c r="A258" s="1485" t="s">
        <v>330</v>
      </c>
      <c r="G258" s="1319" t="s">
        <v>249</v>
      </c>
      <c r="H258" s="1319" t="s">
        <v>249</v>
      </c>
      <c r="I258" s="1319" t="s">
        <v>249</v>
      </c>
      <c r="J258" s="1278" t="s">
        <v>249</v>
      </c>
      <c r="K258" s="1278" t="s">
        <v>249</v>
      </c>
      <c r="L258" s="1319" t="s">
        <v>249</v>
      </c>
      <c r="M258" s="1319" t="s">
        <v>249</v>
      </c>
      <c r="N258" s="1319" t="s">
        <v>249</v>
      </c>
      <c r="O258" s="1276" t="s">
        <v>249</v>
      </c>
      <c r="P258" s="1277" t="s">
        <v>249</v>
      </c>
      <c r="Q258" s="1319" t="s">
        <v>249</v>
      </c>
      <c r="R258" s="1319" t="s">
        <v>249</v>
      </c>
      <c r="S258" s="1319" t="s">
        <v>249</v>
      </c>
      <c r="T258" s="1278" t="s">
        <v>249</v>
      </c>
      <c r="U258" s="1278" t="s">
        <v>249</v>
      </c>
      <c r="V258" s="1319" t="s">
        <v>249</v>
      </c>
      <c r="W258" s="1319" t="s">
        <v>249</v>
      </c>
      <c r="X258" s="1319" t="s">
        <v>249</v>
      </c>
      <c r="Y258" s="1278" t="s">
        <v>249</v>
      </c>
      <c r="Z258" s="1278" t="s">
        <v>249</v>
      </c>
      <c r="AA258" s="1319" t="s">
        <v>249</v>
      </c>
      <c r="AB258" s="1319" t="s">
        <v>249</v>
      </c>
      <c r="AC258" s="1319" t="s">
        <v>249</v>
      </c>
      <c r="AD258" s="1278" t="s">
        <v>249</v>
      </c>
      <c r="AE258" s="1278" t="s">
        <v>249</v>
      </c>
      <c r="AF258" s="1319" t="s">
        <v>249</v>
      </c>
      <c r="AG258" s="1319" t="s">
        <v>249</v>
      </c>
      <c r="AH258" s="1319" t="s">
        <v>249</v>
      </c>
      <c r="AI258" s="1408">
        <f t="shared" ref="AI258:AS258" si="334">AI256/AI$20</f>
        <v>0.5114942528735632</v>
      </c>
      <c r="AJ258" s="1342">
        <f t="shared" si="334"/>
        <v>0.13146233382570163</v>
      </c>
      <c r="AK258" s="1408">
        <f t="shared" si="334"/>
        <v>0.52691218130311612</v>
      </c>
      <c r="AL258" s="1408">
        <f t="shared" si="334"/>
        <v>0.49726775956284153</v>
      </c>
      <c r="AM258" s="1408">
        <f t="shared" si="334"/>
        <v>0.48600508905852419</v>
      </c>
      <c r="AN258" s="1408">
        <f t="shared" si="334"/>
        <v>0.47499999999999998</v>
      </c>
      <c r="AO258" s="1342">
        <f t="shared" si="334"/>
        <v>0.49537037037037035</v>
      </c>
      <c r="AP258" s="1408">
        <f t="shared" si="334"/>
        <v>0.47146401985111663</v>
      </c>
      <c r="AQ258" s="1408">
        <f t="shared" si="334"/>
        <v>0.46341463414634149</v>
      </c>
      <c r="AR258" s="1408">
        <f t="shared" si="334"/>
        <v>0.46282973621103118</v>
      </c>
      <c r="AS258" s="1408">
        <f t="shared" si="334"/>
        <v>0.45011600928074247</v>
      </c>
      <c r="AT258" s="1342">
        <f t="shared" ref="AT258:BG258" si="335">AT256/AT$18</f>
        <v>0.65611633875106934</v>
      </c>
      <c r="AU258" s="1408">
        <f t="shared" si="335"/>
        <v>0.66112956810631229</v>
      </c>
      <c r="AV258" s="1408">
        <f t="shared" si="335"/>
        <v>0.65472312703583058</v>
      </c>
      <c r="AW258" s="1408">
        <f t="shared" si="335"/>
        <v>0.65273311897106112</v>
      </c>
      <c r="AX258" s="1486">
        <f t="shared" si="335"/>
        <v>0.64779874213836475</v>
      </c>
      <c r="AY258" s="1342">
        <f t="shared" si="335"/>
        <v>0.65400161681487468</v>
      </c>
      <c r="AZ258" s="1408">
        <f t="shared" si="335"/>
        <v>0.66249999999999998</v>
      </c>
      <c r="BA258" s="1408">
        <f t="shared" si="335"/>
        <v>0.65432098765432101</v>
      </c>
      <c r="BB258" s="1408">
        <f t="shared" si="335"/>
        <v>0.6629213483146067</v>
      </c>
      <c r="BC258" s="1673">
        <f t="shared" si="335"/>
        <v>0.67654320987654326</v>
      </c>
      <c r="BD258" s="1342">
        <f t="shared" si="335"/>
        <v>0.66476868327402139</v>
      </c>
      <c r="BE258" s="1696">
        <f t="shared" si="335"/>
        <v>0.68796068796068799</v>
      </c>
      <c r="BF258" s="1408">
        <f t="shared" si="335"/>
        <v>0.68269230769230771</v>
      </c>
      <c r="BG258" s="1408">
        <f t="shared" si="335"/>
        <v>0.6806526806526807</v>
      </c>
      <c r="BH258" s="1278" t="s">
        <v>249</v>
      </c>
      <c r="BI258" s="1278" t="s">
        <v>249</v>
      </c>
      <c r="BJ258" s="1696">
        <f t="shared" ref="BJ258" si="336">BJ256/BJ$18</f>
        <v>0.67412935323383083</v>
      </c>
      <c r="BK258" s="1319" t="s">
        <v>249</v>
      </c>
      <c r="BL258" s="1319" t="s">
        <v>249</v>
      </c>
      <c r="BM258" s="1278" t="s">
        <v>249</v>
      </c>
      <c r="BN258" s="1278" t="s">
        <v>249</v>
      </c>
      <c r="BO258" s="1696">
        <f t="shared" ref="BO258" si="337">BO256/BO$18</f>
        <v>0.66361556064073224</v>
      </c>
      <c r="BP258" s="1319" t="s">
        <v>249</v>
      </c>
      <c r="BQ258" s="1319" t="s">
        <v>249</v>
      </c>
      <c r="BR258" s="1278" t="s">
        <v>249</v>
      </c>
      <c r="BS258" s="1278" t="s">
        <v>249</v>
      </c>
      <c r="BT258" s="1319" t="s">
        <v>249</v>
      </c>
      <c r="BU258" s="1319" t="s">
        <v>249</v>
      </c>
      <c r="BV258" s="1319" t="s">
        <v>249</v>
      </c>
      <c r="BW258" s="1278" t="s">
        <v>249</v>
      </c>
      <c r="BX258" s="1278" t="s">
        <v>249</v>
      </c>
      <c r="BY258" s="1670" t="s">
        <v>249</v>
      </c>
      <c r="BZ258" s="1670" t="s">
        <v>249</v>
      </c>
      <c r="CA258" s="1670" t="s">
        <v>249</v>
      </c>
      <c r="CD258" s="1268"/>
      <c r="CF258" s="1487" t="str">
        <f>+A258</f>
        <v>% of revenue</v>
      </c>
      <c r="CG258" s="1271"/>
      <c r="CH258" s="1271"/>
      <c r="CI258" s="1271"/>
      <c r="CJ258" s="1271"/>
      <c r="CK258" s="1271"/>
      <c r="CL258" s="1278"/>
      <c r="CM258" s="1278"/>
      <c r="CN258" s="1278"/>
      <c r="CO258" s="1278"/>
      <c r="CP258" s="1278"/>
      <c r="CQ258" s="1703">
        <f>+AJ258</f>
        <v>0.13146233382570163</v>
      </c>
      <c r="CR258" s="1703">
        <f>+AO258</f>
        <v>0.49537037037037035</v>
      </c>
      <c r="CS258" s="1703">
        <f>+AT258</f>
        <v>0.65611633875106934</v>
      </c>
      <c r="CT258" s="1691">
        <f>+AY258</f>
        <v>0.65400161681487468</v>
      </c>
      <c r="CU258" s="1691">
        <f>+BD258</f>
        <v>0.66476868327402139</v>
      </c>
      <c r="CV258" s="1276" t="str">
        <f>+BI258</f>
        <v>--</v>
      </c>
      <c r="CW258" s="1669" t="str">
        <f>+BN258</f>
        <v>--</v>
      </c>
      <c r="CX258" s="1669" t="str">
        <f>+BS258</f>
        <v>--</v>
      </c>
      <c r="CY258" s="1669" t="str">
        <f t="shared" si="330"/>
        <v>--</v>
      </c>
      <c r="CZ258" s="1670" t="str">
        <f t="shared" si="330"/>
        <v>--</v>
      </c>
      <c r="DA258" s="1670" t="str">
        <f t="shared" si="330"/>
        <v>--</v>
      </c>
      <c r="DB258" s="1670" t="str">
        <f t="shared" si="330"/>
        <v>--</v>
      </c>
    </row>
    <row r="259" spans="1:106">
      <c r="A259" s="1618"/>
      <c r="K259" s="1423"/>
      <c r="P259" s="1423"/>
      <c r="U259" s="1423"/>
      <c r="Z259" s="1423"/>
      <c r="AA259" s="1408"/>
      <c r="AB259" s="1408"/>
      <c r="AC259" s="1408"/>
      <c r="AD259" s="1408"/>
      <c r="AE259" s="1342"/>
      <c r="AF259" s="1408"/>
      <c r="AG259" s="1408"/>
      <c r="AH259" s="1408"/>
      <c r="AI259" s="1408"/>
      <c r="AJ259" s="1342"/>
      <c r="AK259" s="1408"/>
      <c r="AL259" s="1408"/>
      <c r="AN259" s="1408"/>
      <c r="AO259" s="1342"/>
      <c r="AP259" s="1408"/>
      <c r="AQ259" s="1408"/>
      <c r="AS259" s="1408"/>
      <c r="AT259" s="1342"/>
      <c r="AU259" s="1408"/>
      <c r="AV259" s="1408"/>
      <c r="AW259" s="1408"/>
      <c r="AX259" s="1422"/>
      <c r="AY259" s="1342"/>
      <c r="AZ259" s="1408"/>
      <c r="BA259" s="1408"/>
      <c r="BB259" s="1408"/>
      <c r="BC259" s="1422"/>
      <c r="BD259" s="1342"/>
      <c r="BE259" s="1408"/>
      <c r="BF259" s="1408"/>
      <c r="BG259" s="1408"/>
      <c r="BH259" s="1422"/>
      <c r="BI259" s="1422"/>
      <c r="BJ259" s="1408"/>
      <c r="BK259" s="1408"/>
      <c r="BL259" s="1408"/>
      <c r="BM259" s="1422"/>
      <c r="BN259" s="1422"/>
      <c r="BO259" s="1408"/>
      <c r="BP259" s="1408"/>
      <c r="BQ259" s="1408"/>
      <c r="BR259" s="1422"/>
      <c r="BS259" s="1422"/>
      <c r="BT259" s="1408"/>
      <c r="BU259" s="1408"/>
      <c r="BV259" s="1408"/>
      <c r="BW259" s="1422"/>
      <c r="BX259" s="1422"/>
      <c r="BY259" s="1486"/>
      <c r="BZ259" s="1486"/>
      <c r="CA259" s="1486"/>
      <c r="CF259" s="1619"/>
      <c r="CG259" s="1271"/>
      <c r="CH259" s="1271"/>
      <c r="CI259" s="1271"/>
      <c r="CJ259" s="1271"/>
      <c r="CK259" s="1271"/>
      <c r="CL259" s="1423"/>
      <c r="CM259" s="1342"/>
      <c r="CN259" s="1342"/>
      <c r="CO259" s="1342"/>
      <c r="CP259" s="1342"/>
      <c r="CQ259" s="1342"/>
      <c r="CR259" s="1342"/>
      <c r="CS259" s="1342"/>
      <c r="CT259" s="1422"/>
      <c r="CU259" s="1422"/>
      <c r="CV259" s="1286"/>
      <c r="CW259" s="1342"/>
      <c r="CX259" s="1342"/>
      <c r="CY259" s="1342"/>
      <c r="CZ259" s="1486"/>
      <c r="DA259" s="1486"/>
      <c r="DB259" s="1486"/>
    </row>
    <row r="260" spans="1:106" s="762" customFormat="1">
      <c r="A260" s="762" t="s">
        <v>340</v>
      </c>
      <c r="G260" s="1319" t="s">
        <v>249</v>
      </c>
      <c r="H260" s="1319" t="s">
        <v>249</v>
      </c>
      <c r="I260" s="1319" t="s">
        <v>249</v>
      </c>
      <c r="J260" s="1278" t="s">
        <v>249</v>
      </c>
      <c r="K260" s="1278" t="s">
        <v>249</v>
      </c>
      <c r="L260" s="1319" t="s">
        <v>249</v>
      </c>
      <c r="M260" s="1319" t="s">
        <v>249</v>
      </c>
      <c r="N260" s="1319" t="s">
        <v>249</v>
      </c>
      <c r="O260" s="1278" t="s">
        <v>249</v>
      </c>
      <c r="P260" s="1278" t="s">
        <v>249</v>
      </c>
      <c r="Q260" s="1319" t="s">
        <v>249</v>
      </c>
      <c r="R260" s="1319" t="s">
        <v>249</v>
      </c>
      <c r="S260" s="1319" t="s">
        <v>249</v>
      </c>
      <c r="T260" s="1278" t="s">
        <v>249</v>
      </c>
      <c r="U260" s="1278" t="s">
        <v>249</v>
      </c>
      <c r="V260" s="1319" t="s">
        <v>249</v>
      </c>
      <c r="W260" s="1319" t="s">
        <v>249</v>
      </c>
      <c r="X260" s="1319" t="s">
        <v>249</v>
      </c>
      <c r="Y260" s="1278" t="s">
        <v>249</v>
      </c>
      <c r="Z260" s="1278" t="s">
        <v>249</v>
      </c>
      <c r="AA260" s="1319" t="s">
        <v>249</v>
      </c>
      <c r="AB260" s="1319" t="s">
        <v>249</v>
      </c>
      <c r="AC260" s="1319" t="s">
        <v>249</v>
      </c>
      <c r="AD260" s="1278" t="s">
        <v>249</v>
      </c>
      <c r="AE260" s="1278" t="s">
        <v>249</v>
      </c>
      <c r="AF260" s="1319" t="s">
        <v>249</v>
      </c>
      <c r="AG260" s="1319" t="s">
        <v>249</v>
      </c>
      <c r="AH260" s="1319" t="s">
        <v>249</v>
      </c>
      <c r="AI260" s="762">
        <v>90</v>
      </c>
      <c r="AJ260" s="1270">
        <f>SUM(AF260:AI260)</f>
        <v>90</v>
      </c>
      <c r="AK260" s="762">
        <v>88</v>
      </c>
      <c r="AL260" s="762">
        <v>95</v>
      </c>
      <c r="AM260" s="1344">
        <v>93</v>
      </c>
      <c r="AN260" s="762">
        <v>99</v>
      </c>
      <c r="AO260" s="1270">
        <f>SUM(AK260:AN260)</f>
        <v>375</v>
      </c>
      <c r="AP260" s="762">
        <v>98</v>
      </c>
      <c r="AQ260" s="762">
        <v>97</v>
      </c>
      <c r="AR260" s="1344">
        <v>100</v>
      </c>
      <c r="AS260" s="762">
        <v>107</v>
      </c>
      <c r="AT260" s="1270">
        <f>SUM(AP260:AS260)</f>
        <v>402</v>
      </c>
      <c r="AU260" s="762">
        <v>102</v>
      </c>
      <c r="AV260" s="762">
        <v>106</v>
      </c>
      <c r="AW260" s="1319">
        <v>108</v>
      </c>
      <c r="AX260" s="1278">
        <v>112</v>
      </c>
      <c r="AY260" s="1270">
        <f>SUM(AU260:AX260)</f>
        <v>428</v>
      </c>
      <c r="AZ260" s="762">
        <v>108</v>
      </c>
      <c r="BA260" s="1319">
        <v>112</v>
      </c>
      <c r="BB260" s="1319">
        <v>120</v>
      </c>
      <c r="BC260" s="1339">
        <v>131</v>
      </c>
      <c r="BD260" s="1270">
        <f>SUM(AZ260:BC260)</f>
        <v>471</v>
      </c>
      <c r="BE260" s="1327">
        <v>127</v>
      </c>
      <c r="BF260" s="1337">
        <f>+BF245-BF256</f>
        <v>132</v>
      </c>
      <c r="BG260" s="1337">
        <v>137</v>
      </c>
      <c r="BH260" s="1278" t="s">
        <v>249</v>
      </c>
      <c r="BI260" s="1278" t="s">
        <v>249</v>
      </c>
      <c r="BJ260" s="2111">
        <v>131</v>
      </c>
      <c r="BK260" s="1319" t="s">
        <v>249</v>
      </c>
      <c r="BL260" s="1319" t="s">
        <v>249</v>
      </c>
      <c r="BM260" s="1278" t="s">
        <v>249</v>
      </c>
      <c r="BN260" s="1278" t="s">
        <v>249</v>
      </c>
      <c r="BO260" s="2111">
        <v>147</v>
      </c>
      <c r="BP260" s="1319" t="s">
        <v>249</v>
      </c>
      <c r="BQ260" s="1319" t="s">
        <v>249</v>
      </c>
      <c r="BR260" s="1278" t="s">
        <v>249</v>
      </c>
      <c r="BS260" s="1278" t="s">
        <v>249</v>
      </c>
      <c r="BT260" s="1319" t="s">
        <v>249</v>
      </c>
      <c r="BU260" s="1319" t="s">
        <v>249</v>
      </c>
      <c r="BV260" s="1319" t="s">
        <v>249</v>
      </c>
      <c r="BW260" s="1278" t="s">
        <v>249</v>
      </c>
      <c r="BX260" s="1278" t="s">
        <v>249</v>
      </c>
      <c r="BY260" s="1670" t="s">
        <v>249</v>
      </c>
      <c r="BZ260" s="1670" t="s">
        <v>249</v>
      </c>
      <c r="CA260" s="1670" t="s">
        <v>249</v>
      </c>
      <c r="CF260" s="1270" t="str">
        <f t="shared" ref="CF260:CF265" si="338">+A260</f>
        <v>International</v>
      </c>
      <c r="CL260" s="1278"/>
      <c r="CM260" s="1278"/>
      <c r="CN260" s="1278"/>
      <c r="CO260" s="1278"/>
      <c r="CP260" s="1278"/>
      <c r="CQ260" s="1270">
        <f>+AJ260</f>
        <v>90</v>
      </c>
      <c r="CR260" s="1270">
        <f>+AO260</f>
        <v>375</v>
      </c>
      <c r="CS260" s="1270">
        <f>+AT260</f>
        <v>402</v>
      </c>
      <c r="CT260" s="1278">
        <f>+AY260</f>
        <v>428</v>
      </c>
      <c r="CU260" s="1278">
        <f>+BD260</f>
        <v>471</v>
      </c>
      <c r="CV260" s="1276" t="str">
        <f>+BI260</f>
        <v>--</v>
      </c>
      <c r="CW260" s="1669" t="str">
        <f>+BN260</f>
        <v>--</v>
      </c>
      <c r="CX260" s="1669" t="str">
        <f>+BS260</f>
        <v>--</v>
      </c>
      <c r="CY260" s="1669" t="str">
        <f t="shared" ref="CY260:DB262" si="339">+BX260</f>
        <v>--</v>
      </c>
      <c r="CZ260" s="1670" t="str">
        <f t="shared" si="339"/>
        <v>--</v>
      </c>
      <c r="DA260" s="1670" t="str">
        <f t="shared" si="339"/>
        <v>--</v>
      </c>
      <c r="DB260" s="1670" t="str">
        <f t="shared" si="339"/>
        <v>--</v>
      </c>
    </row>
    <row r="261" spans="1:106">
      <c r="A261" s="1618" t="s">
        <v>288</v>
      </c>
      <c r="G261" s="1319"/>
      <c r="H261" s="1319"/>
      <c r="I261" s="1319"/>
      <c r="J261" s="1278"/>
      <c r="K261" s="1278"/>
      <c r="L261" s="1319"/>
      <c r="M261" s="1319"/>
      <c r="N261" s="1319"/>
      <c r="O261" s="1278"/>
      <c r="P261" s="1278"/>
      <c r="Q261" s="1319"/>
      <c r="R261" s="1319"/>
      <c r="S261" s="1319"/>
      <c r="T261" s="1278"/>
      <c r="U261" s="1278"/>
      <c r="V261" s="1319"/>
      <c r="W261" s="1319"/>
      <c r="X261" s="1319"/>
      <c r="Y261" s="1278"/>
      <c r="Z261" s="1278"/>
      <c r="AA261" s="1319"/>
      <c r="AB261" s="1319"/>
      <c r="AC261" s="1319"/>
      <c r="AD261" s="1278"/>
      <c r="AE261" s="1278"/>
      <c r="AF261" s="1319"/>
      <c r="AG261" s="1319"/>
      <c r="AH261" s="1319"/>
      <c r="AI261" s="1408"/>
      <c r="AJ261" s="1342"/>
      <c r="AK261" s="1408"/>
      <c r="AL261" s="1408"/>
      <c r="AM261" s="1408"/>
      <c r="AN261" s="1408">
        <f t="shared" ref="AN261:BG261" si="340">AN260/AI260-1</f>
        <v>0.10000000000000009</v>
      </c>
      <c r="AO261" s="1342">
        <f t="shared" si="340"/>
        <v>3.166666666666667</v>
      </c>
      <c r="AP261" s="1408">
        <f t="shared" si="340"/>
        <v>0.11363636363636354</v>
      </c>
      <c r="AQ261" s="1408">
        <f t="shared" si="340"/>
        <v>2.1052631578947434E-2</v>
      </c>
      <c r="AR261" s="1408">
        <f t="shared" si="340"/>
        <v>7.5268817204301008E-2</v>
      </c>
      <c r="AS261" s="1408">
        <f t="shared" si="340"/>
        <v>8.0808080808080884E-2</v>
      </c>
      <c r="AT261" s="1342">
        <f t="shared" si="340"/>
        <v>7.2000000000000064E-2</v>
      </c>
      <c r="AU261" s="1408">
        <f t="shared" si="340"/>
        <v>4.081632653061229E-2</v>
      </c>
      <c r="AV261" s="1408">
        <f t="shared" si="340"/>
        <v>9.2783505154639068E-2</v>
      </c>
      <c r="AW261" s="1408">
        <f t="shared" si="340"/>
        <v>8.0000000000000071E-2</v>
      </c>
      <c r="AX261" s="1486">
        <f t="shared" si="340"/>
        <v>4.6728971962616717E-2</v>
      </c>
      <c r="AY261" s="1342">
        <f t="shared" si="340"/>
        <v>6.4676616915422924E-2</v>
      </c>
      <c r="AZ261" s="1408">
        <f t="shared" si="340"/>
        <v>5.8823529411764719E-2</v>
      </c>
      <c r="BA261" s="1408">
        <f t="shared" si="340"/>
        <v>5.6603773584905648E-2</v>
      </c>
      <c r="BB261" s="1408">
        <f t="shared" si="340"/>
        <v>0.11111111111111116</v>
      </c>
      <c r="BC261" s="1704">
        <f t="shared" si="340"/>
        <v>0.16964285714285721</v>
      </c>
      <c r="BD261" s="1342">
        <f t="shared" si="340"/>
        <v>0.10046728971962615</v>
      </c>
      <c r="BE261" s="1408">
        <f t="shared" si="340"/>
        <v>0.17592592592592582</v>
      </c>
      <c r="BF261" s="1408">
        <f t="shared" si="340"/>
        <v>0.1785714285714286</v>
      </c>
      <c r="BG261" s="1408">
        <f t="shared" si="340"/>
        <v>0.14166666666666661</v>
      </c>
      <c r="BH261" s="1278" t="s">
        <v>249</v>
      </c>
      <c r="BI261" s="1278" t="s">
        <v>249</v>
      </c>
      <c r="BJ261" s="1408">
        <f t="shared" ref="BJ261" si="341">BJ260/BE260-1</f>
        <v>3.1496062992125928E-2</v>
      </c>
      <c r="BK261" s="1319" t="s">
        <v>249</v>
      </c>
      <c r="BL261" s="1319" t="s">
        <v>249</v>
      </c>
      <c r="BM261" s="1278" t="s">
        <v>249</v>
      </c>
      <c r="BN261" s="1278" t="s">
        <v>249</v>
      </c>
      <c r="BO261" s="1408">
        <f t="shared" ref="BO261" si="342">BO260/BJ260-1</f>
        <v>0.12213740458015265</v>
      </c>
      <c r="BP261" s="1319" t="s">
        <v>249</v>
      </c>
      <c r="BQ261" s="1319" t="s">
        <v>249</v>
      </c>
      <c r="BR261" s="1278" t="s">
        <v>249</v>
      </c>
      <c r="BS261" s="1278" t="s">
        <v>249</v>
      </c>
      <c r="BT261" s="1319" t="s">
        <v>249</v>
      </c>
      <c r="BU261" s="1319" t="s">
        <v>249</v>
      </c>
      <c r="BV261" s="1319" t="s">
        <v>249</v>
      </c>
      <c r="BW261" s="1278" t="s">
        <v>249</v>
      </c>
      <c r="BX261" s="1278" t="s">
        <v>249</v>
      </c>
      <c r="BY261" s="1670" t="s">
        <v>249</v>
      </c>
      <c r="BZ261" s="1670" t="s">
        <v>249</v>
      </c>
      <c r="CA261" s="1670" t="s">
        <v>249</v>
      </c>
      <c r="CF261" s="1619" t="str">
        <f t="shared" si="338"/>
        <v>y/y change</v>
      </c>
      <c r="CG261" s="1271"/>
      <c r="CH261" s="1271"/>
      <c r="CI261" s="1271"/>
      <c r="CJ261" s="1271"/>
      <c r="CK261" s="1271"/>
      <c r="CL261" s="1278"/>
      <c r="CM261" s="1278"/>
      <c r="CN261" s="1278"/>
      <c r="CO261" s="1278"/>
      <c r="CP261" s="1278"/>
      <c r="CQ261" s="1703"/>
      <c r="CR261" s="1703">
        <f>+AO261</f>
        <v>3.166666666666667</v>
      </c>
      <c r="CS261" s="1703">
        <f>+AT261</f>
        <v>7.2000000000000064E-2</v>
      </c>
      <c r="CT261" s="1691">
        <f>+AY261</f>
        <v>6.4676616915422924E-2</v>
      </c>
      <c r="CU261" s="1691">
        <f>+BD261</f>
        <v>0.10046728971962615</v>
      </c>
      <c r="CV261" s="1276" t="str">
        <f>+BI261</f>
        <v>--</v>
      </c>
      <c r="CW261" s="1669" t="str">
        <f>+BN261</f>
        <v>--</v>
      </c>
      <c r="CX261" s="1669" t="str">
        <f>+BS261</f>
        <v>--</v>
      </c>
      <c r="CY261" s="1669" t="str">
        <f t="shared" si="339"/>
        <v>--</v>
      </c>
      <c r="CZ261" s="1670" t="str">
        <f t="shared" si="339"/>
        <v>--</v>
      </c>
      <c r="DA261" s="1670" t="str">
        <f t="shared" si="339"/>
        <v>--</v>
      </c>
      <c r="DB261" s="1670" t="str">
        <f t="shared" si="339"/>
        <v>--</v>
      </c>
    </row>
    <row r="262" spans="1:106">
      <c r="A262" s="1505" t="s">
        <v>330</v>
      </c>
      <c r="B262" s="1705"/>
      <c r="C262" s="1705"/>
      <c r="D262" s="1705"/>
      <c r="E262" s="1705"/>
      <c r="F262" s="1705"/>
      <c r="G262" s="1507"/>
      <c r="H262" s="1507"/>
      <c r="I262" s="1507"/>
      <c r="J262" s="1564"/>
      <c r="K262" s="1564"/>
      <c r="L262" s="1507"/>
      <c r="M262" s="1507"/>
      <c r="N262" s="1507"/>
      <c r="O262" s="1564"/>
      <c r="P262" s="1564"/>
      <c r="Q262" s="1507"/>
      <c r="R262" s="1507"/>
      <c r="S262" s="1507"/>
      <c r="T262" s="1564"/>
      <c r="U262" s="1564"/>
      <c r="V262" s="1507"/>
      <c r="W262" s="1507"/>
      <c r="X262" s="1507"/>
      <c r="Y262" s="1564"/>
      <c r="Z262" s="1564"/>
      <c r="AA262" s="1507"/>
      <c r="AB262" s="1507"/>
      <c r="AC262" s="1507"/>
      <c r="AD262" s="1564"/>
      <c r="AE262" s="1564"/>
      <c r="AF262" s="1507"/>
      <c r="AG262" s="1507"/>
      <c r="AH262" s="1507"/>
      <c r="AI262" s="1511">
        <f t="shared" ref="AI262:AS262" si="343">AI260/AI$20</f>
        <v>0.25862068965517243</v>
      </c>
      <c r="AJ262" s="1506">
        <f t="shared" si="343"/>
        <v>6.6469719350073855E-2</v>
      </c>
      <c r="AK262" s="1511">
        <f t="shared" si="343"/>
        <v>0.24929178470254956</v>
      </c>
      <c r="AL262" s="1511">
        <f t="shared" si="343"/>
        <v>0.25956284153005466</v>
      </c>
      <c r="AM262" s="1511">
        <f t="shared" si="343"/>
        <v>0.23664122137404581</v>
      </c>
      <c r="AN262" s="1511">
        <f t="shared" si="343"/>
        <v>0.2475</v>
      </c>
      <c r="AO262" s="1506">
        <f t="shared" si="343"/>
        <v>0.24801587301587302</v>
      </c>
      <c r="AP262" s="1511">
        <f t="shared" si="343"/>
        <v>0.24317617866004962</v>
      </c>
      <c r="AQ262" s="1511">
        <f t="shared" si="343"/>
        <v>0.23658536585365852</v>
      </c>
      <c r="AR262" s="1511">
        <f t="shared" si="343"/>
        <v>0.23980815347721823</v>
      </c>
      <c r="AS262" s="1511">
        <f t="shared" si="343"/>
        <v>0.24825986078886311</v>
      </c>
      <c r="AT262" s="1506">
        <f>AT260/AT$18</f>
        <v>0.34388366124893072</v>
      </c>
      <c r="AU262" s="1511">
        <f>AU260/AU$18</f>
        <v>0.33887043189368771</v>
      </c>
      <c r="AV262" s="1511">
        <f>AV260/AV$18</f>
        <v>0.34527687296416937</v>
      </c>
      <c r="AW262" s="1511">
        <f>AW260/AW$18</f>
        <v>0.34726688102893893</v>
      </c>
      <c r="AX262" s="1512">
        <f>AX260/AX$20</f>
        <v>0.24454148471615719</v>
      </c>
      <c r="AY262" s="1506">
        <f t="shared" ref="AY262:BG262" si="344">AY260/AY$18</f>
        <v>0.34599838318512532</v>
      </c>
      <c r="AZ262" s="1511">
        <f t="shared" si="344"/>
        <v>0.33750000000000002</v>
      </c>
      <c r="BA262" s="1511">
        <f t="shared" si="344"/>
        <v>0.34567901234567899</v>
      </c>
      <c r="BB262" s="1511">
        <f t="shared" si="344"/>
        <v>0.33707865168539325</v>
      </c>
      <c r="BC262" s="1706">
        <f t="shared" si="344"/>
        <v>0.32345679012345679</v>
      </c>
      <c r="BD262" s="1506">
        <f t="shared" si="344"/>
        <v>0.33523131672597867</v>
      </c>
      <c r="BE262" s="1511">
        <f t="shared" si="344"/>
        <v>0.31203931203931207</v>
      </c>
      <c r="BF262" s="1511">
        <f t="shared" si="344"/>
        <v>0.31730769230769229</v>
      </c>
      <c r="BG262" s="1511">
        <f t="shared" si="344"/>
        <v>0.31934731934731936</v>
      </c>
      <c r="BH262" s="1564" t="s">
        <v>249</v>
      </c>
      <c r="BI262" s="1564" t="s">
        <v>249</v>
      </c>
      <c r="BJ262" s="1511">
        <f t="shared" ref="BJ262" si="345">BJ260/BJ$18</f>
        <v>0.32587064676616917</v>
      </c>
      <c r="BK262" s="1507" t="s">
        <v>249</v>
      </c>
      <c r="BL262" s="1507" t="s">
        <v>249</v>
      </c>
      <c r="BM262" s="1564" t="s">
        <v>249</v>
      </c>
      <c r="BN262" s="1564" t="s">
        <v>249</v>
      </c>
      <c r="BO262" s="1511">
        <f t="shared" ref="BO262" si="346">BO260/BO$18</f>
        <v>0.33638443935926776</v>
      </c>
      <c r="BP262" s="1507" t="s">
        <v>249</v>
      </c>
      <c r="BQ262" s="1507" t="s">
        <v>249</v>
      </c>
      <c r="BR262" s="1564" t="s">
        <v>249</v>
      </c>
      <c r="BS262" s="1564" t="s">
        <v>249</v>
      </c>
      <c r="BT262" s="1507" t="s">
        <v>249</v>
      </c>
      <c r="BU262" s="1507" t="s">
        <v>249</v>
      </c>
      <c r="BV262" s="1507" t="s">
        <v>249</v>
      </c>
      <c r="BW262" s="1564" t="s">
        <v>249</v>
      </c>
      <c r="BX262" s="1564" t="s">
        <v>249</v>
      </c>
      <c r="BY262" s="1707" t="s">
        <v>249</v>
      </c>
      <c r="BZ262" s="1707" t="s">
        <v>249</v>
      </c>
      <c r="CA262" s="1707" t="s">
        <v>249</v>
      </c>
      <c r="CF262" s="1513" t="str">
        <f t="shared" si="338"/>
        <v>% of revenue</v>
      </c>
      <c r="CG262" s="1705"/>
      <c r="CH262" s="1705"/>
      <c r="CI262" s="1705"/>
      <c r="CJ262" s="1705"/>
      <c r="CK262" s="1705"/>
      <c r="CL262" s="1564"/>
      <c r="CM262" s="1564"/>
      <c r="CN262" s="1564"/>
      <c r="CO262" s="1564"/>
      <c r="CP262" s="1564"/>
      <c r="CQ262" s="1708">
        <f>+AJ262</f>
        <v>6.6469719350073855E-2</v>
      </c>
      <c r="CR262" s="1708">
        <f>+AO262</f>
        <v>0.24801587301587302</v>
      </c>
      <c r="CS262" s="1708">
        <f>+AT262</f>
        <v>0.34388366124893072</v>
      </c>
      <c r="CT262" s="1709">
        <f>+AY262</f>
        <v>0.34599838318512532</v>
      </c>
      <c r="CU262" s="1709">
        <f>+BD262</f>
        <v>0.33523131672597867</v>
      </c>
      <c r="CV262" s="1507" t="str">
        <f>+BI262</f>
        <v>--</v>
      </c>
      <c r="CW262" s="1707" t="str">
        <f>+BN262</f>
        <v>--</v>
      </c>
      <c r="CX262" s="1707" t="str">
        <f>+BS262</f>
        <v>--</v>
      </c>
      <c r="CY262" s="1707" t="str">
        <f t="shared" si="339"/>
        <v>--</v>
      </c>
      <c r="CZ262" s="1707" t="str">
        <f t="shared" si="339"/>
        <v>--</v>
      </c>
      <c r="DA262" s="1707" t="str">
        <f t="shared" si="339"/>
        <v>--</v>
      </c>
      <c r="DB262" s="1707" t="str">
        <f t="shared" si="339"/>
        <v>--</v>
      </c>
    </row>
    <row r="263" spans="1:106" s="1713" customFormat="1" hidden="1" outlineLevel="1">
      <c r="A263" s="1297" t="s">
        <v>344</v>
      </c>
      <c r="B263" s="1710"/>
      <c r="C263" s="1710"/>
      <c r="D263" s="1710"/>
      <c r="E263" s="1710"/>
      <c r="F263" s="1710"/>
      <c r="G263" s="1313"/>
      <c r="H263" s="1313"/>
      <c r="I263" s="1313"/>
      <c r="J263" s="1313"/>
      <c r="K263" s="1616"/>
      <c r="L263" s="1313"/>
      <c r="M263" s="1313"/>
      <c r="N263" s="1313"/>
      <c r="O263" s="1313"/>
      <c r="P263" s="1616"/>
      <c r="Q263" s="1313"/>
      <c r="R263" s="1313"/>
      <c r="S263" s="1313"/>
      <c r="T263" s="1313"/>
      <c r="U263" s="1616"/>
      <c r="V263" s="1313"/>
      <c r="W263" s="1313"/>
      <c r="X263" s="1313"/>
      <c r="Y263" s="1313"/>
      <c r="Z263" s="1616"/>
      <c r="AA263" s="1313"/>
      <c r="AB263" s="1313"/>
      <c r="AC263" s="1313"/>
      <c r="AD263" s="1313"/>
      <c r="AE263" s="1616"/>
      <c r="AF263" s="1313"/>
      <c r="AG263" s="1313"/>
      <c r="AH263" s="1313"/>
      <c r="AI263" s="1313"/>
      <c r="AJ263" s="1616"/>
      <c r="AK263" s="1313"/>
      <c r="AL263" s="1313"/>
      <c r="AM263" s="1313"/>
      <c r="AN263" s="1313"/>
      <c r="AO263" s="1616"/>
      <c r="AP263" s="1313"/>
      <c r="AQ263" s="1313"/>
      <c r="AR263" s="1313"/>
      <c r="AS263" s="1313"/>
      <c r="AT263" s="1314"/>
      <c r="AU263" s="1313"/>
      <c r="AV263" s="1313"/>
      <c r="AW263" s="1313"/>
      <c r="AX263" s="1313"/>
      <c r="AY263" s="1314"/>
      <c r="AZ263" s="1711"/>
      <c r="BA263" s="1711"/>
      <c r="BB263" s="1299" t="s">
        <v>345</v>
      </c>
      <c r="BC263" s="1313"/>
      <c r="BD263" s="1314"/>
      <c r="BE263" s="1299" t="s">
        <v>345</v>
      </c>
      <c r="BF263" s="1711"/>
      <c r="BG263" s="1711"/>
      <c r="BH263" s="1313"/>
      <c r="BI263" s="1314"/>
      <c r="BJ263" s="1300"/>
      <c r="BK263" s="1300"/>
      <c r="BL263" s="1711"/>
      <c r="BM263" s="1313"/>
      <c r="BN263" s="1712"/>
      <c r="BO263" s="1301"/>
      <c r="BP263" s="1301"/>
      <c r="BQ263" s="1301"/>
      <c r="BR263" s="1313"/>
      <c r="BS263" s="1712"/>
      <c r="BT263" s="1301"/>
      <c r="BU263" s="1301"/>
      <c r="BV263" s="1301"/>
      <c r="BW263" s="1313"/>
      <c r="BX263" s="1712"/>
      <c r="BY263" s="1314"/>
      <c r="BZ263" s="1314"/>
      <c r="CA263" s="1314"/>
      <c r="CB263" s="1711"/>
      <c r="CF263" s="1302" t="str">
        <f t="shared" si="338"/>
        <v>Growth by Product</v>
      </c>
      <c r="CG263" s="1710"/>
      <c r="CH263" s="1710"/>
      <c r="CI263" s="1710"/>
      <c r="CJ263" s="1710"/>
      <c r="CK263" s="1710"/>
      <c r="CL263" s="1616"/>
      <c r="CM263" s="1616"/>
      <c r="CN263" s="1616"/>
      <c r="CO263" s="1616"/>
      <c r="CP263" s="1616"/>
      <c r="CQ263" s="1616"/>
      <c r="CR263" s="1616"/>
      <c r="CS263" s="1314"/>
      <c r="CT263" s="1314"/>
      <c r="CU263" s="1314"/>
      <c r="CV263" s="1314"/>
      <c r="CW263" s="1313"/>
      <c r="CX263" s="1314"/>
      <c r="CY263" s="1313"/>
      <c r="CZ263" s="1314"/>
      <c r="DA263" s="1314"/>
      <c r="DB263" s="1314"/>
    </row>
    <row r="264" spans="1:106" s="1713" customFormat="1" hidden="1" outlineLevel="1">
      <c r="A264" s="1714" t="s">
        <v>346</v>
      </c>
      <c r="B264" s="1710"/>
      <c r="C264" s="1710"/>
      <c r="D264" s="1710"/>
      <c r="E264" s="1710"/>
      <c r="F264" s="1710"/>
      <c r="G264" s="1715" t="s">
        <v>249</v>
      </c>
      <c r="H264" s="1715" t="s">
        <v>249</v>
      </c>
      <c r="I264" s="1715" t="s">
        <v>249</v>
      </c>
      <c r="J264" s="1715" t="s">
        <v>249</v>
      </c>
      <c r="K264" s="1716" t="s">
        <v>249</v>
      </c>
      <c r="L264" s="1715" t="s">
        <v>249</v>
      </c>
      <c r="M264" s="1715" t="s">
        <v>249</v>
      </c>
      <c r="N264" s="1715" t="s">
        <v>249</v>
      </c>
      <c r="O264" s="1715" t="s">
        <v>249</v>
      </c>
      <c r="P264" s="1716" t="s">
        <v>249</v>
      </c>
      <c r="Q264" s="1715" t="s">
        <v>249</v>
      </c>
      <c r="R264" s="1715" t="s">
        <v>249</v>
      </c>
      <c r="S264" s="1715" t="s">
        <v>249</v>
      </c>
      <c r="T264" s="1715" t="s">
        <v>249</v>
      </c>
      <c r="U264" s="1716" t="s">
        <v>249</v>
      </c>
      <c r="V264" s="1715" t="s">
        <v>249</v>
      </c>
      <c r="W264" s="1715" t="s">
        <v>249</v>
      </c>
      <c r="X264" s="1715" t="s">
        <v>249</v>
      </c>
      <c r="Y264" s="1715" t="s">
        <v>249</v>
      </c>
      <c r="Z264" s="1716" t="s">
        <v>249</v>
      </c>
      <c r="AA264" s="1715" t="s">
        <v>249</v>
      </c>
      <c r="AB264" s="1715" t="s">
        <v>249</v>
      </c>
      <c r="AC264" s="1715" t="s">
        <v>249</v>
      </c>
      <c r="AD264" s="1715" t="s">
        <v>249</v>
      </c>
      <c r="AE264" s="1716" t="s">
        <v>249</v>
      </c>
      <c r="AF264" s="1715" t="s">
        <v>249</v>
      </c>
      <c r="AG264" s="1715" t="s">
        <v>249</v>
      </c>
      <c r="AH264" s="1715" t="s">
        <v>249</v>
      </c>
      <c r="AI264" s="1715" t="s">
        <v>249</v>
      </c>
      <c r="AJ264" s="1716" t="s">
        <v>249</v>
      </c>
      <c r="AK264" s="1715" t="s">
        <v>249</v>
      </c>
      <c r="AL264" s="1715" t="s">
        <v>249</v>
      </c>
      <c r="AM264" s="1715" t="s">
        <v>249</v>
      </c>
      <c r="AN264" s="1715" t="s">
        <v>249</v>
      </c>
      <c r="AO264" s="1716" t="s">
        <v>249</v>
      </c>
      <c r="AP264" s="1715" t="s">
        <v>249</v>
      </c>
      <c r="AQ264" s="1715" t="s">
        <v>249</v>
      </c>
      <c r="AR264" s="1715" t="s">
        <v>249</v>
      </c>
      <c r="AS264" s="1715" t="s">
        <v>249</v>
      </c>
      <c r="AT264" s="1716" t="s">
        <v>249</v>
      </c>
      <c r="AU264" s="1313"/>
      <c r="AV264" s="1313"/>
      <c r="AW264" s="1313"/>
      <c r="AX264" s="1313"/>
      <c r="AY264" s="1314"/>
      <c r="AZ264" s="1313"/>
      <c r="BA264" s="1717"/>
      <c r="BB264" s="1717"/>
      <c r="BC264" s="1717"/>
      <c r="BD264" s="1314"/>
      <c r="BE264" s="1717"/>
      <c r="BF264" s="1717"/>
      <c r="BG264" s="1717"/>
      <c r="BH264" s="1717"/>
      <c r="BI264" s="1314"/>
      <c r="BJ264" s="1301"/>
      <c r="BK264" s="1301"/>
      <c r="BL264" s="1717"/>
      <c r="BM264" s="1301"/>
      <c r="BN264" s="1314"/>
      <c r="BO264" s="1301"/>
      <c r="BP264" s="1301"/>
      <c r="BQ264" s="1301"/>
      <c r="BR264" s="1301"/>
      <c r="BS264" s="1314"/>
      <c r="BT264" s="1301"/>
      <c r="BU264" s="1301"/>
      <c r="BV264" s="1301"/>
      <c r="BW264" s="1301"/>
      <c r="BX264" s="1314"/>
      <c r="BY264" s="1303"/>
      <c r="BZ264" s="1303"/>
      <c r="CA264" s="1303"/>
      <c r="CF264" s="1502" t="str">
        <f t="shared" si="338"/>
        <v>Financial Data and Analytics</v>
      </c>
      <c r="CG264" s="1710"/>
      <c r="CH264" s="1710"/>
      <c r="CI264" s="1710"/>
      <c r="CJ264" s="1710"/>
      <c r="CK264" s="1710"/>
      <c r="CL264" s="1716"/>
      <c r="CM264" s="1716"/>
      <c r="CN264" s="1716"/>
      <c r="CO264" s="1716"/>
      <c r="CP264" s="1716"/>
      <c r="CQ264" s="1716"/>
      <c r="CR264" s="1716"/>
      <c r="CS264" s="1716"/>
      <c r="CT264" s="1314">
        <f>+AY264</f>
        <v>0</v>
      </c>
      <c r="CU264" s="1314">
        <f>+BD264</f>
        <v>0</v>
      </c>
      <c r="CV264" s="1718">
        <f>+BI264</f>
        <v>0</v>
      </c>
      <c r="CW264" s="1718">
        <f>+BN264</f>
        <v>0</v>
      </c>
      <c r="CX264" s="1718">
        <f>+BS264</f>
        <v>0</v>
      </c>
      <c r="CY264" s="1718">
        <f t="shared" ref="CY264:DB265" si="347">+BX264</f>
        <v>0</v>
      </c>
      <c r="CZ264" s="1718">
        <f t="shared" si="347"/>
        <v>0</v>
      </c>
      <c r="DA264" s="1718">
        <f t="shared" si="347"/>
        <v>0</v>
      </c>
      <c r="DB264" s="1718">
        <f t="shared" si="347"/>
        <v>0</v>
      </c>
    </row>
    <row r="265" spans="1:106" s="1713" customFormat="1" hidden="1" outlineLevel="1">
      <c r="A265" s="1719" t="s">
        <v>545</v>
      </c>
      <c r="B265" s="1710"/>
      <c r="C265" s="1710"/>
      <c r="D265" s="1710"/>
      <c r="E265" s="1710"/>
      <c r="F265" s="1710"/>
      <c r="G265" s="1715" t="s">
        <v>249</v>
      </c>
      <c r="H265" s="1715" t="s">
        <v>249</v>
      </c>
      <c r="I265" s="1715" t="s">
        <v>249</v>
      </c>
      <c r="J265" s="1715" t="s">
        <v>249</v>
      </c>
      <c r="K265" s="1716" t="s">
        <v>249</v>
      </c>
      <c r="L265" s="1715" t="s">
        <v>249</v>
      </c>
      <c r="M265" s="1715" t="s">
        <v>249</v>
      </c>
      <c r="N265" s="1715" t="s">
        <v>249</v>
      </c>
      <c r="O265" s="1715" t="s">
        <v>249</v>
      </c>
      <c r="P265" s="1716" t="s">
        <v>249</v>
      </c>
      <c r="Q265" s="1715" t="s">
        <v>249</v>
      </c>
      <c r="R265" s="1715" t="s">
        <v>249</v>
      </c>
      <c r="S265" s="1715" t="s">
        <v>249</v>
      </c>
      <c r="T265" s="1715" t="s">
        <v>249</v>
      </c>
      <c r="U265" s="1716" t="s">
        <v>249</v>
      </c>
      <c r="V265" s="1715" t="s">
        <v>249</v>
      </c>
      <c r="W265" s="1715" t="s">
        <v>249</v>
      </c>
      <c r="X265" s="1715" t="s">
        <v>249</v>
      </c>
      <c r="Y265" s="1715" t="s">
        <v>249</v>
      </c>
      <c r="Z265" s="1716" t="s">
        <v>249</v>
      </c>
      <c r="AA265" s="1715" t="s">
        <v>249</v>
      </c>
      <c r="AB265" s="1715" t="s">
        <v>249</v>
      </c>
      <c r="AC265" s="1715" t="s">
        <v>249</v>
      </c>
      <c r="AD265" s="1715" t="s">
        <v>249</v>
      </c>
      <c r="AE265" s="1716" t="s">
        <v>249</v>
      </c>
      <c r="AF265" s="1715" t="s">
        <v>249</v>
      </c>
      <c r="AG265" s="1715" t="s">
        <v>249</v>
      </c>
      <c r="AH265" s="1715" t="s">
        <v>249</v>
      </c>
      <c r="AI265" s="1715" t="s">
        <v>249</v>
      </c>
      <c r="AJ265" s="1716" t="s">
        <v>249</v>
      </c>
      <c r="AK265" s="1715" t="s">
        <v>249</v>
      </c>
      <c r="AL265" s="1715" t="s">
        <v>249</v>
      </c>
      <c r="AM265" s="1715" t="s">
        <v>249</v>
      </c>
      <c r="AN265" s="1715" t="s">
        <v>249</v>
      </c>
      <c r="AO265" s="1716" t="s">
        <v>249</v>
      </c>
      <c r="AP265" s="1715" t="s">
        <v>249</v>
      </c>
      <c r="AQ265" s="1715" t="s">
        <v>249</v>
      </c>
      <c r="AR265" s="1715" t="s">
        <v>249</v>
      </c>
      <c r="AS265" s="1715" t="s">
        <v>249</v>
      </c>
      <c r="AT265" s="1716" t="s">
        <v>249</v>
      </c>
      <c r="AU265" s="1313">
        <v>0.04</v>
      </c>
      <c r="AV265" s="1313">
        <v>0.09</v>
      </c>
      <c r="AW265" s="1313">
        <v>0.08</v>
      </c>
      <c r="AX265" s="1313">
        <f>+AX276/AS276-1</f>
        <v>0.27899054426272119</v>
      </c>
      <c r="AY265" s="1314">
        <f>+AY276/AT276-1</f>
        <v>7.2607289144373199E-2</v>
      </c>
      <c r="AZ265" s="1313">
        <v>0.1</v>
      </c>
      <c r="BA265" s="1717">
        <v>7.0000000000000007E-2</v>
      </c>
      <c r="BB265" s="1717">
        <v>0.09</v>
      </c>
      <c r="BC265" s="1717">
        <v>0.09</v>
      </c>
      <c r="BD265" s="1314">
        <f>+BD276/AY276-1</f>
        <v>0.11610392981030704</v>
      </c>
      <c r="BE265" s="1717">
        <v>7.0000000000000007E-2</v>
      </c>
      <c r="BF265" s="1717">
        <v>0.08</v>
      </c>
      <c r="BG265" s="1717">
        <v>0.06</v>
      </c>
      <c r="BH265" s="1717">
        <v>7.0000000000000007E-2</v>
      </c>
      <c r="BI265" s="1314">
        <f>+BI276/BD276-1</f>
        <v>0.3046755977454545</v>
      </c>
      <c r="BJ265" s="1301"/>
      <c r="BK265" s="1301"/>
      <c r="BL265" s="1717"/>
      <c r="BM265" s="1301"/>
      <c r="BN265" s="1314"/>
      <c r="BO265" s="1301"/>
      <c r="BP265" s="1301"/>
      <c r="BQ265" s="1301"/>
      <c r="BR265" s="1301"/>
      <c r="BS265" s="1314"/>
      <c r="BT265" s="1301"/>
      <c r="BU265" s="1301"/>
      <c r="BV265" s="1301"/>
      <c r="BW265" s="1301"/>
      <c r="BX265" s="1314"/>
      <c r="BY265" s="1303"/>
      <c r="BZ265" s="1303"/>
      <c r="CA265" s="1303"/>
      <c r="CF265" s="1502" t="str">
        <f t="shared" si="338"/>
        <v>Desktop and Enterprise</v>
      </c>
      <c r="CG265" s="1710"/>
      <c r="CH265" s="1710"/>
      <c r="CI265" s="1710"/>
      <c r="CJ265" s="1710"/>
      <c r="CK265" s="1710"/>
      <c r="CL265" s="1716"/>
      <c r="CM265" s="1716"/>
      <c r="CN265" s="1716"/>
      <c r="CO265" s="1716"/>
      <c r="CP265" s="1716"/>
      <c r="CQ265" s="1716"/>
      <c r="CR265" s="1716"/>
      <c r="CS265" s="1716"/>
      <c r="CT265" s="1314">
        <f>+AY265</f>
        <v>7.2607289144373199E-2</v>
      </c>
      <c r="CU265" s="1314">
        <f>+BD265</f>
        <v>0.11610392981030704</v>
      </c>
      <c r="CV265" s="1718">
        <f>+BI265</f>
        <v>0.3046755977454545</v>
      </c>
      <c r="CW265" s="1718">
        <f>+BN265</f>
        <v>0</v>
      </c>
      <c r="CX265" s="1718">
        <f>+BS265</f>
        <v>0</v>
      </c>
      <c r="CY265" s="1718">
        <f t="shared" si="347"/>
        <v>0</v>
      </c>
      <c r="CZ265" s="1718">
        <f t="shared" si="347"/>
        <v>0</v>
      </c>
      <c r="DA265" s="1718">
        <f t="shared" si="347"/>
        <v>0</v>
      </c>
      <c r="DB265" s="1718">
        <f t="shared" si="347"/>
        <v>0</v>
      </c>
    </row>
    <row r="266" spans="1:106" s="1713" customFormat="1" hidden="1" outlineLevel="1">
      <c r="A266" s="1719" t="s">
        <v>507</v>
      </c>
      <c r="B266" s="1710"/>
      <c r="C266" s="1710"/>
      <c r="D266" s="1710"/>
      <c r="E266" s="1710"/>
      <c r="F266" s="1710"/>
      <c r="G266" s="1715"/>
      <c r="H266" s="1715"/>
      <c r="I266" s="1715"/>
      <c r="J266" s="1715"/>
      <c r="K266" s="1716"/>
      <c r="L266" s="1715"/>
      <c r="M266" s="1715"/>
      <c r="N266" s="1715"/>
      <c r="O266" s="1715"/>
      <c r="P266" s="1716"/>
      <c r="Q266" s="1715"/>
      <c r="R266" s="1715"/>
      <c r="S266" s="1715"/>
      <c r="T266" s="1715"/>
      <c r="U266" s="1716"/>
      <c r="V266" s="1715"/>
      <c r="W266" s="1715"/>
      <c r="X266" s="1715"/>
      <c r="Y266" s="1715"/>
      <c r="Z266" s="1716"/>
      <c r="AA266" s="1715"/>
      <c r="AB266" s="1715"/>
      <c r="AC266" s="1715"/>
      <c r="AD266" s="1715"/>
      <c r="AE266" s="1716"/>
      <c r="AF266" s="1715"/>
      <c r="AG266" s="1715"/>
      <c r="AH266" s="1715"/>
      <c r="AI266" s="1715"/>
      <c r="AJ266" s="1716"/>
      <c r="AK266" s="1715"/>
      <c r="AL266" s="1715"/>
      <c r="AM266" s="1715"/>
      <c r="AN266" s="1715"/>
      <c r="AO266" s="1716"/>
      <c r="AP266" s="1715"/>
      <c r="AQ266" s="1715"/>
      <c r="AR266" s="1715"/>
      <c r="AS266" s="1715"/>
      <c r="AT266" s="1716"/>
      <c r="AU266" s="1313"/>
      <c r="AV266" s="1313"/>
      <c r="AW266" s="1313"/>
      <c r="AX266" s="1313"/>
      <c r="AY266" s="1304"/>
      <c r="AZ266" s="1313"/>
      <c r="BA266" s="1717"/>
      <c r="BB266" s="1717"/>
      <c r="BC266" s="1717">
        <v>0.14000000000000001</v>
      </c>
      <c r="BD266" s="1314"/>
      <c r="BE266" s="1717">
        <v>0.13</v>
      </c>
      <c r="BF266" s="1717">
        <v>0.1</v>
      </c>
      <c r="BG266" s="1717">
        <v>0.12</v>
      </c>
      <c r="BH266" s="1717">
        <v>0.14000000000000001</v>
      </c>
      <c r="BI266" s="1314"/>
      <c r="BJ266" s="1301"/>
      <c r="BK266" s="1301"/>
      <c r="BL266" s="1717"/>
      <c r="BM266" s="1301"/>
      <c r="BN266" s="1314"/>
      <c r="BO266" s="1301"/>
      <c r="BP266" s="1301"/>
      <c r="BQ266" s="1301"/>
      <c r="BR266" s="1301"/>
      <c r="BS266" s="1314"/>
      <c r="BT266" s="1301"/>
      <c r="BU266" s="1301"/>
      <c r="BV266" s="1301"/>
      <c r="BW266" s="1301"/>
      <c r="BX266" s="1314"/>
      <c r="BY266" s="1303"/>
      <c r="BZ266" s="1303"/>
      <c r="CA266" s="1303"/>
      <c r="CF266" s="1502"/>
      <c r="CG266" s="1710"/>
      <c r="CH266" s="1710"/>
      <c r="CI266" s="1710"/>
      <c r="CJ266" s="1710"/>
      <c r="CK266" s="1710"/>
      <c r="CL266" s="1716"/>
      <c r="CM266" s="1716"/>
      <c r="CN266" s="1716"/>
      <c r="CO266" s="1716"/>
      <c r="CP266" s="1716"/>
      <c r="CQ266" s="1716"/>
      <c r="CR266" s="1716"/>
      <c r="CS266" s="1716"/>
      <c r="CT266" s="1304"/>
      <c r="CU266" s="1314"/>
      <c r="CV266" s="1718"/>
      <c r="CW266" s="1720"/>
      <c r="CX266" s="1718"/>
      <c r="CY266" s="1720"/>
      <c r="CZ266" s="1718"/>
      <c r="DA266" s="1718"/>
      <c r="DB266" s="1718"/>
    </row>
    <row r="267" spans="1:106" s="1713" customFormat="1" hidden="1" outlineLevel="1">
      <c r="A267" s="1714" t="s">
        <v>347</v>
      </c>
      <c r="B267" s="1710"/>
      <c r="C267" s="1710"/>
      <c r="D267" s="1710"/>
      <c r="E267" s="1710"/>
      <c r="F267" s="1710"/>
      <c r="G267" s="1715" t="s">
        <v>249</v>
      </c>
      <c r="H267" s="1715" t="s">
        <v>249</v>
      </c>
      <c r="I267" s="1715" t="s">
        <v>249</v>
      </c>
      <c r="J267" s="1715" t="s">
        <v>249</v>
      </c>
      <c r="K267" s="1716" t="s">
        <v>249</v>
      </c>
      <c r="L267" s="1715" t="s">
        <v>249</v>
      </c>
      <c r="M267" s="1715" t="s">
        <v>249</v>
      </c>
      <c r="N267" s="1715" t="s">
        <v>249</v>
      </c>
      <c r="O267" s="1715" t="s">
        <v>249</v>
      </c>
      <c r="P267" s="1716" t="s">
        <v>249</v>
      </c>
      <c r="Q267" s="1715" t="s">
        <v>249</v>
      </c>
      <c r="R267" s="1715" t="s">
        <v>249</v>
      </c>
      <c r="S267" s="1715" t="s">
        <v>249</v>
      </c>
      <c r="T267" s="1715" t="s">
        <v>249</v>
      </c>
      <c r="U267" s="1716" t="s">
        <v>249</v>
      </c>
      <c r="V267" s="1715" t="s">
        <v>249</v>
      </c>
      <c r="W267" s="1715" t="s">
        <v>249</v>
      </c>
      <c r="X267" s="1715" t="s">
        <v>249</v>
      </c>
      <c r="Y267" s="1715" t="s">
        <v>249</v>
      </c>
      <c r="Z267" s="1716" t="s">
        <v>249</v>
      </c>
      <c r="AA267" s="1715" t="s">
        <v>249</v>
      </c>
      <c r="AB267" s="1715" t="s">
        <v>249</v>
      </c>
      <c r="AC267" s="1715" t="s">
        <v>249</v>
      </c>
      <c r="AD267" s="1715" t="s">
        <v>249</v>
      </c>
      <c r="AE267" s="1716" t="s">
        <v>249</v>
      </c>
      <c r="AF267" s="1715" t="s">
        <v>249</v>
      </c>
      <c r="AG267" s="1715" t="s">
        <v>249</v>
      </c>
      <c r="AH267" s="1715" t="s">
        <v>249</v>
      </c>
      <c r="AI267" s="1715" t="s">
        <v>249</v>
      </c>
      <c r="AJ267" s="1716" t="s">
        <v>249</v>
      </c>
      <c r="AK267" s="1715" t="s">
        <v>249</v>
      </c>
      <c r="AL267" s="1715" t="s">
        <v>249</v>
      </c>
      <c r="AM267" s="1715" t="s">
        <v>249</v>
      </c>
      <c r="AN267" s="1715" t="s">
        <v>249</v>
      </c>
      <c r="AO267" s="1716" t="s">
        <v>249</v>
      </c>
      <c r="AP267" s="1715" t="s">
        <v>249</v>
      </c>
      <c r="AQ267" s="1715" t="s">
        <v>249</v>
      </c>
      <c r="AR267" s="1715" t="s">
        <v>249</v>
      </c>
      <c r="AS267" s="1715" t="s">
        <v>249</v>
      </c>
      <c r="AT267" s="1716" t="s">
        <v>249</v>
      </c>
      <c r="AU267" s="1313">
        <v>0.05</v>
      </c>
      <c r="AV267" s="1313">
        <v>7.0000000000000007E-2</v>
      </c>
      <c r="AW267" s="1313">
        <v>0.06</v>
      </c>
      <c r="AX267" s="1313">
        <f>+AX277/AS277-1</f>
        <v>4.0681385610962684E-2</v>
      </c>
      <c r="AY267" s="1304">
        <v>5.5E-2</v>
      </c>
      <c r="AZ267" s="1313">
        <v>0.06</v>
      </c>
      <c r="BA267" s="1717">
        <v>0.06</v>
      </c>
      <c r="BB267" s="1717">
        <v>7.0000000000000007E-2</v>
      </c>
      <c r="BC267" s="1717">
        <v>0.05</v>
      </c>
      <c r="BD267" s="1314">
        <f>+BD277/AY277-1</f>
        <v>5.996872985781998E-2</v>
      </c>
      <c r="BE267" s="1717">
        <v>0.08</v>
      </c>
      <c r="BF267" s="1717">
        <v>0.1</v>
      </c>
      <c r="BG267" s="1717">
        <v>0.1</v>
      </c>
      <c r="BH267" s="1717">
        <v>0.1</v>
      </c>
      <c r="BI267" s="1314">
        <f>+BI277/BD277-1</f>
        <v>9.5272372382692483E-2</v>
      </c>
      <c r="BJ267" s="1301"/>
      <c r="BK267" s="1301"/>
      <c r="BL267" s="1717"/>
      <c r="BM267" s="1301"/>
      <c r="BN267" s="1314"/>
      <c r="BO267" s="1301"/>
      <c r="BP267" s="1301"/>
      <c r="BQ267" s="1301"/>
      <c r="BR267" s="1301"/>
      <c r="BS267" s="1314"/>
      <c r="BT267" s="1301"/>
      <c r="BU267" s="1301"/>
      <c r="BV267" s="1301"/>
      <c r="BW267" s="1301"/>
      <c r="BX267" s="1314"/>
      <c r="BY267" s="1303"/>
      <c r="BZ267" s="1303"/>
      <c r="CA267" s="1303"/>
      <c r="CF267" s="1502" t="str">
        <f>+A267</f>
        <v>Global Risk Services</v>
      </c>
      <c r="CG267" s="1710"/>
      <c r="CH267" s="1710"/>
      <c r="CI267" s="1710"/>
      <c r="CJ267" s="1710"/>
      <c r="CK267" s="1710"/>
      <c r="CL267" s="1716"/>
      <c r="CM267" s="1716"/>
      <c r="CN267" s="1716"/>
      <c r="CO267" s="1716"/>
      <c r="CP267" s="1716"/>
      <c r="CQ267" s="1716"/>
      <c r="CR267" s="1716"/>
      <c r="CS267" s="1716"/>
      <c r="CT267" s="1304">
        <f>+AY267</f>
        <v>5.5E-2</v>
      </c>
      <c r="CU267" s="1314">
        <f>+BD267</f>
        <v>5.996872985781998E-2</v>
      </c>
      <c r="CV267" s="1718">
        <f>+BI267</f>
        <v>9.5272372382692483E-2</v>
      </c>
      <c r="CW267" s="1718">
        <f>+BN267</f>
        <v>0</v>
      </c>
      <c r="CX267" s="1718">
        <f>+BS267</f>
        <v>0</v>
      </c>
      <c r="CY267" s="1718">
        <f t="shared" ref="CY267:DB268" si="348">+BX267</f>
        <v>0</v>
      </c>
      <c r="CZ267" s="1718">
        <f t="shared" si="348"/>
        <v>0</v>
      </c>
      <c r="DA267" s="1718">
        <f t="shared" si="348"/>
        <v>0</v>
      </c>
      <c r="DB267" s="1718">
        <f t="shared" si="348"/>
        <v>0</v>
      </c>
    </row>
    <row r="268" spans="1:106" s="1713" customFormat="1" hidden="1" outlineLevel="1">
      <c r="A268" s="1714" t="s">
        <v>348</v>
      </c>
      <c r="B268" s="1710"/>
      <c r="C268" s="1710"/>
      <c r="D268" s="1710"/>
      <c r="E268" s="1710"/>
      <c r="F268" s="1710"/>
      <c r="G268" s="1715" t="s">
        <v>249</v>
      </c>
      <c r="H268" s="1715" t="s">
        <v>249</v>
      </c>
      <c r="I268" s="1715" t="s">
        <v>249</v>
      </c>
      <c r="J268" s="1715" t="s">
        <v>249</v>
      </c>
      <c r="K268" s="1716" t="s">
        <v>249</v>
      </c>
      <c r="L268" s="1715" t="s">
        <v>249</v>
      </c>
      <c r="M268" s="1715" t="s">
        <v>249</v>
      </c>
      <c r="N268" s="1715" t="s">
        <v>249</v>
      </c>
      <c r="O268" s="1715" t="s">
        <v>249</v>
      </c>
      <c r="P268" s="1716" t="s">
        <v>249</v>
      </c>
      <c r="Q268" s="1715" t="s">
        <v>249</v>
      </c>
      <c r="R268" s="1715" t="s">
        <v>249</v>
      </c>
      <c r="S268" s="1715" t="s">
        <v>249</v>
      </c>
      <c r="T268" s="1715" t="s">
        <v>249</v>
      </c>
      <c r="U268" s="1716" t="s">
        <v>249</v>
      </c>
      <c r="V268" s="1715" t="s">
        <v>249</v>
      </c>
      <c r="W268" s="1715" t="s">
        <v>249</v>
      </c>
      <c r="X268" s="1715" t="s">
        <v>249</v>
      </c>
      <c r="Y268" s="1715" t="s">
        <v>249</v>
      </c>
      <c r="Z268" s="1716" t="s">
        <v>249</v>
      </c>
      <c r="AA268" s="1715" t="s">
        <v>249</v>
      </c>
      <c r="AB268" s="1715" t="s">
        <v>249</v>
      </c>
      <c r="AC268" s="1715" t="s">
        <v>249</v>
      </c>
      <c r="AD268" s="1715" t="s">
        <v>249</v>
      </c>
      <c r="AE268" s="1716" t="s">
        <v>249</v>
      </c>
      <c r="AF268" s="1715" t="s">
        <v>249</v>
      </c>
      <c r="AG268" s="1715" t="s">
        <v>249</v>
      </c>
      <c r="AH268" s="1715" t="s">
        <v>249</v>
      </c>
      <c r="AI268" s="1715" t="s">
        <v>249</v>
      </c>
      <c r="AJ268" s="1716" t="s">
        <v>249</v>
      </c>
      <c r="AK268" s="1715" t="s">
        <v>249</v>
      </c>
      <c r="AL268" s="1715" t="s">
        <v>249</v>
      </c>
      <c r="AM268" s="1715" t="s">
        <v>249</v>
      </c>
      <c r="AN268" s="1715" t="s">
        <v>249</v>
      </c>
      <c r="AO268" s="1716" t="s">
        <v>249</v>
      </c>
      <c r="AP268" s="1715" t="s">
        <v>249</v>
      </c>
      <c r="AQ268" s="1715" t="s">
        <v>249</v>
      </c>
      <c r="AR268" s="1715" t="s">
        <v>249</v>
      </c>
      <c r="AS268" s="1715" t="s">
        <v>249</v>
      </c>
      <c r="AT268" s="1716" t="s">
        <v>249</v>
      </c>
      <c r="AU268" s="1313">
        <v>0.02</v>
      </c>
      <c r="AV268" s="1313">
        <v>0.01</v>
      </c>
      <c r="AW268" s="1313">
        <v>-0.03</v>
      </c>
      <c r="AX268" s="1313">
        <f>+AX278/AS278-1</f>
        <v>-0.13960000000000006</v>
      </c>
      <c r="AY268" s="1304">
        <v>-3.49E-2</v>
      </c>
      <c r="AZ268" s="1313">
        <v>-0.12</v>
      </c>
      <c r="BA268" s="1717">
        <v>-0.04</v>
      </c>
      <c r="BB268" s="1717">
        <v>-0.04</v>
      </c>
      <c r="BC268" s="1717">
        <v>0.04</v>
      </c>
      <c r="BD268" s="1314">
        <f>+BD278/AY278-1</f>
        <v>0.58763038384092425</v>
      </c>
      <c r="BE268" s="1717">
        <v>-0.09</v>
      </c>
      <c r="BF268" s="1717">
        <v>-0.12</v>
      </c>
      <c r="BG268" s="1717">
        <v>-0.08</v>
      </c>
      <c r="BH268" s="1721" t="s">
        <v>249</v>
      </c>
      <c r="BI268" s="1314"/>
      <c r="BJ268" s="1301"/>
      <c r="BK268" s="1301"/>
      <c r="BL268" s="1717"/>
      <c r="BM268" s="1301"/>
      <c r="BN268" s="1314"/>
      <c r="BO268" s="1301"/>
      <c r="BP268" s="1301"/>
      <c r="BQ268" s="1301"/>
      <c r="BR268" s="1301"/>
      <c r="BS268" s="1314"/>
      <c r="BT268" s="1301"/>
      <c r="BU268" s="1301"/>
      <c r="BV268" s="1301"/>
      <c r="BW268" s="1301"/>
      <c r="BX268" s="1314"/>
      <c r="BY268" s="1303"/>
      <c r="BZ268" s="1303"/>
      <c r="CA268" s="1303"/>
      <c r="CF268" s="1502" t="str">
        <f>+A268</f>
        <v>Research &amp; Advisory</v>
      </c>
      <c r="CG268" s="1710"/>
      <c r="CH268" s="1710"/>
      <c r="CI268" s="1710"/>
      <c r="CJ268" s="1710"/>
      <c r="CK268" s="1710"/>
      <c r="CL268" s="1716"/>
      <c r="CM268" s="1716"/>
      <c r="CN268" s="1716"/>
      <c r="CO268" s="1716"/>
      <c r="CP268" s="1716"/>
      <c r="CQ268" s="1716"/>
      <c r="CR268" s="1716"/>
      <c r="CS268" s="1716"/>
      <c r="CT268" s="1304">
        <f>+AY268</f>
        <v>-3.49E-2</v>
      </c>
      <c r="CU268" s="1314">
        <f>+BD268</f>
        <v>0.58763038384092425</v>
      </c>
      <c r="CV268" s="1718">
        <f>+BI268</f>
        <v>0</v>
      </c>
      <c r="CW268" s="1718">
        <f>+BN268</f>
        <v>0</v>
      </c>
      <c r="CX268" s="1718">
        <f>+BS268</f>
        <v>0</v>
      </c>
      <c r="CY268" s="1718">
        <f t="shared" si="348"/>
        <v>0</v>
      </c>
      <c r="CZ268" s="1718">
        <f t="shared" si="348"/>
        <v>0</v>
      </c>
      <c r="DA268" s="1718">
        <f t="shared" si="348"/>
        <v>0</v>
      </c>
      <c r="DB268" s="1718">
        <f t="shared" si="348"/>
        <v>0</v>
      </c>
    </row>
    <row r="269" spans="1:106" s="1713" customFormat="1" hidden="1" outlineLevel="1">
      <c r="A269" s="1714"/>
      <c r="B269" s="1710"/>
      <c r="C269" s="1710"/>
      <c r="D269" s="1710"/>
      <c r="E269" s="1710"/>
      <c r="F269" s="1710"/>
      <c r="G269" s="1313"/>
      <c r="H269" s="1313"/>
      <c r="I269" s="1313"/>
      <c r="J269" s="1313"/>
      <c r="K269" s="1616"/>
      <c r="L269" s="1313"/>
      <c r="M269" s="1313"/>
      <c r="N269" s="1313"/>
      <c r="O269" s="1313"/>
      <c r="P269" s="1616"/>
      <c r="Q269" s="1313"/>
      <c r="R269" s="1313"/>
      <c r="S269" s="1313"/>
      <c r="T269" s="1313"/>
      <c r="U269" s="1616"/>
      <c r="V269" s="1313"/>
      <c r="W269" s="1313"/>
      <c r="X269" s="1313"/>
      <c r="Y269" s="1313"/>
      <c r="Z269" s="1616"/>
      <c r="AA269" s="1313"/>
      <c r="AB269" s="1313"/>
      <c r="AC269" s="1313"/>
      <c r="AD269" s="1313"/>
      <c r="AE269" s="1616"/>
      <c r="AF269" s="1313"/>
      <c r="AG269" s="1313"/>
      <c r="AH269" s="1313"/>
      <c r="AI269" s="1313"/>
      <c r="AJ269" s="1616"/>
      <c r="AK269" s="1313"/>
      <c r="AL269" s="1313"/>
      <c r="AM269" s="1313"/>
      <c r="AN269" s="1313"/>
      <c r="AO269" s="1616"/>
      <c r="AP269" s="1313"/>
      <c r="AQ269" s="1313"/>
      <c r="AR269" s="1313"/>
      <c r="AS269" s="1313"/>
      <c r="AT269" s="1314"/>
      <c r="AU269" s="1313"/>
      <c r="AV269" s="1313"/>
      <c r="AW269" s="1313"/>
      <c r="AX269" s="1313"/>
      <c r="AY269" s="1314"/>
      <c r="AZ269" s="1711"/>
      <c r="BA269" s="1711"/>
      <c r="BB269" s="1711"/>
      <c r="BC269" s="1313"/>
      <c r="BD269" s="1314"/>
      <c r="BE269" s="1711"/>
      <c r="BF269" s="1711"/>
      <c r="BG269" s="1711"/>
      <c r="BH269" s="1313"/>
      <c r="BI269" s="1314"/>
      <c r="BJ269" s="1711"/>
      <c r="BK269" s="1711"/>
      <c r="BL269" s="1711"/>
      <c r="BM269" s="1313"/>
      <c r="BN269" s="1314"/>
      <c r="BO269" s="1711"/>
      <c r="BP269" s="1711"/>
      <c r="BQ269" s="1711"/>
      <c r="BR269" s="1313"/>
      <c r="BS269" s="1314"/>
      <c r="BT269" s="1711"/>
      <c r="BU269" s="1711"/>
      <c r="BV269" s="1711"/>
      <c r="BW269" s="1313"/>
      <c r="BX269" s="1314"/>
      <c r="BY269" s="1314"/>
      <c r="BZ269" s="1314"/>
      <c r="CA269" s="1314"/>
      <c r="CF269" s="1502"/>
      <c r="CG269" s="1710"/>
      <c r="CH269" s="1710"/>
      <c r="CI269" s="1710"/>
      <c r="CJ269" s="1710"/>
      <c r="CK269" s="1710"/>
      <c r="CL269" s="1616"/>
      <c r="CM269" s="1616"/>
      <c r="CN269" s="1616"/>
      <c r="CO269" s="1616"/>
      <c r="CP269" s="1616"/>
      <c r="CQ269" s="1616"/>
      <c r="CR269" s="1616"/>
      <c r="CS269" s="1314"/>
      <c r="CT269" s="1314"/>
      <c r="CU269" s="1314"/>
      <c r="CV269" s="1314"/>
      <c r="CW269" s="1313"/>
      <c r="CX269" s="1314"/>
      <c r="CY269" s="1313"/>
      <c r="CZ269" s="1314"/>
      <c r="DA269" s="1314"/>
      <c r="DB269" s="1314"/>
    </row>
    <row r="270" spans="1:106" s="1713" customFormat="1" hidden="1" outlineLevel="1">
      <c r="A270" s="1297" t="s">
        <v>349</v>
      </c>
      <c r="B270" s="1710"/>
      <c r="C270" s="1710"/>
      <c r="D270" s="1710"/>
      <c r="E270" s="1710"/>
      <c r="F270" s="1710"/>
      <c r="G270" s="1313"/>
      <c r="H270" s="1313"/>
      <c r="I270" s="1313"/>
      <c r="J270" s="1313"/>
      <c r="K270" s="1616"/>
      <c r="L270" s="1313"/>
      <c r="M270" s="1313"/>
      <c r="N270" s="1313"/>
      <c r="O270" s="1313"/>
      <c r="P270" s="1616"/>
      <c r="Q270" s="1313"/>
      <c r="R270" s="1313"/>
      <c r="S270" s="1313"/>
      <c r="T270" s="1313"/>
      <c r="U270" s="1616"/>
      <c r="V270" s="1313"/>
      <c r="W270" s="1313"/>
      <c r="X270" s="1313"/>
      <c r="Y270" s="1313"/>
      <c r="Z270" s="1616"/>
      <c r="AA270" s="1313"/>
      <c r="AB270" s="1313"/>
      <c r="AC270" s="1313"/>
      <c r="AD270" s="1313"/>
      <c r="AE270" s="1616"/>
      <c r="AF270" s="1313"/>
      <c r="AG270" s="1313"/>
      <c r="AH270" s="1313"/>
      <c r="AI270" s="1313"/>
      <c r="AJ270" s="1616"/>
      <c r="AK270" s="1313"/>
      <c r="AL270" s="1313"/>
      <c r="AM270" s="1313"/>
      <c r="AN270" s="1313"/>
      <c r="AO270" s="1616"/>
      <c r="AP270" s="1298" t="s">
        <v>350</v>
      </c>
      <c r="AQ270" s="1298"/>
      <c r="AR270" s="1298"/>
      <c r="AS270" s="1298"/>
      <c r="AT270" s="1314"/>
      <c r="AU270" s="1313"/>
      <c r="AV270" s="1313"/>
      <c r="AW270" s="1313"/>
      <c r="AX270" s="1313"/>
      <c r="AY270" s="1314"/>
      <c r="AZ270" s="1711"/>
      <c r="BA270" s="1711"/>
      <c r="BB270" s="1711"/>
      <c r="BC270" s="1313"/>
      <c r="BD270" s="1314"/>
      <c r="BE270" s="1711"/>
      <c r="BF270" s="1711"/>
      <c r="BG270" s="1711"/>
      <c r="BH270" s="1313"/>
      <c r="BI270" s="1314"/>
      <c r="BJ270" s="1711"/>
      <c r="BK270" s="1711"/>
      <c r="BL270" s="1711"/>
      <c r="BM270" s="1313"/>
      <c r="BN270" s="1314"/>
      <c r="BO270" s="1711"/>
      <c r="BP270" s="1711"/>
      <c r="BQ270" s="1711"/>
      <c r="BR270" s="1313"/>
      <c r="BS270" s="1314"/>
      <c r="BT270" s="1711"/>
      <c r="BU270" s="1711"/>
      <c r="BV270" s="1711"/>
      <c r="BW270" s="1313"/>
      <c r="BX270" s="1314"/>
      <c r="BY270" s="1314"/>
      <c r="BZ270" s="1314"/>
      <c r="CA270" s="1314"/>
      <c r="CF270" s="1302" t="str">
        <f>+A270</f>
        <v>Product Mix</v>
      </c>
      <c r="CG270" s="1710"/>
      <c r="CH270" s="1710"/>
      <c r="CI270" s="1710"/>
      <c r="CJ270" s="1710"/>
      <c r="CK270" s="1710"/>
      <c r="CL270" s="1616"/>
      <c r="CM270" s="1616"/>
      <c r="CN270" s="1616"/>
      <c r="CO270" s="1616"/>
      <c r="CP270" s="1616"/>
      <c r="CQ270" s="1616"/>
      <c r="CR270" s="1616"/>
      <c r="CS270" s="1314"/>
      <c r="CT270" s="1314"/>
      <c r="CU270" s="1314"/>
      <c r="CV270" s="1314"/>
      <c r="CW270" s="1313"/>
      <c r="CX270" s="1314"/>
      <c r="CY270" s="1313"/>
      <c r="CZ270" s="1314"/>
      <c r="DA270" s="1314"/>
      <c r="DB270" s="1314"/>
    </row>
    <row r="271" spans="1:106" s="1713" customFormat="1" hidden="1" outlineLevel="1">
      <c r="A271" s="1714" t="s">
        <v>346</v>
      </c>
      <c r="B271" s="1710"/>
      <c r="C271" s="1710"/>
      <c r="D271" s="1710"/>
      <c r="E271" s="1710"/>
      <c r="F271" s="1710"/>
      <c r="G271" s="1715" t="s">
        <v>249</v>
      </c>
      <c r="H271" s="1715" t="s">
        <v>249</v>
      </c>
      <c r="I271" s="1715" t="s">
        <v>249</v>
      </c>
      <c r="J271" s="1715" t="s">
        <v>249</v>
      </c>
      <c r="K271" s="1716" t="s">
        <v>249</v>
      </c>
      <c r="L271" s="1715" t="s">
        <v>249</v>
      </c>
      <c r="M271" s="1715" t="s">
        <v>249</v>
      </c>
      <c r="N271" s="1715" t="s">
        <v>249</v>
      </c>
      <c r="O271" s="1715" t="s">
        <v>249</v>
      </c>
      <c r="P271" s="1716" t="s">
        <v>249</v>
      </c>
      <c r="Q271" s="1715" t="s">
        <v>249</v>
      </c>
      <c r="R271" s="1715" t="s">
        <v>249</v>
      </c>
      <c r="S271" s="1715" t="s">
        <v>249</v>
      </c>
      <c r="T271" s="1715" t="s">
        <v>249</v>
      </c>
      <c r="U271" s="1716" t="s">
        <v>249</v>
      </c>
      <c r="V271" s="1715" t="s">
        <v>249</v>
      </c>
      <c r="W271" s="1715" t="s">
        <v>249</v>
      </c>
      <c r="X271" s="1715" t="s">
        <v>249</v>
      </c>
      <c r="Y271" s="1715" t="s">
        <v>249</v>
      </c>
      <c r="Z271" s="1716" t="s">
        <v>249</v>
      </c>
      <c r="AA271" s="1715" t="s">
        <v>249</v>
      </c>
      <c r="AB271" s="1715" t="s">
        <v>249</v>
      </c>
      <c r="AC271" s="1715" t="s">
        <v>249</v>
      </c>
      <c r="AD271" s="1715" t="s">
        <v>249</v>
      </c>
      <c r="AE271" s="1716" t="s">
        <v>249</v>
      </c>
      <c r="AF271" s="1715" t="s">
        <v>249</v>
      </c>
      <c r="AG271" s="1715" t="s">
        <v>249</v>
      </c>
      <c r="AH271" s="1715" t="s">
        <v>249</v>
      </c>
      <c r="AI271" s="1715" t="s">
        <v>249</v>
      </c>
      <c r="AJ271" s="1716" t="s">
        <v>249</v>
      </c>
      <c r="AK271" s="1715" t="s">
        <v>249</v>
      </c>
      <c r="AL271" s="1715" t="s">
        <v>249</v>
      </c>
      <c r="AM271" s="1715" t="s">
        <v>249</v>
      </c>
      <c r="AN271" s="1715" t="s">
        <v>249</v>
      </c>
      <c r="AO271" s="1716" t="s">
        <v>249</v>
      </c>
      <c r="AP271" s="1313">
        <f t="shared" ref="AP271:AS273" si="349">+AP276/SUM(AP$276:AP$278)</f>
        <v>0.61126539166884986</v>
      </c>
      <c r="AQ271" s="1313">
        <f t="shared" si="349"/>
        <v>0.61293674238565754</v>
      </c>
      <c r="AR271" s="1313">
        <f t="shared" si="349"/>
        <v>0.61724808057013725</v>
      </c>
      <c r="AS271" s="1313">
        <f t="shared" si="349"/>
        <v>0.61431583269323486</v>
      </c>
      <c r="AT271" s="1722">
        <v>0.61399999999999999</v>
      </c>
      <c r="AU271" s="1723">
        <f t="shared" ref="AU271:BG271" si="350">+AU276/SUM(AU$276:AU$278)</f>
        <v>0.60118681058183598</v>
      </c>
      <c r="AV271" s="1723">
        <f t="shared" si="350"/>
        <v>0.59980147500205849</v>
      </c>
      <c r="AW271" s="1723">
        <f t="shared" si="350"/>
        <v>0.60783192248911644</v>
      </c>
      <c r="AX271" s="1723">
        <f t="shared" si="350"/>
        <v>0.67019558338179164</v>
      </c>
      <c r="AY271" s="1722">
        <f t="shared" si="350"/>
        <v>0.62237756143896539</v>
      </c>
      <c r="AZ271" s="1723">
        <f t="shared" si="350"/>
        <v>0.53271695312499989</v>
      </c>
      <c r="BA271" s="1723">
        <f t="shared" si="350"/>
        <v>0.54275515432098764</v>
      </c>
      <c r="BB271" s="1723">
        <f t="shared" si="350"/>
        <v>0.64938129751393248</v>
      </c>
      <c r="BC271" s="1723">
        <f t="shared" si="350"/>
        <v>0.69571708943666677</v>
      </c>
      <c r="BD271" s="1722">
        <f t="shared" si="350"/>
        <v>0.61157811967032738</v>
      </c>
      <c r="BE271" s="1723">
        <f t="shared" si="350"/>
        <v>0.62681844605927506</v>
      </c>
      <c r="BF271" s="1723">
        <f t="shared" si="350"/>
        <v>0.63490242382879802</v>
      </c>
      <c r="BG271" s="1723">
        <f t="shared" si="350"/>
        <v>0.68965386262577144</v>
      </c>
      <c r="BH271" s="1723">
        <f>+BH276/SUM(BH$276:BH$278)</f>
        <v>0.7336051639705532</v>
      </c>
      <c r="BI271" s="1722">
        <f>+BI276/SUM(BI$276:BI$278)</f>
        <v>0.67166810935412791</v>
      </c>
      <c r="BJ271" s="1723"/>
      <c r="BK271" s="1723"/>
      <c r="BL271" s="1723"/>
      <c r="BM271" s="1723"/>
      <c r="BN271" s="1722"/>
      <c r="BO271" s="1723"/>
      <c r="BP271" s="1723"/>
      <c r="BQ271" s="1723"/>
      <c r="BR271" s="1723"/>
      <c r="BS271" s="1722"/>
      <c r="BT271" s="1723"/>
      <c r="BU271" s="1723"/>
      <c r="BV271" s="1723"/>
      <c r="BW271" s="1723"/>
      <c r="BX271" s="1722"/>
      <c r="BY271" s="1722"/>
      <c r="BZ271" s="1722"/>
      <c r="CA271" s="1722"/>
      <c r="CF271" s="1502" t="str">
        <f>+A271</f>
        <v>Financial Data and Analytics</v>
      </c>
      <c r="CG271" s="1710"/>
      <c r="CH271" s="1710"/>
      <c r="CI271" s="1710"/>
      <c r="CJ271" s="1710"/>
      <c r="CK271" s="1710"/>
      <c r="CL271" s="1716"/>
      <c r="CM271" s="1716"/>
      <c r="CN271" s="1716"/>
      <c r="CO271" s="1716"/>
      <c r="CP271" s="1716"/>
      <c r="CQ271" s="1716"/>
      <c r="CR271" s="1716"/>
      <c r="CS271" s="1722">
        <f>+AT271</f>
        <v>0.61399999999999999</v>
      </c>
      <c r="CT271" s="1722">
        <f>+AY271</f>
        <v>0.62237756143896539</v>
      </c>
      <c r="CU271" s="1722">
        <f>+BD271</f>
        <v>0.61157811967032738</v>
      </c>
      <c r="CV271" s="1718">
        <f>+BI271</f>
        <v>0.67166810935412791</v>
      </c>
      <c r="CW271" s="1718">
        <f>+BN271</f>
        <v>0</v>
      </c>
      <c r="CX271" s="1718">
        <f>+BS271</f>
        <v>0</v>
      </c>
      <c r="CY271" s="1718">
        <f t="shared" ref="CY271:DB273" si="351">+BX271</f>
        <v>0</v>
      </c>
      <c r="CZ271" s="1718">
        <f t="shared" si="351"/>
        <v>0</v>
      </c>
      <c r="DA271" s="1718">
        <f t="shared" si="351"/>
        <v>0</v>
      </c>
      <c r="DB271" s="1718">
        <f t="shared" si="351"/>
        <v>0</v>
      </c>
    </row>
    <row r="272" spans="1:106" s="1713" customFormat="1" hidden="1" outlineLevel="1">
      <c r="A272" s="1714" t="s">
        <v>347</v>
      </c>
      <c r="B272" s="1710"/>
      <c r="C272" s="1710"/>
      <c r="D272" s="1710"/>
      <c r="E272" s="1710"/>
      <c r="F272" s="1710"/>
      <c r="G272" s="1715" t="s">
        <v>249</v>
      </c>
      <c r="H272" s="1715" t="s">
        <v>249</v>
      </c>
      <c r="I272" s="1715" t="s">
        <v>249</v>
      </c>
      <c r="J272" s="1715" t="s">
        <v>249</v>
      </c>
      <c r="K272" s="1716" t="s">
        <v>249</v>
      </c>
      <c r="L272" s="1715" t="s">
        <v>249</v>
      </c>
      <c r="M272" s="1715" t="s">
        <v>249</v>
      </c>
      <c r="N272" s="1715" t="s">
        <v>249</v>
      </c>
      <c r="O272" s="1715" t="s">
        <v>249</v>
      </c>
      <c r="P272" s="1716" t="s">
        <v>249</v>
      </c>
      <c r="Q272" s="1715" t="s">
        <v>249</v>
      </c>
      <c r="R272" s="1715" t="s">
        <v>249</v>
      </c>
      <c r="S272" s="1715" t="s">
        <v>249</v>
      </c>
      <c r="T272" s="1715" t="s">
        <v>249</v>
      </c>
      <c r="U272" s="1716" t="s">
        <v>249</v>
      </c>
      <c r="V272" s="1715" t="s">
        <v>249</v>
      </c>
      <c r="W272" s="1715" t="s">
        <v>249</v>
      </c>
      <c r="X272" s="1715" t="s">
        <v>249</v>
      </c>
      <c r="Y272" s="1715" t="s">
        <v>249</v>
      </c>
      <c r="Z272" s="1716" t="s">
        <v>249</v>
      </c>
      <c r="AA272" s="1715" t="s">
        <v>249</v>
      </c>
      <c r="AB272" s="1715" t="s">
        <v>249</v>
      </c>
      <c r="AC272" s="1715" t="s">
        <v>249</v>
      </c>
      <c r="AD272" s="1715" t="s">
        <v>249</v>
      </c>
      <c r="AE272" s="1716" t="s">
        <v>249</v>
      </c>
      <c r="AF272" s="1715" t="s">
        <v>249</v>
      </c>
      <c r="AG272" s="1715" t="s">
        <v>249</v>
      </c>
      <c r="AH272" s="1715" t="s">
        <v>249</v>
      </c>
      <c r="AI272" s="1715" t="s">
        <v>249</v>
      </c>
      <c r="AJ272" s="1716" t="s">
        <v>249</v>
      </c>
      <c r="AK272" s="1715" t="s">
        <v>249</v>
      </c>
      <c r="AL272" s="1715" t="s">
        <v>249</v>
      </c>
      <c r="AM272" s="1715" t="s">
        <v>249</v>
      </c>
      <c r="AN272" s="1715" t="s">
        <v>249</v>
      </c>
      <c r="AO272" s="1716" t="s">
        <v>249</v>
      </c>
      <c r="AP272" s="1313">
        <f t="shared" si="349"/>
        <v>0.29965941839140686</v>
      </c>
      <c r="AQ272" s="1313">
        <f t="shared" si="349"/>
        <v>0.3004787613323826</v>
      </c>
      <c r="AR272" s="1313">
        <f t="shared" si="349"/>
        <v>0.29971046865468559</v>
      </c>
      <c r="AS272" s="1313">
        <f t="shared" si="349"/>
        <v>0.30398990912522933</v>
      </c>
      <c r="AT272" s="1722">
        <v>0.30099999999999999</v>
      </c>
      <c r="AU272" s="1723">
        <f t="shared" ref="AU272:BG272" si="352">+AU277/SUM(AU$276:AU$278)</f>
        <v>0.30945454639151349</v>
      </c>
      <c r="AV272" s="1723">
        <f t="shared" si="352"/>
        <v>0.31462224927347393</v>
      </c>
      <c r="AW272" s="1723">
        <f t="shared" si="352"/>
        <v>0.31284666870940386</v>
      </c>
      <c r="AX272" s="1723">
        <f t="shared" si="352"/>
        <v>0.26984816761827551</v>
      </c>
      <c r="AY272" s="1722">
        <f t="shared" si="352"/>
        <v>0.30009845998383178</v>
      </c>
      <c r="AZ272" s="1723">
        <f t="shared" si="352"/>
        <v>0.29066303683593747</v>
      </c>
      <c r="BA272" s="1723">
        <f t="shared" si="352"/>
        <v>0.30178088225617289</v>
      </c>
      <c r="BB272" s="1723">
        <f t="shared" si="352"/>
        <v>0.28564069125011243</v>
      </c>
      <c r="BC272" s="1723">
        <f t="shared" si="352"/>
        <v>0.24939810078555541</v>
      </c>
      <c r="BD272" s="1722">
        <f t="shared" si="352"/>
        <v>0.28005942672006406</v>
      </c>
      <c r="BE272" s="1723">
        <f t="shared" si="352"/>
        <v>0.24681362538206386</v>
      </c>
      <c r="BF272" s="1723">
        <f t="shared" si="352"/>
        <v>0.25854496739447119</v>
      </c>
      <c r="BG272" s="1723">
        <f t="shared" si="352"/>
        <v>0.26073868226933339</v>
      </c>
      <c r="BH272" s="1723">
        <f>+BH277/SUM(BH$276:BH$278)</f>
        <v>0.2663948360294468</v>
      </c>
      <c r="BI272" s="1722">
        <f>+BI277/SUM(BI$276:BI$278)</f>
        <v>0.25820971489728761</v>
      </c>
      <c r="BJ272" s="1723"/>
      <c r="BK272" s="1723"/>
      <c r="BL272" s="1723"/>
      <c r="BM272" s="1723"/>
      <c r="BN272" s="1722"/>
      <c r="BO272" s="1723"/>
      <c r="BP272" s="1723"/>
      <c r="BQ272" s="1723"/>
      <c r="BR272" s="1723"/>
      <c r="BS272" s="1722"/>
      <c r="BT272" s="1723"/>
      <c r="BU272" s="1723"/>
      <c r="BV272" s="1723"/>
      <c r="BW272" s="1723"/>
      <c r="BX272" s="1722"/>
      <c r="BY272" s="1722"/>
      <c r="BZ272" s="1722"/>
      <c r="CA272" s="1722"/>
      <c r="CF272" s="1502" t="str">
        <f>+A272</f>
        <v>Global Risk Services</v>
      </c>
      <c r="CG272" s="1710"/>
      <c r="CH272" s="1710"/>
      <c r="CI272" s="1710"/>
      <c r="CJ272" s="1710"/>
      <c r="CK272" s="1710"/>
      <c r="CL272" s="1716"/>
      <c r="CM272" s="1716"/>
      <c r="CN272" s="1716"/>
      <c r="CO272" s="1716"/>
      <c r="CP272" s="1716"/>
      <c r="CQ272" s="1716"/>
      <c r="CR272" s="1716"/>
      <c r="CS272" s="1722">
        <f>+AT272</f>
        <v>0.30099999999999999</v>
      </c>
      <c r="CT272" s="1722">
        <f>+AY272</f>
        <v>0.30009845998383178</v>
      </c>
      <c r="CU272" s="1722">
        <f>+BD272</f>
        <v>0.28005942672006406</v>
      </c>
      <c r="CV272" s="1718">
        <f>+BI272</f>
        <v>0.25820971489728761</v>
      </c>
      <c r="CW272" s="1718">
        <f>+BN272</f>
        <v>0</v>
      </c>
      <c r="CX272" s="1718">
        <f>+BS272</f>
        <v>0</v>
      </c>
      <c r="CY272" s="1718">
        <f t="shared" si="351"/>
        <v>0</v>
      </c>
      <c r="CZ272" s="1718">
        <f t="shared" si="351"/>
        <v>0</v>
      </c>
      <c r="DA272" s="1718">
        <f t="shared" si="351"/>
        <v>0</v>
      </c>
      <c r="DB272" s="1718">
        <f t="shared" si="351"/>
        <v>0</v>
      </c>
    </row>
    <row r="273" spans="1:106" s="1713" customFormat="1" hidden="1" outlineLevel="1">
      <c r="A273" s="1714" t="s">
        <v>348</v>
      </c>
      <c r="B273" s="1710"/>
      <c r="C273" s="1710"/>
      <c r="D273" s="1710"/>
      <c r="E273" s="1710"/>
      <c r="F273" s="1710"/>
      <c r="G273" s="1715" t="s">
        <v>249</v>
      </c>
      <c r="H273" s="1715" t="s">
        <v>249</v>
      </c>
      <c r="I273" s="1715" t="s">
        <v>249</v>
      </c>
      <c r="J273" s="1715" t="s">
        <v>249</v>
      </c>
      <c r="K273" s="1716" t="s">
        <v>249</v>
      </c>
      <c r="L273" s="1715" t="s">
        <v>249</v>
      </c>
      <c r="M273" s="1715" t="s">
        <v>249</v>
      </c>
      <c r="N273" s="1715" t="s">
        <v>249</v>
      </c>
      <c r="O273" s="1715" t="s">
        <v>249</v>
      </c>
      <c r="P273" s="1716" t="s">
        <v>249</v>
      </c>
      <c r="Q273" s="1715" t="s">
        <v>249</v>
      </c>
      <c r="R273" s="1715" t="s">
        <v>249</v>
      </c>
      <c r="S273" s="1715" t="s">
        <v>249</v>
      </c>
      <c r="T273" s="1715" t="s">
        <v>249</v>
      </c>
      <c r="U273" s="1716" t="s">
        <v>249</v>
      </c>
      <c r="V273" s="1715" t="s">
        <v>249</v>
      </c>
      <c r="W273" s="1715" t="s">
        <v>249</v>
      </c>
      <c r="X273" s="1715" t="s">
        <v>249</v>
      </c>
      <c r="Y273" s="1715" t="s">
        <v>249</v>
      </c>
      <c r="Z273" s="1716" t="s">
        <v>249</v>
      </c>
      <c r="AA273" s="1715" t="s">
        <v>249</v>
      </c>
      <c r="AB273" s="1715" t="s">
        <v>249</v>
      </c>
      <c r="AC273" s="1715" t="s">
        <v>249</v>
      </c>
      <c r="AD273" s="1715" t="s">
        <v>249</v>
      </c>
      <c r="AE273" s="1716" t="s">
        <v>249</v>
      </c>
      <c r="AF273" s="1715" t="s">
        <v>249</v>
      </c>
      <c r="AG273" s="1715" t="s">
        <v>249</v>
      </c>
      <c r="AH273" s="1715" t="s">
        <v>249</v>
      </c>
      <c r="AI273" s="1715" t="s">
        <v>249</v>
      </c>
      <c r="AJ273" s="1716" t="s">
        <v>249</v>
      </c>
      <c r="AK273" s="1715" t="s">
        <v>249</v>
      </c>
      <c r="AL273" s="1715" t="s">
        <v>249</v>
      </c>
      <c r="AM273" s="1715" t="s">
        <v>249</v>
      </c>
      <c r="AN273" s="1715" t="s">
        <v>249</v>
      </c>
      <c r="AO273" s="1716" t="s">
        <v>249</v>
      </c>
      <c r="AP273" s="1313">
        <f t="shared" si="349"/>
        <v>8.9075189939743227E-2</v>
      </c>
      <c r="AQ273" s="1313">
        <f t="shared" si="349"/>
        <v>8.6584496281959827E-2</v>
      </c>
      <c r="AR273" s="1313">
        <f t="shared" si="349"/>
        <v>8.3041450775177258E-2</v>
      </c>
      <c r="AS273" s="1313">
        <f t="shared" si="349"/>
        <v>8.169425818153575E-2</v>
      </c>
      <c r="AT273" s="1314">
        <f>1-SUM(AT271:AT272)</f>
        <v>8.4999999999999964E-2</v>
      </c>
      <c r="AU273" s="1723">
        <f t="shared" ref="AU273:BG273" si="353">+AU278/SUM(AU$276:AU$278)</f>
        <v>8.9358643026650378E-2</v>
      </c>
      <c r="AV273" s="1723">
        <f t="shared" si="353"/>
        <v>8.5576275724467687E-2</v>
      </c>
      <c r="AW273" s="1723">
        <f t="shared" si="353"/>
        <v>7.9321408801479615E-2</v>
      </c>
      <c r="AX273" s="1723">
        <f t="shared" si="353"/>
        <v>5.9956248999932904E-2</v>
      </c>
      <c r="AY273" s="1722">
        <f t="shared" si="353"/>
        <v>7.7523978577202876E-2</v>
      </c>
      <c r="AZ273" s="1723">
        <f t="shared" si="353"/>
        <v>0.17662001003906269</v>
      </c>
      <c r="BA273" s="1723">
        <f t="shared" si="353"/>
        <v>0.1554639634228395</v>
      </c>
      <c r="BB273" s="1723">
        <f t="shared" si="353"/>
        <v>6.4978011235955022E-2</v>
      </c>
      <c r="BC273" s="1723">
        <f t="shared" si="353"/>
        <v>5.4884809777777752E-2</v>
      </c>
      <c r="BD273" s="1722">
        <f t="shared" si="353"/>
        <v>0.10836245360960857</v>
      </c>
      <c r="BE273" s="1723">
        <f t="shared" si="353"/>
        <v>0.12636792855866108</v>
      </c>
      <c r="BF273" s="1723">
        <f t="shared" si="353"/>
        <v>0.10655260877673077</v>
      </c>
      <c r="BG273" s="1723">
        <f t="shared" si="353"/>
        <v>4.9607455104895073E-2</v>
      </c>
      <c r="BH273" s="1723"/>
      <c r="BI273" s="1722">
        <f>+BI278/SUM(BI$276:BI$278)</f>
        <v>7.0122175748584495E-2</v>
      </c>
      <c r="BJ273" s="1723"/>
      <c r="BK273" s="1723"/>
      <c r="BL273" s="1723"/>
      <c r="BM273" s="1723"/>
      <c r="BN273" s="1722"/>
      <c r="BO273" s="1723"/>
      <c r="BP273" s="1723"/>
      <c r="BQ273" s="1723"/>
      <c r="BR273" s="1723"/>
      <c r="BS273" s="1722"/>
      <c r="BT273" s="1723"/>
      <c r="BU273" s="1723"/>
      <c r="BV273" s="1723"/>
      <c r="BW273" s="1723"/>
      <c r="BX273" s="1722"/>
      <c r="BY273" s="1722"/>
      <c r="BZ273" s="1722"/>
      <c r="CA273" s="1722"/>
      <c r="CF273" s="1502" t="str">
        <f>+A273</f>
        <v>Research &amp; Advisory</v>
      </c>
      <c r="CG273" s="1710"/>
      <c r="CH273" s="1710"/>
      <c r="CI273" s="1710"/>
      <c r="CJ273" s="1710"/>
      <c r="CK273" s="1710"/>
      <c r="CL273" s="1716"/>
      <c r="CM273" s="1716"/>
      <c r="CN273" s="1716"/>
      <c r="CO273" s="1716"/>
      <c r="CP273" s="1716"/>
      <c r="CQ273" s="1716"/>
      <c r="CR273" s="1716"/>
      <c r="CS273" s="1314">
        <f>+AT273</f>
        <v>8.4999999999999964E-2</v>
      </c>
      <c r="CT273" s="1722">
        <f>+AY273</f>
        <v>7.7523978577202876E-2</v>
      </c>
      <c r="CU273" s="1722">
        <f>+BD273</f>
        <v>0.10836245360960857</v>
      </c>
      <c r="CV273" s="1718">
        <f>+BI273</f>
        <v>7.0122175748584495E-2</v>
      </c>
      <c r="CW273" s="1718">
        <f>+BN273</f>
        <v>0</v>
      </c>
      <c r="CX273" s="1718">
        <f>+BS273</f>
        <v>0</v>
      </c>
      <c r="CY273" s="1718">
        <f t="shared" si="351"/>
        <v>0</v>
      </c>
      <c r="CZ273" s="1718">
        <f t="shared" si="351"/>
        <v>0</v>
      </c>
      <c r="DA273" s="1718">
        <f t="shared" si="351"/>
        <v>0</v>
      </c>
      <c r="DB273" s="1718">
        <f t="shared" si="351"/>
        <v>0</v>
      </c>
    </row>
    <row r="274" spans="1:106" s="1713" customFormat="1" hidden="1" outlineLevel="1">
      <c r="A274" s="1714"/>
      <c r="B274" s="1710"/>
      <c r="C274" s="1710"/>
      <c r="D274" s="1710"/>
      <c r="E274" s="1710"/>
      <c r="F274" s="1710"/>
      <c r="G274" s="1313"/>
      <c r="H274" s="1313"/>
      <c r="I274" s="1313"/>
      <c r="J274" s="1313"/>
      <c r="K274" s="1616"/>
      <c r="L274" s="1313"/>
      <c r="M274" s="1313"/>
      <c r="N274" s="1313"/>
      <c r="O274" s="1313"/>
      <c r="P274" s="1616"/>
      <c r="Q274" s="1313"/>
      <c r="R274" s="1313"/>
      <c r="S274" s="1313"/>
      <c r="T274" s="1313"/>
      <c r="U274" s="1616"/>
      <c r="V274" s="1313"/>
      <c r="W274" s="1313"/>
      <c r="X274" s="1313"/>
      <c r="Y274" s="1313"/>
      <c r="Z274" s="1616"/>
      <c r="AA274" s="1313"/>
      <c r="AB274" s="1313"/>
      <c r="AC274" s="1313"/>
      <c r="AD274" s="1313"/>
      <c r="AE274" s="1616"/>
      <c r="AF274" s="1313"/>
      <c r="AG274" s="1313"/>
      <c r="AH274" s="1313"/>
      <c r="AI274" s="1313"/>
      <c r="AJ274" s="1616"/>
      <c r="AK274" s="1313"/>
      <c r="AL274" s="1313"/>
      <c r="AM274" s="1313"/>
      <c r="AN274" s="1313"/>
      <c r="AO274" s="1616"/>
      <c r="AP274" s="1313"/>
      <c r="AQ274" s="1313"/>
      <c r="AR274" s="1313"/>
      <c r="AS274" s="1313"/>
      <c r="AT274" s="1314"/>
      <c r="AU274" s="1313"/>
      <c r="AV274" s="1313"/>
      <c r="AW274" s="1313"/>
      <c r="AX274" s="1313"/>
      <c r="AY274" s="1314"/>
      <c r="AZ274" s="1711"/>
      <c r="BA274" s="1711"/>
      <c r="BB274" s="1711"/>
      <c r="BC274" s="1313"/>
      <c r="BD274" s="1314"/>
      <c r="BE274" s="1711"/>
      <c r="BF274" s="1711"/>
      <c r="BG274" s="1711"/>
      <c r="BH274" s="1711"/>
      <c r="BI274" s="1314"/>
      <c r="BJ274" s="1711"/>
      <c r="BK274" s="1711"/>
      <c r="BL274" s="1711"/>
      <c r="BM274" s="1711"/>
      <c r="BN274" s="1314"/>
      <c r="BO274" s="1711"/>
      <c r="BP274" s="1711"/>
      <c r="BQ274" s="1711"/>
      <c r="BR274" s="1711"/>
      <c r="BS274" s="1314"/>
      <c r="BT274" s="1711"/>
      <c r="BU274" s="1711"/>
      <c r="BV274" s="1711"/>
      <c r="BW274" s="1711"/>
      <c r="BX274" s="1314"/>
      <c r="BY274" s="1724"/>
      <c r="BZ274" s="1724"/>
      <c r="CA274" s="1724"/>
      <c r="CF274" s="1502"/>
      <c r="CG274" s="1710"/>
      <c r="CH274" s="1710"/>
      <c r="CI274" s="1710"/>
      <c r="CJ274" s="1710"/>
      <c r="CK274" s="1710"/>
      <c r="CL274" s="1616"/>
      <c r="CM274" s="1616"/>
      <c r="CN274" s="1616"/>
      <c r="CO274" s="1616"/>
      <c r="CP274" s="1616"/>
      <c r="CQ274" s="1616"/>
      <c r="CR274" s="1616"/>
      <c r="CS274" s="1314"/>
      <c r="CT274" s="1314"/>
      <c r="CU274" s="1314"/>
      <c r="CV274" s="1722"/>
      <c r="CW274" s="1722"/>
      <c r="CX274" s="1722"/>
      <c r="CY274" s="1722"/>
      <c r="CZ274" s="1722"/>
      <c r="DA274" s="1725"/>
      <c r="DB274" s="1725"/>
    </row>
    <row r="275" spans="1:106" s="1713" customFormat="1" hidden="1" outlineLevel="1">
      <c r="A275" s="1297" t="s">
        <v>351</v>
      </c>
      <c r="B275" s="1710"/>
      <c r="C275" s="1710"/>
      <c r="D275" s="1710"/>
      <c r="E275" s="1710"/>
      <c r="F275" s="1710"/>
      <c r="G275" s="1313"/>
      <c r="H275" s="1313"/>
      <c r="I275" s="1313"/>
      <c r="J275" s="1313"/>
      <c r="K275" s="1616"/>
      <c r="L275" s="1313"/>
      <c r="M275" s="1313"/>
      <c r="N275" s="1313"/>
      <c r="O275" s="1313"/>
      <c r="P275" s="1616"/>
      <c r="Q275" s="1313"/>
      <c r="R275" s="1313"/>
      <c r="S275" s="1313"/>
      <c r="T275" s="1313"/>
      <c r="U275" s="1616"/>
      <c r="V275" s="1313"/>
      <c r="W275" s="1313"/>
      <c r="X275" s="1313"/>
      <c r="Y275" s="1313"/>
      <c r="Z275" s="1616"/>
      <c r="AA275" s="1313"/>
      <c r="AB275" s="1313"/>
      <c r="AC275" s="1313"/>
      <c r="AD275" s="1313"/>
      <c r="AE275" s="1616"/>
      <c r="AF275" s="1313"/>
      <c r="AG275" s="1313"/>
      <c r="AH275" s="1313"/>
      <c r="AI275" s="1313"/>
      <c r="AJ275" s="1616"/>
      <c r="AK275" s="1313"/>
      <c r="AL275" s="1313"/>
      <c r="AM275" s="1313"/>
      <c r="AN275" s="1313"/>
      <c r="AO275" s="1616"/>
      <c r="AP275" s="1298" t="s">
        <v>350</v>
      </c>
      <c r="AQ275" s="1298"/>
      <c r="AR275" s="1298"/>
      <c r="AS275" s="1298"/>
      <c r="AT275" s="1314"/>
      <c r="AU275" s="1313"/>
      <c r="AV275" s="1313"/>
      <c r="AW275" s="1313"/>
      <c r="AX275" s="1313"/>
      <c r="AY275" s="1314"/>
      <c r="AZ275" s="1711"/>
      <c r="BA275" s="1711"/>
      <c r="BB275" s="1711"/>
      <c r="BC275" s="1726"/>
      <c r="BD275" s="1314"/>
      <c r="BE275" s="1711"/>
      <c r="BF275" s="1711"/>
      <c r="BG275" s="1711"/>
      <c r="BH275" s="1711"/>
      <c r="BI275" s="1314"/>
      <c r="BJ275" s="1711"/>
      <c r="BK275" s="1711"/>
      <c r="BL275" s="1711"/>
      <c r="BM275" s="1711"/>
      <c r="BN275" s="1314"/>
      <c r="BO275" s="1711"/>
      <c r="BP275" s="1711"/>
      <c r="BQ275" s="1711"/>
      <c r="BR275" s="1711"/>
      <c r="BS275" s="1314"/>
      <c r="BT275" s="1711"/>
      <c r="BU275" s="1711"/>
      <c r="BV275" s="1711"/>
      <c r="BW275" s="1711"/>
      <c r="BX275" s="1314"/>
      <c r="BY275" s="1724"/>
      <c r="BZ275" s="1724"/>
      <c r="CA275" s="1724"/>
      <c r="CF275" s="1302" t="str">
        <f>+A275</f>
        <v>Revenue By Product</v>
      </c>
      <c r="CG275" s="1710"/>
      <c r="CH275" s="1710"/>
      <c r="CI275" s="1710"/>
      <c r="CJ275" s="1710"/>
      <c r="CK275" s="1710"/>
      <c r="CL275" s="1616"/>
      <c r="CM275" s="1616"/>
      <c r="CN275" s="1616"/>
      <c r="CO275" s="1616"/>
      <c r="CP275" s="1616"/>
      <c r="CQ275" s="1616"/>
      <c r="CR275" s="1616"/>
      <c r="CS275" s="1314"/>
      <c r="CT275" s="1314"/>
      <c r="CU275" s="1314"/>
      <c r="CV275" s="1722"/>
      <c r="CW275" s="1722"/>
      <c r="CX275" s="1722"/>
      <c r="CY275" s="1722"/>
      <c r="CZ275" s="1722"/>
      <c r="DA275" s="1725"/>
      <c r="DB275" s="1725"/>
    </row>
    <row r="276" spans="1:106" s="1713" customFormat="1" hidden="1" outlineLevel="1">
      <c r="A276" s="1714" t="s">
        <v>346</v>
      </c>
      <c r="B276" s="1710"/>
      <c r="C276" s="1710"/>
      <c r="D276" s="1710"/>
      <c r="E276" s="1710"/>
      <c r="F276" s="1710"/>
      <c r="G276" s="1715" t="s">
        <v>249</v>
      </c>
      <c r="H276" s="1715" t="s">
        <v>249</v>
      </c>
      <c r="I276" s="1715" t="s">
        <v>249</v>
      </c>
      <c r="J276" s="1715" t="s">
        <v>249</v>
      </c>
      <c r="K276" s="1716" t="s">
        <v>249</v>
      </c>
      <c r="L276" s="1715" t="s">
        <v>249</v>
      </c>
      <c r="M276" s="1715" t="s">
        <v>249</v>
      </c>
      <c r="N276" s="1715" t="s">
        <v>249</v>
      </c>
      <c r="O276" s="1715" t="s">
        <v>249</v>
      </c>
      <c r="P276" s="1716" t="s">
        <v>249</v>
      </c>
      <c r="Q276" s="1715" t="s">
        <v>249</v>
      </c>
      <c r="R276" s="1715" t="s">
        <v>249</v>
      </c>
      <c r="S276" s="1715" t="s">
        <v>249</v>
      </c>
      <c r="T276" s="1715" t="s">
        <v>249</v>
      </c>
      <c r="U276" s="1716" t="s">
        <v>249</v>
      </c>
      <c r="V276" s="1715" t="s">
        <v>249</v>
      </c>
      <c r="W276" s="1715" t="s">
        <v>249</v>
      </c>
      <c r="X276" s="1715" t="s">
        <v>249</v>
      </c>
      <c r="Y276" s="1715" t="s">
        <v>249</v>
      </c>
      <c r="Z276" s="1716" t="s">
        <v>249</v>
      </c>
      <c r="AA276" s="1715" t="s">
        <v>249</v>
      </c>
      <c r="AB276" s="1715" t="s">
        <v>249</v>
      </c>
      <c r="AC276" s="1715" t="s">
        <v>249</v>
      </c>
      <c r="AD276" s="1715" t="s">
        <v>249</v>
      </c>
      <c r="AE276" s="1716" t="s">
        <v>249</v>
      </c>
      <c r="AF276" s="1715" t="s">
        <v>249</v>
      </c>
      <c r="AG276" s="1715" t="s">
        <v>249</v>
      </c>
      <c r="AH276" s="1715" t="s">
        <v>249</v>
      </c>
      <c r="AI276" s="1715" t="s">
        <v>249</v>
      </c>
      <c r="AJ276" s="1716" t="s">
        <v>249</v>
      </c>
      <c r="AK276" s="1715" t="s">
        <v>249</v>
      </c>
      <c r="AL276" s="1715" t="s">
        <v>249</v>
      </c>
      <c r="AM276" s="1715" t="s">
        <v>249</v>
      </c>
      <c r="AN276" s="1715" t="s">
        <v>249</v>
      </c>
      <c r="AO276" s="1716" t="s">
        <v>249</v>
      </c>
      <c r="AP276" s="1611">
        <f>+AT276/4*0.95</f>
        <v>170.46942499999997</v>
      </c>
      <c r="AQ276" s="1611">
        <f>+AT276/4*0.98</f>
        <v>175.85266999999999</v>
      </c>
      <c r="AR276" s="1611">
        <f>+AQ276*1.05</f>
        <v>184.64530349999998</v>
      </c>
      <c r="AS276" s="1611">
        <f>+AT276-SUM(AP276:AR276)</f>
        <v>186.79860150000002</v>
      </c>
      <c r="AT276" s="1718">
        <f>+AT271*AT245</f>
        <v>717.76599999999996</v>
      </c>
      <c r="AU276" s="1611">
        <f>+AP276*(1+AU264)</f>
        <v>170.46942499999997</v>
      </c>
      <c r="AV276" s="1611">
        <f>+AQ276*(1+AV264)</f>
        <v>175.85266999999999</v>
      </c>
      <c r="AW276" s="1611">
        <f>+AR276*(1+AW264)</f>
        <v>184.64530349999998</v>
      </c>
      <c r="AX276" s="1611">
        <f>+AY276-SUM(AU276:AW276)</f>
        <v>238.9136450000002</v>
      </c>
      <c r="AY276" s="1718">
        <f>+AY245-SUM(AY277:AY278)</f>
        <v>769.88104350000015</v>
      </c>
      <c r="AZ276" s="1611">
        <f>+AU276*(1+AZ264)</f>
        <v>170.46942499999997</v>
      </c>
      <c r="BA276" s="1611">
        <f>+AV276*(1+BA264)</f>
        <v>175.85266999999999</v>
      </c>
      <c r="BB276" s="1611">
        <f>+BB245-BB277-BB278</f>
        <v>231.17974191495998</v>
      </c>
      <c r="BC276" s="1611">
        <f>+BC245-BC277-BC278</f>
        <v>281.76542122185003</v>
      </c>
      <c r="BD276" s="1718">
        <f>SUM(AZ276:BC276)</f>
        <v>859.26725813681003</v>
      </c>
      <c r="BE276" s="1611">
        <f>+BE245-SUM(BE277:BE278)</f>
        <v>255.11510754612493</v>
      </c>
      <c r="BF276" s="1611">
        <f>+BF245-SUM(BF277:BF278)</f>
        <v>264.11940831277997</v>
      </c>
      <c r="BG276" s="1611">
        <f>+BG245-SUM(BG277:BG278)</f>
        <v>295.86150706645594</v>
      </c>
      <c r="BH276" s="1611">
        <f>(BC276-BC254)*(1+BH265)+BC254*(1+BH266)</f>
        <v>305.96900070737956</v>
      </c>
      <c r="BI276" s="1718">
        <f>SUM(BE276:BH276)</f>
        <v>1121.0650236327403</v>
      </c>
      <c r="BJ276" s="1711"/>
      <c r="BK276" s="1611"/>
      <c r="BL276" s="1611"/>
      <c r="BM276" s="1611"/>
      <c r="BN276" s="1718"/>
      <c r="BO276" s="1611"/>
      <c r="BP276" s="1611"/>
      <c r="BQ276" s="1611"/>
      <c r="BR276" s="1611"/>
      <c r="BS276" s="1718"/>
      <c r="BT276" s="1611"/>
      <c r="BU276" s="1611"/>
      <c r="BV276" s="1611"/>
      <c r="BW276" s="1611"/>
      <c r="BX276" s="1718"/>
      <c r="BY276" s="1718"/>
      <c r="BZ276" s="1718"/>
      <c r="CA276" s="1718"/>
      <c r="CF276" s="1502" t="str">
        <f>+A276</f>
        <v>Financial Data and Analytics</v>
      </c>
      <c r="CG276" s="1710"/>
      <c r="CH276" s="1710"/>
      <c r="CI276" s="1710"/>
      <c r="CJ276" s="1710"/>
      <c r="CK276" s="1710"/>
      <c r="CL276" s="1716"/>
      <c r="CM276" s="1716"/>
      <c r="CN276" s="1716"/>
      <c r="CO276" s="1716"/>
      <c r="CP276" s="1716"/>
      <c r="CQ276" s="1716"/>
      <c r="CR276" s="1716"/>
      <c r="CS276" s="1718">
        <f>+AT276</f>
        <v>717.76599999999996</v>
      </c>
      <c r="CT276" s="1718">
        <f>+AY276</f>
        <v>769.88104350000015</v>
      </c>
      <c r="CU276" s="1718">
        <f>+BD276</f>
        <v>859.26725813681003</v>
      </c>
      <c r="CV276" s="1718">
        <f>+BI276</f>
        <v>1121.0650236327403</v>
      </c>
      <c r="CW276" s="1718">
        <f>+BN276</f>
        <v>0</v>
      </c>
      <c r="CX276" s="1718">
        <f>+BS276</f>
        <v>0</v>
      </c>
      <c r="CY276" s="1718">
        <f t="shared" ref="CY276:DB278" si="354">+BX276</f>
        <v>0</v>
      </c>
      <c r="CZ276" s="1718">
        <f t="shared" si="354"/>
        <v>0</v>
      </c>
      <c r="DA276" s="1718">
        <f t="shared" si="354"/>
        <v>0</v>
      </c>
      <c r="DB276" s="1718">
        <f t="shared" si="354"/>
        <v>0</v>
      </c>
    </row>
    <row r="277" spans="1:106" s="1713" customFormat="1" hidden="1" outlineLevel="1">
      <c r="A277" s="1714" t="s">
        <v>347</v>
      </c>
      <c r="B277" s="1710"/>
      <c r="C277" s="1710"/>
      <c r="D277" s="1710"/>
      <c r="E277" s="1710"/>
      <c r="F277" s="1710"/>
      <c r="G277" s="1715" t="s">
        <v>249</v>
      </c>
      <c r="H277" s="1715" t="s">
        <v>249</v>
      </c>
      <c r="I277" s="1715" t="s">
        <v>249</v>
      </c>
      <c r="J277" s="1715" t="s">
        <v>249</v>
      </c>
      <c r="K277" s="1716" t="s">
        <v>249</v>
      </c>
      <c r="L277" s="1715" t="s">
        <v>249</v>
      </c>
      <c r="M277" s="1715" t="s">
        <v>249</v>
      </c>
      <c r="N277" s="1715" t="s">
        <v>249</v>
      </c>
      <c r="O277" s="1715" t="s">
        <v>249</v>
      </c>
      <c r="P277" s="1716" t="s">
        <v>249</v>
      </c>
      <c r="Q277" s="1715" t="s">
        <v>249</v>
      </c>
      <c r="R277" s="1715" t="s">
        <v>249</v>
      </c>
      <c r="S277" s="1715" t="s">
        <v>249</v>
      </c>
      <c r="T277" s="1715" t="s">
        <v>249</v>
      </c>
      <c r="U277" s="1716" t="s">
        <v>249</v>
      </c>
      <c r="V277" s="1715" t="s">
        <v>249</v>
      </c>
      <c r="W277" s="1715" t="s">
        <v>249</v>
      </c>
      <c r="X277" s="1715" t="s">
        <v>249</v>
      </c>
      <c r="Y277" s="1715" t="s">
        <v>249</v>
      </c>
      <c r="Z277" s="1716" t="s">
        <v>249</v>
      </c>
      <c r="AA277" s="1715" t="s">
        <v>249</v>
      </c>
      <c r="AB277" s="1715" t="s">
        <v>249</v>
      </c>
      <c r="AC277" s="1715" t="s">
        <v>249</v>
      </c>
      <c r="AD277" s="1715" t="s">
        <v>249</v>
      </c>
      <c r="AE277" s="1716" t="s">
        <v>249</v>
      </c>
      <c r="AF277" s="1715" t="s">
        <v>249</v>
      </c>
      <c r="AG277" s="1715" t="s">
        <v>249</v>
      </c>
      <c r="AH277" s="1715" t="s">
        <v>249</v>
      </c>
      <c r="AI277" s="1715" t="s">
        <v>249</v>
      </c>
      <c r="AJ277" s="1716" t="s">
        <v>249</v>
      </c>
      <c r="AK277" s="1715" t="s">
        <v>249</v>
      </c>
      <c r="AL277" s="1715" t="s">
        <v>249</v>
      </c>
      <c r="AM277" s="1715" t="s">
        <v>249</v>
      </c>
      <c r="AN277" s="1715" t="s">
        <v>249</v>
      </c>
      <c r="AO277" s="1716" t="s">
        <v>249</v>
      </c>
      <c r="AP277" s="1611">
        <f>+AT277/4*0.95</f>
        <v>83.568887499999988</v>
      </c>
      <c r="AQ277" s="1611">
        <f>+AT277/4*0.98</f>
        <v>86.207904999999997</v>
      </c>
      <c r="AR277" s="1611">
        <f>+AQ277*1.04</f>
        <v>89.656221200000005</v>
      </c>
      <c r="AS277" s="1611">
        <f>+AT277-SUM(AP277:AR277)</f>
        <v>92.435986299999968</v>
      </c>
      <c r="AT277" s="1718">
        <f>+AT272*AT245</f>
        <v>351.86899999999997</v>
      </c>
      <c r="AU277" s="1611">
        <f t="shared" ref="AU277:AW278" si="355">+AP277*(1+AU267)</f>
        <v>87.747331874999986</v>
      </c>
      <c r="AV277" s="1611">
        <f t="shared" si="355"/>
        <v>92.242458350000007</v>
      </c>
      <c r="AW277" s="1611">
        <f t="shared" si="355"/>
        <v>95.035594472000014</v>
      </c>
      <c r="AX277" s="1611">
        <f>+AY277-SUM(AU277:AW277)</f>
        <v>96.196410302999936</v>
      </c>
      <c r="AY277" s="1718">
        <f>+AT277*(1+AY267)</f>
        <v>371.22179499999993</v>
      </c>
      <c r="AZ277" s="1611">
        <f>+AU277*(1+AZ267)</f>
        <v>93.012171787499994</v>
      </c>
      <c r="BA277" s="1611">
        <f>+AV277*(1+BA267)</f>
        <v>97.777005851000013</v>
      </c>
      <c r="BB277" s="1611">
        <f>+AW277*(1+BB267)</f>
        <v>101.68808608504003</v>
      </c>
      <c r="BC277" s="1611">
        <f>+AX277*(1+BC267)</f>
        <v>101.00623081814994</v>
      </c>
      <c r="BD277" s="1718">
        <f>SUM(AZ277:BC277)</f>
        <v>393.48349454168999</v>
      </c>
      <c r="BE277" s="1611">
        <f>+AZ277*(1+BE267)</f>
        <v>100.4531455305</v>
      </c>
      <c r="BF277" s="1611">
        <f>+BA277*(1+BF267)</f>
        <v>107.55470643610002</v>
      </c>
      <c r="BG277" s="1611">
        <f>+BB277*(1+BG267)</f>
        <v>111.85689469354404</v>
      </c>
      <c r="BH277" s="1611">
        <f>+BC277*(1+BH267)</f>
        <v>111.10685389996495</v>
      </c>
      <c r="BI277" s="1718">
        <f>SUM(BE277:BH277)</f>
        <v>430.97160056010904</v>
      </c>
      <c r="BJ277" s="1711"/>
      <c r="BK277" s="1611"/>
      <c r="BL277" s="1611"/>
      <c r="BM277" s="1611"/>
      <c r="BN277" s="1718"/>
      <c r="BO277" s="1611"/>
      <c r="BP277" s="1611"/>
      <c r="BQ277" s="1611"/>
      <c r="BR277" s="1611"/>
      <c r="BS277" s="1718"/>
      <c r="BT277" s="1611"/>
      <c r="BU277" s="1611"/>
      <c r="BV277" s="1611"/>
      <c r="BW277" s="1611"/>
      <c r="BX277" s="1718"/>
      <c r="BY277" s="1718"/>
      <c r="BZ277" s="1718"/>
      <c r="CA277" s="1718"/>
      <c r="CF277" s="1502" t="str">
        <f>+A277</f>
        <v>Global Risk Services</v>
      </c>
      <c r="CG277" s="1710"/>
      <c r="CH277" s="1710"/>
      <c r="CI277" s="1710"/>
      <c r="CJ277" s="1710"/>
      <c r="CK277" s="1710"/>
      <c r="CL277" s="1716"/>
      <c r="CM277" s="1716"/>
      <c r="CN277" s="1716"/>
      <c r="CO277" s="1716"/>
      <c r="CP277" s="1716"/>
      <c r="CQ277" s="1716"/>
      <c r="CR277" s="1716"/>
      <c r="CS277" s="1718">
        <f>+AT277</f>
        <v>351.86899999999997</v>
      </c>
      <c r="CT277" s="1718">
        <f>+AY277</f>
        <v>371.22179499999993</v>
      </c>
      <c r="CU277" s="1718">
        <f>+BD277</f>
        <v>393.48349454168999</v>
      </c>
      <c r="CV277" s="1718">
        <f>+BI277</f>
        <v>430.97160056010904</v>
      </c>
      <c r="CW277" s="1718">
        <f>+BN277</f>
        <v>0</v>
      </c>
      <c r="CX277" s="1718">
        <f>+BS277</f>
        <v>0</v>
      </c>
      <c r="CY277" s="1718">
        <f t="shared" si="354"/>
        <v>0</v>
      </c>
      <c r="CZ277" s="1718">
        <f t="shared" si="354"/>
        <v>0</v>
      </c>
      <c r="DA277" s="1718">
        <f t="shared" si="354"/>
        <v>0</v>
      </c>
      <c r="DB277" s="1718">
        <f t="shared" si="354"/>
        <v>0</v>
      </c>
    </row>
    <row r="278" spans="1:106" s="1713" customFormat="1" hidden="1" outlineLevel="1">
      <c r="A278" s="1714" t="s">
        <v>348</v>
      </c>
      <c r="B278" s="1710"/>
      <c r="C278" s="1710"/>
      <c r="D278" s="1710"/>
      <c r="E278" s="1710"/>
      <c r="F278" s="1710"/>
      <c r="G278" s="1715" t="s">
        <v>249</v>
      </c>
      <c r="H278" s="1715" t="s">
        <v>249</v>
      </c>
      <c r="I278" s="1715" t="s">
        <v>249</v>
      </c>
      <c r="J278" s="1715" t="s">
        <v>249</v>
      </c>
      <c r="K278" s="1716" t="s">
        <v>249</v>
      </c>
      <c r="L278" s="1715" t="s">
        <v>249</v>
      </c>
      <c r="M278" s="1715" t="s">
        <v>249</v>
      </c>
      <c r="N278" s="1715" t="s">
        <v>249</v>
      </c>
      <c r="O278" s="1715" t="s">
        <v>249</v>
      </c>
      <c r="P278" s="1716" t="s">
        <v>249</v>
      </c>
      <c r="Q278" s="1715" t="s">
        <v>249</v>
      </c>
      <c r="R278" s="1715" t="s">
        <v>249</v>
      </c>
      <c r="S278" s="1715" t="s">
        <v>249</v>
      </c>
      <c r="T278" s="1715" t="s">
        <v>249</v>
      </c>
      <c r="U278" s="1716" t="s">
        <v>249</v>
      </c>
      <c r="V278" s="1715" t="s">
        <v>249</v>
      </c>
      <c r="W278" s="1715" t="s">
        <v>249</v>
      </c>
      <c r="X278" s="1715" t="s">
        <v>249</v>
      </c>
      <c r="Y278" s="1715" t="s">
        <v>249</v>
      </c>
      <c r="Z278" s="1716" t="s">
        <v>249</v>
      </c>
      <c r="AA278" s="1715" t="s">
        <v>249</v>
      </c>
      <c r="AB278" s="1715" t="s">
        <v>249</v>
      </c>
      <c r="AC278" s="1715" t="s">
        <v>249</v>
      </c>
      <c r="AD278" s="1715" t="s">
        <v>249</v>
      </c>
      <c r="AE278" s="1716" t="s">
        <v>249</v>
      </c>
      <c r="AF278" s="1715" t="s">
        <v>249</v>
      </c>
      <c r="AG278" s="1715" t="s">
        <v>249</v>
      </c>
      <c r="AH278" s="1715" t="s">
        <v>249</v>
      </c>
      <c r="AI278" s="1715" t="s">
        <v>249</v>
      </c>
      <c r="AJ278" s="1716" t="s">
        <v>249</v>
      </c>
      <c r="AK278" s="1715" t="s">
        <v>249</v>
      </c>
      <c r="AL278" s="1715" t="s">
        <v>249</v>
      </c>
      <c r="AM278" s="1715" t="s">
        <v>249</v>
      </c>
      <c r="AN278" s="1715" t="s">
        <v>249</v>
      </c>
      <c r="AO278" s="1716" t="s">
        <v>249</v>
      </c>
      <c r="AP278" s="1611">
        <f>+AT278/4</f>
        <v>24.841249999999988</v>
      </c>
      <c r="AQ278" s="1611">
        <f>+AT278/4</f>
        <v>24.841249999999988</v>
      </c>
      <c r="AR278" s="1611">
        <f>+AQ278</f>
        <v>24.841249999999988</v>
      </c>
      <c r="AS278" s="1611">
        <f>+AT278-SUM(AP278:AR278)</f>
        <v>24.841249999999988</v>
      </c>
      <c r="AT278" s="1718">
        <f>+AT273*AT245</f>
        <v>99.364999999999952</v>
      </c>
      <c r="AU278" s="1611">
        <f t="shared" si="355"/>
        <v>25.338074999999989</v>
      </c>
      <c r="AV278" s="1611">
        <f t="shared" si="355"/>
        <v>25.089662499999989</v>
      </c>
      <c r="AW278" s="1611">
        <f t="shared" si="355"/>
        <v>24.096012499999986</v>
      </c>
      <c r="AX278" s="1611">
        <f>+AY278-SUM(AU278:AW278)</f>
        <v>21.373411499999989</v>
      </c>
      <c r="AY278" s="1718">
        <f>+AT278*(1+AY268)</f>
        <v>95.897161499999953</v>
      </c>
      <c r="AZ278" s="1611">
        <f>+AZ245-SUM(AZ276:AZ277)</f>
        <v>56.518403212500061</v>
      </c>
      <c r="BA278" s="1611">
        <f>+BA245-SUM(BA276:BA277)</f>
        <v>50.370324148999998</v>
      </c>
      <c r="BB278" s="1611">
        <f>+AW278*(1+BB268)</f>
        <v>23.132171999999986</v>
      </c>
      <c r="BC278" s="1611">
        <f>+AX278*(1+BC268)</f>
        <v>22.22834795999999</v>
      </c>
      <c r="BD278" s="1718">
        <f>SUM(AZ278:BC278)</f>
        <v>152.24924732150004</v>
      </c>
      <c r="BE278" s="1611">
        <f>+AZ278*(1+BE268)</f>
        <v>51.431746923375059</v>
      </c>
      <c r="BF278" s="1611">
        <f>+BA278*(1+BF268)</f>
        <v>44.325885251119999</v>
      </c>
      <c r="BG278" s="1611">
        <f>+BB278*(1+BG268)</f>
        <v>21.281598239999987</v>
      </c>
      <c r="BH278" s="1721" t="s">
        <v>249</v>
      </c>
      <c r="BI278" s="1718">
        <f>SUM(BE278:BH278)</f>
        <v>117.03923041449505</v>
      </c>
      <c r="BJ278" s="1711"/>
      <c r="BK278" s="1611"/>
      <c r="BL278" s="1611"/>
      <c r="BM278" s="1611"/>
      <c r="BN278" s="1718"/>
      <c r="BO278" s="1611"/>
      <c r="BP278" s="1611"/>
      <c r="BQ278" s="1611"/>
      <c r="BR278" s="1611"/>
      <c r="BS278" s="1718"/>
      <c r="BT278" s="1611"/>
      <c r="BU278" s="1611"/>
      <c r="BV278" s="1611"/>
      <c r="BW278" s="1611"/>
      <c r="BX278" s="1718"/>
      <c r="BY278" s="1718"/>
      <c r="BZ278" s="1718"/>
      <c r="CA278" s="1718"/>
      <c r="CF278" s="1502" t="str">
        <f>+A278</f>
        <v>Research &amp; Advisory</v>
      </c>
      <c r="CG278" s="1710"/>
      <c r="CH278" s="1710"/>
      <c r="CI278" s="1710"/>
      <c r="CJ278" s="1710"/>
      <c r="CK278" s="1710"/>
      <c r="CL278" s="1716"/>
      <c r="CM278" s="1716"/>
      <c r="CN278" s="1716"/>
      <c r="CO278" s="1716"/>
      <c r="CP278" s="1716"/>
      <c r="CQ278" s="1716"/>
      <c r="CR278" s="1716"/>
      <c r="CS278" s="1718">
        <f>+AT278</f>
        <v>99.364999999999952</v>
      </c>
      <c r="CT278" s="1718">
        <f>+AY278</f>
        <v>95.897161499999953</v>
      </c>
      <c r="CU278" s="1718">
        <f>+BD278</f>
        <v>152.24924732150004</v>
      </c>
      <c r="CV278" s="1718">
        <f>+BI278</f>
        <v>117.03923041449505</v>
      </c>
      <c r="CW278" s="1718">
        <f>+BN278</f>
        <v>0</v>
      </c>
      <c r="CX278" s="1718">
        <f>+BS278</f>
        <v>0</v>
      </c>
      <c r="CY278" s="1718">
        <f t="shared" si="354"/>
        <v>0</v>
      </c>
      <c r="CZ278" s="1718">
        <f t="shared" si="354"/>
        <v>0</v>
      </c>
      <c r="DA278" s="1718">
        <f t="shared" si="354"/>
        <v>0</v>
      </c>
      <c r="DB278" s="1718">
        <f t="shared" si="354"/>
        <v>0</v>
      </c>
    </row>
    <row r="279" spans="1:106" s="1600" customFormat="1" hidden="1" outlineLevel="1">
      <c r="A279" s="1727"/>
      <c r="B279" s="1536"/>
      <c r="C279" s="1536"/>
      <c r="D279" s="1536"/>
      <c r="E279" s="1536"/>
      <c r="F279" s="1536"/>
      <c r="G279" s="1728"/>
      <c r="H279" s="1728"/>
      <c r="I279" s="1728"/>
      <c r="J279" s="1728"/>
      <c r="K279" s="1729"/>
      <c r="L279" s="1728"/>
      <c r="M279" s="1728"/>
      <c r="N279" s="1728"/>
      <c r="O279" s="1728"/>
      <c r="P279" s="1729"/>
      <c r="Q279" s="1728"/>
      <c r="R279" s="1728"/>
      <c r="S279" s="1728"/>
      <c r="T279" s="1728"/>
      <c r="U279" s="1729"/>
      <c r="V279" s="1728"/>
      <c r="W279" s="1728"/>
      <c r="X279" s="1728"/>
      <c r="Y279" s="1728"/>
      <c r="Z279" s="1729"/>
      <c r="AA279" s="1728"/>
      <c r="AB279" s="1728"/>
      <c r="AC279" s="1728"/>
      <c r="AD279" s="1728"/>
      <c r="AE279" s="1729"/>
      <c r="AF279" s="1728"/>
      <c r="AG279" s="1728"/>
      <c r="AH279" s="1728"/>
      <c r="AI279" s="1728"/>
      <c r="AJ279" s="1729"/>
      <c r="AK279" s="1728"/>
      <c r="AL279" s="1728"/>
      <c r="AM279" s="1728"/>
      <c r="AN279" s="1728"/>
      <c r="AO279" s="1729"/>
      <c r="AP279" s="1253"/>
      <c r="AQ279" s="1253"/>
      <c r="AR279" s="1253"/>
      <c r="AS279" s="1253"/>
      <c r="AT279" s="1471"/>
      <c r="AU279" s="1253"/>
      <c r="AV279" s="1253"/>
      <c r="AW279" s="1253"/>
      <c r="AX279" s="1253"/>
      <c r="AY279" s="1471"/>
      <c r="AZ279" s="1253"/>
      <c r="BA279" s="1253"/>
      <c r="BB279" s="1253"/>
      <c r="BC279" s="1253"/>
      <c r="BD279" s="1471"/>
      <c r="BE279" s="1253"/>
      <c r="BF279" s="1253"/>
      <c r="BG279" s="1253"/>
      <c r="BH279" s="1730"/>
      <c r="BI279" s="1471"/>
      <c r="BJ279" s="1446"/>
      <c r="BK279" s="1253"/>
      <c r="BL279" s="1253"/>
      <c r="BM279" s="1253"/>
      <c r="BN279" s="1471"/>
      <c r="BO279" s="1253"/>
      <c r="BP279" s="1253"/>
      <c r="BQ279" s="1253"/>
      <c r="BR279" s="1253"/>
      <c r="BS279" s="1471"/>
      <c r="BT279" s="1253"/>
      <c r="BU279" s="1253"/>
      <c r="BV279" s="1253"/>
      <c r="BW279" s="1253"/>
      <c r="BX279" s="1471"/>
      <c r="BY279" s="1471"/>
      <c r="BZ279" s="1471"/>
      <c r="CA279" s="1471"/>
      <c r="CF279" s="1668"/>
      <c r="CG279" s="1536"/>
      <c r="CH279" s="1536"/>
      <c r="CI279" s="1536"/>
      <c r="CJ279" s="1536"/>
      <c r="CK279" s="1536"/>
      <c r="CL279" s="1729"/>
      <c r="CM279" s="1729"/>
      <c r="CN279" s="1729"/>
      <c r="CO279" s="1729"/>
      <c r="CP279" s="1729"/>
      <c r="CQ279" s="1729"/>
      <c r="CR279" s="1729"/>
      <c r="CS279" s="1471"/>
      <c r="CT279" s="1471"/>
      <c r="CU279" s="1471"/>
      <c r="CV279" s="1471"/>
      <c r="CW279" s="1471"/>
      <c r="CX279" s="1471"/>
      <c r="CY279" s="1471"/>
      <c r="CZ279" s="1471"/>
      <c r="DA279" s="1471"/>
      <c r="DB279" s="1471"/>
    </row>
    <row r="280" spans="1:106" s="1600" customFormat="1" collapsed="1">
      <c r="A280" s="1305" t="s">
        <v>344</v>
      </c>
      <c r="B280" s="1536"/>
      <c r="C280" s="1536"/>
      <c r="D280" s="1536"/>
      <c r="E280" s="1536"/>
      <c r="F280" s="1536"/>
      <c r="G280" s="1728"/>
      <c r="H280" s="1728"/>
      <c r="I280" s="1728"/>
      <c r="J280" s="1728"/>
      <c r="K280" s="1729"/>
      <c r="L280" s="1728"/>
      <c r="M280" s="1728"/>
      <c r="N280" s="1728"/>
      <c r="O280" s="1728"/>
      <c r="P280" s="1729"/>
      <c r="Q280" s="1728"/>
      <c r="R280" s="1728"/>
      <c r="S280" s="1728"/>
      <c r="T280" s="1728"/>
      <c r="U280" s="1729"/>
      <c r="V280" s="1728"/>
      <c r="W280" s="1728"/>
      <c r="X280" s="1728"/>
      <c r="Y280" s="1728"/>
      <c r="Z280" s="1729"/>
      <c r="AA280" s="1728"/>
      <c r="AB280" s="1728"/>
      <c r="AC280" s="1728"/>
      <c r="AD280" s="1728"/>
      <c r="AE280" s="1729"/>
      <c r="AF280" s="1728"/>
      <c r="AG280" s="1728"/>
      <c r="AH280" s="1728"/>
      <c r="AI280" s="1728"/>
      <c r="AJ280" s="1729"/>
      <c r="AK280" s="1728"/>
      <c r="AL280" s="1728"/>
      <c r="AM280" s="1728"/>
      <c r="AN280" s="1728"/>
      <c r="AO280" s="1729"/>
      <c r="AP280" s="1253"/>
      <c r="AQ280" s="1253"/>
      <c r="AR280" s="1253"/>
      <c r="AS280" s="1253"/>
      <c r="AT280" s="1471"/>
      <c r="AU280" s="1253"/>
      <c r="AV280" s="1253"/>
      <c r="AW280" s="1253"/>
      <c r="AX280" s="1253"/>
      <c r="AY280" s="1471"/>
      <c r="AZ280" s="1253"/>
      <c r="BA280" s="1253"/>
      <c r="BB280" s="1253"/>
      <c r="BC280" s="1253"/>
      <c r="BD280" s="1471"/>
      <c r="BE280" s="1253"/>
      <c r="BF280" s="1253"/>
      <c r="BG280" s="1253"/>
      <c r="BH280" s="1730"/>
      <c r="BI280" s="1471"/>
      <c r="BJ280" s="1446"/>
      <c r="BK280" s="1253"/>
      <c r="BL280" s="1253"/>
      <c r="BM280" s="1253"/>
      <c r="BN280" s="1471"/>
      <c r="BO280" s="1253"/>
      <c r="BP280" s="1253"/>
      <c r="BQ280" s="1253"/>
      <c r="BR280" s="1253"/>
      <c r="BS280" s="1471"/>
      <c r="BT280" s="1253"/>
      <c r="BU280" s="1253"/>
      <c r="BV280" s="1253"/>
      <c r="BW280" s="1253"/>
      <c r="BX280" s="1471"/>
      <c r="BY280" s="1471"/>
      <c r="BZ280" s="1471"/>
      <c r="CA280" s="1471"/>
      <c r="CF280" s="1668"/>
      <c r="CG280" s="1536"/>
      <c r="CH280" s="1536"/>
      <c r="CI280" s="1536"/>
      <c r="CJ280" s="1536"/>
      <c r="CK280" s="1536"/>
      <c r="CL280" s="1729"/>
      <c r="CM280" s="1729"/>
      <c r="CN280" s="1729"/>
      <c r="CO280" s="1729"/>
      <c r="CP280" s="1729"/>
      <c r="CQ280" s="1729"/>
      <c r="CR280" s="1729"/>
      <c r="CS280" s="1471"/>
      <c r="CT280" s="1471"/>
      <c r="CU280" s="1471"/>
      <c r="CV280" s="1471"/>
      <c r="CW280" s="1471"/>
      <c r="CX280" s="1471"/>
      <c r="CY280" s="1471"/>
      <c r="CZ280" s="1471"/>
      <c r="DA280" s="1471"/>
      <c r="DB280" s="1471"/>
    </row>
    <row r="281" spans="1:106" s="1600" customFormat="1">
      <c r="A281" s="1306" t="s">
        <v>506</v>
      </c>
      <c r="B281" s="1536"/>
      <c r="C281" s="1536"/>
      <c r="D281" s="1536"/>
      <c r="E281" s="1536"/>
      <c r="F281" s="1536"/>
      <c r="G281" s="1728"/>
      <c r="H281" s="1728"/>
      <c r="I281" s="1728"/>
      <c r="J281" s="1728"/>
      <c r="K281" s="1729"/>
      <c r="L281" s="1728"/>
      <c r="M281" s="1728"/>
      <c r="N281" s="1728"/>
      <c r="O281" s="1728"/>
      <c r="P281" s="1729"/>
      <c r="Q281" s="1728"/>
      <c r="R281" s="1728"/>
      <c r="S281" s="1728"/>
      <c r="T281" s="1728"/>
      <c r="U281" s="1729"/>
      <c r="V281" s="1728"/>
      <c r="W281" s="1728"/>
      <c r="X281" s="1728"/>
      <c r="Y281" s="1728"/>
      <c r="Z281" s="1729"/>
      <c r="AA281" s="1728"/>
      <c r="AB281" s="1728"/>
      <c r="AC281" s="1728"/>
      <c r="AD281" s="1728"/>
      <c r="AE281" s="1729"/>
      <c r="AF281" s="1728"/>
      <c r="AG281" s="1728"/>
      <c r="AH281" s="1728"/>
      <c r="AI281" s="1728"/>
      <c r="AJ281" s="1729"/>
      <c r="AK281" s="1728"/>
      <c r="AL281" s="1728"/>
      <c r="AM281" s="1728"/>
      <c r="AN281" s="1728"/>
      <c r="AO281" s="1729"/>
      <c r="AP281" s="1253"/>
      <c r="AQ281" s="1253"/>
      <c r="AR281" s="1253"/>
      <c r="AS281" s="1253"/>
      <c r="AT281" s="1471"/>
      <c r="AU281" s="1253"/>
      <c r="AV281" s="1253"/>
      <c r="AW281" s="1253"/>
      <c r="AX281" s="1253"/>
      <c r="AY281" s="1471"/>
      <c r="AZ281" s="1253"/>
      <c r="BA281" s="1253"/>
      <c r="BB281" s="1253"/>
      <c r="BC281" s="1253"/>
      <c r="BD281" s="1471"/>
      <c r="BE281" s="1253"/>
      <c r="BF281" s="1253"/>
      <c r="BG281" s="1253"/>
      <c r="BH281" s="1730"/>
      <c r="BI281" s="1471"/>
      <c r="BJ281" s="1683">
        <f t="shared" ref="BJ281:BO283" si="356">+BJ291/BE291-1</f>
        <v>8.5858585858585856E-2</v>
      </c>
      <c r="BK281" s="1731">
        <f t="shared" si="356"/>
        <v>0.10447761194029859</v>
      </c>
      <c r="BL281" s="1731">
        <f t="shared" si="356"/>
        <v>8.1339712918660378E-2</v>
      </c>
      <c r="BM281" s="1731">
        <f t="shared" si="356"/>
        <v>8.9201877934272256E-2</v>
      </c>
      <c r="BN281" s="2261"/>
      <c r="BO281" s="1731">
        <f t="shared" si="356"/>
        <v>7.441860465116279E-2</v>
      </c>
      <c r="BP281" s="1253"/>
      <c r="BQ281" s="1253"/>
      <c r="BR281" s="1253"/>
      <c r="BS281" s="1471"/>
      <c r="BT281" s="1253"/>
      <c r="BU281" s="1253"/>
      <c r="BV281" s="1253"/>
      <c r="BW281" s="1253"/>
      <c r="BX281" s="1471"/>
      <c r="BY281" s="1471"/>
      <c r="BZ281" s="1471"/>
      <c r="CA281" s="1471"/>
      <c r="CF281" s="1668"/>
      <c r="CG281" s="1536"/>
      <c r="CH281" s="1536"/>
      <c r="CI281" s="1536"/>
      <c r="CJ281" s="1536"/>
      <c r="CK281" s="1536"/>
      <c r="CL281" s="1729"/>
      <c r="CM281" s="1729"/>
      <c r="CN281" s="1729"/>
      <c r="CO281" s="1729"/>
      <c r="CP281" s="1729"/>
      <c r="CQ281" s="1729"/>
      <c r="CR281" s="1729"/>
      <c r="CS281" s="1471"/>
      <c r="CT281" s="1471"/>
      <c r="CU281" s="1471"/>
      <c r="CV281" s="1471"/>
      <c r="CW281" s="1471"/>
      <c r="CX281" s="1471"/>
      <c r="CY281" s="1471"/>
      <c r="CZ281" s="1471"/>
      <c r="DA281" s="1471"/>
      <c r="DB281" s="1471"/>
    </row>
    <row r="282" spans="1:106" s="1600" customFormat="1">
      <c r="A282" s="1306" t="s">
        <v>577</v>
      </c>
      <c r="B282" s="1536"/>
      <c r="C282" s="1536"/>
      <c r="D282" s="1536"/>
      <c r="E282" s="1536"/>
      <c r="F282" s="1536"/>
      <c r="G282" s="1728"/>
      <c r="H282" s="1728"/>
      <c r="I282" s="1728"/>
      <c r="J282" s="1728"/>
      <c r="K282" s="1729"/>
      <c r="L282" s="1728"/>
      <c r="M282" s="1728"/>
      <c r="N282" s="1728"/>
      <c r="O282" s="1728"/>
      <c r="P282" s="1729"/>
      <c r="Q282" s="1728"/>
      <c r="R282" s="1728"/>
      <c r="S282" s="1728"/>
      <c r="T282" s="1728"/>
      <c r="U282" s="1729"/>
      <c r="V282" s="1728"/>
      <c r="W282" s="1728"/>
      <c r="X282" s="1728"/>
      <c r="Y282" s="1728"/>
      <c r="Z282" s="1729"/>
      <c r="AA282" s="1728"/>
      <c r="AB282" s="1728"/>
      <c r="AC282" s="1728"/>
      <c r="AD282" s="1728"/>
      <c r="AE282" s="1729"/>
      <c r="AF282" s="1728"/>
      <c r="AG282" s="1728"/>
      <c r="AH282" s="1728"/>
      <c r="AI282" s="1728"/>
      <c r="AJ282" s="1729"/>
      <c r="AK282" s="1728"/>
      <c r="AL282" s="1728"/>
      <c r="AM282" s="1728"/>
      <c r="AN282" s="1728"/>
      <c r="AO282" s="1729"/>
      <c r="AP282" s="1253"/>
      <c r="AQ282" s="1253"/>
      <c r="AR282" s="1253"/>
      <c r="AS282" s="1253"/>
      <c r="AT282" s="1471"/>
      <c r="AU282" s="1253"/>
      <c r="AV282" s="1253"/>
      <c r="AW282" s="1253"/>
      <c r="AX282" s="1253"/>
      <c r="AY282" s="1471"/>
      <c r="AZ282" s="1253"/>
      <c r="BA282" s="1253"/>
      <c r="BB282" s="1253"/>
      <c r="BC282" s="1253"/>
      <c r="BD282" s="1471"/>
      <c r="BE282" s="1253"/>
      <c r="BF282" s="1253"/>
      <c r="BG282" s="1253"/>
      <c r="BH282" s="1730"/>
      <c r="BI282" s="1471"/>
      <c r="BJ282" s="1683">
        <f t="shared" si="356"/>
        <v>7.3529411764705843E-2</v>
      </c>
      <c r="BK282" s="1731">
        <f t="shared" si="356"/>
        <v>8.5714285714285632E-2</v>
      </c>
      <c r="BL282" s="1731">
        <f t="shared" si="356"/>
        <v>0.10000000000000009</v>
      </c>
      <c r="BM282" s="1731">
        <f t="shared" si="356"/>
        <v>0.11111111111111116</v>
      </c>
      <c r="BN282" s="1471"/>
      <c r="BO282" s="1731">
        <f t="shared" si="356"/>
        <v>0.12328767123287676</v>
      </c>
      <c r="BP282" s="1253"/>
      <c r="BQ282" s="1253"/>
      <c r="BR282" s="1253"/>
      <c r="BS282" s="1471"/>
      <c r="BT282" s="1253"/>
      <c r="BU282" s="1253"/>
      <c r="BV282" s="1253"/>
      <c r="BW282" s="1253"/>
      <c r="BX282" s="1471"/>
      <c r="BY282" s="1471"/>
      <c r="BZ282" s="1471"/>
      <c r="CA282" s="1471"/>
      <c r="CF282" s="1668"/>
      <c r="CG282" s="1536"/>
      <c r="CH282" s="1536"/>
      <c r="CI282" s="1536"/>
      <c r="CJ282" s="1536"/>
      <c r="CK282" s="1536"/>
      <c r="CL282" s="1729"/>
      <c r="CM282" s="1729"/>
      <c r="CN282" s="1729"/>
      <c r="CO282" s="1729"/>
      <c r="CP282" s="1729"/>
      <c r="CQ282" s="1729"/>
      <c r="CR282" s="1729"/>
      <c r="CS282" s="1471"/>
      <c r="CT282" s="1471"/>
      <c r="CU282" s="1471"/>
      <c r="CV282" s="1471"/>
      <c r="CW282" s="1471"/>
      <c r="CX282" s="1471"/>
      <c r="CY282" s="1471"/>
      <c r="CZ282" s="1471"/>
      <c r="DA282" s="1471"/>
      <c r="DB282" s="1471"/>
    </row>
    <row r="283" spans="1:106" s="1600" customFormat="1">
      <c r="A283" s="1306" t="s">
        <v>550</v>
      </c>
      <c r="B283" s="1536"/>
      <c r="C283" s="1536"/>
      <c r="D283" s="1536"/>
      <c r="E283" s="1536"/>
      <c r="F283" s="1536"/>
      <c r="G283" s="1728"/>
      <c r="H283" s="1728"/>
      <c r="I283" s="1728"/>
      <c r="J283" s="1728"/>
      <c r="K283" s="1729"/>
      <c r="L283" s="1728"/>
      <c r="M283" s="1728"/>
      <c r="N283" s="1728"/>
      <c r="O283" s="1728"/>
      <c r="P283" s="1729"/>
      <c r="Q283" s="1728"/>
      <c r="R283" s="1728"/>
      <c r="S283" s="1728"/>
      <c r="T283" s="1728"/>
      <c r="U283" s="1729"/>
      <c r="V283" s="1728"/>
      <c r="W283" s="1728"/>
      <c r="X283" s="1728"/>
      <c r="Y283" s="1728"/>
      <c r="Z283" s="1729"/>
      <c r="AA283" s="1728"/>
      <c r="AB283" s="1728"/>
      <c r="AC283" s="1728"/>
      <c r="AD283" s="1728"/>
      <c r="AE283" s="1729"/>
      <c r="AF283" s="1728"/>
      <c r="AG283" s="1728"/>
      <c r="AH283" s="1728"/>
      <c r="AI283" s="1728"/>
      <c r="AJ283" s="1729"/>
      <c r="AK283" s="1728"/>
      <c r="AL283" s="1728"/>
      <c r="AM283" s="1728"/>
      <c r="AN283" s="1728"/>
      <c r="AO283" s="1729"/>
      <c r="AP283" s="1253"/>
      <c r="AQ283" s="1253"/>
      <c r="AR283" s="1253"/>
      <c r="AS283" s="1253"/>
      <c r="AT283" s="1471"/>
      <c r="AU283" s="1253"/>
      <c r="AV283" s="1253"/>
      <c r="AW283" s="1253"/>
      <c r="AX283" s="1253"/>
      <c r="AY283" s="1471"/>
      <c r="AZ283" s="1253"/>
      <c r="BA283" s="1253"/>
      <c r="BB283" s="1253"/>
      <c r="BC283" s="1253"/>
      <c r="BD283" s="1471"/>
      <c r="BE283" s="1253"/>
      <c r="BF283" s="1253"/>
      <c r="BG283" s="1253"/>
      <c r="BH283" s="1730"/>
      <c r="BI283" s="1471"/>
      <c r="BJ283" s="1683">
        <f t="shared" si="356"/>
        <v>0.10576923076923084</v>
      </c>
      <c r="BK283" s="1731">
        <f t="shared" si="356"/>
        <v>6.4220183486238591E-2</v>
      </c>
      <c r="BL283" s="1731">
        <f t="shared" si="356"/>
        <v>5.3097345132743445E-2</v>
      </c>
      <c r="BM283" s="1731">
        <f t="shared" si="356"/>
        <v>8.5470085470085388E-2</v>
      </c>
      <c r="BN283" s="1471"/>
      <c r="BO283" s="1731">
        <f t="shared" si="356"/>
        <v>7.8260869565217384E-2</v>
      </c>
      <c r="BP283" s="1253"/>
      <c r="BQ283" s="1253"/>
      <c r="BR283" s="1253"/>
      <c r="BS283" s="1471"/>
      <c r="BT283" s="1253"/>
      <c r="BU283" s="1253"/>
      <c r="BV283" s="1253"/>
      <c r="BW283" s="1253"/>
      <c r="BX283" s="1471"/>
      <c r="BY283" s="1471"/>
      <c r="BZ283" s="1471"/>
      <c r="CA283" s="1471"/>
      <c r="CF283" s="1668"/>
      <c r="CG283" s="1536"/>
      <c r="CH283" s="1536"/>
      <c r="CI283" s="1536"/>
      <c r="CJ283" s="1536"/>
      <c r="CK283" s="1536"/>
      <c r="CL283" s="1729"/>
      <c r="CM283" s="1729"/>
      <c r="CN283" s="1729"/>
      <c r="CO283" s="1729"/>
      <c r="CP283" s="1729"/>
      <c r="CQ283" s="1729"/>
      <c r="CR283" s="1729"/>
      <c r="CS283" s="1471"/>
      <c r="CT283" s="1471"/>
      <c r="CU283" s="1471"/>
      <c r="CV283" s="1471"/>
      <c r="CW283" s="1471"/>
      <c r="CX283" s="1471"/>
      <c r="CY283" s="1471"/>
      <c r="CZ283" s="1471"/>
      <c r="DA283" s="1471"/>
      <c r="DB283" s="1471"/>
    </row>
    <row r="284" spans="1:106" s="1600" customFormat="1">
      <c r="A284" s="1306"/>
      <c r="B284" s="1536"/>
      <c r="C284" s="1536"/>
      <c r="D284" s="1536"/>
      <c r="E284" s="1536"/>
      <c r="F284" s="1536"/>
      <c r="G284" s="1728"/>
      <c r="H284" s="1728"/>
      <c r="I284" s="1728"/>
      <c r="J284" s="1728"/>
      <c r="K284" s="1729"/>
      <c r="L284" s="1728"/>
      <c r="M284" s="1728"/>
      <c r="N284" s="1728"/>
      <c r="O284" s="1728"/>
      <c r="P284" s="1729"/>
      <c r="Q284" s="1728"/>
      <c r="R284" s="1728"/>
      <c r="S284" s="1728"/>
      <c r="T284" s="1728"/>
      <c r="U284" s="1729"/>
      <c r="V284" s="1728"/>
      <c r="W284" s="1728"/>
      <c r="X284" s="1728"/>
      <c r="Y284" s="1728"/>
      <c r="Z284" s="1729"/>
      <c r="AA284" s="1728"/>
      <c r="AB284" s="1728"/>
      <c r="AC284" s="1728"/>
      <c r="AD284" s="1728"/>
      <c r="AE284" s="1729"/>
      <c r="AF284" s="1728"/>
      <c r="AG284" s="1728"/>
      <c r="AH284" s="1728"/>
      <c r="AI284" s="1728"/>
      <c r="AJ284" s="1729"/>
      <c r="AK284" s="1728"/>
      <c r="AL284" s="1728"/>
      <c r="AM284" s="1728"/>
      <c r="AN284" s="1728"/>
      <c r="AO284" s="1729"/>
      <c r="AP284" s="1253"/>
      <c r="AQ284" s="1253"/>
      <c r="AR284" s="1253"/>
      <c r="AS284" s="1253"/>
      <c r="AT284" s="1471"/>
      <c r="AU284" s="1253"/>
      <c r="AV284" s="1253"/>
      <c r="AW284" s="1253"/>
      <c r="AX284" s="1253"/>
      <c r="AY284" s="1471"/>
      <c r="AZ284" s="1253"/>
      <c r="BA284" s="1253"/>
      <c r="BB284" s="1253"/>
      <c r="BC284" s="1253"/>
      <c r="BD284" s="1471"/>
      <c r="BE284" s="1253"/>
      <c r="BF284" s="1253"/>
      <c r="BG284" s="1253"/>
      <c r="BH284" s="1730"/>
      <c r="BI284" s="1471"/>
      <c r="BJ284" s="1446"/>
      <c r="BK284" s="1731"/>
      <c r="BL284" s="1731"/>
      <c r="BM284" s="1731"/>
      <c r="BN284" s="1471"/>
      <c r="BO284" s="1731"/>
      <c r="BP284" s="1253"/>
      <c r="BQ284" s="1253"/>
      <c r="BR284" s="1253"/>
      <c r="BS284" s="1471"/>
      <c r="BT284" s="1253"/>
      <c r="BU284" s="1253"/>
      <c r="BV284" s="1253"/>
      <c r="BW284" s="1253"/>
      <c r="BX284" s="1471"/>
      <c r="BY284" s="1471"/>
      <c r="BZ284" s="1471"/>
      <c r="CA284" s="1471"/>
      <c r="CF284" s="1668"/>
      <c r="CG284" s="1536"/>
      <c r="CH284" s="1536"/>
      <c r="CI284" s="1536"/>
      <c r="CJ284" s="1536"/>
      <c r="CK284" s="1536"/>
      <c r="CL284" s="1729"/>
      <c r="CM284" s="1729"/>
      <c r="CN284" s="1729"/>
      <c r="CO284" s="1729"/>
      <c r="CP284" s="1729"/>
      <c r="CQ284" s="1729"/>
      <c r="CR284" s="1729"/>
      <c r="CS284" s="1471"/>
      <c r="CT284" s="1471"/>
      <c r="CU284" s="1471"/>
      <c r="CV284" s="1471"/>
      <c r="CW284" s="1471"/>
      <c r="CX284" s="1471"/>
      <c r="CY284" s="1471"/>
      <c r="CZ284" s="1471"/>
      <c r="DA284" s="1471"/>
      <c r="DB284" s="1471"/>
    </row>
    <row r="285" spans="1:106" s="1600" customFormat="1">
      <c r="A285" s="1305" t="s">
        <v>349</v>
      </c>
      <c r="B285" s="1536"/>
      <c r="C285" s="1536"/>
      <c r="D285" s="1536"/>
      <c r="E285" s="1536"/>
      <c r="F285" s="1536"/>
      <c r="G285" s="1728"/>
      <c r="H285" s="1728"/>
      <c r="I285" s="1728"/>
      <c r="J285" s="1728"/>
      <c r="K285" s="1729"/>
      <c r="L285" s="1728"/>
      <c r="M285" s="1728"/>
      <c r="N285" s="1728"/>
      <c r="O285" s="1728"/>
      <c r="P285" s="1729"/>
      <c r="Q285" s="1728"/>
      <c r="R285" s="1728"/>
      <c r="S285" s="1728"/>
      <c r="T285" s="1728"/>
      <c r="U285" s="1729"/>
      <c r="V285" s="1728"/>
      <c r="W285" s="1728"/>
      <c r="X285" s="1728"/>
      <c r="Y285" s="1728"/>
      <c r="Z285" s="1729"/>
      <c r="AA285" s="1728"/>
      <c r="AB285" s="1728"/>
      <c r="AC285" s="1728"/>
      <c r="AD285" s="1728"/>
      <c r="AE285" s="1729"/>
      <c r="AF285" s="1728"/>
      <c r="AG285" s="1728"/>
      <c r="AH285" s="1728"/>
      <c r="AI285" s="1728"/>
      <c r="AJ285" s="1729"/>
      <c r="AK285" s="1728"/>
      <c r="AL285" s="1728"/>
      <c r="AM285" s="1728"/>
      <c r="AN285" s="1728"/>
      <c r="AO285" s="1729"/>
      <c r="AP285" s="1253"/>
      <c r="AQ285" s="1253"/>
      <c r="AR285" s="1253"/>
      <c r="AS285" s="1253"/>
      <c r="AT285" s="1471"/>
      <c r="AU285" s="1253"/>
      <c r="AV285" s="1253"/>
      <c r="AW285" s="1253"/>
      <c r="AX285" s="1253"/>
      <c r="AY285" s="1471"/>
      <c r="AZ285" s="1253"/>
      <c r="BA285" s="1253"/>
      <c r="BB285" s="1253"/>
      <c r="BC285" s="1253"/>
      <c r="BD285" s="1471"/>
      <c r="BE285" s="1253"/>
      <c r="BF285" s="1253"/>
      <c r="BG285" s="1253"/>
      <c r="BH285" s="1730"/>
      <c r="BI285" s="1471"/>
      <c r="BJ285" s="1446"/>
      <c r="BK285" s="1731"/>
      <c r="BL285" s="1731"/>
      <c r="BM285" s="1731"/>
      <c r="BN285" s="1471"/>
      <c r="BO285" s="1731"/>
      <c r="BP285" s="1253"/>
      <c r="BQ285" s="1253"/>
      <c r="BR285" s="1253"/>
      <c r="BS285" s="1471"/>
      <c r="BT285" s="1253"/>
      <c r="BU285" s="1253"/>
      <c r="BV285" s="1253"/>
      <c r="BW285" s="1253"/>
      <c r="BX285" s="1471"/>
      <c r="BY285" s="1471"/>
      <c r="BZ285" s="1471"/>
      <c r="CA285" s="1471"/>
      <c r="CF285" s="1668"/>
      <c r="CG285" s="1536"/>
      <c r="CH285" s="1536"/>
      <c r="CI285" s="1536"/>
      <c r="CJ285" s="1536"/>
      <c r="CK285" s="1536"/>
      <c r="CL285" s="1729"/>
      <c r="CM285" s="1729"/>
      <c r="CN285" s="1729"/>
      <c r="CO285" s="1729"/>
      <c r="CP285" s="1729"/>
      <c r="CQ285" s="1729"/>
      <c r="CR285" s="1729"/>
      <c r="CS285" s="1471"/>
      <c r="CT285" s="1471"/>
      <c r="CU285" s="1471"/>
      <c r="CV285" s="1471"/>
      <c r="CW285" s="1471"/>
      <c r="CX285" s="1471"/>
      <c r="CY285" s="1471"/>
      <c r="CZ285" s="1471"/>
      <c r="DA285" s="1471"/>
      <c r="DB285" s="1471"/>
    </row>
    <row r="286" spans="1:106" s="1600" customFormat="1">
      <c r="A286" s="1306" t="s">
        <v>506</v>
      </c>
      <c r="B286" s="1536"/>
      <c r="C286" s="1536"/>
      <c r="D286" s="1536"/>
      <c r="E286" s="1536"/>
      <c r="F286" s="1536"/>
      <c r="G286" s="1728"/>
      <c r="H286" s="1728"/>
      <c r="I286" s="1728"/>
      <c r="J286" s="1728"/>
      <c r="K286" s="1729"/>
      <c r="L286" s="1728"/>
      <c r="M286" s="1728"/>
      <c r="N286" s="1728"/>
      <c r="O286" s="1728"/>
      <c r="P286" s="1729"/>
      <c r="Q286" s="1728"/>
      <c r="R286" s="1728"/>
      <c r="S286" s="1728"/>
      <c r="T286" s="1728"/>
      <c r="U286" s="1729"/>
      <c r="V286" s="1728"/>
      <c r="W286" s="1728"/>
      <c r="X286" s="1728"/>
      <c r="Y286" s="1728"/>
      <c r="Z286" s="1729"/>
      <c r="AA286" s="1728"/>
      <c r="AB286" s="1728"/>
      <c r="AC286" s="1728"/>
      <c r="AD286" s="1728"/>
      <c r="AE286" s="1729"/>
      <c r="AF286" s="1728"/>
      <c r="AG286" s="1728"/>
      <c r="AH286" s="1728"/>
      <c r="AI286" s="1728"/>
      <c r="AJ286" s="1729"/>
      <c r="AK286" s="1728"/>
      <c r="AL286" s="1728"/>
      <c r="AM286" s="1728"/>
      <c r="AN286" s="1728"/>
      <c r="AO286" s="1729"/>
      <c r="AP286" s="1253"/>
      <c r="AQ286" s="1253"/>
      <c r="AR286" s="1253"/>
      <c r="AS286" s="1253"/>
      <c r="AT286" s="1471"/>
      <c r="AU286" s="1253"/>
      <c r="AV286" s="1253"/>
      <c r="AW286" s="1253"/>
      <c r="AX286" s="1253"/>
      <c r="AY286" s="1471"/>
      <c r="AZ286" s="1253"/>
      <c r="BA286" s="1253"/>
      <c r="BB286" s="1253"/>
      <c r="BC286" s="1253"/>
      <c r="BD286" s="1471"/>
      <c r="BE286" s="1253"/>
      <c r="BF286" s="1253"/>
      <c r="BG286" s="1253"/>
      <c r="BH286" s="1730"/>
      <c r="BI286" s="1471"/>
      <c r="BJ286" s="1731">
        <f t="shared" ref="BJ286:BK288" si="357">+BJ291/SUM(BJ$291:BJ$293)</f>
        <v>0.53349875930521096</v>
      </c>
      <c r="BK286" s="1731">
        <f t="shared" si="357"/>
        <v>0.53623188405797106</v>
      </c>
      <c r="BL286" s="1731">
        <f t="shared" ref="BL286:BM286" si="358">+BL291/SUM(BL$291:BL$293)</f>
        <v>0.53554502369668244</v>
      </c>
      <c r="BM286" s="1731">
        <f t="shared" si="358"/>
        <v>0.52847380410022782</v>
      </c>
      <c r="BN286" s="1471"/>
      <c r="BO286" s="1731">
        <f t="shared" ref="BO286" si="359">+BO291/SUM(BO$291:BO$293)</f>
        <v>0.52860411899313497</v>
      </c>
      <c r="BP286" s="1253"/>
      <c r="BQ286" s="1253"/>
      <c r="BR286" s="1253"/>
      <c r="BS286" s="1471"/>
      <c r="BT286" s="1253"/>
      <c r="BU286" s="1253"/>
      <c r="BV286" s="1253"/>
      <c r="BW286" s="1253"/>
      <c r="BX286" s="1471"/>
      <c r="BY286" s="1471"/>
      <c r="BZ286" s="1471"/>
      <c r="CA286" s="1471"/>
      <c r="CF286" s="1668"/>
      <c r="CG286" s="1536"/>
      <c r="CH286" s="1536"/>
      <c r="CI286" s="1536"/>
      <c r="CJ286" s="1536"/>
      <c r="CK286" s="1536"/>
      <c r="CL286" s="1729"/>
      <c r="CM286" s="1729"/>
      <c r="CN286" s="1729"/>
      <c r="CO286" s="1729"/>
      <c r="CP286" s="1729"/>
      <c r="CQ286" s="1729"/>
      <c r="CR286" s="1729"/>
      <c r="CS286" s="1471"/>
      <c r="CT286" s="1471"/>
      <c r="CU286" s="1471"/>
      <c r="CV286" s="1471"/>
      <c r="CW286" s="1471"/>
      <c r="CX286" s="1471"/>
      <c r="CY286" s="1471"/>
      <c r="CZ286" s="1471"/>
      <c r="DA286" s="1471"/>
      <c r="DB286" s="1471"/>
    </row>
    <row r="287" spans="1:106" s="1600" customFormat="1">
      <c r="A287" s="1306" t="s">
        <v>577</v>
      </c>
      <c r="B287" s="1536"/>
      <c r="C287" s="1536"/>
      <c r="D287" s="1536"/>
      <c r="E287" s="1536"/>
      <c r="F287" s="1536"/>
      <c r="G287" s="1728"/>
      <c r="H287" s="1728"/>
      <c r="I287" s="1728"/>
      <c r="J287" s="1728"/>
      <c r="K287" s="1729"/>
      <c r="L287" s="1728"/>
      <c r="M287" s="1728"/>
      <c r="N287" s="1728"/>
      <c r="O287" s="1728"/>
      <c r="P287" s="1729"/>
      <c r="Q287" s="1728"/>
      <c r="R287" s="1728"/>
      <c r="S287" s="1728"/>
      <c r="T287" s="1728"/>
      <c r="U287" s="1729"/>
      <c r="V287" s="1728"/>
      <c r="W287" s="1728"/>
      <c r="X287" s="1728"/>
      <c r="Y287" s="1728"/>
      <c r="Z287" s="1729"/>
      <c r="AA287" s="1728"/>
      <c r="AB287" s="1728"/>
      <c r="AC287" s="1728"/>
      <c r="AD287" s="1728"/>
      <c r="AE287" s="1729"/>
      <c r="AF287" s="1728"/>
      <c r="AG287" s="1728"/>
      <c r="AH287" s="1728"/>
      <c r="AI287" s="1728"/>
      <c r="AJ287" s="1729"/>
      <c r="AK287" s="1728"/>
      <c r="AL287" s="1728"/>
      <c r="AM287" s="1728"/>
      <c r="AN287" s="1728"/>
      <c r="AO287" s="1729"/>
      <c r="AP287" s="1253"/>
      <c r="AQ287" s="1253"/>
      <c r="AR287" s="1253"/>
      <c r="AS287" s="1253"/>
      <c r="AT287" s="1471"/>
      <c r="AU287" s="1253"/>
      <c r="AV287" s="1253"/>
      <c r="AW287" s="1253"/>
      <c r="AX287" s="1253"/>
      <c r="AY287" s="1471"/>
      <c r="AZ287" s="1253"/>
      <c r="BA287" s="1253"/>
      <c r="BB287" s="1253"/>
      <c r="BC287" s="1253"/>
      <c r="BD287" s="1471"/>
      <c r="BE287" s="1253"/>
      <c r="BF287" s="1253"/>
      <c r="BG287" s="1253"/>
      <c r="BH287" s="1730"/>
      <c r="BI287" s="1471"/>
      <c r="BJ287" s="1731">
        <f t="shared" si="357"/>
        <v>0.18114143920595532</v>
      </c>
      <c r="BK287" s="1731">
        <f t="shared" si="357"/>
        <v>0.18357487922705315</v>
      </c>
      <c r="BL287" s="1731">
        <f t="shared" ref="BL287:BM287" si="360">+BL292/SUM(BL$291:BL$293)</f>
        <v>0.18246445497630331</v>
      </c>
      <c r="BM287" s="1731">
        <f t="shared" si="360"/>
        <v>0.18223234624145787</v>
      </c>
      <c r="BN287" s="1471"/>
      <c r="BO287" s="1731">
        <f t="shared" ref="BO287" si="361">+BO292/SUM(BO$291:BO$293)</f>
        <v>0.18764302059496568</v>
      </c>
      <c r="BP287" s="1253"/>
      <c r="BQ287" s="1253"/>
      <c r="BR287" s="1253"/>
      <c r="BS287" s="1471"/>
      <c r="BT287" s="1253"/>
      <c r="BU287" s="1253"/>
      <c r="BV287" s="1253"/>
      <c r="BW287" s="1253"/>
      <c r="BX287" s="1471"/>
      <c r="BY287" s="1471"/>
      <c r="BZ287" s="1471"/>
      <c r="CA287" s="1471"/>
      <c r="CF287" s="1668"/>
      <c r="CG287" s="1536"/>
      <c r="CH287" s="1536"/>
      <c r="CI287" s="1536"/>
      <c r="CJ287" s="1536"/>
      <c r="CK287" s="1536"/>
      <c r="CL287" s="1729"/>
      <c r="CM287" s="1729"/>
      <c r="CN287" s="1729"/>
      <c r="CO287" s="1729"/>
      <c r="CP287" s="1729"/>
      <c r="CQ287" s="1729"/>
      <c r="CR287" s="1729"/>
      <c r="CS287" s="1471"/>
      <c r="CT287" s="1471"/>
      <c r="CU287" s="1471"/>
      <c r="CV287" s="1471"/>
      <c r="CW287" s="1471"/>
      <c r="CX287" s="1471"/>
      <c r="CY287" s="1471"/>
      <c r="CZ287" s="1471"/>
      <c r="DA287" s="1471"/>
      <c r="DB287" s="1471"/>
    </row>
    <row r="288" spans="1:106" s="1600" customFormat="1">
      <c r="A288" s="1306" t="s">
        <v>550</v>
      </c>
      <c r="B288" s="1536"/>
      <c r="C288" s="1536"/>
      <c r="D288" s="1536"/>
      <c r="E288" s="1536"/>
      <c r="F288" s="1536"/>
      <c r="G288" s="1728"/>
      <c r="H288" s="1728"/>
      <c r="I288" s="1728"/>
      <c r="J288" s="1728"/>
      <c r="K288" s="1729"/>
      <c r="L288" s="1728"/>
      <c r="M288" s="1728"/>
      <c r="N288" s="1728"/>
      <c r="O288" s="1728"/>
      <c r="P288" s="1729"/>
      <c r="Q288" s="1728"/>
      <c r="R288" s="1728"/>
      <c r="S288" s="1728"/>
      <c r="T288" s="1728"/>
      <c r="U288" s="1729"/>
      <c r="V288" s="1728"/>
      <c r="W288" s="1728"/>
      <c r="X288" s="1728"/>
      <c r="Y288" s="1728"/>
      <c r="Z288" s="1729"/>
      <c r="AA288" s="1728"/>
      <c r="AB288" s="1728"/>
      <c r="AC288" s="1728"/>
      <c r="AD288" s="1728"/>
      <c r="AE288" s="1729"/>
      <c r="AF288" s="1728"/>
      <c r="AG288" s="1728"/>
      <c r="AH288" s="1728"/>
      <c r="AI288" s="1728"/>
      <c r="AJ288" s="1729"/>
      <c r="AK288" s="1728"/>
      <c r="AL288" s="1728"/>
      <c r="AM288" s="1728"/>
      <c r="AN288" s="1728"/>
      <c r="AO288" s="1729"/>
      <c r="AP288" s="1253"/>
      <c r="AQ288" s="1253"/>
      <c r="AR288" s="1253"/>
      <c r="AS288" s="1253"/>
      <c r="AT288" s="1471"/>
      <c r="AU288" s="1253"/>
      <c r="AV288" s="1253"/>
      <c r="AW288" s="1253"/>
      <c r="AX288" s="1253"/>
      <c r="AY288" s="1471"/>
      <c r="AZ288" s="1253"/>
      <c r="BA288" s="1253"/>
      <c r="BB288" s="1253"/>
      <c r="BC288" s="1253"/>
      <c r="BD288" s="1471"/>
      <c r="BE288" s="1253"/>
      <c r="BF288" s="1253"/>
      <c r="BG288" s="1253"/>
      <c r="BH288" s="1730"/>
      <c r="BI288" s="1471"/>
      <c r="BJ288" s="1731">
        <f t="shared" si="357"/>
        <v>0.28535980148883372</v>
      </c>
      <c r="BK288" s="1731">
        <f t="shared" si="357"/>
        <v>0.28019323671497587</v>
      </c>
      <c r="BL288" s="1731">
        <f t="shared" ref="BL288:BM288" si="362">+BL293/SUM(BL$291:BL$293)</f>
        <v>0.28199052132701424</v>
      </c>
      <c r="BM288" s="1731">
        <f t="shared" si="362"/>
        <v>0.28929384965831434</v>
      </c>
      <c r="BN288" s="1471"/>
      <c r="BO288" s="1731">
        <f t="shared" ref="BO288" si="363">+BO293/SUM(BO$291:BO$293)</f>
        <v>0.28375286041189929</v>
      </c>
      <c r="BP288" s="1253"/>
      <c r="BQ288" s="1253"/>
      <c r="BR288" s="1253"/>
      <c r="BS288" s="1471"/>
      <c r="BT288" s="1253"/>
      <c r="BU288" s="1253"/>
      <c r="BV288" s="1253"/>
      <c r="BW288" s="1253"/>
      <c r="BX288" s="1471"/>
      <c r="BY288" s="1471"/>
      <c r="BZ288" s="1471"/>
      <c r="CA288" s="1471"/>
      <c r="CF288" s="1668"/>
      <c r="CG288" s="1536"/>
      <c r="CH288" s="1536"/>
      <c r="CI288" s="1536"/>
      <c r="CJ288" s="1536"/>
      <c r="CK288" s="1536"/>
      <c r="CL288" s="1729"/>
      <c r="CM288" s="1729"/>
      <c r="CN288" s="1729"/>
      <c r="CO288" s="1729"/>
      <c r="CP288" s="1729"/>
      <c r="CQ288" s="1729"/>
      <c r="CR288" s="1729"/>
      <c r="CS288" s="1471"/>
      <c r="CT288" s="1471"/>
      <c r="CU288" s="1471"/>
      <c r="CV288" s="1471"/>
      <c r="CW288" s="1471"/>
      <c r="CX288" s="1471"/>
      <c r="CY288" s="1471"/>
      <c r="CZ288" s="1471"/>
      <c r="DA288" s="1471"/>
      <c r="DB288" s="1471"/>
    </row>
    <row r="289" spans="1:106" s="1600" customFormat="1">
      <c r="A289" s="1306"/>
      <c r="B289" s="1536"/>
      <c r="C289" s="1536"/>
      <c r="D289" s="1536"/>
      <c r="E289" s="1536"/>
      <c r="F289" s="1536"/>
      <c r="G289" s="1728"/>
      <c r="H289" s="1728"/>
      <c r="I289" s="1728"/>
      <c r="J289" s="1728"/>
      <c r="K289" s="1729"/>
      <c r="L289" s="1728"/>
      <c r="M289" s="1728"/>
      <c r="N289" s="1728"/>
      <c r="O289" s="1728"/>
      <c r="P289" s="1729"/>
      <c r="Q289" s="1728"/>
      <c r="R289" s="1728"/>
      <c r="S289" s="1728"/>
      <c r="T289" s="1728"/>
      <c r="U289" s="1729"/>
      <c r="V289" s="1728"/>
      <c r="W289" s="1728"/>
      <c r="X289" s="1728"/>
      <c r="Y289" s="1728"/>
      <c r="Z289" s="1729"/>
      <c r="AA289" s="1728"/>
      <c r="AB289" s="1728"/>
      <c r="AC289" s="1728"/>
      <c r="AD289" s="1728"/>
      <c r="AE289" s="1729"/>
      <c r="AF289" s="1728"/>
      <c r="AG289" s="1728"/>
      <c r="AH289" s="1728"/>
      <c r="AI289" s="1728"/>
      <c r="AJ289" s="1729"/>
      <c r="AK289" s="1728"/>
      <c r="AL289" s="1728"/>
      <c r="AM289" s="1728"/>
      <c r="AN289" s="1728"/>
      <c r="AO289" s="1729"/>
      <c r="AP289" s="1253"/>
      <c r="AQ289" s="1253"/>
      <c r="AR289" s="1253"/>
      <c r="AS289" s="1253"/>
      <c r="AT289" s="1471"/>
      <c r="AU289" s="1253"/>
      <c r="AV289" s="1253"/>
      <c r="AW289" s="1253"/>
      <c r="AX289" s="1253"/>
      <c r="AY289" s="1471"/>
      <c r="AZ289" s="1253"/>
      <c r="BA289" s="1253"/>
      <c r="BB289" s="1253"/>
      <c r="BC289" s="1253"/>
      <c r="BD289" s="1471"/>
      <c r="BE289" s="1253"/>
      <c r="BF289" s="1253"/>
      <c r="BG289" s="1253"/>
      <c r="BH289" s="1730"/>
      <c r="BI289" s="1471"/>
      <c r="BJ289" s="1446"/>
      <c r="BK289" s="1253"/>
      <c r="BL289" s="1253"/>
      <c r="BM289" s="1253"/>
      <c r="BN289" s="1471"/>
      <c r="BO289" s="1253"/>
      <c r="BP289" s="1253"/>
      <c r="BQ289" s="1253"/>
      <c r="BR289" s="1253"/>
      <c r="BS289" s="1471"/>
      <c r="BT289" s="1253"/>
      <c r="BU289" s="1253"/>
      <c r="BV289" s="1253"/>
      <c r="BW289" s="1253"/>
      <c r="BX289" s="1471"/>
      <c r="BY289" s="1471"/>
      <c r="BZ289" s="1471"/>
      <c r="CA289" s="1471"/>
      <c r="CF289" s="1668"/>
      <c r="CG289" s="1536"/>
      <c r="CH289" s="1536"/>
      <c r="CI289" s="1536"/>
      <c r="CJ289" s="1536"/>
      <c r="CK289" s="1536"/>
      <c r="CL289" s="1729"/>
      <c r="CM289" s="1729"/>
      <c r="CN289" s="1729"/>
      <c r="CO289" s="1729"/>
      <c r="CP289" s="1729"/>
      <c r="CQ289" s="1729"/>
      <c r="CR289" s="1729"/>
      <c r="CS289" s="1471"/>
      <c r="CT289" s="1471"/>
      <c r="CU289" s="1471"/>
      <c r="CV289" s="1471"/>
      <c r="CW289" s="1471"/>
      <c r="CX289" s="1471"/>
      <c r="CY289" s="1471"/>
      <c r="CZ289" s="1471"/>
      <c r="DA289" s="1471"/>
      <c r="DB289" s="1471"/>
    </row>
    <row r="290" spans="1:106" s="1600" customFormat="1">
      <c r="A290" s="1305" t="s">
        <v>351</v>
      </c>
      <c r="B290" s="1536"/>
      <c r="C290" s="1536"/>
      <c r="D290" s="1536"/>
      <c r="E290" s="1536"/>
      <c r="F290" s="1536"/>
      <c r="G290" s="1728"/>
      <c r="H290" s="1728"/>
      <c r="I290" s="1728"/>
      <c r="J290" s="1728"/>
      <c r="K290" s="1729"/>
      <c r="L290" s="1728"/>
      <c r="M290" s="1728"/>
      <c r="N290" s="1728"/>
      <c r="O290" s="1728"/>
      <c r="P290" s="1729"/>
      <c r="Q290" s="1728"/>
      <c r="R290" s="1728"/>
      <c r="S290" s="1728"/>
      <c r="T290" s="1728"/>
      <c r="U290" s="1729"/>
      <c r="V290" s="1728"/>
      <c r="W290" s="1728"/>
      <c r="X290" s="1728"/>
      <c r="Y290" s="1728"/>
      <c r="Z290" s="1729"/>
      <c r="AA290" s="1728"/>
      <c r="AB290" s="1728"/>
      <c r="AC290" s="1728"/>
      <c r="AD290" s="1728"/>
      <c r="AE290" s="1729"/>
      <c r="AF290" s="1728"/>
      <c r="AG290" s="1728"/>
      <c r="AH290" s="1728"/>
      <c r="AI290" s="1728"/>
      <c r="AJ290" s="1729"/>
      <c r="AK290" s="1728"/>
      <c r="AL290" s="1728"/>
      <c r="AM290" s="1728"/>
      <c r="AN290" s="1728"/>
      <c r="AO290" s="1729"/>
      <c r="AP290" s="1253"/>
      <c r="AQ290" s="1253"/>
      <c r="AR290" s="1253"/>
      <c r="AS290" s="1253"/>
      <c r="AT290" s="1471"/>
      <c r="AU290" s="1253"/>
      <c r="AV290" s="1253"/>
      <c r="AW290" s="1253"/>
      <c r="AX290" s="1253"/>
      <c r="AY290" s="1471"/>
      <c r="AZ290" s="1253"/>
      <c r="BA290" s="1253"/>
      <c r="BB290" s="1253"/>
      <c r="BC290" s="1253"/>
      <c r="BD290" s="1471"/>
      <c r="BE290" s="1253"/>
      <c r="BF290" s="1253"/>
      <c r="BG290" s="1253"/>
      <c r="BH290" s="1730"/>
      <c r="BI290" s="1471"/>
      <c r="BJ290" s="1446"/>
      <c r="BK290" s="1253"/>
      <c r="BL290" s="1253"/>
      <c r="BM290" s="1253"/>
      <c r="BN290" s="1471"/>
      <c r="BO290" s="1253"/>
      <c r="BP290" s="1253"/>
      <c r="BQ290" s="1253"/>
      <c r="BR290" s="1253"/>
      <c r="BS290" s="1471"/>
      <c r="BT290" s="1253"/>
      <c r="BU290" s="1253"/>
      <c r="BV290" s="1253"/>
      <c r="BW290" s="1253"/>
      <c r="BX290" s="1471"/>
      <c r="BY290" s="1471"/>
      <c r="BZ290" s="1471"/>
      <c r="CA290" s="1471"/>
      <c r="CF290" s="1668"/>
      <c r="CG290" s="1536"/>
      <c r="CH290" s="1536"/>
      <c r="CI290" s="1536"/>
      <c r="CJ290" s="1536"/>
      <c r="CK290" s="1536"/>
      <c r="CL290" s="1729"/>
      <c r="CM290" s="1729"/>
      <c r="CN290" s="1729"/>
      <c r="CO290" s="1729"/>
      <c r="CP290" s="1729"/>
      <c r="CQ290" s="1729"/>
      <c r="CR290" s="1729"/>
      <c r="CS290" s="1471"/>
      <c r="CT290" s="1471"/>
      <c r="CU290" s="1471"/>
      <c r="CV290" s="1471"/>
      <c r="CW290" s="1471"/>
      <c r="CX290" s="1471"/>
      <c r="CY290" s="1471"/>
      <c r="CZ290" s="1471"/>
      <c r="DA290" s="1471"/>
      <c r="DB290" s="1471"/>
    </row>
    <row r="291" spans="1:106" s="1600" customFormat="1">
      <c r="A291" s="1306" t="s">
        <v>506</v>
      </c>
      <c r="B291" s="1536"/>
      <c r="C291" s="1536"/>
      <c r="D291" s="1536"/>
      <c r="E291" s="1536"/>
      <c r="F291" s="1536"/>
      <c r="G291" s="1728"/>
      <c r="H291" s="1728"/>
      <c r="I291" s="1728"/>
      <c r="J291" s="1728"/>
      <c r="K291" s="1729"/>
      <c r="L291" s="1728"/>
      <c r="M291" s="1728"/>
      <c r="N291" s="1728"/>
      <c r="O291" s="1728"/>
      <c r="P291" s="1729"/>
      <c r="Q291" s="1728"/>
      <c r="R291" s="1728"/>
      <c r="S291" s="1728"/>
      <c r="T291" s="1728"/>
      <c r="U291" s="1729"/>
      <c r="V291" s="1728"/>
      <c r="W291" s="1728"/>
      <c r="X291" s="1728"/>
      <c r="Y291" s="1728"/>
      <c r="Z291" s="1729"/>
      <c r="AA291" s="1728"/>
      <c r="AB291" s="1728"/>
      <c r="AC291" s="1728"/>
      <c r="AD291" s="1728"/>
      <c r="AE291" s="1729"/>
      <c r="AF291" s="1728"/>
      <c r="AG291" s="1728"/>
      <c r="AH291" s="1728"/>
      <c r="AI291" s="1728"/>
      <c r="AJ291" s="1729"/>
      <c r="AK291" s="1728"/>
      <c r="AL291" s="1728"/>
      <c r="AM291" s="1728"/>
      <c r="AN291" s="1728"/>
      <c r="AO291" s="1729"/>
      <c r="AP291" s="1253"/>
      <c r="AQ291" s="1253"/>
      <c r="AR291" s="1253"/>
      <c r="AS291" s="1253"/>
      <c r="AT291" s="1471"/>
      <c r="AU291" s="1253"/>
      <c r="AV291" s="1253"/>
      <c r="AW291" s="1253"/>
      <c r="AX291" s="1253"/>
      <c r="AY291" s="1471"/>
      <c r="AZ291" s="1253"/>
      <c r="BA291" s="1253"/>
      <c r="BB291" s="1253"/>
      <c r="BC291" s="1253"/>
      <c r="BD291" s="1471"/>
      <c r="BE291" s="2026">
        <v>198</v>
      </c>
      <c r="BF291" s="2026">
        <v>201</v>
      </c>
      <c r="BG291" s="2095">
        <v>209</v>
      </c>
      <c r="BH291" s="2164">
        <v>213</v>
      </c>
      <c r="BI291" s="1471">
        <f>SUM(BE291:BH291)</f>
        <v>821</v>
      </c>
      <c r="BJ291" s="2044">
        <v>215</v>
      </c>
      <c r="BK291" s="2026">
        <v>222</v>
      </c>
      <c r="BL291" s="2164">
        <v>226</v>
      </c>
      <c r="BM291" s="2164">
        <v>232</v>
      </c>
      <c r="BN291" s="1471">
        <f>SUM(BJ291:BM291)</f>
        <v>895</v>
      </c>
      <c r="BO291" s="2164">
        <v>231</v>
      </c>
      <c r="BP291" s="1253"/>
      <c r="BQ291" s="1253"/>
      <c r="BR291" s="1253"/>
      <c r="BS291" s="1471"/>
      <c r="BT291" s="1253"/>
      <c r="BU291" s="1253"/>
      <c r="BV291" s="1253"/>
      <c r="BW291" s="1253"/>
      <c r="BX291" s="1471"/>
      <c r="BY291" s="1471"/>
      <c r="BZ291" s="1471"/>
      <c r="CA291" s="1471"/>
      <c r="CF291" s="1668"/>
      <c r="CG291" s="1536"/>
      <c r="CH291" s="1536"/>
      <c r="CI291" s="1536"/>
      <c r="CJ291" s="1536"/>
      <c r="CK291" s="1536"/>
      <c r="CL291" s="1729"/>
      <c r="CM291" s="1729"/>
      <c r="CN291" s="1729"/>
      <c r="CO291" s="1729"/>
      <c r="CP291" s="1729"/>
      <c r="CQ291" s="1729"/>
      <c r="CR291" s="1729"/>
      <c r="CS291" s="1471"/>
      <c r="CT291" s="1471"/>
      <c r="CU291" s="1471"/>
      <c r="CV291" s="1471"/>
      <c r="CW291" s="1471"/>
      <c r="CX291" s="1471"/>
      <c r="CY291" s="1471"/>
      <c r="CZ291" s="1471"/>
      <c r="DA291" s="1471"/>
      <c r="DB291" s="1471"/>
    </row>
    <row r="292" spans="1:106" s="1600" customFormat="1">
      <c r="A292" s="1306" t="s">
        <v>577</v>
      </c>
      <c r="B292" s="1536"/>
      <c r="C292" s="1536"/>
      <c r="D292" s="1536"/>
      <c r="E292" s="1536"/>
      <c r="F292" s="1536"/>
      <c r="G292" s="1728"/>
      <c r="H292" s="1728"/>
      <c r="I292" s="1728"/>
      <c r="J292" s="1728"/>
      <c r="K292" s="1729"/>
      <c r="L292" s="1728"/>
      <c r="M292" s="1728"/>
      <c r="N292" s="1728"/>
      <c r="O292" s="1728"/>
      <c r="P292" s="1729"/>
      <c r="Q292" s="1728"/>
      <c r="R292" s="1728"/>
      <c r="S292" s="1728"/>
      <c r="T292" s="1728"/>
      <c r="U292" s="1729"/>
      <c r="V292" s="1728"/>
      <c r="W292" s="1728"/>
      <c r="X292" s="1728"/>
      <c r="Y292" s="1728"/>
      <c r="Z292" s="1729"/>
      <c r="AA292" s="1728"/>
      <c r="AB292" s="1728"/>
      <c r="AC292" s="1728"/>
      <c r="AD292" s="1728"/>
      <c r="AE292" s="1729"/>
      <c r="AF292" s="1728"/>
      <c r="AG292" s="1728"/>
      <c r="AH292" s="1728"/>
      <c r="AI292" s="1728"/>
      <c r="AJ292" s="1729"/>
      <c r="AK292" s="1728"/>
      <c r="AL292" s="1728"/>
      <c r="AM292" s="1728"/>
      <c r="AN292" s="1728"/>
      <c r="AO292" s="1729"/>
      <c r="AP292" s="1253"/>
      <c r="AQ292" s="1253"/>
      <c r="AR292" s="1253"/>
      <c r="AS292" s="1253"/>
      <c r="AT292" s="1471"/>
      <c r="AU292" s="1253"/>
      <c r="AV292" s="1253"/>
      <c r="AW292" s="1253"/>
      <c r="AX292" s="1253"/>
      <c r="AY292" s="1471"/>
      <c r="AZ292" s="1253"/>
      <c r="BA292" s="1253"/>
      <c r="BB292" s="1253"/>
      <c r="BC292" s="1253"/>
      <c r="BD292" s="1471"/>
      <c r="BE292" s="2026">
        <v>68</v>
      </c>
      <c r="BF292" s="2026">
        <v>70</v>
      </c>
      <c r="BG292" s="2095">
        <v>70</v>
      </c>
      <c r="BH292" s="2164">
        <v>72</v>
      </c>
      <c r="BI292" s="1471">
        <f t="shared" ref="BI292:BI293" si="364">SUM(BE292:BH292)</f>
        <v>280</v>
      </c>
      <c r="BJ292" s="2044">
        <v>73</v>
      </c>
      <c r="BK292" s="2026">
        <v>76</v>
      </c>
      <c r="BL292" s="2164">
        <v>77</v>
      </c>
      <c r="BM292" s="2164">
        <v>80</v>
      </c>
      <c r="BN292" s="1471">
        <f t="shared" ref="BN292:BN293" si="365">SUM(BJ292:BM292)</f>
        <v>306</v>
      </c>
      <c r="BO292" s="2164">
        <v>82</v>
      </c>
      <c r="BP292" s="1253"/>
      <c r="BQ292" s="1253"/>
      <c r="BR292" s="1253"/>
      <c r="BS292" s="1471"/>
      <c r="BT292" s="1253"/>
      <c r="BU292" s="1253"/>
      <c r="BV292" s="1253"/>
      <c r="BW292" s="1253"/>
      <c r="BX292" s="1471"/>
      <c r="BY292" s="1471"/>
      <c r="BZ292" s="1471"/>
      <c r="CA292" s="1471"/>
      <c r="CF292" s="1668"/>
      <c r="CG292" s="1536"/>
      <c r="CH292" s="1536"/>
      <c r="CI292" s="1536"/>
      <c r="CJ292" s="1536"/>
      <c r="CK292" s="1536"/>
      <c r="CL292" s="1729"/>
      <c r="CM292" s="1729"/>
      <c r="CN292" s="1729"/>
      <c r="CO292" s="1729"/>
      <c r="CP292" s="1729"/>
      <c r="CQ292" s="1729"/>
      <c r="CR292" s="1729"/>
      <c r="CS292" s="1471"/>
      <c r="CT292" s="1471"/>
      <c r="CU292" s="1471"/>
      <c r="CV292" s="1471"/>
      <c r="CW292" s="1471"/>
      <c r="CX292" s="1471"/>
      <c r="CY292" s="1471"/>
      <c r="CZ292" s="1471"/>
      <c r="DA292" s="1471"/>
      <c r="DB292" s="1471"/>
    </row>
    <row r="293" spans="1:106" s="1600" customFormat="1">
      <c r="A293" s="1306" t="s">
        <v>550</v>
      </c>
      <c r="B293" s="1536"/>
      <c r="C293" s="1536"/>
      <c r="D293" s="1536"/>
      <c r="E293" s="1536"/>
      <c r="F293" s="1536"/>
      <c r="G293" s="1728"/>
      <c r="H293" s="1728"/>
      <c r="I293" s="1728"/>
      <c r="J293" s="1728"/>
      <c r="K293" s="1729"/>
      <c r="L293" s="1728"/>
      <c r="M293" s="1728"/>
      <c r="N293" s="1728"/>
      <c r="O293" s="1728"/>
      <c r="P293" s="1729"/>
      <c r="Q293" s="1728"/>
      <c r="R293" s="1728"/>
      <c r="S293" s="1728"/>
      <c r="T293" s="1728"/>
      <c r="U293" s="1729"/>
      <c r="V293" s="1728"/>
      <c r="W293" s="1728"/>
      <c r="X293" s="1728"/>
      <c r="Y293" s="1728"/>
      <c r="Z293" s="1729"/>
      <c r="AA293" s="1728"/>
      <c r="AB293" s="1728"/>
      <c r="AC293" s="1728"/>
      <c r="AD293" s="1728"/>
      <c r="AE293" s="1729"/>
      <c r="AF293" s="1728"/>
      <c r="AG293" s="1728"/>
      <c r="AH293" s="1728"/>
      <c r="AI293" s="1728"/>
      <c r="AJ293" s="1729"/>
      <c r="AK293" s="1728"/>
      <c r="AL293" s="1728"/>
      <c r="AM293" s="1728"/>
      <c r="AN293" s="1728"/>
      <c r="AO293" s="1729"/>
      <c r="AP293" s="1253"/>
      <c r="AQ293" s="1253"/>
      <c r="AR293" s="1253"/>
      <c r="AS293" s="1253"/>
      <c r="AT293" s="1471"/>
      <c r="AU293" s="1253"/>
      <c r="AV293" s="1253"/>
      <c r="AW293" s="1253"/>
      <c r="AX293" s="1253"/>
      <c r="AY293" s="1471"/>
      <c r="AZ293" s="1253"/>
      <c r="BA293" s="1253"/>
      <c r="BB293" s="1253"/>
      <c r="BC293" s="1253"/>
      <c r="BD293" s="1471"/>
      <c r="BE293" s="2026">
        <v>104</v>
      </c>
      <c r="BF293" s="2026">
        <v>109</v>
      </c>
      <c r="BG293" s="2095">
        <v>113</v>
      </c>
      <c r="BH293" s="2164">
        <v>117</v>
      </c>
      <c r="BI293" s="1471">
        <f t="shared" si="364"/>
        <v>443</v>
      </c>
      <c r="BJ293" s="2044">
        <v>115</v>
      </c>
      <c r="BK293" s="2026">
        <v>116</v>
      </c>
      <c r="BL293" s="2164">
        <v>119</v>
      </c>
      <c r="BM293" s="2164">
        <v>127</v>
      </c>
      <c r="BN293" s="1471">
        <f t="shared" si="365"/>
        <v>477</v>
      </c>
      <c r="BO293" s="1335">
        <v>124</v>
      </c>
      <c r="BP293" s="1253"/>
      <c r="BQ293" s="1253"/>
      <c r="BR293" s="1253"/>
      <c r="BS293" s="1471"/>
      <c r="BT293" s="1253"/>
      <c r="BU293" s="1253"/>
      <c r="BV293" s="1253"/>
      <c r="BW293" s="1253"/>
      <c r="BX293" s="1471"/>
      <c r="BY293" s="1471"/>
      <c r="BZ293" s="1471"/>
      <c r="CA293" s="1471"/>
      <c r="CF293" s="1668"/>
      <c r="CG293" s="1536"/>
      <c r="CH293" s="1536"/>
      <c r="CI293" s="1536"/>
      <c r="CJ293" s="1536"/>
      <c r="CK293" s="1536"/>
      <c r="CL293" s="1729"/>
      <c r="CM293" s="1729"/>
      <c r="CN293" s="1729"/>
      <c r="CO293" s="1729"/>
      <c r="CP293" s="1729"/>
      <c r="CQ293" s="1729"/>
      <c r="CR293" s="1729"/>
      <c r="CS293" s="1471"/>
      <c r="CT293" s="1471"/>
      <c r="CU293" s="1471"/>
      <c r="CV293" s="1471"/>
      <c r="CW293" s="1471"/>
      <c r="CX293" s="1471"/>
      <c r="CY293" s="1471"/>
      <c r="CZ293" s="1471"/>
      <c r="DA293" s="1471"/>
      <c r="DB293" s="1471"/>
    </row>
    <row r="294" spans="1:106" s="1600" customFormat="1">
      <c r="A294" s="1727"/>
      <c r="B294" s="1536"/>
      <c r="C294" s="1536"/>
      <c r="D294" s="1536"/>
      <c r="E294" s="1536"/>
      <c r="F294" s="1536"/>
      <c r="G294" s="1728"/>
      <c r="H294" s="1728"/>
      <c r="I294" s="1728"/>
      <c r="J294" s="1728"/>
      <c r="K294" s="1729"/>
      <c r="L294" s="1728"/>
      <c r="M294" s="1728"/>
      <c r="N294" s="1728"/>
      <c r="O294" s="1728"/>
      <c r="P294" s="1729"/>
      <c r="Q294" s="1728"/>
      <c r="R294" s="1728"/>
      <c r="S294" s="1728"/>
      <c r="T294" s="1728"/>
      <c r="U294" s="1729"/>
      <c r="V294" s="1728"/>
      <c r="W294" s="1728"/>
      <c r="X294" s="1728"/>
      <c r="Y294" s="1728"/>
      <c r="Z294" s="1729"/>
      <c r="AA294" s="1728"/>
      <c r="AB294" s="1728"/>
      <c r="AC294" s="1728"/>
      <c r="AD294" s="1728"/>
      <c r="AE294" s="1729"/>
      <c r="AF294" s="1728"/>
      <c r="AG294" s="1728"/>
      <c r="AH294" s="1728"/>
      <c r="AI294" s="1728"/>
      <c r="AJ294" s="1729"/>
      <c r="AK294" s="1728"/>
      <c r="AL294" s="1728"/>
      <c r="AM294" s="1728"/>
      <c r="AN294" s="1728"/>
      <c r="AO294" s="1729"/>
      <c r="AP294" s="1253"/>
      <c r="AQ294" s="1253"/>
      <c r="AR294" s="1253"/>
      <c r="AS294" s="1253"/>
      <c r="AT294" s="1471"/>
      <c r="AU294" s="1253"/>
      <c r="AV294" s="1253"/>
      <c r="AW294" s="1253"/>
      <c r="AX294" s="1253"/>
      <c r="AY294" s="1471"/>
      <c r="AZ294" s="1253"/>
      <c r="BA294" s="1253"/>
      <c r="BB294" s="1253"/>
      <c r="BC294" s="1253"/>
      <c r="BD294" s="1471"/>
      <c r="BE294" s="1253"/>
      <c r="BF294" s="1253"/>
      <c r="BG294" s="1253"/>
      <c r="BH294" s="1730"/>
      <c r="BI294" s="1471"/>
      <c r="BJ294" s="1446"/>
      <c r="BK294" s="1253"/>
      <c r="BL294" s="1253"/>
      <c r="BM294" s="1253"/>
      <c r="BN294" s="1471"/>
      <c r="BO294" s="1253"/>
      <c r="BP294" s="1253"/>
      <c r="BQ294" s="1253"/>
      <c r="BR294" s="1253"/>
      <c r="BS294" s="1471"/>
      <c r="BT294" s="1253"/>
      <c r="BU294" s="1253"/>
      <c r="BV294" s="1253"/>
      <c r="BW294" s="1253"/>
      <c r="BX294" s="1471"/>
      <c r="BY294" s="1471"/>
      <c r="BZ294" s="1471"/>
      <c r="CA294" s="1471"/>
      <c r="CF294" s="1668"/>
      <c r="CG294" s="1536"/>
      <c r="CH294" s="1536"/>
      <c r="CI294" s="1536"/>
      <c r="CJ294" s="1536"/>
      <c r="CK294" s="1536"/>
      <c r="CL294" s="1729"/>
      <c r="CM294" s="1729"/>
      <c r="CN294" s="1729"/>
      <c r="CO294" s="1729"/>
      <c r="CP294" s="1729"/>
      <c r="CQ294" s="1729"/>
      <c r="CR294" s="1729"/>
      <c r="CS294" s="1471"/>
      <c r="CT294" s="1471"/>
      <c r="CU294" s="1471"/>
      <c r="CV294" s="1471"/>
      <c r="CW294" s="1471"/>
      <c r="CX294" s="1471"/>
      <c r="CY294" s="1471"/>
      <c r="CZ294" s="1471"/>
      <c r="DA294" s="1471"/>
      <c r="DB294" s="1471"/>
    </row>
    <row r="295" spans="1:106" s="1600" customFormat="1" hidden="1">
      <c r="A295" s="1727"/>
      <c r="B295" s="1536"/>
      <c r="C295" s="1536"/>
      <c r="D295" s="1536"/>
      <c r="E295" s="1536"/>
      <c r="F295" s="1536"/>
      <c r="G295" s="1728"/>
      <c r="H295" s="1728"/>
      <c r="I295" s="1728"/>
      <c r="J295" s="1728"/>
      <c r="K295" s="1729"/>
      <c r="L295" s="1728"/>
      <c r="M295" s="1728"/>
      <c r="N295" s="1728"/>
      <c r="O295" s="1728"/>
      <c r="P295" s="1729"/>
      <c r="Q295" s="1728"/>
      <c r="R295" s="1728"/>
      <c r="S295" s="1728"/>
      <c r="T295" s="1728"/>
      <c r="U295" s="1729"/>
      <c r="V295" s="1728"/>
      <c r="W295" s="1728"/>
      <c r="X295" s="1728"/>
      <c r="Y295" s="1728"/>
      <c r="Z295" s="1729"/>
      <c r="AA295" s="1728"/>
      <c r="AB295" s="1728"/>
      <c r="AC295" s="1728"/>
      <c r="AD295" s="1728"/>
      <c r="AE295" s="1729"/>
      <c r="AF295" s="1728"/>
      <c r="AG295" s="1728"/>
      <c r="AH295" s="1728"/>
      <c r="AI295" s="1728"/>
      <c r="AJ295" s="1729"/>
      <c r="AK295" s="1728"/>
      <c r="AL295" s="1728"/>
      <c r="AM295" s="1728"/>
      <c r="AN295" s="1728"/>
      <c r="AO295" s="1729"/>
      <c r="AP295" s="1253"/>
      <c r="AQ295" s="1253"/>
      <c r="AR295" s="1253"/>
      <c r="AS295" s="1253"/>
      <c r="AT295" s="1471"/>
      <c r="AU295" s="1253"/>
      <c r="AV295" s="1253"/>
      <c r="AW295" s="1253"/>
      <c r="AX295" s="1253"/>
      <c r="AY295" s="1471"/>
      <c r="AZ295" s="1253"/>
      <c r="BA295" s="1253"/>
      <c r="BB295" s="1253"/>
      <c r="BC295" s="1253"/>
      <c r="BD295" s="1471"/>
      <c r="BE295" s="1253"/>
      <c r="BF295" s="1253"/>
      <c r="BG295" s="1253"/>
      <c r="BH295" s="1730"/>
      <c r="BI295" s="1471"/>
      <c r="BJ295" s="1446"/>
      <c r="BK295" s="1253"/>
      <c r="BL295" s="1253"/>
      <c r="BM295" s="1253"/>
      <c r="BN295" s="1471"/>
      <c r="BO295" s="1253"/>
      <c r="BP295" s="1253"/>
      <c r="BQ295" s="1253"/>
      <c r="BR295" s="1253"/>
      <c r="BS295" s="1471"/>
      <c r="BT295" s="1253"/>
      <c r="BU295" s="1253"/>
      <c r="BV295" s="1253"/>
      <c r="BW295" s="1253"/>
      <c r="BX295" s="1471"/>
      <c r="BY295" s="1471"/>
      <c r="BZ295" s="1471"/>
      <c r="CA295" s="1471"/>
      <c r="CF295" s="1668"/>
      <c r="CG295" s="1536"/>
      <c r="CH295" s="1536"/>
      <c r="CI295" s="1536"/>
      <c r="CJ295" s="1536"/>
      <c r="CK295" s="1536"/>
      <c r="CL295" s="1729"/>
      <c r="CM295" s="1729"/>
      <c r="CN295" s="1729"/>
      <c r="CO295" s="1729"/>
      <c r="CP295" s="1729"/>
      <c r="CQ295" s="1729"/>
      <c r="CR295" s="1729"/>
      <c r="CS295" s="1471"/>
      <c r="CT295" s="1471"/>
      <c r="CU295" s="1471"/>
      <c r="CV295" s="1471"/>
      <c r="CW295" s="1471"/>
      <c r="CX295" s="1471"/>
      <c r="CY295" s="1471"/>
      <c r="CZ295" s="1471"/>
      <c r="DA295" s="1471"/>
      <c r="DB295" s="1471"/>
    </row>
    <row r="296" spans="1:106" hidden="1">
      <c r="A296" s="1646"/>
      <c r="B296" s="1286"/>
      <c r="C296" s="1286"/>
      <c r="D296" s="1286"/>
      <c r="E296" s="1286"/>
      <c r="F296" s="1286"/>
      <c r="G296" s="1732"/>
      <c r="H296" s="1732"/>
      <c r="I296" s="1732"/>
      <c r="J296" s="1732"/>
      <c r="K296" s="1733"/>
      <c r="L296" s="1732"/>
      <c r="M296" s="1732"/>
      <c r="N296" s="1732"/>
      <c r="O296" s="1732"/>
      <c r="P296" s="1733"/>
      <c r="Q296" s="1732"/>
      <c r="R296" s="1732"/>
      <c r="S296" s="1732"/>
      <c r="T296" s="1732"/>
      <c r="U296" s="1733"/>
      <c r="V296" s="1732"/>
      <c r="W296" s="1732"/>
      <c r="X296" s="1732"/>
      <c r="Y296" s="1732"/>
      <c r="Z296" s="1733"/>
      <c r="AA296" s="1732"/>
      <c r="AB296" s="1732"/>
      <c r="AC296" s="1732"/>
      <c r="AD296" s="1732"/>
      <c r="AE296" s="1733"/>
      <c r="AF296" s="1732"/>
      <c r="AG296" s="1732"/>
      <c r="AH296" s="1732"/>
      <c r="AI296" s="1732"/>
      <c r="AJ296" s="1733"/>
      <c r="AK296" s="1732"/>
      <c r="AL296" s="1732"/>
      <c r="AM296" s="1732"/>
      <c r="AN296" s="1732"/>
      <c r="AO296" s="1733"/>
      <c r="AP296" s="1734"/>
      <c r="AQ296" s="1734"/>
      <c r="AR296" s="1734"/>
      <c r="AS296" s="1734"/>
      <c r="AT296" s="796"/>
      <c r="AU296" s="762"/>
      <c r="AV296" s="762"/>
      <c r="AW296" s="762"/>
      <c r="AX296" s="762"/>
      <c r="AY296" s="796"/>
      <c r="AZ296" s="762"/>
      <c r="BA296" s="762"/>
      <c r="BB296" s="762"/>
      <c r="BC296" s="762"/>
      <c r="BD296" s="796"/>
      <c r="BE296" s="762"/>
      <c r="BF296" s="762"/>
      <c r="BG296" s="762"/>
      <c r="BH296" s="762"/>
      <c r="BI296" s="796"/>
      <c r="BJ296" s="762"/>
      <c r="BK296" s="1399"/>
      <c r="BL296" s="762"/>
      <c r="BM296" s="762"/>
      <c r="BN296" s="796"/>
      <c r="BO296" s="762"/>
      <c r="BP296" s="762"/>
      <c r="BQ296" s="762"/>
      <c r="BR296" s="762"/>
      <c r="BS296" s="796"/>
      <c r="BT296" s="762"/>
      <c r="BU296" s="762"/>
      <c r="BV296" s="762"/>
      <c r="BW296" s="762"/>
      <c r="BX296" s="796"/>
      <c r="BY296" s="796"/>
      <c r="BZ296" s="796"/>
      <c r="CA296" s="796"/>
      <c r="CF296" s="1487"/>
      <c r="CG296" s="1286"/>
      <c r="CH296" s="1286"/>
      <c r="CI296" s="1286"/>
      <c r="CJ296" s="1286"/>
      <c r="CK296" s="1286"/>
      <c r="CL296" s="1733"/>
      <c r="CM296" s="1733"/>
      <c r="CN296" s="1733"/>
      <c r="CO296" s="1733"/>
      <c r="CP296" s="1733"/>
      <c r="CQ296" s="1733"/>
      <c r="CR296" s="1733"/>
      <c r="CS296" s="796"/>
      <c r="CT296" s="796"/>
      <c r="CU296" s="796"/>
      <c r="CV296" s="796"/>
      <c r="CW296" s="796"/>
      <c r="CX296" s="796"/>
      <c r="CY296" s="796"/>
      <c r="CZ296" s="796"/>
      <c r="DA296" s="796"/>
      <c r="DB296" s="796"/>
    </row>
    <row r="297" spans="1:106" hidden="1">
      <c r="A297" s="789" t="s">
        <v>352</v>
      </c>
      <c r="B297" s="1286"/>
      <c r="C297" s="1286"/>
      <c r="D297" s="1286"/>
      <c r="E297" s="1286"/>
      <c r="F297" s="1286"/>
      <c r="G297" s="1276"/>
      <c r="H297" s="1276"/>
      <c r="I297" s="1276"/>
      <c r="J297" s="1732"/>
      <c r="K297" s="1733"/>
      <c r="L297" s="1732"/>
      <c r="M297" s="1276"/>
      <c r="N297" s="1276"/>
      <c r="O297" s="1732"/>
      <c r="P297" s="1733"/>
      <c r="Q297" s="1732"/>
      <c r="R297" s="1276"/>
      <c r="S297" s="1276"/>
      <c r="T297" s="1732"/>
      <c r="U297" s="1733"/>
      <c r="V297" s="1732"/>
      <c r="W297" s="1276"/>
      <c r="X297" s="1276"/>
      <c r="Y297" s="1732"/>
      <c r="Z297" s="1733"/>
      <c r="AA297" s="1732"/>
      <c r="AB297" s="1276"/>
      <c r="AC297" s="1276"/>
      <c r="AD297" s="1732"/>
      <c r="AE297" s="1733"/>
      <c r="AF297" s="1732"/>
      <c r="AG297" s="1276"/>
      <c r="AH297" s="1276"/>
      <c r="AI297" s="1610"/>
      <c r="AJ297" s="1694"/>
      <c r="AK297" s="1610"/>
      <c r="AL297" s="1610"/>
      <c r="AM297" s="1610"/>
      <c r="AN297" s="1610"/>
      <c r="AO297" s="1694"/>
      <c r="AP297" s="1610"/>
      <c r="AQ297" s="1610"/>
      <c r="AR297" s="1610"/>
      <c r="AS297" s="1610"/>
      <c r="AT297" s="1342"/>
      <c r="AU297" s="1610"/>
      <c r="AV297" s="1610"/>
      <c r="AW297" s="1610"/>
      <c r="AX297" s="1610"/>
      <c r="AY297" s="1342"/>
      <c r="AZ297" s="1610"/>
      <c r="BA297" s="1610"/>
      <c r="BB297" s="1610"/>
      <c r="BC297" s="1610"/>
      <c r="BD297" s="1342"/>
      <c r="BE297" s="1610"/>
      <c r="BF297" s="1610"/>
      <c r="BG297" s="1610"/>
      <c r="BH297" s="1610"/>
      <c r="BI297" s="1342"/>
      <c r="BJ297" s="1610"/>
      <c r="BK297" s="1610"/>
      <c r="BL297" s="1610"/>
      <c r="BM297" s="1610"/>
      <c r="BN297" s="1342"/>
      <c r="BO297" s="1610"/>
      <c r="BP297" s="1610"/>
      <c r="BQ297" s="1610"/>
      <c r="BR297" s="1610"/>
      <c r="BS297" s="1342"/>
      <c r="BT297" s="1610"/>
      <c r="BU297" s="1610"/>
      <c r="BV297" s="1610"/>
      <c r="BW297" s="1610"/>
      <c r="BX297" s="1342"/>
      <c r="BY297" s="1342"/>
      <c r="BZ297" s="1342"/>
      <c r="CA297" s="1342"/>
      <c r="CF297" s="790" t="str">
        <f t="shared" ref="CF297:CF302" si="366">+A297</f>
        <v>Customer Mix</v>
      </c>
      <c r="CG297" s="1286"/>
      <c r="CH297" s="1286"/>
      <c r="CI297" s="1286"/>
      <c r="CJ297" s="1286"/>
      <c r="CK297" s="1286"/>
      <c r="CL297" s="1733"/>
      <c r="CM297" s="1733"/>
      <c r="CN297" s="1733"/>
      <c r="CO297" s="1733"/>
      <c r="CP297" s="1733"/>
      <c r="CQ297" s="1694"/>
      <c r="CR297" s="1694"/>
      <c r="CS297" s="1342"/>
      <c r="CT297" s="1342"/>
      <c r="CU297" s="1342"/>
      <c r="CV297" s="1342"/>
      <c r="CW297" s="1342"/>
      <c r="CX297" s="1342"/>
      <c r="CY297" s="1342"/>
      <c r="CZ297" s="1342"/>
      <c r="DA297" s="1342"/>
      <c r="DB297" s="1342"/>
    </row>
    <row r="298" spans="1:106" hidden="1">
      <c r="A298" s="1646" t="s">
        <v>353</v>
      </c>
      <c r="B298" s="1286"/>
      <c r="C298" s="1286"/>
      <c r="D298" s="1286"/>
      <c r="E298" s="1286"/>
      <c r="F298" s="1286"/>
      <c r="G298" s="1732" t="s">
        <v>249</v>
      </c>
      <c r="H298" s="1732" t="s">
        <v>249</v>
      </c>
      <c r="I298" s="1732" t="s">
        <v>249</v>
      </c>
      <c r="J298" s="1732" t="s">
        <v>249</v>
      </c>
      <c r="K298" s="1733" t="s">
        <v>249</v>
      </c>
      <c r="L298" s="1732" t="s">
        <v>249</v>
      </c>
      <c r="M298" s="1732" t="s">
        <v>249</v>
      </c>
      <c r="N298" s="1732" t="s">
        <v>249</v>
      </c>
      <c r="O298" s="1732" t="s">
        <v>249</v>
      </c>
      <c r="P298" s="1733" t="s">
        <v>249</v>
      </c>
      <c r="Q298" s="1732" t="s">
        <v>249</v>
      </c>
      <c r="R298" s="1732" t="s">
        <v>249</v>
      </c>
      <c r="S298" s="1732" t="s">
        <v>249</v>
      </c>
      <c r="T298" s="1732" t="s">
        <v>249</v>
      </c>
      <c r="U298" s="1733" t="s">
        <v>249</v>
      </c>
      <c r="V298" s="1732" t="s">
        <v>249</v>
      </c>
      <c r="W298" s="1732" t="s">
        <v>249</v>
      </c>
      <c r="X298" s="1732" t="s">
        <v>249</v>
      </c>
      <c r="Y298" s="1732" t="s">
        <v>249</v>
      </c>
      <c r="Z298" s="1733" t="s">
        <v>249</v>
      </c>
      <c r="AA298" s="1732" t="s">
        <v>249</v>
      </c>
      <c r="AB298" s="1732" t="s">
        <v>249</v>
      </c>
      <c r="AC298" s="1732" t="s">
        <v>249</v>
      </c>
      <c r="AD298" s="1732" t="s">
        <v>249</v>
      </c>
      <c r="AE298" s="1733" t="s">
        <v>249</v>
      </c>
      <c r="AF298" s="1732" t="s">
        <v>249</v>
      </c>
      <c r="AG298" s="1732" t="s">
        <v>249</v>
      </c>
      <c r="AH298" s="1732" t="s">
        <v>249</v>
      </c>
      <c r="AI298" s="1732" t="s">
        <v>249</v>
      </c>
      <c r="AJ298" s="1733" t="s">
        <v>249</v>
      </c>
      <c r="AK298" s="1732" t="s">
        <v>249</v>
      </c>
      <c r="AL298" s="1732" t="s">
        <v>249</v>
      </c>
      <c r="AM298" s="1732" t="s">
        <v>249</v>
      </c>
      <c r="AN298" s="1732" t="s">
        <v>249</v>
      </c>
      <c r="AO298" s="1733" t="s">
        <v>249</v>
      </c>
      <c r="AP298" s="1732" t="s">
        <v>249</v>
      </c>
      <c r="AQ298" s="1732" t="s">
        <v>249</v>
      </c>
      <c r="AR298" s="1732" t="s">
        <v>249</v>
      </c>
      <c r="AS298" s="1732" t="s">
        <v>249</v>
      </c>
      <c r="AT298" s="1703">
        <v>0.36</v>
      </c>
      <c r="AU298" s="1732" t="s">
        <v>249</v>
      </c>
      <c r="AV298" s="1732" t="s">
        <v>249</v>
      </c>
      <c r="AW298" s="1732" t="s">
        <v>249</v>
      </c>
      <c r="AX298" s="1732" t="s">
        <v>249</v>
      </c>
      <c r="AY298" s="1735" t="s">
        <v>249</v>
      </c>
      <c r="AZ298" s="1732" t="s">
        <v>249</v>
      </c>
      <c r="BA298" s="1732" t="s">
        <v>249</v>
      </c>
      <c r="BB298" s="1732" t="s">
        <v>249</v>
      </c>
      <c r="BC298" s="1732" t="s">
        <v>249</v>
      </c>
      <c r="BD298" s="1735" t="s">
        <v>249</v>
      </c>
      <c r="BE298" s="1732" t="s">
        <v>249</v>
      </c>
      <c r="BF298" s="1732" t="s">
        <v>249</v>
      </c>
      <c r="BG298" s="1732" t="s">
        <v>249</v>
      </c>
      <c r="BH298" s="1732" t="s">
        <v>249</v>
      </c>
      <c r="BI298" s="1735" t="s">
        <v>249</v>
      </c>
      <c r="BJ298" s="1732" t="s">
        <v>249</v>
      </c>
      <c r="BK298" s="1732" t="s">
        <v>249</v>
      </c>
      <c r="BL298" s="1732" t="s">
        <v>249</v>
      </c>
      <c r="BM298" s="1732" t="s">
        <v>249</v>
      </c>
      <c r="BN298" s="1735" t="s">
        <v>249</v>
      </c>
      <c r="BO298" s="1732" t="s">
        <v>249</v>
      </c>
      <c r="BP298" s="1732" t="s">
        <v>249</v>
      </c>
      <c r="BQ298" s="1732" t="s">
        <v>249</v>
      </c>
      <c r="BR298" s="1732" t="s">
        <v>249</v>
      </c>
      <c r="BS298" s="1735" t="s">
        <v>249</v>
      </c>
      <c r="BT298" s="1732"/>
      <c r="BU298" s="1732"/>
      <c r="BV298" s="1732"/>
      <c r="BW298" s="1732"/>
      <c r="BX298" s="1735" t="s">
        <v>249</v>
      </c>
      <c r="BY298" s="1735" t="s">
        <v>249</v>
      </c>
      <c r="BZ298" s="1735" t="s">
        <v>249</v>
      </c>
      <c r="CA298" s="1735"/>
      <c r="CF298" s="1487" t="str">
        <f t="shared" si="366"/>
        <v>Inv Mgmt</v>
      </c>
      <c r="CG298" s="1286"/>
      <c r="CH298" s="1286"/>
      <c r="CI298" s="1286"/>
      <c r="CJ298" s="1286"/>
      <c r="CK298" s="1286"/>
      <c r="CL298" s="1733"/>
      <c r="CM298" s="1733"/>
      <c r="CN298" s="1733"/>
      <c r="CO298" s="1733"/>
      <c r="CP298" s="1733"/>
      <c r="CQ298" s="1733"/>
      <c r="CR298" s="1733"/>
      <c r="CS298" s="1703">
        <f t="shared" ref="CS298:CS303" si="367">+AT298</f>
        <v>0.36</v>
      </c>
      <c r="CT298" s="1735" t="str">
        <f t="shared" ref="CT298:CT303" si="368">+AY298</f>
        <v>--</v>
      </c>
      <c r="CU298" s="1735" t="str">
        <f t="shared" ref="CU298:CU303" si="369">+BD298</f>
        <v>--</v>
      </c>
      <c r="CV298" s="1735" t="str">
        <f t="shared" ref="CV298:CV303" si="370">+BI298</f>
        <v>--</v>
      </c>
      <c r="CW298" s="1735" t="str">
        <f t="shared" ref="CW298:CW303" si="371">+BN298</f>
        <v>--</v>
      </c>
      <c r="CX298" s="1735" t="str">
        <f t="shared" ref="CX298:CX303" si="372">+BS298</f>
        <v>--</v>
      </c>
      <c r="CY298" s="1735" t="str">
        <f t="shared" ref="CY298:DB303" si="373">+BX298</f>
        <v>--</v>
      </c>
      <c r="CZ298" s="1735" t="str">
        <f t="shared" si="373"/>
        <v>--</v>
      </c>
      <c r="DA298" s="1735" t="str">
        <f t="shared" si="373"/>
        <v>--</v>
      </c>
      <c r="DB298" s="1735">
        <f t="shared" si="373"/>
        <v>0</v>
      </c>
    </row>
    <row r="299" spans="1:106" hidden="1">
      <c r="A299" s="1646" t="s">
        <v>354</v>
      </c>
      <c r="B299" s="1286"/>
      <c r="C299" s="1286"/>
      <c r="D299" s="1286"/>
      <c r="E299" s="1286"/>
      <c r="F299" s="1286"/>
      <c r="G299" s="1732" t="s">
        <v>249</v>
      </c>
      <c r="H299" s="1732" t="s">
        <v>249</v>
      </c>
      <c r="I299" s="1732" t="s">
        <v>249</v>
      </c>
      <c r="J299" s="1732" t="s">
        <v>249</v>
      </c>
      <c r="K299" s="1733" t="s">
        <v>249</v>
      </c>
      <c r="L299" s="1732" t="s">
        <v>249</v>
      </c>
      <c r="M299" s="1732" t="s">
        <v>249</v>
      </c>
      <c r="N299" s="1732" t="s">
        <v>249</v>
      </c>
      <c r="O299" s="1732" t="s">
        <v>249</v>
      </c>
      <c r="P299" s="1733" t="s">
        <v>249</v>
      </c>
      <c r="Q299" s="1732" t="s">
        <v>249</v>
      </c>
      <c r="R299" s="1732" t="s">
        <v>249</v>
      </c>
      <c r="S299" s="1732" t="s">
        <v>249</v>
      </c>
      <c r="T299" s="1732" t="s">
        <v>249</v>
      </c>
      <c r="U299" s="1733" t="s">
        <v>249</v>
      </c>
      <c r="V299" s="1732" t="s">
        <v>249</v>
      </c>
      <c r="W299" s="1732" t="s">
        <v>249</v>
      </c>
      <c r="X299" s="1732" t="s">
        <v>249</v>
      </c>
      <c r="Y299" s="1732" t="s">
        <v>249</v>
      </c>
      <c r="Z299" s="1733" t="s">
        <v>249</v>
      </c>
      <c r="AA299" s="1732" t="s">
        <v>249</v>
      </c>
      <c r="AB299" s="1732" t="s">
        <v>249</v>
      </c>
      <c r="AC299" s="1732" t="s">
        <v>249</v>
      </c>
      <c r="AD299" s="1732" t="s">
        <v>249</v>
      </c>
      <c r="AE299" s="1733" t="s">
        <v>249</v>
      </c>
      <c r="AF299" s="1732" t="s">
        <v>249</v>
      </c>
      <c r="AG299" s="1732" t="s">
        <v>249</v>
      </c>
      <c r="AH299" s="1732" t="s">
        <v>249</v>
      </c>
      <c r="AI299" s="1732" t="s">
        <v>249</v>
      </c>
      <c r="AJ299" s="1733" t="s">
        <v>249</v>
      </c>
      <c r="AK299" s="1732" t="s">
        <v>249</v>
      </c>
      <c r="AL299" s="1732" t="s">
        <v>249</v>
      </c>
      <c r="AM299" s="1732" t="s">
        <v>249</v>
      </c>
      <c r="AN299" s="1732" t="s">
        <v>249</v>
      </c>
      <c r="AO299" s="1733" t="s">
        <v>249</v>
      </c>
      <c r="AP299" s="1732" t="s">
        <v>249</v>
      </c>
      <c r="AQ299" s="1732" t="s">
        <v>249</v>
      </c>
      <c r="AR299" s="1732" t="s">
        <v>249</v>
      </c>
      <c r="AS299" s="1732" t="s">
        <v>249</v>
      </c>
      <c r="AT299" s="1703">
        <v>0.32</v>
      </c>
      <c r="AU299" s="1732" t="s">
        <v>249</v>
      </c>
      <c r="AV299" s="1732" t="s">
        <v>249</v>
      </c>
      <c r="AW299" s="1732" t="s">
        <v>249</v>
      </c>
      <c r="AX299" s="1732" t="s">
        <v>249</v>
      </c>
      <c r="AY299" s="1735" t="s">
        <v>249</v>
      </c>
      <c r="AZ299" s="1732" t="s">
        <v>249</v>
      </c>
      <c r="BA299" s="1732" t="s">
        <v>249</v>
      </c>
      <c r="BB299" s="1732" t="s">
        <v>249</v>
      </c>
      <c r="BC299" s="1732" t="s">
        <v>249</v>
      </c>
      <c r="BD299" s="1735" t="s">
        <v>249</v>
      </c>
      <c r="BE299" s="1732" t="s">
        <v>249</v>
      </c>
      <c r="BF299" s="1732" t="s">
        <v>249</v>
      </c>
      <c r="BG299" s="1732" t="s">
        <v>249</v>
      </c>
      <c r="BH299" s="1732" t="s">
        <v>249</v>
      </c>
      <c r="BI299" s="1735" t="s">
        <v>249</v>
      </c>
      <c r="BJ299" s="1732" t="s">
        <v>249</v>
      </c>
      <c r="BK299" s="1732" t="s">
        <v>249</v>
      </c>
      <c r="BL299" s="1732" t="s">
        <v>249</v>
      </c>
      <c r="BM299" s="1732" t="s">
        <v>249</v>
      </c>
      <c r="BN299" s="1735" t="s">
        <v>249</v>
      </c>
      <c r="BO299" s="1732" t="s">
        <v>249</v>
      </c>
      <c r="BP299" s="1732" t="s">
        <v>249</v>
      </c>
      <c r="BQ299" s="1732" t="s">
        <v>249</v>
      </c>
      <c r="BR299" s="1732" t="s">
        <v>249</v>
      </c>
      <c r="BS299" s="1735" t="s">
        <v>249</v>
      </c>
      <c r="BT299" s="1732"/>
      <c r="BU299" s="1732"/>
      <c r="BV299" s="1732"/>
      <c r="BW299" s="1732"/>
      <c r="BX299" s="1735" t="s">
        <v>249</v>
      </c>
      <c r="BY299" s="1735" t="s">
        <v>249</v>
      </c>
      <c r="BZ299" s="1735" t="s">
        <v>249</v>
      </c>
      <c r="CA299" s="1735"/>
      <c r="CF299" s="1487" t="str">
        <f t="shared" si="366"/>
        <v>FIG</v>
      </c>
      <c r="CG299" s="1286"/>
      <c r="CH299" s="1286"/>
      <c r="CI299" s="1286"/>
      <c r="CJ299" s="1286"/>
      <c r="CK299" s="1286"/>
      <c r="CL299" s="1733"/>
      <c r="CM299" s="1733"/>
      <c r="CN299" s="1733"/>
      <c r="CO299" s="1733"/>
      <c r="CP299" s="1733"/>
      <c r="CQ299" s="1733"/>
      <c r="CR299" s="1733"/>
      <c r="CS299" s="1703">
        <f t="shared" si="367"/>
        <v>0.32</v>
      </c>
      <c r="CT299" s="1735" t="str">
        <f t="shared" si="368"/>
        <v>--</v>
      </c>
      <c r="CU299" s="1735" t="str">
        <f t="shared" si="369"/>
        <v>--</v>
      </c>
      <c r="CV299" s="1735" t="str">
        <f t="shared" si="370"/>
        <v>--</v>
      </c>
      <c r="CW299" s="1735" t="str">
        <f t="shared" si="371"/>
        <v>--</v>
      </c>
      <c r="CX299" s="1735" t="str">
        <f t="shared" si="372"/>
        <v>--</v>
      </c>
      <c r="CY299" s="1735" t="str">
        <f t="shared" si="373"/>
        <v>--</v>
      </c>
      <c r="CZ299" s="1735" t="str">
        <f t="shared" si="373"/>
        <v>--</v>
      </c>
      <c r="DA299" s="1735" t="str">
        <f t="shared" si="373"/>
        <v>--</v>
      </c>
      <c r="DB299" s="1735">
        <f t="shared" si="373"/>
        <v>0</v>
      </c>
    </row>
    <row r="300" spans="1:106" hidden="1">
      <c r="A300" s="1646" t="s">
        <v>355</v>
      </c>
      <c r="B300" s="1286"/>
      <c r="C300" s="1286"/>
      <c r="D300" s="1286"/>
      <c r="E300" s="1286"/>
      <c r="F300" s="1286"/>
      <c r="G300" s="1732" t="s">
        <v>249</v>
      </c>
      <c r="H300" s="1732" t="s">
        <v>249</v>
      </c>
      <c r="I300" s="1732" t="s">
        <v>249</v>
      </c>
      <c r="J300" s="1732" t="s">
        <v>249</v>
      </c>
      <c r="K300" s="1733" t="s">
        <v>249</v>
      </c>
      <c r="L300" s="1732" t="s">
        <v>249</v>
      </c>
      <c r="M300" s="1732" t="s">
        <v>249</v>
      </c>
      <c r="N300" s="1732" t="s">
        <v>249</v>
      </c>
      <c r="O300" s="1732" t="s">
        <v>249</v>
      </c>
      <c r="P300" s="1733" t="s">
        <v>249</v>
      </c>
      <c r="Q300" s="1732" t="s">
        <v>249</v>
      </c>
      <c r="R300" s="1732" t="s">
        <v>249</v>
      </c>
      <c r="S300" s="1732" t="s">
        <v>249</v>
      </c>
      <c r="T300" s="1732" t="s">
        <v>249</v>
      </c>
      <c r="U300" s="1733" t="s">
        <v>249</v>
      </c>
      <c r="V300" s="1732" t="s">
        <v>249</v>
      </c>
      <c r="W300" s="1732" t="s">
        <v>249</v>
      </c>
      <c r="X300" s="1732" t="s">
        <v>249</v>
      </c>
      <c r="Y300" s="1732" t="s">
        <v>249</v>
      </c>
      <c r="Z300" s="1733" t="s">
        <v>249</v>
      </c>
      <c r="AA300" s="1732" t="s">
        <v>249</v>
      </c>
      <c r="AB300" s="1732" t="s">
        <v>249</v>
      </c>
      <c r="AC300" s="1732" t="s">
        <v>249</v>
      </c>
      <c r="AD300" s="1732" t="s">
        <v>249</v>
      </c>
      <c r="AE300" s="1733" t="s">
        <v>249</v>
      </c>
      <c r="AF300" s="1732" t="s">
        <v>249</v>
      </c>
      <c r="AG300" s="1732" t="s">
        <v>249</v>
      </c>
      <c r="AH300" s="1732" t="s">
        <v>249</v>
      </c>
      <c r="AI300" s="1732" t="s">
        <v>249</v>
      </c>
      <c r="AJ300" s="1733" t="s">
        <v>249</v>
      </c>
      <c r="AK300" s="1732" t="s">
        <v>249</v>
      </c>
      <c r="AL300" s="1732" t="s">
        <v>249</v>
      </c>
      <c r="AM300" s="1732" t="s">
        <v>249</v>
      </c>
      <c r="AN300" s="1732" t="s">
        <v>249</v>
      </c>
      <c r="AO300" s="1733" t="s">
        <v>249</v>
      </c>
      <c r="AP300" s="1732" t="s">
        <v>249</v>
      </c>
      <c r="AQ300" s="1732" t="s">
        <v>249</v>
      </c>
      <c r="AR300" s="1732" t="s">
        <v>249</v>
      </c>
      <c r="AS300" s="1732" t="s">
        <v>249</v>
      </c>
      <c r="AT300" s="1703">
        <v>0.22</v>
      </c>
      <c r="AU300" s="1732" t="s">
        <v>249</v>
      </c>
      <c r="AV300" s="1732" t="s">
        <v>249</v>
      </c>
      <c r="AW300" s="1732" t="s">
        <v>249</v>
      </c>
      <c r="AX300" s="1732" t="s">
        <v>249</v>
      </c>
      <c r="AY300" s="1735" t="s">
        <v>249</v>
      </c>
      <c r="AZ300" s="1732" t="s">
        <v>249</v>
      </c>
      <c r="BA300" s="1732" t="s">
        <v>249</v>
      </c>
      <c r="BB300" s="1732" t="s">
        <v>249</v>
      </c>
      <c r="BC300" s="1732" t="s">
        <v>249</v>
      </c>
      <c r="BD300" s="1735" t="s">
        <v>249</v>
      </c>
      <c r="BE300" s="1732" t="s">
        <v>249</v>
      </c>
      <c r="BF300" s="1732" t="s">
        <v>249</v>
      </c>
      <c r="BG300" s="1732" t="s">
        <v>249</v>
      </c>
      <c r="BH300" s="1732" t="s">
        <v>249</v>
      </c>
      <c r="BI300" s="1735" t="s">
        <v>249</v>
      </c>
      <c r="BJ300" s="1732" t="s">
        <v>249</v>
      </c>
      <c r="BK300" s="1732" t="s">
        <v>249</v>
      </c>
      <c r="BL300" s="1732" t="s">
        <v>249</v>
      </c>
      <c r="BM300" s="1732" t="s">
        <v>249</v>
      </c>
      <c r="BN300" s="1735" t="s">
        <v>249</v>
      </c>
      <c r="BO300" s="1732" t="s">
        <v>249</v>
      </c>
      <c r="BP300" s="1732" t="s">
        <v>249</v>
      </c>
      <c r="BQ300" s="1732" t="s">
        <v>249</v>
      </c>
      <c r="BR300" s="1732" t="s">
        <v>249</v>
      </c>
      <c r="BS300" s="1735" t="s">
        <v>249</v>
      </c>
      <c r="BT300" s="1732"/>
      <c r="BU300" s="1732"/>
      <c r="BV300" s="1732"/>
      <c r="BW300" s="1732"/>
      <c r="BX300" s="1735" t="s">
        <v>249</v>
      </c>
      <c r="BY300" s="1735" t="s">
        <v>249</v>
      </c>
      <c r="BZ300" s="1735" t="s">
        <v>249</v>
      </c>
      <c r="CA300" s="1735"/>
      <c r="CF300" s="1487" t="str">
        <f t="shared" si="366"/>
        <v>Inv Banking</v>
      </c>
      <c r="CG300" s="1286"/>
      <c r="CH300" s="1286"/>
      <c r="CI300" s="1286"/>
      <c r="CJ300" s="1286"/>
      <c r="CK300" s="1286"/>
      <c r="CL300" s="1733"/>
      <c r="CM300" s="1733"/>
      <c r="CN300" s="1733"/>
      <c r="CO300" s="1733"/>
      <c r="CP300" s="1733"/>
      <c r="CQ300" s="1733"/>
      <c r="CR300" s="1733"/>
      <c r="CS300" s="1703">
        <f t="shared" si="367"/>
        <v>0.22</v>
      </c>
      <c r="CT300" s="1735" t="str">
        <f t="shared" si="368"/>
        <v>--</v>
      </c>
      <c r="CU300" s="1735" t="str">
        <f t="shared" si="369"/>
        <v>--</v>
      </c>
      <c r="CV300" s="1735" t="str">
        <f t="shared" si="370"/>
        <v>--</v>
      </c>
      <c r="CW300" s="1735" t="str">
        <f t="shared" si="371"/>
        <v>--</v>
      </c>
      <c r="CX300" s="1735" t="str">
        <f t="shared" si="372"/>
        <v>--</v>
      </c>
      <c r="CY300" s="1735" t="str">
        <f t="shared" si="373"/>
        <v>--</v>
      </c>
      <c r="CZ300" s="1735" t="str">
        <f t="shared" si="373"/>
        <v>--</v>
      </c>
      <c r="DA300" s="1735" t="str">
        <f t="shared" si="373"/>
        <v>--</v>
      </c>
      <c r="DB300" s="1735">
        <f t="shared" si="373"/>
        <v>0</v>
      </c>
    </row>
    <row r="301" spans="1:106" hidden="1">
      <c r="A301" s="1646" t="s">
        <v>356</v>
      </c>
      <c r="B301" s="1286"/>
      <c r="C301" s="1286"/>
      <c r="D301" s="1286"/>
      <c r="E301" s="1286"/>
      <c r="F301" s="1286"/>
      <c r="G301" s="1732" t="s">
        <v>249</v>
      </c>
      <c r="H301" s="1732" t="s">
        <v>249</v>
      </c>
      <c r="I301" s="1732" t="s">
        <v>249</v>
      </c>
      <c r="J301" s="1732" t="s">
        <v>249</v>
      </c>
      <c r="K301" s="1733" t="s">
        <v>249</v>
      </c>
      <c r="L301" s="1732" t="s">
        <v>249</v>
      </c>
      <c r="M301" s="1732" t="s">
        <v>249</v>
      </c>
      <c r="N301" s="1732" t="s">
        <v>249</v>
      </c>
      <c r="O301" s="1732" t="s">
        <v>249</v>
      </c>
      <c r="P301" s="1733" t="s">
        <v>249</v>
      </c>
      <c r="Q301" s="1732" t="s">
        <v>249</v>
      </c>
      <c r="R301" s="1732" t="s">
        <v>249</v>
      </c>
      <c r="S301" s="1732" t="s">
        <v>249</v>
      </c>
      <c r="T301" s="1732" t="s">
        <v>249</v>
      </c>
      <c r="U301" s="1733" t="s">
        <v>249</v>
      </c>
      <c r="V301" s="1732" t="s">
        <v>249</v>
      </c>
      <c r="W301" s="1732" t="s">
        <v>249</v>
      </c>
      <c r="X301" s="1732" t="s">
        <v>249</v>
      </c>
      <c r="Y301" s="1732" t="s">
        <v>249</v>
      </c>
      <c r="Z301" s="1733" t="s">
        <v>249</v>
      </c>
      <c r="AA301" s="1732" t="s">
        <v>249</v>
      </c>
      <c r="AB301" s="1732" t="s">
        <v>249</v>
      </c>
      <c r="AC301" s="1732" t="s">
        <v>249</v>
      </c>
      <c r="AD301" s="1732" t="s">
        <v>249</v>
      </c>
      <c r="AE301" s="1733" t="s">
        <v>249</v>
      </c>
      <c r="AF301" s="1732" t="s">
        <v>249</v>
      </c>
      <c r="AG301" s="1732" t="s">
        <v>249</v>
      </c>
      <c r="AH301" s="1732" t="s">
        <v>249</v>
      </c>
      <c r="AI301" s="1732" t="s">
        <v>249</v>
      </c>
      <c r="AJ301" s="1733" t="s">
        <v>249</v>
      </c>
      <c r="AK301" s="1732" t="s">
        <v>249</v>
      </c>
      <c r="AL301" s="1732" t="s">
        <v>249</v>
      </c>
      <c r="AM301" s="1732" t="s">
        <v>249</v>
      </c>
      <c r="AN301" s="1732" t="s">
        <v>249</v>
      </c>
      <c r="AO301" s="1733" t="s">
        <v>249</v>
      </c>
      <c r="AP301" s="1732" t="s">
        <v>249</v>
      </c>
      <c r="AQ301" s="1732" t="s">
        <v>249</v>
      </c>
      <c r="AR301" s="1732" t="s">
        <v>249</v>
      </c>
      <c r="AS301" s="1732" t="s">
        <v>249</v>
      </c>
      <c r="AT301" s="1703">
        <v>0.05</v>
      </c>
      <c r="AU301" s="1732" t="s">
        <v>249</v>
      </c>
      <c r="AV301" s="1732" t="s">
        <v>249</v>
      </c>
      <c r="AW301" s="1732" t="s">
        <v>249</v>
      </c>
      <c r="AX301" s="1732" t="s">
        <v>249</v>
      </c>
      <c r="AY301" s="1735" t="s">
        <v>249</v>
      </c>
      <c r="AZ301" s="1732" t="s">
        <v>249</v>
      </c>
      <c r="BA301" s="1732" t="s">
        <v>249</v>
      </c>
      <c r="BB301" s="1732" t="s">
        <v>249</v>
      </c>
      <c r="BC301" s="1732" t="s">
        <v>249</v>
      </c>
      <c r="BD301" s="1735" t="s">
        <v>249</v>
      </c>
      <c r="BE301" s="1732" t="s">
        <v>249</v>
      </c>
      <c r="BF301" s="1732" t="s">
        <v>249</v>
      </c>
      <c r="BG301" s="1732" t="s">
        <v>249</v>
      </c>
      <c r="BH301" s="1732" t="s">
        <v>249</v>
      </c>
      <c r="BI301" s="1735" t="s">
        <v>249</v>
      </c>
      <c r="BJ301" s="1732" t="s">
        <v>249</v>
      </c>
      <c r="BK301" s="1732" t="s">
        <v>249</v>
      </c>
      <c r="BL301" s="1732" t="s">
        <v>249</v>
      </c>
      <c r="BM301" s="1732" t="s">
        <v>249</v>
      </c>
      <c r="BN301" s="1735" t="s">
        <v>249</v>
      </c>
      <c r="BO301" s="1732" t="s">
        <v>249</v>
      </c>
      <c r="BP301" s="1732" t="s">
        <v>249</v>
      </c>
      <c r="BQ301" s="1732" t="s">
        <v>249</v>
      </c>
      <c r="BR301" s="1732" t="s">
        <v>249</v>
      </c>
      <c r="BS301" s="1735" t="s">
        <v>249</v>
      </c>
      <c r="BT301" s="1732"/>
      <c r="BU301" s="1732"/>
      <c r="BV301" s="1732"/>
      <c r="BW301" s="1732"/>
      <c r="BX301" s="1735" t="s">
        <v>249</v>
      </c>
      <c r="BY301" s="1735" t="s">
        <v>249</v>
      </c>
      <c r="BZ301" s="1735" t="s">
        <v>249</v>
      </c>
      <c r="CA301" s="1735"/>
      <c r="CF301" s="1487" t="str">
        <f t="shared" si="366"/>
        <v>Corporates</v>
      </c>
      <c r="CG301" s="1286"/>
      <c r="CH301" s="1286"/>
      <c r="CI301" s="1286"/>
      <c r="CJ301" s="1286"/>
      <c r="CK301" s="1286"/>
      <c r="CL301" s="1733"/>
      <c r="CM301" s="1733"/>
      <c r="CN301" s="1733"/>
      <c r="CO301" s="1733"/>
      <c r="CP301" s="1733"/>
      <c r="CQ301" s="1733"/>
      <c r="CR301" s="1733"/>
      <c r="CS301" s="1703">
        <f t="shared" si="367"/>
        <v>0.05</v>
      </c>
      <c r="CT301" s="1735" t="str">
        <f t="shared" si="368"/>
        <v>--</v>
      </c>
      <c r="CU301" s="1735" t="str">
        <f t="shared" si="369"/>
        <v>--</v>
      </c>
      <c r="CV301" s="1735" t="str">
        <f t="shared" si="370"/>
        <v>--</v>
      </c>
      <c r="CW301" s="1735" t="str">
        <f t="shared" si="371"/>
        <v>--</v>
      </c>
      <c r="CX301" s="1735" t="str">
        <f t="shared" si="372"/>
        <v>--</v>
      </c>
      <c r="CY301" s="1735" t="str">
        <f t="shared" si="373"/>
        <v>--</v>
      </c>
      <c r="CZ301" s="1735" t="str">
        <f t="shared" si="373"/>
        <v>--</v>
      </c>
      <c r="DA301" s="1735" t="str">
        <f t="shared" si="373"/>
        <v>--</v>
      </c>
      <c r="DB301" s="1735">
        <f t="shared" si="373"/>
        <v>0</v>
      </c>
    </row>
    <row r="302" spans="1:106" ht="11.25" hidden="1" customHeight="1">
      <c r="A302" s="1646" t="s">
        <v>357</v>
      </c>
      <c r="B302" s="1286"/>
      <c r="C302" s="1286"/>
      <c r="D302" s="1286"/>
      <c r="E302" s="1286"/>
      <c r="F302" s="1286"/>
      <c r="G302" s="1732" t="s">
        <v>249</v>
      </c>
      <c r="H302" s="1732" t="s">
        <v>249</v>
      </c>
      <c r="I302" s="1732" t="s">
        <v>249</v>
      </c>
      <c r="J302" s="1732" t="s">
        <v>249</v>
      </c>
      <c r="K302" s="1733" t="s">
        <v>249</v>
      </c>
      <c r="L302" s="1732" t="s">
        <v>249</v>
      </c>
      <c r="M302" s="1732" t="s">
        <v>249</v>
      </c>
      <c r="N302" s="1732" t="s">
        <v>249</v>
      </c>
      <c r="O302" s="1732" t="s">
        <v>249</v>
      </c>
      <c r="P302" s="1733" t="s">
        <v>249</v>
      </c>
      <c r="Q302" s="1732" t="s">
        <v>249</v>
      </c>
      <c r="R302" s="1732" t="s">
        <v>249</v>
      </c>
      <c r="S302" s="1732" t="s">
        <v>249</v>
      </c>
      <c r="T302" s="1732" t="s">
        <v>249</v>
      </c>
      <c r="U302" s="1733" t="s">
        <v>249</v>
      </c>
      <c r="V302" s="1732" t="s">
        <v>249</v>
      </c>
      <c r="W302" s="1732" t="s">
        <v>249</v>
      </c>
      <c r="X302" s="1732" t="s">
        <v>249</v>
      </c>
      <c r="Y302" s="1732" t="s">
        <v>249</v>
      </c>
      <c r="Z302" s="1733" t="s">
        <v>249</v>
      </c>
      <c r="AA302" s="1732" t="s">
        <v>249</v>
      </c>
      <c r="AB302" s="1732" t="s">
        <v>249</v>
      </c>
      <c r="AC302" s="1732" t="s">
        <v>249</v>
      </c>
      <c r="AD302" s="1732" t="s">
        <v>249</v>
      </c>
      <c r="AE302" s="1733" t="s">
        <v>249</v>
      </c>
      <c r="AF302" s="1732" t="s">
        <v>249</v>
      </c>
      <c r="AG302" s="1732" t="s">
        <v>249</v>
      </c>
      <c r="AH302" s="1732" t="s">
        <v>249</v>
      </c>
      <c r="AI302" s="1732" t="s">
        <v>249</v>
      </c>
      <c r="AJ302" s="1733" t="s">
        <v>249</v>
      </c>
      <c r="AK302" s="1732" t="s">
        <v>249</v>
      </c>
      <c r="AL302" s="1732" t="s">
        <v>249</v>
      </c>
      <c r="AM302" s="1732" t="s">
        <v>249</v>
      </c>
      <c r="AN302" s="1732" t="s">
        <v>249</v>
      </c>
      <c r="AO302" s="1733" t="s">
        <v>249</v>
      </c>
      <c r="AP302" s="1732" t="s">
        <v>249</v>
      </c>
      <c r="AQ302" s="1732" t="s">
        <v>249</v>
      </c>
      <c r="AR302" s="1732" t="s">
        <v>249</v>
      </c>
      <c r="AS302" s="1732" t="s">
        <v>249</v>
      </c>
      <c r="AT302" s="1703">
        <v>0.05</v>
      </c>
      <c r="AU302" s="1732" t="s">
        <v>249</v>
      </c>
      <c r="AV302" s="1732" t="s">
        <v>249</v>
      </c>
      <c r="AW302" s="1732" t="s">
        <v>249</v>
      </c>
      <c r="AX302" s="1732" t="s">
        <v>249</v>
      </c>
      <c r="AY302" s="1735" t="s">
        <v>249</v>
      </c>
      <c r="AZ302" s="1732" t="s">
        <v>249</v>
      </c>
      <c r="BA302" s="1732" t="s">
        <v>249</v>
      </c>
      <c r="BB302" s="1732" t="s">
        <v>249</v>
      </c>
      <c r="BC302" s="1732" t="s">
        <v>249</v>
      </c>
      <c r="BD302" s="1735" t="s">
        <v>249</v>
      </c>
      <c r="BE302" s="1732" t="s">
        <v>249</v>
      </c>
      <c r="BF302" s="1732" t="s">
        <v>249</v>
      </c>
      <c r="BG302" s="1732" t="s">
        <v>249</v>
      </c>
      <c r="BH302" s="1732" t="s">
        <v>249</v>
      </c>
      <c r="BI302" s="1735" t="s">
        <v>249</v>
      </c>
      <c r="BJ302" s="1732" t="s">
        <v>249</v>
      </c>
      <c r="BK302" s="1732" t="s">
        <v>249</v>
      </c>
      <c r="BL302" s="1732" t="s">
        <v>249</v>
      </c>
      <c r="BM302" s="1732" t="s">
        <v>249</v>
      </c>
      <c r="BN302" s="1735" t="s">
        <v>249</v>
      </c>
      <c r="BO302" s="1732" t="s">
        <v>249</v>
      </c>
      <c r="BP302" s="1732" t="s">
        <v>249</v>
      </c>
      <c r="BQ302" s="1732" t="s">
        <v>249</v>
      </c>
      <c r="BR302" s="1732" t="s">
        <v>249</v>
      </c>
      <c r="BS302" s="1735" t="s">
        <v>249</v>
      </c>
      <c r="BT302" s="1732"/>
      <c r="BU302" s="1732"/>
      <c r="BV302" s="1732"/>
      <c r="BW302" s="1732"/>
      <c r="BX302" s="1735" t="s">
        <v>249</v>
      </c>
      <c r="BY302" s="1735" t="s">
        <v>249</v>
      </c>
      <c r="BZ302" s="1735" t="s">
        <v>249</v>
      </c>
      <c r="CA302" s="1735"/>
      <c r="CF302" s="1487" t="str">
        <f t="shared" si="366"/>
        <v>WM</v>
      </c>
      <c r="CG302" s="1286"/>
      <c r="CH302" s="1286"/>
      <c r="CI302" s="1286"/>
      <c r="CJ302" s="1286"/>
      <c r="CK302" s="1286"/>
      <c r="CL302" s="1733"/>
      <c r="CM302" s="1733"/>
      <c r="CN302" s="1733"/>
      <c r="CO302" s="1733"/>
      <c r="CP302" s="1733"/>
      <c r="CQ302" s="1733"/>
      <c r="CR302" s="1733"/>
      <c r="CS302" s="1703">
        <f t="shared" si="367"/>
        <v>0.05</v>
      </c>
      <c r="CT302" s="1735" t="str">
        <f t="shared" si="368"/>
        <v>--</v>
      </c>
      <c r="CU302" s="1735" t="str">
        <f t="shared" si="369"/>
        <v>--</v>
      </c>
      <c r="CV302" s="1735" t="str">
        <f t="shared" si="370"/>
        <v>--</v>
      </c>
      <c r="CW302" s="1735" t="str">
        <f t="shared" si="371"/>
        <v>--</v>
      </c>
      <c r="CX302" s="1735" t="str">
        <f t="shared" si="372"/>
        <v>--</v>
      </c>
      <c r="CY302" s="1735" t="str">
        <f t="shared" si="373"/>
        <v>--</v>
      </c>
      <c r="CZ302" s="1735" t="str">
        <f t="shared" si="373"/>
        <v>--</v>
      </c>
      <c r="DA302" s="1735" t="str">
        <f t="shared" si="373"/>
        <v>--</v>
      </c>
      <c r="DB302" s="1735">
        <f t="shared" si="373"/>
        <v>0</v>
      </c>
    </row>
    <row r="303" spans="1:106" ht="11.25" hidden="1" customHeight="1">
      <c r="K303" s="1733"/>
      <c r="P303" s="1733"/>
      <c r="U303" s="1733"/>
      <c r="Z303" s="1733"/>
      <c r="AE303" s="1733"/>
      <c r="AJ303" s="1733"/>
      <c r="AO303" s="1733"/>
      <c r="AS303" s="1610"/>
      <c r="AT303" s="796"/>
      <c r="AU303" s="1610"/>
      <c r="AV303" s="1610"/>
      <c r="AW303" s="1610"/>
      <c r="AX303" s="1610"/>
      <c r="AY303" s="796"/>
      <c r="AZ303" s="1610"/>
      <c r="BA303" s="1610"/>
      <c r="BB303" s="1610"/>
      <c r="BC303" s="1610"/>
      <c r="BD303" s="796"/>
      <c r="BE303" s="1610"/>
      <c r="BF303" s="1610"/>
      <c r="BG303" s="1610"/>
      <c r="BH303" s="1610"/>
      <c r="BI303" s="796"/>
      <c r="BJ303" s="1610"/>
      <c r="BK303" s="1610"/>
      <c r="BL303" s="1610"/>
      <c r="BM303" s="1610"/>
      <c r="BN303" s="796"/>
      <c r="BO303" s="1610"/>
      <c r="BP303" s="1610"/>
      <c r="BQ303" s="1610"/>
      <c r="BR303" s="1610"/>
      <c r="BS303" s="796"/>
      <c r="BT303" s="1610"/>
      <c r="BU303" s="1610"/>
      <c r="BV303" s="1610"/>
      <c r="BW303" s="1610"/>
      <c r="BX303" s="796"/>
      <c r="BY303" s="796"/>
      <c r="BZ303" s="796"/>
      <c r="CA303" s="796"/>
      <c r="CF303" s="1423"/>
      <c r="CG303" s="1271"/>
      <c r="CH303" s="1271"/>
      <c r="CI303" s="1271"/>
      <c r="CJ303" s="1271"/>
      <c r="CK303" s="1271"/>
      <c r="CL303" s="1733"/>
      <c r="CM303" s="1733"/>
      <c r="CN303" s="1733"/>
      <c r="CO303" s="1733"/>
      <c r="CP303" s="1733"/>
      <c r="CQ303" s="1733"/>
      <c r="CR303" s="1733"/>
      <c r="CS303" s="796">
        <f t="shared" si="367"/>
        <v>0</v>
      </c>
      <c r="CT303" s="796">
        <f t="shared" si="368"/>
        <v>0</v>
      </c>
      <c r="CU303" s="796">
        <f t="shared" si="369"/>
        <v>0</v>
      </c>
      <c r="CV303" s="796">
        <f t="shared" si="370"/>
        <v>0</v>
      </c>
      <c r="CW303" s="796">
        <f t="shared" si="371"/>
        <v>0</v>
      </c>
      <c r="CX303" s="796">
        <f t="shared" si="372"/>
        <v>0</v>
      </c>
      <c r="CY303" s="796">
        <f t="shared" si="373"/>
        <v>0</v>
      </c>
      <c r="CZ303" s="796">
        <f t="shared" si="373"/>
        <v>0</v>
      </c>
      <c r="DA303" s="796">
        <f t="shared" si="373"/>
        <v>0</v>
      </c>
      <c r="DB303" s="796">
        <f t="shared" si="373"/>
        <v>0</v>
      </c>
    </row>
    <row r="304" spans="1:106" s="1286" customFormat="1" ht="11.25" customHeight="1">
      <c r="A304" s="2295" t="s">
        <v>358</v>
      </c>
      <c r="B304" s="1515"/>
      <c r="C304" s="1515"/>
      <c r="D304" s="1515"/>
      <c r="E304" s="1515"/>
      <c r="F304" s="1515"/>
      <c r="G304" s="1516"/>
      <c r="H304" s="1516"/>
      <c r="I304" s="1516"/>
      <c r="J304" s="1516"/>
      <c r="K304" s="1516"/>
      <c r="L304" s="1516"/>
      <c r="M304" s="1516"/>
      <c r="N304" s="1516"/>
      <c r="O304" s="1516"/>
      <c r="P304" s="1516"/>
      <c r="Q304" s="1516"/>
      <c r="R304" s="1516"/>
      <c r="S304" s="1516"/>
      <c r="T304" s="1516"/>
      <c r="U304" s="1516"/>
      <c r="V304" s="1515"/>
      <c r="W304" s="1515"/>
      <c r="X304" s="1515"/>
      <c r="Y304" s="1515"/>
      <c r="Z304" s="1515"/>
      <c r="AA304" s="1515"/>
      <c r="AB304" s="1515"/>
      <c r="AC304" s="1515"/>
      <c r="AD304" s="1515"/>
      <c r="AE304" s="1515"/>
      <c r="AF304" s="1515"/>
      <c r="AG304" s="1515"/>
      <c r="AH304" s="1515"/>
      <c r="AI304" s="1515"/>
      <c r="AJ304" s="1515"/>
      <c r="AK304" s="1515"/>
      <c r="AL304" s="1515"/>
      <c r="AM304" s="1515"/>
      <c r="AN304" s="1515"/>
      <c r="AO304" s="1515"/>
      <c r="AP304" s="1515"/>
      <c r="AQ304" s="1515"/>
      <c r="AR304" s="1515"/>
      <c r="AS304" s="1515"/>
      <c r="AT304" s="1515"/>
      <c r="AU304" s="1515"/>
      <c r="AV304" s="1515"/>
      <c r="AW304" s="1515"/>
      <c r="AX304" s="1515"/>
      <c r="AY304" s="1515"/>
      <c r="AZ304" s="1515"/>
      <c r="BA304" s="1515"/>
      <c r="BB304" s="1515"/>
      <c r="BC304" s="1515"/>
      <c r="BD304" s="1515"/>
      <c r="BE304" s="1515"/>
      <c r="BF304" s="1515"/>
      <c r="BG304" s="1515"/>
      <c r="BH304" s="1515"/>
      <c r="BI304" s="1515"/>
      <c r="BJ304" s="1515"/>
      <c r="BK304" s="1515"/>
      <c r="BL304" s="1515"/>
      <c r="BM304" s="1515"/>
      <c r="BN304" s="1515"/>
      <c r="BO304" s="1515"/>
      <c r="BP304" s="1515"/>
      <c r="BQ304" s="1515"/>
      <c r="BR304" s="1515"/>
      <c r="BS304" s="1515"/>
      <c r="BT304" s="1515"/>
      <c r="BU304" s="1515"/>
      <c r="BV304" s="1515"/>
      <c r="BW304" s="1515"/>
      <c r="BX304" s="1515"/>
      <c r="BY304" s="1517"/>
      <c r="BZ304" s="1517"/>
      <c r="CA304" s="1517"/>
      <c r="CF304" s="2297" t="str">
        <f t="shared" ref="CF304:CF313" si="374">+A304</f>
        <v>Indices</v>
      </c>
      <c r="CG304" s="1515"/>
      <c r="CH304" s="1515"/>
      <c r="CI304" s="1515"/>
      <c r="CJ304" s="1515"/>
      <c r="CK304" s="1515"/>
      <c r="CL304" s="1516"/>
      <c r="CM304" s="1515"/>
      <c r="CN304" s="1515"/>
      <c r="CO304" s="1515"/>
      <c r="CP304" s="1515"/>
      <c r="CQ304" s="1515"/>
      <c r="CR304" s="1515"/>
      <c r="CS304" s="1515"/>
      <c r="CT304" s="1515"/>
      <c r="CU304" s="1515"/>
      <c r="CV304" s="1515"/>
      <c r="CW304" s="1515"/>
      <c r="CX304" s="1515"/>
      <c r="CY304" s="1515"/>
      <c r="CZ304" s="1517"/>
      <c r="DA304" s="1517"/>
      <c r="DB304" s="1517"/>
    </row>
    <row r="305" spans="1:260" s="1286" customFormat="1" ht="11.25" customHeight="1">
      <c r="A305" s="2296"/>
      <c r="B305" s="1518"/>
      <c r="C305" s="1518"/>
      <c r="D305" s="1518"/>
      <c r="E305" s="1518"/>
      <c r="F305" s="1518"/>
      <c r="G305" s="1519"/>
      <c r="H305" s="1519"/>
      <c r="I305" s="1519"/>
      <c r="J305" s="1519"/>
      <c r="K305" s="1519"/>
      <c r="L305" s="1519"/>
      <c r="M305" s="1519"/>
      <c r="N305" s="1519"/>
      <c r="O305" s="1519"/>
      <c r="P305" s="1519"/>
      <c r="Q305" s="1519"/>
      <c r="R305" s="1519"/>
      <c r="S305" s="1519"/>
      <c r="T305" s="1519"/>
      <c r="U305" s="1519"/>
      <c r="V305" s="1518"/>
      <c r="W305" s="1518"/>
      <c r="X305" s="1518"/>
      <c r="Y305" s="1518"/>
      <c r="Z305" s="1518"/>
      <c r="AA305" s="1518"/>
      <c r="AB305" s="1518"/>
      <c r="AC305" s="1518"/>
      <c r="AD305" s="1518"/>
      <c r="AE305" s="1518"/>
      <c r="AF305" s="1518"/>
      <c r="AG305" s="1518"/>
      <c r="AH305" s="1518"/>
      <c r="AI305" s="1518"/>
      <c r="AJ305" s="1518"/>
      <c r="AK305" s="1518"/>
      <c r="AL305" s="1518"/>
      <c r="AM305" s="1518"/>
      <c r="AN305" s="1518"/>
      <c r="AO305" s="1518"/>
      <c r="AP305" s="1518"/>
      <c r="AQ305" s="1518"/>
      <c r="AR305" s="1518"/>
      <c r="AS305" s="1518"/>
      <c r="AT305" s="1518"/>
      <c r="AU305" s="1518"/>
      <c r="AV305" s="1518"/>
      <c r="AW305" s="1518"/>
      <c r="AX305" s="1518"/>
      <c r="AY305" s="1518"/>
      <c r="AZ305" s="1518"/>
      <c r="BA305" s="1518"/>
      <c r="BB305" s="1518"/>
      <c r="BC305" s="1518"/>
      <c r="BD305" s="1518"/>
      <c r="BE305" s="1518"/>
      <c r="BF305" s="1518"/>
      <c r="BG305" s="1518"/>
      <c r="BH305" s="1518"/>
      <c r="BI305" s="1518"/>
      <c r="BJ305" s="1518"/>
      <c r="BK305" s="1518"/>
      <c r="BL305" s="1518"/>
      <c r="BM305" s="1518"/>
      <c r="BN305" s="1518"/>
      <c r="BO305" s="1518"/>
      <c r="BP305" s="1518"/>
      <c r="BQ305" s="1518"/>
      <c r="BR305" s="1518"/>
      <c r="BS305" s="1518"/>
      <c r="BT305" s="1518"/>
      <c r="BU305" s="1518"/>
      <c r="BV305" s="1518"/>
      <c r="BW305" s="1518"/>
      <c r="BX305" s="1518"/>
      <c r="BY305" s="1520"/>
      <c r="BZ305" s="1520"/>
      <c r="CA305" s="1520"/>
      <c r="CF305" s="2298">
        <f t="shared" si="374"/>
        <v>0</v>
      </c>
      <c r="CG305" s="1518"/>
      <c r="CH305" s="1518"/>
      <c r="CI305" s="1518"/>
      <c r="CJ305" s="1518"/>
      <c r="CK305" s="1518"/>
      <c r="CL305" s="1519"/>
      <c r="CM305" s="1518"/>
      <c r="CN305" s="1518"/>
      <c r="CO305" s="1518"/>
      <c r="CP305" s="1518"/>
      <c r="CQ305" s="1518"/>
      <c r="CR305" s="1518"/>
      <c r="CS305" s="1518"/>
      <c r="CT305" s="1518"/>
      <c r="CU305" s="1518"/>
      <c r="CV305" s="1518"/>
      <c r="CW305" s="1518"/>
      <c r="CX305" s="1518"/>
      <c r="CY305" s="1518"/>
      <c r="CZ305" s="1520"/>
      <c r="DA305" s="1520"/>
      <c r="DB305" s="1520"/>
    </row>
    <row r="306" spans="1:260" ht="15">
      <c r="A306" s="788" t="s">
        <v>290</v>
      </c>
      <c r="K306" s="1423"/>
      <c r="P306" s="1423"/>
      <c r="U306" s="1423"/>
      <c r="Z306" s="1423"/>
      <c r="AE306" s="1423"/>
      <c r="AJ306" s="1423"/>
      <c r="AO306" s="1423"/>
      <c r="AT306" s="1423"/>
      <c r="AY306" s="1423"/>
      <c r="BA306" s="1663"/>
      <c r="BB306" s="1663"/>
      <c r="BC306" s="1268"/>
      <c r="BD306" s="1551"/>
      <c r="BE306" s="1399"/>
      <c r="BF306" s="1663"/>
      <c r="BG306" s="1399"/>
      <c r="BH306" s="1268"/>
      <c r="BI306" s="1551"/>
      <c r="BJ306" s="1399"/>
      <c r="BL306" s="1399"/>
      <c r="BN306" s="1261"/>
      <c r="BO306" s="1399"/>
      <c r="BS306" s="1426"/>
      <c r="BT306" s="1399"/>
      <c r="BX306" s="1426"/>
      <c r="BY306" s="1427"/>
      <c r="BZ306" s="1427"/>
      <c r="CA306" s="1427"/>
      <c r="CF306" s="1421" t="str">
        <f t="shared" si="374"/>
        <v>S&amp;P Dow Jones Indices</v>
      </c>
      <c r="CG306" s="1271"/>
      <c r="CH306" s="1271"/>
      <c r="CI306" s="1271"/>
      <c r="CJ306" s="1271"/>
      <c r="CK306" s="1271"/>
      <c r="CL306" s="1423"/>
      <c r="CM306" s="1423"/>
      <c r="CN306" s="1423"/>
      <c r="CO306" s="1423"/>
      <c r="CP306" s="1423"/>
      <c r="CQ306" s="1423"/>
      <c r="CR306" s="1423"/>
      <c r="CS306" s="1423"/>
      <c r="CT306" s="1423"/>
      <c r="CU306" s="1423"/>
      <c r="CV306" s="1425"/>
      <c r="CW306" s="1426"/>
      <c r="CX306" s="1426"/>
      <c r="CY306" s="1426"/>
      <c r="CZ306" s="1427"/>
      <c r="DA306" s="1427"/>
      <c r="DB306" s="1427"/>
    </row>
    <row r="307" spans="1:260">
      <c r="A307" s="1345" t="s">
        <v>359</v>
      </c>
      <c r="G307" s="1319" t="s">
        <v>249</v>
      </c>
      <c r="H307" s="1319" t="s">
        <v>249</v>
      </c>
      <c r="I307" s="1319" t="s">
        <v>249</v>
      </c>
      <c r="J307" s="1278" t="s">
        <v>249</v>
      </c>
      <c r="K307" s="1278" t="s">
        <v>249</v>
      </c>
      <c r="L307" s="1319" t="s">
        <v>249</v>
      </c>
      <c r="M307" s="1319" t="s">
        <v>249</v>
      </c>
      <c r="N307" s="1319" t="s">
        <v>249</v>
      </c>
      <c r="O307" s="1278" t="s">
        <v>249</v>
      </c>
      <c r="P307" s="1278" t="s">
        <v>249</v>
      </c>
      <c r="Q307" s="1319" t="s">
        <v>249</v>
      </c>
      <c r="R307" s="1319" t="s">
        <v>249</v>
      </c>
      <c r="S307" s="1319" t="s">
        <v>249</v>
      </c>
      <c r="T307" s="1278" t="s">
        <v>249</v>
      </c>
      <c r="U307" s="1278" t="s">
        <v>249</v>
      </c>
      <c r="V307" s="1319" t="s">
        <v>249</v>
      </c>
      <c r="W307" s="1319" t="s">
        <v>249</v>
      </c>
      <c r="X307" s="1319" t="s">
        <v>249</v>
      </c>
      <c r="Y307" s="1278" t="s">
        <v>249</v>
      </c>
      <c r="Z307" s="1278" t="s">
        <v>249</v>
      </c>
      <c r="AA307" s="1319" t="s">
        <v>249</v>
      </c>
      <c r="AB307" s="1319" t="s">
        <v>249</v>
      </c>
      <c r="AC307" s="1319" t="s">
        <v>249</v>
      </c>
      <c r="AD307" s="1278" t="s">
        <v>249</v>
      </c>
      <c r="AE307" s="1278" t="s">
        <v>249</v>
      </c>
      <c r="AF307" s="1319" t="s">
        <v>249</v>
      </c>
      <c r="AG307" s="1319" t="s">
        <v>249</v>
      </c>
      <c r="AH307" s="1319" t="s">
        <v>249</v>
      </c>
      <c r="AI307" s="1278" t="s">
        <v>249</v>
      </c>
      <c r="AJ307" s="1278" t="s">
        <v>249</v>
      </c>
      <c r="AK307" s="1319" t="s">
        <v>249</v>
      </c>
      <c r="AL307" s="1319" t="s">
        <v>249</v>
      </c>
      <c r="AM307" s="1319" t="s">
        <v>249</v>
      </c>
      <c r="AN307" s="1278" t="s">
        <v>249</v>
      </c>
      <c r="AO307" s="1278" t="s">
        <v>249</v>
      </c>
      <c r="AP307" s="2046">
        <f>AP427</f>
        <v>52.14</v>
      </c>
      <c r="AQ307" s="2046">
        <f t="shared" ref="AQ307:BY307" si="375">AQ427</f>
        <v>55.34</v>
      </c>
      <c r="AR307" s="2047">
        <f t="shared" si="375"/>
        <v>57.74</v>
      </c>
      <c r="AS307" s="2046">
        <f t="shared" si="375"/>
        <v>63.34</v>
      </c>
      <c r="AT307" s="2048">
        <f t="shared" si="375"/>
        <v>228.56</v>
      </c>
      <c r="AU307" s="2046">
        <f t="shared" si="375"/>
        <v>64.12</v>
      </c>
      <c r="AV307" s="2046">
        <f t="shared" si="375"/>
        <v>65.44</v>
      </c>
      <c r="AW307" s="2046">
        <f t="shared" si="375"/>
        <v>68.080000000000013</v>
      </c>
      <c r="AX307" s="2046">
        <f t="shared" si="375"/>
        <v>70.599999999999994</v>
      </c>
      <c r="AY307" s="2048">
        <f t="shared" si="375"/>
        <v>268.24</v>
      </c>
      <c r="AZ307" s="2046">
        <f t="shared" si="375"/>
        <v>92</v>
      </c>
      <c r="BA307" s="2046">
        <f t="shared" si="375"/>
        <v>92</v>
      </c>
      <c r="BB307" s="2046">
        <f t="shared" si="375"/>
        <v>91</v>
      </c>
      <c r="BC307" s="2046">
        <f t="shared" si="375"/>
        <v>92.358208955223873</v>
      </c>
      <c r="BD307" s="2048">
        <f t="shared" si="375"/>
        <v>367.35820895522386</v>
      </c>
      <c r="BE307" s="2046">
        <f t="shared" si="375"/>
        <v>86</v>
      </c>
      <c r="BF307" s="2046">
        <f t="shared" si="375"/>
        <v>92</v>
      </c>
      <c r="BG307" s="2046">
        <f t="shared" si="375"/>
        <v>100</v>
      </c>
      <c r="BH307" s="2046">
        <f t="shared" si="375"/>
        <v>104</v>
      </c>
      <c r="BI307" s="2048">
        <f t="shared" si="375"/>
        <v>382</v>
      </c>
      <c r="BJ307" s="2046">
        <f>BJ427</f>
        <v>108</v>
      </c>
      <c r="BK307" s="2046">
        <f t="shared" si="375"/>
        <v>114</v>
      </c>
      <c r="BL307" s="2046">
        <f t="shared" si="375"/>
        <v>118</v>
      </c>
      <c r="BM307" s="2046">
        <f t="shared" si="375"/>
        <v>121</v>
      </c>
      <c r="BN307" s="2048">
        <f t="shared" si="375"/>
        <v>461</v>
      </c>
      <c r="BO307" s="2046">
        <f t="shared" si="375"/>
        <v>131</v>
      </c>
      <c r="BP307" s="2046">
        <f t="shared" si="375"/>
        <v>132.40678980891721</v>
      </c>
      <c r="BQ307" s="2046">
        <f t="shared" si="375"/>
        <v>136.88915923566879</v>
      </c>
      <c r="BR307" s="2046">
        <f t="shared" si="375"/>
        <v>141.37152866242042</v>
      </c>
      <c r="BS307" s="2048">
        <f t="shared" si="375"/>
        <v>541.66747770700636</v>
      </c>
      <c r="BT307" s="2046">
        <f t="shared" ref="BT307:BX307" si="376">BT427</f>
        <v>146.05412950318473</v>
      </c>
      <c r="BU307" s="2046">
        <f t="shared" si="376"/>
        <v>150.9369617579618</v>
      </c>
      <c r="BV307" s="2046">
        <f t="shared" si="376"/>
        <v>155.81979401273884</v>
      </c>
      <c r="BW307" s="2046">
        <f t="shared" si="376"/>
        <v>160.70262626751594</v>
      </c>
      <c r="BX307" s="2048">
        <f t="shared" si="376"/>
        <v>613.51351154140127</v>
      </c>
      <c r="BY307" s="2049">
        <f t="shared" si="375"/>
        <v>672.91854396927215</v>
      </c>
      <c r="BZ307" s="2049">
        <f>BZ427</f>
        <v>737.13419930805401</v>
      </c>
      <c r="CA307" s="2049">
        <f>CA427</f>
        <v>800.22364319390067</v>
      </c>
      <c r="CF307" s="1736" t="str">
        <f t="shared" si="374"/>
        <v>AUM Based Fees</v>
      </c>
      <c r="CG307" s="1271"/>
      <c r="CH307" s="1271"/>
      <c r="CI307" s="1271"/>
      <c r="CJ307" s="1271"/>
      <c r="CK307" s="1271"/>
      <c r="CL307" s="1278"/>
      <c r="CM307" s="1278"/>
      <c r="CN307" s="1278"/>
      <c r="CO307" s="1278"/>
      <c r="CP307" s="1278"/>
      <c r="CQ307" s="1278"/>
      <c r="CR307" s="1278"/>
      <c r="CS307" s="1270">
        <f>+AT307</f>
        <v>228.56</v>
      </c>
      <c r="CT307" s="1270">
        <f>+AY307</f>
        <v>268.24</v>
      </c>
      <c r="CU307" s="1270">
        <f>+BD307</f>
        <v>367.35820895522386</v>
      </c>
      <c r="CV307" s="1273">
        <f>+BI307</f>
        <v>382</v>
      </c>
      <c r="CW307" s="1270">
        <f>+BN307</f>
        <v>461</v>
      </c>
      <c r="CX307" s="1270">
        <f>+BS307</f>
        <v>541.66747770700636</v>
      </c>
      <c r="CY307" s="1270">
        <f t="shared" ref="CY307:DB310" si="377">+BX307</f>
        <v>613.51351154140127</v>
      </c>
      <c r="CZ307" s="1290">
        <f t="shared" si="377"/>
        <v>672.91854396927215</v>
      </c>
      <c r="DA307" s="1290">
        <f t="shared" si="377"/>
        <v>737.13419930805401</v>
      </c>
      <c r="DB307" s="1290">
        <f t="shared" si="377"/>
        <v>800.22364319390067</v>
      </c>
    </row>
    <row r="308" spans="1:260">
      <c r="A308" s="1345" t="s">
        <v>360</v>
      </c>
      <c r="G308" s="1319" t="s">
        <v>249</v>
      </c>
      <c r="H308" s="1319" t="s">
        <v>249</v>
      </c>
      <c r="I308" s="1319" t="s">
        <v>249</v>
      </c>
      <c r="J308" s="1278" t="s">
        <v>249</v>
      </c>
      <c r="K308" s="1278" t="s">
        <v>249</v>
      </c>
      <c r="L308" s="1319" t="s">
        <v>249</v>
      </c>
      <c r="M308" s="1319" t="s">
        <v>249</v>
      </c>
      <c r="N308" s="1319" t="s">
        <v>249</v>
      </c>
      <c r="O308" s="1278" t="s">
        <v>249</v>
      </c>
      <c r="P308" s="1278" t="s">
        <v>249</v>
      </c>
      <c r="Q308" s="1319" t="s">
        <v>249</v>
      </c>
      <c r="R308" s="1319" t="s">
        <v>249</v>
      </c>
      <c r="S308" s="1319" t="s">
        <v>249</v>
      </c>
      <c r="T308" s="1278" t="s">
        <v>249</v>
      </c>
      <c r="U308" s="1278" t="s">
        <v>249</v>
      </c>
      <c r="V308" s="1319" t="s">
        <v>249</v>
      </c>
      <c r="W308" s="1319" t="s">
        <v>249</v>
      </c>
      <c r="X308" s="1319" t="s">
        <v>249</v>
      </c>
      <c r="Y308" s="1278" t="s">
        <v>249</v>
      </c>
      <c r="Z308" s="1278" t="s">
        <v>249</v>
      </c>
      <c r="AA308" s="1319" t="s">
        <v>249</v>
      </c>
      <c r="AB308" s="1319" t="s">
        <v>249</v>
      </c>
      <c r="AC308" s="1319" t="s">
        <v>249</v>
      </c>
      <c r="AD308" s="1278" t="s">
        <v>249</v>
      </c>
      <c r="AE308" s="1278" t="s">
        <v>249</v>
      </c>
      <c r="AF308" s="1319" t="s">
        <v>249</v>
      </c>
      <c r="AG308" s="1319" t="s">
        <v>249</v>
      </c>
      <c r="AH308" s="1319" t="s">
        <v>249</v>
      </c>
      <c r="AI308" s="1278" t="s">
        <v>249</v>
      </c>
      <c r="AJ308" s="1278" t="s">
        <v>249</v>
      </c>
      <c r="AK308" s="1319" t="s">
        <v>249</v>
      </c>
      <c r="AL308" s="1319" t="s">
        <v>249</v>
      </c>
      <c r="AM308" s="1319" t="s">
        <v>249</v>
      </c>
      <c r="AN308" s="1278" t="s">
        <v>249</v>
      </c>
      <c r="AO308" s="1278" t="s">
        <v>249</v>
      </c>
      <c r="AP308" s="2046">
        <f>AP433</f>
        <v>29.152528799999999</v>
      </c>
      <c r="AQ308" s="2046">
        <f t="shared" ref="AQ308:BY308" si="378">AQ433</f>
        <v>35.577877440000002</v>
      </c>
      <c r="AR308" s="2047">
        <f t="shared" si="378"/>
        <v>29.603971199999997</v>
      </c>
      <c r="AS308" s="2046">
        <f t="shared" si="378"/>
        <v>31.30143408</v>
      </c>
      <c r="AT308" s="2048">
        <f t="shared" si="378"/>
        <v>125.63581152</v>
      </c>
      <c r="AU308" s="2046">
        <f t="shared" si="378"/>
        <v>34.394756800000003</v>
      </c>
      <c r="AV308" s="2046">
        <f t="shared" si="378"/>
        <v>30.977200799999999</v>
      </c>
      <c r="AW308" s="2046">
        <f t="shared" si="378"/>
        <v>32.803699680000001</v>
      </c>
      <c r="AX308" s="2046">
        <f t="shared" si="378"/>
        <v>39.564889919999999</v>
      </c>
      <c r="AY308" s="2048">
        <f t="shared" si="378"/>
        <v>137.74054719999998</v>
      </c>
      <c r="AZ308" s="2046">
        <f t="shared" si="378"/>
        <v>22</v>
      </c>
      <c r="BA308" s="2046">
        <f t="shared" si="378"/>
        <v>28</v>
      </c>
      <c r="BB308" s="2046">
        <f t="shared" si="378"/>
        <v>35</v>
      </c>
      <c r="BC308" s="2046">
        <f t="shared" si="378"/>
        <v>27</v>
      </c>
      <c r="BD308" s="2048">
        <f t="shared" si="378"/>
        <v>112</v>
      </c>
      <c r="BE308" s="2046">
        <f t="shared" si="378"/>
        <v>35</v>
      </c>
      <c r="BF308" s="2046">
        <f t="shared" si="378"/>
        <v>29</v>
      </c>
      <c r="BG308" s="2046">
        <f t="shared" si="378"/>
        <v>31</v>
      </c>
      <c r="BH308" s="2046">
        <f t="shared" si="378"/>
        <v>30</v>
      </c>
      <c r="BI308" s="2048">
        <f t="shared" si="378"/>
        <v>125</v>
      </c>
      <c r="BJ308" s="2046">
        <f t="shared" si="378"/>
        <v>32</v>
      </c>
      <c r="BK308" s="2046">
        <f t="shared" si="378"/>
        <v>33</v>
      </c>
      <c r="BL308" s="2046">
        <f t="shared" si="378"/>
        <v>33</v>
      </c>
      <c r="BM308" s="2046">
        <f t="shared" si="378"/>
        <v>34</v>
      </c>
      <c r="BN308" s="2048">
        <f t="shared" si="378"/>
        <v>131.99999999999997</v>
      </c>
      <c r="BO308" s="2046">
        <f t="shared" si="378"/>
        <v>50</v>
      </c>
      <c r="BP308" s="2046">
        <f t="shared" si="378"/>
        <v>39.239300723276735</v>
      </c>
      <c r="BQ308" s="2046">
        <f t="shared" si="378"/>
        <v>36.120741906197573</v>
      </c>
      <c r="BR308" s="2046">
        <f t="shared" si="378"/>
        <v>37.053191806653906</v>
      </c>
      <c r="BS308" s="2048">
        <f t="shared" si="378"/>
        <v>162.41323443612822</v>
      </c>
      <c r="BT308" s="2046">
        <f t="shared" ref="BT308:BX308" si="379">BT433</f>
        <v>40.865680610266018</v>
      </c>
      <c r="BU308" s="2046">
        <f t="shared" si="379"/>
        <v>39.256990696612498</v>
      </c>
      <c r="BV308" s="2046">
        <f t="shared" si="379"/>
        <v>38.19201315057358</v>
      </c>
      <c r="BW308" s="2046">
        <f t="shared" si="379"/>
        <v>38.50180277869395</v>
      </c>
      <c r="BX308" s="2048">
        <f t="shared" si="379"/>
        <v>156.81648723614603</v>
      </c>
      <c r="BY308" s="2049">
        <f t="shared" si="378"/>
        <v>164.50723119989215</v>
      </c>
      <c r="BZ308" s="2049">
        <f>BZ433</f>
        <v>172.58251236182554</v>
      </c>
      <c r="CA308" s="2049">
        <f>CA433</f>
        <v>181.0615575818556</v>
      </c>
      <c r="CF308" s="1736" t="str">
        <f t="shared" si="374"/>
        <v>Trading Fees</v>
      </c>
      <c r="CG308" s="1271"/>
      <c r="CH308" s="1271"/>
      <c r="CI308" s="1271"/>
      <c r="CJ308" s="1271"/>
      <c r="CK308" s="1271"/>
      <c r="CL308" s="1278"/>
      <c r="CM308" s="1278"/>
      <c r="CN308" s="1278"/>
      <c r="CO308" s="1278"/>
      <c r="CP308" s="1278"/>
      <c r="CQ308" s="1278"/>
      <c r="CR308" s="1278"/>
      <c r="CS308" s="1270">
        <f>+AT308</f>
        <v>125.63581152</v>
      </c>
      <c r="CT308" s="1270">
        <f>+AY308</f>
        <v>137.74054719999998</v>
      </c>
      <c r="CU308" s="1270">
        <f>+BD308</f>
        <v>112</v>
      </c>
      <c r="CV308" s="1273">
        <f>+BI308</f>
        <v>125</v>
      </c>
      <c r="CW308" s="1270">
        <f>+BN308</f>
        <v>131.99999999999997</v>
      </c>
      <c r="CX308" s="1270">
        <f>+BS308</f>
        <v>162.41323443612822</v>
      </c>
      <c r="CY308" s="1270">
        <f t="shared" si="377"/>
        <v>156.81648723614603</v>
      </c>
      <c r="CZ308" s="1290">
        <f t="shared" si="377"/>
        <v>164.50723119989215</v>
      </c>
      <c r="DA308" s="1290">
        <f t="shared" si="377"/>
        <v>172.58251236182554</v>
      </c>
      <c r="DB308" s="1290">
        <f t="shared" si="377"/>
        <v>181.0615575818556</v>
      </c>
    </row>
    <row r="309" spans="1:260">
      <c r="A309" s="1345" t="s">
        <v>361</v>
      </c>
      <c r="G309" s="1319" t="s">
        <v>249</v>
      </c>
      <c r="H309" s="1319" t="s">
        <v>249</v>
      </c>
      <c r="I309" s="1319" t="s">
        <v>249</v>
      </c>
      <c r="J309" s="1278" t="s">
        <v>249</v>
      </c>
      <c r="K309" s="1278" t="s">
        <v>249</v>
      </c>
      <c r="L309" s="1319" t="s">
        <v>249</v>
      </c>
      <c r="M309" s="1319" t="s">
        <v>249</v>
      </c>
      <c r="N309" s="1319" t="s">
        <v>249</v>
      </c>
      <c r="O309" s="1278" t="s">
        <v>249</v>
      </c>
      <c r="P309" s="1278" t="s">
        <v>249</v>
      </c>
      <c r="Q309" s="1319" t="s">
        <v>249</v>
      </c>
      <c r="R309" s="1319" t="s">
        <v>249</v>
      </c>
      <c r="S309" s="1319" t="s">
        <v>249</v>
      </c>
      <c r="T309" s="1278" t="s">
        <v>249</v>
      </c>
      <c r="U309" s="1278" t="s">
        <v>249</v>
      </c>
      <c r="V309" s="1319" t="s">
        <v>249</v>
      </c>
      <c r="W309" s="1319" t="s">
        <v>249</v>
      </c>
      <c r="X309" s="1319" t="s">
        <v>249</v>
      </c>
      <c r="Y309" s="1278" t="s">
        <v>249</v>
      </c>
      <c r="Z309" s="1278" t="s">
        <v>249</v>
      </c>
      <c r="AA309" s="1319" t="s">
        <v>249</v>
      </c>
      <c r="AB309" s="1319" t="s">
        <v>249</v>
      </c>
      <c r="AC309" s="1319" t="s">
        <v>249</v>
      </c>
      <c r="AD309" s="1278" t="s">
        <v>249</v>
      </c>
      <c r="AE309" s="1278" t="s">
        <v>249</v>
      </c>
      <c r="AF309" s="1319" t="s">
        <v>249</v>
      </c>
      <c r="AG309" s="1319" t="s">
        <v>249</v>
      </c>
      <c r="AH309" s="1319" t="s">
        <v>249</v>
      </c>
      <c r="AI309" s="1278" t="s">
        <v>249</v>
      </c>
      <c r="AJ309" s="1278" t="s">
        <v>249</v>
      </c>
      <c r="AK309" s="1319" t="s">
        <v>249</v>
      </c>
      <c r="AL309" s="1319" t="s">
        <v>249</v>
      </c>
      <c r="AM309" s="1319" t="s">
        <v>249</v>
      </c>
      <c r="AN309" s="1278" t="s">
        <v>249</v>
      </c>
      <c r="AO309" s="1278" t="s">
        <v>249</v>
      </c>
      <c r="AP309" s="2046">
        <f>AP324</f>
        <v>25</v>
      </c>
      <c r="AQ309" s="2046">
        <f t="shared" ref="AQ309:BY309" si="380">AQ324</f>
        <v>26</v>
      </c>
      <c r="AR309" s="2047">
        <f t="shared" si="380"/>
        <v>25</v>
      </c>
      <c r="AS309" s="2046">
        <f t="shared" si="380"/>
        <v>27</v>
      </c>
      <c r="AT309" s="2048">
        <f t="shared" si="380"/>
        <v>103</v>
      </c>
      <c r="AU309" s="2046">
        <f t="shared" si="380"/>
        <v>26</v>
      </c>
      <c r="AV309" s="2046">
        <f t="shared" si="380"/>
        <v>28</v>
      </c>
      <c r="AW309" s="2046">
        <f t="shared" si="380"/>
        <v>29</v>
      </c>
      <c r="AX309" s="2046">
        <f t="shared" si="380"/>
        <v>29</v>
      </c>
      <c r="AY309" s="2048">
        <f t="shared" si="380"/>
        <v>112</v>
      </c>
      <c r="AZ309" s="2046">
        <f t="shared" si="380"/>
        <v>29</v>
      </c>
      <c r="BA309" s="2046">
        <f t="shared" si="380"/>
        <v>28</v>
      </c>
      <c r="BB309" s="2046">
        <f t="shared" si="380"/>
        <v>30</v>
      </c>
      <c r="BC309" s="2046">
        <f t="shared" si="380"/>
        <v>30</v>
      </c>
      <c r="BD309" s="2048">
        <f t="shared" si="380"/>
        <v>117</v>
      </c>
      <c r="BE309" s="2046">
        <f t="shared" si="380"/>
        <v>30</v>
      </c>
      <c r="BF309" s="2046">
        <f t="shared" si="380"/>
        <v>32</v>
      </c>
      <c r="BG309" s="2046">
        <f t="shared" si="380"/>
        <v>33</v>
      </c>
      <c r="BH309" s="2046">
        <f t="shared" si="380"/>
        <v>37</v>
      </c>
      <c r="BI309" s="2048">
        <f t="shared" si="380"/>
        <v>132</v>
      </c>
      <c r="BJ309" s="2046">
        <f t="shared" si="380"/>
        <v>31</v>
      </c>
      <c r="BK309" s="2046">
        <f t="shared" si="380"/>
        <v>37</v>
      </c>
      <c r="BL309" s="2046">
        <f t="shared" si="380"/>
        <v>36</v>
      </c>
      <c r="BM309" s="2046">
        <f t="shared" si="380"/>
        <v>36</v>
      </c>
      <c r="BN309" s="2048">
        <f t="shared" si="380"/>
        <v>140</v>
      </c>
      <c r="BO309" s="2046">
        <f t="shared" si="380"/>
        <v>33</v>
      </c>
      <c r="BP309" s="2046">
        <f t="shared" si="380"/>
        <v>38.11</v>
      </c>
      <c r="BQ309" s="2046">
        <f t="shared" si="380"/>
        <v>37.08</v>
      </c>
      <c r="BR309" s="2046">
        <f t="shared" si="380"/>
        <v>37.08</v>
      </c>
      <c r="BS309" s="2048">
        <f t="shared" si="380"/>
        <v>145.26999999999998</v>
      </c>
      <c r="BT309" s="2046">
        <f t="shared" ref="BT309:BX309" si="381">BT324</f>
        <v>33.99</v>
      </c>
      <c r="BU309" s="2046">
        <f t="shared" si="381"/>
        <v>39.253300000000003</v>
      </c>
      <c r="BV309" s="2046">
        <f t="shared" si="381"/>
        <v>38.192399999999999</v>
      </c>
      <c r="BW309" s="2046">
        <f t="shared" si="381"/>
        <v>38.192399999999999</v>
      </c>
      <c r="BX309" s="2048">
        <f t="shared" si="381"/>
        <v>149.62809999999999</v>
      </c>
      <c r="BY309" s="2049">
        <f t="shared" si="380"/>
        <v>154.11694299999999</v>
      </c>
      <c r="BZ309" s="2049">
        <f>BZ324</f>
        <v>158.74045129000001</v>
      </c>
      <c r="CA309" s="2049">
        <f>CA324</f>
        <v>163.50266482870001</v>
      </c>
      <c r="CF309" s="1736" t="str">
        <f t="shared" si="374"/>
        <v>Subscription Fees</v>
      </c>
      <c r="CG309" s="1271"/>
      <c r="CH309" s="1271"/>
      <c r="CI309" s="1271"/>
      <c r="CJ309" s="1271"/>
      <c r="CK309" s="1271"/>
      <c r="CL309" s="1278"/>
      <c r="CM309" s="1278"/>
      <c r="CN309" s="1278"/>
      <c r="CO309" s="1278"/>
      <c r="CP309" s="1278"/>
      <c r="CQ309" s="1278"/>
      <c r="CR309" s="1278"/>
      <c r="CS309" s="1270">
        <f>+AT309</f>
        <v>103</v>
      </c>
      <c r="CT309" s="1270">
        <f>+AY309</f>
        <v>112</v>
      </c>
      <c r="CU309" s="1270">
        <f>+BD309</f>
        <v>117</v>
      </c>
      <c r="CV309" s="1273">
        <f>+BI309</f>
        <v>132</v>
      </c>
      <c r="CW309" s="1270">
        <f>+BN309</f>
        <v>140</v>
      </c>
      <c r="CX309" s="1270">
        <f>+BS309</f>
        <v>145.26999999999998</v>
      </c>
      <c r="CY309" s="1270">
        <f t="shared" si="377"/>
        <v>149.62809999999999</v>
      </c>
      <c r="CZ309" s="1290">
        <f t="shared" si="377"/>
        <v>154.11694299999999</v>
      </c>
      <c r="DA309" s="1290">
        <f t="shared" si="377"/>
        <v>158.74045129000001</v>
      </c>
      <c r="DB309" s="1290">
        <f t="shared" si="377"/>
        <v>163.50266482870001</v>
      </c>
    </row>
    <row r="310" spans="1:260">
      <c r="A310" s="1345" t="s">
        <v>117</v>
      </c>
      <c r="G310" s="1319" t="s">
        <v>249</v>
      </c>
      <c r="H310" s="1319" t="s">
        <v>249</v>
      </c>
      <c r="I310" s="1319" t="s">
        <v>249</v>
      </c>
      <c r="J310" s="1278" t="s">
        <v>249</v>
      </c>
      <c r="K310" s="1278" t="s">
        <v>249</v>
      </c>
      <c r="L310" s="1319" t="s">
        <v>249</v>
      </c>
      <c r="M310" s="1319" t="s">
        <v>249</v>
      </c>
      <c r="N310" s="1319" t="s">
        <v>249</v>
      </c>
      <c r="O310" s="1278" t="s">
        <v>249</v>
      </c>
      <c r="P310" s="1278" t="s">
        <v>249</v>
      </c>
      <c r="Q310" s="1319" t="s">
        <v>249</v>
      </c>
      <c r="R310" s="1319" t="s">
        <v>249</v>
      </c>
      <c r="S310" s="1319" t="s">
        <v>249</v>
      </c>
      <c r="T310" s="1278" t="s">
        <v>249</v>
      </c>
      <c r="U310" s="1278" t="s">
        <v>249</v>
      </c>
      <c r="V310" s="1319" t="s">
        <v>249</v>
      </c>
      <c r="W310" s="1319" t="s">
        <v>249</v>
      </c>
      <c r="X310" s="1319" t="s">
        <v>249</v>
      </c>
      <c r="Y310" s="1278" t="s">
        <v>249</v>
      </c>
      <c r="Z310" s="1278" t="s">
        <v>249</v>
      </c>
      <c r="AA310" s="1319" t="s">
        <v>249</v>
      </c>
      <c r="AB310" s="1319" t="s">
        <v>249</v>
      </c>
      <c r="AC310" s="1319" t="s">
        <v>249</v>
      </c>
      <c r="AD310" s="1278" t="s">
        <v>249</v>
      </c>
      <c r="AE310" s="1278" t="s">
        <v>249</v>
      </c>
      <c r="AF310" s="1319" t="s">
        <v>249</v>
      </c>
      <c r="AG310" s="1319" t="s">
        <v>249</v>
      </c>
      <c r="AH310" s="1319" t="s">
        <v>249</v>
      </c>
      <c r="AI310" s="1278" t="s">
        <v>249</v>
      </c>
      <c r="AJ310" s="1278" t="s">
        <v>249</v>
      </c>
      <c r="AK310" s="1319" t="s">
        <v>249</v>
      </c>
      <c r="AL310" s="1319" t="s">
        <v>249</v>
      </c>
      <c r="AM310" s="1319" t="s">
        <v>249</v>
      </c>
      <c r="AN310" s="1278" t="s">
        <v>249</v>
      </c>
      <c r="AO310" s="1278" t="s">
        <v>249</v>
      </c>
      <c r="AP310" s="2046">
        <f>AP435</f>
        <v>8.7074712000000005</v>
      </c>
      <c r="AQ310" s="2046">
        <f t="shared" ref="AQ310:BY310" si="382">AQ435</f>
        <v>6.0821225599999948</v>
      </c>
      <c r="AR310" s="2047">
        <f t="shared" si="382"/>
        <v>11.656028800000001</v>
      </c>
      <c r="AS310" s="2046">
        <f t="shared" si="382"/>
        <v>8.3585659199999967</v>
      </c>
      <c r="AT310" s="2048">
        <f t="shared" si="382"/>
        <v>34.804188479999993</v>
      </c>
      <c r="AU310" s="2046">
        <f t="shared" si="382"/>
        <v>12.485243199999992</v>
      </c>
      <c r="AV310" s="2046">
        <f t="shared" si="382"/>
        <v>8.5827992000000037</v>
      </c>
      <c r="AW310" s="2046">
        <f t="shared" si="382"/>
        <v>13.116300319999986</v>
      </c>
      <c r="AX310" s="2046">
        <f t="shared" si="382"/>
        <v>0.83511008000000686</v>
      </c>
      <c r="AY310" s="2048">
        <f t="shared" si="382"/>
        <v>35.019452799999989</v>
      </c>
      <c r="AZ310" s="2046">
        <f t="shared" si="382"/>
        <v>0</v>
      </c>
      <c r="BA310" s="2046">
        <f t="shared" si="382"/>
        <v>0</v>
      </c>
      <c r="BB310" s="2046">
        <f t="shared" si="382"/>
        <v>0</v>
      </c>
      <c r="BC310" s="2046">
        <f t="shared" si="382"/>
        <v>0</v>
      </c>
      <c r="BD310" s="2048">
        <f t="shared" si="382"/>
        <v>0</v>
      </c>
      <c r="BE310" s="2046">
        <f t="shared" si="382"/>
        <v>0</v>
      </c>
      <c r="BF310" s="2046">
        <f t="shared" si="382"/>
        <v>0</v>
      </c>
      <c r="BG310" s="2046">
        <f t="shared" si="382"/>
        <v>0</v>
      </c>
      <c r="BH310" s="2046">
        <f t="shared" si="382"/>
        <v>0</v>
      </c>
      <c r="BI310" s="2048">
        <f t="shared" si="382"/>
        <v>0</v>
      </c>
      <c r="BJ310" s="2046">
        <f t="shared" si="382"/>
        <v>0</v>
      </c>
      <c r="BK310" s="2046">
        <f t="shared" si="382"/>
        <v>0</v>
      </c>
      <c r="BL310" s="2046">
        <f t="shared" si="382"/>
        <v>0</v>
      </c>
      <c r="BM310" s="2046">
        <f t="shared" si="382"/>
        <v>0</v>
      </c>
      <c r="BN310" s="2048">
        <f t="shared" si="382"/>
        <v>0</v>
      </c>
      <c r="BO310" s="2046">
        <f t="shared" si="382"/>
        <v>0</v>
      </c>
      <c r="BP310" s="2046">
        <f t="shared" si="382"/>
        <v>0</v>
      </c>
      <c r="BQ310" s="2046">
        <f t="shared" si="382"/>
        <v>0</v>
      </c>
      <c r="BR310" s="2046">
        <f t="shared" si="382"/>
        <v>0</v>
      </c>
      <c r="BS310" s="2048">
        <f t="shared" si="382"/>
        <v>0</v>
      </c>
      <c r="BT310" s="2046">
        <f t="shared" ref="BT310:BX310" si="383">BT435</f>
        <v>0</v>
      </c>
      <c r="BU310" s="2046">
        <f t="shared" si="383"/>
        <v>0</v>
      </c>
      <c r="BV310" s="2046">
        <f t="shared" si="383"/>
        <v>0</v>
      </c>
      <c r="BW310" s="2046">
        <f t="shared" si="383"/>
        <v>0</v>
      </c>
      <c r="BX310" s="2048">
        <f t="shared" si="383"/>
        <v>0</v>
      </c>
      <c r="BY310" s="2049">
        <f t="shared" si="382"/>
        <v>0</v>
      </c>
      <c r="BZ310" s="2049">
        <f>BZ435</f>
        <v>0</v>
      </c>
      <c r="CA310" s="2049">
        <f>CA435</f>
        <v>0</v>
      </c>
      <c r="CF310" s="1736" t="str">
        <f t="shared" si="374"/>
        <v>Other</v>
      </c>
      <c r="CG310" s="1271"/>
      <c r="CH310" s="1271"/>
      <c r="CI310" s="1271"/>
      <c r="CJ310" s="1271"/>
      <c r="CK310" s="1271"/>
      <c r="CL310" s="1278"/>
      <c r="CM310" s="1278"/>
      <c r="CN310" s="1278"/>
      <c r="CO310" s="1278"/>
      <c r="CP310" s="1278"/>
      <c r="CQ310" s="1278"/>
      <c r="CR310" s="1278"/>
      <c r="CS310" s="1270">
        <f>+AT310</f>
        <v>34.804188479999993</v>
      </c>
      <c r="CT310" s="1270">
        <f>+AY310</f>
        <v>35.019452799999989</v>
      </c>
      <c r="CU310" s="1270">
        <f>+BD310</f>
        <v>0</v>
      </c>
      <c r="CV310" s="1273">
        <f>+BI310</f>
        <v>0</v>
      </c>
      <c r="CW310" s="1270">
        <f>+BN310</f>
        <v>0</v>
      </c>
      <c r="CX310" s="1270">
        <f>+BS310</f>
        <v>0</v>
      </c>
      <c r="CY310" s="1270">
        <f t="shared" si="377"/>
        <v>0</v>
      </c>
      <c r="CZ310" s="1290">
        <f t="shared" si="377"/>
        <v>0</v>
      </c>
      <c r="DA310" s="1290">
        <f t="shared" si="377"/>
        <v>0</v>
      </c>
      <c r="DB310" s="1290">
        <f t="shared" si="377"/>
        <v>0</v>
      </c>
    </row>
    <row r="311" spans="1:260">
      <c r="A311" s="1345" t="s">
        <v>303</v>
      </c>
      <c r="G311" s="1319"/>
      <c r="H311" s="1319"/>
      <c r="I311" s="1319"/>
      <c r="J311" s="1278"/>
      <c r="K311" s="1278"/>
      <c r="L311" s="1319"/>
      <c r="M311" s="1319"/>
      <c r="N311" s="1319"/>
      <c r="O311" s="1278"/>
      <c r="P311" s="1278"/>
      <c r="Q311" s="1319"/>
      <c r="R311" s="1319"/>
      <c r="S311" s="1319"/>
      <c r="T311" s="1278"/>
      <c r="U311" s="1278"/>
      <c r="V311" s="1319"/>
      <c r="W311" s="1319"/>
      <c r="X311" s="1319"/>
      <c r="Y311" s="1278"/>
      <c r="Z311" s="1278"/>
      <c r="AA311" s="1319"/>
      <c r="AB311" s="1319"/>
      <c r="AC311" s="1319"/>
      <c r="AD311" s="1278"/>
      <c r="AE311" s="1278"/>
      <c r="AF311" s="1319"/>
      <c r="AG311" s="1319"/>
      <c r="AH311" s="1319"/>
      <c r="AI311" s="1278"/>
      <c r="AJ311" s="1278"/>
      <c r="AK311" s="1319"/>
      <c r="AL311" s="1319"/>
      <c r="AM311" s="1319"/>
      <c r="AN311" s="1278"/>
      <c r="AO311" s="1278"/>
      <c r="AP311" s="762"/>
      <c r="AQ311" s="762"/>
      <c r="AR311" s="1344"/>
      <c r="AS311" s="762"/>
      <c r="AT311" s="1270"/>
      <c r="AU311" s="762"/>
      <c r="AV311" s="762"/>
      <c r="AW311" s="762"/>
      <c r="AX311" s="762"/>
      <c r="AY311" s="1270"/>
      <c r="AZ311" s="762"/>
      <c r="BA311" s="762"/>
      <c r="BB311" s="762"/>
      <c r="BC311" s="762"/>
      <c r="BD311" s="1270"/>
      <c r="BE311" s="762"/>
      <c r="BF311" s="762"/>
      <c r="BG311" s="762"/>
      <c r="BH311" s="1663"/>
      <c r="BI311" s="1270"/>
      <c r="BJ311" s="762"/>
      <c r="BK311" s="762"/>
      <c r="BL311" s="762"/>
      <c r="BM311" s="762"/>
      <c r="BN311" s="1270"/>
      <c r="BO311" s="1402"/>
      <c r="BP311" s="762"/>
      <c r="BQ311" s="762"/>
      <c r="BR311" s="762"/>
      <c r="BS311" s="1270"/>
      <c r="BT311" s="762"/>
      <c r="BU311" s="762"/>
      <c r="BV311" s="762"/>
      <c r="BW311" s="762"/>
      <c r="BX311" s="1270"/>
      <c r="BY311" s="1290"/>
      <c r="BZ311" s="1290"/>
      <c r="CA311" s="1290"/>
      <c r="CF311" s="1736" t="str">
        <f t="shared" si="374"/>
        <v>FX Impact</v>
      </c>
      <c r="CG311" s="1271"/>
      <c r="CH311" s="1271"/>
      <c r="CI311" s="1271"/>
      <c r="CJ311" s="1271"/>
      <c r="CK311" s="1271"/>
      <c r="CL311" s="1278"/>
      <c r="CM311" s="1278"/>
      <c r="CN311" s="1278"/>
      <c r="CO311" s="1278"/>
      <c r="CP311" s="1278"/>
      <c r="CQ311" s="1278"/>
      <c r="CR311" s="1278"/>
      <c r="CS311" s="1270"/>
      <c r="CT311" s="1270"/>
      <c r="CU311" s="1270"/>
      <c r="CV311" s="1273"/>
      <c r="CW311" s="1270"/>
      <c r="CX311" s="1270"/>
      <c r="CY311" s="1270"/>
      <c r="CZ311" s="1290"/>
      <c r="DA311" s="1290"/>
      <c r="DB311" s="1290"/>
    </row>
    <row r="312" spans="1:260" s="788" customFormat="1" ht="12.75">
      <c r="A312" s="768" t="s">
        <v>362</v>
      </c>
      <c r="G312" s="1319" t="s">
        <v>249</v>
      </c>
      <c r="H312" s="1319" t="s">
        <v>249</v>
      </c>
      <c r="I312" s="1319" t="s">
        <v>249</v>
      </c>
      <c r="J312" s="1278" t="s">
        <v>249</v>
      </c>
      <c r="K312" s="1278" t="s">
        <v>249</v>
      </c>
      <c r="L312" s="1319" t="s">
        <v>249</v>
      </c>
      <c r="M312" s="1319" t="s">
        <v>249</v>
      </c>
      <c r="N312" s="1319" t="s">
        <v>249</v>
      </c>
      <c r="O312" s="1278" t="s">
        <v>249</v>
      </c>
      <c r="P312" s="1278" t="s">
        <v>249</v>
      </c>
      <c r="Q312" s="1319" t="s">
        <v>249</v>
      </c>
      <c r="R312" s="1319" t="s">
        <v>249</v>
      </c>
      <c r="S312" s="1319" t="s">
        <v>249</v>
      </c>
      <c r="T312" s="1278" t="s">
        <v>249</v>
      </c>
      <c r="U312" s="1278" t="s">
        <v>249</v>
      </c>
      <c r="V312" s="1319" t="s">
        <v>249</v>
      </c>
      <c r="W312" s="1319" t="s">
        <v>249</v>
      </c>
      <c r="X312" s="1319" t="s">
        <v>249</v>
      </c>
      <c r="Y312" s="1278" t="s">
        <v>249</v>
      </c>
      <c r="Z312" s="1278" t="s">
        <v>249</v>
      </c>
      <c r="AA312" s="1319" t="s">
        <v>249</v>
      </c>
      <c r="AB312" s="1319" t="s">
        <v>249</v>
      </c>
      <c r="AC312" s="1319" t="s">
        <v>249</v>
      </c>
      <c r="AD312" s="1278" t="s">
        <v>249</v>
      </c>
      <c r="AE312" s="1278" t="s">
        <v>249</v>
      </c>
      <c r="AF312" s="1319" t="s">
        <v>249</v>
      </c>
      <c r="AG312" s="1319" t="s">
        <v>249</v>
      </c>
      <c r="AH312" s="1319" t="s">
        <v>249</v>
      </c>
      <c r="AI312" s="1278" t="s">
        <v>249</v>
      </c>
      <c r="AJ312" s="1278" t="s">
        <v>249</v>
      </c>
      <c r="AK312" s="1319" t="s">
        <v>249</v>
      </c>
      <c r="AL312" s="1319" t="s">
        <v>249</v>
      </c>
      <c r="AM312" s="1319" t="s">
        <v>249</v>
      </c>
      <c r="AN312" s="1278" t="s">
        <v>249</v>
      </c>
      <c r="AO312" s="1278" t="s">
        <v>249</v>
      </c>
      <c r="AP312" s="768">
        <f t="shared" ref="AP312:BF312" si="384">SUM(AP307:AP310)</f>
        <v>115</v>
      </c>
      <c r="AQ312" s="768">
        <f t="shared" si="384"/>
        <v>123</v>
      </c>
      <c r="AR312" s="768">
        <f t="shared" si="384"/>
        <v>124</v>
      </c>
      <c r="AS312" s="768">
        <f t="shared" si="384"/>
        <v>130</v>
      </c>
      <c r="AT312" s="1291">
        <f t="shared" si="384"/>
        <v>492</v>
      </c>
      <c r="AU312" s="768">
        <f t="shared" si="384"/>
        <v>137</v>
      </c>
      <c r="AV312" s="768">
        <f t="shared" si="384"/>
        <v>133</v>
      </c>
      <c r="AW312" s="768">
        <f t="shared" si="384"/>
        <v>143</v>
      </c>
      <c r="AX312" s="768">
        <f t="shared" si="384"/>
        <v>140</v>
      </c>
      <c r="AY312" s="1291">
        <f t="shared" si="384"/>
        <v>553</v>
      </c>
      <c r="AZ312" s="768">
        <f t="shared" si="384"/>
        <v>143</v>
      </c>
      <c r="BA312" s="768">
        <f t="shared" si="384"/>
        <v>148</v>
      </c>
      <c r="BB312" s="768">
        <f t="shared" si="384"/>
        <v>156</v>
      </c>
      <c r="BC312" s="768">
        <f t="shared" si="384"/>
        <v>149.35820895522386</v>
      </c>
      <c r="BD312" s="1291">
        <f t="shared" si="384"/>
        <v>596.35820895522386</v>
      </c>
      <c r="BE312" s="768">
        <f t="shared" si="384"/>
        <v>151</v>
      </c>
      <c r="BF312" s="768">
        <f t="shared" si="384"/>
        <v>153</v>
      </c>
      <c r="BG312" s="768">
        <f>SUM(BG307:BG311)</f>
        <v>164</v>
      </c>
      <c r="BH312" s="768">
        <f t="shared" ref="BH312:BZ312" si="385">SUM(BH307:BH311)</f>
        <v>171</v>
      </c>
      <c r="BI312" s="1291">
        <f t="shared" si="385"/>
        <v>639</v>
      </c>
      <c r="BJ312" s="768">
        <f t="shared" si="385"/>
        <v>171</v>
      </c>
      <c r="BK312" s="768">
        <f t="shared" si="385"/>
        <v>184</v>
      </c>
      <c r="BL312" s="768">
        <f t="shared" si="385"/>
        <v>187</v>
      </c>
      <c r="BM312" s="768">
        <f t="shared" si="385"/>
        <v>191</v>
      </c>
      <c r="BN312" s="1291">
        <f t="shared" si="385"/>
        <v>733</v>
      </c>
      <c r="BO312" s="1737">
        <f t="shared" si="385"/>
        <v>214</v>
      </c>
      <c r="BP312" s="768">
        <f t="shared" si="385"/>
        <v>209.75609053219392</v>
      </c>
      <c r="BQ312" s="768">
        <f t="shared" si="385"/>
        <v>210.08990114186633</v>
      </c>
      <c r="BR312" s="768">
        <f t="shared" si="385"/>
        <v>215.5047204690743</v>
      </c>
      <c r="BS312" s="1291">
        <f t="shared" si="385"/>
        <v>849.35071214313461</v>
      </c>
      <c r="BT312" s="1737">
        <f t="shared" ref="BT312:BX312" si="386">SUM(BT307:BT311)</f>
        <v>220.90981011345076</v>
      </c>
      <c r="BU312" s="768">
        <f t="shared" si="386"/>
        <v>229.44725245457428</v>
      </c>
      <c r="BV312" s="768">
        <f t="shared" si="386"/>
        <v>232.20420716331242</v>
      </c>
      <c r="BW312" s="768">
        <f t="shared" si="386"/>
        <v>237.39682904620989</v>
      </c>
      <c r="BX312" s="1291">
        <f t="shared" si="386"/>
        <v>919.95809877754732</v>
      </c>
      <c r="BY312" s="1550">
        <f t="shared" si="385"/>
        <v>991.54271816916435</v>
      </c>
      <c r="BZ312" s="1550">
        <f t="shared" si="385"/>
        <v>1068.4571629598795</v>
      </c>
      <c r="CA312" s="1550">
        <f t="shared" ref="CA312" si="387">SUM(CA307:CA311)</f>
        <v>1144.7878656044563</v>
      </c>
      <c r="CB312" s="5"/>
      <c r="CC312" s="5"/>
      <c r="CD312" s="5"/>
      <c r="CE312" s="5"/>
      <c r="CF312" s="1291" t="str">
        <f t="shared" si="374"/>
        <v>S&amp;P Dow Jones Indices (Total)</v>
      </c>
      <c r="CL312" s="1278"/>
      <c r="CM312" s="1278"/>
      <c r="CN312" s="1278"/>
      <c r="CO312" s="1278"/>
      <c r="CP312" s="1278"/>
      <c r="CQ312" s="1278"/>
      <c r="CR312" s="1278"/>
      <c r="CS312" s="1291">
        <f>+AT312</f>
        <v>492</v>
      </c>
      <c r="CT312" s="1291">
        <f>+AY312</f>
        <v>553</v>
      </c>
      <c r="CU312" s="1291">
        <f>+BD312</f>
        <v>596.35820895522386</v>
      </c>
      <c r="CV312" s="1289">
        <f>+BI312</f>
        <v>639</v>
      </c>
      <c r="CW312" s="1291">
        <f>+BN312</f>
        <v>733</v>
      </c>
      <c r="CX312" s="1291">
        <f>+BS312</f>
        <v>849.35071214313461</v>
      </c>
      <c r="CY312" s="1291">
        <f t="shared" ref="CY312:DB313" si="388">+BX312</f>
        <v>919.95809877754732</v>
      </c>
      <c r="CZ312" s="1550">
        <f t="shared" si="388"/>
        <v>991.54271816916435</v>
      </c>
      <c r="DA312" s="1550">
        <f t="shared" si="388"/>
        <v>1068.4571629598795</v>
      </c>
      <c r="DB312" s="1550">
        <f t="shared" si="388"/>
        <v>1144.7878656044563</v>
      </c>
    </row>
    <row r="313" spans="1:260" s="1739" customFormat="1" ht="12.75">
      <c r="A313" s="1343" t="s">
        <v>336</v>
      </c>
      <c r="B313" s="1738"/>
      <c r="C313" s="1738"/>
      <c r="D313" s="1738"/>
      <c r="E313" s="1738"/>
      <c r="F313" s="1738"/>
      <c r="G313" s="1327"/>
      <c r="H313" s="1327"/>
      <c r="I313" s="1327"/>
      <c r="J313" s="1334"/>
      <c r="K313" s="1334"/>
      <c r="L313" s="1327"/>
      <c r="M313" s="1327"/>
      <c r="N313" s="1327"/>
      <c r="O313" s="1334"/>
      <c r="P313" s="1334"/>
      <c r="Q313" s="1327"/>
      <c r="R313" s="1327"/>
      <c r="S313" s="1327"/>
      <c r="T313" s="1334"/>
      <c r="U313" s="1334"/>
      <c r="V313" s="1327"/>
      <c r="W313" s="1327"/>
      <c r="X313" s="1327"/>
      <c r="Y313" s="1446"/>
      <c r="Z313" s="1621"/>
      <c r="AA313" s="1327"/>
      <c r="AB313" s="1327"/>
      <c r="AC313" s="1327"/>
      <c r="AD313" s="1446"/>
      <c r="AE313" s="1621"/>
      <c r="AF313" s="1327"/>
      <c r="AG313" s="1327"/>
      <c r="AH313" s="1327"/>
      <c r="AI313" s="1446"/>
      <c r="AJ313" s="1621"/>
      <c r="AK313" s="1327"/>
      <c r="AL313" s="1327"/>
      <c r="AM313" s="1327"/>
      <c r="AN313" s="1446"/>
      <c r="AO313" s="1621"/>
      <c r="AP313" s="781">
        <f t="shared" ref="AP313:BD313" si="389">+AP312/AP37</f>
        <v>9.7375105842506346E-2</v>
      </c>
      <c r="AQ313" s="781">
        <f t="shared" si="389"/>
        <v>9.8400000000000001E-2</v>
      </c>
      <c r="AR313" s="781">
        <f t="shared" si="389"/>
        <v>0.1076388888888889</v>
      </c>
      <c r="AS313" s="781">
        <f t="shared" si="389"/>
        <v>0.1077943615257048</v>
      </c>
      <c r="AT313" s="695">
        <f t="shared" si="389"/>
        <v>0.10273543537272917</v>
      </c>
      <c r="AU313" s="781">
        <f t="shared" si="389"/>
        <v>0.11454849498327759</v>
      </c>
      <c r="AV313" s="781">
        <f t="shared" si="389"/>
        <v>0.10215053763440861</v>
      </c>
      <c r="AW313" s="781">
        <f t="shared" si="389"/>
        <v>0.11322248614410134</v>
      </c>
      <c r="AX313" s="781">
        <f t="shared" si="389"/>
        <v>0.10852713178294573</v>
      </c>
      <c r="AY313" s="695">
        <f t="shared" si="389"/>
        <v>0.10948327063947733</v>
      </c>
      <c r="AZ313" s="781">
        <f t="shared" si="389"/>
        <v>0.11233307148468186</v>
      </c>
      <c r="BA313" s="781">
        <f t="shared" si="389"/>
        <v>0.11028315946348734</v>
      </c>
      <c r="BB313" s="781">
        <f t="shared" si="389"/>
        <v>0.11782477341389729</v>
      </c>
      <c r="BC313" s="781">
        <f t="shared" si="389"/>
        <v>0.10870320884659669</v>
      </c>
      <c r="BD313" s="695">
        <f t="shared" si="389"/>
        <v>0.11224509861758401</v>
      </c>
      <c r="BE313" s="781">
        <f t="shared" ref="BE313:BZ313" si="390">+BE312/BE30</f>
        <v>0.11260253542132737</v>
      </c>
      <c r="BF313" s="781">
        <f t="shared" si="390"/>
        <v>0.10323886639676114</v>
      </c>
      <c r="BG313" s="781">
        <f t="shared" si="390"/>
        <v>0.11396803335649756</v>
      </c>
      <c r="BH313" s="781">
        <f t="shared" si="390"/>
        <v>0.1222301644031451</v>
      </c>
      <c r="BI313" s="695">
        <f t="shared" si="390"/>
        <v>0.11287758346581876</v>
      </c>
      <c r="BJ313" s="781">
        <f t="shared" si="390"/>
        <v>0.11768754301445286</v>
      </c>
      <c r="BK313" s="781">
        <f t="shared" si="390"/>
        <v>0.1219350563286945</v>
      </c>
      <c r="BL313" s="781">
        <f t="shared" si="390"/>
        <v>0.12359550561797752</v>
      </c>
      <c r="BM313" s="781">
        <f t="shared" si="390"/>
        <v>0.12020138451856513</v>
      </c>
      <c r="BN313" s="695">
        <f t="shared" si="390"/>
        <v>0.12087730870712401</v>
      </c>
      <c r="BO313" s="781">
        <f t="shared" si="390"/>
        <v>0.13656668793873644</v>
      </c>
      <c r="BP313" s="781">
        <f t="shared" si="390"/>
        <v>0.1278702532609711</v>
      </c>
      <c r="BQ313" s="781">
        <f t="shared" si="390"/>
        <v>0.12941914081266465</v>
      </c>
      <c r="BR313" s="781">
        <f t="shared" si="390"/>
        <v>0.12895684881406241</v>
      </c>
      <c r="BS313" s="695">
        <f t="shared" si="390"/>
        <v>0.13063216249586507</v>
      </c>
      <c r="BT313" s="781">
        <f t="shared" ref="BT313:BX313" si="391">+BT312/BT30</f>
        <v>0.13417489710688382</v>
      </c>
      <c r="BU313" s="781">
        <f t="shared" si="391"/>
        <v>0.1320662372092288</v>
      </c>
      <c r="BV313" s="781">
        <f t="shared" si="391"/>
        <v>0.13490144622872613</v>
      </c>
      <c r="BW313" s="781">
        <f t="shared" si="391"/>
        <v>0.13405031341982809</v>
      </c>
      <c r="BX313" s="695">
        <f t="shared" si="391"/>
        <v>0.13379189402828368</v>
      </c>
      <c r="BY313" s="782">
        <f t="shared" si="390"/>
        <v>0.13711390174861482</v>
      </c>
      <c r="BZ313" s="782">
        <f t="shared" si="390"/>
        <v>0.14043164483389872</v>
      </c>
      <c r="CA313" s="782">
        <f>+CA312/CA30</f>
        <v>0.14372991069909102</v>
      </c>
      <c r="CB313" s="5"/>
      <c r="CC313" s="5"/>
      <c r="CD313" s="5"/>
      <c r="CE313" s="5"/>
      <c r="CF313" s="1668" t="str">
        <f t="shared" si="374"/>
        <v>% of total MHFI revenue</v>
      </c>
      <c r="CG313" s="1738"/>
      <c r="CH313" s="1738"/>
      <c r="CI313" s="1738"/>
      <c r="CJ313" s="1738"/>
      <c r="CK313" s="1738"/>
      <c r="CL313" s="1334"/>
      <c r="CM313" s="1334"/>
      <c r="CN313" s="1334"/>
      <c r="CO313" s="1334"/>
      <c r="CP313" s="1334"/>
      <c r="CQ313" s="1334"/>
      <c r="CR313" s="1334"/>
      <c r="CS313" s="695">
        <f>+AT313</f>
        <v>0.10273543537272917</v>
      </c>
      <c r="CT313" s="695">
        <f>+AY313</f>
        <v>0.10948327063947733</v>
      </c>
      <c r="CU313" s="695">
        <f>+BD313</f>
        <v>0.11224509861758401</v>
      </c>
      <c r="CV313" s="791">
        <f>+BI313</f>
        <v>0.11287758346581876</v>
      </c>
      <c r="CW313" s="695">
        <f>+BN313</f>
        <v>0.12087730870712401</v>
      </c>
      <c r="CX313" s="695">
        <f>+BS313</f>
        <v>0.13063216249586507</v>
      </c>
      <c r="CY313" s="695">
        <f t="shared" si="388"/>
        <v>0.13379189402828368</v>
      </c>
      <c r="CZ313" s="782">
        <f t="shared" si="388"/>
        <v>0.13711390174861482</v>
      </c>
      <c r="DA313" s="782">
        <f t="shared" si="388"/>
        <v>0.14043164483389872</v>
      </c>
      <c r="DB313" s="782">
        <f t="shared" si="388"/>
        <v>0.14372991069909102</v>
      </c>
      <c r="DC313" s="788"/>
      <c r="DD313" s="788"/>
      <c r="DE313" s="788"/>
      <c r="DF313" s="788"/>
      <c r="DG313" s="788"/>
      <c r="DH313" s="788"/>
      <c r="DI313" s="788"/>
      <c r="DJ313" s="788"/>
      <c r="DK313" s="788"/>
      <c r="DL313" s="788"/>
      <c r="DM313" s="788"/>
      <c r="DN313" s="788"/>
      <c r="DO313" s="788"/>
      <c r="DP313" s="788"/>
      <c r="DQ313" s="788"/>
      <c r="DR313" s="788"/>
      <c r="DS313" s="788"/>
      <c r="DT313" s="788"/>
      <c r="DU313" s="788"/>
      <c r="DV313" s="788"/>
      <c r="DW313" s="788"/>
      <c r="DX313" s="788"/>
      <c r="DY313" s="788"/>
      <c r="DZ313" s="788"/>
      <c r="EA313" s="788"/>
      <c r="EB313" s="788"/>
      <c r="EC313" s="788"/>
      <c r="ED313" s="788"/>
      <c r="EE313" s="788"/>
      <c r="EF313" s="788"/>
      <c r="EG313" s="788"/>
      <c r="EH313" s="788"/>
      <c r="EI313" s="788"/>
      <c r="EJ313" s="788"/>
      <c r="EK313" s="788"/>
      <c r="EL313" s="788"/>
      <c r="EM313" s="788"/>
      <c r="EN313" s="788"/>
      <c r="EO313" s="788"/>
      <c r="EP313" s="788"/>
      <c r="EQ313" s="788"/>
      <c r="ER313" s="788"/>
      <c r="ES313" s="788"/>
      <c r="ET313" s="788"/>
      <c r="EU313" s="788"/>
      <c r="EV313" s="788"/>
      <c r="EW313" s="788"/>
      <c r="EX313" s="788"/>
      <c r="EY313" s="788"/>
      <c r="EZ313" s="788"/>
      <c r="FA313" s="788"/>
      <c r="FB313" s="788"/>
      <c r="FC313" s="788"/>
      <c r="FD313" s="788"/>
      <c r="FE313" s="788"/>
      <c r="FF313" s="788"/>
      <c r="FG313" s="788"/>
      <c r="FH313" s="788"/>
      <c r="FI313" s="788"/>
      <c r="FJ313" s="788"/>
      <c r="FK313" s="788"/>
      <c r="FL313" s="788"/>
      <c r="FM313" s="788"/>
      <c r="FN313" s="788"/>
      <c r="FO313" s="788"/>
      <c r="FP313" s="788"/>
      <c r="FQ313" s="788"/>
      <c r="FR313" s="788"/>
      <c r="FS313" s="788"/>
      <c r="FT313" s="788"/>
      <c r="FU313" s="788"/>
      <c r="FV313" s="788"/>
      <c r="FW313" s="788"/>
      <c r="FX313" s="788"/>
      <c r="FY313" s="788"/>
      <c r="FZ313" s="788"/>
      <c r="GA313" s="788"/>
      <c r="GB313" s="788"/>
      <c r="GC313" s="788"/>
      <c r="GD313" s="788"/>
      <c r="GE313" s="788"/>
      <c r="GF313" s="788"/>
      <c r="GG313" s="788"/>
      <c r="GH313" s="788"/>
      <c r="GI313" s="788"/>
      <c r="GJ313" s="788"/>
      <c r="GK313" s="788"/>
      <c r="GL313" s="788"/>
      <c r="GM313" s="788"/>
      <c r="GN313" s="788"/>
      <c r="GO313" s="788"/>
      <c r="GP313" s="788"/>
      <c r="GQ313" s="788"/>
      <c r="GR313" s="788"/>
      <c r="GS313" s="788"/>
      <c r="GT313" s="788"/>
      <c r="GU313" s="788"/>
      <c r="GV313" s="788"/>
      <c r="GW313" s="788"/>
      <c r="GX313" s="788"/>
      <c r="GY313" s="788"/>
      <c r="GZ313" s="788"/>
      <c r="HA313" s="788"/>
      <c r="HB313" s="788"/>
      <c r="HC313" s="788"/>
      <c r="HD313" s="788"/>
      <c r="HE313" s="788"/>
      <c r="HF313" s="788"/>
      <c r="HG313" s="788"/>
      <c r="HH313" s="788"/>
      <c r="HI313" s="788"/>
      <c r="HJ313" s="788"/>
      <c r="HK313" s="788"/>
      <c r="HL313" s="788"/>
      <c r="HM313" s="788"/>
      <c r="HN313" s="788"/>
      <c r="HO313" s="788"/>
      <c r="HP313" s="788"/>
      <c r="HQ313" s="788"/>
      <c r="HR313" s="788"/>
      <c r="HS313" s="788"/>
      <c r="HT313" s="788"/>
      <c r="HU313" s="788"/>
      <c r="HV313" s="788"/>
      <c r="HW313" s="788"/>
      <c r="HX313" s="788"/>
      <c r="HY313" s="788"/>
      <c r="HZ313" s="788"/>
      <c r="IA313" s="788"/>
      <c r="IB313" s="788"/>
      <c r="IC313" s="788"/>
      <c r="ID313" s="788"/>
      <c r="IE313" s="788"/>
      <c r="IF313" s="788"/>
      <c r="IG313" s="788"/>
      <c r="IH313" s="788"/>
      <c r="II313" s="788"/>
      <c r="IJ313" s="788"/>
      <c r="IK313" s="788"/>
      <c r="IL313" s="788"/>
      <c r="IM313" s="788"/>
      <c r="IN313" s="788"/>
      <c r="IO313" s="788"/>
      <c r="IP313" s="788"/>
      <c r="IQ313" s="788"/>
      <c r="IR313" s="788"/>
      <c r="IS313" s="788"/>
      <c r="IT313" s="788"/>
      <c r="IU313" s="788"/>
      <c r="IV313" s="788"/>
      <c r="IW313" s="788"/>
      <c r="IX313" s="788"/>
      <c r="IY313" s="788"/>
      <c r="IZ313" s="788"/>
    </row>
    <row r="314" spans="1:260">
      <c r="A314" s="1343" t="s">
        <v>296</v>
      </c>
      <c r="J314" s="1422"/>
      <c r="K314" s="1422"/>
      <c r="O314" s="1422"/>
      <c r="P314" s="1422"/>
      <c r="T314" s="1422"/>
      <c r="U314" s="1422"/>
      <c r="Z314" s="1423"/>
      <c r="AE314" s="1423"/>
      <c r="AJ314" s="1423"/>
      <c r="AO314" s="1423"/>
      <c r="AP314" s="781"/>
      <c r="AQ314" s="781"/>
      <c r="AR314" s="781"/>
      <c r="AS314" s="781"/>
      <c r="AT314" s="695"/>
      <c r="AU314" s="781">
        <f>+AU312/AP312-1</f>
        <v>0.19130434782608696</v>
      </c>
      <c r="AV314" s="781">
        <f t="shared" ref="AV314:BS314" si="392">+AV312/AQ312-1</f>
        <v>8.1300813008130079E-2</v>
      </c>
      <c r="AW314" s="781">
        <f t="shared" si="392"/>
        <v>0.15322580645161299</v>
      </c>
      <c r="AX314" s="781">
        <f t="shared" si="392"/>
        <v>7.6923076923076872E-2</v>
      </c>
      <c r="AY314" s="695">
        <f t="shared" si="392"/>
        <v>0.12398373983739841</v>
      </c>
      <c r="AZ314" s="781">
        <f t="shared" si="392"/>
        <v>4.3795620437956151E-2</v>
      </c>
      <c r="BA314" s="781">
        <f t="shared" si="392"/>
        <v>0.11278195488721798</v>
      </c>
      <c r="BB314" s="781">
        <f t="shared" si="392"/>
        <v>9.0909090909090828E-2</v>
      </c>
      <c r="BC314" s="781">
        <f t="shared" si="392"/>
        <v>6.6844349680170501E-2</v>
      </c>
      <c r="BD314" s="695">
        <f t="shared" si="392"/>
        <v>7.8405441148686972E-2</v>
      </c>
      <c r="BE314" s="781">
        <f t="shared" si="392"/>
        <v>5.5944055944056048E-2</v>
      </c>
      <c r="BF314" s="781">
        <f t="shared" si="392"/>
        <v>3.3783783783783772E-2</v>
      </c>
      <c r="BG314" s="781">
        <f t="shared" si="392"/>
        <v>5.1282051282051322E-2</v>
      </c>
      <c r="BH314" s="781">
        <f t="shared" si="392"/>
        <v>0.1448985710002999</v>
      </c>
      <c r="BI314" s="695">
        <f t="shared" si="392"/>
        <v>7.1503654019421381E-2</v>
      </c>
      <c r="BJ314" s="781">
        <f t="shared" si="392"/>
        <v>0.13245033112582782</v>
      </c>
      <c r="BK314" s="781">
        <f t="shared" si="392"/>
        <v>0.20261437908496727</v>
      </c>
      <c r="BL314" s="781">
        <f t="shared" si="392"/>
        <v>0.14024390243902429</v>
      </c>
      <c r="BM314" s="781">
        <f t="shared" si="392"/>
        <v>0.11695906432748537</v>
      </c>
      <c r="BN314" s="695">
        <f t="shared" si="392"/>
        <v>0.14710485133020335</v>
      </c>
      <c r="BO314" s="781">
        <f t="shared" si="392"/>
        <v>0.25146198830409361</v>
      </c>
      <c r="BP314" s="781">
        <f t="shared" si="392"/>
        <v>0.13997875289235817</v>
      </c>
      <c r="BQ314" s="781">
        <f t="shared" si="392"/>
        <v>0.12347540717575578</v>
      </c>
      <c r="BR314" s="781">
        <f t="shared" si="392"/>
        <v>0.12829696580667171</v>
      </c>
      <c r="BS314" s="695">
        <f t="shared" si="392"/>
        <v>0.1587322130192832</v>
      </c>
      <c r="BT314" s="781">
        <f t="shared" ref="BT314" si="393">+BT312/BO312-1</f>
        <v>3.2288832305844783E-2</v>
      </c>
      <c r="BU314" s="781">
        <f t="shared" ref="BU314" si="394">+BU312/BP312-1</f>
        <v>9.3876472775688447E-2</v>
      </c>
      <c r="BV314" s="781">
        <f t="shared" ref="BV314" si="395">+BV312/BQ312-1</f>
        <v>0.10526115677741732</v>
      </c>
      <c r="BW314" s="781">
        <f t="shared" ref="BW314" si="396">+BW312/BR312-1</f>
        <v>0.1015852856006334</v>
      </c>
      <c r="BX314" s="695">
        <f t="shared" ref="BX314" si="397">+BX312/BS312-1</f>
        <v>8.3131014815130744E-2</v>
      </c>
      <c r="BY314" s="695">
        <f>+BY312/BX312-1</f>
        <v>7.7812912878031826E-2</v>
      </c>
      <c r="BZ314" s="695">
        <f>+BZ312/BY312-1</f>
        <v>7.757048020354973E-2</v>
      </c>
      <c r="CA314" s="695">
        <f>+CA312/BZ312-1</f>
        <v>7.1440115046936148E-2</v>
      </c>
      <c r="CF314" s="1421"/>
      <c r="CG314" s="1271"/>
      <c r="CH314" s="1271"/>
      <c r="CI314" s="1271"/>
      <c r="CJ314" s="1271"/>
      <c r="CK314" s="1271"/>
      <c r="CL314" s="1422"/>
      <c r="CM314" s="1423"/>
      <c r="CN314" s="1423"/>
      <c r="CO314" s="1423"/>
      <c r="CP314" s="1423"/>
      <c r="CQ314" s="1423"/>
      <c r="CR314" s="1423"/>
      <c r="CS314" s="1423"/>
      <c r="CT314" s="1423"/>
      <c r="CU314" s="1423"/>
      <c r="CV314" s="1425"/>
      <c r="CW314" s="1423"/>
      <c r="CX314" s="1423"/>
      <c r="CY314" s="1423"/>
      <c r="CZ314" s="1422"/>
      <c r="DA314" s="1422"/>
      <c r="DB314" s="1422"/>
    </row>
    <row r="315" spans="1:260">
      <c r="A315" s="788"/>
      <c r="J315" s="1422"/>
      <c r="K315" s="1422"/>
      <c r="O315" s="1422"/>
      <c r="P315" s="1422"/>
      <c r="T315" s="1422"/>
      <c r="U315" s="1422"/>
      <c r="Z315" s="1423"/>
      <c r="AE315" s="1423"/>
      <c r="AJ315" s="1423"/>
      <c r="AO315" s="1423"/>
      <c r="AT315" s="1423"/>
      <c r="AY315" s="1423"/>
      <c r="BD315" s="1423"/>
      <c r="BE315" s="1399"/>
      <c r="BF315" s="1663"/>
      <c r="BI315" s="1423"/>
      <c r="BJ315" s="1399"/>
      <c r="BN315" s="1423"/>
      <c r="BO315" s="1399"/>
      <c r="BS315" s="1423"/>
      <c r="BT315" s="1399"/>
      <c r="BX315" s="1423"/>
      <c r="BY315" s="1422"/>
      <c r="BZ315" s="1422"/>
      <c r="CA315" s="1422"/>
      <c r="CF315" s="1421"/>
      <c r="CG315" s="1271"/>
      <c r="CH315" s="1271"/>
      <c r="CI315" s="1271"/>
      <c r="CJ315" s="1271"/>
      <c r="CK315" s="1271"/>
      <c r="CL315" s="1422"/>
      <c r="CM315" s="1423"/>
      <c r="CN315" s="1423"/>
      <c r="CO315" s="1423"/>
      <c r="CP315" s="1423"/>
      <c r="CQ315" s="1423"/>
      <c r="CR315" s="1423"/>
      <c r="CS315" s="1423"/>
      <c r="CT315" s="1423"/>
      <c r="CU315" s="1423"/>
      <c r="CV315" s="1425"/>
      <c r="CW315" s="1423"/>
      <c r="CX315" s="1423"/>
      <c r="CY315" s="1423"/>
      <c r="CZ315" s="1422"/>
      <c r="DA315" s="1422"/>
      <c r="DB315" s="1422"/>
    </row>
    <row r="316" spans="1:260" s="762" customFormat="1">
      <c r="A316" s="762" t="s">
        <v>329</v>
      </c>
      <c r="G316" s="1319" t="s">
        <v>249</v>
      </c>
      <c r="H316" s="1319" t="s">
        <v>249</v>
      </c>
      <c r="I316" s="1319" t="s">
        <v>249</v>
      </c>
      <c r="J316" s="1278" t="s">
        <v>249</v>
      </c>
      <c r="K316" s="1278" t="s">
        <v>249</v>
      </c>
      <c r="L316" s="1319" t="s">
        <v>249</v>
      </c>
      <c r="M316" s="1319" t="s">
        <v>249</v>
      </c>
      <c r="N316" s="1319" t="s">
        <v>249</v>
      </c>
      <c r="O316" s="1278" t="s">
        <v>249</v>
      </c>
      <c r="P316" s="1278" t="s">
        <v>249</v>
      </c>
      <c r="Q316" s="1319" t="s">
        <v>249</v>
      </c>
      <c r="R316" s="1319" t="s">
        <v>249</v>
      </c>
      <c r="S316" s="1319" t="s">
        <v>249</v>
      </c>
      <c r="T316" s="1278" t="s">
        <v>249</v>
      </c>
      <c r="U316" s="1278" t="s">
        <v>249</v>
      </c>
      <c r="V316" s="2027">
        <v>74</v>
      </c>
      <c r="W316" s="2027">
        <v>71.599999999999994</v>
      </c>
      <c r="X316" s="2027">
        <v>70.5</v>
      </c>
      <c r="Y316" s="2027">
        <v>76.7</v>
      </c>
      <c r="Z316" s="1270">
        <f>SUM(V316:Y316)</f>
        <v>292.8</v>
      </c>
      <c r="AA316" s="2027">
        <v>72.2</v>
      </c>
      <c r="AB316" s="2027">
        <v>80.5</v>
      </c>
      <c r="AC316" s="2027">
        <v>76.5</v>
      </c>
      <c r="AD316" s="2027">
        <v>84</v>
      </c>
      <c r="AE316" s="1270">
        <f>SUM(AA316:AD316)</f>
        <v>313.2</v>
      </c>
      <c r="AF316" s="2027">
        <v>84</v>
      </c>
      <c r="AG316" s="2027">
        <v>88</v>
      </c>
      <c r="AH316" s="2027">
        <v>97</v>
      </c>
      <c r="AI316" s="2027">
        <v>62</v>
      </c>
      <c r="AJ316" s="1270">
        <f>SUM(AF316:AI316)</f>
        <v>331</v>
      </c>
      <c r="AK316" s="2027">
        <v>61</v>
      </c>
      <c r="AL316" s="2027">
        <v>70</v>
      </c>
      <c r="AM316" s="2036">
        <v>85</v>
      </c>
      <c r="AN316" s="2027">
        <v>84</v>
      </c>
      <c r="AO316" s="1270">
        <f>SUM(AK316:AN316)</f>
        <v>300</v>
      </c>
      <c r="AP316" s="2027">
        <v>90</v>
      </c>
      <c r="AQ316" s="2027">
        <v>97</v>
      </c>
      <c r="AR316" s="2036">
        <v>99</v>
      </c>
      <c r="AS316" s="2027">
        <v>103</v>
      </c>
      <c r="AT316" s="1270">
        <f>SUM(AP316:AS316)</f>
        <v>389</v>
      </c>
      <c r="AU316" s="2027">
        <v>111</v>
      </c>
      <c r="AV316" s="2027">
        <v>105</v>
      </c>
      <c r="AW316" s="2027">
        <v>114</v>
      </c>
      <c r="AX316" s="2027">
        <v>111</v>
      </c>
      <c r="AY316" s="1270">
        <f>SUM(AU316:AX316)</f>
        <v>441</v>
      </c>
      <c r="AZ316" s="2027">
        <v>22</v>
      </c>
      <c r="BA316" s="2027">
        <v>28</v>
      </c>
      <c r="BB316" s="2026">
        <v>35</v>
      </c>
      <c r="BC316" s="1335">
        <f>+BD316-SUM(AZ316:BB316)</f>
        <v>27</v>
      </c>
      <c r="BD316" s="2045">
        <v>112</v>
      </c>
      <c r="BE316" s="2026">
        <v>35</v>
      </c>
      <c r="BF316" s="2026">
        <v>29</v>
      </c>
      <c r="BG316" s="2026">
        <v>31</v>
      </c>
      <c r="BH316" s="2026">
        <v>30</v>
      </c>
      <c r="BI316" s="1270">
        <f>SUM(BE316:BH316)</f>
        <v>125</v>
      </c>
      <c r="BJ316" s="2026">
        <v>32</v>
      </c>
      <c r="BK316" s="2027">
        <v>33</v>
      </c>
      <c r="BL316" s="2028">
        <v>33</v>
      </c>
      <c r="BM316" s="2164">
        <v>34</v>
      </c>
      <c r="BN316" s="1270">
        <f>SUM(BJ316:BM316)</f>
        <v>132</v>
      </c>
      <c r="BO316" s="2164">
        <v>50</v>
      </c>
      <c r="BP316" s="762">
        <f t="shared" ref="BP316:BZ316" si="398">BP308+BP310</f>
        <v>39.239300723276735</v>
      </c>
      <c r="BQ316" s="762">
        <f t="shared" si="398"/>
        <v>36.120741906197573</v>
      </c>
      <c r="BR316" s="762">
        <f t="shared" si="398"/>
        <v>37.053191806653906</v>
      </c>
      <c r="BS316" s="1270">
        <f>SUM(BO316:BR316)</f>
        <v>162.41323443612819</v>
      </c>
      <c r="BT316" s="762">
        <f t="shared" ref="BT316:BW316" si="399">BT308+BT310</f>
        <v>40.865680610266018</v>
      </c>
      <c r="BU316" s="762">
        <f t="shared" si="399"/>
        <v>39.256990696612498</v>
      </c>
      <c r="BV316" s="762">
        <f t="shared" si="399"/>
        <v>38.19201315057358</v>
      </c>
      <c r="BW316" s="762">
        <f t="shared" si="399"/>
        <v>38.50180277869395</v>
      </c>
      <c r="BX316" s="1270">
        <f>SUM(BT316:BW316)</f>
        <v>156.81648723614606</v>
      </c>
      <c r="BY316" s="1290">
        <f t="shared" si="398"/>
        <v>164.50723119989215</v>
      </c>
      <c r="BZ316" s="1290">
        <f t="shared" si="398"/>
        <v>172.58251236182554</v>
      </c>
      <c r="CA316" s="1290">
        <f t="shared" ref="CA316" si="400">CA308+CA310</f>
        <v>181.0615575818556</v>
      </c>
      <c r="CB316" s="2006">
        <f>(CA316/BN316)^(1/5)-1</f>
        <v>6.5247354136919844E-2</v>
      </c>
      <c r="CF316" s="1270" t="str">
        <f>+A316</f>
        <v>Transaction</v>
      </c>
      <c r="CL316" s="1278"/>
      <c r="CM316" s="1270"/>
      <c r="CN316" s="1270"/>
      <c r="CO316" s="1270"/>
      <c r="CP316" s="1270">
        <f>+AE316</f>
        <v>313.2</v>
      </c>
      <c r="CQ316" s="1270">
        <f>+AJ316</f>
        <v>331</v>
      </c>
      <c r="CR316" s="1270">
        <f>+AO316</f>
        <v>300</v>
      </c>
      <c r="CS316" s="1270">
        <f>+AT316</f>
        <v>389</v>
      </c>
      <c r="CT316" s="1270">
        <f>+AY316</f>
        <v>441</v>
      </c>
      <c r="CU316" s="1270">
        <f>+BD316</f>
        <v>112</v>
      </c>
      <c r="CV316" s="1273">
        <f>+BI316</f>
        <v>125</v>
      </c>
      <c r="CW316" s="1270">
        <f>+BN316</f>
        <v>132</v>
      </c>
      <c r="CX316" s="1270">
        <f>+BS316</f>
        <v>162.41323443612819</v>
      </c>
      <c r="CY316" s="1270">
        <f t="shared" ref="CY316:DB318" si="401">+BX316</f>
        <v>156.81648723614606</v>
      </c>
      <c r="CZ316" s="1290">
        <f t="shared" si="401"/>
        <v>164.50723119989215</v>
      </c>
      <c r="DA316" s="1290">
        <f t="shared" si="401"/>
        <v>172.58251236182554</v>
      </c>
      <c r="DB316" s="1290">
        <f t="shared" si="401"/>
        <v>181.0615575818556</v>
      </c>
    </row>
    <row r="317" spans="1:260">
      <c r="A317" s="1618" t="s">
        <v>288</v>
      </c>
      <c r="G317" s="1319"/>
      <c r="H317" s="1319"/>
      <c r="I317" s="1319"/>
      <c r="J317" s="1278"/>
      <c r="K317" s="1278"/>
      <c r="L317" s="1319"/>
      <c r="M317" s="1319"/>
      <c r="N317" s="1319"/>
      <c r="O317" s="1278"/>
      <c r="P317" s="1278"/>
      <c r="Q317" s="1319"/>
      <c r="R317" s="1319"/>
      <c r="S317" s="1319"/>
      <c r="T317" s="1278"/>
      <c r="U317" s="1278"/>
      <c r="V317" s="1319"/>
      <c r="W317" s="1319"/>
      <c r="X317" s="1319"/>
      <c r="Y317" s="1278"/>
      <c r="Z317" s="1278"/>
      <c r="AA317" s="1408">
        <f t="shared" ref="AA317:BS317" si="402">AA316/V316-1</f>
        <v>-2.4324324324324298E-2</v>
      </c>
      <c r="AB317" s="1408">
        <f t="shared" si="402"/>
        <v>0.12430167597765363</v>
      </c>
      <c r="AC317" s="1408">
        <f t="shared" si="402"/>
        <v>8.5106382978723305E-2</v>
      </c>
      <c r="AD317" s="1408">
        <f t="shared" si="402"/>
        <v>9.5176010430247704E-2</v>
      </c>
      <c r="AE317" s="1342">
        <f t="shared" si="402"/>
        <v>6.9672131147541005E-2</v>
      </c>
      <c r="AF317" s="1408">
        <f t="shared" si="402"/>
        <v>0.16343490304709141</v>
      </c>
      <c r="AG317" s="1408">
        <f t="shared" si="402"/>
        <v>9.3167701863354102E-2</v>
      </c>
      <c r="AH317" s="1408">
        <f t="shared" si="402"/>
        <v>0.26797385620915026</v>
      </c>
      <c r="AI317" s="1408">
        <f t="shared" si="402"/>
        <v>-0.26190476190476186</v>
      </c>
      <c r="AJ317" s="1342">
        <f t="shared" si="402"/>
        <v>5.6832694763729208E-2</v>
      </c>
      <c r="AK317" s="1408">
        <f t="shared" si="402"/>
        <v>-0.27380952380952384</v>
      </c>
      <c r="AL317" s="1408">
        <f t="shared" si="402"/>
        <v>-0.20454545454545459</v>
      </c>
      <c r="AM317" s="1408">
        <f t="shared" si="402"/>
        <v>-0.12371134020618557</v>
      </c>
      <c r="AN317" s="1408">
        <f t="shared" si="402"/>
        <v>0.35483870967741926</v>
      </c>
      <c r="AO317" s="1342">
        <f t="shared" si="402"/>
        <v>-9.3655589123867067E-2</v>
      </c>
      <c r="AP317" s="1408">
        <f t="shared" si="402"/>
        <v>0.47540983606557385</v>
      </c>
      <c r="AQ317" s="1408">
        <f t="shared" si="402"/>
        <v>0.38571428571428568</v>
      </c>
      <c r="AR317" s="1408">
        <f t="shared" si="402"/>
        <v>0.16470588235294126</v>
      </c>
      <c r="AS317" s="1408">
        <f t="shared" si="402"/>
        <v>0.22619047619047628</v>
      </c>
      <c r="AT317" s="1342">
        <f t="shared" si="402"/>
        <v>0.29666666666666663</v>
      </c>
      <c r="AU317" s="1408">
        <f t="shared" si="402"/>
        <v>0.23333333333333339</v>
      </c>
      <c r="AV317" s="1408">
        <f t="shared" si="402"/>
        <v>8.247422680412364E-2</v>
      </c>
      <c r="AW317" s="1408">
        <f t="shared" si="402"/>
        <v>0.1515151515151516</v>
      </c>
      <c r="AX317" s="1408">
        <f t="shared" si="402"/>
        <v>7.7669902912621325E-2</v>
      </c>
      <c r="AY317" s="1342">
        <f t="shared" si="402"/>
        <v>0.13367609254498714</v>
      </c>
      <c r="AZ317" s="1408">
        <f t="shared" si="402"/>
        <v>-0.80180180180180183</v>
      </c>
      <c r="BA317" s="1408">
        <f t="shared" si="402"/>
        <v>-0.73333333333333339</v>
      </c>
      <c r="BB317" s="1408">
        <f t="shared" si="402"/>
        <v>-0.69298245614035081</v>
      </c>
      <c r="BC317" s="1408">
        <f t="shared" si="402"/>
        <v>-0.7567567567567568</v>
      </c>
      <c r="BD317" s="1342">
        <f t="shared" si="402"/>
        <v>-0.74603174603174605</v>
      </c>
      <c r="BE317" s="1408">
        <f t="shared" si="402"/>
        <v>0.59090909090909083</v>
      </c>
      <c r="BF317" s="1408">
        <f t="shared" si="402"/>
        <v>3.5714285714285809E-2</v>
      </c>
      <c r="BG317" s="1408">
        <f t="shared" si="402"/>
        <v>-0.11428571428571432</v>
      </c>
      <c r="BH317" s="1408">
        <f t="shared" si="402"/>
        <v>0.11111111111111116</v>
      </c>
      <c r="BI317" s="1342">
        <f t="shared" si="402"/>
        <v>0.1160714285714286</v>
      </c>
      <c r="BJ317" s="781">
        <f t="shared" si="402"/>
        <v>-8.5714285714285743E-2</v>
      </c>
      <c r="BK317" s="1408">
        <f t="shared" si="402"/>
        <v>0.13793103448275867</v>
      </c>
      <c r="BL317" s="1408">
        <f t="shared" si="402"/>
        <v>6.4516129032258007E-2</v>
      </c>
      <c r="BM317" s="1408">
        <f t="shared" si="402"/>
        <v>0.1333333333333333</v>
      </c>
      <c r="BN317" s="1342">
        <f t="shared" si="402"/>
        <v>5.600000000000005E-2</v>
      </c>
      <c r="BO317" s="1408">
        <f t="shared" si="402"/>
        <v>0.5625</v>
      </c>
      <c r="BP317" s="1408">
        <f t="shared" si="402"/>
        <v>0.18906971888717372</v>
      </c>
      <c r="BQ317" s="1408">
        <f t="shared" si="402"/>
        <v>9.4567936551441578E-2</v>
      </c>
      <c r="BR317" s="1408">
        <f t="shared" si="402"/>
        <v>8.9799759019232539E-2</v>
      </c>
      <c r="BS317" s="1342">
        <f t="shared" si="402"/>
        <v>0.23040329118278935</v>
      </c>
      <c r="BT317" s="1408">
        <f t="shared" ref="BT317" si="403">BT316/BO316-1</f>
        <v>-0.18268638779467961</v>
      </c>
      <c r="BU317" s="1408">
        <f t="shared" ref="BU317" si="404">BU316/BP316-1</f>
        <v>4.5082284876873935E-4</v>
      </c>
      <c r="BV317" s="1408">
        <f t="shared" ref="BV317" si="405">BV316/BQ316-1</f>
        <v>5.7342987299511039E-2</v>
      </c>
      <c r="BW317" s="1408">
        <f t="shared" ref="BW317" si="406">BW316/BR316-1</f>
        <v>3.9095443642183314E-2</v>
      </c>
      <c r="BX317" s="1342">
        <f t="shared" ref="BX317" si="407">BX316/BS316-1</f>
        <v>-3.4459920827345836E-2</v>
      </c>
      <c r="BY317" s="1486">
        <f>BY316/BX316-1</f>
        <v>4.9042955235725882E-2</v>
      </c>
      <c r="BZ317" s="1486">
        <f>BZ316/BY316-1</f>
        <v>4.9087697258250795E-2</v>
      </c>
      <c r="CA317" s="1486">
        <f>CA316/BZ316-1</f>
        <v>4.9130384672193328E-2</v>
      </c>
      <c r="CF317" s="1619" t="str">
        <f>+A317</f>
        <v>y/y change</v>
      </c>
      <c r="CG317" s="1271"/>
      <c r="CH317" s="1271"/>
      <c r="CI317" s="1271"/>
      <c r="CJ317" s="1271"/>
      <c r="CK317" s="1271"/>
      <c r="CL317" s="1278"/>
      <c r="CM317" s="1342"/>
      <c r="CN317" s="1342"/>
      <c r="CO317" s="1342"/>
      <c r="CP317" s="1342">
        <f>+AE317</f>
        <v>6.9672131147541005E-2</v>
      </c>
      <c r="CQ317" s="1342">
        <f>+AJ317</f>
        <v>5.6832694763729208E-2</v>
      </c>
      <c r="CR317" s="1342">
        <f>+AO317</f>
        <v>-9.3655589123867067E-2</v>
      </c>
      <c r="CS317" s="1342">
        <f>+AT317</f>
        <v>0.29666666666666663</v>
      </c>
      <c r="CT317" s="1342">
        <f>+AY317</f>
        <v>0.13367609254498714</v>
      </c>
      <c r="CU317" s="1342">
        <f>+BD317</f>
        <v>-0.74603174603174605</v>
      </c>
      <c r="CV317" s="1488">
        <f>+BI317</f>
        <v>0.1160714285714286</v>
      </c>
      <c r="CW317" s="1342">
        <f>+BN317</f>
        <v>5.600000000000005E-2</v>
      </c>
      <c r="CX317" s="1342">
        <f>+BS317</f>
        <v>0.23040329118278935</v>
      </c>
      <c r="CY317" s="1342">
        <f t="shared" si="401"/>
        <v>-3.4459920827345836E-2</v>
      </c>
      <c r="CZ317" s="1486">
        <f t="shared" si="401"/>
        <v>4.9042955235725882E-2</v>
      </c>
      <c r="DA317" s="1486">
        <f t="shared" si="401"/>
        <v>4.9087697258250795E-2</v>
      </c>
      <c r="DB317" s="1486">
        <f t="shared" si="401"/>
        <v>4.9130384672193328E-2</v>
      </c>
    </row>
    <row r="318" spans="1:260">
      <c r="A318" s="1485" t="s">
        <v>330</v>
      </c>
      <c r="G318" s="1319"/>
      <c r="H318" s="1319"/>
      <c r="I318" s="1319"/>
      <c r="J318" s="1278"/>
      <c r="K318" s="1278"/>
      <c r="L318" s="1319"/>
      <c r="M318" s="1319"/>
      <c r="N318" s="1319"/>
      <c r="O318" s="1278"/>
      <c r="P318" s="1278"/>
      <c r="Q318" s="1319"/>
      <c r="R318" s="1319"/>
      <c r="S318" s="1319"/>
      <c r="T318" s="1278"/>
      <c r="U318" s="1278"/>
      <c r="V318" s="1319"/>
      <c r="W318" s="1319"/>
      <c r="X318" s="1319"/>
      <c r="Y318" s="1278"/>
      <c r="Z318" s="1278"/>
      <c r="AA318" s="1408">
        <f t="shared" ref="AA318:BZ318" si="408">AA316/AA$14</f>
        <v>1.1460317460317462</v>
      </c>
      <c r="AB318" s="1408">
        <f t="shared" si="408"/>
        <v>1.1499999999999999</v>
      </c>
      <c r="AC318" s="1408">
        <f t="shared" si="408"/>
        <v>1.1417910447761195</v>
      </c>
      <c r="AD318" s="1408">
        <f t="shared" si="408"/>
        <v>1.1506849315068493</v>
      </c>
      <c r="AE318" s="1342">
        <f t="shared" si="408"/>
        <v>1.1472527472527472</v>
      </c>
      <c r="AF318" s="1408">
        <f t="shared" si="408"/>
        <v>1.1052631578947369</v>
      </c>
      <c r="AG318" s="1408">
        <f t="shared" si="408"/>
        <v>1.1000000000000001</v>
      </c>
      <c r="AH318" s="1408">
        <f t="shared" si="408"/>
        <v>1.1149425287356323</v>
      </c>
      <c r="AI318" s="1408">
        <f t="shared" si="408"/>
        <v>0.77500000000000002</v>
      </c>
      <c r="AJ318" s="1342">
        <f t="shared" si="408"/>
        <v>1.0247678018575852</v>
      </c>
      <c r="AK318" s="1408">
        <f t="shared" si="408"/>
        <v>0.77215189873417722</v>
      </c>
      <c r="AL318" s="1408">
        <f t="shared" si="408"/>
        <v>0.7865168539325843</v>
      </c>
      <c r="AM318" s="1408">
        <f t="shared" si="408"/>
        <v>0.77981651376146788</v>
      </c>
      <c r="AN318" s="1408">
        <f t="shared" si="408"/>
        <v>0.76363636363636367</v>
      </c>
      <c r="AO318" s="1342">
        <f t="shared" si="408"/>
        <v>0.77519379844961245</v>
      </c>
      <c r="AP318" s="1408">
        <f t="shared" si="408"/>
        <v>0.78260869565217395</v>
      </c>
      <c r="AQ318" s="1408">
        <f t="shared" si="408"/>
        <v>0.78861788617886175</v>
      </c>
      <c r="AR318" s="1408">
        <f t="shared" si="408"/>
        <v>0.79838709677419351</v>
      </c>
      <c r="AS318" s="1408">
        <f t="shared" si="408"/>
        <v>0.79230769230769227</v>
      </c>
      <c r="AT318" s="1342">
        <f t="shared" si="408"/>
        <v>0.79065040650406504</v>
      </c>
      <c r="AU318" s="1408">
        <f t="shared" si="408"/>
        <v>0.81021897810218979</v>
      </c>
      <c r="AV318" s="1408">
        <f t="shared" si="408"/>
        <v>0.78947368421052633</v>
      </c>
      <c r="AW318" s="1408">
        <f t="shared" si="408"/>
        <v>0.79720279720279719</v>
      </c>
      <c r="AX318" s="1408">
        <f t="shared" si="408"/>
        <v>0.79285714285714282</v>
      </c>
      <c r="AY318" s="1342">
        <f t="shared" si="408"/>
        <v>0.79746835443037978</v>
      </c>
      <c r="AZ318" s="1408">
        <f t="shared" si="408"/>
        <v>0.15384615384615385</v>
      </c>
      <c r="BA318" s="1408">
        <f t="shared" si="408"/>
        <v>0.1891891891891892</v>
      </c>
      <c r="BB318" s="1408">
        <f t="shared" si="408"/>
        <v>0.22435897435897437</v>
      </c>
      <c r="BC318" s="1408">
        <f t="shared" si="408"/>
        <v>0.18</v>
      </c>
      <c r="BD318" s="1342">
        <f t="shared" si="408"/>
        <v>0.18760469011725292</v>
      </c>
      <c r="BE318" s="1408">
        <f t="shared" si="408"/>
        <v>0.23178807947019867</v>
      </c>
      <c r="BF318" s="1408">
        <f t="shared" si="408"/>
        <v>0.18954248366013071</v>
      </c>
      <c r="BG318" s="1408">
        <f t="shared" si="408"/>
        <v>0.18902439024390244</v>
      </c>
      <c r="BH318" s="1408">
        <f t="shared" si="408"/>
        <v>0.17543859649122806</v>
      </c>
      <c r="BI318" s="1342">
        <f t="shared" si="408"/>
        <v>0.19561815336463223</v>
      </c>
      <c r="BJ318" s="781">
        <f t="shared" si="408"/>
        <v>0.1871345029239766</v>
      </c>
      <c r="BK318" s="1408">
        <f t="shared" si="408"/>
        <v>0.17934782608695651</v>
      </c>
      <c r="BL318" s="1408">
        <f t="shared" si="408"/>
        <v>0.17647058823529413</v>
      </c>
      <c r="BM318" s="1408">
        <f t="shared" si="408"/>
        <v>0.17801047120418848</v>
      </c>
      <c r="BN318" s="1342">
        <f t="shared" si="408"/>
        <v>0.18008185538881311</v>
      </c>
      <c r="BO318" s="1408">
        <f t="shared" si="408"/>
        <v>0.23364485981308411</v>
      </c>
      <c r="BP318" s="1408">
        <f t="shared" si="408"/>
        <v>0.18707109111215145</v>
      </c>
      <c r="BQ318" s="1408">
        <f t="shared" si="408"/>
        <v>0.17192992956765923</v>
      </c>
      <c r="BR318" s="1408">
        <f t="shared" si="408"/>
        <v>0.17193679899912528</v>
      </c>
      <c r="BS318" s="1342">
        <f t="shared" si="408"/>
        <v>0.19122046065790302</v>
      </c>
      <c r="BT318" s="1408">
        <f t="shared" ref="BT318:BX318" si="409">BT316/BT$14</f>
        <v>0.18498807540180756</v>
      </c>
      <c r="BU318" s="1408">
        <f t="shared" si="409"/>
        <v>0.17109374933301741</v>
      </c>
      <c r="BV318" s="1408">
        <f t="shared" si="409"/>
        <v>0.16447597404517572</v>
      </c>
      <c r="BW318" s="1408">
        <f t="shared" si="409"/>
        <v>0.16218330688485935</v>
      </c>
      <c r="BX318" s="1342">
        <f t="shared" si="409"/>
        <v>0.17046046710662791</v>
      </c>
      <c r="BY318" s="1486">
        <f t="shared" si="408"/>
        <v>0.16591038205963207</v>
      </c>
      <c r="BZ318" s="1486">
        <f t="shared" si="408"/>
        <v>0.16152497109358235</v>
      </c>
      <c r="CA318" s="1486">
        <f t="shared" ref="CA318" si="410">CA316/CA$14</f>
        <v>0.15816166734633738</v>
      </c>
      <c r="CF318" s="1487" t="str">
        <f>+A318</f>
        <v>% of revenue</v>
      </c>
      <c r="CG318" s="1271"/>
      <c r="CH318" s="1271"/>
      <c r="CI318" s="1271"/>
      <c r="CJ318" s="1271"/>
      <c r="CK318" s="1271"/>
      <c r="CL318" s="1278"/>
      <c r="CM318" s="1342"/>
      <c r="CN318" s="1342"/>
      <c r="CO318" s="1342"/>
      <c r="CP318" s="1342">
        <f>+AE318</f>
        <v>1.1472527472527472</v>
      </c>
      <c r="CQ318" s="1342">
        <f>+AJ318</f>
        <v>1.0247678018575852</v>
      </c>
      <c r="CR318" s="1342">
        <f>+AO318</f>
        <v>0.77519379844961245</v>
      </c>
      <c r="CS318" s="1342">
        <f>+AT318</f>
        <v>0.79065040650406504</v>
      </c>
      <c r="CT318" s="1342">
        <f>+AY318</f>
        <v>0.79746835443037978</v>
      </c>
      <c r="CU318" s="1342">
        <f>+BD318</f>
        <v>0.18760469011725292</v>
      </c>
      <c r="CV318" s="1488">
        <f>+BI318</f>
        <v>0.19561815336463223</v>
      </c>
      <c r="CW318" s="1342">
        <f>+BN318</f>
        <v>0.18008185538881311</v>
      </c>
      <c r="CX318" s="1342">
        <f>+BS318</f>
        <v>0.19122046065790302</v>
      </c>
      <c r="CY318" s="1342">
        <f t="shared" si="401"/>
        <v>0.17046046710662791</v>
      </c>
      <c r="CZ318" s="1486">
        <f t="shared" si="401"/>
        <v>0.16591038205963207</v>
      </c>
      <c r="DA318" s="1486">
        <f t="shared" si="401"/>
        <v>0.16152497109358235</v>
      </c>
      <c r="DB318" s="1486">
        <f t="shared" si="401"/>
        <v>0.15816166734633738</v>
      </c>
    </row>
    <row r="319" spans="1:260">
      <c r="A319" s="1485"/>
      <c r="K319" s="1423"/>
      <c r="P319" s="1423"/>
      <c r="U319" s="1423"/>
      <c r="Y319" s="1408"/>
      <c r="Z319" s="1342"/>
      <c r="AA319" s="1408"/>
      <c r="AB319" s="1408"/>
      <c r="AC319" s="1408"/>
      <c r="AD319" s="1408"/>
      <c r="AE319" s="1342"/>
      <c r="AF319" s="1408"/>
      <c r="AG319" s="1408"/>
      <c r="AH319" s="1408"/>
      <c r="AI319" s="1408"/>
      <c r="AJ319" s="1342"/>
      <c r="AK319" s="1408"/>
      <c r="AL319" s="1408"/>
      <c r="AM319" s="1408"/>
      <c r="AN319" s="1408"/>
      <c r="AO319" s="1342"/>
      <c r="AP319" s="1408"/>
      <c r="AQ319" s="1408"/>
      <c r="AR319" s="1408"/>
      <c r="AS319" s="1408"/>
      <c r="AT319" s="1342"/>
      <c r="AU319" s="1408"/>
      <c r="AV319" s="1408"/>
      <c r="AW319" s="1408"/>
      <c r="AY319" s="1342"/>
      <c r="AZ319" s="1408"/>
      <c r="BA319" s="1408"/>
      <c r="BB319" s="1408"/>
      <c r="BD319" s="1342"/>
      <c r="BE319" s="1408"/>
      <c r="BF319" s="1408"/>
      <c r="BG319" s="1408"/>
      <c r="BH319" s="1740"/>
      <c r="BI319" s="1342"/>
      <c r="BJ319" s="781"/>
      <c r="BK319" s="1408"/>
      <c r="BL319" s="1408"/>
      <c r="BN319" s="1342"/>
      <c r="BO319" s="1408"/>
      <c r="BP319" s="1408"/>
      <c r="BQ319" s="1408"/>
      <c r="BS319" s="1342"/>
      <c r="BT319" s="1408"/>
      <c r="BU319" s="1408"/>
      <c r="BV319" s="1408"/>
      <c r="BX319" s="1342"/>
      <c r="BY319" s="1486"/>
      <c r="BZ319" s="1486"/>
      <c r="CA319" s="1486"/>
      <c r="CF319" s="1487"/>
      <c r="CG319" s="1271"/>
      <c r="CH319" s="1271"/>
      <c r="CI319" s="1271"/>
      <c r="CJ319" s="1271"/>
      <c r="CK319" s="1271"/>
      <c r="CL319" s="1423"/>
      <c r="CM319" s="1342"/>
      <c r="CN319" s="1342"/>
      <c r="CO319" s="1342"/>
      <c r="CP319" s="1342"/>
      <c r="CQ319" s="1342"/>
      <c r="CR319" s="1342"/>
      <c r="CS319" s="1342"/>
      <c r="CT319" s="1342"/>
      <c r="CU319" s="1342"/>
      <c r="CV319" s="1488"/>
      <c r="CW319" s="1342"/>
      <c r="CX319" s="1342"/>
      <c r="CY319" s="1342"/>
      <c r="CZ319" s="1486"/>
      <c r="DA319" s="1486"/>
      <c r="DB319" s="1486"/>
    </row>
    <row r="320" spans="1:260">
      <c r="A320" s="762" t="s">
        <v>363</v>
      </c>
      <c r="K320" s="1423"/>
      <c r="P320" s="1423"/>
      <c r="U320" s="1423"/>
      <c r="Y320" s="1408"/>
      <c r="Z320" s="1342"/>
      <c r="AA320" s="1408"/>
      <c r="AB320" s="1408"/>
      <c r="AC320" s="1408"/>
      <c r="AD320" s="1408"/>
      <c r="AE320" s="1342"/>
      <c r="AF320" s="1408"/>
      <c r="AG320" s="1408"/>
      <c r="AH320" s="1408"/>
      <c r="AI320" s="1408"/>
      <c r="AJ320" s="1342"/>
      <c r="AK320" s="1408"/>
      <c r="AL320" s="1408"/>
      <c r="AM320" s="1408"/>
      <c r="AN320" s="1408"/>
      <c r="AO320" s="1342"/>
      <c r="AP320" s="1408"/>
      <c r="AQ320" s="1408"/>
      <c r="AR320" s="1408"/>
      <c r="AS320" s="1408"/>
      <c r="AT320" s="2045">
        <v>302</v>
      </c>
      <c r="AU320" s="1408"/>
      <c r="AV320" s="1408"/>
      <c r="AW320" s="1408"/>
      <c r="AY320" s="2045">
        <v>345</v>
      </c>
      <c r="AZ320" s="2027">
        <v>92</v>
      </c>
      <c r="BA320" s="2027">
        <v>92</v>
      </c>
      <c r="BB320" s="2026">
        <v>91</v>
      </c>
      <c r="BC320" s="762">
        <f>+BD320-SUM(AZ320:BB320)</f>
        <v>93</v>
      </c>
      <c r="BD320" s="2045">
        <v>368</v>
      </c>
      <c r="BE320" s="2027">
        <v>86</v>
      </c>
      <c r="BF320" s="2050">
        <v>92</v>
      </c>
      <c r="BG320" s="2050">
        <v>100</v>
      </c>
      <c r="BH320" s="2026">
        <v>104</v>
      </c>
      <c r="BI320" s="796">
        <f>+BI307</f>
        <v>382</v>
      </c>
      <c r="BJ320" s="2026">
        <v>108</v>
      </c>
      <c r="BK320" s="2038">
        <v>114</v>
      </c>
      <c r="BL320" s="2178">
        <v>118</v>
      </c>
      <c r="BM320" s="2222">
        <v>121</v>
      </c>
      <c r="BN320" s="796">
        <f t="shared" ref="BN320:BZ320" si="411">+BN307</f>
        <v>461</v>
      </c>
      <c r="BO320" s="2164">
        <v>131</v>
      </c>
      <c r="BP320" s="1406">
        <f t="shared" si="411"/>
        <v>132.40678980891721</v>
      </c>
      <c r="BQ320" s="1406">
        <f t="shared" si="411"/>
        <v>136.88915923566879</v>
      </c>
      <c r="BR320" s="1406">
        <f t="shared" si="411"/>
        <v>141.37152866242042</v>
      </c>
      <c r="BS320" s="796">
        <f t="shared" si="411"/>
        <v>541.66747770700636</v>
      </c>
      <c r="BT320" s="762">
        <f t="shared" ref="BT320:BX320" si="412">+BT307</f>
        <v>146.05412950318473</v>
      </c>
      <c r="BU320" s="1406">
        <f t="shared" si="412"/>
        <v>150.9369617579618</v>
      </c>
      <c r="BV320" s="1406">
        <f t="shared" si="412"/>
        <v>155.81979401273884</v>
      </c>
      <c r="BW320" s="1406">
        <f t="shared" si="412"/>
        <v>160.70262626751594</v>
      </c>
      <c r="BX320" s="796">
        <f t="shared" si="412"/>
        <v>613.51351154140127</v>
      </c>
      <c r="BY320" s="1699">
        <f t="shared" si="411"/>
        <v>672.91854396927215</v>
      </c>
      <c r="BZ320" s="1699">
        <f t="shared" si="411"/>
        <v>737.13419930805401</v>
      </c>
      <c r="CA320" s="1699">
        <f t="shared" ref="CA320" si="413">+CA307</f>
        <v>800.22364319390067</v>
      </c>
      <c r="CB320" s="2006">
        <f>(CA320/BN320)^(1/5)-1</f>
        <v>0.11661148543460764</v>
      </c>
      <c r="CF320" s="1270" t="str">
        <f>+A320</f>
        <v>Asset Linked Fees</v>
      </c>
      <c r="CG320" s="1271"/>
      <c r="CH320" s="1271"/>
      <c r="CI320" s="1271"/>
      <c r="CJ320" s="1271"/>
      <c r="CK320" s="1271"/>
      <c r="CL320" s="1422"/>
      <c r="CM320" s="1342"/>
      <c r="CN320" s="1342"/>
      <c r="CO320" s="1342"/>
      <c r="CP320" s="1342"/>
      <c r="CQ320" s="1342"/>
      <c r="CR320" s="1342"/>
      <c r="CS320" s="1342"/>
      <c r="CT320" s="1342"/>
      <c r="CU320" s="1270"/>
      <c r="CV320" s="1273">
        <f>+BI320</f>
        <v>382</v>
      </c>
      <c r="CW320" s="1270">
        <f>+BN320</f>
        <v>461</v>
      </c>
      <c r="CX320" s="1270">
        <f>+BS320</f>
        <v>541.66747770700636</v>
      </c>
      <c r="CY320" s="1270">
        <f t="shared" ref="CY320:DB321" si="414">+BX320</f>
        <v>613.51351154140127</v>
      </c>
      <c r="CZ320" s="1290">
        <f t="shared" si="414"/>
        <v>672.91854396927215</v>
      </c>
      <c r="DA320" s="1290">
        <f t="shared" si="414"/>
        <v>737.13419930805401</v>
      </c>
      <c r="DB320" s="1290">
        <f t="shared" si="414"/>
        <v>800.22364319390067</v>
      </c>
    </row>
    <row r="321" spans="1:106">
      <c r="A321" s="1618" t="s">
        <v>288</v>
      </c>
      <c r="K321" s="1423"/>
      <c r="P321" s="1423"/>
      <c r="U321" s="1423"/>
      <c r="Y321" s="1408"/>
      <c r="Z321" s="1342"/>
      <c r="AA321" s="1408"/>
      <c r="AB321" s="1408"/>
      <c r="AC321" s="1408"/>
      <c r="AD321" s="1408"/>
      <c r="AE321" s="1342"/>
      <c r="AF321" s="1408"/>
      <c r="AG321" s="1408"/>
      <c r="AH321" s="1408"/>
      <c r="AI321" s="1408"/>
      <c r="AJ321" s="1342"/>
      <c r="AK321" s="1408"/>
      <c r="AL321" s="1408"/>
      <c r="AM321" s="1408"/>
      <c r="AN321" s="1408"/>
      <c r="AO321" s="1342"/>
      <c r="AP321" s="1408"/>
      <c r="AQ321" s="1408"/>
      <c r="AR321" s="1408"/>
      <c r="AS321" s="1408"/>
      <c r="AT321" s="1342"/>
      <c r="AU321" s="1408"/>
      <c r="AV321" s="1408"/>
      <c r="AW321" s="1408"/>
      <c r="AY321" s="1342"/>
      <c r="AZ321" s="762"/>
      <c r="BA321" s="1408"/>
      <c r="BB321" s="1408"/>
      <c r="BD321" s="1342"/>
      <c r="BE321" s="1399">
        <f>+BE320/AZ320-1</f>
        <v>-6.5217391304347783E-2</v>
      </c>
      <c r="BF321" s="1399">
        <f>+BF320/BA320-1</f>
        <v>0</v>
      </c>
      <c r="BG321" s="1399">
        <f>+BG320/BB320-1</f>
        <v>9.8901098901098994E-2</v>
      </c>
      <c r="BH321" s="1399">
        <f>+BH320/BC320-1</f>
        <v>0.11827956989247301</v>
      </c>
      <c r="BI321" s="1342">
        <f t="shared" ref="BI321:BS321" si="415">+BI320/BD320-1</f>
        <v>3.8043478260869623E-2</v>
      </c>
      <c r="BJ321" s="781">
        <f t="shared" si="415"/>
        <v>0.2558139534883721</v>
      </c>
      <c r="BK321" s="1408">
        <f t="shared" si="415"/>
        <v>0.23913043478260865</v>
      </c>
      <c r="BL321" s="1399">
        <f t="shared" si="415"/>
        <v>0.17999999999999994</v>
      </c>
      <c r="BM321" s="1402">
        <f t="shared" si="415"/>
        <v>0.16346153846153855</v>
      </c>
      <c r="BN321" s="1342">
        <f t="shared" si="415"/>
        <v>0.206806282722513</v>
      </c>
      <c r="BO321" s="1408">
        <f t="shared" si="415"/>
        <v>0.21296296296296302</v>
      </c>
      <c r="BP321" s="1408">
        <f t="shared" si="415"/>
        <v>0.16146306849927372</v>
      </c>
      <c r="BQ321" s="1408">
        <f t="shared" si="415"/>
        <v>0.16007762064126085</v>
      </c>
      <c r="BR321" s="1402">
        <f t="shared" si="415"/>
        <v>0.16835974101173901</v>
      </c>
      <c r="BS321" s="1342">
        <f t="shared" si="415"/>
        <v>0.1749836826616189</v>
      </c>
      <c r="BT321" s="1408">
        <f t="shared" ref="BT321" si="416">+BT320/BO320-1</f>
        <v>0.11491701910828045</v>
      </c>
      <c r="BU321" s="1408">
        <f t="shared" ref="BU321" si="417">+BU320/BP320-1</f>
        <v>0.13994880455742797</v>
      </c>
      <c r="BV321" s="1408">
        <f t="shared" ref="BV321" si="418">+BV320/BQ320-1</f>
        <v>0.13829170171524696</v>
      </c>
      <c r="BW321" s="1402">
        <f t="shared" ref="BW321" si="419">+BW320/BR320-1</f>
        <v>0.1367396801038776</v>
      </c>
      <c r="BX321" s="1342">
        <f t="shared" ref="BX321" si="420">+BX320/BS320-1</f>
        <v>0.13263863309374679</v>
      </c>
      <c r="BY321" s="1342">
        <f>+BY320/BX320-1</f>
        <v>9.6827586206896576E-2</v>
      </c>
      <c r="BZ321" s="1342">
        <f>+BZ320/BY320-1</f>
        <v>9.5428571428571196E-2</v>
      </c>
      <c r="CA321" s="1342">
        <f>+CA320/BZ320-1</f>
        <v>8.5587460119295189E-2</v>
      </c>
      <c r="CF321" s="1487"/>
      <c r="CG321" s="1271"/>
      <c r="CH321" s="1271"/>
      <c r="CI321" s="1271"/>
      <c r="CJ321" s="1271"/>
      <c r="CK321" s="1271"/>
      <c r="CL321" s="1422"/>
      <c r="CM321" s="1342"/>
      <c r="CN321" s="1342"/>
      <c r="CO321" s="1342"/>
      <c r="CP321" s="1342"/>
      <c r="CQ321" s="1342"/>
      <c r="CR321" s="1342"/>
      <c r="CS321" s="1342"/>
      <c r="CT321" s="1342"/>
      <c r="CU321" s="1342"/>
      <c r="CV321" s="1488">
        <f>+BI321</f>
        <v>3.8043478260869623E-2</v>
      </c>
      <c r="CW321" s="1342">
        <f>+BN321</f>
        <v>0.206806282722513</v>
      </c>
      <c r="CX321" s="1342">
        <f>+BS321</f>
        <v>0.1749836826616189</v>
      </c>
      <c r="CY321" s="1342">
        <f t="shared" si="414"/>
        <v>0.13263863309374679</v>
      </c>
      <c r="CZ321" s="1486">
        <f t="shared" si="414"/>
        <v>9.6827586206896576E-2</v>
      </c>
      <c r="DA321" s="1486">
        <f t="shared" si="414"/>
        <v>9.5428571428571196E-2</v>
      </c>
      <c r="DB321" s="1486">
        <f t="shared" si="414"/>
        <v>8.5587460119295189E-2</v>
      </c>
    </row>
    <row r="322" spans="1:106">
      <c r="A322" s="1485" t="s">
        <v>330</v>
      </c>
      <c r="K322" s="1423"/>
      <c r="P322" s="1423"/>
      <c r="U322" s="1423"/>
      <c r="Y322" s="1408"/>
      <c r="Z322" s="1342"/>
      <c r="AA322" s="1408"/>
      <c r="AB322" s="1408"/>
      <c r="AC322" s="1408"/>
      <c r="AD322" s="1408"/>
      <c r="AE322" s="1342"/>
      <c r="AF322" s="1408"/>
      <c r="AG322" s="1408"/>
      <c r="AH322" s="1408"/>
      <c r="AI322" s="1408"/>
      <c r="AJ322" s="1342"/>
      <c r="AK322" s="1408"/>
      <c r="AL322" s="1408"/>
      <c r="AM322" s="1408"/>
      <c r="AN322" s="1408"/>
      <c r="AO322" s="1342"/>
      <c r="AP322" s="1408"/>
      <c r="AQ322" s="1408"/>
      <c r="AR322" s="1408"/>
      <c r="AS322" s="1408"/>
      <c r="AT322" s="1342"/>
      <c r="AU322" s="1408"/>
      <c r="AV322" s="1408"/>
      <c r="AW322" s="1408"/>
      <c r="AY322" s="1342">
        <f t="shared" ref="AY322:BZ322" si="421">+AY320/AY312</f>
        <v>0.6238698010849909</v>
      </c>
      <c r="AZ322" s="1408">
        <f t="shared" si="421"/>
        <v>0.64335664335664333</v>
      </c>
      <c r="BA322" s="1408">
        <f t="shared" si="421"/>
        <v>0.6216216216216216</v>
      </c>
      <c r="BB322" s="1408">
        <f t="shared" si="421"/>
        <v>0.58333333333333337</v>
      </c>
      <c r="BC322" s="1402">
        <f t="shared" si="421"/>
        <v>0.62266413510542629</v>
      </c>
      <c r="BD322" s="1342">
        <f t="shared" si="421"/>
        <v>0.61707878666533189</v>
      </c>
      <c r="BE322" s="1408">
        <f t="shared" si="421"/>
        <v>0.56953642384105962</v>
      </c>
      <c r="BF322" s="1408">
        <f t="shared" si="421"/>
        <v>0.60130718954248363</v>
      </c>
      <c r="BG322" s="1408">
        <f t="shared" si="421"/>
        <v>0.6097560975609756</v>
      </c>
      <c r="BH322" s="1408">
        <f t="shared" si="421"/>
        <v>0.60818713450292394</v>
      </c>
      <c r="BI322" s="1342">
        <f t="shared" si="421"/>
        <v>0.59780907668231609</v>
      </c>
      <c r="BJ322" s="781">
        <f t="shared" si="421"/>
        <v>0.63157894736842102</v>
      </c>
      <c r="BK322" s="1408">
        <f t="shared" si="421"/>
        <v>0.61956521739130432</v>
      </c>
      <c r="BL322" s="1408">
        <f t="shared" si="421"/>
        <v>0.63101604278074863</v>
      </c>
      <c r="BM322" s="1408">
        <f t="shared" si="421"/>
        <v>0.63350785340314131</v>
      </c>
      <c r="BN322" s="1342">
        <f t="shared" si="421"/>
        <v>0.62892223738062758</v>
      </c>
      <c r="BO322" s="1408">
        <f t="shared" si="421"/>
        <v>0.61214953271028039</v>
      </c>
      <c r="BP322" s="1408">
        <f t="shared" si="421"/>
        <v>0.63124169349731019</v>
      </c>
      <c r="BQ322" s="1408">
        <f t="shared" si="421"/>
        <v>0.65157419986233578</v>
      </c>
      <c r="BR322" s="1408">
        <f t="shared" si="421"/>
        <v>0.65600200475751402</v>
      </c>
      <c r="BS322" s="1342">
        <f t="shared" si="421"/>
        <v>0.63774300764431835</v>
      </c>
      <c r="BT322" s="1408">
        <f t="shared" ref="BT322:BX322" si="422">+BT320/BT312</f>
        <v>0.66114822799484074</v>
      </c>
      <c r="BU322" s="1408">
        <f t="shared" si="422"/>
        <v>0.65782858649764886</v>
      </c>
      <c r="BV322" s="1408">
        <f t="shared" si="422"/>
        <v>0.67104638592163246</v>
      </c>
      <c r="BW322" s="1408">
        <f t="shared" si="422"/>
        <v>0.6769367009372933</v>
      </c>
      <c r="BX322" s="1342">
        <f t="shared" si="422"/>
        <v>0.66689288605279551</v>
      </c>
      <c r="BY322" s="1486">
        <f t="shared" si="421"/>
        <v>0.67865814718682382</v>
      </c>
      <c r="BZ322" s="1486">
        <f t="shared" si="421"/>
        <v>0.68990524361876859</v>
      </c>
      <c r="CA322" s="1486">
        <f t="shared" ref="CA322" si="423">+CA320/CA312</f>
        <v>0.69901478451763355</v>
      </c>
      <c r="CF322" s="1487"/>
      <c r="CG322" s="1271"/>
      <c r="CH322" s="1271"/>
      <c r="CI322" s="1271"/>
      <c r="CJ322" s="1271"/>
      <c r="CK322" s="1271"/>
      <c r="CL322" s="1422"/>
      <c r="CM322" s="1342"/>
      <c r="CN322" s="1342"/>
      <c r="CO322" s="1342"/>
      <c r="CP322" s="1342"/>
      <c r="CQ322" s="1342"/>
      <c r="CR322" s="1342"/>
      <c r="CS322" s="1342"/>
      <c r="CT322" s="1342"/>
      <c r="CU322" s="1342"/>
      <c r="CV322" s="1488"/>
      <c r="CW322" s="1342"/>
      <c r="CX322" s="1342"/>
      <c r="CY322" s="1342"/>
      <c r="CZ322" s="1486"/>
      <c r="DA322" s="1486"/>
      <c r="DB322" s="1486"/>
    </row>
    <row r="323" spans="1:106">
      <c r="A323" s="1485"/>
      <c r="K323" s="1423"/>
      <c r="P323" s="1423"/>
      <c r="U323" s="1423"/>
      <c r="Y323" s="1408"/>
      <c r="Z323" s="1342"/>
      <c r="AA323" s="1408"/>
      <c r="AB323" s="1408"/>
      <c r="AC323" s="1408"/>
      <c r="AD323" s="1408"/>
      <c r="AE323" s="1342"/>
      <c r="AF323" s="1408"/>
      <c r="AG323" s="1408"/>
      <c r="AH323" s="1408"/>
      <c r="AI323" s="1408"/>
      <c r="AJ323" s="1342"/>
      <c r="AK323" s="1408"/>
      <c r="AL323" s="1408"/>
      <c r="AM323" s="1408"/>
      <c r="AN323" s="1408"/>
      <c r="AO323" s="1342"/>
      <c r="AP323" s="1408"/>
      <c r="AQ323" s="1408"/>
      <c r="AR323" s="1408"/>
      <c r="AS323" s="1408"/>
      <c r="AT323" s="1342"/>
      <c r="AU323" s="1408"/>
      <c r="AV323" s="1408"/>
      <c r="AW323" s="1408"/>
      <c r="AY323" s="1342"/>
      <c r="AZ323" s="1408"/>
      <c r="BA323" s="1408"/>
      <c r="BB323" s="1408"/>
      <c r="BD323" s="1342"/>
      <c r="BE323" s="1408"/>
      <c r="BF323" s="1408"/>
      <c r="BG323" s="1408"/>
      <c r="BI323" s="1342"/>
      <c r="BJ323" s="781"/>
      <c r="BK323" s="1408"/>
      <c r="BL323" s="1408"/>
      <c r="BN323" s="1342"/>
      <c r="BO323" s="1408"/>
      <c r="BP323" s="1408"/>
      <c r="BQ323" s="1408"/>
      <c r="BS323" s="1342"/>
      <c r="BT323" s="1408"/>
      <c r="BU323" s="1408"/>
      <c r="BV323" s="1408"/>
      <c r="BX323" s="1342"/>
      <c r="BY323" s="1486"/>
      <c r="BZ323" s="1486"/>
      <c r="CA323" s="1486"/>
      <c r="CF323" s="1487"/>
      <c r="CG323" s="1271"/>
      <c r="CH323" s="1271"/>
      <c r="CI323" s="1271"/>
      <c r="CJ323" s="1271"/>
      <c r="CK323" s="1271"/>
      <c r="CL323" s="1422"/>
      <c r="CM323" s="1342"/>
      <c r="CN323" s="1342"/>
      <c r="CO323" s="1342"/>
      <c r="CP323" s="1342"/>
      <c r="CQ323" s="1342"/>
      <c r="CR323" s="1342"/>
      <c r="CS323" s="1342"/>
      <c r="CT323" s="1342"/>
      <c r="CU323" s="1342"/>
      <c r="CV323" s="1488"/>
      <c r="CW323" s="1342"/>
      <c r="CX323" s="1342"/>
      <c r="CY323" s="1342"/>
      <c r="CZ323" s="1486"/>
      <c r="DA323" s="1486"/>
      <c r="DB323" s="1486"/>
    </row>
    <row r="324" spans="1:106" s="762" customFormat="1">
      <c r="A324" s="762" t="s">
        <v>334</v>
      </c>
      <c r="G324" s="1319" t="s">
        <v>249</v>
      </c>
      <c r="H324" s="1319" t="s">
        <v>249</v>
      </c>
      <c r="I324" s="1319" t="s">
        <v>249</v>
      </c>
      <c r="J324" s="1278" t="s">
        <v>249</v>
      </c>
      <c r="K324" s="1278" t="s">
        <v>249</v>
      </c>
      <c r="L324" s="1319" t="s">
        <v>249</v>
      </c>
      <c r="M324" s="1319" t="s">
        <v>249</v>
      </c>
      <c r="N324" s="1319" t="s">
        <v>249</v>
      </c>
      <c r="O324" s="1278" t="s">
        <v>249</v>
      </c>
      <c r="P324" s="1278" t="s">
        <v>249</v>
      </c>
      <c r="Q324" s="1319" t="s">
        <v>249</v>
      </c>
      <c r="R324" s="1319" t="s">
        <v>249</v>
      </c>
      <c r="S324" s="1319" t="s">
        <v>249</v>
      </c>
      <c r="T324" s="1278" t="s">
        <v>249</v>
      </c>
      <c r="U324" s="1278" t="s">
        <v>249</v>
      </c>
      <c r="V324" s="2027">
        <v>205.6</v>
      </c>
      <c r="W324" s="2027">
        <v>210.7</v>
      </c>
      <c r="X324" s="2027">
        <v>203.1</v>
      </c>
      <c r="Y324" s="2027">
        <v>209.7</v>
      </c>
      <c r="Z324" s="1270">
        <f>SUM(V324:Y324)</f>
        <v>829.09999999999991</v>
      </c>
      <c r="AA324" s="2027">
        <v>206.6</v>
      </c>
      <c r="AB324" s="2027">
        <v>213.1</v>
      </c>
      <c r="AC324" s="2027">
        <v>217.8</v>
      </c>
      <c r="AD324" s="2027">
        <v>238</v>
      </c>
      <c r="AE324" s="1270">
        <f>SUM(AA324:AD324)</f>
        <v>875.5</v>
      </c>
      <c r="AF324" s="2027">
        <v>240</v>
      </c>
      <c r="AG324" s="2027">
        <v>245</v>
      </c>
      <c r="AH324" s="2027">
        <v>252</v>
      </c>
      <c r="AI324" s="2027">
        <v>18</v>
      </c>
      <c r="AJ324" s="1270">
        <f>SUM(AF324:AI324)</f>
        <v>755</v>
      </c>
      <c r="AK324" s="2027">
        <v>18</v>
      </c>
      <c r="AL324" s="2036">
        <v>19</v>
      </c>
      <c r="AM324" s="2036">
        <v>24</v>
      </c>
      <c r="AN324" s="2027">
        <v>26</v>
      </c>
      <c r="AO324" s="1270">
        <f>SUM(AK324:AN324)</f>
        <v>87</v>
      </c>
      <c r="AP324" s="2027">
        <v>25</v>
      </c>
      <c r="AQ324" s="2036">
        <v>26</v>
      </c>
      <c r="AR324" s="2036">
        <v>25</v>
      </c>
      <c r="AS324" s="2027">
        <v>27</v>
      </c>
      <c r="AT324" s="1270">
        <f>SUM(AP324:AS324)</f>
        <v>103</v>
      </c>
      <c r="AU324" s="2027">
        <v>26</v>
      </c>
      <c r="AV324" s="2036">
        <v>28</v>
      </c>
      <c r="AW324" s="2027">
        <v>29</v>
      </c>
      <c r="AX324" s="2027">
        <v>29</v>
      </c>
      <c r="AY324" s="1270">
        <f>SUM(AU324:AX324)</f>
        <v>112</v>
      </c>
      <c r="AZ324" s="2027">
        <v>29</v>
      </c>
      <c r="BA324" s="2027">
        <v>28</v>
      </c>
      <c r="BB324" s="2026">
        <v>30</v>
      </c>
      <c r="BC324" s="2028">
        <f>+BD324-SUM(AZ324:BB324)</f>
        <v>30</v>
      </c>
      <c r="BD324" s="1270">
        <v>117</v>
      </c>
      <c r="BE324" s="2026">
        <v>30</v>
      </c>
      <c r="BF324" s="2026">
        <v>32</v>
      </c>
      <c r="BG324" s="2026">
        <v>33</v>
      </c>
      <c r="BH324" s="2026">
        <v>37</v>
      </c>
      <c r="BI324" s="1270">
        <f>SUM(BE324:BH324)</f>
        <v>132</v>
      </c>
      <c r="BJ324" s="2026">
        <v>31</v>
      </c>
      <c r="BK324" s="2027">
        <v>37</v>
      </c>
      <c r="BL324" s="2028">
        <v>36</v>
      </c>
      <c r="BM324" s="2164">
        <v>36</v>
      </c>
      <c r="BN324" s="1270">
        <f>SUM(BJ324:BM324)</f>
        <v>140</v>
      </c>
      <c r="BO324" s="2164">
        <v>33</v>
      </c>
      <c r="BP324" s="762">
        <f>(1+BP325)*BK324</f>
        <v>38.11</v>
      </c>
      <c r="BQ324" s="762">
        <f>(1+BQ325)*BL324</f>
        <v>37.08</v>
      </c>
      <c r="BR324" s="762">
        <f>(1+BR325)*BM324</f>
        <v>37.08</v>
      </c>
      <c r="BS324" s="1270">
        <f>SUM(BO324:BR324)</f>
        <v>145.26999999999998</v>
      </c>
      <c r="BT324" s="762">
        <f>(1+BT325)*BO324</f>
        <v>33.99</v>
      </c>
      <c r="BU324" s="762">
        <f>(1+BU325)*BP324</f>
        <v>39.253300000000003</v>
      </c>
      <c r="BV324" s="762">
        <f>(1+BV325)*BQ324</f>
        <v>38.192399999999999</v>
      </c>
      <c r="BW324" s="762">
        <f>(1+BW325)*BR324</f>
        <v>38.192399999999999</v>
      </c>
      <c r="BX324" s="1270">
        <f>SUM(BT324:BW324)</f>
        <v>149.62809999999999</v>
      </c>
      <c r="BY324" s="1290">
        <f>(1+BY325)*BX324</f>
        <v>154.11694299999999</v>
      </c>
      <c r="BZ324" s="1290">
        <f>(1+BZ325)*BY324</f>
        <v>158.74045129000001</v>
      </c>
      <c r="CA324" s="1290">
        <f>(1+CA325)*BZ324</f>
        <v>163.50266482870001</v>
      </c>
      <c r="CB324" s="2006">
        <f>(CA324/BN324)^(1/5)-1</f>
        <v>3.1524054570789106E-2</v>
      </c>
      <c r="CF324" s="1270" t="str">
        <f t="shared" ref="CF324:CF329" si="424">+A324</f>
        <v>Non-Transaction</v>
      </c>
      <c r="CL324" s="1278"/>
      <c r="CM324" s="1270"/>
      <c r="CN324" s="1270"/>
      <c r="CO324" s="1270">
        <f>+Z324</f>
        <v>829.09999999999991</v>
      </c>
      <c r="CP324" s="1270">
        <f>+AE324</f>
        <v>875.5</v>
      </c>
      <c r="CQ324" s="1270">
        <f>+AJ324</f>
        <v>755</v>
      </c>
      <c r="CR324" s="1270">
        <f>+AO324</f>
        <v>87</v>
      </c>
      <c r="CS324" s="1270">
        <f>+AT324</f>
        <v>103</v>
      </c>
      <c r="CT324" s="1270">
        <f>+AY324</f>
        <v>112</v>
      </c>
      <c r="CU324" s="1270">
        <f>+BD324</f>
        <v>117</v>
      </c>
      <c r="CV324" s="1273">
        <f>+BI324</f>
        <v>132</v>
      </c>
      <c r="CW324" s="1270">
        <f>+BN324</f>
        <v>140</v>
      </c>
      <c r="CX324" s="1270">
        <f>+BS324</f>
        <v>145.26999999999998</v>
      </c>
      <c r="CY324" s="1270">
        <f t="shared" ref="CY324:DB325" si="425">+BX324</f>
        <v>149.62809999999999</v>
      </c>
      <c r="CZ324" s="1290">
        <f t="shared" si="425"/>
        <v>154.11694299999999</v>
      </c>
      <c r="DA324" s="1290">
        <f t="shared" si="425"/>
        <v>158.74045129000001</v>
      </c>
      <c r="DB324" s="1290">
        <f t="shared" si="425"/>
        <v>163.50266482870001</v>
      </c>
    </row>
    <row r="325" spans="1:106" ht="12" customHeight="1">
      <c r="A325" s="1618" t="s">
        <v>288</v>
      </c>
      <c r="B325" s="1286"/>
      <c r="C325" s="1286"/>
      <c r="D325" s="1286"/>
      <c r="E325" s="1286"/>
      <c r="F325" s="1286"/>
      <c r="G325" s="1319"/>
      <c r="H325" s="1319"/>
      <c r="I325" s="1319"/>
      <c r="J325" s="1278"/>
      <c r="K325" s="1278"/>
      <c r="L325" s="1319"/>
      <c r="M325" s="1319"/>
      <c r="N325" s="1319"/>
      <c r="O325" s="1278"/>
      <c r="P325" s="1278"/>
      <c r="Q325" s="1319"/>
      <c r="R325" s="1319"/>
      <c r="S325" s="1319"/>
      <c r="T325" s="1278"/>
      <c r="U325" s="1278"/>
      <c r="V325" s="1319"/>
      <c r="W325" s="1319"/>
      <c r="X325" s="1319"/>
      <c r="Y325" s="1278"/>
      <c r="Z325" s="1278"/>
      <c r="AA325" s="1408">
        <f t="shared" ref="AA325:BO325" si="426">AA324/V324-1</f>
        <v>4.8638132295719672E-3</v>
      </c>
      <c r="AB325" s="1408">
        <f t="shared" si="426"/>
        <v>1.1390602752729073E-2</v>
      </c>
      <c r="AC325" s="1408">
        <f t="shared" si="426"/>
        <v>7.2378138847858375E-2</v>
      </c>
      <c r="AD325" s="1408">
        <f t="shared" si="426"/>
        <v>0.13495469718645681</v>
      </c>
      <c r="AE325" s="1342">
        <f t="shared" si="426"/>
        <v>5.5964298637076526E-2</v>
      </c>
      <c r="AF325" s="1408">
        <f t="shared" si="426"/>
        <v>0.16166505324298175</v>
      </c>
      <c r="AG325" s="1408">
        <f t="shared" si="426"/>
        <v>0.14969497888315342</v>
      </c>
      <c r="AH325" s="1408">
        <f t="shared" si="426"/>
        <v>0.15702479338842967</v>
      </c>
      <c r="AI325" s="1408">
        <f t="shared" si="426"/>
        <v>-0.92436974789915971</v>
      </c>
      <c r="AJ325" s="1342">
        <f t="shared" si="426"/>
        <v>-0.13763563677898338</v>
      </c>
      <c r="AK325" s="1408">
        <f t="shared" si="426"/>
        <v>-0.92500000000000004</v>
      </c>
      <c r="AL325" s="1408">
        <f t="shared" si="426"/>
        <v>-0.92244897959183669</v>
      </c>
      <c r="AM325" s="1408">
        <f t="shared" si="426"/>
        <v>-0.90476190476190477</v>
      </c>
      <c r="AN325" s="1408">
        <f t="shared" si="426"/>
        <v>0.44444444444444442</v>
      </c>
      <c r="AO325" s="1342">
        <f t="shared" si="426"/>
        <v>-0.88476821192052979</v>
      </c>
      <c r="AP325" s="1408">
        <f t="shared" si="426"/>
        <v>0.38888888888888884</v>
      </c>
      <c r="AQ325" s="1408">
        <f t="shared" si="426"/>
        <v>0.36842105263157898</v>
      </c>
      <c r="AR325" s="1408">
        <f t="shared" si="426"/>
        <v>4.1666666666666741E-2</v>
      </c>
      <c r="AS325" s="1408">
        <f t="shared" si="426"/>
        <v>3.8461538461538547E-2</v>
      </c>
      <c r="AT325" s="1342">
        <f t="shared" si="426"/>
        <v>0.18390804597701149</v>
      </c>
      <c r="AU325" s="1408">
        <f t="shared" si="426"/>
        <v>4.0000000000000036E-2</v>
      </c>
      <c r="AV325" s="1408">
        <f t="shared" si="426"/>
        <v>7.6923076923076872E-2</v>
      </c>
      <c r="AW325" s="1408">
        <f t="shared" si="426"/>
        <v>0.15999999999999992</v>
      </c>
      <c r="AX325" s="1408">
        <f t="shared" si="426"/>
        <v>7.4074074074074181E-2</v>
      </c>
      <c r="AY325" s="1342">
        <f>AY324/AT324-1</f>
        <v>8.737864077669899E-2</v>
      </c>
      <c r="AZ325" s="1408">
        <f t="shared" si="426"/>
        <v>0.11538461538461542</v>
      </c>
      <c r="BA325" s="1408">
        <f t="shared" si="426"/>
        <v>0</v>
      </c>
      <c r="BB325" s="1408">
        <f t="shared" si="426"/>
        <v>3.4482758620689724E-2</v>
      </c>
      <c r="BC325" s="1408">
        <f t="shared" si="426"/>
        <v>3.4482758620689724E-2</v>
      </c>
      <c r="BD325" s="1342">
        <f>BD324/AY324-1</f>
        <v>4.4642857142857206E-2</v>
      </c>
      <c r="BE325" s="1408">
        <f t="shared" si="426"/>
        <v>3.4482758620689724E-2</v>
      </c>
      <c r="BF325" s="1408">
        <f t="shared" si="426"/>
        <v>0.14285714285714279</v>
      </c>
      <c r="BG325" s="1408">
        <f t="shared" si="426"/>
        <v>0.10000000000000009</v>
      </c>
      <c r="BH325" s="1408">
        <f t="shared" si="426"/>
        <v>0.23333333333333339</v>
      </c>
      <c r="BI325" s="1342">
        <f>BI324/BD324-1</f>
        <v>0.12820512820512819</v>
      </c>
      <c r="BJ325" s="1408">
        <f t="shared" si="426"/>
        <v>3.3333333333333437E-2</v>
      </c>
      <c r="BK325" s="1408">
        <f t="shared" si="426"/>
        <v>0.15625</v>
      </c>
      <c r="BL325" s="1408">
        <f t="shared" si="426"/>
        <v>9.0909090909090828E-2</v>
      </c>
      <c r="BM325" s="1408">
        <f t="shared" si="426"/>
        <v>-2.7027027027026973E-2</v>
      </c>
      <c r="BN325" s="1342">
        <f>BN324/BI324-1</f>
        <v>6.0606060606060552E-2</v>
      </c>
      <c r="BO325" s="1408">
        <f t="shared" si="426"/>
        <v>6.4516129032258007E-2</v>
      </c>
      <c r="BP325" s="692">
        <f>CHOOSE(MHFI!$A$3,BP326,BP327,BP328)</f>
        <v>0.03</v>
      </c>
      <c r="BQ325" s="692">
        <f>CHOOSE(MHFI!$A$3,BQ326,BQ327,BQ328)</f>
        <v>0.03</v>
      </c>
      <c r="BR325" s="692">
        <f>CHOOSE(MHFI!$A$3,BR326,BR327,BR328)</f>
        <v>0.03</v>
      </c>
      <c r="BS325" s="1342">
        <f>BS324/BN324-1</f>
        <v>3.7642857142857089E-2</v>
      </c>
      <c r="BT325" s="692">
        <f>CHOOSE(MHFI!$A$3,BT326,BT327,BT328)</f>
        <v>0.03</v>
      </c>
      <c r="BU325" s="692">
        <f>CHOOSE(MHFI!$A$3,BU326,BU327,BU328)</f>
        <v>0.03</v>
      </c>
      <c r="BV325" s="692">
        <f>CHOOSE(MHFI!$A$3,BV326,BV327,BV328)</f>
        <v>0.03</v>
      </c>
      <c r="BW325" s="692">
        <f>CHOOSE(MHFI!$A$3,BW326,BW327,BW328)</f>
        <v>0.03</v>
      </c>
      <c r="BX325" s="1342">
        <f>BX324/BS324-1</f>
        <v>3.0000000000000027E-2</v>
      </c>
      <c r="BY325" s="783">
        <f>CHOOSE(MHFI!$A$3,BY326,BY327,BY328)</f>
        <v>0.03</v>
      </c>
      <c r="BZ325" s="783">
        <f>CHOOSE(MHFI!$A$3,BZ326,BZ327,BZ328)</f>
        <v>0.03</v>
      </c>
      <c r="CA325" s="783">
        <f>CHOOSE(MHFI!$A$3,CA326,CA327,CA328)</f>
        <v>0.03</v>
      </c>
      <c r="CF325" s="1619" t="str">
        <f t="shared" si="424"/>
        <v>y/y change</v>
      </c>
      <c r="CG325" s="1271"/>
      <c r="CH325" s="1271"/>
      <c r="CI325" s="1271"/>
      <c r="CJ325" s="1271"/>
      <c r="CK325" s="1271"/>
      <c r="CL325" s="1278"/>
      <c r="CM325" s="1342"/>
      <c r="CN325" s="1342"/>
      <c r="CO325" s="1342"/>
      <c r="CP325" s="1342">
        <f>+AE325</f>
        <v>5.5964298637076526E-2</v>
      </c>
      <c r="CQ325" s="1342">
        <f>+AJ325</f>
        <v>-0.13763563677898338</v>
      </c>
      <c r="CR325" s="1342">
        <f>+AO325</f>
        <v>-0.88476821192052979</v>
      </c>
      <c r="CS325" s="1342">
        <f>+AT325</f>
        <v>0.18390804597701149</v>
      </c>
      <c r="CT325" s="1342">
        <f>+AY325</f>
        <v>8.737864077669899E-2</v>
      </c>
      <c r="CU325" s="1342">
        <f>+BD325</f>
        <v>4.4642857142857206E-2</v>
      </c>
      <c r="CV325" s="1488">
        <f>+BI325</f>
        <v>0.12820512820512819</v>
      </c>
      <c r="CW325" s="751">
        <f>+BN325</f>
        <v>6.0606060606060552E-2</v>
      </c>
      <c r="CX325" s="751">
        <f>+BS325</f>
        <v>3.7642857142857089E-2</v>
      </c>
      <c r="CY325" s="751">
        <f t="shared" si="425"/>
        <v>3.0000000000000027E-2</v>
      </c>
      <c r="CZ325" s="752">
        <f t="shared" si="425"/>
        <v>0.03</v>
      </c>
      <c r="DA325" s="752">
        <f t="shared" si="425"/>
        <v>0.03</v>
      </c>
      <c r="DB325" s="752">
        <f t="shared" si="425"/>
        <v>0.03</v>
      </c>
    </row>
    <row r="326" spans="1:106" ht="12" hidden="1" customHeight="1" outlineLevel="1">
      <c r="A326" s="1664" t="s">
        <v>213</v>
      </c>
      <c r="B326" s="1665"/>
      <c r="C326" s="1665"/>
      <c r="D326" s="1665"/>
      <c r="E326" s="1665"/>
      <c r="F326" s="1665"/>
      <c r="G326" s="1666"/>
      <c r="H326" s="1666"/>
      <c r="I326" s="1666"/>
      <c r="J326" s="1593"/>
      <c r="K326" s="1593"/>
      <c r="L326" s="1666"/>
      <c r="M326" s="1666"/>
      <c r="N326" s="1666"/>
      <c r="O326" s="1593"/>
      <c r="P326" s="1593"/>
      <c r="Q326" s="1666"/>
      <c r="R326" s="1666"/>
      <c r="S326" s="1666"/>
      <c r="T326" s="1593"/>
      <c r="U326" s="1593"/>
      <c r="V326" s="1666"/>
      <c r="W326" s="1666"/>
      <c r="X326" s="1666"/>
      <c r="Y326" s="1593"/>
      <c r="Z326" s="1593"/>
      <c r="AA326" s="1666"/>
      <c r="AB326" s="1666"/>
      <c r="AC326" s="1666"/>
      <c r="AD326" s="1593"/>
      <c r="AE326" s="1593"/>
      <c r="AF326" s="1666"/>
      <c r="AG326" s="1666"/>
      <c r="AH326" s="1666"/>
      <c r="AI326" s="1593"/>
      <c r="AJ326" s="1593"/>
      <c r="AK326" s="1666"/>
      <c r="AL326" s="1666"/>
      <c r="AM326" s="1666"/>
      <c r="AN326" s="1593"/>
      <c r="AO326" s="1593"/>
      <c r="AP326" s="1666"/>
      <c r="AQ326" s="1666"/>
      <c r="AR326" s="1666"/>
      <c r="AS326" s="1593"/>
      <c r="AT326" s="1593"/>
      <c r="AU326" s="1666"/>
      <c r="AV326" s="1666"/>
      <c r="AW326" s="1667"/>
      <c r="AX326" s="1667"/>
      <c r="AY326" s="1594"/>
      <c r="AZ326" s="1667"/>
      <c r="BA326" s="1667"/>
      <c r="BB326" s="1667"/>
      <c r="BC326" s="1667"/>
      <c r="BD326" s="1594"/>
      <c r="BE326" s="1667"/>
      <c r="BF326" s="1667"/>
      <c r="BG326" s="1667"/>
      <c r="BH326" s="1667"/>
      <c r="BI326" s="1594"/>
      <c r="BJ326" s="1667"/>
      <c r="BK326" s="1667"/>
      <c r="BL326" s="1667"/>
      <c r="BM326" s="1667"/>
      <c r="BN326" s="1594"/>
      <c r="BO326" s="1667"/>
      <c r="BP326" s="1667">
        <f t="shared" ref="BP326:CA326" si="427">BP327-0.025</f>
        <v>4.9999999999999975E-3</v>
      </c>
      <c r="BQ326" s="1667">
        <f t="shared" si="427"/>
        <v>4.9999999999999975E-3</v>
      </c>
      <c r="BR326" s="1667">
        <f t="shared" si="427"/>
        <v>4.9999999999999975E-3</v>
      </c>
      <c r="BS326" s="1594"/>
      <c r="BT326" s="1667">
        <f t="shared" si="427"/>
        <v>4.9999999999999975E-3</v>
      </c>
      <c r="BU326" s="1667">
        <f t="shared" si="427"/>
        <v>4.9999999999999975E-3</v>
      </c>
      <c r="BV326" s="1667">
        <f t="shared" si="427"/>
        <v>4.9999999999999975E-3</v>
      </c>
      <c r="BW326" s="1667">
        <f t="shared" si="427"/>
        <v>4.9999999999999975E-3</v>
      </c>
      <c r="BX326" s="1594"/>
      <c r="BY326" s="1596">
        <f t="shared" si="427"/>
        <v>4.9999999999999975E-3</v>
      </c>
      <c r="BZ326" s="1596">
        <f t="shared" si="427"/>
        <v>4.9999999999999975E-3</v>
      </c>
      <c r="CA326" s="1596">
        <f t="shared" si="427"/>
        <v>4.9999999999999975E-3</v>
      </c>
      <c r="CF326" s="1590" t="str">
        <f t="shared" si="424"/>
        <v>BEAR</v>
      </c>
      <c r="CG326" s="1591"/>
      <c r="CH326" s="1592"/>
      <c r="CI326" s="1592"/>
      <c r="CJ326" s="1592"/>
      <c r="CK326" s="1592"/>
      <c r="CL326" s="1593"/>
      <c r="CM326" s="1593"/>
      <c r="CN326" s="1593"/>
      <c r="CO326" s="1593"/>
      <c r="CP326" s="1593"/>
      <c r="CQ326" s="1593"/>
      <c r="CR326" s="1593"/>
      <c r="CS326" s="1593"/>
      <c r="CT326" s="1594"/>
      <c r="CU326" s="1594"/>
      <c r="CV326" s="1595"/>
      <c r="CW326" s="1594"/>
      <c r="CX326" s="1594"/>
      <c r="CY326" s="1594"/>
      <c r="CZ326" s="1596"/>
      <c r="DA326" s="1596"/>
      <c r="DB326" s="1596"/>
    </row>
    <row r="327" spans="1:106" ht="12" hidden="1" customHeight="1" outlineLevel="1">
      <c r="A327" s="1664" t="s">
        <v>214</v>
      </c>
      <c r="B327" s="1665"/>
      <c r="C327" s="1665"/>
      <c r="D327" s="1665"/>
      <c r="E327" s="1665"/>
      <c r="F327" s="1665"/>
      <c r="G327" s="1666"/>
      <c r="H327" s="1666"/>
      <c r="I327" s="1666"/>
      <c r="J327" s="1593"/>
      <c r="K327" s="1593"/>
      <c r="L327" s="1666"/>
      <c r="M327" s="1666"/>
      <c r="N327" s="1666"/>
      <c r="O327" s="1593"/>
      <c r="P327" s="1593"/>
      <c r="Q327" s="1666"/>
      <c r="R327" s="1666"/>
      <c r="S327" s="1666"/>
      <c r="T327" s="1593"/>
      <c r="U327" s="1593"/>
      <c r="V327" s="1666"/>
      <c r="W327" s="1666"/>
      <c r="X327" s="1666"/>
      <c r="Y327" s="1593"/>
      <c r="Z327" s="1593"/>
      <c r="AA327" s="1666"/>
      <c r="AB327" s="1666"/>
      <c r="AC327" s="1666"/>
      <c r="AD327" s="1593"/>
      <c r="AE327" s="1593"/>
      <c r="AF327" s="1666"/>
      <c r="AG327" s="1666"/>
      <c r="AH327" s="1666"/>
      <c r="AI327" s="1593"/>
      <c r="AJ327" s="1593"/>
      <c r="AK327" s="1666"/>
      <c r="AL327" s="1666"/>
      <c r="AM327" s="1666"/>
      <c r="AN327" s="1593"/>
      <c r="AO327" s="1593"/>
      <c r="AP327" s="1666"/>
      <c r="AQ327" s="1666"/>
      <c r="AR327" s="1666"/>
      <c r="AS327" s="1593"/>
      <c r="AT327" s="1593"/>
      <c r="AU327" s="1666"/>
      <c r="AV327" s="1666"/>
      <c r="AW327" s="1667"/>
      <c r="AX327" s="1667"/>
      <c r="AY327" s="1687"/>
      <c r="AZ327" s="1667"/>
      <c r="BA327" s="1667"/>
      <c r="BB327" s="1667"/>
      <c r="BC327" s="1667"/>
      <c r="BD327" s="1687"/>
      <c r="BE327" s="1667"/>
      <c r="BF327" s="1667"/>
      <c r="BG327" s="1667"/>
      <c r="BH327" s="1667"/>
      <c r="BI327" s="1687"/>
      <c r="BJ327" s="1667"/>
      <c r="BK327" s="1667"/>
      <c r="BL327" s="1667"/>
      <c r="BM327" s="1667"/>
      <c r="BN327" s="1995"/>
      <c r="BO327" s="1667"/>
      <c r="BP327" s="2007">
        <v>0.03</v>
      </c>
      <c r="BQ327" s="2007">
        <v>0.03</v>
      </c>
      <c r="BR327" s="2007">
        <v>0.03</v>
      </c>
      <c r="BS327" s="1995"/>
      <c r="BT327" s="2007">
        <v>0.03</v>
      </c>
      <c r="BU327" s="2007">
        <v>0.03</v>
      </c>
      <c r="BV327" s="2007">
        <v>0.03</v>
      </c>
      <c r="BW327" s="2007">
        <v>0.03</v>
      </c>
      <c r="BX327" s="1995"/>
      <c r="BY327" s="2008">
        <v>0.03</v>
      </c>
      <c r="BZ327" s="2008">
        <v>0.03</v>
      </c>
      <c r="CA327" s="2008">
        <v>0.03</v>
      </c>
      <c r="CF327" s="1590" t="str">
        <f t="shared" si="424"/>
        <v>BASE</v>
      </c>
      <c r="CG327" s="1591"/>
      <c r="CH327" s="1592"/>
      <c r="CI327" s="1592"/>
      <c r="CJ327" s="1592"/>
      <c r="CK327" s="1592"/>
      <c r="CL327" s="1593"/>
      <c r="CM327" s="1593"/>
      <c r="CN327" s="1593"/>
      <c r="CO327" s="1593"/>
      <c r="CP327" s="1593"/>
      <c r="CQ327" s="1593"/>
      <c r="CR327" s="1593"/>
      <c r="CS327" s="1593"/>
      <c r="CT327" s="1687"/>
      <c r="CU327" s="1687"/>
      <c r="CV327" s="1689"/>
      <c r="CW327" s="1594"/>
      <c r="CX327" s="1594"/>
      <c r="CY327" s="1594"/>
      <c r="CZ327" s="1596"/>
      <c r="DA327" s="1596"/>
      <c r="DB327" s="1596"/>
    </row>
    <row r="328" spans="1:106" ht="12" hidden="1" customHeight="1" outlineLevel="1">
      <c r="A328" s="1664" t="s">
        <v>215</v>
      </c>
      <c r="B328" s="1665"/>
      <c r="C328" s="1665"/>
      <c r="D328" s="1665"/>
      <c r="E328" s="1665"/>
      <c r="F328" s="1665"/>
      <c r="G328" s="1666"/>
      <c r="H328" s="1666"/>
      <c r="I328" s="1666"/>
      <c r="J328" s="1593"/>
      <c r="K328" s="1593"/>
      <c r="L328" s="1666"/>
      <c r="M328" s="1666"/>
      <c r="N328" s="1666"/>
      <c r="O328" s="1593"/>
      <c r="P328" s="1593"/>
      <c r="Q328" s="1666"/>
      <c r="R328" s="1666"/>
      <c r="S328" s="1666"/>
      <c r="T328" s="1593"/>
      <c r="U328" s="1593"/>
      <c r="V328" s="1666"/>
      <c r="W328" s="1666"/>
      <c r="X328" s="1666"/>
      <c r="Y328" s="1593"/>
      <c r="Z328" s="1593"/>
      <c r="AA328" s="1666"/>
      <c r="AB328" s="1666"/>
      <c r="AC328" s="1666"/>
      <c r="AD328" s="1593"/>
      <c r="AE328" s="1593"/>
      <c r="AF328" s="1666"/>
      <c r="AG328" s="1666"/>
      <c r="AH328" s="1666"/>
      <c r="AI328" s="1593"/>
      <c r="AJ328" s="1593"/>
      <c r="AK328" s="1666"/>
      <c r="AL328" s="1666"/>
      <c r="AM328" s="1666"/>
      <c r="AN328" s="1593"/>
      <c r="AO328" s="1593"/>
      <c r="AP328" s="1666"/>
      <c r="AQ328" s="1666"/>
      <c r="AR328" s="1666"/>
      <c r="AS328" s="1593"/>
      <c r="AT328" s="1593"/>
      <c r="AU328" s="1666"/>
      <c r="AV328" s="1666"/>
      <c r="AW328" s="1667"/>
      <c r="AX328" s="1667"/>
      <c r="AY328" s="1687"/>
      <c r="AZ328" s="1667"/>
      <c r="BA328" s="1667"/>
      <c r="BB328" s="1667"/>
      <c r="BC328" s="1667"/>
      <c r="BD328" s="1687"/>
      <c r="BE328" s="1667"/>
      <c r="BF328" s="1667"/>
      <c r="BG328" s="1667"/>
      <c r="BH328" s="1667"/>
      <c r="BI328" s="1687"/>
      <c r="BJ328" s="1667"/>
      <c r="BK328" s="1667"/>
      <c r="BL328" s="1667"/>
      <c r="BM328" s="1667"/>
      <c r="BN328" s="1594"/>
      <c r="BO328" s="1667"/>
      <c r="BP328" s="1667">
        <f t="shared" ref="BP328:BZ328" si="428">BP327+0.03</f>
        <v>0.06</v>
      </c>
      <c r="BQ328" s="1667">
        <f t="shared" si="428"/>
        <v>0.06</v>
      </c>
      <c r="BR328" s="1667">
        <f t="shared" si="428"/>
        <v>0.06</v>
      </c>
      <c r="BS328" s="1594"/>
      <c r="BT328" s="1667">
        <f t="shared" ref="BT328:BW328" si="429">BT327+0.03</f>
        <v>0.06</v>
      </c>
      <c r="BU328" s="1667">
        <f t="shared" si="429"/>
        <v>0.06</v>
      </c>
      <c r="BV328" s="1667">
        <f t="shared" si="429"/>
        <v>0.06</v>
      </c>
      <c r="BW328" s="1667">
        <f t="shared" si="429"/>
        <v>0.06</v>
      </c>
      <c r="BX328" s="1594"/>
      <c r="BY328" s="1596">
        <f t="shared" si="428"/>
        <v>0.06</v>
      </c>
      <c r="BZ328" s="1596">
        <f t="shared" si="428"/>
        <v>0.06</v>
      </c>
      <c r="CA328" s="1596">
        <f t="shared" ref="CA328" si="430">CA327+0.03</f>
        <v>0.06</v>
      </c>
      <c r="CF328" s="1590" t="str">
        <f t="shared" si="424"/>
        <v>BULL</v>
      </c>
      <c r="CG328" s="1591"/>
      <c r="CH328" s="1592"/>
      <c r="CI328" s="1592"/>
      <c r="CJ328" s="1592"/>
      <c r="CK328" s="1592"/>
      <c r="CL328" s="1593"/>
      <c r="CM328" s="1593"/>
      <c r="CN328" s="1593"/>
      <c r="CO328" s="1593"/>
      <c r="CP328" s="1593"/>
      <c r="CQ328" s="1593"/>
      <c r="CR328" s="1593"/>
      <c r="CS328" s="1593"/>
      <c r="CT328" s="1687"/>
      <c r="CU328" s="1687"/>
      <c r="CV328" s="1689"/>
      <c r="CW328" s="1594"/>
      <c r="CX328" s="1594"/>
      <c r="CY328" s="1594"/>
      <c r="CZ328" s="1596"/>
      <c r="DA328" s="1596"/>
      <c r="DB328" s="1596"/>
    </row>
    <row r="329" spans="1:106" collapsed="1">
      <c r="A329" s="1485" t="s">
        <v>330</v>
      </c>
      <c r="B329" s="1286"/>
      <c r="C329" s="1286"/>
      <c r="D329" s="1286"/>
      <c r="E329" s="1286"/>
      <c r="F329" s="1286"/>
      <c r="G329" s="1319"/>
      <c r="H329" s="1319"/>
      <c r="I329" s="1319"/>
      <c r="J329" s="1278"/>
      <c r="K329" s="1278"/>
      <c r="L329" s="1319"/>
      <c r="M329" s="1319"/>
      <c r="N329" s="1319"/>
      <c r="O329" s="1278"/>
      <c r="P329" s="1278"/>
      <c r="Q329" s="1319"/>
      <c r="R329" s="1319"/>
      <c r="S329" s="1319"/>
      <c r="T329" s="1278"/>
      <c r="U329" s="1278"/>
      <c r="V329" s="1319"/>
      <c r="W329" s="1319"/>
      <c r="X329" s="1319"/>
      <c r="Y329" s="1278"/>
      <c r="Z329" s="1278"/>
      <c r="AA329" s="1408">
        <f t="shared" ref="AA329:BZ329" si="431">AA324/AA$14</f>
        <v>3.2793650793650793</v>
      </c>
      <c r="AB329" s="1408">
        <f t="shared" si="431"/>
        <v>3.044285714285714</v>
      </c>
      <c r="AC329" s="1408">
        <f t="shared" si="431"/>
        <v>3.2507462686567168</v>
      </c>
      <c r="AD329" s="1408">
        <f t="shared" si="431"/>
        <v>3.2602739726027399</v>
      </c>
      <c r="AE329" s="1342">
        <f t="shared" si="431"/>
        <v>3.2069597069597071</v>
      </c>
      <c r="AF329" s="1408">
        <f t="shared" si="431"/>
        <v>3.1578947368421053</v>
      </c>
      <c r="AG329" s="1408">
        <f t="shared" si="431"/>
        <v>3.0625</v>
      </c>
      <c r="AH329" s="1408">
        <f t="shared" si="431"/>
        <v>2.896551724137931</v>
      </c>
      <c r="AI329" s="1408">
        <f t="shared" si="431"/>
        <v>0.22500000000000001</v>
      </c>
      <c r="AJ329" s="1342">
        <f t="shared" si="431"/>
        <v>2.3374613003095974</v>
      </c>
      <c r="AK329" s="1408">
        <f t="shared" si="431"/>
        <v>0.22784810126582278</v>
      </c>
      <c r="AL329" s="1408">
        <f t="shared" si="431"/>
        <v>0.21348314606741572</v>
      </c>
      <c r="AM329" s="1408">
        <f t="shared" si="431"/>
        <v>0.22018348623853212</v>
      </c>
      <c r="AN329" s="1408">
        <f t="shared" si="431"/>
        <v>0.23636363636363636</v>
      </c>
      <c r="AO329" s="1342">
        <f t="shared" si="431"/>
        <v>0.22480620155038761</v>
      </c>
      <c r="AP329" s="1408">
        <f t="shared" si="431"/>
        <v>0.21739130434782608</v>
      </c>
      <c r="AQ329" s="1408">
        <f t="shared" si="431"/>
        <v>0.21138211382113822</v>
      </c>
      <c r="AR329" s="1408">
        <f t="shared" si="431"/>
        <v>0.20161290322580644</v>
      </c>
      <c r="AS329" s="1408">
        <f t="shared" si="431"/>
        <v>0.2076923076923077</v>
      </c>
      <c r="AT329" s="1342">
        <f t="shared" si="431"/>
        <v>0.20934959349593496</v>
      </c>
      <c r="AU329" s="1408">
        <f t="shared" si="431"/>
        <v>0.18978102189781021</v>
      </c>
      <c r="AV329" s="1408">
        <f t="shared" si="431"/>
        <v>0.21052631578947367</v>
      </c>
      <c r="AW329" s="1408">
        <f t="shared" si="431"/>
        <v>0.20279720279720279</v>
      </c>
      <c r="AX329" s="1408">
        <f t="shared" si="431"/>
        <v>0.20714285714285716</v>
      </c>
      <c r="AY329" s="1342">
        <f t="shared" si="431"/>
        <v>0.20253164556962025</v>
      </c>
      <c r="AZ329" s="1408">
        <f t="shared" si="431"/>
        <v>0.20279720279720279</v>
      </c>
      <c r="BA329" s="1408">
        <f t="shared" si="431"/>
        <v>0.1891891891891892</v>
      </c>
      <c r="BB329" s="1408">
        <f t="shared" si="431"/>
        <v>0.19230769230769232</v>
      </c>
      <c r="BC329" s="1408">
        <f t="shared" si="431"/>
        <v>0.2</v>
      </c>
      <c r="BD329" s="1342">
        <f t="shared" si="431"/>
        <v>0.19597989949748743</v>
      </c>
      <c r="BE329" s="1408">
        <f t="shared" si="431"/>
        <v>0.19867549668874171</v>
      </c>
      <c r="BF329" s="1408">
        <f t="shared" si="431"/>
        <v>0.20915032679738563</v>
      </c>
      <c r="BG329" s="1408">
        <f t="shared" si="431"/>
        <v>0.20121951219512196</v>
      </c>
      <c r="BH329" s="1408">
        <f t="shared" si="431"/>
        <v>0.21637426900584794</v>
      </c>
      <c r="BI329" s="1342">
        <f t="shared" si="431"/>
        <v>0.20657276995305165</v>
      </c>
      <c r="BJ329" s="1408">
        <f t="shared" si="431"/>
        <v>0.18128654970760233</v>
      </c>
      <c r="BK329" s="1408">
        <f>BK324/BK$14</f>
        <v>0.20108695652173914</v>
      </c>
      <c r="BL329" s="1408">
        <f>BL324/BL$14</f>
        <v>0.19251336898395721</v>
      </c>
      <c r="BM329" s="1408">
        <f>BM324/BM$14</f>
        <v>0.18848167539267016</v>
      </c>
      <c r="BN329" s="1342">
        <f t="shared" si="431"/>
        <v>0.19099590723055934</v>
      </c>
      <c r="BO329" s="1408">
        <f t="shared" ref="BO329" si="432">BO324/BO$14</f>
        <v>0.1542056074766355</v>
      </c>
      <c r="BP329" s="1408">
        <f t="shared" si="431"/>
        <v>0.18168721539053845</v>
      </c>
      <c r="BQ329" s="1408">
        <f t="shared" si="431"/>
        <v>0.17649587057000507</v>
      </c>
      <c r="BR329" s="1408">
        <f t="shared" si="431"/>
        <v>0.17206119624336078</v>
      </c>
      <c r="BS329" s="1342">
        <f t="shared" si="431"/>
        <v>0.17103653169777849</v>
      </c>
      <c r="BT329" s="1408">
        <f t="shared" ref="BT329:BX329" si="433">BT324/BT$14</f>
        <v>0.15386369660335161</v>
      </c>
      <c r="BU329" s="1408">
        <f t="shared" si="433"/>
        <v>0.17107766416933376</v>
      </c>
      <c r="BV329" s="1408">
        <f t="shared" si="433"/>
        <v>0.16447764003319182</v>
      </c>
      <c r="BW329" s="1408">
        <f t="shared" si="433"/>
        <v>0.16087999217784729</v>
      </c>
      <c r="BX329" s="1342">
        <f t="shared" si="433"/>
        <v>0.16264664684057656</v>
      </c>
      <c r="BY329" s="1486">
        <f t="shared" si="431"/>
        <v>0.15543147075354399</v>
      </c>
      <c r="BZ329" s="1486">
        <f t="shared" si="431"/>
        <v>0.14856978528764911</v>
      </c>
      <c r="CA329" s="1486">
        <f t="shared" ref="CA329" si="434">CA324/CA$14</f>
        <v>0.14282354813602904</v>
      </c>
      <c r="CF329" s="1487" t="str">
        <f t="shared" si="424"/>
        <v>% of revenue</v>
      </c>
      <c r="CG329" s="1271"/>
      <c r="CH329" s="1271"/>
      <c r="CI329" s="1271"/>
      <c r="CJ329" s="1271"/>
      <c r="CK329" s="1271"/>
      <c r="CL329" s="1278"/>
      <c r="CM329" s="1342"/>
      <c r="CN329" s="1342"/>
      <c r="CO329" s="1342"/>
      <c r="CP329" s="1342">
        <f>+AE329</f>
        <v>3.2069597069597071</v>
      </c>
      <c r="CQ329" s="1342">
        <f>+AJ329</f>
        <v>2.3374613003095974</v>
      </c>
      <c r="CR329" s="1342">
        <f>+AO329</f>
        <v>0.22480620155038761</v>
      </c>
      <c r="CS329" s="1342">
        <f>+AT329</f>
        <v>0.20934959349593496</v>
      </c>
      <c r="CT329" s="1342">
        <f>+AY329</f>
        <v>0.20253164556962025</v>
      </c>
      <c r="CU329" s="1342">
        <f>+BD329</f>
        <v>0.19597989949748743</v>
      </c>
      <c r="CV329" s="1488">
        <f>+BI329</f>
        <v>0.20657276995305165</v>
      </c>
      <c r="CW329" s="1342">
        <f>+BN329</f>
        <v>0.19099590723055934</v>
      </c>
      <c r="CX329" s="1342">
        <f>+BS329</f>
        <v>0.17103653169777849</v>
      </c>
      <c r="CY329" s="1342">
        <f>+BX329</f>
        <v>0.16264664684057656</v>
      </c>
      <c r="CZ329" s="1486">
        <f>+BY329</f>
        <v>0.15543147075354399</v>
      </c>
      <c r="DA329" s="1486">
        <f>+BZ329</f>
        <v>0.14856978528764911</v>
      </c>
      <c r="DB329" s="1486">
        <f>+CA329</f>
        <v>0.14282354813602904</v>
      </c>
    </row>
    <row r="330" spans="1:106">
      <c r="B330" s="1286"/>
      <c r="C330" s="1286"/>
      <c r="D330" s="1286"/>
      <c r="E330" s="1286"/>
      <c r="F330" s="1286"/>
      <c r="K330" s="1423"/>
      <c r="P330" s="1423"/>
      <c r="U330" s="1423"/>
      <c r="Z330" s="1423"/>
      <c r="AE330" s="1423"/>
      <c r="AJ330" s="1423"/>
      <c r="AO330" s="1423"/>
      <c r="AT330" s="1423"/>
      <c r="AY330" s="1423"/>
      <c r="BD330" s="1423"/>
      <c r="BI330" s="1423"/>
      <c r="BN330" s="1423"/>
      <c r="BS330" s="1423"/>
      <c r="BX330" s="1423"/>
      <c r="BY330" s="1422"/>
      <c r="BZ330" s="1422"/>
      <c r="CA330" s="1422"/>
      <c r="CF330" s="1423"/>
      <c r="CG330" s="1271"/>
      <c r="CH330" s="1271"/>
      <c r="CI330" s="1271"/>
      <c r="CJ330" s="1271"/>
      <c r="CK330" s="1271"/>
      <c r="CL330" s="1423"/>
      <c r="CM330" s="1423"/>
      <c r="CN330" s="1423"/>
      <c r="CO330" s="1423"/>
      <c r="CP330" s="1423"/>
      <c r="CQ330" s="1423"/>
      <c r="CR330" s="1423"/>
      <c r="CS330" s="1423"/>
      <c r="CT330" s="1423"/>
      <c r="CU330" s="1423"/>
      <c r="CV330" s="1425"/>
      <c r="CW330" s="1423"/>
      <c r="CX330" s="1423"/>
      <c r="CY330" s="1423"/>
      <c r="CZ330" s="1422"/>
      <c r="DA330" s="1422"/>
      <c r="DB330" s="1422"/>
    </row>
    <row r="331" spans="1:106" s="762" customFormat="1">
      <c r="A331" s="762" t="s">
        <v>339</v>
      </c>
      <c r="G331" s="1319" t="s">
        <v>249</v>
      </c>
      <c r="H331" s="1319" t="s">
        <v>249</v>
      </c>
      <c r="I331" s="1319" t="s">
        <v>249</v>
      </c>
      <c r="J331" s="1278" t="s">
        <v>249</v>
      </c>
      <c r="K331" s="1278" t="s">
        <v>249</v>
      </c>
      <c r="L331" s="1319" t="s">
        <v>249</v>
      </c>
      <c r="M331" s="1319" t="s">
        <v>249</v>
      </c>
      <c r="N331" s="1319" t="s">
        <v>249</v>
      </c>
      <c r="O331" s="1278" t="s">
        <v>249</v>
      </c>
      <c r="P331" s="1278" t="s">
        <v>249</v>
      </c>
      <c r="Q331" s="1319" t="s">
        <v>249</v>
      </c>
      <c r="R331" s="1319" t="s">
        <v>249</v>
      </c>
      <c r="S331" s="1319" t="s">
        <v>249</v>
      </c>
      <c r="T331" s="1278" t="s">
        <v>249</v>
      </c>
      <c r="U331" s="1278" t="s">
        <v>249</v>
      </c>
      <c r="V331" s="762">
        <v>206.8</v>
      </c>
      <c r="W331" s="762">
        <v>200.5</v>
      </c>
      <c r="X331" s="762">
        <v>192.2</v>
      </c>
      <c r="Y331" s="762">
        <v>198.3</v>
      </c>
      <c r="Z331" s="1270">
        <f>SUM(V331:Y331)</f>
        <v>797.8</v>
      </c>
      <c r="AA331" s="762">
        <v>197.6</v>
      </c>
      <c r="AB331" s="762">
        <v>207.3</v>
      </c>
      <c r="AC331" s="762">
        <v>205.3</v>
      </c>
      <c r="AD331" s="762">
        <v>218</v>
      </c>
      <c r="AE331" s="1270">
        <f>SUM(AA331:AD331)</f>
        <v>828.2</v>
      </c>
      <c r="AF331" s="762">
        <v>231</v>
      </c>
      <c r="AG331" s="762">
        <v>230</v>
      </c>
      <c r="AH331" s="762">
        <v>242</v>
      </c>
      <c r="AI331" s="762">
        <v>59</v>
      </c>
      <c r="AJ331" s="1270">
        <f>SUM(AF331:AI331)</f>
        <v>762</v>
      </c>
      <c r="AK331" s="762">
        <v>59</v>
      </c>
      <c r="AL331" s="762">
        <v>69</v>
      </c>
      <c r="AM331" s="1344">
        <v>85</v>
      </c>
      <c r="AN331" s="762">
        <v>87</v>
      </c>
      <c r="AO331" s="1270">
        <f>SUM(AK331:AN331)</f>
        <v>300</v>
      </c>
      <c r="AP331" s="762">
        <v>88</v>
      </c>
      <c r="AQ331" s="762">
        <v>99</v>
      </c>
      <c r="AR331" s="1344">
        <v>99</v>
      </c>
      <c r="AS331" s="762">
        <v>99</v>
      </c>
      <c r="AT331" s="1270">
        <f>SUM(AP331:AS331)</f>
        <v>385</v>
      </c>
      <c r="AU331" s="762">
        <v>108</v>
      </c>
      <c r="AV331" s="762">
        <v>105</v>
      </c>
      <c r="AW331" s="1319">
        <v>114</v>
      </c>
      <c r="AX331" s="1278">
        <v>113</v>
      </c>
      <c r="AY331" s="1270">
        <f>SUM(AU331:AX331)</f>
        <v>440</v>
      </c>
      <c r="AZ331" s="2115">
        <v>114</v>
      </c>
      <c r="BA331" s="2111">
        <v>121</v>
      </c>
      <c r="BB331" s="2111">
        <v>129</v>
      </c>
      <c r="BC331" s="2116">
        <v>125</v>
      </c>
      <c r="BD331" s="1270">
        <f>SUM(AZ331:BC331)</f>
        <v>489</v>
      </c>
      <c r="BE331" s="2095">
        <v>125</v>
      </c>
      <c r="BF331" s="2112">
        <v>128</v>
      </c>
      <c r="BG331" s="2112">
        <v>135</v>
      </c>
      <c r="BH331" s="2113">
        <v>136</v>
      </c>
      <c r="BI331" s="1270">
        <f>SUM(BE331:BH331)</f>
        <v>524</v>
      </c>
      <c r="BJ331" s="2112">
        <v>142</v>
      </c>
      <c r="BK331" s="2111">
        <v>151</v>
      </c>
      <c r="BL331" s="2180">
        <v>155</v>
      </c>
      <c r="BM331" s="2116">
        <v>155</v>
      </c>
      <c r="BN331" s="1270">
        <f>SUM(BJ331:BM331)</f>
        <v>603</v>
      </c>
      <c r="BO331" s="2180">
        <v>184</v>
      </c>
      <c r="BP331" s="1319" t="s">
        <v>249</v>
      </c>
      <c r="BQ331" s="1319" t="s">
        <v>249</v>
      </c>
      <c r="BR331" s="1278" t="s">
        <v>249</v>
      </c>
      <c r="BS331" s="1278" t="s">
        <v>249</v>
      </c>
      <c r="BT331" s="1319" t="s">
        <v>249</v>
      </c>
      <c r="BU331" s="1319" t="s">
        <v>249</v>
      </c>
      <c r="BV331" s="1319" t="s">
        <v>249</v>
      </c>
      <c r="BW331" s="1278" t="s">
        <v>249</v>
      </c>
      <c r="BX331" s="1278" t="s">
        <v>249</v>
      </c>
      <c r="BY331" s="1670" t="s">
        <v>249</v>
      </c>
      <c r="BZ331" s="1670" t="s">
        <v>249</v>
      </c>
      <c r="CA331" s="1670" t="s">
        <v>249</v>
      </c>
      <c r="CF331" s="1270" t="str">
        <f>+A331</f>
        <v>Domestic</v>
      </c>
      <c r="CL331" s="1278"/>
      <c r="CM331" s="1270"/>
      <c r="CN331" s="1270"/>
      <c r="CO331" s="1270">
        <f>+Z331</f>
        <v>797.8</v>
      </c>
      <c r="CP331" s="1270">
        <f>+AE331</f>
        <v>828.2</v>
      </c>
      <c r="CQ331" s="1270">
        <f>+AJ331</f>
        <v>762</v>
      </c>
      <c r="CR331" s="1270">
        <f>+AO331</f>
        <v>300</v>
      </c>
      <c r="CS331" s="1270">
        <f>+AT331</f>
        <v>385</v>
      </c>
      <c r="CT331" s="1270">
        <f>+AY331</f>
        <v>440</v>
      </c>
      <c r="CU331" s="1278">
        <f>+BD331</f>
        <v>489</v>
      </c>
      <c r="CV331" s="1276">
        <f>+BI331</f>
        <v>524</v>
      </c>
      <c r="CW331" s="1669">
        <f>+BN331</f>
        <v>603</v>
      </c>
      <c r="CX331" s="1669" t="str">
        <f>+BS331</f>
        <v>--</v>
      </c>
      <c r="CY331" s="1669" t="str">
        <f t="shared" ref="CY331:CY333" si="435">+BX331</f>
        <v>--</v>
      </c>
      <c r="CZ331" s="1670" t="str">
        <f t="shared" ref="CZ331:DB333" si="436">+BY331</f>
        <v>--</v>
      </c>
      <c r="DA331" s="1670" t="str">
        <f t="shared" si="436"/>
        <v>--</v>
      </c>
      <c r="DB331" s="1670" t="str">
        <f t="shared" si="436"/>
        <v>--</v>
      </c>
    </row>
    <row r="332" spans="1:106">
      <c r="A332" s="1618" t="s">
        <v>288</v>
      </c>
      <c r="G332" s="1319"/>
      <c r="H332" s="1319"/>
      <c r="I332" s="1319"/>
      <c r="J332" s="1278"/>
      <c r="K332" s="1278"/>
      <c r="L332" s="1319"/>
      <c r="M332" s="1319"/>
      <c r="N332" s="1319"/>
      <c r="O332" s="1278"/>
      <c r="P332" s="1278"/>
      <c r="Q332" s="1319"/>
      <c r="R332" s="1319"/>
      <c r="S332" s="1319"/>
      <c r="T332" s="1278"/>
      <c r="U332" s="1278"/>
      <c r="V332" s="1319"/>
      <c r="W332" s="1319"/>
      <c r="X332" s="1319"/>
      <c r="Y332" s="1278"/>
      <c r="Z332" s="1342"/>
      <c r="AA332" s="1408">
        <f t="shared" ref="AA332:BO332" si="437">AA331/V331-1</f>
        <v>-4.4487427466150975E-2</v>
      </c>
      <c r="AB332" s="1408">
        <f t="shared" si="437"/>
        <v>3.3915211970074965E-2</v>
      </c>
      <c r="AC332" s="1408">
        <f t="shared" si="437"/>
        <v>6.8158168574401712E-2</v>
      </c>
      <c r="AD332" s="1408">
        <f t="shared" si="437"/>
        <v>9.9344427634896482E-2</v>
      </c>
      <c r="AE332" s="1342">
        <f t="shared" si="437"/>
        <v>3.8104788167460546E-2</v>
      </c>
      <c r="AF332" s="1408">
        <f t="shared" si="437"/>
        <v>0.16902834008097178</v>
      </c>
      <c r="AG332" s="1408">
        <f t="shared" si="437"/>
        <v>0.10950313555233948</v>
      </c>
      <c r="AH332" s="1408">
        <f t="shared" si="437"/>
        <v>0.17876278616658547</v>
      </c>
      <c r="AI332" s="1408">
        <f t="shared" si="437"/>
        <v>-0.72935779816513757</v>
      </c>
      <c r="AJ332" s="1342">
        <f t="shared" si="437"/>
        <v>-7.9932383482250735E-2</v>
      </c>
      <c r="AK332" s="1408">
        <f t="shared" si="437"/>
        <v>-0.74458874458874458</v>
      </c>
      <c r="AL332" s="1408">
        <f t="shared" si="437"/>
        <v>-0.7</v>
      </c>
      <c r="AM332" s="1408">
        <f t="shared" si="437"/>
        <v>-0.64876033057851235</v>
      </c>
      <c r="AN332" s="1408">
        <f t="shared" si="437"/>
        <v>0.47457627118644075</v>
      </c>
      <c r="AO332" s="1342">
        <f t="shared" si="437"/>
        <v>-0.60629921259842523</v>
      </c>
      <c r="AP332" s="1408">
        <f t="shared" si="437"/>
        <v>0.49152542372881358</v>
      </c>
      <c r="AQ332" s="1408">
        <f t="shared" si="437"/>
        <v>0.43478260869565211</v>
      </c>
      <c r="AR332" s="1408">
        <f t="shared" si="437"/>
        <v>0.16470588235294126</v>
      </c>
      <c r="AS332" s="1408">
        <f t="shared" si="437"/>
        <v>0.13793103448275867</v>
      </c>
      <c r="AT332" s="1342">
        <f t="shared" si="437"/>
        <v>0.28333333333333344</v>
      </c>
      <c r="AU332" s="1408">
        <f t="shared" si="437"/>
        <v>0.22727272727272729</v>
      </c>
      <c r="AV332" s="1408">
        <f t="shared" si="437"/>
        <v>6.0606060606060552E-2</v>
      </c>
      <c r="AW332" s="1408">
        <f t="shared" si="437"/>
        <v>0.1515151515151516</v>
      </c>
      <c r="AX332" s="1486">
        <f t="shared" si="437"/>
        <v>0.14141414141414144</v>
      </c>
      <c r="AY332" s="1342">
        <f t="shared" si="437"/>
        <v>0.14285714285714279</v>
      </c>
      <c r="AZ332" s="1408">
        <f t="shared" si="437"/>
        <v>5.555555555555558E-2</v>
      </c>
      <c r="BA332" s="1408">
        <f t="shared" si="437"/>
        <v>0.15238095238095228</v>
      </c>
      <c r="BB332" s="1408">
        <f t="shared" si="437"/>
        <v>0.13157894736842102</v>
      </c>
      <c r="BC332" s="1673">
        <f t="shared" si="437"/>
        <v>0.10619469026548667</v>
      </c>
      <c r="BD332" s="1342">
        <f t="shared" si="437"/>
        <v>0.11136363636363633</v>
      </c>
      <c r="BE332" s="1408">
        <f t="shared" si="437"/>
        <v>9.6491228070175517E-2</v>
      </c>
      <c r="BF332" s="1408">
        <f t="shared" si="437"/>
        <v>5.7851239669421517E-2</v>
      </c>
      <c r="BG332" s="1408">
        <f t="shared" si="437"/>
        <v>4.6511627906976827E-2</v>
      </c>
      <c r="BH332" s="1741">
        <f t="shared" si="437"/>
        <v>8.8000000000000078E-2</v>
      </c>
      <c r="BI332" s="1342">
        <f t="shared" si="437"/>
        <v>7.1574642126789323E-2</v>
      </c>
      <c r="BJ332" s="781">
        <f t="shared" si="437"/>
        <v>0.1359999999999999</v>
      </c>
      <c r="BK332" s="1962">
        <f t="shared" si="437"/>
        <v>0.1796875</v>
      </c>
      <c r="BL332" s="1962">
        <f t="shared" si="437"/>
        <v>0.14814814814814814</v>
      </c>
      <c r="BM332" s="1741">
        <f t="shared" si="437"/>
        <v>0.13970588235294112</v>
      </c>
      <c r="BN332" s="1342">
        <f t="shared" si="437"/>
        <v>0.1507633587786259</v>
      </c>
      <c r="BO332" s="781">
        <f t="shared" si="437"/>
        <v>0.29577464788732399</v>
      </c>
      <c r="BP332" s="1319" t="s">
        <v>249</v>
      </c>
      <c r="BQ332" s="1319" t="s">
        <v>249</v>
      </c>
      <c r="BR332" s="1278" t="s">
        <v>249</v>
      </c>
      <c r="BS332" s="1278" t="s">
        <v>249</v>
      </c>
      <c r="BT332" s="1319" t="s">
        <v>249</v>
      </c>
      <c r="BU332" s="1319" t="s">
        <v>249</v>
      </c>
      <c r="BV332" s="1319" t="s">
        <v>249</v>
      </c>
      <c r="BW332" s="1278" t="s">
        <v>249</v>
      </c>
      <c r="BX332" s="1278" t="s">
        <v>249</v>
      </c>
      <c r="BY332" s="1670" t="s">
        <v>249</v>
      </c>
      <c r="BZ332" s="1670" t="s">
        <v>249</v>
      </c>
      <c r="CA332" s="1670" t="s">
        <v>249</v>
      </c>
      <c r="CF332" s="1619" t="str">
        <f>+A332</f>
        <v>y/y change</v>
      </c>
      <c r="CG332" s="1271"/>
      <c r="CH332" s="1271"/>
      <c r="CI332" s="1271"/>
      <c r="CJ332" s="1271"/>
      <c r="CK332" s="1271"/>
      <c r="CL332" s="1278"/>
      <c r="CM332" s="1342"/>
      <c r="CN332" s="1342"/>
      <c r="CO332" s="1342">
        <f>+Z332</f>
        <v>0</v>
      </c>
      <c r="CP332" s="1342">
        <f>+AE332</f>
        <v>3.8104788167460546E-2</v>
      </c>
      <c r="CQ332" s="1342">
        <f>+AJ332</f>
        <v>-7.9932383482250735E-2</v>
      </c>
      <c r="CR332" s="1342">
        <f>+AO332</f>
        <v>-0.60629921259842523</v>
      </c>
      <c r="CS332" s="1342">
        <f>+AT332</f>
        <v>0.28333333333333344</v>
      </c>
      <c r="CT332" s="1342">
        <f>+AY332</f>
        <v>0.14285714285714279</v>
      </c>
      <c r="CU332" s="1342">
        <f>+BD332</f>
        <v>0.11136363636363633</v>
      </c>
      <c r="CV332" s="1342">
        <f>+BI332</f>
        <v>7.1574642126789323E-2</v>
      </c>
      <c r="CW332" s="1669">
        <f>+BN332</f>
        <v>0.1507633587786259</v>
      </c>
      <c r="CX332" s="1669" t="str">
        <f>+BS332</f>
        <v>--</v>
      </c>
      <c r="CY332" s="1669" t="str">
        <f t="shared" si="435"/>
        <v>--</v>
      </c>
      <c r="CZ332" s="1670" t="str">
        <f t="shared" si="436"/>
        <v>--</v>
      </c>
      <c r="DA332" s="1670" t="str">
        <f t="shared" si="436"/>
        <v>--</v>
      </c>
      <c r="DB332" s="1670" t="str">
        <f t="shared" si="436"/>
        <v>--</v>
      </c>
    </row>
    <row r="333" spans="1:106">
      <c r="A333" s="1485" t="s">
        <v>330</v>
      </c>
      <c r="G333" s="1319"/>
      <c r="H333" s="1319"/>
      <c r="I333" s="1319"/>
      <c r="J333" s="1278"/>
      <c r="K333" s="1278"/>
      <c r="L333" s="1319"/>
      <c r="M333" s="1319"/>
      <c r="N333" s="1319"/>
      <c r="O333" s="1278"/>
      <c r="P333" s="1278"/>
      <c r="Q333" s="1319"/>
      <c r="R333" s="1319"/>
      <c r="S333" s="1319"/>
      <c r="T333" s="1278"/>
      <c r="U333" s="1278"/>
      <c r="V333" s="1319"/>
      <c r="W333" s="1319"/>
      <c r="X333" s="1319"/>
      <c r="Y333" s="1278"/>
      <c r="Z333" s="1342">
        <f t="shared" ref="Z333:AJ333" si="438">Z331/Z$20</f>
        <v>0.71117846318416833</v>
      </c>
      <c r="AA333" s="1408">
        <f t="shared" si="438"/>
        <v>0.70824372759856624</v>
      </c>
      <c r="AB333" s="1408">
        <f t="shared" si="438"/>
        <v>0.70510204081632655</v>
      </c>
      <c r="AC333" s="1408">
        <f t="shared" si="438"/>
        <v>0.69829931972789117</v>
      </c>
      <c r="AD333" s="1408">
        <f t="shared" si="438"/>
        <v>0.67701863354037262</v>
      </c>
      <c r="AE333" s="1342">
        <f t="shared" si="438"/>
        <v>0.69655172413793109</v>
      </c>
      <c r="AF333" s="1408">
        <f t="shared" si="438"/>
        <v>0.71296296296296291</v>
      </c>
      <c r="AG333" s="1408">
        <f t="shared" si="438"/>
        <v>0.69069069069069067</v>
      </c>
      <c r="AH333" s="1408">
        <f t="shared" si="438"/>
        <v>0.69340974212034379</v>
      </c>
      <c r="AI333" s="1408">
        <f t="shared" si="438"/>
        <v>0.16954022988505746</v>
      </c>
      <c r="AJ333" s="1342">
        <f t="shared" si="438"/>
        <v>0.56277695716395859</v>
      </c>
      <c r="AK333" s="1408">
        <f t="shared" ref="AK333:BJ333" si="439">AK331/AK$14</f>
        <v>0.74683544303797467</v>
      </c>
      <c r="AL333" s="1408">
        <f t="shared" si="439"/>
        <v>0.7752808988764045</v>
      </c>
      <c r="AM333" s="1408">
        <f t="shared" si="439"/>
        <v>0.77981651376146788</v>
      </c>
      <c r="AN333" s="1408">
        <f t="shared" si="439"/>
        <v>0.79090909090909089</v>
      </c>
      <c r="AO333" s="1342">
        <f t="shared" si="439"/>
        <v>0.77519379844961245</v>
      </c>
      <c r="AP333" s="1408">
        <f t="shared" si="439"/>
        <v>0.76521739130434785</v>
      </c>
      <c r="AQ333" s="1408">
        <f t="shared" si="439"/>
        <v>0.80487804878048785</v>
      </c>
      <c r="AR333" s="1408">
        <f t="shared" si="439"/>
        <v>0.79838709677419351</v>
      </c>
      <c r="AS333" s="1408">
        <f t="shared" si="439"/>
        <v>0.7615384615384615</v>
      </c>
      <c r="AT333" s="1342">
        <f t="shared" si="439"/>
        <v>0.78252032520325199</v>
      </c>
      <c r="AU333" s="1408">
        <f t="shared" si="439"/>
        <v>0.78832116788321172</v>
      </c>
      <c r="AV333" s="1408">
        <f t="shared" si="439"/>
        <v>0.78947368421052633</v>
      </c>
      <c r="AW333" s="1408">
        <f t="shared" si="439"/>
        <v>0.79720279720279719</v>
      </c>
      <c r="AX333" s="1486">
        <f t="shared" si="439"/>
        <v>0.80714285714285716</v>
      </c>
      <c r="AY333" s="1342">
        <f t="shared" si="439"/>
        <v>0.79566003616636527</v>
      </c>
      <c r="AZ333" s="1408">
        <f t="shared" si="439"/>
        <v>0.79720279720279719</v>
      </c>
      <c r="BA333" s="1408">
        <f t="shared" si="439"/>
        <v>0.81756756756756754</v>
      </c>
      <c r="BB333" s="1408">
        <f t="shared" si="439"/>
        <v>0.82692307692307687</v>
      </c>
      <c r="BC333" s="1673">
        <f t="shared" si="439"/>
        <v>0.83333333333333337</v>
      </c>
      <c r="BD333" s="1342">
        <f t="shared" si="439"/>
        <v>0.81909547738693467</v>
      </c>
      <c r="BE333" s="1408">
        <f t="shared" si="439"/>
        <v>0.82781456953642385</v>
      </c>
      <c r="BF333" s="1408">
        <f t="shared" si="439"/>
        <v>0.83660130718954251</v>
      </c>
      <c r="BG333" s="1408">
        <f t="shared" si="439"/>
        <v>0.82317073170731703</v>
      </c>
      <c r="BH333" s="1741">
        <f t="shared" si="439"/>
        <v>0.79532163742690054</v>
      </c>
      <c r="BI333" s="1342">
        <f t="shared" si="439"/>
        <v>0.8200312989045383</v>
      </c>
      <c r="BJ333" s="781">
        <f t="shared" si="439"/>
        <v>0.83040935672514615</v>
      </c>
      <c r="BK333" s="1962">
        <f>BK331/BK$14</f>
        <v>0.82065217391304346</v>
      </c>
      <c r="BL333" s="1962">
        <f>BL331/BL$14</f>
        <v>0.82887700534759357</v>
      </c>
      <c r="BM333" s="1741">
        <f t="shared" ref="BM333" si="440">BM331/BM$14</f>
        <v>0.81151832460732987</v>
      </c>
      <c r="BN333" s="1342">
        <f t="shared" ref="BN333:BO333" si="441">BN331/BN$14</f>
        <v>0.82264665757162347</v>
      </c>
      <c r="BO333" s="781">
        <f t="shared" si="441"/>
        <v>0.85981308411214952</v>
      </c>
      <c r="BP333" s="1319" t="s">
        <v>249</v>
      </c>
      <c r="BQ333" s="1319" t="s">
        <v>249</v>
      </c>
      <c r="BR333" s="1278" t="s">
        <v>249</v>
      </c>
      <c r="BS333" s="1278" t="s">
        <v>249</v>
      </c>
      <c r="BT333" s="1319" t="s">
        <v>249</v>
      </c>
      <c r="BU333" s="1319" t="s">
        <v>249</v>
      </c>
      <c r="BV333" s="1319" t="s">
        <v>249</v>
      </c>
      <c r="BW333" s="1278" t="s">
        <v>249</v>
      </c>
      <c r="BX333" s="1278" t="s">
        <v>249</v>
      </c>
      <c r="BY333" s="1670" t="s">
        <v>249</v>
      </c>
      <c r="BZ333" s="1670" t="s">
        <v>249</v>
      </c>
      <c r="CA333" s="1670" t="s">
        <v>249</v>
      </c>
      <c r="CF333" s="1487" t="str">
        <f>+A333</f>
        <v>% of revenue</v>
      </c>
      <c r="CG333" s="1271"/>
      <c r="CH333" s="1271"/>
      <c r="CI333" s="1271"/>
      <c r="CJ333" s="1271"/>
      <c r="CK333" s="1271"/>
      <c r="CL333" s="1278"/>
      <c r="CM333" s="1342"/>
      <c r="CN333" s="1342"/>
      <c r="CO333" s="1342">
        <f>+Z333</f>
        <v>0.71117846318416833</v>
      </c>
      <c r="CP333" s="1342">
        <f>+AE333</f>
        <v>0.69655172413793109</v>
      </c>
      <c r="CQ333" s="1342">
        <f>+AJ333</f>
        <v>0.56277695716395859</v>
      </c>
      <c r="CR333" s="1342">
        <f>+AO333</f>
        <v>0.77519379844961245</v>
      </c>
      <c r="CS333" s="1342">
        <f>+AT333</f>
        <v>0.78252032520325199</v>
      </c>
      <c r="CT333" s="1342">
        <f>+AY333</f>
        <v>0.79566003616636527</v>
      </c>
      <c r="CU333" s="1342">
        <f>+BD333</f>
        <v>0.81909547738693467</v>
      </c>
      <c r="CV333" s="1342">
        <f>+BI333</f>
        <v>0.8200312989045383</v>
      </c>
      <c r="CW333" s="1669">
        <f>+BN333</f>
        <v>0.82264665757162347</v>
      </c>
      <c r="CX333" s="1669" t="str">
        <f>+BS333</f>
        <v>--</v>
      </c>
      <c r="CY333" s="1669" t="str">
        <f t="shared" si="435"/>
        <v>--</v>
      </c>
      <c r="CZ333" s="1670" t="str">
        <f t="shared" si="436"/>
        <v>--</v>
      </c>
      <c r="DA333" s="1670" t="str">
        <f t="shared" si="436"/>
        <v>--</v>
      </c>
      <c r="DB333" s="1670" t="str">
        <f t="shared" si="436"/>
        <v>--</v>
      </c>
    </row>
    <row r="334" spans="1:106">
      <c r="A334" s="1618"/>
      <c r="K334" s="1423"/>
      <c r="P334" s="1423"/>
      <c r="U334" s="1423"/>
      <c r="Y334" s="1408"/>
      <c r="Z334" s="1342"/>
      <c r="AA334" s="1408"/>
      <c r="AB334" s="1408"/>
      <c r="AC334" s="1408"/>
      <c r="AD334" s="1408"/>
      <c r="AE334" s="1342"/>
      <c r="AF334" s="1408"/>
      <c r="AG334" s="1408"/>
      <c r="AH334" s="1408"/>
      <c r="AI334" s="1408"/>
      <c r="AJ334" s="1342"/>
      <c r="AK334" s="1408"/>
      <c r="AL334" s="1408"/>
      <c r="AN334" s="1408"/>
      <c r="AO334" s="1342"/>
      <c r="AP334" s="1408"/>
      <c r="AQ334" s="1408"/>
      <c r="AS334" s="1408"/>
      <c r="AT334" s="1342"/>
      <c r="AU334" s="1408"/>
      <c r="AV334" s="1408"/>
      <c r="AW334" s="1408"/>
      <c r="AX334" s="1422"/>
      <c r="AY334" s="1342"/>
      <c r="AZ334" s="1408"/>
      <c r="BA334" s="1408"/>
      <c r="BB334" s="1408"/>
      <c r="BC334" s="1422"/>
      <c r="BD334" s="1342"/>
      <c r="BE334" s="1408"/>
      <c r="BF334" s="1408"/>
      <c r="BG334" s="1408"/>
      <c r="BH334" s="1672"/>
      <c r="BI334" s="1342"/>
      <c r="BJ334" s="781"/>
      <c r="BK334" s="1408"/>
      <c r="BL334" s="1408"/>
      <c r="BM334" s="1422"/>
      <c r="BN334" s="1422"/>
      <c r="BO334" s="1408"/>
      <c r="BP334" s="1408"/>
      <c r="BQ334" s="1408"/>
      <c r="BR334" s="1422"/>
      <c r="BS334" s="1422"/>
      <c r="BT334" s="1408"/>
      <c r="BU334" s="1408"/>
      <c r="BV334" s="1408"/>
      <c r="BW334" s="1422"/>
      <c r="BX334" s="1422"/>
      <c r="BY334" s="1486"/>
      <c r="BZ334" s="1486"/>
      <c r="CA334" s="1486"/>
      <c r="CF334" s="1619">
        <f>+A334</f>
        <v>0</v>
      </c>
      <c r="CG334" s="1271"/>
      <c r="CH334" s="1271"/>
      <c r="CI334" s="1271"/>
      <c r="CJ334" s="1271"/>
      <c r="CK334" s="1271"/>
      <c r="CL334" s="1423"/>
      <c r="CM334" s="1342"/>
      <c r="CN334" s="1342"/>
      <c r="CO334" s="1342"/>
      <c r="CP334" s="1342"/>
      <c r="CQ334" s="1342"/>
      <c r="CR334" s="1342"/>
      <c r="CS334" s="1342"/>
      <c r="CT334" s="1342"/>
      <c r="CU334" s="1342"/>
      <c r="CV334" s="1342"/>
      <c r="CW334" s="1342"/>
      <c r="CX334" s="1342"/>
      <c r="CY334" s="1342"/>
      <c r="CZ334" s="1486"/>
      <c r="DA334" s="1486"/>
      <c r="DB334" s="1486"/>
    </row>
    <row r="335" spans="1:106" s="762" customFormat="1">
      <c r="A335" s="762" t="s">
        <v>340</v>
      </c>
      <c r="G335" s="1319" t="s">
        <v>249</v>
      </c>
      <c r="H335" s="1319" t="s">
        <v>249</v>
      </c>
      <c r="I335" s="1319" t="s">
        <v>249</v>
      </c>
      <c r="J335" s="1278" t="s">
        <v>249</v>
      </c>
      <c r="K335" s="1278" t="s">
        <v>249</v>
      </c>
      <c r="L335" s="1319" t="s">
        <v>249</v>
      </c>
      <c r="M335" s="1319" t="s">
        <v>249</v>
      </c>
      <c r="N335" s="1319" t="s">
        <v>249</v>
      </c>
      <c r="O335" s="1278" t="s">
        <v>249</v>
      </c>
      <c r="P335" s="1278" t="s">
        <v>249</v>
      </c>
      <c r="Q335" s="1319" t="s">
        <v>249</v>
      </c>
      <c r="R335" s="1319" t="s">
        <v>249</v>
      </c>
      <c r="S335" s="1319" t="s">
        <v>249</v>
      </c>
      <c r="T335" s="1278" t="s">
        <v>249</v>
      </c>
      <c r="U335" s="1278" t="s">
        <v>249</v>
      </c>
      <c r="V335" s="762">
        <v>72.7</v>
      </c>
      <c r="W335" s="762">
        <v>81.8</v>
      </c>
      <c r="X335" s="762">
        <v>81.400000000000006</v>
      </c>
      <c r="Y335" s="762">
        <v>88.1</v>
      </c>
      <c r="Z335" s="1270">
        <f>SUM(V335:Y335)</f>
        <v>324</v>
      </c>
      <c r="AA335" s="762">
        <v>81.2</v>
      </c>
      <c r="AB335" s="762">
        <v>86.3</v>
      </c>
      <c r="AC335" s="762">
        <v>89</v>
      </c>
      <c r="AD335" s="762">
        <v>104</v>
      </c>
      <c r="AE335" s="1270">
        <f>SUM(AA335:AD335)</f>
        <v>360.5</v>
      </c>
      <c r="AF335" s="762">
        <v>93</v>
      </c>
      <c r="AG335" s="762">
        <v>103</v>
      </c>
      <c r="AH335" s="762">
        <v>107</v>
      </c>
      <c r="AI335" s="762">
        <v>21</v>
      </c>
      <c r="AJ335" s="1270">
        <f>SUM(AF335:AI335)</f>
        <v>324</v>
      </c>
      <c r="AK335" s="762">
        <v>20</v>
      </c>
      <c r="AL335" s="762">
        <v>20</v>
      </c>
      <c r="AM335" s="1344">
        <v>24</v>
      </c>
      <c r="AN335" s="762">
        <v>23</v>
      </c>
      <c r="AO335" s="1270">
        <f>SUM(AK335:AN335)</f>
        <v>87</v>
      </c>
      <c r="AP335" s="762">
        <v>27</v>
      </c>
      <c r="AQ335" s="762">
        <v>24</v>
      </c>
      <c r="AR335" s="1344">
        <v>25</v>
      </c>
      <c r="AS335" s="762">
        <v>31</v>
      </c>
      <c r="AT335" s="1270">
        <f>SUM(AP335:AS335)</f>
        <v>107</v>
      </c>
      <c r="AU335" s="762">
        <v>29</v>
      </c>
      <c r="AV335" s="762">
        <v>28</v>
      </c>
      <c r="AW335" s="1319">
        <v>29</v>
      </c>
      <c r="AX335" s="1278">
        <v>27</v>
      </c>
      <c r="AY335" s="1270">
        <f>SUM(AU335:AX335)</f>
        <v>113</v>
      </c>
      <c r="AZ335" s="2115">
        <v>29</v>
      </c>
      <c r="BA335" s="2111">
        <v>27</v>
      </c>
      <c r="BB335" s="2111">
        <v>27</v>
      </c>
      <c r="BC335" s="2116">
        <v>26</v>
      </c>
      <c r="BD335" s="1270">
        <f>SUM(AZ335:BC335)</f>
        <v>109</v>
      </c>
      <c r="BE335" s="2095">
        <v>26</v>
      </c>
      <c r="BF335" s="2114">
        <f>+BF312-BF331</f>
        <v>25</v>
      </c>
      <c r="BG335" s="2114">
        <v>29</v>
      </c>
      <c r="BH335" s="2113">
        <v>35</v>
      </c>
      <c r="BI335" s="1270">
        <f>SUM(BE335:BH335)</f>
        <v>115</v>
      </c>
      <c r="BJ335" s="2112">
        <v>29</v>
      </c>
      <c r="BK335" s="2111">
        <v>33</v>
      </c>
      <c r="BL335" s="2180">
        <v>32</v>
      </c>
      <c r="BM335" s="2116">
        <v>36</v>
      </c>
      <c r="BN335" s="1270">
        <f>SUM(BJ335:BM335)</f>
        <v>130</v>
      </c>
      <c r="BO335" s="2180">
        <v>30</v>
      </c>
      <c r="BP335" s="1319" t="s">
        <v>249</v>
      </c>
      <c r="BQ335" s="1319" t="s">
        <v>249</v>
      </c>
      <c r="BR335" s="1278" t="s">
        <v>249</v>
      </c>
      <c r="BS335" s="1278" t="s">
        <v>249</v>
      </c>
      <c r="BT335" s="1319" t="s">
        <v>249</v>
      </c>
      <c r="BU335" s="1319" t="s">
        <v>249</v>
      </c>
      <c r="BV335" s="1319" t="s">
        <v>249</v>
      </c>
      <c r="BW335" s="1278" t="s">
        <v>249</v>
      </c>
      <c r="BX335" s="1278" t="s">
        <v>249</v>
      </c>
      <c r="BY335" s="1670" t="s">
        <v>249</v>
      </c>
      <c r="BZ335" s="1670" t="s">
        <v>249</v>
      </c>
      <c r="CA335" s="1670" t="s">
        <v>249</v>
      </c>
      <c r="CF335" s="1270" t="str">
        <f>+A335</f>
        <v>International</v>
      </c>
      <c r="CL335" s="1278"/>
      <c r="CM335" s="1270"/>
      <c r="CN335" s="1270"/>
      <c r="CO335" s="1270">
        <f t="shared" ref="CO335:CO355" si="442">+Z335</f>
        <v>324</v>
      </c>
      <c r="CP335" s="1270">
        <f>+AE335</f>
        <v>360.5</v>
      </c>
      <c r="CQ335" s="1270">
        <f>+AJ335</f>
        <v>324</v>
      </c>
      <c r="CR335" s="1270">
        <f>+AO335</f>
        <v>87</v>
      </c>
      <c r="CS335" s="1270">
        <f t="shared" ref="CS335:CS355" si="443">+AT335</f>
        <v>107</v>
      </c>
      <c r="CT335" s="1270">
        <f t="shared" ref="CT335:CT355" si="444">+AY335</f>
        <v>113</v>
      </c>
      <c r="CU335" s="1270">
        <f t="shared" ref="CU335:CU355" si="445">+BD335</f>
        <v>109</v>
      </c>
      <c r="CV335" s="1270">
        <f>+BI335</f>
        <v>115</v>
      </c>
      <c r="CW335" s="1669">
        <f>+BN335</f>
        <v>130</v>
      </c>
      <c r="CX335" s="1669" t="str">
        <f t="shared" ref="CX335:CX355" si="446">+BS335</f>
        <v>--</v>
      </c>
      <c r="CY335" s="1669" t="str">
        <f t="shared" ref="CY335:CY337" si="447">+BX335</f>
        <v>--</v>
      </c>
      <c r="CZ335" s="1670" t="str">
        <f t="shared" ref="CZ335:DB337" si="448">+BY335</f>
        <v>--</v>
      </c>
      <c r="DA335" s="1670" t="str">
        <f t="shared" si="448"/>
        <v>--</v>
      </c>
      <c r="DB335" s="1670" t="str">
        <f t="shared" si="448"/>
        <v>--</v>
      </c>
    </row>
    <row r="336" spans="1:106">
      <c r="A336" s="1618" t="s">
        <v>288</v>
      </c>
      <c r="G336" s="1319"/>
      <c r="H336" s="1319"/>
      <c r="I336" s="1319"/>
      <c r="J336" s="1278"/>
      <c r="K336" s="1278"/>
      <c r="L336" s="1319"/>
      <c r="M336" s="1319"/>
      <c r="N336" s="1319"/>
      <c r="O336" s="1278"/>
      <c r="P336" s="1278"/>
      <c r="Q336" s="1319"/>
      <c r="R336" s="1319"/>
      <c r="S336" s="1319"/>
      <c r="T336" s="1278"/>
      <c r="U336" s="1278"/>
      <c r="V336" s="1319"/>
      <c r="W336" s="1319"/>
      <c r="X336" s="1319"/>
      <c r="Y336" s="1278"/>
      <c r="Z336" s="1342"/>
      <c r="AA336" s="1408">
        <f t="shared" ref="AA336:BL336" si="449">AA335/V335-1</f>
        <v>0.11691884456671242</v>
      </c>
      <c r="AB336" s="1408">
        <f t="shared" si="449"/>
        <v>5.5012224938875365E-2</v>
      </c>
      <c r="AC336" s="1408">
        <f t="shared" si="449"/>
        <v>9.3366093366093361E-2</v>
      </c>
      <c r="AD336" s="1408">
        <f t="shared" si="449"/>
        <v>0.18047673098751416</v>
      </c>
      <c r="AE336" s="1342">
        <f t="shared" si="449"/>
        <v>0.11265432098765427</v>
      </c>
      <c r="AF336" s="1408">
        <f t="shared" si="449"/>
        <v>0.14532019704433496</v>
      </c>
      <c r="AG336" s="1408">
        <f t="shared" si="449"/>
        <v>0.19351100811123989</v>
      </c>
      <c r="AH336" s="1408">
        <f t="shared" si="449"/>
        <v>0.202247191011236</v>
      </c>
      <c r="AI336" s="1408">
        <f t="shared" si="449"/>
        <v>-0.79807692307692313</v>
      </c>
      <c r="AJ336" s="1342">
        <f t="shared" si="449"/>
        <v>-0.10124826629680994</v>
      </c>
      <c r="AK336" s="1408">
        <f t="shared" si="449"/>
        <v>-0.78494623655913975</v>
      </c>
      <c r="AL336" s="1408">
        <f t="shared" si="449"/>
        <v>-0.80582524271844658</v>
      </c>
      <c r="AM336" s="1408">
        <f t="shared" si="449"/>
        <v>-0.77570093457943923</v>
      </c>
      <c r="AN336" s="1408">
        <f t="shared" si="449"/>
        <v>9.5238095238095344E-2</v>
      </c>
      <c r="AO336" s="1342">
        <f t="shared" si="449"/>
        <v>-0.7314814814814814</v>
      </c>
      <c r="AP336" s="1408">
        <f t="shared" si="449"/>
        <v>0.35000000000000009</v>
      </c>
      <c r="AQ336" s="1408">
        <f t="shared" si="449"/>
        <v>0.19999999999999996</v>
      </c>
      <c r="AR336" s="1408">
        <f t="shared" si="449"/>
        <v>4.1666666666666741E-2</v>
      </c>
      <c r="AS336" s="1408">
        <f t="shared" si="449"/>
        <v>0.34782608695652173</v>
      </c>
      <c r="AT336" s="1342">
        <f t="shared" si="449"/>
        <v>0.22988505747126431</v>
      </c>
      <c r="AU336" s="1408">
        <f t="shared" si="449"/>
        <v>7.4074074074074181E-2</v>
      </c>
      <c r="AV336" s="1408">
        <f t="shared" si="449"/>
        <v>0.16666666666666674</v>
      </c>
      <c r="AW336" s="1408">
        <f t="shared" si="449"/>
        <v>0.15999999999999992</v>
      </c>
      <c r="AX336" s="1486">
        <f t="shared" si="449"/>
        <v>-0.12903225806451613</v>
      </c>
      <c r="AY336" s="1342">
        <f t="shared" si="449"/>
        <v>5.6074766355140193E-2</v>
      </c>
      <c r="AZ336" s="1408">
        <f t="shared" si="449"/>
        <v>0</v>
      </c>
      <c r="BA336" s="1408">
        <f t="shared" si="449"/>
        <v>-3.5714285714285698E-2</v>
      </c>
      <c r="BB336" s="1408">
        <f t="shared" si="449"/>
        <v>-6.8965517241379337E-2</v>
      </c>
      <c r="BC336" s="1673">
        <f t="shared" si="449"/>
        <v>-3.703703703703709E-2</v>
      </c>
      <c r="BD336" s="1342">
        <f t="shared" si="449"/>
        <v>-3.539823008849563E-2</v>
      </c>
      <c r="BE336" s="1408">
        <f t="shared" si="449"/>
        <v>-0.10344827586206895</v>
      </c>
      <c r="BF336" s="1408">
        <f t="shared" si="449"/>
        <v>-7.407407407407407E-2</v>
      </c>
      <c r="BG336" s="1408">
        <f t="shared" si="449"/>
        <v>7.4074074074074181E-2</v>
      </c>
      <c r="BH336" s="1673">
        <f t="shared" si="449"/>
        <v>0.34615384615384626</v>
      </c>
      <c r="BI336" s="1342">
        <f t="shared" si="449"/>
        <v>5.504587155963292E-2</v>
      </c>
      <c r="BJ336" s="781">
        <f t="shared" si="449"/>
        <v>0.11538461538461542</v>
      </c>
      <c r="BK336" s="1962">
        <f t="shared" si="449"/>
        <v>0.32000000000000006</v>
      </c>
      <c r="BL336" s="1962">
        <f t="shared" si="449"/>
        <v>0.10344827586206895</v>
      </c>
      <c r="BM336" s="1673">
        <f t="shared" ref="BM336" si="450">BM335/BH335-1</f>
        <v>2.857142857142847E-2</v>
      </c>
      <c r="BN336" s="1342">
        <f t="shared" ref="BN336:BO336" si="451">BN335/BI335-1</f>
        <v>0.13043478260869557</v>
      </c>
      <c r="BO336" s="781">
        <f t="shared" si="451"/>
        <v>3.4482758620689724E-2</v>
      </c>
      <c r="BP336" s="1319" t="s">
        <v>249</v>
      </c>
      <c r="BQ336" s="1319" t="s">
        <v>249</v>
      </c>
      <c r="BR336" s="1278" t="s">
        <v>249</v>
      </c>
      <c r="BS336" s="1278" t="s">
        <v>249</v>
      </c>
      <c r="BT336" s="1319" t="s">
        <v>249</v>
      </c>
      <c r="BU336" s="1319" t="s">
        <v>249</v>
      </c>
      <c r="BV336" s="1319" t="s">
        <v>249</v>
      </c>
      <c r="BW336" s="1278" t="s">
        <v>249</v>
      </c>
      <c r="BX336" s="1278" t="s">
        <v>249</v>
      </c>
      <c r="BY336" s="1670" t="s">
        <v>249</v>
      </c>
      <c r="BZ336" s="1670" t="s">
        <v>249</v>
      </c>
      <c r="CA336" s="1670" t="s">
        <v>249</v>
      </c>
      <c r="CF336" s="1619" t="str">
        <f t="shared" ref="CF336:CF395" si="452">+A336</f>
        <v>y/y change</v>
      </c>
      <c r="CG336" s="1271"/>
      <c r="CH336" s="1271"/>
      <c r="CI336" s="1271"/>
      <c r="CJ336" s="1271"/>
      <c r="CK336" s="1271"/>
      <c r="CL336" s="1278"/>
      <c r="CM336" s="1342"/>
      <c r="CN336" s="1342"/>
      <c r="CO336" s="1342">
        <f t="shared" si="442"/>
        <v>0</v>
      </c>
      <c r="CP336" s="1342">
        <f>+AE336</f>
        <v>0.11265432098765427</v>
      </c>
      <c r="CQ336" s="1342">
        <f>+AJ336</f>
        <v>-0.10124826629680994</v>
      </c>
      <c r="CR336" s="1342">
        <f>+AO336</f>
        <v>-0.7314814814814814</v>
      </c>
      <c r="CS336" s="1342">
        <f t="shared" si="443"/>
        <v>0.22988505747126431</v>
      </c>
      <c r="CT336" s="1342">
        <f t="shared" si="444"/>
        <v>5.6074766355140193E-2</v>
      </c>
      <c r="CU336" s="1342">
        <f t="shared" si="445"/>
        <v>-3.539823008849563E-2</v>
      </c>
      <c r="CV336" s="1342">
        <f>+BI336</f>
        <v>5.504587155963292E-2</v>
      </c>
      <c r="CW336" s="1669">
        <f>+BN336</f>
        <v>0.13043478260869557</v>
      </c>
      <c r="CX336" s="1669" t="str">
        <f t="shared" si="446"/>
        <v>--</v>
      </c>
      <c r="CY336" s="1669" t="str">
        <f t="shared" si="447"/>
        <v>--</v>
      </c>
      <c r="CZ336" s="1670" t="str">
        <f t="shared" si="448"/>
        <v>--</v>
      </c>
      <c r="DA336" s="1670" t="str">
        <f t="shared" si="448"/>
        <v>--</v>
      </c>
      <c r="DB336" s="1670" t="str">
        <f t="shared" si="448"/>
        <v>--</v>
      </c>
    </row>
    <row r="337" spans="1:106">
      <c r="A337" s="1505" t="s">
        <v>330</v>
      </c>
      <c r="B337" s="1705"/>
      <c r="C337" s="1705"/>
      <c r="D337" s="1705"/>
      <c r="E337" s="1705"/>
      <c r="F337" s="1705"/>
      <c r="G337" s="1507"/>
      <c r="H337" s="1507"/>
      <c r="I337" s="1507"/>
      <c r="J337" s="1564"/>
      <c r="K337" s="1564"/>
      <c r="L337" s="1507"/>
      <c r="M337" s="1507"/>
      <c r="N337" s="1507"/>
      <c r="O337" s="1564"/>
      <c r="P337" s="1564"/>
      <c r="Q337" s="1507"/>
      <c r="R337" s="1507"/>
      <c r="S337" s="1507"/>
      <c r="T337" s="1564"/>
      <c r="U337" s="1564"/>
      <c r="V337" s="1507"/>
      <c r="W337" s="1507"/>
      <c r="X337" s="1507"/>
      <c r="Y337" s="1564"/>
      <c r="Z337" s="1506">
        <f t="shared" ref="Z337:AJ337" si="453">Z335/Z$20</f>
        <v>0.28882153681583173</v>
      </c>
      <c r="AA337" s="1511">
        <f t="shared" si="453"/>
        <v>0.29103942652329751</v>
      </c>
      <c r="AB337" s="1511">
        <f t="shared" si="453"/>
        <v>0.2935374149659864</v>
      </c>
      <c r="AC337" s="1511">
        <f t="shared" si="453"/>
        <v>0.30272108843537415</v>
      </c>
      <c r="AD337" s="1511">
        <f t="shared" si="453"/>
        <v>0.32298136645962733</v>
      </c>
      <c r="AE337" s="1506">
        <f t="shared" si="453"/>
        <v>0.30319596299411272</v>
      </c>
      <c r="AF337" s="1511">
        <f t="shared" si="453"/>
        <v>0.28703703703703703</v>
      </c>
      <c r="AG337" s="1511">
        <f t="shared" si="453"/>
        <v>0.30930930930930933</v>
      </c>
      <c r="AH337" s="1511">
        <f t="shared" si="453"/>
        <v>0.30659025787965616</v>
      </c>
      <c r="AI337" s="1511">
        <f t="shared" si="453"/>
        <v>6.0344827586206899E-2</v>
      </c>
      <c r="AJ337" s="1506">
        <f t="shared" si="453"/>
        <v>0.23929098966026588</v>
      </c>
      <c r="AK337" s="1511">
        <f t="shared" ref="AK337:BJ337" si="454">AK335/AK$14</f>
        <v>0.25316455696202533</v>
      </c>
      <c r="AL337" s="1511">
        <f t="shared" si="454"/>
        <v>0.2247191011235955</v>
      </c>
      <c r="AM337" s="1511">
        <f t="shared" si="454"/>
        <v>0.22018348623853212</v>
      </c>
      <c r="AN337" s="1511">
        <f t="shared" si="454"/>
        <v>0.20909090909090908</v>
      </c>
      <c r="AO337" s="1506">
        <f t="shared" si="454"/>
        <v>0.22480620155038761</v>
      </c>
      <c r="AP337" s="1511">
        <f t="shared" si="454"/>
        <v>0.23478260869565218</v>
      </c>
      <c r="AQ337" s="1511">
        <f t="shared" si="454"/>
        <v>0.1951219512195122</v>
      </c>
      <c r="AR337" s="1511">
        <f t="shared" si="454"/>
        <v>0.20161290322580644</v>
      </c>
      <c r="AS337" s="1511">
        <f t="shared" si="454"/>
        <v>0.23846153846153847</v>
      </c>
      <c r="AT337" s="1506">
        <f t="shared" si="454"/>
        <v>0.21747967479674796</v>
      </c>
      <c r="AU337" s="1511">
        <f t="shared" si="454"/>
        <v>0.21167883211678831</v>
      </c>
      <c r="AV337" s="1511">
        <f t="shared" si="454"/>
        <v>0.21052631578947367</v>
      </c>
      <c r="AW337" s="1511">
        <f t="shared" si="454"/>
        <v>0.20279720279720279</v>
      </c>
      <c r="AX337" s="1512">
        <f t="shared" si="454"/>
        <v>0.19285714285714287</v>
      </c>
      <c r="AY337" s="1506">
        <f t="shared" si="454"/>
        <v>0.20433996383363473</v>
      </c>
      <c r="AZ337" s="1511">
        <f t="shared" si="454"/>
        <v>0.20279720279720279</v>
      </c>
      <c r="BA337" s="1511">
        <f t="shared" si="454"/>
        <v>0.18243243243243243</v>
      </c>
      <c r="BB337" s="1511">
        <f t="shared" si="454"/>
        <v>0.17307692307692307</v>
      </c>
      <c r="BC337" s="1742">
        <f t="shared" si="454"/>
        <v>0.17333333333333334</v>
      </c>
      <c r="BD337" s="1506">
        <f t="shared" si="454"/>
        <v>0.18257956448911222</v>
      </c>
      <c r="BE337" s="1511">
        <f t="shared" si="454"/>
        <v>0.17218543046357615</v>
      </c>
      <c r="BF337" s="1511">
        <f t="shared" si="454"/>
        <v>0.16339869281045752</v>
      </c>
      <c r="BG337" s="1511">
        <f t="shared" si="454"/>
        <v>0.17682926829268292</v>
      </c>
      <c r="BH337" s="1742">
        <f t="shared" si="454"/>
        <v>0.2046783625730994</v>
      </c>
      <c r="BI337" s="1506">
        <f t="shared" si="454"/>
        <v>0.17996870109546165</v>
      </c>
      <c r="BJ337" s="712">
        <f t="shared" si="454"/>
        <v>0.16959064327485379</v>
      </c>
      <c r="BK337" s="1792">
        <f>BK335/BK$14</f>
        <v>0.17934782608695651</v>
      </c>
      <c r="BL337" s="1792">
        <f>BL335/BL$14</f>
        <v>0.17112299465240641</v>
      </c>
      <c r="BM337" s="1742">
        <f t="shared" ref="BM337:BO337" si="455">BM335/BM$14</f>
        <v>0.18848167539267016</v>
      </c>
      <c r="BN337" s="1506">
        <f t="shared" si="455"/>
        <v>0.17735334242837653</v>
      </c>
      <c r="BO337" s="712">
        <f t="shared" si="455"/>
        <v>0.14018691588785046</v>
      </c>
      <c r="BP337" s="1507" t="s">
        <v>249</v>
      </c>
      <c r="BQ337" s="1507" t="s">
        <v>249</v>
      </c>
      <c r="BR337" s="1564" t="s">
        <v>249</v>
      </c>
      <c r="BS337" s="1564" t="s">
        <v>249</v>
      </c>
      <c r="BT337" s="1507" t="s">
        <v>249</v>
      </c>
      <c r="BU337" s="1507" t="s">
        <v>249</v>
      </c>
      <c r="BV337" s="1507" t="s">
        <v>249</v>
      </c>
      <c r="BW337" s="1564" t="s">
        <v>249</v>
      </c>
      <c r="BX337" s="1564" t="s">
        <v>249</v>
      </c>
      <c r="BY337" s="1744" t="s">
        <v>249</v>
      </c>
      <c r="BZ337" s="1744" t="s">
        <v>249</v>
      </c>
      <c r="CA337" s="1744" t="s">
        <v>249</v>
      </c>
      <c r="CF337" s="1513" t="str">
        <f t="shared" si="452"/>
        <v>% of revenue</v>
      </c>
      <c r="CG337" s="1705"/>
      <c r="CH337" s="1705"/>
      <c r="CI337" s="1705"/>
      <c r="CJ337" s="1705"/>
      <c r="CK337" s="1705"/>
      <c r="CL337" s="1564"/>
      <c r="CM337" s="1506"/>
      <c r="CN337" s="1506"/>
      <c r="CO337" s="1506">
        <f t="shared" si="442"/>
        <v>0.28882153681583173</v>
      </c>
      <c r="CP337" s="1506">
        <f>+AE337</f>
        <v>0.30319596299411272</v>
      </c>
      <c r="CQ337" s="1506">
        <f>+AJ337</f>
        <v>0.23929098966026588</v>
      </c>
      <c r="CR337" s="1506">
        <f>+AO337</f>
        <v>0.22480620155038761</v>
      </c>
      <c r="CS337" s="1506">
        <f t="shared" si="443"/>
        <v>0.21747967479674796</v>
      </c>
      <c r="CT337" s="1506">
        <f t="shared" si="444"/>
        <v>0.20433996383363473</v>
      </c>
      <c r="CU337" s="1506">
        <f t="shared" si="445"/>
        <v>0.18257956448911222</v>
      </c>
      <c r="CV337" s="1506">
        <f>+BI337</f>
        <v>0.17996870109546165</v>
      </c>
      <c r="CW337" s="1743">
        <f>+BN337</f>
        <v>0.17735334242837653</v>
      </c>
      <c r="CX337" s="1743" t="str">
        <f t="shared" si="446"/>
        <v>--</v>
      </c>
      <c r="CY337" s="1743" t="str">
        <f t="shared" si="447"/>
        <v>--</v>
      </c>
      <c r="CZ337" s="1744" t="str">
        <f t="shared" si="448"/>
        <v>--</v>
      </c>
      <c r="DA337" s="1744" t="str">
        <f t="shared" si="448"/>
        <v>--</v>
      </c>
      <c r="DB337" s="1744" t="str">
        <f t="shared" si="448"/>
        <v>--</v>
      </c>
    </row>
    <row r="338" spans="1:106" ht="11.25" hidden="1" customHeight="1">
      <c r="A338" s="1745" t="s">
        <v>364</v>
      </c>
      <c r="B338" s="1713"/>
      <c r="C338" s="1713"/>
      <c r="D338" s="1713"/>
      <c r="E338" s="1713"/>
      <c r="F338" s="1713"/>
      <c r="G338" s="1713"/>
      <c r="H338" s="1713"/>
      <c r="I338" s="1713"/>
      <c r="J338" s="1713"/>
      <c r="K338" s="1746"/>
      <c r="L338" s="1713"/>
      <c r="M338" s="1713"/>
      <c r="N338" s="1713"/>
      <c r="O338" s="1713"/>
      <c r="P338" s="1746"/>
      <c r="Q338" s="1713"/>
      <c r="R338" s="1713"/>
      <c r="S338" s="1713"/>
      <c r="T338" s="1713"/>
      <c r="U338" s="1746"/>
      <c r="V338" s="1713"/>
      <c r="W338" s="1713"/>
      <c r="X338" s="1713"/>
      <c r="Y338" s="1713"/>
      <c r="Z338" s="1746"/>
      <c r="AA338" s="1713"/>
      <c r="AB338" s="1713"/>
      <c r="AC338" s="1713"/>
      <c r="AD338" s="1713"/>
      <c r="AE338" s="1746"/>
      <c r="AF338" s="1713"/>
      <c r="AG338" s="1713"/>
      <c r="AH338" s="1713"/>
      <c r="AI338" s="1713"/>
      <c r="AJ338" s="1746"/>
      <c r="AK338" s="1713"/>
      <c r="AL338" s="1713"/>
      <c r="AM338" s="1713"/>
      <c r="AN338" s="1713"/>
      <c r="AO338" s="1746"/>
      <c r="AP338" s="1713"/>
      <c r="AQ338" s="1713"/>
      <c r="AR338" s="1713"/>
      <c r="AS338" s="1713"/>
      <c r="AT338" s="1746"/>
      <c r="AU338" s="1713"/>
      <c r="AV338" s="1713"/>
      <c r="AW338" s="1713"/>
      <c r="AX338" s="1713"/>
      <c r="AY338" s="1746"/>
      <c r="AZ338" s="1713"/>
      <c r="BA338" s="1713"/>
      <c r="BB338" s="1713"/>
      <c r="BC338" s="1713"/>
      <c r="BD338" s="1746"/>
      <c r="BE338" s="1713"/>
      <c r="BF338" s="1713"/>
      <c r="BG338" s="1713"/>
      <c r="BH338" s="1713"/>
      <c r="BI338" s="1746"/>
      <c r="BJ338" s="1713"/>
      <c r="BK338" s="1713"/>
      <c r="BL338" s="1713"/>
      <c r="BM338" s="1713"/>
      <c r="BN338" s="1747"/>
      <c r="BO338" s="1713"/>
      <c r="BP338" s="1713"/>
      <c r="BQ338" s="1713"/>
      <c r="BR338" s="1713"/>
      <c r="BS338" s="1747"/>
      <c r="BT338" s="1713"/>
      <c r="BU338" s="1713"/>
      <c r="BV338" s="1713"/>
      <c r="BW338" s="1713"/>
      <c r="BX338" s="1747"/>
      <c r="BY338" s="1748"/>
      <c r="BZ338" s="1748"/>
      <c r="CA338" s="1748"/>
      <c r="CF338" s="1749" t="str">
        <f t="shared" si="452"/>
        <v>S&amp;P Cap. IQ / Dow Jones Indices</v>
      </c>
      <c r="CG338" s="1713"/>
      <c r="CH338" s="1713"/>
      <c r="CI338" s="1713"/>
      <c r="CJ338" s="1713"/>
      <c r="CK338" s="1713"/>
      <c r="CL338" s="1746"/>
      <c r="CM338" s="1746">
        <f t="shared" ref="CM338:CM355" si="456">+P338</f>
        <v>0</v>
      </c>
      <c r="CN338" s="1746">
        <f t="shared" ref="CN338:CN355" si="457">+U338</f>
        <v>0</v>
      </c>
      <c r="CO338" s="1746">
        <f t="shared" si="442"/>
        <v>0</v>
      </c>
      <c r="CP338" s="1746">
        <f t="shared" ref="CP338:CP395" si="458">+AE338</f>
        <v>0</v>
      </c>
      <c r="CQ338" s="1746">
        <f t="shared" ref="CQ338:CQ395" si="459">+AJ338</f>
        <v>0</v>
      </c>
      <c r="CR338" s="1746">
        <f t="shared" ref="CR338:CR395" si="460">+AO338</f>
        <v>0</v>
      </c>
      <c r="CS338" s="1746">
        <f t="shared" si="443"/>
        <v>0</v>
      </c>
      <c r="CT338" s="1746">
        <f t="shared" si="444"/>
        <v>0</v>
      </c>
      <c r="CU338" s="1746">
        <f t="shared" si="445"/>
        <v>0</v>
      </c>
      <c r="CV338" s="1750">
        <f t="shared" ref="CV338:CV395" si="461">+BI338</f>
        <v>0</v>
      </c>
      <c r="CW338" s="1747">
        <f t="shared" ref="CW338:CW395" si="462">+BN338</f>
        <v>0</v>
      </c>
      <c r="CX338" s="1747">
        <f t="shared" si="446"/>
        <v>0</v>
      </c>
      <c r="CY338" s="1747">
        <f t="shared" ref="CY338:DB395" si="463">+BX338</f>
        <v>0</v>
      </c>
      <c r="CZ338" s="1748">
        <f t="shared" si="463"/>
        <v>0</v>
      </c>
      <c r="DA338" s="1748">
        <f t="shared" si="463"/>
        <v>0</v>
      </c>
      <c r="DB338" s="1748">
        <f t="shared" si="463"/>
        <v>0</v>
      </c>
    </row>
    <row r="339" spans="1:106" s="762" customFormat="1" ht="11.25" hidden="1" customHeight="1">
      <c r="A339" s="1611" t="s">
        <v>329</v>
      </c>
      <c r="B339" s="1611"/>
      <c r="C339" s="1611"/>
      <c r="D339" s="1611"/>
      <c r="E339" s="1611"/>
      <c r="F339" s="1611"/>
      <c r="G339" s="1751" t="s">
        <v>249</v>
      </c>
      <c r="H339" s="1751" t="s">
        <v>249</v>
      </c>
      <c r="I339" s="1751" t="s">
        <v>249</v>
      </c>
      <c r="J339" s="1752" t="s">
        <v>249</v>
      </c>
      <c r="K339" s="1752" t="s">
        <v>249</v>
      </c>
      <c r="L339" s="1751" t="s">
        <v>249</v>
      </c>
      <c r="M339" s="1751" t="s">
        <v>249</v>
      </c>
      <c r="N339" s="1751" t="s">
        <v>249</v>
      </c>
      <c r="O339" s="1752" t="s">
        <v>249</v>
      </c>
      <c r="P339" s="1752" t="s">
        <v>249</v>
      </c>
      <c r="Q339" s="1751" t="s">
        <v>249</v>
      </c>
      <c r="R339" s="1751" t="s">
        <v>249</v>
      </c>
      <c r="S339" s="1751" t="s">
        <v>249</v>
      </c>
      <c r="T339" s="1752" t="s">
        <v>249</v>
      </c>
      <c r="U339" s="1752" t="s">
        <v>249</v>
      </c>
      <c r="V339" s="1611">
        <v>74</v>
      </c>
      <c r="W339" s="1611">
        <v>71.599999999999994</v>
      </c>
      <c r="X339" s="1611">
        <v>70.5</v>
      </c>
      <c r="Y339" s="1611">
        <v>76.7</v>
      </c>
      <c r="Z339" s="1495">
        <f>SUM(V339:Y339)</f>
        <v>292.8</v>
      </c>
      <c r="AA339" s="1611">
        <v>72.2</v>
      </c>
      <c r="AB339" s="1611">
        <v>80.5</v>
      </c>
      <c r="AC339" s="1611">
        <v>76.5</v>
      </c>
      <c r="AD339" s="1611">
        <v>84</v>
      </c>
      <c r="AE339" s="1495">
        <f>SUM(AA339:AD339)</f>
        <v>313.2</v>
      </c>
      <c r="AF339" s="1611">
        <v>84</v>
      </c>
      <c r="AG339" s="1611">
        <v>88</v>
      </c>
      <c r="AH339" s="1611">
        <v>97</v>
      </c>
      <c r="AI339" s="1611">
        <f>30+62</f>
        <v>92</v>
      </c>
      <c r="AJ339" s="1495">
        <f>SUM(AF339:AI339)</f>
        <v>361</v>
      </c>
      <c r="AK339" s="1611">
        <f>26+61</f>
        <v>87</v>
      </c>
      <c r="AL339" s="1611">
        <f>26+70</f>
        <v>96</v>
      </c>
      <c r="AM339" s="1753">
        <f>27+85</f>
        <v>112</v>
      </c>
      <c r="AN339" s="1611">
        <f>30+84</f>
        <v>114</v>
      </c>
      <c r="AO339" s="1495">
        <f>SUM(AK339:AN339)</f>
        <v>409</v>
      </c>
      <c r="AP339" s="1611">
        <f>28+90</f>
        <v>118</v>
      </c>
      <c r="AQ339" s="1611">
        <f>27+97</f>
        <v>124</v>
      </c>
      <c r="AR339" s="1753">
        <f>28+99</f>
        <v>127</v>
      </c>
      <c r="AS339" s="1611">
        <f>31+103</f>
        <v>134</v>
      </c>
      <c r="AT339" s="1495">
        <f>SUM(AP339:AS339)</f>
        <v>503</v>
      </c>
      <c r="AU339" s="1611">
        <f>27+111</f>
        <v>138</v>
      </c>
      <c r="AV339" s="1611">
        <f>29+105</f>
        <v>134</v>
      </c>
      <c r="AW339" s="1751" t="s">
        <v>249</v>
      </c>
      <c r="AX339" s="1752" t="s">
        <v>249</v>
      </c>
      <c r="AY339" s="1752" t="s">
        <v>249</v>
      </c>
      <c r="AZ339" s="1751" t="s">
        <v>249</v>
      </c>
      <c r="BA339" s="1751" t="s">
        <v>249</v>
      </c>
      <c r="BB339" s="1751" t="s">
        <v>249</v>
      </c>
      <c r="BC339" s="1752" t="s">
        <v>249</v>
      </c>
      <c r="BD339" s="1752" t="s">
        <v>249</v>
      </c>
      <c r="BE339" s="1751" t="s">
        <v>249</v>
      </c>
      <c r="BF339" s="1751" t="s">
        <v>249</v>
      </c>
      <c r="BG339" s="1751" t="s">
        <v>249</v>
      </c>
      <c r="BH339" s="1752" t="s">
        <v>249</v>
      </c>
      <c r="BI339" s="1752" t="s">
        <v>249</v>
      </c>
      <c r="BJ339" s="1751"/>
      <c r="BK339" s="1751"/>
      <c r="BL339" s="1751"/>
      <c r="BM339" s="1752"/>
      <c r="BN339" s="1724" t="s">
        <v>249</v>
      </c>
      <c r="BO339" s="1751"/>
      <c r="BP339" s="1751"/>
      <c r="BQ339" s="1751"/>
      <c r="BR339" s="1752"/>
      <c r="BS339" s="1724" t="s">
        <v>249</v>
      </c>
      <c r="BT339" s="1751"/>
      <c r="BU339" s="1751"/>
      <c r="BV339" s="1751"/>
      <c r="BW339" s="1752"/>
      <c r="BX339" s="1724" t="s">
        <v>249</v>
      </c>
      <c r="BY339" s="1725" t="s">
        <v>249</v>
      </c>
      <c r="BZ339" s="1725" t="s">
        <v>249</v>
      </c>
      <c r="CA339" s="1725" t="s">
        <v>249</v>
      </c>
      <c r="CF339" s="1495" t="str">
        <f t="shared" si="452"/>
        <v>Transaction</v>
      </c>
      <c r="CG339" s="1611"/>
      <c r="CH339" s="1611"/>
      <c r="CI339" s="1611"/>
      <c r="CJ339" s="1611"/>
      <c r="CK339" s="1611"/>
      <c r="CL339" s="1752"/>
      <c r="CM339" s="1495" t="str">
        <f t="shared" si="456"/>
        <v>--</v>
      </c>
      <c r="CN339" s="1495" t="str">
        <f t="shared" si="457"/>
        <v>--</v>
      </c>
      <c r="CO339" s="1495">
        <f t="shared" si="442"/>
        <v>292.8</v>
      </c>
      <c r="CP339" s="1495">
        <f t="shared" si="458"/>
        <v>313.2</v>
      </c>
      <c r="CQ339" s="1495">
        <f t="shared" si="459"/>
        <v>361</v>
      </c>
      <c r="CR339" s="1495">
        <f t="shared" si="460"/>
        <v>409</v>
      </c>
      <c r="CS339" s="1495">
        <f t="shared" si="443"/>
        <v>503</v>
      </c>
      <c r="CT339" s="1752" t="str">
        <f t="shared" si="444"/>
        <v>--</v>
      </c>
      <c r="CU339" s="1752" t="str">
        <f t="shared" si="445"/>
        <v>--</v>
      </c>
      <c r="CV339" s="1711" t="str">
        <f t="shared" si="461"/>
        <v>--</v>
      </c>
      <c r="CW339" s="1724" t="str">
        <f t="shared" si="462"/>
        <v>--</v>
      </c>
      <c r="CX339" s="1724" t="str">
        <f t="shared" si="446"/>
        <v>--</v>
      </c>
      <c r="CY339" s="1724" t="str">
        <f t="shared" si="463"/>
        <v>--</v>
      </c>
      <c r="CZ339" s="1725" t="str">
        <f t="shared" si="463"/>
        <v>--</v>
      </c>
      <c r="DA339" s="1725" t="str">
        <f t="shared" si="463"/>
        <v>--</v>
      </c>
      <c r="DB339" s="1725" t="str">
        <f t="shared" si="463"/>
        <v>--</v>
      </c>
    </row>
    <row r="340" spans="1:106" ht="11.25" hidden="1" customHeight="1">
      <c r="A340" s="1754" t="s">
        <v>288</v>
      </c>
      <c r="B340" s="1713"/>
      <c r="C340" s="1713"/>
      <c r="D340" s="1713"/>
      <c r="E340" s="1713"/>
      <c r="F340" s="1713"/>
      <c r="G340" s="1751"/>
      <c r="H340" s="1751"/>
      <c r="I340" s="1751"/>
      <c r="J340" s="1752"/>
      <c r="K340" s="1752"/>
      <c r="L340" s="1751"/>
      <c r="M340" s="1751"/>
      <c r="N340" s="1751"/>
      <c r="O340" s="1752"/>
      <c r="P340" s="1752"/>
      <c r="Q340" s="1751"/>
      <c r="R340" s="1751"/>
      <c r="S340" s="1751"/>
      <c r="T340" s="1752"/>
      <c r="U340" s="1752"/>
      <c r="V340" s="1751"/>
      <c r="W340" s="1751"/>
      <c r="X340" s="1751"/>
      <c r="Y340" s="1752"/>
      <c r="Z340" s="1752"/>
      <c r="AA340" s="1499">
        <f t="shared" ref="AA340:AV340" si="464">AA339/V339-1</f>
        <v>-2.4324324324324298E-2</v>
      </c>
      <c r="AB340" s="1499">
        <f t="shared" si="464"/>
        <v>0.12430167597765363</v>
      </c>
      <c r="AC340" s="1499">
        <f t="shared" si="464"/>
        <v>8.5106382978723305E-2</v>
      </c>
      <c r="AD340" s="1499">
        <f t="shared" si="464"/>
        <v>9.5176010430247704E-2</v>
      </c>
      <c r="AE340" s="1314">
        <f t="shared" si="464"/>
        <v>6.9672131147541005E-2</v>
      </c>
      <c r="AF340" s="1499">
        <f t="shared" si="464"/>
        <v>0.16343490304709141</v>
      </c>
      <c r="AG340" s="1499">
        <f t="shared" si="464"/>
        <v>9.3167701863354102E-2</v>
      </c>
      <c r="AH340" s="1499">
        <f t="shared" si="464"/>
        <v>0.26797385620915026</v>
      </c>
      <c r="AI340" s="1499">
        <f t="shared" si="464"/>
        <v>9.5238095238095344E-2</v>
      </c>
      <c r="AJ340" s="1314">
        <f t="shared" si="464"/>
        <v>0.15261813537675617</v>
      </c>
      <c r="AK340" s="1499">
        <f t="shared" si="464"/>
        <v>3.5714285714285809E-2</v>
      </c>
      <c r="AL340" s="1499">
        <f t="shared" si="464"/>
        <v>9.0909090909090828E-2</v>
      </c>
      <c r="AM340" s="1499">
        <f t="shared" si="464"/>
        <v>0.15463917525773185</v>
      </c>
      <c r="AN340" s="1499">
        <f t="shared" si="464"/>
        <v>0.23913043478260865</v>
      </c>
      <c r="AO340" s="1314">
        <f t="shared" si="464"/>
        <v>0.13296398891966765</v>
      </c>
      <c r="AP340" s="1499">
        <f t="shared" si="464"/>
        <v>0.35632183908045967</v>
      </c>
      <c r="AQ340" s="1499">
        <f t="shared" si="464"/>
        <v>0.29166666666666674</v>
      </c>
      <c r="AR340" s="1499">
        <f t="shared" si="464"/>
        <v>0.1339285714285714</v>
      </c>
      <c r="AS340" s="1499">
        <f t="shared" si="464"/>
        <v>0.17543859649122817</v>
      </c>
      <c r="AT340" s="1314">
        <f t="shared" si="464"/>
        <v>0.22982885085574578</v>
      </c>
      <c r="AU340" s="1499">
        <f t="shared" si="464"/>
        <v>0.16949152542372881</v>
      </c>
      <c r="AV340" s="1499">
        <f t="shared" si="464"/>
        <v>8.0645161290322509E-2</v>
      </c>
      <c r="AW340" s="1751" t="s">
        <v>249</v>
      </c>
      <c r="AX340" s="1752" t="s">
        <v>249</v>
      </c>
      <c r="AY340" s="1752" t="s">
        <v>249</v>
      </c>
      <c r="AZ340" s="1751" t="s">
        <v>249</v>
      </c>
      <c r="BA340" s="1751" t="s">
        <v>249</v>
      </c>
      <c r="BB340" s="1751" t="s">
        <v>249</v>
      </c>
      <c r="BC340" s="1752" t="s">
        <v>249</v>
      </c>
      <c r="BD340" s="1752" t="s">
        <v>249</v>
      </c>
      <c r="BE340" s="1751" t="s">
        <v>249</v>
      </c>
      <c r="BF340" s="1751" t="s">
        <v>249</v>
      </c>
      <c r="BG340" s="1751" t="s">
        <v>249</v>
      </c>
      <c r="BH340" s="1752" t="s">
        <v>249</v>
      </c>
      <c r="BI340" s="1752" t="s">
        <v>249</v>
      </c>
      <c r="BJ340" s="1751"/>
      <c r="BK340" s="1751"/>
      <c r="BL340" s="1751"/>
      <c r="BM340" s="1752"/>
      <c r="BN340" s="1724" t="s">
        <v>249</v>
      </c>
      <c r="BO340" s="1751"/>
      <c r="BP340" s="1751"/>
      <c r="BQ340" s="1751"/>
      <c r="BR340" s="1752"/>
      <c r="BS340" s="1724" t="s">
        <v>249</v>
      </c>
      <c r="BT340" s="1751"/>
      <c r="BU340" s="1751"/>
      <c r="BV340" s="1751"/>
      <c r="BW340" s="1752"/>
      <c r="BX340" s="1724" t="s">
        <v>249</v>
      </c>
      <c r="BY340" s="1725" t="s">
        <v>249</v>
      </c>
      <c r="BZ340" s="1725" t="s">
        <v>249</v>
      </c>
      <c r="CA340" s="1725" t="s">
        <v>249</v>
      </c>
      <c r="CF340" s="1755" t="str">
        <f t="shared" si="452"/>
        <v>y/y change</v>
      </c>
      <c r="CG340" s="1713"/>
      <c r="CH340" s="1713"/>
      <c r="CI340" s="1713"/>
      <c r="CJ340" s="1713"/>
      <c r="CK340" s="1713"/>
      <c r="CL340" s="1752"/>
      <c r="CM340" s="1314">
        <f t="shared" si="456"/>
        <v>0</v>
      </c>
      <c r="CN340" s="1314">
        <f t="shared" si="457"/>
        <v>0</v>
      </c>
      <c r="CO340" s="1314">
        <f t="shared" si="442"/>
        <v>0</v>
      </c>
      <c r="CP340" s="1314">
        <f t="shared" si="458"/>
        <v>6.9672131147541005E-2</v>
      </c>
      <c r="CQ340" s="1314">
        <f t="shared" si="459"/>
        <v>0.15261813537675617</v>
      </c>
      <c r="CR340" s="1314">
        <f t="shared" si="460"/>
        <v>0.13296398891966765</v>
      </c>
      <c r="CS340" s="1314">
        <f t="shared" si="443"/>
        <v>0.22982885085574578</v>
      </c>
      <c r="CT340" s="1752" t="str">
        <f t="shared" si="444"/>
        <v>--</v>
      </c>
      <c r="CU340" s="1752" t="str">
        <f t="shared" si="445"/>
        <v>--</v>
      </c>
      <c r="CV340" s="1711" t="str">
        <f t="shared" si="461"/>
        <v>--</v>
      </c>
      <c r="CW340" s="1724" t="str">
        <f t="shared" si="462"/>
        <v>--</v>
      </c>
      <c r="CX340" s="1724" t="str">
        <f t="shared" si="446"/>
        <v>--</v>
      </c>
      <c r="CY340" s="1724" t="str">
        <f t="shared" si="463"/>
        <v>--</v>
      </c>
      <c r="CZ340" s="1725" t="str">
        <f t="shared" si="463"/>
        <v>--</v>
      </c>
      <c r="DA340" s="1725" t="str">
        <f t="shared" si="463"/>
        <v>--</v>
      </c>
      <c r="DB340" s="1725" t="str">
        <f t="shared" si="463"/>
        <v>--</v>
      </c>
    </row>
    <row r="341" spans="1:106" ht="11.25" hidden="1" customHeight="1">
      <c r="A341" s="1498" t="s">
        <v>330</v>
      </c>
      <c r="B341" s="1713"/>
      <c r="C341" s="1713"/>
      <c r="D341" s="1713"/>
      <c r="E341" s="1713"/>
      <c r="F341" s="1713"/>
      <c r="G341" s="1751"/>
      <c r="H341" s="1751"/>
      <c r="I341" s="1751"/>
      <c r="J341" s="1752"/>
      <c r="K341" s="1752"/>
      <c r="L341" s="1751"/>
      <c r="M341" s="1751"/>
      <c r="N341" s="1751"/>
      <c r="O341" s="1752"/>
      <c r="P341" s="1752"/>
      <c r="Q341" s="1751"/>
      <c r="R341" s="1751"/>
      <c r="S341" s="1751"/>
      <c r="T341" s="1752"/>
      <c r="U341" s="1752"/>
      <c r="V341" s="1751"/>
      <c r="W341" s="1751"/>
      <c r="X341" s="1751"/>
      <c r="Y341" s="1752"/>
      <c r="Z341" s="1314">
        <f t="shared" ref="Z341:AV341" si="465">Z339/Z$20</f>
        <v>0.26100909252986276</v>
      </c>
      <c r="AA341" s="1499">
        <f t="shared" si="465"/>
        <v>0.25878136200716845</v>
      </c>
      <c r="AB341" s="1499">
        <f t="shared" si="465"/>
        <v>0.27380952380952384</v>
      </c>
      <c r="AC341" s="1499">
        <f t="shared" si="465"/>
        <v>0.26020408163265307</v>
      </c>
      <c r="AD341" s="1499">
        <f t="shared" si="465"/>
        <v>0.2608695652173913</v>
      </c>
      <c r="AE341" s="1314">
        <f t="shared" si="465"/>
        <v>0.26341463414634148</v>
      </c>
      <c r="AF341" s="1499">
        <f t="shared" si="465"/>
        <v>0.25925925925925924</v>
      </c>
      <c r="AG341" s="1499">
        <f t="shared" si="465"/>
        <v>0.26426426426426425</v>
      </c>
      <c r="AH341" s="1499">
        <f t="shared" si="465"/>
        <v>0.27793696275071633</v>
      </c>
      <c r="AI341" s="1499">
        <f t="shared" si="465"/>
        <v>0.26436781609195403</v>
      </c>
      <c r="AJ341" s="1314">
        <f t="shared" si="465"/>
        <v>0.26661742983751846</v>
      </c>
      <c r="AK341" s="1499">
        <f t="shared" si="465"/>
        <v>0.24645892351274787</v>
      </c>
      <c r="AL341" s="1499">
        <f t="shared" si="465"/>
        <v>0.26229508196721313</v>
      </c>
      <c r="AM341" s="1499">
        <f t="shared" si="465"/>
        <v>0.28498727735368956</v>
      </c>
      <c r="AN341" s="1499">
        <f t="shared" si="465"/>
        <v>0.28499999999999998</v>
      </c>
      <c r="AO341" s="1314">
        <f t="shared" si="465"/>
        <v>0.27050264550264552</v>
      </c>
      <c r="AP341" s="1499">
        <f t="shared" si="465"/>
        <v>0.29280397022332505</v>
      </c>
      <c r="AQ341" s="1499">
        <f t="shared" si="465"/>
        <v>0.30243902439024389</v>
      </c>
      <c r="AR341" s="1499">
        <f t="shared" si="465"/>
        <v>0.30455635491606714</v>
      </c>
      <c r="AS341" s="1499">
        <f t="shared" si="465"/>
        <v>0.3109048723897912</v>
      </c>
      <c r="AT341" s="1314">
        <f t="shared" si="465"/>
        <v>0.30282962071041541</v>
      </c>
      <c r="AU341" s="1499">
        <f t="shared" si="465"/>
        <v>0.31506849315068491</v>
      </c>
      <c r="AV341" s="1499">
        <f t="shared" si="465"/>
        <v>0.30454545454545456</v>
      </c>
      <c r="AW341" s="1751" t="s">
        <v>249</v>
      </c>
      <c r="AX341" s="1752" t="s">
        <v>249</v>
      </c>
      <c r="AY341" s="1752" t="s">
        <v>249</v>
      </c>
      <c r="AZ341" s="1751" t="s">
        <v>249</v>
      </c>
      <c r="BA341" s="1751" t="s">
        <v>249</v>
      </c>
      <c r="BB341" s="1751" t="s">
        <v>249</v>
      </c>
      <c r="BC341" s="1752" t="s">
        <v>249</v>
      </c>
      <c r="BD341" s="1752" t="s">
        <v>249</v>
      </c>
      <c r="BE341" s="1751" t="s">
        <v>249</v>
      </c>
      <c r="BF341" s="1751" t="s">
        <v>249</v>
      </c>
      <c r="BG341" s="1751" t="s">
        <v>249</v>
      </c>
      <c r="BH341" s="1752" t="s">
        <v>249</v>
      </c>
      <c r="BI341" s="1752" t="s">
        <v>249</v>
      </c>
      <c r="BJ341" s="1751"/>
      <c r="BK341" s="1751"/>
      <c r="BL341" s="1751"/>
      <c r="BM341" s="1752"/>
      <c r="BN341" s="1724" t="s">
        <v>249</v>
      </c>
      <c r="BO341" s="1751"/>
      <c r="BP341" s="1751"/>
      <c r="BQ341" s="1751"/>
      <c r="BR341" s="1752"/>
      <c r="BS341" s="1724" t="s">
        <v>249</v>
      </c>
      <c r="BT341" s="1751"/>
      <c r="BU341" s="1751"/>
      <c r="BV341" s="1751"/>
      <c r="BW341" s="1752"/>
      <c r="BX341" s="1724" t="s">
        <v>249</v>
      </c>
      <c r="BY341" s="1725" t="s">
        <v>249</v>
      </c>
      <c r="BZ341" s="1725" t="s">
        <v>249</v>
      </c>
      <c r="CA341" s="1725" t="s">
        <v>249</v>
      </c>
      <c r="CF341" s="1502" t="str">
        <f t="shared" si="452"/>
        <v>% of revenue</v>
      </c>
      <c r="CG341" s="1713"/>
      <c r="CH341" s="1713"/>
      <c r="CI341" s="1713"/>
      <c r="CJ341" s="1713"/>
      <c r="CK341" s="1713"/>
      <c r="CL341" s="1752"/>
      <c r="CM341" s="1314">
        <f t="shared" si="456"/>
        <v>0</v>
      </c>
      <c r="CN341" s="1314">
        <f t="shared" si="457"/>
        <v>0</v>
      </c>
      <c r="CO341" s="1314">
        <f t="shared" si="442"/>
        <v>0.26100909252986276</v>
      </c>
      <c r="CP341" s="1314">
        <f t="shared" si="458"/>
        <v>0.26341463414634148</v>
      </c>
      <c r="CQ341" s="1314">
        <f t="shared" si="459"/>
        <v>0.26661742983751846</v>
      </c>
      <c r="CR341" s="1314">
        <f t="shared" si="460"/>
        <v>0.27050264550264552</v>
      </c>
      <c r="CS341" s="1314">
        <f t="shared" si="443"/>
        <v>0.30282962071041541</v>
      </c>
      <c r="CT341" s="1752" t="str">
        <f t="shared" si="444"/>
        <v>--</v>
      </c>
      <c r="CU341" s="1752" t="str">
        <f t="shared" si="445"/>
        <v>--</v>
      </c>
      <c r="CV341" s="1711" t="str">
        <f t="shared" si="461"/>
        <v>--</v>
      </c>
      <c r="CW341" s="1724" t="str">
        <f t="shared" si="462"/>
        <v>--</v>
      </c>
      <c r="CX341" s="1724" t="str">
        <f t="shared" si="446"/>
        <v>--</v>
      </c>
      <c r="CY341" s="1724" t="str">
        <f t="shared" si="463"/>
        <v>--</v>
      </c>
      <c r="CZ341" s="1725" t="str">
        <f t="shared" si="463"/>
        <v>--</v>
      </c>
      <c r="DA341" s="1725" t="str">
        <f t="shared" si="463"/>
        <v>--</v>
      </c>
      <c r="DB341" s="1725" t="str">
        <f t="shared" si="463"/>
        <v>--</v>
      </c>
    </row>
    <row r="342" spans="1:106" ht="11.25" hidden="1" customHeight="1">
      <c r="A342" s="1498"/>
      <c r="B342" s="1713"/>
      <c r="C342" s="1713"/>
      <c r="D342" s="1713"/>
      <c r="E342" s="1713"/>
      <c r="F342" s="1713"/>
      <c r="G342" s="1713"/>
      <c r="H342" s="1713"/>
      <c r="I342" s="1713"/>
      <c r="J342" s="1713"/>
      <c r="K342" s="1746"/>
      <c r="L342" s="1713"/>
      <c r="M342" s="1713"/>
      <c r="N342" s="1713"/>
      <c r="O342" s="1713"/>
      <c r="P342" s="1746"/>
      <c r="Q342" s="1713"/>
      <c r="R342" s="1713"/>
      <c r="S342" s="1713"/>
      <c r="T342" s="1713"/>
      <c r="U342" s="1746"/>
      <c r="V342" s="1713"/>
      <c r="W342" s="1713"/>
      <c r="X342" s="1713"/>
      <c r="Y342" s="1499"/>
      <c r="Z342" s="1314"/>
      <c r="AA342" s="1499"/>
      <c r="AB342" s="1499"/>
      <c r="AC342" s="1499"/>
      <c r="AD342" s="1499"/>
      <c r="AE342" s="1314"/>
      <c r="AF342" s="1499"/>
      <c r="AG342" s="1499"/>
      <c r="AH342" s="1499"/>
      <c r="AI342" s="1499"/>
      <c r="AJ342" s="1314"/>
      <c r="AK342" s="1499"/>
      <c r="AL342" s="1499"/>
      <c r="AM342" s="1499"/>
      <c r="AN342" s="1499"/>
      <c r="AO342" s="1314"/>
      <c r="AP342" s="1499"/>
      <c r="AQ342" s="1499"/>
      <c r="AR342" s="1499"/>
      <c r="AS342" s="1499"/>
      <c r="AT342" s="1314"/>
      <c r="AU342" s="1499"/>
      <c r="AV342" s="1499"/>
      <c r="AW342" s="1499"/>
      <c r="AX342" s="1499"/>
      <c r="AY342" s="1314"/>
      <c r="AZ342" s="1499"/>
      <c r="BA342" s="1499"/>
      <c r="BB342" s="1499"/>
      <c r="BC342" s="1499"/>
      <c r="BD342" s="1314"/>
      <c r="BE342" s="1499"/>
      <c r="BF342" s="1499"/>
      <c r="BG342" s="1499"/>
      <c r="BH342" s="1499"/>
      <c r="BI342" s="1314"/>
      <c r="BJ342" s="1499"/>
      <c r="BK342" s="1499"/>
      <c r="BL342" s="1499"/>
      <c r="BM342" s="1499"/>
      <c r="BN342" s="1314"/>
      <c r="BO342" s="1499"/>
      <c r="BP342" s="1499"/>
      <c r="BQ342" s="1499"/>
      <c r="BR342" s="1499"/>
      <c r="BS342" s="1314"/>
      <c r="BT342" s="1499"/>
      <c r="BU342" s="1499"/>
      <c r="BV342" s="1499"/>
      <c r="BW342" s="1499"/>
      <c r="BX342" s="1314"/>
      <c r="BY342" s="1756"/>
      <c r="BZ342" s="1756"/>
      <c r="CA342" s="1756"/>
      <c r="CF342" s="1502">
        <f t="shared" si="452"/>
        <v>0</v>
      </c>
      <c r="CG342" s="1713"/>
      <c r="CH342" s="1713"/>
      <c r="CI342" s="1713"/>
      <c r="CJ342" s="1713"/>
      <c r="CK342" s="1713"/>
      <c r="CL342" s="1746"/>
      <c r="CM342" s="1314">
        <f t="shared" si="456"/>
        <v>0</v>
      </c>
      <c r="CN342" s="1314">
        <f t="shared" si="457"/>
        <v>0</v>
      </c>
      <c r="CO342" s="1314">
        <f t="shared" si="442"/>
        <v>0</v>
      </c>
      <c r="CP342" s="1314">
        <f t="shared" si="458"/>
        <v>0</v>
      </c>
      <c r="CQ342" s="1314">
        <f t="shared" si="459"/>
        <v>0</v>
      </c>
      <c r="CR342" s="1314">
        <f t="shared" si="460"/>
        <v>0</v>
      </c>
      <c r="CS342" s="1314">
        <f t="shared" si="443"/>
        <v>0</v>
      </c>
      <c r="CT342" s="1314">
        <f t="shared" si="444"/>
        <v>0</v>
      </c>
      <c r="CU342" s="1314">
        <f t="shared" si="445"/>
        <v>0</v>
      </c>
      <c r="CV342" s="1503">
        <f t="shared" si="461"/>
        <v>0</v>
      </c>
      <c r="CW342" s="1314">
        <f t="shared" si="462"/>
        <v>0</v>
      </c>
      <c r="CX342" s="1314">
        <f t="shared" si="446"/>
        <v>0</v>
      </c>
      <c r="CY342" s="1314">
        <f t="shared" si="463"/>
        <v>0</v>
      </c>
      <c r="CZ342" s="1756">
        <f t="shared" si="463"/>
        <v>0</v>
      </c>
      <c r="DA342" s="1756">
        <f t="shared" si="463"/>
        <v>0</v>
      </c>
      <c r="DB342" s="1756">
        <f t="shared" si="463"/>
        <v>0</v>
      </c>
    </row>
    <row r="343" spans="1:106" s="762" customFormat="1" ht="11.25" hidden="1" customHeight="1">
      <c r="A343" s="1611" t="s">
        <v>334</v>
      </c>
      <c r="B343" s="1611"/>
      <c r="C343" s="1611"/>
      <c r="D343" s="1611"/>
      <c r="E343" s="1611"/>
      <c r="F343" s="1611"/>
      <c r="G343" s="1751" t="s">
        <v>249</v>
      </c>
      <c r="H343" s="1751" t="s">
        <v>249</v>
      </c>
      <c r="I343" s="1751" t="s">
        <v>249</v>
      </c>
      <c r="J343" s="1752" t="s">
        <v>249</v>
      </c>
      <c r="K343" s="1752" t="s">
        <v>249</v>
      </c>
      <c r="L343" s="1751" t="s">
        <v>249</v>
      </c>
      <c r="M343" s="1751" t="s">
        <v>249</v>
      </c>
      <c r="N343" s="1751" t="s">
        <v>249</v>
      </c>
      <c r="O343" s="1752" t="s">
        <v>249</v>
      </c>
      <c r="P343" s="1752" t="s">
        <v>249</v>
      </c>
      <c r="Q343" s="1751" t="s">
        <v>249</v>
      </c>
      <c r="R343" s="1751" t="s">
        <v>249</v>
      </c>
      <c r="S343" s="1751" t="s">
        <v>249</v>
      </c>
      <c r="T343" s="1752" t="s">
        <v>249</v>
      </c>
      <c r="U343" s="1752" t="s">
        <v>249</v>
      </c>
      <c r="V343" s="1611">
        <v>205.6</v>
      </c>
      <c r="W343" s="1611">
        <v>210.7</v>
      </c>
      <c r="X343" s="1611">
        <v>203.1</v>
      </c>
      <c r="Y343" s="1611">
        <v>209.7</v>
      </c>
      <c r="Z343" s="1495">
        <f>SUM(V343:Y343)</f>
        <v>829.09999999999991</v>
      </c>
      <c r="AA343" s="1611">
        <v>206.6</v>
      </c>
      <c r="AB343" s="1611">
        <v>213.1</v>
      </c>
      <c r="AC343" s="1611">
        <v>217.8</v>
      </c>
      <c r="AD343" s="1611">
        <v>238</v>
      </c>
      <c r="AE343" s="1495">
        <f>SUM(AA343:AD343)</f>
        <v>875.5</v>
      </c>
      <c r="AF343" s="1611">
        <v>240</v>
      </c>
      <c r="AG343" s="1611">
        <v>245</v>
      </c>
      <c r="AH343" s="1611">
        <v>252</v>
      </c>
      <c r="AI343" s="1611">
        <f>238+18</f>
        <v>256</v>
      </c>
      <c r="AJ343" s="1495">
        <f>SUM(AF343:AI343)</f>
        <v>993</v>
      </c>
      <c r="AK343" s="1611">
        <f>248+18</f>
        <v>266</v>
      </c>
      <c r="AL343" s="1753">
        <f>251+19</f>
        <v>270</v>
      </c>
      <c r="AM343" s="1753">
        <f>257+24</f>
        <v>281</v>
      </c>
      <c r="AN343" s="1611">
        <f>260+26</f>
        <v>286</v>
      </c>
      <c r="AO343" s="1495">
        <f>SUM(AK343:AN343)</f>
        <v>1103</v>
      </c>
      <c r="AP343" s="1611">
        <f>260+25</f>
        <v>285</v>
      </c>
      <c r="AQ343" s="1753">
        <f>260+26</f>
        <v>286</v>
      </c>
      <c r="AR343" s="1753">
        <f>265+25</f>
        <v>290</v>
      </c>
      <c r="AS343" s="1611">
        <f>270+27</f>
        <v>297</v>
      </c>
      <c r="AT343" s="1495">
        <f>SUM(AP343:AS343)</f>
        <v>1158</v>
      </c>
      <c r="AU343" s="1611">
        <f>274+26</f>
        <v>300</v>
      </c>
      <c r="AV343" s="1753">
        <f>278+28</f>
        <v>306</v>
      </c>
      <c r="AW343" s="1751" t="s">
        <v>249</v>
      </c>
      <c r="AX343" s="1752" t="s">
        <v>249</v>
      </c>
      <c r="AY343" s="1752" t="s">
        <v>249</v>
      </c>
      <c r="AZ343" s="1751" t="s">
        <v>249</v>
      </c>
      <c r="BA343" s="1751" t="s">
        <v>249</v>
      </c>
      <c r="BB343" s="1751" t="s">
        <v>249</v>
      </c>
      <c r="BC343" s="1752" t="s">
        <v>249</v>
      </c>
      <c r="BD343" s="1752" t="s">
        <v>249</v>
      </c>
      <c r="BE343" s="1751" t="s">
        <v>249</v>
      </c>
      <c r="BF343" s="1751" t="s">
        <v>249</v>
      </c>
      <c r="BG343" s="1751" t="s">
        <v>249</v>
      </c>
      <c r="BH343" s="1752" t="s">
        <v>249</v>
      </c>
      <c r="BI343" s="1752" t="s">
        <v>249</v>
      </c>
      <c r="BJ343" s="1751"/>
      <c r="BK343" s="1751"/>
      <c r="BL343" s="1751"/>
      <c r="BM343" s="1752"/>
      <c r="BN343" s="1724" t="s">
        <v>249</v>
      </c>
      <c r="BO343" s="1751"/>
      <c r="BP343" s="1751"/>
      <c r="BQ343" s="1751"/>
      <c r="BR343" s="1752"/>
      <c r="BS343" s="1724" t="s">
        <v>249</v>
      </c>
      <c r="BT343" s="1751"/>
      <c r="BU343" s="1751"/>
      <c r="BV343" s="1751"/>
      <c r="BW343" s="1752"/>
      <c r="BX343" s="1724" t="s">
        <v>249</v>
      </c>
      <c r="BY343" s="1725" t="s">
        <v>249</v>
      </c>
      <c r="BZ343" s="1725" t="s">
        <v>249</v>
      </c>
      <c r="CA343" s="1725" t="s">
        <v>249</v>
      </c>
      <c r="CF343" s="1495" t="str">
        <f t="shared" si="452"/>
        <v>Non-Transaction</v>
      </c>
      <c r="CG343" s="1611"/>
      <c r="CH343" s="1611"/>
      <c r="CI343" s="1611"/>
      <c r="CJ343" s="1611"/>
      <c r="CK343" s="1611"/>
      <c r="CL343" s="1752"/>
      <c r="CM343" s="1495" t="str">
        <f t="shared" si="456"/>
        <v>--</v>
      </c>
      <c r="CN343" s="1495" t="str">
        <f t="shared" si="457"/>
        <v>--</v>
      </c>
      <c r="CO343" s="1495">
        <f t="shared" si="442"/>
        <v>829.09999999999991</v>
      </c>
      <c r="CP343" s="1495">
        <f t="shared" si="458"/>
        <v>875.5</v>
      </c>
      <c r="CQ343" s="1495">
        <f t="shared" si="459"/>
        <v>993</v>
      </c>
      <c r="CR343" s="1495">
        <f t="shared" si="460"/>
        <v>1103</v>
      </c>
      <c r="CS343" s="1495">
        <f t="shared" si="443"/>
        <v>1158</v>
      </c>
      <c r="CT343" s="1752" t="str">
        <f t="shared" si="444"/>
        <v>--</v>
      </c>
      <c r="CU343" s="1752" t="str">
        <f t="shared" si="445"/>
        <v>--</v>
      </c>
      <c r="CV343" s="1711" t="str">
        <f t="shared" si="461"/>
        <v>--</v>
      </c>
      <c r="CW343" s="1724" t="str">
        <f t="shared" si="462"/>
        <v>--</v>
      </c>
      <c r="CX343" s="1724" t="str">
        <f t="shared" si="446"/>
        <v>--</v>
      </c>
      <c r="CY343" s="1724" t="str">
        <f t="shared" si="463"/>
        <v>--</v>
      </c>
      <c r="CZ343" s="1725" t="str">
        <f t="shared" si="463"/>
        <v>--</v>
      </c>
      <c r="DA343" s="1725" t="str">
        <f t="shared" si="463"/>
        <v>--</v>
      </c>
      <c r="DB343" s="1725" t="str">
        <f t="shared" si="463"/>
        <v>--</v>
      </c>
    </row>
    <row r="344" spans="1:106" ht="11.25" hidden="1" customHeight="1">
      <c r="A344" s="1754" t="s">
        <v>288</v>
      </c>
      <c r="B344" s="1713"/>
      <c r="C344" s="1713"/>
      <c r="D344" s="1713"/>
      <c r="E344" s="1713"/>
      <c r="F344" s="1713"/>
      <c r="G344" s="1751"/>
      <c r="H344" s="1751"/>
      <c r="I344" s="1751"/>
      <c r="J344" s="1752"/>
      <c r="K344" s="1752"/>
      <c r="L344" s="1751"/>
      <c r="M344" s="1751"/>
      <c r="N344" s="1751"/>
      <c r="O344" s="1752"/>
      <c r="P344" s="1752"/>
      <c r="Q344" s="1751"/>
      <c r="R344" s="1751"/>
      <c r="S344" s="1751"/>
      <c r="T344" s="1752"/>
      <c r="U344" s="1752"/>
      <c r="V344" s="1751"/>
      <c r="W344" s="1751"/>
      <c r="X344" s="1751"/>
      <c r="Y344" s="1752"/>
      <c r="Z344" s="1752"/>
      <c r="AA344" s="1499">
        <f t="shared" ref="AA344:AV344" si="466">AA343/V343-1</f>
        <v>4.8638132295719672E-3</v>
      </c>
      <c r="AB344" s="1499">
        <f t="shared" si="466"/>
        <v>1.1390602752729073E-2</v>
      </c>
      <c r="AC344" s="1499">
        <f t="shared" si="466"/>
        <v>7.2378138847858375E-2</v>
      </c>
      <c r="AD344" s="1499">
        <f t="shared" si="466"/>
        <v>0.13495469718645681</v>
      </c>
      <c r="AE344" s="1314">
        <f t="shared" si="466"/>
        <v>5.5964298637076526E-2</v>
      </c>
      <c r="AF344" s="1499">
        <f t="shared" si="466"/>
        <v>0.16166505324298175</v>
      </c>
      <c r="AG344" s="1499">
        <f t="shared" si="466"/>
        <v>0.14969497888315342</v>
      </c>
      <c r="AH344" s="1499">
        <f t="shared" si="466"/>
        <v>0.15702479338842967</v>
      </c>
      <c r="AI344" s="1499">
        <f t="shared" si="466"/>
        <v>7.5630252100840289E-2</v>
      </c>
      <c r="AJ344" s="1314">
        <f t="shared" si="466"/>
        <v>0.13420902341519136</v>
      </c>
      <c r="AK344" s="1499">
        <f t="shared" si="466"/>
        <v>0.10833333333333339</v>
      </c>
      <c r="AL344" s="1499">
        <f t="shared" si="466"/>
        <v>0.1020408163265305</v>
      </c>
      <c r="AM344" s="1499">
        <f t="shared" si="466"/>
        <v>0.11507936507936511</v>
      </c>
      <c r="AN344" s="1499">
        <f t="shared" si="466"/>
        <v>0.1171875</v>
      </c>
      <c r="AO344" s="1314">
        <f t="shared" si="466"/>
        <v>0.11077542799597184</v>
      </c>
      <c r="AP344" s="1499">
        <f t="shared" si="466"/>
        <v>7.1428571428571397E-2</v>
      </c>
      <c r="AQ344" s="1499">
        <f t="shared" si="466"/>
        <v>5.9259259259259345E-2</v>
      </c>
      <c r="AR344" s="1499">
        <f t="shared" si="466"/>
        <v>3.2028469750889688E-2</v>
      </c>
      <c r="AS344" s="1499">
        <f t="shared" si="466"/>
        <v>3.8461538461538547E-2</v>
      </c>
      <c r="AT344" s="1314">
        <f t="shared" si="466"/>
        <v>4.9864007252946596E-2</v>
      </c>
      <c r="AU344" s="1499">
        <f t="shared" si="466"/>
        <v>5.2631578947368363E-2</v>
      </c>
      <c r="AV344" s="1499">
        <f t="shared" si="466"/>
        <v>6.9930069930070005E-2</v>
      </c>
      <c r="AW344" s="1751" t="s">
        <v>249</v>
      </c>
      <c r="AX344" s="1752" t="s">
        <v>249</v>
      </c>
      <c r="AY344" s="1752" t="s">
        <v>249</v>
      </c>
      <c r="AZ344" s="1751" t="s">
        <v>249</v>
      </c>
      <c r="BA344" s="1751" t="s">
        <v>249</v>
      </c>
      <c r="BB344" s="1751" t="s">
        <v>249</v>
      </c>
      <c r="BC344" s="1752" t="s">
        <v>249</v>
      </c>
      <c r="BD344" s="1752" t="s">
        <v>249</v>
      </c>
      <c r="BE344" s="1751" t="s">
        <v>249</v>
      </c>
      <c r="BF344" s="1751" t="s">
        <v>249</v>
      </c>
      <c r="BG344" s="1751" t="s">
        <v>249</v>
      </c>
      <c r="BH344" s="1752" t="s">
        <v>249</v>
      </c>
      <c r="BI344" s="1752" t="s">
        <v>249</v>
      </c>
      <c r="BJ344" s="1751"/>
      <c r="BK344" s="1751"/>
      <c r="BL344" s="1751"/>
      <c r="BM344" s="1752"/>
      <c r="BN344" s="1724" t="s">
        <v>249</v>
      </c>
      <c r="BO344" s="1751"/>
      <c r="BP344" s="1751"/>
      <c r="BQ344" s="1751"/>
      <c r="BR344" s="1752"/>
      <c r="BS344" s="1724" t="s">
        <v>249</v>
      </c>
      <c r="BT344" s="1751"/>
      <c r="BU344" s="1751"/>
      <c r="BV344" s="1751"/>
      <c r="BW344" s="1752"/>
      <c r="BX344" s="1724" t="s">
        <v>249</v>
      </c>
      <c r="BY344" s="1725" t="s">
        <v>249</v>
      </c>
      <c r="BZ344" s="1725" t="s">
        <v>249</v>
      </c>
      <c r="CA344" s="1725" t="s">
        <v>249</v>
      </c>
      <c r="CF344" s="1755" t="str">
        <f t="shared" si="452"/>
        <v>y/y change</v>
      </c>
      <c r="CG344" s="1713"/>
      <c r="CH344" s="1713"/>
      <c r="CI344" s="1713"/>
      <c r="CJ344" s="1713"/>
      <c r="CK344" s="1713"/>
      <c r="CL344" s="1752"/>
      <c r="CM344" s="1314">
        <f t="shared" si="456"/>
        <v>0</v>
      </c>
      <c r="CN344" s="1314">
        <f t="shared" si="457"/>
        <v>0</v>
      </c>
      <c r="CO344" s="1314">
        <f t="shared" si="442"/>
        <v>0</v>
      </c>
      <c r="CP344" s="1314">
        <f t="shared" si="458"/>
        <v>5.5964298637076526E-2</v>
      </c>
      <c r="CQ344" s="1314">
        <f t="shared" si="459"/>
        <v>0.13420902341519136</v>
      </c>
      <c r="CR344" s="1314">
        <f t="shared" si="460"/>
        <v>0.11077542799597184</v>
      </c>
      <c r="CS344" s="1314">
        <f t="shared" si="443"/>
        <v>4.9864007252946596E-2</v>
      </c>
      <c r="CT344" s="1752" t="str">
        <f t="shared" si="444"/>
        <v>--</v>
      </c>
      <c r="CU344" s="1752" t="str">
        <f t="shared" si="445"/>
        <v>--</v>
      </c>
      <c r="CV344" s="1711" t="str">
        <f t="shared" si="461"/>
        <v>--</v>
      </c>
      <c r="CW344" s="1724" t="str">
        <f t="shared" si="462"/>
        <v>--</v>
      </c>
      <c r="CX344" s="1724" t="str">
        <f t="shared" si="446"/>
        <v>--</v>
      </c>
      <c r="CY344" s="1724" t="str">
        <f t="shared" si="463"/>
        <v>--</v>
      </c>
      <c r="CZ344" s="1725" t="str">
        <f t="shared" si="463"/>
        <v>--</v>
      </c>
      <c r="DA344" s="1725" t="str">
        <f t="shared" si="463"/>
        <v>--</v>
      </c>
      <c r="DB344" s="1725" t="str">
        <f t="shared" si="463"/>
        <v>--</v>
      </c>
    </row>
    <row r="345" spans="1:106" ht="11.25" hidden="1" customHeight="1">
      <c r="A345" s="1498" t="s">
        <v>330</v>
      </c>
      <c r="B345" s="1713"/>
      <c r="C345" s="1713"/>
      <c r="D345" s="1713"/>
      <c r="E345" s="1713"/>
      <c r="F345" s="1713"/>
      <c r="G345" s="1751"/>
      <c r="H345" s="1751"/>
      <c r="I345" s="1751"/>
      <c r="J345" s="1752"/>
      <c r="K345" s="1752"/>
      <c r="L345" s="1751"/>
      <c r="M345" s="1751"/>
      <c r="N345" s="1751"/>
      <c r="O345" s="1752"/>
      <c r="P345" s="1752"/>
      <c r="Q345" s="1751"/>
      <c r="R345" s="1751"/>
      <c r="S345" s="1751"/>
      <c r="T345" s="1752"/>
      <c r="U345" s="1752"/>
      <c r="V345" s="1751"/>
      <c r="W345" s="1751"/>
      <c r="X345" s="1751"/>
      <c r="Y345" s="1752"/>
      <c r="Z345" s="1314">
        <f t="shared" ref="Z345:AV345" si="467">Z343/Z$20</f>
        <v>0.73908004991977172</v>
      </c>
      <c r="AA345" s="1499">
        <f t="shared" si="467"/>
        <v>0.74050179211469536</v>
      </c>
      <c r="AB345" s="1499">
        <f t="shared" si="467"/>
        <v>0.72482993197278911</v>
      </c>
      <c r="AC345" s="1499">
        <f t="shared" si="467"/>
        <v>0.74081632653061225</v>
      </c>
      <c r="AD345" s="1499">
        <f t="shared" si="467"/>
        <v>0.73913043478260865</v>
      </c>
      <c r="AE345" s="1314">
        <f t="shared" si="467"/>
        <v>0.73633305298570229</v>
      </c>
      <c r="AF345" s="1499">
        <f t="shared" si="467"/>
        <v>0.7407407407407407</v>
      </c>
      <c r="AG345" s="1499">
        <f t="shared" si="467"/>
        <v>0.7357357357357357</v>
      </c>
      <c r="AH345" s="1499">
        <f t="shared" si="467"/>
        <v>0.72206303724928367</v>
      </c>
      <c r="AI345" s="1499">
        <f t="shared" si="467"/>
        <v>0.73563218390804597</v>
      </c>
      <c r="AJ345" s="1314">
        <f t="shared" si="467"/>
        <v>0.73338257016248154</v>
      </c>
      <c r="AK345" s="1499">
        <f t="shared" si="467"/>
        <v>0.7535410764872521</v>
      </c>
      <c r="AL345" s="1499">
        <f t="shared" si="467"/>
        <v>0.73770491803278693</v>
      </c>
      <c r="AM345" s="1499">
        <f t="shared" si="467"/>
        <v>0.71501272264631044</v>
      </c>
      <c r="AN345" s="1499">
        <f t="shared" si="467"/>
        <v>0.71499999999999997</v>
      </c>
      <c r="AO345" s="1314">
        <f t="shared" si="467"/>
        <v>0.72949735449735453</v>
      </c>
      <c r="AP345" s="1499">
        <f t="shared" si="467"/>
        <v>0.70719602977667495</v>
      </c>
      <c r="AQ345" s="1499">
        <f t="shared" si="467"/>
        <v>0.69756097560975605</v>
      </c>
      <c r="AR345" s="1499">
        <f t="shared" si="467"/>
        <v>0.69544364508393286</v>
      </c>
      <c r="AS345" s="1499">
        <f t="shared" si="467"/>
        <v>0.68909512761020886</v>
      </c>
      <c r="AT345" s="1314">
        <f t="shared" si="467"/>
        <v>0.69717037928958459</v>
      </c>
      <c r="AU345" s="1499">
        <f t="shared" si="467"/>
        <v>0.68493150684931503</v>
      </c>
      <c r="AV345" s="1499">
        <f t="shared" si="467"/>
        <v>0.69545454545454544</v>
      </c>
      <c r="AW345" s="1751" t="s">
        <v>249</v>
      </c>
      <c r="AX345" s="1752" t="s">
        <v>249</v>
      </c>
      <c r="AY345" s="1752" t="s">
        <v>249</v>
      </c>
      <c r="AZ345" s="1751" t="s">
        <v>249</v>
      </c>
      <c r="BA345" s="1751" t="s">
        <v>249</v>
      </c>
      <c r="BB345" s="1751" t="s">
        <v>249</v>
      </c>
      <c r="BC345" s="1752" t="s">
        <v>249</v>
      </c>
      <c r="BD345" s="1752" t="s">
        <v>249</v>
      </c>
      <c r="BE345" s="1751" t="s">
        <v>249</v>
      </c>
      <c r="BF345" s="1751" t="s">
        <v>249</v>
      </c>
      <c r="BG345" s="1751" t="s">
        <v>249</v>
      </c>
      <c r="BH345" s="1752" t="s">
        <v>249</v>
      </c>
      <c r="BI345" s="1752" t="s">
        <v>249</v>
      </c>
      <c r="BJ345" s="1751"/>
      <c r="BK345" s="1751"/>
      <c r="BL345" s="1751"/>
      <c r="BM345" s="1752"/>
      <c r="BN345" s="1724" t="s">
        <v>249</v>
      </c>
      <c r="BO345" s="1751"/>
      <c r="BP345" s="1751"/>
      <c r="BQ345" s="1751"/>
      <c r="BR345" s="1752"/>
      <c r="BS345" s="1724" t="s">
        <v>249</v>
      </c>
      <c r="BT345" s="1751"/>
      <c r="BU345" s="1751"/>
      <c r="BV345" s="1751"/>
      <c r="BW345" s="1752"/>
      <c r="BX345" s="1724" t="s">
        <v>249</v>
      </c>
      <c r="BY345" s="1725" t="s">
        <v>249</v>
      </c>
      <c r="BZ345" s="1725" t="s">
        <v>249</v>
      </c>
      <c r="CA345" s="1725" t="s">
        <v>249</v>
      </c>
      <c r="CF345" s="1502" t="str">
        <f t="shared" si="452"/>
        <v>% of revenue</v>
      </c>
      <c r="CG345" s="1713"/>
      <c r="CH345" s="1713"/>
      <c r="CI345" s="1713"/>
      <c r="CJ345" s="1713"/>
      <c r="CK345" s="1713"/>
      <c r="CL345" s="1752"/>
      <c r="CM345" s="1314">
        <f t="shared" si="456"/>
        <v>0</v>
      </c>
      <c r="CN345" s="1314">
        <f t="shared" si="457"/>
        <v>0</v>
      </c>
      <c r="CO345" s="1314">
        <f t="shared" si="442"/>
        <v>0.73908004991977172</v>
      </c>
      <c r="CP345" s="1314">
        <f t="shared" si="458"/>
        <v>0.73633305298570229</v>
      </c>
      <c r="CQ345" s="1314">
        <f t="shared" si="459"/>
        <v>0.73338257016248154</v>
      </c>
      <c r="CR345" s="1314">
        <f t="shared" si="460"/>
        <v>0.72949735449735453</v>
      </c>
      <c r="CS345" s="1314">
        <f t="shared" si="443"/>
        <v>0.69717037928958459</v>
      </c>
      <c r="CT345" s="1752" t="str">
        <f t="shared" si="444"/>
        <v>--</v>
      </c>
      <c r="CU345" s="1752" t="str">
        <f t="shared" si="445"/>
        <v>--</v>
      </c>
      <c r="CV345" s="1711" t="str">
        <f t="shared" si="461"/>
        <v>--</v>
      </c>
      <c r="CW345" s="1724" t="str">
        <f t="shared" si="462"/>
        <v>--</v>
      </c>
      <c r="CX345" s="1724" t="str">
        <f t="shared" si="446"/>
        <v>--</v>
      </c>
      <c r="CY345" s="1724" t="str">
        <f t="shared" si="463"/>
        <v>--</v>
      </c>
      <c r="CZ345" s="1725" t="str">
        <f t="shared" si="463"/>
        <v>--</v>
      </c>
      <c r="DA345" s="1725" t="str">
        <f t="shared" si="463"/>
        <v>--</v>
      </c>
      <c r="DB345" s="1725" t="str">
        <f t="shared" si="463"/>
        <v>--</v>
      </c>
    </row>
    <row r="346" spans="1:106" ht="11.25" hidden="1" customHeight="1">
      <c r="A346" s="1713"/>
      <c r="B346" s="1713"/>
      <c r="C346" s="1713"/>
      <c r="D346" s="1713"/>
      <c r="E346" s="1713"/>
      <c r="F346" s="1713"/>
      <c r="G346" s="1713"/>
      <c r="H346" s="1713"/>
      <c r="I346" s="1713"/>
      <c r="J346" s="1713"/>
      <c r="K346" s="1746"/>
      <c r="L346" s="1713"/>
      <c r="M346" s="1713"/>
      <c r="N346" s="1713"/>
      <c r="O346" s="1713"/>
      <c r="P346" s="1746"/>
      <c r="Q346" s="1713"/>
      <c r="R346" s="1713"/>
      <c r="S346" s="1713"/>
      <c r="T346" s="1713"/>
      <c r="U346" s="1746"/>
      <c r="V346" s="1713"/>
      <c r="W346" s="1713"/>
      <c r="X346" s="1713"/>
      <c r="Y346" s="1713"/>
      <c r="Z346" s="1746"/>
      <c r="AA346" s="1713"/>
      <c r="AB346" s="1713"/>
      <c r="AC346" s="1713"/>
      <c r="AD346" s="1713"/>
      <c r="AE346" s="1746"/>
      <c r="AF346" s="1713"/>
      <c r="AG346" s="1713"/>
      <c r="AH346" s="1713"/>
      <c r="AI346" s="1713"/>
      <c r="AJ346" s="1746"/>
      <c r="AK346" s="1713"/>
      <c r="AL346" s="1713"/>
      <c r="AM346" s="1713"/>
      <c r="AN346" s="1713"/>
      <c r="AO346" s="1746"/>
      <c r="AP346" s="1713"/>
      <c r="AQ346" s="1713"/>
      <c r="AR346" s="1713"/>
      <c r="AS346" s="1713"/>
      <c r="AT346" s="1746"/>
      <c r="AU346" s="1713"/>
      <c r="AV346" s="1713"/>
      <c r="AW346" s="1713"/>
      <c r="AX346" s="1713"/>
      <c r="AY346" s="1746"/>
      <c r="AZ346" s="1713"/>
      <c r="BA346" s="1713"/>
      <c r="BB346" s="1713"/>
      <c r="BC346" s="1713"/>
      <c r="BD346" s="1746"/>
      <c r="BE346" s="1713"/>
      <c r="BF346" s="1713"/>
      <c r="BG346" s="1713"/>
      <c r="BH346" s="1713"/>
      <c r="BI346" s="1746"/>
      <c r="BJ346" s="1713"/>
      <c r="BK346" s="1713"/>
      <c r="BL346" s="1713"/>
      <c r="BM346" s="1713"/>
      <c r="BN346" s="1746"/>
      <c r="BO346" s="1713"/>
      <c r="BP346" s="1713"/>
      <c r="BQ346" s="1713"/>
      <c r="BR346" s="1713"/>
      <c r="BS346" s="1746"/>
      <c r="BT346" s="1713"/>
      <c r="BU346" s="1713"/>
      <c r="BV346" s="1713"/>
      <c r="BW346" s="1713"/>
      <c r="BX346" s="1746"/>
      <c r="BY346" s="1748"/>
      <c r="BZ346" s="1748"/>
      <c r="CA346" s="1748"/>
      <c r="CF346" s="1746">
        <f t="shared" si="452"/>
        <v>0</v>
      </c>
      <c r="CG346" s="1713"/>
      <c r="CH346" s="1713"/>
      <c r="CI346" s="1713"/>
      <c r="CJ346" s="1713"/>
      <c r="CK346" s="1713"/>
      <c r="CL346" s="1746"/>
      <c r="CM346" s="1746">
        <f t="shared" si="456"/>
        <v>0</v>
      </c>
      <c r="CN346" s="1746">
        <f t="shared" si="457"/>
        <v>0</v>
      </c>
      <c r="CO346" s="1746">
        <f t="shared" si="442"/>
        <v>0</v>
      </c>
      <c r="CP346" s="1746">
        <f t="shared" si="458"/>
        <v>0</v>
      </c>
      <c r="CQ346" s="1746">
        <f t="shared" si="459"/>
        <v>0</v>
      </c>
      <c r="CR346" s="1746">
        <f t="shared" si="460"/>
        <v>0</v>
      </c>
      <c r="CS346" s="1746">
        <f t="shared" si="443"/>
        <v>0</v>
      </c>
      <c r="CT346" s="1746">
        <f t="shared" si="444"/>
        <v>0</v>
      </c>
      <c r="CU346" s="1746">
        <f t="shared" si="445"/>
        <v>0</v>
      </c>
      <c r="CV346" s="1750">
        <f t="shared" si="461"/>
        <v>0</v>
      </c>
      <c r="CW346" s="1746">
        <f t="shared" si="462"/>
        <v>0</v>
      </c>
      <c r="CX346" s="1746">
        <f t="shared" si="446"/>
        <v>0</v>
      </c>
      <c r="CY346" s="1746">
        <f t="shared" si="463"/>
        <v>0</v>
      </c>
      <c r="CZ346" s="1748">
        <f t="shared" si="463"/>
        <v>0</v>
      </c>
      <c r="DA346" s="1748">
        <f t="shared" si="463"/>
        <v>0</v>
      </c>
      <c r="DB346" s="1748">
        <f t="shared" si="463"/>
        <v>0</v>
      </c>
    </row>
    <row r="347" spans="1:106" s="762" customFormat="1" ht="11.25" hidden="1" customHeight="1">
      <c r="A347" s="1611" t="s">
        <v>339</v>
      </c>
      <c r="B347" s="1611"/>
      <c r="C347" s="1611"/>
      <c r="D347" s="1611"/>
      <c r="E347" s="1611"/>
      <c r="F347" s="1611"/>
      <c r="G347" s="1751" t="s">
        <v>249</v>
      </c>
      <c r="H347" s="1751" t="s">
        <v>249</v>
      </c>
      <c r="I347" s="1751" t="s">
        <v>249</v>
      </c>
      <c r="J347" s="1752" t="s">
        <v>249</v>
      </c>
      <c r="K347" s="1752" t="s">
        <v>249</v>
      </c>
      <c r="L347" s="1751" t="s">
        <v>249</v>
      </c>
      <c r="M347" s="1751" t="s">
        <v>249</v>
      </c>
      <c r="N347" s="1751" t="s">
        <v>249</v>
      </c>
      <c r="O347" s="1752" t="s">
        <v>249</v>
      </c>
      <c r="P347" s="1752" t="s">
        <v>249</v>
      </c>
      <c r="Q347" s="1751" t="s">
        <v>249</v>
      </c>
      <c r="R347" s="1751" t="s">
        <v>249</v>
      </c>
      <c r="S347" s="1751" t="s">
        <v>249</v>
      </c>
      <c r="T347" s="1752" t="s">
        <v>249</v>
      </c>
      <c r="U347" s="1752" t="s">
        <v>249</v>
      </c>
      <c r="V347" s="1611">
        <v>206.8</v>
      </c>
      <c r="W347" s="1611">
        <v>200.5</v>
      </c>
      <c r="X347" s="1611">
        <v>192.2</v>
      </c>
      <c r="Y347" s="1611">
        <v>198.3</v>
      </c>
      <c r="Z347" s="1495">
        <f>SUM(V347:Y347)</f>
        <v>797.8</v>
      </c>
      <c r="AA347" s="1611">
        <v>197.6</v>
      </c>
      <c r="AB347" s="1611">
        <v>207.3</v>
      </c>
      <c r="AC347" s="1611">
        <v>205.3</v>
      </c>
      <c r="AD347" s="1611">
        <v>218</v>
      </c>
      <c r="AE347" s="1495">
        <f>SUM(AA347:AD347)</f>
        <v>828.2</v>
      </c>
      <c r="AF347" s="1611">
        <v>231</v>
      </c>
      <c r="AG347" s="1611">
        <v>230</v>
      </c>
      <c r="AH347" s="1611">
        <v>242</v>
      </c>
      <c r="AI347" s="1611">
        <f>178+59</f>
        <v>237</v>
      </c>
      <c r="AJ347" s="1495">
        <f>SUM(AF347:AI347)</f>
        <v>940</v>
      </c>
      <c r="AK347" s="1611">
        <f>186+59</f>
        <v>245</v>
      </c>
      <c r="AL347" s="1611">
        <f>182+69</f>
        <v>251</v>
      </c>
      <c r="AM347" s="1753">
        <f>191+85</f>
        <v>276</v>
      </c>
      <c r="AN347" s="1611">
        <f>190+87</f>
        <v>277</v>
      </c>
      <c r="AO347" s="1495">
        <f>SUM(AK347:AN347)</f>
        <v>1049</v>
      </c>
      <c r="AP347" s="1611">
        <f>190+88</f>
        <v>278</v>
      </c>
      <c r="AQ347" s="1611">
        <f>190+99</f>
        <v>289</v>
      </c>
      <c r="AR347" s="1753">
        <f>193+99</f>
        <v>292</v>
      </c>
      <c r="AS347" s="1611">
        <f>194+99</f>
        <v>293</v>
      </c>
      <c r="AT347" s="1495">
        <f>SUM(AP347:AS347)</f>
        <v>1152</v>
      </c>
      <c r="AU347" s="1611">
        <f>199+108</f>
        <v>307</v>
      </c>
      <c r="AV347" s="1611">
        <f>201+105</f>
        <v>306</v>
      </c>
      <c r="AW347" s="1751" t="s">
        <v>249</v>
      </c>
      <c r="AX347" s="1752" t="s">
        <v>249</v>
      </c>
      <c r="AY347" s="1752" t="s">
        <v>249</v>
      </c>
      <c r="AZ347" s="1751" t="s">
        <v>249</v>
      </c>
      <c r="BA347" s="1751" t="s">
        <v>249</v>
      </c>
      <c r="BB347" s="1751" t="s">
        <v>249</v>
      </c>
      <c r="BC347" s="1752" t="s">
        <v>249</v>
      </c>
      <c r="BD347" s="1752" t="s">
        <v>249</v>
      </c>
      <c r="BE347" s="1751" t="s">
        <v>249</v>
      </c>
      <c r="BF347" s="1751" t="s">
        <v>249</v>
      </c>
      <c r="BG347" s="1751" t="s">
        <v>249</v>
      </c>
      <c r="BH347" s="1752" t="s">
        <v>249</v>
      </c>
      <c r="BI347" s="1752" t="s">
        <v>249</v>
      </c>
      <c r="BJ347" s="1751"/>
      <c r="BK347" s="1751"/>
      <c r="BL347" s="1751"/>
      <c r="BM347" s="1752"/>
      <c r="BN347" s="1724" t="s">
        <v>249</v>
      </c>
      <c r="BO347" s="1751"/>
      <c r="BP347" s="1751"/>
      <c r="BQ347" s="1751"/>
      <c r="BR347" s="1752"/>
      <c r="BS347" s="1724" t="s">
        <v>249</v>
      </c>
      <c r="BT347" s="1751"/>
      <c r="BU347" s="1751"/>
      <c r="BV347" s="1751"/>
      <c r="BW347" s="1752"/>
      <c r="BX347" s="1724" t="s">
        <v>249</v>
      </c>
      <c r="BY347" s="1725" t="s">
        <v>249</v>
      </c>
      <c r="BZ347" s="1725" t="s">
        <v>249</v>
      </c>
      <c r="CA347" s="1725" t="s">
        <v>249</v>
      </c>
      <c r="CF347" s="1495" t="str">
        <f t="shared" si="452"/>
        <v>Domestic</v>
      </c>
      <c r="CG347" s="1611"/>
      <c r="CH347" s="1611"/>
      <c r="CI347" s="1611"/>
      <c r="CJ347" s="1611"/>
      <c r="CK347" s="1611"/>
      <c r="CL347" s="1752"/>
      <c r="CM347" s="1495" t="str">
        <f t="shared" si="456"/>
        <v>--</v>
      </c>
      <c r="CN347" s="1495" t="str">
        <f t="shared" si="457"/>
        <v>--</v>
      </c>
      <c r="CO347" s="1495">
        <f t="shared" si="442"/>
        <v>797.8</v>
      </c>
      <c r="CP347" s="1495">
        <f t="shared" si="458"/>
        <v>828.2</v>
      </c>
      <c r="CQ347" s="1495">
        <f t="shared" si="459"/>
        <v>940</v>
      </c>
      <c r="CR347" s="1495">
        <f t="shared" si="460"/>
        <v>1049</v>
      </c>
      <c r="CS347" s="1495">
        <f t="shared" si="443"/>
        <v>1152</v>
      </c>
      <c r="CT347" s="1752" t="str">
        <f t="shared" si="444"/>
        <v>--</v>
      </c>
      <c r="CU347" s="1752" t="str">
        <f t="shared" si="445"/>
        <v>--</v>
      </c>
      <c r="CV347" s="1711" t="str">
        <f t="shared" si="461"/>
        <v>--</v>
      </c>
      <c r="CW347" s="1724" t="str">
        <f t="shared" si="462"/>
        <v>--</v>
      </c>
      <c r="CX347" s="1724" t="str">
        <f t="shared" si="446"/>
        <v>--</v>
      </c>
      <c r="CY347" s="1724" t="str">
        <f t="shared" si="463"/>
        <v>--</v>
      </c>
      <c r="CZ347" s="1725" t="str">
        <f t="shared" si="463"/>
        <v>--</v>
      </c>
      <c r="DA347" s="1725" t="str">
        <f t="shared" si="463"/>
        <v>--</v>
      </c>
      <c r="DB347" s="1725" t="str">
        <f t="shared" si="463"/>
        <v>--</v>
      </c>
    </row>
    <row r="348" spans="1:106" ht="11.25" hidden="1" customHeight="1">
      <c r="A348" s="1754" t="s">
        <v>288</v>
      </c>
      <c r="B348" s="1713"/>
      <c r="C348" s="1713"/>
      <c r="D348" s="1713"/>
      <c r="E348" s="1713"/>
      <c r="F348" s="1713"/>
      <c r="G348" s="1751"/>
      <c r="H348" s="1751"/>
      <c r="I348" s="1751"/>
      <c r="J348" s="1752"/>
      <c r="K348" s="1752"/>
      <c r="L348" s="1751"/>
      <c r="M348" s="1751"/>
      <c r="N348" s="1751"/>
      <c r="O348" s="1752"/>
      <c r="P348" s="1752"/>
      <c r="Q348" s="1751"/>
      <c r="R348" s="1751"/>
      <c r="S348" s="1751"/>
      <c r="T348" s="1752"/>
      <c r="U348" s="1752"/>
      <c r="V348" s="1751"/>
      <c r="W348" s="1751"/>
      <c r="X348" s="1751"/>
      <c r="Y348" s="1752"/>
      <c r="Z348" s="1752"/>
      <c r="AA348" s="1499">
        <f t="shared" ref="AA348:AV348" si="468">AA347/V347-1</f>
        <v>-4.4487427466150975E-2</v>
      </c>
      <c r="AB348" s="1499">
        <f t="shared" si="468"/>
        <v>3.3915211970074965E-2</v>
      </c>
      <c r="AC348" s="1499">
        <f t="shared" si="468"/>
        <v>6.8158168574401712E-2</v>
      </c>
      <c r="AD348" s="1499">
        <f t="shared" si="468"/>
        <v>9.9344427634896482E-2</v>
      </c>
      <c r="AE348" s="1314">
        <f t="shared" si="468"/>
        <v>3.8104788167460546E-2</v>
      </c>
      <c r="AF348" s="1499">
        <f t="shared" si="468"/>
        <v>0.16902834008097178</v>
      </c>
      <c r="AG348" s="1499">
        <f t="shared" si="468"/>
        <v>0.10950313555233948</v>
      </c>
      <c r="AH348" s="1499">
        <f t="shared" si="468"/>
        <v>0.17876278616658547</v>
      </c>
      <c r="AI348" s="1499">
        <f t="shared" si="468"/>
        <v>8.7155963302752326E-2</v>
      </c>
      <c r="AJ348" s="1314">
        <f t="shared" si="468"/>
        <v>0.13499154793528123</v>
      </c>
      <c r="AK348" s="1499">
        <f t="shared" si="468"/>
        <v>6.0606060606060552E-2</v>
      </c>
      <c r="AL348" s="1499">
        <f t="shared" si="468"/>
        <v>9.1304347826086873E-2</v>
      </c>
      <c r="AM348" s="1499">
        <f t="shared" si="468"/>
        <v>0.14049586776859502</v>
      </c>
      <c r="AN348" s="1499">
        <f t="shared" si="468"/>
        <v>0.16877637130801681</v>
      </c>
      <c r="AO348" s="1314">
        <f t="shared" si="468"/>
        <v>0.11595744680851072</v>
      </c>
      <c r="AP348" s="1499">
        <f t="shared" si="468"/>
        <v>0.13469387755102047</v>
      </c>
      <c r="AQ348" s="1499">
        <f t="shared" si="468"/>
        <v>0.15139442231075706</v>
      </c>
      <c r="AR348" s="1499">
        <f t="shared" si="468"/>
        <v>5.7971014492753659E-2</v>
      </c>
      <c r="AS348" s="1499">
        <f t="shared" si="468"/>
        <v>5.7761732851985492E-2</v>
      </c>
      <c r="AT348" s="1314">
        <f t="shared" si="468"/>
        <v>9.8188751191611079E-2</v>
      </c>
      <c r="AU348" s="1499">
        <f t="shared" si="468"/>
        <v>0.10431654676258995</v>
      </c>
      <c r="AV348" s="1499">
        <f t="shared" si="468"/>
        <v>5.8823529411764719E-2</v>
      </c>
      <c r="AW348" s="1751" t="s">
        <v>249</v>
      </c>
      <c r="AX348" s="1752" t="s">
        <v>249</v>
      </c>
      <c r="AY348" s="1752" t="s">
        <v>249</v>
      </c>
      <c r="AZ348" s="1751" t="s">
        <v>249</v>
      </c>
      <c r="BA348" s="1751" t="s">
        <v>249</v>
      </c>
      <c r="BB348" s="1751" t="s">
        <v>249</v>
      </c>
      <c r="BC348" s="1752" t="s">
        <v>249</v>
      </c>
      <c r="BD348" s="1752" t="s">
        <v>249</v>
      </c>
      <c r="BE348" s="1751" t="s">
        <v>249</v>
      </c>
      <c r="BF348" s="1751" t="s">
        <v>249</v>
      </c>
      <c r="BG348" s="1751" t="s">
        <v>249</v>
      </c>
      <c r="BH348" s="1752" t="s">
        <v>249</v>
      </c>
      <c r="BI348" s="1752" t="s">
        <v>249</v>
      </c>
      <c r="BJ348" s="1751"/>
      <c r="BK348" s="1751"/>
      <c r="BL348" s="1751"/>
      <c r="BM348" s="1752"/>
      <c r="BN348" s="1724" t="s">
        <v>249</v>
      </c>
      <c r="BO348" s="1751"/>
      <c r="BP348" s="1751"/>
      <c r="BQ348" s="1751"/>
      <c r="BR348" s="1752"/>
      <c r="BS348" s="1724" t="s">
        <v>249</v>
      </c>
      <c r="BT348" s="1751"/>
      <c r="BU348" s="1751"/>
      <c r="BV348" s="1751"/>
      <c r="BW348" s="1752"/>
      <c r="BX348" s="1724" t="s">
        <v>249</v>
      </c>
      <c r="BY348" s="1725" t="s">
        <v>249</v>
      </c>
      <c r="BZ348" s="1725" t="s">
        <v>249</v>
      </c>
      <c r="CA348" s="1725" t="s">
        <v>249</v>
      </c>
      <c r="CF348" s="1755" t="str">
        <f t="shared" si="452"/>
        <v>y/y change</v>
      </c>
      <c r="CG348" s="1713"/>
      <c r="CH348" s="1713"/>
      <c r="CI348" s="1713"/>
      <c r="CJ348" s="1713"/>
      <c r="CK348" s="1713"/>
      <c r="CL348" s="1752"/>
      <c r="CM348" s="1314">
        <f t="shared" si="456"/>
        <v>0</v>
      </c>
      <c r="CN348" s="1314">
        <f t="shared" si="457"/>
        <v>0</v>
      </c>
      <c r="CO348" s="1314">
        <f t="shared" si="442"/>
        <v>0</v>
      </c>
      <c r="CP348" s="1314">
        <f t="shared" si="458"/>
        <v>3.8104788167460546E-2</v>
      </c>
      <c r="CQ348" s="1314">
        <f t="shared" si="459"/>
        <v>0.13499154793528123</v>
      </c>
      <c r="CR348" s="1314">
        <f t="shared" si="460"/>
        <v>0.11595744680851072</v>
      </c>
      <c r="CS348" s="1314">
        <f t="shared" si="443"/>
        <v>9.8188751191611079E-2</v>
      </c>
      <c r="CT348" s="1752" t="str">
        <f t="shared" si="444"/>
        <v>--</v>
      </c>
      <c r="CU348" s="1752" t="str">
        <f t="shared" si="445"/>
        <v>--</v>
      </c>
      <c r="CV348" s="1711" t="str">
        <f t="shared" si="461"/>
        <v>--</v>
      </c>
      <c r="CW348" s="1724" t="str">
        <f t="shared" si="462"/>
        <v>--</v>
      </c>
      <c r="CX348" s="1724" t="str">
        <f t="shared" si="446"/>
        <v>--</v>
      </c>
      <c r="CY348" s="1724" t="str">
        <f t="shared" si="463"/>
        <v>--</v>
      </c>
      <c r="CZ348" s="1725" t="str">
        <f t="shared" si="463"/>
        <v>--</v>
      </c>
      <c r="DA348" s="1725" t="str">
        <f t="shared" si="463"/>
        <v>--</v>
      </c>
      <c r="DB348" s="1725" t="str">
        <f t="shared" si="463"/>
        <v>--</v>
      </c>
    </row>
    <row r="349" spans="1:106" ht="11.25" hidden="1" customHeight="1">
      <c r="A349" s="1498" t="s">
        <v>330</v>
      </c>
      <c r="B349" s="1713"/>
      <c r="C349" s="1713"/>
      <c r="D349" s="1713"/>
      <c r="E349" s="1713"/>
      <c r="F349" s="1713"/>
      <c r="G349" s="1751"/>
      <c r="H349" s="1751"/>
      <c r="I349" s="1751"/>
      <c r="J349" s="1752"/>
      <c r="K349" s="1752"/>
      <c r="L349" s="1751"/>
      <c r="M349" s="1751"/>
      <c r="N349" s="1751"/>
      <c r="O349" s="1752"/>
      <c r="P349" s="1752"/>
      <c r="Q349" s="1751"/>
      <c r="R349" s="1751"/>
      <c r="S349" s="1751"/>
      <c r="T349" s="1752"/>
      <c r="U349" s="1752"/>
      <c r="V349" s="1751"/>
      <c r="W349" s="1751"/>
      <c r="X349" s="1751"/>
      <c r="Y349" s="1752"/>
      <c r="Z349" s="1314">
        <f t="shared" ref="Z349:AV349" si="469">Z347/Z$20</f>
        <v>0.71117846318416833</v>
      </c>
      <c r="AA349" s="1499">
        <f t="shared" si="469"/>
        <v>0.70824372759856624</v>
      </c>
      <c r="AB349" s="1499">
        <f t="shared" si="469"/>
        <v>0.70510204081632655</v>
      </c>
      <c r="AC349" s="1499">
        <f t="shared" si="469"/>
        <v>0.69829931972789117</v>
      </c>
      <c r="AD349" s="1499">
        <f t="shared" si="469"/>
        <v>0.67701863354037262</v>
      </c>
      <c r="AE349" s="1314">
        <f t="shared" si="469"/>
        <v>0.69655172413793109</v>
      </c>
      <c r="AF349" s="1499">
        <f t="shared" si="469"/>
        <v>0.71296296296296291</v>
      </c>
      <c r="AG349" s="1499">
        <f t="shared" si="469"/>
        <v>0.69069069069069067</v>
      </c>
      <c r="AH349" s="1499">
        <f t="shared" si="469"/>
        <v>0.69340974212034379</v>
      </c>
      <c r="AI349" s="1499">
        <f t="shared" si="469"/>
        <v>0.68103448275862066</v>
      </c>
      <c r="AJ349" s="1314">
        <f t="shared" si="469"/>
        <v>0.69423929098966031</v>
      </c>
      <c r="AK349" s="1499">
        <f t="shared" si="469"/>
        <v>0.69405099150141647</v>
      </c>
      <c r="AL349" s="1499">
        <f t="shared" si="469"/>
        <v>0.68579234972677594</v>
      </c>
      <c r="AM349" s="1499">
        <f t="shared" si="469"/>
        <v>0.70229007633587781</v>
      </c>
      <c r="AN349" s="1499">
        <f t="shared" si="469"/>
        <v>0.6925</v>
      </c>
      <c r="AO349" s="1314">
        <f t="shared" si="469"/>
        <v>0.69378306878306883</v>
      </c>
      <c r="AP349" s="1499">
        <f t="shared" si="469"/>
        <v>0.6898263027295285</v>
      </c>
      <c r="AQ349" s="1499">
        <f t="shared" si="469"/>
        <v>0.70487804878048776</v>
      </c>
      <c r="AR349" s="1499">
        <f t="shared" si="469"/>
        <v>0.70023980815347719</v>
      </c>
      <c r="AS349" s="1499">
        <f t="shared" si="469"/>
        <v>0.67981438515081205</v>
      </c>
      <c r="AT349" s="1314">
        <f t="shared" si="469"/>
        <v>0.69355809753160746</v>
      </c>
      <c r="AU349" s="1499">
        <f t="shared" si="469"/>
        <v>0.70091324200913241</v>
      </c>
      <c r="AV349" s="1499">
        <f t="shared" si="469"/>
        <v>0.69545454545454544</v>
      </c>
      <c r="AW349" s="1751" t="s">
        <v>249</v>
      </c>
      <c r="AX349" s="1752" t="s">
        <v>249</v>
      </c>
      <c r="AY349" s="1752" t="s">
        <v>249</v>
      </c>
      <c r="AZ349" s="1751" t="s">
        <v>249</v>
      </c>
      <c r="BA349" s="1751" t="s">
        <v>249</v>
      </c>
      <c r="BB349" s="1751" t="s">
        <v>249</v>
      </c>
      <c r="BC349" s="1752" t="s">
        <v>249</v>
      </c>
      <c r="BD349" s="1752" t="s">
        <v>249</v>
      </c>
      <c r="BE349" s="1751" t="s">
        <v>249</v>
      </c>
      <c r="BF349" s="1751" t="s">
        <v>249</v>
      </c>
      <c r="BG349" s="1751" t="s">
        <v>249</v>
      </c>
      <c r="BH349" s="1752" t="s">
        <v>249</v>
      </c>
      <c r="BI349" s="1752" t="s">
        <v>249</v>
      </c>
      <c r="BJ349" s="1751"/>
      <c r="BK349" s="1751"/>
      <c r="BL349" s="1751"/>
      <c r="BM349" s="1752"/>
      <c r="BN349" s="1724" t="s">
        <v>249</v>
      </c>
      <c r="BO349" s="1751"/>
      <c r="BP349" s="1751"/>
      <c r="BQ349" s="1751"/>
      <c r="BR349" s="1752"/>
      <c r="BS349" s="1724" t="s">
        <v>249</v>
      </c>
      <c r="BT349" s="1751"/>
      <c r="BU349" s="1751"/>
      <c r="BV349" s="1751"/>
      <c r="BW349" s="1752"/>
      <c r="BX349" s="1724" t="s">
        <v>249</v>
      </c>
      <c r="BY349" s="1725" t="s">
        <v>249</v>
      </c>
      <c r="BZ349" s="1725" t="s">
        <v>249</v>
      </c>
      <c r="CA349" s="1725" t="s">
        <v>249</v>
      </c>
      <c r="CF349" s="1502" t="str">
        <f t="shared" si="452"/>
        <v>% of revenue</v>
      </c>
      <c r="CG349" s="1713"/>
      <c r="CH349" s="1713"/>
      <c r="CI349" s="1713"/>
      <c r="CJ349" s="1713"/>
      <c r="CK349" s="1713"/>
      <c r="CL349" s="1752"/>
      <c r="CM349" s="1314">
        <f t="shared" si="456"/>
        <v>0</v>
      </c>
      <c r="CN349" s="1314">
        <f t="shared" si="457"/>
        <v>0</v>
      </c>
      <c r="CO349" s="1314">
        <f t="shared" si="442"/>
        <v>0.71117846318416833</v>
      </c>
      <c r="CP349" s="1314">
        <f t="shared" si="458"/>
        <v>0.69655172413793109</v>
      </c>
      <c r="CQ349" s="1314">
        <f t="shared" si="459"/>
        <v>0.69423929098966031</v>
      </c>
      <c r="CR349" s="1314">
        <f t="shared" si="460"/>
        <v>0.69378306878306883</v>
      </c>
      <c r="CS349" s="1314">
        <f t="shared" si="443"/>
        <v>0.69355809753160746</v>
      </c>
      <c r="CT349" s="1752" t="str">
        <f t="shared" si="444"/>
        <v>--</v>
      </c>
      <c r="CU349" s="1752" t="str">
        <f t="shared" si="445"/>
        <v>--</v>
      </c>
      <c r="CV349" s="1711" t="str">
        <f t="shared" si="461"/>
        <v>--</v>
      </c>
      <c r="CW349" s="1724" t="str">
        <f t="shared" si="462"/>
        <v>--</v>
      </c>
      <c r="CX349" s="1724" t="str">
        <f t="shared" si="446"/>
        <v>--</v>
      </c>
      <c r="CY349" s="1724" t="str">
        <f t="shared" si="463"/>
        <v>--</v>
      </c>
      <c r="CZ349" s="1725" t="str">
        <f t="shared" si="463"/>
        <v>--</v>
      </c>
      <c r="DA349" s="1725" t="str">
        <f t="shared" si="463"/>
        <v>--</v>
      </c>
      <c r="DB349" s="1725" t="str">
        <f t="shared" si="463"/>
        <v>--</v>
      </c>
    </row>
    <row r="350" spans="1:106" ht="11.25" hidden="1" customHeight="1">
      <c r="A350" s="1754"/>
      <c r="B350" s="1713"/>
      <c r="C350" s="1713"/>
      <c r="D350" s="1713"/>
      <c r="E350" s="1713"/>
      <c r="F350" s="1713"/>
      <c r="G350" s="1751"/>
      <c r="H350" s="1751"/>
      <c r="I350" s="1751"/>
      <c r="J350" s="1752"/>
      <c r="K350" s="1752"/>
      <c r="L350" s="1751"/>
      <c r="M350" s="1751"/>
      <c r="N350" s="1751"/>
      <c r="O350" s="1752"/>
      <c r="P350" s="1752"/>
      <c r="Q350" s="1751"/>
      <c r="R350" s="1751"/>
      <c r="S350" s="1751"/>
      <c r="T350" s="1752"/>
      <c r="U350" s="1752"/>
      <c r="V350" s="1713"/>
      <c r="W350" s="1713"/>
      <c r="X350" s="1713"/>
      <c r="Y350" s="1499"/>
      <c r="Z350" s="1314"/>
      <c r="AA350" s="1499"/>
      <c r="AB350" s="1499"/>
      <c r="AC350" s="1499"/>
      <c r="AD350" s="1499"/>
      <c r="AE350" s="1314"/>
      <c r="AF350" s="1499"/>
      <c r="AG350" s="1499"/>
      <c r="AH350" s="1499"/>
      <c r="AI350" s="1499"/>
      <c r="AJ350" s="1314"/>
      <c r="AK350" s="1499"/>
      <c r="AL350" s="1499"/>
      <c r="AM350" s="1713"/>
      <c r="AN350" s="1499"/>
      <c r="AO350" s="1314"/>
      <c r="AP350" s="1499"/>
      <c r="AQ350" s="1499"/>
      <c r="AR350" s="1713"/>
      <c r="AS350" s="1499"/>
      <c r="AT350" s="1314"/>
      <c r="AU350" s="1499"/>
      <c r="AV350" s="1499"/>
      <c r="AW350" s="1499"/>
      <c r="AX350" s="1748"/>
      <c r="AY350" s="1748"/>
      <c r="AZ350" s="1499"/>
      <c r="BA350" s="1499"/>
      <c r="BB350" s="1499"/>
      <c r="BC350" s="1748"/>
      <c r="BD350" s="1748"/>
      <c r="BE350" s="1499"/>
      <c r="BF350" s="1499"/>
      <c r="BG350" s="1499"/>
      <c r="BH350" s="1748"/>
      <c r="BI350" s="1748"/>
      <c r="BJ350" s="1499"/>
      <c r="BK350" s="1499"/>
      <c r="BL350" s="1499"/>
      <c r="BM350" s="1748"/>
      <c r="BN350" s="1314"/>
      <c r="BO350" s="1499"/>
      <c r="BP350" s="1499"/>
      <c r="BQ350" s="1499"/>
      <c r="BR350" s="1748"/>
      <c r="BS350" s="1314"/>
      <c r="BT350" s="1499"/>
      <c r="BU350" s="1499"/>
      <c r="BV350" s="1499"/>
      <c r="BW350" s="1748"/>
      <c r="BX350" s="1314"/>
      <c r="BY350" s="1756"/>
      <c r="BZ350" s="1756"/>
      <c r="CA350" s="1756"/>
      <c r="CF350" s="1755">
        <f t="shared" si="452"/>
        <v>0</v>
      </c>
      <c r="CG350" s="1713"/>
      <c r="CH350" s="1713"/>
      <c r="CI350" s="1713"/>
      <c r="CJ350" s="1713"/>
      <c r="CK350" s="1713"/>
      <c r="CL350" s="1752"/>
      <c r="CM350" s="1314">
        <f t="shared" si="456"/>
        <v>0</v>
      </c>
      <c r="CN350" s="1314">
        <f t="shared" si="457"/>
        <v>0</v>
      </c>
      <c r="CO350" s="1314">
        <f t="shared" si="442"/>
        <v>0</v>
      </c>
      <c r="CP350" s="1314">
        <f t="shared" si="458"/>
        <v>0</v>
      </c>
      <c r="CQ350" s="1314">
        <f t="shared" si="459"/>
        <v>0</v>
      </c>
      <c r="CR350" s="1314">
        <f t="shared" si="460"/>
        <v>0</v>
      </c>
      <c r="CS350" s="1314">
        <f t="shared" si="443"/>
        <v>0</v>
      </c>
      <c r="CT350" s="1748">
        <f t="shared" si="444"/>
        <v>0</v>
      </c>
      <c r="CU350" s="1748">
        <f t="shared" si="445"/>
        <v>0</v>
      </c>
      <c r="CV350" s="1710">
        <f t="shared" si="461"/>
        <v>0</v>
      </c>
      <c r="CW350" s="1314">
        <f t="shared" si="462"/>
        <v>0</v>
      </c>
      <c r="CX350" s="1314">
        <f t="shared" si="446"/>
        <v>0</v>
      </c>
      <c r="CY350" s="1314">
        <f t="shared" si="463"/>
        <v>0</v>
      </c>
      <c r="CZ350" s="1756">
        <f t="shared" si="463"/>
        <v>0</v>
      </c>
      <c r="DA350" s="1756">
        <f t="shared" si="463"/>
        <v>0</v>
      </c>
      <c r="DB350" s="1756">
        <f t="shared" si="463"/>
        <v>0</v>
      </c>
    </row>
    <row r="351" spans="1:106" s="762" customFormat="1" ht="11.25" hidden="1" customHeight="1">
      <c r="A351" s="1611" t="s">
        <v>340</v>
      </c>
      <c r="B351" s="1611"/>
      <c r="C351" s="1611"/>
      <c r="D351" s="1611"/>
      <c r="E351" s="1611"/>
      <c r="F351" s="1611"/>
      <c r="G351" s="1751" t="s">
        <v>249</v>
      </c>
      <c r="H351" s="1751" t="s">
        <v>249</v>
      </c>
      <c r="I351" s="1751" t="s">
        <v>249</v>
      </c>
      <c r="J351" s="1752" t="s">
        <v>249</v>
      </c>
      <c r="K351" s="1752" t="s">
        <v>249</v>
      </c>
      <c r="L351" s="1751" t="s">
        <v>249</v>
      </c>
      <c r="M351" s="1751" t="s">
        <v>249</v>
      </c>
      <c r="N351" s="1751" t="s">
        <v>249</v>
      </c>
      <c r="O351" s="1752" t="s">
        <v>249</v>
      </c>
      <c r="P351" s="1752" t="s">
        <v>249</v>
      </c>
      <c r="Q351" s="1751" t="s">
        <v>249</v>
      </c>
      <c r="R351" s="1751" t="s">
        <v>249</v>
      </c>
      <c r="S351" s="1751" t="s">
        <v>249</v>
      </c>
      <c r="T351" s="1752" t="s">
        <v>249</v>
      </c>
      <c r="U351" s="1752" t="s">
        <v>249</v>
      </c>
      <c r="V351" s="1611">
        <v>72.7</v>
      </c>
      <c r="W351" s="1611">
        <v>81.8</v>
      </c>
      <c r="X351" s="1611">
        <v>81.400000000000006</v>
      </c>
      <c r="Y351" s="1611">
        <v>88.1</v>
      </c>
      <c r="Z351" s="1495">
        <f>SUM(V351:Y351)</f>
        <v>324</v>
      </c>
      <c r="AA351" s="1611">
        <v>81.2</v>
      </c>
      <c r="AB351" s="1611">
        <v>86.3</v>
      </c>
      <c r="AC351" s="1611">
        <v>89</v>
      </c>
      <c r="AD351" s="1611">
        <v>104</v>
      </c>
      <c r="AE351" s="1495">
        <f>SUM(AA351:AD351)</f>
        <v>360.5</v>
      </c>
      <c r="AF351" s="1611">
        <v>93</v>
      </c>
      <c r="AG351" s="1611">
        <v>103</v>
      </c>
      <c r="AH351" s="1611">
        <v>107</v>
      </c>
      <c r="AI351" s="1611">
        <f>90+21</f>
        <v>111</v>
      </c>
      <c r="AJ351" s="1495">
        <f>SUM(AF351:AI351)</f>
        <v>414</v>
      </c>
      <c r="AK351" s="1611">
        <f>88+20</f>
        <v>108</v>
      </c>
      <c r="AL351" s="1611">
        <f>95+20</f>
        <v>115</v>
      </c>
      <c r="AM351" s="1753">
        <f>93+24</f>
        <v>117</v>
      </c>
      <c r="AN351" s="1611">
        <f>99+23</f>
        <v>122</v>
      </c>
      <c r="AO351" s="1495">
        <f>SUM(AK351:AN351)</f>
        <v>462</v>
      </c>
      <c r="AP351" s="1611">
        <f>98+27</f>
        <v>125</v>
      </c>
      <c r="AQ351" s="1611">
        <f>97+24</f>
        <v>121</v>
      </c>
      <c r="AR351" s="1753">
        <f>100+25</f>
        <v>125</v>
      </c>
      <c r="AS351" s="1611">
        <f>107+31</f>
        <v>138</v>
      </c>
      <c r="AT351" s="1495">
        <f>SUM(AP351:AS351)</f>
        <v>509</v>
      </c>
      <c r="AU351" s="1611">
        <f>102+29</f>
        <v>131</v>
      </c>
      <c r="AV351" s="1611">
        <f>106+28</f>
        <v>134</v>
      </c>
      <c r="AW351" s="1751" t="s">
        <v>249</v>
      </c>
      <c r="AX351" s="1752" t="s">
        <v>249</v>
      </c>
      <c r="AY351" s="1752" t="s">
        <v>249</v>
      </c>
      <c r="AZ351" s="1751" t="s">
        <v>249</v>
      </c>
      <c r="BA351" s="1751" t="s">
        <v>249</v>
      </c>
      <c r="BB351" s="1751" t="s">
        <v>249</v>
      </c>
      <c r="BC351" s="1752" t="s">
        <v>249</v>
      </c>
      <c r="BD351" s="1752" t="s">
        <v>249</v>
      </c>
      <c r="BE351" s="1751" t="s">
        <v>249</v>
      </c>
      <c r="BF351" s="1751" t="s">
        <v>249</v>
      </c>
      <c r="BG351" s="1751" t="s">
        <v>249</v>
      </c>
      <c r="BH351" s="1752" t="s">
        <v>249</v>
      </c>
      <c r="BI351" s="1752" t="s">
        <v>249</v>
      </c>
      <c r="BJ351" s="1751"/>
      <c r="BK351" s="1751"/>
      <c r="BL351" s="1751"/>
      <c r="BM351" s="1752"/>
      <c r="BN351" s="1724" t="s">
        <v>249</v>
      </c>
      <c r="BO351" s="1751"/>
      <c r="BP351" s="1751"/>
      <c r="BQ351" s="1751"/>
      <c r="BR351" s="1752"/>
      <c r="BS351" s="1724" t="s">
        <v>249</v>
      </c>
      <c r="BT351" s="1751"/>
      <c r="BU351" s="1751"/>
      <c r="BV351" s="1751"/>
      <c r="BW351" s="1752"/>
      <c r="BX351" s="1724" t="s">
        <v>249</v>
      </c>
      <c r="BY351" s="1725" t="s">
        <v>249</v>
      </c>
      <c r="BZ351" s="1725" t="s">
        <v>249</v>
      </c>
      <c r="CA351" s="1725" t="s">
        <v>249</v>
      </c>
      <c r="CF351" s="1495" t="str">
        <f t="shared" si="452"/>
        <v>International</v>
      </c>
      <c r="CG351" s="1611"/>
      <c r="CH351" s="1611"/>
      <c r="CI351" s="1611"/>
      <c r="CJ351" s="1611"/>
      <c r="CK351" s="1611"/>
      <c r="CL351" s="1752"/>
      <c r="CM351" s="1495" t="str">
        <f t="shared" si="456"/>
        <v>--</v>
      </c>
      <c r="CN351" s="1495" t="str">
        <f t="shared" si="457"/>
        <v>--</v>
      </c>
      <c r="CO351" s="1495">
        <f t="shared" si="442"/>
        <v>324</v>
      </c>
      <c r="CP351" s="1495">
        <f t="shared" si="458"/>
        <v>360.5</v>
      </c>
      <c r="CQ351" s="1495">
        <f t="shared" si="459"/>
        <v>414</v>
      </c>
      <c r="CR351" s="1495">
        <f t="shared" si="460"/>
        <v>462</v>
      </c>
      <c r="CS351" s="1495">
        <f t="shared" si="443"/>
        <v>509</v>
      </c>
      <c r="CT351" s="1752" t="str">
        <f t="shared" si="444"/>
        <v>--</v>
      </c>
      <c r="CU351" s="1752" t="str">
        <f t="shared" si="445"/>
        <v>--</v>
      </c>
      <c r="CV351" s="1711" t="str">
        <f t="shared" si="461"/>
        <v>--</v>
      </c>
      <c r="CW351" s="1724" t="str">
        <f t="shared" si="462"/>
        <v>--</v>
      </c>
      <c r="CX351" s="1724" t="str">
        <f t="shared" si="446"/>
        <v>--</v>
      </c>
      <c r="CY351" s="1724" t="str">
        <f t="shared" si="463"/>
        <v>--</v>
      </c>
      <c r="CZ351" s="1725" t="str">
        <f t="shared" si="463"/>
        <v>--</v>
      </c>
      <c r="DA351" s="1725" t="str">
        <f t="shared" si="463"/>
        <v>--</v>
      </c>
      <c r="DB351" s="1725" t="str">
        <f t="shared" si="463"/>
        <v>--</v>
      </c>
    </row>
    <row r="352" spans="1:106" ht="11.25" hidden="1" customHeight="1">
      <c r="A352" s="1754" t="s">
        <v>288</v>
      </c>
      <c r="B352" s="1713"/>
      <c r="C352" s="1713"/>
      <c r="D352" s="1713"/>
      <c r="E352" s="1713"/>
      <c r="F352" s="1713"/>
      <c r="G352" s="1751"/>
      <c r="H352" s="1751"/>
      <c r="I352" s="1751"/>
      <c r="J352" s="1752"/>
      <c r="K352" s="1752"/>
      <c r="L352" s="1751"/>
      <c r="M352" s="1751"/>
      <c r="N352" s="1751"/>
      <c r="O352" s="1752"/>
      <c r="P352" s="1752"/>
      <c r="Q352" s="1751"/>
      <c r="R352" s="1751"/>
      <c r="S352" s="1751"/>
      <c r="T352" s="1752"/>
      <c r="U352" s="1752"/>
      <c r="V352" s="1751"/>
      <c r="W352" s="1751"/>
      <c r="X352" s="1751"/>
      <c r="Y352" s="1752"/>
      <c r="Z352" s="1752"/>
      <c r="AA352" s="1499">
        <f t="shared" ref="AA352:AV352" si="470">AA351/V351-1</f>
        <v>0.11691884456671242</v>
      </c>
      <c r="AB352" s="1499">
        <f t="shared" si="470"/>
        <v>5.5012224938875365E-2</v>
      </c>
      <c r="AC352" s="1499">
        <f t="shared" si="470"/>
        <v>9.3366093366093361E-2</v>
      </c>
      <c r="AD352" s="1499">
        <f t="shared" si="470"/>
        <v>0.18047673098751416</v>
      </c>
      <c r="AE352" s="1314">
        <f t="shared" si="470"/>
        <v>0.11265432098765427</v>
      </c>
      <c r="AF352" s="1499">
        <f t="shared" si="470"/>
        <v>0.14532019704433496</v>
      </c>
      <c r="AG352" s="1499">
        <f t="shared" si="470"/>
        <v>0.19351100811123989</v>
      </c>
      <c r="AH352" s="1499">
        <f t="shared" si="470"/>
        <v>0.202247191011236</v>
      </c>
      <c r="AI352" s="1499">
        <f t="shared" si="470"/>
        <v>6.7307692307692291E-2</v>
      </c>
      <c r="AJ352" s="1314">
        <f t="shared" si="470"/>
        <v>0.14840499306518717</v>
      </c>
      <c r="AK352" s="1499">
        <f t="shared" si="470"/>
        <v>0.16129032258064524</v>
      </c>
      <c r="AL352" s="1499">
        <f t="shared" si="470"/>
        <v>0.11650485436893199</v>
      </c>
      <c r="AM352" s="1499">
        <f t="shared" si="470"/>
        <v>9.3457943925233655E-2</v>
      </c>
      <c r="AN352" s="1499">
        <f t="shared" si="470"/>
        <v>9.9099099099099197E-2</v>
      </c>
      <c r="AO352" s="1314">
        <f t="shared" si="470"/>
        <v>0.11594202898550732</v>
      </c>
      <c r="AP352" s="1499">
        <f t="shared" si="470"/>
        <v>0.15740740740740744</v>
      </c>
      <c r="AQ352" s="1499">
        <f t="shared" si="470"/>
        <v>5.2173913043478182E-2</v>
      </c>
      <c r="AR352" s="1499">
        <f t="shared" si="470"/>
        <v>6.8376068376068355E-2</v>
      </c>
      <c r="AS352" s="1499">
        <f t="shared" si="470"/>
        <v>0.13114754098360648</v>
      </c>
      <c r="AT352" s="1314">
        <f t="shared" si="470"/>
        <v>0.10173160173160167</v>
      </c>
      <c r="AU352" s="1499">
        <f t="shared" si="470"/>
        <v>4.8000000000000043E-2</v>
      </c>
      <c r="AV352" s="1499">
        <f t="shared" si="470"/>
        <v>0.10743801652892571</v>
      </c>
      <c r="AW352" s="1751" t="s">
        <v>249</v>
      </c>
      <c r="AX352" s="1752" t="s">
        <v>249</v>
      </c>
      <c r="AY352" s="1752" t="s">
        <v>249</v>
      </c>
      <c r="AZ352" s="1751" t="s">
        <v>249</v>
      </c>
      <c r="BA352" s="1751" t="s">
        <v>249</v>
      </c>
      <c r="BB352" s="1751" t="s">
        <v>249</v>
      </c>
      <c r="BC352" s="1752" t="s">
        <v>249</v>
      </c>
      <c r="BD352" s="1752" t="s">
        <v>249</v>
      </c>
      <c r="BE352" s="1751" t="s">
        <v>249</v>
      </c>
      <c r="BF352" s="1751" t="s">
        <v>249</v>
      </c>
      <c r="BG352" s="1751" t="s">
        <v>249</v>
      </c>
      <c r="BH352" s="1752" t="s">
        <v>249</v>
      </c>
      <c r="BI352" s="1752" t="s">
        <v>249</v>
      </c>
      <c r="BJ352" s="1751"/>
      <c r="BK352" s="1751"/>
      <c r="BL352" s="1751"/>
      <c r="BM352" s="1752"/>
      <c r="BN352" s="1724" t="s">
        <v>249</v>
      </c>
      <c r="BO352" s="1751"/>
      <c r="BP352" s="1751"/>
      <c r="BQ352" s="1751"/>
      <c r="BR352" s="1752"/>
      <c r="BS352" s="1724" t="s">
        <v>249</v>
      </c>
      <c r="BT352" s="1751"/>
      <c r="BU352" s="1751"/>
      <c r="BV352" s="1751"/>
      <c r="BW352" s="1752"/>
      <c r="BX352" s="1724" t="s">
        <v>249</v>
      </c>
      <c r="BY352" s="1725" t="s">
        <v>249</v>
      </c>
      <c r="BZ352" s="1725" t="s">
        <v>249</v>
      </c>
      <c r="CA352" s="1725" t="s">
        <v>249</v>
      </c>
      <c r="CF352" s="1755" t="str">
        <f t="shared" si="452"/>
        <v>y/y change</v>
      </c>
      <c r="CG352" s="1713"/>
      <c r="CH352" s="1713"/>
      <c r="CI352" s="1713"/>
      <c r="CJ352" s="1713"/>
      <c r="CK352" s="1713"/>
      <c r="CL352" s="1752"/>
      <c r="CM352" s="1314">
        <f t="shared" si="456"/>
        <v>0</v>
      </c>
      <c r="CN352" s="1314">
        <f t="shared" si="457"/>
        <v>0</v>
      </c>
      <c r="CO352" s="1314">
        <f t="shared" si="442"/>
        <v>0</v>
      </c>
      <c r="CP352" s="1314">
        <f t="shared" si="458"/>
        <v>0.11265432098765427</v>
      </c>
      <c r="CQ352" s="1314">
        <f t="shared" si="459"/>
        <v>0.14840499306518717</v>
      </c>
      <c r="CR352" s="1314">
        <f t="shared" si="460"/>
        <v>0.11594202898550732</v>
      </c>
      <c r="CS352" s="1314">
        <f t="shared" si="443"/>
        <v>0.10173160173160167</v>
      </c>
      <c r="CT352" s="1752" t="str">
        <f t="shared" si="444"/>
        <v>--</v>
      </c>
      <c r="CU352" s="1752" t="str">
        <f t="shared" si="445"/>
        <v>--</v>
      </c>
      <c r="CV352" s="1711" t="str">
        <f t="shared" si="461"/>
        <v>--</v>
      </c>
      <c r="CW352" s="1724" t="str">
        <f t="shared" si="462"/>
        <v>--</v>
      </c>
      <c r="CX352" s="1724" t="str">
        <f t="shared" si="446"/>
        <v>--</v>
      </c>
      <c r="CY352" s="1724" t="str">
        <f t="shared" si="463"/>
        <v>--</v>
      </c>
      <c r="CZ352" s="1725" t="str">
        <f t="shared" si="463"/>
        <v>--</v>
      </c>
      <c r="DA352" s="1725" t="str">
        <f t="shared" si="463"/>
        <v>--</v>
      </c>
      <c r="DB352" s="1725" t="str">
        <f t="shared" si="463"/>
        <v>--</v>
      </c>
    </row>
    <row r="353" spans="1:106" ht="11.25" hidden="1" customHeight="1">
      <c r="A353" s="1714" t="s">
        <v>330</v>
      </c>
      <c r="B353" s="1710"/>
      <c r="C353" s="1710"/>
      <c r="D353" s="1710"/>
      <c r="E353" s="1710"/>
      <c r="F353" s="1710"/>
      <c r="G353" s="1711"/>
      <c r="H353" s="1711"/>
      <c r="I353" s="1711"/>
      <c r="J353" s="1711"/>
      <c r="K353" s="1757"/>
      <c r="L353" s="1711"/>
      <c r="M353" s="1711"/>
      <c r="N353" s="1711"/>
      <c r="O353" s="1711"/>
      <c r="P353" s="1757"/>
      <c r="Q353" s="1711"/>
      <c r="R353" s="1711"/>
      <c r="S353" s="1711"/>
      <c r="T353" s="1711"/>
      <c r="U353" s="1757"/>
      <c r="V353" s="1711"/>
      <c r="W353" s="1711"/>
      <c r="X353" s="1711"/>
      <c r="Y353" s="1711"/>
      <c r="Z353" s="1314">
        <f t="shared" ref="Z353:AV353" si="471">Z351/Z$20</f>
        <v>0.28882153681583173</v>
      </c>
      <c r="AA353" s="1313">
        <f t="shared" si="471"/>
        <v>0.29103942652329751</v>
      </c>
      <c r="AB353" s="1313">
        <f t="shared" si="471"/>
        <v>0.2935374149659864</v>
      </c>
      <c r="AC353" s="1313">
        <f t="shared" si="471"/>
        <v>0.30272108843537415</v>
      </c>
      <c r="AD353" s="1313">
        <f t="shared" si="471"/>
        <v>0.32298136645962733</v>
      </c>
      <c r="AE353" s="1314">
        <f t="shared" si="471"/>
        <v>0.30319596299411272</v>
      </c>
      <c r="AF353" s="1313">
        <f t="shared" si="471"/>
        <v>0.28703703703703703</v>
      </c>
      <c r="AG353" s="1313">
        <f t="shared" si="471"/>
        <v>0.30930930930930933</v>
      </c>
      <c r="AH353" s="1313">
        <f t="shared" si="471"/>
        <v>0.30659025787965616</v>
      </c>
      <c r="AI353" s="1313">
        <f t="shared" si="471"/>
        <v>0.31896551724137934</v>
      </c>
      <c r="AJ353" s="1314">
        <f t="shared" si="471"/>
        <v>0.30576070901033975</v>
      </c>
      <c r="AK353" s="1313">
        <f t="shared" si="471"/>
        <v>0.30594900849858359</v>
      </c>
      <c r="AL353" s="1313">
        <f t="shared" si="471"/>
        <v>0.31420765027322406</v>
      </c>
      <c r="AM353" s="1313">
        <f t="shared" si="471"/>
        <v>0.29770992366412213</v>
      </c>
      <c r="AN353" s="1313">
        <f t="shared" si="471"/>
        <v>0.30499999999999999</v>
      </c>
      <c r="AO353" s="1314">
        <f t="shared" si="471"/>
        <v>0.30555555555555558</v>
      </c>
      <c r="AP353" s="1313">
        <f t="shared" si="471"/>
        <v>0.31017369727047145</v>
      </c>
      <c r="AQ353" s="1313">
        <f t="shared" si="471"/>
        <v>0.29512195121951218</v>
      </c>
      <c r="AR353" s="1313">
        <f t="shared" si="471"/>
        <v>0.29976019184652281</v>
      </c>
      <c r="AS353" s="1313">
        <f t="shared" si="471"/>
        <v>0.32018561484918795</v>
      </c>
      <c r="AT353" s="1314">
        <f t="shared" si="471"/>
        <v>0.30644190246839254</v>
      </c>
      <c r="AU353" s="1313">
        <f t="shared" si="471"/>
        <v>0.29908675799086759</v>
      </c>
      <c r="AV353" s="1313">
        <f t="shared" si="471"/>
        <v>0.30454545454545456</v>
      </c>
      <c r="AW353" s="1711" t="s">
        <v>249</v>
      </c>
      <c r="AX353" s="1711" t="s">
        <v>249</v>
      </c>
      <c r="AY353" s="1757" t="s">
        <v>249</v>
      </c>
      <c r="AZ353" s="1711" t="s">
        <v>249</v>
      </c>
      <c r="BA353" s="1711" t="s">
        <v>249</v>
      </c>
      <c r="BB353" s="1711" t="s">
        <v>249</v>
      </c>
      <c r="BC353" s="1711" t="s">
        <v>249</v>
      </c>
      <c r="BD353" s="1757" t="s">
        <v>249</v>
      </c>
      <c r="BE353" s="1711" t="s">
        <v>249</v>
      </c>
      <c r="BF353" s="1711" t="s">
        <v>249</v>
      </c>
      <c r="BG353" s="1711" t="s">
        <v>249</v>
      </c>
      <c r="BH353" s="1711" t="s">
        <v>249</v>
      </c>
      <c r="BI353" s="1757" t="s">
        <v>249</v>
      </c>
      <c r="BJ353" s="1711"/>
      <c r="BK353" s="1711"/>
      <c r="BL353" s="1711"/>
      <c r="BM353" s="1711"/>
      <c r="BN353" s="1724" t="s">
        <v>249</v>
      </c>
      <c r="BO353" s="1711"/>
      <c r="BP353" s="1711"/>
      <c r="BQ353" s="1711"/>
      <c r="BR353" s="1711"/>
      <c r="BS353" s="1724" t="s">
        <v>249</v>
      </c>
      <c r="BT353" s="1711"/>
      <c r="BU353" s="1711"/>
      <c r="BV353" s="1711"/>
      <c r="BW353" s="1711"/>
      <c r="BX353" s="1724" t="s">
        <v>249</v>
      </c>
      <c r="BY353" s="1725" t="s">
        <v>249</v>
      </c>
      <c r="BZ353" s="1725" t="s">
        <v>249</v>
      </c>
      <c r="CA353" s="1725" t="s">
        <v>249</v>
      </c>
      <c r="CF353" s="1502" t="str">
        <f t="shared" si="452"/>
        <v>% of revenue</v>
      </c>
      <c r="CG353" s="1710"/>
      <c r="CH353" s="1710"/>
      <c r="CI353" s="1710"/>
      <c r="CJ353" s="1710"/>
      <c r="CK353" s="1710"/>
      <c r="CL353" s="1757"/>
      <c r="CM353" s="1314">
        <f t="shared" si="456"/>
        <v>0</v>
      </c>
      <c r="CN353" s="1314">
        <f t="shared" si="457"/>
        <v>0</v>
      </c>
      <c r="CO353" s="1314">
        <f t="shared" si="442"/>
        <v>0.28882153681583173</v>
      </c>
      <c r="CP353" s="1314">
        <f t="shared" si="458"/>
        <v>0.30319596299411272</v>
      </c>
      <c r="CQ353" s="1314">
        <f t="shared" si="459"/>
        <v>0.30576070901033975</v>
      </c>
      <c r="CR353" s="1314">
        <f t="shared" si="460"/>
        <v>0.30555555555555558</v>
      </c>
      <c r="CS353" s="1314">
        <f t="shared" si="443"/>
        <v>0.30644190246839254</v>
      </c>
      <c r="CT353" s="1757" t="str">
        <f t="shared" si="444"/>
        <v>--</v>
      </c>
      <c r="CU353" s="1757" t="str">
        <f t="shared" si="445"/>
        <v>--</v>
      </c>
      <c r="CV353" s="1758" t="str">
        <f t="shared" si="461"/>
        <v>--</v>
      </c>
      <c r="CW353" s="1724" t="str">
        <f t="shared" si="462"/>
        <v>--</v>
      </c>
      <c r="CX353" s="1724" t="str">
        <f t="shared" si="446"/>
        <v>--</v>
      </c>
      <c r="CY353" s="1724" t="str">
        <f t="shared" si="463"/>
        <v>--</v>
      </c>
      <c r="CZ353" s="1725" t="str">
        <f t="shared" si="463"/>
        <v>--</v>
      </c>
      <c r="DA353" s="1725" t="str">
        <f t="shared" si="463"/>
        <v>--</v>
      </c>
      <c r="DB353" s="1725" t="str">
        <f t="shared" si="463"/>
        <v>--</v>
      </c>
    </row>
    <row r="354" spans="1:106" ht="12" hidden="1" customHeight="1">
      <c r="A354" s="1754" t="s">
        <v>294</v>
      </c>
      <c r="B354" s="1500"/>
      <c r="C354" s="1500"/>
      <c r="D354" s="1500"/>
      <c r="E354" s="1500"/>
      <c r="F354" s="1500"/>
      <c r="G354" s="1751"/>
      <c r="H354" s="1751"/>
      <c r="I354" s="1751"/>
      <c r="J354" s="1711"/>
      <c r="K354" s="1500"/>
      <c r="L354" s="1751"/>
      <c r="M354" s="1751"/>
      <c r="N354" s="1751"/>
      <c r="O354" s="1752"/>
      <c r="P354" s="1314">
        <f>P20/K20-1</f>
        <v>0.14320388349514568</v>
      </c>
      <c r="Q354" s="1751"/>
      <c r="R354" s="1751"/>
      <c r="S354" s="1751"/>
      <c r="T354" s="1752"/>
      <c r="U354" s="1314">
        <f>U20/P20-1</f>
        <v>0.18205944798301488</v>
      </c>
      <c r="V354" s="1751"/>
      <c r="W354" s="1751"/>
      <c r="X354" s="1751"/>
      <c r="Y354" s="1752"/>
      <c r="Z354" s="1314">
        <f t="shared" ref="Z354:AV354" si="472">Z20/U20-1</f>
        <v>7.4539739559946749E-3</v>
      </c>
      <c r="AA354" s="1499">
        <f t="shared" si="472"/>
        <v>-2.1459227467811592E-3</v>
      </c>
      <c r="AB354" s="1499">
        <f t="shared" si="472"/>
        <v>4.144527098831019E-2</v>
      </c>
      <c r="AC354" s="1499">
        <f t="shared" si="472"/>
        <v>7.4561403508771829E-2</v>
      </c>
      <c r="AD354" s="1499">
        <f t="shared" si="472"/>
        <v>0.12469437652811721</v>
      </c>
      <c r="AE354" s="1314">
        <f t="shared" si="472"/>
        <v>5.9903726154394876E-2</v>
      </c>
      <c r="AF354" s="1499">
        <f t="shared" si="472"/>
        <v>0.16129032258064524</v>
      </c>
      <c r="AG354" s="1499">
        <f t="shared" si="472"/>
        <v>0.13265306122448983</v>
      </c>
      <c r="AH354" s="1499">
        <f t="shared" si="472"/>
        <v>0.18707482993197289</v>
      </c>
      <c r="AI354" s="1499">
        <f t="shared" si="472"/>
        <v>8.0745341614906874E-2</v>
      </c>
      <c r="AJ354" s="1314">
        <f t="shared" si="472"/>
        <v>0.13877207737594621</v>
      </c>
      <c r="AK354" s="1499">
        <f t="shared" si="472"/>
        <v>8.9506172839506126E-2</v>
      </c>
      <c r="AL354" s="1313">
        <f t="shared" si="472"/>
        <v>9.9099099099099197E-2</v>
      </c>
      <c r="AM354" s="1313">
        <f t="shared" si="472"/>
        <v>0.12607449856733521</v>
      </c>
      <c r="AN354" s="1499">
        <f t="shared" si="472"/>
        <v>0.14942528735632177</v>
      </c>
      <c r="AO354" s="1314">
        <f t="shared" si="472"/>
        <v>0.11669128508124071</v>
      </c>
      <c r="AP354" s="1499">
        <f t="shared" si="472"/>
        <v>0.14164305949008504</v>
      </c>
      <c r="AQ354" s="1313">
        <f t="shared" si="472"/>
        <v>0.12021857923497259</v>
      </c>
      <c r="AR354" s="1313">
        <f t="shared" si="472"/>
        <v>6.1068702290076438E-2</v>
      </c>
      <c r="AS354" s="1499">
        <f t="shared" si="472"/>
        <v>7.7499999999999902E-2</v>
      </c>
      <c r="AT354" s="1314">
        <f t="shared" si="472"/>
        <v>9.8544973544973491E-2</v>
      </c>
      <c r="AU354" s="1499">
        <f t="shared" si="472"/>
        <v>8.6848635235732052E-2</v>
      </c>
      <c r="AV354" s="1313">
        <f t="shared" si="472"/>
        <v>7.3170731707317138E-2</v>
      </c>
      <c r="AW354" s="1751" t="s">
        <v>249</v>
      </c>
      <c r="AX354" s="1752" t="s">
        <v>249</v>
      </c>
      <c r="AY354" s="1752" t="s">
        <v>249</v>
      </c>
      <c r="AZ354" s="1751" t="s">
        <v>249</v>
      </c>
      <c r="BA354" s="1751" t="s">
        <v>249</v>
      </c>
      <c r="BB354" s="1751" t="s">
        <v>249</v>
      </c>
      <c r="BC354" s="1752" t="s">
        <v>249</v>
      </c>
      <c r="BD354" s="1752" t="s">
        <v>249</v>
      </c>
      <c r="BE354" s="1751" t="s">
        <v>249</v>
      </c>
      <c r="BF354" s="1751" t="s">
        <v>249</v>
      </c>
      <c r="BG354" s="1751" t="s">
        <v>249</v>
      </c>
      <c r="BH354" s="1752" t="s">
        <v>249</v>
      </c>
      <c r="BI354" s="1752" t="s">
        <v>249</v>
      </c>
      <c r="BJ354" s="1751"/>
      <c r="BK354" s="1751"/>
      <c r="BL354" s="1751"/>
      <c r="BM354" s="1752"/>
      <c r="BN354" s="1724" t="s">
        <v>249</v>
      </c>
      <c r="BO354" s="1751"/>
      <c r="BP354" s="1751"/>
      <c r="BQ354" s="1751"/>
      <c r="BR354" s="1752"/>
      <c r="BS354" s="1724" t="s">
        <v>249</v>
      </c>
      <c r="BT354" s="1751"/>
      <c r="BU354" s="1751"/>
      <c r="BV354" s="1751"/>
      <c r="BW354" s="1752"/>
      <c r="BX354" s="1724" t="s">
        <v>249</v>
      </c>
      <c r="BY354" s="1725" t="s">
        <v>249</v>
      </c>
      <c r="BZ354" s="1725" t="s">
        <v>249</v>
      </c>
      <c r="CA354" s="1725" t="s">
        <v>249</v>
      </c>
      <c r="CF354" s="1755" t="str">
        <f t="shared" si="452"/>
        <v>y/y chg</v>
      </c>
      <c r="CG354" s="1501"/>
      <c r="CH354" s="1500"/>
      <c r="CI354" s="1500"/>
      <c r="CJ354" s="1500"/>
      <c r="CK354" s="1500"/>
      <c r="CL354" s="1500"/>
      <c r="CM354" s="1314">
        <f t="shared" si="456"/>
        <v>0.14320388349514568</v>
      </c>
      <c r="CN354" s="1314">
        <f t="shared" si="457"/>
        <v>0.18205944798301488</v>
      </c>
      <c r="CO354" s="1314">
        <f t="shared" si="442"/>
        <v>7.4539739559946749E-3</v>
      </c>
      <c r="CP354" s="1314">
        <f t="shared" si="458"/>
        <v>5.9903726154394876E-2</v>
      </c>
      <c r="CQ354" s="1314">
        <f t="shared" si="459"/>
        <v>0.13877207737594621</v>
      </c>
      <c r="CR354" s="1314">
        <f t="shared" si="460"/>
        <v>0.11669128508124071</v>
      </c>
      <c r="CS354" s="1314">
        <f t="shared" si="443"/>
        <v>9.8544973544973491E-2</v>
      </c>
      <c r="CT354" s="1752" t="str">
        <f t="shared" si="444"/>
        <v>--</v>
      </c>
      <c r="CU354" s="1752" t="str">
        <f t="shared" si="445"/>
        <v>--</v>
      </c>
      <c r="CV354" s="1711" t="str">
        <f t="shared" si="461"/>
        <v>--</v>
      </c>
      <c r="CW354" s="1724" t="str">
        <f t="shared" si="462"/>
        <v>--</v>
      </c>
      <c r="CX354" s="1724" t="str">
        <f t="shared" si="446"/>
        <v>--</v>
      </c>
      <c r="CY354" s="1724" t="str">
        <f t="shared" si="463"/>
        <v>--</v>
      </c>
      <c r="CZ354" s="1725" t="str">
        <f t="shared" si="463"/>
        <v>--</v>
      </c>
      <c r="DA354" s="1725" t="str">
        <f t="shared" si="463"/>
        <v>--</v>
      </c>
      <c r="DB354" s="1725" t="str">
        <f t="shared" si="463"/>
        <v>--</v>
      </c>
    </row>
    <row r="355" spans="1:106" ht="12" hidden="1" customHeight="1">
      <c r="A355" s="1759" t="s">
        <v>299</v>
      </c>
      <c r="B355" s="1760"/>
      <c r="C355" s="1760"/>
      <c r="D355" s="1760"/>
      <c r="E355" s="1760"/>
      <c r="F355" s="1760"/>
      <c r="G355" s="1761"/>
      <c r="H355" s="1761"/>
      <c r="I355" s="1761"/>
      <c r="J355" s="1762"/>
      <c r="K355" s="1315">
        <f>K20/K37</f>
        <v>0.13173461231015188</v>
      </c>
      <c r="L355" s="1761"/>
      <c r="M355" s="1761"/>
      <c r="N355" s="1761"/>
      <c r="O355" s="1762"/>
      <c r="P355" s="1315">
        <f>P20/P37</f>
        <v>0.13910218546958061</v>
      </c>
      <c r="Q355" s="1761"/>
      <c r="R355" s="1761"/>
      <c r="S355" s="1761"/>
      <c r="T355" s="1762"/>
      <c r="U355" s="1315">
        <f>U20/U37</f>
        <v>0.17520553016941676</v>
      </c>
      <c r="V355" s="1761"/>
      <c r="W355" s="1761"/>
      <c r="X355" s="1761"/>
      <c r="Y355" s="1762"/>
      <c r="Z355" s="1315">
        <f t="shared" ref="Z355:AR355" si="473">Z20/Z37</f>
        <v>0.19107802892231174</v>
      </c>
      <c r="AA355" s="1316">
        <f t="shared" si="473"/>
        <v>0.23825789923142612</v>
      </c>
      <c r="AB355" s="1316">
        <f t="shared" si="473"/>
        <v>0.20289855072463769</v>
      </c>
      <c r="AC355" s="1316">
        <f t="shared" si="473"/>
        <v>0.15030674846625766</v>
      </c>
      <c r="AD355" s="1316">
        <f t="shared" si="473"/>
        <v>0.21524064171122995</v>
      </c>
      <c r="AE355" s="1315">
        <f t="shared" si="473"/>
        <v>0.19581686429512515</v>
      </c>
      <c r="AF355" s="1316">
        <f t="shared" si="473"/>
        <v>0.25673534072900156</v>
      </c>
      <c r="AG355" s="1316">
        <f t="shared" si="473"/>
        <v>0.2138728323699422</v>
      </c>
      <c r="AH355" s="1316">
        <f t="shared" si="473"/>
        <v>0.18300996329313057</v>
      </c>
      <c r="AI355" s="1316">
        <f t="shared" si="473"/>
        <v>0.22894736842105262</v>
      </c>
      <c r="AJ355" s="1315">
        <f t="shared" si="473"/>
        <v>0.21677873839257125</v>
      </c>
      <c r="AK355" s="1316">
        <f t="shared" si="473"/>
        <v>0.34106280193236715</v>
      </c>
      <c r="AL355" s="1316">
        <f t="shared" si="473"/>
        <v>0.34141791044776121</v>
      </c>
      <c r="AM355" s="1316">
        <f t="shared" si="473"/>
        <v>0.35215053763440862</v>
      </c>
      <c r="AN355" s="1316">
        <f t="shared" si="473"/>
        <v>0.32626427406199021</v>
      </c>
      <c r="AO355" s="1315">
        <f t="shared" si="473"/>
        <v>0.33985165205664192</v>
      </c>
      <c r="AP355" s="1316">
        <f t="shared" si="473"/>
        <v>0.34123624047417445</v>
      </c>
      <c r="AQ355" s="1316">
        <f t="shared" si="473"/>
        <v>0.32800000000000001</v>
      </c>
      <c r="AR355" s="1316">
        <f t="shared" si="473"/>
        <v>0.36197916666666669</v>
      </c>
      <c r="AS355" s="1316">
        <f>AS20/AS30</f>
        <v>0.357379767827529</v>
      </c>
      <c r="AT355" s="1315">
        <f>AT20/AT30</f>
        <v>0.34683650031321778</v>
      </c>
      <c r="AU355" s="1316">
        <f>AU20/AU37</f>
        <v>0.36622073578595316</v>
      </c>
      <c r="AV355" s="1316">
        <f>AV20/AV37</f>
        <v>0.33794162826420893</v>
      </c>
      <c r="AW355" s="1761" t="s">
        <v>249</v>
      </c>
      <c r="AX355" s="1762" t="s">
        <v>249</v>
      </c>
      <c r="AY355" s="1762" t="s">
        <v>249</v>
      </c>
      <c r="AZ355" s="1761" t="s">
        <v>249</v>
      </c>
      <c r="BA355" s="1761" t="s">
        <v>249</v>
      </c>
      <c r="BB355" s="1761" t="s">
        <v>249</v>
      </c>
      <c r="BC355" s="1762" t="s">
        <v>249</v>
      </c>
      <c r="BD355" s="1762" t="s">
        <v>249</v>
      </c>
      <c r="BE355" s="1761" t="s">
        <v>249</v>
      </c>
      <c r="BF355" s="1761" t="s">
        <v>249</v>
      </c>
      <c r="BG355" s="1761" t="s">
        <v>249</v>
      </c>
      <c r="BH355" s="1762" t="s">
        <v>249</v>
      </c>
      <c r="BI355" s="1762" t="s">
        <v>249</v>
      </c>
      <c r="BJ355" s="1761"/>
      <c r="BK355" s="1761"/>
      <c r="BL355" s="1761"/>
      <c r="BM355" s="1762"/>
      <c r="BN355" s="1763" t="s">
        <v>249</v>
      </c>
      <c r="BO355" s="1761"/>
      <c r="BP355" s="1761"/>
      <c r="BQ355" s="1761"/>
      <c r="BR355" s="1762"/>
      <c r="BS355" s="1763" t="s">
        <v>249</v>
      </c>
      <c r="BT355" s="1761"/>
      <c r="BU355" s="1761"/>
      <c r="BV355" s="1761"/>
      <c r="BW355" s="1762"/>
      <c r="BX355" s="1763" t="s">
        <v>249</v>
      </c>
      <c r="BY355" s="1725" t="s">
        <v>249</v>
      </c>
      <c r="BZ355" s="1725" t="s">
        <v>249</v>
      </c>
      <c r="CA355" s="1725" t="s">
        <v>249</v>
      </c>
      <c r="CF355" s="1764" t="str">
        <f t="shared" si="452"/>
        <v>% of total revenue</v>
      </c>
      <c r="CG355" s="1765"/>
      <c r="CH355" s="1760"/>
      <c r="CI355" s="1760"/>
      <c r="CJ355" s="1760"/>
      <c r="CK355" s="1760"/>
      <c r="CL355" s="1315"/>
      <c r="CM355" s="1315">
        <f t="shared" si="456"/>
        <v>0.13910218546958061</v>
      </c>
      <c r="CN355" s="1315">
        <f t="shared" si="457"/>
        <v>0.17520553016941676</v>
      </c>
      <c r="CO355" s="1315">
        <f t="shared" si="442"/>
        <v>0.19107802892231174</v>
      </c>
      <c r="CP355" s="1315">
        <f t="shared" si="458"/>
        <v>0.19581686429512515</v>
      </c>
      <c r="CQ355" s="1315">
        <f t="shared" si="459"/>
        <v>0.21677873839257125</v>
      </c>
      <c r="CR355" s="1315">
        <f t="shared" si="460"/>
        <v>0.33985165205664192</v>
      </c>
      <c r="CS355" s="1315">
        <f t="shared" si="443"/>
        <v>0.34683650031321778</v>
      </c>
      <c r="CT355" s="1762" t="str">
        <f t="shared" si="444"/>
        <v>--</v>
      </c>
      <c r="CU355" s="1762" t="str">
        <f t="shared" si="445"/>
        <v>--</v>
      </c>
      <c r="CV355" s="1762" t="str">
        <f t="shared" si="461"/>
        <v>--</v>
      </c>
      <c r="CW355" s="1763" t="str">
        <f t="shared" si="462"/>
        <v>--</v>
      </c>
      <c r="CX355" s="1763" t="str">
        <f t="shared" si="446"/>
        <v>--</v>
      </c>
      <c r="CY355" s="1763" t="str">
        <f t="shared" si="463"/>
        <v>--</v>
      </c>
      <c r="CZ355" s="1725" t="str">
        <f t="shared" si="463"/>
        <v>--</v>
      </c>
      <c r="DA355" s="1725" t="str">
        <f t="shared" si="463"/>
        <v>--</v>
      </c>
      <c r="DB355" s="1725" t="str">
        <f t="shared" si="463"/>
        <v>--</v>
      </c>
    </row>
    <row r="356" spans="1:106" s="1286" customFormat="1" ht="11.25" customHeight="1">
      <c r="A356" s="2295" t="s">
        <v>365</v>
      </c>
      <c r="B356" s="1515"/>
      <c r="C356" s="1515"/>
      <c r="D356" s="1515"/>
      <c r="E356" s="1515"/>
      <c r="F356" s="1515"/>
      <c r="G356" s="1516"/>
      <c r="H356" s="1516"/>
      <c r="I356" s="1516"/>
      <c r="J356" s="1516"/>
      <c r="K356" s="1516"/>
      <c r="L356" s="1516"/>
      <c r="M356" s="1516"/>
      <c r="N356" s="1516"/>
      <c r="O356" s="1516"/>
      <c r="P356" s="1516"/>
      <c r="Q356" s="1516"/>
      <c r="R356" s="1516"/>
      <c r="S356" s="1516"/>
      <c r="T356" s="1516"/>
      <c r="U356" s="1516"/>
      <c r="V356" s="1515"/>
      <c r="W356" s="1515"/>
      <c r="X356" s="1515"/>
      <c r="Y356" s="1515"/>
      <c r="Z356" s="1515"/>
      <c r="AA356" s="1515"/>
      <c r="AB356" s="1515"/>
      <c r="AC356" s="1515"/>
      <c r="AD356" s="1515"/>
      <c r="AE356" s="1515"/>
      <c r="AF356" s="1515"/>
      <c r="AG356" s="1515"/>
      <c r="AH356" s="1515"/>
      <c r="AI356" s="1515"/>
      <c r="AJ356" s="1515"/>
      <c r="AK356" s="1515"/>
      <c r="AL356" s="1515"/>
      <c r="AM356" s="1515"/>
      <c r="AN356" s="1515"/>
      <c r="AO356" s="1515"/>
      <c r="AP356" s="1515"/>
      <c r="AQ356" s="1515"/>
      <c r="AR356" s="1515"/>
      <c r="AS356" s="1515"/>
      <c r="AT356" s="1515"/>
      <c r="AU356" s="1515"/>
      <c r="AV356" s="1515"/>
      <c r="AW356" s="1515"/>
      <c r="AX356" s="1515"/>
      <c r="AY356" s="1515"/>
      <c r="AZ356" s="1515"/>
      <c r="BA356" s="1515"/>
      <c r="BB356" s="1515"/>
      <c r="BC356" s="1515"/>
      <c r="BD356" s="1515"/>
      <c r="BE356" s="1515"/>
      <c r="BF356" s="1515"/>
      <c r="BG356" s="1515"/>
      <c r="BH356" s="1515"/>
      <c r="BI356" s="1515"/>
      <c r="BJ356" s="1515"/>
      <c r="BK356" s="1515"/>
      <c r="BL356" s="1515"/>
      <c r="BM356" s="1515"/>
      <c r="BN356" s="1515"/>
      <c r="BO356" s="1515"/>
      <c r="BP356" s="1515"/>
      <c r="BQ356" s="1515"/>
      <c r="BR356" s="1515"/>
      <c r="BS356" s="1515"/>
      <c r="BT356" s="1515"/>
      <c r="BU356" s="1515"/>
      <c r="BV356" s="1515"/>
      <c r="BW356" s="1515"/>
      <c r="BX356" s="1515"/>
      <c r="BY356" s="1517"/>
      <c r="BZ356" s="1517"/>
      <c r="CA356" s="1517"/>
      <c r="CF356" s="2297" t="str">
        <f t="shared" si="452"/>
        <v>Platts</v>
      </c>
      <c r="CG356" s="1515"/>
      <c r="CH356" s="1515"/>
      <c r="CI356" s="1515"/>
      <c r="CJ356" s="1515"/>
      <c r="CK356" s="1515"/>
      <c r="CL356" s="1516"/>
      <c r="CM356" s="1515"/>
      <c r="CN356" s="1515"/>
      <c r="CO356" s="1515"/>
      <c r="CP356" s="1515"/>
      <c r="CQ356" s="1515"/>
      <c r="CR356" s="1515"/>
      <c r="CS356" s="1515"/>
      <c r="CT356" s="1515"/>
      <c r="CU356" s="1515"/>
      <c r="CV356" s="1515"/>
      <c r="CW356" s="1515"/>
      <c r="CX356" s="1515"/>
      <c r="CY356" s="1515"/>
      <c r="CZ356" s="1517"/>
      <c r="DA356" s="1517"/>
      <c r="DB356" s="1517"/>
    </row>
    <row r="357" spans="1:106" s="1286" customFormat="1" ht="11.25" customHeight="1">
      <c r="A357" s="2296"/>
      <c r="B357" s="1518"/>
      <c r="C357" s="1518"/>
      <c r="D357" s="1518"/>
      <c r="E357" s="1518"/>
      <c r="F357" s="1518"/>
      <c r="G357" s="1519"/>
      <c r="H357" s="1519"/>
      <c r="I357" s="1519"/>
      <c r="J357" s="1519"/>
      <c r="K357" s="1519"/>
      <c r="L357" s="1519"/>
      <c r="M357" s="1519"/>
      <c r="N357" s="1519"/>
      <c r="O357" s="1519"/>
      <c r="P357" s="1519"/>
      <c r="Q357" s="1519"/>
      <c r="R357" s="1519"/>
      <c r="S357" s="1519"/>
      <c r="T357" s="1519"/>
      <c r="U357" s="1519"/>
      <c r="V357" s="1518"/>
      <c r="W357" s="1518"/>
      <c r="X357" s="1518"/>
      <c r="Y357" s="1518"/>
      <c r="Z357" s="1518"/>
      <c r="AA357" s="1518"/>
      <c r="AB357" s="1518"/>
      <c r="AC357" s="1518"/>
      <c r="AD357" s="1518"/>
      <c r="AE357" s="1518"/>
      <c r="AF357" s="1518"/>
      <c r="AG357" s="1518"/>
      <c r="AH357" s="1518"/>
      <c r="AI357" s="1518"/>
      <c r="AJ357" s="1518"/>
      <c r="AK357" s="1518"/>
      <c r="AL357" s="1518"/>
      <c r="AM357" s="1518"/>
      <c r="AN357" s="1518"/>
      <c r="AO357" s="1518"/>
      <c r="AP357" s="1518"/>
      <c r="AQ357" s="1518"/>
      <c r="AR357" s="1518"/>
      <c r="AS357" s="1518"/>
      <c r="AT357" s="1518"/>
      <c r="AU357" s="1518"/>
      <c r="AV357" s="1518"/>
      <c r="AW357" s="1518"/>
      <c r="AX357" s="1518"/>
      <c r="AY357" s="1518"/>
      <c r="AZ357" s="1518"/>
      <c r="BA357" s="1518"/>
      <c r="BB357" s="1518"/>
      <c r="BC357" s="1518"/>
      <c r="BD357" s="1518"/>
      <c r="BE357" s="1518"/>
      <c r="BF357" s="1518"/>
      <c r="BG357" s="1518"/>
      <c r="BH357" s="1518"/>
      <c r="BI357" s="1518"/>
      <c r="BJ357" s="1518"/>
      <c r="BK357" s="1518"/>
      <c r="BL357" s="1518"/>
      <c r="BM357" s="1518"/>
      <c r="BN357" s="1518"/>
      <c r="BO357" s="1518"/>
      <c r="BP357" s="1518"/>
      <c r="BQ357" s="1518"/>
      <c r="BR357" s="1518"/>
      <c r="BS357" s="1518"/>
      <c r="BT357" s="1518"/>
      <c r="BU357" s="1518"/>
      <c r="BV357" s="1518"/>
      <c r="BW357" s="1518"/>
      <c r="BX357" s="1518"/>
      <c r="BY357" s="1520"/>
      <c r="BZ357" s="1520"/>
      <c r="CA357" s="1520"/>
      <c r="CF357" s="2298">
        <f t="shared" si="452"/>
        <v>0</v>
      </c>
      <c r="CG357" s="1518"/>
      <c r="CH357" s="1518"/>
      <c r="CI357" s="1518"/>
      <c r="CJ357" s="1518"/>
      <c r="CK357" s="1518"/>
      <c r="CL357" s="1519"/>
      <c r="CM357" s="1518"/>
      <c r="CN357" s="1518"/>
      <c r="CO357" s="1518"/>
      <c r="CP357" s="1518"/>
      <c r="CQ357" s="1518"/>
      <c r="CR357" s="1518"/>
      <c r="CS357" s="1518"/>
      <c r="CT357" s="1518"/>
      <c r="CU357" s="1518"/>
      <c r="CV357" s="1518"/>
      <c r="CW357" s="1518"/>
      <c r="CX357" s="1518"/>
      <c r="CY357" s="1518"/>
      <c r="CZ357" s="1520"/>
      <c r="DA357" s="1520"/>
      <c r="DB357" s="1520"/>
    </row>
    <row r="358" spans="1:106" hidden="1" outlineLevel="1">
      <c r="A358" s="788" t="s">
        <v>546</v>
      </c>
      <c r="K358" s="1423"/>
      <c r="P358" s="1423"/>
      <c r="U358" s="1423"/>
      <c r="Z358" s="1423"/>
      <c r="AE358" s="1423"/>
      <c r="AJ358" s="1423"/>
      <c r="AO358" s="1423"/>
      <c r="AT358" s="1423"/>
      <c r="AY358" s="809"/>
      <c r="BC358" s="1399"/>
      <c r="BD358" s="1423"/>
      <c r="BE358" s="1766"/>
      <c r="BF358" s="1766"/>
      <c r="BG358" s="1766"/>
      <c r="BI358" s="1423"/>
      <c r="BL358" s="1766"/>
      <c r="BN358" s="1426"/>
      <c r="BS358" s="1426"/>
      <c r="BX358" s="1426"/>
      <c r="BY358" s="1422"/>
      <c r="BZ358" s="1422"/>
      <c r="CA358" s="1422"/>
      <c r="CF358" s="1421" t="str">
        <f t="shared" si="452"/>
        <v>Legacy Commodities and Commercial</v>
      </c>
      <c r="CG358" s="1271"/>
      <c r="CH358" s="1271"/>
      <c r="CI358" s="1271"/>
      <c r="CJ358" s="1271"/>
      <c r="CK358" s="1271"/>
      <c r="CL358" s="1423"/>
      <c r="CM358" s="1423"/>
      <c r="CN358" s="1423"/>
      <c r="CO358" s="1423"/>
      <c r="CP358" s="1423"/>
      <c r="CQ358" s="1423"/>
      <c r="CR358" s="1423"/>
      <c r="CS358" s="1423"/>
      <c r="CT358" s="809"/>
      <c r="CU358" s="1423"/>
      <c r="CV358" s="1425"/>
      <c r="CW358" s="1426"/>
      <c r="CX358" s="1426"/>
      <c r="CY358" s="1426"/>
      <c r="CZ358" s="1422"/>
      <c r="DA358" s="1422"/>
      <c r="DB358" s="1422"/>
    </row>
    <row r="359" spans="1:106" s="762" customFormat="1" hidden="1" outlineLevel="1">
      <c r="A359" s="762" t="s">
        <v>292</v>
      </c>
      <c r="B359" s="1287"/>
      <c r="C359" s="1287"/>
      <c r="D359" s="1287"/>
      <c r="E359" s="1287"/>
      <c r="F359" s="1287"/>
      <c r="G359" s="1319" t="s">
        <v>249</v>
      </c>
      <c r="H359" s="1319" t="s">
        <v>249</v>
      </c>
      <c r="I359" s="1319" t="s">
        <v>249</v>
      </c>
      <c r="J359" s="1278" t="s">
        <v>249</v>
      </c>
      <c r="K359" s="1278" t="s">
        <v>249</v>
      </c>
      <c r="L359" s="1319" t="s">
        <v>249</v>
      </c>
      <c r="M359" s="1319" t="s">
        <v>249</v>
      </c>
      <c r="N359" s="1319" t="s">
        <v>249</v>
      </c>
      <c r="O359" s="1278" t="s">
        <v>249</v>
      </c>
      <c r="P359" s="1278" t="s">
        <v>249</v>
      </c>
      <c r="Q359" s="1319" t="s">
        <v>249</v>
      </c>
      <c r="R359" s="1319" t="s">
        <v>249</v>
      </c>
      <c r="S359" s="1319" t="s">
        <v>249</v>
      </c>
      <c r="T359" s="1278" t="s">
        <v>249</v>
      </c>
      <c r="U359" s="1278" t="s">
        <v>249</v>
      </c>
      <c r="V359" s="1319" t="s">
        <v>249</v>
      </c>
      <c r="W359" s="1319" t="s">
        <v>249</v>
      </c>
      <c r="X359" s="1319" t="s">
        <v>249</v>
      </c>
      <c r="Y359" s="1278" t="s">
        <v>249</v>
      </c>
      <c r="Z359" s="1278" t="s">
        <v>249</v>
      </c>
      <c r="AA359" s="762">
        <f t="shared" ref="AA359:AV359" si="474">AA22</f>
        <v>83</v>
      </c>
      <c r="AB359" s="762">
        <f t="shared" si="474"/>
        <v>85</v>
      </c>
      <c r="AC359" s="762">
        <f t="shared" si="474"/>
        <v>85</v>
      </c>
      <c r="AD359" s="762">
        <f t="shared" si="474"/>
        <v>91</v>
      </c>
      <c r="AE359" s="1270">
        <f t="shared" si="474"/>
        <v>344</v>
      </c>
      <c r="AF359" s="762">
        <f t="shared" si="474"/>
        <v>97</v>
      </c>
      <c r="AG359" s="762">
        <f t="shared" si="474"/>
        <v>101</v>
      </c>
      <c r="AH359" s="762">
        <f t="shared" si="474"/>
        <v>108</v>
      </c>
      <c r="AI359" s="762">
        <f t="shared" si="474"/>
        <v>113</v>
      </c>
      <c r="AJ359" s="1270">
        <f t="shared" si="474"/>
        <v>419</v>
      </c>
      <c r="AK359" s="762">
        <f t="shared" si="474"/>
        <v>118</v>
      </c>
      <c r="AL359" s="762">
        <f t="shared" si="474"/>
        <v>120</v>
      </c>
      <c r="AM359" s="1344">
        <f t="shared" si="474"/>
        <v>121</v>
      </c>
      <c r="AN359" s="762">
        <f t="shared" si="474"/>
        <v>129</v>
      </c>
      <c r="AO359" s="1270">
        <f t="shared" si="474"/>
        <v>488</v>
      </c>
      <c r="AP359" s="762">
        <f t="shared" si="474"/>
        <v>130</v>
      </c>
      <c r="AQ359" s="762">
        <f t="shared" si="474"/>
        <v>137</v>
      </c>
      <c r="AR359" s="1344">
        <f t="shared" si="474"/>
        <v>142</v>
      </c>
      <c r="AS359" s="762">
        <f t="shared" si="474"/>
        <v>141</v>
      </c>
      <c r="AT359" s="1270">
        <f t="shared" si="474"/>
        <v>550</v>
      </c>
      <c r="AU359" s="762">
        <f t="shared" si="474"/>
        <v>148</v>
      </c>
      <c r="AV359" s="762">
        <f t="shared" si="474"/>
        <v>149</v>
      </c>
      <c r="AW359" s="1767">
        <f>+AR359*(1+AW360)</f>
        <v>152.65</v>
      </c>
      <c r="AX359" s="1767">
        <f>+AS359*(1+AX360)</f>
        <v>151.57499999999999</v>
      </c>
      <c r="AY359" s="1270">
        <f>AY22</f>
        <v>601.22499999999991</v>
      </c>
      <c r="AZ359" s="1253">
        <f>+AU359*(1+AZ360)</f>
        <v>159.84</v>
      </c>
      <c r="BA359" s="1253">
        <f>+AV359*(1+BA360)</f>
        <v>160.92000000000002</v>
      </c>
      <c r="BB359" s="1253">
        <f>+AW359*(1+BB360)</f>
        <v>163.33550000000002</v>
      </c>
      <c r="BC359" s="1253">
        <f>+BH367/1.12</f>
        <v>167.85714285714283</v>
      </c>
      <c r="BD359" s="1270">
        <f>BD22</f>
        <v>651.95264285714279</v>
      </c>
      <c r="BE359" s="1253">
        <v>174</v>
      </c>
      <c r="BF359" s="1253">
        <f>+BA359*(1+BF360)</f>
        <v>172.18440000000004</v>
      </c>
      <c r="BG359" s="2179">
        <v>174</v>
      </c>
      <c r="BH359" s="2211">
        <f>+BH367</f>
        <v>188</v>
      </c>
      <c r="BI359" s="1270">
        <f>SUM(BE359:BH359)</f>
        <v>708.1844000000001</v>
      </c>
      <c r="BJ359" s="2211">
        <f>+BJ367</f>
        <v>191</v>
      </c>
      <c r="BK359" s="2211">
        <f>+BK367</f>
        <v>192</v>
      </c>
      <c r="BL359" s="2212">
        <f>+BL367</f>
        <v>193</v>
      </c>
      <c r="BM359" s="2212">
        <f>+BM367</f>
        <v>197</v>
      </c>
      <c r="BN359" s="1270">
        <f>SUM(BJ359:BM359)</f>
        <v>773</v>
      </c>
      <c r="BO359" s="1253"/>
      <c r="BP359" s="1253"/>
      <c r="BQ359" s="1253"/>
      <c r="BR359" s="1253"/>
      <c r="BS359" s="1270"/>
      <c r="BT359" s="1253"/>
      <c r="BU359" s="1253"/>
      <c r="BV359" s="1253"/>
      <c r="BW359" s="1253"/>
      <c r="BX359" s="1270"/>
      <c r="BY359" s="1270"/>
      <c r="BZ359" s="1270"/>
      <c r="CA359" s="1270"/>
      <c r="CF359" s="1270" t="str">
        <f t="shared" si="452"/>
        <v>Commodities</v>
      </c>
      <c r="CL359" s="1278"/>
      <c r="CM359" s="1270"/>
      <c r="CN359" s="1270"/>
      <c r="CO359" s="1270"/>
      <c r="CP359" s="1270">
        <f t="shared" si="458"/>
        <v>344</v>
      </c>
      <c r="CQ359" s="1270">
        <f t="shared" si="459"/>
        <v>419</v>
      </c>
      <c r="CR359" s="1270">
        <f t="shared" si="460"/>
        <v>488</v>
      </c>
      <c r="CS359" s="1270">
        <f>+AT359</f>
        <v>550</v>
      </c>
      <c r="CT359" s="1270">
        <f>+AY359</f>
        <v>601.22499999999991</v>
      </c>
      <c r="CU359" s="1270">
        <f>+BD359</f>
        <v>651.95264285714279</v>
      </c>
      <c r="CV359" s="1270">
        <f t="shared" si="461"/>
        <v>708.1844000000001</v>
      </c>
      <c r="CW359" s="1270">
        <f t="shared" si="462"/>
        <v>773</v>
      </c>
      <c r="CX359" s="1270">
        <f>+BS359</f>
        <v>0</v>
      </c>
      <c r="CY359" s="1270">
        <f t="shared" si="463"/>
        <v>0</v>
      </c>
      <c r="CZ359" s="1270">
        <f t="shared" si="463"/>
        <v>0</v>
      </c>
      <c r="DA359" s="1270">
        <f t="shared" si="463"/>
        <v>0</v>
      </c>
      <c r="DB359" s="1270">
        <f t="shared" si="463"/>
        <v>0</v>
      </c>
    </row>
    <row r="360" spans="1:106" ht="12" hidden="1" customHeight="1" outlineLevel="1">
      <c r="A360" s="1485" t="s">
        <v>294</v>
      </c>
      <c r="B360" s="1265"/>
      <c r="C360" s="1265"/>
      <c r="D360" s="1265"/>
      <c r="E360" s="1265"/>
      <c r="F360" s="1265"/>
      <c r="G360" s="1319"/>
      <c r="H360" s="1319"/>
      <c r="I360" s="1319"/>
      <c r="J360" s="1278"/>
      <c r="K360" s="1278"/>
      <c r="L360" s="1319"/>
      <c r="M360" s="1319"/>
      <c r="N360" s="1319"/>
      <c r="O360" s="1278"/>
      <c r="P360" s="1278"/>
      <c r="Q360" s="1319"/>
      <c r="R360" s="1319"/>
      <c r="S360" s="1319"/>
      <c r="T360" s="1278"/>
      <c r="U360" s="1278"/>
      <c r="V360" s="1319"/>
      <c r="W360" s="1319"/>
      <c r="X360" s="1319"/>
      <c r="Y360" s="1278"/>
      <c r="Z360" s="1278"/>
      <c r="AA360" s="1319"/>
      <c r="AB360" s="1319"/>
      <c r="AC360" s="1319"/>
      <c r="AD360" s="1278"/>
      <c r="AE360" s="1278"/>
      <c r="AF360" s="1408">
        <f t="shared" ref="AF360:AV360" si="475">AF22/AA22-1</f>
        <v>0.16867469879518082</v>
      </c>
      <c r="AG360" s="1408">
        <f t="shared" si="475"/>
        <v>0.18823529411764706</v>
      </c>
      <c r="AH360" s="1408">
        <f t="shared" si="475"/>
        <v>0.27058823529411757</v>
      </c>
      <c r="AI360" s="1408">
        <f t="shared" si="475"/>
        <v>0.24175824175824179</v>
      </c>
      <c r="AJ360" s="1342">
        <f t="shared" si="475"/>
        <v>0.21802325581395343</v>
      </c>
      <c r="AK360" s="1408">
        <f t="shared" si="475"/>
        <v>0.21649484536082464</v>
      </c>
      <c r="AL360" s="1610">
        <f t="shared" si="475"/>
        <v>0.18811881188118806</v>
      </c>
      <c r="AM360" s="1610">
        <f t="shared" si="475"/>
        <v>0.12037037037037046</v>
      </c>
      <c r="AN360" s="1408">
        <f t="shared" si="475"/>
        <v>0.1415929203539823</v>
      </c>
      <c r="AO360" s="1342">
        <f t="shared" si="475"/>
        <v>0.1646778042959427</v>
      </c>
      <c r="AP360" s="1408">
        <f t="shared" si="475"/>
        <v>0.10169491525423724</v>
      </c>
      <c r="AQ360" s="1610">
        <f t="shared" si="475"/>
        <v>0.14166666666666661</v>
      </c>
      <c r="AR360" s="1610">
        <f t="shared" si="475"/>
        <v>0.17355371900826455</v>
      </c>
      <c r="AS360" s="1408">
        <f t="shared" si="475"/>
        <v>9.3023255813953432E-2</v>
      </c>
      <c r="AT360" s="1342">
        <f t="shared" si="475"/>
        <v>0.12704918032786883</v>
      </c>
      <c r="AU360" s="1408">
        <f t="shared" si="475"/>
        <v>0.13846153846153841</v>
      </c>
      <c r="AV360" s="1610">
        <f t="shared" si="475"/>
        <v>8.7591240875912302E-2</v>
      </c>
      <c r="AW360" s="792">
        <v>7.4999999999999997E-2</v>
      </c>
      <c r="AX360" s="792">
        <v>7.4999999999999997E-2</v>
      </c>
      <c r="AY360" s="1342">
        <f>AY22/AT22-1</f>
        <v>9.3136363636363573E-2</v>
      </c>
      <c r="AZ360" s="792">
        <v>0.08</v>
      </c>
      <c r="BA360" s="792">
        <v>0.08</v>
      </c>
      <c r="BB360" s="792">
        <v>7.0000000000000007E-2</v>
      </c>
      <c r="BC360" s="792">
        <v>0.05</v>
      </c>
      <c r="BD360" s="1342">
        <f>BD22/AY22-1</f>
        <v>8.4373808236754666E-2</v>
      </c>
      <c r="BE360" s="792">
        <v>0.1</v>
      </c>
      <c r="BF360" s="792">
        <v>7.0000000000000007E-2</v>
      </c>
      <c r="BG360" s="792">
        <v>0.04</v>
      </c>
      <c r="BH360" s="792">
        <f>+BH376</f>
        <v>0.05</v>
      </c>
      <c r="BI360" s="1342"/>
      <c r="BJ360" s="792">
        <v>0.04</v>
      </c>
      <c r="BK360" s="792">
        <v>0.04</v>
      </c>
      <c r="BL360" s="792">
        <v>0.06</v>
      </c>
      <c r="BM360" s="792">
        <v>0.05</v>
      </c>
      <c r="BN360" s="1342"/>
      <c r="BO360" s="792"/>
      <c r="BP360" s="792"/>
      <c r="BQ360" s="792"/>
      <c r="BR360" s="792"/>
      <c r="BS360" s="1342"/>
      <c r="BT360" s="792"/>
      <c r="BU360" s="792"/>
      <c r="BV360" s="792"/>
      <c r="BW360" s="792"/>
      <c r="BX360" s="1342"/>
      <c r="BY360" s="793"/>
      <c r="BZ360" s="793"/>
      <c r="CA360" s="793"/>
      <c r="CF360" s="1487" t="str">
        <f t="shared" si="452"/>
        <v>y/y chg</v>
      </c>
      <c r="CG360" s="1272"/>
      <c r="CH360" s="1264"/>
      <c r="CI360" s="1264"/>
      <c r="CJ360" s="1264"/>
      <c r="CK360" s="1264"/>
      <c r="CL360" s="1278"/>
      <c r="CM360" s="1278"/>
      <c r="CN360" s="1278"/>
      <c r="CO360" s="1278"/>
      <c r="CP360" s="1278"/>
      <c r="CQ360" s="1342">
        <f t="shared" si="459"/>
        <v>0.21802325581395343</v>
      </c>
      <c r="CR360" s="1342">
        <f t="shared" si="460"/>
        <v>0.1646778042959427</v>
      </c>
      <c r="CS360" s="1342">
        <f>+AT360</f>
        <v>0.12704918032786883</v>
      </c>
      <c r="CT360" s="1342">
        <f>+AY360</f>
        <v>9.3136363636363573E-2</v>
      </c>
      <c r="CU360" s="1342">
        <f>+BD360</f>
        <v>8.4373808236754666E-2</v>
      </c>
      <c r="CV360" s="1342">
        <f t="shared" si="461"/>
        <v>0</v>
      </c>
      <c r="CW360" s="792">
        <f t="shared" si="462"/>
        <v>0</v>
      </c>
      <c r="CX360" s="793">
        <f>+BS360</f>
        <v>0</v>
      </c>
      <c r="CY360" s="793">
        <f t="shared" si="463"/>
        <v>0</v>
      </c>
      <c r="CZ360" s="793">
        <f t="shared" si="463"/>
        <v>0</v>
      </c>
      <c r="DA360" s="793">
        <f t="shared" si="463"/>
        <v>0</v>
      </c>
      <c r="DB360" s="793">
        <f t="shared" si="463"/>
        <v>0</v>
      </c>
    </row>
    <row r="361" spans="1:106" ht="6" hidden="1" customHeight="1" collapsed="1">
      <c r="A361" s="1769"/>
      <c r="B361" s="1560"/>
      <c r="C361" s="1560"/>
      <c r="D361" s="1560"/>
      <c r="E361" s="1560"/>
      <c r="F361" s="1560"/>
      <c r="G361" s="1560"/>
      <c r="H361" s="1267"/>
      <c r="I361" s="1267"/>
      <c r="J361" s="1267"/>
      <c r="K361" s="1269"/>
      <c r="L361" s="1267"/>
      <c r="M361" s="1267"/>
      <c r="N361" s="1267"/>
      <c r="O361" s="1267"/>
      <c r="P361" s="1269"/>
      <c r="Q361" s="1267"/>
      <c r="R361" s="1267"/>
      <c r="S361" s="1267"/>
      <c r="T361" s="1267"/>
      <c r="U361" s="1269"/>
      <c r="V361" s="1267"/>
      <c r="W361" s="1267"/>
      <c r="X361" s="1267"/>
      <c r="Y361" s="1770"/>
      <c r="Z361" s="1269"/>
      <c r="AA361" s="1770"/>
      <c r="AB361" s="1770"/>
      <c r="AC361" s="1770"/>
      <c r="AD361" s="1770"/>
      <c r="AE361" s="1346"/>
      <c r="AF361" s="1770"/>
      <c r="AG361" s="1770"/>
      <c r="AH361" s="1770"/>
      <c r="AI361" s="1770"/>
      <c r="AJ361" s="1346"/>
      <c r="AK361" s="1770"/>
      <c r="AL361" s="1347"/>
      <c r="AM361" s="1347"/>
      <c r="AN361" s="1770"/>
      <c r="AO361" s="1346"/>
      <c r="AP361" s="1770"/>
      <c r="AQ361" s="1347"/>
      <c r="AR361" s="1347"/>
      <c r="AS361" s="1770"/>
      <c r="AT361" s="1346"/>
      <c r="AU361" s="1267"/>
      <c r="AV361" s="1267"/>
      <c r="AW361" s="1583"/>
      <c r="AX361" s="1583"/>
      <c r="AY361" s="1346"/>
      <c r="AZ361" s="1583"/>
      <c r="BA361" s="1583"/>
      <c r="BB361" s="1583"/>
      <c r="BC361" s="1583"/>
      <c r="BD361" s="1346"/>
      <c r="BE361" s="1583"/>
      <c r="BF361" s="1583"/>
      <c r="BG361" s="1771"/>
      <c r="BH361" s="1583"/>
      <c r="BI361" s="1346"/>
      <c r="BJ361" s="1583"/>
      <c r="BK361" s="1583"/>
      <c r="BL361" s="1771"/>
      <c r="BM361" s="1583"/>
      <c r="BN361" s="1269"/>
      <c r="BO361" s="1583"/>
      <c r="BP361" s="1583"/>
      <c r="BQ361" s="1583"/>
      <c r="BR361" s="1583"/>
      <c r="BS361" s="1269"/>
      <c r="BT361" s="1583"/>
      <c r="BU361" s="1583"/>
      <c r="BV361" s="1583"/>
      <c r="BW361" s="1583"/>
      <c r="BX361" s="1269"/>
      <c r="BY361" s="1489"/>
      <c r="BZ361" s="1489"/>
      <c r="CA361" s="1489"/>
      <c r="CB361" s="1398"/>
      <c r="CC361" s="1398"/>
      <c r="CD361" s="1398"/>
      <c r="CE361" s="1398"/>
      <c r="CF361" s="1772"/>
      <c r="CG361" s="1489"/>
      <c r="CH361" s="1269"/>
      <c r="CI361" s="1269"/>
      <c r="CJ361" s="1269"/>
      <c r="CK361" s="1269"/>
      <c r="CL361" s="1269"/>
      <c r="CM361" s="1346"/>
      <c r="CN361" s="1346"/>
      <c r="CO361" s="1346"/>
      <c r="CP361" s="1346"/>
      <c r="CQ361" s="1346"/>
      <c r="CR361" s="1346"/>
      <c r="CS361" s="1346"/>
      <c r="CT361" s="1346"/>
      <c r="CU361" s="1346"/>
      <c r="CV361" s="1346"/>
      <c r="CW361" s="1269"/>
      <c r="CX361" s="1269"/>
      <c r="CY361" s="1269"/>
      <c r="CZ361" s="1489"/>
      <c r="DA361" s="1489"/>
      <c r="DB361" s="1489"/>
    </row>
    <row r="362" spans="1:106" s="762" customFormat="1" hidden="1">
      <c r="A362" s="762" t="s">
        <v>293</v>
      </c>
      <c r="B362" s="1287"/>
      <c r="C362" s="1287"/>
      <c r="D362" s="1287"/>
      <c r="E362" s="1287"/>
      <c r="F362" s="1287"/>
      <c r="G362" s="1319" t="s">
        <v>249</v>
      </c>
      <c r="H362" s="1319" t="s">
        <v>249</v>
      </c>
      <c r="I362" s="1319" t="s">
        <v>249</v>
      </c>
      <c r="J362" s="1278" t="s">
        <v>249</v>
      </c>
      <c r="K362" s="1278" t="s">
        <v>249</v>
      </c>
      <c r="L362" s="1319" t="s">
        <v>249</v>
      </c>
      <c r="M362" s="1319" t="s">
        <v>249</v>
      </c>
      <c r="N362" s="1319" t="s">
        <v>249</v>
      </c>
      <c r="O362" s="1278" t="s">
        <v>249</v>
      </c>
      <c r="P362" s="1278" t="s">
        <v>249</v>
      </c>
      <c r="Q362" s="1319" t="s">
        <v>249</v>
      </c>
      <c r="R362" s="1319" t="s">
        <v>249</v>
      </c>
      <c r="S362" s="1319" t="s">
        <v>249</v>
      </c>
      <c r="T362" s="1278" t="s">
        <v>249</v>
      </c>
      <c r="U362" s="1278" t="s">
        <v>249</v>
      </c>
      <c r="V362" s="1319" t="s">
        <v>249</v>
      </c>
      <c r="W362" s="1319" t="s">
        <v>249</v>
      </c>
      <c r="X362" s="1319" t="s">
        <v>249</v>
      </c>
      <c r="Y362" s="1278" t="s">
        <v>249</v>
      </c>
      <c r="Z362" s="1278" t="s">
        <v>249</v>
      </c>
      <c r="AA362" s="762">
        <f t="shared" ref="AA362:AV362" si="476">AA23</f>
        <v>104</v>
      </c>
      <c r="AB362" s="762">
        <f t="shared" si="476"/>
        <v>114</v>
      </c>
      <c r="AC362" s="762">
        <f t="shared" si="476"/>
        <v>119</v>
      </c>
      <c r="AD362" s="762">
        <f t="shared" si="476"/>
        <v>130</v>
      </c>
      <c r="AE362" s="1270">
        <f t="shared" si="476"/>
        <v>467</v>
      </c>
      <c r="AF362" s="762">
        <f t="shared" si="476"/>
        <v>110</v>
      </c>
      <c r="AG362" s="762">
        <f t="shared" si="476"/>
        <v>121</v>
      </c>
      <c r="AH362" s="762">
        <f t="shared" si="476"/>
        <v>120</v>
      </c>
      <c r="AI362" s="762">
        <f t="shared" si="476"/>
        <v>126</v>
      </c>
      <c r="AJ362" s="1270">
        <f t="shared" si="476"/>
        <v>477</v>
      </c>
      <c r="AK362" s="762">
        <f t="shared" si="476"/>
        <v>115</v>
      </c>
      <c r="AL362" s="762">
        <f t="shared" si="476"/>
        <v>120</v>
      </c>
      <c r="AM362" s="1344">
        <f t="shared" si="476"/>
        <v>118</v>
      </c>
      <c r="AN362" s="762">
        <f t="shared" si="476"/>
        <v>131</v>
      </c>
      <c r="AO362" s="1270">
        <f t="shared" si="476"/>
        <v>484</v>
      </c>
      <c r="AP362" s="762">
        <f t="shared" si="476"/>
        <v>106</v>
      </c>
      <c r="AQ362" s="762">
        <f t="shared" si="476"/>
        <v>122</v>
      </c>
      <c r="AR362" s="1344">
        <f t="shared" si="476"/>
        <v>71</v>
      </c>
      <c r="AS362" s="762">
        <f t="shared" si="476"/>
        <v>79</v>
      </c>
      <c r="AT362" s="1270">
        <f t="shared" si="476"/>
        <v>378</v>
      </c>
      <c r="AU362" s="762">
        <f t="shared" si="476"/>
        <v>61</v>
      </c>
      <c r="AV362" s="762">
        <f t="shared" si="476"/>
        <v>72</v>
      </c>
      <c r="AW362" s="1253">
        <f>+AW367-AW359</f>
        <v>74.349999999999994</v>
      </c>
      <c r="AX362" s="1253">
        <f>+AX367-AX359</f>
        <v>84.425000000000011</v>
      </c>
      <c r="AY362" s="1270">
        <f>AY23</f>
        <v>291.77499999999998</v>
      </c>
      <c r="AZ362" s="1253">
        <f>+AZ367-AZ359</f>
        <v>65.16</v>
      </c>
      <c r="BA362" s="1253">
        <f>+BA367-BA359</f>
        <v>73.079999999999984</v>
      </c>
      <c r="BB362" s="1253">
        <f>+BB367-BB359</f>
        <v>84.664499999999975</v>
      </c>
      <c r="BC362" s="1253">
        <f>+BC367-BC359</f>
        <v>96.142857142857167</v>
      </c>
      <c r="BD362" s="1270">
        <f>BD23</f>
        <v>319.04735714285709</v>
      </c>
      <c r="BE362" s="1253">
        <f>+BE367-BE359</f>
        <v>80</v>
      </c>
      <c r="BF362" s="1253">
        <f>+BF367-BF359</f>
        <v>82.815599999999961</v>
      </c>
      <c r="BG362" s="1768">
        <f>+BG367-BG359</f>
        <v>55</v>
      </c>
      <c r="BH362" s="1278"/>
      <c r="BI362" s="1278"/>
      <c r="BJ362" s="1319"/>
      <c r="BK362" s="1319"/>
      <c r="BL362" s="1768"/>
      <c r="BM362" s="1278"/>
      <c r="BN362" s="1278"/>
      <c r="BO362" s="1319"/>
      <c r="BP362" s="1319"/>
      <c r="BQ362" s="1319"/>
      <c r="BR362" s="1278"/>
      <c r="BS362" s="1278"/>
      <c r="BT362" s="1319"/>
      <c r="BU362" s="1319"/>
      <c r="BV362" s="1319"/>
      <c r="BW362" s="1278"/>
      <c r="BX362" s="1278"/>
      <c r="BY362" s="1670"/>
      <c r="BZ362" s="1670"/>
      <c r="CA362" s="1670"/>
      <c r="CF362" s="1270" t="str">
        <f t="shared" si="452"/>
        <v>Commercial</v>
      </c>
      <c r="CL362" s="1278"/>
      <c r="CM362" s="1270"/>
      <c r="CN362" s="1270"/>
      <c r="CO362" s="1270"/>
      <c r="CP362" s="1270">
        <f t="shared" si="458"/>
        <v>467</v>
      </c>
      <c r="CQ362" s="1270">
        <f t="shared" si="459"/>
        <v>477</v>
      </c>
      <c r="CR362" s="1270">
        <f t="shared" si="460"/>
        <v>484</v>
      </c>
      <c r="CS362" s="1270">
        <f>+AT362</f>
        <v>378</v>
      </c>
      <c r="CT362" s="1270">
        <f>+AY362</f>
        <v>291.77499999999998</v>
      </c>
      <c r="CU362" s="1270">
        <f>+BD362</f>
        <v>319.04735714285709</v>
      </c>
      <c r="CV362" s="1623">
        <f t="shared" si="461"/>
        <v>0</v>
      </c>
      <c r="CW362" s="1773">
        <f t="shared" si="462"/>
        <v>0</v>
      </c>
      <c r="CX362" s="1773">
        <f>+BS362</f>
        <v>0</v>
      </c>
      <c r="CY362" s="1773">
        <f t="shared" si="463"/>
        <v>0</v>
      </c>
      <c r="CZ362" s="1773">
        <f t="shared" si="463"/>
        <v>0</v>
      </c>
      <c r="DA362" s="1773">
        <f t="shared" si="463"/>
        <v>0</v>
      </c>
      <c r="DB362" s="1773">
        <f t="shared" si="463"/>
        <v>0</v>
      </c>
    </row>
    <row r="363" spans="1:106" ht="12" hidden="1" customHeight="1">
      <c r="A363" s="1485" t="s">
        <v>294</v>
      </c>
      <c r="B363" s="1265"/>
      <c r="C363" s="1265"/>
      <c r="D363" s="1265"/>
      <c r="E363" s="1265"/>
      <c r="F363" s="1265"/>
      <c r="G363" s="1319"/>
      <c r="H363" s="1319"/>
      <c r="I363" s="1319"/>
      <c r="J363" s="1278"/>
      <c r="K363" s="1278"/>
      <c r="L363" s="1319"/>
      <c r="M363" s="1319"/>
      <c r="N363" s="1319"/>
      <c r="O363" s="1278"/>
      <c r="P363" s="1278"/>
      <c r="Q363" s="1319"/>
      <c r="R363" s="1319"/>
      <c r="S363" s="1319"/>
      <c r="T363" s="1278"/>
      <c r="U363" s="1278"/>
      <c r="V363" s="1319"/>
      <c r="W363" s="1319"/>
      <c r="X363" s="1319"/>
      <c r="Y363" s="1278"/>
      <c r="Z363" s="1278"/>
      <c r="AA363" s="1319"/>
      <c r="AB363" s="1319"/>
      <c r="AC363" s="1319"/>
      <c r="AD363" s="1278"/>
      <c r="AE363" s="1278"/>
      <c r="AF363" s="1408">
        <f t="shared" ref="AF363:AV363" si="477">AF23/AA23-1</f>
        <v>5.7692307692307709E-2</v>
      </c>
      <c r="AG363" s="1408">
        <f t="shared" si="477"/>
        <v>6.1403508771929793E-2</v>
      </c>
      <c r="AH363" s="1408">
        <f t="shared" si="477"/>
        <v>8.4033613445377853E-3</v>
      </c>
      <c r="AI363" s="1408">
        <f t="shared" si="477"/>
        <v>-3.0769230769230771E-2</v>
      </c>
      <c r="AJ363" s="1342">
        <f t="shared" si="477"/>
        <v>2.1413276231263323E-2</v>
      </c>
      <c r="AK363" s="1408">
        <f t="shared" si="477"/>
        <v>4.5454545454545414E-2</v>
      </c>
      <c r="AL363" s="1610">
        <f t="shared" si="477"/>
        <v>-8.2644628099173278E-3</v>
      </c>
      <c r="AM363" s="1610">
        <f t="shared" si="477"/>
        <v>-1.6666666666666718E-2</v>
      </c>
      <c r="AN363" s="1408">
        <f t="shared" si="477"/>
        <v>3.9682539682539764E-2</v>
      </c>
      <c r="AO363" s="1342">
        <f t="shared" si="477"/>
        <v>1.467505241090139E-2</v>
      </c>
      <c r="AP363" s="1408">
        <f t="shared" si="477"/>
        <v>-7.8260869565217384E-2</v>
      </c>
      <c r="AQ363" s="1610">
        <f t="shared" si="477"/>
        <v>1.6666666666666607E-2</v>
      </c>
      <c r="AR363" s="1610">
        <f t="shared" si="477"/>
        <v>-0.39830508474576276</v>
      </c>
      <c r="AS363" s="1408">
        <f t="shared" si="477"/>
        <v>-0.39694656488549618</v>
      </c>
      <c r="AT363" s="1342">
        <f t="shared" si="477"/>
        <v>-0.21900826446280997</v>
      </c>
      <c r="AU363" s="1408">
        <f t="shared" si="477"/>
        <v>-0.42452830188679247</v>
      </c>
      <c r="AV363" s="1610">
        <f t="shared" si="477"/>
        <v>-0.4098360655737705</v>
      </c>
      <c r="AW363" s="694">
        <f>+AW362/AR362-1</f>
        <v>4.7183098591549122E-2</v>
      </c>
      <c r="AX363" s="694">
        <f>+AX362/AS362-1</f>
        <v>6.8670886075949511E-2</v>
      </c>
      <c r="AY363" s="1342">
        <f>AY23/AT23-1</f>
        <v>-0.22810846560846565</v>
      </c>
      <c r="AZ363" s="694">
        <f>+AZ362/AU362-1</f>
        <v>6.8196721311475361E-2</v>
      </c>
      <c r="BA363" s="694">
        <f>+BA362/AV362-1</f>
        <v>1.499999999999968E-2</v>
      </c>
      <c r="BB363" s="694">
        <f>+BB362/AW362-1</f>
        <v>0.13872898453261584</v>
      </c>
      <c r="BC363" s="694">
        <f>+BC362/AX362-1</f>
        <v>0.13879605736283285</v>
      </c>
      <c r="BD363" s="1342">
        <f>BD23/AY23-1</f>
        <v>9.3470506872957326E-2</v>
      </c>
      <c r="BE363" s="694">
        <f>+BE362/AZ362-1</f>
        <v>0.22774708410067523</v>
      </c>
      <c r="BF363" s="694">
        <f>+BF362/BA362-1</f>
        <v>0.13321839080459741</v>
      </c>
      <c r="BG363" s="694">
        <f>+BG362/BB362-1</f>
        <v>-0.35037707657873118</v>
      </c>
      <c r="BH363" s="1278"/>
      <c r="BI363" s="1278"/>
      <c r="BJ363" s="1319"/>
      <c r="BK363" s="1319"/>
      <c r="BL363" s="694"/>
      <c r="BM363" s="1278"/>
      <c r="BN363" s="1278"/>
      <c r="BO363" s="1319"/>
      <c r="BP363" s="1319"/>
      <c r="BQ363" s="1319"/>
      <c r="BR363" s="1278"/>
      <c r="BS363" s="1278"/>
      <c r="BT363" s="1319"/>
      <c r="BU363" s="1319"/>
      <c r="BV363" s="1319"/>
      <c r="BW363" s="1278"/>
      <c r="BX363" s="1278"/>
      <c r="BY363" s="1670"/>
      <c r="BZ363" s="1670"/>
      <c r="CA363" s="1670"/>
      <c r="CF363" s="1487" t="str">
        <f t="shared" si="452"/>
        <v>y/y chg</v>
      </c>
      <c r="CG363" s="1272"/>
      <c r="CH363" s="1264"/>
      <c r="CI363" s="1264"/>
      <c r="CJ363" s="1264"/>
      <c r="CK363" s="1264"/>
      <c r="CL363" s="1278"/>
      <c r="CM363" s="1278"/>
      <c r="CN363" s="1278"/>
      <c r="CO363" s="1278"/>
      <c r="CP363" s="1278"/>
      <c r="CQ363" s="1342">
        <f t="shared" si="459"/>
        <v>2.1413276231263323E-2</v>
      </c>
      <c r="CR363" s="1342">
        <f t="shared" si="460"/>
        <v>1.467505241090139E-2</v>
      </c>
      <c r="CS363" s="1342">
        <f>+AT363</f>
        <v>-0.21900826446280997</v>
      </c>
      <c r="CT363" s="1342">
        <f>+AY363</f>
        <v>-0.22810846560846565</v>
      </c>
      <c r="CU363" s="1342">
        <f>+BD363</f>
        <v>9.3470506872957326E-2</v>
      </c>
      <c r="CV363" s="1342">
        <f t="shared" si="461"/>
        <v>0</v>
      </c>
      <c r="CW363" s="1774">
        <f t="shared" si="462"/>
        <v>0</v>
      </c>
      <c r="CX363" s="1774">
        <f>+BS363</f>
        <v>0</v>
      </c>
      <c r="CY363" s="1774">
        <f t="shared" si="463"/>
        <v>0</v>
      </c>
      <c r="CZ363" s="1774">
        <f t="shared" si="463"/>
        <v>0</v>
      </c>
      <c r="DA363" s="1774">
        <f t="shared" si="463"/>
        <v>0</v>
      </c>
      <c r="DB363" s="1774">
        <f t="shared" si="463"/>
        <v>0</v>
      </c>
    </row>
    <row r="364" spans="1:106" ht="6" hidden="1" customHeight="1">
      <c r="A364" s="1769"/>
      <c r="B364" s="1560"/>
      <c r="C364" s="1560"/>
      <c r="D364" s="1560"/>
      <c r="E364" s="1560"/>
      <c r="F364" s="1560"/>
      <c r="G364" s="1560"/>
      <c r="H364" s="1267"/>
      <c r="I364" s="1267"/>
      <c r="J364" s="1267"/>
      <c r="K364" s="1269"/>
      <c r="L364" s="1267"/>
      <c r="M364" s="1267"/>
      <c r="N364" s="1267"/>
      <c r="O364" s="1267"/>
      <c r="P364" s="1269"/>
      <c r="Q364" s="1267"/>
      <c r="R364" s="1267"/>
      <c r="S364" s="1267"/>
      <c r="T364" s="1267"/>
      <c r="U364" s="1269"/>
      <c r="V364" s="1267"/>
      <c r="W364" s="1267"/>
      <c r="X364" s="1267"/>
      <c r="Y364" s="1770"/>
      <c r="Z364" s="1269"/>
      <c r="AA364" s="1770"/>
      <c r="AB364" s="1770"/>
      <c r="AC364" s="1770"/>
      <c r="AD364" s="1770"/>
      <c r="AE364" s="1346"/>
      <c r="AF364" s="1770"/>
      <c r="AG364" s="1770"/>
      <c r="AH364" s="1770"/>
      <c r="AI364" s="1770"/>
      <c r="AJ364" s="1346"/>
      <c r="AK364" s="1770"/>
      <c r="AL364" s="1347"/>
      <c r="AM364" s="1347"/>
      <c r="AN364" s="1770"/>
      <c r="AO364" s="1346"/>
      <c r="AP364" s="1770"/>
      <c r="AQ364" s="1347"/>
      <c r="AR364" s="1347"/>
      <c r="AS364" s="1770"/>
      <c r="AT364" s="1346"/>
      <c r="AU364" s="1267"/>
      <c r="AV364" s="1267"/>
      <c r="AW364" s="1267"/>
      <c r="AX364" s="1267"/>
      <c r="AY364" s="1346"/>
      <c r="AZ364" s="1267"/>
      <c r="BA364" s="1267"/>
      <c r="BB364" s="1267"/>
      <c r="BC364" s="1267"/>
      <c r="BD364" s="1346"/>
      <c r="BE364" s="1267"/>
      <c r="BF364" s="1267"/>
      <c r="BG364" s="1267"/>
      <c r="BH364" s="1267"/>
      <c r="BI364" s="1346"/>
      <c r="BJ364" s="1267"/>
      <c r="BK364" s="1267"/>
      <c r="BL364" s="1267"/>
      <c r="BM364" s="1267"/>
      <c r="BN364" s="1269"/>
      <c r="BO364" s="1267"/>
      <c r="BP364" s="1267"/>
      <c r="BQ364" s="1267"/>
      <c r="BR364" s="1267"/>
      <c r="BS364" s="1269"/>
      <c r="BT364" s="1267"/>
      <c r="BU364" s="1267"/>
      <c r="BV364" s="1267"/>
      <c r="BW364" s="1267"/>
      <c r="BX364" s="1269"/>
      <c r="BY364" s="1489"/>
      <c r="BZ364" s="1489"/>
      <c r="CA364" s="1489"/>
      <c r="CB364" s="1398"/>
      <c r="CC364" s="1398"/>
      <c r="CD364" s="1398"/>
      <c r="CE364" s="1398"/>
      <c r="CF364" s="1772"/>
      <c r="CG364" s="1489"/>
      <c r="CH364" s="1269"/>
      <c r="CI364" s="1269"/>
      <c r="CJ364" s="1269"/>
      <c r="CK364" s="1269"/>
      <c r="CL364" s="1269"/>
      <c r="CM364" s="1346"/>
      <c r="CN364" s="1346"/>
      <c r="CO364" s="1346"/>
      <c r="CP364" s="1346"/>
      <c r="CQ364" s="1346"/>
      <c r="CR364" s="1346"/>
      <c r="CS364" s="1346"/>
      <c r="CT364" s="1346"/>
      <c r="CU364" s="1346"/>
      <c r="CV364" s="1348"/>
      <c r="CW364" s="1269"/>
      <c r="CX364" s="1269"/>
      <c r="CY364" s="1269"/>
      <c r="CZ364" s="1489"/>
      <c r="DA364" s="1489"/>
      <c r="DB364" s="1489"/>
    </row>
    <row r="365" spans="1:106" s="762" customFormat="1" hidden="1">
      <c r="A365" s="762" t="s">
        <v>366</v>
      </c>
      <c r="B365" s="1287"/>
      <c r="C365" s="1287"/>
      <c r="D365" s="1287"/>
      <c r="E365" s="1287"/>
      <c r="F365" s="1287"/>
      <c r="G365" s="1319"/>
      <c r="H365" s="1319"/>
      <c r="I365" s="1319"/>
      <c r="J365" s="1278"/>
      <c r="K365" s="1278"/>
      <c r="L365" s="1319"/>
      <c r="M365" s="1319"/>
      <c r="N365" s="1319"/>
      <c r="O365" s="1278"/>
      <c r="P365" s="1278"/>
      <c r="Q365" s="1319"/>
      <c r="R365" s="1319"/>
      <c r="S365" s="1319"/>
      <c r="T365" s="1278"/>
      <c r="U365" s="1278"/>
      <c r="V365" s="1319"/>
      <c r="W365" s="1319"/>
      <c r="X365" s="1319"/>
      <c r="Y365" s="1278"/>
      <c r="Z365" s="1278"/>
      <c r="AA365" s="1319"/>
      <c r="AB365" s="1319"/>
      <c r="AC365" s="1319"/>
      <c r="AE365" s="1270"/>
      <c r="AJ365" s="1270"/>
      <c r="AM365" s="1344"/>
      <c r="AO365" s="1270"/>
      <c r="AR365" s="1344">
        <f>255-213</f>
        <v>42</v>
      </c>
      <c r="AS365" s="762">
        <f>264-220</f>
        <v>44</v>
      </c>
      <c r="AT365" s="1270"/>
      <c r="AU365" s="2027">
        <f>+(977-893)/2-2</f>
        <v>40</v>
      </c>
      <c r="AV365" s="2027">
        <f>+(977-893)/2+2</f>
        <v>44</v>
      </c>
      <c r="AW365" s="1663"/>
      <c r="AY365" s="1270"/>
      <c r="BD365" s="1270"/>
      <c r="BI365" s="1270"/>
      <c r="BN365" s="1270"/>
      <c r="BS365" s="1270"/>
      <c r="BX365" s="1270"/>
      <c r="BY365" s="1290"/>
      <c r="BZ365" s="1290"/>
      <c r="CA365" s="1290"/>
      <c r="CF365" s="1270" t="str">
        <f t="shared" si="452"/>
        <v>Implied McGraw Hill Construction</v>
      </c>
      <c r="CL365" s="1278"/>
      <c r="CM365" s="1270"/>
      <c r="CN365" s="1270"/>
      <c r="CO365" s="1270"/>
      <c r="CP365" s="1270"/>
      <c r="CQ365" s="1270"/>
      <c r="CR365" s="1270"/>
      <c r="CS365" s="1270"/>
      <c r="CT365" s="1270"/>
      <c r="CU365" s="1270"/>
      <c r="CV365" s="1273"/>
      <c r="CW365" s="1270"/>
      <c r="CX365" s="1270"/>
      <c r="CY365" s="1270"/>
      <c r="CZ365" s="1290"/>
      <c r="DA365" s="1290"/>
      <c r="DB365" s="1290"/>
    </row>
    <row r="366" spans="1:106">
      <c r="B366" s="1286"/>
      <c r="C366" s="1286"/>
      <c r="D366" s="1286"/>
      <c r="E366" s="1286"/>
      <c r="F366" s="1286"/>
      <c r="K366" s="1423"/>
      <c r="P366" s="1423"/>
      <c r="U366" s="1423"/>
      <c r="Z366" s="1423"/>
      <c r="AE366" s="1423"/>
      <c r="AJ366" s="1423"/>
      <c r="AO366" s="1423"/>
      <c r="AT366" s="1423"/>
      <c r="AU366" s="1398"/>
      <c r="AV366" s="1335"/>
      <c r="AW366" s="1398"/>
      <c r="AX366" s="1398"/>
      <c r="AY366" s="1423"/>
      <c r="BA366" s="1399"/>
      <c r="BC366" s="1402"/>
      <c r="BD366" s="1423"/>
      <c r="BG366" s="762"/>
      <c r="BI366" s="1423"/>
      <c r="BJ366" s="762"/>
      <c r="BK366" s="762"/>
      <c r="BL366" s="762"/>
      <c r="BN366" s="1423"/>
      <c r="BS366" s="1423"/>
      <c r="BX366" s="1423"/>
      <c r="BY366" s="1422"/>
      <c r="BZ366" s="1422"/>
      <c r="CA366" s="1422"/>
      <c r="CF366" s="1423"/>
      <c r="CG366" s="1271"/>
      <c r="CH366" s="1271"/>
      <c r="CI366" s="1271"/>
      <c r="CJ366" s="1271"/>
      <c r="CK366" s="1271"/>
      <c r="CL366" s="1423"/>
      <c r="CM366" s="1423"/>
      <c r="CN366" s="1423"/>
      <c r="CO366" s="1423"/>
      <c r="CP366" s="1423"/>
      <c r="CQ366" s="1423"/>
      <c r="CR366" s="1423"/>
      <c r="CS366" s="1423"/>
      <c r="CT366" s="1423"/>
      <c r="CU366" s="1423"/>
      <c r="CV366" s="1425"/>
      <c r="CW366" s="1423"/>
      <c r="CX366" s="1423"/>
      <c r="CY366" s="1423"/>
      <c r="CZ366" s="1422"/>
      <c r="DA366" s="1422"/>
      <c r="DB366" s="1422"/>
    </row>
    <row r="367" spans="1:106" s="768" customFormat="1">
      <c r="A367" s="768" t="s">
        <v>365</v>
      </c>
      <c r="B367" s="1523"/>
      <c r="C367" s="1523"/>
      <c r="D367" s="1523"/>
      <c r="E367" s="1523"/>
      <c r="F367" s="1523"/>
      <c r="G367" s="1319" t="s">
        <v>249</v>
      </c>
      <c r="H367" s="1319" t="s">
        <v>249</v>
      </c>
      <c r="I367" s="1319" t="s">
        <v>249</v>
      </c>
      <c r="J367" s="1278" t="s">
        <v>249</v>
      </c>
      <c r="K367" s="1278" t="s">
        <v>249</v>
      </c>
      <c r="L367" s="1319" t="s">
        <v>249</v>
      </c>
      <c r="M367" s="1319" t="s">
        <v>249</v>
      </c>
      <c r="N367" s="1319" t="s">
        <v>249</v>
      </c>
      <c r="O367" s="1278" t="s">
        <v>249</v>
      </c>
      <c r="P367" s="1278" t="s">
        <v>249</v>
      </c>
      <c r="Q367" s="1319" t="s">
        <v>249</v>
      </c>
      <c r="R367" s="1319" t="s">
        <v>249</v>
      </c>
      <c r="S367" s="1319" t="s">
        <v>249</v>
      </c>
      <c r="T367" s="1278" t="s">
        <v>249</v>
      </c>
      <c r="U367" s="1278" t="s">
        <v>249</v>
      </c>
      <c r="V367" s="1319" t="s">
        <v>249</v>
      </c>
      <c r="W367" s="1319" t="s">
        <v>249</v>
      </c>
      <c r="X367" s="1319" t="s">
        <v>249</v>
      </c>
      <c r="Y367" s="1278" t="s">
        <v>249</v>
      </c>
      <c r="Z367" s="1278" t="s">
        <v>249</v>
      </c>
      <c r="AA367" s="768">
        <f t="shared" ref="AA367:AT367" si="478">AA359+AA362</f>
        <v>187</v>
      </c>
      <c r="AB367" s="768">
        <f t="shared" si="478"/>
        <v>199</v>
      </c>
      <c r="AC367" s="768">
        <f t="shared" si="478"/>
        <v>204</v>
      </c>
      <c r="AD367" s="768">
        <f t="shared" si="478"/>
        <v>221</v>
      </c>
      <c r="AE367" s="1291">
        <f t="shared" si="478"/>
        <v>811</v>
      </c>
      <c r="AF367" s="768">
        <f t="shared" si="478"/>
        <v>207</v>
      </c>
      <c r="AG367" s="768">
        <f t="shared" si="478"/>
        <v>222</v>
      </c>
      <c r="AH367" s="768">
        <f t="shared" si="478"/>
        <v>228</v>
      </c>
      <c r="AI367" s="768">
        <f t="shared" si="478"/>
        <v>239</v>
      </c>
      <c r="AJ367" s="1291">
        <f t="shared" si="478"/>
        <v>896</v>
      </c>
      <c r="AK367" s="768">
        <f t="shared" si="478"/>
        <v>233</v>
      </c>
      <c r="AL367" s="768">
        <f t="shared" si="478"/>
        <v>240</v>
      </c>
      <c r="AM367" s="768">
        <f t="shared" si="478"/>
        <v>239</v>
      </c>
      <c r="AN367" s="768">
        <f t="shared" si="478"/>
        <v>260</v>
      </c>
      <c r="AO367" s="1291">
        <f t="shared" si="478"/>
        <v>972</v>
      </c>
      <c r="AP367" s="1254">
        <f t="shared" si="478"/>
        <v>236</v>
      </c>
      <c r="AQ367" s="1254">
        <f t="shared" si="478"/>
        <v>259</v>
      </c>
      <c r="AR367" s="768">
        <f t="shared" si="478"/>
        <v>213</v>
      </c>
      <c r="AS367" s="768">
        <f t="shared" si="478"/>
        <v>220</v>
      </c>
      <c r="AT367" s="1291">
        <f t="shared" si="478"/>
        <v>928</v>
      </c>
      <c r="AU367" s="768">
        <f>251-AU365</f>
        <v>211</v>
      </c>
      <c r="AV367" s="768">
        <f>263-AV365</f>
        <v>219</v>
      </c>
      <c r="AW367" s="1320">
        <v>227</v>
      </c>
      <c r="AX367" s="768">
        <v>236</v>
      </c>
      <c r="AY367" s="1291">
        <f>SUM(AU367:AX367)</f>
        <v>893</v>
      </c>
      <c r="AZ367" s="768">
        <f>+AZ380+AZ385</f>
        <v>225</v>
      </c>
      <c r="BA367" s="768">
        <f>+BA380+BA385</f>
        <v>234</v>
      </c>
      <c r="BB367" s="768">
        <f>+BB380+BB385</f>
        <v>248</v>
      </c>
      <c r="BC367" s="768">
        <f>+BC380+BC385</f>
        <v>264</v>
      </c>
      <c r="BD367" s="1291">
        <f>SUM(AZ367:BC367)</f>
        <v>971</v>
      </c>
      <c r="BE367" s="768">
        <f>+BE380+BE385</f>
        <v>254</v>
      </c>
      <c r="BF367" s="768">
        <f>+BF380+BF385</f>
        <v>255</v>
      </c>
      <c r="BG367" s="768">
        <f>+BG380+BG385</f>
        <v>229</v>
      </c>
      <c r="BH367" s="2107">
        <v>188</v>
      </c>
      <c r="BI367" s="1291">
        <f>SUM(BE367:BH367)</f>
        <v>926</v>
      </c>
      <c r="BJ367" s="2018">
        <v>191</v>
      </c>
      <c r="BK367" s="2019">
        <v>192</v>
      </c>
      <c r="BL367" s="2175">
        <v>193</v>
      </c>
      <c r="BM367" s="2175">
        <v>197</v>
      </c>
      <c r="BN367" s="1291">
        <f>SUM(BJ367:BM367)</f>
        <v>773</v>
      </c>
      <c r="BO367" s="2175">
        <v>196</v>
      </c>
      <c r="BP367" s="768">
        <f>(1+BP369)*BK367</f>
        <v>201.60000000000002</v>
      </c>
      <c r="BQ367" s="768">
        <f>(1+BQ369)*BL367</f>
        <v>202.65</v>
      </c>
      <c r="BR367" s="768">
        <f>(1+BR369)*BM367</f>
        <v>206.85000000000002</v>
      </c>
      <c r="BS367" s="1291">
        <f>SUM(BO367:BR367)</f>
        <v>807.1</v>
      </c>
      <c r="BT367" s="768">
        <f>(1+BT369)*BO367</f>
        <v>203.84</v>
      </c>
      <c r="BU367" s="768">
        <f>(1+BU369)*BP367</f>
        <v>209.66400000000004</v>
      </c>
      <c r="BV367" s="768">
        <f>(1+BV369)*BQ367</f>
        <v>210.756</v>
      </c>
      <c r="BW367" s="768">
        <f>(1+BW369)*BR367</f>
        <v>215.12400000000002</v>
      </c>
      <c r="BX367" s="1291">
        <f>SUM(BT367:BW367)</f>
        <v>839.38400000000001</v>
      </c>
      <c r="BY367" s="1550">
        <f>(1+BY369)*BX367</f>
        <v>872.95936000000006</v>
      </c>
      <c r="BZ367" s="1550">
        <f>(1+BZ369)*BY367</f>
        <v>907.87773440000012</v>
      </c>
      <c r="CA367" s="1550">
        <f>(1+CA369)*BZ367</f>
        <v>944.19284377600013</v>
      </c>
      <c r="CF367" s="1291" t="str">
        <f t="shared" si="452"/>
        <v>Platts</v>
      </c>
      <c r="CL367" s="1278"/>
      <c r="CM367" s="1291"/>
      <c r="CN367" s="1291"/>
      <c r="CO367" s="1291"/>
      <c r="CP367" s="1291">
        <f t="shared" si="458"/>
        <v>811</v>
      </c>
      <c r="CQ367" s="1291">
        <f t="shared" si="459"/>
        <v>896</v>
      </c>
      <c r="CR367" s="1291">
        <f t="shared" si="460"/>
        <v>972</v>
      </c>
      <c r="CS367" s="1291">
        <f>+AT367</f>
        <v>928</v>
      </c>
      <c r="CT367" s="1291">
        <f>+AY367</f>
        <v>893</v>
      </c>
      <c r="CU367" s="1291">
        <f>+BD367</f>
        <v>971</v>
      </c>
      <c r="CV367" s="1291">
        <f t="shared" si="461"/>
        <v>926</v>
      </c>
      <c r="CW367" s="1291">
        <f t="shared" si="462"/>
        <v>773</v>
      </c>
      <c r="CX367" s="1291">
        <f>+BS367</f>
        <v>807.1</v>
      </c>
      <c r="CY367" s="1291">
        <f t="shared" si="463"/>
        <v>839.38400000000001</v>
      </c>
      <c r="CZ367" s="1550">
        <f t="shared" si="463"/>
        <v>872.95936000000006</v>
      </c>
      <c r="DA367" s="1550">
        <f t="shared" si="463"/>
        <v>907.87773440000012</v>
      </c>
      <c r="DB367" s="1550">
        <f t="shared" si="463"/>
        <v>944.19284377600013</v>
      </c>
    </row>
    <row r="368" spans="1:106" s="1600" customFormat="1" ht="12" customHeight="1">
      <c r="A368" s="1343" t="s">
        <v>336</v>
      </c>
      <c r="B368" s="694"/>
      <c r="C368" s="694"/>
      <c r="D368" s="694"/>
      <c r="E368" s="694"/>
      <c r="F368" s="694"/>
      <c r="G368" s="1327"/>
      <c r="H368" s="1327"/>
      <c r="I368" s="1327"/>
      <c r="J368" s="1334"/>
      <c r="K368" s="695"/>
      <c r="L368" s="1327"/>
      <c r="M368" s="1327"/>
      <c r="N368" s="1327"/>
      <c r="O368" s="1334"/>
      <c r="P368" s="695"/>
      <c r="Q368" s="1327"/>
      <c r="R368" s="1327"/>
      <c r="S368" s="1327"/>
      <c r="T368" s="1334"/>
      <c r="U368" s="695"/>
      <c r="V368" s="1327"/>
      <c r="W368" s="1327"/>
      <c r="X368" s="1327"/>
      <c r="Y368" s="1334"/>
      <c r="Z368" s="695"/>
      <c r="AA368" s="781">
        <f t="shared" ref="AA368:BG368" si="479">AA21/AA37</f>
        <v>0.1596925704526046</v>
      </c>
      <c r="AB368" s="781">
        <f t="shared" si="479"/>
        <v>0.13733609385783299</v>
      </c>
      <c r="AC368" s="781">
        <f t="shared" si="479"/>
        <v>0.10429447852760736</v>
      </c>
      <c r="AD368" s="781">
        <f t="shared" si="479"/>
        <v>0.14772727272727273</v>
      </c>
      <c r="AE368" s="695">
        <f t="shared" si="479"/>
        <v>0.13356389986824768</v>
      </c>
      <c r="AF368" s="781">
        <f t="shared" si="479"/>
        <v>0.16402535657686212</v>
      </c>
      <c r="AG368" s="781">
        <f t="shared" si="479"/>
        <v>0.14258188824662812</v>
      </c>
      <c r="AH368" s="781">
        <f t="shared" si="479"/>
        <v>0.11955951756685894</v>
      </c>
      <c r="AI368" s="781">
        <f t="shared" si="479"/>
        <v>0.15723684210526315</v>
      </c>
      <c r="AJ368" s="695">
        <f t="shared" si="479"/>
        <v>0.14345180915786104</v>
      </c>
      <c r="AK368" s="781">
        <f t="shared" si="479"/>
        <v>0.22512077294685989</v>
      </c>
      <c r="AL368" s="694">
        <f t="shared" si="479"/>
        <v>0.22388059701492538</v>
      </c>
      <c r="AM368" s="781">
        <f t="shared" si="479"/>
        <v>0.21415770609318996</v>
      </c>
      <c r="AN368" s="781">
        <f t="shared" si="479"/>
        <v>0.21207177814029363</v>
      </c>
      <c r="AO368" s="695">
        <f t="shared" si="479"/>
        <v>0.21847606203641268</v>
      </c>
      <c r="AP368" s="781">
        <f t="shared" si="479"/>
        <v>0.19983065198983913</v>
      </c>
      <c r="AQ368" s="694">
        <f t="shared" si="479"/>
        <v>0.2072</v>
      </c>
      <c r="AR368" s="781">
        <f t="shared" si="479"/>
        <v>0.18489583333333334</v>
      </c>
      <c r="AS368" s="781">
        <f t="shared" si="479"/>
        <v>0.1824212271973466</v>
      </c>
      <c r="AT368" s="695">
        <f t="shared" si="479"/>
        <v>0.19377740655669243</v>
      </c>
      <c r="AU368" s="781">
        <f t="shared" si="479"/>
        <v>0.17642140468227424</v>
      </c>
      <c r="AV368" s="694">
        <f t="shared" si="479"/>
        <v>0.16820276497695852</v>
      </c>
      <c r="AW368" s="694">
        <f t="shared" si="479"/>
        <v>0.17973079968329375</v>
      </c>
      <c r="AX368" s="694">
        <f t="shared" si="479"/>
        <v>0.18294573643410852</v>
      </c>
      <c r="AY368" s="695">
        <f t="shared" si="479"/>
        <v>0.17679667392595524</v>
      </c>
      <c r="AZ368" s="781">
        <f t="shared" si="479"/>
        <v>0.17674783974862529</v>
      </c>
      <c r="BA368" s="781">
        <f t="shared" si="479"/>
        <v>0.17436661698956782</v>
      </c>
      <c r="BB368" s="781">
        <f t="shared" si="479"/>
        <v>0.18731117824773413</v>
      </c>
      <c r="BC368" s="781">
        <f t="shared" si="479"/>
        <v>0.19213973799126638</v>
      </c>
      <c r="BD368" s="695">
        <f t="shared" si="479"/>
        <v>0.18275926971579146</v>
      </c>
      <c r="BE368" s="781">
        <f t="shared" si="479"/>
        <v>0.18941088739746459</v>
      </c>
      <c r="BF368" s="781">
        <f t="shared" si="479"/>
        <v>0.17206477732793521</v>
      </c>
      <c r="BG368" s="781">
        <f t="shared" si="479"/>
        <v>0.15913829047949965</v>
      </c>
      <c r="BH368" s="781">
        <f t="shared" ref="BH368" si="480">BH367/BH37</f>
        <v>0.13438170121515369</v>
      </c>
      <c r="BI368" s="695">
        <f t="shared" ref="BI368:BZ368" si="481">BI367/BI30</f>
        <v>0.16357534004592827</v>
      </c>
      <c r="BJ368" s="781">
        <f t="shared" si="481"/>
        <v>0.13145216792842396</v>
      </c>
      <c r="BK368" s="781">
        <f t="shared" si="481"/>
        <v>0.1272365805168986</v>
      </c>
      <c r="BL368" s="781">
        <f t="shared" si="481"/>
        <v>0.12756113681427628</v>
      </c>
      <c r="BM368" s="781">
        <f t="shared" si="481"/>
        <v>0.12397734424166142</v>
      </c>
      <c r="BN368" s="695">
        <f t="shared" si="481"/>
        <v>0.12747361477572558</v>
      </c>
      <c r="BO368" s="781">
        <f t="shared" ref="BO368" si="482">BO367/BO30</f>
        <v>0.12507977026164646</v>
      </c>
      <c r="BP368" s="781">
        <f t="shared" si="481"/>
        <v>0.12289818613612653</v>
      </c>
      <c r="BQ368" s="781">
        <f t="shared" si="481"/>
        <v>0.12483602849608873</v>
      </c>
      <c r="BR368" s="781">
        <f t="shared" si="481"/>
        <v>0.12377791131037769</v>
      </c>
      <c r="BS368" s="695">
        <f t="shared" si="481"/>
        <v>0.12413390233626463</v>
      </c>
      <c r="BT368" s="781">
        <f t="shared" ref="BT368:BX368" si="483">BT367/BT30</f>
        <v>0.1238071365514333</v>
      </c>
      <c r="BU368" s="781">
        <f t="shared" si="483"/>
        <v>0.12067930760564544</v>
      </c>
      <c r="BV368" s="781">
        <f t="shared" si="483"/>
        <v>0.12244088747877546</v>
      </c>
      <c r="BW368" s="781">
        <f t="shared" si="483"/>
        <v>0.12147356702272473</v>
      </c>
      <c r="BX368" s="695">
        <f t="shared" si="483"/>
        <v>0.12207379371545976</v>
      </c>
      <c r="BY368" s="782">
        <f t="shared" si="481"/>
        <v>0.1207157913867639</v>
      </c>
      <c r="BZ368" s="782">
        <f t="shared" si="481"/>
        <v>0.11932604129553941</v>
      </c>
      <c r="CA368" s="782">
        <f>CA367/CA30</f>
        <v>0.11854489132533746</v>
      </c>
      <c r="CF368" s="1668" t="str">
        <f t="shared" si="452"/>
        <v>% of total MHFI revenue</v>
      </c>
      <c r="CG368" s="782">
        <f>+B368</f>
        <v>0</v>
      </c>
      <c r="CH368" s="695">
        <f>+C368</f>
        <v>0</v>
      </c>
      <c r="CI368" s="695">
        <f>+D368</f>
        <v>0</v>
      </c>
      <c r="CJ368" s="695">
        <f>+E368</f>
        <v>0</v>
      </c>
      <c r="CK368" s="695">
        <f>+F368</f>
        <v>0</v>
      </c>
      <c r="CL368" s="695">
        <f>+K368</f>
        <v>0</v>
      </c>
      <c r="CM368" s="695">
        <f>+P368</f>
        <v>0</v>
      </c>
      <c r="CN368" s="695">
        <f>+U368</f>
        <v>0</v>
      </c>
      <c r="CO368" s="695">
        <f>+Z368</f>
        <v>0</v>
      </c>
      <c r="CP368" s="695">
        <f t="shared" si="458"/>
        <v>0.13356389986824768</v>
      </c>
      <c r="CQ368" s="695">
        <f t="shared" si="459"/>
        <v>0.14345180915786104</v>
      </c>
      <c r="CR368" s="695">
        <f t="shared" si="460"/>
        <v>0.21847606203641268</v>
      </c>
      <c r="CS368" s="695">
        <f>+AT368</f>
        <v>0.19377740655669243</v>
      </c>
      <c r="CT368" s="695">
        <f>+AY368</f>
        <v>0.17679667392595524</v>
      </c>
      <c r="CU368" s="695">
        <f>+BD368</f>
        <v>0.18275926971579146</v>
      </c>
      <c r="CV368" s="791">
        <f t="shared" si="461"/>
        <v>0.16357534004592827</v>
      </c>
      <c r="CW368" s="695">
        <f t="shared" si="462"/>
        <v>0.12747361477572558</v>
      </c>
      <c r="CX368" s="695">
        <f>+BS368</f>
        <v>0.12413390233626463</v>
      </c>
      <c r="CY368" s="695">
        <f t="shared" si="463"/>
        <v>0.12207379371545976</v>
      </c>
      <c r="CZ368" s="782">
        <f t="shared" si="463"/>
        <v>0.1207157913867639</v>
      </c>
      <c r="DA368" s="782">
        <f t="shared" si="463"/>
        <v>0.11932604129553941</v>
      </c>
      <c r="DB368" s="782">
        <f t="shared" si="463"/>
        <v>0.11854489132533746</v>
      </c>
    </row>
    <row r="369" spans="1:106" ht="12" customHeight="1">
      <c r="A369" s="1485" t="s">
        <v>294</v>
      </c>
      <c r="B369" s="1265"/>
      <c r="C369" s="1265"/>
      <c r="D369" s="1265"/>
      <c r="E369" s="1265"/>
      <c r="F369" s="1265"/>
      <c r="G369" s="1319"/>
      <c r="H369" s="1319"/>
      <c r="I369" s="1319"/>
      <c r="J369" s="1278"/>
      <c r="K369" s="1278"/>
      <c r="L369" s="1319"/>
      <c r="M369" s="1319"/>
      <c r="N369" s="1319"/>
      <c r="O369" s="1278"/>
      <c r="P369" s="1278"/>
      <c r="Q369" s="1319"/>
      <c r="R369" s="1319"/>
      <c r="S369" s="1319"/>
      <c r="T369" s="1278"/>
      <c r="U369" s="1278"/>
      <c r="V369" s="1319"/>
      <c r="W369" s="1319"/>
      <c r="X369" s="1319"/>
      <c r="Y369" s="1278"/>
      <c r="Z369" s="1278"/>
      <c r="AA369" s="1319"/>
      <c r="AB369" s="1319"/>
      <c r="AC369" s="1319"/>
      <c r="AD369" s="1278"/>
      <c r="AE369" s="1278"/>
      <c r="AF369" s="1408">
        <f t="shared" ref="AF369:BO369" si="484">AF367/AA367-1</f>
        <v>0.10695187165775399</v>
      </c>
      <c r="AG369" s="1408">
        <f t="shared" si="484"/>
        <v>0.11557788944723613</v>
      </c>
      <c r="AH369" s="1408">
        <f t="shared" si="484"/>
        <v>0.11764705882352944</v>
      </c>
      <c r="AI369" s="1408">
        <f t="shared" si="484"/>
        <v>8.144796380090491E-2</v>
      </c>
      <c r="AJ369" s="1342">
        <f t="shared" si="484"/>
        <v>0.10480887792848326</v>
      </c>
      <c r="AK369" s="1408">
        <f t="shared" si="484"/>
        <v>0.12560386473429941</v>
      </c>
      <c r="AL369" s="1610">
        <f t="shared" si="484"/>
        <v>8.1081081081081141E-2</v>
      </c>
      <c r="AM369" s="1610">
        <f t="shared" si="484"/>
        <v>4.8245614035087758E-2</v>
      </c>
      <c r="AN369" s="1408">
        <f t="shared" si="484"/>
        <v>8.786610878661083E-2</v>
      </c>
      <c r="AO369" s="1342">
        <f t="shared" si="484"/>
        <v>8.4821428571428603E-2</v>
      </c>
      <c r="AP369" s="1408">
        <f t="shared" si="484"/>
        <v>1.2875536480686733E-2</v>
      </c>
      <c r="AQ369" s="1610">
        <f t="shared" si="484"/>
        <v>7.9166666666666607E-2</v>
      </c>
      <c r="AR369" s="1610">
        <f t="shared" si="484"/>
        <v>-0.10878661087866104</v>
      </c>
      <c r="AS369" s="1408">
        <f t="shared" si="484"/>
        <v>-0.15384615384615385</v>
      </c>
      <c r="AT369" s="1342">
        <f t="shared" si="484"/>
        <v>-4.5267489711934172E-2</v>
      </c>
      <c r="AU369" s="1408">
        <f t="shared" si="484"/>
        <v>-0.10593220338983056</v>
      </c>
      <c r="AV369" s="1610">
        <f t="shared" si="484"/>
        <v>-0.15444015444015446</v>
      </c>
      <c r="AW369" s="1610">
        <f t="shared" si="484"/>
        <v>6.5727699530516492E-2</v>
      </c>
      <c r="AX369" s="1610">
        <f t="shared" si="484"/>
        <v>7.2727272727272751E-2</v>
      </c>
      <c r="AY369" s="1342">
        <f t="shared" si="484"/>
        <v>-3.7715517241379337E-2</v>
      </c>
      <c r="AZ369" s="1610">
        <f t="shared" si="484"/>
        <v>6.6350710900473953E-2</v>
      </c>
      <c r="BA369" s="1610">
        <f t="shared" si="484"/>
        <v>6.8493150684931559E-2</v>
      </c>
      <c r="BB369" s="1610">
        <f t="shared" si="484"/>
        <v>9.2511013215859084E-2</v>
      </c>
      <c r="BC369" s="1610">
        <f t="shared" si="484"/>
        <v>0.11864406779661008</v>
      </c>
      <c r="BD369" s="1342">
        <f>BD367/AY367-1</f>
        <v>8.7346024636058228E-2</v>
      </c>
      <c r="BE369" s="1610">
        <f t="shared" si="484"/>
        <v>0.12888888888888883</v>
      </c>
      <c r="BF369" s="1610">
        <f t="shared" si="484"/>
        <v>8.9743589743589647E-2</v>
      </c>
      <c r="BG369" s="1610">
        <f t="shared" si="484"/>
        <v>-7.6612903225806495E-2</v>
      </c>
      <c r="BH369" s="1610">
        <f t="shared" si="484"/>
        <v>-0.28787878787878785</v>
      </c>
      <c r="BI369" s="1342">
        <f>BI367/BD367-1</f>
        <v>-4.6343975283213212E-2</v>
      </c>
      <c r="BJ369" s="1610">
        <f t="shared" si="484"/>
        <v>-0.24803149606299213</v>
      </c>
      <c r="BK369" s="692">
        <f t="shared" si="484"/>
        <v>-0.24705882352941178</v>
      </c>
      <c r="BL369" s="692">
        <f t="shared" si="484"/>
        <v>-0.15720524017467252</v>
      </c>
      <c r="BM369" s="692">
        <f t="shared" si="484"/>
        <v>4.7872340425531901E-2</v>
      </c>
      <c r="BN369" s="1342">
        <f>BN367/BI367-1</f>
        <v>-0.16522678185745143</v>
      </c>
      <c r="BO369" s="1610">
        <f t="shared" si="484"/>
        <v>2.6178010471204161E-2</v>
      </c>
      <c r="BP369" s="692">
        <f>CHOOSE(MHFI!$A$3,BP370,BP371,BP372)</f>
        <v>0.05</v>
      </c>
      <c r="BQ369" s="692">
        <f>CHOOSE(MHFI!$A$3,BQ370,BQ371,BQ372)</f>
        <v>0.05</v>
      </c>
      <c r="BR369" s="692">
        <f>CHOOSE(MHFI!$A$3,BR370,BR371,BR372)</f>
        <v>0.05</v>
      </c>
      <c r="BS369" s="1342">
        <f>BS367/BN367-1</f>
        <v>4.4113842173350681E-2</v>
      </c>
      <c r="BT369" s="692">
        <f>CHOOSE(MHFI!$A$3,BT370,BT371,BT372)</f>
        <v>0.04</v>
      </c>
      <c r="BU369" s="692">
        <f>CHOOSE(MHFI!$A$3,BU370,BU371,BU372)</f>
        <v>0.04</v>
      </c>
      <c r="BV369" s="692">
        <f>CHOOSE(MHFI!$A$3,BV370,BV371,BV372)</f>
        <v>0.04</v>
      </c>
      <c r="BW369" s="692">
        <f>CHOOSE(MHFI!$A$3,BW370,BW371,BW372)</f>
        <v>0.04</v>
      </c>
      <c r="BX369" s="1342">
        <f>BX367/BS367-1</f>
        <v>4.0000000000000036E-2</v>
      </c>
      <c r="BY369" s="783">
        <f>CHOOSE(MHFI!$A$3,BY370,BY371,BY372)</f>
        <v>0.04</v>
      </c>
      <c r="BZ369" s="783">
        <f>CHOOSE(MHFI!$A$3,BZ370,BZ371,BZ372)</f>
        <v>0.04</v>
      </c>
      <c r="CA369" s="783">
        <f>CHOOSE(MHFI!$A$3,CA370,CA371,CA372)</f>
        <v>0.04</v>
      </c>
      <c r="CF369" s="1487" t="str">
        <f t="shared" si="452"/>
        <v>y/y chg</v>
      </c>
      <c r="CG369" s="1272"/>
      <c r="CH369" s="1264"/>
      <c r="CI369" s="1264"/>
      <c r="CJ369" s="1264"/>
      <c r="CK369" s="1264"/>
      <c r="CL369" s="1278"/>
      <c r="CM369" s="1278"/>
      <c r="CN369" s="1278"/>
      <c r="CO369" s="1278"/>
      <c r="CP369" s="1278"/>
      <c r="CQ369" s="1342">
        <f t="shared" si="459"/>
        <v>0.10480887792848326</v>
      </c>
      <c r="CR369" s="1342">
        <f t="shared" si="460"/>
        <v>8.4821428571428603E-2</v>
      </c>
      <c r="CS369" s="1342">
        <f>+AT369</f>
        <v>-4.5267489711934172E-2</v>
      </c>
      <c r="CT369" s="1342">
        <f>+AY369</f>
        <v>-3.7715517241379337E-2</v>
      </c>
      <c r="CU369" s="1342">
        <f>+BD369</f>
        <v>8.7346024636058228E-2</v>
      </c>
      <c r="CV369" s="1342">
        <f t="shared" si="461"/>
        <v>-4.6343975283213212E-2</v>
      </c>
      <c r="CW369" s="751">
        <f t="shared" si="462"/>
        <v>-0.16522678185745143</v>
      </c>
      <c r="CX369" s="751">
        <f>+BS369</f>
        <v>4.4113842173350681E-2</v>
      </c>
      <c r="CY369" s="751">
        <f t="shared" si="463"/>
        <v>4.0000000000000036E-2</v>
      </c>
      <c r="CZ369" s="752">
        <f t="shared" si="463"/>
        <v>0.04</v>
      </c>
      <c r="DA369" s="752">
        <f t="shared" si="463"/>
        <v>0.04</v>
      </c>
      <c r="DB369" s="752">
        <f t="shared" si="463"/>
        <v>0.04</v>
      </c>
    </row>
    <row r="370" spans="1:106" ht="12" hidden="1" customHeight="1" outlineLevel="1">
      <c r="A370" s="1664" t="s">
        <v>213</v>
      </c>
      <c r="B370" s="1665"/>
      <c r="C370" s="1665"/>
      <c r="D370" s="1665"/>
      <c r="E370" s="1665"/>
      <c r="F370" s="1665"/>
      <c r="G370" s="1666"/>
      <c r="H370" s="1666"/>
      <c r="I370" s="1666"/>
      <c r="J370" s="1593"/>
      <c r="K370" s="1593"/>
      <c r="L370" s="1666"/>
      <c r="M370" s="1666"/>
      <c r="N370" s="1666"/>
      <c r="O370" s="1593"/>
      <c r="P370" s="1593"/>
      <c r="Q370" s="1666"/>
      <c r="R370" s="1666"/>
      <c r="S370" s="1666"/>
      <c r="T370" s="1593"/>
      <c r="U370" s="1593"/>
      <c r="V370" s="1666"/>
      <c r="W370" s="1666"/>
      <c r="X370" s="1666"/>
      <c r="Y370" s="1593"/>
      <c r="Z370" s="1593"/>
      <c r="AA370" s="1666"/>
      <c r="AB370" s="1666"/>
      <c r="AC370" s="1666"/>
      <c r="AD370" s="1593"/>
      <c r="AE370" s="1593"/>
      <c r="AF370" s="1666"/>
      <c r="AG370" s="1666"/>
      <c r="AH370" s="1666"/>
      <c r="AI370" s="1593"/>
      <c r="AJ370" s="1593"/>
      <c r="AK370" s="1666"/>
      <c r="AL370" s="1666"/>
      <c r="AM370" s="1666"/>
      <c r="AN370" s="1593"/>
      <c r="AO370" s="1593"/>
      <c r="AP370" s="1666"/>
      <c r="AQ370" s="1666"/>
      <c r="AR370" s="1666"/>
      <c r="AS370" s="1593"/>
      <c r="AT370" s="1593"/>
      <c r="AU370" s="1667"/>
      <c r="AV370" s="1667"/>
      <c r="AW370" s="1667"/>
      <c r="AX370" s="1667"/>
      <c r="AY370" s="1594"/>
      <c r="AZ370" s="1667"/>
      <c r="BA370" s="1667"/>
      <c r="BB370" s="1667"/>
      <c r="BC370" s="1667"/>
      <c r="BD370" s="1594"/>
      <c r="BE370" s="1667"/>
      <c r="BF370" s="1667"/>
      <c r="BG370" s="1667"/>
      <c r="BH370" s="1667"/>
      <c r="BI370" s="1594"/>
      <c r="BJ370" s="1667"/>
      <c r="BK370" s="1667"/>
      <c r="BL370" s="1667"/>
      <c r="BM370" s="1667"/>
      <c r="BN370" s="1594"/>
      <c r="BO370" s="1667"/>
      <c r="BP370" s="1667">
        <f>BP371+0.025</f>
        <v>7.5000000000000011E-2</v>
      </c>
      <c r="BQ370" s="1667">
        <f>BQ371+0.025</f>
        <v>7.5000000000000011E-2</v>
      </c>
      <c r="BR370" s="1667">
        <f>BR371+0.025</f>
        <v>7.5000000000000011E-2</v>
      </c>
      <c r="BS370" s="1594"/>
      <c r="BT370" s="1667">
        <f>+BT371-0.04</f>
        <v>0</v>
      </c>
      <c r="BU370" s="1667">
        <f>BU371+0.025</f>
        <v>6.5000000000000002E-2</v>
      </c>
      <c r="BV370" s="1667">
        <f>BV371+0.025</f>
        <v>6.5000000000000002E-2</v>
      </c>
      <c r="BW370" s="1667">
        <f>BW371+0.025</f>
        <v>6.5000000000000002E-2</v>
      </c>
      <c r="BX370" s="1594"/>
      <c r="BY370" s="1596">
        <f>BY371-0.03</f>
        <v>1.0000000000000002E-2</v>
      </c>
      <c r="BZ370" s="1596">
        <f>BZ371-0.03</f>
        <v>1.0000000000000002E-2</v>
      </c>
      <c r="CA370" s="1596">
        <f>CA371-0.03</f>
        <v>1.0000000000000002E-2</v>
      </c>
      <c r="CF370" s="1590" t="str">
        <f t="shared" si="452"/>
        <v>BEAR</v>
      </c>
      <c r="CG370" s="1591"/>
      <c r="CH370" s="1592"/>
      <c r="CI370" s="1592"/>
      <c r="CJ370" s="1592"/>
      <c r="CK370" s="1592"/>
      <c r="CL370" s="1593"/>
      <c r="CM370" s="1593"/>
      <c r="CN370" s="1593"/>
      <c r="CO370" s="1593"/>
      <c r="CP370" s="1593"/>
      <c r="CQ370" s="1593"/>
      <c r="CR370" s="1593"/>
      <c r="CS370" s="1593"/>
      <c r="CT370" s="1594"/>
      <c r="CU370" s="1594"/>
      <c r="CV370" s="1595"/>
      <c r="CW370" s="1594"/>
      <c r="CX370" s="1594"/>
      <c r="CY370" s="1594"/>
      <c r="CZ370" s="1596"/>
      <c r="DA370" s="1596"/>
      <c r="DB370" s="1596"/>
    </row>
    <row r="371" spans="1:106" ht="12" hidden="1" customHeight="1" outlineLevel="1">
      <c r="A371" s="1664" t="s">
        <v>214</v>
      </c>
      <c r="B371" s="1665"/>
      <c r="C371" s="1665"/>
      <c r="D371" s="1665"/>
      <c r="E371" s="1665"/>
      <c r="F371" s="1665"/>
      <c r="G371" s="1666"/>
      <c r="H371" s="1666"/>
      <c r="I371" s="1666"/>
      <c r="J371" s="1593"/>
      <c r="K371" s="1593"/>
      <c r="L371" s="1666"/>
      <c r="M371" s="1666"/>
      <c r="N371" s="1666"/>
      <c r="O371" s="1593"/>
      <c r="P371" s="1593"/>
      <c r="Q371" s="1666"/>
      <c r="R371" s="1666"/>
      <c r="S371" s="1666"/>
      <c r="T371" s="1593"/>
      <c r="U371" s="1593"/>
      <c r="V371" s="1666"/>
      <c r="W371" s="1666"/>
      <c r="X371" s="1666"/>
      <c r="Y371" s="1593"/>
      <c r="Z371" s="1593"/>
      <c r="AA371" s="1666"/>
      <c r="AB371" s="1666"/>
      <c r="AC371" s="1666"/>
      <c r="AD371" s="1593"/>
      <c r="AE371" s="1593"/>
      <c r="AF371" s="1666"/>
      <c r="AG371" s="1666"/>
      <c r="AH371" s="1666"/>
      <c r="AI371" s="1593"/>
      <c r="AJ371" s="1593"/>
      <c r="AK371" s="1666"/>
      <c r="AL371" s="1666"/>
      <c r="AM371" s="1666"/>
      <c r="AN371" s="1593"/>
      <c r="AO371" s="1593"/>
      <c r="AP371" s="1666"/>
      <c r="AQ371" s="1666"/>
      <c r="AR371" s="1666"/>
      <c r="AS371" s="1593"/>
      <c r="AT371" s="1593"/>
      <c r="AU371" s="1667"/>
      <c r="AV371" s="1667"/>
      <c r="AW371" s="1667"/>
      <c r="AX371" s="1667"/>
      <c r="AY371" s="1687"/>
      <c r="AZ371" s="1667"/>
      <c r="BA371" s="1667"/>
      <c r="BB371" s="1667"/>
      <c r="BC371" s="1667"/>
      <c r="BD371" s="1687"/>
      <c r="BE371" s="1667"/>
      <c r="BF371" s="1667"/>
      <c r="BG371" s="1667"/>
      <c r="BH371" s="1667"/>
      <c r="BI371" s="1687"/>
      <c r="BJ371" s="1667"/>
      <c r="BK371" s="1667"/>
      <c r="BL371" s="1667"/>
      <c r="BM371" s="1667"/>
      <c r="BN371" s="1594"/>
      <c r="BO371" s="1667"/>
      <c r="BP371" s="2007">
        <v>0.05</v>
      </c>
      <c r="BQ371" s="2007">
        <v>0.05</v>
      </c>
      <c r="BR371" s="2007">
        <v>0.05</v>
      </c>
      <c r="BS371" s="1594"/>
      <c r="BT371" s="2007">
        <v>0.04</v>
      </c>
      <c r="BU371" s="2007">
        <v>0.04</v>
      </c>
      <c r="BV371" s="2007">
        <v>0.04</v>
      </c>
      <c r="BW371" s="2007">
        <v>0.04</v>
      </c>
      <c r="BX371" s="1594"/>
      <c r="BY371" s="2008">
        <v>0.04</v>
      </c>
      <c r="BZ371" s="2008">
        <v>0.04</v>
      </c>
      <c r="CA371" s="2008">
        <v>0.04</v>
      </c>
      <c r="CF371" s="1590" t="str">
        <f t="shared" si="452"/>
        <v>BASE</v>
      </c>
      <c r="CG371" s="1591"/>
      <c r="CH371" s="1592"/>
      <c r="CI371" s="1592"/>
      <c r="CJ371" s="1592"/>
      <c r="CK371" s="1592"/>
      <c r="CL371" s="1593"/>
      <c r="CM371" s="1593"/>
      <c r="CN371" s="1593"/>
      <c r="CO371" s="1593"/>
      <c r="CP371" s="1593"/>
      <c r="CQ371" s="1593"/>
      <c r="CR371" s="1593"/>
      <c r="CS371" s="1593"/>
      <c r="CT371" s="1687"/>
      <c r="CU371" s="1687"/>
      <c r="CV371" s="1689"/>
      <c r="CW371" s="1594"/>
      <c r="CX371" s="1594"/>
      <c r="CY371" s="1594"/>
      <c r="CZ371" s="1596"/>
      <c r="DA371" s="1596"/>
      <c r="DB371" s="1596"/>
    </row>
    <row r="372" spans="1:106" ht="12" hidden="1" customHeight="1" outlineLevel="1">
      <c r="A372" s="1664" t="s">
        <v>215</v>
      </c>
      <c r="B372" s="1665"/>
      <c r="C372" s="1665"/>
      <c r="D372" s="1665"/>
      <c r="E372" s="1665"/>
      <c r="F372" s="1665"/>
      <c r="G372" s="1666"/>
      <c r="H372" s="1666"/>
      <c r="I372" s="1666"/>
      <c r="J372" s="1593"/>
      <c r="K372" s="1593"/>
      <c r="L372" s="1666"/>
      <c r="M372" s="1666"/>
      <c r="N372" s="1666"/>
      <c r="O372" s="1593"/>
      <c r="P372" s="1593"/>
      <c r="Q372" s="1666"/>
      <c r="R372" s="1666"/>
      <c r="S372" s="1666"/>
      <c r="T372" s="1593"/>
      <c r="U372" s="1593"/>
      <c r="V372" s="1666"/>
      <c r="W372" s="1666"/>
      <c r="X372" s="1666"/>
      <c r="Y372" s="1593"/>
      <c r="Z372" s="1593"/>
      <c r="AA372" s="1666"/>
      <c r="AB372" s="1666"/>
      <c r="AC372" s="1666"/>
      <c r="AD372" s="1593"/>
      <c r="AE372" s="1593"/>
      <c r="AF372" s="1666"/>
      <c r="AG372" s="1666"/>
      <c r="AH372" s="1666"/>
      <c r="AI372" s="1593"/>
      <c r="AJ372" s="1593"/>
      <c r="AK372" s="1666"/>
      <c r="AL372" s="1666"/>
      <c r="AM372" s="1666"/>
      <c r="AN372" s="1593"/>
      <c r="AO372" s="1593"/>
      <c r="AP372" s="1666"/>
      <c r="AQ372" s="1666"/>
      <c r="AR372" s="1666"/>
      <c r="AS372" s="1593"/>
      <c r="AT372" s="1593"/>
      <c r="AU372" s="1667"/>
      <c r="AV372" s="1667"/>
      <c r="AW372" s="1667"/>
      <c r="AX372" s="1667"/>
      <c r="AY372" s="1687"/>
      <c r="AZ372" s="1667"/>
      <c r="BA372" s="1667"/>
      <c r="BB372" s="1667"/>
      <c r="BC372" s="1667"/>
      <c r="BD372" s="1687"/>
      <c r="BE372" s="1667"/>
      <c r="BF372" s="1667"/>
      <c r="BG372" s="1667"/>
      <c r="BH372" s="1667"/>
      <c r="BI372" s="1687"/>
      <c r="BJ372" s="1667"/>
      <c r="BK372" s="1667"/>
      <c r="BL372" s="1667"/>
      <c r="BM372" s="1667"/>
      <c r="BN372" s="1594"/>
      <c r="BO372" s="1667"/>
      <c r="BP372" s="1667">
        <f>BP371+0.03</f>
        <v>0.08</v>
      </c>
      <c r="BQ372" s="1667">
        <f>BQ371+0.03</f>
        <v>0.08</v>
      </c>
      <c r="BR372" s="1667">
        <f>BR371+0.03</f>
        <v>0.08</v>
      </c>
      <c r="BS372" s="1594"/>
      <c r="BT372" s="1667">
        <f>BT371+0.03</f>
        <v>7.0000000000000007E-2</v>
      </c>
      <c r="BU372" s="1667">
        <f>BU371+0.03</f>
        <v>7.0000000000000007E-2</v>
      </c>
      <c r="BV372" s="1667">
        <f>BV371+0.03</f>
        <v>7.0000000000000007E-2</v>
      </c>
      <c r="BW372" s="1667">
        <f>BW371+0.03</f>
        <v>7.0000000000000007E-2</v>
      </c>
      <c r="BX372" s="1594"/>
      <c r="BY372" s="1596">
        <f>BY371+0.03</f>
        <v>7.0000000000000007E-2</v>
      </c>
      <c r="BZ372" s="1596">
        <f>BZ371+0.03</f>
        <v>7.0000000000000007E-2</v>
      </c>
      <c r="CA372" s="1596">
        <f>CA371+0.03</f>
        <v>7.0000000000000007E-2</v>
      </c>
      <c r="CF372" s="1590" t="str">
        <f t="shared" si="452"/>
        <v>BULL</v>
      </c>
      <c r="CG372" s="1591"/>
      <c r="CH372" s="1592"/>
      <c r="CI372" s="1592"/>
      <c r="CJ372" s="1592"/>
      <c r="CK372" s="1592"/>
      <c r="CL372" s="1593"/>
      <c r="CM372" s="1593"/>
      <c r="CN372" s="1593"/>
      <c r="CO372" s="1593"/>
      <c r="CP372" s="1593"/>
      <c r="CQ372" s="1593"/>
      <c r="CR372" s="1593"/>
      <c r="CS372" s="1593"/>
      <c r="CT372" s="1687"/>
      <c r="CU372" s="1687"/>
      <c r="CV372" s="1689"/>
      <c r="CW372" s="1594"/>
      <c r="CX372" s="1594"/>
      <c r="CY372" s="1594"/>
      <c r="CZ372" s="1596"/>
      <c r="DA372" s="1596"/>
      <c r="DB372" s="1596"/>
    </row>
    <row r="373" spans="1:106" collapsed="1">
      <c r="B373" s="1286"/>
      <c r="C373" s="1286"/>
      <c r="D373" s="1286"/>
      <c r="E373" s="1286"/>
      <c r="F373" s="1286"/>
      <c r="J373" s="1422"/>
      <c r="K373" s="1422"/>
      <c r="O373" s="1422"/>
      <c r="P373" s="1422"/>
      <c r="T373" s="1422"/>
      <c r="U373" s="1422"/>
      <c r="Y373" s="1422"/>
      <c r="Z373" s="1422"/>
      <c r="AE373" s="1423"/>
      <c r="AJ373" s="1423"/>
      <c r="AO373" s="1423"/>
      <c r="AR373" s="1344"/>
      <c r="AT373" s="1423"/>
      <c r="AV373" s="762"/>
      <c r="AX373" s="1422"/>
      <c r="AY373" s="1423"/>
      <c r="BC373" s="1422"/>
      <c r="BD373" s="1423"/>
      <c r="BH373" s="1422"/>
      <c r="BI373" s="1423"/>
      <c r="BM373" s="1422"/>
      <c r="BN373" s="1423"/>
      <c r="BR373" s="1422"/>
      <c r="BS373" s="1423"/>
      <c r="BW373" s="1422"/>
      <c r="BX373" s="1423"/>
      <c r="BY373" s="1422"/>
      <c r="BZ373" s="1422"/>
      <c r="CA373" s="1422"/>
      <c r="CF373" s="1423"/>
      <c r="CG373" s="1271"/>
      <c r="CH373" s="1271"/>
      <c r="CI373" s="1271"/>
      <c r="CJ373" s="1271"/>
      <c r="CK373" s="1271"/>
      <c r="CL373" s="1422"/>
      <c r="CM373" s="1423"/>
      <c r="CN373" s="1423"/>
      <c r="CO373" s="1423"/>
      <c r="CP373" s="1423"/>
      <c r="CQ373" s="1423"/>
      <c r="CR373" s="1423"/>
      <c r="CS373" s="1423"/>
      <c r="CT373" s="1422"/>
      <c r="CU373" s="1422"/>
      <c r="CV373" s="1286"/>
      <c r="CW373" s="1423"/>
      <c r="CX373" s="1423"/>
      <c r="CY373" s="1423"/>
      <c r="CZ373" s="1422"/>
      <c r="DA373" s="1422"/>
      <c r="DB373" s="1422"/>
    </row>
    <row r="374" spans="1:106" hidden="1" outlineLevel="1">
      <c r="A374" s="788" t="s">
        <v>367</v>
      </c>
      <c r="B374" s="1286"/>
      <c r="C374" s="1286"/>
      <c r="D374" s="1286"/>
      <c r="E374" s="1286"/>
      <c r="F374" s="1286"/>
      <c r="J374" s="1422"/>
      <c r="K374" s="1422"/>
      <c r="O374" s="1422"/>
      <c r="P374" s="1422"/>
      <c r="T374" s="1422"/>
      <c r="U374" s="1422"/>
      <c r="Y374" s="1422"/>
      <c r="Z374" s="1422"/>
      <c r="AE374" s="1423"/>
      <c r="AJ374" s="1423"/>
      <c r="AO374" s="1423"/>
      <c r="AR374" s="1344"/>
      <c r="AT374" s="2069">
        <v>0</v>
      </c>
      <c r="AU374" s="2052">
        <v>0</v>
      </c>
      <c r="AV374" s="2052">
        <v>0</v>
      </c>
      <c r="AW374" s="2053">
        <v>0</v>
      </c>
      <c r="AX374" s="2052">
        <v>1</v>
      </c>
      <c r="AY374" s="1423">
        <f>+SUM(AU374:AX374)</f>
        <v>1</v>
      </c>
      <c r="AZ374" s="2052">
        <v>1</v>
      </c>
      <c r="BA374" s="2052">
        <v>2</v>
      </c>
      <c r="BB374" s="2053">
        <v>82</v>
      </c>
      <c r="BC374" s="2052">
        <v>10</v>
      </c>
      <c r="BD374" s="1423">
        <f>+SUM(AZ374:BC374)</f>
        <v>95</v>
      </c>
      <c r="BE374" s="2052">
        <v>10</v>
      </c>
      <c r="BF374" s="2053">
        <v>12</v>
      </c>
      <c r="BG374" s="2053">
        <v>57</v>
      </c>
      <c r="BH374" s="795">
        <f>+BH367-BH375</f>
        <v>10</v>
      </c>
      <c r="BI374" s="1423"/>
      <c r="BJ374" s="795">
        <f>+BJ367-BJ375</f>
        <v>11</v>
      </c>
      <c r="BK374" s="1775">
        <f>+BK367-BK375</f>
        <v>11</v>
      </c>
      <c r="BL374" s="1775">
        <f>+BL367-BL375</f>
        <v>9</v>
      </c>
      <c r="BM374" s="1775">
        <f>+BM367-BM375</f>
        <v>0</v>
      </c>
      <c r="BN374" s="1423"/>
      <c r="BO374" s="2253">
        <v>0</v>
      </c>
      <c r="BP374" s="794"/>
      <c r="BQ374" s="794"/>
      <c r="BR374" s="1286"/>
      <c r="BS374" s="1423"/>
      <c r="BT374" s="794"/>
      <c r="BU374" s="794"/>
      <c r="BV374" s="794"/>
      <c r="BW374" s="1286"/>
      <c r="BX374" s="1423"/>
      <c r="BY374" s="1422"/>
      <c r="BZ374" s="1422"/>
      <c r="CA374" s="1422"/>
      <c r="CF374" s="1423"/>
      <c r="CG374" s="1271"/>
      <c r="CH374" s="1271"/>
      <c r="CI374" s="1271"/>
      <c r="CJ374" s="1271"/>
      <c r="CK374" s="1271"/>
      <c r="CL374" s="1422"/>
      <c r="CM374" s="1423"/>
      <c r="CN374" s="1423"/>
      <c r="CO374" s="1423"/>
      <c r="CP374" s="1423"/>
      <c r="CQ374" s="1423"/>
      <c r="CR374" s="1423"/>
      <c r="CS374" s="1423"/>
      <c r="CT374" s="1422"/>
      <c r="CU374" s="1422"/>
      <c r="CV374" s="1286"/>
      <c r="CW374" s="1423"/>
      <c r="CX374" s="1423"/>
      <c r="CY374" s="1423"/>
      <c r="CZ374" s="1422"/>
      <c r="DA374" s="1422"/>
      <c r="DB374" s="1422"/>
    </row>
    <row r="375" spans="1:106" hidden="1" outlineLevel="1">
      <c r="A375" s="1271" t="s">
        <v>368</v>
      </c>
      <c r="B375" s="1286"/>
      <c r="C375" s="1286"/>
      <c r="D375" s="1286"/>
      <c r="E375" s="1286"/>
      <c r="F375" s="1286"/>
      <c r="J375" s="1422"/>
      <c r="K375" s="1422"/>
      <c r="O375" s="1422"/>
      <c r="P375" s="1422"/>
      <c r="T375" s="1422"/>
      <c r="U375" s="1422"/>
      <c r="Y375" s="1422"/>
      <c r="Z375" s="1422"/>
      <c r="AE375" s="1423"/>
      <c r="AJ375" s="1423"/>
      <c r="AO375" s="1423"/>
      <c r="AR375" s="1344"/>
      <c r="AT375" s="1423"/>
      <c r="AU375" s="1286">
        <f>+AU367-AU374</f>
        <v>211</v>
      </c>
      <c r="AV375" s="1286">
        <f>+AV367-AV374</f>
        <v>219</v>
      </c>
      <c r="AW375" s="1286">
        <f>+AW367-AW374</f>
        <v>227</v>
      </c>
      <c r="AX375" s="1286">
        <f>+AX367-AX374</f>
        <v>235</v>
      </c>
      <c r="AY375" s="1270">
        <f>+AY367-AY374</f>
        <v>892</v>
      </c>
      <c r="AZ375" s="762">
        <f t="shared" ref="AZ375:BG375" si="485">+AZ367-AZ374</f>
        <v>224</v>
      </c>
      <c r="BA375" s="762">
        <f t="shared" si="485"/>
        <v>232</v>
      </c>
      <c r="BB375" s="762">
        <f t="shared" si="485"/>
        <v>166</v>
      </c>
      <c r="BC375" s="1776">
        <f t="shared" si="485"/>
        <v>254</v>
      </c>
      <c r="BD375" s="1270">
        <f t="shared" si="485"/>
        <v>876</v>
      </c>
      <c r="BE375" s="1776">
        <f t="shared" si="485"/>
        <v>244</v>
      </c>
      <c r="BF375" s="762">
        <f t="shared" si="485"/>
        <v>243</v>
      </c>
      <c r="BG375" s="762">
        <f t="shared" si="485"/>
        <v>172</v>
      </c>
      <c r="BH375" s="2051">
        <v>178</v>
      </c>
      <c r="BI375" s="1270"/>
      <c r="BJ375" s="2026">
        <v>180</v>
      </c>
      <c r="BK375" s="2027">
        <v>181</v>
      </c>
      <c r="BL375" s="2164">
        <v>184</v>
      </c>
      <c r="BM375" s="2115">
        <v>197</v>
      </c>
      <c r="BN375" s="1423"/>
      <c r="BO375" s="2255">
        <v>196</v>
      </c>
      <c r="BP375" s="1776"/>
      <c r="BQ375" s="1776"/>
      <c r="BR375" s="1286"/>
      <c r="BS375" s="1423"/>
      <c r="BT375" s="1776"/>
      <c r="BU375" s="1776"/>
      <c r="BV375" s="1776"/>
      <c r="BW375" s="1286"/>
      <c r="BX375" s="1423"/>
      <c r="BY375" s="1422"/>
      <c r="BZ375" s="1422"/>
      <c r="CA375" s="1422"/>
      <c r="CF375" s="1423"/>
      <c r="CG375" s="1271"/>
      <c r="CH375" s="1271"/>
      <c r="CI375" s="1271"/>
      <c r="CJ375" s="1271"/>
      <c r="CK375" s="1271"/>
      <c r="CL375" s="1422"/>
      <c r="CM375" s="1423"/>
      <c r="CN375" s="1423"/>
      <c r="CO375" s="1423"/>
      <c r="CP375" s="1423"/>
      <c r="CQ375" s="1423"/>
      <c r="CR375" s="1423"/>
      <c r="CS375" s="1423"/>
      <c r="CT375" s="1422"/>
      <c r="CU375" s="1422"/>
      <c r="CV375" s="1286"/>
      <c r="CW375" s="1423"/>
      <c r="CX375" s="1423"/>
      <c r="CY375" s="1423"/>
      <c r="CZ375" s="1422"/>
      <c r="DA375" s="1422"/>
      <c r="DB375" s="1422"/>
    </row>
    <row r="376" spans="1:106" collapsed="1">
      <c r="A376" s="1485" t="s">
        <v>369</v>
      </c>
      <c r="B376" s="1286"/>
      <c r="C376" s="1286"/>
      <c r="D376" s="1286"/>
      <c r="E376" s="1286"/>
      <c r="F376" s="1286"/>
      <c r="J376" s="1422"/>
      <c r="K376" s="1422"/>
      <c r="O376" s="1422"/>
      <c r="P376" s="1422"/>
      <c r="T376" s="1422"/>
      <c r="U376" s="1422"/>
      <c r="Y376" s="1422"/>
      <c r="Z376" s="1422"/>
      <c r="AE376" s="1423"/>
      <c r="AJ376" s="1423"/>
      <c r="AO376" s="1423"/>
      <c r="AR376" s="1344"/>
      <c r="AT376" s="1423"/>
      <c r="AU376" s="1777">
        <f>+AU375/AP367-1</f>
        <v>-0.10593220338983056</v>
      </c>
      <c r="AV376" s="1777">
        <f>+AV375/AQ367-1</f>
        <v>-0.15444015444015446</v>
      </c>
      <c r="AW376" s="1777">
        <f>+AW375/AR367-1</f>
        <v>6.5727699530516492E-2</v>
      </c>
      <c r="AX376" s="1777">
        <f>+AX375/AS367-1</f>
        <v>6.8181818181818121E-2</v>
      </c>
      <c r="AY376" s="1778">
        <f t="shared" ref="AY376:BF376" si="486">+AY375/AT367-1</f>
        <v>-3.8793103448275912E-2</v>
      </c>
      <c r="AZ376" s="1402">
        <f t="shared" si="486"/>
        <v>6.1611374407583019E-2</v>
      </c>
      <c r="BA376" s="1402">
        <f t="shared" si="486"/>
        <v>5.9360730593607247E-2</v>
      </c>
      <c r="BB376" s="1402">
        <f t="shared" si="486"/>
        <v>-0.2687224669603524</v>
      </c>
      <c r="BC376" s="1402">
        <f t="shared" si="486"/>
        <v>7.6271186440677985E-2</v>
      </c>
      <c r="BD376" s="1778">
        <f t="shared" si="486"/>
        <v>-1.903695408734607E-2</v>
      </c>
      <c r="BE376" s="1402">
        <f t="shared" si="486"/>
        <v>8.4444444444444544E-2</v>
      </c>
      <c r="BF376" s="1402">
        <f t="shared" si="486"/>
        <v>3.8461538461538547E-2</v>
      </c>
      <c r="BG376" s="1402">
        <f>+BG375/(BB367-BB374)-1</f>
        <v>3.6144578313253017E-2</v>
      </c>
      <c r="BH376" s="1402">
        <v>0.05</v>
      </c>
      <c r="BI376" s="1778"/>
      <c r="BJ376" s="1402">
        <f>+(BJ375-BJ378)/BE359-1</f>
        <v>3.4482758620689724E-2</v>
      </c>
      <c r="BK376" s="1402">
        <f>+(BK375-BK378)/BF359-1</f>
        <v>5.1198598711613696E-2</v>
      </c>
      <c r="BL376" s="1402">
        <f>+(BL375-BL378)/BG359-1</f>
        <v>5.7471264367816133E-2</v>
      </c>
      <c r="BM376" s="1402">
        <f>+(BM375-BM378)/BH359-1</f>
        <v>4.7872340425531901E-2</v>
      </c>
      <c r="BN376" s="1423"/>
      <c r="BO376" s="2254">
        <f>+(BO375-BO378)/BJ359-1</f>
        <v>2.6178010471204161E-2</v>
      </c>
      <c r="BP376" s="1402"/>
      <c r="BQ376" s="1402"/>
      <c r="BR376" s="692"/>
      <c r="BS376" s="1423"/>
      <c r="BT376" s="1402"/>
      <c r="BU376" s="1402"/>
      <c r="BV376" s="1402"/>
      <c r="BW376" s="692"/>
      <c r="BX376" s="1423"/>
      <c r="BY376" s="1422"/>
      <c r="BZ376" s="1422"/>
      <c r="CA376" s="1422"/>
      <c r="CF376" s="1423"/>
      <c r="CG376" s="1271"/>
      <c r="CH376" s="1271"/>
      <c r="CI376" s="1271"/>
      <c r="CJ376" s="1271"/>
      <c r="CK376" s="1271"/>
      <c r="CL376" s="1422"/>
      <c r="CM376" s="1423"/>
      <c r="CN376" s="1423"/>
      <c r="CO376" s="1423"/>
      <c r="CP376" s="1423"/>
      <c r="CQ376" s="1423"/>
      <c r="CR376" s="1423"/>
      <c r="CS376" s="1423"/>
      <c r="CT376" s="1422"/>
      <c r="CU376" s="1422"/>
      <c r="CV376" s="1286"/>
      <c r="CW376" s="1423"/>
      <c r="CX376" s="1423"/>
      <c r="CY376" s="1423"/>
      <c r="CZ376" s="1422"/>
      <c r="DA376" s="1422"/>
      <c r="DB376" s="1422"/>
    </row>
    <row r="377" spans="1:106">
      <c r="B377" s="1286"/>
      <c r="C377" s="1286"/>
      <c r="D377" s="1286"/>
      <c r="E377" s="1286"/>
      <c r="F377" s="1286"/>
      <c r="J377" s="1422"/>
      <c r="K377" s="1422"/>
      <c r="O377" s="1422"/>
      <c r="P377" s="1422"/>
      <c r="T377" s="1422"/>
      <c r="U377" s="1422"/>
      <c r="Y377" s="1422"/>
      <c r="Z377" s="1422"/>
      <c r="AE377" s="1423"/>
      <c r="AJ377" s="1423"/>
      <c r="AO377" s="1423"/>
      <c r="AR377" s="1344"/>
      <c r="AT377" s="1423"/>
      <c r="AV377" s="762"/>
      <c r="AX377" s="1286"/>
      <c r="AY377" s="1423"/>
      <c r="BC377" s="1286"/>
      <c r="BD377" s="1423"/>
      <c r="BH377" s="1286"/>
      <c r="BI377" s="1423"/>
      <c r="BM377" s="1286"/>
      <c r="BN377" s="1423"/>
      <c r="BR377" s="1286"/>
      <c r="BS377" s="1423"/>
      <c r="BW377" s="1286"/>
      <c r="BX377" s="1423"/>
      <c r="BY377" s="1422"/>
      <c r="BZ377" s="1422"/>
      <c r="CA377" s="1422"/>
      <c r="CF377" s="1423"/>
      <c r="CG377" s="1271"/>
      <c r="CH377" s="1271"/>
      <c r="CI377" s="1271"/>
      <c r="CJ377" s="1271"/>
      <c r="CK377" s="1271"/>
      <c r="CL377" s="1422"/>
      <c r="CM377" s="1423"/>
      <c r="CN377" s="1423"/>
      <c r="CO377" s="1423"/>
      <c r="CP377" s="1423"/>
      <c r="CQ377" s="1423"/>
      <c r="CR377" s="1423"/>
      <c r="CS377" s="1423"/>
      <c r="CT377" s="1422"/>
      <c r="CU377" s="1422"/>
      <c r="CV377" s="1286"/>
      <c r="CW377" s="1423"/>
      <c r="CX377" s="1423"/>
      <c r="CY377" s="1423"/>
      <c r="CZ377" s="1422"/>
      <c r="DA377" s="1422"/>
      <c r="DB377" s="1422"/>
    </row>
    <row r="378" spans="1:106">
      <c r="A378" s="788" t="s">
        <v>303</v>
      </c>
      <c r="B378" s="1286"/>
      <c r="C378" s="1286"/>
      <c r="D378" s="1286"/>
      <c r="E378" s="1286"/>
      <c r="F378" s="1286"/>
      <c r="J378" s="1422"/>
      <c r="K378" s="1422"/>
      <c r="O378" s="1422"/>
      <c r="P378" s="1422"/>
      <c r="T378" s="1422"/>
      <c r="U378" s="1422"/>
      <c r="Y378" s="1422"/>
      <c r="Z378" s="1422"/>
      <c r="AE378" s="1423"/>
      <c r="AJ378" s="1423"/>
      <c r="AO378" s="1423"/>
      <c r="AR378" s="1344"/>
      <c r="AT378" s="1423"/>
      <c r="AV378" s="762"/>
      <c r="AX378" s="1286"/>
      <c r="AY378" s="1423"/>
      <c r="BB378" s="762"/>
      <c r="BC378" s="1286"/>
      <c r="BD378" s="1423"/>
      <c r="BG378" s="762"/>
      <c r="BH378" s="762"/>
      <c r="BI378" s="796"/>
      <c r="BJ378" s="762"/>
      <c r="BK378" s="762"/>
      <c r="BL378" s="762"/>
      <c r="BM378" s="762"/>
      <c r="BN378" s="796"/>
      <c r="BR378" s="1286"/>
      <c r="BS378" s="1423"/>
      <c r="BW378" s="1286"/>
      <c r="BX378" s="1423"/>
      <c r="BY378" s="1422"/>
      <c r="BZ378" s="1422"/>
      <c r="CA378" s="1422"/>
      <c r="CF378" s="1423"/>
      <c r="CG378" s="1271"/>
      <c r="CH378" s="1271"/>
      <c r="CI378" s="1271"/>
      <c r="CJ378" s="1271"/>
      <c r="CK378" s="1271"/>
      <c r="CL378" s="1422"/>
      <c r="CM378" s="1423"/>
      <c r="CN378" s="1423"/>
      <c r="CO378" s="1423"/>
      <c r="CP378" s="1423"/>
      <c r="CQ378" s="1423"/>
      <c r="CR378" s="1423"/>
      <c r="CS378" s="1423"/>
      <c r="CT378" s="1422"/>
      <c r="CU378" s="1422"/>
      <c r="CV378" s="1286"/>
      <c r="CW378" s="1423"/>
      <c r="CX378" s="1423"/>
      <c r="CY378" s="1423"/>
      <c r="CZ378" s="1422"/>
      <c r="DA378" s="1422"/>
      <c r="DB378" s="1422"/>
    </row>
    <row r="379" spans="1:106">
      <c r="B379" s="1286"/>
      <c r="C379" s="1286"/>
      <c r="D379" s="1286"/>
      <c r="E379" s="1286"/>
      <c r="F379" s="1286"/>
      <c r="J379" s="1422"/>
      <c r="K379" s="1422"/>
      <c r="O379" s="1422"/>
      <c r="P379" s="1422"/>
      <c r="T379" s="1422"/>
      <c r="U379" s="1422"/>
      <c r="Y379" s="1422"/>
      <c r="Z379" s="1422"/>
      <c r="AE379" s="1423"/>
      <c r="AJ379" s="1423"/>
      <c r="AO379" s="1423"/>
      <c r="AR379" s="1344"/>
      <c r="AT379" s="1423"/>
      <c r="AV379" s="762"/>
      <c r="AX379" s="1286"/>
      <c r="AY379" s="1423"/>
      <c r="BC379" s="1286"/>
      <c r="BD379" s="1423"/>
      <c r="BH379" s="1286"/>
      <c r="BI379" s="1423"/>
      <c r="BM379" s="1286"/>
      <c r="BN379" s="1423"/>
      <c r="BR379" s="1286"/>
      <c r="BS379" s="1423"/>
      <c r="BW379" s="1286"/>
      <c r="BX379" s="1423"/>
      <c r="BY379" s="1422"/>
      <c r="BZ379" s="1422"/>
      <c r="CA379" s="1422"/>
      <c r="CF379" s="1423"/>
      <c r="CG379" s="1271"/>
      <c r="CH379" s="1271"/>
      <c r="CI379" s="1271"/>
      <c r="CJ379" s="1271"/>
      <c r="CK379" s="1271"/>
      <c r="CL379" s="1422"/>
      <c r="CM379" s="1423"/>
      <c r="CN379" s="1423"/>
      <c r="CO379" s="1423"/>
      <c r="CP379" s="1423"/>
      <c r="CQ379" s="1423"/>
      <c r="CR379" s="1423"/>
      <c r="CS379" s="1423"/>
      <c r="CT379" s="1422"/>
      <c r="CU379" s="1422"/>
      <c r="CV379" s="1286"/>
      <c r="CW379" s="1423"/>
      <c r="CX379" s="1423"/>
      <c r="CY379" s="1423"/>
      <c r="CZ379" s="1422"/>
      <c r="DA379" s="1422"/>
      <c r="DB379" s="1422"/>
    </row>
    <row r="380" spans="1:106" s="762" customFormat="1">
      <c r="A380" s="762" t="s">
        <v>334</v>
      </c>
      <c r="B380" s="1287"/>
      <c r="C380" s="1287"/>
      <c r="D380" s="1287"/>
      <c r="E380" s="1287"/>
      <c r="F380" s="1287"/>
      <c r="G380" s="1319" t="s">
        <v>249</v>
      </c>
      <c r="H380" s="1319" t="s">
        <v>249</v>
      </c>
      <c r="I380" s="1319" t="s">
        <v>249</v>
      </c>
      <c r="J380" s="1278" t="s">
        <v>249</v>
      </c>
      <c r="K380" s="1278" t="s">
        <v>249</v>
      </c>
      <c r="L380" s="1319" t="s">
        <v>249</v>
      </c>
      <c r="M380" s="1319" t="s">
        <v>249</v>
      </c>
      <c r="N380" s="1319" t="s">
        <v>249</v>
      </c>
      <c r="O380" s="1278" t="s">
        <v>249</v>
      </c>
      <c r="P380" s="1278" t="s">
        <v>249</v>
      </c>
      <c r="Q380" s="1319" t="s">
        <v>249</v>
      </c>
      <c r="R380" s="1319" t="s">
        <v>249</v>
      </c>
      <c r="S380" s="1319" t="s">
        <v>249</v>
      </c>
      <c r="T380" s="1278" t="s">
        <v>249</v>
      </c>
      <c r="U380" s="1278" t="s">
        <v>249</v>
      </c>
      <c r="V380" s="1319" t="s">
        <v>249</v>
      </c>
      <c r="W380" s="1319" t="s">
        <v>249</v>
      </c>
      <c r="X380" s="1319" t="s">
        <v>249</v>
      </c>
      <c r="Y380" s="1278" t="s">
        <v>249</v>
      </c>
      <c r="Z380" s="1278" t="s">
        <v>249</v>
      </c>
      <c r="AA380" s="1319" t="s">
        <v>249</v>
      </c>
      <c r="AB380" s="1319" t="s">
        <v>249</v>
      </c>
      <c r="AC380" s="1319" t="s">
        <v>249</v>
      </c>
      <c r="AD380" s="762">
        <v>129</v>
      </c>
      <c r="AE380" s="1270">
        <v>498</v>
      </c>
      <c r="AF380" s="762">
        <v>133</v>
      </c>
      <c r="AG380" s="762">
        <v>136</v>
      </c>
      <c r="AH380" s="762">
        <v>145</v>
      </c>
      <c r="AI380" s="762">
        <v>148</v>
      </c>
      <c r="AJ380" s="1270">
        <v>562</v>
      </c>
      <c r="AK380" s="762">
        <f>113+38</f>
        <v>151</v>
      </c>
      <c r="AL380" s="762">
        <f>109+38</f>
        <v>147</v>
      </c>
      <c r="AM380" s="1344">
        <f>111+38</f>
        <v>149</v>
      </c>
      <c r="AN380" s="762">
        <f>119+41</f>
        <v>160</v>
      </c>
      <c r="AO380" s="1270">
        <v>622</v>
      </c>
      <c r="AP380" s="762">
        <f>119+39</f>
        <v>158</v>
      </c>
      <c r="AQ380" s="762">
        <f>123+40</f>
        <v>163</v>
      </c>
      <c r="AR380" s="1344">
        <v>134</v>
      </c>
      <c r="AS380" s="762">
        <f>130+38</f>
        <v>168</v>
      </c>
      <c r="AT380" s="1270">
        <f>SUM(AP380:AS380)</f>
        <v>623</v>
      </c>
      <c r="AU380" s="762">
        <v>141</v>
      </c>
      <c r="AV380" s="762">
        <v>142</v>
      </c>
      <c r="AW380" s="762">
        <v>145</v>
      </c>
      <c r="AX380" s="762">
        <v>148</v>
      </c>
      <c r="AY380" s="1270">
        <f>SUM(AU380:AX380)</f>
        <v>576</v>
      </c>
      <c r="AZ380" s="762">
        <v>149</v>
      </c>
      <c r="BA380" s="762">
        <v>154</v>
      </c>
      <c r="BB380" s="762">
        <v>165</v>
      </c>
      <c r="BC380" s="1335">
        <v>172</v>
      </c>
      <c r="BD380" s="1270">
        <f>SUM(AZ380:BC380)</f>
        <v>640</v>
      </c>
      <c r="BE380" s="1253">
        <v>172</v>
      </c>
      <c r="BF380" s="1253">
        <v>175</v>
      </c>
      <c r="BG380" s="1253">
        <v>172</v>
      </c>
      <c r="BH380" s="1278" t="s">
        <v>249</v>
      </c>
      <c r="BI380" s="1278" t="s">
        <v>249</v>
      </c>
      <c r="BJ380" s="2111">
        <v>172</v>
      </c>
      <c r="BK380" s="1319" t="s">
        <v>249</v>
      </c>
      <c r="BL380" s="1319" t="s">
        <v>249</v>
      </c>
      <c r="BM380" s="1278" t="s">
        <v>249</v>
      </c>
      <c r="BN380" s="1278" t="s">
        <v>249</v>
      </c>
      <c r="BO380" s="2111">
        <v>181</v>
      </c>
      <c r="BP380" s="1319" t="s">
        <v>249</v>
      </c>
      <c r="BQ380" s="1319" t="s">
        <v>249</v>
      </c>
      <c r="BR380" s="1278" t="s">
        <v>249</v>
      </c>
      <c r="BS380" s="1278" t="s">
        <v>249</v>
      </c>
      <c r="BT380" s="1319"/>
      <c r="BU380" s="1319"/>
      <c r="BV380" s="1319"/>
      <c r="BW380" s="1278"/>
      <c r="BX380" s="1278" t="s">
        <v>249</v>
      </c>
      <c r="BY380" s="1670" t="s">
        <v>249</v>
      </c>
      <c r="BZ380" s="1670" t="s">
        <v>249</v>
      </c>
      <c r="CA380" s="1670" t="s">
        <v>249</v>
      </c>
      <c r="CF380" s="1270" t="str">
        <f t="shared" si="452"/>
        <v>Non-Transaction</v>
      </c>
      <c r="CL380" s="1278"/>
      <c r="CM380" s="1270"/>
      <c r="CN380" s="1270"/>
      <c r="CO380" s="1270"/>
      <c r="CP380" s="1270">
        <f t="shared" si="458"/>
        <v>498</v>
      </c>
      <c r="CQ380" s="1270">
        <f t="shared" si="459"/>
        <v>562</v>
      </c>
      <c r="CR380" s="1270">
        <f t="shared" si="460"/>
        <v>622</v>
      </c>
      <c r="CS380" s="1270">
        <f t="shared" ref="CS380:CS387" si="487">+AT380</f>
        <v>623</v>
      </c>
      <c r="CT380" s="1270">
        <f t="shared" ref="CT380:CT387" si="488">+AY380</f>
        <v>576</v>
      </c>
      <c r="CU380" s="1270">
        <f t="shared" ref="CU380:CU387" si="489">+BD380</f>
        <v>640</v>
      </c>
      <c r="CV380" s="1273" t="str">
        <f t="shared" si="461"/>
        <v>--</v>
      </c>
      <c r="CW380" s="1270" t="str">
        <f t="shared" si="462"/>
        <v>--</v>
      </c>
      <c r="CX380" s="1270" t="str">
        <f t="shared" ref="CX380:CX387" si="490">+BS380</f>
        <v>--</v>
      </c>
      <c r="CY380" s="1270" t="str">
        <f t="shared" si="463"/>
        <v>--</v>
      </c>
      <c r="CZ380" s="1290" t="str">
        <f t="shared" si="463"/>
        <v>--</v>
      </c>
      <c r="DA380" s="1290" t="str">
        <f t="shared" si="463"/>
        <v>--</v>
      </c>
      <c r="DB380" s="1290" t="str">
        <f t="shared" si="463"/>
        <v>--</v>
      </c>
    </row>
    <row r="381" spans="1:106">
      <c r="A381" s="1618" t="s">
        <v>288</v>
      </c>
      <c r="B381" s="1286"/>
      <c r="C381" s="1286"/>
      <c r="D381" s="1286"/>
      <c r="E381" s="1286"/>
      <c r="F381" s="1286"/>
      <c r="G381" s="1319"/>
      <c r="H381" s="1319"/>
      <c r="I381" s="1319"/>
      <c r="J381" s="1278"/>
      <c r="K381" s="1278"/>
      <c r="L381" s="1319"/>
      <c r="M381" s="1319"/>
      <c r="N381" s="1319"/>
      <c r="O381" s="1278"/>
      <c r="P381" s="1278"/>
      <c r="Q381" s="1319"/>
      <c r="R381" s="1319"/>
      <c r="S381" s="1319"/>
      <c r="T381" s="1278"/>
      <c r="U381" s="1278"/>
      <c r="V381" s="1319"/>
      <c r="W381" s="1319"/>
      <c r="X381" s="1319"/>
      <c r="Y381" s="1278"/>
      <c r="Z381" s="1278"/>
      <c r="AA381" s="1319"/>
      <c r="AB381" s="1319"/>
      <c r="AC381" s="1319"/>
      <c r="AD381" s="1408"/>
      <c r="AE381" s="1342"/>
      <c r="AF381" s="1408"/>
      <c r="AG381" s="1408"/>
      <c r="AH381" s="1408"/>
      <c r="AI381" s="1408">
        <f t="shared" ref="AI381:BG381" si="491">AI380/AD380-1</f>
        <v>0.1472868217054264</v>
      </c>
      <c r="AJ381" s="1342">
        <f t="shared" si="491"/>
        <v>0.12851405622489964</v>
      </c>
      <c r="AK381" s="1408">
        <f t="shared" si="491"/>
        <v>0.13533834586466176</v>
      </c>
      <c r="AL381" s="1408">
        <f t="shared" si="491"/>
        <v>8.0882352941176405E-2</v>
      </c>
      <c r="AM381" s="1408">
        <f t="shared" si="491"/>
        <v>2.7586206896551779E-2</v>
      </c>
      <c r="AN381" s="1408">
        <f t="shared" si="491"/>
        <v>8.1081081081081141E-2</v>
      </c>
      <c r="AO381" s="1342">
        <f t="shared" si="491"/>
        <v>0.10676156583629903</v>
      </c>
      <c r="AP381" s="1408">
        <f t="shared" si="491"/>
        <v>4.635761589403975E-2</v>
      </c>
      <c r="AQ381" s="1408">
        <f t="shared" si="491"/>
        <v>0.10884353741496589</v>
      </c>
      <c r="AR381" s="1408">
        <f t="shared" si="491"/>
        <v>-0.10067114093959728</v>
      </c>
      <c r="AS381" s="1408">
        <f t="shared" si="491"/>
        <v>5.0000000000000044E-2</v>
      </c>
      <c r="AT381" s="1342">
        <f t="shared" si="491"/>
        <v>1.607717041800738E-3</v>
      </c>
      <c r="AU381" s="1175">
        <f t="shared" si="491"/>
        <v>-0.10759493670886078</v>
      </c>
      <c r="AV381" s="1175">
        <f t="shared" si="491"/>
        <v>-0.12883435582822089</v>
      </c>
      <c r="AW381" s="1175">
        <f t="shared" si="491"/>
        <v>8.2089552238805874E-2</v>
      </c>
      <c r="AX381" s="1175">
        <f t="shared" si="491"/>
        <v>-0.11904761904761907</v>
      </c>
      <c r="AY381" s="1342">
        <f t="shared" si="491"/>
        <v>-7.5441412520064199E-2</v>
      </c>
      <c r="AZ381" s="1408">
        <f t="shared" si="491"/>
        <v>5.6737588652482351E-2</v>
      </c>
      <c r="BA381" s="1408">
        <f t="shared" si="491"/>
        <v>8.4507042253521236E-2</v>
      </c>
      <c r="BB381" s="1408">
        <f t="shared" si="491"/>
        <v>0.13793103448275867</v>
      </c>
      <c r="BC381" s="1408">
        <f t="shared" si="491"/>
        <v>0.16216216216216206</v>
      </c>
      <c r="BD381" s="1342">
        <f t="shared" si="491"/>
        <v>0.11111111111111116</v>
      </c>
      <c r="BE381" s="1408">
        <f t="shared" si="491"/>
        <v>0.15436241610738266</v>
      </c>
      <c r="BF381" s="781">
        <f t="shared" si="491"/>
        <v>0.13636363636363646</v>
      </c>
      <c r="BG381" s="1408">
        <f t="shared" si="491"/>
        <v>4.2424242424242475E-2</v>
      </c>
      <c r="BH381" s="1278" t="s">
        <v>249</v>
      </c>
      <c r="BI381" s="1278" t="s">
        <v>249</v>
      </c>
      <c r="BJ381" s="1408">
        <f t="shared" ref="BJ381" si="492">BJ380/BE380-1</f>
        <v>0</v>
      </c>
      <c r="BK381" s="1319" t="s">
        <v>249</v>
      </c>
      <c r="BL381" s="1319" t="s">
        <v>249</v>
      </c>
      <c r="BM381" s="1278" t="s">
        <v>249</v>
      </c>
      <c r="BN381" s="1278" t="s">
        <v>249</v>
      </c>
      <c r="BO381" s="1408">
        <f t="shared" ref="BO381" si="493">BO380/BJ380-1</f>
        <v>5.232558139534893E-2</v>
      </c>
      <c r="BP381" s="1319" t="s">
        <v>249</v>
      </c>
      <c r="BQ381" s="1319" t="s">
        <v>249</v>
      </c>
      <c r="BR381" s="1278" t="s">
        <v>249</v>
      </c>
      <c r="BS381" s="1278" t="s">
        <v>249</v>
      </c>
      <c r="BT381" s="1319"/>
      <c r="BU381" s="1319"/>
      <c r="BV381" s="1319"/>
      <c r="BW381" s="1278"/>
      <c r="BX381" s="1278" t="s">
        <v>249</v>
      </c>
      <c r="BY381" s="1670" t="s">
        <v>249</v>
      </c>
      <c r="BZ381" s="1670" t="s">
        <v>249</v>
      </c>
      <c r="CA381" s="1670" t="s">
        <v>249</v>
      </c>
      <c r="CF381" s="1619" t="str">
        <f t="shared" si="452"/>
        <v>y/y change</v>
      </c>
      <c r="CG381" s="1271"/>
      <c r="CH381" s="1271"/>
      <c r="CI381" s="1271"/>
      <c r="CJ381" s="1271"/>
      <c r="CK381" s="1271"/>
      <c r="CL381" s="1278"/>
      <c r="CM381" s="1342"/>
      <c r="CN381" s="1342"/>
      <c r="CO381" s="1342"/>
      <c r="CP381" s="1342">
        <f t="shared" si="458"/>
        <v>0</v>
      </c>
      <c r="CQ381" s="1342">
        <f t="shared" si="459"/>
        <v>0.12851405622489964</v>
      </c>
      <c r="CR381" s="1342">
        <f t="shared" si="460"/>
        <v>0.10676156583629903</v>
      </c>
      <c r="CS381" s="1342">
        <f t="shared" si="487"/>
        <v>1.607717041800738E-3</v>
      </c>
      <c r="CT381" s="1342">
        <f t="shared" si="488"/>
        <v>-7.5441412520064199E-2</v>
      </c>
      <c r="CU381" s="1342">
        <f t="shared" si="489"/>
        <v>0.11111111111111116</v>
      </c>
      <c r="CV381" s="1488" t="str">
        <f t="shared" si="461"/>
        <v>--</v>
      </c>
      <c r="CW381" s="1342" t="str">
        <f t="shared" si="462"/>
        <v>--</v>
      </c>
      <c r="CX381" s="1342" t="str">
        <f t="shared" si="490"/>
        <v>--</v>
      </c>
      <c r="CY381" s="1342" t="str">
        <f t="shared" si="463"/>
        <v>--</v>
      </c>
      <c r="CZ381" s="1486" t="str">
        <f t="shared" si="463"/>
        <v>--</v>
      </c>
      <c r="DA381" s="1486" t="str">
        <f t="shared" si="463"/>
        <v>--</v>
      </c>
      <c r="DB381" s="1486" t="str">
        <f t="shared" si="463"/>
        <v>--</v>
      </c>
    </row>
    <row r="382" spans="1:106" ht="12" customHeight="1">
      <c r="A382" s="1485" t="s">
        <v>330</v>
      </c>
      <c r="B382" s="1265"/>
      <c r="C382" s="1265"/>
      <c r="D382" s="1265"/>
      <c r="E382" s="1265"/>
      <c r="F382" s="1265"/>
      <c r="G382" s="1319"/>
      <c r="H382" s="1319"/>
      <c r="I382" s="1319"/>
      <c r="J382" s="1278"/>
      <c r="K382" s="1278"/>
      <c r="L382" s="1319"/>
      <c r="M382" s="1319"/>
      <c r="N382" s="1319"/>
      <c r="O382" s="1278"/>
      <c r="P382" s="1278"/>
      <c r="Q382" s="1319"/>
      <c r="R382" s="1319"/>
      <c r="S382" s="1319"/>
      <c r="T382" s="1278"/>
      <c r="U382" s="1278"/>
      <c r="V382" s="1319"/>
      <c r="W382" s="1319"/>
      <c r="X382" s="1319"/>
      <c r="Y382" s="1278"/>
      <c r="Z382" s="1278"/>
      <c r="AA382" s="1319"/>
      <c r="AB382" s="1319"/>
      <c r="AC382" s="1319"/>
      <c r="AD382" s="1408">
        <f t="shared" ref="AD382:BE382" si="494">AD380/AD$21</f>
        <v>0.58371040723981904</v>
      </c>
      <c r="AE382" s="1342">
        <f t="shared" si="494"/>
        <v>0.61405672009864365</v>
      </c>
      <c r="AF382" s="1408">
        <f t="shared" si="494"/>
        <v>0.64251207729468596</v>
      </c>
      <c r="AG382" s="1408">
        <f t="shared" si="494"/>
        <v>0.61261261261261257</v>
      </c>
      <c r="AH382" s="1408">
        <f t="shared" si="494"/>
        <v>0.63596491228070173</v>
      </c>
      <c r="AI382" s="1408">
        <f t="shared" si="494"/>
        <v>0.61924686192468614</v>
      </c>
      <c r="AJ382" s="1342">
        <f t="shared" si="494"/>
        <v>0.6272321428571429</v>
      </c>
      <c r="AK382" s="1408">
        <f t="shared" si="494"/>
        <v>0.64806866952789699</v>
      </c>
      <c r="AL382" s="1610">
        <f t="shared" si="494"/>
        <v>0.61250000000000004</v>
      </c>
      <c r="AM382" s="1610">
        <f t="shared" si="494"/>
        <v>0.62343096234309625</v>
      </c>
      <c r="AN382" s="1408">
        <f t="shared" si="494"/>
        <v>0.61538461538461542</v>
      </c>
      <c r="AO382" s="1342">
        <f t="shared" si="494"/>
        <v>0.63991769547325106</v>
      </c>
      <c r="AP382" s="1408">
        <f t="shared" si="494"/>
        <v>0.66949152542372881</v>
      </c>
      <c r="AQ382" s="1610">
        <f t="shared" si="494"/>
        <v>0.62934362934362931</v>
      </c>
      <c r="AR382" s="1610">
        <f t="shared" si="494"/>
        <v>0.62910798122065725</v>
      </c>
      <c r="AS382" s="1408">
        <f t="shared" si="494"/>
        <v>0.76363636363636367</v>
      </c>
      <c r="AT382" s="1342">
        <f t="shared" si="494"/>
        <v>0.67133620689655171</v>
      </c>
      <c r="AU382" s="1175">
        <f t="shared" si="494"/>
        <v>0.66824644549763035</v>
      </c>
      <c r="AV382" s="692">
        <f t="shared" si="494"/>
        <v>0.64840182648401823</v>
      </c>
      <c r="AW382" s="692">
        <f t="shared" si="494"/>
        <v>0.63876651982378851</v>
      </c>
      <c r="AX382" s="1408">
        <f t="shared" si="494"/>
        <v>0.6271186440677966</v>
      </c>
      <c r="AY382" s="1342">
        <f>AY380/AY$21</f>
        <v>0.64501679731243</v>
      </c>
      <c r="AZ382" s="1408">
        <f t="shared" si="494"/>
        <v>0.66222222222222227</v>
      </c>
      <c r="BA382" s="1408">
        <f t="shared" si="494"/>
        <v>0.65811965811965811</v>
      </c>
      <c r="BB382" s="1408">
        <f t="shared" si="494"/>
        <v>0.66532258064516125</v>
      </c>
      <c r="BC382" s="1408">
        <f t="shared" si="494"/>
        <v>0.65151515151515149</v>
      </c>
      <c r="BD382" s="1342">
        <f>BD380/BD$21</f>
        <v>0.65911431513903196</v>
      </c>
      <c r="BE382" s="1408">
        <f t="shared" si="494"/>
        <v>0.67716535433070868</v>
      </c>
      <c r="BF382" s="781">
        <f>BE382</f>
        <v>0.67716535433070868</v>
      </c>
      <c r="BG382" s="781">
        <f>BF382</f>
        <v>0.67716535433070868</v>
      </c>
      <c r="BH382" s="1278" t="s">
        <v>249</v>
      </c>
      <c r="BI382" s="1278" t="s">
        <v>249</v>
      </c>
      <c r="BJ382" s="1408">
        <f t="shared" ref="BJ382" si="495">BJ380/BJ$21</f>
        <v>0.90052356020942403</v>
      </c>
      <c r="BK382" s="1319" t="s">
        <v>249</v>
      </c>
      <c r="BL382" s="1319" t="s">
        <v>249</v>
      </c>
      <c r="BM382" s="1278" t="s">
        <v>249</v>
      </c>
      <c r="BN382" s="1278" t="s">
        <v>249</v>
      </c>
      <c r="BO382" s="1408">
        <f t="shared" ref="BO382" si="496">BO380/BO$21</f>
        <v>0.92346938775510201</v>
      </c>
      <c r="BP382" s="1319" t="s">
        <v>249</v>
      </c>
      <c r="BQ382" s="1319" t="s">
        <v>249</v>
      </c>
      <c r="BR382" s="1278" t="s">
        <v>249</v>
      </c>
      <c r="BS382" s="1278" t="s">
        <v>249</v>
      </c>
      <c r="BT382" s="1319"/>
      <c r="BU382" s="1319"/>
      <c r="BV382" s="1319"/>
      <c r="BW382" s="1278"/>
      <c r="BX382" s="1278" t="s">
        <v>249</v>
      </c>
      <c r="BY382" s="1670" t="s">
        <v>249</v>
      </c>
      <c r="BZ382" s="1670" t="s">
        <v>249</v>
      </c>
      <c r="CA382" s="1670" t="s">
        <v>249</v>
      </c>
      <c r="CF382" s="1487" t="str">
        <f t="shared" si="452"/>
        <v>% of revenue</v>
      </c>
      <c r="CG382" s="1272"/>
      <c r="CH382" s="1264"/>
      <c r="CI382" s="1264"/>
      <c r="CJ382" s="1264"/>
      <c r="CK382" s="1264"/>
      <c r="CL382" s="1278"/>
      <c r="CM382" s="1342"/>
      <c r="CN382" s="1342"/>
      <c r="CO382" s="1342"/>
      <c r="CP382" s="1342">
        <f t="shared" si="458"/>
        <v>0.61405672009864365</v>
      </c>
      <c r="CQ382" s="1342">
        <f t="shared" si="459"/>
        <v>0.6272321428571429</v>
      </c>
      <c r="CR382" s="1342">
        <f t="shared" si="460"/>
        <v>0.63991769547325106</v>
      </c>
      <c r="CS382" s="1342">
        <f t="shared" si="487"/>
        <v>0.67133620689655171</v>
      </c>
      <c r="CT382" s="1342">
        <f t="shared" si="488"/>
        <v>0.64501679731243</v>
      </c>
      <c r="CU382" s="1342">
        <f t="shared" si="489"/>
        <v>0.65911431513903196</v>
      </c>
      <c r="CV382" s="1488" t="str">
        <f t="shared" si="461"/>
        <v>--</v>
      </c>
      <c r="CW382" s="751" t="str">
        <f t="shared" si="462"/>
        <v>--</v>
      </c>
      <c r="CX382" s="751" t="str">
        <f t="shared" si="490"/>
        <v>--</v>
      </c>
      <c r="CY382" s="751" t="str">
        <f t="shared" si="463"/>
        <v>--</v>
      </c>
      <c r="CZ382" s="752" t="str">
        <f t="shared" si="463"/>
        <v>--</v>
      </c>
      <c r="DA382" s="752" t="str">
        <f t="shared" si="463"/>
        <v>--</v>
      </c>
      <c r="DB382" s="752" t="str">
        <f t="shared" si="463"/>
        <v>--</v>
      </c>
    </row>
    <row r="383" spans="1:106">
      <c r="A383" s="1618"/>
      <c r="B383" s="1286"/>
      <c r="C383" s="1286"/>
      <c r="D383" s="1286"/>
      <c r="E383" s="1286"/>
      <c r="F383" s="1286"/>
      <c r="K383" s="1423"/>
      <c r="P383" s="1423"/>
      <c r="U383" s="1423"/>
      <c r="Z383" s="1423"/>
      <c r="AE383" s="1423"/>
      <c r="AF383" s="1408"/>
      <c r="AG383" s="1408"/>
      <c r="AH383" s="1408"/>
      <c r="AI383" s="1408"/>
      <c r="AJ383" s="1342"/>
      <c r="AK383" s="1408"/>
      <c r="AL383" s="1408"/>
      <c r="AN383" s="1408"/>
      <c r="AO383" s="1342"/>
      <c r="AP383" s="1408"/>
      <c r="AQ383" s="1408"/>
      <c r="AS383" s="1408"/>
      <c r="AT383" s="1342"/>
      <c r="AU383" s="1175"/>
      <c r="AV383" s="1175"/>
      <c r="AW383" s="1398"/>
      <c r="AX383" s="1398"/>
      <c r="AY383" s="1342"/>
      <c r="AZ383" s="1408"/>
      <c r="BA383" s="1408"/>
      <c r="BB383" s="1408"/>
      <c r="BD383" s="1342"/>
      <c r="BE383" s="1408"/>
      <c r="BF383" s="781"/>
      <c r="BI383" s="1342"/>
      <c r="BJ383" s="1408"/>
      <c r="BK383" s="1408"/>
      <c r="BN383" s="1342"/>
      <c r="BO383" s="1408"/>
      <c r="BP383" s="1408"/>
      <c r="BS383" s="1342"/>
      <c r="BT383" s="1408"/>
      <c r="BU383" s="1408"/>
      <c r="BX383" s="1342"/>
      <c r="BY383" s="1486"/>
      <c r="BZ383" s="1486"/>
      <c r="CA383" s="1486"/>
      <c r="CF383" s="1619"/>
      <c r="CG383" s="1271"/>
      <c r="CH383" s="1271"/>
      <c r="CI383" s="1271"/>
      <c r="CJ383" s="1271"/>
      <c r="CK383" s="1271"/>
      <c r="CL383" s="1423"/>
      <c r="CM383" s="1423"/>
      <c r="CN383" s="1423"/>
      <c r="CO383" s="1423"/>
      <c r="CP383" s="1423"/>
      <c r="CQ383" s="1342">
        <f t="shared" si="459"/>
        <v>0</v>
      </c>
      <c r="CR383" s="1342">
        <f t="shared" si="460"/>
        <v>0</v>
      </c>
      <c r="CS383" s="1342">
        <f t="shared" si="487"/>
        <v>0</v>
      </c>
      <c r="CT383" s="1342">
        <f t="shared" si="488"/>
        <v>0</v>
      </c>
      <c r="CU383" s="1342">
        <f t="shared" si="489"/>
        <v>0</v>
      </c>
      <c r="CV383" s="1488">
        <f t="shared" si="461"/>
        <v>0</v>
      </c>
      <c r="CW383" s="1342">
        <f t="shared" si="462"/>
        <v>0</v>
      </c>
      <c r="CX383" s="1342">
        <f t="shared" si="490"/>
        <v>0</v>
      </c>
      <c r="CY383" s="1342">
        <f t="shared" si="463"/>
        <v>0</v>
      </c>
      <c r="CZ383" s="1486">
        <f t="shared" si="463"/>
        <v>0</v>
      </c>
      <c r="DA383" s="1486">
        <f t="shared" si="463"/>
        <v>0</v>
      </c>
      <c r="DB383" s="1486">
        <f t="shared" si="463"/>
        <v>0</v>
      </c>
    </row>
    <row r="384" spans="1:106">
      <c r="A384" s="1618"/>
      <c r="B384" s="1286"/>
      <c r="C384" s="1286"/>
      <c r="D384" s="1286"/>
      <c r="E384" s="1286"/>
      <c r="F384" s="1286"/>
      <c r="J384" s="1422"/>
      <c r="K384" s="1422"/>
      <c r="O384" s="1422"/>
      <c r="P384" s="1422"/>
      <c r="T384" s="1422"/>
      <c r="U384" s="1422"/>
      <c r="Y384" s="1422"/>
      <c r="Z384" s="1422"/>
      <c r="AE384" s="1423"/>
      <c r="AF384" s="1408"/>
      <c r="AG384" s="1408"/>
      <c r="AH384" s="1408"/>
      <c r="AI384" s="1408"/>
      <c r="AJ384" s="1342"/>
      <c r="AK384" s="1408"/>
      <c r="AL384" s="1408"/>
      <c r="AN384" s="1408"/>
      <c r="AO384" s="1342"/>
      <c r="AP384" s="1408"/>
      <c r="AQ384" s="1408"/>
      <c r="AR384" s="1344"/>
      <c r="AS384" s="1408"/>
      <c r="AT384" s="1342"/>
      <c r="AU384" s="1175"/>
      <c r="AV384" s="1175"/>
      <c r="AW384" s="1398"/>
      <c r="AX384" s="1398"/>
      <c r="AY384" s="1342"/>
      <c r="AZ384" s="1408"/>
      <c r="BA384" s="1408"/>
      <c r="BB384" s="1408"/>
      <c r="BD384" s="1342"/>
      <c r="BE384" s="1408"/>
      <c r="BF384" s="781"/>
      <c r="BI384" s="1342"/>
      <c r="BJ384" s="1408"/>
      <c r="BK384" s="1408"/>
      <c r="BN384" s="1342"/>
      <c r="BO384" s="1408"/>
      <c r="BP384" s="1408"/>
      <c r="BS384" s="1342"/>
      <c r="BT384" s="1408"/>
      <c r="BU384" s="1408"/>
      <c r="BX384" s="1342"/>
      <c r="BY384" s="1486"/>
      <c r="BZ384" s="1486"/>
      <c r="CA384" s="1486"/>
      <c r="CF384" s="1619"/>
      <c r="CG384" s="1271"/>
      <c r="CH384" s="1271"/>
      <c r="CI384" s="1271"/>
      <c r="CJ384" s="1271"/>
      <c r="CK384" s="1271"/>
      <c r="CL384" s="1422"/>
      <c r="CM384" s="1423"/>
      <c r="CN384" s="1423"/>
      <c r="CO384" s="1423"/>
      <c r="CP384" s="1423"/>
      <c r="CQ384" s="1342">
        <f t="shared" si="459"/>
        <v>0</v>
      </c>
      <c r="CR384" s="1342">
        <f t="shared" si="460"/>
        <v>0</v>
      </c>
      <c r="CS384" s="1342">
        <f t="shared" si="487"/>
        <v>0</v>
      </c>
      <c r="CT384" s="1342">
        <f t="shared" si="488"/>
        <v>0</v>
      </c>
      <c r="CU384" s="1342">
        <f t="shared" si="489"/>
        <v>0</v>
      </c>
      <c r="CV384" s="1488">
        <f t="shared" si="461"/>
        <v>0</v>
      </c>
      <c r="CW384" s="1342">
        <f t="shared" si="462"/>
        <v>0</v>
      </c>
      <c r="CX384" s="1342">
        <f t="shared" si="490"/>
        <v>0</v>
      </c>
      <c r="CY384" s="1342">
        <f t="shared" si="463"/>
        <v>0</v>
      </c>
      <c r="CZ384" s="1486">
        <f t="shared" si="463"/>
        <v>0</v>
      </c>
      <c r="DA384" s="1486">
        <f t="shared" si="463"/>
        <v>0</v>
      </c>
      <c r="DB384" s="1486">
        <f t="shared" si="463"/>
        <v>0</v>
      </c>
    </row>
    <row r="385" spans="1:106" s="762" customFormat="1">
      <c r="A385" s="762" t="s">
        <v>329</v>
      </c>
      <c r="B385" s="1287"/>
      <c r="C385" s="1287"/>
      <c r="D385" s="1287"/>
      <c r="E385" s="1287"/>
      <c r="F385" s="1287"/>
      <c r="G385" s="1319" t="s">
        <v>249</v>
      </c>
      <c r="H385" s="1319" t="s">
        <v>249</v>
      </c>
      <c r="I385" s="1319" t="s">
        <v>249</v>
      </c>
      <c r="J385" s="1278" t="s">
        <v>249</v>
      </c>
      <c r="K385" s="1278" t="s">
        <v>249</v>
      </c>
      <c r="L385" s="1319" t="s">
        <v>249</v>
      </c>
      <c r="M385" s="1319" t="s">
        <v>249</v>
      </c>
      <c r="N385" s="1319" t="s">
        <v>249</v>
      </c>
      <c r="O385" s="1278" t="s">
        <v>249</v>
      </c>
      <c r="P385" s="1278" t="s">
        <v>249</v>
      </c>
      <c r="Q385" s="1319" t="s">
        <v>249</v>
      </c>
      <c r="R385" s="1319" t="s">
        <v>249</v>
      </c>
      <c r="S385" s="1319" t="s">
        <v>249</v>
      </c>
      <c r="T385" s="1278" t="s">
        <v>249</v>
      </c>
      <c r="U385" s="1278" t="s">
        <v>249</v>
      </c>
      <c r="V385" s="1319" t="s">
        <v>249</v>
      </c>
      <c r="W385" s="1319" t="s">
        <v>249</v>
      </c>
      <c r="X385" s="1319" t="s">
        <v>249</v>
      </c>
      <c r="Y385" s="1278" t="s">
        <v>249</v>
      </c>
      <c r="Z385" s="1278" t="s">
        <v>249</v>
      </c>
      <c r="AA385" s="1319" t="s">
        <v>249</v>
      </c>
      <c r="AB385" s="1319" t="s">
        <v>249</v>
      </c>
      <c r="AC385" s="1319" t="s">
        <v>249</v>
      </c>
      <c r="AD385" s="762">
        <v>92</v>
      </c>
      <c r="AE385" s="1270">
        <v>313</v>
      </c>
      <c r="AF385" s="762">
        <v>73</v>
      </c>
      <c r="AG385" s="762">
        <v>86</v>
      </c>
      <c r="AH385" s="762">
        <v>83</v>
      </c>
      <c r="AI385" s="762">
        <v>91</v>
      </c>
      <c r="AJ385" s="1270">
        <v>334</v>
      </c>
      <c r="AK385" s="762">
        <f>5+77</f>
        <v>82</v>
      </c>
      <c r="AL385" s="762">
        <f>11+82</f>
        <v>93</v>
      </c>
      <c r="AM385" s="1344">
        <f>10+80</f>
        <v>90</v>
      </c>
      <c r="AN385" s="762">
        <f>10+90</f>
        <v>100</v>
      </c>
      <c r="AO385" s="1270">
        <v>351</v>
      </c>
      <c r="AP385" s="762">
        <f>11+67</f>
        <v>78</v>
      </c>
      <c r="AQ385" s="762">
        <f>14+82</f>
        <v>96</v>
      </c>
      <c r="AR385" s="1344">
        <v>79</v>
      </c>
      <c r="AS385" s="762">
        <f>11+85</f>
        <v>96</v>
      </c>
      <c r="AT385" s="1270">
        <f>SUM(AP385:AS385)</f>
        <v>349</v>
      </c>
      <c r="AU385" s="1335">
        <v>70</v>
      </c>
      <c r="AV385" s="1335">
        <v>77</v>
      </c>
      <c r="AW385" s="1335">
        <v>82</v>
      </c>
      <c r="AX385" s="1335">
        <v>88</v>
      </c>
      <c r="AY385" s="1270">
        <f>SUM(AU385:AX385)</f>
        <v>317</v>
      </c>
      <c r="AZ385" s="1335">
        <v>76</v>
      </c>
      <c r="BA385" s="762">
        <v>80</v>
      </c>
      <c r="BB385" s="762">
        <v>83</v>
      </c>
      <c r="BC385" s="1335">
        <v>92</v>
      </c>
      <c r="BD385" s="1270">
        <f>SUM(AZ385:BC385)</f>
        <v>331</v>
      </c>
      <c r="BE385" s="1253">
        <v>82</v>
      </c>
      <c r="BF385" s="1253">
        <v>80</v>
      </c>
      <c r="BG385" s="1253">
        <v>57</v>
      </c>
      <c r="BH385" s="1278" t="s">
        <v>249</v>
      </c>
      <c r="BI385" s="1278" t="s">
        <v>249</v>
      </c>
      <c r="BJ385" s="2111">
        <f>3+16</f>
        <v>19</v>
      </c>
      <c r="BK385" s="1319" t="s">
        <v>249</v>
      </c>
      <c r="BL385" s="1319" t="s">
        <v>249</v>
      </c>
      <c r="BM385" s="1278" t="s">
        <v>249</v>
      </c>
      <c r="BN385" s="1278" t="s">
        <v>249</v>
      </c>
      <c r="BO385" s="2111">
        <f>2+13</f>
        <v>15</v>
      </c>
      <c r="BP385" s="1319" t="s">
        <v>249</v>
      </c>
      <c r="BQ385" s="1319" t="s">
        <v>249</v>
      </c>
      <c r="BR385" s="1278" t="s">
        <v>249</v>
      </c>
      <c r="BS385" s="1278" t="s">
        <v>249</v>
      </c>
      <c r="BT385" s="1319"/>
      <c r="BU385" s="1319"/>
      <c r="BV385" s="1319"/>
      <c r="BW385" s="1278"/>
      <c r="BX385" s="1278" t="s">
        <v>249</v>
      </c>
      <c r="BY385" s="1670" t="s">
        <v>249</v>
      </c>
      <c r="BZ385" s="1670" t="s">
        <v>249</v>
      </c>
      <c r="CA385" s="1670" t="s">
        <v>249</v>
      </c>
      <c r="CF385" s="1270" t="str">
        <f t="shared" si="452"/>
        <v>Transaction</v>
      </c>
      <c r="CL385" s="1278"/>
      <c r="CM385" s="1270"/>
      <c r="CN385" s="1270"/>
      <c r="CO385" s="1270"/>
      <c r="CP385" s="1270">
        <f t="shared" si="458"/>
        <v>313</v>
      </c>
      <c r="CQ385" s="1270">
        <f t="shared" si="459"/>
        <v>334</v>
      </c>
      <c r="CR385" s="1270">
        <f t="shared" si="460"/>
        <v>351</v>
      </c>
      <c r="CS385" s="1270">
        <f t="shared" si="487"/>
        <v>349</v>
      </c>
      <c r="CT385" s="1270">
        <f t="shared" si="488"/>
        <v>317</v>
      </c>
      <c r="CU385" s="1270">
        <f t="shared" si="489"/>
        <v>331</v>
      </c>
      <c r="CV385" s="1273" t="str">
        <f t="shared" si="461"/>
        <v>--</v>
      </c>
      <c r="CW385" s="1270" t="str">
        <f t="shared" si="462"/>
        <v>--</v>
      </c>
      <c r="CX385" s="1270" t="str">
        <f t="shared" si="490"/>
        <v>--</v>
      </c>
      <c r="CY385" s="1270" t="str">
        <f t="shared" si="463"/>
        <v>--</v>
      </c>
      <c r="CZ385" s="1290" t="str">
        <f t="shared" si="463"/>
        <v>--</v>
      </c>
      <c r="DA385" s="1290" t="str">
        <f t="shared" si="463"/>
        <v>--</v>
      </c>
      <c r="DB385" s="1290" t="str">
        <f t="shared" si="463"/>
        <v>--</v>
      </c>
    </row>
    <row r="386" spans="1:106">
      <c r="A386" s="1618" t="s">
        <v>288</v>
      </c>
      <c r="B386" s="1286"/>
      <c r="C386" s="1286"/>
      <c r="D386" s="1286"/>
      <c r="E386" s="1286"/>
      <c r="F386" s="1286"/>
      <c r="G386" s="1319"/>
      <c r="H386" s="1319"/>
      <c r="I386" s="1319"/>
      <c r="J386" s="1278"/>
      <c r="K386" s="1278"/>
      <c r="L386" s="1319"/>
      <c r="M386" s="1319"/>
      <c r="N386" s="1319"/>
      <c r="O386" s="1278"/>
      <c r="P386" s="1278"/>
      <c r="Q386" s="1319"/>
      <c r="R386" s="1319"/>
      <c r="S386" s="1319"/>
      <c r="T386" s="1278"/>
      <c r="U386" s="1278"/>
      <c r="V386" s="1319"/>
      <c r="W386" s="1319"/>
      <c r="X386" s="1319"/>
      <c r="Y386" s="1278"/>
      <c r="Z386" s="1278"/>
      <c r="AA386" s="1319"/>
      <c r="AB386" s="1319"/>
      <c r="AC386" s="1319"/>
      <c r="AD386" s="1408"/>
      <c r="AE386" s="1342"/>
      <c r="AF386" s="1408"/>
      <c r="AG386" s="1408"/>
      <c r="AH386" s="1408"/>
      <c r="AI386" s="1408">
        <f t="shared" ref="AI386:AQ386" si="497">AI385/AD385-1</f>
        <v>-1.0869565217391353E-2</v>
      </c>
      <c r="AJ386" s="1342">
        <f t="shared" si="497"/>
        <v>6.7092651757188593E-2</v>
      </c>
      <c r="AK386" s="1408">
        <f t="shared" si="497"/>
        <v>0.12328767123287676</v>
      </c>
      <c r="AL386" s="1408">
        <f t="shared" si="497"/>
        <v>8.1395348837209225E-2</v>
      </c>
      <c r="AM386" s="1408">
        <f t="shared" si="497"/>
        <v>8.43373493975903E-2</v>
      </c>
      <c r="AN386" s="1408">
        <f t="shared" si="497"/>
        <v>9.8901098901098994E-2</v>
      </c>
      <c r="AO386" s="1342">
        <f t="shared" si="497"/>
        <v>5.0898203592814273E-2</v>
      </c>
      <c r="AP386" s="1408">
        <f t="shared" si="497"/>
        <v>-4.8780487804878092E-2</v>
      </c>
      <c r="AQ386" s="1408">
        <f t="shared" si="497"/>
        <v>3.2258064516129004E-2</v>
      </c>
      <c r="AR386" s="1408">
        <f>AR385/AM385-1</f>
        <v>-0.12222222222222223</v>
      </c>
      <c r="AS386" s="1408">
        <f>AS385/AN385-1</f>
        <v>-4.0000000000000036E-2</v>
      </c>
      <c r="AT386" s="1342">
        <f>AT385/AO385-1</f>
        <v>-5.6980056980057148E-3</v>
      </c>
      <c r="AU386" s="1175">
        <f>AU385/AP385-1</f>
        <v>-0.10256410256410253</v>
      </c>
      <c r="AV386" s="1175">
        <f>AV385/AQ385-1</f>
        <v>-0.19791666666666663</v>
      </c>
      <c r="AW386" s="1175">
        <f t="shared" ref="AW386:BG386" si="498">AW385/AR385-1</f>
        <v>3.7974683544303778E-2</v>
      </c>
      <c r="AX386" s="1175">
        <f t="shared" si="498"/>
        <v>-8.333333333333337E-2</v>
      </c>
      <c r="AY386" s="1342">
        <f t="shared" si="498"/>
        <v>-9.1690544412607489E-2</v>
      </c>
      <c r="AZ386" s="1175">
        <f t="shared" si="498"/>
        <v>8.5714285714285632E-2</v>
      </c>
      <c r="BA386" s="1408">
        <f t="shared" si="498"/>
        <v>3.8961038961038863E-2</v>
      </c>
      <c r="BB386" s="1408">
        <f t="shared" si="498"/>
        <v>1.2195121951219523E-2</v>
      </c>
      <c r="BC386" s="1408">
        <f t="shared" si="498"/>
        <v>4.5454545454545414E-2</v>
      </c>
      <c r="BD386" s="1342">
        <f t="shared" si="498"/>
        <v>4.4164037854889537E-2</v>
      </c>
      <c r="BE386" s="1408">
        <f t="shared" si="498"/>
        <v>7.8947368421052655E-2</v>
      </c>
      <c r="BF386" s="1408">
        <f t="shared" si="498"/>
        <v>0</v>
      </c>
      <c r="BG386" s="1408">
        <f t="shared" si="498"/>
        <v>-0.31325301204819278</v>
      </c>
      <c r="BH386" s="1278" t="s">
        <v>249</v>
      </c>
      <c r="BI386" s="1278" t="s">
        <v>249</v>
      </c>
      <c r="BJ386" s="1408">
        <f t="shared" ref="BJ386" si="499">BJ385/BE385-1</f>
        <v>-0.76829268292682928</v>
      </c>
      <c r="BK386" s="1319" t="s">
        <v>249</v>
      </c>
      <c r="BL386" s="1319" t="s">
        <v>249</v>
      </c>
      <c r="BM386" s="1278" t="s">
        <v>249</v>
      </c>
      <c r="BN386" s="1278" t="s">
        <v>249</v>
      </c>
      <c r="BO386" s="1408">
        <f t="shared" ref="BO386" si="500">BO385/BJ385-1</f>
        <v>-0.21052631578947367</v>
      </c>
      <c r="BP386" s="1319" t="s">
        <v>249</v>
      </c>
      <c r="BQ386" s="1319" t="s">
        <v>249</v>
      </c>
      <c r="BR386" s="1278" t="s">
        <v>249</v>
      </c>
      <c r="BS386" s="1278" t="s">
        <v>249</v>
      </c>
      <c r="BT386" s="1319"/>
      <c r="BU386" s="1319"/>
      <c r="BV386" s="1319"/>
      <c r="BW386" s="1278"/>
      <c r="BX386" s="1278" t="s">
        <v>249</v>
      </c>
      <c r="BY386" s="1670" t="s">
        <v>249</v>
      </c>
      <c r="BZ386" s="1670" t="s">
        <v>249</v>
      </c>
      <c r="CA386" s="1670" t="s">
        <v>249</v>
      </c>
      <c r="CF386" s="1619" t="str">
        <f t="shared" si="452"/>
        <v>y/y change</v>
      </c>
      <c r="CG386" s="1271"/>
      <c r="CH386" s="1271"/>
      <c r="CI386" s="1271"/>
      <c r="CJ386" s="1271"/>
      <c r="CK386" s="1271"/>
      <c r="CL386" s="1278"/>
      <c r="CM386" s="1342"/>
      <c r="CN386" s="1342"/>
      <c r="CO386" s="1342"/>
      <c r="CP386" s="1342">
        <f t="shared" si="458"/>
        <v>0</v>
      </c>
      <c r="CQ386" s="1342">
        <f t="shared" si="459"/>
        <v>6.7092651757188593E-2</v>
      </c>
      <c r="CR386" s="1342">
        <f t="shared" si="460"/>
        <v>5.0898203592814273E-2</v>
      </c>
      <c r="CS386" s="1342">
        <f t="shared" si="487"/>
        <v>-5.6980056980057148E-3</v>
      </c>
      <c r="CT386" s="1342">
        <f t="shared" si="488"/>
        <v>-9.1690544412607489E-2</v>
      </c>
      <c r="CU386" s="1342">
        <f t="shared" si="489"/>
        <v>4.4164037854889537E-2</v>
      </c>
      <c r="CV386" s="1488" t="str">
        <f t="shared" si="461"/>
        <v>--</v>
      </c>
      <c r="CW386" s="1342" t="str">
        <f t="shared" si="462"/>
        <v>--</v>
      </c>
      <c r="CX386" s="1342" t="str">
        <f t="shared" si="490"/>
        <v>--</v>
      </c>
      <c r="CY386" s="1342" t="str">
        <f t="shared" si="463"/>
        <v>--</v>
      </c>
      <c r="CZ386" s="1486" t="str">
        <f t="shared" si="463"/>
        <v>--</v>
      </c>
      <c r="DA386" s="1486" t="str">
        <f t="shared" si="463"/>
        <v>--</v>
      </c>
      <c r="DB386" s="1486" t="str">
        <f t="shared" si="463"/>
        <v>--</v>
      </c>
    </row>
    <row r="387" spans="1:106" ht="12" customHeight="1">
      <c r="A387" s="1485" t="s">
        <v>330</v>
      </c>
      <c r="B387" s="1265"/>
      <c r="C387" s="1265"/>
      <c r="D387" s="1265"/>
      <c r="E387" s="1265"/>
      <c r="F387" s="1265"/>
      <c r="G387" s="1319"/>
      <c r="H387" s="1319"/>
      <c r="I387" s="1319"/>
      <c r="J387" s="1278"/>
      <c r="K387" s="1278"/>
      <c r="L387" s="1319"/>
      <c r="M387" s="1319"/>
      <c r="N387" s="1319"/>
      <c r="O387" s="1278"/>
      <c r="P387" s="1278"/>
      <c r="Q387" s="1319"/>
      <c r="R387" s="1319"/>
      <c r="S387" s="1319"/>
      <c r="T387" s="1278"/>
      <c r="U387" s="1278"/>
      <c r="V387" s="1319"/>
      <c r="W387" s="1319"/>
      <c r="X387" s="1319"/>
      <c r="Y387" s="1278"/>
      <c r="Z387" s="1278"/>
      <c r="AA387" s="1319"/>
      <c r="AB387" s="1319"/>
      <c r="AC387" s="1319"/>
      <c r="AD387" s="1408">
        <f t="shared" ref="AD387:BG387" si="501">AD385/AD$21</f>
        <v>0.41628959276018102</v>
      </c>
      <c r="AE387" s="1342">
        <f t="shared" si="501"/>
        <v>0.38594327990135635</v>
      </c>
      <c r="AF387" s="1408">
        <f t="shared" si="501"/>
        <v>0.35265700483091789</v>
      </c>
      <c r="AG387" s="1408">
        <f t="shared" si="501"/>
        <v>0.38738738738738737</v>
      </c>
      <c r="AH387" s="1408">
        <f t="shared" si="501"/>
        <v>0.36403508771929827</v>
      </c>
      <c r="AI387" s="1408">
        <f t="shared" si="501"/>
        <v>0.3807531380753138</v>
      </c>
      <c r="AJ387" s="1342">
        <f t="shared" si="501"/>
        <v>0.37276785714285715</v>
      </c>
      <c r="AK387" s="1408">
        <f t="shared" si="501"/>
        <v>0.35193133047210301</v>
      </c>
      <c r="AL387" s="1610">
        <f t="shared" si="501"/>
        <v>0.38750000000000001</v>
      </c>
      <c r="AM387" s="1610">
        <f t="shared" si="501"/>
        <v>0.37656903765690375</v>
      </c>
      <c r="AN387" s="1408">
        <f t="shared" si="501"/>
        <v>0.38461538461538464</v>
      </c>
      <c r="AO387" s="1342">
        <f t="shared" si="501"/>
        <v>0.3611111111111111</v>
      </c>
      <c r="AP387" s="1408">
        <f t="shared" si="501"/>
        <v>0.33050847457627119</v>
      </c>
      <c r="AQ387" s="1610">
        <f t="shared" si="501"/>
        <v>0.37065637065637064</v>
      </c>
      <c r="AR387" s="1610">
        <f t="shared" si="501"/>
        <v>0.37089201877934275</v>
      </c>
      <c r="AS387" s="1408">
        <f t="shared" si="501"/>
        <v>0.43636363636363634</v>
      </c>
      <c r="AT387" s="1342">
        <f t="shared" si="501"/>
        <v>0.37607758620689657</v>
      </c>
      <c r="AU387" s="1175">
        <f t="shared" si="501"/>
        <v>0.33175355450236965</v>
      </c>
      <c r="AV387" s="692">
        <f t="shared" si="501"/>
        <v>0.35159817351598172</v>
      </c>
      <c r="AW387" s="692">
        <f t="shared" si="501"/>
        <v>0.36123348017621143</v>
      </c>
      <c r="AX387" s="1175">
        <f t="shared" si="501"/>
        <v>0.3728813559322034</v>
      </c>
      <c r="AY387" s="1342">
        <f t="shared" si="501"/>
        <v>0.35498320268757</v>
      </c>
      <c r="AZ387" s="1175">
        <f t="shared" si="501"/>
        <v>0.33777777777777779</v>
      </c>
      <c r="BA387" s="1610">
        <f t="shared" si="501"/>
        <v>0.34188034188034189</v>
      </c>
      <c r="BB387" s="1610">
        <f t="shared" si="501"/>
        <v>0.33467741935483869</v>
      </c>
      <c r="BC387" s="1408">
        <f t="shared" si="501"/>
        <v>0.34848484848484851</v>
      </c>
      <c r="BD387" s="1342">
        <f t="shared" si="501"/>
        <v>0.3408856848609681</v>
      </c>
      <c r="BE387" s="1408">
        <f t="shared" si="501"/>
        <v>0.32283464566929132</v>
      </c>
      <c r="BF387" s="1610">
        <f t="shared" si="501"/>
        <v>0.31372549019607843</v>
      </c>
      <c r="BG387" s="1610">
        <f t="shared" si="501"/>
        <v>0.24890829694323144</v>
      </c>
      <c r="BH387" s="1278" t="s">
        <v>249</v>
      </c>
      <c r="BI387" s="1278" t="s">
        <v>249</v>
      </c>
      <c r="BJ387" s="1408">
        <f t="shared" ref="BJ387" si="502">BJ385/BJ$21</f>
        <v>9.947643979057591E-2</v>
      </c>
      <c r="BK387" s="1319" t="s">
        <v>249</v>
      </c>
      <c r="BL387" s="1319" t="s">
        <v>249</v>
      </c>
      <c r="BM387" s="1278" t="s">
        <v>249</v>
      </c>
      <c r="BN387" s="1278" t="s">
        <v>249</v>
      </c>
      <c r="BO387" s="1408">
        <f t="shared" ref="BO387" si="503">BO385/BO$21</f>
        <v>7.6530612244897961E-2</v>
      </c>
      <c r="BP387" s="1319" t="s">
        <v>249</v>
      </c>
      <c r="BQ387" s="1319" t="s">
        <v>249</v>
      </c>
      <c r="BR387" s="1278" t="s">
        <v>249</v>
      </c>
      <c r="BS387" s="1278" t="s">
        <v>249</v>
      </c>
      <c r="BT387" s="1319"/>
      <c r="BU387" s="1319"/>
      <c r="BV387" s="1319"/>
      <c r="BW387" s="1278"/>
      <c r="BX387" s="1278" t="s">
        <v>249</v>
      </c>
      <c r="BY387" s="1670" t="s">
        <v>249</v>
      </c>
      <c r="BZ387" s="1670" t="s">
        <v>249</v>
      </c>
      <c r="CA387" s="1670" t="s">
        <v>249</v>
      </c>
      <c r="CF387" s="1487" t="str">
        <f t="shared" si="452"/>
        <v>% of revenue</v>
      </c>
      <c r="CG387" s="1272"/>
      <c r="CH387" s="1264"/>
      <c r="CI387" s="1264"/>
      <c r="CJ387" s="1264"/>
      <c r="CK387" s="1264"/>
      <c r="CL387" s="1278"/>
      <c r="CM387" s="1342"/>
      <c r="CN387" s="1342"/>
      <c r="CO387" s="1342"/>
      <c r="CP387" s="1342">
        <f t="shared" si="458"/>
        <v>0.38594327990135635</v>
      </c>
      <c r="CQ387" s="1342">
        <f t="shared" si="459"/>
        <v>0.37276785714285715</v>
      </c>
      <c r="CR387" s="1342">
        <f t="shared" si="460"/>
        <v>0.3611111111111111</v>
      </c>
      <c r="CS387" s="1342">
        <f t="shared" si="487"/>
        <v>0.37607758620689657</v>
      </c>
      <c r="CT387" s="1342">
        <f t="shared" si="488"/>
        <v>0.35498320268757</v>
      </c>
      <c r="CU387" s="1342">
        <f t="shared" si="489"/>
        <v>0.3408856848609681</v>
      </c>
      <c r="CV387" s="1488" t="str">
        <f t="shared" si="461"/>
        <v>--</v>
      </c>
      <c r="CW387" s="1342" t="str">
        <f t="shared" si="462"/>
        <v>--</v>
      </c>
      <c r="CX387" s="1342" t="str">
        <f t="shared" si="490"/>
        <v>--</v>
      </c>
      <c r="CY387" s="1342" t="str">
        <f t="shared" si="463"/>
        <v>--</v>
      </c>
      <c r="CZ387" s="1486" t="str">
        <f t="shared" si="463"/>
        <v>--</v>
      </c>
      <c r="DA387" s="1486" t="str">
        <f t="shared" si="463"/>
        <v>--</v>
      </c>
      <c r="DB387" s="1486" t="str">
        <f t="shared" si="463"/>
        <v>--</v>
      </c>
    </row>
    <row r="388" spans="1:106" ht="12" customHeight="1">
      <c r="A388" s="1485"/>
      <c r="B388" s="1265"/>
      <c r="C388" s="1265"/>
      <c r="D388" s="1265"/>
      <c r="E388" s="1265"/>
      <c r="F388" s="1265"/>
      <c r="G388" s="1319"/>
      <c r="H388" s="1319"/>
      <c r="I388" s="1319"/>
      <c r="J388" s="1278"/>
      <c r="K388" s="1278"/>
      <c r="L388" s="1319"/>
      <c r="M388" s="1319"/>
      <c r="N388" s="1319"/>
      <c r="O388" s="1278"/>
      <c r="P388" s="1278"/>
      <c r="Q388" s="1319"/>
      <c r="R388" s="1319"/>
      <c r="S388" s="1319"/>
      <c r="T388" s="1278"/>
      <c r="U388" s="1278"/>
      <c r="V388" s="1319"/>
      <c r="W388" s="1319"/>
      <c r="X388" s="1319"/>
      <c r="Y388" s="1278"/>
      <c r="Z388" s="1278"/>
      <c r="AA388" s="1319"/>
      <c r="AB388" s="1319"/>
      <c r="AC388" s="1319"/>
      <c r="AD388" s="1408"/>
      <c r="AE388" s="1342"/>
      <c r="AF388" s="1408"/>
      <c r="AG388" s="1408"/>
      <c r="AH388" s="1408"/>
      <c r="AI388" s="1408"/>
      <c r="AJ388" s="1342"/>
      <c r="AK388" s="1408"/>
      <c r="AL388" s="1610"/>
      <c r="AM388" s="1610"/>
      <c r="AN388" s="1408"/>
      <c r="AO388" s="1342"/>
      <c r="AP388" s="1408"/>
      <c r="AQ388" s="1610"/>
      <c r="AR388" s="1344"/>
      <c r="AS388" s="1408"/>
      <c r="AT388" s="1342"/>
      <c r="AU388" s="1175"/>
      <c r="AV388" s="692"/>
      <c r="AW388" s="692"/>
      <c r="AX388" s="783"/>
      <c r="AY388" s="1486"/>
      <c r="AZ388" s="1175"/>
      <c r="BA388" s="1610"/>
      <c r="BB388" s="1610"/>
      <c r="BC388" s="1486"/>
      <c r="BD388" s="1486"/>
      <c r="BE388" s="1408"/>
      <c r="BF388" s="1610"/>
      <c r="BG388" s="1610"/>
      <c r="BH388" s="1486"/>
      <c r="BI388" s="1486"/>
      <c r="BJ388" s="1408"/>
      <c r="BK388" s="1610"/>
      <c r="BL388" s="1610"/>
      <c r="BM388" s="1486"/>
      <c r="BN388" s="1342"/>
      <c r="BO388" s="1408"/>
      <c r="BP388" s="1610"/>
      <c r="BQ388" s="1610"/>
      <c r="BR388" s="1486"/>
      <c r="BS388" s="1342"/>
      <c r="BT388" s="1408"/>
      <c r="BU388" s="1610"/>
      <c r="BV388" s="1610"/>
      <c r="BW388" s="1486"/>
      <c r="BX388" s="1342"/>
      <c r="BY388" s="1486"/>
      <c r="BZ388" s="1486"/>
      <c r="CA388" s="1486"/>
      <c r="CF388" s="1487"/>
      <c r="CG388" s="1265"/>
      <c r="CH388" s="1265"/>
      <c r="CI388" s="1265"/>
      <c r="CJ388" s="1265"/>
      <c r="CK388" s="1265"/>
      <c r="CL388" s="1278"/>
      <c r="CM388" s="1342"/>
      <c r="CN388" s="1342"/>
      <c r="CO388" s="1342"/>
      <c r="CP388" s="1342"/>
      <c r="CQ388" s="1342"/>
      <c r="CR388" s="1342"/>
      <c r="CS388" s="1342"/>
      <c r="CT388" s="1486"/>
      <c r="CU388" s="1486"/>
      <c r="CV388" s="1610"/>
      <c r="CW388" s="1342"/>
      <c r="CX388" s="1342"/>
      <c r="CY388" s="1342"/>
      <c r="CZ388" s="1486"/>
      <c r="DA388" s="1486"/>
      <c r="DB388" s="1486"/>
    </row>
    <row r="389" spans="1:106" s="762" customFormat="1">
      <c r="A389" s="1335" t="s">
        <v>339</v>
      </c>
      <c r="G389" s="1319" t="s">
        <v>249</v>
      </c>
      <c r="H389" s="1319" t="s">
        <v>249</v>
      </c>
      <c r="I389" s="1319" t="s">
        <v>249</v>
      </c>
      <c r="J389" s="1278" t="s">
        <v>249</v>
      </c>
      <c r="K389" s="1278" t="s">
        <v>249</v>
      </c>
      <c r="L389" s="1319" t="s">
        <v>249</v>
      </c>
      <c r="M389" s="1319" t="s">
        <v>249</v>
      </c>
      <c r="N389" s="1319" t="s">
        <v>249</v>
      </c>
      <c r="O389" s="1278" t="s">
        <v>249</v>
      </c>
      <c r="P389" s="1278" t="s">
        <v>249</v>
      </c>
      <c r="Q389" s="1319" t="s">
        <v>249</v>
      </c>
      <c r="R389" s="1319" t="s">
        <v>249</v>
      </c>
      <c r="S389" s="1319" t="s">
        <v>249</v>
      </c>
      <c r="T389" s="1278" t="s">
        <v>249</v>
      </c>
      <c r="U389" s="1278" t="s">
        <v>249</v>
      </c>
      <c r="V389" s="1319" t="s">
        <v>249</v>
      </c>
      <c r="W389" s="1319" t="s">
        <v>249</v>
      </c>
      <c r="X389" s="1319" t="s">
        <v>249</v>
      </c>
      <c r="Y389" s="1278" t="s">
        <v>249</v>
      </c>
      <c r="Z389" s="1278" t="s">
        <v>249</v>
      </c>
      <c r="AA389" s="1319" t="s">
        <v>249</v>
      </c>
      <c r="AB389" s="1319" t="s">
        <v>249</v>
      </c>
      <c r="AC389" s="1319" t="s">
        <v>249</v>
      </c>
      <c r="AD389" s="762">
        <v>139</v>
      </c>
      <c r="AE389" s="1270">
        <v>531</v>
      </c>
      <c r="AF389" s="762">
        <v>127</v>
      </c>
      <c r="AG389" s="762">
        <v>139</v>
      </c>
      <c r="AH389" s="762">
        <v>137</v>
      </c>
      <c r="AI389" s="762">
        <v>146</v>
      </c>
      <c r="AJ389" s="1270">
        <v>551</v>
      </c>
      <c r="AK389" s="762">
        <f>71+110</f>
        <v>181</v>
      </c>
      <c r="AL389" s="762">
        <f>48+96</f>
        <v>144</v>
      </c>
      <c r="AM389" s="1344">
        <f>46+88</f>
        <v>134</v>
      </c>
      <c r="AN389" s="762">
        <f>51+97</f>
        <v>148</v>
      </c>
      <c r="AO389" s="1270">
        <v>563</v>
      </c>
      <c r="AP389" s="762">
        <f>50+81</f>
        <v>131</v>
      </c>
      <c r="AQ389" s="762">
        <f>55+92</f>
        <v>147</v>
      </c>
      <c r="AR389" s="1344">
        <v>98</v>
      </c>
      <c r="AS389" s="762">
        <f>56+90</f>
        <v>146</v>
      </c>
      <c r="AT389" s="1270">
        <f>SUM(AP389:AS389)</f>
        <v>522</v>
      </c>
      <c r="AU389" s="762">
        <v>95</v>
      </c>
      <c r="AV389" s="762">
        <v>99</v>
      </c>
      <c r="AW389" s="1349">
        <v>102</v>
      </c>
      <c r="AX389" s="1278">
        <v>105</v>
      </c>
      <c r="AY389" s="1270">
        <f>SUM(AU389:AX389)</f>
        <v>401</v>
      </c>
      <c r="AZ389" s="762">
        <v>98</v>
      </c>
      <c r="BA389" s="1319">
        <v>102</v>
      </c>
      <c r="BB389" s="1319">
        <v>116</v>
      </c>
      <c r="BC389" s="1339">
        <v>119</v>
      </c>
      <c r="BD389" s="1270">
        <f>SUM(AZ389:BC389)</f>
        <v>435</v>
      </c>
      <c r="BE389" s="1253">
        <v>116</v>
      </c>
      <c r="BF389" s="1327">
        <v>113</v>
      </c>
      <c r="BG389" s="1327">
        <v>101</v>
      </c>
      <c r="BH389" s="1278" t="s">
        <v>249</v>
      </c>
      <c r="BI389" s="1278" t="s">
        <v>249</v>
      </c>
      <c r="BJ389" s="2111">
        <v>72</v>
      </c>
      <c r="BK389" s="1319" t="s">
        <v>249</v>
      </c>
      <c r="BL389" s="1319" t="s">
        <v>249</v>
      </c>
      <c r="BM389" s="1278" t="s">
        <v>249</v>
      </c>
      <c r="BN389" s="1278" t="s">
        <v>249</v>
      </c>
      <c r="BO389" s="2111">
        <v>69</v>
      </c>
      <c r="BP389" s="1319" t="s">
        <v>249</v>
      </c>
      <c r="BQ389" s="1319" t="s">
        <v>249</v>
      </c>
      <c r="BR389" s="1278" t="s">
        <v>249</v>
      </c>
      <c r="BS389" s="1278" t="s">
        <v>249</v>
      </c>
      <c r="BT389" s="1319"/>
      <c r="BU389" s="1319"/>
      <c r="BV389" s="1319"/>
      <c r="BW389" s="1278"/>
      <c r="BX389" s="1278" t="s">
        <v>249</v>
      </c>
      <c r="BY389" s="1670" t="s">
        <v>249</v>
      </c>
      <c r="BZ389" s="1670" t="s">
        <v>249</v>
      </c>
      <c r="CA389" s="1670" t="s">
        <v>249</v>
      </c>
      <c r="CF389" s="1292" t="str">
        <f t="shared" si="452"/>
        <v>Domestic</v>
      </c>
      <c r="CL389" s="1278"/>
      <c r="CM389" s="1270"/>
      <c r="CN389" s="1270"/>
      <c r="CO389" s="1270"/>
      <c r="CP389" s="1270">
        <f t="shared" si="458"/>
        <v>531</v>
      </c>
      <c r="CQ389" s="1270">
        <f t="shared" si="459"/>
        <v>551</v>
      </c>
      <c r="CR389" s="1270">
        <f t="shared" si="460"/>
        <v>563</v>
      </c>
      <c r="CS389" s="1270">
        <f>+AT389</f>
        <v>522</v>
      </c>
      <c r="CT389" s="1270">
        <f>+AY389</f>
        <v>401</v>
      </c>
      <c r="CU389" s="1270">
        <f>+BD389</f>
        <v>435</v>
      </c>
      <c r="CV389" s="1276" t="str">
        <f t="shared" si="461"/>
        <v>--</v>
      </c>
      <c r="CW389" s="1669" t="str">
        <f t="shared" si="462"/>
        <v>--</v>
      </c>
      <c r="CX389" s="1669" t="str">
        <f>+BS389</f>
        <v>--</v>
      </c>
      <c r="CY389" s="1669" t="str">
        <f t="shared" si="463"/>
        <v>--</v>
      </c>
      <c r="CZ389" s="1670" t="str">
        <f t="shared" si="463"/>
        <v>--</v>
      </c>
      <c r="DA389" s="1670" t="str">
        <f t="shared" si="463"/>
        <v>--</v>
      </c>
      <c r="DB389" s="1670" t="str">
        <f t="shared" si="463"/>
        <v>--</v>
      </c>
    </row>
    <row r="390" spans="1:106">
      <c r="A390" s="1618" t="s">
        <v>288</v>
      </c>
      <c r="G390" s="1319"/>
      <c r="H390" s="1319"/>
      <c r="I390" s="1319"/>
      <c r="J390" s="1278"/>
      <c r="K390" s="1278"/>
      <c r="L390" s="1319"/>
      <c r="M390" s="1319"/>
      <c r="N390" s="1319"/>
      <c r="O390" s="1278"/>
      <c r="P390" s="1278"/>
      <c r="Q390" s="1319"/>
      <c r="R390" s="1319"/>
      <c r="S390" s="1319"/>
      <c r="T390" s="1278"/>
      <c r="U390" s="1278"/>
      <c r="V390" s="1319"/>
      <c r="W390" s="1319"/>
      <c r="X390" s="1319"/>
      <c r="Y390" s="1278"/>
      <c r="Z390" s="1278"/>
      <c r="AA390" s="1319"/>
      <c r="AB390" s="1319"/>
      <c r="AC390" s="1319"/>
      <c r="AD390" s="1278"/>
      <c r="AE390" s="1278"/>
      <c r="AF390" s="1408"/>
      <c r="AG390" s="1408"/>
      <c r="AH390" s="1408"/>
      <c r="AI390" s="1408">
        <f t="shared" ref="AI390:BG390" si="504">AI389/AD389-1</f>
        <v>5.0359712230215736E-2</v>
      </c>
      <c r="AJ390" s="1342">
        <f t="shared" si="504"/>
        <v>3.7664783427495241E-2</v>
      </c>
      <c r="AK390" s="1408">
        <f t="shared" si="504"/>
        <v>0.4251968503937007</v>
      </c>
      <c r="AL390" s="1408">
        <f t="shared" si="504"/>
        <v>3.5971223021582732E-2</v>
      </c>
      <c r="AM390" s="1408">
        <f t="shared" si="504"/>
        <v>-2.1897810218978075E-2</v>
      </c>
      <c r="AN390" s="1408">
        <f t="shared" si="504"/>
        <v>1.3698630136986356E-2</v>
      </c>
      <c r="AO390" s="1342">
        <f t="shared" si="504"/>
        <v>2.1778584392014411E-2</v>
      </c>
      <c r="AP390" s="1408">
        <f t="shared" si="504"/>
        <v>-0.27624309392265189</v>
      </c>
      <c r="AQ390" s="1408">
        <f t="shared" si="504"/>
        <v>2.0833333333333259E-2</v>
      </c>
      <c r="AR390" s="1408">
        <f t="shared" si="504"/>
        <v>-0.26865671641791045</v>
      </c>
      <c r="AS390" s="1408">
        <f t="shared" si="504"/>
        <v>-1.3513513513513487E-2</v>
      </c>
      <c r="AT390" s="1342">
        <f t="shared" si="504"/>
        <v>-7.2824156305506205E-2</v>
      </c>
      <c r="AU390" s="1408">
        <f t="shared" si="504"/>
        <v>-0.27480916030534353</v>
      </c>
      <c r="AV390" s="1408">
        <f t="shared" si="504"/>
        <v>-0.32653061224489799</v>
      </c>
      <c r="AW390" s="1408">
        <f t="shared" si="504"/>
        <v>4.081632653061229E-2</v>
      </c>
      <c r="AX390" s="1486">
        <f t="shared" si="504"/>
        <v>-0.28082191780821919</v>
      </c>
      <c r="AY390" s="1342">
        <f t="shared" si="504"/>
        <v>-0.23180076628352486</v>
      </c>
      <c r="AZ390" s="1408">
        <f t="shared" si="504"/>
        <v>3.1578947368421151E-2</v>
      </c>
      <c r="BA390" s="1408">
        <f t="shared" si="504"/>
        <v>3.0303030303030276E-2</v>
      </c>
      <c r="BB390" s="1408">
        <f t="shared" si="504"/>
        <v>0.13725490196078427</v>
      </c>
      <c r="BC390" s="1673">
        <f t="shared" si="504"/>
        <v>0.1333333333333333</v>
      </c>
      <c r="BD390" s="1342">
        <f t="shared" si="504"/>
        <v>8.4788029925187081E-2</v>
      </c>
      <c r="BE390" s="1408">
        <f t="shared" si="504"/>
        <v>0.18367346938775508</v>
      </c>
      <c r="BF390" s="781">
        <f t="shared" si="504"/>
        <v>0.10784313725490202</v>
      </c>
      <c r="BG390" s="781">
        <f t="shared" si="504"/>
        <v>-0.12931034482758619</v>
      </c>
      <c r="BH390" s="1278" t="s">
        <v>249</v>
      </c>
      <c r="BI390" s="1278" t="s">
        <v>249</v>
      </c>
      <c r="BJ390" s="1408">
        <f t="shared" ref="BJ390" si="505">BJ389/BE389-1</f>
        <v>-0.37931034482758619</v>
      </c>
      <c r="BK390" s="1319" t="s">
        <v>249</v>
      </c>
      <c r="BL390" s="1319" t="s">
        <v>249</v>
      </c>
      <c r="BM390" s="1278" t="s">
        <v>249</v>
      </c>
      <c r="BN390" s="1278" t="s">
        <v>249</v>
      </c>
      <c r="BO390" s="1408">
        <f t="shared" ref="BO390" si="506">BO389/BJ389-1</f>
        <v>-4.166666666666663E-2</v>
      </c>
      <c r="BP390" s="1319" t="s">
        <v>249</v>
      </c>
      <c r="BQ390" s="1319" t="s">
        <v>249</v>
      </c>
      <c r="BR390" s="1278" t="s">
        <v>249</v>
      </c>
      <c r="BS390" s="1278" t="s">
        <v>249</v>
      </c>
      <c r="BT390" s="1319"/>
      <c r="BU390" s="1319"/>
      <c r="BV390" s="1319"/>
      <c r="BW390" s="1278"/>
      <c r="BX390" s="1278" t="s">
        <v>249</v>
      </c>
      <c r="BY390" s="1670" t="s">
        <v>249</v>
      </c>
      <c r="BZ390" s="1670" t="s">
        <v>249</v>
      </c>
      <c r="CA390" s="1670" t="s">
        <v>249</v>
      </c>
      <c r="CF390" s="1619" t="str">
        <f t="shared" si="452"/>
        <v>y/y change</v>
      </c>
      <c r="CG390" s="1271"/>
      <c r="CH390" s="1271"/>
      <c r="CI390" s="1271"/>
      <c r="CJ390" s="1271"/>
      <c r="CK390" s="1271"/>
      <c r="CL390" s="1278"/>
      <c r="CM390" s="1278"/>
      <c r="CN390" s="1278"/>
      <c r="CO390" s="1278"/>
      <c r="CP390" s="1278"/>
      <c r="CQ390" s="1342">
        <f t="shared" si="459"/>
        <v>3.7664783427495241E-2</v>
      </c>
      <c r="CR390" s="1342">
        <f t="shared" si="460"/>
        <v>2.1778584392014411E-2</v>
      </c>
      <c r="CS390" s="1342">
        <f>+AT390</f>
        <v>-7.2824156305506205E-2</v>
      </c>
      <c r="CT390" s="1342">
        <f>+AY390</f>
        <v>-0.23180076628352486</v>
      </c>
      <c r="CU390" s="1342">
        <f>+BD390</f>
        <v>8.4788029925187081E-2</v>
      </c>
      <c r="CV390" s="1276" t="str">
        <f t="shared" si="461"/>
        <v>--</v>
      </c>
      <c r="CW390" s="1669" t="str">
        <f t="shared" si="462"/>
        <v>--</v>
      </c>
      <c r="CX390" s="1669" t="str">
        <f>+BS390</f>
        <v>--</v>
      </c>
      <c r="CY390" s="1669" t="str">
        <f t="shared" si="463"/>
        <v>--</v>
      </c>
      <c r="CZ390" s="1670" t="str">
        <f t="shared" si="463"/>
        <v>--</v>
      </c>
      <c r="DA390" s="1670" t="str">
        <f t="shared" si="463"/>
        <v>--</v>
      </c>
      <c r="DB390" s="1670" t="str">
        <f t="shared" si="463"/>
        <v>--</v>
      </c>
    </row>
    <row r="391" spans="1:106">
      <c r="A391" s="1485" t="s">
        <v>330</v>
      </c>
      <c r="G391" s="1319"/>
      <c r="H391" s="1319"/>
      <c r="I391" s="1319"/>
      <c r="J391" s="1278"/>
      <c r="K391" s="1278"/>
      <c r="L391" s="1319"/>
      <c r="M391" s="1319"/>
      <c r="N391" s="1319"/>
      <c r="O391" s="1278"/>
      <c r="P391" s="1278"/>
      <c r="Q391" s="1319"/>
      <c r="R391" s="1319"/>
      <c r="S391" s="1319"/>
      <c r="T391" s="1278"/>
      <c r="U391" s="1278"/>
      <c r="V391" s="1319"/>
      <c r="W391" s="1319"/>
      <c r="X391" s="1319"/>
      <c r="Y391" s="1278"/>
      <c r="Z391" s="1278"/>
      <c r="AA391" s="1319"/>
      <c r="AB391" s="1319"/>
      <c r="AC391" s="1319"/>
      <c r="AD391" s="1408">
        <f t="shared" ref="AD391:BB391" si="507">AD389/AD$21</f>
        <v>0.62895927601809953</v>
      </c>
      <c r="AE391" s="1342">
        <f t="shared" si="507"/>
        <v>0.654747225647349</v>
      </c>
      <c r="AF391" s="1408">
        <f t="shared" si="507"/>
        <v>0.61352657004830913</v>
      </c>
      <c r="AG391" s="1408">
        <f t="shared" si="507"/>
        <v>0.62612612612612617</v>
      </c>
      <c r="AH391" s="1408">
        <f t="shared" si="507"/>
        <v>0.60087719298245612</v>
      </c>
      <c r="AI391" s="1408">
        <f t="shared" si="507"/>
        <v>0.61087866108786615</v>
      </c>
      <c r="AJ391" s="1342">
        <f t="shared" si="507"/>
        <v>0.6149553571428571</v>
      </c>
      <c r="AK391" s="1408">
        <f t="shared" si="507"/>
        <v>0.77682403433476399</v>
      </c>
      <c r="AL391" s="1408">
        <f t="shared" si="507"/>
        <v>0.6</v>
      </c>
      <c r="AM391" s="1408">
        <f t="shared" si="507"/>
        <v>0.56066945606694563</v>
      </c>
      <c r="AN391" s="1408">
        <f t="shared" si="507"/>
        <v>0.56923076923076921</v>
      </c>
      <c r="AO391" s="1342">
        <f t="shared" si="507"/>
        <v>0.57921810699588472</v>
      </c>
      <c r="AP391" s="1408">
        <f t="shared" si="507"/>
        <v>0.55508474576271183</v>
      </c>
      <c r="AQ391" s="1408">
        <f t="shared" si="507"/>
        <v>0.56756756756756754</v>
      </c>
      <c r="AR391" s="1408">
        <f t="shared" si="507"/>
        <v>0.460093896713615</v>
      </c>
      <c r="AS391" s="1408">
        <f t="shared" si="507"/>
        <v>0.66363636363636369</v>
      </c>
      <c r="AT391" s="1342">
        <f t="shared" si="507"/>
        <v>0.5625</v>
      </c>
      <c r="AU391" s="1408">
        <f t="shared" si="507"/>
        <v>0.45023696682464454</v>
      </c>
      <c r="AV391" s="1408">
        <f t="shared" si="507"/>
        <v>0.45205479452054792</v>
      </c>
      <c r="AW391" s="1408">
        <f t="shared" si="507"/>
        <v>0.44933920704845814</v>
      </c>
      <c r="AX391" s="1486">
        <f t="shared" si="507"/>
        <v>0.44491525423728812</v>
      </c>
      <c r="AY391" s="1342">
        <f t="shared" si="507"/>
        <v>0.44904815229563272</v>
      </c>
      <c r="AZ391" s="1408">
        <f t="shared" si="507"/>
        <v>0.43555555555555553</v>
      </c>
      <c r="BA391" s="1408">
        <f t="shared" si="507"/>
        <v>0.4358974358974359</v>
      </c>
      <c r="BB391" s="1408">
        <f t="shared" si="507"/>
        <v>0.46774193548387094</v>
      </c>
      <c r="BC391" s="1673">
        <f>BC389/BC$21</f>
        <v>0.45075757575757575</v>
      </c>
      <c r="BD391" s="1342">
        <f>BD389/BD$21</f>
        <v>0.44799176107106076</v>
      </c>
      <c r="BE391" s="1408">
        <f>BE389/BE$21</f>
        <v>0.45669291338582679</v>
      </c>
      <c r="BF391" s="781">
        <f>BF389/BF$21</f>
        <v>0.44313725490196076</v>
      </c>
      <c r="BG391" s="781">
        <f>BG389/BG$21</f>
        <v>0.44104803493449779</v>
      </c>
      <c r="BH391" s="1278" t="s">
        <v>249</v>
      </c>
      <c r="BI391" s="1278" t="s">
        <v>249</v>
      </c>
      <c r="BJ391" s="1408">
        <f>BJ389/BJ$21</f>
        <v>0.37696335078534032</v>
      </c>
      <c r="BK391" s="1319" t="s">
        <v>249</v>
      </c>
      <c r="BL391" s="1319" t="s">
        <v>249</v>
      </c>
      <c r="BM391" s="1278" t="s">
        <v>249</v>
      </c>
      <c r="BN391" s="1278" t="s">
        <v>249</v>
      </c>
      <c r="BO391" s="1408">
        <f>BO389/BO$21</f>
        <v>0.35204081632653061</v>
      </c>
      <c r="BP391" s="1319" t="s">
        <v>249</v>
      </c>
      <c r="BQ391" s="1319" t="s">
        <v>249</v>
      </c>
      <c r="BR391" s="1278" t="s">
        <v>249</v>
      </c>
      <c r="BS391" s="1278" t="s">
        <v>249</v>
      </c>
      <c r="BT391" s="1319"/>
      <c r="BU391" s="1319"/>
      <c r="BV391" s="1319"/>
      <c r="BW391" s="1278"/>
      <c r="BX391" s="1278" t="s">
        <v>249</v>
      </c>
      <c r="BY391" s="1670" t="s">
        <v>249</v>
      </c>
      <c r="BZ391" s="1670" t="s">
        <v>249</v>
      </c>
      <c r="CA391" s="1670" t="s">
        <v>249</v>
      </c>
      <c r="CF391" s="1487" t="str">
        <f t="shared" si="452"/>
        <v>% of revenue</v>
      </c>
      <c r="CG391" s="1271"/>
      <c r="CH391" s="1271"/>
      <c r="CI391" s="1271"/>
      <c r="CJ391" s="1271"/>
      <c r="CK391" s="1271"/>
      <c r="CL391" s="1278"/>
      <c r="CM391" s="1342"/>
      <c r="CN391" s="1342"/>
      <c r="CO391" s="1342"/>
      <c r="CP391" s="1342">
        <f t="shared" si="458"/>
        <v>0.654747225647349</v>
      </c>
      <c r="CQ391" s="1342">
        <f t="shared" si="459"/>
        <v>0.6149553571428571</v>
      </c>
      <c r="CR391" s="1342">
        <f t="shared" si="460"/>
        <v>0.57921810699588472</v>
      </c>
      <c r="CS391" s="1342">
        <f>+AT391</f>
        <v>0.5625</v>
      </c>
      <c r="CT391" s="1342">
        <f>+AY391</f>
        <v>0.44904815229563272</v>
      </c>
      <c r="CU391" s="1342">
        <f>+BD391</f>
        <v>0.44799176107106076</v>
      </c>
      <c r="CV391" s="1276" t="str">
        <f t="shared" si="461"/>
        <v>--</v>
      </c>
      <c r="CW391" s="1669" t="str">
        <f t="shared" si="462"/>
        <v>--</v>
      </c>
      <c r="CX391" s="1669" t="str">
        <f>+BS391</f>
        <v>--</v>
      </c>
      <c r="CY391" s="1669" t="str">
        <f t="shared" si="463"/>
        <v>--</v>
      </c>
      <c r="CZ391" s="1670" t="str">
        <f t="shared" si="463"/>
        <v>--</v>
      </c>
      <c r="DA391" s="1670" t="str">
        <f t="shared" si="463"/>
        <v>--</v>
      </c>
      <c r="DB391" s="1670" t="str">
        <f t="shared" si="463"/>
        <v>--</v>
      </c>
    </row>
    <row r="392" spans="1:106">
      <c r="A392" s="1618"/>
      <c r="K392" s="1423"/>
      <c r="P392" s="1423"/>
      <c r="U392" s="1423"/>
      <c r="Z392" s="1423"/>
      <c r="AE392" s="1423"/>
      <c r="AF392" s="1408"/>
      <c r="AG392" s="1408"/>
      <c r="AH392" s="1408"/>
      <c r="AI392" s="1408"/>
      <c r="AJ392" s="1342"/>
      <c r="AK392" s="1408"/>
      <c r="AL392" s="1408"/>
      <c r="AN392" s="1408"/>
      <c r="AO392" s="1342"/>
      <c r="AP392" s="1408"/>
      <c r="AQ392" s="1408"/>
      <c r="AR392" s="1344">
        <f>85+31</f>
        <v>116</v>
      </c>
      <c r="AS392" s="1408"/>
      <c r="AT392" s="1342"/>
      <c r="AU392" s="1408"/>
      <c r="AV392" s="1408"/>
      <c r="AW392" s="1408"/>
      <c r="AX392" s="1422"/>
      <c r="AY392" s="1422"/>
      <c r="AZ392" s="1408"/>
      <c r="BA392" s="1408"/>
      <c r="BB392" s="1408"/>
      <c r="BC392" s="1422"/>
      <c r="BD392" s="1422"/>
      <c r="BE392" s="1408"/>
      <c r="BF392" s="781"/>
      <c r="BG392" s="781"/>
      <c r="BH392" s="1422"/>
      <c r="BI392" s="1422"/>
      <c r="BJ392" s="1408"/>
      <c r="BK392" s="1408"/>
      <c r="BL392" s="1408"/>
      <c r="BM392" s="1422"/>
      <c r="BN392" s="1422"/>
      <c r="BO392" s="1408"/>
      <c r="BP392" s="1408"/>
      <c r="BQ392" s="1408"/>
      <c r="BR392" s="1422"/>
      <c r="BS392" s="1422"/>
      <c r="BT392" s="1408"/>
      <c r="BU392" s="1408"/>
      <c r="BV392" s="1408"/>
      <c r="BW392" s="1422"/>
      <c r="BX392" s="1422"/>
      <c r="BY392" s="1486"/>
      <c r="BZ392" s="1486"/>
      <c r="CA392" s="1486"/>
      <c r="CF392" s="1619"/>
      <c r="CG392" s="1271"/>
      <c r="CH392" s="1271"/>
      <c r="CI392" s="1271"/>
      <c r="CJ392" s="1271"/>
      <c r="CK392" s="1271"/>
      <c r="CL392" s="1423"/>
      <c r="CM392" s="1423"/>
      <c r="CN392" s="1423"/>
      <c r="CO392" s="1423"/>
      <c r="CP392" s="1423"/>
      <c r="CQ392" s="1342"/>
      <c r="CR392" s="1342"/>
      <c r="CS392" s="1342"/>
      <c r="CT392" s="1422"/>
      <c r="CU392" s="1422"/>
      <c r="CV392" s="1286"/>
      <c r="CW392" s="1342"/>
      <c r="CX392" s="1342"/>
      <c r="CY392" s="1342"/>
      <c r="CZ392" s="1486"/>
      <c r="DA392" s="1486"/>
      <c r="DB392" s="1486"/>
    </row>
    <row r="393" spans="1:106" s="762" customFormat="1">
      <c r="A393" s="1335" t="s">
        <v>340</v>
      </c>
      <c r="G393" s="1319" t="s">
        <v>249</v>
      </c>
      <c r="H393" s="1319" t="s">
        <v>249</v>
      </c>
      <c r="I393" s="1319" t="s">
        <v>249</v>
      </c>
      <c r="J393" s="1278" t="s">
        <v>249</v>
      </c>
      <c r="K393" s="1278" t="s">
        <v>249</v>
      </c>
      <c r="L393" s="1319" t="s">
        <v>249</v>
      </c>
      <c r="M393" s="1319" t="s">
        <v>249</v>
      </c>
      <c r="N393" s="1319" t="s">
        <v>249</v>
      </c>
      <c r="O393" s="1278" t="s">
        <v>249</v>
      </c>
      <c r="P393" s="1278" t="s">
        <v>249</v>
      </c>
      <c r="Q393" s="1319" t="s">
        <v>249</v>
      </c>
      <c r="R393" s="1319" t="s">
        <v>249</v>
      </c>
      <c r="S393" s="1319" t="s">
        <v>249</v>
      </c>
      <c r="T393" s="1278" t="s">
        <v>249</v>
      </c>
      <c r="U393" s="1278" t="s">
        <v>249</v>
      </c>
      <c r="V393" s="1319" t="s">
        <v>249</v>
      </c>
      <c r="W393" s="1319" t="s">
        <v>249</v>
      </c>
      <c r="X393" s="1319" t="s">
        <v>249</v>
      </c>
      <c r="Y393" s="1278" t="s">
        <v>249</v>
      </c>
      <c r="Z393" s="1278" t="s">
        <v>249</v>
      </c>
      <c r="AA393" s="1319" t="s">
        <v>249</v>
      </c>
      <c r="AB393" s="1319" t="s">
        <v>249</v>
      </c>
      <c r="AC393" s="1319" t="s">
        <v>249</v>
      </c>
      <c r="AD393" s="762">
        <v>82</v>
      </c>
      <c r="AE393" s="1270">
        <v>280</v>
      </c>
      <c r="AF393" s="762">
        <v>79</v>
      </c>
      <c r="AG393" s="762">
        <v>83</v>
      </c>
      <c r="AH393" s="762">
        <v>91</v>
      </c>
      <c r="AI393" s="762">
        <v>93</v>
      </c>
      <c r="AJ393" s="1270">
        <v>345</v>
      </c>
      <c r="AK393" s="762">
        <f>47+5</f>
        <v>52</v>
      </c>
      <c r="AL393" s="762">
        <f>72+24</f>
        <v>96</v>
      </c>
      <c r="AM393" s="1344">
        <f>75+30</f>
        <v>105</v>
      </c>
      <c r="AN393" s="762">
        <f>78+34</f>
        <v>112</v>
      </c>
      <c r="AO393" s="1270">
        <v>410</v>
      </c>
      <c r="AP393" s="762">
        <f>80+25</f>
        <v>105</v>
      </c>
      <c r="AQ393" s="762">
        <f>82+30</f>
        <v>112</v>
      </c>
      <c r="AR393" s="1344">
        <v>115</v>
      </c>
      <c r="AS393" s="762">
        <f>85+33</f>
        <v>118</v>
      </c>
      <c r="AT393" s="1270">
        <f>SUM(AP393:AS393)</f>
        <v>450</v>
      </c>
      <c r="AU393" s="762">
        <v>116</v>
      </c>
      <c r="AV393" s="762">
        <v>120</v>
      </c>
      <c r="AW393" s="1349">
        <v>125</v>
      </c>
      <c r="AX393" s="1278">
        <v>131</v>
      </c>
      <c r="AY393" s="1270">
        <f>SUM(AU393:AX393)</f>
        <v>492</v>
      </c>
      <c r="AZ393" s="762">
        <v>127</v>
      </c>
      <c r="BA393" s="1319">
        <v>132</v>
      </c>
      <c r="BB393" s="1319">
        <f>+BB367-BB389</f>
        <v>132</v>
      </c>
      <c r="BC393" s="1278">
        <f>+BC367-BC389</f>
        <v>145</v>
      </c>
      <c r="BD393" s="1270">
        <f>SUM(AZ393:BC393)</f>
        <v>536</v>
      </c>
      <c r="BE393" s="1253">
        <v>138</v>
      </c>
      <c r="BF393" s="1337">
        <f>+BF367-BF389</f>
        <v>142</v>
      </c>
      <c r="BG393" s="1337">
        <v>128</v>
      </c>
      <c r="BH393" s="1278" t="s">
        <v>249</v>
      </c>
      <c r="BI393" s="1278" t="s">
        <v>249</v>
      </c>
      <c r="BJ393" s="2111">
        <v>119</v>
      </c>
      <c r="BK393" s="1319" t="s">
        <v>249</v>
      </c>
      <c r="BL393" s="1319" t="s">
        <v>249</v>
      </c>
      <c r="BM393" s="1278" t="s">
        <v>249</v>
      </c>
      <c r="BN393" s="1278" t="s">
        <v>249</v>
      </c>
      <c r="BO393" s="2111">
        <v>127</v>
      </c>
      <c r="BP393" s="1319" t="s">
        <v>249</v>
      </c>
      <c r="BQ393" s="1319" t="s">
        <v>249</v>
      </c>
      <c r="BR393" s="1278" t="s">
        <v>249</v>
      </c>
      <c r="BS393" s="1278" t="s">
        <v>249</v>
      </c>
      <c r="BT393" s="1319"/>
      <c r="BU393" s="1319"/>
      <c r="BV393" s="1319"/>
      <c r="BW393" s="1278"/>
      <c r="BX393" s="1278" t="s">
        <v>249</v>
      </c>
      <c r="BY393" s="1670" t="s">
        <v>249</v>
      </c>
      <c r="BZ393" s="1670" t="s">
        <v>249</v>
      </c>
      <c r="CA393" s="1670" t="s">
        <v>249</v>
      </c>
      <c r="CF393" s="1292" t="str">
        <f t="shared" si="452"/>
        <v>International</v>
      </c>
      <c r="CL393" s="1278"/>
      <c r="CM393" s="1270"/>
      <c r="CN393" s="1270"/>
      <c r="CO393" s="1270"/>
      <c r="CP393" s="1270">
        <f t="shared" si="458"/>
        <v>280</v>
      </c>
      <c r="CQ393" s="1270">
        <f t="shared" si="459"/>
        <v>345</v>
      </c>
      <c r="CR393" s="1270">
        <f t="shared" si="460"/>
        <v>410</v>
      </c>
      <c r="CS393" s="1270">
        <f>+AT393</f>
        <v>450</v>
      </c>
      <c r="CT393" s="1270">
        <f>+AY393</f>
        <v>492</v>
      </c>
      <c r="CU393" s="1270">
        <f>+BD393</f>
        <v>536</v>
      </c>
      <c r="CV393" s="1276" t="str">
        <f t="shared" si="461"/>
        <v>--</v>
      </c>
      <c r="CW393" s="1669" t="str">
        <f t="shared" si="462"/>
        <v>--</v>
      </c>
      <c r="CX393" s="1669" t="str">
        <f>+BS393</f>
        <v>--</v>
      </c>
      <c r="CY393" s="1669" t="str">
        <f t="shared" si="463"/>
        <v>--</v>
      </c>
      <c r="CZ393" s="1670" t="str">
        <f t="shared" si="463"/>
        <v>--</v>
      </c>
      <c r="DA393" s="1670" t="str">
        <f t="shared" si="463"/>
        <v>--</v>
      </c>
      <c r="DB393" s="1670" t="str">
        <f t="shared" si="463"/>
        <v>--</v>
      </c>
    </row>
    <row r="394" spans="1:106" ht="11.25" customHeight="1">
      <c r="A394" s="1618" t="s">
        <v>288</v>
      </c>
      <c r="G394" s="1319"/>
      <c r="H394" s="1319"/>
      <c r="I394" s="1319"/>
      <c r="J394" s="1278"/>
      <c r="K394" s="1278"/>
      <c r="L394" s="1319"/>
      <c r="M394" s="1319"/>
      <c r="N394" s="1319"/>
      <c r="O394" s="1278"/>
      <c r="P394" s="1278"/>
      <c r="Q394" s="1319"/>
      <c r="R394" s="1319"/>
      <c r="S394" s="1319"/>
      <c r="T394" s="1278"/>
      <c r="U394" s="1278"/>
      <c r="V394" s="1319"/>
      <c r="W394" s="1319"/>
      <c r="X394" s="1319"/>
      <c r="Y394" s="1278"/>
      <c r="Z394" s="1278"/>
      <c r="AA394" s="1319"/>
      <c r="AB394" s="1319"/>
      <c r="AC394" s="1319"/>
      <c r="AD394" s="1278"/>
      <c r="AE394" s="1278"/>
      <c r="AF394" s="1408"/>
      <c r="AG394" s="1408"/>
      <c r="AH394" s="1408"/>
      <c r="AI394" s="1408">
        <f t="shared" ref="AI394:BG394" si="508">AI393/AD393-1</f>
        <v>0.13414634146341453</v>
      </c>
      <c r="AJ394" s="1342">
        <f t="shared" si="508"/>
        <v>0.23214285714285721</v>
      </c>
      <c r="AK394" s="1408">
        <f t="shared" si="508"/>
        <v>-0.34177215189873422</v>
      </c>
      <c r="AL394" s="1408">
        <f t="shared" si="508"/>
        <v>0.15662650602409633</v>
      </c>
      <c r="AM394" s="1408">
        <f t="shared" si="508"/>
        <v>0.15384615384615374</v>
      </c>
      <c r="AN394" s="1408">
        <f t="shared" si="508"/>
        <v>0.20430107526881724</v>
      </c>
      <c r="AO394" s="1342">
        <f t="shared" si="508"/>
        <v>0.18840579710144922</v>
      </c>
      <c r="AP394" s="1408">
        <f t="shared" si="508"/>
        <v>1.0192307692307692</v>
      </c>
      <c r="AQ394" s="1408">
        <f t="shared" si="508"/>
        <v>0.16666666666666674</v>
      </c>
      <c r="AR394" s="1408">
        <f t="shared" si="508"/>
        <v>9.5238095238095344E-2</v>
      </c>
      <c r="AS394" s="1408">
        <f t="shared" si="508"/>
        <v>5.3571428571428603E-2</v>
      </c>
      <c r="AT394" s="1342">
        <f t="shared" si="508"/>
        <v>9.7560975609756184E-2</v>
      </c>
      <c r="AU394" s="1408">
        <f t="shared" si="508"/>
        <v>0.10476190476190483</v>
      </c>
      <c r="AV394" s="1408">
        <f t="shared" si="508"/>
        <v>7.1428571428571397E-2</v>
      </c>
      <c r="AW394" s="1408">
        <f t="shared" si="508"/>
        <v>8.6956521739130377E-2</v>
      </c>
      <c r="AX394" s="1408">
        <f t="shared" si="508"/>
        <v>0.11016949152542366</v>
      </c>
      <c r="AY394" s="1342">
        <f t="shared" si="508"/>
        <v>9.3333333333333268E-2</v>
      </c>
      <c r="AZ394" s="1408">
        <f t="shared" si="508"/>
        <v>9.4827586206896575E-2</v>
      </c>
      <c r="BA394" s="1408">
        <f t="shared" si="508"/>
        <v>0.10000000000000009</v>
      </c>
      <c r="BB394" s="1408">
        <f t="shared" si="508"/>
        <v>5.600000000000005E-2</v>
      </c>
      <c r="BC394" s="1673">
        <f t="shared" si="508"/>
        <v>0.10687022900763354</v>
      </c>
      <c r="BD394" s="1342">
        <f t="shared" si="508"/>
        <v>8.9430894308943021E-2</v>
      </c>
      <c r="BE394" s="1408">
        <f t="shared" si="508"/>
        <v>8.6614173228346525E-2</v>
      </c>
      <c r="BF394" s="1408">
        <f t="shared" si="508"/>
        <v>7.575757575757569E-2</v>
      </c>
      <c r="BG394" s="1408">
        <f t="shared" si="508"/>
        <v>-3.0303030303030276E-2</v>
      </c>
      <c r="BH394" s="1278" t="s">
        <v>249</v>
      </c>
      <c r="BI394" s="1278" t="s">
        <v>249</v>
      </c>
      <c r="BJ394" s="1408">
        <f t="shared" ref="BJ394" si="509">BJ393/BE393-1</f>
        <v>-0.1376811594202898</v>
      </c>
      <c r="BK394" s="1319" t="s">
        <v>249</v>
      </c>
      <c r="BL394" s="1319" t="s">
        <v>249</v>
      </c>
      <c r="BM394" s="1278" t="s">
        <v>249</v>
      </c>
      <c r="BN394" s="1278" t="s">
        <v>249</v>
      </c>
      <c r="BO394" s="1408">
        <f t="shared" ref="BO394" si="510">BO393/BJ393-1</f>
        <v>6.7226890756302504E-2</v>
      </c>
      <c r="BP394" s="1319" t="s">
        <v>249</v>
      </c>
      <c r="BQ394" s="1319" t="s">
        <v>249</v>
      </c>
      <c r="BR394" s="1278" t="s">
        <v>249</v>
      </c>
      <c r="BS394" s="1278" t="s">
        <v>249</v>
      </c>
      <c r="BT394" s="1319"/>
      <c r="BU394" s="1319"/>
      <c r="BV394" s="1319"/>
      <c r="BW394" s="1278"/>
      <c r="BX394" s="1278" t="s">
        <v>249</v>
      </c>
      <c r="BY394" s="1670" t="s">
        <v>249</v>
      </c>
      <c r="BZ394" s="1670" t="s">
        <v>249</v>
      </c>
      <c r="CA394" s="1670" t="s">
        <v>249</v>
      </c>
      <c r="CF394" s="1619" t="str">
        <f t="shared" si="452"/>
        <v>y/y change</v>
      </c>
      <c r="CG394" s="1271"/>
      <c r="CH394" s="1271"/>
      <c r="CI394" s="1271"/>
      <c r="CJ394" s="1271"/>
      <c r="CK394" s="1271"/>
      <c r="CL394" s="1278"/>
      <c r="CM394" s="1278"/>
      <c r="CN394" s="1278"/>
      <c r="CO394" s="1278"/>
      <c r="CP394" s="1278"/>
      <c r="CQ394" s="1342">
        <f t="shared" si="459"/>
        <v>0.23214285714285721</v>
      </c>
      <c r="CR394" s="1342">
        <f t="shared" si="460"/>
        <v>0.18840579710144922</v>
      </c>
      <c r="CS394" s="1342">
        <f>+AT394</f>
        <v>9.7560975609756184E-2</v>
      </c>
      <c r="CT394" s="1342">
        <f>+AY394</f>
        <v>9.3333333333333268E-2</v>
      </c>
      <c r="CU394" s="1342">
        <f>+BD394</f>
        <v>8.9430894308943021E-2</v>
      </c>
      <c r="CV394" s="1276" t="str">
        <f t="shared" si="461"/>
        <v>--</v>
      </c>
      <c r="CW394" s="1669" t="str">
        <f t="shared" si="462"/>
        <v>--</v>
      </c>
      <c r="CX394" s="1669" t="str">
        <f>+BS394</f>
        <v>--</v>
      </c>
      <c r="CY394" s="1669" t="str">
        <f t="shared" si="463"/>
        <v>--</v>
      </c>
      <c r="CZ394" s="1670" t="str">
        <f t="shared" si="463"/>
        <v>--</v>
      </c>
      <c r="DA394" s="1670" t="str">
        <f t="shared" si="463"/>
        <v>--</v>
      </c>
      <c r="DB394" s="1670" t="str">
        <f t="shared" si="463"/>
        <v>--</v>
      </c>
    </row>
    <row r="395" spans="1:106" ht="11.25" customHeight="1">
      <c r="A395" s="1505" t="s">
        <v>330</v>
      </c>
      <c r="B395" s="1705"/>
      <c r="C395" s="1705"/>
      <c r="D395" s="1705"/>
      <c r="E395" s="1705"/>
      <c r="F395" s="1705"/>
      <c r="G395" s="1507"/>
      <c r="H395" s="1507"/>
      <c r="I395" s="1507"/>
      <c r="J395" s="1564"/>
      <c r="K395" s="1564"/>
      <c r="L395" s="1507"/>
      <c r="M395" s="1507"/>
      <c r="N395" s="1507"/>
      <c r="O395" s="1564"/>
      <c r="P395" s="1564"/>
      <c r="Q395" s="1507"/>
      <c r="R395" s="1507"/>
      <c r="S395" s="1507"/>
      <c r="T395" s="1564"/>
      <c r="U395" s="1564"/>
      <c r="V395" s="1507"/>
      <c r="W395" s="1507"/>
      <c r="X395" s="1507"/>
      <c r="Y395" s="1564"/>
      <c r="Z395" s="1564"/>
      <c r="AA395" s="1507"/>
      <c r="AB395" s="1507"/>
      <c r="AC395" s="1507"/>
      <c r="AD395" s="1511">
        <f t="shared" ref="AD395:BB395" si="511">AD393/AD$21</f>
        <v>0.37104072398190047</v>
      </c>
      <c r="AE395" s="1506">
        <f t="shared" si="511"/>
        <v>0.34525277435265106</v>
      </c>
      <c r="AF395" s="1511">
        <f t="shared" si="511"/>
        <v>0.38164251207729466</v>
      </c>
      <c r="AG395" s="1511">
        <f t="shared" si="511"/>
        <v>0.37387387387387389</v>
      </c>
      <c r="AH395" s="1511">
        <f t="shared" si="511"/>
        <v>0.39912280701754388</v>
      </c>
      <c r="AI395" s="1511">
        <f t="shared" si="511"/>
        <v>0.38912133891213391</v>
      </c>
      <c r="AJ395" s="1506">
        <f t="shared" si="511"/>
        <v>0.38504464285714285</v>
      </c>
      <c r="AK395" s="1511">
        <f t="shared" si="511"/>
        <v>0.22317596566523606</v>
      </c>
      <c r="AL395" s="1511">
        <f t="shared" si="511"/>
        <v>0.4</v>
      </c>
      <c r="AM395" s="1511">
        <f t="shared" si="511"/>
        <v>0.43933054393305437</v>
      </c>
      <c r="AN395" s="1511">
        <f t="shared" si="511"/>
        <v>0.43076923076923079</v>
      </c>
      <c r="AO395" s="1506">
        <f t="shared" si="511"/>
        <v>0.42181069958847739</v>
      </c>
      <c r="AP395" s="1511">
        <f t="shared" si="511"/>
        <v>0.44491525423728812</v>
      </c>
      <c r="AQ395" s="1511">
        <f t="shared" si="511"/>
        <v>0.43243243243243246</v>
      </c>
      <c r="AR395" s="1511">
        <f t="shared" si="511"/>
        <v>0.539906103286385</v>
      </c>
      <c r="AS395" s="1511">
        <f t="shared" si="511"/>
        <v>0.53636363636363638</v>
      </c>
      <c r="AT395" s="1506">
        <f t="shared" si="511"/>
        <v>0.48491379310344829</v>
      </c>
      <c r="AU395" s="1511">
        <f t="shared" si="511"/>
        <v>0.54976303317535546</v>
      </c>
      <c r="AV395" s="1511">
        <f t="shared" si="511"/>
        <v>0.54794520547945202</v>
      </c>
      <c r="AW395" s="1511">
        <f t="shared" si="511"/>
        <v>0.5506607929515418</v>
      </c>
      <c r="AX395" s="1511">
        <f t="shared" si="511"/>
        <v>0.55508474576271183</v>
      </c>
      <c r="AY395" s="1506">
        <f t="shared" si="511"/>
        <v>0.55095184770436734</v>
      </c>
      <c r="AZ395" s="1511">
        <f t="shared" si="511"/>
        <v>0.56444444444444442</v>
      </c>
      <c r="BA395" s="1511">
        <f t="shared" si="511"/>
        <v>0.5641025641025641</v>
      </c>
      <c r="BB395" s="1511">
        <f t="shared" si="511"/>
        <v>0.532258064516129</v>
      </c>
      <c r="BC395" s="1742">
        <f>BC393/BC$21</f>
        <v>0.5492424242424242</v>
      </c>
      <c r="BD395" s="1506">
        <f>BD393/BD$21</f>
        <v>0.55200823892893924</v>
      </c>
      <c r="BE395" s="1511">
        <f>BE393/BE$21</f>
        <v>0.54330708661417326</v>
      </c>
      <c r="BF395" s="1511">
        <f>BF393/BF$21</f>
        <v>0.55686274509803924</v>
      </c>
      <c r="BG395" s="1511">
        <f>BG393/BG$21</f>
        <v>0.55895196506550215</v>
      </c>
      <c r="BH395" s="1278" t="s">
        <v>249</v>
      </c>
      <c r="BI395" s="1278" t="s">
        <v>249</v>
      </c>
      <c r="BJ395" s="1511">
        <f>BJ393/BJ$21</f>
        <v>0.62303664921465973</v>
      </c>
      <c r="BK395" s="1319" t="s">
        <v>249</v>
      </c>
      <c r="BL395" s="1319" t="s">
        <v>249</v>
      </c>
      <c r="BM395" s="1278" t="s">
        <v>249</v>
      </c>
      <c r="BN395" s="1278" t="s">
        <v>249</v>
      </c>
      <c r="BO395" s="1511">
        <f>BO393/BO$21</f>
        <v>0.64795918367346939</v>
      </c>
      <c r="BP395" s="1319" t="s">
        <v>249</v>
      </c>
      <c r="BQ395" s="1319" t="s">
        <v>249</v>
      </c>
      <c r="BR395" s="1278" t="s">
        <v>249</v>
      </c>
      <c r="BS395" s="1278" t="s">
        <v>249</v>
      </c>
      <c r="BT395" s="1319"/>
      <c r="BU395" s="1319"/>
      <c r="BV395" s="1319"/>
      <c r="BW395" s="1278"/>
      <c r="BX395" s="1278" t="s">
        <v>249</v>
      </c>
      <c r="BY395" s="1670" t="s">
        <v>249</v>
      </c>
      <c r="BZ395" s="1670" t="s">
        <v>249</v>
      </c>
      <c r="CA395" s="1670" t="s">
        <v>249</v>
      </c>
      <c r="CF395" s="1513" t="str">
        <f t="shared" si="452"/>
        <v>% of revenue</v>
      </c>
      <c r="CG395" s="1705"/>
      <c r="CH395" s="1705"/>
      <c r="CI395" s="1705"/>
      <c r="CJ395" s="1705"/>
      <c r="CK395" s="1705"/>
      <c r="CL395" s="1564"/>
      <c r="CM395" s="1506"/>
      <c r="CN395" s="1506"/>
      <c r="CO395" s="1506"/>
      <c r="CP395" s="1506">
        <f t="shared" si="458"/>
        <v>0.34525277435265106</v>
      </c>
      <c r="CQ395" s="1506">
        <f t="shared" si="459"/>
        <v>0.38504464285714285</v>
      </c>
      <c r="CR395" s="1506">
        <f t="shared" si="460"/>
        <v>0.42181069958847739</v>
      </c>
      <c r="CS395" s="1506">
        <f>+AT395</f>
        <v>0.48491379310344829</v>
      </c>
      <c r="CT395" s="1506">
        <f>+AY395</f>
        <v>0.55095184770436734</v>
      </c>
      <c r="CU395" s="1506">
        <f>+BD395</f>
        <v>0.55200823892893924</v>
      </c>
      <c r="CV395" s="1507" t="str">
        <f t="shared" si="461"/>
        <v>--</v>
      </c>
      <c r="CW395" s="1743" t="str">
        <f t="shared" si="462"/>
        <v>--</v>
      </c>
      <c r="CX395" s="1743" t="str">
        <f>+BS395</f>
        <v>--</v>
      </c>
      <c r="CY395" s="1743" t="str">
        <f t="shared" si="463"/>
        <v>--</v>
      </c>
      <c r="CZ395" s="1744" t="str">
        <f t="shared" si="463"/>
        <v>--</v>
      </c>
      <c r="DA395" s="1744" t="str">
        <f t="shared" si="463"/>
        <v>--</v>
      </c>
      <c r="DB395" s="1744" t="str">
        <f t="shared" si="463"/>
        <v>--</v>
      </c>
    </row>
    <row r="396" spans="1:106" s="1286" customFormat="1" ht="11.25" customHeight="1">
      <c r="A396" s="2301" t="s">
        <v>370</v>
      </c>
      <c r="B396" s="1515"/>
      <c r="C396" s="1515"/>
      <c r="D396" s="1515"/>
      <c r="E396" s="1515"/>
      <c r="F396" s="1515"/>
      <c r="G396" s="1516"/>
      <c r="H396" s="1516"/>
      <c r="I396" s="1516"/>
      <c r="J396" s="1516"/>
      <c r="K396" s="1516"/>
      <c r="L396" s="1516"/>
      <c r="M396" s="1516"/>
      <c r="N396" s="1516"/>
      <c r="O396" s="1516"/>
      <c r="P396" s="1516"/>
      <c r="Q396" s="1516"/>
      <c r="R396" s="1516"/>
      <c r="S396" s="1516"/>
      <c r="T396" s="1516"/>
      <c r="U396" s="1516"/>
      <c r="V396" s="1515"/>
      <c r="W396" s="1515"/>
      <c r="X396" s="1515"/>
      <c r="Y396" s="1515"/>
      <c r="Z396" s="1515"/>
      <c r="AA396" s="1515"/>
      <c r="AB396" s="1515"/>
      <c r="AC396" s="1515"/>
      <c r="AD396" s="1515"/>
      <c r="AE396" s="1515"/>
      <c r="AF396" s="1515"/>
      <c r="AG396" s="1515"/>
      <c r="AH396" s="1515"/>
      <c r="AI396" s="1515"/>
      <c r="AJ396" s="1515"/>
      <c r="AK396" s="1515"/>
      <c r="AL396" s="1515"/>
      <c r="AM396" s="1515"/>
      <c r="AN396" s="1515"/>
      <c r="AO396" s="1515"/>
      <c r="AP396" s="1515"/>
      <c r="AQ396" s="1515"/>
      <c r="AR396" s="1515"/>
      <c r="AS396" s="1515"/>
      <c r="AT396" s="1515"/>
      <c r="AU396" s="1515"/>
      <c r="AV396" s="1515"/>
      <c r="AW396" s="1515"/>
      <c r="AX396" s="1515"/>
      <c r="AY396" s="1515"/>
      <c r="AZ396" s="1515"/>
      <c r="BA396" s="1515"/>
      <c r="BB396" s="1515"/>
      <c r="BC396" s="1515"/>
      <c r="BD396" s="1515"/>
      <c r="BE396" s="1515"/>
      <c r="BF396" s="1515"/>
      <c r="BG396" s="1515"/>
      <c r="BH396" s="1515"/>
      <c r="BI396" s="1515"/>
      <c r="BJ396" s="1515"/>
      <c r="BK396" s="1515"/>
      <c r="BL396" s="1515"/>
      <c r="BM396" s="1515"/>
      <c r="BN396" s="1515"/>
      <c r="BO396" s="1515"/>
      <c r="BP396" s="1515"/>
      <c r="BQ396" s="1515"/>
      <c r="BR396" s="1515"/>
      <c r="BS396" s="1515"/>
      <c r="BT396" s="1515"/>
      <c r="BU396" s="1515"/>
      <c r="BV396" s="1515"/>
      <c r="BW396" s="1515"/>
      <c r="BX396" s="1515"/>
      <c r="BY396" s="1517"/>
      <c r="BZ396" s="1517"/>
      <c r="CA396" s="1517"/>
      <c r="CF396" s="2303" t="str">
        <f t="shared" ref="CF396:CF437" si="512">+A396</f>
        <v>INDEX DRIVERS</v>
      </c>
      <c r="CG396" s="1515"/>
      <c r="CH396" s="1515"/>
      <c r="CI396" s="1515"/>
      <c r="CJ396" s="1515"/>
      <c r="CK396" s="1515"/>
      <c r="CL396" s="1516"/>
      <c r="CM396" s="1515"/>
      <c r="CN396" s="1515"/>
      <c r="CO396" s="1515"/>
      <c r="CP396" s="1515"/>
      <c r="CQ396" s="1515"/>
      <c r="CR396" s="1515"/>
      <c r="CS396" s="1515"/>
      <c r="CT396" s="1515"/>
      <c r="CU396" s="1515"/>
      <c r="CV396" s="1515"/>
      <c r="CW396" s="1515"/>
      <c r="CX396" s="1515"/>
      <c r="CY396" s="1515"/>
      <c r="CZ396" s="1517"/>
      <c r="DA396" s="1517"/>
      <c r="DB396" s="1517"/>
    </row>
    <row r="397" spans="1:106" s="1286" customFormat="1" ht="11.25" customHeight="1">
      <c r="A397" s="2302"/>
      <c r="B397" s="1518"/>
      <c r="C397" s="1518"/>
      <c r="D397" s="1518"/>
      <c r="E397" s="1518"/>
      <c r="F397" s="1518"/>
      <c r="G397" s="1519"/>
      <c r="H397" s="1519"/>
      <c r="I397" s="1519"/>
      <c r="J397" s="1519"/>
      <c r="K397" s="1519"/>
      <c r="L397" s="1519"/>
      <c r="M397" s="1519"/>
      <c r="N397" s="1519"/>
      <c r="O397" s="1519"/>
      <c r="P397" s="1519"/>
      <c r="Q397" s="1519"/>
      <c r="R397" s="1519"/>
      <c r="S397" s="1519"/>
      <c r="T397" s="1519"/>
      <c r="U397" s="1519"/>
      <c r="V397" s="1518"/>
      <c r="W397" s="1518"/>
      <c r="X397" s="1518"/>
      <c r="Y397" s="1518"/>
      <c r="Z397" s="1518"/>
      <c r="AA397" s="1518"/>
      <c r="AB397" s="1518"/>
      <c r="AC397" s="1518"/>
      <c r="AD397" s="1518"/>
      <c r="AE397" s="1518"/>
      <c r="AF397" s="1518"/>
      <c r="AG397" s="1518"/>
      <c r="AH397" s="1518"/>
      <c r="AI397" s="1518"/>
      <c r="AJ397" s="1518"/>
      <c r="AK397" s="1518"/>
      <c r="AL397" s="1518"/>
      <c r="AM397" s="1518"/>
      <c r="AN397" s="1518"/>
      <c r="AO397" s="1518"/>
      <c r="AP397" s="1518"/>
      <c r="AQ397" s="1518"/>
      <c r="AR397" s="1518"/>
      <c r="AS397" s="1518"/>
      <c r="AT397" s="1518"/>
      <c r="AU397" s="1518"/>
      <c r="AV397" s="1518"/>
      <c r="AW397" s="1518"/>
      <c r="AX397" s="1518"/>
      <c r="AY397" s="1518"/>
      <c r="AZ397" s="1518"/>
      <c r="BA397" s="1518"/>
      <c r="BB397" s="1518"/>
      <c r="BC397" s="1518"/>
      <c r="BD397" s="1518"/>
      <c r="BE397" s="1518"/>
      <c r="BF397" s="1518"/>
      <c r="BG397" s="1518"/>
      <c r="BH397" s="1518"/>
      <c r="BI397" s="1518"/>
      <c r="BJ397" s="1518"/>
      <c r="BK397" s="1518"/>
      <c r="BL397" s="1518"/>
      <c r="BM397" s="1518"/>
      <c r="BN397" s="1518"/>
      <c r="BO397" s="1518"/>
      <c r="BP397" s="1518"/>
      <c r="BQ397" s="1518"/>
      <c r="BR397" s="1518"/>
      <c r="BS397" s="1518"/>
      <c r="BT397" s="1518"/>
      <c r="BU397" s="1518"/>
      <c r="BV397" s="1518"/>
      <c r="BW397" s="1518"/>
      <c r="BX397" s="1518"/>
      <c r="BY397" s="1520"/>
      <c r="BZ397" s="1520"/>
      <c r="CA397" s="1520"/>
      <c r="CF397" s="2304">
        <f t="shared" si="512"/>
        <v>0</v>
      </c>
      <c r="CG397" s="1518"/>
      <c r="CH397" s="1518"/>
      <c r="CI397" s="1518"/>
      <c r="CJ397" s="1518"/>
      <c r="CK397" s="1518"/>
      <c r="CL397" s="1519"/>
      <c r="CM397" s="1518"/>
      <c r="CN397" s="1518"/>
      <c r="CO397" s="1518"/>
      <c r="CP397" s="1518"/>
      <c r="CQ397" s="1518"/>
      <c r="CR397" s="1518"/>
      <c r="CS397" s="1518"/>
      <c r="CT397" s="1518"/>
      <c r="CU397" s="1518"/>
      <c r="CV397" s="1518"/>
      <c r="CW397" s="1518"/>
      <c r="CX397" s="1518"/>
      <c r="CY397" s="1518"/>
      <c r="CZ397" s="1520"/>
      <c r="DA397" s="1520"/>
      <c r="DB397" s="1520"/>
    </row>
    <row r="398" spans="1:106" ht="12" customHeight="1">
      <c r="A398" s="1779" t="s">
        <v>371</v>
      </c>
      <c r="B398" s="1413"/>
      <c r="C398" s="1413"/>
      <c r="D398" s="1413"/>
      <c r="E398" s="1413"/>
      <c r="F398" s="1413"/>
      <c r="G398" s="1414" t="str">
        <f t="shared" ref="G398:AL398" si="513">+G9</f>
        <v>1Q06</v>
      </c>
      <c r="H398" s="1414" t="str">
        <f t="shared" si="513"/>
        <v>2Q06</v>
      </c>
      <c r="I398" s="1414" t="str">
        <f t="shared" si="513"/>
        <v>3Q06</v>
      </c>
      <c r="J398" s="1414" t="str">
        <f t="shared" si="513"/>
        <v>4Q06</v>
      </c>
      <c r="K398" s="1415">
        <f t="shared" si="513"/>
        <v>2006</v>
      </c>
      <c r="L398" s="1414" t="str">
        <f t="shared" si="513"/>
        <v>1Q07</v>
      </c>
      <c r="M398" s="1414" t="str">
        <f t="shared" si="513"/>
        <v>2Q07</v>
      </c>
      <c r="N398" s="1414" t="str">
        <f t="shared" si="513"/>
        <v>3Q07</v>
      </c>
      <c r="O398" s="1414" t="str">
        <f t="shared" si="513"/>
        <v>4Q07</v>
      </c>
      <c r="P398" s="1415">
        <f t="shared" si="513"/>
        <v>2007</v>
      </c>
      <c r="Q398" s="1414" t="str">
        <f t="shared" si="513"/>
        <v>1Q08</v>
      </c>
      <c r="R398" s="1414" t="str">
        <f t="shared" si="513"/>
        <v>2Q08</v>
      </c>
      <c r="S398" s="1414" t="str">
        <f t="shared" si="513"/>
        <v>3Q08</v>
      </c>
      <c r="T398" s="1414" t="str">
        <f t="shared" si="513"/>
        <v>4Q08</v>
      </c>
      <c r="U398" s="1415">
        <f t="shared" si="513"/>
        <v>2008</v>
      </c>
      <c r="V398" s="1414" t="str">
        <f t="shared" si="513"/>
        <v>1Q09</v>
      </c>
      <c r="W398" s="1414" t="str">
        <f t="shared" si="513"/>
        <v>2Q09</v>
      </c>
      <c r="X398" s="1414" t="str">
        <f t="shared" si="513"/>
        <v>3Q09</v>
      </c>
      <c r="Y398" s="1414" t="str">
        <f t="shared" si="513"/>
        <v>4Q09</v>
      </c>
      <c r="Z398" s="1415">
        <f t="shared" si="513"/>
        <v>2009</v>
      </c>
      <c r="AA398" s="1414" t="str">
        <f t="shared" si="513"/>
        <v>1Q10</v>
      </c>
      <c r="AB398" s="1414" t="str">
        <f t="shared" si="513"/>
        <v>2Q10</v>
      </c>
      <c r="AC398" s="1414" t="str">
        <f t="shared" si="513"/>
        <v>3Q10</v>
      </c>
      <c r="AD398" s="1414" t="str">
        <f t="shared" si="513"/>
        <v>4Q10</v>
      </c>
      <c r="AE398" s="1415">
        <f t="shared" si="513"/>
        <v>2010</v>
      </c>
      <c r="AF398" s="1414" t="str">
        <f t="shared" si="513"/>
        <v>1Q11</v>
      </c>
      <c r="AG398" s="1414" t="str">
        <f t="shared" si="513"/>
        <v>2Q11</v>
      </c>
      <c r="AH398" s="1414" t="str">
        <f t="shared" si="513"/>
        <v>3Q11</v>
      </c>
      <c r="AI398" s="1414" t="str">
        <f t="shared" si="513"/>
        <v>4Q11</v>
      </c>
      <c r="AJ398" s="1415">
        <f t="shared" si="513"/>
        <v>2011</v>
      </c>
      <c r="AK398" s="1414" t="str">
        <f t="shared" si="513"/>
        <v>1Q12</v>
      </c>
      <c r="AL398" s="1414" t="str">
        <f t="shared" si="513"/>
        <v>2Q12</v>
      </c>
      <c r="AM398" s="1414" t="str">
        <f t="shared" ref="AM398:BR398" si="514">+AM9</f>
        <v>3Q12</v>
      </c>
      <c r="AN398" s="1414" t="str">
        <f t="shared" si="514"/>
        <v>4Q12</v>
      </c>
      <c r="AO398" s="1415">
        <f t="shared" si="514"/>
        <v>2012</v>
      </c>
      <c r="AP398" s="1414" t="str">
        <f t="shared" si="514"/>
        <v>1Q13</v>
      </c>
      <c r="AQ398" s="1414" t="str">
        <f t="shared" si="514"/>
        <v>2Q13</v>
      </c>
      <c r="AR398" s="1414" t="str">
        <f t="shared" si="514"/>
        <v>3Q13</v>
      </c>
      <c r="AS398" s="1414" t="str">
        <f t="shared" si="514"/>
        <v>4Q13</v>
      </c>
      <c r="AT398" s="1415">
        <f t="shared" si="514"/>
        <v>2013</v>
      </c>
      <c r="AU398" s="1780" t="str">
        <f t="shared" si="514"/>
        <v>1Q14</v>
      </c>
      <c r="AV398" s="1780" t="str">
        <f t="shared" si="514"/>
        <v>2Q14</v>
      </c>
      <c r="AW398" s="1414" t="str">
        <f t="shared" si="514"/>
        <v>3Q14</v>
      </c>
      <c r="AX398" s="1414" t="str">
        <f t="shared" si="514"/>
        <v>4Q14</v>
      </c>
      <c r="AY398" s="1415">
        <f t="shared" si="514"/>
        <v>2014</v>
      </c>
      <c r="AZ398" s="1414" t="str">
        <f t="shared" si="514"/>
        <v>1Q15</v>
      </c>
      <c r="BA398" s="1414" t="str">
        <f t="shared" si="514"/>
        <v>2Q15</v>
      </c>
      <c r="BB398" s="1414" t="str">
        <f t="shared" si="514"/>
        <v>3Q15</v>
      </c>
      <c r="BC398" s="1414" t="str">
        <f t="shared" si="514"/>
        <v>4Q15</v>
      </c>
      <c r="BD398" s="1415">
        <f t="shared" si="514"/>
        <v>2015</v>
      </c>
      <c r="BE398" s="1414" t="str">
        <f t="shared" si="514"/>
        <v>1Q16</v>
      </c>
      <c r="BF398" s="1414" t="str">
        <f t="shared" si="514"/>
        <v>2Q16</v>
      </c>
      <c r="BG398" s="1414" t="str">
        <f t="shared" si="514"/>
        <v>3Q16</v>
      </c>
      <c r="BH398" s="1414" t="str">
        <f t="shared" si="514"/>
        <v>4Q16</v>
      </c>
      <c r="BI398" s="1415">
        <f t="shared" si="514"/>
        <v>2016</v>
      </c>
      <c r="BJ398" s="1414" t="str">
        <f t="shared" si="514"/>
        <v>1Q17</v>
      </c>
      <c r="BK398" s="1414" t="str">
        <f t="shared" si="514"/>
        <v>2Q17</v>
      </c>
      <c r="BL398" s="1414" t="str">
        <f t="shared" si="514"/>
        <v>3Q17</v>
      </c>
      <c r="BM398" s="1414" t="str">
        <f t="shared" si="514"/>
        <v>4Q17</v>
      </c>
      <c r="BN398" s="1416">
        <f t="shared" si="514"/>
        <v>2017</v>
      </c>
      <c r="BO398" s="1414" t="str">
        <f t="shared" si="514"/>
        <v>1Q18E</v>
      </c>
      <c r="BP398" s="1414" t="str">
        <f t="shared" si="514"/>
        <v>2Q18E</v>
      </c>
      <c r="BQ398" s="1414" t="str">
        <f t="shared" si="514"/>
        <v>3Q18E</v>
      </c>
      <c r="BR398" s="1414" t="str">
        <f t="shared" si="514"/>
        <v>4Q18E</v>
      </c>
      <c r="BS398" s="1416" t="str">
        <f t="shared" ref="BS398:CA398" si="515">+BS9</f>
        <v>2018E</v>
      </c>
      <c r="BT398" s="1414" t="str">
        <f t="shared" si="515"/>
        <v>1Q19E</v>
      </c>
      <c r="BU398" s="1414" t="str">
        <f t="shared" si="515"/>
        <v>2Q19E</v>
      </c>
      <c r="BV398" s="1414" t="str">
        <f t="shared" si="515"/>
        <v>3Q19E</v>
      </c>
      <c r="BW398" s="1414" t="str">
        <f t="shared" si="515"/>
        <v>4Q19E</v>
      </c>
      <c r="BX398" s="1416" t="str">
        <f t="shared" si="515"/>
        <v>2019E</v>
      </c>
      <c r="BY398" s="1782" t="str">
        <f t="shared" si="515"/>
        <v>2020E</v>
      </c>
      <c r="BZ398" s="1782" t="str">
        <f t="shared" si="515"/>
        <v>2021E</v>
      </c>
      <c r="CA398" s="1782" t="str">
        <f t="shared" si="515"/>
        <v>2022E</v>
      </c>
      <c r="CB398" s="1411"/>
      <c r="CF398" s="1522" t="str">
        <f t="shared" si="512"/>
        <v xml:space="preserve"> AUM ( in billions)</v>
      </c>
      <c r="CG398" s="1413"/>
      <c r="CH398" s="1413"/>
      <c r="CI398" s="1413"/>
      <c r="CJ398" s="1413"/>
      <c r="CK398" s="1413"/>
      <c r="CL398" s="1415">
        <f>+K398</f>
        <v>2006</v>
      </c>
      <c r="CM398" s="1415">
        <f>+P398</f>
        <v>2007</v>
      </c>
      <c r="CN398" s="1415">
        <f>+U398</f>
        <v>2008</v>
      </c>
      <c r="CO398" s="1415">
        <f>+Z398</f>
        <v>2009</v>
      </c>
      <c r="CP398" s="1415">
        <f>+AE398</f>
        <v>2010</v>
      </c>
      <c r="CQ398" s="1415">
        <f>+AJ398</f>
        <v>2011</v>
      </c>
      <c r="CR398" s="1415">
        <f>+AO398</f>
        <v>2012</v>
      </c>
      <c r="CS398" s="1415">
        <f>+AT398</f>
        <v>2013</v>
      </c>
      <c r="CT398" s="1415">
        <f>+AY398</f>
        <v>2014</v>
      </c>
      <c r="CU398" s="1415">
        <f>+BD398</f>
        <v>2015</v>
      </c>
      <c r="CV398" s="1415">
        <f>+BI398</f>
        <v>2016</v>
      </c>
      <c r="CW398" s="1781">
        <f>+BN398</f>
        <v>2017</v>
      </c>
      <c r="CX398" s="1781" t="str">
        <f>+BS398</f>
        <v>2018E</v>
      </c>
      <c r="CY398" s="1781" t="str">
        <f t="shared" ref="CY398:DB400" si="516">+BX398</f>
        <v>2019E</v>
      </c>
      <c r="CZ398" s="1782" t="str">
        <f t="shared" si="516"/>
        <v>2020E</v>
      </c>
      <c r="DA398" s="1782" t="str">
        <f t="shared" si="516"/>
        <v>2021E</v>
      </c>
      <c r="DB398" s="1782" t="str">
        <f t="shared" si="516"/>
        <v>2022E</v>
      </c>
    </row>
    <row r="399" spans="1:106">
      <c r="A399" s="1335" t="s">
        <v>372</v>
      </c>
      <c r="G399" s="1319" t="s">
        <v>249</v>
      </c>
      <c r="H399" s="1319" t="s">
        <v>249</v>
      </c>
      <c r="I399" s="1319" t="s">
        <v>249</v>
      </c>
      <c r="J399" s="1278" t="s">
        <v>249</v>
      </c>
      <c r="K399" s="1278" t="s">
        <v>249</v>
      </c>
      <c r="L399" s="1319" t="s">
        <v>249</v>
      </c>
      <c r="M399" s="1319" t="s">
        <v>249</v>
      </c>
      <c r="N399" s="1319" t="s">
        <v>249</v>
      </c>
      <c r="O399" s="1278" t="s">
        <v>249</v>
      </c>
      <c r="P399" s="1278" t="s">
        <v>249</v>
      </c>
      <c r="Q399" s="1319" t="s">
        <v>249</v>
      </c>
      <c r="R399" s="1319" t="s">
        <v>249</v>
      </c>
      <c r="S399" s="1319" t="s">
        <v>249</v>
      </c>
      <c r="T399" s="1278" t="s">
        <v>249</v>
      </c>
      <c r="U399" s="1278" t="s">
        <v>249</v>
      </c>
      <c r="V399" s="1319" t="s">
        <v>249</v>
      </c>
      <c r="W399" s="1319" t="s">
        <v>249</v>
      </c>
      <c r="X399" s="1319" t="s">
        <v>249</v>
      </c>
      <c r="Y399" s="1278" t="s">
        <v>249</v>
      </c>
      <c r="Z399" s="1278" t="s">
        <v>249</v>
      </c>
      <c r="AA399" s="1319" t="s">
        <v>249</v>
      </c>
      <c r="AB399" s="1319" t="s">
        <v>249</v>
      </c>
      <c r="AC399" s="1319" t="s">
        <v>249</v>
      </c>
      <c r="AD399" s="1278" t="s">
        <v>249</v>
      </c>
      <c r="AE399" s="1278" t="s">
        <v>249</v>
      </c>
      <c r="AF399" s="1783" t="s">
        <v>373</v>
      </c>
      <c r="AG399" s="1783" t="s">
        <v>373</v>
      </c>
      <c r="AH399" s="1783" t="s">
        <v>373</v>
      </c>
      <c r="AI399" s="1783" t="s">
        <v>373</v>
      </c>
      <c r="AJ399" s="1321" t="str">
        <f>AI399</f>
        <v>ND</v>
      </c>
      <c r="AK399" s="1783" t="s">
        <v>373</v>
      </c>
      <c r="AL399" s="1783" t="s">
        <v>373</v>
      </c>
      <c r="AM399" s="1784">
        <v>454</v>
      </c>
      <c r="AN399" s="1784">
        <v>466</v>
      </c>
      <c r="AO399" s="1321">
        <f>AN399</f>
        <v>466</v>
      </c>
      <c r="AP399" s="1784">
        <v>525</v>
      </c>
      <c r="AQ399" s="1784">
        <v>546</v>
      </c>
      <c r="AR399" s="1784">
        <v>585</v>
      </c>
      <c r="AS399" s="1784">
        <v>686</v>
      </c>
      <c r="AT399" s="1321">
        <f>AS399</f>
        <v>686</v>
      </c>
      <c r="AU399" s="1784">
        <v>667</v>
      </c>
      <c r="AV399" s="1784">
        <v>719</v>
      </c>
      <c r="AW399" s="1784">
        <v>733</v>
      </c>
      <c r="AX399" s="1784">
        <v>832</v>
      </c>
      <c r="AY399" s="1321">
        <f>AY413</f>
        <v>832</v>
      </c>
      <c r="AZ399" s="2117">
        <v>810</v>
      </c>
      <c r="BA399" s="2098">
        <v>792</v>
      </c>
      <c r="BB399" s="2098">
        <v>749</v>
      </c>
      <c r="BC399" s="2117">
        <v>815</v>
      </c>
      <c r="BD399" s="1321">
        <f>BD413</f>
        <v>815</v>
      </c>
      <c r="BE399" s="2098">
        <v>828</v>
      </c>
      <c r="BF399" s="2098">
        <v>855</v>
      </c>
      <c r="BG399" s="2098">
        <v>914</v>
      </c>
      <c r="BH399" s="2098">
        <v>1023</v>
      </c>
      <c r="BI399" s="1321">
        <f t="shared" ref="BI399:BZ399" si="517">BI413</f>
        <v>1023</v>
      </c>
      <c r="BJ399" s="2098">
        <v>1116</v>
      </c>
      <c r="BK399" s="2117">
        <v>1156</v>
      </c>
      <c r="BL399" s="2117">
        <v>1214</v>
      </c>
      <c r="BM399" s="2117">
        <v>1343</v>
      </c>
      <c r="BN399" s="1321">
        <f t="shared" si="517"/>
        <v>1343</v>
      </c>
      <c r="BO399" s="2117">
        <v>1326</v>
      </c>
      <c r="BP399" s="1784">
        <f t="shared" si="517"/>
        <v>1371.662</v>
      </c>
      <c r="BQ399" s="1784">
        <f t="shared" si="517"/>
        <v>1417.3240000000001</v>
      </c>
      <c r="BR399" s="1784">
        <f t="shared" si="517"/>
        <v>1462.9860000000001</v>
      </c>
      <c r="BS399" s="1321">
        <f t="shared" si="517"/>
        <v>1462.9860000000001</v>
      </c>
      <c r="BT399" s="1784">
        <f t="shared" ref="BT399:BX399" si="518">BT413</f>
        <v>1512.7275240000001</v>
      </c>
      <c r="BU399" s="1784">
        <f t="shared" si="518"/>
        <v>1562.4690480000002</v>
      </c>
      <c r="BV399" s="1784">
        <f t="shared" si="518"/>
        <v>1612.2105720000002</v>
      </c>
      <c r="BW399" s="1784">
        <f t="shared" si="518"/>
        <v>1661.9520960000002</v>
      </c>
      <c r="BX399" s="1321">
        <f t="shared" si="518"/>
        <v>1661.9520960000002</v>
      </c>
      <c r="BY399" s="1321">
        <f t="shared" si="517"/>
        <v>1887.9775810560002</v>
      </c>
      <c r="BZ399" s="1321">
        <f t="shared" si="517"/>
        <v>2144.742532079616</v>
      </c>
      <c r="CA399" s="1321">
        <f t="shared" ref="CA399" si="519">CA413</f>
        <v>2401.5074831032321</v>
      </c>
      <c r="CF399" s="1292" t="str">
        <f t="shared" si="512"/>
        <v xml:space="preserve">AUM Linked to Dow Jones indexes </v>
      </c>
      <c r="CG399" s="1271"/>
      <c r="CH399" s="1271"/>
      <c r="CI399" s="1271"/>
      <c r="CJ399" s="1271"/>
      <c r="CK399" s="1271"/>
      <c r="CL399" s="1278"/>
      <c r="CM399" s="1278"/>
      <c r="CN399" s="1278"/>
      <c r="CO399" s="1278"/>
      <c r="CP399" s="1278"/>
      <c r="CQ399" s="1321" t="str">
        <f>+AJ399</f>
        <v>ND</v>
      </c>
      <c r="CR399" s="1321">
        <f>+AO399</f>
        <v>466</v>
      </c>
      <c r="CS399" s="1321">
        <f>+AT399</f>
        <v>686</v>
      </c>
      <c r="CT399" s="1321">
        <f>+AY399</f>
        <v>832</v>
      </c>
      <c r="CU399" s="1321">
        <f>+BD399</f>
        <v>815</v>
      </c>
      <c r="CV399" s="1321">
        <f>+BI399</f>
        <v>1023</v>
      </c>
      <c r="CW399" s="1321">
        <f>+BN399</f>
        <v>1343</v>
      </c>
      <c r="CX399" s="1321">
        <f>+BS399</f>
        <v>1462.9860000000001</v>
      </c>
      <c r="CY399" s="1321">
        <f t="shared" si="516"/>
        <v>1661.9520960000002</v>
      </c>
      <c r="CZ399" s="1321">
        <f t="shared" si="516"/>
        <v>1887.9775810560002</v>
      </c>
      <c r="DA399" s="1321">
        <f t="shared" si="516"/>
        <v>2144.742532079616</v>
      </c>
      <c r="DB399" s="1321">
        <f t="shared" si="516"/>
        <v>2401.5074831032321</v>
      </c>
    </row>
    <row r="400" spans="1:106">
      <c r="A400" s="1618" t="s">
        <v>288</v>
      </c>
      <c r="G400" s="1319"/>
      <c r="H400" s="1319"/>
      <c r="I400" s="1319"/>
      <c r="J400" s="1278"/>
      <c r="K400" s="1278"/>
      <c r="L400" s="1319"/>
      <c r="M400" s="1319"/>
      <c r="N400" s="1319"/>
      <c r="O400" s="1278"/>
      <c r="P400" s="1278"/>
      <c r="Q400" s="1319"/>
      <c r="R400" s="1319"/>
      <c r="S400" s="1319"/>
      <c r="T400" s="1278"/>
      <c r="U400" s="1278"/>
      <c r="V400" s="1319"/>
      <c r="W400" s="1319"/>
      <c r="X400" s="1319"/>
      <c r="Y400" s="1278"/>
      <c r="Z400" s="1278"/>
      <c r="AA400" s="1319"/>
      <c r="AB400" s="1319"/>
      <c r="AC400" s="1319"/>
      <c r="AD400" s="1278"/>
      <c r="AE400" s="1278"/>
      <c r="AF400" s="1173" t="s">
        <v>373</v>
      </c>
      <c r="AG400" s="1173" t="s">
        <v>373</v>
      </c>
      <c r="AH400" s="1173" t="s">
        <v>373</v>
      </c>
      <c r="AI400" s="1173" t="s">
        <v>373</v>
      </c>
      <c r="AJ400" s="1697" t="str">
        <f>AI400</f>
        <v>ND</v>
      </c>
      <c r="AK400" s="1173" t="s">
        <v>373</v>
      </c>
      <c r="AL400" s="1173" t="s">
        <v>373</v>
      </c>
      <c r="AM400" s="1173" t="s">
        <v>373</v>
      </c>
      <c r="AN400" s="1173">
        <v>0.27</v>
      </c>
      <c r="AO400" s="1174">
        <f>AN400</f>
        <v>0.27</v>
      </c>
      <c r="AP400" s="1173" t="s">
        <v>373</v>
      </c>
      <c r="AQ400" s="1173" t="s">
        <v>373</v>
      </c>
      <c r="AR400" s="1173">
        <v>0.28999999999999998</v>
      </c>
      <c r="AS400" s="1783">
        <f>AS399/AN399-1</f>
        <v>0.47210300429184548</v>
      </c>
      <c r="AT400" s="1174">
        <f>AS400</f>
        <v>0.47210300429184548</v>
      </c>
      <c r="AU400" s="1173">
        <f t="shared" ref="AU400:BC400" si="520">AU399/AP399-1</f>
        <v>0.27047619047619054</v>
      </c>
      <c r="AV400" s="1173">
        <f t="shared" si="520"/>
        <v>0.31684981684981683</v>
      </c>
      <c r="AW400" s="1173">
        <f t="shared" si="520"/>
        <v>0.25299145299145298</v>
      </c>
      <c r="AX400" s="1783">
        <f t="shared" si="520"/>
        <v>0.2128279883381925</v>
      </c>
      <c r="AY400" s="1174">
        <f t="shared" si="520"/>
        <v>0.2128279883381925</v>
      </c>
      <c r="AZ400" s="1173">
        <f t="shared" si="520"/>
        <v>0.21439280359820101</v>
      </c>
      <c r="BA400" s="1173">
        <f t="shared" si="520"/>
        <v>0.10152990264255912</v>
      </c>
      <c r="BB400" s="1173">
        <f t="shared" si="520"/>
        <v>2.1828103683492417E-2</v>
      </c>
      <c r="BC400" s="1173">
        <f t="shared" si="520"/>
        <v>-2.0432692307692291E-2</v>
      </c>
      <c r="BD400" s="1174">
        <f>BC400</f>
        <v>-2.0432692307692291E-2</v>
      </c>
      <c r="BE400" s="1173">
        <f>BE399/AZ399-1</f>
        <v>2.2222222222222143E-2</v>
      </c>
      <c r="BF400" s="1173">
        <f>BF399/BA399-1</f>
        <v>7.9545454545454586E-2</v>
      </c>
      <c r="BG400" s="1173">
        <f>BG399/BB399-1</f>
        <v>0.22029372496662214</v>
      </c>
      <c r="BH400" s="1173">
        <f>BH399/BC399-1</f>
        <v>0.25521472392638045</v>
      </c>
      <c r="BI400" s="1174">
        <f>BH400</f>
        <v>0.25521472392638045</v>
      </c>
      <c r="BJ400" s="1173">
        <f>BJ399/BE399-1</f>
        <v>0.34782608695652173</v>
      </c>
      <c r="BK400" s="1173">
        <f>BK399/BF399-1</f>
        <v>0.35204678362573105</v>
      </c>
      <c r="BL400" s="1173">
        <f>BL399/BG399-1</f>
        <v>0.32822757111597367</v>
      </c>
      <c r="BM400" s="1173">
        <f>BM399/BH399-1</f>
        <v>0.31280547409579662</v>
      </c>
      <c r="BN400" s="1174">
        <f>BM400</f>
        <v>0.31280547409579662</v>
      </c>
      <c r="BO400" s="1173">
        <f>BO399/BJ399-1</f>
        <v>0.18817204301075274</v>
      </c>
      <c r="BP400" s="1173">
        <f>BP399/BK399-1</f>
        <v>0.18655882352941178</v>
      </c>
      <c r="BQ400" s="1173">
        <f>BQ399/BL399-1</f>
        <v>0.16748270181219116</v>
      </c>
      <c r="BR400" s="1173">
        <f>BR399/BM399-1</f>
        <v>8.9341772151898757E-2</v>
      </c>
      <c r="BS400" s="1174">
        <f>BR400</f>
        <v>8.9341772151898757E-2</v>
      </c>
      <c r="BT400" s="1173">
        <f>BT399/BO399-1</f>
        <v>0.14082015384615398</v>
      </c>
      <c r="BU400" s="1173">
        <f>BU399/BP399-1</f>
        <v>0.13910646208759903</v>
      </c>
      <c r="BV400" s="1173">
        <f>BV399/BQ399-1</f>
        <v>0.13750319051959892</v>
      </c>
      <c r="BW400" s="1173">
        <f>BW399/BR399-1</f>
        <v>0.13600000000000012</v>
      </c>
      <c r="BX400" s="1174">
        <f>BW400</f>
        <v>0.13600000000000012</v>
      </c>
      <c r="BY400" s="1174">
        <f>BY399/BX399-1</f>
        <v>0.1359999999999999</v>
      </c>
      <c r="BZ400" s="1174">
        <f>BZ399/BY399-1</f>
        <v>0.1359999999999999</v>
      </c>
      <c r="CA400" s="1174">
        <f>CA399/BZ399-1</f>
        <v>0.11971830985915499</v>
      </c>
      <c r="CF400" s="1619" t="str">
        <f t="shared" si="512"/>
        <v>y/y change</v>
      </c>
      <c r="CG400" s="1271"/>
      <c r="CH400" s="1271"/>
      <c r="CI400" s="1271"/>
      <c r="CJ400" s="1271"/>
      <c r="CK400" s="1271"/>
      <c r="CL400" s="1278"/>
      <c r="CM400" s="1278"/>
      <c r="CN400" s="1278"/>
      <c r="CO400" s="1278"/>
      <c r="CP400" s="1278"/>
      <c r="CQ400" s="1697"/>
      <c r="CR400" s="1174">
        <f>+AO400</f>
        <v>0.27</v>
      </c>
      <c r="CS400" s="1174">
        <f>+AT400</f>
        <v>0.47210300429184548</v>
      </c>
      <c r="CT400" s="1174">
        <f>+AY400</f>
        <v>0.2128279883381925</v>
      </c>
      <c r="CU400" s="1174">
        <f>+BD400</f>
        <v>-2.0432692307692291E-2</v>
      </c>
      <c r="CV400" s="1174">
        <f>+BI400</f>
        <v>0.25521472392638045</v>
      </c>
      <c r="CW400" s="1174">
        <f>+BN400</f>
        <v>0.31280547409579662</v>
      </c>
      <c r="CX400" s="1174">
        <f>+BS400</f>
        <v>8.9341772151898757E-2</v>
      </c>
      <c r="CY400" s="1174">
        <f t="shared" si="516"/>
        <v>0.13600000000000012</v>
      </c>
      <c r="CZ400" s="1174">
        <f t="shared" si="516"/>
        <v>0.1359999999999999</v>
      </c>
      <c r="DA400" s="1174">
        <f t="shared" si="516"/>
        <v>0.1359999999999999</v>
      </c>
      <c r="DB400" s="1174">
        <f t="shared" si="516"/>
        <v>0.11971830985915499</v>
      </c>
    </row>
    <row r="401" spans="1:106">
      <c r="A401" s="1618"/>
      <c r="G401" s="1319"/>
      <c r="H401" s="1319"/>
      <c r="I401" s="1319"/>
      <c r="J401" s="1278"/>
      <c r="K401" s="1278"/>
      <c r="L401" s="1319"/>
      <c r="M401" s="1319"/>
      <c r="N401" s="1319"/>
      <c r="O401" s="1278"/>
      <c r="P401" s="1278"/>
      <c r="Q401" s="1319"/>
      <c r="R401" s="1319"/>
      <c r="S401" s="1319"/>
      <c r="T401" s="1278"/>
      <c r="U401" s="1278"/>
      <c r="V401" s="1319"/>
      <c r="W401" s="1319"/>
      <c r="X401" s="1319"/>
      <c r="Y401" s="1278"/>
      <c r="Z401" s="1278"/>
      <c r="AA401" s="1319"/>
      <c r="AB401" s="1319"/>
      <c r="AC401" s="1319"/>
      <c r="AD401" s="1278"/>
      <c r="AE401" s="1278"/>
      <c r="AF401" s="1785"/>
      <c r="AG401" s="1785"/>
      <c r="AH401" s="1785"/>
      <c r="AI401" s="1785"/>
      <c r="AJ401" s="1786"/>
      <c r="AK401" s="1785"/>
      <c r="AL401" s="1785"/>
      <c r="AM401" s="1785"/>
      <c r="AN401" s="1785"/>
      <c r="AO401" s="1786"/>
      <c r="AP401" s="1785"/>
      <c r="AQ401" s="1785"/>
      <c r="AR401" s="1785"/>
      <c r="AS401" s="1785"/>
      <c r="AT401" s="1786"/>
      <c r="AU401" s="1783"/>
      <c r="AV401" s="1783"/>
      <c r="AW401" s="1785"/>
      <c r="AY401" s="1786">
        <f>14/AY399</f>
        <v>1.6826923076923076E-2</v>
      </c>
      <c r="AZ401" s="1785"/>
      <c r="BA401" s="1785"/>
      <c r="BB401" s="1785"/>
      <c r="BD401" s="1786"/>
      <c r="BE401" s="1785"/>
      <c r="BF401" s="1785"/>
      <c r="BG401" s="1785"/>
      <c r="BI401" s="1786"/>
      <c r="BJ401" s="1785"/>
      <c r="BK401" s="1785"/>
      <c r="BL401" s="1785"/>
      <c r="BN401" s="1786"/>
      <c r="BO401" s="2252"/>
      <c r="BP401" s="1785"/>
      <c r="BQ401" s="1785"/>
      <c r="BS401" s="1786"/>
      <c r="BT401" s="1785"/>
      <c r="BU401" s="1785"/>
      <c r="BV401" s="1785"/>
      <c r="BX401" s="1786"/>
      <c r="BY401" s="1786"/>
      <c r="BZ401" s="1786"/>
      <c r="CA401" s="1786"/>
      <c r="CF401" s="1619">
        <f t="shared" si="512"/>
        <v>0</v>
      </c>
      <c r="CG401" s="1271"/>
      <c r="CH401" s="1271"/>
      <c r="CI401" s="1271"/>
      <c r="CJ401" s="1271"/>
      <c r="CK401" s="1271"/>
      <c r="CL401" s="1278"/>
      <c r="CM401" s="1278"/>
      <c r="CN401" s="1278"/>
      <c r="CO401" s="1278"/>
      <c r="CP401" s="1278"/>
      <c r="CQ401" s="1786"/>
      <c r="CR401" s="1786"/>
      <c r="CS401" s="1786"/>
      <c r="CT401" s="1786"/>
      <c r="CU401" s="1786"/>
      <c r="CV401" s="1786"/>
      <c r="CW401" s="1786"/>
      <c r="CX401" s="1786"/>
      <c r="CY401" s="1786"/>
      <c r="CZ401" s="1786"/>
      <c r="DA401" s="1786"/>
      <c r="DB401" s="1786"/>
    </row>
    <row r="402" spans="1:106">
      <c r="A402" s="762" t="s">
        <v>374</v>
      </c>
      <c r="G402" s="1319" t="s">
        <v>249</v>
      </c>
      <c r="H402" s="1319" t="s">
        <v>249</v>
      </c>
      <c r="I402" s="1319" t="s">
        <v>249</v>
      </c>
      <c r="J402" s="1278" t="s">
        <v>249</v>
      </c>
      <c r="K402" s="1278" t="s">
        <v>249</v>
      </c>
      <c r="L402" s="1787">
        <f>+Q402/1.23</f>
        <v>170.48780487804876</v>
      </c>
      <c r="M402" s="1787">
        <f>+R402/1.155</f>
        <v>178.61471861471861</v>
      </c>
      <c r="N402" s="1788">
        <f>+S402/1.067</f>
        <v>209.46579194001876</v>
      </c>
      <c r="O402" s="1789">
        <f>+P402</f>
        <v>235.3</v>
      </c>
      <c r="P402" s="1789">
        <v>235.3</v>
      </c>
      <c r="Q402" s="1319">
        <v>209.7</v>
      </c>
      <c r="R402" s="1787">
        <v>206.3</v>
      </c>
      <c r="S402" s="1319">
        <v>223.5</v>
      </c>
      <c r="T402" s="1278">
        <v>203.6</v>
      </c>
      <c r="U402" s="1278">
        <v>203.6</v>
      </c>
      <c r="V402" s="1319">
        <v>158.6</v>
      </c>
      <c r="W402" s="1319">
        <v>189.9</v>
      </c>
      <c r="X402" s="1319">
        <f>+U402+17</f>
        <v>220.6</v>
      </c>
      <c r="Y402" s="1278">
        <v>247</v>
      </c>
      <c r="Z402" s="1278">
        <f>+Y402</f>
        <v>247</v>
      </c>
      <c r="AA402" s="1319">
        <v>254</v>
      </c>
      <c r="AB402" s="1319" t="s">
        <v>249</v>
      </c>
      <c r="AC402" s="1319" t="s">
        <v>249</v>
      </c>
      <c r="AD402" s="1278" t="s">
        <v>249</v>
      </c>
      <c r="AE402" s="1278" t="s">
        <v>249</v>
      </c>
      <c r="AF402" s="1784">
        <v>323</v>
      </c>
      <c r="AG402" s="1784">
        <v>325.3</v>
      </c>
      <c r="AH402" s="1784">
        <v>278.2</v>
      </c>
      <c r="AI402" s="1784">
        <v>313.7</v>
      </c>
      <c r="AJ402" s="1697">
        <f>AI402</f>
        <v>313.7</v>
      </c>
      <c r="AK402" s="1784">
        <v>358</v>
      </c>
      <c r="AL402" s="1784">
        <v>349</v>
      </c>
      <c r="AM402" s="1784">
        <v>390</v>
      </c>
      <c r="AN402" s="1784">
        <v>402</v>
      </c>
      <c r="AO402" s="1697">
        <f>AN402</f>
        <v>402</v>
      </c>
      <c r="AP402" s="1784">
        <v>450</v>
      </c>
      <c r="AQ402" s="1784">
        <v>469</v>
      </c>
      <c r="AR402" s="1783" t="s">
        <v>373</v>
      </c>
      <c r="AS402" s="1790" t="s">
        <v>373</v>
      </c>
      <c r="AT402" s="1174" t="str">
        <f>AS402</f>
        <v>ND</v>
      </c>
      <c r="AU402" s="1783" t="s">
        <v>373</v>
      </c>
      <c r="AV402" s="1783" t="s">
        <v>373</v>
      </c>
      <c r="AW402" s="1783" t="s">
        <v>373</v>
      </c>
      <c r="AX402" s="1783" t="s">
        <v>373</v>
      </c>
      <c r="AY402" s="1174" t="str">
        <f t="shared" ref="AY402:CA403" si="521">AX402</f>
        <v>ND</v>
      </c>
      <c r="AZ402" s="1319" t="str">
        <f t="shared" si="521"/>
        <v>ND</v>
      </c>
      <c r="BA402" s="1319" t="str">
        <f t="shared" si="521"/>
        <v>ND</v>
      </c>
      <c r="BB402" s="1319" t="str">
        <f t="shared" si="521"/>
        <v>ND</v>
      </c>
      <c r="BC402" s="1319" t="str">
        <f t="shared" si="521"/>
        <v>ND</v>
      </c>
      <c r="BD402" s="1174" t="str">
        <f t="shared" si="521"/>
        <v>ND</v>
      </c>
      <c r="BE402" s="1319" t="str">
        <f t="shared" si="521"/>
        <v>ND</v>
      </c>
      <c r="BF402" s="1319" t="str">
        <f t="shared" si="521"/>
        <v>ND</v>
      </c>
      <c r="BG402" s="1319" t="str">
        <f t="shared" si="521"/>
        <v>ND</v>
      </c>
      <c r="BH402" s="1319" t="str">
        <f t="shared" si="521"/>
        <v>ND</v>
      </c>
      <c r="BI402" s="1174" t="str">
        <f t="shared" si="521"/>
        <v>ND</v>
      </c>
      <c r="BJ402" s="1319" t="str">
        <f t="shared" si="521"/>
        <v>ND</v>
      </c>
      <c r="BK402" s="1319" t="str">
        <f t="shared" si="521"/>
        <v>ND</v>
      </c>
      <c r="BL402" s="1319" t="str">
        <f t="shared" si="521"/>
        <v>ND</v>
      </c>
      <c r="BM402" s="1319" t="str">
        <f t="shared" si="521"/>
        <v>ND</v>
      </c>
      <c r="BN402" s="1174" t="str">
        <f t="shared" si="521"/>
        <v>ND</v>
      </c>
      <c r="BO402" s="1319" t="str">
        <f t="shared" si="521"/>
        <v>ND</v>
      </c>
      <c r="BP402" s="1319" t="str">
        <f t="shared" si="521"/>
        <v>ND</v>
      </c>
      <c r="BQ402" s="1319" t="str">
        <f t="shared" si="521"/>
        <v>ND</v>
      </c>
      <c r="BR402" s="1319" t="str">
        <f t="shared" si="521"/>
        <v>ND</v>
      </c>
      <c r="BS402" s="1174" t="str">
        <f t="shared" si="521"/>
        <v>ND</v>
      </c>
      <c r="BT402" s="1319" t="str">
        <f t="shared" ref="BT402:BT403" si="522">BS402</f>
        <v>ND</v>
      </c>
      <c r="BU402" s="1319" t="str">
        <f t="shared" ref="BU402:BU403" si="523">BT402</f>
        <v>ND</v>
      </c>
      <c r="BV402" s="1319" t="str">
        <f t="shared" ref="BV402:BV403" si="524">BU402</f>
        <v>ND</v>
      </c>
      <c r="BW402" s="1319" t="str">
        <f t="shared" ref="BW402:BW403" si="525">BV402</f>
        <v>ND</v>
      </c>
      <c r="BX402" s="1174" t="str">
        <f t="shared" ref="BX402:BX403" si="526">BW402</f>
        <v>ND</v>
      </c>
      <c r="BY402" s="1174" t="str">
        <f t="shared" si="521"/>
        <v>ND</v>
      </c>
      <c r="BZ402" s="1174" t="str">
        <f t="shared" si="521"/>
        <v>ND</v>
      </c>
      <c r="CA402" s="1174" t="str">
        <f t="shared" si="521"/>
        <v>ND</v>
      </c>
      <c r="CF402" s="1270" t="str">
        <f t="shared" si="512"/>
        <v>AUM Linked to S&amp;P indices</v>
      </c>
      <c r="CG402" s="1271"/>
      <c r="CH402" s="1271"/>
      <c r="CI402" s="1271"/>
      <c r="CJ402" s="1271"/>
      <c r="CK402" s="1271"/>
      <c r="CL402" s="1278"/>
      <c r="CM402" s="1278">
        <f>+P402</f>
        <v>235.3</v>
      </c>
      <c r="CN402" s="1278">
        <f>+U402</f>
        <v>203.6</v>
      </c>
      <c r="CO402" s="1278">
        <f>+Z402</f>
        <v>247</v>
      </c>
      <c r="CP402" s="1278" t="str">
        <f>+AE402</f>
        <v>--</v>
      </c>
      <c r="CQ402" s="1697">
        <f>+AJ402</f>
        <v>313.7</v>
      </c>
      <c r="CR402" s="1697">
        <f>+AO402</f>
        <v>402</v>
      </c>
      <c r="CS402" s="1174" t="str">
        <f>+AT402</f>
        <v>ND</v>
      </c>
      <c r="CT402" s="1174" t="str">
        <f>+AY402</f>
        <v>ND</v>
      </c>
      <c r="CU402" s="1174" t="str">
        <f>+BD402</f>
        <v>ND</v>
      </c>
      <c r="CV402" s="1174" t="str">
        <f>+BI402</f>
        <v>ND</v>
      </c>
      <c r="CW402" s="1174" t="str">
        <f>+BN402</f>
        <v>ND</v>
      </c>
      <c r="CX402" s="1174" t="str">
        <f>+BS402</f>
        <v>ND</v>
      </c>
      <c r="CY402" s="1174" t="str">
        <f t="shared" ref="CY402:DB403" si="527">+BX402</f>
        <v>ND</v>
      </c>
      <c r="CZ402" s="1174" t="str">
        <f t="shared" si="527"/>
        <v>ND</v>
      </c>
      <c r="DA402" s="1174" t="str">
        <f t="shared" si="527"/>
        <v>ND</v>
      </c>
      <c r="DB402" s="1174" t="str">
        <f t="shared" si="527"/>
        <v>ND</v>
      </c>
    </row>
    <row r="403" spans="1:106">
      <c r="A403" s="1791" t="s">
        <v>288</v>
      </c>
      <c r="B403" s="1705"/>
      <c r="C403" s="1705"/>
      <c r="D403" s="1705"/>
      <c r="E403" s="1705"/>
      <c r="F403" s="1705"/>
      <c r="G403" s="1507"/>
      <c r="H403" s="1507"/>
      <c r="I403" s="1507"/>
      <c r="J403" s="1564"/>
      <c r="K403" s="1564"/>
      <c r="L403" s="1507"/>
      <c r="M403" s="1507"/>
      <c r="N403" s="1507"/>
      <c r="O403" s="1564"/>
      <c r="P403" s="1709">
        <f>+P402/L402-1</f>
        <v>0.38015736766809738</v>
      </c>
      <c r="Q403" s="1792">
        <f t="shared" ref="Q403:Z403" si="528">+Q402/M402-1</f>
        <v>0.17403538536112451</v>
      </c>
      <c r="R403" s="1792">
        <f t="shared" si="528"/>
        <v>-1.5113646532438518E-2</v>
      </c>
      <c r="S403" s="1792">
        <f t="shared" si="528"/>
        <v>-5.0148746281343026E-2</v>
      </c>
      <c r="T403" s="1709">
        <f t="shared" si="528"/>
        <v>-0.13472163195920106</v>
      </c>
      <c r="U403" s="1709">
        <f t="shared" si="528"/>
        <v>-2.9089175011921764E-2</v>
      </c>
      <c r="V403" s="1792">
        <f t="shared" si="528"/>
        <v>-0.23121667474551633</v>
      </c>
      <c r="W403" s="1792">
        <f t="shared" si="528"/>
        <v>-0.15033557046979862</v>
      </c>
      <c r="X403" s="1792">
        <f t="shared" si="528"/>
        <v>8.349705304518662E-2</v>
      </c>
      <c r="Y403" s="1709">
        <f t="shared" si="528"/>
        <v>0.21316306483300584</v>
      </c>
      <c r="Z403" s="1709">
        <f t="shared" si="528"/>
        <v>0.55737704918032782</v>
      </c>
      <c r="AA403" s="1792">
        <f>+AA402/V402-1</f>
        <v>0.60151324085750324</v>
      </c>
      <c r="AB403" s="1507"/>
      <c r="AC403" s="1507"/>
      <c r="AD403" s="1564"/>
      <c r="AE403" s="1564"/>
      <c r="AF403" s="1793">
        <v>0.27</v>
      </c>
      <c r="AG403" s="1793">
        <v>0.41099999999999998</v>
      </c>
      <c r="AH403" s="1793">
        <v>6.8000000000000005E-2</v>
      </c>
      <c r="AI403" s="1793">
        <v>4.4999999999999998E-2</v>
      </c>
      <c r="AJ403" s="1794">
        <f>AI403</f>
        <v>4.4999999999999998E-2</v>
      </c>
      <c r="AK403" s="1793">
        <v>0.11</v>
      </c>
      <c r="AL403" s="1793">
        <v>7.0000000000000007E-2</v>
      </c>
      <c r="AM403" s="1793">
        <v>0.4</v>
      </c>
      <c r="AN403" s="1793">
        <v>0.28000000000000003</v>
      </c>
      <c r="AO403" s="1794">
        <f>AN403</f>
        <v>0.28000000000000003</v>
      </c>
      <c r="AP403" s="1793">
        <v>0.26</v>
      </c>
      <c r="AQ403" s="1793">
        <v>0.34</v>
      </c>
      <c r="AR403" s="1793" t="s">
        <v>373</v>
      </c>
      <c r="AS403" s="1793" t="s">
        <v>373</v>
      </c>
      <c r="AT403" s="1794" t="str">
        <f>AS403</f>
        <v>ND</v>
      </c>
      <c r="AU403" s="1793" t="s">
        <v>373</v>
      </c>
      <c r="AV403" s="1793" t="s">
        <v>373</v>
      </c>
      <c r="AW403" s="1793" t="s">
        <v>373</v>
      </c>
      <c r="AX403" s="1793" t="s">
        <v>373</v>
      </c>
      <c r="AY403" s="1794" t="str">
        <f t="shared" si="521"/>
        <v>ND</v>
      </c>
      <c r="AZ403" s="1507" t="str">
        <f t="shared" si="521"/>
        <v>ND</v>
      </c>
      <c r="BA403" s="1507" t="str">
        <f t="shared" si="521"/>
        <v>ND</v>
      </c>
      <c r="BB403" s="1507" t="str">
        <f t="shared" si="521"/>
        <v>ND</v>
      </c>
      <c r="BC403" s="1507" t="str">
        <f t="shared" si="521"/>
        <v>ND</v>
      </c>
      <c r="BD403" s="1794" t="str">
        <f t="shared" si="521"/>
        <v>ND</v>
      </c>
      <c r="BE403" s="1507" t="str">
        <f t="shared" si="521"/>
        <v>ND</v>
      </c>
      <c r="BF403" s="1507" t="str">
        <f t="shared" si="521"/>
        <v>ND</v>
      </c>
      <c r="BG403" s="1507" t="str">
        <f t="shared" si="521"/>
        <v>ND</v>
      </c>
      <c r="BH403" s="1507" t="str">
        <f t="shared" si="521"/>
        <v>ND</v>
      </c>
      <c r="BI403" s="1794" t="str">
        <f t="shared" si="521"/>
        <v>ND</v>
      </c>
      <c r="BJ403" s="1507" t="str">
        <f t="shared" si="521"/>
        <v>ND</v>
      </c>
      <c r="BK403" s="1507" t="str">
        <f t="shared" si="521"/>
        <v>ND</v>
      </c>
      <c r="BL403" s="1507" t="str">
        <f t="shared" si="521"/>
        <v>ND</v>
      </c>
      <c r="BM403" s="1507" t="str">
        <f t="shared" si="521"/>
        <v>ND</v>
      </c>
      <c r="BN403" s="1794" t="str">
        <f t="shared" si="521"/>
        <v>ND</v>
      </c>
      <c r="BO403" s="1507" t="str">
        <f t="shared" si="521"/>
        <v>ND</v>
      </c>
      <c r="BP403" s="1507" t="str">
        <f t="shared" si="521"/>
        <v>ND</v>
      </c>
      <c r="BQ403" s="1507" t="str">
        <f t="shared" si="521"/>
        <v>ND</v>
      </c>
      <c r="BR403" s="1507" t="str">
        <f t="shared" si="521"/>
        <v>ND</v>
      </c>
      <c r="BS403" s="1794" t="str">
        <f t="shared" si="521"/>
        <v>ND</v>
      </c>
      <c r="BT403" s="1507" t="str">
        <f t="shared" si="522"/>
        <v>ND</v>
      </c>
      <c r="BU403" s="1507" t="str">
        <f t="shared" si="523"/>
        <v>ND</v>
      </c>
      <c r="BV403" s="1507" t="str">
        <f t="shared" si="524"/>
        <v>ND</v>
      </c>
      <c r="BW403" s="1507" t="str">
        <f t="shared" si="525"/>
        <v>ND</v>
      </c>
      <c r="BX403" s="1794" t="str">
        <f t="shared" si="526"/>
        <v>ND</v>
      </c>
      <c r="BY403" s="1794" t="str">
        <f t="shared" si="521"/>
        <v>ND</v>
      </c>
      <c r="BZ403" s="1794" t="str">
        <f t="shared" si="521"/>
        <v>ND</v>
      </c>
      <c r="CA403" s="1794" t="str">
        <f t="shared" si="521"/>
        <v>ND</v>
      </c>
      <c r="CF403" s="1795" t="str">
        <f t="shared" si="512"/>
        <v>y/y change</v>
      </c>
      <c r="CG403" s="1705"/>
      <c r="CH403" s="1705"/>
      <c r="CI403" s="1705"/>
      <c r="CJ403" s="1705"/>
      <c r="CK403" s="1705"/>
      <c r="CL403" s="1564"/>
      <c r="CM403" s="1709">
        <f>+P403</f>
        <v>0.38015736766809738</v>
      </c>
      <c r="CN403" s="1709">
        <f>+U403</f>
        <v>-2.9089175011921764E-2</v>
      </c>
      <c r="CO403" s="1709">
        <f>+Z403</f>
        <v>0.55737704918032782</v>
      </c>
      <c r="CP403" s="1709">
        <f>+AE403</f>
        <v>0</v>
      </c>
      <c r="CQ403" s="1796">
        <f>+AJ403</f>
        <v>4.4999999999999998E-2</v>
      </c>
      <c r="CR403" s="1794">
        <f>+AO403</f>
        <v>0.28000000000000003</v>
      </c>
      <c r="CS403" s="1794" t="str">
        <f>+AT403</f>
        <v>ND</v>
      </c>
      <c r="CT403" s="1794" t="str">
        <f>+AY403</f>
        <v>ND</v>
      </c>
      <c r="CU403" s="1794" t="str">
        <f>+BD403</f>
        <v>ND</v>
      </c>
      <c r="CV403" s="1794" t="str">
        <f>+BI403</f>
        <v>ND</v>
      </c>
      <c r="CW403" s="1794" t="str">
        <f>+BN403</f>
        <v>ND</v>
      </c>
      <c r="CX403" s="1794" t="str">
        <f>+BS403</f>
        <v>ND</v>
      </c>
      <c r="CY403" s="1794" t="str">
        <f t="shared" si="527"/>
        <v>ND</v>
      </c>
      <c r="CZ403" s="1794" t="str">
        <f t="shared" si="527"/>
        <v>ND</v>
      </c>
      <c r="DA403" s="1794" t="str">
        <f t="shared" si="527"/>
        <v>ND</v>
      </c>
      <c r="DB403" s="1794" t="str">
        <f t="shared" si="527"/>
        <v>ND</v>
      </c>
    </row>
    <row r="404" spans="1:106" s="1286" customFormat="1">
      <c r="A404" s="1515"/>
      <c r="B404" s="1515"/>
      <c r="C404" s="1515"/>
      <c r="D404" s="1515"/>
      <c r="E404" s="1515"/>
      <c r="F404" s="1515"/>
      <c r="G404" s="1516"/>
      <c r="H404" s="1516"/>
      <c r="I404" s="1516"/>
      <c r="J404" s="1516"/>
      <c r="K404" s="1516"/>
      <c r="L404" s="1516"/>
      <c r="M404" s="1516"/>
      <c r="N404" s="1516"/>
      <c r="O404" s="1516"/>
      <c r="P404" s="1516"/>
      <c r="Q404" s="1516"/>
      <c r="R404" s="1516"/>
      <c r="S404" s="1516"/>
      <c r="T404" s="1516"/>
      <c r="U404" s="1516"/>
      <c r="V404" s="1515"/>
      <c r="W404" s="1515"/>
      <c r="X404" s="1515"/>
      <c r="Y404" s="1515"/>
      <c r="Z404" s="1515"/>
      <c r="AA404" s="1515"/>
      <c r="AB404" s="1515"/>
      <c r="AC404" s="1515"/>
      <c r="AD404" s="1515"/>
      <c r="AE404" s="1515"/>
      <c r="AF404" s="1515"/>
      <c r="AG404" s="1515"/>
      <c r="AH404" s="1515"/>
      <c r="AI404" s="1515"/>
      <c r="AJ404" s="1515"/>
      <c r="AK404" s="1515"/>
      <c r="AL404" s="1515"/>
      <c r="AM404" s="1515"/>
      <c r="AN404" s="1515"/>
      <c r="AO404" s="1515"/>
      <c r="AP404" s="1515"/>
      <c r="AQ404" s="1515"/>
      <c r="AR404" s="1515"/>
      <c r="AS404" s="1515"/>
      <c r="AT404" s="1515"/>
      <c r="AU404" s="1515"/>
      <c r="AV404" s="1515"/>
      <c r="AW404" s="1515"/>
      <c r="AX404" s="1515"/>
      <c r="AY404" s="1515"/>
      <c r="AZ404" s="1515"/>
      <c r="BA404" s="1515"/>
      <c r="BB404" s="1515"/>
      <c r="BC404" s="1515"/>
      <c r="BD404" s="1515"/>
      <c r="BE404" s="1515"/>
      <c r="BF404" s="1515"/>
      <c r="BG404" s="1515"/>
      <c r="BH404" s="1515"/>
      <c r="BI404" s="1515"/>
      <c r="BJ404" s="1515"/>
      <c r="BK404" s="1515"/>
      <c r="BL404" s="1515"/>
      <c r="BM404" s="1515"/>
      <c r="BN404" s="1515"/>
      <c r="BO404" s="1515"/>
      <c r="BP404" s="1515"/>
      <c r="BQ404" s="1515"/>
      <c r="BR404" s="1515"/>
      <c r="BS404" s="1515"/>
      <c r="BT404" s="1515"/>
      <c r="BU404" s="1515"/>
      <c r="BV404" s="1515"/>
      <c r="BW404" s="1515"/>
      <c r="BX404" s="1515"/>
      <c r="BY404" s="1517"/>
      <c r="BZ404" s="1517"/>
      <c r="CA404" s="1517"/>
      <c r="CF404" s="1797"/>
      <c r="CG404" s="1515"/>
      <c r="CH404" s="1515"/>
      <c r="CI404" s="1515"/>
      <c r="CJ404" s="1515"/>
      <c r="CK404" s="1515"/>
      <c r="CL404" s="1516"/>
      <c r="CM404" s="1515"/>
      <c r="CN404" s="1515"/>
      <c r="CO404" s="1515"/>
      <c r="CP404" s="1515"/>
      <c r="CQ404" s="1515"/>
      <c r="CR404" s="1515"/>
      <c r="CS404" s="1515"/>
      <c r="CT404" s="1515"/>
      <c r="CU404" s="1515"/>
      <c r="CV404" s="1515"/>
      <c r="CW404" s="1515"/>
      <c r="CX404" s="1515"/>
      <c r="CY404" s="1515"/>
      <c r="CZ404" s="1517"/>
      <c r="DA404" s="1517"/>
      <c r="DB404" s="1517"/>
    </row>
    <row r="405" spans="1:106" s="1286" customFormat="1">
      <c r="A405" s="1518"/>
      <c r="B405" s="1515"/>
      <c r="C405" s="1515"/>
      <c r="D405" s="1515"/>
      <c r="E405" s="1515"/>
      <c r="F405" s="1515"/>
      <c r="G405" s="1519"/>
      <c r="H405" s="1519"/>
      <c r="I405" s="1519"/>
      <c r="J405" s="1519"/>
      <c r="K405" s="1519"/>
      <c r="L405" s="1519"/>
      <c r="M405" s="1519"/>
      <c r="N405" s="1519"/>
      <c r="O405" s="1519"/>
      <c r="P405" s="1519"/>
      <c r="Q405" s="1519"/>
      <c r="R405" s="1519"/>
      <c r="S405" s="1519"/>
      <c r="T405" s="1519"/>
      <c r="U405" s="1519"/>
      <c r="V405" s="1518"/>
      <c r="W405" s="1518"/>
      <c r="X405" s="1518"/>
      <c r="Y405" s="1518"/>
      <c r="Z405" s="1518"/>
      <c r="AA405" s="1518"/>
      <c r="AB405" s="1518"/>
      <c r="AC405" s="1518"/>
      <c r="AD405" s="1518"/>
      <c r="AE405" s="1518"/>
      <c r="AF405" s="1518"/>
      <c r="AG405" s="1518"/>
      <c r="AH405" s="1518"/>
      <c r="AI405" s="1518"/>
      <c r="AJ405" s="1518"/>
      <c r="AK405" s="1518"/>
      <c r="AL405" s="1518"/>
      <c r="AM405" s="1518"/>
      <c r="AN405" s="1518"/>
      <c r="AO405" s="1518"/>
      <c r="AP405" s="1518"/>
      <c r="AQ405" s="1518"/>
      <c r="AR405" s="1518"/>
      <c r="AS405" s="1518"/>
      <c r="AT405" s="1518"/>
      <c r="AU405" s="1518"/>
      <c r="AV405" s="1518"/>
      <c r="AW405" s="1518"/>
      <c r="AX405" s="1518"/>
      <c r="AY405" s="1518"/>
      <c r="AZ405" s="1518"/>
      <c r="BA405" s="1518"/>
      <c r="BB405" s="1518"/>
      <c r="BC405" s="1518"/>
      <c r="BD405" s="1518"/>
      <c r="BE405" s="1518"/>
      <c r="BF405" s="1518"/>
      <c r="BG405" s="1518"/>
      <c r="BH405" s="1518"/>
      <c r="BI405" s="1518"/>
      <c r="BJ405" s="1518"/>
      <c r="BK405" s="1518"/>
      <c r="BL405" s="1518"/>
      <c r="BM405" s="1518"/>
      <c r="BN405" s="1518"/>
      <c r="BO405" s="1518"/>
      <c r="BP405" s="1518"/>
      <c r="BQ405" s="1518"/>
      <c r="BR405" s="1518"/>
      <c r="BS405" s="1518"/>
      <c r="BT405" s="1518"/>
      <c r="BU405" s="1518"/>
      <c r="BV405" s="1518"/>
      <c r="BW405" s="1518"/>
      <c r="BX405" s="1518"/>
      <c r="BY405" s="1520"/>
      <c r="BZ405" s="1520"/>
      <c r="CA405" s="1520"/>
      <c r="CF405" s="1798"/>
      <c r="CG405" s="1518"/>
      <c r="CH405" s="1518"/>
      <c r="CI405" s="1518"/>
      <c r="CJ405" s="1518"/>
      <c r="CK405" s="1518"/>
      <c r="CL405" s="1519"/>
      <c r="CM405" s="1518"/>
      <c r="CN405" s="1518"/>
      <c r="CO405" s="1518"/>
      <c r="CP405" s="1518"/>
      <c r="CQ405" s="1518"/>
      <c r="CR405" s="1518"/>
      <c r="CS405" s="1518"/>
      <c r="CT405" s="1518"/>
      <c r="CU405" s="1518"/>
      <c r="CV405" s="1518"/>
      <c r="CW405" s="1518"/>
      <c r="CX405" s="1518"/>
      <c r="CY405" s="1518"/>
      <c r="CZ405" s="1520"/>
      <c r="DA405" s="1520"/>
      <c r="DB405" s="1520"/>
    </row>
    <row r="406" spans="1:106" s="1330" customFormat="1" ht="12" customHeight="1">
      <c r="A406" s="797" t="s">
        <v>375</v>
      </c>
      <c r="B406" s="1799"/>
      <c r="C406" s="1799"/>
      <c r="D406" s="1799"/>
      <c r="E406" s="1799"/>
      <c r="F406" s="1799"/>
      <c r="G406" s="1319"/>
      <c r="H406" s="1319"/>
      <c r="I406" s="1319"/>
      <c r="J406" s="1278"/>
      <c r="K406" s="1278"/>
      <c r="L406" s="1319"/>
      <c r="M406" s="1319"/>
      <c r="N406" s="1319"/>
      <c r="O406" s="1278"/>
      <c r="P406" s="1278"/>
      <c r="Q406" s="1319"/>
      <c r="R406" s="1319"/>
      <c r="S406" s="1319"/>
      <c r="T406" s="1278"/>
      <c r="U406" s="1278"/>
      <c r="V406" s="1319"/>
      <c r="W406" s="1319"/>
      <c r="X406" s="1319"/>
      <c r="Y406" s="1278"/>
      <c r="Z406" s="1278"/>
      <c r="AA406" s="1319"/>
      <c r="AB406" s="1319"/>
      <c r="AC406" s="1319"/>
      <c r="AD406" s="1278"/>
      <c r="AE406" s="1278"/>
      <c r="AF406" s="1800" t="s">
        <v>249</v>
      </c>
      <c r="AG406" s="1319" t="s">
        <v>249</v>
      </c>
      <c r="AH406" s="1319" t="s">
        <v>249</v>
      </c>
      <c r="AI406" s="1278" t="s">
        <v>249</v>
      </c>
      <c r="AJ406" s="1278" t="s">
        <v>249</v>
      </c>
      <c r="AK406" s="1800" t="s">
        <v>249</v>
      </c>
      <c r="AL406" s="1319" t="s">
        <v>249</v>
      </c>
      <c r="AM406" s="1319" t="s">
        <v>249</v>
      </c>
      <c r="AN406" s="1801">
        <f t="shared" ref="AN406:AV406" si="529">AM413</f>
        <v>454</v>
      </c>
      <c r="AO406" s="1802">
        <f>AM413</f>
        <v>454</v>
      </c>
      <c r="AP406" s="1801">
        <f t="shared" si="529"/>
        <v>466</v>
      </c>
      <c r="AQ406" s="1801">
        <f t="shared" si="529"/>
        <v>525</v>
      </c>
      <c r="AR406" s="1801">
        <f t="shared" si="529"/>
        <v>546</v>
      </c>
      <c r="AS406" s="1801">
        <f t="shared" si="529"/>
        <v>585</v>
      </c>
      <c r="AT406" s="1802">
        <f>AO413</f>
        <v>466</v>
      </c>
      <c r="AU406" s="1801">
        <f t="shared" si="529"/>
        <v>686</v>
      </c>
      <c r="AV406" s="1801">
        <f t="shared" si="529"/>
        <v>667</v>
      </c>
      <c r="AW406" s="1803">
        <f>AV413</f>
        <v>719</v>
      </c>
      <c r="AX406" s="1803">
        <f>AW413</f>
        <v>733</v>
      </c>
      <c r="AY406" s="1802">
        <f>AT413</f>
        <v>686</v>
      </c>
      <c r="AZ406" s="1803">
        <f>AY413</f>
        <v>832</v>
      </c>
      <c r="BA406" s="1803">
        <f>AZ413</f>
        <v>810</v>
      </c>
      <c r="BB406" s="1803">
        <f>BA413</f>
        <v>792</v>
      </c>
      <c r="BC406" s="1803">
        <f>BB413</f>
        <v>749</v>
      </c>
      <c r="BD406" s="1802">
        <f>AY413</f>
        <v>832</v>
      </c>
      <c r="BE406" s="1803">
        <f>BD413</f>
        <v>815</v>
      </c>
      <c r="BF406" s="1803">
        <f>BE413</f>
        <v>828</v>
      </c>
      <c r="BG406" s="1803">
        <f>BF413</f>
        <v>855</v>
      </c>
      <c r="BH406" s="1803">
        <f>BG413</f>
        <v>914</v>
      </c>
      <c r="BI406" s="1802">
        <f>BD413</f>
        <v>815</v>
      </c>
      <c r="BJ406" s="1803">
        <f>BI413</f>
        <v>1023</v>
      </c>
      <c r="BK406" s="1803">
        <f>BJ413</f>
        <v>1116</v>
      </c>
      <c r="BL406" s="1803">
        <f>BK413</f>
        <v>1156</v>
      </c>
      <c r="BM406" s="1803">
        <f>BL413</f>
        <v>1214</v>
      </c>
      <c r="BN406" s="1802">
        <f>BI413</f>
        <v>1023</v>
      </c>
      <c r="BO406" s="1803">
        <f>BN413</f>
        <v>1343</v>
      </c>
      <c r="BP406" s="1803">
        <f>BO413</f>
        <v>1326</v>
      </c>
      <c r="BQ406" s="1803">
        <f>BP413</f>
        <v>1371.662</v>
      </c>
      <c r="BR406" s="1803">
        <f>BQ413</f>
        <v>1417.3240000000001</v>
      </c>
      <c r="BS406" s="1802">
        <f>BN413</f>
        <v>1343</v>
      </c>
      <c r="BT406" s="1803">
        <f t="shared" ref="BT406:BW406" si="530">BS413</f>
        <v>1462.9860000000001</v>
      </c>
      <c r="BU406" s="1803">
        <f t="shared" si="530"/>
        <v>1512.7275240000001</v>
      </c>
      <c r="BV406" s="1803">
        <f t="shared" si="530"/>
        <v>1562.4690480000002</v>
      </c>
      <c r="BW406" s="1803">
        <f t="shared" si="530"/>
        <v>1612.2105720000002</v>
      </c>
      <c r="BX406" s="1802">
        <f>BS413</f>
        <v>1462.9860000000001</v>
      </c>
      <c r="BY406" s="1804">
        <f>BX413</f>
        <v>1661.9520960000002</v>
      </c>
      <c r="BZ406" s="1804">
        <f>BY413</f>
        <v>1887.9775810560002</v>
      </c>
      <c r="CA406" s="1804">
        <f>BZ413</f>
        <v>2144.742532079616</v>
      </c>
      <c r="CB406" s="1340"/>
      <c r="CF406" s="798" t="str">
        <f t="shared" si="512"/>
        <v>Beginning AUM</v>
      </c>
      <c r="CG406" s="1350"/>
      <c r="CH406" s="1351"/>
      <c r="CI406" s="1351"/>
      <c r="CJ406" s="1351"/>
      <c r="CK406" s="1351"/>
      <c r="CL406" s="1278"/>
      <c r="CM406" s="1278"/>
      <c r="CN406" s="1278"/>
      <c r="CO406" s="1278"/>
      <c r="CP406" s="1278"/>
      <c r="CQ406" s="1278" t="str">
        <f>+AJ406</f>
        <v>--</v>
      </c>
      <c r="CR406" s="1802">
        <f>+AO406</f>
        <v>454</v>
      </c>
      <c r="CS406" s="1802">
        <f>+AT406</f>
        <v>466</v>
      </c>
      <c r="CT406" s="1802">
        <f>+AY406</f>
        <v>686</v>
      </c>
      <c r="CU406" s="1802">
        <f>+BD406</f>
        <v>832</v>
      </c>
      <c r="CV406" s="1802">
        <f>+BI406</f>
        <v>815</v>
      </c>
      <c r="CW406" s="1805">
        <f>+BN406</f>
        <v>1023</v>
      </c>
      <c r="CX406" s="1804">
        <f>+BS406</f>
        <v>1343</v>
      </c>
      <c r="CY406" s="1804">
        <f>+BX406</f>
        <v>1462.9860000000001</v>
      </c>
      <c r="CZ406" s="1804">
        <f>+BY406</f>
        <v>1661.9520960000002</v>
      </c>
      <c r="DA406" s="1804">
        <f>+BZ406</f>
        <v>1887.9775810560002</v>
      </c>
      <c r="DB406" s="1804">
        <f>+CA406</f>
        <v>2144.742532079616</v>
      </c>
    </row>
    <row r="407" spans="1:106" s="1330" customFormat="1" ht="12" customHeight="1">
      <c r="A407" s="1352" t="s">
        <v>532</v>
      </c>
      <c r="B407" s="1799"/>
      <c r="C407" s="1799"/>
      <c r="D407" s="1799"/>
      <c r="E407" s="1799"/>
      <c r="F407" s="1799"/>
      <c r="G407" s="1319"/>
      <c r="H407" s="1319"/>
      <c r="I407" s="1319"/>
      <c r="J407" s="1278"/>
      <c r="K407" s="1278"/>
      <c r="L407" s="1319"/>
      <c r="M407" s="1319"/>
      <c r="N407" s="1319"/>
      <c r="O407" s="1278"/>
      <c r="P407" s="1278"/>
      <c r="Q407" s="1319"/>
      <c r="R407" s="1319"/>
      <c r="S407" s="1319"/>
      <c r="T407" s="1278"/>
      <c r="U407" s="1278"/>
      <c r="V407" s="1319"/>
      <c r="W407" s="1319"/>
      <c r="X407" s="1319"/>
      <c r="Y407" s="1278"/>
      <c r="Z407" s="1278"/>
      <c r="AA407" s="1319"/>
      <c r="AB407" s="1319"/>
      <c r="AC407" s="1319"/>
      <c r="AD407" s="1278"/>
      <c r="AE407" s="1278"/>
      <c r="AF407" s="1800" t="s">
        <v>249</v>
      </c>
      <c r="AG407" s="1319" t="s">
        <v>249</v>
      </c>
      <c r="AH407" s="1319" t="s">
        <v>249</v>
      </c>
      <c r="AI407" s="1278" t="s">
        <v>249</v>
      </c>
      <c r="AJ407" s="1278" t="s">
        <v>249</v>
      </c>
      <c r="AK407" s="1800" t="s">
        <v>249</v>
      </c>
      <c r="AL407" s="1319" t="s">
        <v>249</v>
      </c>
      <c r="AM407" s="1319" t="s">
        <v>249</v>
      </c>
      <c r="AN407" s="1806">
        <v>-1.005087910486091E-2</v>
      </c>
      <c r="AO407" s="1807"/>
      <c r="AP407" s="1806">
        <v>0.10026714533126713</v>
      </c>
      <c r="AQ407" s="1806">
        <v>2.3636398396625014E-2</v>
      </c>
      <c r="AR407" s="1806">
        <v>4.6859825186144288E-2</v>
      </c>
      <c r="AS407" s="1806">
        <v>9.9200142725461626E-2</v>
      </c>
      <c r="AT407" s="1807"/>
      <c r="AU407" s="1806">
        <v>1.2968252937739511E-2</v>
      </c>
      <c r="AV407" s="1806">
        <v>4.6946852317700349E-2</v>
      </c>
      <c r="AW407" s="1806">
        <v>6.1472378241329562E-3</v>
      </c>
      <c r="AX407" s="1806">
        <v>4.391871336727049E-2</v>
      </c>
      <c r="AY407" s="1325"/>
      <c r="AZ407" s="1806">
        <v>4.3664092476562999E-3</v>
      </c>
      <c r="BA407" s="1806">
        <v>-2.3115349462494716E-3</v>
      </c>
      <c r="BB407" s="1806">
        <v>-6.93516099480882E-2</v>
      </c>
      <c r="BC407" s="1806">
        <v>6.4535449966927727E-2</v>
      </c>
      <c r="BD407" s="1325"/>
      <c r="BE407" s="1806">
        <v>9.7899155552509942E-3</v>
      </c>
      <c r="BF407" s="1806">
        <v>1.6914169432399095E-2</v>
      </c>
      <c r="BG407" s="1806">
        <v>3.3070333419094045E-2</v>
      </c>
      <c r="BH407" s="1806">
        <v>3.2542072712346659E-2</v>
      </c>
      <c r="BI407" s="1325"/>
      <c r="BJ407" s="1808">
        <v>5.5336939383517247E-2</v>
      </c>
      <c r="BK407" s="1808">
        <v>2.5686496918805535E-2</v>
      </c>
      <c r="BL407" s="1806">
        <v>3.9592970236155045E-2</v>
      </c>
      <c r="BM407" s="694">
        <v>6.1265559507176492E-2</v>
      </c>
      <c r="BN407" s="1325"/>
      <c r="BO407" s="694">
        <v>-1.2282558691855239E-2</v>
      </c>
      <c r="BP407" s="694">
        <f>CHOOSE(MHFI!$A$3,BP408,BP409,BP410)</f>
        <v>8.9999999999999993E-3</v>
      </c>
      <c r="BQ407" s="694">
        <f>CHOOSE(MHFI!$A$3,BQ408,BQ409,BQ410)</f>
        <v>8.9999999999999993E-3</v>
      </c>
      <c r="BR407" s="694">
        <f>CHOOSE(MHFI!$A$3,BR408,BR409,BR410)</f>
        <v>8.9999999999999993E-3</v>
      </c>
      <c r="BS407" s="1325"/>
      <c r="BT407" s="694">
        <f>CHOOSE(MHFI!$A$3,BT408,BT409,BT410)</f>
        <v>8.9999999999999993E-3</v>
      </c>
      <c r="BU407" s="694">
        <f>CHOOSE(MHFI!$A$3,BU408,BU409,BU410)</f>
        <v>8.9999999999999993E-3</v>
      </c>
      <c r="BV407" s="694">
        <f>CHOOSE(MHFI!$A$3,BV408,BV409,BV410)</f>
        <v>8.9999999999999993E-3</v>
      </c>
      <c r="BW407" s="694">
        <f>CHOOSE(MHFI!$A$3,BW408,BW409,BW410)</f>
        <v>8.9999999999999993E-3</v>
      </c>
      <c r="BX407" s="1325"/>
      <c r="BY407" s="1996">
        <f>CHOOSE(MHFI!$A$3,BY408,BY409,BY410)</f>
        <v>3.5999999999999997E-2</v>
      </c>
      <c r="BZ407" s="1996">
        <f>CHOOSE(MHFI!$A$3,BZ408,BZ409,BZ410)</f>
        <v>3.5999999999999997E-2</v>
      </c>
      <c r="CA407" s="1996">
        <f>CHOOSE(MHFI!$A$3,CA408,CA409,CA410)</f>
        <v>3.5999999999999997E-2</v>
      </c>
      <c r="CB407" s="1340"/>
      <c r="CF407" s="1809" t="str">
        <f t="shared" si="512"/>
        <v>S&amp;P 500 appreciation/depreciation%</v>
      </c>
      <c r="CG407" s="1350"/>
      <c r="CH407" s="1351"/>
      <c r="CI407" s="1351"/>
      <c r="CJ407" s="1351"/>
      <c r="CK407" s="1351"/>
      <c r="CL407" s="1278"/>
      <c r="CM407" s="1278"/>
      <c r="CN407" s="1278"/>
      <c r="CO407" s="1278"/>
      <c r="CP407" s="1278"/>
      <c r="CQ407" s="1278"/>
      <c r="CR407" s="1807"/>
      <c r="CS407" s="1807"/>
      <c r="CT407" s="1325"/>
      <c r="CU407" s="1325"/>
      <c r="CV407" s="1325"/>
      <c r="CW407" s="799"/>
      <c r="CX407" s="800"/>
      <c r="CY407" s="800"/>
      <c r="CZ407" s="800"/>
      <c r="DA407" s="800"/>
      <c r="DB407" s="800"/>
    </row>
    <row r="408" spans="1:106" s="1330" customFormat="1" ht="12" hidden="1" customHeight="1" outlineLevel="1">
      <c r="A408" s="1587" t="s">
        <v>213</v>
      </c>
      <c r="B408" s="1665"/>
      <c r="C408" s="1665"/>
      <c r="D408" s="1665"/>
      <c r="E408" s="1665"/>
      <c r="F408" s="1665"/>
      <c r="G408" s="1666"/>
      <c r="H408" s="1666"/>
      <c r="I408" s="1666"/>
      <c r="J408" s="1593"/>
      <c r="K408" s="1593"/>
      <c r="L408" s="1666"/>
      <c r="M408" s="1666"/>
      <c r="N408" s="1666"/>
      <c r="O408" s="1593"/>
      <c r="P408" s="1593"/>
      <c r="Q408" s="1666"/>
      <c r="R408" s="1666"/>
      <c r="S408" s="1666"/>
      <c r="T408" s="1593"/>
      <c r="U408" s="1593"/>
      <c r="V408" s="1666"/>
      <c r="W408" s="1666"/>
      <c r="X408" s="1666"/>
      <c r="Y408" s="1593"/>
      <c r="Z408" s="1593"/>
      <c r="AA408" s="1666"/>
      <c r="AB408" s="1666"/>
      <c r="AC408" s="1666"/>
      <c r="AD408" s="1593"/>
      <c r="AE408" s="1593"/>
      <c r="AF408" s="1666"/>
      <c r="AG408" s="1666"/>
      <c r="AH408" s="1666"/>
      <c r="AI408" s="1593"/>
      <c r="AJ408" s="1593"/>
      <c r="AK408" s="1666"/>
      <c r="AL408" s="1666"/>
      <c r="AM408" s="1666"/>
      <c r="AN408" s="1593"/>
      <c r="AO408" s="1593"/>
      <c r="AP408" s="1666"/>
      <c r="AQ408" s="1666"/>
      <c r="AR408" s="1666"/>
      <c r="AS408" s="1593"/>
      <c r="AT408" s="1593"/>
      <c r="AU408" s="1666"/>
      <c r="AV408" s="1666"/>
      <c r="AW408" s="1820"/>
      <c r="AX408" s="1820"/>
      <c r="AY408" s="1594"/>
      <c r="AZ408" s="1820"/>
      <c r="BA408" s="1820"/>
      <c r="BB408" s="1820"/>
      <c r="BC408" s="1820"/>
      <c r="BD408" s="1594"/>
      <c r="BE408" s="1820"/>
      <c r="BF408" s="1820"/>
      <c r="BG408" s="1820"/>
      <c r="BH408" s="1820"/>
      <c r="BI408" s="1594"/>
      <c r="BJ408" s="1820"/>
      <c r="BK408" s="1820"/>
      <c r="BL408" s="1820"/>
      <c r="BM408" s="1994"/>
      <c r="BN408" s="1995"/>
      <c r="BO408" s="1994"/>
      <c r="BP408" s="1994">
        <v>0</v>
      </c>
      <c r="BQ408" s="1994">
        <v>0</v>
      </c>
      <c r="BR408" s="1994">
        <v>0</v>
      </c>
      <c r="BS408" s="1995"/>
      <c r="BT408" s="1994">
        <v>0</v>
      </c>
      <c r="BU408" s="1994">
        <v>0</v>
      </c>
      <c r="BV408" s="1994">
        <v>0</v>
      </c>
      <c r="BW408" s="1994">
        <v>0</v>
      </c>
      <c r="BX408" s="1995"/>
      <c r="BY408" s="1995">
        <v>0</v>
      </c>
      <c r="BZ408" s="1995">
        <v>0</v>
      </c>
      <c r="CA408" s="1995">
        <v>0</v>
      </c>
      <c r="CB408" s="1340"/>
      <c r="CF408" s="1809"/>
      <c r="CG408" s="1350"/>
      <c r="CH408" s="1351"/>
      <c r="CI408" s="1351"/>
      <c r="CJ408" s="1351"/>
      <c r="CK408" s="1351"/>
      <c r="CL408" s="1278"/>
      <c r="CM408" s="1278"/>
      <c r="CN408" s="1278"/>
      <c r="CO408" s="1278"/>
      <c r="CP408" s="1278"/>
      <c r="CQ408" s="1278"/>
      <c r="CR408" s="1807"/>
      <c r="CS408" s="1807"/>
      <c r="CT408" s="1325"/>
      <c r="CU408" s="1325"/>
      <c r="CV408" s="1325"/>
      <c r="CW408" s="799"/>
      <c r="CX408" s="800"/>
      <c r="CY408" s="800"/>
      <c r="CZ408" s="800"/>
      <c r="DA408" s="800"/>
      <c r="DB408" s="800"/>
    </row>
    <row r="409" spans="1:106" s="1330" customFormat="1" ht="12" hidden="1" customHeight="1" outlineLevel="1">
      <c r="A409" s="1587" t="s">
        <v>214</v>
      </c>
      <c r="B409" s="1665"/>
      <c r="C409" s="1665"/>
      <c r="D409" s="1665"/>
      <c r="E409" s="1665"/>
      <c r="F409" s="1665"/>
      <c r="G409" s="1666"/>
      <c r="H409" s="1666"/>
      <c r="I409" s="1666"/>
      <c r="J409" s="1593"/>
      <c r="K409" s="1593"/>
      <c r="L409" s="1666"/>
      <c r="M409" s="1666"/>
      <c r="N409" s="1666"/>
      <c r="O409" s="1593"/>
      <c r="P409" s="1593"/>
      <c r="Q409" s="1666"/>
      <c r="R409" s="1666"/>
      <c r="S409" s="1666"/>
      <c r="T409" s="1593"/>
      <c r="U409" s="1593"/>
      <c r="V409" s="1666"/>
      <c r="W409" s="1666"/>
      <c r="X409" s="1666"/>
      <c r="Y409" s="1593"/>
      <c r="Z409" s="1593"/>
      <c r="AA409" s="1666"/>
      <c r="AB409" s="1666"/>
      <c r="AC409" s="1666"/>
      <c r="AD409" s="1593"/>
      <c r="AE409" s="1593"/>
      <c r="AF409" s="1666"/>
      <c r="AG409" s="1666"/>
      <c r="AH409" s="1666"/>
      <c r="AI409" s="1593"/>
      <c r="AJ409" s="1593"/>
      <c r="AK409" s="1666"/>
      <c r="AL409" s="1666"/>
      <c r="AM409" s="1666"/>
      <c r="AN409" s="1593"/>
      <c r="AO409" s="1593"/>
      <c r="AP409" s="1666"/>
      <c r="AQ409" s="1666"/>
      <c r="AR409" s="1666"/>
      <c r="AS409" s="1593"/>
      <c r="AT409" s="1593"/>
      <c r="AU409" s="1666"/>
      <c r="AV409" s="1666"/>
      <c r="AW409" s="1820"/>
      <c r="AX409" s="1820"/>
      <c r="AY409" s="1594"/>
      <c r="AZ409" s="1820"/>
      <c r="BA409" s="1820"/>
      <c r="BB409" s="1820"/>
      <c r="BC409" s="1820"/>
      <c r="BD409" s="1594"/>
      <c r="BE409" s="1820"/>
      <c r="BF409" s="1820"/>
      <c r="BG409" s="1820"/>
      <c r="BH409" s="1820"/>
      <c r="BI409" s="1594"/>
      <c r="BJ409" s="1820"/>
      <c r="BK409" s="1820"/>
      <c r="BL409" s="1820"/>
      <c r="BM409" s="1994"/>
      <c r="BN409" s="1995"/>
      <c r="BO409" s="1994"/>
      <c r="BP409" s="1994">
        <v>8.9999999999999993E-3</v>
      </c>
      <c r="BQ409" s="1994">
        <v>8.9999999999999993E-3</v>
      </c>
      <c r="BR409" s="1994">
        <v>8.9999999999999993E-3</v>
      </c>
      <c r="BS409" s="1995"/>
      <c r="BT409" s="1994">
        <v>8.9999999999999993E-3</v>
      </c>
      <c r="BU409" s="1994">
        <v>8.9999999999999993E-3</v>
      </c>
      <c r="BV409" s="1994">
        <v>8.9999999999999993E-3</v>
      </c>
      <c r="BW409" s="1994">
        <v>8.9999999999999993E-3</v>
      </c>
      <c r="BX409" s="1995"/>
      <c r="BY409" s="1995">
        <v>3.5999999999999997E-2</v>
      </c>
      <c r="BZ409" s="1995">
        <v>3.5999999999999997E-2</v>
      </c>
      <c r="CA409" s="1995">
        <v>3.5999999999999997E-2</v>
      </c>
      <c r="CB409" s="1340"/>
      <c r="CF409" s="1809"/>
      <c r="CG409" s="1350"/>
      <c r="CH409" s="1351"/>
      <c r="CI409" s="1351"/>
      <c r="CJ409" s="1351"/>
      <c r="CK409" s="1351"/>
      <c r="CL409" s="1278"/>
      <c r="CM409" s="1278"/>
      <c r="CN409" s="1278"/>
      <c r="CO409" s="1278"/>
      <c r="CP409" s="1278"/>
      <c r="CQ409" s="1278"/>
      <c r="CR409" s="1807"/>
      <c r="CS409" s="1807"/>
      <c r="CT409" s="1325"/>
      <c r="CU409" s="1325"/>
      <c r="CV409" s="1325"/>
      <c r="CW409" s="799"/>
      <c r="CX409" s="800"/>
      <c r="CY409" s="800"/>
      <c r="CZ409" s="800"/>
      <c r="DA409" s="800"/>
      <c r="DB409" s="800"/>
    </row>
    <row r="410" spans="1:106" s="1330" customFormat="1" ht="12" hidden="1" customHeight="1" outlineLevel="1">
      <c r="A410" s="1587" t="s">
        <v>215</v>
      </c>
      <c r="B410" s="1665"/>
      <c r="C410" s="1665"/>
      <c r="D410" s="1665"/>
      <c r="E410" s="1665"/>
      <c r="F410" s="1665"/>
      <c r="G410" s="1666"/>
      <c r="H410" s="1666"/>
      <c r="I410" s="1666"/>
      <c r="J410" s="1593"/>
      <c r="K410" s="1593"/>
      <c r="L410" s="1666"/>
      <c r="M410" s="1666"/>
      <c r="N410" s="1666"/>
      <c r="O410" s="1593"/>
      <c r="P410" s="1593"/>
      <c r="Q410" s="1666"/>
      <c r="R410" s="1666"/>
      <c r="S410" s="1666"/>
      <c r="T410" s="1593"/>
      <c r="U410" s="1593"/>
      <c r="V410" s="1666"/>
      <c r="W410" s="1666"/>
      <c r="X410" s="1666"/>
      <c r="Y410" s="1593"/>
      <c r="Z410" s="1593"/>
      <c r="AA410" s="1666"/>
      <c r="AB410" s="1666"/>
      <c r="AC410" s="1666"/>
      <c r="AD410" s="1593"/>
      <c r="AE410" s="1593"/>
      <c r="AF410" s="1666"/>
      <c r="AG410" s="1666"/>
      <c r="AH410" s="1666"/>
      <c r="AI410" s="1593"/>
      <c r="AJ410" s="1593"/>
      <c r="AK410" s="1666"/>
      <c r="AL410" s="1666"/>
      <c r="AM410" s="1666"/>
      <c r="AN410" s="1593"/>
      <c r="AO410" s="1593"/>
      <c r="AP410" s="1666"/>
      <c r="AQ410" s="1666"/>
      <c r="AR410" s="1666"/>
      <c r="AS410" s="1593"/>
      <c r="AT410" s="1593"/>
      <c r="AU410" s="1666"/>
      <c r="AV410" s="1666"/>
      <c r="AW410" s="1820"/>
      <c r="AX410" s="1820"/>
      <c r="AY410" s="1594"/>
      <c r="AZ410" s="1820"/>
      <c r="BA410" s="1820"/>
      <c r="BB410" s="1820"/>
      <c r="BC410" s="1820"/>
      <c r="BD410" s="1594"/>
      <c r="BE410" s="1820"/>
      <c r="BF410" s="1820"/>
      <c r="BG410" s="1820"/>
      <c r="BH410" s="1820"/>
      <c r="BI410" s="1594"/>
      <c r="BJ410" s="1820"/>
      <c r="BK410" s="1820"/>
      <c r="BL410" s="1820"/>
      <c r="BM410" s="1820"/>
      <c r="BN410" s="1995"/>
      <c r="BO410" s="1994"/>
      <c r="BP410" s="1994">
        <v>0.02</v>
      </c>
      <c r="BQ410" s="1994">
        <v>0.02</v>
      </c>
      <c r="BR410" s="1994">
        <v>0.02</v>
      </c>
      <c r="BS410" s="1995"/>
      <c r="BT410" s="1994">
        <v>0.02</v>
      </c>
      <c r="BU410" s="1994">
        <v>0.02</v>
      </c>
      <c r="BV410" s="1994">
        <v>0.02</v>
      </c>
      <c r="BW410" s="1994">
        <v>0.02</v>
      </c>
      <c r="BX410" s="1995"/>
      <c r="BY410" s="1995">
        <v>0.08</v>
      </c>
      <c r="BZ410" s="1995">
        <v>0.08</v>
      </c>
      <c r="CA410" s="1995">
        <v>0.08</v>
      </c>
      <c r="CB410" s="1340"/>
      <c r="CF410" s="1809"/>
      <c r="CG410" s="1350"/>
      <c r="CH410" s="1351"/>
      <c r="CI410" s="1351"/>
      <c r="CJ410" s="1351"/>
      <c r="CK410" s="1351"/>
      <c r="CL410" s="1278"/>
      <c r="CM410" s="1278"/>
      <c r="CN410" s="1278"/>
      <c r="CO410" s="1278"/>
      <c r="CP410" s="1278"/>
      <c r="CQ410" s="1278"/>
      <c r="CR410" s="1807"/>
      <c r="CS410" s="1807"/>
      <c r="CT410" s="1325"/>
      <c r="CU410" s="1325"/>
      <c r="CV410" s="1325"/>
      <c r="CW410" s="799"/>
      <c r="CX410" s="800"/>
      <c r="CY410" s="800"/>
      <c r="CZ410" s="800"/>
      <c r="DA410" s="800"/>
      <c r="DB410" s="800"/>
    </row>
    <row r="411" spans="1:106" s="1330" customFormat="1" ht="12" customHeight="1" collapsed="1">
      <c r="A411" s="1352" t="s">
        <v>532</v>
      </c>
      <c r="B411" s="1799"/>
      <c r="C411" s="1799"/>
      <c r="D411" s="1799"/>
      <c r="E411" s="1799"/>
      <c r="F411" s="1799"/>
      <c r="G411" s="1319"/>
      <c r="H411" s="1319"/>
      <c r="I411" s="1319"/>
      <c r="J411" s="1278"/>
      <c r="K411" s="1278"/>
      <c r="L411" s="1319"/>
      <c r="M411" s="1319"/>
      <c r="N411" s="1319"/>
      <c r="O411" s="1278"/>
      <c r="P411" s="1278"/>
      <c r="Q411" s="1319"/>
      <c r="R411" s="1319"/>
      <c r="S411" s="1319"/>
      <c r="T411" s="1278"/>
      <c r="U411" s="1278"/>
      <c r="V411" s="1319"/>
      <c r="W411" s="1319"/>
      <c r="X411" s="1319"/>
      <c r="Y411" s="1278"/>
      <c r="Z411" s="1278"/>
      <c r="AA411" s="1319"/>
      <c r="AB411" s="1319"/>
      <c r="AC411" s="1319"/>
      <c r="AD411" s="1278"/>
      <c r="AE411" s="1278"/>
      <c r="AF411" s="1800" t="s">
        <v>249</v>
      </c>
      <c r="AG411" s="1319" t="s">
        <v>249</v>
      </c>
      <c r="AH411" s="1319" t="s">
        <v>249</v>
      </c>
      <c r="AI411" s="1278" t="s">
        <v>249</v>
      </c>
      <c r="AJ411" s="1278" t="s">
        <v>249</v>
      </c>
      <c r="AK411" s="1800" t="s">
        <v>249</v>
      </c>
      <c r="AL411" s="1319" t="s">
        <v>249</v>
      </c>
      <c r="AM411" s="1319" t="s">
        <v>249</v>
      </c>
      <c r="AN411" s="1353">
        <f>+AN406*AN407</f>
        <v>-4.5630991136068531</v>
      </c>
      <c r="AO411" s="1807"/>
      <c r="AP411" s="1353">
        <f>+AP406*AP407</f>
        <v>46.724489724370478</v>
      </c>
      <c r="AQ411" s="1353">
        <f>+AQ406*AQ407</f>
        <v>12.409109158228132</v>
      </c>
      <c r="AR411" s="1353">
        <f>+AR406*AR407</f>
        <v>25.585464551634782</v>
      </c>
      <c r="AS411" s="1353">
        <f>+AS406*AS407</f>
        <v>58.032083494395053</v>
      </c>
      <c r="AT411" s="1325">
        <f>SUM(AP411:AS411)</f>
        <v>142.75114692862843</v>
      </c>
      <c r="AU411" s="1353">
        <f>+AU406*AU407</f>
        <v>8.8962215152893052</v>
      </c>
      <c r="AV411" s="1353">
        <f>+AV406*AV407</f>
        <v>31.313550495906131</v>
      </c>
      <c r="AW411" s="1353">
        <f>+AW406*AW407</f>
        <v>4.4198639955515953</v>
      </c>
      <c r="AX411" s="1353">
        <f>+AX406*AX407</f>
        <v>32.192416898209267</v>
      </c>
      <c r="AY411" s="1325">
        <f>SUM(AU411:AX411)</f>
        <v>76.822052904956308</v>
      </c>
      <c r="AZ411" s="1353">
        <f>+AZ406*AZ407</f>
        <v>3.6328524940500415</v>
      </c>
      <c r="BA411" s="1799">
        <f>AZ413*BA407</f>
        <v>-1.872343306462072</v>
      </c>
      <c r="BB411" s="1799">
        <f>BA413*BB407</f>
        <v>-54.926475078885858</v>
      </c>
      <c r="BC411" s="1799">
        <f>BB413*BC407</f>
        <v>48.337052025228864</v>
      </c>
      <c r="BD411" s="1325">
        <f>SUM(AZ411:BC411)</f>
        <v>-4.8289138660690227</v>
      </c>
      <c r="BE411" s="1799">
        <f>BD413*BE407</f>
        <v>7.9787811775295605</v>
      </c>
      <c r="BF411" s="1799">
        <f>BE413*BF407</f>
        <v>14.004932290026451</v>
      </c>
      <c r="BG411" s="1799">
        <f>BF413*BG407</f>
        <v>28.275135073325409</v>
      </c>
      <c r="BH411" s="1799">
        <f>BG413*BH407</f>
        <v>29.743454459084845</v>
      </c>
      <c r="BI411" s="1325">
        <f>SUM(BE411:BH411)</f>
        <v>80.002302999966261</v>
      </c>
      <c r="BJ411" s="1799">
        <f>BI413*BJ407</f>
        <v>56.609688989338146</v>
      </c>
      <c r="BK411" s="1799">
        <f>BJ413*BK407</f>
        <v>28.666130561386979</v>
      </c>
      <c r="BL411" s="1799">
        <f>BK413*BL407</f>
        <v>45.769473592995233</v>
      </c>
      <c r="BM411" s="1799">
        <f>BL413*BM407</f>
        <v>74.376389241712261</v>
      </c>
      <c r="BN411" s="1325">
        <f>SUM(BJ411:BM411)</f>
        <v>205.42168238543263</v>
      </c>
      <c r="BO411" s="1799">
        <f>BN413*BO407</f>
        <v>-16.495476323161586</v>
      </c>
      <c r="BP411" s="1799">
        <f>$BN$413*BP407</f>
        <v>12.087</v>
      </c>
      <c r="BQ411" s="1799">
        <f>$BN$413*BQ407</f>
        <v>12.087</v>
      </c>
      <c r="BR411" s="1799">
        <f>$BN$413*BR407</f>
        <v>12.087</v>
      </c>
      <c r="BS411" s="1325">
        <f>SUM(BO411:BR411)</f>
        <v>19.765523676838413</v>
      </c>
      <c r="BT411" s="1799">
        <f>$BS$413*BT407</f>
        <v>13.166874</v>
      </c>
      <c r="BU411" s="1799">
        <f t="shared" ref="BU411:BW411" si="531">$BS$413*BU407</f>
        <v>13.166874</v>
      </c>
      <c r="BV411" s="1799">
        <f t="shared" si="531"/>
        <v>13.166874</v>
      </c>
      <c r="BW411" s="1799">
        <f t="shared" si="531"/>
        <v>13.166874</v>
      </c>
      <c r="BX411" s="1325">
        <f>SUM(BT411:BW411)</f>
        <v>52.667496</v>
      </c>
      <c r="BY411" s="1351">
        <f>$BX$413*BY407</f>
        <v>59.830275456000003</v>
      </c>
      <c r="BZ411" s="1351">
        <f>$BY$413*BZ407</f>
        <v>67.967192918015996</v>
      </c>
      <c r="CA411" s="1351">
        <f>$BY$413*CA407</f>
        <v>67.967192918015996</v>
      </c>
      <c r="CB411" s="1340"/>
      <c r="CF411" s="1809" t="str">
        <f t="shared" si="512"/>
        <v>S&amp;P 500 appreciation/depreciation%</v>
      </c>
      <c r="CG411" s="1350"/>
      <c r="CH411" s="1351"/>
      <c r="CI411" s="1351"/>
      <c r="CJ411" s="1351"/>
      <c r="CK411" s="1351"/>
      <c r="CL411" s="1278"/>
      <c r="CM411" s="1278"/>
      <c r="CN411" s="1278"/>
      <c r="CO411" s="1278"/>
      <c r="CP411" s="1278"/>
      <c r="CQ411" s="1278"/>
      <c r="CR411" s="1807">
        <f t="shared" ref="CR411:CR416" si="532">+AO411</f>
        <v>0</v>
      </c>
      <c r="CS411" s="1325">
        <f t="shared" ref="CS411:CS416" si="533">+AT411</f>
        <v>142.75114692862843</v>
      </c>
      <c r="CT411" s="1325">
        <f t="shared" ref="CT411:CT416" si="534">+AY411</f>
        <v>76.822052904956308</v>
      </c>
      <c r="CU411" s="1325">
        <f t="shared" ref="CU411:CU416" si="535">+BD411</f>
        <v>-4.8289138660690227</v>
      </c>
      <c r="CV411" s="1325">
        <f t="shared" ref="CV411:CV416" si="536">+BI411</f>
        <v>80.002302999966261</v>
      </c>
      <c r="CW411" s="1799">
        <f t="shared" ref="CW411:CW416" si="537">+BN411</f>
        <v>205.42168238543263</v>
      </c>
      <c r="CX411" s="1351">
        <f t="shared" ref="CX411:CX416" si="538">+BS411</f>
        <v>19.765523676838413</v>
      </c>
      <c r="CY411" s="1351">
        <f t="shared" ref="CY411:DB412" si="539">+BX411</f>
        <v>52.667496</v>
      </c>
      <c r="CZ411" s="1351">
        <f t="shared" si="539"/>
        <v>59.830275456000003</v>
      </c>
      <c r="DA411" s="1351">
        <f t="shared" si="539"/>
        <v>67.967192918015996</v>
      </c>
      <c r="DB411" s="1351">
        <f t="shared" si="539"/>
        <v>67.967192918015996</v>
      </c>
    </row>
    <row r="412" spans="1:106" s="1330" customFormat="1" ht="12" customHeight="1">
      <c r="A412" s="1354" t="s">
        <v>376</v>
      </c>
      <c r="B412" s="1799"/>
      <c r="C412" s="1799"/>
      <c r="D412" s="1799"/>
      <c r="E412" s="1799"/>
      <c r="F412" s="1799"/>
      <c r="G412" s="1319"/>
      <c r="H412" s="1319"/>
      <c r="I412" s="1319"/>
      <c r="J412" s="1278"/>
      <c r="K412" s="1278"/>
      <c r="L412" s="1319"/>
      <c r="M412" s="1319"/>
      <c r="N412" s="1319"/>
      <c r="O412" s="1278"/>
      <c r="P412" s="1278"/>
      <c r="Q412" s="1319"/>
      <c r="R412" s="1319"/>
      <c r="S412" s="1319"/>
      <c r="T412" s="1278"/>
      <c r="U412" s="1278"/>
      <c r="V412" s="1319"/>
      <c r="W412" s="1319"/>
      <c r="X412" s="1319"/>
      <c r="Y412" s="1278"/>
      <c r="Z412" s="1278"/>
      <c r="AA412" s="1319"/>
      <c r="AB412" s="1319"/>
      <c r="AC412" s="1319"/>
      <c r="AD412" s="1278"/>
      <c r="AE412" s="1278"/>
      <c r="AF412" s="1800" t="s">
        <v>249</v>
      </c>
      <c r="AG412" s="1319" t="s">
        <v>249</v>
      </c>
      <c r="AH412" s="1319" t="s">
        <v>249</v>
      </c>
      <c r="AI412" s="1278" t="s">
        <v>249</v>
      </c>
      <c r="AJ412" s="1278" t="s">
        <v>249</v>
      </c>
      <c r="AK412" s="1800" t="s">
        <v>249</v>
      </c>
      <c r="AL412" s="1319" t="s">
        <v>249</v>
      </c>
      <c r="AM412" s="1353">
        <f>AM399</f>
        <v>454</v>
      </c>
      <c r="AN412" s="1353">
        <f>AN413-AN406-AN411</f>
        <v>16.563099113606853</v>
      </c>
      <c r="AO412" s="1325">
        <f>AO413-AO406</f>
        <v>12</v>
      </c>
      <c r="AP412" s="1353">
        <f>AP413-AP406-AP411</f>
        <v>12.275510275629522</v>
      </c>
      <c r="AQ412" s="1353">
        <f>AQ413-AQ406-AQ411</f>
        <v>8.5908908417718681</v>
      </c>
      <c r="AR412" s="1353">
        <f>AR413-AR406-AR411</f>
        <v>13.414535448365218</v>
      </c>
      <c r="AS412" s="1353">
        <f>AS413-AS406-AS411</f>
        <v>42.967916505604947</v>
      </c>
      <c r="AT412" s="1325">
        <f>SUM(AP412:AS412)</f>
        <v>77.248853071371556</v>
      </c>
      <c r="AU412" s="1353">
        <f>AU413-AU406-AU411</f>
        <v>-27.896221515289305</v>
      </c>
      <c r="AV412" s="1353">
        <f>AV413-AV406-AV411</f>
        <v>20.686449504093869</v>
      </c>
      <c r="AW412" s="1353">
        <f>AW413-AW406-AW411</f>
        <v>9.5801360044484056</v>
      </c>
      <c r="AX412" s="1353">
        <f>AX413-AX406-AX411</f>
        <v>66.807583101790726</v>
      </c>
      <c r="AY412" s="1325">
        <f>SUM(AU412:AX412)</f>
        <v>69.177947095043692</v>
      </c>
      <c r="AZ412" s="1353">
        <f>AZ413-AZ406-AZ411</f>
        <v>-25.632852494050042</v>
      </c>
      <c r="BA412" s="1353">
        <f>BA413-BA406-BA411</f>
        <v>-16.127656693537929</v>
      </c>
      <c r="BB412" s="1353">
        <f>BB413-BB406-BB411</f>
        <v>11.926475078885858</v>
      </c>
      <c r="BC412" s="1799">
        <f>BC413-BC406-BC411</f>
        <v>17.662947974771136</v>
      </c>
      <c r="BD412" s="1325">
        <f>SUM(AZ412:BC412)</f>
        <v>-12.171086133930977</v>
      </c>
      <c r="BE412" s="1799">
        <f>BE413-BE406-BE411</f>
        <v>5.0212188224704395</v>
      </c>
      <c r="BF412" s="1799">
        <f>BF413-BF406-BF411</f>
        <v>12.995067709973549</v>
      </c>
      <c r="BG412" s="1799">
        <f>BG413-BG406-BG411</f>
        <v>30.724864926674591</v>
      </c>
      <c r="BH412" s="1799">
        <f>BH413-BH406-BH411</f>
        <v>79.256545540915155</v>
      </c>
      <c r="BI412" s="1325">
        <f>SUM(BE412:BH412)</f>
        <v>127.99769700003374</v>
      </c>
      <c r="BJ412" s="1799">
        <f>BJ413-BJ406-BJ411</f>
        <v>36.390311010661854</v>
      </c>
      <c r="BK412" s="1799">
        <f>BK413-BK406-BK411</f>
        <v>11.333869438613021</v>
      </c>
      <c r="BL412" s="1799">
        <f>BL413-BL406-BL411</f>
        <v>12.230526407004767</v>
      </c>
      <c r="BM412" s="1799">
        <f>BM413-BM406-BM411</f>
        <v>54.623610758287739</v>
      </c>
      <c r="BN412" s="1325">
        <f>SUM(BJ412:BM412)</f>
        <v>114.57831761456738</v>
      </c>
      <c r="BO412" s="1799">
        <f>BO413-BO406-BO411</f>
        <v>-0.50452367683841359</v>
      </c>
      <c r="BP412" s="1799">
        <f>$BN$413*BP416</f>
        <v>33.575000000000003</v>
      </c>
      <c r="BQ412" s="1799">
        <f>$BN$413*BQ416</f>
        <v>33.575000000000003</v>
      </c>
      <c r="BR412" s="1799">
        <f>$BN$413*BR416</f>
        <v>33.575000000000003</v>
      </c>
      <c r="BS412" s="1325">
        <f>SUM(BO412:BR412)</f>
        <v>100.22047632316159</v>
      </c>
      <c r="BT412" s="1799">
        <f>$BS$413*BT416</f>
        <v>36.574650000000005</v>
      </c>
      <c r="BU412" s="1799">
        <f t="shared" ref="BU412:BW412" si="540">$BS$413*BU416</f>
        <v>36.574650000000005</v>
      </c>
      <c r="BV412" s="1799">
        <f t="shared" si="540"/>
        <v>36.574650000000005</v>
      </c>
      <c r="BW412" s="1799">
        <f t="shared" si="540"/>
        <v>36.574650000000005</v>
      </c>
      <c r="BX412" s="1325">
        <f>SUM(BT412:BW412)</f>
        <v>146.29860000000002</v>
      </c>
      <c r="BY412" s="1351">
        <f>$BX$413*BY416</f>
        <v>166.19520960000003</v>
      </c>
      <c r="BZ412" s="1351">
        <f>$BY$413*BZ416</f>
        <v>188.79775810560002</v>
      </c>
      <c r="CA412" s="1351">
        <f>$BY$413*CA416</f>
        <v>188.79775810560002</v>
      </c>
      <c r="CB412" s="1340"/>
      <c r="CF412" s="1607" t="str">
        <f t="shared" si="512"/>
        <v>Implied Flows</v>
      </c>
      <c r="CG412" s="1350"/>
      <c r="CH412" s="1351"/>
      <c r="CI412" s="1351"/>
      <c r="CJ412" s="1351"/>
      <c r="CK412" s="1351"/>
      <c r="CL412" s="1278"/>
      <c r="CM412" s="1278"/>
      <c r="CN412" s="1278"/>
      <c r="CO412" s="1278"/>
      <c r="CP412" s="1278"/>
      <c r="CQ412" s="1278"/>
      <c r="CR412" s="1325">
        <f t="shared" si="532"/>
        <v>12</v>
      </c>
      <c r="CS412" s="1325">
        <f t="shared" si="533"/>
        <v>77.248853071371556</v>
      </c>
      <c r="CT412" s="1325">
        <f t="shared" si="534"/>
        <v>69.177947095043692</v>
      </c>
      <c r="CU412" s="1325">
        <f t="shared" si="535"/>
        <v>-12.171086133930977</v>
      </c>
      <c r="CV412" s="1325">
        <f t="shared" si="536"/>
        <v>127.99769700003374</v>
      </c>
      <c r="CW412" s="1810">
        <f t="shared" si="537"/>
        <v>114.57831761456738</v>
      </c>
      <c r="CX412" s="1351">
        <f t="shared" si="538"/>
        <v>100.22047632316159</v>
      </c>
      <c r="CY412" s="1351">
        <f t="shared" si="539"/>
        <v>146.29860000000002</v>
      </c>
      <c r="CZ412" s="1351">
        <f t="shared" si="539"/>
        <v>166.19520960000003</v>
      </c>
      <c r="DA412" s="1351">
        <f t="shared" si="539"/>
        <v>188.79775810560002</v>
      </c>
      <c r="DB412" s="1351">
        <f t="shared" si="539"/>
        <v>188.79775810560002</v>
      </c>
    </row>
    <row r="413" spans="1:106" s="1330" customFormat="1" ht="12" customHeight="1">
      <c r="A413" s="797" t="s">
        <v>377</v>
      </c>
      <c r="B413" s="1799"/>
      <c r="C413" s="1799"/>
      <c r="D413" s="1799"/>
      <c r="E413" s="1799"/>
      <c r="F413" s="1799"/>
      <c r="G413" s="1319"/>
      <c r="H413" s="1319"/>
      <c r="I413" s="1319"/>
      <c r="J413" s="1278"/>
      <c r="K413" s="1278"/>
      <c r="L413" s="1319"/>
      <c r="M413" s="1319"/>
      <c r="N413" s="1319"/>
      <c r="O413" s="1278"/>
      <c r="P413" s="1278"/>
      <c r="Q413" s="1319"/>
      <c r="R413" s="1319"/>
      <c r="S413" s="1319"/>
      <c r="T413" s="1278"/>
      <c r="U413" s="1278"/>
      <c r="V413" s="1319"/>
      <c r="W413" s="1319"/>
      <c r="X413" s="1319"/>
      <c r="Y413" s="1278"/>
      <c r="Z413" s="1278"/>
      <c r="AA413" s="1319"/>
      <c r="AB413" s="1319"/>
      <c r="AC413" s="1319"/>
      <c r="AD413" s="1278"/>
      <c r="AE413" s="1278"/>
      <c r="AF413" s="1800" t="s">
        <v>249</v>
      </c>
      <c r="AG413" s="1319" t="s">
        <v>249</v>
      </c>
      <c r="AH413" s="1319" t="s">
        <v>249</v>
      </c>
      <c r="AI413" s="1278" t="s">
        <v>249</v>
      </c>
      <c r="AJ413" s="1278" t="s">
        <v>249</v>
      </c>
      <c r="AK413" s="1800" t="s">
        <v>249</v>
      </c>
      <c r="AL413" s="1319" t="s">
        <v>249</v>
      </c>
      <c r="AM413" s="1353">
        <f t="shared" ref="AM413:AX413" si="541">AM399</f>
        <v>454</v>
      </c>
      <c r="AN413" s="1353">
        <f t="shared" si="541"/>
        <v>466</v>
      </c>
      <c r="AO413" s="1325">
        <f t="shared" si="541"/>
        <v>466</v>
      </c>
      <c r="AP413" s="1353">
        <f t="shared" si="541"/>
        <v>525</v>
      </c>
      <c r="AQ413" s="1353">
        <f t="shared" si="541"/>
        <v>546</v>
      </c>
      <c r="AR413" s="1353">
        <f t="shared" si="541"/>
        <v>585</v>
      </c>
      <c r="AS413" s="1353">
        <f t="shared" si="541"/>
        <v>686</v>
      </c>
      <c r="AT413" s="1325">
        <f t="shared" si="541"/>
        <v>686</v>
      </c>
      <c r="AU413" s="1353">
        <f t="shared" si="541"/>
        <v>667</v>
      </c>
      <c r="AV413" s="1353">
        <f t="shared" si="541"/>
        <v>719</v>
      </c>
      <c r="AW413" s="1353">
        <f t="shared" si="541"/>
        <v>733</v>
      </c>
      <c r="AX413" s="1353">
        <f t="shared" si="541"/>
        <v>832</v>
      </c>
      <c r="AY413" s="1325">
        <f>AX413</f>
        <v>832</v>
      </c>
      <c r="AZ413" s="1353">
        <f>AZ399</f>
        <v>810</v>
      </c>
      <c r="BA413" s="1353">
        <f>BA399</f>
        <v>792</v>
      </c>
      <c r="BB413" s="1353">
        <f>BB399</f>
        <v>749</v>
      </c>
      <c r="BC413" s="1799">
        <f>BC399</f>
        <v>815</v>
      </c>
      <c r="BD413" s="1325">
        <f>BC413</f>
        <v>815</v>
      </c>
      <c r="BE413" s="1799">
        <f>BE399</f>
        <v>828</v>
      </c>
      <c r="BF413" s="1799">
        <f>BF399</f>
        <v>855</v>
      </c>
      <c r="BG413" s="1799">
        <f>BG399</f>
        <v>914</v>
      </c>
      <c r="BH413" s="1799">
        <f>BH399</f>
        <v>1023</v>
      </c>
      <c r="BI413" s="1325">
        <f>BH413</f>
        <v>1023</v>
      </c>
      <c r="BJ413" s="1799">
        <f>BJ399</f>
        <v>1116</v>
      </c>
      <c r="BK413" s="1799">
        <f>BK399</f>
        <v>1156</v>
      </c>
      <c r="BL413" s="1799">
        <f>BL399</f>
        <v>1214</v>
      </c>
      <c r="BM413" s="1799">
        <f>BM399</f>
        <v>1343</v>
      </c>
      <c r="BN413" s="1325">
        <f>BM413</f>
        <v>1343</v>
      </c>
      <c r="BO413" s="1799">
        <f>BO399</f>
        <v>1326</v>
      </c>
      <c r="BP413" s="1799">
        <f>BP406+BP412+BP411</f>
        <v>1371.662</v>
      </c>
      <c r="BQ413" s="1799">
        <f>BQ406+BQ412+BQ411</f>
        <v>1417.3240000000001</v>
      </c>
      <c r="BR413" s="1799">
        <f>BR406+BR412+BR411</f>
        <v>1462.9860000000001</v>
      </c>
      <c r="BS413" s="1325">
        <f>BR413</f>
        <v>1462.9860000000001</v>
      </c>
      <c r="BT413" s="1799">
        <f>BT406+BT412+BT411</f>
        <v>1512.7275240000001</v>
      </c>
      <c r="BU413" s="1799">
        <f>BU406+BU412+BU411</f>
        <v>1562.4690480000002</v>
      </c>
      <c r="BV413" s="1799">
        <f>BV406+BV412+BV411</f>
        <v>1612.2105720000002</v>
      </c>
      <c r="BW413" s="1799">
        <f>BW406+BW412+BW411</f>
        <v>1661.9520960000002</v>
      </c>
      <c r="BX413" s="1325">
        <f>BW413</f>
        <v>1661.9520960000002</v>
      </c>
      <c r="BY413" s="1351">
        <f>BY406+BY412+BY411</f>
        <v>1887.9775810560002</v>
      </c>
      <c r="BZ413" s="1351">
        <f>BZ406+BZ412+BZ411</f>
        <v>2144.742532079616</v>
      </c>
      <c r="CA413" s="1351">
        <f>CA406+CA412+CA411</f>
        <v>2401.5074831032321</v>
      </c>
      <c r="CB413" s="1340"/>
      <c r="CF413" s="798" t="str">
        <f t="shared" si="512"/>
        <v>Ending AUM</v>
      </c>
      <c r="CG413" s="1350"/>
      <c r="CH413" s="1351"/>
      <c r="CI413" s="1351"/>
      <c r="CJ413" s="1351"/>
      <c r="CK413" s="1351"/>
      <c r="CL413" s="1278"/>
      <c r="CM413" s="1278"/>
      <c r="CN413" s="1278"/>
      <c r="CO413" s="1278"/>
      <c r="CP413" s="1278"/>
      <c r="CQ413" s="1278" t="str">
        <f>+AJ413</f>
        <v>--</v>
      </c>
      <c r="CR413" s="1325">
        <f t="shared" si="532"/>
        <v>466</v>
      </c>
      <c r="CS413" s="1325">
        <f t="shared" si="533"/>
        <v>686</v>
      </c>
      <c r="CT413" s="1325">
        <f t="shared" si="534"/>
        <v>832</v>
      </c>
      <c r="CU413" s="1325">
        <f t="shared" si="535"/>
        <v>815</v>
      </c>
      <c r="CV413" s="1325">
        <f t="shared" si="536"/>
        <v>1023</v>
      </c>
      <c r="CW413" s="1799">
        <f t="shared" si="537"/>
        <v>1343</v>
      </c>
      <c r="CX413" s="1351">
        <f t="shared" si="538"/>
        <v>1462.9860000000001</v>
      </c>
      <c r="CY413" s="1351">
        <f t="shared" ref="CY413:DB416" si="542">+BX413</f>
        <v>1661.9520960000002</v>
      </c>
      <c r="CZ413" s="1351">
        <f t="shared" si="542"/>
        <v>1887.9775810560002</v>
      </c>
      <c r="DA413" s="1351">
        <f t="shared" si="542"/>
        <v>2144.742532079616</v>
      </c>
      <c r="DB413" s="1351">
        <f t="shared" si="542"/>
        <v>2401.5074831032321</v>
      </c>
    </row>
    <row r="414" spans="1:106" s="1437" customFormat="1">
      <c r="A414" s="1811" t="s">
        <v>378</v>
      </c>
      <c r="B414" s="1812"/>
      <c r="C414" s="1812"/>
      <c r="D414" s="1812"/>
      <c r="E414" s="1812"/>
      <c r="F414" s="1812"/>
      <c r="G414" s="1319"/>
      <c r="H414" s="1319"/>
      <c r="I414" s="1319"/>
      <c r="J414" s="1278"/>
      <c r="K414" s="1278"/>
      <c r="L414" s="1319"/>
      <c r="M414" s="1319"/>
      <c r="N414" s="1319"/>
      <c r="O414" s="1278"/>
      <c r="P414" s="1278"/>
      <c r="Q414" s="1319"/>
      <c r="R414" s="1319"/>
      <c r="S414" s="1319"/>
      <c r="T414" s="1278"/>
      <c r="U414" s="1278"/>
      <c r="V414" s="1319"/>
      <c r="W414" s="1319"/>
      <c r="X414" s="1319"/>
      <c r="Y414" s="1278"/>
      <c r="Z414" s="1278"/>
      <c r="AA414" s="1319"/>
      <c r="AB414" s="1319"/>
      <c r="AC414" s="1319"/>
      <c r="AD414" s="1278"/>
      <c r="AE414" s="1278"/>
      <c r="AF414" s="1800" t="s">
        <v>249</v>
      </c>
      <c r="AG414" s="1319" t="s">
        <v>249</v>
      </c>
      <c r="AH414" s="1319" t="s">
        <v>249</v>
      </c>
      <c r="AI414" s="1278" t="s">
        <v>249</v>
      </c>
      <c r="AJ414" s="1278" t="s">
        <v>249</v>
      </c>
      <c r="AK414" s="1800" t="s">
        <v>249</v>
      </c>
      <c r="AL414" s="1319" t="s">
        <v>249</v>
      </c>
      <c r="AM414" s="1813"/>
      <c r="AN414" s="1813">
        <f>AN413/AM413-1</f>
        <v>2.6431718061673992E-2</v>
      </c>
      <c r="AO414" s="1814"/>
      <c r="AP414" s="1813">
        <f>AP413/AO413-1</f>
        <v>0.12660944206008584</v>
      </c>
      <c r="AQ414" s="1813">
        <f>AQ413/AP413-1</f>
        <v>4.0000000000000036E-2</v>
      </c>
      <c r="AR414" s="1813">
        <f>AR413/AQ413-1</f>
        <v>7.1428571428571397E-2</v>
      </c>
      <c r="AS414" s="1813">
        <f>AS413/AR413-1</f>
        <v>0.1726495726495727</v>
      </c>
      <c r="AT414" s="1814">
        <f>AT413/AO413-1</f>
        <v>0.47210300429184548</v>
      </c>
      <c r="AU414" s="1813">
        <f>AU413/AT413-1</f>
        <v>-2.7696793002915499E-2</v>
      </c>
      <c r="AV414" s="1813">
        <f>AV413/AU413-1</f>
        <v>7.7961019490254913E-2</v>
      </c>
      <c r="AW414" s="1813">
        <f>AW413/AV413-1</f>
        <v>1.9471488178025131E-2</v>
      </c>
      <c r="AX414" s="1813">
        <f>AX413/AW413-1</f>
        <v>0.1350613915416099</v>
      </c>
      <c r="AY414" s="1814">
        <f>AY413/AT413-1</f>
        <v>0.2128279883381925</v>
      </c>
      <c r="AZ414" s="1813">
        <f>AZ413/AY413-1</f>
        <v>-2.6442307692307709E-2</v>
      </c>
      <c r="BA414" s="1813">
        <f>BA413/AZ413-1</f>
        <v>-2.2222222222222254E-2</v>
      </c>
      <c r="BB414" s="1813">
        <f>BB413/BA413-1</f>
        <v>-5.4292929292929282E-2</v>
      </c>
      <c r="BC414" s="1813">
        <f>BC413/BB413-1</f>
        <v>8.8117489986648811E-2</v>
      </c>
      <c r="BD414" s="1814">
        <f>BD413/AY413-1</f>
        <v>-2.0432692307692291E-2</v>
      </c>
      <c r="BE414" s="1813">
        <f>BE413/BD413-1</f>
        <v>1.5950920245398681E-2</v>
      </c>
      <c r="BF414" s="1813">
        <f>BF413/BE413-1</f>
        <v>3.2608695652173836E-2</v>
      </c>
      <c r="BG414" s="1813">
        <f>BG413/BF413-1</f>
        <v>6.9005847953216293E-2</v>
      </c>
      <c r="BH414" s="1813">
        <f>BH413/BG413-1</f>
        <v>0.11925601750547044</v>
      </c>
      <c r="BI414" s="1814">
        <f>BI413/BD413-1</f>
        <v>0.25521472392638045</v>
      </c>
      <c r="BJ414" s="1813">
        <f>BJ413/BI413-1</f>
        <v>9.0909090909090828E-2</v>
      </c>
      <c r="BK414" s="1813">
        <f>BK413/BJ413-1</f>
        <v>3.584229390680993E-2</v>
      </c>
      <c r="BL414" s="1813">
        <f>BL413/BK413-1</f>
        <v>5.0173010380622829E-2</v>
      </c>
      <c r="BM414" s="1813">
        <f>BM413/BL413-1</f>
        <v>0.10626029654036251</v>
      </c>
      <c r="BN414" s="1814">
        <f>BN413/BI413-1</f>
        <v>0.31280547409579662</v>
      </c>
      <c r="BO414" s="1813">
        <f>BO413/BN413-1</f>
        <v>-1.2658227848101222E-2</v>
      </c>
      <c r="BP414" s="1813">
        <f>BP413/BO413-1</f>
        <v>3.4435897435897367E-2</v>
      </c>
      <c r="BQ414" s="1813">
        <f>BQ413/BP413-1</f>
        <v>3.3289542175842124E-2</v>
      </c>
      <c r="BR414" s="1813">
        <f>BR413/BQ413-1</f>
        <v>3.2217051288202292E-2</v>
      </c>
      <c r="BS414" s="1814">
        <f>BS413/BN413-1</f>
        <v>8.9341772151898757E-2</v>
      </c>
      <c r="BT414" s="1813">
        <f>BT413/BS413-1</f>
        <v>3.400000000000003E-2</v>
      </c>
      <c r="BU414" s="1813">
        <f>BU413/BT413-1</f>
        <v>3.2882011605415817E-2</v>
      </c>
      <c r="BV414" s="1813">
        <f>BV413/BU413-1</f>
        <v>3.183520599250933E-2</v>
      </c>
      <c r="BW414" s="1813">
        <f>BW413/BV413-1</f>
        <v>3.0852994555353952E-2</v>
      </c>
      <c r="BX414" s="1814">
        <f>BX413/BS413-1</f>
        <v>0.13600000000000012</v>
      </c>
      <c r="BY414" s="1814">
        <f>BY413/BX413-1</f>
        <v>0.1359999999999999</v>
      </c>
      <c r="BZ414" s="1814">
        <f>BZ413/BY413-1</f>
        <v>0.1359999999999999</v>
      </c>
      <c r="CA414" s="1814">
        <f>CA413/BZ413-1</f>
        <v>0.11971830985915499</v>
      </c>
      <c r="CF414" s="1815" t="str">
        <f t="shared" si="512"/>
        <v>q/q change</v>
      </c>
      <c r="CG414" s="1812"/>
      <c r="CH414" s="1812"/>
      <c r="CI414" s="1812"/>
      <c r="CJ414" s="1812"/>
      <c r="CK414" s="1812"/>
      <c r="CL414" s="1278"/>
      <c r="CM414" s="1278"/>
      <c r="CN414" s="1278"/>
      <c r="CO414" s="1278"/>
      <c r="CP414" s="1278"/>
      <c r="CQ414" s="1278" t="str">
        <f>+AJ414</f>
        <v>--</v>
      </c>
      <c r="CR414" s="1814">
        <f t="shared" si="532"/>
        <v>0</v>
      </c>
      <c r="CS414" s="1814">
        <f t="shared" si="533"/>
        <v>0.47210300429184548</v>
      </c>
      <c r="CT414" s="1814">
        <f t="shared" si="534"/>
        <v>0.2128279883381925</v>
      </c>
      <c r="CU414" s="1814">
        <f t="shared" si="535"/>
        <v>-2.0432692307692291E-2</v>
      </c>
      <c r="CV414" s="1814">
        <f t="shared" si="536"/>
        <v>0.25521472392638045</v>
      </c>
      <c r="CW414" s="1816">
        <f t="shared" si="537"/>
        <v>0.31280547409579662</v>
      </c>
      <c r="CX414" s="1814">
        <f t="shared" si="538"/>
        <v>8.9341772151898757E-2</v>
      </c>
      <c r="CY414" s="1814">
        <f t="shared" si="542"/>
        <v>0.13600000000000012</v>
      </c>
      <c r="CZ414" s="1814">
        <f t="shared" si="542"/>
        <v>0.1359999999999999</v>
      </c>
      <c r="DA414" s="1814">
        <f t="shared" si="542"/>
        <v>0.1359999999999999</v>
      </c>
      <c r="DB414" s="1814">
        <f t="shared" si="542"/>
        <v>0.11971830985915499</v>
      </c>
    </row>
    <row r="415" spans="1:106" s="762" customFormat="1">
      <c r="A415" s="1273" t="s">
        <v>379</v>
      </c>
      <c r="B415" s="1287"/>
      <c r="C415" s="1287"/>
      <c r="D415" s="1287"/>
      <c r="E415" s="1287"/>
      <c r="F415" s="1287"/>
      <c r="G415" s="1319"/>
      <c r="H415" s="1319"/>
      <c r="I415" s="1319"/>
      <c r="J415" s="1278"/>
      <c r="K415" s="1278"/>
      <c r="L415" s="1319"/>
      <c r="M415" s="1319"/>
      <c r="N415" s="1319"/>
      <c r="O415" s="1278"/>
      <c r="P415" s="1278"/>
      <c r="Q415" s="1319"/>
      <c r="R415" s="1319"/>
      <c r="S415" s="1319"/>
      <c r="T415" s="1278"/>
      <c r="U415" s="1278"/>
      <c r="V415" s="1319"/>
      <c r="W415" s="1319"/>
      <c r="X415" s="1319"/>
      <c r="Y415" s="1278"/>
      <c r="Z415" s="1278"/>
      <c r="AA415" s="1319"/>
      <c r="AB415" s="1319"/>
      <c r="AC415" s="1319"/>
      <c r="AD415" s="1278"/>
      <c r="AE415" s="1278"/>
      <c r="AF415" s="1800" t="s">
        <v>249</v>
      </c>
      <c r="AG415" s="1319" t="s">
        <v>249</v>
      </c>
      <c r="AH415" s="1319" t="s">
        <v>249</v>
      </c>
      <c r="AI415" s="1278" t="s">
        <v>249</v>
      </c>
      <c r="AJ415" s="1278" t="s">
        <v>249</v>
      </c>
      <c r="AK415" s="1800" t="s">
        <v>249</v>
      </c>
      <c r="AL415" s="1319" t="s">
        <v>249</v>
      </c>
      <c r="AM415" s="1287">
        <f>AM413</f>
        <v>454</v>
      </c>
      <c r="AN415" s="1287">
        <f>AVERAGE(AM413:AN413)</f>
        <v>460</v>
      </c>
      <c r="AO415" s="1270">
        <f>AVERAGE(AJ413,AO413)</f>
        <v>466</v>
      </c>
      <c r="AP415" s="1287">
        <f>AVERAGE(AO413:AP413)</f>
        <v>495.5</v>
      </c>
      <c r="AQ415" s="1287">
        <f>AVERAGE(AP413:AQ413)</f>
        <v>535.5</v>
      </c>
      <c r="AR415" s="1287">
        <f>AVERAGE(AQ413:AR413)</f>
        <v>565.5</v>
      </c>
      <c r="AS415" s="1287">
        <f>AVERAGE(AR413:AS413)</f>
        <v>635.5</v>
      </c>
      <c r="AT415" s="1270">
        <f>AVERAGE(AO413,AT413)</f>
        <v>576</v>
      </c>
      <c r="AU415" s="1287">
        <f>AVERAGE(AT413:AU413)</f>
        <v>676.5</v>
      </c>
      <c r="AV415" s="1287">
        <f>AVERAGE(AU413:AV413)</f>
        <v>693</v>
      </c>
      <c r="AW415" s="1287">
        <f>AVERAGE(AV413:AW413)</f>
        <v>726</v>
      </c>
      <c r="AX415" s="1287">
        <f>AVERAGE(AW413:AX413)</f>
        <v>782.5</v>
      </c>
      <c r="AY415" s="1270">
        <f>AVERAGE(AT413,AY413)</f>
        <v>759</v>
      </c>
      <c r="AZ415" s="1287">
        <f>AVERAGE(AY413:AZ413)</f>
        <v>821</v>
      </c>
      <c r="BA415" s="1287">
        <f>AVERAGE(AZ413:BA413)</f>
        <v>801</v>
      </c>
      <c r="BB415" s="1287">
        <f>AVERAGE(BA413:BB413)</f>
        <v>770.5</v>
      </c>
      <c r="BC415" s="1287">
        <f>AVERAGE(BB413:BC413)</f>
        <v>782</v>
      </c>
      <c r="BD415" s="1270">
        <f>AVERAGE(AY413,BD413)</f>
        <v>823.5</v>
      </c>
      <c r="BE415" s="1287">
        <f>AVERAGE(BD413:BE413)</f>
        <v>821.5</v>
      </c>
      <c r="BF415" s="1287">
        <f>AVERAGE(BE413:BF413)</f>
        <v>841.5</v>
      </c>
      <c r="BG415" s="1287">
        <f>AVERAGE(BF413:BG413)</f>
        <v>884.5</v>
      </c>
      <c r="BH415" s="1287">
        <f>AVERAGE(BG413:BH413)</f>
        <v>968.5</v>
      </c>
      <c r="BI415" s="1270">
        <f>+AVERAGE(BE415:BH415)</f>
        <v>879</v>
      </c>
      <c r="BJ415" s="1287">
        <f>AVERAGE(BI413:BJ413)</f>
        <v>1069.5</v>
      </c>
      <c r="BK415" s="1287">
        <f>AVERAGE(BJ413:BK413)</f>
        <v>1136</v>
      </c>
      <c r="BL415" s="1287">
        <f>AVERAGE(BK413:BL413)</f>
        <v>1185</v>
      </c>
      <c r="BM415" s="1287">
        <f>AVERAGE(BL413:BM413)</f>
        <v>1278.5</v>
      </c>
      <c r="BN415" s="1270">
        <f>+AVERAGE(BJ415:BM415)</f>
        <v>1167.25</v>
      </c>
      <c r="BO415" s="1287">
        <f>AVERAGE(BN413:BO413)</f>
        <v>1334.5</v>
      </c>
      <c r="BP415" s="1287">
        <f>AVERAGE(BO413:BP413)</f>
        <v>1348.8310000000001</v>
      </c>
      <c r="BQ415" s="1287">
        <f>AVERAGE(BP413:BQ413)</f>
        <v>1394.4929999999999</v>
      </c>
      <c r="BR415" s="1287">
        <f>AVERAGE(BQ413:BR413)</f>
        <v>1440.1550000000002</v>
      </c>
      <c r="BS415" s="1270">
        <f>+AVERAGE(BO415:BR415)</f>
        <v>1379.4947500000001</v>
      </c>
      <c r="BT415" s="1287">
        <f>AVERAGE(BS413:BT413)</f>
        <v>1487.8567620000001</v>
      </c>
      <c r="BU415" s="1287">
        <f>AVERAGE(BT413:BU413)</f>
        <v>1537.5982860000001</v>
      </c>
      <c r="BV415" s="1287">
        <f>AVERAGE(BU413:BV413)</f>
        <v>1587.3398100000002</v>
      </c>
      <c r="BW415" s="1287">
        <f>AVERAGE(BV413:BW413)</f>
        <v>1637.0813340000002</v>
      </c>
      <c r="BX415" s="1270">
        <f>+AVERAGE(BT415:BW415)</f>
        <v>1562.4690480000002</v>
      </c>
      <c r="BY415" s="1270">
        <f>AVERAGE(BX413,BY413)</f>
        <v>1774.9648385280002</v>
      </c>
      <c r="BZ415" s="1270">
        <f>AVERAGE(BY413,BZ413)</f>
        <v>2016.360056567808</v>
      </c>
      <c r="CA415" s="1270">
        <f>AVERAGE(BZ413,CA413)</f>
        <v>2273.125007591424</v>
      </c>
      <c r="CF415" s="1270" t="str">
        <f t="shared" si="512"/>
        <v>Average AUM</v>
      </c>
      <c r="CG415" s="1287"/>
      <c r="CH415" s="1287"/>
      <c r="CI415" s="1287"/>
      <c r="CJ415" s="1287"/>
      <c r="CK415" s="1287"/>
      <c r="CL415" s="1278"/>
      <c r="CM415" s="1278"/>
      <c r="CN415" s="1278"/>
      <c r="CO415" s="1278"/>
      <c r="CP415" s="1278"/>
      <c r="CQ415" s="1278" t="str">
        <f>+AJ415</f>
        <v>--</v>
      </c>
      <c r="CR415" s="1270">
        <f t="shared" si="532"/>
        <v>466</v>
      </c>
      <c r="CS415" s="1270">
        <f t="shared" si="533"/>
        <v>576</v>
      </c>
      <c r="CT415" s="1270">
        <f t="shared" si="534"/>
        <v>759</v>
      </c>
      <c r="CU415" s="1270">
        <f t="shared" si="535"/>
        <v>823.5</v>
      </c>
      <c r="CV415" s="1270">
        <f t="shared" si="536"/>
        <v>879</v>
      </c>
      <c r="CW415" s="1273">
        <f t="shared" si="537"/>
        <v>1167.25</v>
      </c>
      <c r="CX415" s="1270">
        <f t="shared" si="538"/>
        <v>1379.4947500000001</v>
      </c>
      <c r="CY415" s="1270">
        <f t="shared" si="542"/>
        <v>1562.4690480000002</v>
      </c>
      <c r="CZ415" s="1270">
        <f t="shared" si="542"/>
        <v>1774.9648385280002</v>
      </c>
      <c r="DA415" s="1270">
        <f t="shared" si="542"/>
        <v>2016.360056567808</v>
      </c>
      <c r="DB415" s="1270">
        <f t="shared" si="542"/>
        <v>2273.125007591424</v>
      </c>
    </row>
    <row r="416" spans="1:106" ht="12" customHeight="1">
      <c r="A416" s="1817" t="s">
        <v>380</v>
      </c>
      <c r="B416" s="779">
        <v>0.16</v>
      </c>
      <c r="C416" s="1610"/>
      <c r="D416" s="1610"/>
      <c r="E416" s="1610"/>
      <c r="F416" s="1610"/>
      <c r="G416" s="1319"/>
      <c r="H416" s="1319"/>
      <c r="I416" s="1319"/>
      <c r="J416" s="1278"/>
      <c r="K416" s="1278"/>
      <c r="L416" s="1319"/>
      <c r="M416" s="1319"/>
      <c r="N416" s="1319"/>
      <c r="O416" s="1278"/>
      <c r="P416" s="1278"/>
      <c r="Q416" s="1319"/>
      <c r="R416" s="1319"/>
      <c r="S416" s="1319"/>
      <c r="T416" s="1278"/>
      <c r="U416" s="1278"/>
      <c r="V416" s="1319"/>
      <c r="W416" s="1319"/>
      <c r="X416" s="1319"/>
      <c r="Y416" s="1278"/>
      <c r="Z416" s="1278"/>
      <c r="AA416" s="1319"/>
      <c r="AB416" s="1319"/>
      <c r="AC416" s="1319"/>
      <c r="AD416" s="1278"/>
      <c r="AE416" s="1278"/>
      <c r="AF416" s="1319"/>
      <c r="AG416" s="1319"/>
      <c r="AH416" s="1319"/>
      <c r="AI416" s="1278"/>
      <c r="AJ416" s="1278"/>
      <c r="AK416" s="1319"/>
      <c r="AL416" s="1319"/>
      <c r="AM416" s="1319"/>
      <c r="AN416" s="1539">
        <f t="shared" ref="AN416:BK416" si="543">AN412/AN406</f>
        <v>3.6482597166534916E-2</v>
      </c>
      <c r="AO416" s="1818">
        <f t="shared" si="543"/>
        <v>2.643171806167401E-2</v>
      </c>
      <c r="AP416" s="1539">
        <f t="shared" si="543"/>
        <v>2.6342296728818715E-2</v>
      </c>
      <c r="AQ416" s="1539">
        <f t="shared" si="543"/>
        <v>1.6363601603374987E-2</v>
      </c>
      <c r="AR416" s="1539">
        <f t="shared" si="543"/>
        <v>2.456874624242714E-2</v>
      </c>
      <c r="AS416" s="1539">
        <f t="shared" si="543"/>
        <v>7.344942992411102E-2</v>
      </c>
      <c r="AT416" s="1818">
        <f t="shared" si="543"/>
        <v>0.16577007096860849</v>
      </c>
      <c r="AU416" s="1539">
        <f t="shared" si="543"/>
        <v>-4.0665045940654961E-2</v>
      </c>
      <c r="AV416" s="1539">
        <f t="shared" si="543"/>
        <v>3.1014167172554525E-2</v>
      </c>
      <c r="AW416" s="1539">
        <f t="shared" si="543"/>
        <v>1.332425035389208E-2</v>
      </c>
      <c r="AX416" s="1539">
        <f t="shared" si="543"/>
        <v>9.1142678174339326E-2</v>
      </c>
      <c r="AY416" s="1342">
        <f t="shared" si="543"/>
        <v>0.10084248847674007</v>
      </c>
      <c r="AZ416" s="1819">
        <f t="shared" si="543"/>
        <v>-3.0808716939963992E-2</v>
      </c>
      <c r="BA416" s="1819">
        <f t="shared" si="543"/>
        <v>-1.9910687275972751E-2</v>
      </c>
      <c r="BB416" s="1819">
        <f t="shared" si="543"/>
        <v>1.5058680655158911E-2</v>
      </c>
      <c r="BC416" s="1819">
        <f t="shared" si="543"/>
        <v>2.3582040019721143E-2</v>
      </c>
      <c r="BD416" s="695">
        <f t="shared" si="543"/>
        <v>-1.4628709295590117E-2</v>
      </c>
      <c r="BE416" s="1819">
        <f t="shared" si="543"/>
        <v>6.1610046901477786E-3</v>
      </c>
      <c r="BF416" s="1819">
        <f t="shared" si="543"/>
        <v>1.5694526219774817E-2</v>
      </c>
      <c r="BG416" s="1819">
        <f t="shared" si="543"/>
        <v>3.5935514534122331E-2</v>
      </c>
      <c r="BH416" s="1819">
        <f t="shared" si="543"/>
        <v>8.6713944793123804E-2</v>
      </c>
      <c r="BI416" s="695">
        <f t="shared" si="543"/>
        <v>0.15705238895709661</v>
      </c>
      <c r="BJ416" s="1610">
        <f t="shared" si="543"/>
        <v>3.5572151525573657E-2</v>
      </c>
      <c r="BK416" s="694">
        <f t="shared" si="543"/>
        <v>1.0155796988004499E-2</v>
      </c>
      <c r="BL416" s="694">
        <f t="shared" ref="BL416:BM416" si="544">BL412/BL406</f>
        <v>1.0580040144467791E-2</v>
      </c>
      <c r="BM416" s="694">
        <f t="shared" si="544"/>
        <v>4.4994737033185947E-2</v>
      </c>
      <c r="BN416" s="695">
        <f>BN412/BN406</f>
        <v>0.112002265507886</v>
      </c>
      <c r="BO416" s="1610">
        <f t="shared" ref="BO416" si="545">BO412/BO406</f>
        <v>-3.756691562460265E-4</v>
      </c>
      <c r="BP416" s="694">
        <f>CHOOSE(MHFI!$A$3,BP417,BP418,BP419)</f>
        <v>2.5000000000000001E-2</v>
      </c>
      <c r="BQ416" s="694">
        <f>CHOOSE(MHFI!$A$3,BQ417,BQ418,BQ419)</f>
        <v>2.5000000000000001E-2</v>
      </c>
      <c r="BR416" s="694">
        <f>CHOOSE(MHFI!$A$3,BR417,BR418,BR419)</f>
        <v>2.5000000000000001E-2</v>
      </c>
      <c r="BS416" s="695">
        <f>BS412/BS406</f>
        <v>7.4624330843753972E-2</v>
      </c>
      <c r="BT416" s="694">
        <f>CHOOSE(MHFI!$A$3,BT417,BT418,BT419)</f>
        <v>2.5000000000000001E-2</v>
      </c>
      <c r="BU416" s="694">
        <f>CHOOSE(MHFI!$A$3,BU417,BU418,BU419)</f>
        <v>2.5000000000000001E-2</v>
      </c>
      <c r="BV416" s="694">
        <f>CHOOSE(MHFI!$A$3,BV417,BV418,BV419)</f>
        <v>2.5000000000000001E-2</v>
      </c>
      <c r="BW416" s="694">
        <f>CHOOSE(MHFI!$A$3,BW417,BW418,BW419)</f>
        <v>2.5000000000000001E-2</v>
      </c>
      <c r="BX416" s="695">
        <f>BX412/BX406</f>
        <v>0.1</v>
      </c>
      <c r="BY416" s="695">
        <f>CHOOSE(MHFI!$A$3,BY417,BY418,BY419)</f>
        <v>0.1</v>
      </c>
      <c r="BZ416" s="695">
        <f>CHOOSE(MHFI!$A$3,BZ417,BZ418,BZ419)</f>
        <v>0.1</v>
      </c>
      <c r="CA416" s="695">
        <f>CHOOSE(MHFI!$A$3,CA417,CA418,CA419)</f>
        <v>0.1</v>
      </c>
      <c r="CF416" s="1617" t="str">
        <f t="shared" si="512"/>
        <v>Implied Flows % of Beginning AUM</v>
      </c>
      <c r="CG416" s="747"/>
      <c r="CH416" s="1342"/>
      <c r="CI416" s="1342"/>
      <c r="CJ416" s="1342"/>
      <c r="CK416" s="1342"/>
      <c r="CL416" s="1278"/>
      <c r="CM416" s="1278"/>
      <c r="CN416" s="1278"/>
      <c r="CO416" s="1278"/>
      <c r="CP416" s="1278"/>
      <c r="CQ416" s="1278"/>
      <c r="CR416" s="1818">
        <f t="shared" si="532"/>
        <v>2.643171806167401E-2</v>
      </c>
      <c r="CS416" s="1818">
        <f t="shared" si="533"/>
        <v>0.16577007096860849</v>
      </c>
      <c r="CT416" s="1342">
        <f t="shared" si="534"/>
        <v>0.10084248847674007</v>
      </c>
      <c r="CU416" s="695">
        <f t="shared" si="535"/>
        <v>-1.4628709295590117E-2</v>
      </c>
      <c r="CV416" s="695">
        <f t="shared" si="536"/>
        <v>0.15705238895709661</v>
      </c>
      <c r="CW416" s="801">
        <f t="shared" si="537"/>
        <v>0.112002265507886</v>
      </c>
      <c r="CX416" s="793">
        <f t="shared" si="538"/>
        <v>7.4624330843753972E-2</v>
      </c>
      <c r="CY416" s="793">
        <f t="shared" si="542"/>
        <v>0.1</v>
      </c>
      <c r="CZ416" s="793">
        <f t="shared" si="542"/>
        <v>0.1</v>
      </c>
      <c r="DA416" s="793">
        <f t="shared" si="542"/>
        <v>0.1</v>
      </c>
      <c r="DB416" s="793">
        <f t="shared" si="542"/>
        <v>0.1</v>
      </c>
    </row>
    <row r="417" spans="1:106" ht="12" hidden="1" customHeight="1" outlineLevel="1">
      <c r="A417" s="1587" t="s">
        <v>213</v>
      </c>
      <c r="B417" s="1665"/>
      <c r="C417" s="1665"/>
      <c r="D417" s="1665"/>
      <c r="E417" s="1665"/>
      <c r="F417" s="1665"/>
      <c r="G417" s="1666"/>
      <c r="H417" s="1666"/>
      <c r="I417" s="1666"/>
      <c r="J417" s="1593"/>
      <c r="K417" s="1593"/>
      <c r="L417" s="1666"/>
      <c r="M417" s="1666"/>
      <c r="N417" s="1666"/>
      <c r="O417" s="1593"/>
      <c r="P417" s="1593"/>
      <c r="Q417" s="1666"/>
      <c r="R417" s="1666"/>
      <c r="S417" s="1666"/>
      <c r="T417" s="1593"/>
      <c r="U417" s="1593"/>
      <c r="V417" s="1666"/>
      <c r="W417" s="1666"/>
      <c r="X417" s="1666"/>
      <c r="Y417" s="1593"/>
      <c r="Z417" s="1593"/>
      <c r="AA417" s="1666"/>
      <c r="AB417" s="1666"/>
      <c r="AC417" s="1666"/>
      <c r="AD417" s="1593"/>
      <c r="AE417" s="1593"/>
      <c r="AF417" s="1666"/>
      <c r="AG417" s="1666"/>
      <c r="AH417" s="1666"/>
      <c r="AI417" s="1593"/>
      <c r="AJ417" s="1593"/>
      <c r="AK417" s="1666"/>
      <c r="AL417" s="1666"/>
      <c r="AM417" s="1666"/>
      <c r="AN417" s="1593"/>
      <c r="AO417" s="1593"/>
      <c r="AP417" s="1666"/>
      <c r="AQ417" s="1666"/>
      <c r="AR417" s="1666"/>
      <c r="AS417" s="1593"/>
      <c r="AT417" s="1593"/>
      <c r="AU417" s="1666"/>
      <c r="AV417" s="1666"/>
      <c r="AW417" s="1820"/>
      <c r="AX417" s="1820"/>
      <c r="AY417" s="1594"/>
      <c r="AZ417" s="1820"/>
      <c r="BA417" s="1820"/>
      <c r="BB417" s="1820"/>
      <c r="BC417" s="1820"/>
      <c r="BD417" s="1594"/>
      <c r="BE417" s="1820"/>
      <c r="BF417" s="1820"/>
      <c r="BG417" s="1820"/>
      <c r="BH417" s="1820"/>
      <c r="BI417" s="1594"/>
      <c r="BJ417" s="1820"/>
      <c r="BK417" s="1820"/>
      <c r="BL417" s="1820"/>
      <c r="BM417" s="1820"/>
      <c r="BN417" s="1995"/>
      <c r="BO417" s="1820"/>
      <c r="BP417" s="1994">
        <v>7.4999999999999997E-3</v>
      </c>
      <c r="BQ417" s="1994">
        <v>7.4999999999999997E-3</v>
      </c>
      <c r="BR417" s="1994">
        <v>7.4999999999999997E-3</v>
      </c>
      <c r="BS417" s="1995"/>
      <c r="BT417" s="1994">
        <v>7.4999999999999997E-3</v>
      </c>
      <c r="BU417" s="1994">
        <v>7.4999999999999997E-3</v>
      </c>
      <c r="BV417" s="1994">
        <v>7.4999999999999997E-3</v>
      </c>
      <c r="BW417" s="1994">
        <v>7.4999999999999997E-3</v>
      </c>
      <c r="BX417" s="1995"/>
      <c r="BY417" s="1995">
        <v>0.03</v>
      </c>
      <c r="BZ417" s="1995">
        <v>0.03</v>
      </c>
      <c r="CA417" s="1995">
        <v>0.03</v>
      </c>
      <c r="CF417" s="1590" t="str">
        <f t="shared" si="512"/>
        <v>BEAR</v>
      </c>
      <c r="CG417" s="1591"/>
      <c r="CH417" s="1592"/>
      <c r="CI417" s="1592"/>
      <c r="CJ417" s="1592"/>
      <c r="CK417" s="1592"/>
      <c r="CL417" s="1593"/>
      <c r="CM417" s="1593"/>
      <c r="CN417" s="1593"/>
      <c r="CO417" s="1593"/>
      <c r="CP417" s="1593"/>
      <c r="CQ417" s="1593"/>
      <c r="CR417" s="1593"/>
      <c r="CS417" s="1593"/>
      <c r="CT417" s="1594"/>
      <c r="CU417" s="1594"/>
      <c r="CV417" s="1594"/>
      <c r="CW417" s="1595"/>
      <c r="CX417" s="1594"/>
      <c r="CY417" s="1594"/>
      <c r="CZ417" s="1594"/>
      <c r="DA417" s="1594"/>
      <c r="DB417" s="1594"/>
    </row>
    <row r="418" spans="1:106" ht="12" hidden="1" customHeight="1" outlineLevel="1">
      <c r="A418" s="1587" t="s">
        <v>214</v>
      </c>
      <c r="B418" s="1665"/>
      <c r="C418" s="1665"/>
      <c r="D418" s="1665"/>
      <c r="E418" s="1665"/>
      <c r="F418" s="1665"/>
      <c r="G418" s="1666"/>
      <c r="H418" s="1666"/>
      <c r="I418" s="1666"/>
      <c r="J418" s="1593"/>
      <c r="K418" s="1593"/>
      <c r="L418" s="1666"/>
      <c r="M418" s="1666"/>
      <c r="N418" s="1666"/>
      <c r="O418" s="1593"/>
      <c r="P418" s="1593"/>
      <c r="Q418" s="1666"/>
      <c r="R418" s="1666"/>
      <c r="S418" s="1666"/>
      <c r="T418" s="1593"/>
      <c r="U418" s="1593"/>
      <c r="V418" s="1666"/>
      <c r="W418" s="1666"/>
      <c r="X418" s="1666"/>
      <c r="Y418" s="1593"/>
      <c r="Z418" s="1593"/>
      <c r="AA418" s="1666"/>
      <c r="AB418" s="1666"/>
      <c r="AC418" s="1666"/>
      <c r="AD418" s="1593"/>
      <c r="AE418" s="1593"/>
      <c r="AF418" s="1666"/>
      <c r="AG418" s="1666"/>
      <c r="AH418" s="1666"/>
      <c r="AI418" s="1593"/>
      <c r="AJ418" s="1593"/>
      <c r="AK418" s="1666"/>
      <c r="AL418" s="1666"/>
      <c r="AM418" s="1666"/>
      <c r="AN418" s="1593"/>
      <c r="AO418" s="1593"/>
      <c r="AP418" s="1666"/>
      <c r="AQ418" s="1666"/>
      <c r="AR418" s="1666"/>
      <c r="AS418" s="1593"/>
      <c r="AT418" s="1593"/>
      <c r="AU418" s="1666"/>
      <c r="AV418" s="1666"/>
      <c r="AW418" s="1820"/>
      <c r="AX418" s="1820"/>
      <c r="AY418" s="1594"/>
      <c r="AZ418" s="1820"/>
      <c r="BA418" s="1820"/>
      <c r="BB418" s="1820"/>
      <c r="BC418" s="1820"/>
      <c r="BD418" s="1594"/>
      <c r="BE418" s="1820"/>
      <c r="BF418" s="1820"/>
      <c r="BG418" s="1820"/>
      <c r="BH418" s="1820"/>
      <c r="BI418" s="1594"/>
      <c r="BJ418" s="1820"/>
      <c r="BK418" s="1820"/>
      <c r="BL418" s="1820"/>
      <c r="BM418" s="1820"/>
      <c r="BN418" s="1995"/>
      <c r="BO418" s="1820"/>
      <c r="BP418" s="1994">
        <f>0.1/4</f>
        <v>2.5000000000000001E-2</v>
      </c>
      <c r="BQ418" s="1994">
        <f>0.1/4</f>
        <v>2.5000000000000001E-2</v>
      </c>
      <c r="BR418" s="1994">
        <f>0.1/4</f>
        <v>2.5000000000000001E-2</v>
      </c>
      <c r="BS418" s="1995"/>
      <c r="BT418" s="1994">
        <f>0.1/4</f>
        <v>2.5000000000000001E-2</v>
      </c>
      <c r="BU418" s="1994">
        <f>0.1/4</f>
        <v>2.5000000000000001E-2</v>
      </c>
      <c r="BV418" s="1994">
        <f>0.1/4</f>
        <v>2.5000000000000001E-2</v>
      </c>
      <c r="BW418" s="1994">
        <f>0.1/4</f>
        <v>2.5000000000000001E-2</v>
      </c>
      <c r="BX418" s="1995"/>
      <c r="BY418" s="1995">
        <v>0.1</v>
      </c>
      <c r="BZ418" s="1995">
        <v>0.1</v>
      </c>
      <c r="CA418" s="1995">
        <v>0.1</v>
      </c>
      <c r="CF418" s="1590" t="str">
        <f t="shared" si="512"/>
        <v>BASE</v>
      </c>
      <c r="CG418" s="1591"/>
      <c r="CH418" s="1592"/>
      <c r="CI418" s="1592"/>
      <c r="CJ418" s="1592"/>
      <c r="CK418" s="1592"/>
      <c r="CL418" s="1593"/>
      <c r="CM418" s="1593"/>
      <c r="CN418" s="1593"/>
      <c r="CO418" s="1593"/>
      <c r="CP418" s="1593"/>
      <c r="CQ418" s="1593"/>
      <c r="CR418" s="1593"/>
      <c r="CS418" s="1593"/>
      <c r="CT418" s="1594"/>
      <c r="CU418" s="1594"/>
      <c r="CV418" s="1594"/>
      <c r="CW418" s="1595"/>
      <c r="CX418" s="1594"/>
      <c r="CY418" s="1594"/>
      <c r="CZ418" s="1594"/>
      <c r="DA418" s="1594"/>
      <c r="DB418" s="1594"/>
    </row>
    <row r="419" spans="1:106" ht="12" hidden="1" customHeight="1" outlineLevel="1">
      <c r="A419" s="1587" t="s">
        <v>215</v>
      </c>
      <c r="B419" s="1665"/>
      <c r="C419" s="1665"/>
      <c r="D419" s="1665"/>
      <c r="E419" s="1665"/>
      <c r="F419" s="1665"/>
      <c r="G419" s="1666"/>
      <c r="H419" s="1666"/>
      <c r="I419" s="1666"/>
      <c r="J419" s="1593"/>
      <c r="K419" s="1593"/>
      <c r="L419" s="1666"/>
      <c r="M419" s="1666"/>
      <c r="N419" s="1666"/>
      <c r="O419" s="1593"/>
      <c r="P419" s="1593"/>
      <c r="Q419" s="1666"/>
      <c r="R419" s="1666"/>
      <c r="S419" s="1666"/>
      <c r="T419" s="1593"/>
      <c r="U419" s="1593"/>
      <c r="V419" s="1666"/>
      <c r="W419" s="1666"/>
      <c r="X419" s="1666"/>
      <c r="Y419" s="1593"/>
      <c r="Z419" s="1593"/>
      <c r="AA419" s="1666"/>
      <c r="AB419" s="1666"/>
      <c r="AC419" s="1666"/>
      <c r="AD419" s="1593"/>
      <c r="AE419" s="1593"/>
      <c r="AF419" s="1666"/>
      <c r="AG419" s="1666"/>
      <c r="AH419" s="1666"/>
      <c r="AI419" s="1593"/>
      <c r="AJ419" s="1593"/>
      <c r="AK419" s="1666"/>
      <c r="AL419" s="1666"/>
      <c r="AM419" s="1666"/>
      <c r="AN419" s="1593"/>
      <c r="AO419" s="1593"/>
      <c r="AP419" s="1666"/>
      <c r="AQ419" s="1666"/>
      <c r="AR419" s="1666"/>
      <c r="AS419" s="1593"/>
      <c r="AT419" s="1593"/>
      <c r="AU419" s="1666"/>
      <c r="AV419" s="1666"/>
      <c r="AW419" s="1820"/>
      <c r="AX419" s="1820"/>
      <c r="AY419" s="1594"/>
      <c r="AZ419" s="1820"/>
      <c r="BA419" s="1820"/>
      <c r="BB419" s="1820"/>
      <c r="BC419" s="1820"/>
      <c r="BD419" s="1594"/>
      <c r="BE419" s="1820"/>
      <c r="BF419" s="1820"/>
      <c r="BG419" s="1820"/>
      <c r="BH419" s="1820"/>
      <c r="BI419" s="1594"/>
      <c r="BJ419" s="1820"/>
      <c r="BK419" s="1820"/>
      <c r="BL419" s="1820"/>
      <c r="BM419" s="1820"/>
      <c r="BN419" s="1995"/>
      <c r="BO419" s="1820"/>
      <c r="BP419" s="1994">
        <v>0.03</v>
      </c>
      <c r="BQ419" s="1994">
        <v>0.03</v>
      </c>
      <c r="BR419" s="1994">
        <v>0.03</v>
      </c>
      <c r="BS419" s="1995"/>
      <c r="BT419" s="1994">
        <v>0.03</v>
      </c>
      <c r="BU419" s="1994">
        <v>0.03</v>
      </c>
      <c r="BV419" s="1994">
        <v>0.03</v>
      </c>
      <c r="BW419" s="1994">
        <v>0.03</v>
      </c>
      <c r="BX419" s="1995"/>
      <c r="BY419" s="1995">
        <v>0.12</v>
      </c>
      <c r="BZ419" s="1995">
        <v>0.12</v>
      </c>
      <c r="CA419" s="1995">
        <v>0.12</v>
      </c>
      <c r="CF419" s="1590" t="str">
        <f t="shared" si="512"/>
        <v>BULL</v>
      </c>
      <c r="CG419" s="1591"/>
      <c r="CH419" s="1592"/>
      <c r="CI419" s="1592"/>
      <c r="CJ419" s="1592"/>
      <c r="CK419" s="1592"/>
      <c r="CL419" s="1593"/>
      <c r="CM419" s="1593"/>
      <c r="CN419" s="1593"/>
      <c r="CO419" s="1593"/>
      <c r="CP419" s="1593"/>
      <c r="CQ419" s="1593"/>
      <c r="CR419" s="1593"/>
      <c r="CS419" s="1593"/>
      <c r="CT419" s="1594"/>
      <c r="CU419" s="1594"/>
      <c r="CV419" s="1594"/>
      <c r="CW419" s="1595"/>
      <c r="CX419" s="1594"/>
      <c r="CY419" s="1594"/>
      <c r="CZ419" s="1594"/>
      <c r="DA419" s="1594"/>
      <c r="DB419" s="1594"/>
    </row>
    <row r="420" spans="1:106" s="762" customFormat="1" collapsed="1">
      <c r="A420" s="1273"/>
      <c r="B420" s="1287"/>
      <c r="C420" s="1287"/>
      <c r="D420" s="1287"/>
      <c r="E420" s="1287"/>
      <c r="F420" s="1287"/>
      <c r="G420" s="1287"/>
      <c r="H420" s="1287"/>
      <c r="I420" s="1287"/>
      <c r="J420" s="1287"/>
      <c r="K420" s="1270"/>
      <c r="L420" s="1287"/>
      <c r="M420" s="1287"/>
      <c r="N420" s="1287"/>
      <c r="O420" s="1287"/>
      <c r="P420" s="1270"/>
      <c r="Q420" s="1287"/>
      <c r="R420" s="1287"/>
      <c r="S420" s="1287"/>
      <c r="T420" s="1287"/>
      <c r="U420" s="1270"/>
      <c r="V420" s="1287"/>
      <c r="W420" s="1287"/>
      <c r="X420" s="1287"/>
      <c r="Y420" s="1287"/>
      <c r="Z420" s="1270"/>
      <c r="AA420" s="1287"/>
      <c r="AB420" s="1287"/>
      <c r="AC420" s="1287"/>
      <c r="AD420" s="1287"/>
      <c r="AE420" s="1270"/>
      <c r="AF420" s="1287"/>
      <c r="AG420" s="1287"/>
      <c r="AH420" s="1287"/>
      <c r="AI420" s="1287"/>
      <c r="AJ420" s="1270"/>
      <c r="AK420" s="1287"/>
      <c r="AL420" s="1287"/>
      <c r="AM420" s="1287"/>
      <c r="AN420" s="1287"/>
      <c r="AO420" s="1270"/>
      <c r="AP420" s="1287"/>
      <c r="AQ420" s="1287"/>
      <c r="AR420" s="1287"/>
      <c r="AS420" s="1287"/>
      <c r="AT420" s="1270"/>
      <c r="AU420" s="1287"/>
      <c r="AV420" s="1287"/>
      <c r="AW420" s="1287"/>
      <c r="AX420" s="1287"/>
      <c r="AY420" s="1270"/>
      <c r="AZ420" s="1537"/>
      <c r="BA420" s="1537"/>
      <c r="BB420" s="1537"/>
      <c r="BC420" s="1537"/>
      <c r="BD420" s="1270"/>
      <c r="BE420" s="1537"/>
      <c r="BF420" s="1537"/>
      <c r="BG420" s="1537"/>
      <c r="BH420" s="1537"/>
      <c r="BI420" s="1270"/>
      <c r="BJ420" s="1537"/>
      <c r="BK420" s="811"/>
      <c r="BL420" s="1537"/>
      <c r="BM420" s="1287"/>
      <c r="BN420" s="809"/>
      <c r="BO420" s="1287"/>
      <c r="BP420" s="1287"/>
      <c r="BQ420" s="1287"/>
      <c r="BR420" s="1287"/>
      <c r="BS420" s="1270"/>
      <c r="BT420" s="1287"/>
      <c r="BU420" s="1287"/>
      <c r="BV420" s="1287"/>
      <c r="BW420" s="1287"/>
      <c r="BX420" s="1270"/>
      <c r="BY420" s="1270"/>
      <c r="BZ420" s="1270"/>
      <c r="CA420" s="1270"/>
      <c r="CF420" s="1270"/>
      <c r="CG420" s="1287"/>
      <c r="CH420" s="1287"/>
      <c r="CI420" s="1287"/>
      <c r="CJ420" s="1287"/>
      <c r="CK420" s="1287"/>
      <c r="CL420" s="1270"/>
      <c r="CM420" s="1270"/>
      <c r="CN420" s="1270"/>
      <c r="CO420" s="1270"/>
      <c r="CP420" s="1270"/>
      <c r="CQ420" s="1270"/>
      <c r="CR420" s="1270"/>
      <c r="CS420" s="1270"/>
      <c r="CT420" s="1270"/>
      <c r="CU420" s="1270"/>
      <c r="CV420" s="1270"/>
      <c r="CW420" s="1273"/>
      <c r="CX420" s="1270"/>
      <c r="CY420" s="1270"/>
      <c r="CZ420" s="1270"/>
      <c r="DA420" s="1270"/>
      <c r="DB420" s="1270"/>
    </row>
    <row r="421" spans="1:106" s="762" customFormat="1">
      <c r="A421" s="1273" t="s">
        <v>381</v>
      </c>
      <c r="B421" s="1287"/>
      <c r="C421" s="1287"/>
      <c r="D421" s="1287"/>
      <c r="E421" s="1287"/>
      <c r="F421" s="1287"/>
      <c r="G421" s="1800" t="s">
        <v>249</v>
      </c>
      <c r="H421" s="1319" t="s">
        <v>249</v>
      </c>
      <c r="I421" s="1319" t="s">
        <v>249</v>
      </c>
      <c r="J421" s="1278" t="s">
        <v>249</v>
      </c>
      <c r="K421" s="1278" t="s">
        <v>249</v>
      </c>
      <c r="L421" s="1800" t="s">
        <v>249</v>
      </c>
      <c r="M421" s="1319" t="s">
        <v>249</v>
      </c>
      <c r="N421" s="1319" t="s">
        <v>249</v>
      </c>
      <c r="O421" s="1278" t="s">
        <v>249</v>
      </c>
      <c r="P421" s="1278" t="s">
        <v>249</v>
      </c>
      <c r="Q421" s="1800" t="s">
        <v>249</v>
      </c>
      <c r="R421" s="1319" t="s">
        <v>249</v>
      </c>
      <c r="S421" s="1319" t="s">
        <v>249</v>
      </c>
      <c r="T421" s="1278" t="s">
        <v>249</v>
      </c>
      <c r="U421" s="1278" t="s">
        <v>249</v>
      </c>
      <c r="V421" s="1800" t="s">
        <v>249</v>
      </c>
      <c r="W421" s="1319" t="s">
        <v>249</v>
      </c>
      <c r="X421" s="1319" t="s">
        <v>249</v>
      </c>
      <c r="Y421" s="1278" t="s">
        <v>249</v>
      </c>
      <c r="Z421" s="1278" t="s">
        <v>249</v>
      </c>
      <c r="AA421" s="1800" t="s">
        <v>249</v>
      </c>
      <c r="AB421" s="1319" t="s">
        <v>249</v>
      </c>
      <c r="AC421" s="1319" t="s">
        <v>249</v>
      </c>
      <c r="AD421" s="1278" t="s">
        <v>249</v>
      </c>
      <c r="AE421" s="1278" t="s">
        <v>249</v>
      </c>
      <c r="AF421" s="1800" t="s">
        <v>249</v>
      </c>
      <c r="AG421" s="1319" t="s">
        <v>249</v>
      </c>
      <c r="AH421" s="1319" t="s">
        <v>249</v>
      </c>
      <c r="AI421" s="1278" t="s">
        <v>249</v>
      </c>
      <c r="AJ421" s="1278" t="s">
        <v>249</v>
      </c>
      <c r="AK421" s="1800" t="s">
        <v>249</v>
      </c>
      <c r="AL421" s="1319" t="s">
        <v>249</v>
      </c>
      <c r="AM421" s="1319" t="s">
        <v>249</v>
      </c>
      <c r="AN421" s="1278" t="s">
        <v>249</v>
      </c>
      <c r="AO421" s="1278" t="s">
        <v>249</v>
      </c>
      <c r="AP421" s="1287">
        <f t="shared" ref="AP421:AX421" si="546">AP415*(0.00032/4)*1000</f>
        <v>39.64</v>
      </c>
      <c r="AQ421" s="1287">
        <f t="shared" si="546"/>
        <v>42.84</v>
      </c>
      <c r="AR421" s="1287">
        <f t="shared" si="546"/>
        <v>45.24</v>
      </c>
      <c r="AS421" s="1287">
        <f t="shared" si="546"/>
        <v>50.84</v>
      </c>
      <c r="AT421" s="1270">
        <f t="shared" si="546"/>
        <v>46.080000000000005</v>
      </c>
      <c r="AU421" s="1287">
        <f t="shared" si="546"/>
        <v>54.120000000000005</v>
      </c>
      <c r="AV421" s="1287">
        <f t="shared" si="546"/>
        <v>55.440000000000005</v>
      </c>
      <c r="AW421" s="1287">
        <f t="shared" si="546"/>
        <v>58.080000000000005</v>
      </c>
      <c r="AX421" s="1287">
        <f t="shared" si="546"/>
        <v>62.6</v>
      </c>
      <c r="AY421" s="1270">
        <f>SUM(AU421:AX421)</f>
        <v>230.24</v>
      </c>
      <c r="AZ421" s="1287">
        <f>AZ415*(0.00032/4)*1000</f>
        <v>65.680000000000007</v>
      </c>
      <c r="BA421" s="1287">
        <f>BA415*(0.00032/4)*1000</f>
        <v>64.080000000000013</v>
      </c>
      <c r="BB421" s="1287">
        <f>BB415*(0.00032/4)*1000</f>
        <v>61.640000000000008</v>
      </c>
      <c r="BC421" s="1287">
        <f>BC415*(0.00032/4)*1000</f>
        <v>62.56</v>
      </c>
      <c r="BD421" s="1270">
        <f>SUM(AZ421:BC421)</f>
        <v>253.96000000000004</v>
      </c>
      <c r="BE421" s="1287">
        <f>BE415*(0.00032/4)*1000</f>
        <v>65.72</v>
      </c>
      <c r="BF421" s="1287">
        <f>BF415*(0.00032/4)*1000</f>
        <v>67.320000000000007</v>
      </c>
      <c r="BG421" s="1287">
        <f>BG415*(0.00032/4)*1000</f>
        <v>70.760000000000005</v>
      </c>
      <c r="BH421" s="1287">
        <f>BH415*(0.00032/4)*1000</f>
        <v>77.48</v>
      </c>
      <c r="BI421" s="1270">
        <f>SUM(BE421:BH421)</f>
        <v>281.28000000000003</v>
      </c>
      <c r="BJ421" s="1287">
        <f>BJ415*(0.00032/4)*1000</f>
        <v>85.560000000000016</v>
      </c>
      <c r="BK421" s="1287">
        <f>BK415*(0.00032/4)*1000</f>
        <v>90.88</v>
      </c>
      <c r="BL421" s="1287">
        <f>BL415*(0.00031/4)*1000</f>
        <v>91.837500000000006</v>
      </c>
      <c r="BM421" s="1287">
        <f>BM415*(0.00031/4)*1000</f>
        <v>99.083749999999995</v>
      </c>
      <c r="BN421" s="1270">
        <f>SUM(BJ421:BM421)</f>
        <v>367.36125000000004</v>
      </c>
      <c r="BO421" s="1287">
        <f>BO415*(0.00029/4)*1000</f>
        <v>96.751249999999999</v>
      </c>
      <c r="BP421" s="1287">
        <f>BP415*(BP422/4)*1000</f>
        <v>97.790247500000007</v>
      </c>
      <c r="BQ421" s="1287">
        <f>BQ415*(BQ422/4)*1000</f>
        <v>101.1007425</v>
      </c>
      <c r="BR421" s="1287">
        <f>BR415*(BR422/4)*1000</f>
        <v>104.41123750000001</v>
      </c>
      <c r="BS421" s="1270">
        <f>SUM(BO421:BR421)</f>
        <v>400.05347750000004</v>
      </c>
      <c r="BT421" s="1287">
        <f>BT415*(BT422/4)*1000</f>
        <v>107.86961524500001</v>
      </c>
      <c r="BU421" s="1287">
        <f>BU415*(BU422/4)*1000</f>
        <v>111.475875735</v>
      </c>
      <c r="BV421" s="1287">
        <f>BV415*(BV422/4)*1000</f>
        <v>115.082136225</v>
      </c>
      <c r="BW421" s="1287">
        <f>BW415*(BW422/4)*1000</f>
        <v>118.68839671500002</v>
      </c>
      <c r="BX421" s="1270">
        <f>SUM(BT421:BW421)</f>
        <v>453.11602392000003</v>
      </c>
      <c r="BY421" s="1270">
        <f>BY415*(BY422)*1000</f>
        <v>496.99015478784003</v>
      </c>
      <c r="BZ421" s="1270">
        <f>BZ415*(BZ422)*1000</f>
        <v>544.4172152733081</v>
      </c>
      <c r="CA421" s="1270">
        <f>CA415*(CA422)*1000</f>
        <v>591.0125019737701</v>
      </c>
      <c r="CF421" s="1270" t="str">
        <f t="shared" si="512"/>
        <v>ETF AUM Based Fees</v>
      </c>
      <c r="CG421" s="1287"/>
      <c r="CH421" s="1287"/>
      <c r="CI421" s="1287"/>
      <c r="CJ421" s="1287"/>
      <c r="CK421" s="1287"/>
      <c r="CL421" s="1278"/>
      <c r="CM421" s="1278"/>
      <c r="CN421" s="1278"/>
      <c r="CO421" s="1278"/>
      <c r="CP421" s="1278"/>
      <c r="CQ421" s="1278"/>
      <c r="CR421" s="1278"/>
      <c r="CS421" s="1270">
        <f>+AT421</f>
        <v>46.080000000000005</v>
      </c>
      <c r="CT421" s="1270">
        <f>+AY421</f>
        <v>230.24</v>
      </c>
      <c r="CU421" s="1270">
        <f>+BD421</f>
        <v>253.96000000000004</v>
      </c>
      <c r="CV421" s="1270">
        <f>+BI421</f>
        <v>281.28000000000003</v>
      </c>
      <c r="CW421" s="1273">
        <f>+BN421</f>
        <v>367.36125000000004</v>
      </c>
      <c r="CX421" s="1273">
        <f>+BS421</f>
        <v>400.05347750000004</v>
      </c>
      <c r="CY421" s="1273">
        <f>+BX421</f>
        <v>453.11602392000003</v>
      </c>
      <c r="CZ421" s="1270">
        <f>+BY421</f>
        <v>496.99015478784003</v>
      </c>
      <c r="DA421" s="1270">
        <f>+BZ421</f>
        <v>544.4172152733081</v>
      </c>
      <c r="DB421" s="1270">
        <f>+CA421</f>
        <v>591.0125019737701</v>
      </c>
    </row>
    <row r="422" spans="1:106" s="762" customFormat="1">
      <c r="A422" s="1354" t="s">
        <v>558</v>
      </c>
      <c r="B422" s="1287"/>
      <c r="C422" s="1287"/>
      <c r="D422" s="1287"/>
      <c r="E422" s="1287"/>
      <c r="F422" s="1287"/>
      <c r="G422" s="1800"/>
      <c r="H422" s="1319"/>
      <c r="I422" s="1319"/>
      <c r="J422" s="1278"/>
      <c r="K422" s="1278"/>
      <c r="L422" s="1800"/>
      <c r="M422" s="1319"/>
      <c r="N422" s="1319"/>
      <c r="O422" s="1278"/>
      <c r="P422" s="1278"/>
      <c r="Q422" s="1800"/>
      <c r="R422" s="1319"/>
      <c r="S422" s="1319"/>
      <c r="T422" s="1278"/>
      <c r="U422" s="1278"/>
      <c r="V422" s="1800"/>
      <c r="W422" s="1319"/>
      <c r="X422" s="1319"/>
      <c r="Y422" s="1278"/>
      <c r="Z422" s="1278"/>
      <c r="AA422" s="1800"/>
      <c r="AB422" s="1319"/>
      <c r="AC422" s="1319"/>
      <c r="AD422" s="1278"/>
      <c r="AE422" s="1278"/>
      <c r="AF422" s="1800"/>
      <c r="AG422" s="1319"/>
      <c r="AH422" s="1319"/>
      <c r="AI422" s="1278"/>
      <c r="AJ422" s="1278"/>
      <c r="AK422" s="1800"/>
      <c r="AL422" s="1319"/>
      <c r="AM422" s="1319"/>
      <c r="AN422" s="1278"/>
      <c r="AO422" s="1278"/>
      <c r="AP422" s="1287"/>
      <c r="AQ422" s="1287"/>
      <c r="AR422" s="1287"/>
      <c r="AS422" s="1287"/>
      <c r="AT422" s="1270"/>
      <c r="AU422" s="1287"/>
      <c r="AV422" s="1287"/>
      <c r="AW422" s="1287"/>
      <c r="AX422" s="1287"/>
      <c r="AY422" s="1270"/>
      <c r="AZ422" s="1287"/>
      <c r="BA422" s="1287"/>
      <c r="BB422" s="1287"/>
      <c r="BC422" s="1287"/>
      <c r="BD422" s="1270"/>
      <c r="BE422" s="1287"/>
      <c r="BF422" s="1287"/>
      <c r="BG422" s="1287"/>
      <c r="BH422" s="1287"/>
      <c r="BI422" s="1270"/>
      <c r="BJ422" s="1287"/>
      <c r="BK422" s="1287"/>
      <c r="BL422" s="1287"/>
      <c r="BM422" s="1287"/>
      <c r="BN422" s="2000"/>
      <c r="BO422" s="1287"/>
      <c r="BP422" s="1999">
        <f>CHOOSE(MHFI!$A$3,BP423,BP424,BP425)</f>
        <v>2.9E-4</v>
      </c>
      <c r="BQ422" s="1999">
        <f>CHOOSE(MHFI!$A$3,BQ423,BQ424,BQ425)</f>
        <v>2.9E-4</v>
      </c>
      <c r="BR422" s="1999">
        <f>CHOOSE(MHFI!$A$3,BR423,BR424,BR425)</f>
        <v>2.9E-4</v>
      </c>
      <c r="BS422" s="2000"/>
      <c r="BT422" s="1999">
        <f>CHOOSE(MHFI!$A$3,BT423,BT424,BT425)</f>
        <v>2.9E-4</v>
      </c>
      <c r="BU422" s="1999">
        <f>CHOOSE(MHFI!$A$3,BU423,BU424,BU425)</f>
        <v>2.9E-4</v>
      </c>
      <c r="BV422" s="1999">
        <f>CHOOSE(MHFI!$A$3,BV423,BV424,BV425)</f>
        <v>2.9E-4</v>
      </c>
      <c r="BW422" s="1999">
        <f>CHOOSE(MHFI!$A$3,BW423,BW424,BW425)</f>
        <v>2.9E-4</v>
      </c>
      <c r="BX422" s="2000"/>
      <c r="BY422" s="2001">
        <f>CHOOSE(MHFI!$A$3,BY423,BY424,BY425)</f>
        <v>2.7999999999999998E-4</v>
      </c>
      <c r="BZ422" s="2001">
        <f>CHOOSE(MHFI!$A$3,BZ423,BZ424,BZ425)</f>
        <v>2.6999999999999995E-4</v>
      </c>
      <c r="CA422" s="2001">
        <f>CHOOSE(MHFI!$A$3,CA423,CA424,CA425)</f>
        <v>2.5999999999999992E-4</v>
      </c>
      <c r="CF422" s="1270" t="str">
        <f t="shared" si="512"/>
        <v>Assumed ETF Fee Rate</v>
      </c>
      <c r="CG422" s="1287"/>
      <c r="CH422" s="1287"/>
      <c r="CI422" s="1287"/>
      <c r="CJ422" s="1287"/>
      <c r="CK422" s="1287"/>
      <c r="CL422" s="1278"/>
      <c r="CM422" s="1278"/>
      <c r="CN422" s="1278"/>
      <c r="CO422" s="1278"/>
      <c r="CP422" s="1278"/>
      <c r="CQ422" s="1278"/>
      <c r="CR422" s="1278"/>
      <c r="CS422" s="1270"/>
      <c r="CT422" s="1270"/>
      <c r="CU422" s="1270"/>
      <c r="CV422" s="1270"/>
      <c r="CW422" s="1273"/>
      <c r="CX422" s="1273"/>
      <c r="CY422" s="1273"/>
      <c r="CZ422" s="1270"/>
      <c r="DA422" s="1270"/>
      <c r="DB422" s="1270"/>
    </row>
    <row r="423" spans="1:106" s="762" customFormat="1" hidden="1" outlineLevel="1">
      <c r="A423" s="1587" t="s">
        <v>213</v>
      </c>
      <c r="B423" s="1665"/>
      <c r="C423" s="1665"/>
      <c r="D423" s="1665"/>
      <c r="E423" s="1665"/>
      <c r="F423" s="1665"/>
      <c r="G423" s="1666"/>
      <c r="H423" s="1666"/>
      <c r="I423" s="1666"/>
      <c r="J423" s="1593"/>
      <c r="K423" s="1593"/>
      <c r="L423" s="1666"/>
      <c r="M423" s="1666"/>
      <c r="N423" s="1666"/>
      <c r="O423" s="1593"/>
      <c r="P423" s="1593"/>
      <c r="Q423" s="1666"/>
      <c r="R423" s="1666"/>
      <c r="S423" s="1666"/>
      <c r="T423" s="1593"/>
      <c r="U423" s="1593"/>
      <c r="V423" s="1666"/>
      <c r="W423" s="1666"/>
      <c r="X423" s="1666"/>
      <c r="Y423" s="1593"/>
      <c r="Z423" s="1593"/>
      <c r="AA423" s="1666"/>
      <c r="AB423" s="1666"/>
      <c r="AC423" s="1666"/>
      <c r="AD423" s="1593"/>
      <c r="AE423" s="1593"/>
      <c r="AF423" s="1666"/>
      <c r="AG423" s="1666"/>
      <c r="AH423" s="1666"/>
      <c r="AI423" s="1593"/>
      <c r="AJ423" s="1593"/>
      <c r="AK423" s="1666"/>
      <c r="AL423" s="1666"/>
      <c r="AM423" s="1666"/>
      <c r="AN423" s="1593"/>
      <c r="AO423" s="1593"/>
      <c r="AP423" s="1666"/>
      <c r="AQ423" s="1666"/>
      <c r="AR423" s="1666"/>
      <c r="AS423" s="1593"/>
      <c r="AT423" s="1593"/>
      <c r="AU423" s="1666"/>
      <c r="AV423" s="1666"/>
      <c r="AW423" s="1820"/>
      <c r="AX423" s="1820"/>
      <c r="AY423" s="1594"/>
      <c r="AZ423" s="1820"/>
      <c r="BA423" s="1820"/>
      <c r="BB423" s="1820"/>
      <c r="BC423" s="1820"/>
      <c r="BD423" s="1594"/>
      <c r="BE423" s="1820"/>
      <c r="BF423" s="1820"/>
      <c r="BG423" s="1820"/>
      <c r="BH423" s="1820"/>
      <c r="BI423" s="1594"/>
      <c r="BJ423" s="1820"/>
      <c r="BK423" s="1820"/>
      <c r="BL423" s="1820"/>
      <c r="BM423" s="1820"/>
      <c r="BN423" s="1998"/>
      <c r="BO423" s="1820"/>
      <c r="BP423" s="1997">
        <f>0.00028</f>
        <v>2.7999999999999998E-4</v>
      </c>
      <c r="BQ423" s="1997">
        <f>0.00028</f>
        <v>2.7999999999999998E-4</v>
      </c>
      <c r="BR423" s="1997">
        <f>0.00028</f>
        <v>2.7999999999999998E-4</v>
      </c>
      <c r="BS423" s="1998"/>
      <c r="BT423" s="1997">
        <f>0.00028</f>
        <v>2.7999999999999998E-4</v>
      </c>
      <c r="BU423" s="1997">
        <f>0.00028</f>
        <v>2.7999999999999998E-4</v>
      </c>
      <c r="BV423" s="1997">
        <f>0.00028</f>
        <v>2.7999999999999998E-4</v>
      </c>
      <c r="BW423" s="1997">
        <f>0.00028</f>
        <v>2.7999999999999998E-4</v>
      </c>
      <c r="BX423" s="1998"/>
      <c r="BY423" s="1998">
        <f>0.000225</f>
        <v>2.2499999999999999E-4</v>
      </c>
      <c r="BZ423" s="1998">
        <f>0.0002</f>
        <v>2.0000000000000001E-4</v>
      </c>
      <c r="CA423" s="1998">
        <f>0.0002</f>
        <v>2.0000000000000001E-4</v>
      </c>
      <c r="CF423" s="1270"/>
      <c r="CG423" s="1287"/>
      <c r="CH423" s="1287"/>
      <c r="CI423" s="1287"/>
      <c r="CJ423" s="1287"/>
      <c r="CK423" s="1287"/>
      <c r="CL423" s="1278"/>
      <c r="CM423" s="1278"/>
      <c r="CN423" s="1278"/>
      <c r="CO423" s="1278"/>
      <c r="CP423" s="1278"/>
      <c r="CQ423" s="1278"/>
      <c r="CR423" s="1278"/>
      <c r="CS423" s="1270"/>
      <c r="CT423" s="1270"/>
      <c r="CU423" s="1270"/>
      <c r="CV423" s="1270"/>
      <c r="CW423" s="1273"/>
      <c r="CX423" s="1273"/>
      <c r="CY423" s="1273"/>
      <c r="CZ423" s="1270"/>
      <c r="DA423" s="1270"/>
      <c r="DB423" s="1270"/>
    </row>
    <row r="424" spans="1:106" s="762" customFormat="1" hidden="1" outlineLevel="1">
      <c r="A424" s="1587" t="s">
        <v>214</v>
      </c>
      <c r="B424" s="1665"/>
      <c r="C424" s="1665"/>
      <c r="D424" s="1665"/>
      <c r="E424" s="1665"/>
      <c r="F424" s="1665"/>
      <c r="G424" s="1666"/>
      <c r="H424" s="1666"/>
      <c r="I424" s="1666"/>
      <c r="J424" s="1593"/>
      <c r="K424" s="1593"/>
      <c r="L424" s="1666"/>
      <c r="M424" s="1666"/>
      <c r="N424" s="1666"/>
      <c r="O424" s="1593"/>
      <c r="P424" s="1593"/>
      <c r="Q424" s="1666"/>
      <c r="R424" s="1666"/>
      <c r="S424" s="1666"/>
      <c r="T424" s="1593"/>
      <c r="U424" s="1593"/>
      <c r="V424" s="1666"/>
      <c r="W424" s="1666"/>
      <c r="X424" s="1666"/>
      <c r="Y424" s="1593"/>
      <c r="Z424" s="1593"/>
      <c r="AA424" s="1666"/>
      <c r="AB424" s="1666"/>
      <c r="AC424" s="1666"/>
      <c r="AD424" s="1593"/>
      <c r="AE424" s="1593"/>
      <c r="AF424" s="1666"/>
      <c r="AG424" s="1666"/>
      <c r="AH424" s="1666"/>
      <c r="AI424" s="1593"/>
      <c r="AJ424" s="1593"/>
      <c r="AK424" s="1666"/>
      <c r="AL424" s="1666"/>
      <c r="AM424" s="1666"/>
      <c r="AN424" s="1593"/>
      <c r="AO424" s="1593"/>
      <c r="AP424" s="1666"/>
      <c r="AQ424" s="1666"/>
      <c r="AR424" s="1666"/>
      <c r="AS424" s="1593"/>
      <c r="AT424" s="1593"/>
      <c r="AU424" s="1666"/>
      <c r="AV424" s="1666"/>
      <c r="AW424" s="1820"/>
      <c r="AX424" s="1820"/>
      <c r="AY424" s="1594"/>
      <c r="AZ424" s="1820"/>
      <c r="BA424" s="1820"/>
      <c r="BB424" s="1820"/>
      <c r="BC424" s="1820"/>
      <c r="BD424" s="1594"/>
      <c r="BE424" s="1820"/>
      <c r="BF424" s="1820"/>
      <c r="BG424" s="1820"/>
      <c r="BH424" s="1820"/>
      <c r="BI424" s="1594"/>
      <c r="BJ424" s="1820"/>
      <c r="BK424" s="1820"/>
      <c r="BL424" s="1820"/>
      <c r="BM424" s="1820"/>
      <c r="BN424" s="1998"/>
      <c r="BO424" s="1820"/>
      <c r="BP424" s="1997">
        <f t="shared" ref="BP424:BR424" si="547">0.00029</f>
        <v>2.9E-4</v>
      </c>
      <c r="BQ424" s="1997">
        <f t="shared" si="547"/>
        <v>2.9E-4</v>
      </c>
      <c r="BR424" s="1997">
        <f t="shared" si="547"/>
        <v>2.9E-4</v>
      </c>
      <c r="BS424" s="1998"/>
      <c r="BT424" s="1997">
        <f>0.00029</f>
        <v>2.9E-4</v>
      </c>
      <c r="BU424" s="1997">
        <f t="shared" ref="BU424:BW424" si="548">0.00029</f>
        <v>2.9E-4</v>
      </c>
      <c r="BV424" s="1997">
        <f t="shared" si="548"/>
        <v>2.9E-4</v>
      </c>
      <c r="BW424" s="1997">
        <f t="shared" si="548"/>
        <v>2.9E-4</v>
      </c>
      <c r="BX424" s="1998"/>
      <c r="BY424" s="1998">
        <f>AVERAGE(BT424:BW424)-0.00001</f>
        <v>2.7999999999999998E-4</v>
      </c>
      <c r="BZ424" s="1998">
        <f>BY424-0.00001</f>
        <v>2.6999999999999995E-4</v>
      </c>
      <c r="CA424" s="1998">
        <f>BZ424-0.00001</f>
        <v>2.5999999999999992E-4</v>
      </c>
      <c r="CF424" s="1270"/>
      <c r="CG424" s="1287"/>
      <c r="CH424" s="1287"/>
      <c r="CI424" s="1287"/>
      <c r="CJ424" s="1287"/>
      <c r="CK424" s="1287"/>
      <c r="CL424" s="1278"/>
      <c r="CM424" s="1278"/>
      <c r="CN424" s="1278"/>
      <c r="CO424" s="1278"/>
      <c r="CP424" s="1278"/>
      <c r="CQ424" s="1278"/>
      <c r="CR424" s="1278"/>
      <c r="CS424" s="1270"/>
      <c r="CT424" s="1270"/>
      <c r="CU424" s="1270"/>
      <c r="CV424" s="1270"/>
      <c r="CW424" s="1273"/>
      <c r="CX424" s="1273"/>
      <c r="CY424" s="1273"/>
      <c r="CZ424" s="1270"/>
      <c r="DA424" s="1270"/>
      <c r="DB424" s="1270"/>
    </row>
    <row r="425" spans="1:106" s="762" customFormat="1" hidden="1" outlineLevel="1">
      <c r="A425" s="1587" t="s">
        <v>215</v>
      </c>
      <c r="B425" s="1665"/>
      <c r="C425" s="1665"/>
      <c r="D425" s="1665"/>
      <c r="E425" s="1665"/>
      <c r="F425" s="1665"/>
      <c r="G425" s="1666"/>
      <c r="H425" s="1666"/>
      <c r="I425" s="1666"/>
      <c r="J425" s="1593"/>
      <c r="K425" s="1593"/>
      <c r="L425" s="1666"/>
      <c r="M425" s="1666"/>
      <c r="N425" s="1666"/>
      <c r="O425" s="1593"/>
      <c r="P425" s="1593"/>
      <c r="Q425" s="1666"/>
      <c r="R425" s="1666"/>
      <c r="S425" s="1666"/>
      <c r="T425" s="1593"/>
      <c r="U425" s="1593"/>
      <c r="V425" s="1666"/>
      <c r="W425" s="1666"/>
      <c r="X425" s="1666"/>
      <c r="Y425" s="1593"/>
      <c r="Z425" s="1593"/>
      <c r="AA425" s="1666"/>
      <c r="AB425" s="1666"/>
      <c r="AC425" s="1666"/>
      <c r="AD425" s="1593"/>
      <c r="AE425" s="1593"/>
      <c r="AF425" s="1666"/>
      <c r="AG425" s="1666"/>
      <c r="AH425" s="1666"/>
      <c r="AI425" s="1593"/>
      <c r="AJ425" s="1593"/>
      <c r="AK425" s="1666"/>
      <c r="AL425" s="1666"/>
      <c r="AM425" s="1666"/>
      <c r="AN425" s="1593"/>
      <c r="AO425" s="1593"/>
      <c r="AP425" s="1666"/>
      <c r="AQ425" s="1666"/>
      <c r="AR425" s="1666"/>
      <c r="AS425" s="1593"/>
      <c r="AT425" s="1593"/>
      <c r="AU425" s="1666"/>
      <c r="AV425" s="1666"/>
      <c r="AW425" s="1820"/>
      <c r="AX425" s="1820"/>
      <c r="AY425" s="1594"/>
      <c r="AZ425" s="1820"/>
      <c r="BA425" s="1820"/>
      <c r="BB425" s="1820"/>
      <c r="BC425" s="1820"/>
      <c r="BD425" s="1594"/>
      <c r="BE425" s="1820"/>
      <c r="BF425" s="1820"/>
      <c r="BG425" s="1820"/>
      <c r="BH425" s="1820"/>
      <c r="BI425" s="1594"/>
      <c r="BJ425" s="1820"/>
      <c r="BK425" s="1820"/>
      <c r="BL425" s="1820"/>
      <c r="BM425" s="1820"/>
      <c r="BN425" s="1998"/>
      <c r="BO425" s="1820"/>
      <c r="BP425" s="1997">
        <f>0.00033</f>
        <v>3.3E-4</v>
      </c>
      <c r="BQ425" s="1997">
        <f>0.00033</f>
        <v>3.3E-4</v>
      </c>
      <c r="BR425" s="1997">
        <f>0.00033</f>
        <v>3.3E-4</v>
      </c>
      <c r="BS425" s="1998"/>
      <c r="BT425" s="1997">
        <f>0.00033</f>
        <v>3.3E-4</v>
      </c>
      <c r="BU425" s="1997">
        <f>0.00033</f>
        <v>3.3E-4</v>
      </c>
      <c r="BV425" s="1997">
        <f>0.00033</f>
        <v>3.3E-4</v>
      </c>
      <c r="BW425" s="1997">
        <f>0.00033</f>
        <v>3.3E-4</v>
      </c>
      <c r="BX425" s="1998"/>
      <c r="BY425" s="1998">
        <f>0.00032</f>
        <v>3.2000000000000003E-4</v>
      </c>
      <c r="BZ425" s="1998">
        <f>0.00032</f>
        <v>3.2000000000000003E-4</v>
      </c>
      <c r="CA425" s="1998">
        <f>0.00032</f>
        <v>3.2000000000000003E-4</v>
      </c>
      <c r="CF425" s="1270"/>
      <c r="CG425" s="1287"/>
      <c r="CH425" s="1287"/>
      <c r="CI425" s="1287"/>
      <c r="CJ425" s="1287"/>
      <c r="CK425" s="1287"/>
      <c r="CL425" s="1278"/>
      <c r="CM425" s="1278"/>
      <c r="CN425" s="1278"/>
      <c r="CO425" s="1278"/>
      <c r="CP425" s="1278"/>
      <c r="CQ425" s="1278"/>
      <c r="CR425" s="1278"/>
      <c r="CS425" s="1270"/>
      <c r="CT425" s="1270"/>
      <c r="CU425" s="1270"/>
      <c r="CV425" s="1270"/>
      <c r="CW425" s="1273"/>
      <c r="CX425" s="1273"/>
      <c r="CY425" s="1273"/>
      <c r="CZ425" s="1270"/>
      <c r="DA425" s="1270"/>
      <c r="DB425" s="1270"/>
    </row>
    <row r="426" spans="1:106" s="762" customFormat="1" collapsed="1">
      <c r="A426" s="1273" t="s">
        <v>382</v>
      </c>
      <c r="B426" s="1287"/>
      <c r="C426" s="1287"/>
      <c r="D426" s="1287"/>
      <c r="E426" s="1287"/>
      <c r="F426" s="1287"/>
      <c r="G426" s="1800" t="s">
        <v>249</v>
      </c>
      <c r="H426" s="1319" t="s">
        <v>249</v>
      </c>
      <c r="I426" s="1319" t="s">
        <v>249</v>
      </c>
      <c r="J426" s="1278" t="s">
        <v>249</v>
      </c>
      <c r="K426" s="1278" t="s">
        <v>249</v>
      </c>
      <c r="L426" s="1800" t="s">
        <v>249</v>
      </c>
      <c r="M426" s="1319" t="s">
        <v>249</v>
      </c>
      <c r="N426" s="1319" t="s">
        <v>249</v>
      </c>
      <c r="O426" s="1278" t="s">
        <v>249</v>
      </c>
      <c r="P426" s="1278" t="s">
        <v>249</v>
      </c>
      <c r="Q426" s="1800" t="s">
        <v>249</v>
      </c>
      <c r="R426" s="1319" t="s">
        <v>249</v>
      </c>
      <c r="S426" s="1319" t="s">
        <v>249</v>
      </c>
      <c r="T426" s="1278" t="s">
        <v>249</v>
      </c>
      <c r="U426" s="1278" t="s">
        <v>249</v>
      </c>
      <c r="V426" s="1800" t="s">
        <v>249</v>
      </c>
      <c r="W426" s="1319" t="s">
        <v>249</v>
      </c>
      <c r="X426" s="1319" t="s">
        <v>249</v>
      </c>
      <c r="Y426" s="1278" t="s">
        <v>249</v>
      </c>
      <c r="Z426" s="1278" t="s">
        <v>249</v>
      </c>
      <c r="AA426" s="1800" t="s">
        <v>249</v>
      </c>
      <c r="AB426" s="1319" t="s">
        <v>249</v>
      </c>
      <c r="AC426" s="1319" t="s">
        <v>249</v>
      </c>
      <c r="AD426" s="1278" t="s">
        <v>249</v>
      </c>
      <c r="AE426" s="1278" t="s">
        <v>249</v>
      </c>
      <c r="AF426" s="1800" t="s">
        <v>249</v>
      </c>
      <c r="AG426" s="1319" t="s">
        <v>249</v>
      </c>
      <c r="AH426" s="1319" t="s">
        <v>249</v>
      </c>
      <c r="AI426" s="1278" t="s">
        <v>249</v>
      </c>
      <c r="AJ426" s="1278" t="s">
        <v>249</v>
      </c>
      <c r="AK426" s="1800" t="s">
        <v>249</v>
      </c>
      <c r="AL426" s="1319" t="s">
        <v>249</v>
      </c>
      <c r="AM426" s="1319" t="s">
        <v>249</v>
      </c>
      <c r="AN426" s="1278" t="s">
        <v>249</v>
      </c>
      <c r="AO426" s="1278" t="s">
        <v>249</v>
      </c>
      <c r="AP426" s="1287">
        <v>12.5</v>
      </c>
      <c r="AQ426" s="1287">
        <f>+AP426</f>
        <v>12.5</v>
      </c>
      <c r="AR426" s="1287">
        <f>+AQ426</f>
        <v>12.5</v>
      </c>
      <c r="AS426" s="1287">
        <f>+AR426</f>
        <v>12.5</v>
      </c>
      <c r="AT426" s="1270">
        <f>SUM(AP426:AS426)</f>
        <v>50</v>
      </c>
      <c r="AU426" s="1287">
        <v>10</v>
      </c>
      <c r="AV426" s="1287">
        <f>+AU426</f>
        <v>10</v>
      </c>
      <c r="AW426" s="1287">
        <f>+AV426</f>
        <v>10</v>
      </c>
      <c r="AX426" s="1287">
        <v>8</v>
      </c>
      <c r="AY426" s="1270">
        <f>SUM(AU426:AX426)</f>
        <v>38</v>
      </c>
      <c r="AZ426" s="1287">
        <f>+AZ427-AZ421</f>
        <v>26.319999999999993</v>
      </c>
      <c r="BA426" s="1287">
        <f>+BA427-BA421</f>
        <v>27.919999999999987</v>
      </c>
      <c r="BB426" s="1287">
        <f>+BB427-BB421</f>
        <v>29.359999999999992</v>
      </c>
      <c r="BC426" s="1287">
        <f>+BB426/BB421*BC421</f>
        <v>29.79820895522387</v>
      </c>
      <c r="BD426" s="1270">
        <f>SUM(AZ426:BC426)</f>
        <v>113.39820895522384</v>
      </c>
      <c r="BE426" s="1287">
        <f>+BE427-BE421</f>
        <v>20.28</v>
      </c>
      <c r="BF426" s="1287">
        <f>+BF427-BF421</f>
        <v>24.679999999999993</v>
      </c>
      <c r="BG426" s="1287">
        <f>+BG427-BG421</f>
        <v>29.239999999999995</v>
      </c>
      <c r="BH426" s="1287">
        <f>+BH427-BH421</f>
        <v>26.519999999999996</v>
      </c>
      <c r="BI426" s="1270">
        <f>SUM(BE426:BH426)</f>
        <v>100.71999999999998</v>
      </c>
      <c r="BJ426" s="1287">
        <f>+BJ427-BJ421</f>
        <v>22.439999999999984</v>
      </c>
      <c r="BK426" s="1821">
        <f>+BK427-BK421</f>
        <v>23.120000000000005</v>
      </c>
      <c r="BL426" s="1821">
        <f>+BL427-BL421</f>
        <v>26.162499999999994</v>
      </c>
      <c r="BM426" s="1821">
        <f>+BM427-BM421</f>
        <v>21.916250000000005</v>
      </c>
      <c r="BN426" s="1322">
        <f>SUM(BJ426:BM426)</f>
        <v>93.638749999999987</v>
      </c>
      <c r="BO426" s="1287">
        <f>+BO427-BO421</f>
        <v>34.248750000000001</v>
      </c>
      <c r="BP426" s="1821">
        <f>+BO426/BO421*BP421</f>
        <v>34.616542308917204</v>
      </c>
      <c r="BQ426" s="1821">
        <f>+BP426/BP421*BQ421</f>
        <v>35.78841673566879</v>
      </c>
      <c r="BR426" s="1821">
        <f>+BQ426/BQ421*BR421</f>
        <v>36.96029116242039</v>
      </c>
      <c r="BS426" s="1322">
        <f>SUM(BO426:BR426)</f>
        <v>141.61400020700637</v>
      </c>
      <c r="BT426" s="1821">
        <f>+BS426/BS421*BT421</f>
        <v>38.184514258184713</v>
      </c>
      <c r="BU426" s="1821">
        <f>+BT426/BT421*BU421</f>
        <v>39.46108602296178</v>
      </c>
      <c r="BV426" s="1821">
        <f>+BU426/BU421*BV421</f>
        <v>40.737657787738847</v>
      </c>
      <c r="BW426" s="1821">
        <f>+BV426/BV421*BW421</f>
        <v>42.014229552515928</v>
      </c>
      <c r="BX426" s="1322">
        <f>SUM(BT426:BW426)</f>
        <v>160.39748762140127</v>
      </c>
      <c r="BY426" s="1322">
        <f>+BX426/BX421*BY421</f>
        <v>175.92838918143212</v>
      </c>
      <c r="BZ426" s="1322">
        <f>+BY426/BY421*BZ421</f>
        <v>192.71698403474591</v>
      </c>
      <c r="CA426" s="1322">
        <f>+BZ426/BZ421*CA421</f>
        <v>209.21114122013057</v>
      </c>
      <c r="CF426" s="1270" t="str">
        <f t="shared" si="512"/>
        <v>Other AUM Based Fees</v>
      </c>
      <c r="CG426" s="1287"/>
      <c r="CH426" s="1287"/>
      <c r="CI426" s="1287"/>
      <c r="CJ426" s="1287"/>
      <c r="CK426" s="1287"/>
      <c r="CL426" s="1278"/>
      <c r="CM426" s="1278"/>
      <c r="CN426" s="1278"/>
      <c r="CO426" s="1278"/>
      <c r="CP426" s="1278"/>
      <c r="CQ426" s="1278"/>
      <c r="CR426" s="1278"/>
      <c r="CS426" s="1270">
        <f>+AT426</f>
        <v>50</v>
      </c>
      <c r="CT426" s="1270">
        <f>+AY426</f>
        <v>38</v>
      </c>
      <c r="CU426" s="1270">
        <f>+BD426</f>
        <v>113.39820895522384</v>
      </c>
      <c r="CV426" s="1270">
        <f>+BI426</f>
        <v>100.71999999999998</v>
      </c>
      <c r="CW426" s="1273">
        <f>+BN426</f>
        <v>93.638749999999987</v>
      </c>
      <c r="CX426" s="1273">
        <f>+BS426</f>
        <v>141.61400020700637</v>
      </c>
      <c r="CY426" s="1273">
        <f t="shared" ref="CY426:DB427" si="549">+BX426</f>
        <v>160.39748762140127</v>
      </c>
      <c r="CZ426" s="1270">
        <f t="shared" si="549"/>
        <v>175.92838918143212</v>
      </c>
      <c r="DA426" s="1270">
        <f t="shared" si="549"/>
        <v>192.71698403474591</v>
      </c>
      <c r="DB426" s="1270">
        <f t="shared" si="549"/>
        <v>209.21114122013057</v>
      </c>
    </row>
    <row r="427" spans="1:106" s="1330" customFormat="1" ht="12" customHeight="1">
      <c r="A427" s="797" t="s">
        <v>359</v>
      </c>
      <c r="B427" s="802"/>
      <c r="C427" s="802"/>
      <c r="D427" s="802"/>
      <c r="E427" s="802"/>
      <c r="F427" s="802"/>
      <c r="G427" s="1800" t="s">
        <v>249</v>
      </c>
      <c r="H427" s="1319" t="s">
        <v>249</v>
      </c>
      <c r="I427" s="1319" t="s">
        <v>249</v>
      </c>
      <c r="J427" s="1278" t="s">
        <v>249</v>
      </c>
      <c r="K427" s="1278" t="s">
        <v>249</v>
      </c>
      <c r="L427" s="1800" t="s">
        <v>249</v>
      </c>
      <c r="M427" s="1319" t="s">
        <v>249</v>
      </c>
      <c r="N427" s="1319" t="s">
        <v>249</v>
      </c>
      <c r="O427" s="1278" t="s">
        <v>249</v>
      </c>
      <c r="P427" s="1278" t="s">
        <v>249</v>
      </c>
      <c r="Q427" s="1800" t="s">
        <v>249</v>
      </c>
      <c r="R427" s="1319" t="s">
        <v>249</v>
      </c>
      <c r="S427" s="1319" t="s">
        <v>249</v>
      </c>
      <c r="T427" s="1278" t="s">
        <v>249</v>
      </c>
      <c r="U427" s="1278" t="s">
        <v>249</v>
      </c>
      <c r="V427" s="1800" t="s">
        <v>249</v>
      </c>
      <c r="W427" s="1319" t="s">
        <v>249</v>
      </c>
      <c r="X427" s="1319" t="s">
        <v>249</v>
      </c>
      <c r="Y427" s="1278" t="s">
        <v>249</v>
      </c>
      <c r="Z427" s="1278" t="s">
        <v>249</v>
      </c>
      <c r="AA427" s="1800" t="s">
        <v>249</v>
      </c>
      <c r="AB427" s="1319" t="s">
        <v>249</v>
      </c>
      <c r="AC427" s="1319" t="s">
        <v>249</v>
      </c>
      <c r="AD427" s="1278" t="s">
        <v>249</v>
      </c>
      <c r="AE427" s="1278" t="s">
        <v>249</v>
      </c>
      <c r="AF427" s="1800" t="s">
        <v>249</v>
      </c>
      <c r="AG427" s="1319" t="s">
        <v>249</v>
      </c>
      <c r="AH427" s="1319" t="s">
        <v>249</v>
      </c>
      <c r="AI427" s="1278" t="s">
        <v>249</v>
      </c>
      <c r="AJ427" s="1278" t="s">
        <v>249</v>
      </c>
      <c r="AK427" s="1800" t="s">
        <v>249</v>
      </c>
      <c r="AL427" s="1319" t="s">
        <v>249</v>
      </c>
      <c r="AM427" s="1319" t="s">
        <v>249</v>
      </c>
      <c r="AN427" s="1278" t="s">
        <v>249</v>
      </c>
      <c r="AO427" s="1278" t="s">
        <v>249</v>
      </c>
      <c r="AP427" s="803">
        <f>SUM(AP421:AP426)</f>
        <v>52.14</v>
      </c>
      <c r="AQ427" s="803">
        <f>SUM(AQ421:AQ426)</f>
        <v>55.34</v>
      </c>
      <c r="AR427" s="803">
        <f>SUM(AR421:AR426)</f>
        <v>57.74</v>
      </c>
      <c r="AS427" s="803">
        <f>SUM(AS421:AS426)</f>
        <v>63.34</v>
      </c>
      <c r="AT427" s="804">
        <f>SUM(AP427:AS427)</f>
        <v>228.56</v>
      </c>
      <c r="AU427" s="803">
        <f>SUM(AU421:AU426)</f>
        <v>64.12</v>
      </c>
      <c r="AV427" s="803">
        <f>SUM(AV421:AV426)</f>
        <v>65.44</v>
      </c>
      <c r="AW427" s="803">
        <f>SUM(AW421:AW426)</f>
        <v>68.080000000000013</v>
      </c>
      <c r="AX427" s="803">
        <f>SUM(AX421:AX426)</f>
        <v>70.599999999999994</v>
      </c>
      <c r="AY427" s="804">
        <f>SUM(AU427:AX427)</f>
        <v>268.24</v>
      </c>
      <c r="AZ427" s="803">
        <f>+AZ320</f>
        <v>92</v>
      </c>
      <c r="BA427" s="803">
        <f>+BA320</f>
        <v>92</v>
      </c>
      <c r="BB427" s="803">
        <f>+BB320</f>
        <v>91</v>
      </c>
      <c r="BC427" s="803">
        <f>SUM(BC421:BC426)</f>
        <v>92.358208955223873</v>
      </c>
      <c r="BD427" s="804">
        <f>SUM(AZ427:BC427)</f>
        <v>367.35820895522386</v>
      </c>
      <c r="BE427" s="803">
        <f>+BE320</f>
        <v>86</v>
      </c>
      <c r="BF427" s="803">
        <f>+BF320</f>
        <v>92</v>
      </c>
      <c r="BG427" s="803">
        <f>+BG320</f>
        <v>100</v>
      </c>
      <c r="BH427" s="803">
        <f>+BH320</f>
        <v>104</v>
      </c>
      <c r="BI427" s="804">
        <f>SUM(BE427:BH427)</f>
        <v>382</v>
      </c>
      <c r="BJ427" s="803">
        <f>+BJ320</f>
        <v>108</v>
      </c>
      <c r="BK427" s="803">
        <f>+BK320</f>
        <v>114</v>
      </c>
      <c r="BL427" s="803">
        <f>+BL320</f>
        <v>118</v>
      </c>
      <c r="BM427" s="803">
        <f>+BM320</f>
        <v>121</v>
      </c>
      <c r="BN427" s="804">
        <f>SUM(BJ427:BM427)</f>
        <v>461</v>
      </c>
      <c r="BO427" s="803">
        <f>+BO320</f>
        <v>131</v>
      </c>
      <c r="BP427" s="803">
        <f>BP421+BP426</f>
        <v>132.40678980891721</v>
      </c>
      <c r="BQ427" s="803">
        <f>BQ421+BQ426</f>
        <v>136.88915923566879</v>
      </c>
      <c r="BR427" s="803">
        <f>BR421+BR426</f>
        <v>141.37152866242042</v>
      </c>
      <c r="BS427" s="804">
        <f>SUM(BO427:BR427)</f>
        <v>541.66747770700636</v>
      </c>
      <c r="BT427" s="803">
        <f>BT421+BT426</f>
        <v>146.05412950318473</v>
      </c>
      <c r="BU427" s="803">
        <f>BU421+BU426</f>
        <v>150.9369617579618</v>
      </c>
      <c r="BV427" s="803">
        <f>BV421+BV426</f>
        <v>155.81979401273884</v>
      </c>
      <c r="BW427" s="803">
        <f>BW421+BW426</f>
        <v>160.70262626751594</v>
      </c>
      <c r="BX427" s="804">
        <f>SUM(BT427:BW427)</f>
        <v>613.51351154140127</v>
      </c>
      <c r="BY427" s="804">
        <f>BY421+BY426</f>
        <v>672.91854396927215</v>
      </c>
      <c r="BZ427" s="804">
        <f>BZ421+BZ426</f>
        <v>737.13419930805401</v>
      </c>
      <c r="CA427" s="804">
        <f>CA421+CA426</f>
        <v>800.22364319390067</v>
      </c>
      <c r="CB427" s="2006">
        <f>(CA427/BN427)^(1/5)-1</f>
        <v>0.11661148543460764</v>
      </c>
      <c r="CF427" s="798" t="str">
        <f t="shared" si="512"/>
        <v>AUM Based Fees</v>
      </c>
      <c r="CG427" s="805"/>
      <c r="CH427" s="798"/>
      <c r="CI427" s="798"/>
      <c r="CJ427" s="798"/>
      <c r="CK427" s="798"/>
      <c r="CL427" s="1278"/>
      <c r="CM427" s="1278"/>
      <c r="CN427" s="1278"/>
      <c r="CO427" s="1278"/>
      <c r="CP427" s="1278"/>
      <c r="CQ427" s="1278"/>
      <c r="CR427" s="1278"/>
      <c r="CS427" s="804">
        <f>+AT427</f>
        <v>228.56</v>
      </c>
      <c r="CT427" s="804">
        <f>+AY427</f>
        <v>268.24</v>
      </c>
      <c r="CU427" s="804">
        <f>+BD427</f>
        <v>367.35820895522386</v>
      </c>
      <c r="CV427" s="804">
        <f>+BI427</f>
        <v>382</v>
      </c>
      <c r="CW427" s="804">
        <f>+BN427</f>
        <v>461</v>
      </c>
      <c r="CX427" s="804">
        <f>+BS427</f>
        <v>541.66747770700636</v>
      </c>
      <c r="CY427" s="804">
        <f t="shared" si="549"/>
        <v>613.51351154140127</v>
      </c>
      <c r="CZ427" s="804">
        <f t="shared" si="549"/>
        <v>672.91854396927215</v>
      </c>
      <c r="DA427" s="804">
        <f t="shared" si="549"/>
        <v>737.13419930805401</v>
      </c>
      <c r="DB427" s="804">
        <f t="shared" si="549"/>
        <v>800.22364319390067</v>
      </c>
    </row>
    <row r="428" spans="1:106" s="1330" customFormat="1" ht="12" customHeight="1">
      <c r="A428" s="1810"/>
      <c r="B428" s="1799"/>
      <c r="C428" s="1799"/>
      <c r="D428" s="1799"/>
      <c r="E428" s="1799"/>
      <c r="F428" s="1799"/>
      <c r="G428" s="1799"/>
      <c r="H428" s="1799"/>
      <c r="I428" s="1799"/>
      <c r="J428" s="1799"/>
      <c r="K428" s="1351"/>
      <c r="L428" s="1799"/>
      <c r="M428" s="1799"/>
      <c r="N428" s="1799"/>
      <c r="O428" s="1799"/>
      <c r="P428" s="1351"/>
      <c r="Q428" s="1799"/>
      <c r="R428" s="1799"/>
      <c r="S428" s="1799"/>
      <c r="T428" s="1822"/>
      <c r="U428" s="1351"/>
      <c r="V428" s="1799"/>
      <c r="W428" s="1799"/>
      <c r="X428" s="1799"/>
      <c r="Y428" s="1353"/>
      <c r="Z428" s="1351"/>
      <c r="AA428" s="1353"/>
      <c r="AB428" s="1353"/>
      <c r="AC428" s="1353"/>
      <c r="AD428" s="1353"/>
      <c r="AE428" s="1325"/>
      <c r="AF428" s="1353"/>
      <c r="AG428" s="1353"/>
      <c r="AH428" s="1353"/>
      <c r="AI428" s="1353"/>
      <c r="AJ428" s="1325"/>
      <c r="AK428" s="1353"/>
      <c r="AL428" s="1353"/>
      <c r="AM428" s="1353"/>
      <c r="AN428" s="1353"/>
      <c r="AO428" s="1325"/>
      <c r="AP428" s="1823"/>
      <c r="AQ428" s="1823"/>
      <c r="AR428" s="1823"/>
      <c r="AS428" s="1823"/>
      <c r="AT428" s="1824"/>
      <c r="AU428" s="1353"/>
      <c r="AV428" s="1353"/>
      <c r="AW428" s="1799"/>
      <c r="AX428" s="1799"/>
      <c r="AY428" s="1325"/>
      <c r="AZ428" s="1825"/>
      <c r="BA428" s="1826"/>
      <c r="BB428" s="1826"/>
      <c r="BC428" s="1826"/>
      <c r="BD428" s="1325"/>
      <c r="BE428" s="1799"/>
      <c r="BF428" s="1826"/>
      <c r="BG428" s="1799"/>
      <c r="BH428" s="1826"/>
      <c r="BI428" s="1325"/>
      <c r="BJ428" s="1799"/>
      <c r="BK428" s="1825"/>
      <c r="BL428" s="1799"/>
      <c r="BM428" s="1825"/>
      <c r="BN428" s="1827"/>
      <c r="BO428" s="1825"/>
      <c r="BP428" s="1799"/>
      <c r="BQ428" s="1799"/>
      <c r="BR428" s="1799"/>
      <c r="BS428" s="1351"/>
      <c r="BT428" s="1825"/>
      <c r="BU428" s="1799"/>
      <c r="BV428" s="1799"/>
      <c r="BW428" s="1799"/>
      <c r="BX428" s="1810"/>
      <c r="BY428" s="1351"/>
      <c r="BZ428" s="1351"/>
      <c r="CA428" s="1351"/>
      <c r="CB428" s="1340"/>
      <c r="CF428" s="1351"/>
      <c r="CG428" s="1350"/>
      <c r="CH428" s="1351"/>
      <c r="CI428" s="1351"/>
      <c r="CJ428" s="1351"/>
      <c r="CK428" s="1351"/>
      <c r="CL428" s="1351"/>
      <c r="CM428" s="1325"/>
      <c r="CN428" s="1325"/>
      <c r="CO428" s="1325"/>
      <c r="CP428" s="1325"/>
      <c r="CQ428" s="1325"/>
      <c r="CR428" s="1325"/>
      <c r="CS428" s="1824"/>
      <c r="CT428" s="1325"/>
      <c r="CU428" s="1325"/>
      <c r="CV428" s="1325"/>
      <c r="CW428" s="1810"/>
      <c r="CX428" s="1351"/>
      <c r="CY428" s="1351"/>
      <c r="CZ428" s="1351"/>
      <c r="DA428" s="1351"/>
      <c r="DB428" s="1351"/>
    </row>
    <row r="429" spans="1:106" s="1330" customFormat="1" ht="12" customHeight="1">
      <c r="A429" s="797" t="s">
        <v>383</v>
      </c>
      <c r="B429" s="1799"/>
      <c r="C429" s="1799"/>
      <c r="D429" s="1799"/>
      <c r="E429" s="1799"/>
      <c r="F429" s="1799"/>
      <c r="G429" s="1319"/>
      <c r="H429" s="1319"/>
      <c r="I429" s="1319"/>
      <c r="J429" s="1278"/>
      <c r="K429" s="1278"/>
      <c r="L429" s="1319"/>
      <c r="M429" s="1319"/>
      <c r="N429" s="1319"/>
      <c r="O429" s="1278"/>
      <c r="P429" s="1278"/>
      <c r="Q429" s="1319"/>
      <c r="R429" s="1319"/>
      <c r="S429" s="1319"/>
      <c r="T429" s="1278"/>
      <c r="U429" s="1278"/>
      <c r="V429" s="1319"/>
      <c r="W429" s="1319"/>
      <c r="X429" s="1319"/>
      <c r="Y429" s="1278"/>
      <c r="Z429" s="1278"/>
      <c r="AA429" s="1319"/>
      <c r="AB429" s="1319"/>
      <c r="AC429" s="1319"/>
      <c r="AD429" s="1278"/>
      <c r="AE429" s="1278"/>
      <c r="AF429" s="1319"/>
      <c r="AG429" s="1319"/>
      <c r="AH429" s="1319"/>
      <c r="AI429" s="1278"/>
      <c r="AJ429" s="1278"/>
      <c r="AK429" s="1319"/>
      <c r="AL429" s="1319"/>
      <c r="AM429" s="1319"/>
      <c r="AN429" s="1278"/>
      <c r="AO429" s="1278"/>
      <c r="AP429" s="1353"/>
      <c r="AQ429" s="1353"/>
      <c r="AR429" s="1353"/>
      <c r="AS429" s="1353"/>
      <c r="AT429" s="1325"/>
      <c r="AU429" s="1353"/>
      <c r="AV429" s="1353"/>
      <c r="AW429" s="1799"/>
      <c r="AX429" s="1799"/>
      <c r="AY429" s="1325"/>
      <c r="AZ429" s="1799"/>
      <c r="BA429" s="1799"/>
      <c r="BB429" s="1799"/>
      <c r="BC429" s="1826"/>
      <c r="BD429" s="1325"/>
      <c r="BE429" s="1799"/>
      <c r="BF429" s="1799"/>
      <c r="BG429" s="1799"/>
      <c r="BH429" s="1826"/>
      <c r="BI429" s="1325"/>
      <c r="BJ429" s="1799"/>
      <c r="BK429" s="1799"/>
      <c r="BL429" s="1799"/>
      <c r="BM429" s="1799"/>
      <c r="BN429" s="1351"/>
      <c r="BO429" s="1799"/>
      <c r="BP429" s="1799"/>
      <c r="BQ429" s="1799"/>
      <c r="BR429" s="1799"/>
      <c r="BS429" s="1351"/>
      <c r="BT429" s="1799"/>
      <c r="BU429" s="1799"/>
      <c r="BV429" s="1799"/>
      <c r="BW429" s="1799"/>
      <c r="BX429" s="1810"/>
      <c r="BY429" s="1351"/>
      <c r="BZ429" s="1351"/>
      <c r="CA429" s="1351"/>
      <c r="CB429" s="1340"/>
      <c r="CF429" s="798" t="str">
        <f t="shared" si="512"/>
        <v xml:space="preserve">Trading Fees: </v>
      </c>
      <c r="CG429" s="1350"/>
      <c r="CH429" s="1351"/>
      <c r="CI429" s="1351"/>
      <c r="CJ429" s="1351"/>
      <c r="CK429" s="1351"/>
      <c r="CL429" s="1278"/>
      <c r="CM429" s="1278"/>
      <c r="CN429" s="1278"/>
      <c r="CO429" s="1278"/>
      <c r="CP429" s="1278"/>
      <c r="CQ429" s="1278"/>
      <c r="CR429" s="1278"/>
      <c r="CS429" s="1325"/>
      <c r="CT429" s="1325"/>
      <c r="CU429" s="1325"/>
      <c r="CV429" s="1325"/>
      <c r="CW429" s="1810"/>
      <c r="CX429" s="1351"/>
      <c r="CY429" s="1351"/>
      <c r="CZ429" s="1351"/>
      <c r="DA429" s="1351"/>
      <c r="DB429" s="1351"/>
    </row>
    <row r="430" spans="1:106" s="1330" customFormat="1" ht="12" customHeight="1">
      <c r="A430" s="1354" t="s">
        <v>384</v>
      </c>
      <c r="B430" s="1799"/>
      <c r="C430" s="1799"/>
      <c r="D430" s="1799"/>
      <c r="E430" s="1799"/>
      <c r="F430" s="1799"/>
      <c r="G430" s="1319" t="s">
        <v>249</v>
      </c>
      <c r="H430" s="1319" t="s">
        <v>249</v>
      </c>
      <c r="I430" s="1319" t="s">
        <v>249</v>
      </c>
      <c r="J430" s="1278" t="s">
        <v>249</v>
      </c>
      <c r="K430" s="1278" t="s">
        <v>249</v>
      </c>
      <c r="L430" s="1319" t="s">
        <v>249</v>
      </c>
      <c r="M430" s="1319" t="s">
        <v>249</v>
      </c>
      <c r="N430" s="1319" t="s">
        <v>249</v>
      </c>
      <c r="O430" s="1278" t="s">
        <v>249</v>
      </c>
      <c r="P430" s="1278" t="s">
        <v>249</v>
      </c>
      <c r="Q430" s="1319" t="s">
        <v>249</v>
      </c>
      <c r="R430" s="1319" t="s">
        <v>249</v>
      </c>
      <c r="S430" s="1319" t="s">
        <v>249</v>
      </c>
      <c r="T430" s="1278" t="s">
        <v>249</v>
      </c>
      <c r="U430" s="1278" t="s">
        <v>249</v>
      </c>
      <c r="V430" s="1799">
        <v>24.71712192</v>
      </c>
      <c r="W430" s="1799">
        <v>21.444756480000002</v>
      </c>
      <c r="X430" s="1799">
        <v>19.63655168</v>
      </c>
      <c r="Y430" s="1353">
        <v>18.869882879999999</v>
      </c>
      <c r="Z430" s="1351">
        <v>84.668312960000009</v>
      </c>
      <c r="AA430" s="1353">
        <v>19.589247199999999</v>
      </c>
      <c r="AB430" s="1353">
        <v>25.225369600000001</v>
      </c>
      <c r="AC430" s="1353">
        <v>20.365025280000001</v>
      </c>
      <c r="AD430" s="1353">
        <v>18.294681600000001</v>
      </c>
      <c r="AE430" s="1325">
        <v>83.474323679999998</v>
      </c>
      <c r="AF430" s="1353">
        <v>20.323401599999997</v>
      </c>
      <c r="AG430" s="1353">
        <v>20.310978239999997</v>
      </c>
      <c r="AH430" s="1353">
        <v>29.082828799999998</v>
      </c>
      <c r="AI430" s="1353">
        <v>22.363840799999998</v>
      </c>
      <c r="AJ430" s="1325">
        <v>92.081049439999987</v>
      </c>
      <c r="AK430" s="1353">
        <v>16.4064896</v>
      </c>
      <c r="AL430" s="1353">
        <v>20.146237440000004</v>
      </c>
      <c r="AM430" s="1353">
        <v>16.509376800000002</v>
      </c>
      <c r="AN430" s="1353">
        <v>18.07159296</v>
      </c>
      <c r="AO430" s="1325">
        <v>71.13369680000001</v>
      </c>
      <c r="AP430" s="1353">
        <v>17.300428799999999</v>
      </c>
      <c r="AQ430" s="1353">
        <v>22.51167744</v>
      </c>
      <c r="AR430" s="1353">
        <v>17.144371199999998</v>
      </c>
      <c r="AS430" s="1353">
        <v>17.762734080000001</v>
      </c>
      <c r="AT430" s="1325">
        <v>74.719211520000002</v>
      </c>
      <c r="AU430" s="1353">
        <v>20.082956800000002</v>
      </c>
      <c r="AV430" s="1353">
        <v>17.740900799999999</v>
      </c>
      <c r="AW430" s="1799">
        <v>18.192199680000002</v>
      </c>
      <c r="AX430" s="1828">
        <v>22.225489919999998</v>
      </c>
      <c r="AY430" s="1328">
        <v>78.241547199999999</v>
      </c>
      <c r="AZ430" s="1828">
        <v>19.520527040000001</v>
      </c>
      <c r="BA430" s="1828">
        <v>17.550335999999998</v>
      </c>
      <c r="BB430" s="1828">
        <v>23.729510399999999</v>
      </c>
      <c r="BC430" s="1828">
        <v>20.223590399999999</v>
      </c>
      <c r="BD430" s="1328">
        <v>81.023963839999993</v>
      </c>
      <c r="BE430" s="1828">
        <v>24.995750400000002</v>
      </c>
      <c r="BF430" s="1828">
        <v>21.461032959999997</v>
      </c>
      <c r="BG430" s="1828">
        <v>19.908362240000002</v>
      </c>
      <c r="BH430" s="1828">
        <v>20.025179999999999</v>
      </c>
      <c r="BI430" s="1328">
        <v>86.390325600000011</v>
      </c>
      <c r="BJ430" s="1828">
        <v>19.698358719999998</v>
      </c>
      <c r="BK430" s="1828">
        <v>19.946475360000001</v>
      </c>
      <c r="BL430" s="1828">
        <v>19.518742079999999</v>
      </c>
      <c r="BM430" s="1828">
        <v>20.371906560000003</v>
      </c>
      <c r="BN430" s="1328">
        <v>79.53548271999999</v>
      </c>
      <c r="BO430" s="1828">
        <v>32.337760461639348</v>
      </c>
      <c r="BP430" s="1828">
        <v>23.97773402112</v>
      </c>
      <c r="BQ430" s="1828">
        <v>21.690169269187244</v>
      </c>
      <c r="BR430" s="1828">
        <v>22.290543688801076</v>
      </c>
      <c r="BS430" s="1328">
        <v>100.29620744074768</v>
      </c>
      <c r="BT430" s="1828">
        <v>23.649778227921693</v>
      </c>
      <c r="BU430" s="1828">
        <v>23.416070433775662</v>
      </c>
      <c r="BV430" s="1828">
        <v>23.021663880744679</v>
      </c>
      <c r="BW430" s="1828">
        <v>23.109309781418229</v>
      </c>
      <c r="BX430" s="1328">
        <v>93.196822323860275</v>
      </c>
      <c r="BY430" s="1326">
        <v>97.856663440053296</v>
      </c>
      <c r="BZ430" s="1326">
        <v>102.74949661205598</v>
      </c>
      <c r="CA430" s="1326">
        <v>107.88697144265876</v>
      </c>
      <c r="CB430" s="1340"/>
      <c r="CF430" s="1607" t="str">
        <f t="shared" si="512"/>
        <v>CME</v>
      </c>
      <c r="CG430" s="1350"/>
      <c r="CH430" s="1351"/>
      <c r="CI430" s="1351"/>
      <c r="CJ430" s="1351"/>
      <c r="CK430" s="1351"/>
      <c r="CL430" s="1278"/>
      <c r="CM430" s="1325"/>
      <c r="CN430" s="1325"/>
      <c r="CO430" s="1325">
        <f>+Z430</f>
        <v>84.668312960000009</v>
      </c>
      <c r="CP430" s="1325">
        <f>+AE430</f>
        <v>83.474323679999998</v>
      </c>
      <c r="CQ430" s="1325">
        <f>+AJ430</f>
        <v>92.081049439999987</v>
      </c>
      <c r="CR430" s="1325">
        <f>+AO430</f>
        <v>71.13369680000001</v>
      </c>
      <c r="CS430" s="1325">
        <f>+AT430</f>
        <v>74.719211520000002</v>
      </c>
      <c r="CT430" s="1328">
        <f>+AY430</f>
        <v>78.241547199999999</v>
      </c>
      <c r="CU430" s="1328">
        <f>+BD430</f>
        <v>81.023963839999993</v>
      </c>
      <c r="CV430" s="1328">
        <f>+BI430</f>
        <v>86.390325600000011</v>
      </c>
      <c r="CW430" s="1829">
        <f>+BN430</f>
        <v>79.53548271999999</v>
      </c>
      <c r="CX430" s="1326">
        <f>+BS430</f>
        <v>100.29620744074768</v>
      </c>
      <c r="CY430" s="1326">
        <f t="shared" ref="CY430:DB431" si="550">+BX430</f>
        <v>93.196822323860275</v>
      </c>
      <c r="CZ430" s="1326">
        <f t="shared" si="550"/>
        <v>97.856663440053296</v>
      </c>
      <c r="DA430" s="1326">
        <f t="shared" si="550"/>
        <v>102.74949661205598</v>
      </c>
      <c r="DB430" s="1326">
        <f t="shared" si="550"/>
        <v>107.88697144265876</v>
      </c>
    </row>
    <row r="431" spans="1:106" s="1330" customFormat="1" ht="12" customHeight="1">
      <c r="A431" s="1354" t="s">
        <v>385</v>
      </c>
      <c r="B431" s="1799"/>
      <c r="C431" s="1799"/>
      <c r="D431" s="1799"/>
      <c r="E431" s="1799"/>
      <c r="F431" s="1799"/>
      <c r="G431" s="1319" t="s">
        <v>249</v>
      </c>
      <c r="H431" s="1319" t="s">
        <v>249</v>
      </c>
      <c r="I431" s="1319" t="s">
        <v>249</v>
      </c>
      <c r="J431" s="1278" t="s">
        <v>249</v>
      </c>
      <c r="K431" s="1278" t="s">
        <v>249</v>
      </c>
      <c r="L431" s="1319" t="s">
        <v>249</v>
      </c>
      <c r="M431" s="1319" t="s">
        <v>249</v>
      </c>
      <c r="N431" s="1319" t="s">
        <v>249</v>
      </c>
      <c r="O431" s="1278" t="s">
        <v>249</v>
      </c>
      <c r="P431" s="1278" t="s">
        <v>249</v>
      </c>
      <c r="Q431" s="1319" t="s">
        <v>249</v>
      </c>
      <c r="R431" s="1319" t="s">
        <v>249</v>
      </c>
      <c r="S431" s="1319" t="s">
        <v>249</v>
      </c>
      <c r="T431" s="1278" t="s">
        <v>249</v>
      </c>
      <c r="U431" s="1278" t="s">
        <v>249</v>
      </c>
      <c r="V431" s="1799">
        <v>7.1739000000000006</v>
      </c>
      <c r="W431" s="1799">
        <v>7.0289999999999999</v>
      </c>
      <c r="X431" s="1799">
        <v>7.2108000000000008</v>
      </c>
      <c r="Y431" s="1353">
        <v>8.3574000000000002</v>
      </c>
      <c r="Z431" s="1351">
        <v>29.771099999999997</v>
      </c>
      <c r="AA431" s="1353">
        <v>9.8081999999999994</v>
      </c>
      <c r="AB431" s="1353">
        <v>10.367100000000001</v>
      </c>
      <c r="AC431" s="1353">
        <v>8.3034000000000017</v>
      </c>
      <c r="AD431" s="1353">
        <v>8.7390000000000008</v>
      </c>
      <c r="AE431" s="1325">
        <v>37.217700000000008</v>
      </c>
      <c r="AF431" s="1353">
        <v>10.031400000000001</v>
      </c>
      <c r="AG431" s="1353">
        <v>9.3356999999999992</v>
      </c>
      <c r="AH431" s="1353">
        <v>12.5604</v>
      </c>
      <c r="AI431" s="1353">
        <v>11.1114</v>
      </c>
      <c r="AJ431" s="1325">
        <v>43.038899999999998</v>
      </c>
      <c r="AK431" s="1353">
        <v>10.071900000000001</v>
      </c>
      <c r="AL431" s="1353">
        <v>10.8009</v>
      </c>
      <c r="AM431" s="1353">
        <v>10.1736</v>
      </c>
      <c r="AN431" s="1353">
        <v>10.475099999999999</v>
      </c>
      <c r="AO431" s="1325">
        <v>41.521500000000003</v>
      </c>
      <c r="AP431" s="1353">
        <v>11.8521</v>
      </c>
      <c r="AQ431" s="1353">
        <v>13.0662</v>
      </c>
      <c r="AR431" s="1353">
        <v>12.4596</v>
      </c>
      <c r="AS431" s="1353">
        <v>13.5387</v>
      </c>
      <c r="AT431" s="1325">
        <v>50.916600000000003</v>
      </c>
      <c r="AU431" s="1353">
        <v>14.3118</v>
      </c>
      <c r="AV431" s="1353">
        <v>13.236300000000002</v>
      </c>
      <c r="AW431" s="1799">
        <v>14.611499999999999</v>
      </c>
      <c r="AX431" s="1828">
        <v>17.339399999999998</v>
      </c>
      <c r="AY431" s="1328">
        <v>59.498999999999995</v>
      </c>
      <c r="AZ431" s="1828">
        <v>8.49</v>
      </c>
      <c r="BA431" s="1828">
        <v>10.052999999999999</v>
      </c>
      <c r="BB431" s="1828">
        <v>13.103999999999999</v>
      </c>
      <c r="BC431" s="1828">
        <v>10.697399999999996</v>
      </c>
      <c r="BD431" s="1328">
        <v>42.344399999999993</v>
      </c>
      <c r="BE431" s="1828">
        <v>11.468400000000001</v>
      </c>
      <c r="BF431" s="1828">
        <v>11.601599999999999</v>
      </c>
      <c r="BG431" s="1828">
        <v>11.6394</v>
      </c>
      <c r="BH431" s="1828">
        <v>12.0618</v>
      </c>
      <c r="BI431" s="1328">
        <v>46.7712</v>
      </c>
      <c r="BJ431" s="1828">
        <v>12.719999999999999</v>
      </c>
      <c r="BK431" s="1828">
        <v>12.360000000000001</v>
      </c>
      <c r="BL431" s="1828">
        <v>13.26</v>
      </c>
      <c r="BM431" s="1828">
        <v>13.505029464335227</v>
      </c>
      <c r="BN431" s="1328">
        <v>51.845029464335227</v>
      </c>
      <c r="BO431" s="1828">
        <v>15.698478112800938</v>
      </c>
      <c r="BP431" s="1828">
        <v>14.568042062156733</v>
      </c>
      <c r="BQ431" s="1828">
        <v>14.209314717010331</v>
      </c>
      <c r="BR431" s="1828">
        <v>14.639584142188058</v>
      </c>
      <c r="BS431" s="1328">
        <f>SUM(BO431:BR431)</f>
        <v>59.115419034156055</v>
      </c>
      <c r="BT431" s="1828">
        <v>15.252140956784615</v>
      </c>
      <c r="BU431" s="1828">
        <v>15.147395622836834</v>
      </c>
      <c r="BV431" s="1828">
        <v>14.949091349828901</v>
      </c>
      <c r="BW431" s="1828">
        <v>15.26942902161095</v>
      </c>
      <c r="BX431" s="1328">
        <f>SUM(BT431:BW431)</f>
        <v>60.618056951061291</v>
      </c>
      <c r="BY431" s="1326">
        <v>63.648959798614356</v>
      </c>
      <c r="BZ431" s="1326">
        <v>66.831407788545079</v>
      </c>
      <c r="CA431" s="1326">
        <v>70.17297817797234</v>
      </c>
      <c r="CB431" s="1340"/>
      <c r="CF431" s="1607" t="str">
        <f t="shared" si="512"/>
        <v>CBOE</v>
      </c>
      <c r="CG431" s="1350"/>
      <c r="CH431" s="1351"/>
      <c r="CI431" s="1351"/>
      <c r="CJ431" s="1351"/>
      <c r="CK431" s="1351"/>
      <c r="CL431" s="1278"/>
      <c r="CM431" s="1325"/>
      <c r="CN431" s="1325"/>
      <c r="CO431" s="1325">
        <f>+Z431</f>
        <v>29.771099999999997</v>
      </c>
      <c r="CP431" s="1325">
        <f>+AE431</f>
        <v>37.217700000000008</v>
      </c>
      <c r="CQ431" s="1325">
        <f>+AJ431</f>
        <v>43.038899999999998</v>
      </c>
      <c r="CR431" s="1325">
        <f>+AO431</f>
        <v>41.521500000000003</v>
      </c>
      <c r="CS431" s="1325">
        <f>+AT431</f>
        <v>50.916600000000003</v>
      </c>
      <c r="CT431" s="1328">
        <f>+AY431</f>
        <v>59.498999999999995</v>
      </c>
      <c r="CU431" s="1328">
        <f>+BD431</f>
        <v>42.344399999999993</v>
      </c>
      <c r="CV431" s="1328">
        <f>+BI431</f>
        <v>46.7712</v>
      </c>
      <c r="CW431" s="1829">
        <f>+BN431</f>
        <v>51.845029464335227</v>
      </c>
      <c r="CX431" s="1326">
        <f>+BS431</f>
        <v>59.115419034156055</v>
      </c>
      <c r="CY431" s="1326">
        <f t="shared" si="550"/>
        <v>60.618056951061291</v>
      </c>
      <c r="CZ431" s="1326">
        <f t="shared" si="550"/>
        <v>63.648959798614356</v>
      </c>
      <c r="DA431" s="1326">
        <f t="shared" si="550"/>
        <v>66.831407788545079</v>
      </c>
      <c r="DB431" s="1326">
        <f t="shared" si="550"/>
        <v>70.17297817797234</v>
      </c>
    </row>
    <row r="432" spans="1:106" s="1330" customFormat="1" ht="12" customHeight="1">
      <c r="A432" s="1354" t="s">
        <v>386</v>
      </c>
      <c r="B432" s="1799"/>
      <c r="C432" s="1799"/>
      <c r="D432" s="1799"/>
      <c r="E432" s="1799"/>
      <c r="F432" s="1799"/>
      <c r="G432" s="1319"/>
      <c r="H432" s="1319"/>
      <c r="I432" s="1319"/>
      <c r="J432" s="1278"/>
      <c r="K432" s="1278"/>
      <c r="L432" s="1319"/>
      <c r="M432" s="1319"/>
      <c r="N432" s="1319"/>
      <c r="O432" s="1278"/>
      <c r="P432" s="1278"/>
      <c r="Q432" s="1319"/>
      <c r="R432" s="1319"/>
      <c r="S432" s="1319"/>
      <c r="T432" s="1278"/>
      <c r="U432" s="1278"/>
      <c r="V432" s="1799"/>
      <c r="W432" s="1799"/>
      <c r="X432" s="1799"/>
      <c r="Y432" s="1353"/>
      <c r="Z432" s="1351"/>
      <c r="AA432" s="1353"/>
      <c r="AB432" s="1353"/>
      <c r="AC432" s="1353"/>
      <c r="AD432" s="1353"/>
      <c r="AE432" s="1325"/>
      <c r="AF432" s="1353"/>
      <c r="AG432" s="1353"/>
      <c r="AH432" s="1353"/>
      <c r="AI432" s="1353"/>
      <c r="AJ432" s="1325"/>
      <c r="AK432" s="1353"/>
      <c r="AL432" s="1353"/>
      <c r="AM432" s="1353"/>
      <c r="AN432" s="1353"/>
      <c r="AO432" s="1325"/>
      <c r="AP432" s="1353"/>
      <c r="AQ432" s="1353"/>
      <c r="AR432" s="1353"/>
      <c r="AS432" s="1353"/>
      <c r="AT432" s="1830"/>
      <c r="AU432" s="1353"/>
      <c r="AV432" s="1353"/>
      <c r="AW432" s="1799"/>
      <c r="AX432" s="1828"/>
      <c r="AY432" s="1328"/>
      <c r="AZ432" s="1828">
        <f>+AZ433-SUM(AZ430:AZ431)</f>
        <v>-6.0105270399999995</v>
      </c>
      <c r="BA432" s="1828">
        <f>+BA433-SUM(BA430:BA431)</f>
        <v>0.39666400000000124</v>
      </c>
      <c r="BB432" s="1828">
        <f>+BB433-SUM(BB430:BB431)</f>
        <v>-1.8335103999999944</v>
      </c>
      <c r="BC432" s="1828">
        <f>+BC433-SUM(BC430:BC431)</f>
        <v>-3.9209903999999938</v>
      </c>
      <c r="BD432" s="1831">
        <f>+SUM(AZ432:BC432)</f>
        <v>-11.368363839999986</v>
      </c>
      <c r="BE432" s="1828">
        <f>+BE433-SUM(BE430:BE431)</f>
        <v>-1.4641504000000012</v>
      </c>
      <c r="BF432" s="1828">
        <f>+BF433-SUM(BF430:BF431)</f>
        <v>-4.0626329599999949</v>
      </c>
      <c r="BG432" s="1828">
        <f>+BG433-SUM(BG430:BG431)</f>
        <v>-0.5477622400000044</v>
      </c>
      <c r="BH432" s="1329">
        <f>+BH433-SUM(BH430:BH431)</f>
        <v>-2.0869799999999969</v>
      </c>
      <c r="BI432" s="1832">
        <f>+SUM(BE432:BH432)</f>
        <v>-8.1615255999999974</v>
      </c>
      <c r="BJ432" s="1829">
        <f>+BJ433-SUM(BJ430:BJ431)</f>
        <v>-0.41835872000000052</v>
      </c>
      <c r="BK432" s="2054">
        <f>+BK433-SUM(BK430:BK431)</f>
        <v>0.69352463999999969</v>
      </c>
      <c r="BL432" s="2054">
        <f>+BL433-SUM(BL430:BL431)</f>
        <v>0.22125791999999933</v>
      </c>
      <c r="BM432" s="1329">
        <f>+BM433-SUM(BM430:BM431)</f>
        <v>0.12306397566477045</v>
      </c>
      <c r="BN432" s="1832">
        <f>+SUM(BJ432:BM432)</f>
        <v>0.61948781566476896</v>
      </c>
      <c r="BO432" s="1829">
        <f>+BO433-SUM(BO430:BO431)</f>
        <v>1.96376142555971</v>
      </c>
      <c r="BP432" s="807">
        <f>+BK432</f>
        <v>0.69352463999999969</v>
      </c>
      <c r="BQ432" s="807">
        <f>+BL432</f>
        <v>0.22125791999999933</v>
      </c>
      <c r="BR432" s="807">
        <f>+BM432</f>
        <v>0.12306397566477045</v>
      </c>
      <c r="BS432" s="1831">
        <f>+SUM(BO432:BR432)</f>
        <v>3.0016079612244795</v>
      </c>
      <c r="BT432" s="806">
        <f>+BO432</f>
        <v>1.96376142555971</v>
      </c>
      <c r="BU432" s="807">
        <f>+BP432</f>
        <v>0.69352463999999969</v>
      </c>
      <c r="BV432" s="807">
        <f>+BQ432</f>
        <v>0.22125791999999933</v>
      </c>
      <c r="BW432" s="807">
        <f>+BR432</f>
        <v>0.12306397566477045</v>
      </c>
      <c r="BX432" s="1831">
        <f>+SUM(BT432:BW432)</f>
        <v>3.0016079612244795</v>
      </c>
      <c r="BY432" s="808">
        <f>+BX432</f>
        <v>3.0016079612244795</v>
      </c>
      <c r="BZ432" s="808">
        <f>+BY432</f>
        <v>3.0016079612244795</v>
      </c>
      <c r="CA432" s="808">
        <f>+BZ432</f>
        <v>3.0016079612244795</v>
      </c>
      <c r="CB432" s="1340"/>
      <c r="CF432" s="1607"/>
      <c r="CG432" s="1799"/>
      <c r="CH432" s="1799"/>
      <c r="CI432" s="1799"/>
      <c r="CJ432" s="1799"/>
      <c r="CK432" s="1799"/>
      <c r="CL432" s="1278"/>
      <c r="CM432" s="1325"/>
      <c r="CN432" s="1325"/>
      <c r="CO432" s="1325"/>
      <c r="CP432" s="1325"/>
      <c r="CQ432" s="1325"/>
      <c r="CR432" s="1325"/>
      <c r="CS432" s="1830"/>
      <c r="CT432" s="1833"/>
      <c r="CU432" s="1833"/>
      <c r="CV432" s="1328"/>
      <c r="CW432" s="1828"/>
      <c r="CX432" s="1326"/>
      <c r="CY432" s="1329"/>
      <c r="CZ432" s="1329"/>
      <c r="DA432" s="1329"/>
      <c r="DB432" s="1329"/>
    </row>
    <row r="433" spans="1:106" s="1428" customFormat="1" ht="12" customHeight="1">
      <c r="A433" s="1834" t="s">
        <v>387</v>
      </c>
      <c r="B433" s="802"/>
      <c r="C433" s="802"/>
      <c r="D433" s="802"/>
      <c r="E433" s="802"/>
      <c r="F433" s="802"/>
      <c r="G433" s="1319" t="s">
        <v>249</v>
      </c>
      <c r="H433" s="1319" t="s">
        <v>249</v>
      </c>
      <c r="I433" s="1319" t="s">
        <v>249</v>
      </c>
      <c r="J433" s="1278" t="s">
        <v>249</v>
      </c>
      <c r="K433" s="1278" t="s">
        <v>249</v>
      </c>
      <c r="L433" s="1319" t="s">
        <v>249</v>
      </c>
      <c r="M433" s="1319" t="s">
        <v>249</v>
      </c>
      <c r="N433" s="1319" t="s">
        <v>249</v>
      </c>
      <c r="O433" s="1278" t="s">
        <v>249</v>
      </c>
      <c r="P433" s="1278" t="s">
        <v>249</v>
      </c>
      <c r="Q433" s="1319" t="s">
        <v>249</v>
      </c>
      <c r="R433" s="1319" t="s">
        <v>249</v>
      </c>
      <c r="S433" s="1319" t="s">
        <v>249</v>
      </c>
      <c r="T433" s="1278" t="s">
        <v>249</v>
      </c>
      <c r="U433" s="1278" t="s">
        <v>249</v>
      </c>
      <c r="V433" s="802">
        <f t="shared" ref="V433:AY433" si="551">V430+V431</f>
        <v>31.89102192</v>
      </c>
      <c r="W433" s="802">
        <f t="shared" si="551"/>
        <v>28.473756480000002</v>
      </c>
      <c r="X433" s="802">
        <f t="shared" si="551"/>
        <v>26.847351680000003</v>
      </c>
      <c r="Y433" s="803">
        <f t="shared" si="551"/>
        <v>27.227282879999997</v>
      </c>
      <c r="Z433" s="798">
        <f t="shared" si="551"/>
        <v>114.43941296</v>
      </c>
      <c r="AA433" s="803">
        <f t="shared" si="551"/>
        <v>29.397447199999998</v>
      </c>
      <c r="AB433" s="803">
        <f t="shared" si="551"/>
        <v>35.592469600000001</v>
      </c>
      <c r="AC433" s="803">
        <f t="shared" si="551"/>
        <v>28.668425280000001</v>
      </c>
      <c r="AD433" s="803">
        <f t="shared" si="551"/>
        <v>27.033681600000001</v>
      </c>
      <c r="AE433" s="804">
        <f t="shared" si="551"/>
        <v>120.69202368000001</v>
      </c>
      <c r="AF433" s="803">
        <f t="shared" si="551"/>
        <v>30.354801599999998</v>
      </c>
      <c r="AG433" s="803">
        <f t="shared" si="551"/>
        <v>29.646678239999996</v>
      </c>
      <c r="AH433" s="803">
        <f t="shared" si="551"/>
        <v>41.643228799999996</v>
      </c>
      <c r="AI433" s="803">
        <f t="shared" si="551"/>
        <v>33.475240799999995</v>
      </c>
      <c r="AJ433" s="804">
        <f t="shared" si="551"/>
        <v>135.11994943999997</v>
      </c>
      <c r="AK433" s="803">
        <f t="shared" si="551"/>
        <v>26.4783896</v>
      </c>
      <c r="AL433" s="803">
        <f t="shared" si="551"/>
        <v>30.947137440000006</v>
      </c>
      <c r="AM433" s="803">
        <f t="shared" si="551"/>
        <v>26.682976800000002</v>
      </c>
      <c r="AN433" s="803">
        <f t="shared" si="551"/>
        <v>28.546692960000001</v>
      </c>
      <c r="AO433" s="804">
        <f t="shared" si="551"/>
        <v>112.65519680000001</v>
      </c>
      <c r="AP433" s="803">
        <f t="shared" si="551"/>
        <v>29.152528799999999</v>
      </c>
      <c r="AQ433" s="803">
        <f t="shared" si="551"/>
        <v>35.577877440000002</v>
      </c>
      <c r="AR433" s="803">
        <f t="shared" si="551"/>
        <v>29.603971199999997</v>
      </c>
      <c r="AS433" s="1835">
        <f t="shared" si="551"/>
        <v>31.30143408</v>
      </c>
      <c r="AT433" s="1835">
        <f t="shared" si="551"/>
        <v>125.63581152</v>
      </c>
      <c r="AU433" s="803">
        <f t="shared" si="551"/>
        <v>34.394756800000003</v>
      </c>
      <c r="AV433" s="803">
        <f t="shared" si="551"/>
        <v>30.977200799999999</v>
      </c>
      <c r="AW433" s="802">
        <f t="shared" si="551"/>
        <v>32.803699680000001</v>
      </c>
      <c r="AX433" s="1442">
        <f t="shared" si="551"/>
        <v>39.564889919999999</v>
      </c>
      <c r="AY433" s="1836">
        <f t="shared" si="551"/>
        <v>137.74054719999998</v>
      </c>
      <c r="AZ433" s="1837">
        <f t="shared" ref="AZ433:BH433" si="552">+AZ316</f>
        <v>22</v>
      </c>
      <c r="BA433" s="1837">
        <f t="shared" si="552"/>
        <v>28</v>
      </c>
      <c r="BB433" s="1837">
        <f t="shared" si="552"/>
        <v>35</v>
      </c>
      <c r="BC433" s="1837">
        <f t="shared" si="552"/>
        <v>27</v>
      </c>
      <c r="BD433" s="1441">
        <f t="shared" si="552"/>
        <v>112</v>
      </c>
      <c r="BE433" s="1837">
        <f t="shared" si="552"/>
        <v>35</v>
      </c>
      <c r="BF433" s="1837">
        <f t="shared" si="552"/>
        <v>29</v>
      </c>
      <c r="BG433" s="1837">
        <f t="shared" si="552"/>
        <v>31</v>
      </c>
      <c r="BH433" s="1442">
        <f t="shared" si="552"/>
        <v>30</v>
      </c>
      <c r="BI433" s="1836">
        <f>+SUM(BI430:BI432)</f>
        <v>125</v>
      </c>
      <c r="BJ433" s="1838">
        <f>+BJ316</f>
        <v>32</v>
      </c>
      <c r="BK433" s="1837">
        <f>+BK316</f>
        <v>33</v>
      </c>
      <c r="BL433" s="1837">
        <f>+BL316</f>
        <v>33</v>
      </c>
      <c r="BM433" s="1442">
        <f t="shared" ref="BM433" si="553">+BM316</f>
        <v>34</v>
      </c>
      <c r="BN433" s="1836">
        <f>+SUM(BN430:BN432)</f>
        <v>131.99999999999997</v>
      </c>
      <c r="BO433" s="1838">
        <f>+BO316</f>
        <v>50</v>
      </c>
      <c r="BP433" s="1837">
        <f t="shared" ref="BP433:BZ433" si="554">+SUM(BP430:BP432)</f>
        <v>39.239300723276735</v>
      </c>
      <c r="BQ433" s="1837">
        <f t="shared" si="554"/>
        <v>36.120741906197573</v>
      </c>
      <c r="BR433" s="1442">
        <f t="shared" si="554"/>
        <v>37.053191806653906</v>
      </c>
      <c r="BS433" s="1441">
        <f t="shared" si="554"/>
        <v>162.41323443612822</v>
      </c>
      <c r="BT433" s="1837">
        <f t="shared" ref="BT433:BX433" si="555">+SUM(BT430:BT432)</f>
        <v>40.865680610266018</v>
      </c>
      <c r="BU433" s="1837">
        <f t="shared" si="555"/>
        <v>39.256990696612498</v>
      </c>
      <c r="BV433" s="1837">
        <f t="shared" si="555"/>
        <v>38.19201315057358</v>
      </c>
      <c r="BW433" s="1442">
        <f t="shared" si="555"/>
        <v>38.50180277869395</v>
      </c>
      <c r="BX433" s="1441">
        <f t="shared" si="555"/>
        <v>156.81648723614603</v>
      </c>
      <c r="BY433" s="1442">
        <f t="shared" si="554"/>
        <v>164.50723119989215</v>
      </c>
      <c r="BZ433" s="1442">
        <f t="shared" si="554"/>
        <v>172.58251236182554</v>
      </c>
      <c r="CA433" s="1442">
        <f t="shared" ref="CA433" si="556">+SUM(CA430:CA432)</f>
        <v>181.0615575818556</v>
      </c>
      <c r="CB433" s="1432"/>
      <c r="CF433" s="1839" t="str">
        <f t="shared" si="512"/>
        <v>Total Trading Fees</v>
      </c>
      <c r="CG433" s="802"/>
      <c r="CH433" s="802"/>
      <c r="CI433" s="802"/>
      <c r="CJ433" s="802"/>
      <c r="CK433" s="802"/>
      <c r="CL433" s="1278"/>
      <c r="CM433" s="804"/>
      <c r="CN433" s="804"/>
      <c r="CO433" s="804">
        <f>+Z433</f>
        <v>114.43941296</v>
      </c>
      <c r="CP433" s="804">
        <f>+AE433</f>
        <v>120.69202368000001</v>
      </c>
      <c r="CQ433" s="804">
        <f>+AJ433</f>
        <v>135.11994943999997</v>
      </c>
      <c r="CR433" s="804">
        <f>+AO433</f>
        <v>112.65519680000001</v>
      </c>
      <c r="CS433" s="1835">
        <f>+AT433</f>
        <v>125.63581152</v>
      </c>
      <c r="CT433" s="1836">
        <f>+AY433</f>
        <v>137.74054719999998</v>
      </c>
      <c r="CU433" s="1836">
        <f>+BD433</f>
        <v>112</v>
      </c>
      <c r="CV433" s="1441">
        <f>+BI433</f>
        <v>125</v>
      </c>
      <c r="CW433" s="1837">
        <f>+BN433</f>
        <v>131.99999999999997</v>
      </c>
      <c r="CX433" s="1440">
        <f>+BS433</f>
        <v>162.41323443612822</v>
      </c>
      <c r="CY433" s="1442">
        <f>+BX433</f>
        <v>156.81648723614603</v>
      </c>
      <c r="CZ433" s="1442">
        <f>+BY433</f>
        <v>164.50723119989215</v>
      </c>
      <c r="DA433" s="1442">
        <f>+BZ433</f>
        <v>172.58251236182554</v>
      </c>
      <c r="DB433" s="1442">
        <f>+CA433</f>
        <v>181.0615575818556</v>
      </c>
    </row>
    <row r="434" spans="1:106" s="1428" customFormat="1" ht="12" customHeight="1">
      <c r="A434" s="1834"/>
      <c r="B434" s="802"/>
      <c r="C434" s="802"/>
      <c r="D434" s="802"/>
      <c r="E434" s="802"/>
      <c r="F434" s="802"/>
      <c r="G434" s="802"/>
      <c r="H434" s="802"/>
      <c r="I434" s="802"/>
      <c r="J434" s="802"/>
      <c r="K434" s="798"/>
      <c r="L434" s="802"/>
      <c r="M434" s="802"/>
      <c r="N434" s="802"/>
      <c r="O434" s="802"/>
      <c r="P434" s="798"/>
      <c r="Q434" s="802"/>
      <c r="R434" s="802"/>
      <c r="S434" s="802"/>
      <c r="T434" s="1840"/>
      <c r="U434" s="798"/>
      <c r="V434" s="802"/>
      <c r="W434" s="802"/>
      <c r="X434" s="802"/>
      <c r="Y434" s="803"/>
      <c r="Z434" s="798"/>
      <c r="AA434" s="803"/>
      <c r="AB434" s="803"/>
      <c r="AC434" s="803"/>
      <c r="AD434" s="803"/>
      <c r="AE434" s="804"/>
      <c r="AF434" s="803"/>
      <c r="AG434" s="803"/>
      <c r="AH434" s="803"/>
      <c r="AI434" s="803"/>
      <c r="AJ434" s="804"/>
      <c r="AK434" s="803"/>
      <c r="AL434" s="803"/>
      <c r="AM434" s="803"/>
      <c r="AN434" s="803"/>
      <c r="AO434" s="804"/>
      <c r="AP434" s="803"/>
      <c r="AQ434" s="803"/>
      <c r="AR434" s="803"/>
      <c r="AS434" s="1835"/>
      <c r="AT434" s="1841"/>
      <c r="AU434" s="803"/>
      <c r="AV434" s="803"/>
      <c r="AW434" s="802"/>
      <c r="AX434" s="805"/>
      <c r="AY434" s="1841"/>
      <c r="AZ434" s="1842"/>
      <c r="BA434" s="1843"/>
      <c r="BB434" s="1843"/>
      <c r="BC434" s="1844"/>
      <c r="BD434" s="1835"/>
      <c r="BE434" s="802"/>
      <c r="BF434" s="1842"/>
      <c r="BG434" s="1842"/>
      <c r="BH434" s="1844"/>
      <c r="BI434" s="1835"/>
      <c r="BJ434" s="1842"/>
      <c r="BK434" s="802"/>
      <c r="BL434" s="1842"/>
      <c r="BM434" s="805"/>
      <c r="BN434" s="804"/>
      <c r="BO434" s="1842"/>
      <c r="BP434" s="802"/>
      <c r="BQ434" s="802"/>
      <c r="BR434" s="805"/>
      <c r="BS434" s="804"/>
      <c r="BT434" s="802"/>
      <c r="BU434" s="802"/>
      <c r="BV434" s="802"/>
      <c r="BW434" s="805"/>
      <c r="BX434" s="804"/>
      <c r="BY434" s="805"/>
      <c r="BZ434" s="805"/>
      <c r="CA434" s="805"/>
      <c r="CB434" s="1432"/>
      <c r="CF434" s="1839">
        <f t="shared" si="512"/>
        <v>0</v>
      </c>
      <c r="CG434" s="802"/>
      <c r="CH434" s="802"/>
      <c r="CI434" s="802"/>
      <c r="CJ434" s="802"/>
      <c r="CK434" s="802"/>
      <c r="CL434" s="798"/>
      <c r="CM434" s="804"/>
      <c r="CN434" s="804"/>
      <c r="CO434" s="804"/>
      <c r="CP434" s="804"/>
      <c r="CQ434" s="804"/>
      <c r="CR434" s="804"/>
      <c r="CS434" s="1841"/>
      <c r="CT434" s="1841"/>
      <c r="CU434" s="1835"/>
      <c r="CV434" s="1835"/>
      <c r="CW434" s="805"/>
      <c r="CX434" s="805"/>
      <c r="CY434" s="805"/>
      <c r="CZ434" s="805"/>
      <c r="DA434" s="805"/>
      <c r="DB434" s="805"/>
    </row>
    <row r="435" spans="1:106" s="1428" customFormat="1" ht="12" customHeight="1">
      <c r="A435" s="1834" t="s">
        <v>388</v>
      </c>
      <c r="B435" s="802"/>
      <c r="C435" s="802"/>
      <c r="D435" s="802"/>
      <c r="E435" s="802"/>
      <c r="F435" s="802"/>
      <c r="G435" s="1319" t="s">
        <v>249</v>
      </c>
      <c r="H435" s="1319" t="s">
        <v>249</v>
      </c>
      <c r="I435" s="1319" t="s">
        <v>249</v>
      </c>
      <c r="J435" s="1278" t="s">
        <v>249</v>
      </c>
      <c r="K435" s="1278" t="s">
        <v>249</v>
      </c>
      <c r="L435" s="1319" t="s">
        <v>249</v>
      </c>
      <c r="M435" s="1319" t="s">
        <v>249</v>
      </c>
      <c r="N435" s="1319" t="s">
        <v>249</v>
      </c>
      <c r="O435" s="1278" t="s">
        <v>249</v>
      </c>
      <c r="P435" s="1278" t="s">
        <v>249</v>
      </c>
      <c r="Q435" s="1319" t="s">
        <v>249</v>
      </c>
      <c r="R435" s="1319" t="s">
        <v>249</v>
      </c>
      <c r="S435" s="1319" t="s">
        <v>249</v>
      </c>
      <c r="T435" s="1278" t="s">
        <v>249</v>
      </c>
      <c r="U435" s="1278" t="s">
        <v>249</v>
      </c>
      <c r="V435" s="1319" t="s">
        <v>249</v>
      </c>
      <c r="W435" s="1319" t="s">
        <v>249</v>
      </c>
      <c r="X435" s="1319" t="s">
        <v>249</v>
      </c>
      <c r="Y435" s="1278" t="s">
        <v>249</v>
      </c>
      <c r="Z435" s="1278" t="s">
        <v>249</v>
      </c>
      <c r="AA435" s="1319" t="s">
        <v>249</v>
      </c>
      <c r="AB435" s="1319" t="s">
        <v>249</v>
      </c>
      <c r="AC435" s="1319" t="s">
        <v>249</v>
      </c>
      <c r="AD435" s="1278" t="s">
        <v>249</v>
      </c>
      <c r="AE435" s="1278" t="s">
        <v>249</v>
      </c>
      <c r="AF435" s="1319" t="s">
        <v>249</v>
      </c>
      <c r="AG435" s="1319" t="s">
        <v>249</v>
      </c>
      <c r="AH435" s="1319" t="s">
        <v>249</v>
      </c>
      <c r="AI435" s="1278" t="s">
        <v>249</v>
      </c>
      <c r="AJ435" s="1278" t="s">
        <v>249</v>
      </c>
      <c r="AK435" s="1319" t="s">
        <v>249</v>
      </c>
      <c r="AL435" s="1319" t="s">
        <v>249</v>
      </c>
      <c r="AM435" s="1319" t="s">
        <v>249</v>
      </c>
      <c r="AN435" s="1278" t="s">
        <v>249</v>
      </c>
      <c r="AO435" s="1278" t="s">
        <v>249</v>
      </c>
      <c r="AP435" s="803">
        <f t="shared" ref="AP435:AX435" si="557">AP316-AP427-AP433</f>
        <v>8.7074712000000005</v>
      </c>
      <c r="AQ435" s="803">
        <f t="shared" si="557"/>
        <v>6.0821225599999948</v>
      </c>
      <c r="AR435" s="803">
        <f t="shared" si="557"/>
        <v>11.656028800000001</v>
      </c>
      <c r="AS435" s="1835">
        <f t="shared" si="557"/>
        <v>8.3585659199999967</v>
      </c>
      <c r="AT435" s="1835">
        <f t="shared" si="557"/>
        <v>34.804188479999993</v>
      </c>
      <c r="AU435" s="803">
        <f t="shared" si="557"/>
        <v>12.485243199999992</v>
      </c>
      <c r="AV435" s="803">
        <f t="shared" si="557"/>
        <v>8.5827992000000037</v>
      </c>
      <c r="AW435" s="803">
        <f t="shared" si="557"/>
        <v>13.116300319999986</v>
      </c>
      <c r="AX435" s="1835">
        <f t="shared" si="557"/>
        <v>0.83511008000000686</v>
      </c>
      <c r="AY435" s="1550">
        <f>SUM(AU435:AX435)</f>
        <v>35.019452799999989</v>
      </c>
      <c r="AZ435" s="1838">
        <v>0</v>
      </c>
      <c r="BA435" s="1837">
        <v>0</v>
      </c>
      <c r="BB435" s="1837">
        <v>0</v>
      </c>
      <c r="BC435" s="1442"/>
      <c r="BD435" s="1550">
        <f>SUM(AZ435:BC435)</f>
        <v>0</v>
      </c>
      <c r="BE435" s="1838">
        <v>0</v>
      </c>
      <c r="BF435" s="1837">
        <v>0</v>
      </c>
      <c r="BG435" s="1523">
        <v>0</v>
      </c>
      <c r="BH435" s="1442">
        <v>0</v>
      </c>
      <c r="BI435" s="1291">
        <f>SUM(BE435:BH435)</f>
        <v>0</v>
      </c>
      <c r="BJ435" s="1523">
        <f>(1+BJ436)*BE435</f>
        <v>0</v>
      </c>
      <c r="BK435" s="1523">
        <f>(1+BK436)*BF435</f>
        <v>0</v>
      </c>
      <c r="BL435" s="1523">
        <f>(1+BL436)*BG435</f>
        <v>0</v>
      </c>
      <c r="BM435" s="1550">
        <f>(1+BM436)*BH435</f>
        <v>0</v>
      </c>
      <c r="BN435" s="1291">
        <f>SUM(BJ435:BM435)</f>
        <v>0</v>
      </c>
      <c r="BO435" s="1523">
        <f>(1+BO436)*BJ435</f>
        <v>0</v>
      </c>
      <c r="BP435" s="1523">
        <f>(1+BP436)*BK435</f>
        <v>0</v>
      </c>
      <c r="BQ435" s="1523">
        <f>(1+BQ436)*BL435</f>
        <v>0</v>
      </c>
      <c r="BR435" s="1550">
        <f>(1+BR436)*BM435</f>
        <v>0</v>
      </c>
      <c r="BS435" s="1291">
        <f>SUM(BO435:BR435)</f>
        <v>0</v>
      </c>
      <c r="BT435" s="1523">
        <f>(1+BT436)*BO435</f>
        <v>0</v>
      </c>
      <c r="BU435" s="1523">
        <f>(1+BU436)*BP435</f>
        <v>0</v>
      </c>
      <c r="BV435" s="1523">
        <f>(1+BV436)*BQ435</f>
        <v>0</v>
      </c>
      <c r="BW435" s="1550">
        <f>(1+BW436)*BR435</f>
        <v>0</v>
      </c>
      <c r="BX435" s="1291">
        <f>SUM(BT435:BW435)</f>
        <v>0</v>
      </c>
      <c r="BY435" s="1550">
        <f>(1+BY436)*BX435</f>
        <v>0</v>
      </c>
      <c r="BZ435" s="1550">
        <f>(1+BZ436)*BY435</f>
        <v>0</v>
      </c>
      <c r="CA435" s="1550">
        <f>(1+CA436)*BZ435</f>
        <v>0</v>
      </c>
      <c r="CB435" s="1432"/>
      <c r="CF435" s="1839" t="str">
        <f t="shared" si="512"/>
        <v>Other (Derivatives, Struct Prod, Custom Indices)</v>
      </c>
      <c r="CG435" s="802"/>
      <c r="CH435" s="802"/>
      <c r="CI435" s="802"/>
      <c r="CJ435" s="802"/>
      <c r="CK435" s="802"/>
      <c r="CL435" s="1278"/>
      <c r="CM435" s="1278"/>
      <c r="CN435" s="1278"/>
      <c r="CO435" s="1278"/>
      <c r="CP435" s="1278"/>
      <c r="CQ435" s="1278"/>
      <c r="CR435" s="1278"/>
      <c r="CS435" s="1835">
        <f>+AT435</f>
        <v>34.804188479999993</v>
      </c>
      <c r="CT435" s="1550">
        <f>+AY435</f>
        <v>35.019452799999989</v>
      </c>
      <c r="CU435" s="1836">
        <f>+BD435</f>
        <v>0</v>
      </c>
      <c r="CV435" s="1550">
        <f>+BI435</f>
        <v>0</v>
      </c>
      <c r="CW435" s="1550">
        <f>+BN435</f>
        <v>0</v>
      </c>
      <c r="CX435" s="1550">
        <f>+BS435</f>
        <v>0</v>
      </c>
      <c r="CY435" s="1550">
        <f>+BX435</f>
        <v>0</v>
      </c>
      <c r="CZ435" s="1550">
        <f>+BY435</f>
        <v>0</v>
      </c>
      <c r="DA435" s="1550">
        <f>+BZ435</f>
        <v>0</v>
      </c>
      <c r="DB435" s="1550">
        <f>+CA435</f>
        <v>0</v>
      </c>
    </row>
    <row r="436" spans="1:106" ht="12" customHeight="1">
      <c r="A436" s="1505" t="s">
        <v>294</v>
      </c>
      <c r="B436" s="1508"/>
      <c r="C436" s="1508"/>
      <c r="D436" s="1508"/>
      <c r="E436" s="1508"/>
      <c r="F436" s="1508"/>
      <c r="G436" s="1507"/>
      <c r="H436" s="1507"/>
      <c r="I436" s="1507"/>
      <c r="J436" s="1507"/>
      <c r="K436" s="1565"/>
      <c r="L436" s="1507"/>
      <c r="M436" s="1507"/>
      <c r="N436" s="1507"/>
      <c r="O436" s="1507"/>
      <c r="P436" s="1565"/>
      <c r="Q436" s="1507"/>
      <c r="R436" s="1507"/>
      <c r="S436" s="1507"/>
      <c r="T436" s="1507"/>
      <c r="U436" s="1565"/>
      <c r="V436" s="1507"/>
      <c r="W436" s="1507"/>
      <c r="X436" s="1507"/>
      <c r="Y436" s="1507"/>
      <c r="Z436" s="1565"/>
      <c r="AA436" s="1507"/>
      <c r="AB436" s="1507"/>
      <c r="AC436" s="1507"/>
      <c r="AD436" s="1507"/>
      <c r="AE436" s="1565"/>
      <c r="AF436" s="1507"/>
      <c r="AG436" s="1507"/>
      <c r="AH436" s="1507"/>
      <c r="AI436" s="1507"/>
      <c r="AJ436" s="1565"/>
      <c r="AK436" s="1507"/>
      <c r="AL436" s="1507"/>
      <c r="AM436" s="1507"/>
      <c r="AN436" s="1507"/>
      <c r="AO436" s="1565"/>
      <c r="AP436" s="1507"/>
      <c r="AQ436" s="1507"/>
      <c r="AR436" s="1507"/>
      <c r="AS436" s="1507"/>
      <c r="AT436" s="1565"/>
      <c r="AU436" s="1511">
        <f>AU435/AP435-1</f>
        <v>0.43385409072613323</v>
      </c>
      <c r="AV436" s="1511">
        <f>AV435/AQ435-1</f>
        <v>0.41115196468517246</v>
      </c>
      <c r="AW436" s="1511">
        <f>AW435/AR435-1</f>
        <v>0.12528036306842205</v>
      </c>
      <c r="AX436" s="1511">
        <f>AX435/AS435-1</f>
        <v>-0.90008931101425027</v>
      </c>
      <c r="AY436" s="1506">
        <f>AY435/AT435-1</f>
        <v>6.185011902337445E-3</v>
      </c>
      <c r="AZ436" s="1845" t="s">
        <v>389</v>
      </c>
      <c r="BA436" s="1845" t="s">
        <v>389</v>
      </c>
      <c r="BB436" s="1845" t="s">
        <v>389</v>
      </c>
      <c r="BC436" s="1846"/>
      <c r="BD436" s="1847"/>
      <c r="BE436" s="1845" t="s">
        <v>389</v>
      </c>
      <c r="BF436" s="1845" t="s">
        <v>389</v>
      </c>
      <c r="BG436" s="1845" t="s">
        <v>389</v>
      </c>
      <c r="BH436" s="1846" t="s">
        <v>389</v>
      </c>
      <c r="BI436" s="1847"/>
      <c r="BJ436" s="1259"/>
      <c r="BK436" s="1259"/>
      <c r="BL436" s="1845"/>
      <c r="BM436" s="1259"/>
      <c r="BN436" s="1847"/>
      <c r="BO436" s="1259"/>
      <c r="BP436" s="1259"/>
      <c r="BQ436" s="1259"/>
      <c r="BR436" s="1259"/>
      <c r="BS436" s="1847"/>
      <c r="BT436" s="1259"/>
      <c r="BU436" s="1259"/>
      <c r="BV436" s="1259"/>
      <c r="BW436" s="1259"/>
      <c r="BX436" s="1847"/>
      <c r="BY436" s="1260"/>
      <c r="BZ436" s="1260"/>
      <c r="CA436" s="1260"/>
      <c r="CB436" s="1848"/>
      <c r="CC436" s="1848"/>
      <c r="CD436" s="1848"/>
      <c r="CE436" s="1848"/>
      <c r="CF436" s="1513" t="str">
        <f t="shared" si="512"/>
        <v>y/y chg</v>
      </c>
      <c r="CG436" s="1849"/>
      <c r="CH436" s="1849"/>
      <c r="CI436" s="1849"/>
      <c r="CJ436" s="1849"/>
      <c r="CK436" s="1849"/>
      <c r="CL436" s="1850"/>
      <c r="CM436" s="1850"/>
      <c r="CN436" s="1850"/>
      <c r="CO436" s="1850"/>
      <c r="CP436" s="1850"/>
      <c r="CQ436" s="1850"/>
      <c r="CR436" s="1850"/>
      <c r="CS436" s="1850"/>
      <c r="CT436" s="1847"/>
      <c r="CU436" s="1847"/>
      <c r="CV436" s="1847"/>
      <c r="CW436" s="1260"/>
      <c r="CX436" s="1260"/>
      <c r="CY436" s="1259"/>
      <c r="CZ436" s="1260"/>
      <c r="DA436" s="1260"/>
      <c r="DB436" s="1260"/>
    </row>
    <row r="437" spans="1:106" ht="12" customHeight="1">
      <c r="A437" s="1834" t="s">
        <v>390</v>
      </c>
      <c r="B437" s="802"/>
      <c r="C437" s="802"/>
      <c r="D437" s="802"/>
      <c r="E437" s="802"/>
      <c r="F437" s="802"/>
      <c r="G437" s="1319" t="s">
        <v>249</v>
      </c>
      <c r="H437" s="1319" t="s">
        <v>249</v>
      </c>
      <c r="I437" s="1319" t="s">
        <v>249</v>
      </c>
      <c r="J437" s="1278" t="s">
        <v>249</v>
      </c>
      <c r="K437" s="1278" t="s">
        <v>249</v>
      </c>
      <c r="L437" s="1319" t="s">
        <v>249</v>
      </c>
      <c r="M437" s="1319" t="s">
        <v>249</v>
      </c>
      <c r="N437" s="1319" t="s">
        <v>249</v>
      </c>
      <c r="O437" s="1278" t="s">
        <v>249</v>
      </c>
      <c r="P437" s="1278" t="s">
        <v>249</v>
      </c>
      <c r="Q437" s="1319" t="s">
        <v>249</v>
      </c>
      <c r="R437" s="1319" t="s">
        <v>249</v>
      </c>
      <c r="S437" s="1319" t="s">
        <v>249</v>
      </c>
      <c r="T437" s="1278" t="s">
        <v>249</v>
      </c>
      <c r="U437" s="1278" t="s">
        <v>249</v>
      </c>
      <c r="V437" s="1319" t="s">
        <v>249</v>
      </c>
      <c r="W437" s="1319" t="s">
        <v>249</v>
      </c>
      <c r="X437" s="1319" t="s">
        <v>249</v>
      </c>
      <c r="Y437" s="1278" t="s">
        <v>249</v>
      </c>
      <c r="Z437" s="1278" t="s">
        <v>249</v>
      </c>
      <c r="AA437" s="1319" t="s">
        <v>249</v>
      </c>
      <c r="AB437" s="1319" t="s">
        <v>249</v>
      </c>
      <c r="AC437" s="1319" t="s">
        <v>249</v>
      </c>
      <c r="AD437" s="1278" t="s">
        <v>249</v>
      </c>
      <c r="AE437" s="1278" t="s">
        <v>249</v>
      </c>
      <c r="AF437" s="1319" t="s">
        <v>249</v>
      </c>
      <c r="AG437" s="1319" t="s">
        <v>249</v>
      </c>
      <c r="AH437" s="1319" t="s">
        <v>249</v>
      </c>
      <c r="AI437" s="1278" t="s">
        <v>249</v>
      </c>
      <c r="AJ437" s="1278" t="s">
        <v>249</v>
      </c>
      <c r="AK437" s="1319" t="s">
        <v>249</v>
      </c>
      <c r="AL437" s="1319" t="s">
        <v>249</v>
      </c>
      <c r="AM437" s="1319" t="s">
        <v>249</v>
      </c>
      <c r="AN437" s="1278" t="s">
        <v>249</v>
      </c>
      <c r="AO437" s="1278" t="s">
        <v>249</v>
      </c>
      <c r="AP437" s="803">
        <f t="shared" ref="AP437:AY437" si="558">+AP435+AP433+AP427+AP324</f>
        <v>115</v>
      </c>
      <c r="AQ437" s="803">
        <f t="shared" si="558"/>
        <v>123</v>
      </c>
      <c r="AR437" s="803">
        <f t="shared" si="558"/>
        <v>124</v>
      </c>
      <c r="AS437" s="1835">
        <f t="shared" si="558"/>
        <v>130</v>
      </c>
      <c r="AT437" s="1835">
        <f t="shared" si="558"/>
        <v>492</v>
      </c>
      <c r="AU437" s="803">
        <f t="shared" si="558"/>
        <v>137</v>
      </c>
      <c r="AV437" s="803">
        <f t="shared" si="558"/>
        <v>133</v>
      </c>
      <c r="AW437" s="803">
        <f t="shared" si="558"/>
        <v>143</v>
      </c>
      <c r="AX437" s="1550">
        <f t="shared" si="558"/>
        <v>140</v>
      </c>
      <c r="AY437" s="1550">
        <f t="shared" si="558"/>
        <v>553</v>
      </c>
      <c r="AZ437" s="1523">
        <f>AZ433+AZ427+AZ324</f>
        <v>143</v>
      </c>
      <c r="BA437" s="1523">
        <f>BA433+BA427+BA324</f>
        <v>148</v>
      </c>
      <c r="BB437" s="1523">
        <f>+BB435+BB433+BB427+BB324</f>
        <v>156</v>
      </c>
      <c r="BC437" s="1550">
        <f>+BC435+BC433+BC427+BC324</f>
        <v>149.35820895522386</v>
      </c>
      <c r="BD437" s="1550">
        <f>+BD435+BD433+BD427+BD324</f>
        <v>596.35820895522386</v>
      </c>
      <c r="BE437" s="1523">
        <f t="shared" ref="BE437:BZ437" si="559">BE433+BE427+BE324</f>
        <v>151</v>
      </c>
      <c r="BF437" s="1523">
        <f t="shared" si="559"/>
        <v>153</v>
      </c>
      <c r="BG437" s="1523">
        <f t="shared" si="559"/>
        <v>164</v>
      </c>
      <c r="BH437" s="1550">
        <f t="shared" si="559"/>
        <v>171</v>
      </c>
      <c r="BI437" s="1550">
        <f t="shared" si="559"/>
        <v>639</v>
      </c>
      <c r="BJ437" s="1523">
        <f t="shared" si="559"/>
        <v>171</v>
      </c>
      <c r="BK437" s="1523">
        <f t="shared" si="559"/>
        <v>184</v>
      </c>
      <c r="BL437" s="1523">
        <f t="shared" si="559"/>
        <v>187</v>
      </c>
      <c r="BM437" s="1550">
        <f t="shared" si="559"/>
        <v>191</v>
      </c>
      <c r="BN437" s="1291">
        <f t="shared" si="559"/>
        <v>733</v>
      </c>
      <c r="BO437" s="1523">
        <f t="shared" ref="BO437" si="560">BO433+BO427+BO324</f>
        <v>214</v>
      </c>
      <c r="BP437" s="1523">
        <f t="shared" si="559"/>
        <v>209.75609053219392</v>
      </c>
      <c r="BQ437" s="1523">
        <f t="shared" si="559"/>
        <v>210.08990114186633</v>
      </c>
      <c r="BR437" s="1550">
        <f t="shared" si="559"/>
        <v>215.5047204690743</v>
      </c>
      <c r="BS437" s="1291">
        <f t="shared" si="559"/>
        <v>849.35071214313461</v>
      </c>
      <c r="BT437" s="1523">
        <f t="shared" ref="BT437:BX437" si="561">BT433+BT427+BT324</f>
        <v>220.90981011345076</v>
      </c>
      <c r="BU437" s="1523">
        <f t="shared" si="561"/>
        <v>229.44725245457428</v>
      </c>
      <c r="BV437" s="1523">
        <f t="shared" si="561"/>
        <v>232.20420716331242</v>
      </c>
      <c r="BW437" s="1550">
        <f t="shared" si="561"/>
        <v>237.39682904620989</v>
      </c>
      <c r="BX437" s="1291">
        <f t="shared" si="561"/>
        <v>919.95809877754732</v>
      </c>
      <c r="BY437" s="1550">
        <f t="shared" si="559"/>
        <v>991.54271816916435</v>
      </c>
      <c r="BZ437" s="1550">
        <f t="shared" si="559"/>
        <v>1068.4571629598795</v>
      </c>
      <c r="CA437" s="1550">
        <f t="shared" ref="CA437" si="562">CA433+CA427+CA324</f>
        <v>1144.7878656044563</v>
      </c>
      <c r="CF437" s="1839" t="str">
        <f t="shared" si="512"/>
        <v>Total Index</v>
      </c>
      <c r="CG437" s="802"/>
      <c r="CH437" s="802"/>
      <c r="CI437" s="802"/>
      <c r="CJ437" s="802"/>
      <c r="CK437" s="802"/>
      <c r="CL437" s="1278"/>
      <c r="CM437" s="1278"/>
      <c r="CN437" s="1278"/>
      <c r="CO437" s="1278"/>
      <c r="CP437" s="1278"/>
      <c r="CQ437" s="1278"/>
      <c r="CR437" s="1278"/>
      <c r="CS437" s="1835">
        <f>+AT437</f>
        <v>492</v>
      </c>
      <c r="CT437" s="1550">
        <f>+AY437</f>
        <v>553</v>
      </c>
      <c r="CU437" s="1550">
        <f>+BD437</f>
        <v>596.35820895522386</v>
      </c>
      <c r="CV437" s="1550">
        <f>+BI437</f>
        <v>639</v>
      </c>
      <c r="CW437" s="1550">
        <f>+BN437</f>
        <v>733</v>
      </c>
      <c r="CX437" s="1550">
        <f>+BS437</f>
        <v>849.35071214313461</v>
      </c>
      <c r="CY437" s="1550">
        <f>+BX437</f>
        <v>919.95809877754732</v>
      </c>
      <c r="CZ437" s="1550">
        <f>+BY437</f>
        <v>991.54271816916435</v>
      </c>
      <c r="DA437" s="1550">
        <f>+BZ437</f>
        <v>1068.4571629598795</v>
      </c>
      <c r="DB437" s="1550">
        <f>+CA437</f>
        <v>1144.7878656044563</v>
      </c>
    </row>
    <row r="438" spans="1:106" ht="12" customHeight="1">
      <c r="A438" s="1834"/>
      <c r="B438" s="802"/>
      <c r="C438" s="802"/>
      <c r="D438" s="802"/>
      <c r="E438" s="802"/>
      <c r="F438" s="802"/>
      <c r="G438" s="1319"/>
      <c r="H438" s="1319"/>
      <c r="I438" s="1319"/>
      <c r="J438" s="1276"/>
      <c r="K438" s="809"/>
      <c r="L438" s="1319"/>
      <c r="M438" s="1319"/>
      <c r="N438" s="1319"/>
      <c r="O438" s="1276"/>
      <c r="P438" s="809"/>
      <c r="Q438" s="1319"/>
      <c r="R438" s="1319"/>
      <c r="S438" s="1319"/>
      <c r="T438" s="1276"/>
      <c r="U438" s="809"/>
      <c r="V438" s="1319"/>
      <c r="W438" s="1319"/>
      <c r="X438" s="1319"/>
      <c r="Y438" s="1276"/>
      <c r="Z438" s="809"/>
      <c r="AA438" s="1319"/>
      <c r="AB438" s="1319"/>
      <c r="AC438" s="1319"/>
      <c r="AD438" s="1276"/>
      <c r="AE438" s="809"/>
      <c r="AF438" s="1319"/>
      <c r="AG438" s="1319"/>
      <c r="AH438" s="1319"/>
      <c r="AI438" s="1276"/>
      <c r="AJ438" s="809"/>
      <c r="AK438" s="1319"/>
      <c r="AL438" s="1319"/>
      <c r="AM438" s="1319"/>
      <c r="AN438" s="1276"/>
      <c r="AO438" s="809"/>
      <c r="AP438" s="803"/>
      <c r="AQ438" s="803"/>
      <c r="AR438" s="803"/>
      <c r="AS438" s="803"/>
      <c r="AT438" s="809"/>
      <c r="AU438" s="803"/>
      <c r="AV438" s="803"/>
      <c r="AW438" s="803"/>
      <c r="AX438" s="1523"/>
      <c r="AY438" s="809"/>
      <c r="AZ438" s="1523"/>
      <c r="BA438" s="1523"/>
      <c r="BB438" s="1523"/>
      <c r="BC438" s="1523"/>
      <c r="BD438" s="809"/>
      <c r="BE438" s="1523"/>
      <c r="BF438" s="1523"/>
      <c r="BG438" s="1523"/>
      <c r="BH438" s="1523"/>
      <c r="BI438" s="809"/>
      <c r="BJ438" s="1523"/>
      <c r="BK438" s="1523"/>
      <c r="BL438" s="1523"/>
      <c r="BM438" s="1523"/>
      <c r="BN438" s="809"/>
      <c r="BO438" s="1523"/>
      <c r="BP438" s="1523"/>
      <c r="BQ438" s="1523"/>
      <c r="BR438" s="1523"/>
      <c r="BS438" s="809"/>
      <c r="BT438" s="1523"/>
      <c r="BU438" s="1523"/>
      <c r="BV438" s="1523"/>
      <c r="BW438" s="1523"/>
      <c r="BX438" s="809"/>
      <c r="BY438" s="809"/>
      <c r="BZ438" s="809"/>
      <c r="CA438" s="809"/>
      <c r="CF438" s="1839"/>
      <c r="CG438" s="802"/>
      <c r="CH438" s="802"/>
      <c r="CI438" s="802"/>
      <c r="CJ438" s="802"/>
      <c r="CK438" s="802"/>
      <c r="CL438" s="809"/>
      <c r="CM438" s="809"/>
      <c r="CN438" s="809"/>
      <c r="CO438" s="809"/>
      <c r="CP438" s="809"/>
      <c r="CQ438" s="809"/>
      <c r="CR438" s="809"/>
      <c r="CS438" s="809"/>
      <c r="CT438" s="809"/>
      <c r="CU438" s="809"/>
      <c r="CV438" s="809"/>
      <c r="CW438" s="809"/>
      <c r="CX438" s="809"/>
      <c r="CY438" s="809"/>
      <c r="CZ438" s="809"/>
      <c r="DA438" s="809"/>
      <c r="DB438" s="809"/>
    </row>
    <row r="439" spans="1:106" ht="12" customHeight="1">
      <c r="A439" s="1834" t="s">
        <v>391</v>
      </c>
      <c r="B439" s="802"/>
      <c r="C439" s="802"/>
      <c r="D439" s="802"/>
      <c r="E439" s="802"/>
      <c r="F439" s="802"/>
      <c r="G439" s="1319"/>
      <c r="H439" s="1319"/>
      <c r="I439" s="1319"/>
      <c r="J439" s="1276"/>
      <c r="K439" s="809"/>
      <c r="L439" s="1319"/>
      <c r="M439" s="1319"/>
      <c r="N439" s="1319"/>
      <c r="O439" s="1276"/>
      <c r="P439" s="809"/>
      <c r="Q439" s="1319"/>
      <c r="R439" s="1319"/>
      <c r="S439" s="1319"/>
      <c r="T439" s="1276"/>
      <c r="U439" s="809"/>
      <c r="V439" s="1319"/>
      <c r="W439" s="1319"/>
      <c r="X439" s="1319"/>
      <c r="Y439" s="1276"/>
      <c r="Z439" s="809"/>
      <c r="AA439" s="1319"/>
      <c r="AB439" s="1319"/>
      <c r="AC439" s="1319"/>
      <c r="AD439" s="1276"/>
      <c r="AE439" s="809"/>
      <c r="AF439" s="1319"/>
      <c r="AG439" s="1319"/>
      <c r="AH439" s="1319"/>
      <c r="AI439" s="1276"/>
      <c r="AJ439" s="809"/>
      <c r="AK439" s="1319"/>
      <c r="AL439" s="1319"/>
      <c r="AM439" s="1319"/>
      <c r="AN439" s="1276"/>
      <c r="AO439" s="809"/>
      <c r="AP439" s="803"/>
      <c r="AQ439" s="803"/>
      <c r="AR439" s="803"/>
      <c r="AS439" s="803"/>
      <c r="AT439" s="809"/>
      <c r="AU439" s="803"/>
      <c r="AV439" s="803"/>
      <c r="AW439" s="803"/>
      <c r="AX439" s="1523"/>
      <c r="AY439" s="809"/>
      <c r="AZ439" s="1523"/>
      <c r="BA439" s="1523"/>
      <c r="BB439" s="1523"/>
      <c r="BC439" s="1523"/>
      <c r="BD439" s="809"/>
      <c r="BE439" s="1523"/>
      <c r="BF439" s="1523"/>
      <c r="BG439" s="1523"/>
      <c r="BH439" s="1523"/>
      <c r="BI439" s="809"/>
      <c r="BJ439" s="1523"/>
      <c r="BK439" s="1523"/>
      <c r="BL439" s="1523"/>
      <c r="BM439" s="1523"/>
      <c r="BN439" s="809"/>
      <c r="BO439" s="1523"/>
      <c r="BP439" s="1523"/>
      <c r="BQ439" s="1523"/>
      <c r="BR439" s="1523"/>
      <c r="BS439" s="809"/>
      <c r="BT439" s="1523"/>
      <c r="BU439" s="1523"/>
      <c r="BV439" s="1523"/>
      <c r="BW439" s="1523"/>
      <c r="BX439" s="809"/>
      <c r="BY439" s="809"/>
      <c r="BZ439" s="809"/>
      <c r="CA439" s="809"/>
      <c r="CF439" s="1839" t="str">
        <f t="shared" ref="CF439:CF443" si="563">+A439</f>
        <v>Index Mix</v>
      </c>
      <c r="CG439" s="802"/>
      <c r="CH439" s="802"/>
      <c r="CI439" s="802"/>
      <c r="CJ439" s="802"/>
      <c r="CK439" s="802"/>
      <c r="CL439" s="809"/>
      <c r="CM439" s="809"/>
      <c r="CN439" s="809"/>
      <c r="CO439" s="809"/>
      <c r="CP439" s="809"/>
      <c r="CQ439" s="809"/>
      <c r="CR439" s="809"/>
      <c r="CS439" s="809"/>
      <c r="CT439" s="809"/>
      <c r="CU439" s="809"/>
      <c r="CV439" s="809"/>
      <c r="CW439" s="809"/>
      <c r="CX439" s="809"/>
      <c r="CY439" s="809"/>
      <c r="CZ439" s="809"/>
      <c r="DA439" s="809"/>
      <c r="DB439" s="809"/>
    </row>
    <row r="440" spans="1:106" ht="12" customHeight="1">
      <c r="A440" s="810" t="s">
        <v>392</v>
      </c>
      <c r="B440" s="802"/>
      <c r="C440" s="802"/>
      <c r="D440" s="802"/>
      <c r="E440" s="802"/>
      <c r="F440" s="802"/>
      <c r="G440" s="1319" t="s">
        <v>249</v>
      </c>
      <c r="H440" s="1319" t="s">
        <v>249</v>
      </c>
      <c r="I440" s="1319" t="s">
        <v>249</v>
      </c>
      <c r="J440" s="1278" t="s">
        <v>249</v>
      </c>
      <c r="K440" s="1278" t="s">
        <v>249</v>
      </c>
      <c r="L440" s="1319" t="s">
        <v>249</v>
      </c>
      <c r="M440" s="1319" t="s">
        <v>249</v>
      </c>
      <c r="N440" s="1319" t="s">
        <v>249</v>
      </c>
      <c r="O440" s="1278" t="s">
        <v>249</v>
      </c>
      <c r="P440" s="1278" t="s">
        <v>249</v>
      </c>
      <c r="Q440" s="1319" t="s">
        <v>249</v>
      </c>
      <c r="R440" s="1319" t="s">
        <v>249</v>
      </c>
      <c r="S440" s="1319" t="s">
        <v>249</v>
      </c>
      <c r="T440" s="1278" t="s">
        <v>249</v>
      </c>
      <c r="U440" s="1278" t="s">
        <v>249</v>
      </c>
      <c r="V440" s="1319" t="s">
        <v>249</v>
      </c>
      <c r="W440" s="1319" t="s">
        <v>249</v>
      </c>
      <c r="X440" s="1319" t="s">
        <v>249</v>
      </c>
      <c r="Y440" s="1278" t="s">
        <v>249</v>
      </c>
      <c r="Z440" s="1278" t="s">
        <v>249</v>
      </c>
      <c r="AA440" s="1319" t="s">
        <v>249</v>
      </c>
      <c r="AB440" s="1319" t="s">
        <v>249</v>
      </c>
      <c r="AC440" s="1319" t="s">
        <v>249</v>
      </c>
      <c r="AD440" s="1278" t="s">
        <v>249</v>
      </c>
      <c r="AE440" s="1278" t="s">
        <v>249</v>
      </c>
      <c r="AF440" s="1319" t="s">
        <v>249</v>
      </c>
      <c r="AG440" s="1319" t="s">
        <v>249</v>
      </c>
      <c r="AH440" s="1319" t="s">
        <v>249</v>
      </c>
      <c r="AI440" s="1278" t="s">
        <v>249</v>
      </c>
      <c r="AJ440" s="1278" t="s">
        <v>249</v>
      </c>
      <c r="AK440" s="1319" t="s">
        <v>249</v>
      </c>
      <c r="AL440" s="1319" t="s">
        <v>249</v>
      </c>
      <c r="AM440" s="1319" t="s">
        <v>249</v>
      </c>
      <c r="AN440" s="1278" t="s">
        <v>249</v>
      </c>
      <c r="AO440" s="1278" t="s">
        <v>249</v>
      </c>
      <c r="AP440" s="811">
        <f t="shared" ref="AP440:BY440" si="564">+AP427/AP437</f>
        <v>0.4533913043478261</v>
      </c>
      <c r="AQ440" s="811">
        <f t="shared" si="564"/>
        <v>0.4499186991869919</v>
      </c>
      <c r="AR440" s="811">
        <f t="shared" si="564"/>
        <v>0.46564516129032257</v>
      </c>
      <c r="AS440" s="811">
        <f t="shared" si="564"/>
        <v>0.48723076923076925</v>
      </c>
      <c r="AT440" s="809">
        <f t="shared" si="564"/>
        <v>0.46455284552845527</v>
      </c>
      <c r="AU440" s="811">
        <f t="shared" si="564"/>
        <v>0.468029197080292</v>
      </c>
      <c r="AV440" s="811">
        <f t="shared" si="564"/>
        <v>0.49203007518796993</v>
      </c>
      <c r="AW440" s="811">
        <f t="shared" si="564"/>
        <v>0.47608391608391615</v>
      </c>
      <c r="AX440" s="811">
        <f t="shared" si="564"/>
        <v>0.50428571428571423</v>
      </c>
      <c r="AY440" s="809">
        <f t="shared" si="564"/>
        <v>0.48506329113924052</v>
      </c>
      <c r="AZ440" s="811">
        <f t="shared" si="564"/>
        <v>0.64335664335664333</v>
      </c>
      <c r="BA440" s="811">
        <f t="shared" si="564"/>
        <v>0.6216216216216216</v>
      </c>
      <c r="BB440" s="811">
        <f t="shared" si="564"/>
        <v>0.58333333333333337</v>
      </c>
      <c r="BC440" s="811">
        <f t="shared" si="564"/>
        <v>0.61836714299990014</v>
      </c>
      <c r="BD440" s="809">
        <f t="shared" si="564"/>
        <v>0.61600260286314945</v>
      </c>
      <c r="BE440" s="811">
        <f t="shared" si="564"/>
        <v>0.56953642384105962</v>
      </c>
      <c r="BF440" s="811">
        <f t="shared" si="564"/>
        <v>0.60130718954248363</v>
      </c>
      <c r="BG440" s="811">
        <f t="shared" si="564"/>
        <v>0.6097560975609756</v>
      </c>
      <c r="BH440" s="811">
        <f t="shared" si="564"/>
        <v>0.60818713450292394</v>
      </c>
      <c r="BI440" s="809">
        <f t="shared" si="564"/>
        <v>0.59780907668231609</v>
      </c>
      <c r="BJ440" s="811">
        <f t="shared" si="564"/>
        <v>0.63157894736842102</v>
      </c>
      <c r="BK440" s="811">
        <f t="shared" si="564"/>
        <v>0.61956521739130432</v>
      </c>
      <c r="BL440" s="811">
        <f t="shared" si="564"/>
        <v>0.63101604278074863</v>
      </c>
      <c r="BM440" s="811">
        <f t="shared" si="564"/>
        <v>0.63350785340314131</v>
      </c>
      <c r="BN440" s="809">
        <f t="shared" si="564"/>
        <v>0.62892223738062758</v>
      </c>
      <c r="BO440" s="811">
        <f t="shared" si="564"/>
        <v>0.61214953271028039</v>
      </c>
      <c r="BP440" s="811">
        <f t="shared" si="564"/>
        <v>0.63124169349731019</v>
      </c>
      <c r="BQ440" s="811">
        <f t="shared" si="564"/>
        <v>0.65157419986233578</v>
      </c>
      <c r="BR440" s="811">
        <f t="shared" si="564"/>
        <v>0.65600200475751402</v>
      </c>
      <c r="BS440" s="809">
        <f t="shared" si="564"/>
        <v>0.63774300764431835</v>
      </c>
      <c r="BT440" s="811">
        <f t="shared" ref="BT440:BX440" si="565">+BT427/BT437</f>
        <v>0.66114822799484074</v>
      </c>
      <c r="BU440" s="811">
        <f t="shared" si="565"/>
        <v>0.65782858649764886</v>
      </c>
      <c r="BV440" s="811">
        <f t="shared" si="565"/>
        <v>0.67104638592163246</v>
      </c>
      <c r="BW440" s="811">
        <f t="shared" si="565"/>
        <v>0.6769367009372933</v>
      </c>
      <c r="BX440" s="809">
        <f t="shared" si="565"/>
        <v>0.66689288605279551</v>
      </c>
      <c r="BY440" s="809">
        <f t="shared" si="564"/>
        <v>0.67865814718682382</v>
      </c>
      <c r="BZ440" s="809">
        <f>+BZ427/BZ437</f>
        <v>0.68990524361876859</v>
      </c>
      <c r="CA440" s="809">
        <f>+CA427/CA437</f>
        <v>0.69901478451763355</v>
      </c>
      <c r="CF440" s="812" t="str">
        <f t="shared" si="563"/>
        <v>AUM</v>
      </c>
      <c r="CG440" s="802"/>
      <c r="CH440" s="802"/>
      <c r="CI440" s="802"/>
      <c r="CJ440" s="802"/>
      <c r="CK440" s="802"/>
      <c r="CL440" s="1278"/>
      <c r="CM440" s="1278"/>
      <c r="CN440" s="1278"/>
      <c r="CO440" s="1278"/>
      <c r="CP440" s="1278"/>
      <c r="CQ440" s="1278"/>
      <c r="CR440" s="1278"/>
      <c r="CS440" s="809">
        <f>+AT440</f>
        <v>0.46455284552845527</v>
      </c>
      <c r="CT440" s="809">
        <f>+AY440</f>
        <v>0.48506329113924052</v>
      </c>
      <c r="CU440" s="809">
        <f>+BD440</f>
        <v>0.61600260286314945</v>
      </c>
      <c r="CV440" s="809">
        <f>+BI440</f>
        <v>0.59780907668231609</v>
      </c>
      <c r="CW440" s="809">
        <f>+BN440</f>
        <v>0.62892223738062758</v>
      </c>
      <c r="CX440" s="809">
        <f>+BS440</f>
        <v>0.63774300764431835</v>
      </c>
      <c r="CY440" s="809">
        <f>+BX440</f>
        <v>0.66689288605279551</v>
      </c>
      <c r="CZ440" s="809">
        <f>+BY440</f>
        <v>0.67865814718682382</v>
      </c>
      <c r="DA440" s="809">
        <f>+BZ440</f>
        <v>0.68990524361876859</v>
      </c>
      <c r="DB440" s="809">
        <f>+CA440</f>
        <v>0.69901478451763355</v>
      </c>
    </row>
    <row r="441" spans="1:106" ht="12" customHeight="1">
      <c r="A441" s="810" t="s">
        <v>360</v>
      </c>
      <c r="B441" s="802"/>
      <c r="C441" s="802"/>
      <c r="D441" s="802"/>
      <c r="E441" s="802"/>
      <c r="F441" s="802"/>
      <c r="G441" s="1319" t="s">
        <v>249</v>
      </c>
      <c r="H441" s="1319" t="s">
        <v>249</v>
      </c>
      <c r="I441" s="1319" t="s">
        <v>249</v>
      </c>
      <c r="J441" s="1278" t="s">
        <v>249</v>
      </c>
      <c r="K441" s="1278" t="s">
        <v>249</v>
      </c>
      <c r="L441" s="1319" t="s">
        <v>249</v>
      </c>
      <c r="M441" s="1319" t="s">
        <v>249</v>
      </c>
      <c r="N441" s="1319" t="s">
        <v>249</v>
      </c>
      <c r="O441" s="1278" t="s">
        <v>249</v>
      </c>
      <c r="P441" s="1278" t="s">
        <v>249</v>
      </c>
      <c r="Q441" s="1319" t="s">
        <v>249</v>
      </c>
      <c r="R441" s="1319" t="s">
        <v>249</v>
      </c>
      <c r="S441" s="1319" t="s">
        <v>249</v>
      </c>
      <c r="T441" s="1278" t="s">
        <v>249</v>
      </c>
      <c r="U441" s="1278" t="s">
        <v>249</v>
      </c>
      <c r="V441" s="1319" t="s">
        <v>249</v>
      </c>
      <c r="W441" s="1319" t="s">
        <v>249</v>
      </c>
      <c r="X441" s="1319" t="s">
        <v>249</v>
      </c>
      <c r="Y441" s="1278" t="s">
        <v>249</v>
      </c>
      <c r="Z441" s="1278" t="s">
        <v>249</v>
      </c>
      <c r="AA441" s="1319" t="s">
        <v>249</v>
      </c>
      <c r="AB441" s="1319" t="s">
        <v>249</v>
      </c>
      <c r="AC441" s="1319" t="s">
        <v>249</v>
      </c>
      <c r="AD441" s="1278" t="s">
        <v>249</v>
      </c>
      <c r="AE441" s="1278" t="s">
        <v>249</v>
      </c>
      <c r="AF441" s="1319" t="s">
        <v>249</v>
      </c>
      <c r="AG441" s="1319" t="s">
        <v>249</v>
      </c>
      <c r="AH441" s="1319" t="s">
        <v>249</v>
      </c>
      <c r="AI441" s="1278" t="s">
        <v>249</v>
      </c>
      <c r="AJ441" s="1278" t="s">
        <v>249</v>
      </c>
      <c r="AK441" s="1319" t="s">
        <v>249</v>
      </c>
      <c r="AL441" s="1319" t="s">
        <v>249</v>
      </c>
      <c r="AM441" s="1319" t="s">
        <v>249</v>
      </c>
      <c r="AN441" s="1278" t="s">
        <v>249</v>
      </c>
      <c r="AO441" s="1278" t="s">
        <v>249</v>
      </c>
      <c r="AP441" s="811">
        <f t="shared" ref="AP441:BY441" si="566">+AP433/AP437</f>
        <v>0.25350025043478258</v>
      </c>
      <c r="AQ441" s="811">
        <f t="shared" si="566"/>
        <v>0.28925103609756098</v>
      </c>
      <c r="AR441" s="811">
        <f t="shared" si="566"/>
        <v>0.23874170322580643</v>
      </c>
      <c r="AS441" s="811">
        <f t="shared" si="566"/>
        <v>0.24078026215384615</v>
      </c>
      <c r="AT441" s="809">
        <f t="shared" si="566"/>
        <v>0.2553573404878049</v>
      </c>
      <c r="AU441" s="811">
        <f t="shared" si="566"/>
        <v>0.25105661897810222</v>
      </c>
      <c r="AV441" s="811">
        <f t="shared" si="566"/>
        <v>0.23291128421052631</v>
      </c>
      <c r="AW441" s="811">
        <f t="shared" si="566"/>
        <v>0.22939650125874125</v>
      </c>
      <c r="AX441" s="811">
        <f t="shared" si="566"/>
        <v>0.28260635657142857</v>
      </c>
      <c r="AY441" s="809">
        <f t="shared" si="566"/>
        <v>0.24907874719710665</v>
      </c>
      <c r="AZ441" s="811">
        <f t="shared" si="566"/>
        <v>0.15384615384615385</v>
      </c>
      <c r="BA441" s="811">
        <f t="shared" si="566"/>
        <v>0.1891891891891892</v>
      </c>
      <c r="BB441" s="811">
        <f t="shared" si="566"/>
        <v>0.22435897435897437</v>
      </c>
      <c r="BC441" s="811">
        <f t="shared" si="566"/>
        <v>0.18077345857899474</v>
      </c>
      <c r="BD441" s="809">
        <f t="shared" si="566"/>
        <v>0.18780658724597057</v>
      </c>
      <c r="BE441" s="811">
        <f t="shared" si="566"/>
        <v>0.23178807947019867</v>
      </c>
      <c r="BF441" s="811">
        <f t="shared" si="566"/>
        <v>0.18954248366013071</v>
      </c>
      <c r="BG441" s="811">
        <f t="shared" si="566"/>
        <v>0.18902439024390244</v>
      </c>
      <c r="BH441" s="811">
        <f t="shared" si="566"/>
        <v>0.17543859649122806</v>
      </c>
      <c r="BI441" s="809">
        <f t="shared" si="566"/>
        <v>0.19561815336463223</v>
      </c>
      <c r="BJ441" s="811">
        <f t="shared" si="566"/>
        <v>0.1871345029239766</v>
      </c>
      <c r="BK441" s="811">
        <f t="shared" si="566"/>
        <v>0.17934782608695651</v>
      </c>
      <c r="BL441" s="811">
        <f t="shared" si="566"/>
        <v>0.17647058823529413</v>
      </c>
      <c r="BM441" s="811">
        <f t="shared" si="566"/>
        <v>0.17801047120418848</v>
      </c>
      <c r="BN441" s="809">
        <f t="shared" si="566"/>
        <v>0.18008185538881305</v>
      </c>
      <c r="BO441" s="811">
        <f t="shared" si="566"/>
        <v>0.23364485981308411</v>
      </c>
      <c r="BP441" s="811">
        <f t="shared" si="566"/>
        <v>0.18707109111215145</v>
      </c>
      <c r="BQ441" s="811">
        <f t="shared" si="566"/>
        <v>0.17192992956765923</v>
      </c>
      <c r="BR441" s="811">
        <f t="shared" si="566"/>
        <v>0.17193679899912528</v>
      </c>
      <c r="BS441" s="809">
        <f t="shared" si="566"/>
        <v>0.19122046065790307</v>
      </c>
      <c r="BT441" s="811">
        <f t="shared" ref="BT441:BX441" si="567">+BT433/BT437</f>
        <v>0.18498807540180756</v>
      </c>
      <c r="BU441" s="811">
        <f t="shared" si="567"/>
        <v>0.17109374933301741</v>
      </c>
      <c r="BV441" s="811">
        <f t="shared" si="567"/>
        <v>0.16447597404517572</v>
      </c>
      <c r="BW441" s="811">
        <f t="shared" si="567"/>
        <v>0.16218330688485935</v>
      </c>
      <c r="BX441" s="809">
        <f t="shared" si="567"/>
        <v>0.17046046710662788</v>
      </c>
      <c r="BY441" s="809">
        <f t="shared" si="566"/>
        <v>0.16591038205963207</v>
      </c>
      <c r="BZ441" s="809">
        <f>+BZ433/BZ437</f>
        <v>0.16152497109358235</v>
      </c>
      <c r="CA441" s="809">
        <f>+CA433/CA437</f>
        <v>0.15816166734633738</v>
      </c>
      <c r="CF441" s="812" t="str">
        <f t="shared" si="563"/>
        <v>Trading Fees</v>
      </c>
      <c r="CG441" s="802"/>
      <c r="CH441" s="802"/>
      <c r="CI441" s="802"/>
      <c r="CJ441" s="802"/>
      <c r="CK441" s="802"/>
      <c r="CL441" s="1278"/>
      <c r="CM441" s="1278"/>
      <c r="CN441" s="1278"/>
      <c r="CO441" s="1278"/>
      <c r="CP441" s="1278"/>
      <c r="CQ441" s="1278"/>
      <c r="CR441" s="1278"/>
      <c r="CS441" s="809">
        <f>+AT441</f>
        <v>0.2553573404878049</v>
      </c>
      <c r="CT441" s="809">
        <f>+AY441</f>
        <v>0.24907874719710665</v>
      </c>
      <c r="CU441" s="809">
        <f>+BD441</f>
        <v>0.18780658724597057</v>
      </c>
      <c r="CV441" s="809">
        <f>+BI441</f>
        <v>0.19561815336463223</v>
      </c>
      <c r="CW441" s="809">
        <f>+BN441</f>
        <v>0.18008185538881305</v>
      </c>
      <c r="CX441" s="809">
        <f>+BS441</f>
        <v>0.19122046065790307</v>
      </c>
      <c r="CY441" s="809">
        <f t="shared" ref="CY441:DB443" si="568">+BX441</f>
        <v>0.17046046710662788</v>
      </c>
      <c r="CZ441" s="809">
        <f t="shared" si="568"/>
        <v>0.16591038205963207</v>
      </c>
      <c r="DA441" s="809">
        <f t="shared" si="568"/>
        <v>0.16152497109358235</v>
      </c>
      <c r="DB441" s="809">
        <f t="shared" si="568"/>
        <v>0.15816166734633738</v>
      </c>
    </row>
    <row r="442" spans="1:106" ht="12" customHeight="1">
      <c r="A442" s="810" t="s">
        <v>393</v>
      </c>
      <c r="B442" s="802"/>
      <c r="C442" s="802"/>
      <c r="D442" s="802"/>
      <c r="E442" s="802"/>
      <c r="F442" s="802"/>
      <c r="G442" s="1319" t="s">
        <v>249</v>
      </c>
      <c r="H442" s="1319" t="s">
        <v>249</v>
      </c>
      <c r="I442" s="1319" t="s">
        <v>249</v>
      </c>
      <c r="J442" s="1278" t="s">
        <v>249</v>
      </c>
      <c r="K442" s="1278" t="s">
        <v>249</v>
      </c>
      <c r="L442" s="1319" t="s">
        <v>249</v>
      </c>
      <c r="M442" s="1319" t="s">
        <v>249</v>
      </c>
      <c r="N442" s="1319" t="s">
        <v>249</v>
      </c>
      <c r="O442" s="1278" t="s">
        <v>249</v>
      </c>
      <c r="P442" s="1278" t="s">
        <v>249</v>
      </c>
      <c r="Q442" s="1319" t="s">
        <v>249</v>
      </c>
      <c r="R442" s="1319" t="s">
        <v>249</v>
      </c>
      <c r="S442" s="1319" t="s">
        <v>249</v>
      </c>
      <c r="T442" s="1278" t="s">
        <v>249</v>
      </c>
      <c r="U442" s="1278" t="s">
        <v>249</v>
      </c>
      <c r="V442" s="1319" t="s">
        <v>249</v>
      </c>
      <c r="W442" s="1319" t="s">
        <v>249</v>
      </c>
      <c r="X442" s="1319" t="s">
        <v>249</v>
      </c>
      <c r="Y442" s="1278" t="s">
        <v>249</v>
      </c>
      <c r="Z442" s="1278" t="s">
        <v>249</v>
      </c>
      <c r="AA442" s="1319" t="s">
        <v>249</v>
      </c>
      <c r="AB442" s="1319" t="s">
        <v>249</v>
      </c>
      <c r="AC442" s="1319" t="s">
        <v>249</v>
      </c>
      <c r="AD442" s="1278" t="s">
        <v>249</v>
      </c>
      <c r="AE442" s="1278" t="s">
        <v>249</v>
      </c>
      <c r="AF442" s="1319" t="s">
        <v>249</v>
      </c>
      <c r="AG442" s="1319" t="s">
        <v>249</v>
      </c>
      <c r="AH442" s="1319" t="s">
        <v>249</v>
      </c>
      <c r="AI442" s="1278" t="s">
        <v>249</v>
      </c>
      <c r="AJ442" s="1278" t="s">
        <v>249</v>
      </c>
      <c r="AK442" s="1319" t="s">
        <v>249</v>
      </c>
      <c r="AL442" s="1319" t="s">
        <v>249</v>
      </c>
      <c r="AM442" s="1319" t="s">
        <v>249</v>
      </c>
      <c r="AN442" s="1278" t="s">
        <v>249</v>
      </c>
      <c r="AO442" s="1278" t="s">
        <v>249</v>
      </c>
      <c r="AP442" s="811">
        <f t="shared" ref="AP442:BZ442" si="569">+AP324/AP$437</f>
        <v>0.21739130434782608</v>
      </c>
      <c r="AQ442" s="811">
        <f t="shared" si="569"/>
        <v>0.21138211382113822</v>
      </c>
      <c r="AR442" s="811">
        <f t="shared" si="569"/>
        <v>0.20161290322580644</v>
      </c>
      <c r="AS442" s="811">
        <f t="shared" si="569"/>
        <v>0.2076923076923077</v>
      </c>
      <c r="AT442" s="809">
        <f t="shared" si="569"/>
        <v>0.20934959349593496</v>
      </c>
      <c r="AU442" s="811">
        <f t="shared" si="569"/>
        <v>0.18978102189781021</v>
      </c>
      <c r="AV442" s="811">
        <f t="shared" si="569"/>
        <v>0.21052631578947367</v>
      </c>
      <c r="AW442" s="811">
        <f t="shared" si="569"/>
        <v>0.20279720279720279</v>
      </c>
      <c r="AX442" s="811">
        <f t="shared" si="569"/>
        <v>0.20714285714285716</v>
      </c>
      <c r="AY442" s="809">
        <f t="shared" si="569"/>
        <v>0.20253164556962025</v>
      </c>
      <c r="AZ442" s="811">
        <f t="shared" si="569"/>
        <v>0.20279720279720279</v>
      </c>
      <c r="BA442" s="811">
        <f t="shared" si="569"/>
        <v>0.1891891891891892</v>
      </c>
      <c r="BB442" s="811">
        <f t="shared" si="569"/>
        <v>0.19230769230769232</v>
      </c>
      <c r="BC442" s="811">
        <f t="shared" si="569"/>
        <v>0.20085939842110526</v>
      </c>
      <c r="BD442" s="809">
        <f t="shared" si="569"/>
        <v>0.19619080989087997</v>
      </c>
      <c r="BE442" s="811">
        <f t="shared" si="569"/>
        <v>0.19867549668874171</v>
      </c>
      <c r="BF442" s="811">
        <f t="shared" si="569"/>
        <v>0.20915032679738563</v>
      </c>
      <c r="BG442" s="811">
        <f t="shared" si="569"/>
        <v>0.20121951219512196</v>
      </c>
      <c r="BH442" s="811">
        <f t="shared" si="569"/>
        <v>0.21637426900584794</v>
      </c>
      <c r="BI442" s="809">
        <f t="shared" si="569"/>
        <v>0.20657276995305165</v>
      </c>
      <c r="BJ442" s="811">
        <f t="shared" si="569"/>
        <v>0.18128654970760233</v>
      </c>
      <c r="BK442" s="811">
        <f t="shared" si="569"/>
        <v>0.20108695652173914</v>
      </c>
      <c r="BL442" s="811">
        <f t="shared" si="569"/>
        <v>0.19251336898395721</v>
      </c>
      <c r="BM442" s="811">
        <f t="shared" si="569"/>
        <v>0.18848167539267016</v>
      </c>
      <c r="BN442" s="809">
        <f t="shared" si="569"/>
        <v>0.19099590723055934</v>
      </c>
      <c r="BO442" s="811">
        <f t="shared" si="569"/>
        <v>0.1542056074766355</v>
      </c>
      <c r="BP442" s="811">
        <f t="shared" si="569"/>
        <v>0.18168721539053845</v>
      </c>
      <c r="BQ442" s="811">
        <f t="shared" si="569"/>
        <v>0.17649587057000507</v>
      </c>
      <c r="BR442" s="811">
        <f t="shared" si="569"/>
        <v>0.17206119624336078</v>
      </c>
      <c r="BS442" s="809">
        <f t="shared" si="569"/>
        <v>0.17103653169777849</v>
      </c>
      <c r="BT442" s="811">
        <f t="shared" ref="BT442:BX442" si="570">+BT324/BT$437</f>
        <v>0.15386369660335161</v>
      </c>
      <c r="BU442" s="811">
        <f t="shared" si="570"/>
        <v>0.17107766416933376</v>
      </c>
      <c r="BV442" s="811">
        <f t="shared" si="570"/>
        <v>0.16447764003319182</v>
      </c>
      <c r="BW442" s="811">
        <f t="shared" si="570"/>
        <v>0.16087999217784729</v>
      </c>
      <c r="BX442" s="809">
        <f t="shared" si="570"/>
        <v>0.16264664684057656</v>
      </c>
      <c r="BY442" s="809">
        <f t="shared" si="569"/>
        <v>0.15543147075354399</v>
      </c>
      <c r="BZ442" s="809">
        <f t="shared" si="569"/>
        <v>0.14856978528764911</v>
      </c>
      <c r="CA442" s="809">
        <f t="shared" ref="CA442" si="571">+CA324/CA$437</f>
        <v>0.14282354813602904</v>
      </c>
      <c r="CF442" s="812" t="str">
        <f t="shared" si="563"/>
        <v>Subscription</v>
      </c>
      <c r="CG442" s="802"/>
      <c r="CH442" s="802"/>
      <c r="CI442" s="802"/>
      <c r="CJ442" s="802"/>
      <c r="CK442" s="802"/>
      <c r="CL442" s="1278"/>
      <c r="CM442" s="1278"/>
      <c r="CN442" s="1278"/>
      <c r="CO442" s="1278"/>
      <c r="CP442" s="1278"/>
      <c r="CQ442" s="1278"/>
      <c r="CR442" s="1278"/>
      <c r="CS442" s="809">
        <f>+AT442</f>
        <v>0.20934959349593496</v>
      </c>
      <c r="CT442" s="809">
        <f>+AY442</f>
        <v>0.20253164556962025</v>
      </c>
      <c r="CU442" s="809">
        <f>+BD442</f>
        <v>0.19619080989087997</v>
      </c>
      <c r="CV442" s="809">
        <f>+BI442</f>
        <v>0.20657276995305165</v>
      </c>
      <c r="CW442" s="809">
        <f>+BN442</f>
        <v>0.19099590723055934</v>
      </c>
      <c r="CX442" s="809">
        <f>+BS442</f>
        <v>0.17103653169777849</v>
      </c>
      <c r="CY442" s="809">
        <f t="shared" si="568"/>
        <v>0.16264664684057656</v>
      </c>
      <c r="CZ442" s="809">
        <f t="shared" si="568"/>
        <v>0.15543147075354399</v>
      </c>
      <c r="DA442" s="809">
        <f t="shared" si="568"/>
        <v>0.14856978528764911</v>
      </c>
      <c r="DB442" s="809">
        <f t="shared" si="568"/>
        <v>0.14282354813602904</v>
      </c>
    </row>
    <row r="443" spans="1:106" ht="12" customHeight="1">
      <c r="A443" s="810" t="s">
        <v>117</v>
      </c>
      <c r="B443" s="802"/>
      <c r="C443" s="802"/>
      <c r="D443" s="802"/>
      <c r="E443" s="802"/>
      <c r="F443" s="802"/>
      <c r="G443" s="1319" t="s">
        <v>249</v>
      </c>
      <c r="H443" s="1319" t="s">
        <v>249</v>
      </c>
      <c r="I443" s="1319" t="s">
        <v>249</v>
      </c>
      <c r="J443" s="1278" t="s">
        <v>249</v>
      </c>
      <c r="K443" s="1278" t="s">
        <v>249</v>
      </c>
      <c r="L443" s="1319" t="s">
        <v>249</v>
      </c>
      <c r="M443" s="1319" t="s">
        <v>249</v>
      </c>
      <c r="N443" s="1319" t="s">
        <v>249</v>
      </c>
      <c r="O443" s="1278" t="s">
        <v>249</v>
      </c>
      <c r="P443" s="1278" t="s">
        <v>249</v>
      </c>
      <c r="Q443" s="1319" t="s">
        <v>249</v>
      </c>
      <c r="R443" s="1319" t="s">
        <v>249</v>
      </c>
      <c r="S443" s="1319" t="s">
        <v>249</v>
      </c>
      <c r="T443" s="1278" t="s">
        <v>249</v>
      </c>
      <c r="U443" s="1278" t="s">
        <v>249</v>
      </c>
      <c r="V443" s="1319" t="s">
        <v>249</v>
      </c>
      <c r="W443" s="1319" t="s">
        <v>249</v>
      </c>
      <c r="X443" s="1319" t="s">
        <v>249</v>
      </c>
      <c r="Y443" s="1278" t="s">
        <v>249</v>
      </c>
      <c r="Z443" s="1278" t="s">
        <v>249</v>
      </c>
      <c r="AA443" s="1319" t="s">
        <v>249</v>
      </c>
      <c r="AB443" s="1319" t="s">
        <v>249</v>
      </c>
      <c r="AC443" s="1319" t="s">
        <v>249</v>
      </c>
      <c r="AD443" s="1278" t="s">
        <v>249</v>
      </c>
      <c r="AE443" s="1278" t="s">
        <v>249</v>
      </c>
      <c r="AF443" s="1319" t="s">
        <v>249</v>
      </c>
      <c r="AG443" s="1319" t="s">
        <v>249</v>
      </c>
      <c r="AH443" s="1319" t="s">
        <v>249</v>
      </c>
      <c r="AI443" s="1278" t="s">
        <v>249</v>
      </c>
      <c r="AJ443" s="1278" t="s">
        <v>249</v>
      </c>
      <c r="AK443" s="1319" t="s">
        <v>249</v>
      </c>
      <c r="AL443" s="1319" t="s">
        <v>249</v>
      </c>
      <c r="AM443" s="1319" t="s">
        <v>249</v>
      </c>
      <c r="AN443" s="1278" t="s">
        <v>249</v>
      </c>
      <c r="AO443" s="1278" t="s">
        <v>249</v>
      </c>
      <c r="AP443" s="811">
        <f t="shared" ref="AP443:BY443" si="572">+AP435/AP$437</f>
        <v>7.5717140869565228E-2</v>
      </c>
      <c r="AQ443" s="811">
        <f t="shared" si="572"/>
        <v>4.9448150894308901E-2</v>
      </c>
      <c r="AR443" s="811">
        <f t="shared" si="572"/>
        <v>9.4000232258064531E-2</v>
      </c>
      <c r="AS443" s="811">
        <f t="shared" si="572"/>
        <v>6.4296660923076898E-2</v>
      </c>
      <c r="AT443" s="809">
        <f t="shared" si="572"/>
        <v>7.0740220487804858E-2</v>
      </c>
      <c r="AU443" s="811">
        <f t="shared" si="572"/>
        <v>9.1133162043795568E-2</v>
      </c>
      <c r="AV443" s="811">
        <f t="shared" si="572"/>
        <v>6.4532324812030098E-2</v>
      </c>
      <c r="AW443" s="811">
        <f t="shared" si="572"/>
        <v>9.1722379860139772E-2</v>
      </c>
      <c r="AX443" s="811">
        <f t="shared" si="572"/>
        <v>5.9650720000000487E-3</v>
      </c>
      <c r="AY443" s="809">
        <f t="shared" si="572"/>
        <v>6.3326316094032525E-2</v>
      </c>
      <c r="AZ443" s="811">
        <f t="shared" si="572"/>
        <v>0</v>
      </c>
      <c r="BA443" s="811">
        <f t="shared" si="572"/>
        <v>0</v>
      </c>
      <c r="BB443" s="811">
        <f t="shared" si="572"/>
        <v>0</v>
      </c>
      <c r="BC443" s="811">
        <f t="shared" si="572"/>
        <v>0</v>
      </c>
      <c r="BD443" s="809">
        <f t="shared" si="572"/>
        <v>0</v>
      </c>
      <c r="BE443" s="811">
        <f t="shared" si="572"/>
        <v>0</v>
      </c>
      <c r="BF443" s="811">
        <f t="shared" si="572"/>
        <v>0</v>
      </c>
      <c r="BG443" s="811">
        <f t="shared" si="572"/>
        <v>0</v>
      </c>
      <c r="BH443" s="811">
        <f t="shared" si="572"/>
        <v>0</v>
      </c>
      <c r="BI443" s="809">
        <f t="shared" si="572"/>
        <v>0</v>
      </c>
      <c r="BJ443" s="811">
        <f t="shared" si="572"/>
        <v>0</v>
      </c>
      <c r="BK443" s="811">
        <f t="shared" si="572"/>
        <v>0</v>
      </c>
      <c r="BL443" s="811">
        <f t="shared" si="572"/>
        <v>0</v>
      </c>
      <c r="BM443" s="811">
        <f t="shared" si="572"/>
        <v>0</v>
      </c>
      <c r="BN443" s="809">
        <f t="shared" si="572"/>
        <v>0</v>
      </c>
      <c r="BO443" s="811">
        <f t="shared" si="572"/>
        <v>0</v>
      </c>
      <c r="BP443" s="811">
        <f t="shared" si="572"/>
        <v>0</v>
      </c>
      <c r="BQ443" s="811">
        <f t="shared" si="572"/>
        <v>0</v>
      </c>
      <c r="BR443" s="811">
        <f t="shared" si="572"/>
        <v>0</v>
      </c>
      <c r="BS443" s="809">
        <f t="shared" si="572"/>
        <v>0</v>
      </c>
      <c r="BT443" s="811">
        <f t="shared" ref="BT443:BX443" si="573">+BT435/BT$437</f>
        <v>0</v>
      </c>
      <c r="BU443" s="811">
        <f t="shared" si="573"/>
        <v>0</v>
      </c>
      <c r="BV443" s="811">
        <f t="shared" si="573"/>
        <v>0</v>
      </c>
      <c r="BW443" s="811">
        <f t="shared" si="573"/>
        <v>0</v>
      </c>
      <c r="BX443" s="809">
        <f t="shared" si="573"/>
        <v>0</v>
      </c>
      <c r="BY443" s="809">
        <f t="shared" si="572"/>
        <v>0</v>
      </c>
      <c r="BZ443" s="809">
        <f>+BZ435/BZ$437</f>
        <v>0</v>
      </c>
      <c r="CA443" s="809">
        <f>+CA435/CA$437</f>
        <v>0</v>
      </c>
      <c r="CF443" s="812" t="str">
        <f t="shared" si="563"/>
        <v>Other</v>
      </c>
      <c r="CG443" s="802"/>
      <c r="CH443" s="802"/>
      <c r="CI443" s="802"/>
      <c r="CJ443" s="802"/>
      <c r="CK443" s="802"/>
      <c r="CL443" s="1278"/>
      <c r="CM443" s="1278"/>
      <c r="CN443" s="1278"/>
      <c r="CO443" s="1278"/>
      <c r="CP443" s="1278"/>
      <c r="CQ443" s="1278"/>
      <c r="CR443" s="1278"/>
      <c r="CS443" s="809">
        <f>+AT443</f>
        <v>7.0740220487804858E-2</v>
      </c>
      <c r="CT443" s="809">
        <f>+AY443</f>
        <v>6.3326316094032525E-2</v>
      </c>
      <c r="CU443" s="809">
        <f>+BD443</f>
        <v>0</v>
      </c>
      <c r="CV443" s="809">
        <f>+BI443</f>
        <v>0</v>
      </c>
      <c r="CW443" s="809">
        <f>+BN443</f>
        <v>0</v>
      </c>
      <c r="CX443" s="809">
        <f>+BS443</f>
        <v>0</v>
      </c>
      <c r="CY443" s="809">
        <f t="shared" si="568"/>
        <v>0</v>
      </c>
      <c r="CZ443" s="809">
        <f t="shared" si="568"/>
        <v>0</v>
      </c>
      <c r="DA443" s="809">
        <f t="shared" si="568"/>
        <v>0</v>
      </c>
      <c r="DB443" s="809">
        <f t="shared" si="568"/>
        <v>0</v>
      </c>
    </row>
    <row r="444" spans="1:106" s="1286" customFormat="1" ht="11.25" customHeight="1" collapsed="1">
      <c r="A444" s="2301" t="s">
        <v>341</v>
      </c>
      <c r="B444" s="1515"/>
      <c r="C444" s="1515"/>
      <c r="D444" s="1515"/>
      <c r="E444" s="1515"/>
      <c r="F444" s="1515"/>
      <c r="G444" s="1516"/>
      <c r="H444" s="1516"/>
      <c r="I444" s="1516"/>
      <c r="J444" s="1516"/>
      <c r="K444" s="1516"/>
      <c r="L444" s="1516"/>
      <c r="M444" s="1516"/>
      <c r="N444" s="1516"/>
      <c r="O444" s="1516"/>
      <c r="P444" s="1516"/>
      <c r="Q444" s="1516"/>
      <c r="R444" s="1516"/>
      <c r="S444" s="1516"/>
      <c r="T444" s="1516"/>
      <c r="U444" s="1516"/>
      <c r="V444" s="1515"/>
      <c r="W444" s="1515"/>
      <c r="X444" s="1515"/>
      <c r="Y444" s="1515"/>
      <c r="Z444" s="1515"/>
      <c r="AA444" s="1515"/>
      <c r="AB444" s="1515"/>
      <c r="AC444" s="1515"/>
      <c r="AD444" s="1515"/>
      <c r="AE444" s="1515"/>
      <c r="AF444" s="1515"/>
      <c r="AG444" s="1515"/>
      <c r="AH444" s="1515"/>
      <c r="AI444" s="1515"/>
      <c r="AJ444" s="1515"/>
      <c r="AK444" s="1515"/>
      <c r="AL444" s="1515"/>
      <c r="AM444" s="1515"/>
      <c r="AN444" s="1515"/>
      <c r="AO444" s="1515"/>
      <c r="AP444" s="1515"/>
      <c r="AQ444" s="1515"/>
      <c r="AR444" s="1515"/>
      <c r="AS444" s="1515"/>
      <c r="AT444" s="1515"/>
      <c r="AU444" s="1515"/>
      <c r="AV444" s="1515"/>
      <c r="AW444" s="1515"/>
      <c r="AX444" s="1515"/>
      <c r="AY444" s="1515"/>
      <c r="AZ444" s="1515"/>
      <c r="BA444" s="1515"/>
      <c r="BB444" s="1515"/>
      <c r="BC444" s="1515"/>
      <c r="BD444" s="1515"/>
      <c r="BE444" s="1515"/>
      <c r="BF444" s="1515"/>
      <c r="BG444" s="1515"/>
      <c r="BH444" s="1515"/>
      <c r="BI444" s="1515"/>
      <c r="BJ444" s="1515"/>
      <c r="BK444" s="1515"/>
      <c r="BL444" s="1515"/>
      <c r="BM444" s="1515"/>
      <c r="BN444" s="1515"/>
      <c r="BO444" s="1515"/>
      <c r="BP444" s="1515"/>
      <c r="BQ444" s="1515"/>
      <c r="BR444" s="1515"/>
      <c r="BS444" s="1515"/>
      <c r="BT444" s="1515"/>
      <c r="BU444" s="1515"/>
      <c r="BV444" s="1515"/>
      <c r="BW444" s="1515"/>
      <c r="BX444" s="1515"/>
      <c r="BY444" s="1517"/>
      <c r="BZ444" s="1517"/>
      <c r="CA444" s="1517"/>
      <c r="CF444" s="1797"/>
      <c r="CG444" s="1515"/>
      <c r="CH444" s="1515"/>
      <c r="CI444" s="1515"/>
      <c r="CJ444" s="1515"/>
      <c r="CK444" s="1515"/>
      <c r="CL444" s="1516"/>
      <c r="CM444" s="1515"/>
      <c r="CN444" s="1515"/>
      <c r="CO444" s="1515"/>
      <c r="CP444" s="1515"/>
      <c r="CQ444" s="1515"/>
      <c r="CR444" s="1515"/>
      <c r="CS444" s="1515"/>
      <c r="CT444" s="1515"/>
      <c r="CU444" s="1515"/>
      <c r="CV444" s="1515"/>
      <c r="CW444" s="1515"/>
      <c r="CX444" s="1515"/>
      <c r="CY444" s="1515"/>
      <c r="CZ444" s="1517"/>
      <c r="DA444" s="1517"/>
      <c r="DB444" s="1517"/>
    </row>
    <row r="445" spans="1:106" s="1286" customFormat="1" ht="11.25" customHeight="1">
      <c r="A445" s="2302"/>
      <c r="B445" s="1518"/>
      <c r="C445" s="1518"/>
      <c r="D445" s="1518"/>
      <c r="E445" s="1518"/>
      <c r="F445" s="1518"/>
      <c r="G445" s="1519"/>
      <c r="H445" s="1519"/>
      <c r="I445" s="1519"/>
      <c r="J445" s="1519"/>
      <c r="K445" s="1519"/>
      <c r="L445" s="1519"/>
      <c r="M445" s="1519"/>
      <c r="N445" s="1519"/>
      <c r="O445" s="1519"/>
      <c r="P445" s="1519"/>
      <c r="Q445" s="1519"/>
      <c r="R445" s="1519"/>
      <c r="S445" s="1519"/>
      <c r="T445" s="1519"/>
      <c r="U445" s="1519"/>
      <c r="V445" s="1518"/>
      <c r="W445" s="1518"/>
      <c r="X445" s="1518"/>
      <c r="Y445" s="1518"/>
      <c r="Z445" s="1518"/>
      <c r="AA445" s="1518"/>
      <c r="AB445" s="1518"/>
      <c r="AC445" s="1518"/>
      <c r="AD445" s="1518"/>
      <c r="AE445" s="1518"/>
      <c r="AF445" s="1518"/>
      <c r="AG445" s="1518"/>
      <c r="AH445" s="1518"/>
      <c r="AI445" s="1518"/>
      <c r="AJ445" s="1518"/>
      <c r="AK445" s="1518"/>
      <c r="AL445" s="1518"/>
      <c r="AM445" s="1518"/>
      <c r="AN445" s="1518"/>
      <c r="AO445" s="1518"/>
      <c r="AP445" s="1518"/>
      <c r="AQ445" s="1518"/>
      <c r="AR445" s="1518"/>
      <c r="AS445" s="1518"/>
      <c r="AT445" s="1518"/>
      <c r="AU445" s="1518"/>
      <c r="AV445" s="1518"/>
      <c r="AW445" s="1518"/>
      <c r="AX445" s="1518"/>
      <c r="AY445" s="1518"/>
      <c r="AZ445" s="1518"/>
      <c r="BA445" s="1518"/>
      <c r="BB445" s="1518"/>
      <c r="BC445" s="1518"/>
      <c r="BD445" s="1518"/>
      <c r="BE445" s="1518"/>
      <c r="BF445" s="1518"/>
      <c r="BG445" s="1518"/>
      <c r="BH445" s="1518"/>
      <c r="BI445" s="1518"/>
      <c r="BJ445" s="1518"/>
      <c r="BK445" s="1518"/>
      <c r="BL445" s="1518"/>
      <c r="BM445" s="1518"/>
      <c r="BN445" s="1518"/>
      <c r="BO445" s="1518"/>
      <c r="BP445" s="1518"/>
      <c r="BQ445" s="1518"/>
      <c r="BR445" s="1518"/>
      <c r="BS445" s="1518"/>
      <c r="BT445" s="1518"/>
      <c r="BU445" s="1518"/>
      <c r="BV445" s="1518"/>
      <c r="BW445" s="1518"/>
      <c r="BX445" s="1518"/>
      <c r="BY445" s="1520"/>
      <c r="BZ445" s="1520"/>
      <c r="CA445" s="1520"/>
      <c r="CF445" s="1798"/>
      <c r="CG445" s="1518"/>
      <c r="CH445" s="1518"/>
      <c r="CI445" s="1518"/>
      <c r="CJ445" s="1518"/>
      <c r="CK445" s="1518"/>
      <c r="CL445" s="1519"/>
      <c r="CM445" s="1518"/>
      <c r="CN445" s="1518"/>
      <c r="CO445" s="1518"/>
      <c r="CP445" s="1518"/>
      <c r="CQ445" s="1518"/>
      <c r="CR445" s="1518"/>
      <c r="CS445" s="1518"/>
      <c r="CT445" s="1518"/>
      <c r="CU445" s="1518"/>
      <c r="CV445" s="1518"/>
      <c r="CW445" s="1518"/>
      <c r="CX445" s="1518"/>
      <c r="CY445" s="1518"/>
      <c r="CZ445" s="1520"/>
      <c r="DA445" s="1520"/>
      <c r="DB445" s="1520"/>
    </row>
    <row r="446" spans="1:106" ht="12" customHeight="1">
      <c r="A446" s="1851" t="s">
        <v>394</v>
      </c>
      <c r="B446" s="1658"/>
      <c r="C446" s="1658"/>
      <c r="D446" s="1658"/>
      <c r="E446" s="1658"/>
      <c r="F446" s="1658"/>
      <c r="G446" s="1780" t="str">
        <f t="shared" ref="G446:AL446" si="574">G9</f>
        <v>1Q06</v>
      </c>
      <c r="H446" s="1780" t="str">
        <f t="shared" si="574"/>
        <v>2Q06</v>
      </c>
      <c r="I446" s="1780" t="str">
        <f t="shared" si="574"/>
        <v>3Q06</v>
      </c>
      <c r="J446" s="1780" t="str">
        <f t="shared" si="574"/>
        <v>4Q06</v>
      </c>
      <c r="K446" s="1852">
        <f t="shared" si="574"/>
        <v>2006</v>
      </c>
      <c r="L446" s="1780" t="str">
        <f t="shared" si="574"/>
        <v>1Q07</v>
      </c>
      <c r="M446" s="1780" t="str">
        <f t="shared" si="574"/>
        <v>2Q07</v>
      </c>
      <c r="N446" s="1780" t="str">
        <f t="shared" si="574"/>
        <v>3Q07</v>
      </c>
      <c r="O446" s="1780" t="str">
        <f t="shared" si="574"/>
        <v>4Q07</v>
      </c>
      <c r="P446" s="1852">
        <f t="shared" si="574"/>
        <v>2007</v>
      </c>
      <c r="Q446" s="1780" t="str">
        <f t="shared" si="574"/>
        <v>1Q08</v>
      </c>
      <c r="R446" s="1780" t="str">
        <f t="shared" si="574"/>
        <v>2Q08</v>
      </c>
      <c r="S446" s="1780" t="str">
        <f t="shared" si="574"/>
        <v>3Q08</v>
      </c>
      <c r="T446" s="1780" t="str">
        <f t="shared" si="574"/>
        <v>4Q08</v>
      </c>
      <c r="U446" s="1852">
        <f t="shared" si="574"/>
        <v>2008</v>
      </c>
      <c r="V446" s="1780" t="str">
        <f t="shared" si="574"/>
        <v>1Q09</v>
      </c>
      <c r="W446" s="1780" t="str">
        <f t="shared" si="574"/>
        <v>2Q09</v>
      </c>
      <c r="X446" s="1780" t="str">
        <f t="shared" si="574"/>
        <v>3Q09</v>
      </c>
      <c r="Y446" s="1780" t="str">
        <f t="shared" si="574"/>
        <v>4Q09</v>
      </c>
      <c r="Z446" s="1852">
        <f t="shared" si="574"/>
        <v>2009</v>
      </c>
      <c r="AA446" s="1780" t="str">
        <f t="shared" si="574"/>
        <v>1Q10</v>
      </c>
      <c r="AB446" s="1780" t="str">
        <f t="shared" si="574"/>
        <v>2Q10</v>
      </c>
      <c r="AC446" s="1780" t="str">
        <f t="shared" si="574"/>
        <v>3Q10</v>
      </c>
      <c r="AD446" s="1780" t="str">
        <f t="shared" si="574"/>
        <v>4Q10</v>
      </c>
      <c r="AE446" s="1852">
        <f t="shared" si="574"/>
        <v>2010</v>
      </c>
      <c r="AF446" s="1780" t="str">
        <f t="shared" si="574"/>
        <v>1Q11</v>
      </c>
      <c r="AG446" s="1780" t="str">
        <f t="shared" si="574"/>
        <v>2Q11</v>
      </c>
      <c r="AH446" s="1780" t="str">
        <f t="shared" si="574"/>
        <v>3Q11</v>
      </c>
      <c r="AI446" s="1780" t="str">
        <f t="shared" si="574"/>
        <v>4Q11</v>
      </c>
      <c r="AJ446" s="1852">
        <f t="shared" si="574"/>
        <v>2011</v>
      </c>
      <c r="AK446" s="1780" t="str">
        <f t="shared" si="574"/>
        <v>1Q12</v>
      </c>
      <c r="AL446" s="1780" t="str">
        <f t="shared" si="574"/>
        <v>2Q12</v>
      </c>
      <c r="AM446" s="1780" t="str">
        <f t="shared" ref="AM446:BR446" si="575">AM9</f>
        <v>3Q12</v>
      </c>
      <c r="AN446" s="1780" t="str">
        <f t="shared" si="575"/>
        <v>4Q12</v>
      </c>
      <c r="AO446" s="1852">
        <f t="shared" si="575"/>
        <v>2012</v>
      </c>
      <c r="AP446" s="1780" t="str">
        <f t="shared" si="575"/>
        <v>1Q13</v>
      </c>
      <c r="AQ446" s="1780" t="str">
        <f t="shared" si="575"/>
        <v>2Q13</v>
      </c>
      <c r="AR446" s="1780" t="str">
        <f t="shared" si="575"/>
        <v>3Q13</v>
      </c>
      <c r="AS446" s="1780" t="str">
        <f t="shared" si="575"/>
        <v>4Q13</v>
      </c>
      <c r="AT446" s="1852">
        <f t="shared" si="575"/>
        <v>2013</v>
      </c>
      <c r="AU446" s="1780" t="str">
        <f t="shared" si="575"/>
        <v>1Q14</v>
      </c>
      <c r="AV446" s="1780" t="str">
        <f t="shared" si="575"/>
        <v>2Q14</v>
      </c>
      <c r="AW446" s="1780" t="str">
        <f t="shared" si="575"/>
        <v>3Q14</v>
      </c>
      <c r="AX446" s="1780" t="str">
        <f t="shared" si="575"/>
        <v>4Q14</v>
      </c>
      <c r="AY446" s="1852">
        <f t="shared" si="575"/>
        <v>2014</v>
      </c>
      <c r="AZ446" s="1780" t="str">
        <f t="shared" si="575"/>
        <v>1Q15</v>
      </c>
      <c r="BA446" s="1780" t="str">
        <f t="shared" si="575"/>
        <v>2Q15</v>
      </c>
      <c r="BB446" s="1780" t="str">
        <f t="shared" si="575"/>
        <v>3Q15</v>
      </c>
      <c r="BC446" s="1780" t="str">
        <f t="shared" si="575"/>
        <v>4Q15</v>
      </c>
      <c r="BD446" s="1852">
        <f t="shared" si="575"/>
        <v>2015</v>
      </c>
      <c r="BE446" s="1780" t="str">
        <f t="shared" si="575"/>
        <v>1Q16</v>
      </c>
      <c r="BF446" s="1780" t="str">
        <f t="shared" si="575"/>
        <v>2Q16</v>
      </c>
      <c r="BG446" s="1780" t="str">
        <f t="shared" si="575"/>
        <v>3Q16</v>
      </c>
      <c r="BH446" s="1780" t="str">
        <f t="shared" si="575"/>
        <v>4Q16</v>
      </c>
      <c r="BI446" s="1852">
        <f t="shared" si="575"/>
        <v>2016</v>
      </c>
      <c r="BJ446" s="1780" t="str">
        <f t="shared" si="575"/>
        <v>1Q17</v>
      </c>
      <c r="BK446" s="1780" t="str">
        <f t="shared" si="575"/>
        <v>2Q17</v>
      </c>
      <c r="BL446" s="1780" t="str">
        <f t="shared" si="575"/>
        <v>3Q17</v>
      </c>
      <c r="BM446" s="1780" t="str">
        <f t="shared" si="575"/>
        <v>4Q17</v>
      </c>
      <c r="BN446" s="1853">
        <f t="shared" si="575"/>
        <v>2017</v>
      </c>
      <c r="BO446" s="1780" t="str">
        <f t="shared" si="575"/>
        <v>1Q18E</v>
      </c>
      <c r="BP446" s="1780" t="str">
        <f t="shared" si="575"/>
        <v>2Q18E</v>
      </c>
      <c r="BQ446" s="1780" t="str">
        <f t="shared" si="575"/>
        <v>3Q18E</v>
      </c>
      <c r="BR446" s="1780" t="str">
        <f t="shared" si="575"/>
        <v>4Q18E</v>
      </c>
      <c r="BS446" s="1853" t="str">
        <f t="shared" ref="BS446:CA446" si="576">BS9</f>
        <v>2018E</v>
      </c>
      <c r="BT446" s="1780" t="str">
        <f t="shared" si="576"/>
        <v>1Q19E</v>
      </c>
      <c r="BU446" s="1780" t="str">
        <f t="shared" si="576"/>
        <v>2Q19E</v>
      </c>
      <c r="BV446" s="1780" t="str">
        <f t="shared" si="576"/>
        <v>3Q19E</v>
      </c>
      <c r="BW446" s="1780" t="str">
        <f t="shared" si="576"/>
        <v>4Q19E</v>
      </c>
      <c r="BX446" s="1853" t="str">
        <f t="shared" si="576"/>
        <v>2019E</v>
      </c>
      <c r="BY446" s="1853" t="str">
        <f t="shared" si="576"/>
        <v>2020E</v>
      </c>
      <c r="BZ446" s="1853" t="str">
        <f t="shared" si="576"/>
        <v>2021E</v>
      </c>
      <c r="CA446" s="1853" t="str">
        <f t="shared" si="576"/>
        <v>2022E</v>
      </c>
      <c r="CB446" s="1411"/>
      <c r="CF446" s="1854" t="str">
        <f>+A446</f>
        <v>Total Company Organic Growth</v>
      </c>
      <c r="CG446" s="1658"/>
      <c r="CH446" s="1658"/>
      <c r="CI446" s="1658"/>
      <c r="CJ446" s="1658"/>
      <c r="CK446" s="1658"/>
      <c r="CL446" s="1852">
        <f>+K446</f>
        <v>2006</v>
      </c>
      <c r="CM446" s="1852">
        <f>+P446</f>
        <v>2007</v>
      </c>
      <c r="CN446" s="1852">
        <f>+U446</f>
        <v>2008</v>
      </c>
      <c r="CO446" s="1852">
        <f>+Z446</f>
        <v>2009</v>
      </c>
      <c r="CP446" s="1852">
        <f>+AE446</f>
        <v>2010</v>
      </c>
      <c r="CQ446" s="1852">
        <f>+AJ446</f>
        <v>2011</v>
      </c>
      <c r="CR446" s="1852">
        <f>+AO446</f>
        <v>2012</v>
      </c>
      <c r="CS446" s="1852">
        <f>+AT446</f>
        <v>2013</v>
      </c>
      <c r="CT446" s="1852">
        <f>+AY446</f>
        <v>2014</v>
      </c>
      <c r="CU446" s="1852">
        <f>+BD446</f>
        <v>2015</v>
      </c>
      <c r="CV446" s="1852">
        <f>+BI446</f>
        <v>2016</v>
      </c>
      <c r="CW446" s="1853">
        <f>+BN446</f>
        <v>2017</v>
      </c>
      <c r="CX446" s="1853" t="str">
        <f>+BS446</f>
        <v>2018E</v>
      </c>
      <c r="CY446" s="1853" t="str">
        <f>+BX446</f>
        <v>2019E</v>
      </c>
      <c r="CZ446" s="1853" t="str">
        <f>+BY446</f>
        <v>2020E</v>
      </c>
      <c r="DA446" s="1853" t="str">
        <f>+BZ446</f>
        <v>2021E</v>
      </c>
      <c r="DB446" s="1853" t="str">
        <f>+CA446</f>
        <v>2022E</v>
      </c>
    </row>
    <row r="447" spans="1:106" s="1035" customFormat="1">
      <c r="A447" s="1479" t="s">
        <v>395</v>
      </c>
      <c r="G447" s="1855"/>
      <c r="H447" s="1855"/>
      <c r="I447" s="1855"/>
      <c r="J447" s="1855"/>
      <c r="K447" s="1855"/>
      <c r="L447" s="1855"/>
      <c r="M447" s="1855"/>
      <c r="N447" s="1855"/>
      <c r="O447" s="1855"/>
      <c r="P447" s="1855"/>
      <c r="Q447" s="1855"/>
      <c r="R447" s="1855"/>
      <c r="S447" s="1855"/>
      <c r="T447" s="1855"/>
      <c r="U447" s="1855"/>
      <c r="AU447" s="2066">
        <f>1-AU365</f>
        <v>-39</v>
      </c>
      <c r="AV447" s="2066">
        <f>1-AV365</f>
        <v>-43</v>
      </c>
      <c r="AW447" s="2066">
        <v>1</v>
      </c>
      <c r="AX447" s="2067">
        <f>+AX374</f>
        <v>1</v>
      </c>
      <c r="AY447" s="1856">
        <f>+SUM(AU447:AX447)</f>
        <v>-80</v>
      </c>
      <c r="AZ447" s="2067">
        <f>+AZ374</f>
        <v>1</v>
      </c>
      <c r="BA447" s="2067">
        <f>+BA374</f>
        <v>2</v>
      </c>
      <c r="BB447" s="2067">
        <f>+BB254+BB374</f>
        <v>104</v>
      </c>
      <c r="BC447" s="2067">
        <f>+BC254+BC374</f>
        <v>74</v>
      </c>
      <c r="BD447" s="1856">
        <f>+SUM(AZ447:BC447)</f>
        <v>181</v>
      </c>
      <c r="BE447" s="1856">
        <f>+BE254+BE374</f>
        <v>77</v>
      </c>
      <c r="BF447" s="1856">
        <f>+BF254+BF374</f>
        <v>80</v>
      </c>
      <c r="BG447" s="1856">
        <f>+BG254+BG374</f>
        <v>129</v>
      </c>
      <c r="BH447" s="2066">
        <f>11+1</f>
        <v>12</v>
      </c>
      <c r="BI447" s="1355">
        <f>+SUM(BE447:BH447)</f>
        <v>298</v>
      </c>
      <c r="BJ447" s="2066">
        <f>11+1</f>
        <v>12</v>
      </c>
      <c r="BK447" s="2066">
        <f>11+1</f>
        <v>12</v>
      </c>
      <c r="BL447" s="2213">
        <f>9+1</f>
        <v>10</v>
      </c>
      <c r="BM447" s="2213">
        <v>0</v>
      </c>
      <c r="BN447" s="1355">
        <f>+SUM(BJ447:BM447)</f>
        <v>34</v>
      </c>
      <c r="BO447" s="2213">
        <v>2</v>
      </c>
      <c r="BP447" s="1856">
        <f>+BP254+BP374-BK362</f>
        <v>0</v>
      </c>
      <c r="BQ447" s="1856">
        <f>+BQ254+BQ374-BL362</f>
        <v>0</v>
      </c>
      <c r="BR447" s="1856">
        <f>+BR254+BR374-BM362</f>
        <v>0</v>
      </c>
      <c r="BS447" s="1355">
        <f>+SUM(BO447:BR447)</f>
        <v>2</v>
      </c>
      <c r="BT447" s="1856">
        <f>+BT254+BT374-BO362</f>
        <v>0</v>
      </c>
      <c r="BU447" s="1856">
        <f>+BU254+BU374-BP362</f>
        <v>0</v>
      </c>
      <c r="BV447" s="1856">
        <f>+BV254+BV374-BQ362</f>
        <v>0</v>
      </c>
      <c r="BW447" s="1856">
        <f>+BW254+BW374-BR362</f>
        <v>0</v>
      </c>
      <c r="BX447" s="1355">
        <f>+SUM(BT447:BW447)</f>
        <v>0</v>
      </c>
      <c r="BY447" s="1856">
        <f>+BY254+BY374-BP362</f>
        <v>0</v>
      </c>
      <c r="BZ447" s="1856">
        <f>+BZ254+BZ374-BQ362</f>
        <v>0</v>
      </c>
      <c r="CA447" s="1856">
        <f>+CA254+CA374-BR362</f>
        <v>0</v>
      </c>
      <c r="CL447" s="1855"/>
    </row>
    <row r="448" spans="1:106" s="1035" customFormat="1">
      <c r="A448" s="1479" t="s">
        <v>303</v>
      </c>
      <c r="G448" s="1855"/>
      <c r="H448" s="1855"/>
      <c r="I448" s="1855"/>
      <c r="J448" s="1855"/>
      <c r="K448" s="1855"/>
      <c r="L448" s="1855"/>
      <c r="M448" s="1855"/>
      <c r="N448" s="1855"/>
      <c r="O448" s="1855"/>
      <c r="P448" s="1855"/>
      <c r="Q448" s="1855"/>
      <c r="R448" s="1855"/>
      <c r="S448" s="1855"/>
      <c r="T448" s="1855"/>
      <c r="U448" s="1855"/>
      <c r="AU448" s="1856"/>
      <c r="AV448" s="2066">
        <v>0</v>
      </c>
      <c r="AW448" s="2066">
        <v>0</v>
      </c>
      <c r="AX448" s="2066">
        <f>0.01*AS30</f>
        <v>12.06</v>
      </c>
      <c r="AY448" s="1856">
        <f>+SUM(AU448:AX448)</f>
        <v>12.06</v>
      </c>
      <c r="AZ448" s="2066">
        <f>0.02*AU30</f>
        <v>23.92</v>
      </c>
      <c r="BA448" s="2066">
        <f>(0.06-0.03)*AV30</f>
        <v>39.059999999999995</v>
      </c>
      <c r="BB448" s="2066">
        <f>0.02*AV30</f>
        <v>26.04</v>
      </c>
      <c r="BC448" s="2066">
        <f>1325-1300</f>
        <v>25</v>
      </c>
      <c r="BD448" s="1856">
        <f>5317-5204</f>
        <v>113</v>
      </c>
      <c r="BE448" s="2066">
        <f>1272-1264</f>
        <v>8</v>
      </c>
      <c r="BF448" s="2066">
        <f>1403-1402</f>
        <v>1</v>
      </c>
      <c r="BG448" s="2068">
        <f>1315-1310</f>
        <v>5</v>
      </c>
      <c r="BH448" s="2068">
        <f>8+2</f>
        <v>10</v>
      </c>
      <c r="BI448" s="1355">
        <f>+SUM(BE448:BH448)</f>
        <v>24</v>
      </c>
      <c r="BJ448" s="2068">
        <f>6+2</f>
        <v>8</v>
      </c>
      <c r="BK448" s="2066">
        <f>6+2</f>
        <v>8</v>
      </c>
      <c r="BL448" s="2066">
        <f>1498-1503</f>
        <v>-5</v>
      </c>
      <c r="BM448" s="2213">
        <v>-16</v>
      </c>
      <c r="BN448" s="1355">
        <f>+SUM(BJ448:BM448)</f>
        <v>-5</v>
      </c>
      <c r="BO448" s="2213">
        <f>-(22+3)</f>
        <v>-25</v>
      </c>
      <c r="BP448" s="2067">
        <f>-BP27</f>
        <v>-15.766134285188587</v>
      </c>
      <c r="BQ448" s="2067">
        <f>-BQ27</f>
        <v>-9.0832788641118825</v>
      </c>
      <c r="BR448" s="2067">
        <f>-BR27</f>
        <v>-6.1799219879540059</v>
      </c>
      <c r="BS448" s="1355">
        <f>+SUM(BO448:BR448)</f>
        <v>-56.029335137254471</v>
      </c>
      <c r="BT448" s="2067">
        <f>-BT27</f>
        <v>-2.9453326364352148</v>
      </c>
      <c r="BU448" s="2067">
        <f>-BU27</f>
        <v>0</v>
      </c>
      <c r="BV448" s="2067">
        <f>-BV27</f>
        <v>0</v>
      </c>
      <c r="BW448" s="2067">
        <f>-BW27</f>
        <v>0</v>
      </c>
      <c r="BX448" s="1355">
        <f>+SUM(BT448:BW448)</f>
        <v>-2.9453326364352148</v>
      </c>
      <c r="BY448" s="2067">
        <f t="shared" ref="BY448:BZ448" si="577">-BY27</f>
        <v>0</v>
      </c>
      <c r="BZ448" s="2067">
        <f t="shared" si="577"/>
        <v>0</v>
      </c>
      <c r="CA448" s="2067">
        <f t="shared" ref="CA448" si="578">-CA27</f>
        <v>0</v>
      </c>
      <c r="CL448" s="1855"/>
    </row>
    <row r="449" spans="1:90" s="1035" customFormat="1">
      <c r="A449" s="1479" t="s">
        <v>342</v>
      </c>
      <c r="G449" s="1855"/>
      <c r="H449" s="1855"/>
      <c r="I449" s="1855"/>
      <c r="J449" s="1855"/>
      <c r="K449" s="1855"/>
      <c r="L449" s="1855"/>
      <c r="M449" s="1855"/>
      <c r="N449" s="1855"/>
      <c r="O449" s="1855"/>
      <c r="P449" s="1855"/>
      <c r="Q449" s="1855"/>
      <c r="R449" s="1855"/>
      <c r="S449" s="1855"/>
      <c r="T449" s="1855"/>
      <c r="U449" s="1855"/>
      <c r="AU449" s="1857">
        <f>+AU30-AU447+AU448</f>
        <v>1235</v>
      </c>
      <c r="AV449" s="1857">
        <f>+AV30-AV447+AV448</f>
        <v>1345</v>
      </c>
      <c r="AW449" s="1857">
        <f>+AW30-AW447+AW448</f>
        <v>1262</v>
      </c>
      <c r="AX449" s="1857">
        <f>+AX30-AX447+AX448</f>
        <v>1301.06</v>
      </c>
      <c r="AY449" s="1857">
        <f>+SUM(AU449:AX449)</f>
        <v>5143.0599999999995</v>
      </c>
      <c r="AZ449" s="1857">
        <f>+AZ30-AZ447+AZ448</f>
        <v>1295.92</v>
      </c>
      <c r="BA449" s="1857">
        <f>+BA30-BA447+BA448</f>
        <v>1379.06</v>
      </c>
      <c r="BB449" s="1858">
        <f>+BB30-BB447+BB448</f>
        <v>1246.04</v>
      </c>
      <c r="BC449" s="1857">
        <f>+BC30-BC447+BC448</f>
        <v>1325</v>
      </c>
      <c r="BD449" s="1857">
        <f>+BD30-BD447+BD448</f>
        <v>5245</v>
      </c>
      <c r="BE449" s="1857">
        <v>1272</v>
      </c>
      <c r="BF449" s="1857">
        <f>+BF30-BF447+BF448</f>
        <v>1403</v>
      </c>
      <c r="BG449" s="1857">
        <f>+BG30-BG447+BG448</f>
        <v>1315</v>
      </c>
      <c r="BH449" s="1859">
        <f>+BH30-BH447+BH448</f>
        <v>1397</v>
      </c>
      <c r="BI449" s="1857">
        <f>+SUM(BE449:BH449)</f>
        <v>5387</v>
      </c>
      <c r="BJ449" s="1857">
        <f>+BJ30-BJ447+BJ448</f>
        <v>1449</v>
      </c>
      <c r="BK449" s="1857">
        <f>+BK30-BK447+BK448</f>
        <v>1505</v>
      </c>
      <c r="BL449" s="1857">
        <f>+BL30-BL447+BL448</f>
        <v>1498</v>
      </c>
      <c r="BM449" s="1857">
        <f>+BM30-BM447+BM448</f>
        <v>1573</v>
      </c>
      <c r="BN449" s="1857">
        <f>+SUM(BJ449:BM449)</f>
        <v>6025</v>
      </c>
      <c r="BO449" s="1857">
        <f>+BO30-BO447+BO448</f>
        <v>1540</v>
      </c>
      <c r="BP449" s="1857">
        <f>+BP30-BP447+BP448</f>
        <v>1624.6160905321938</v>
      </c>
      <c r="BQ449" s="1857">
        <f>+BQ30-BQ447+BQ448</f>
        <v>1614.2461592904292</v>
      </c>
      <c r="BR449" s="1857">
        <f>+BR30-BR447+BR448</f>
        <v>1664.9583110794631</v>
      </c>
      <c r="BS449" s="1857">
        <f>+SUM(BO449:BR449)</f>
        <v>6443.8205609020861</v>
      </c>
      <c r="BT449" s="1857">
        <f>+BT30-BT447+BT448</f>
        <v>1643.4864133664987</v>
      </c>
      <c r="BU449" s="1857">
        <f>+BU30-BU447+BU448</f>
        <v>1737.3649564276409</v>
      </c>
      <c r="BV449" s="1857">
        <f>+BV30-BV447+BV448</f>
        <v>1721.2877523166724</v>
      </c>
      <c r="BW449" s="1857">
        <f>+BW30-BW447+BW448</f>
        <v>1770.9531816066255</v>
      </c>
      <c r="BX449" s="1857">
        <f>+SUM(BT449:BW449)</f>
        <v>6873.092303717438</v>
      </c>
      <c r="BY449" s="1857">
        <f t="shared" ref="BY449:BZ449" si="579">+BY30-BY447+BY448</f>
        <v>7231.525800987436</v>
      </c>
      <c r="BZ449" s="1857">
        <f t="shared" si="579"/>
        <v>7608.3788965346157</v>
      </c>
      <c r="CA449" s="1857">
        <f t="shared" ref="CA449" si="580">+CA30-CA447+CA448</f>
        <v>7964.8547754346873</v>
      </c>
      <c r="CL449" s="1855"/>
    </row>
    <row r="450" spans="1:90" s="1035" customFormat="1">
      <c r="A450" s="813" t="s">
        <v>549</v>
      </c>
      <c r="G450" s="1855"/>
      <c r="H450" s="1855"/>
      <c r="I450" s="1855"/>
      <c r="J450" s="1855"/>
      <c r="K450" s="1855"/>
      <c r="L450" s="1855"/>
      <c r="M450" s="1855"/>
      <c r="N450" s="1855"/>
      <c r="O450" s="1855"/>
      <c r="P450" s="1855"/>
      <c r="Q450" s="1855"/>
      <c r="R450" s="1855"/>
      <c r="S450" s="1855"/>
      <c r="T450" s="1855"/>
      <c r="U450" s="1855"/>
      <c r="AU450" s="1860">
        <f>+AU449/(AP30-8-6)-1</f>
        <v>5.8269065981148227E-2</v>
      </c>
      <c r="AV450" s="1860">
        <f>+AV449/(AQ30-16-4)-1</f>
        <v>9.3495934959349603E-2</v>
      </c>
      <c r="AW450" s="1860">
        <f>+AW449/(AR30-2-4)-1</f>
        <v>0.10122164048865612</v>
      </c>
      <c r="AX450" s="1860">
        <f>+AX449/(AS30-2)-1</f>
        <v>8.0614617940199196E-2</v>
      </c>
      <c r="AY450" s="1860">
        <f>+AY449/(AT30-26-15)-1</f>
        <v>8.3205560235888765E-2</v>
      </c>
      <c r="AZ450" s="1860">
        <f t="shared" ref="AZ450:BE450" si="581">+AZ449/AU30-1</f>
        <v>8.3545150501672216E-2</v>
      </c>
      <c r="BA450" s="1860">
        <f t="shared" si="581"/>
        <v>5.9185867895545252E-2</v>
      </c>
      <c r="BB450" s="1860">
        <f t="shared" si="581"/>
        <v>-1.3428345209817949E-2</v>
      </c>
      <c r="BC450" s="1860">
        <f t="shared" si="581"/>
        <v>2.7131782945736482E-2</v>
      </c>
      <c r="BD450" s="1860">
        <f t="shared" si="581"/>
        <v>3.8408235992872797E-2</v>
      </c>
      <c r="BE450" s="1860">
        <f t="shared" si="581"/>
        <v>-7.8554595443836028E-4</v>
      </c>
      <c r="BF450" s="1860">
        <f>+BF449/(BA30-1)-1</f>
        <v>4.623415361670391E-2</v>
      </c>
      <c r="BG450" s="1860">
        <f>+BG449/(BB30-BB447)-1</f>
        <v>7.7868852459016313E-2</v>
      </c>
      <c r="BH450" s="1860">
        <f>+BH449/(BC30-130)-1</f>
        <v>0.12299035369774924</v>
      </c>
      <c r="BI450" s="1860">
        <f>(BI449)/(AZ30+BA30+BB30+BC30-AZ447-BA447-BB447-BC447)-1</f>
        <v>4.9688230709275194E-2</v>
      </c>
      <c r="BJ450" s="1860">
        <f>+BJ449/(BE30-118)-1</f>
        <v>0.18479149632052327</v>
      </c>
      <c r="BK450" s="1860">
        <f>+BK449/(BF30-118)-1</f>
        <v>0.10337243401759522</v>
      </c>
      <c r="BL450" s="1860">
        <f>+BL449/(BG30-98)-1</f>
        <v>0.1170768083519762</v>
      </c>
      <c r="BM450" s="1860">
        <f>+BM449/(BH30-6)-1</f>
        <v>0.12921751615218957</v>
      </c>
      <c r="BN450" s="1860">
        <f>SUMPRODUCT(BE30:BH30,BJ450:BM450)/SUM(BE30:BH30)</f>
        <v>0.13252997281316106</v>
      </c>
      <c r="BO450" s="1860">
        <f>+BO449/BJ30-1</f>
        <v>5.9876118375774334E-2</v>
      </c>
      <c r="BP450" s="1860">
        <f>+BP449/BK30-1</f>
        <v>7.6617687562752668E-2</v>
      </c>
      <c r="BQ450" s="1860">
        <f>+BQ449/BL30-1</f>
        <v>6.691748796459307E-2</v>
      </c>
      <c r="BR450" s="1860">
        <f>+BR449/BM30-1</f>
        <v>4.7802587211745129E-2</v>
      </c>
      <c r="BS450" s="1860">
        <f>SUMPRODUCT(BJ30:BM30,BO450:BR450)/SUM(BJ30:BM30)</f>
        <v>6.2635316771452204E-2</v>
      </c>
      <c r="BT450" s="1860">
        <f>+BT449/BO30-1</f>
        <v>4.8810729653158136E-2</v>
      </c>
      <c r="BU450" s="1860">
        <f>+BU449/BP30-1</f>
        <v>5.9122032745176245E-2</v>
      </c>
      <c r="BV450" s="1860">
        <f>+BV449/BQ30-1</f>
        <v>6.0344075490612603E-2</v>
      </c>
      <c r="BW450" s="1860">
        <f>+BW449/BR30-1</f>
        <v>5.9728720559516724E-2</v>
      </c>
      <c r="BX450" s="1860">
        <f>SUMPRODUCT(BO30:BR30,BT450:BW450)/SUM(BO30:BR30)</f>
        <v>5.709796651938126E-2</v>
      </c>
      <c r="BY450" s="1860">
        <f t="shared" ref="BY450:CA450" si="582">+BY449/BX30-1</f>
        <v>5.1699566441301137E-2</v>
      </c>
      <c r="BZ450" s="1860">
        <f t="shared" si="582"/>
        <v>5.2112528658297963E-2</v>
      </c>
      <c r="CA450" s="1860">
        <f t="shared" si="582"/>
        <v>4.6853066040446034E-2</v>
      </c>
      <c r="CL450" s="1855"/>
    </row>
    <row r="451" spans="1:90" s="1035" customFormat="1">
      <c r="A451" s="813" t="s">
        <v>396</v>
      </c>
      <c r="G451" s="1855"/>
      <c r="H451" s="1855"/>
      <c r="I451" s="1855"/>
      <c r="J451" s="1855"/>
      <c r="K451" s="1855"/>
      <c r="L451" s="1855"/>
      <c r="M451" s="1855"/>
      <c r="N451" s="1855"/>
      <c r="O451" s="1855"/>
      <c r="P451" s="1855"/>
      <c r="Q451" s="1855"/>
      <c r="R451" s="1855"/>
      <c r="S451" s="1855"/>
      <c r="T451" s="1855"/>
      <c r="U451" s="1855"/>
      <c r="AX451" s="1857"/>
      <c r="AY451" s="1860"/>
      <c r="AZ451" s="1860"/>
      <c r="BA451" s="1860"/>
      <c r="BB451" s="1860"/>
      <c r="BC451" s="1860"/>
      <c r="BD451" s="1860"/>
      <c r="BE451" s="1860"/>
      <c r="BF451" s="1860"/>
      <c r="BG451" s="1860"/>
      <c r="BH451" s="1860"/>
      <c r="BJ451" s="1860"/>
      <c r="BK451" s="1860"/>
      <c r="BL451" s="1860"/>
      <c r="BM451" s="1860">
        <f>(BE30*BJ450+BF30*BK450+BG30*BL450+BH30*BM450)/(BE30+BF30+BG30+BH30)</f>
        <v>0.13252997281316106</v>
      </c>
      <c r="BP451" s="1860"/>
      <c r="BU451" s="1860"/>
      <c r="CL451" s="1855"/>
    </row>
    <row r="452" spans="1:90" s="1035" customFormat="1">
      <c r="A452" s="813" t="s">
        <v>397</v>
      </c>
      <c r="G452" s="1855"/>
      <c r="H452" s="1855"/>
      <c r="I452" s="1855"/>
      <c r="J452" s="1855"/>
      <c r="K452" s="1855"/>
      <c r="L452" s="1855"/>
      <c r="M452" s="1855"/>
      <c r="N452" s="1855"/>
      <c r="O452" s="1855"/>
      <c r="P452" s="1855"/>
      <c r="Q452" s="1855"/>
      <c r="R452" s="1855"/>
      <c r="S452" s="1855"/>
      <c r="T452" s="1855"/>
      <c r="U452" s="1855"/>
      <c r="AX452" s="1857"/>
      <c r="AZ452" s="1857"/>
      <c r="BA452" s="1857"/>
      <c r="BB452" s="1857"/>
      <c r="BC452" s="1860"/>
      <c r="BE452" s="1860"/>
      <c r="BF452" s="1860"/>
      <c r="BG452" s="1860"/>
      <c r="BH452" s="1860"/>
      <c r="BJ452" s="814"/>
      <c r="BK452" s="1860"/>
      <c r="BL452" s="1860"/>
      <c r="BM452" s="1860">
        <f>(BJ30*BO450+BK30*BP450+BL30*BQ450+BM30*BR450)/(BJ30+BK30+BL30+BM30)</f>
        <v>6.2635316771452204E-2</v>
      </c>
      <c r="BP452" s="1860"/>
      <c r="BU452" s="1860"/>
      <c r="CL452" s="1855"/>
    </row>
    <row r="453" spans="1:90" s="1035" customFormat="1" ht="4.5" customHeight="1">
      <c r="A453" s="813"/>
      <c r="G453" s="1855"/>
      <c r="H453" s="1855"/>
      <c r="I453" s="1855"/>
      <c r="J453" s="1855"/>
      <c r="K453" s="1855"/>
      <c r="L453" s="1855"/>
      <c r="M453" s="1855"/>
      <c r="N453" s="1855"/>
      <c r="O453" s="1855"/>
      <c r="P453" s="1855"/>
      <c r="Q453" s="1855"/>
      <c r="R453" s="1855"/>
      <c r="S453" s="1855"/>
      <c r="T453" s="1855"/>
      <c r="U453" s="1855"/>
      <c r="AX453" s="1857"/>
      <c r="AZ453" s="1857"/>
      <c r="BA453" s="1857"/>
      <c r="BB453" s="1857"/>
      <c r="BC453" s="1860"/>
      <c r="BE453" s="1860"/>
      <c r="BF453" s="1857"/>
      <c r="BG453" s="1857"/>
      <c r="BH453" s="1860"/>
      <c r="BL453" s="1857"/>
      <c r="CL453" s="1855"/>
    </row>
    <row r="456" spans="1:90">
      <c r="BG456" s="762"/>
      <c r="BL456" s="762"/>
    </row>
  </sheetData>
  <mergeCells count="17">
    <mergeCell ref="A396:A397"/>
    <mergeCell ref="CF396:CF397"/>
    <mergeCell ref="A444:A445"/>
    <mergeCell ref="A232:A233"/>
    <mergeCell ref="CF232:CF233"/>
    <mergeCell ref="A304:A305"/>
    <mergeCell ref="CF304:CF305"/>
    <mergeCell ref="A356:A357"/>
    <mergeCell ref="CF356:CF357"/>
    <mergeCell ref="A200:A201"/>
    <mergeCell ref="CF200:CF201"/>
    <mergeCell ref="A39:A40"/>
    <mergeCell ref="CF39:CF40"/>
    <mergeCell ref="A76:A77"/>
    <mergeCell ref="CF76:CF77"/>
    <mergeCell ref="A151:A152"/>
    <mergeCell ref="CF151:CF152"/>
  </mergeCells>
  <pageMargins left="0.75" right="0.75" top="1" bottom="1" header="0.5" footer="0.5"/>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002978"/>
    <pageSetUpPr fitToPage="1"/>
  </sheetPr>
  <dimension ref="A1:AB91"/>
  <sheetViews>
    <sheetView showGridLines="0" workbookViewId="0">
      <pane xSplit="1" ySplit="4" topLeftCell="I5" activePane="bottomRight" state="frozen"/>
      <selection activeCell="A86" sqref="A86"/>
      <selection pane="topRight" activeCell="A86" sqref="A86"/>
      <selection pane="bottomLeft" activeCell="A86" sqref="A86"/>
      <selection pane="bottomRight" activeCell="A85" sqref="A85"/>
    </sheetView>
  </sheetViews>
  <sheetFormatPr defaultRowHeight="12.75" outlineLevelRow="1"/>
  <cols>
    <col min="1" max="1" width="28.7109375" style="5" customWidth="1"/>
    <col min="2" max="2" width="11.7109375" style="5" hidden="1" customWidth="1"/>
    <col min="3" max="7" width="9.140625" style="5" hidden="1" customWidth="1"/>
    <col min="8" max="8" width="0" style="5" hidden="1" customWidth="1"/>
    <col min="9" max="11" width="9.140625" style="5"/>
    <col min="12" max="12" width="11" style="5" bestFit="1" customWidth="1"/>
    <col min="13" max="16384" width="9.140625" style="5"/>
  </cols>
  <sheetData>
    <row r="1" spans="1:20" ht="13.5" thickBot="1">
      <c r="A1" s="815"/>
      <c r="B1" s="815"/>
      <c r="C1" s="815"/>
      <c r="D1" s="815"/>
      <c r="E1" s="815"/>
      <c r="F1" s="815"/>
      <c r="G1" s="815"/>
      <c r="H1" s="816"/>
      <c r="I1" s="816">
        <f t="shared" ref="I1:R1" si="0">H1+1</f>
        <v>1</v>
      </c>
      <c r="J1" s="816">
        <f t="shared" si="0"/>
        <v>2</v>
      </c>
      <c r="K1" s="816">
        <f t="shared" si="0"/>
        <v>3</v>
      </c>
      <c r="L1" s="816">
        <f t="shared" si="0"/>
        <v>4</v>
      </c>
      <c r="M1" s="816">
        <f t="shared" si="0"/>
        <v>5</v>
      </c>
      <c r="N1" s="816">
        <f t="shared" si="0"/>
        <v>6</v>
      </c>
      <c r="O1" s="816">
        <f t="shared" si="0"/>
        <v>7</v>
      </c>
      <c r="P1" s="816">
        <f t="shared" si="0"/>
        <v>8</v>
      </c>
      <c r="Q1" s="816">
        <f t="shared" si="0"/>
        <v>9</v>
      </c>
      <c r="R1" s="817">
        <f t="shared" si="0"/>
        <v>10</v>
      </c>
      <c r="S1" s="817">
        <f>R1+1</f>
        <v>11</v>
      </c>
      <c r="T1" s="817">
        <f>S1+1</f>
        <v>12</v>
      </c>
    </row>
    <row r="2" spans="1:20">
      <c r="A2" s="818" t="s">
        <v>399</v>
      </c>
      <c r="B2" s="819"/>
      <c r="C2" s="819"/>
      <c r="D2" s="819"/>
      <c r="E2" s="819"/>
      <c r="F2" s="819"/>
      <c r="G2" s="819"/>
      <c r="H2" s="819"/>
      <c r="I2" s="819" t="s">
        <v>548</v>
      </c>
      <c r="J2" s="821">
        <f>I45</f>
        <v>12.917576726165075</v>
      </c>
      <c r="K2" s="821"/>
      <c r="L2" s="821"/>
      <c r="M2" s="820" t="s">
        <v>400</v>
      </c>
      <c r="N2" s="822">
        <f>I38</f>
        <v>8.6904517778676235E-2</v>
      </c>
      <c r="O2" s="819"/>
      <c r="P2" s="820"/>
      <c r="Q2" s="819" t="s">
        <v>401</v>
      </c>
      <c r="R2" s="822"/>
      <c r="S2" s="822">
        <f>I41</f>
        <v>2.75E-2</v>
      </c>
      <c r="T2" s="823"/>
    </row>
    <row r="3" spans="1:20">
      <c r="A3" s="824" t="s">
        <v>402</v>
      </c>
      <c r="B3" s="825"/>
      <c r="C3" s="825"/>
      <c r="D3" s="816">
        <v>2011</v>
      </c>
      <c r="E3" s="816">
        <f>D3+1</f>
        <v>2012</v>
      </c>
      <c r="F3" s="816">
        <f>E3+1</f>
        <v>2013</v>
      </c>
      <c r="G3" s="816">
        <f>F3+1</f>
        <v>2014</v>
      </c>
      <c r="H3" s="816">
        <f>G3+1</f>
        <v>2015</v>
      </c>
      <c r="T3" s="826"/>
    </row>
    <row r="4" spans="1:20" ht="13.5" thickBot="1">
      <c r="A4" s="827"/>
      <c r="B4" s="828">
        <v>2009</v>
      </c>
      <c r="C4" s="828">
        <v>2010</v>
      </c>
      <c r="D4" s="828">
        <v>2011</v>
      </c>
      <c r="E4" s="828">
        <v>2012</v>
      </c>
      <c r="F4" s="828">
        <v>2013</v>
      </c>
      <c r="G4" s="828">
        <v>2014</v>
      </c>
      <c r="H4" s="828">
        <v>2015</v>
      </c>
      <c r="I4" s="828">
        <v>2016</v>
      </c>
      <c r="J4" s="828">
        <v>2017</v>
      </c>
      <c r="K4" s="829">
        <v>2018</v>
      </c>
      <c r="L4" s="829">
        <v>2019</v>
      </c>
      <c r="M4" s="829">
        <v>2020</v>
      </c>
      <c r="N4" s="829">
        <v>2021</v>
      </c>
      <c r="O4" s="829">
        <v>2022</v>
      </c>
      <c r="P4" s="829">
        <v>2023</v>
      </c>
      <c r="Q4" s="829">
        <v>2024</v>
      </c>
      <c r="R4" s="829">
        <v>2025</v>
      </c>
      <c r="S4" s="830">
        <v>2026</v>
      </c>
      <c r="T4" s="831">
        <v>2027</v>
      </c>
    </row>
    <row r="5" spans="1:20">
      <c r="A5" s="832" t="s">
        <v>403</v>
      </c>
      <c r="B5" s="833">
        <f>MHFI!CM39</f>
        <v>1274.1850000000009</v>
      </c>
      <c r="C5" s="834">
        <f>MHFI!CN39</f>
        <v>1436.2009999999993</v>
      </c>
      <c r="D5" s="834">
        <f>MHFI!CO39</f>
        <v>1938.8999999999996</v>
      </c>
      <c r="E5" s="834">
        <f>MHFI!CP39</f>
        <v>1385</v>
      </c>
      <c r="F5" s="834">
        <f>MHFI!CQ39</f>
        <v>1577</v>
      </c>
      <c r="G5" s="834">
        <f>MHFI!CR39</f>
        <v>1815</v>
      </c>
      <c r="H5" s="834">
        <f>MHFI!CS39</f>
        <v>2053</v>
      </c>
      <c r="I5" s="834">
        <f>MHFI!CT39</f>
        <v>2334</v>
      </c>
      <c r="J5" s="834">
        <f>MHFI!CU39</f>
        <v>2759</v>
      </c>
      <c r="K5" s="834">
        <f>MHFI!CV39</f>
        <v>2939.9024565943619</v>
      </c>
      <c r="L5" s="834">
        <f>MHFI!CW39</f>
        <v>3218.8821524501354</v>
      </c>
      <c r="M5" s="834">
        <f>MHFI!CX39</f>
        <v>3434.1898230969423</v>
      </c>
      <c r="N5" s="834">
        <f>MHFI!CY39</f>
        <v>3671.3635841150099</v>
      </c>
      <c r="O5" s="834">
        <f>MHFI!CZ39</f>
        <v>3895.4220280023183</v>
      </c>
      <c r="P5" s="834">
        <f t="shared" ref="P5:T5" si="1">(1+P7)*O5</f>
        <v>4129.1473496824574</v>
      </c>
      <c r="Q5" s="834">
        <f t="shared" si="1"/>
        <v>4376.8961906634049</v>
      </c>
      <c r="R5" s="834">
        <f t="shared" si="1"/>
        <v>4595.7410001965754</v>
      </c>
      <c r="S5" s="835">
        <f t="shared" si="1"/>
        <v>4756.5919352034553</v>
      </c>
      <c r="T5" s="836">
        <f t="shared" si="1"/>
        <v>4887.3982134215503</v>
      </c>
    </row>
    <row r="6" spans="1:20" hidden="1" outlineLevel="1">
      <c r="A6" s="837" t="s">
        <v>404</v>
      </c>
      <c r="B6" s="838">
        <f>MHFI!CM15</f>
        <v>-6.3457043251395784E-2</v>
      </c>
      <c r="C6" s="838">
        <f>MHFI!CN15</f>
        <v>3.638389309285861E-2</v>
      </c>
      <c r="D6" s="839">
        <f>MHFI!CO15</f>
        <v>1.2591574609079892E-2</v>
      </c>
      <c r="E6" s="839">
        <f>MHFI!CP15</f>
        <v>-0.28754402817803393</v>
      </c>
      <c r="F6" s="839">
        <f>MHFI!CQ15</f>
        <v>7.6179775280898809E-2</v>
      </c>
      <c r="G6" s="839">
        <f>MHFI!CR15</f>
        <v>5.4708707454583339E-2</v>
      </c>
      <c r="H6" s="839">
        <f>MHFI!CS15</f>
        <v>5.1870916650168297E-2</v>
      </c>
      <c r="I6" s="838">
        <f>MHFI!CT15</f>
        <v>6.549971767363072E-2</v>
      </c>
      <c r="J6" s="838">
        <f>MHFI!CU15</f>
        <v>7.1188835894718139E-2</v>
      </c>
      <c r="K6" s="838">
        <f>MHFI!CV15</f>
        <v>7.2204798159521966E-2</v>
      </c>
      <c r="L6" s="838">
        <f>MHFI!CW15</f>
        <v>5.7550965694005196E-2</v>
      </c>
      <c r="M6" s="838">
        <f>MHFI!CX15</f>
        <v>5.1699566441300915E-2</v>
      </c>
      <c r="N6" s="838">
        <f>MHFI!CY15</f>
        <v>5.2112528658297963E-2</v>
      </c>
      <c r="O6" s="838">
        <f>MHFI!CZ15</f>
        <v>4.6853066040446034E-2</v>
      </c>
      <c r="P6" s="838"/>
      <c r="Q6" s="838"/>
      <c r="R6" s="838"/>
      <c r="S6" s="840"/>
      <c r="T6" s="841"/>
    </row>
    <row r="7" spans="1:20" hidden="1" outlineLevel="1">
      <c r="A7" s="837" t="s">
        <v>405</v>
      </c>
      <c r="B7" s="842">
        <f>B5/(MHFI!CL39)-1</f>
        <v>-0.12008902798456345</v>
      </c>
      <c r="C7" s="843">
        <f t="shared" ref="C7:O7" si="2">C5/B5-1</f>
        <v>0.12715265051778069</v>
      </c>
      <c r="D7" s="844">
        <f t="shared" si="2"/>
        <v>0.35001994846125339</v>
      </c>
      <c r="E7" s="844">
        <f t="shared" si="2"/>
        <v>-0.28567744597452149</v>
      </c>
      <c r="F7" s="844">
        <f t="shared" si="2"/>
        <v>0.13862815884476531</v>
      </c>
      <c r="G7" s="844">
        <f t="shared" si="2"/>
        <v>0.1509194673430565</v>
      </c>
      <c r="H7" s="844">
        <f t="shared" si="2"/>
        <v>0.13112947658402208</v>
      </c>
      <c r="I7" s="843">
        <f t="shared" si="2"/>
        <v>0.13687286897223583</v>
      </c>
      <c r="J7" s="843">
        <f t="shared" si="2"/>
        <v>0.18209083119108826</v>
      </c>
      <c r="K7" s="843">
        <f t="shared" si="2"/>
        <v>6.5568124898282676E-2</v>
      </c>
      <c r="L7" s="843">
        <f t="shared" si="2"/>
        <v>9.4894201414746471E-2</v>
      </c>
      <c r="M7" s="843">
        <f t="shared" si="2"/>
        <v>6.6888957237194901E-2</v>
      </c>
      <c r="N7" s="843">
        <f t="shared" si="2"/>
        <v>6.9062507675881735E-2</v>
      </c>
      <c r="O7" s="843">
        <f t="shared" si="2"/>
        <v>6.1028671978103244E-2</v>
      </c>
      <c r="P7" s="2208">
        <v>0.06</v>
      </c>
      <c r="Q7" s="2208">
        <v>0.06</v>
      </c>
      <c r="R7" s="2208">
        <v>0.05</v>
      </c>
      <c r="S7" s="2208">
        <v>3.5000000000000003E-2</v>
      </c>
      <c r="T7" s="846">
        <f>I43</f>
        <v>2.75E-2</v>
      </c>
    </row>
    <row r="8" spans="1:20" hidden="1" outlineLevel="1">
      <c r="A8" s="837" t="s">
        <v>406</v>
      </c>
      <c r="B8" s="847">
        <f>MHFI!CM40</f>
        <v>0.21408462205100939</v>
      </c>
      <c r="C8" s="843">
        <f>MHFI!CN40</f>
        <v>0.23283461928356297</v>
      </c>
      <c r="D8" s="842">
        <f>MHFI!CO40</f>
        <v>0.2278097982708934</v>
      </c>
      <c r="E8" s="842">
        <f>MHFI!CP40</f>
        <v>0.31123595505617979</v>
      </c>
      <c r="F8" s="842">
        <f>MHFI!CQ40</f>
        <v>0.32929630403006893</v>
      </c>
      <c r="G8" s="842">
        <f>MHFI!CR40</f>
        <v>0.35933478519105128</v>
      </c>
      <c r="H8" s="842">
        <f>MHFI!CS40</f>
        <v>0.38641069075851686</v>
      </c>
      <c r="I8" s="843">
        <f>MHFI!CT40</f>
        <v>0.41229464758876522</v>
      </c>
      <c r="J8" s="843">
        <f>MHFI!CU40</f>
        <v>0.45498021108179421</v>
      </c>
      <c r="K8" s="843">
        <f>MHFI!CV40</f>
        <v>0.45216400003101109</v>
      </c>
      <c r="L8" s="843">
        <f>MHFI!CW40</f>
        <v>0.4681303859408481</v>
      </c>
      <c r="M8" s="843">
        <f>MHFI!CX40</f>
        <v>0.47489145688009815</v>
      </c>
      <c r="N8" s="843">
        <f>MHFI!CY40</f>
        <v>0.48254215964286479</v>
      </c>
      <c r="O8" s="843">
        <f>MHFI!CZ40</f>
        <v>0.48907634072834971</v>
      </c>
      <c r="P8" s="843"/>
      <c r="Q8" s="843"/>
      <c r="R8" s="843"/>
      <c r="S8" s="845"/>
      <c r="T8" s="846"/>
    </row>
    <row r="9" spans="1:20" hidden="1" outlineLevel="1">
      <c r="A9" s="837" t="s">
        <v>407</v>
      </c>
      <c r="B9" s="848">
        <f>MHFI!CM31</f>
        <v>0.24188873181174994</v>
      </c>
      <c r="C9" s="838">
        <f>MHFI!CN31</f>
        <v>0.25716843016368596</v>
      </c>
      <c r="D9" s="839">
        <f>MHFI!CO31</f>
        <v>0.33539865513928907</v>
      </c>
      <c r="E9" s="839">
        <f>MHFI!CP31</f>
        <v>0.34292134831460674</v>
      </c>
      <c r="F9" s="839">
        <f>MHFI!CQ31</f>
        <v>0.35790352892044269</v>
      </c>
      <c r="G9" s="839">
        <f>MHFI!CR31</f>
        <v>0.38586418530983962</v>
      </c>
      <c r="H9" s="839">
        <f>MHFI!CS31</f>
        <v>0.41596085074345945</v>
      </c>
      <c r="I9" s="838">
        <f>MHFI!CT31</f>
        <v>0.44426779720897369</v>
      </c>
      <c r="J9" s="838">
        <f>MHFI!CU31</f>
        <v>0.48466358839050133</v>
      </c>
      <c r="K9" s="838">
        <f>MHFI!CV31</f>
        <v>0.48088125723405928</v>
      </c>
      <c r="L9" s="838">
        <f>MHFI!CW31</f>
        <v>0.49613038594084813</v>
      </c>
      <c r="M9" s="838">
        <f>MHFI!CX31</f>
        <v>0.50189145688009817</v>
      </c>
      <c r="N9" s="838">
        <f>MHFI!CY31</f>
        <v>0.50854215964286476</v>
      </c>
      <c r="O9" s="838">
        <f>MHFI!CZ31</f>
        <v>0.51407634072834973</v>
      </c>
      <c r="P9" s="838"/>
      <c r="Q9" s="838"/>
      <c r="R9" s="838"/>
      <c r="S9" s="840"/>
      <c r="T9" s="841"/>
    </row>
    <row r="10" spans="1:20" collapsed="1">
      <c r="A10" s="849" t="s">
        <v>84</v>
      </c>
      <c r="B10" s="850">
        <f>MHFI!Z249</f>
        <v>0.35839100389370215</v>
      </c>
      <c r="C10" s="850">
        <f>MHFI!AE249</f>
        <v>0.35993069325935123</v>
      </c>
      <c r="D10" s="850">
        <f>MHFI!AJ249</f>
        <v>0.374</v>
      </c>
      <c r="E10" s="850">
        <f>MHFI!AO249</f>
        <v>0.30981595092024539</v>
      </c>
      <c r="F10" s="850">
        <f>MHFI!AT249</f>
        <v>0.28590250329380762</v>
      </c>
      <c r="G10" s="850">
        <f>MHFI!AY249</f>
        <v>0.13952164009111617</v>
      </c>
      <c r="H10" s="850">
        <f>MHFI!BD249</f>
        <v>0.28088159917990774</v>
      </c>
      <c r="I10" s="851">
        <f>MHFI!BI249</f>
        <v>0.44158233670653174</v>
      </c>
      <c r="J10" s="850">
        <f>MHFI!BN249</f>
        <v>0.31544653123802224</v>
      </c>
      <c r="K10" s="850">
        <f>MHFI!BS249</f>
        <v>0.21520903929365356</v>
      </c>
      <c r="L10" s="850">
        <f>MHFI!BX249</f>
        <v>0.215</v>
      </c>
      <c r="M10" s="850">
        <f>MHFI!BY249</f>
        <v>0.215</v>
      </c>
      <c r="N10" s="850">
        <f>MHFI!BZ249</f>
        <v>0.215</v>
      </c>
      <c r="O10" s="850">
        <f>MHFI!CA249</f>
        <v>0.215</v>
      </c>
      <c r="P10" s="850">
        <f t="shared" ref="P10:T10" si="3">O10</f>
        <v>0.215</v>
      </c>
      <c r="Q10" s="850">
        <f t="shared" si="3"/>
        <v>0.215</v>
      </c>
      <c r="R10" s="850">
        <f t="shared" si="3"/>
        <v>0.215</v>
      </c>
      <c r="S10" s="852">
        <f t="shared" si="3"/>
        <v>0.215</v>
      </c>
      <c r="T10" s="853">
        <f t="shared" si="3"/>
        <v>0.215</v>
      </c>
    </row>
    <row r="11" spans="1:20">
      <c r="A11" s="854" t="s">
        <v>408</v>
      </c>
      <c r="B11" s="834">
        <f>+B5*(1-B10)</f>
        <v>817.52855870370365</v>
      </c>
      <c r="C11" s="834">
        <f t="shared" ref="C11:M11" si="4">+C5*(1-C10)</f>
        <v>919.26817841022603</v>
      </c>
      <c r="D11" s="834">
        <f t="shared" si="4"/>
        <v>1213.7513999999999</v>
      </c>
      <c r="E11" s="834">
        <f t="shared" si="4"/>
        <v>955.90490797546011</v>
      </c>
      <c r="F11" s="834">
        <f t="shared" si="4"/>
        <v>1126.1317523056655</v>
      </c>
      <c r="G11" s="834">
        <f t="shared" si="4"/>
        <v>1561.7682232346242</v>
      </c>
      <c r="H11" s="834">
        <f t="shared" si="4"/>
        <v>1476.3500768836493</v>
      </c>
      <c r="I11" s="834">
        <f t="shared" si="4"/>
        <v>1303.346826126955</v>
      </c>
      <c r="J11" s="834">
        <f t="shared" si="4"/>
        <v>1888.6830203142965</v>
      </c>
      <c r="K11" s="834">
        <f t="shared" si="4"/>
        <v>2307.2088732936372</v>
      </c>
      <c r="L11" s="834">
        <f t="shared" si="4"/>
        <v>2526.8224896733564</v>
      </c>
      <c r="M11" s="834">
        <f t="shared" si="4"/>
        <v>2695.8390111310996</v>
      </c>
      <c r="N11" s="834">
        <f t="shared" ref="N11:T11" si="5">+N5*(1-N10)</f>
        <v>2882.0204135302829</v>
      </c>
      <c r="O11" s="834">
        <f t="shared" ref="O11" si="6">+O5*(1-O10)</f>
        <v>3057.9062919818198</v>
      </c>
      <c r="P11" s="834">
        <f t="shared" si="5"/>
        <v>3241.3806695007293</v>
      </c>
      <c r="Q11" s="834">
        <f t="shared" si="5"/>
        <v>3435.8635096707731</v>
      </c>
      <c r="R11" s="834">
        <f t="shared" si="5"/>
        <v>3607.6566851543121</v>
      </c>
      <c r="S11" s="835">
        <f t="shared" si="5"/>
        <v>3733.9246691347125</v>
      </c>
      <c r="T11" s="855">
        <f t="shared" si="5"/>
        <v>3836.6075975359172</v>
      </c>
    </row>
    <row r="12" spans="1:20">
      <c r="A12" s="856" t="s">
        <v>409</v>
      </c>
      <c r="B12" s="857">
        <f>MHFI!CM34</f>
        <v>165.48399999999998</v>
      </c>
      <c r="C12" s="857">
        <f>MHFI!CN34</f>
        <v>150.09899999999999</v>
      </c>
      <c r="D12" s="857">
        <f>MHFI!CO34</f>
        <v>156</v>
      </c>
      <c r="E12" s="857">
        <f>MHFI!CP34</f>
        <v>141</v>
      </c>
      <c r="F12" s="857">
        <f>MHFI!CQ34</f>
        <v>137</v>
      </c>
      <c r="G12" s="857">
        <f>MHFI!CR34</f>
        <v>134</v>
      </c>
      <c r="H12" s="857">
        <f>MHFI!CS34</f>
        <v>157</v>
      </c>
      <c r="I12" s="857">
        <f>MHFI!CT34</f>
        <v>181</v>
      </c>
      <c r="J12" s="857">
        <f>MHFI!CU34</f>
        <v>180</v>
      </c>
      <c r="K12" s="857">
        <f>MHFI!CV34</f>
        <v>186.71529576017412</v>
      </c>
      <c r="L12" s="857">
        <f>MHFI!CW34</f>
        <v>192.52905381790845</v>
      </c>
      <c r="M12" s="857">
        <f>MHFI!CX34</f>
        <v>195.25119662666077</v>
      </c>
      <c r="N12" s="857">
        <f>MHFI!CY34</f>
        <v>197.81785130989999</v>
      </c>
      <c r="O12" s="857">
        <f>MHFI!CZ34</f>
        <v>199.12136938586715</v>
      </c>
      <c r="P12" s="857">
        <f t="shared" ref="P12:T12" si="7">O12*(1+P7)</f>
        <v>211.06865154901919</v>
      </c>
      <c r="Q12" s="857">
        <f t="shared" si="7"/>
        <v>223.73277064196034</v>
      </c>
      <c r="R12" s="857">
        <f t="shared" si="7"/>
        <v>234.91940917405836</v>
      </c>
      <c r="S12" s="858">
        <f t="shared" si="7"/>
        <v>243.14158849515039</v>
      </c>
      <c r="T12" s="859">
        <f t="shared" si="7"/>
        <v>249.82798217876703</v>
      </c>
    </row>
    <row r="13" spans="1:20">
      <c r="A13" s="860" t="s">
        <v>410</v>
      </c>
      <c r="B13" s="834">
        <f>+B11+B12</f>
        <v>983.01255870370369</v>
      </c>
      <c r="C13" s="834">
        <f t="shared" ref="C13:M13" si="8">+C11+C12</f>
        <v>1069.367178410226</v>
      </c>
      <c r="D13" s="834">
        <f t="shared" si="8"/>
        <v>1369.7513999999999</v>
      </c>
      <c r="E13" s="834">
        <f t="shared" si="8"/>
        <v>1096.90490797546</v>
      </c>
      <c r="F13" s="834">
        <f t="shared" si="8"/>
        <v>1263.1317523056655</v>
      </c>
      <c r="G13" s="834">
        <f t="shared" si="8"/>
        <v>1695.7682232346242</v>
      </c>
      <c r="H13" s="834">
        <f t="shared" si="8"/>
        <v>1633.3500768836493</v>
      </c>
      <c r="I13" s="834">
        <f t="shared" si="8"/>
        <v>1484.346826126955</v>
      </c>
      <c r="J13" s="834">
        <f t="shared" si="8"/>
        <v>2068.6830203142963</v>
      </c>
      <c r="K13" s="834">
        <f t="shared" si="8"/>
        <v>2493.9241690538115</v>
      </c>
      <c r="L13" s="834">
        <f t="shared" si="8"/>
        <v>2719.3515434912647</v>
      </c>
      <c r="M13" s="834">
        <f t="shared" si="8"/>
        <v>2891.0902077577603</v>
      </c>
      <c r="N13" s="834">
        <f t="shared" ref="N13:T13" si="9">+N11+N12</f>
        <v>3079.838264840183</v>
      </c>
      <c r="O13" s="834">
        <f t="shared" ref="O13" si="10">+O11+O12</f>
        <v>3257.027661367687</v>
      </c>
      <c r="P13" s="834">
        <f t="shared" si="9"/>
        <v>3452.4493210497485</v>
      </c>
      <c r="Q13" s="834">
        <f t="shared" si="9"/>
        <v>3659.5962803127336</v>
      </c>
      <c r="R13" s="834">
        <f t="shared" si="9"/>
        <v>3842.5760943283703</v>
      </c>
      <c r="S13" s="835">
        <f t="shared" si="9"/>
        <v>3977.0662576298628</v>
      </c>
      <c r="T13" s="855">
        <f t="shared" si="9"/>
        <v>4086.4355797146841</v>
      </c>
    </row>
    <row r="14" spans="1:20">
      <c r="A14" s="861"/>
      <c r="B14" s="862"/>
      <c r="C14" s="863"/>
      <c r="D14" s="844"/>
      <c r="E14" s="844"/>
      <c r="F14" s="844"/>
      <c r="G14" s="844"/>
      <c r="H14" s="844"/>
      <c r="I14" s="863"/>
      <c r="J14" s="863"/>
      <c r="K14" s="863"/>
      <c r="L14" s="863"/>
      <c r="M14" s="863"/>
      <c r="N14" s="863"/>
      <c r="O14" s="863"/>
      <c r="P14" s="863"/>
      <c r="Q14" s="863"/>
      <c r="R14" s="863"/>
      <c r="S14" s="864"/>
      <c r="T14" s="865"/>
    </row>
    <row r="15" spans="1:20">
      <c r="A15" s="861" t="s">
        <v>411</v>
      </c>
      <c r="B15" s="866">
        <f>SUM(MHFI!CM97:CM104)</f>
        <v>45.217999999999989</v>
      </c>
      <c r="C15" s="866">
        <f>SUM(MHFI!CN97:CN104)</f>
        <v>4.6509999999999536</v>
      </c>
      <c r="D15" s="866">
        <f>SUM(MHFI!CO97:CO104)</f>
        <v>-40</v>
      </c>
      <c r="E15" s="866">
        <f>SUM(MHFI!CP97:CP104)</f>
        <v>-314</v>
      </c>
      <c r="F15" s="866">
        <f>SUM(MHFI!CQ97:CQ104)</f>
        <v>-486</v>
      </c>
      <c r="G15" s="866">
        <f>SUM(MHFI!CR97:CR104)</f>
        <v>-267</v>
      </c>
      <c r="H15" s="866">
        <f>SUM(MHFI!CS97:CS104)</f>
        <v>-1761</v>
      </c>
      <c r="I15" s="866">
        <f>SUM(MHFI!CT97:CT104)</f>
        <v>-92</v>
      </c>
      <c r="J15" s="866">
        <f>SUM(MHFI!CU97:CU104)</f>
        <v>-68</v>
      </c>
      <c r="K15" s="866">
        <f>SUM(MHFI!CV97:CV104)</f>
        <v>-97.531680784576196</v>
      </c>
      <c r="L15" s="866">
        <f>SUM(MHFI!CW97:CW104)</f>
        <v>-30.898081738463397</v>
      </c>
      <c r="M15" s="866">
        <f>SUM(MHFI!CX97:CX104)</f>
        <v>-19.998161235800801</v>
      </c>
      <c r="N15" s="866">
        <f>SUM(MHFI!CY97:CY104)</f>
        <v>-2.6276510736945013</v>
      </c>
      <c r="O15" s="866">
        <f>SUM(MHFI!CZ97:CZ104)</f>
        <v>-8.6464033844810331</v>
      </c>
      <c r="P15" s="2238">
        <v>0</v>
      </c>
      <c r="Q15" s="866">
        <f>P15</f>
        <v>0</v>
      </c>
      <c r="R15" s="866">
        <f>Q15</f>
        <v>0</v>
      </c>
      <c r="S15" s="867">
        <f>R15</f>
        <v>0</v>
      </c>
      <c r="T15" s="868">
        <f>S15</f>
        <v>0</v>
      </c>
    </row>
    <row r="16" spans="1:20">
      <c r="A16" s="856" t="s">
        <v>412</v>
      </c>
      <c r="B16" s="857">
        <f>MHFI!CM110</f>
        <v>-92.289999999999992</v>
      </c>
      <c r="C16" s="857">
        <f>MHFI!CN110</f>
        <v>-115.443</v>
      </c>
      <c r="D16" s="857">
        <f>MHFI!CO110</f>
        <v>-119</v>
      </c>
      <c r="E16" s="857">
        <f>MHFI!CP110</f>
        <v>-97</v>
      </c>
      <c r="F16" s="857">
        <f>MHFI!CQ110</f>
        <v>-117</v>
      </c>
      <c r="G16" s="857">
        <f>MHFI!CR110</f>
        <v>-92</v>
      </c>
      <c r="H16" s="857">
        <f>MHFI!CS110</f>
        <v>-139</v>
      </c>
      <c r="I16" s="857">
        <f>MHFI!CT110</f>
        <v>-115</v>
      </c>
      <c r="J16" s="857">
        <f>MHFI!CU110</f>
        <v>-123</v>
      </c>
      <c r="K16" s="857">
        <f>MHFI!CV110</f>
        <v>-126.76214802474748</v>
      </c>
      <c r="L16" s="857">
        <f>MHFI!CW110</f>
        <v>-137.52075272707748</v>
      </c>
      <c r="M16" s="857">
        <f>MHFI!CX110</f>
        <v>-137.39899021876127</v>
      </c>
      <c r="N16" s="857">
        <f>MHFI!CY110</f>
        <v>-144.5591990341577</v>
      </c>
      <c r="O16" s="857">
        <f>MHFI!CZ110</f>
        <v>-151.33224073325906</v>
      </c>
      <c r="P16" s="857">
        <f>(1+P7)*O16</f>
        <v>-160.4121751772546</v>
      </c>
      <c r="Q16" s="857">
        <f>(1+Q7)*P16</f>
        <v>-170.03690568788988</v>
      </c>
      <c r="R16" s="857">
        <f>(1+R7)*Q16</f>
        <v>-178.53875097228439</v>
      </c>
      <c r="S16" s="858">
        <f>(1+S7)*R16</f>
        <v>-184.78760725631432</v>
      </c>
      <c r="T16" s="859">
        <f>-T12</f>
        <v>-249.82798217876703</v>
      </c>
    </row>
    <row r="17" spans="1:20" ht="12.75" hidden="1" customHeight="1" outlineLevel="1">
      <c r="A17" s="837" t="s">
        <v>413</v>
      </c>
      <c r="B17" s="848">
        <f>B15/MHFI!CM14</f>
        <v>7.5973884796183711E-3</v>
      </c>
      <c r="C17" s="843">
        <f>C15/MHFI!CN14</f>
        <v>7.540127142982362E-4</v>
      </c>
      <c r="D17" s="843">
        <f>D15/MHFI!CO14</f>
        <v>-6.4040986231187957E-3</v>
      </c>
      <c r="E17" s="843">
        <f>E15/MHFI!CP14</f>
        <v>-7.0561797752808991E-2</v>
      </c>
      <c r="F17" s="843">
        <f>F15/MHFI!CQ14</f>
        <v>-0.1014825642096471</v>
      </c>
      <c r="G17" s="843">
        <f>G15/MHFI!CR14</f>
        <v>-5.2860819639675309E-2</v>
      </c>
      <c r="H17" s="843">
        <f>H15/MHFI!CS14</f>
        <v>-0.33145115753811405</v>
      </c>
      <c r="I17" s="843">
        <f>I15/MHFI!CT14</f>
        <v>-1.6251545663310368E-2</v>
      </c>
      <c r="J17" s="843">
        <f>J15/MHFI!CU14</f>
        <v>-1.1213720316622692E-2</v>
      </c>
      <c r="K17" s="843">
        <f>K15/MHFI!CV14</f>
        <v>-1.5000604803871045E-2</v>
      </c>
      <c r="L17" s="843">
        <f>L15/MHFI!CW14</f>
        <v>-4.4935882222494044E-3</v>
      </c>
      <c r="M17" s="843">
        <f>M15/MHFI!CX14</f>
        <v>-2.7654137987131473E-3</v>
      </c>
      <c r="N17" s="843">
        <f>N15/MHFI!CY14</f>
        <v>-3.4536280453794385E-4</v>
      </c>
      <c r="O17" s="843">
        <f>O15/MHFI!CZ14</f>
        <v>-1.0855694960250108E-3</v>
      </c>
      <c r="P17" s="843"/>
      <c r="Q17" s="843"/>
      <c r="R17" s="843"/>
      <c r="S17" s="845"/>
      <c r="T17" s="846"/>
    </row>
    <row r="18" spans="1:20" ht="12.75" hidden="1" customHeight="1" outlineLevel="1">
      <c r="A18" s="837" t="s">
        <v>414</v>
      </c>
      <c r="B18" s="848">
        <f>B12/MHFI!CM14</f>
        <v>2.7804109760740561E-2</v>
      </c>
      <c r="C18" s="843">
        <f>C12/MHFI!CN14</f>
        <v>2.4333810880123E-2</v>
      </c>
      <c r="D18" s="843">
        <f>D12/MHFI!CO14</f>
        <v>2.4975984630163303E-2</v>
      </c>
      <c r="E18" s="843">
        <f>E12/MHFI!CP14</f>
        <v>3.1685393258426967E-2</v>
      </c>
      <c r="F18" s="843">
        <f>F12/MHFI!CQ14</f>
        <v>2.8607224890373772E-2</v>
      </c>
      <c r="G18" s="843">
        <f>G12/MHFI!CR14</f>
        <v>2.6529400118788359E-2</v>
      </c>
      <c r="H18" s="843">
        <f>H12/MHFI!CS14</f>
        <v>2.9550159984942592E-2</v>
      </c>
      <c r="I18" s="843">
        <f>I12/MHFI!CT14</f>
        <v>3.1973149620208446E-2</v>
      </c>
      <c r="J18" s="843">
        <f>J12/MHFI!CU14</f>
        <v>2.9683377308707123E-2</v>
      </c>
      <c r="K18" s="843">
        <f>K12/MHFI!CV14</f>
        <v>2.8717257203048224E-2</v>
      </c>
      <c r="L18" s="843">
        <f>L12/MHFI!CW14</f>
        <v>2.8000000000000001E-2</v>
      </c>
      <c r="M18" s="843">
        <f>M12/MHFI!CX14</f>
        <v>2.7E-2</v>
      </c>
      <c r="N18" s="843">
        <f>N12/MHFI!CY14</f>
        <v>2.5999999999999999E-2</v>
      </c>
      <c r="O18" s="843">
        <f>O12/MHFI!CZ14</f>
        <v>2.4999999999999998E-2</v>
      </c>
      <c r="P18" s="843"/>
      <c r="Q18" s="843"/>
      <c r="R18" s="843"/>
      <c r="S18" s="845"/>
      <c r="T18" s="846"/>
    </row>
    <row r="19" spans="1:20" ht="12.75" hidden="1" customHeight="1" outlineLevel="1">
      <c r="A19" s="837" t="s">
        <v>415</v>
      </c>
      <c r="B19" s="848">
        <f>-B16/MHFI!CM14</f>
        <v>1.5506280303949302E-2</v>
      </c>
      <c r="C19" s="843">
        <f>-C16/MHFI!CN14</f>
        <v>1.8715435342234389E-2</v>
      </c>
      <c r="D19" s="843">
        <f>-D16/MHFI!CO14</f>
        <v>1.9052193403778419E-2</v>
      </c>
      <c r="E19" s="843">
        <f>-E16/MHFI!CP14</f>
        <v>2.1797752808988765E-2</v>
      </c>
      <c r="F19" s="843">
        <f>-F16/MHFI!CQ14</f>
        <v>2.4430987680100231E-2</v>
      </c>
      <c r="G19" s="843">
        <f>-G16/MHFI!CR14</f>
        <v>1.8214215006929321E-2</v>
      </c>
      <c r="H19" s="843">
        <f>-H16/MHFI!CS14</f>
        <v>2.61622435535479E-2</v>
      </c>
      <c r="I19" s="843">
        <f>-I16/MHFI!CT14</f>
        <v>2.031443207913796E-2</v>
      </c>
      <c r="J19" s="843">
        <f>-J16/MHFI!CU14</f>
        <v>2.028364116094987E-2</v>
      </c>
      <c r="K19" s="843">
        <f>-K16/MHFI!CV14</f>
        <v>1.9496320286010563E-2</v>
      </c>
      <c r="L19" s="843">
        <f>-L16/MHFI!CW14</f>
        <v>2.0000000000000004E-2</v>
      </c>
      <c r="M19" s="843">
        <f>-M16/MHFI!CX14</f>
        <v>1.9E-2</v>
      </c>
      <c r="N19" s="843">
        <f>-N16/MHFI!CY14</f>
        <v>1.9E-2</v>
      </c>
      <c r="O19" s="843">
        <f>-O16/MHFI!CZ14</f>
        <v>1.9E-2</v>
      </c>
      <c r="P19" s="843"/>
      <c r="Q19" s="843"/>
      <c r="R19" s="843"/>
      <c r="S19" s="845"/>
      <c r="T19" s="846"/>
    </row>
    <row r="20" spans="1:20" ht="12.75" hidden="1" customHeight="1" outlineLevel="1">
      <c r="A20" s="837" t="s">
        <v>416</v>
      </c>
      <c r="B20" s="869">
        <f>-B16/B12</f>
        <v>0.55769742089869723</v>
      </c>
      <c r="C20" s="869">
        <f t="shared" ref="C20:M20" si="11">-C16/C12</f>
        <v>0.76911238582535535</v>
      </c>
      <c r="D20" s="869">
        <f t="shared" si="11"/>
        <v>0.76282051282051277</v>
      </c>
      <c r="E20" s="869">
        <f t="shared" si="11"/>
        <v>0.68794326241134751</v>
      </c>
      <c r="F20" s="869">
        <f t="shared" si="11"/>
        <v>0.85401459854014594</v>
      </c>
      <c r="G20" s="869">
        <f t="shared" si="11"/>
        <v>0.68656716417910446</v>
      </c>
      <c r="H20" s="869">
        <f t="shared" si="11"/>
        <v>0.88535031847133761</v>
      </c>
      <c r="I20" s="869">
        <f t="shared" si="11"/>
        <v>0.63535911602209949</v>
      </c>
      <c r="J20" s="869">
        <f t="shared" si="11"/>
        <v>0.68333333333333335</v>
      </c>
      <c r="K20" s="869">
        <f t="shared" si="11"/>
        <v>0.67890607198869624</v>
      </c>
      <c r="L20" s="869">
        <f t="shared" si="11"/>
        <v>0.71428571428571441</v>
      </c>
      <c r="M20" s="869">
        <f t="shared" si="11"/>
        <v>0.70370370370370361</v>
      </c>
      <c r="N20" s="869">
        <f>-N16/N12</f>
        <v>0.73076923076923084</v>
      </c>
      <c r="O20" s="869">
        <f>-O16/O12</f>
        <v>0.76000000000000012</v>
      </c>
      <c r="P20" s="869"/>
      <c r="Q20" s="869"/>
      <c r="R20" s="869"/>
      <c r="S20" s="870"/>
      <c r="T20" s="871"/>
    </row>
    <row r="21" spans="1:20" collapsed="1">
      <c r="A21" s="854" t="s">
        <v>417</v>
      </c>
      <c r="B21" s="872">
        <f>B15+B16</f>
        <v>-47.072000000000003</v>
      </c>
      <c r="C21" s="872">
        <f t="shared" ref="C21:M21" si="12">C15+C16</f>
        <v>-110.79200000000004</v>
      </c>
      <c r="D21" s="872">
        <f t="shared" si="12"/>
        <v>-159</v>
      </c>
      <c r="E21" s="872">
        <f t="shared" si="12"/>
        <v>-411</v>
      </c>
      <c r="F21" s="872">
        <f t="shared" si="12"/>
        <v>-603</v>
      </c>
      <c r="G21" s="872">
        <f t="shared" si="12"/>
        <v>-359</v>
      </c>
      <c r="H21" s="872">
        <f t="shared" si="12"/>
        <v>-1900</v>
      </c>
      <c r="I21" s="872">
        <f t="shared" si="12"/>
        <v>-207</v>
      </c>
      <c r="J21" s="872">
        <f t="shared" si="12"/>
        <v>-191</v>
      </c>
      <c r="K21" s="872">
        <f t="shared" si="12"/>
        <v>-224.29382880932366</v>
      </c>
      <c r="L21" s="872">
        <f t="shared" si="12"/>
        <v>-168.41883446554087</v>
      </c>
      <c r="M21" s="872">
        <f t="shared" si="12"/>
        <v>-157.39715145456208</v>
      </c>
      <c r="N21" s="872">
        <f t="shared" ref="N21:T21" si="13">N15+N16</f>
        <v>-147.18685010785219</v>
      </c>
      <c r="O21" s="872">
        <f t="shared" ref="O21" si="14">O15+O16</f>
        <v>-159.97864411774009</v>
      </c>
      <c r="P21" s="872">
        <f t="shared" si="13"/>
        <v>-160.4121751772546</v>
      </c>
      <c r="Q21" s="872">
        <f t="shared" si="13"/>
        <v>-170.03690568788988</v>
      </c>
      <c r="R21" s="872">
        <f t="shared" si="13"/>
        <v>-178.53875097228439</v>
      </c>
      <c r="S21" s="873">
        <f t="shared" si="13"/>
        <v>-184.78760725631432</v>
      </c>
      <c r="T21" s="874">
        <f t="shared" si="13"/>
        <v>-249.82798217876703</v>
      </c>
    </row>
    <row r="22" spans="1:20">
      <c r="A22" s="860"/>
      <c r="B22" s="875"/>
      <c r="C22" s="875"/>
      <c r="D22" s="875"/>
      <c r="E22" s="875"/>
      <c r="F22" s="875"/>
      <c r="G22" s="875"/>
      <c r="H22" s="875"/>
      <c r="I22" s="875"/>
      <c r="J22" s="875"/>
      <c r="K22" s="875"/>
      <c r="L22" s="875"/>
      <c r="M22" s="875"/>
      <c r="N22" s="875"/>
      <c r="O22" s="875"/>
      <c r="P22" s="875"/>
      <c r="Q22" s="875"/>
      <c r="R22" s="875"/>
      <c r="S22" s="876"/>
      <c r="T22" s="877"/>
    </row>
    <row r="23" spans="1:20">
      <c r="A23" s="878" t="s">
        <v>418</v>
      </c>
      <c r="B23" s="879">
        <f t="shared" ref="B23:Q23" si="15">+B13+B21</f>
        <v>935.94055870370369</v>
      </c>
      <c r="C23" s="879">
        <f t="shared" si="15"/>
        <v>958.57517841022593</v>
      </c>
      <c r="D23" s="879">
        <f t="shared" si="15"/>
        <v>1210.7513999999999</v>
      </c>
      <c r="E23" s="879">
        <f>+E13+E21</f>
        <v>685.90490797545999</v>
      </c>
      <c r="F23" s="879">
        <f t="shared" si="15"/>
        <v>660.13175230566549</v>
      </c>
      <c r="G23" s="879">
        <f t="shared" si="15"/>
        <v>1336.7682232346242</v>
      </c>
      <c r="H23" s="879">
        <f t="shared" si="15"/>
        <v>-266.64992311635069</v>
      </c>
      <c r="I23" s="879">
        <f t="shared" si="15"/>
        <v>1277.346826126955</v>
      </c>
      <c r="J23" s="879">
        <f t="shared" si="15"/>
        <v>1877.6830203142963</v>
      </c>
      <c r="K23" s="879">
        <f t="shared" si="15"/>
        <v>2269.6303402444878</v>
      </c>
      <c r="L23" s="879">
        <f t="shared" si="15"/>
        <v>2550.9327090257239</v>
      </c>
      <c r="M23" s="879">
        <f t="shared" si="15"/>
        <v>2733.6930563031983</v>
      </c>
      <c r="N23" s="879">
        <f t="shared" si="15"/>
        <v>2932.651414732331</v>
      </c>
      <c r="O23" s="879">
        <f t="shared" ref="O23" si="16">+O13+O21</f>
        <v>3097.0490172499467</v>
      </c>
      <c r="P23" s="879">
        <f t="shared" si="15"/>
        <v>3292.037145872494</v>
      </c>
      <c r="Q23" s="879">
        <f t="shared" si="15"/>
        <v>3489.5593746248437</v>
      </c>
      <c r="R23" s="879">
        <f>+R13+R21</f>
        <v>3664.0373433560858</v>
      </c>
      <c r="S23" s="880">
        <f>+S13+S21</f>
        <v>3792.2786503735483</v>
      </c>
      <c r="T23" s="881">
        <f>+T13+T21</f>
        <v>3836.6075975359172</v>
      </c>
    </row>
    <row r="24" spans="1:20" ht="13.5" thickBot="1">
      <c r="A24" s="882" t="s">
        <v>419</v>
      </c>
      <c r="B24" s="883"/>
      <c r="C24" s="884">
        <f>+C23/B23-1</f>
        <v>2.4183821820769946E-2</v>
      </c>
      <c r="D24" s="884">
        <f t="shared" ref="D24:M24" si="17">+D23/C23-1</f>
        <v>0.26307401575743095</v>
      </c>
      <c r="E24" s="884">
        <f t="shared" si="17"/>
        <v>-0.43348823881148513</v>
      </c>
      <c r="F24" s="884">
        <f t="shared" si="17"/>
        <v>-3.7575406401256672E-2</v>
      </c>
      <c r="G24" s="884">
        <f t="shared" si="17"/>
        <v>1.0250021583807274</v>
      </c>
      <c r="H24" s="884">
        <f t="shared" si="17"/>
        <v>-1.1994735650366737</v>
      </c>
      <c r="I24" s="884">
        <f t="shared" si="17"/>
        <v>-5.7903513760609417</v>
      </c>
      <c r="J24" s="884">
        <f t="shared" si="17"/>
        <v>0.4699868367055966</v>
      </c>
      <c r="K24" s="884">
        <f t="shared" si="17"/>
        <v>0.20873987552200646</v>
      </c>
      <c r="L24" s="884">
        <f t="shared" si="17"/>
        <v>0.12394193177331858</v>
      </c>
      <c r="M24" s="884">
        <f t="shared" si="17"/>
        <v>7.1644519132484596E-2</v>
      </c>
      <c r="N24" s="884">
        <f t="shared" ref="N24:S24" si="18">+N23/M23-1</f>
        <v>7.2780065037069797E-2</v>
      </c>
      <c r="O24" s="884">
        <f t="shared" si="18"/>
        <v>5.6057669074393024E-2</v>
      </c>
      <c r="P24" s="884">
        <f t="shared" si="18"/>
        <v>6.2959329199022029E-2</v>
      </c>
      <c r="Q24" s="884">
        <f t="shared" si="18"/>
        <v>6.0000000000000053E-2</v>
      </c>
      <c r="R24" s="884">
        <f t="shared" si="18"/>
        <v>5.0000000000000044E-2</v>
      </c>
      <c r="S24" s="885">
        <f t="shared" si="18"/>
        <v>3.499999999999992E-2</v>
      </c>
      <c r="T24" s="886">
        <f>+T23/Q23-1</f>
        <v>9.9453307897471754E-2</v>
      </c>
    </row>
    <row r="25" spans="1:20">
      <c r="A25" s="861"/>
      <c r="B25" s="887"/>
      <c r="C25" s="888"/>
      <c r="D25" s="889"/>
      <c r="E25" s="889"/>
      <c r="F25" s="889"/>
      <c r="G25" s="889"/>
      <c r="H25" s="889"/>
      <c r="I25" s="887"/>
      <c r="J25" s="887"/>
      <c r="K25" s="890"/>
      <c r="L25" s="891"/>
      <c r="M25" s="891"/>
      <c r="N25" s="891"/>
      <c r="O25" s="891"/>
      <c r="P25" s="891"/>
      <c r="Q25" s="891"/>
      <c r="R25" s="891"/>
      <c r="S25" s="892"/>
      <c r="T25" s="893"/>
    </row>
    <row r="26" spans="1:20">
      <c r="A26" s="861" t="s">
        <v>420</v>
      </c>
      <c r="B26" s="890"/>
      <c r="C26" s="890"/>
      <c r="D26" s="894"/>
      <c r="E26" s="894"/>
      <c r="F26" s="894"/>
      <c r="G26" s="894"/>
      <c r="H26" s="894"/>
      <c r="I26" s="895"/>
      <c r="J26" s="895">
        <f>+NPV($I$38,J23:$T$23)+Q63</f>
        <v>48787.585851901407</v>
      </c>
      <c r="K26" s="895">
        <f>+NPV($I$38,K23:$T$23)+R63</f>
        <v>51149.764453632364</v>
      </c>
      <c r="L26" s="895">
        <f>+NPV($I$38,L23:$T$23)+S63</f>
        <v>53325.279727723682</v>
      </c>
      <c r="M26" s="895">
        <f>+NPV($I$38,M23:$T$23)+T63</f>
        <v>55408.55473884879</v>
      </c>
      <c r="N26" s="895">
        <f>+NPV($I$38,N23:$T$23)+U63</f>
        <v>83601.046938671338</v>
      </c>
      <c r="O26" s="895">
        <f>+NPV($I$38,O23:$T$23)+V63</f>
        <v>59553.614755208189</v>
      </c>
      <c r="P26" s="895">
        <f>+NPV($I$38,P23:$T$23)+W63</f>
        <v>61632.043910236665</v>
      </c>
      <c r="Q26" s="895">
        <f>+NPV($I$38,Q23:$T$23)+X63</f>
        <v>63696.109820097488</v>
      </c>
      <c r="R26" s="895">
        <f>+NPV($I$38,R23:$T$23)+Y63</f>
        <v>65742.030153765823</v>
      </c>
      <c r="S26" s="896">
        <f>+NPV($I$38,S23:$T$23)+Z63</f>
        <v>67791.272238713951</v>
      </c>
      <c r="T26" s="895"/>
    </row>
    <row r="27" spans="1:20">
      <c r="A27" s="856" t="s">
        <v>515</v>
      </c>
      <c r="B27" s="890"/>
      <c r="C27" s="890"/>
      <c r="D27" s="897"/>
      <c r="E27" s="897"/>
      <c r="F27" s="897"/>
      <c r="G27" s="897"/>
      <c r="H27" s="897"/>
      <c r="I27" s="897"/>
      <c r="J27" s="897">
        <f>(MHFI!CT184)</f>
        <v>51</v>
      </c>
      <c r="K27" s="897">
        <f>(MHFI!CU184)</f>
        <v>57</v>
      </c>
      <c r="L27" s="897">
        <f>(MHFI!CV184)</f>
        <v>94.370718569797674</v>
      </c>
      <c r="M27" s="897">
        <f>(MHFI!CW184)</f>
        <v>135.51509406845582</v>
      </c>
      <c r="N27" s="897">
        <f>(MHFI!CX184)</f>
        <v>192.17510471856468</v>
      </c>
      <c r="O27" s="897">
        <f>(MHFI!CY184)</f>
        <v>265.46649110228782</v>
      </c>
      <c r="P27" s="897">
        <f t="shared" ref="P27:S28" si="19">O27</f>
        <v>265.46649110228782</v>
      </c>
      <c r="Q27" s="897">
        <f t="shared" si="19"/>
        <v>265.46649110228782</v>
      </c>
      <c r="R27" s="897">
        <f t="shared" si="19"/>
        <v>265.46649110228782</v>
      </c>
      <c r="S27" s="898">
        <f t="shared" si="19"/>
        <v>265.46649110228782</v>
      </c>
      <c r="T27" s="897"/>
    </row>
    <row r="28" spans="1:20">
      <c r="A28" s="856" t="s">
        <v>514</v>
      </c>
      <c r="B28" s="890"/>
      <c r="C28" s="890"/>
      <c r="D28" s="899"/>
      <c r="E28" s="899"/>
      <c r="F28" s="899"/>
      <c r="G28" s="899"/>
      <c r="H28" s="899"/>
      <c r="I28" s="897"/>
      <c r="J28" s="897">
        <f>MHFI!CT171+MHFI!CT164-MHFI!CT142-MHFI!CT143</f>
        <v>1164.0000000000018</v>
      </c>
      <c r="K28" s="897">
        <f>MHFI!CU171+MHFI!CU164-MHFI!CU142-MHFI!CU143</f>
        <v>778.00000000000182</v>
      </c>
      <c r="L28" s="897">
        <f>MHFI!CV171+MHFI!CV164-MHFI!CV142-MHFI!CV143</f>
        <v>1331.5654998287105</v>
      </c>
      <c r="M28" s="897">
        <f>MHFI!CW171+MHFI!CW164-MHFI!CW142-MHFI!CW143</f>
        <v>1091.6063957985853</v>
      </c>
      <c r="N28" s="897">
        <f>MHFI!CX171+MHFI!CX164-MHFI!CX142-MHFI!CX143</f>
        <v>857.37115714654283</v>
      </c>
      <c r="O28" s="897">
        <f>MHFI!CY171+MHFI!CY164-MHFI!CY142-MHFI!CY143</f>
        <v>630.94671952935141</v>
      </c>
      <c r="P28" s="897">
        <f t="shared" si="19"/>
        <v>630.94671952935141</v>
      </c>
      <c r="Q28" s="897">
        <f t="shared" si="19"/>
        <v>630.94671952935141</v>
      </c>
      <c r="R28" s="897">
        <f t="shared" si="19"/>
        <v>630.94671952935141</v>
      </c>
      <c r="S28" s="898">
        <f t="shared" si="19"/>
        <v>630.94671952935141</v>
      </c>
      <c r="T28" s="897"/>
    </row>
    <row r="29" spans="1:20">
      <c r="A29" s="900" t="s">
        <v>421</v>
      </c>
      <c r="B29" s="890"/>
      <c r="C29" s="890"/>
      <c r="D29" s="901"/>
      <c r="E29" s="901"/>
      <c r="F29" s="901"/>
      <c r="G29" s="901"/>
      <c r="H29" s="901"/>
      <c r="I29" s="901"/>
      <c r="J29" s="901">
        <v>0</v>
      </c>
      <c r="K29" s="901">
        <v>0</v>
      </c>
      <c r="L29" s="901">
        <v>0</v>
      </c>
      <c r="M29" s="901">
        <v>0</v>
      </c>
      <c r="N29" s="901">
        <v>0</v>
      </c>
      <c r="O29" s="901">
        <v>0</v>
      </c>
      <c r="P29" s="901">
        <v>0</v>
      </c>
      <c r="Q29" s="901">
        <v>0</v>
      </c>
      <c r="R29" s="901">
        <v>0</v>
      </c>
      <c r="S29" s="902">
        <v>0</v>
      </c>
      <c r="T29" s="897"/>
    </row>
    <row r="30" spans="1:20">
      <c r="A30" s="861" t="s">
        <v>422</v>
      </c>
      <c r="B30" s="890"/>
      <c r="C30" s="887"/>
      <c r="D30" s="903"/>
      <c r="E30" s="903"/>
      <c r="F30" s="903"/>
      <c r="G30" s="903"/>
      <c r="H30" s="903"/>
      <c r="I30" s="903"/>
      <c r="J30" s="903">
        <f t="shared" ref="J30:Q30" si="20">+J26-J27-J28+J29</f>
        <v>47572.585851901407</v>
      </c>
      <c r="K30" s="903">
        <f t="shared" si="20"/>
        <v>50314.764453632364</v>
      </c>
      <c r="L30" s="903">
        <f t="shared" si="20"/>
        <v>51899.343509325168</v>
      </c>
      <c r="M30" s="903">
        <f t="shared" si="20"/>
        <v>54181.433248981753</v>
      </c>
      <c r="N30" s="903">
        <f t="shared" si="20"/>
        <v>82551.50067680623</v>
      </c>
      <c r="O30" s="903">
        <f t="shared" ref="O30" si="21">+O26-O27-O28+O29</f>
        <v>58657.20154457655</v>
      </c>
      <c r="P30" s="903">
        <f t="shared" si="20"/>
        <v>60735.630699605026</v>
      </c>
      <c r="Q30" s="903">
        <f t="shared" si="20"/>
        <v>62799.696609465849</v>
      </c>
      <c r="R30" s="903">
        <f>+R26-R27-R28+R29</f>
        <v>64845.616943134184</v>
      </c>
      <c r="S30" s="904">
        <f>+S26-S27-S28+S29</f>
        <v>66894.859028082312</v>
      </c>
      <c r="T30" s="903"/>
    </row>
    <row r="31" spans="1:20" ht="13.5" thickBot="1">
      <c r="A31" s="861" t="s">
        <v>423</v>
      </c>
      <c r="B31" s="890"/>
      <c r="C31" s="887"/>
      <c r="D31" s="905"/>
      <c r="E31" s="905"/>
      <c r="F31" s="905"/>
      <c r="G31" s="905"/>
      <c r="H31" s="905"/>
      <c r="I31" s="906"/>
      <c r="J31" s="906">
        <f>+K31</f>
        <v>258.89999999999998</v>
      </c>
      <c r="K31" s="906">
        <f>MHFI!CU70</f>
        <v>258.89999999999998</v>
      </c>
      <c r="L31" s="906">
        <f>MHFI!CV70</f>
        <v>250.71185834721831</v>
      </c>
      <c r="M31" s="906">
        <f>MHFI!CW70</f>
        <v>245.49619702452878</v>
      </c>
      <c r="N31" s="906">
        <f>MHFI!CX70</f>
        <v>241.14603695608272</v>
      </c>
      <c r="O31" s="906">
        <f>MHFI!CY70</f>
        <v>236.95617314770175</v>
      </c>
      <c r="P31" s="906">
        <f>O31</f>
        <v>236.95617314770175</v>
      </c>
      <c r="Q31" s="906">
        <f>P31</f>
        <v>236.95617314770175</v>
      </c>
      <c r="R31" s="906">
        <f>Q31</f>
        <v>236.95617314770175</v>
      </c>
      <c r="S31" s="907">
        <f>R31</f>
        <v>236.95617314770175</v>
      </c>
      <c r="T31" s="906"/>
    </row>
    <row r="32" spans="1:20" ht="13.5" thickBot="1">
      <c r="A32" s="908" t="str">
        <f>+"Implied Value per Share"</f>
        <v>Implied Value per Share</v>
      </c>
      <c r="B32" s="909"/>
      <c r="C32" s="910"/>
      <c r="D32" s="911"/>
      <c r="E32" s="911"/>
      <c r="F32" s="911"/>
      <c r="G32" s="911"/>
      <c r="H32" s="911"/>
      <c r="I32" s="911"/>
      <c r="J32" s="911">
        <f t="shared" ref="J32:Q32" si="22">J30/J31</f>
        <v>183.74888316686526</v>
      </c>
      <c r="K32" s="911">
        <f t="shared" si="22"/>
        <v>194.34053477648655</v>
      </c>
      <c r="L32" s="911">
        <f t="shared" si="22"/>
        <v>207.00793273786127</v>
      </c>
      <c r="M32" s="911">
        <f t="shared" si="22"/>
        <v>220.70172127174828</v>
      </c>
      <c r="N32" s="911">
        <f t="shared" si="22"/>
        <v>342.32990812882582</v>
      </c>
      <c r="O32" s="911">
        <f t="shared" ref="O32" si="23">O30/O31</f>
        <v>247.54451747502603</v>
      </c>
      <c r="P32" s="911">
        <f t="shared" si="22"/>
        <v>256.31588277612298</v>
      </c>
      <c r="Q32" s="911">
        <f t="shared" si="22"/>
        <v>265.0266324579818</v>
      </c>
      <c r="R32" s="911">
        <f>R30/R31</f>
        <v>273.66080436618972</v>
      </c>
      <c r="S32" s="912">
        <f>S30/S31</f>
        <v>282.30899469491675</v>
      </c>
      <c r="T32" s="913"/>
    </row>
    <row r="33" spans="1:20" ht="13.5" thickBot="1">
      <c r="A33" s="908" t="s">
        <v>516</v>
      </c>
      <c r="B33" s="909"/>
      <c r="C33" s="910"/>
      <c r="D33" s="911"/>
      <c r="E33" s="911"/>
      <c r="F33" s="911"/>
      <c r="G33" s="911"/>
      <c r="H33" s="911"/>
      <c r="I33" s="911"/>
      <c r="J33" s="911">
        <f t="shared" ref="J33:Q33" si="24">+J32*(1+$I$61)</f>
        <v>200.40571942594161</v>
      </c>
      <c r="K33" s="911">
        <f t="shared" si="24"/>
        <v>211.95750425397509</v>
      </c>
      <c r="L33" s="911">
        <f t="shared" si="24"/>
        <v>225.77320184054841</v>
      </c>
      <c r="M33" s="911">
        <f t="shared" si="24"/>
        <v>240.70833230503229</v>
      </c>
      <c r="N33" s="911">
        <f t="shared" si="24"/>
        <v>373.36211430070392</v>
      </c>
      <c r="O33" s="911">
        <f t="shared" ref="O33" si="25">+O32*(1+$I$61)</f>
        <v>269.98442798413714</v>
      </c>
      <c r="P33" s="911">
        <f t="shared" si="24"/>
        <v>279.55091754977855</v>
      </c>
      <c r="Q33" s="911">
        <f t="shared" si="24"/>
        <v>289.05129669029787</v>
      </c>
      <c r="R33" s="911">
        <f>+R32*(1+$I$61)</f>
        <v>298.46815628198488</v>
      </c>
      <c r="S33" s="912">
        <f>+S32*(1+$I$61)</f>
        <v>307.90030506401098</v>
      </c>
      <c r="T33" s="913"/>
    </row>
    <row r="34" spans="1:20">
      <c r="A34" s="914"/>
      <c r="B34" s="915"/>
      <c r="C34" s="916"/>
      <c r="D34" s="913"/>
      <c r="E34" s="913"/>
      <c r="F34" s="913"/>
      <c r="G34" s="913"/>
      <c r="I34" s="913" t="s">
        <v>424</v>
      </c>
      <c r="J34" s="913">
        <f>9/12*K33+3/12*L33</f>
        <v>215.4114286506184</v>
      </c>
      <c r="K34" s="2207"/>
      <c r="L34" s="913"/>
      <c r="M34" s="913"/>
      <c r="N34" s="913"/>
      <c r="O34" s="913"/>
      <c r="P34" s="913"/>
      <c r="Q34" s="913"/>
      <c r="R34" s="913"/>
      <c r="S34" s="913"/>
    </row>
    <row r="35" spans="1:20" ht="13.5" thickBot="1">
      <c r="A35" s="887"/>
      <c r="B35" s="887"/>
      <c r="C35" s="888"/>
      <c r="D35" s="917"/>
      <c r="E35" s="889"/>
      <c r="F35" s="887"/>
      <c r="G35" s="887"/>
      <c r="I35" s="887"/>
      <c r="J35" s="888"/>
      <c r="K35" s="888"/>
      <c r="L35" s="918" t="s">
        <v>425</v>
      </c>
      <c r="M35" s="918" t="s">
        <v>426</v>
      </c>
      <c r="N35" s="918" t="s">
        <v>427</v>
      </c>
      <c r="S35" s="919"/>
    </row>
    <row r="36" spans="1:20" ht="13.5" thickBot="1">
      <c r="A36" s="887"/>
      <c r="B36" s="887"/>
      <c r="C36" s="888"/>
      <c r="D36" s="888"/>
      <c r="E36" s="889"/>
      <c r="F36" s="887"/>
      <c r="G36" s="887"/>
      <c r="I36" s="887"/>
      <c r="J36" s="920" t="s">
        <v>428</v>
      </c>
      <c r="K36" s="921"/>
      <c r="L36" s="922">
        <f>J34</f>
        <v>215.4114286506184</v>
      </c>
      <c r="M36" s="922">
        <f>SOTP_hc!F19</f>
        <v>194.76284439722377</v>
      </c>
      <c r="N36" s="1317">
        <f>AVERAGE(L36:M36)</f>
        <v>205.08713652392109</v>
      </c>
      <c r="O36" s="20"/>
      <c r="Q36" s="1111"/>
      <c r="S36" s="919"/>
    </row>
    <row r="37" spans="1:20" ht="13.5" thickBot="1">
      <c r="A37" s="887"/>
      <c r="B37" s="887"/>
      <c r="C37" s="888"/>
      <c r="D37" s="888"/>
      <c r="E37" s="889"/>
      <c r="F37" s="887"/>
      <c r="G37" s="887"/>
      <c r="I37" s="887"/>
      <c r="J37" s="920"/>
      <c r="K37" s="921"/>
      <c r="L37" s="922"/>
      <c r="M37" s="922"/>
      <c r="N37" s="1211"/>
      <c r="S37" s="919"/>
    </row>
    <row r="38" spans="1:20" ht="13.5" thickBot="1">
      <c r="A38" s="908" t="s">
        <v>429</v>
      </c>
      <c r="I38" s="924">
        <f>+I61*I49+I53*I48</f>
        <v>8.6904517778676235E-2</v>
      </c>
      <c r="J38" s="920"/>
      <c r="K38" s="921"/>
      <c r="L38" s="922"/>
      <c r="M38" s="922"/>
      <c r="N38" s="1211"/>
      <c r="S38" s="919"/>
    </row>
    <row r="39" spans="1:20" ht="15">
      <c r="A39" s="925" t="s">
        <v>430</v>
      </c>
      <c r="I39" s="926">
        <f>T23*(1+I41)/(I38-I41)</f>
        <v>66360.513541332213</v>
      </c>
      <c r="J39" s="920"/>
      <c r="K39" s="921"/>
      <c r="L39"/>
      <c r="M39" s="922"/>
      <c r="N39" s="1211"/>
      <c r="S39" s="919"/>
    </row>
    <row r="40" spans="1:20">
      <c r="A40" s="887" t="s">
        <v>431</v>
      </c>
      <c r="I40" s="927"/>
      <c r="J40" s="920"/>
      <c r="K40" s="921"/>
      <c r="L40" s="922"/>
      <c r="M40" s="922"/>
      <c r="N40" s="923"/>
      <c r="S40" s="919"/>
    </row>
    <row r="41" spans="1:20">
      <c r="A41" s="928" t="s">
        <v>432</v>
      </c>
      <c r="I41" s="929">
        <f>CHOOSE(MHFI!$A$3,I42,I43,I44)</f>
        <v>2.75E-2</v>
      </c>
      <c r="J41" s="920"/>
      <c r="K41" s="921"/>
      <c r="L41" s="922"/>
      <c r="M41" s="922"/>
      <c r="N41" s="1195"/>
      <c r="S41" s="919"/>
    </row>
    <row r="42" spans="1:20">
      <c r="A42" s="930" t="s">
        <v>213</v>
      </c>
      <c r="I42" s="931">
        <v>0.02</v>
      </c>
      <c r="J42" s="920"/>
      <c r="K42" s="921"/>
      <c r="L42" s="922"/>
      <c r="M42" s="922"/>
      <c r="N42" s="923"/>
      <c r="S42" s="919"/>
    </row>
    <row r="43" spans="1:20">
      <c r="A43" s="756" t="s">
        <v>214</v>
      </c>
      <c r="I43" s="932">
        <v>2.75E-2</v>
      </c>
      <c r="J43" s="920"/>
      <c r="K43" s="921"/>
      <c r="L43" s="922"/>
      <c r="M43" s="922"/>
      <c r="N43" s="923"/>
      <c r="S43" s="919"/>
    </row>
    <row r="44" spans="1:20">
      <c r="A44" s="933" t="s">
        <v>215</v>
      </c>
      <c r="I44" s="934">
        <v>3.5000000000000003E-2</v>
      </c>
      <c r="J44" s="920"/>
      <c r="K44" s="921"/>
      <c r="L44" s="922"/>
      <c r="M44" s="935"/>
      <c r="N44" s="923"/>
      <c r="S44" s="919"/>
    </row>
    <row r="45" spans="1:20">
      <c r="A45" s="914" t="s">
        <v>433</v>
      </c>
      <c r="I45" s="936">
        <f>I39/(T5+T12)</f>
        <v>12.917576726165075</v>
      </c>
      <c r="J45" s="920"/>
      <c r="K45" s="921"/>
      <c r="L45" s="922"/>
      <c r="M45" s="922"/>
      <c r="N45" s="923"/>
      <c r="S45" s="919"/>
    </row>
    <row r="46" spans="1:20">
      <c r="A46" s="887"/>
      <c r="B46" s="887"/>
      <c r="C46" s="888"/>
      <c r="D46" s="888"/>
      <c r="E46" s="889"/>
      <c r="F46" s="887"/>
      <c r="G46" s="887"/>
      <c r="I46" s="887"/>
      <c r="J46" s="920"/>
      <c r="K46" s="921"/>
      <c r="L46" s="922"/>
      <c r="M46" s="951"/>
      <c r="N46" s="951"/>
      <c r="O46" s="952" t="s">
        <v>438</v>
      </c>
      <c r="R46" s="1198" t="s">
        <v>518</v>
      </c>
      <c r="S46" s="1198" t="s">
        <v>438</v>
      </c>
    </row>
    <row r="47" spans="1:20" ht="15">
      <c r="A47" s="937" t="s">
        <v>429</v>
      </c>
      <c r="B47" s="938"/>
      <c r="C47" s="888"/>
      <c r="D47" s="890"/>
      <c r="E47" s="890"/>
      <c r="F47" s="939"/>
      <c r="G47" s="371"/>
      <c r="I47" s="371"/>
      <c r="M47" s="951" t="s">
        <v>439</v>
      </c>
      <c r="N47" s="2193" t="s">
        <v>561</v>
      </c>
      <c r="O47" s="954">
        <f>_xll.ThomsonONEAddinShim.SpreadsheetFormulas.TF(M47,"TF.RFA.Beta3YearWeekly()","")</f>
        <v>1.2803037761843099</v>
      </c>
      <c r="Q47" s="1196" t="s">
        <v>456</v>
      </c>
      <c r="R47" s="921">
        <f>+'Op Metrics'!BN86</f>
        <v>1608</v>
      </c>
      <c r="S47" s="954">
        <f>+AVERAGE(O47:O48)</f>
        <v>1.1335852826633259</v>
      </c>
    </row>
    <row r="48" spans="1:20" ht="15">
      <c r="A48" s="887" t="s">
        <v>434</v>
      </c>
      <c r="I48" s="940">
        <f>(MHFI!BO171)/((MHFI!BO171)+I57)</f>
        <v>6.1470323601501661E-2</v>
      </c>
      <c r="J48" s="888"/>
      <c r="K48" s="890"/>
      <c r="L48" s="941"/>
      <c r="M48" s="951" t="s">
        <v>441</v>
      </c>
      <c r="N48" s="2193" t="s">
        <v>561</v>
      </c>
      <c r="O48" s="954">
        <f>_xll.ThomsonONEAddinShim.SpreadsheetFormulas.TF(M48,"TF.RFA.Beta3YearWeekly()","")</f>
        <v>0.98686678914234205</v>
      </c>
      <c r="P48" s="371"/>
      <c r="Q48" s="942" t="s">
        <v>289</v>
      </c>
      <c r="R48" s="921">
        <f>+'Op Metrics'!BN113</f>
        <v>548</v>
      </c>
      <c r="S48" s="954">
        <f>+AVERAGE(O49:O50)</f>
        <v>0.88781668651859302</v>
      </c>
    </row>
    <row r="49" spans="1:28" ht="15">
      <c r="A49" s="887" t="s">
        <v>435</v>
      </c>
      <c r="I49" s="917">
        <f>1-I48</f>
        <v>0.93852967639849838</v>
      </c>
      <c r="J49" s="888"/>
      <c r="K49" s="890"/>
      <c r="L49" s="943"/>
      <c r="M49" s="951" t="s">
        <v>497</v>
      </c>
      <c r="N49" s="2193" t="s">
        <v>561</v>
      </c>
      <c r="O49" s="954">
        <f>_xll.ThomsonONEAddinShim.SpreadsheetFormulas.TF(M49,"TF.RFA.Beta3YearWeekly()","")</f>
        <v>1.03405872294662</v>
      </c>
      <c r="P49" s="371"/>
      <c r="Q49" s="942" t="s">
        <v>358</v>
      </c>
      <c r="R49" s="921">
        <f>+'Op Metrics'!BN95</f>
        <v>478</v>
      </c>
      <c r="S49" s="954">
        <f>+O51</f>
        <v>0.871330475242174</v>
      </c>
    </row>
    <row r="50" spans="1:28" ht="15">
      <c r="A50" s="887"/>
      <c r="I50" s="917"/>
      <c r="J50" s="887"/>
      <c r="K50" s="890"/>
      <c r="L50" s="944"/>
      <c r="M50" s="951" t="s">
        <v>498</v>
      </c>
      <c r="N50" s="2193" t="s">
        <v>561</v>
      </c>
      <c r="O50" s="954">
        <f>_xll.ThomsonONEAddinShim.SpreadsheetFormulas.TF(M50,"TF.RFA.Beta3YearWeekly()","")</f>
        <v>0.741574650090566</v>
      </c>
      <c r="P50" s="371"/>
      <c r="Q50" s="1197" t="s">
        <v>365</v>
      </c>
      <c r="R50" s="921">
        <f>+'Op Metrics'!BN122</f>
        <v>365</v>
      </c>
      <c r="S50" s="1202">
        <f>+AVERAGE(O52:O53)</f>
        <v>0.79734205911553202</v>
      </c>
    </row>
    <row r="51" spans="1:28" ht="15">
      <c r="A51" s="887" t="s">
        <v>436</v>
      </c>
      <c r="I51" s="2002" t="s">
        <v>437</v>
      </c>
      <c r="J51" s="945"/>
      <c r="K51" s="946"/>
      <c r="L51" s="913"/>
      <c r="M51" s="951" t="s">
        <v>499</v>
      </c>
      <c r="N51" s="2193" t="s">
        <v>561</v>
      </c>
      <c r="O51" s="954">
        <f>_xll.ThomsonONEAddinShim.SpreadsheetFormulas.TF(M51,"TF.RFA.Beta3YearWeekly()","")</f>
        <v>0.871330475242174</v>
      </c>
      <c r="P51" s="371"/>
      <c r="Q51" s="1197" t="s">
        <v>398</v>
      </c>
      <c r="R51" s="1199">
        <f>+SUM(R47:R50)</f>
        <v>2999</v>
      </c>
      <c r="S51" s="815"/>
    </row>
    <row r="52" spans="1:28" ht="15">
      <c r="A52" s="887" t="str">
        <f>+" Cost of long-term debt"</f>
        <v xml:space="preserve"> Cost of long-term debt</v>
      </c>
      <c r="I52" s="947">
        <f>MHFI!BO296</f>
        <v>3.810057431012747E-2</v>
      </c>
      <c r="J52" s="948"/>
      <c r="K52" s="815"/>
      <c r="L52" s="815"/>
      <c r="M52" s="951" t="s">
        <v>500</v>
      </c>
      <c r="N52" s="2193" t="s">
        <v>561</v>
      </c>
      <c r="O52" s="954">
        <f>_xll.ThomsonONEAddinShim.SpreadsheetFormulas.TF(M52,"TF.RFA.Beta3YearWeekly()","")</f>
        <v>0.77189723547502298</v>
      </c>
      <c r="P52" s="371"/>
      <c r="Q52" s="921"/>
      <c r="R52" s="921"/>
      <c r="S52" s="921"/>
      <c r="T52" s="815"/>
    </row>
    <row r="53" spans="1:28" ht="15">
      <c r="A53" s="949" t="str">
        <f>" After tax cost of long-term debt"</f>
        <v xml:space="preserve"> After tax cost of long-term debt</v>
      </c>
      <c r="I53" s="950">
        <f>I52*(1-22%)</f>
        <v>2.9718447961899427E-2</v>
      </c>
      <c r="J53" s="887"/>
      <c r="K53" s="887"/>
      <c r="L53" s="815"/>
      <c r="M53" s="951" t="s">
        <v>501</v>
      </c>
      <c r="N53" s="2193" t="s">
        <v>561</v>
      </c>
      <c r="O53" s="954">
        <f>_xll.ThomsonONEAddinShim.SpreadsheetFormulas.TF(M53,"TF.RFA.Beta3YearWeekly()","")</f>
        <v>0.82278688275604095</v>
      </c>
      <c r="P53" s="371"/>
      <c r="Q53" s="921"/>
      <c r="R53" s="921"/>
      <c r="S53" s="921"/>
      <c r="T53" s="954"/>
    </row>
    <row r="54" spans="1:28" ht="15">
      <c r="A54" s="815"/>
      <c r="I54" s="815"/>
      <c r="J54" s="887"/>
      <c r="K54" s="887"/>
      <c r="L54" s="953"/>
      <c r="O54" s="961">
        <f>AVERAGE(O47:O53)</f>
        <v>0.92983121883386788</v>
      </c>
      <c r="P54" s="371"/>
      <c r="Q54" s="921"/>
      <c r="R54" s="1200" t="s">
        <v>519</v>
      </c>
      <c r="S54" s="1201">
        <f>+SUMPRODUCT(R47:R50,S47:S50)/R51</f>
        <v>1.0059534836537998</v>
      </c>
    </row>
    <row r="55" spans="1:28" ht="15">
      <c r="A55" s="887" t="s">
        <v>440</v>
      </c>
      <c r="I55" s="2011">
        <v>190.25</v>
      </c>
      <c r="J55" s="887"/>
      <c r="K55" s="887"/>
      <c r="L55" s="955"/>
      <c r="P55" s="371"/>
      <c r="Q55" s="921"/>
      <c r="R55" s="921"/>
      <c r="S55" s="921"/>
      <c r="T55" s="815"/>
    </row>
    <row r="56" spans="1:28" ht="15">
      <c r="A56" s="887" t="s">
        <v>442</v>
      </c>
      <c r="I56" s="958">
        <f>MHFI!BO68</f>
        <v>254.4</v>
      </c>
      <c r="J56" s="887"/>
      <c r="K56" s="887"/>
      <c r="L56" s="956"/>
      <c r="N56" s="965" t="s">
        <v>447</v>
      </c>
      <c r="P56" s="371"/>
      <c r="Q56" s="957"/>
      <c r="R56" s="957"/>
      <c r="S56" s="957"/>
      <c r="T56" s="815"/>
    </row>
    <row r="57" spans="1:28" ht="15">
      <c r="A57" s="887" t="s">
        <v>443</v>
      </c>
      <c r="I57" s="958">
        <f>I55*I56</f>
        <v>48399.6</v>
      </c>
      <c r="J57" s="887"/>
      <c r="K57" s="887"/>
      <c r="L57" s="959"/>
      <c r="P57" s="371"/>
      <c r="Q57" s="957"/>
      <c r="R57" s="957"/>
      <c r="S57" s="957"/>
      <c r="T57" s="815"/>
    </row>
    <row r="58" spans="1:28" ht="15">
      <c r="A58" s="887" t="s">
        <v>444</v>
      </c>
      <c r="I58" s="960">
        <v>2.5000000000000001E-2</v>
      </c>
      <c r="J58" s="887"/>
      <c r="K58" s="887"/>
      <c r="L58" s="959"/>
      <c r="N58" s="951"/>
      <c r="P58" s="371"/>
      <c r="Q58" s="957"/>
      <c r="R58" s="957"/>
      <c r="S58" s="957"/>
      <c r="T58" s="815"/>
    </row>
    <row r="59" spans="1:28" ht="15">
      <c r="A59" s="887" t="s">
        <v>445</v>
      </c>
      <c r="I59" s="960">
        <v>6.5000000000000002E-2</v>
      </c>
      <c r="J59" s="887"/>
      <c r="K59" s="887"/>
      <c r="L59" s="916"/>
      <c r="M59" s="962"/>
      <c r="O59" s="963"/>
      <c r="P59" s="371"/>
      <c r="Q59" s="957"/>
      <c r="R59" s="957"/>
      <c r="S59" s="957"/>
      <c r="T59" s="815"/>
    </row>
    <row r="60" spans="1:28" ht="15">
      <c r="A60" s="887" t="s">
        <v>446</v>
      </c>
      <c r="I60" s="964">
        <v>1.01</v>
      </c>
      <c r="J60" s="887"/>
      <c r="K60" s="815"/>
      <c r="L60" s="916"/>
      <c r="P60" s="371"/>
      <c r="Q60" s="957"/>
      <c r="R60" s="957"/>
      <c r="S60" s="957"/>
      <c r="T60" s="815"/>
    </row>
    <row r="61" spans="1:28" ht="15">
      <c r="A61" s="949" t="s">
        <v>448</v>
      </c>
      <c r="I61" s="966">
        <f>+I58+I59*I60</f>
        <v>9.0650000000000008E-2</v>
      </c>
      <c r="J61" s="887"/>
      <c r="K61" s="815"/>
      <c r="L61" s="967"/>
      <c r="M61" s="1311"/>
      <c r="N61" s="1311"/>
      <c r="O61" s="1311"/>
      <c r="P61" s="1357"/>
      <c r="Q61" s="957"/>
      <c r="R61" s="957"/>
      <c r="S61" s="957"/>
      <c r="T61"/>
      <c r="U61" s="1311"/>
      <c r="V61" s="1311"/>
      <c r="W61" s="1311"/>
      <c r="X61" s="1311"/>
      <c r="Y61" s="1311"/>
      <c r="Z61" s="1311"/>
      <c r="AA61" s="1311"/>
    </row>
    <row r="62" spans="1:28" ht="15">
      <c r="J62" s="968"/>
      <c r="K62" s="969"/>
      <c r="L62" s="969"/>
      <c r="M62" s="1358"/>
      <c r="N62" s="1861"/>
      <c r="O62" s="1861"/>
      <c r="P62" s="1861"/>
      <c r="Q62" s="1861">
        <f>J4</f>
        <v>2017</v>
      </c>
      <c r="R62" s="1861">
        <f t="shared" ref="R62:AA62" si="26">K4</f>
        <v>2018</v>
      </c>
      <c r="S62" s="1861">
        <f t="shared" si="26"/>
        <v>2019</v>
      </c>
      <c r="T62" s="1861">
        <f t="shared" si="26"/>
        <v>2020</v>
      </c>
      <c r="U62" s="1861">
        <f t="shared" si="26"/>
        <v>2021</v>
      </c>
      <c r="V62" s="1861">
        <f t="shared" si="26"/>
        <v>2022</v>
      </c>
      <c r="W62" s="1861">
        <f t="shared" si="26"/>
        <v>2023</v>
      </c>
      <c r="X62" s="1861">
        <f t="shared" si="26"/>
        <v>2024</v>
      </c>
      <c r="Y62" s="1861">
        <f t="shared" si="26"/>
        <v>2025</v>
      </c>
      <c r="Z62" s="1861">
        <f t="shared" si="26"/>
        <v>2026</v>
      </c>
      <c r="AA62" s="1861">
        <f t="shared" si="26"/>
        <v>2027</v>
      </c>
      <c r="AB62"/>
    </row>
    <row r="63" spans="1:28" ht="15">
      <c r="J63" s="927"/>
      <c r="K63" s="970"/>
      <c r="L63" s="970"/>
      <c r="M63" s="1861" t="s">
        <v>430</v>
      </c>
      <c r="N63" s="1861"/>
      <c r="O63" s="1861"/>
      <c r="P63" s="1861"/>
      <c r="Q63" s="1862">
        <f t="shared" ref="Q63:AA63" si="27">+$I$39/(1+$I$38)^Q64</f>
        <v>28840.036052466501</v>
      </c>
      <c r="R63" s="1862">
        <f t="shared" si="27"/>
        <v>31346.365478325741</v>
      </c>
      <c r="S63" s="1862">
        <f t="shared" si="27"/>
        <v>34070.506254333784</v>
      </c>
      <c r="T63" s="1862">
        <f t="shared" si="27"/>
        <v>37031.387170842027</v>
      </c>
      <c r="U63" s="1862">
        <f t="shared" si="27"/>
        <v>66360.513541332213</v>
      </c>
      <c r="V63" s="1862">
        <f t="shared" si="27"/>
        <v>43747.452531458475</v>
      </c>
      <c r="W63" s="1862">
        <f t="shared" si="27"/>
        <v>47549.303797750399</v>
      </c>
      <c r="X63" s="1862">
        <f t="shared" si="27"/>
        <v>51681.553115005678</v>
      </c>
      <c r="Y63" s="1862">
        <f t="shared" si="27"/>
        <v>56172.913566518291</v>
      </c>
      <c r="Z63" s="1862">
        <f t="shared" si="27"/>
        <v>61054.593532239822</v>
      </c>
      <c r="AA63" s="1862">
        <f t="shared" si="27"/>
        <v>66360.513541332213</v>
      </c>
      <c r="AB63"/>
    </row>
    <row r="64" spans="1:28" ht="15">
      <c r="J64" s="927"/>
      <c r="K64" s="971"/>
      <c r="L64" s="971"/>
      <c r="M64" s="1861" t="s">
        <v>449</v>
      </c>
      <c r="N64" s="1861"/>
      <c r="O64" s="1861"/>
      <c r="P64" s="1861"/>
      <c r="Q64" s="1861">
        <f>$T$1-J1</f>
        <v>10</v>
      </c>
      <c r="R64" s="1861">
        <f t="shared" ref="R64:AA64" si="28">$T$1-K1</f>
        <v>9</v>
      </c>
      <c r="S64" s="1861">
        <f t="shared" si="28"/>
        <v>8</v>
      </c>
      <c r="T64" s="1861">
        <f t="shared" si="28"/>
        <v>7</v>
      </c>
      <c r="U64" s="1170"/>
      <c r="V64" s="1861">
        <f t="shared" si="28"/>
        <v>5</v>
      </c>
      <c r="W64" s="1861">
        <f t="shared" si="28"/>
        <v>4</v>
      </c>
      <c r="X64" s="1861">
        <f t="shared" si="28"/>
        <v>3</v>
      </c>
      <c r="Y64" s="1861">
        <f t="shared" si="28"/>
        <v>2</v>
      </c>
      <c r="Z64" s="1861">
        <f t="shared" si="28"/>
        <v>1</v>
      </c>
      <c r="AA64" s="1861">
        <f t="shared" si="28"/>
        <v>0</v>
      </c>
      <c r="AB64"/>
    </row>
    <row r="65" spans="1:26" ht="15">
      <c r="J65" s="927"/>
      <c r="K65" s="968"/>
      <c r="L65" s="972"/>
      <c r="M65" s="973"/>
      <c r="N65" s="371"/>
      <c r="O65" s="974"/>
      <c r="P65" s="974"/>
      <c r="Q65" s="974"/>
      <c r="R65" s="974"/>
      <c r="S65" s="974"/>
      <c r="T65" s="974"/>
      <c r="U65" s="974"/>
      <c r="V65" s="974"/>
      <c r="W65" s="974"/>
      <c r="X65" s="974"/>
      <c r="Y65" s="974"/>
      <c r="Z65" s="974"/>
    </row>
    <row r="66" spans="1:26">
      <c r="J66" s="887"/>
      <c r="K66" s="887"/>
      <c r="L66" s="887"/>
      <c r="M66" s="972"/>
      <c r="N66" s="972"/>
      <c r="O66" s="975"/>
      <c r="P66" s="927"/>
      <c r="Q66" s="927"/>
      <c r="R66" s="927"/>
      <c r="S66" s="971"/>
      <c r="T66" s="976">
        <v>130.24268598401787</v>
      </c>
      <c r="U66" s="976">
        <f>+L36</f>
        <v>215.4114286506184</v>
      </c>
      <c r="V66" s="976">
        <v>294.48577978240723</v>
      </c>
    </row>
    <row r="67" spans="1:26">
      <c r="A67" s="977" t="s">
        <v>450</v>
      </c>
      <c r="I67" s="978"/>
      <c r="J67" s="979"/>
      <c r="K67" s="980">
        <v>2017</v>
      </c>
      <c r="L67" s="980" t="s">
        <v>46</v>
      </c>
      <c r="M67" s="980" t="s">
        <v>47</v>
      </c>
      <c r="N67" s="981"/>
      <c r="O67" s="981"/>
      <c r="P67" s="982"/>
      <c r="R67" s="983" t="s">
        <v>569</v>
      </c>
      <c r="S67" s="984"/>
      <c r="T67" s="985" t="s">
        <v>451</v>
      </c>
      <c r="U67" s="985" t="s">
        <v>452</v>
      </c>
      <c r="V67" s="986" t="s">
        <v>453</v>
      </c>
    </row>
    <row r="68" spans="1:26" ht="15">
      <c r="A68" s="987" t="s">
        <v>71</v>
      </c>
      <c r="I68" s="371"/>
      <c r="J68" s="371"/>
      <c r="K68" s="1988">
        <f>MHFI!CU30</f>
        <v>2939</v>
      </c>
      <c r="L68" s="1988">
        <f>MHFI!CV30</f>
        <v>3126.6177523545357</v>
      </c>
      <c r="M68" s="1988">
        <f>MHFI!CW30</f>
        <v>3411.4112062680438</v>
      </c>
      <c r="N68" s="890"/>
      <c r="O68" s="890"/>
      <c r="P68" s="988"/>
      <c r="R68" s="989" t="s">
        <v>188</v>
      </c>
      <c r="T68" s="990">
        <v>-1.0738589940184617E-2</v>
      </c>
      <c r="U68" s="991">
        <f>+'Op Metrics'!CB30</f>
        <v>5.6048183337107815E-2</v>
      </c>
      <c r="V68" s="990">
        <v>9.6222592382041228E-2</v>
      </c>
    </row>
    <row r="69" spans="1:26" ht="15">
      <c r="A69" s="992" t="s">
        <v>454</v>
      </c>
      <c r="I69" s="371"/>
      <c r="J69" s="371"/>
      <c r="K69" s="1989">
        <f>MHFI!CU71</f>
        <v>5.7821552723059098</v>
      </c>
      <c r="L69" s="1989">
        <f>MHFI!CV71</f>
        <v>7.9788011462139448</v>
      </c>
      <c r="M69" s="1989">
        <f>MHFI!CW71</f>
        <v>9.093323913900182</v>
      </c>
      <c r="N69" s="993" t="s">
        <v>455</v>
      </c>
      <c r="O69" s="994">
        <f>I56</f>
        <v>254.4</v>
      </c>
      <c r="P69" s="995"/>
      <c r="R69" s="989" t="s">
        <v>456</v>
      </c>
      <c r="T69" s="990">
        <v>-2.232418520694357E-2</v>
      </c>
      <c r="U69" s="990">
        <f>+'Op Metrics'!CB12</f>
        <v>4.3303039883567651E-2</v>
      </c>
      <c r="V69" s="990">
        <v>8.0150885855842624E-2</v>
      </c>
    </row>
    <row r="70" spans="1:26" ht="15">
      <c r="A70" s="992" t="s">
        <v>457</v>
      </c>
      <c r="I70" s="371"/>
      <c r="J70" s="371"/>
      <c r="K70" s="1989">
        <f>MHFI!CU80</f>
        <v>6.8884658714668863</v>
      </c>
      <c r="L70" s="1989">
        <f>MHFI!CV80</f>
        <v>8.5036924043103799</v>
      </c>
      <c r="M70" s="1989">
        <f>MHFI!CW80</f>
        <v>9.476086719974802</v>
      </c>
      <c r="N70" s="993" t="s">
        <v>458</v>
      </c>
      <c r="O70" s="996">
        <f>MHFI!BO164+MHFI!BO171-MHFI!BO142-MHFI!BO143</f>
        <v>1814.0000000000018</v>
      </c>
      <c r="P70" s="995"/>
      <c r="R70" s="989" t="s">
        <v>554</v>
      </c>
      <c r="T70" s="990">
        <v>2.2454470505195445E-4</v>
      </c>
      <c r="U70" s="990">
        <f>+'Op Metrics'!CB16</f>
        <v>5.7231095498421869E-2</v>
      </c>
      <c r="V70" s="990">
        <v>8.6394753763602061E-2</v>
      </c>
    </row>
    <row r="71" spans="1:26" ht="15">
      <c r="A71" s="997" t="s">
        <v>459</v>
      </c>
      <c r="I71" s="998"/>
      <c r="J71" s="998"/>
      <c r="K71" s="1990">
        <f>J23</f>
        <v>1877.6830203142963</v>
      </c>
      <c r="L71" s="1990">
        <f>K23</f>
        <v>2269.6303402444878</v>
      </c>
      <c r="M71" s="1990">
        <f>L23</f>
        <v>2550.9327090257239</v>
      </c>
      <c r="N71" s="999"/>
      <c r="O71" s="999"/>
      <c r="P71" s="1000"/>
      <c r="R71" s="989" t="s">
        <v>358</v>
      </c>
      <c r="T71" s="990">
        <v>1.7418628945109482E-4</v>
      </c>
      <c r="U71" s="990">
        <f>+'Op Metrics'!CB14</f>
        <v>9.3261888101897172E-2</v>
      </c>
      <c r="V71" s="990">
        <v>0.17006247867133184</v>
      </c>
    </row>
    <row r="72" spans="1:26" ht="15">
      <c r="A72" s="887"/>
      <c r="I72" s="371"/>
      <c r="J72" s="371"/>
      <c r="K72" s="1001"/>
      <c r="L72" s="1001"/>
      <c r="M72" s="1001"/>
      <c r="N72" s="890"/>
      <c r="O72" s="890"/>
      <c r="P72" s="890"/>
      <c r="R72" s="1003" t="s">
        <v>460</v>
      </c>
      <c r="T72" s="990">
        <v>1.8304807511772436E-2</v>
      </c>
      <c r="U72" s="990">
        <f>+MHFI!CB80</f>
        <v>0.1174068924770344</v>
      </c>
      <c r="V72" s="990">
        <v>0.16908304159697596</v>
      </c>
    </row>
    <row r="73" spans="1:26" ht="15">
      <c r="A73" s="887"/>
      <c r="I73" s="371"/>
      <c r="J73" s="371"/>
      <c r="K73" s="1001"/>
      <c r="L73" s="1002"/>
      <c r="M73" s="1001"/>
      <c r="N73" s="890"/>
      <c r="O73" s="890"/>
      <c r="P73" s="890"/>
      <c r="R73" s="1003" t="s">
        <v>71</v>
      </c>
      <c r="T73" s="990">
        <v>-2.249496559807096E-2</v>
      </c>
      <c r="U73" s="990">
        <f>+MHFI!CB30</f>
        <v>6.8565574210890379E-2</v>
      </c>
      <c r="V73" s="990">
        <v>0.11998238566635999</v>
      </c>
    </row>
    <row r="74" spans="1:26" ht="15">
      <c r="A74" s="887"/>
      <c r="I74" s="371"/>
      <c r="J74" s="371"/>
      <c r="K74" s="1001"/>
      <c r="L74" s="1001"/>
      <c r="M74" s="1001"/>
      <c r="N74" s="890"/>
      <c r="O74" s="890"/>
      <c r="P74" s="890"/>
      <c r="R74" s="1004" t="s">
        <v>566</v>
      </c>
      <c r="T74" s="1005">
        <v>16.297163073151207</v>
      </c>
      <c r="U74" s="1005">
        <f>+L36/M70</f>
        <v>22.732108202065</v>
      </c>
      <c r="V74" s="1005">
        <v>28.392655235957768</v>
      </c>
    </row>
    <row r="75" spans="1:26" ht="15">
      <c r="A75" s="887"/>
      <c r="I75" s="371"/>
      <c r="J75" s="371"/>
      <c r="K75" s="1001"/>
      <c r="L75" s="1001"/>
      <c r="M75" s="1001"/>
      <c r="N75" s="890"/>
      <c r="O75" s="890"/>
      <c r="P75" s="890"/>
    </row>
    <row r="77" spans="1:26">
      <c r="A77" s="1006" t="s">
        <v>461</v>
      </c>
      <c r="I77" s="1007" t="s">
        <v>462</v>
      </c>
      <c r="J77" s="1008" t="s">
        <v>463</v>
      </c>
      <c r="K77" s="2305" t="s">
        <v>464</v>
      </c>
      <c r="L77" s="2306"/>
      <c r="M77" s="2305" t="s">
        <v>465</v>
      </c>
      <c r="N77" s="2306"/>
      <c r="O77" s="2305" t="s">
        <v>466</v>
      </c>
      <c r="P77" s="2307"/>
      <c r="R77" s="1004"/>
    </row>
    <row r="78" spans="1:26">
      <c r="A78" s="1009" t="s">
        <v>467</v>
      </c>
      <c r="I78" s="1010" t="s">
        <v>468</v>
      </c>
      <c r="J78" s="1011"/>
      <c r="K78" s="1012" t="str">
        <f>+L67</f>
        <v>2018E</v>
      </c>
      <c r="L78" s="1011" t="str">
        <f>+M67</f>
        <v>2019E</v>
      </c>
      <c r="M78" s="1012" t="str">
        <f>+L67</f>
        <v>2018E</v>
      </c>
      <c r="N78" s="1011" t="str">
        <f>+M67</f>
        <v>2019E</v>
      </c>
      <c r="O78" s="1012" t="str">
        <f>+L67</f>
        <v>2018E</v>
      </c>
      <c r="P78" s="1012" t="str">
        <f>+M67</f>
        <v>2019E</v>
      </c>
      <c r="R78" s="1004"/>
    </row>
    <row r="79" spans="1:26">
      <c r="A79" s="1013">
        <f>+V66</f>
        <v>294.48577978240723</v>
      </c>
      <c r="I79" s="1014">
        <f t="shared" ref="I79:I91" si="29">A79*$O$69</f>
        <v>74917.182376644399</v>
      </c>
      <c r="J79" s="1014">
        <f t="shared" ref="J79:J91" si="30">I79+$O$70</f>
        <v>76731.182376644399</v>
      </c>
      <c r="K79" s="1015">
        <f>$J79/L$68</f>
        <v>24.54127381540679</v>
      </c>
      <c r="L79" s="1016">
        <f>$J79/M$68</f>
        <v>22.492504637277499</v>
      </c>
      <c r="M79" s="1015">
        <f>$A79/(L$70)</f>
        <v>34.630342418446048</v>
      </c>
      <c r="N79" s="1016">
        <f>$A79/(M$70)</f>
        <v>31.076729084977213</v>
      </c>
      <c r="O79" s="1017">
        <f>L$71/$I79</f>
        <v>3.0295190879362947E-2</v>
      </c>
      <c r="P79" s="1018">
        <f>M$71/$I79</f>
        <v>3.4050035360392611E-2</v>
      </c>
    </row>
    <row r="80" spans="1:26">
      <c r="A80" s="1013">
        <f>+A81+5</f>
        <v>227</v>
      </c>
      <c r="I80" s="1019">
        <f t="shared" si="29"/>
        <v>57748.800000000003</v>
      </c>
      <c r="J80" s="1019">
        <f t="shared" si="30"/>
        <v>59562.8</v>
      </c>
      <c r="K80" s="1020">
        <f t="shared" ref="K80:L91" si="31">$J80/L$68</f>
        <v>19.050234060478147</v>
      </c>
      <c r="L80" s="1021">
        <f t="shared" si="31"/>
        <v>17.459871120362379</v>
      </c>
      <c r="M80" s="1020">
        <f t="shared" ref="M80:N80" si="32">$A80/(L$70)</f>
        <v>26.694286341417698</v>
      </c>
      <c r="N80" s="1021">
        <f t="shared" si="32"/>
        <v>23.955036156592246</v>
      </c>
      <c r="O80" s="1022">
        <f t="shared" ref="O80:O91" si="33">L$71/$I80</f>
        <v>3.9301774932890166E-2</v>
      </c>
      <c r="P80" s="1023">
        <f t="shared" ref="P80:P91" si="34">M$71/$I80</f>
        <v>4.4172912840192764E-2</v>
      </c>
    </row>
    <row r="81" spans="1:16">
      <c r="A81" s="1013">
        <f>+A82+5</f>
        <v>222</v>
      </c>
      <c r="I81" s="1019">
        <f t="shared" si="29"/>
        <v>56476.800000000003</v>
      </c>
      <c r="J81" s="1019">
        <f t="shared" si="30"/>
        <v>58290.8</v>
      </c>
      <c r="K81" s="1020">
        <f t="shared" si="31"/>
        <v>18.643404668224456</v>
      </c>
      <c r="L81" s="1021">
        <f t="shared" si="31"/>
        <v>17.087004900757172</v>
      </c>
      <c r="M81" s="1020">
        <f t="shared" ref="M81:N81" si="35">$A81/(L$70)</f>
        <v>26.106306466056076</v>
      </c>
      <c r="N81" s="1021">
        <f t="shared" si="35"/>
        <v>23.427392188385369</v>
      </c>
      <c r="O81" s="1022">
        <f t="shared" si="33"/>
        <v>4.0186950043991296E-2</v>
      </c>
      <c r="P81" s="1023">
        <f t="shared" si="34"/>
        <v>4.5167798264521428E-2</v>
      </c>
    </row>
    <row r="82" spans="1:16">
      <c r="A82" s="1013">
        <f>+A83+5</f>
        <v>217</v>
      </c>
      <c r="I82" s="1019">
        <f t="shared" si="29"/>
        <v>55204.800000000003</v>
      </c>
      <c r="J82" s="1019">
        <f t="shared" si="30"/>
        <v>57018.8</v>
      </c>
      <c r="K82" s="1020">
        <f t="shared" si="31"/>
        <v>18.236575275970761</v>
      </c>
      <c r="L82" s="1021">
        <f t="shared" si="31"/>
        <v>16.714138681151969</v>
      </c>
      <c r="M82" s="1020">
        <f t="shared" ref="M82:N82" si="36">$A82/(L$70)</f>
        <v>25.51832659069445</v>
      </c>
      <c r="N82" s="1021">
        <f t="shared" si="36"/>
        <v>22.899748220178491</v>
      </c>
      <c r="O82" s="1022">
        <f t="shared" si="33"/>
        <v>4.1112916634866672E-2</v>
      </c>
      <c r="P82" s="1023">
        <f t="shared" si="34"/>
        <v>4.6208530943427452E-2</v>
      </c>
    </row>
    <row r="83" spans="1:16">
      <c r="A83" s="1013">
        <f>+A84+5</f>
        <v>212</v>
      </c>
      <c r="I83" s="1019">
        <f t="shared" si="29"/>
        <v>53932.800000000003</v>
      </c>
      <c r="J83" s="1019">
        <f t="shared" si="30"/>
        <v>55746.8</v>
      </c>
      <c r="K83" s="1020">
        <f t="shared" si="31"/>
        <v>17.82974588371707</v>
      </c>
      <c r="L83" s="1021">
        <f t="shared" si="31"/>
        <v>16.341272461546762</v>
      </c>
      <c r="M83" s="1020">
        <f t="shared" ref="M83:N83" si="37">$A83/(L$70)</f>
        <v>24.930346715332828</v>
      </c>
      <c r="N83" s="1021">
        <f t="shared" si="37"/>
        <v>22.372104251971614</v>
      </c>
      <c r="O83" s="1022">
        <f t="shared" si="33"/>
        <v>4.208256089512296E-2</v>
      </c>
      <c r="P83" s="1023">
        <f t="shared" si="34"/>
        <v>4.7298354786432815E-2</v>
      </c>
    </row>
    <row r="84" spans="1:16">
      <c r="A84" s="1013">
        <f>+A85+2</f>
        <v>207</v>
      </c>
      <c r="I84" s="1019">
        <f t="shared" si="29"/>
        <v>52660.800000000003</v>
      </c>
      <c r="J84" s="1019">
        <f t="shared" si="30"/>
        <v>54474.8</v>
      </c>
      <c r="K84" s="1020">
        <f t="shared" si="31"/>
        <v>17.422916491463379</v>
      </c>
      <c r="L84" s="1021">
        <f t="shared" si="31"/>
        <v>15.968406241941556</v>
      </c>
      <c r="M84" s="1020">
        <f t="shared" ref="M84:N84" si="38">$A84/(L$70)</f>
        <v>24.342366839971206</v>
      </c>
      <c r="N84" s="1021">
        <f t="shared" si="38"/>
        <v>21.844460283764736</v>
      </c>
      <c r="O84" s="1022">
        <f t="shared" si="33"/>
        <v>4.309904787326603E-2</v>
      </c>
      <c r="P84" s="1023">
        <f t="shared" si="34"/>
        <v>4.8440827124269357E-2</v>
      </c>
    </row>
    <row r="85" spans="1:16">
      <c r="A85" s="1204">
        <f>ROUND(N36,)</f>
        <v>205</v>
      </c>
      <c r="B85" s="1205"/>
      <c r="C85" s="1205"/>
      <c r="D85" s="1205"/>
      <c r="E85" s="1205"/>
      <c r="F85" s="1205"/>
      <c r="G85" s="1205"/>
      <c r="H85" s="1205"/>
      <c r="I85" s="1206">
        <f t="shared" si="29"/>
        <v>52152</v>
      </c>
      <c r="J85" s="1206">
        <f t="shared" si="30"/>
        <v>53966</v>
      </c>
      <c r="K85" s="1207">
        <f t="shared" si="31"/>
        <v>17.2601847345619</v>
      </c>
      <c r="L85" s="1208">
        <f t="shared" si="31"/>
        <v>15.819259754099473</v>
      </c>
      <c r="M85" s="1207">
        <f t="shared" ref="M85:N85" si="39">$A85/(L$70)</f>
        <v>24.107174889826556</v>
      </c>
      <c r="N85" s="1208">
        <f t="shared" si="39"/>
        <v>21.633402696481983</v>
      </c>
      <c r="O85" s="1209">
        <f t="shared" si="33"/>
        <v>4.3519526389102774E-2</v>
      </c>
      <c r="P85" s="1210">
        <f t="shared" si="34"/>
        <v>4.8913420559628086E-2</v>
      </c>
    </row>
    <row r="86" spans="1:16">
      <c r="A86" s="1013">
        <f>A85-5</f>
        <v>200</v>
      </c>
      <c r="I86" s="1019">
        <f t="shared" si="29"/>
        <v>50880</v>
      </c>
      <c r="J86" s="1019">
        <f t="shared" si="30"/>
        <v>52694</v>
      </c>
      <c r="K86" s="1020">
        <f t="shared" si="31"/>
        <v>16.853355342308209</v>
      </c>
      <c r="L86" s="1021">
        <f t="shared" si="31"/>
        <v>15.446393534494268</v>
      </c>
      <c r="M86" s="1020">
        <f t="shared" ref="M86:N86" si="40">$A86/(L$70)</f>
        <v>23.519195014464934</v>
      </c>
      <c r="N86" s="1021">
        <f t="shared" si="40"/>
        <v>21.105758728275106</v>
      </c>
      <c r="O86" s="1022">
        <f t="shared" si="33"/>
        <v>4.4607514548830343E-2</v>
      </c>
      <c r="P86" s="1023">
        <f t="shared" si="34"/>
        <v>5.0136256073618789E-2</v>
      </c>
    </row>
    <row r="87" spans="1:16">
      <c r="A87" s="1013">
        <f>A86-5</f>
        <v>195</v>
      </c>
      <c r="I87" s="1019">
        <f t="shared" si="29"/>
        <v>49608</v>
      </c>
      <c r="J87" s="1019">
        <f t="shared" si="30"/>
        <v>51422</v>
      </c>
      <c r="K87" s="1020">
        <f t="shared" si="31"/>
        <v>16.446525950054518</v>
      </c>
      <c r="L87" s="1021">
        <f t="shared" si="31"/>
        <v>15.073527314889061</v>
      </c>
      <c r="M87" s="1020">
        <f t="shared" ref="M87:N87" si="41">$A87/(L$70)</f>
        <v>22.931215139103308</v>
      </c>
      <c r="N87" s="1021">
        <f t="shared" si="41"/>
        <v>20.578114760068228</v>
      </c>
      <c r="O87" s="1022">
        <f t="shared" si="33"/>
        <v>4.5751296973159328E-2</v>
      </c>
      <c r="P87" s="1023">
        <f t="shared" si="34"/>
        <v>5.1421801101147475E-2</v>
      </c>
    </row>
    <row r="88" spans="1:16">
      <c r="A88" s="1013">
        <f>A87-5</f>
        <v>190</v>
      </c>
      <c r="I88" s="1019">
        <f t="shared" si="29"/>
        <v>48336</v>
      </c>
      <c r="J88" s="1019">
        <f t="shared" si="30"/>
        <v>50150</v>
      </c>
      <c r="K88" s="1020">
        <f t="shared" si="31"/>
        <v>16.039696557800827</v>
      </c>
      <c r="L88" s="1021">
        <f t="shared" si="31"/>
        <v>14.700661095283856</v>
      </c>
      <c r="M88" s="1020">
        <f t="shared" ref="M88:N88" si="42">$A88/(L$70)</f>
        <v>22.343235263741686</v>
      </c>
      <c r="N88" s="1021">
        <f t="shared" si="42"/>
        <v>20.050470791861351</v>
      </c>
      <c r="O88" s="1022">
        <f t="shared" si="33"/>
        <v>4.695527847245299E-2</v>
      </c>
      <c r="P88" s="1023">
        <f t="shared" si="34"/>
        <v>5.2775006393282933E-2</v>
      </c>
    </row>
    <row r="89" spans="1:16">
      <c r="A89" s="1013">
        <f>A88-5</f>
        <v>185</v>
      </c>
      <c r="I89" s="1019">
        <f t="shared" si="29"/>
        <v>47064</v>
      </c>
      <c r="J89" s="1019">
        <f t="shared" si="30"/>
        <v>48878</v>
      </c>
      <c r="K89" s="1020">
        <f t="shared" si="31"/>
        <v>15.632867165547134</v>
      </c>
      <c r="L89" s="1021">
        <f t="shared" si="31"/>
        <v>14.32779487567865</v>
      </c>
      <c r="M89" s="1020">
        <f t="shared" ref="M89:N89" si="43">$A89/(L$70)</f>
        <v>21.755255388380064</v>
      </c>
      <c r="N89" s="1021">
        <f t="shared" si="43"/>
        <v>19.522826823654473</v>
      </c>
      <c r="O89" s="1022">
        <f t="shared" si="33"/>
        <v>4.8224340052789562E-2</v>
      </c>
      <c r="P89" s="1023">
        <f t="shared" si="34"/>
        <v>5.4201357917425717E-2</v>
      </c>
    </row>
    <row r="90" spans="1:16">
      <c r="A90" s="1013">
        <f>A89-5</f>
        <v>180</v>
      </c>
      <c r="I90" s="1019">
        <f t="shared" si="29"/>
        <v>45792</v>
      </c>
      <c r="J90" s="1019">
        <f t="shared" si="30"/>
        <v>47606</v>
      </c>
      <c r="K90" s="1020">
        <f t="shared" si="31"/>
        <v>15.226037773293442</v>
      </c>
      <c r="L90" s="1021">
        <f t="shared" si="31"/>
        <v>13.954928656073445</v>
      </c>
      <c r="M90" s="1020">
        <f t="shared" ref="M90:N90" si="44">$A90/(L$70)</f>
        <v>21.167275513018438</v>
      </c>
      <c r="N90" s="1021">
        <f t="shared" si="44"/>
        <v>18.995182855447595</v>
      </c>
      <c r="O90" s="1022">
        <f t="shared" si="33"/>
        <v>4.9563905054255938E-2</v>
      </c>
      <c r="P90" s="1023">
        <f t="shared" si="34"/>
        <v>5.5706951192909762E-2</v>
      </c>
    </row>
    <row r="91" spans="1:16">
      <c r="A91" s="1024">
        <f>+T66</f>
        <v>130.24268598401787</v>
      </c>
      <c r="I91" s="1025">
        <f t="shared" si="29"/>
        <v>33133.739314334147</v>
      </c>
      <c r="J91" s="1025">
        <f t="shared" si="30"/>
        <v>34947.739314334147</v>
      </c>
      <c r="K91" s="1026">
        <f t="shared" si="31"/>
        <v>11.177490209033818</v>
      </c>
      <c r="L91" s="1027">
        <f t="shared" si="31"/>
        <v>10.24436434110377</v>
      </c>
      <c r="M91" s="1026">
        <f t="shared" ref="M91:N91" si="45">$A91/(L$70)</f>
        <v>15.316015654329174</v>
      </c>
      <c r="N91" s="1027">
        <f t="shared" si="45"/>
        <v>13.744353532505896</v>
      </c>
      <c r="O91" s="1028">
        <f t="shared" si="33"/>
        <v>6.8499070349799365E-2</v>
      </c>
      <c r="P91" s="1029">
        <f t="shared" si="34"/>
        <v>7.6988977453629953E-2</v>
      </c>
    </row>
  </sheetData>
  <mergeCells count="3">
    <mergeCell ref="K77:L77"/>
    <mergeCell ref="M77:N77"/>
    <mergeCell ref="O77:P77"/>
  </mergeCells>
  <pageMargins left="0" right="0" top="0" bottom="0" header="0" footer="0"/>
  <pageSetup paperSize="5" scale="4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2978"/>
    <pageSetUpPr autoPageBreaks="0" fitToPage="1"/>
  </sheetPr>
  <dimension ref="A1:Q112"/>
  <sheetViews>
    <sheetView showGridLines="0" zoomScaleNormal="100" workbookViewId="0">
      <pane xSplit="1" ySplit="4" topLeftCell="B5" activePane="bottomRight" state="frozen"/>
      <selection activeCell="A86" sqref="A86"/>
      <selection pane="topRight" activeCell="A86" sqref="A86"/>
      <selection pane="bottomLeft" activeCell="A86" sqref="A86"/>
      <selection pane="bottomRight" activeCell="B1" sqref="B1"/>
    </sheetView>
  </sheetViews>
  <sheetFormatPr defaultRowHeight="12.75" outlineLevelRow="1" outlineLevelCol="2"/>
  <cols>
    <col min="1" max="1" width="4.140625" style="5" hidden="1" customWidth="1" outlineLevel="2"/>
    <col min="2" max="2" width="47" style="5" bestFit="1" customWidth="1" collapsed="1"/>
    <col min="3" max="4" width="8" style="5" customWidth="1"/>
    <col min="5" max="5" width="2.28515625" style="5" customWidth="1"/>
    <col min="6" max="7" width="8.85546875" style="5" bestFit="1" customWidth="1"/>
    <col min="8" max="8" width="0.85546875" style="5" customWidth="1"/>
    <col min="9" max="9" width="8.140625" style="5" bestFit="1" customWidth="1"/>
    <col min="10" max="10" width="8.85546875" style="5" bestFit="1" customWidth="1"/>
    <col min="11" max="11" width="0.85546875" style="5" customWidth="1"/>
    <col min="12" max="12" width="9" style="5" bestFit="1" customWidth="1"/>
    <col min="13" max="13" width="8.85546875" style="5" bestFit="1" customWidth="1"/>
    <col min="14" max="14" width="2" style="5" customWidth="1"/>
    <col min="15" max="15" width="9.140625" style="5"/>
    <col min="16" max="16" width="14" style="5" hidden="1" customWidth="1" outlineLevel="1"/>
    <col min="17" max="17" width="10.85546875" style="5" bestFit="1" customWidth="1" collapsed="1"/>
    <col min="18" max="16384" width="9.140625" style="5"/>
  </cols>
  <sheetData>
    <row r="1" spans="1:15" ht="12.75" customHeight="1">
      <c r="A1" s="1047"/>
      <c r="B1" s="1048"/>
      <c r="C1" s="1049" t="s">
        <v>555</v>
      </c>
      <c r="D1" s="1049" t="s">
        <v>555</v>
      </c>
      <c r="E1" s="1049"/>
      <c r="F1" s="1049"/>
      <c r="G1" s="1049"/>
      <c r="H1" s="1050"/>
      <c r="I1" s="1049" t="s">
        <v>544</v>
      </c>
      <c r="J1" s="1049"/>
      <c r="K1" s="1050"/>
      <c r="L1" s="1049" t="s">
        <v>570</v>
      </c>
      <c r="M1" s="1048"/>
      <c r="N1" s="1051"/>
    </row>
    <row r="2" spans="1:15" ht="12.75" customHeight="1">
      <c r="A2" s="1047"/>
      <c r="B2" s="1052" t="s">
        <v>399</v>
      </c>
      <c r="C2" s="1053"/>
      <c r="D2" s="1053"/>
      <c r="E2" s="1053"/>
      <c r="F2" s="1053"/>
      <c r="G2" s="1053"/>
      <c r="H2" s="1054"/>
      <c r="I2" s="1053"/>
      <c r="J2" s="1053"/>
      <c r="K2" s="1054"/>
      <c r="L2" s="1053"/>
      <c r="M2" s="1053"/>
      <c r="N2" s="1051"/>
    </row>
    <row r="3" spans="1:15" ht="12.75" customHeight="1">
      <c r="A3" s="1047"/>
      <c r="B3" s="1055"/>
      <c r="C3" s="1053"/>
      <c r="D3" s="1053"/>
      <c r="E3" s="1053"/>
      <c r="F3" s="1053"/>
      <c r="G3" s="1053"/>
      <c r="H3" s="1054"/>
      <c r="I3" s="1053"/>
      <c r="J3" s="1053"/>
      <c r="K3" s="1054"/>
      <c r="L3" s="1053"/>
      <c r="M3" s="1053"/>
      <c r="N3" s="1051"/>
    </row>
    <row r="4" spans="1:15" ht="12.75" customHeight="1">
      <c r="A4" s="1056">
        <f ca="1">CELL("row", MHFI!A9)</f>
        <v>9</v>
      </c>
      <c r="B4" s="1216" t="s">
        <v>474</v>
      </c>
      <c r="C4" s="1058" t="str">
        <f ca="1">LEFT(INDIRECT("'MHFI'!"&amp;D$1&amp;$A4),4)&amp;"E"</f>
        <v>1Q18E</v>
      </c>
      <c r="D4" s="1058" t="str">
        <f ca="1">LEFT(INDIRECT("'MHFI'!"&amp;D$1&amp;$A4),4)&amp;"A"</f>
        <v>1Q18A</v>
      </c>
      <c r="E4" s="1062"/>
      <c r="F4" s="1059" t="s">
        <v>475</v>
      </c>
      <c r="G4" s="1059" t="s">
        <v>469</v>
      </c>
      <c r="H4" s="1060"/>
      <c r="I4" s="1061" t="str">
        <f ca="1">INDIRECT("'MHFI'!"&amp;I$1&amp;$A4)&amp;"A"</f>
        <v>4Q17A</v>
      </c>
      <c r="J4" s="1062" t="s">
        <v>476</v>
      </c>
      <c r="K4" s="1060"/>
      <c r="L4" s="1061" t="str">
        <f ca="1">INDIRECT("'MHFI'!"&amp;L$1&amp;$A4)&amp;"A"</f>
        <v>1Q17A</v>
      </c>
      <c r="M4" s="1217" t="s">
        <v>477</v>
      </c>
      <c r="N4" s="1051"/>
    </row>
    <row r="5" spans="1:15">
      <c r="A5" s="1046">
        <f ca="1">CELL("row", MHFI!A10)</f>
        <v>10</v>
      </c>
      <c r="B5" s="171" t="str">
        <f>MHFI!A10</f>
        <v>Revenues</v>
      </c>
      <c r="C5" s="1032"/>
      <c r="D5" s="1032"/>
      <c r="E5" s="251"/>
      <c r="F5" s="251"/>
      <c r="G5" s="251"/>
      <c r="H5" s="1063"/>
      <c r="I5" s="251"/>
      <c r="J5" s="251"/>
      <c r="K5" s="1063"/>
      <c r="L5" s="251"/>
      <c r="M5" s="384"/>
      <c r="N5" s="251"/>
    </row>
    <row r="6" spans="1:15" ht="5.25" customHeight="1">
      <c r="A6" s="1046"/>
      <c r="B6" s="713"/>
      <c r="C6" s="1032"/>
      <c r="D6" s="1032"/>
      <c r="E6" s="1064"/>
      <c r="F6" s="1032"/>
      <c r="G6" s="1036"/>
      <c r="H6" s="1063"/>
      <c r="I6" s="251"/>
      <c r="J6" s="251"/>
      <c r="K6" s="1063"/>
      <c r="L6" s="1032"/>
      <c r="M6" s="1218"/>
      <c r="N6" s="1064"/>
    </row>
    <row r="7" spans="1:15" ht="15">
      <c r="A7" s="1046">
        <f ca="1">CELL("row", MHFI!A14)</f>
        <v>14</v>
      </c>
      <c r="B7" s="171" t="str">
        <f>MHFI!A14</f>
        <v>Total Revenues</v>
      </c>
      <c r="C7" s="1065">
        <v>1545.2452467929197</v>
      </c>
      <c r="D7" s="1065">
        <f ca="1">INDIRECT("'MHFI'!"&amp;D$1&amp;$A7)</f>
        <v>1567</v>
      </c>
      <c r="E7" s="1032"/>
      <c r="F7" s="1065">
        <f t="shared" ref="F7:F50" ca="1" si="0">D7-C7</f>
        <v>21.754753207080284</v>
      </c>
      <c r="G7" s="1036">
        <f ca="1">IF(ISERROR(D7/C7),"",D7/C7-1)</f>
        <v>1.4078511648704994E-2</v>
      </c>
      <c r="H7" s="1063"/>
      <c r="I7" s="1065">
        <f ca="1">INDIRECT("'MHFI'!"&amp;I$1&amp;$A7)</f>
        <v>1589</v>
      </c>
      <c r="J7" s="1036">
        <f t="shared" ref="J7:J49" ca="1" si="1">IF(ISERROR(D7/I7),"",D7/I7-1)</f>
        <v>-1.3845185651353065E-2</v>
      </c>
      <c r="K7" s="1063"/>
      <c r="L7" s="1065">
        <f ca="1">INDIRECT("'MHFI'!"&amp;L$1&amp;$A7)</f>
        <v>1453</v>
      </c>
      <c r="M7" s="1218">
        <f ca="1">IF(ISERROR(D7/L7),"",D7/L7-1)</f>
        <v>7.8458362009635296E-2</v>
      </c>
      <c r="N7" s="668"/>
      <c r="O7" s="1066"/>
    </row>
    <row r="8" spans="1:15" ht="15">
      <c r="A8" s="1067">
        <f ca="1">CELL("row", MHFI!A15)</f>
        <v>15</v>
      </c>
      <c r="B8" s="1219" t="str">
        <f>MHFI!A15</f>
        <v>Annual Growth</v>
      </c>
      <c r="C8" s="1038">
        <v>6.3486061110061831E-2</v>
      </c>
      <c r="D8" s="1038">
        <f ca="1">INDIRECT("'MHFI'!"&amp;D$1&amp;$A8)</f>
        <v>7.8458362009635296E-2</v>
      </c>
      <c r="E8" s="1032"/>
      <c r="F8" s="1068">
        <f ca="1">(D8-C8)*10000</f>
        <v>149.72300899573466</v>
      </c>
      <c r="G8" s="1036">
        <f ca="1">IF(ISERROR(D8/C8),"",D8/C8-1)</f>
        <v>0.23583603452129309</v>
      </c>
      <c r="H8" s="1063"/>
      <c r="I8" s="1038">
        <f ca="1">INDIRECT("'MHFI'!"&amp;I$1&amp;$A8)</f>
        <v>0.13581129378127232</v>
      </c>
      <c r="J8" s="1068">
        <f ca="1">(D8-I8)*10000</f>
        <v>-573.52931771637031</v>
      </c>
      <c r="K8" s="1063"/>
      <c r="L8" s="1038">
        <f ca="1">INDIRECT("'MHFI'!"&amp;L$1&amp;$A8)</f>
        <v>8.3519761372110368E-2</v>
      </c>
      <c r="M8" s="1077">
        <f ca="1">(D8-L8)*10000</f>
        <v>-50.613993624750719</v>
      </c>
      <c r="N8" s="117"/>
      <c r="O8" s="1066"/>
    </row>
    <row r="9" spans="1:15" ht="6" customHeight="1">
      <c r="A9" s="1046"/>
      <c r="B9" s="1220"/>
      <c r="C9" s="1032"/>
      <c r="D9" s="1032"/>
      <c r="E9" s="251"/>
      <c r="F9" s="1032"/>
      <c r="G9" s="1036"/>
      <c r="H9" s="1063"/>
      <c r="I9" s="251"/>
      <c r="J9" s="251"/>
      <c r="K9" s="1063"/>
      <c r="L9" s="1032"/>
      <c r="M9" s="1218"/>
      <c r="N9" s="251"/>
    </row>
    <row r="10" spans="1:15" hidden="1" outlineLevel="1">
      <c r="A10" s="1046">
        <f ca="1">CELL("row", MHFI!A21)</f>
        <v>21</v>
      </c>
      <c r="B10" s="171" t="str">
        <f>MHFI!A21</f>
        <v>Total Operating-Related Expenses</v>
      </c>
      <c r="C10" s="1065">
        <v>437.09277111623544</v>
      </c>
      <c r="D10" s="1065">
        <f ca="1">INDIRECT("'MHFI'!"&amp;D$1&amp;$A10)</f>
        <v>439</v>
      </c>
      <c r="E10" s="1032"/>
      <c r="F10" s="1065">
        <f t="shared" ca="1" si="0"/>
        <v>1.9072288837645601</v>
      </c>
      <c r="G10" s="1036">
        <f t="shared" ref="G10:G49" ca="1" si="2">IF(ISERROR(D10/C10),"",D10/C10-1)</f>
        <v>4.3634418361437888E-3</v>
      </c>
      <c r="H10" s="1063"/>
      <c r="I10" s="1065">
        <f ca="1">INDIRECT("'MHFI'!"&amp;I$1&amp;$A10)</f>
        <v>432</v>
      </c>
      <c r="J10" s="1036">
        <f t="shared" ca="1" si="1"/>
        <v>1.620370370370372E-2</v>
      </c>
      <c r="K10" s="1063"/>
      <c r="L10" s="1065">
        <f ca="1">INDIRECT("'MHFI'!"&amp;L$1&amp;$A10)</f>
        <v>411</v>
      </c>
      <c r="M10" s="1218">
        <f t="shared" ref="M10:M49" ca="1" si="3">IF(ISERROR(D10/L10),"",D10/L10-1)</f>
        <v>6.8126520681265124E-2</v>
      </c>
      <c r="N10" s="127"/>
    </row>
    <row r="11" spans="1:15" ht="11.25" hidden="1" customHeight="1" outlineLevel="1">
      <c r="A11" s="1046"/>
      <c r="B11" s="713"/>
      <c r="C11" s="1032"/>
      <c r="D11" s="1032"/>
      <c r="E11" s="117"/>
      <c r="F11" s="1032"/>
      <c r="G11" s="1036"/>
      <c r="H11" s="1063"/>
      <c r="I11" s="251"/>
      <c r="J11" s="251"/>
      <c r="K11" s="1063"/>
      <c r="L11" s="1032"/>
      <c r="M11" s="1218"/>
      <c r="N11" s="117"/>
    </row>
    <row r="12" spans="1:15" hidden="1" outlineLevel="1">
      <c r="A12" s="1046">
        <f ca="1">CELL("row", MHFI!A23)</f>
        <v>23</v>
      </c>
      <c r="B12" s="171" t="str">
        <f>MHFI!A23</f>
        <v>Selling and general expenses</v>
      </c>
      <c r="C12" s="1065">
        <v>363.65981789117927</v>
      </c>
      <c r="D12" s="1065">
        <f ca="1">INDIRECT("'MHFI'!"&amp;D$1&amp;$A12)</f>
        <v>372</v>
      </c>
      <c r="E12" s="1032"/>
      <c r="F12" s="1065">
        <f t="shared" ca="1" si="0"/>
        <v>8.3401821088207271</v>
      </c>
      <c r="G12" s="1036">
        <f t="shared" ca="1" si="2"/>
        <v>2.2934021573195684E-2</v>
      </c>
      <c r="H12" s="1063"/>
      <c r="I12" s="1065">
        <f ca="1">INDIRECT("'MHFI'!"&amp;I$1&amp;$A12)</f>
        <v>384</v>
      </c>
      <c r="J12" s="1036">
        <f t="shared" ca="1" si="1"/>
        <v>-3.125E-2</v>
      </c>
      <c r="K12" s="1063"/>
      <c r="L12" s="1065">
        <f ca="1">INDIRECT("'MHFI'!"&amp;L$1&amp;$A12)</f>
        <v>334</v>
      </c>
      <c r="M12" s="1218">
        <f t="shared" ca="1" si="3"/>
        <v>0.11377245508982026</v>
      </c>
      <c r="N12" s="251"/>
    </row>
    <row r="13" spans="1:15" hidden="1" outlineLevel="1">
      <c r="A13" s="1046">
        <f ca="1">CELL("row", MHFI!A24)</f>
        <v>24</v>
      </c>
      <c r="B13" s="1221" t="str">
        <f>MHFI!A24</f>
        <v>% of Total Revenue</v>
      </c>
      <c r="C13" s="1038">
        <v>0.23534116584143344</v>
      </c>
      <c r="D13" s="1038">
        <f ca="1">INDIRECT("'MHFI'!"&amp;D$1&amp;$A13)</f>
        <v>0.23739629865985962</v>
      </c>
      <c r="E13" s="1032"/>
      <c r="F13" s="481">
        <f ca="1">(D13-C13)*10000</f>
        <v>20.551328184261752</v>
      </c>
      <c r="G13" s="1036">
        <f t="shared" ca="1" si="2"/>
        <v>8.7325683591237269E-3</v>
      </c>
      <c r="H13" s="1063"/>
      <c r="I13" s="1038">
        <f ca="1">INDIRECT("'MHFI'!"&amp;I$1&amp;$A13)</f>
        <v>0.24166142227816237</v>
      </c>
      <c r="J13" s="481">
        <f t="shared" ca="1" si="1"/>
        <v>-1.7649170389278823E-2</v>
      </c>
      <c r="K13" s="1063"/>
      <c r="L13" s="1038">
        <f ca="1">INDIRECT("'MHFI'!"&amp;L$1&amp;$A13)</f>
        <v>0.22986923606331727</v>
      </c>
      <c r="M13" s="1222">
        <f t="shared" ca="1" si="3"/>
        <v>3.2744975906515039E-2</v>
      </c>
      <c r="N13" s="1064"/>
    </row>
    <row r="14" spans="1:15" ht="5.25" hidden="1" customHeight="1" outlineLevel="1">
      <c r="A14" s="1046"/>
      <c r="B14" s="713"/>
      <c r="C14" s="1032"/>
      <c r="D14" s="1032"/>
      <c r="E14" s="1064"/>
      <c r="F14" s="1032"/>
      <c r="G14" s="1036"/>
      <c r="H14" s="1063"/>
      <c r="I14" s="251"/>
      <c r="J14" s="251"/>
      <c r="K14" s="1063"/>
      <c r="L14" s="1032"/>
      <c r="M14" s="1218"/>
      <c r="N14" s="1064"/>
    </row>
    <row r="15" spans="1:15" ht="15" collapsed="1">
      <c r="A15" s="1046">
        <f ca="1">CELL("row", MHFI!A28)</f>
        <v>28</v>
      </c>
      <c r="B15" s="171" t="str">
        <f>MHFI!A28</f>
        <v xml:space="preserve"> Total Expenses</v>
      </c>
      <c r="C15" s="1065">
        <v>800.75258900741471</v>
      </c>
      <c r="D15" s="1065">
        <f ca="1">INDIRECT("'MHFI'!"&amp;D$1&amp;$A15)</f>
        <v>811</v>
      </c>
      <c r="E15" s="1032"/>
      <c r="F15" s="1065">
        <f t="shared" ca="1" si="0"/>
        <v>10.247410992585287</v>
      </c>
      <c r="G15" s="1036">
        <f ca="1">IF(ISERROR(D15/C15),"",D15/C15-1)</f>
        <v>1.2797224927224571E-2</v>
      </c>
      <c r="H15" s="1063"/>
      <c r="I15" s="1065">
        <f ca="1">INDIRECT("'MHFI'!"&amp;I$1&amp;$A15)</f>
        <v>816</v>
      </c>
      <c r="J15" s="1036">
        <f t="shared" ca="1" si="1"/>
        <v>-6.1274509803921351E-3</v>
      </c>
      <c r="K15" s="1063"/>
      <c r="L15" s="1065">
        <f ca="1">INDIRECT("'MHFI'!"&amp;L$1&amp;$A15)</f>
        <v>745</v>
      </c>
      <c r="M15" s="1218">
        <f t="shared" ca="1" si="3"/>
        <v>8.8590604026845599E-2</v>
      </c>
      <c r="N15" s="127"/>
      <c r="O15" s="1066"/>
    </row>
    <row r="16" spans="1:15" ht="15">
      <c r="A16" s="1046"/>
      <c r="B16" s="1221" t="s">
        <v>67</v>
      </c>
      <c r="C16" s="1069">
        <f>+C15/C7</f>
        <v>0.51820420782353949</v>
      </c>
      <c r="D16" s="1069">
        <f ca="1">+D15/D7</f>
        <v>0.51754945756222082</v>
      </c>
      <c r="E16" s="1032"/>
      <c r="F16" s="481">
        <f ca="1">(D16-C16)*10000</f>
        <v>-6.5475026131867065</v>
      </c>
      <c r="G16" s="1036"/>
      <c r="H16" s="1063"/>
      <c r="I16" s="1069">
        <f ca="1">+I15/I7</f>
        <v>0.51353052234109497</v>
      </c>
      <c r="J16" s="481">
        <f ca="1">(D16-I16)*10000</f>
        <v>40.189352211258409</v>
      </c>
      <c r="K16" s="1063"/>
      <c r="L16" s="1069">
        <f ca="1">+L15/L7</f>
        <v>0.51273227804542332</v>
      </c>
      <c r="M16" s="1222">
        <f ca="1">(D16-L16)*10000</f>
        <v>48.171795167974985</v>
      </c>
      <c r="N16" s="127"/>
      <c r="O16" s="1066"/>
    </row>
    <row r="17" spans="1:15" ht="5.25" customHeight="1">
      <c r="A17" s="1046"/>
      <c r="B17" s="713"/>
      <c r="C17" s="1032"/>
      <c r="D17" s="1032"/>
      <c r="E17" s="1064"/>
      <c r="F17" s="1032"/>
      <c r="G17" s="1036"/>
      <c r="H17" s="1063"/>
      <c r="I17" s="251"/>
      <c r="J17" s="251"/>
      <c r="K17" s="1063"/>
      <c r="L17" s="1032"/>
      <c r="M17" s="1218"/>
      <c r="N17" s="1064"/>
    </row>
    <row r="18" spans="1:15">
      <c r="A18" s="1046">
        <f ca="1">CELL("row", MHFI!A26)</f>
        <v>26</v>
      </c>
      <c r="B18" s="247" t="str">
        <f>MHFI!A26</f>
        <v>Other Income/ (Expense)</v>
      </c>
      <c r="C18" s="1065">
        <v>0</v>
      </c>
      <c r="D18" s="1065">
        <f ca="1">INDIRECT("'MHFI'!"&amp;D$1&amp;$A18)</f>
        <v>0</v>
      </c>
      <c r="E18" s="1032"/>
      <c r="F18" s="1065">
        <f t="shared" ca="1" si="0"/>
        <v>0</v>
      </c>
      <c r="G18" s="1036" t="str">
        <f t="shared" ca="1" si="2"/>
        <v/>
      </c>
      <c r="H18" s="1063"/>
      <c r="I18" s="1065">
        <f ca="1">INDIRECT("'MHFI'!"&amp;I$1&amp;$A18)</f>
        <v>0</v>
      </c>
      <c r="J18" s="1036" t="str">
        <f t="shared" ca="1" si="1"/>
        <v/>
      </c>
      <c r="K18" s="1063"/>
      <c r="L18" s="1065">
        <f ca="1">INDIRECT("'MHFI'!"&amp;L$1&amp;$A18)</f>
        <v>0</v>
      </c>
      <c r="M18" s="1218" t="str">
        <f t="shared" ca="1" si="3"/>
        <v/>
      </c>
      <c r="N18" s="127"/>
    </row>
    <row r="19" spans="1:15" ht="6" customHeight="1">
      <c r="A19" s="1046"/>
      <c r="B19" s="171"/>
      <c r="C19" s="1032"/>
      <c r="D19" s="1032"/>
      <c r="E19" s="1032"/>
      <c r="F19" s="1032"/>
      <c r="G19" s="1036"/>
      <c r="H19" s="1063"/>
      <c r="I19" s="251"/>
      <c r="J19" s="251"/>
      <c r="K19" s="1063"/>
      <c r="L19" s="1032"/>
      <c r="M19" s="1218"/>
      <c r="N19" s="915"/>
    </row>
    <row r="20" spans="1:15" ht="12.75" customHeight="1">
      <c r="A20" s="1070">
        <f ca="1">CELL("row", MHFI!A30)</f>
        <v>30</v>
      </c>
      <c r="B20" s="1071" t="str">
        <f>MHFI!A30</f>
        <v>EBITDA</v>
      </c>
      <c r="C20" s="1072">
        <v>744.492657785505</v>
      </c>
      <c r="D20" s="1072">
        <f ca="1">INDIRECT("'MHFI'!"&amp;D$1&amp;$A20)</f>
        <v>756</v>
      </c>
      <c r="E20" s="1041"/>
      <c r="F20" s="1072">
        <f t="shared" ca="1" si="0"/>
        <v>11.507342214494997</v>
      </c>
      <c r="G20" s="1042">
        <f t="shared" ca="1" si="2"/>
        <v>1.5456622834567169E-2</v>
      </c>
      <c r="H20" s="1073"/>
      <c r="I20" s="1072">
        <f ca="1">INDIRECT("'MHFI'!"&amp;I$1&amp;$A20)</f>
        <v>773</v>
      </c>
      <c r="J20" s="1042">
        <f t="shared" ca="1" si="1"/>
        <v>-2.1992238033635148E-2</v>
      </c>
      <c r="K20" s="1073"/>
      <c r="L20" s="1072">
        <f ca="1">INDIRECT("'MHFI'!"&amp;L$1&amp;$A20)</f>
        <v>708</v>
      </c>
      <c r="M20" s="1074">
        <f t="shared" ca="1" si="3"/>
        <v>6.7796610169491567E-2</v>
      </c>
      <c r="N20" s="1075"/>
      <c r="O20" s="1066"/>
    </row>
    <row r="21" spans="1:15" ht="12.75" customHeight="1">
      <c r="A21" s="1046">
        <f ca="1">CELL("row", MHFI!A31)</f>
        <v>31</v>
      </c>
      <c r="B21" s="1076" t="str">
        <f>MHFI!A31</f>
        <v>EBITDA Margin</v>
      </c>
      <c r="C21" s="1038">
        <v>0.48179579217646051</v>
      </c>
      <c r="D21" s="1038">
        <f ca="1">INDIRECT("'MHFI'!"&amp;D$1&amp;$A21)</f>
        <v>0.48245054243777918</v>
      </c>
      <c r="E21" s="1032"/>
      <c r="F21" s="481">
        <f ca="1">(D21-C21)*10000</f>
        <v>6.5475026131867065</v>
      </c>
      <c r="G21" s="1036">
        <f t="shared" ca="1" si="2"/>
        <v>1.3589787871763903E-3</v>
      </c>
      <c r="H21" s="1063"/>
      <c r="I21" s="1038">
        <f ca="1">INDIRECT("'MHFI'!"&amp;I$1&amp;$A21)</f>
        <v>0.48646947765890497</v>
      </c>
      <c r="J21" s="1068">
        <f ca="1">(D21-I21)*10000</f>
        <v>-40.189352211257855</v>
      </c>
      <c r="K21" s="1063"/>
      <c r="L21" s="1038">
        <f ca="1">INDIRECT("'MHFI'!"&amp;L$1&amp;$A21)</f>
        <v>0.48726772195457674</v>
      </c>
      <c r="M21" s="1077">
        <f ca="1">(D21-L21)*10000</f>
        <v>-48.171795167975539</v>
      </c>
      <c r="N21" s="915"/>
      <c r="O21" s="1066"/>
    </row>
    <row r="22" spans="1:15" ht="12.75" customHeight="1">
      <c r="A22" s="1078">
        <f ca="1">CELL("row", MHFI!A32)</f>
        <v>32</v>
      </c>
      <c r="B22" s="1079" t="str">
        <f>MHFI!A32</f>
        <v>Year-over-Year Growth</v>
      </c>
      <c r="C22" s="1080">
        <v>5.1543301956928023E-2</v>
      </c>
      <c r="D22" s="1080">
        <f ca="1">INDIRECT("'MHFI'!"&amp;D$1&amp;$A22)</f>
        <v>6.7796610169491567E-2</v>
      </c>
      <c r="E22" s="1039"/>
      <c r="F22" s="1081">
        <f ca="1">(D22-C22)*10000</f>
        <v>162.53308212563545</v>
      </c>
      <c r="G22" s="1040">
        <f t="shared" ca="1" si="2"/>
        <v>0.31533308103050062</v>
      </c>
      <c r="H22" s="1082"/>
      <c r="I22" s="1080">
        <f ca="1">INDIRECT("'MHFI'!"&amp;I$1&amp;$A22)</f>
        <v>0.26513911620294595</v>
      </c>
      <c r="J22" s="1083">
        <f ca="1">(D22-I22)*10000</f>
        <v>-1973.4250603345438</v>
      </c>
      <c r="K22" s="1082"/>
      <c r="L22" s="1080">
        <f ca="1">INDIRECT("'MHFI'!"&amp;L$1&amp;$A22)</f>
        <v>0.24428822495606317</v>
      </c>
      <c r="M22" s="1084">
        <f ca="1">(D22-L22)*10000</f>
        <v>-1764.9161478657161</v>
      </c>
      <c r="N22" s="915"/>
      <c r="O22" s="1066"/>
    </row>
    <row r="23" spans="1:15" ht="6" customHeight="1">
      <c r="A23" s="1046"/>
      <c r="B23" s="1223"/>
      <c r="C23" s="1032"/>
      <c r="D23" s="1032"/>
      <c r="E23" s="117"/>
      <c r="F23" s="1032"/>
      <c r="G23" s="1036"/>
      <c r="H23" s="1063"/>
      <c r="I23" s="251"/>
      <c r="J23" s="251"/>
      <c r="K23" s="1063"/>
      <c r="L23" s="1032"/>
      <c r="M23" s="1218"/>
      <c r="N23" s="117"/>
    </row>
    <row r="24" spans="1:15" ht="15">
      <c r="A24" s="1046">
        <f ca="1">CELL("row", MHFI!A34)</f>
        <v>34</v>
      </c>
      <c r="B24" s="1224" t="str">
        <f>MHFI!A34</f>
        <v>Depreciation and Amortization</v>
      </c>
      <c r="C24" s="1065">
        <v>44.184655380939738</v>
      </c>
      <c r="D24" s="1065">
        <f ca="1">INDIRECT("'MHFI'!"&amp;D$1&amp;$A24)</f>
        <v>45</v>
      </c>
      <c r="E24" s="1032"/>
      <c r="F24" s="1065">
        <f t="shared" ca="1" si="0"/>
        <v>0.81534461906026223</v>
      </c>
      <c r="G24" s="1036">
        <f t="shared" ca="1" si="2"/>
        <v>1.8453117083990778E-2</v>
      </c>
      <c r="H24" s="1063"/>
      <c r="I24" s="1065">
        <f ca="1">INDIRECT("'MHFI'!"&amp;I$1&amp;$A24)</f>
        <v>46</v>
      </c>
      <c r="J24" s="1036">
        <f t="shared" ca="1" si="1"/>
        <v>-2.1739130434782594E-2</v>
      </c>
      <c r="K24" s="1063"/>
      <c r="L24" s="1065">
        <f ca="1">INDIRECT("'MHFI'!"&amp;L$1&amp;$A24)</f>
        <v>43</v>
      </c>
      <c r="M24" s="1218">
        <f t="shared" ca="1" si="3"/>
        <v>4.6511627906976827E-2</v>
      </c>
      <c r="N24" s="668"/>
      <c r="O24" s="1066"/>
    </row>
    <row r="25" spans="1:15" hidden="1" outlineLevel="1">
      <c r="A25" s="1046">
        <f ca="1">CELL("row", MHFI!A35)</f>
        <v>35</v>
      </c>
      <c r="B25" s="1225" t="str">
        <f>MHFI!A35</f>
        <v>Depreciation</v>
      </c>
      <c r="C25" s="1085">
        <v>20.434655380939738</v>
      </c>
      <c r="D25" s="1085">
        <f ca="1">INDIRECT("'MHFI'!"&amp;D$1&amp;$A25)</f>
        <v>21</v>
      </c>
      <c r="E25" s="251"/>
      <c r="F25" s="1085">
        <f t="shared" ca="1" si="0"/>
        <v>0.56534461906026223</v>
      </c>
      <c r="G25" s="1036">
        <f t="shared" ca="1" si="2"/>
        <v>2.7665972756633073E-2</v>
      </c>
      <c r="H25" s="1086"/>
      <c r="I25" s="251">
        <f ca="1">INDIRECT("'MHFI'!"&amp;I$1&amp;$A25)</f>
        <v>21</v>
      </c>
      <c r="J25" s="251">
        <f t="shared" ca="1" si="1"/>
        <v>0</v>
      </c>
      <c r="K25" s="1086"/>
      <c r="L25" s="1032">
        <f ca="1">INDIRECT("'MHFI'!"&amp;L$1&amp;$A25)</f>
        <v>19</v>
      </c>
      <c r="M25" s="1218">
        <f t="shared" ca="1" si="3"/>
        <v>0.10526315789473695</v>
      </c>
      <c r="N25" s="251"/>
    </row>
    <row r="26" spans="1:15" hidden="1" outlineLevel="1">
      <c r="A26" s="1046">
        <f ca="1">CELL("row", MHFI!A36)</f>
        <v>36</v>
      </c>
      <c r="B26" s="1225" t="str">
        <f>MHFI!A36</f>
        <v>Amortization</v>
      </c>
      <c r="C26" s="1085">
        <v>23.75</v>
      </c>
      <c r="D26" s="1085">
        <f ca="1">INDIRECT("'MHFI'!"&amp;D$1&amp;$A26)</f>
        <v>24</v>
      </c>
      <c r="E26" s="251"/>
      <c r="F26" s="1085">
        <f t="shared" ca="1" si="0"/>
        <v>0.25</v>
      </c>
      <c r="G26" s="1036">
        <f t="shared" ca="1" si="2"/>
        <v>1.0526315789473717E-2</v>
      </c>
      <c r="H26" s="1086"/>
      <c r="I26" s="251">
        <f ca="1">INDIRECT("'MHFI'!"&amp;I$1&amp;$A26)</f>
        <v>25</v>
      </c>
      <c r="J26" s="251">
        <f t="shared" ca="1" si="1"/>
        <v>-4.0000000000000036E-2</v>
      </c>
      <c r="K26" s="1086"/>
      <c r="L26" s="1032">
        <f ca="1">INDIRECT("'MHFI'!"&amp;L$1&amp;$A26)</f>
        <v>24</v>
      </c>
      <c r="M26" s="1218">
        <f t="shared" ca="1" si="3"/>
        <v>0</v>
      </c>
      <c r="N26" s="251"/>
    </row>
    <row r="27" spans="1:15" ht="15" collapsed="1">
      <c r="A27" s="1046">
        <f ca="1">CELL("row", MHFI!A37)</f>
        <v>37</v>
      </c>
      <c r="B27" s="1226" t="str">
        <f>MHFI!A37</f>
        <v>% of Total Revenue</v>
      </c>
      <c r="C27" s="1038">
        <v>2.8593943565037853E-2</v>
      </c>
      <c r="D27" s="1038">
        <f ca="1">INDIRECT("'MHFI'!"&amp;D$1&amp;$A27)</f>
        <v>2.8717294192724951E-2</v>
      </c>
      <c r="E27" s="1032"/>
      <c r="F27" s="481">
        <f ca="1">(D27-C27)*10000</f>
        <v>1.2335062768709797</v>
      </c>
      <c r="G27" s="1036">
        <f t="shared" ca="1" si="2"/>
        <v>4.3138725306124392E-3</v>
      </c>
      <c r="H27" s="1063"/>
      <c r="I27" s="1038">
        <f ca="1">INDIRECT("'MHFI'!"&amp;I$1&amp;$A27)</f>
        <v>2.8949024543738201E-2</v>
      </c>
      <c r="J27" s="1068">
        <f ca="1">(D27-I27)*10000</f>
        <v>-2.3173035101324917</v>
      </c>
      <c r="K27" s="1063"/>
      <c r="L27" s="1038">
        <f ca="1">INDIRECT("'MHFI'!"&amp;L$1&amp;$A27)</f>
        <v>2.9593943565037854E-2</v>
      </c>
      <c r="M27" s="1077">
        <f ca="1">(D27-L27)*10000</f>
        <v>-8.7664937231290292</v>
      </c>
      <c r="N27" s="117"/>
      <c r="O27" s="1066"/>
    </row>
    <row r="28" spans="1:15" ht="6" customHeight="1">
      <c r="A28" s="1046"/>
      <c r="B28" s="713"/>
      <c r="C28" s="1032"/>
      <c r="D28" s="1032"/>
      <c r="E28" s="127"/>
      <c r="F28" s="1032"/>
      <c r="G28" s="1036"/>
      <c r="H28" s="1063"/>
      <c r="I28" s="251"/>
      <c r="J28" s="251"/>
      <c r="K28" s="1063"/>
      <c r="L28" s="1032"/>
      <c r="M28" s="1218"/>
      <c r="N28" s="127"/>
      <c r="O28" s="1066"/>
    </row>
    <row r="29" spans="1:15" ht="15">
      <c r="A29" s="1046">
        <f ca="1">CELL("row", MHFI!A39)</f>
        <v>39</v>
      </c>
      <c r="B29" s="171" t="str">
        <f>MHFI!A39</f>
        <v>Operating Profit</v>
      </c>
      <c r="C29" s="1065">
        <v>700.30800240456529</v>
      </c>
      <c r="D29" s="1065">
        <f ca="1">INDIRECT("'MHFI'!"&amp;D$1&amp;$A29)</f>
        <v>711</v>
      </c>
      <c r="E29" s="1032"/>
      <c r="F29" s="1065">
        <f t="shared" ca="1" si="0"/>
        <v>10.691997595434714</v>
      </c>
      <c r="G29" s="1036">
        <f t="shared" ca="1" si="2"/>
        <v>1.5267564498367747E-2</v>
      </c>
      <c r="H29" s="1063"/>
      <c r="I29" s="1065">
        <f ca="1">INDIRECT("'MHFI'!"&amp;I$1&amp;$A29)</f>
        <v>727</v>
      </c>
      <c r="J29" s="1036">
        <f t="shared" ca="1" si="1"/>
        <v>-2.2008253094910613E-2</v>
      </c>
      <c r="K29" s="1063"/>
      <c r="L29" s="1065">
        <f ca="1">INDIRECT("'MHFI'!"&amp;L$1&amp;$A29)</f>
        <v>665</v>
      </c>
      <c r="M29" s="1218">
        <f t="shared" ca="1" si="3"/>
        <v>6.9172932330826997E-2</v>
      </c>
      <c r="N29" s="251"/>
      <c r="O29" s="1066"/>
    </row>
    <row r="30" spans="1:15" ht="15">
      <c r="A30" s="1046">
        <f ca="1">CELL("row", MHFI!A40)</f>
        <v>40</v>
      </c>
      <c r="B30" s="1221" t="str">
        <f>MHFI!A40</f>
        <v>Operating Margin</v>
      </c>
      <c r="C30" s="1038">
        <v>0.45320184861142271</v>
      </c>
      <c r="D30" s="1038">
        <f ca="1">INDIRECT("'MHFI'!"&amp;D$1&amp;$A30)</f>
        <v>0.45373324824505423</v>
      </c>
      <c r="E30" s="1032"/>
      <c r="F30" s="481">
        <f ca="1">(D30-C30)*10000</f>
        <v>5.3139963363152409</v>
      </c>
      <c r="G30" s="1036">
        <f t="shared" ca="1" si="2"/>
        <v>1.1725451589830183E-3</v>
      </c>
      <c r="H30" s="1063"/>
      <c r="I30" s="1038">
        <f ca="1">INDIRECT("'MHFI'!"&amp;I$1&amp;$A30)</f>
        <v>0.45752045311516676</v>
      </c>
      <c r="J30" s="1068">
        <f ca="1">(D30-I30)*10000</f>
        <v>-37.872048701125259</v>
      </c>
      <c r="K30" s="1063"/>
      <c r="L30" s="1038">
        <f ca="1">INDIRECT("'MHFI'!"&amp;L$1&amp;$A30)</f>
        <v>0.45767377838953888</v>
      </c>
      <c r="M30" s="1077">
        <f ca="1">(D30-L30)*10000</f>
        <v>-39.405301444846444</v>
      </c>
      <c r="N30" s="251"/>
      <c r="O30" s="1066"/>
    </row>
    <row r="31" spans="1:15" ht="5.25" customHeight="1">
      <c r="A31" s="1046"/>
      <c r="B31" s="713"/>
      <c r="C31" s="1032"/>
      <c r="D31" s="1032"/>
      <c r="E31" s="1064"/>
      <c r="F31" s="1032"/>
      <c r="G31" s="1036"/>
      <c r="H31" s="1063"/>
      <c r="I31" s="251"/>
      <c r="J31" s="251"/>
      <c r="K31" s="1063"/>
      <c r="L31" s="1032"/>
      <c r="M31" s="1218"/>
      <c r="N31" s="1064"/>
      <c r="O31" s="1066"/>
    </row>
    <row r="32" spans="1:15" ht="15">
      <c r="A32" s="1046">
        <f ca="1">CELL("row", MHFI!A42)</f>
        <v>42</v>
      </c>
      <c r="B32" s="171" t="str">
        <f>MHFI!A42</f>
        <v>Interest Expense, Net</v>
      </c>
      <c r="C32" s="1065">
        <v>-37.028375000000004</v>
      </c>
      <c r="D32" s="1065">
        <f ca="1">INDIRECT("'MHFI'!"&amp;D$1&amp;$A32)</f>
        <v>-34</v>
      </c>
      <c r="E32" s="1032"/>
      <c r="F32" s="1065">
        <f ca="1">D32-C32</f>
        <v>3.028375000000004</v>
      </c>
      <c r="G32" s="1036">
        <f ca="1">IF(ISERROR(D32/C32),"",D32/C32-1)</f>
        <v>-8.1785252525934604E-2</v>
      </c>
      <c r="H32" s="1063"/>
      <c r="I32" s="1065">
        <f ca="1">INDIRECT("'MHFI'!"&amp;I$1&amp;$A32)</f>
        <v>-39</v>
      </c>
      <c r="J32" s="1036">
        <f ca="1">IF(ISERROR(D32/I32),"",D32/I32-1)</f>
        <v>-0.12820512820512819</v>
      </c>
      <c r="K32" s="1063"/>
      <c r="L32" s="1065">
        <f ca="1">INDIRECT("'MHFI'!"&amp;L$1&amp;$A32)</f>
        <v>-37</v>
      </c>
      <c r="M32" s="1218">
        <f ca="1">IF(ISERROR(D32/L32),"",D32/L32-1)</f>
        <v>-8.108108108108103E-2</v>
      </c>
      <c r="N32" s="251"/>
      <c r="O32" s="1066"/>
    </row>
    <row r="33" spans="1:15" ht="6" customHeight="1">
      <c r="A33" s="1046"/>
      <c r="B33" s="171"/>
      <c r="C33" s="1065"/>
      <c r="D33" s="1065"/>
      <c r="E33" s="1032"/>
      <c r="F33" s="1065"/>
      <c r="G33" s="1036"/>
      <c r="H33" s="1063"/>
      <c r="I33" s="1065"/>
      <c r="J33" s="1036"/>
      <c r="K33" s="1063"/>
      <c r="L33" s="1065"/>
      <c r="M33" s="1218"/>
      <c r="N33" s="251"/>
      <c r="O33" s="1066"/>
    </row>
    <row r="34" spans="1:15" ht="15">
      <c r="A34" s="1046">
        <f ca="1">CELL("row", MHFI!A45)</f>
        <v>45</v>
      </c>
      <c r="B34" s="1224" t="str">
        <f>MHFI!A45</f>
        <v>Pretax Income</v>
      </c>
      <c r="C34" s="1065">
        <v>663.2796274045653</v>
      </c>
      <c r="D34" s="1065">
        <f ca="1">INDIRECT("'MHFI'!"&amp;D$1&amp;$A34)</f>
        <v>681</v>
      </c>
      <c r="E34" s="1032"/>
      <c r="F34" s="1065">
        <f t="shared" ca="1" si="0"/>
        <v>17.720372595434696</v>
      </c>
      <c r="G34" s="1036">
        <f t="shared" ca="1" si="2"/>
        <v>2.6716292591067559E-2</v>
      </c>
      <c r="H34" s="1063"/>
      <c r="I34" s="1065">
        <f ca="1">INDIRECT("'MHFI'!"&amp;I$1&amp;$A34)</f>
        <v>688</v>
      </c>
      <c r="J34" s="1036">
        <f t="shared" ca="1" si="1"/>
        <v>-1.0174418604651181E-2</v>
      </c>
      <c r="K34" s="1063"/>
      <c r="L34" s="1065">
        <f ca="1">INDIRECT("'MHFI'!"&amp;L$1&amp;$A34)</f>
        <v>628</v>
      </c>
      <c r="M34" s="1218">
        <f t="shared" ca="1" si="3"/>
        <v>8.4394904458598763E-2</v>
      </c>
      <c r="N34" s="251"/>
      <c r="O34" s="1066"/>
    </row>
    <row r="35" spans="1:15" ht="15" hidden="1" outlineLevel="1">
      <c r="A35" s="1046">
        <f ca="1">CELL("row", MHFI!A46)</f>
        <v>46</v>
      </c>
      <c r="B35" s="171" t="str">
        <f>MHFI!A46</f>
        <v>Income Tax Benefit (Expense)- Reported</v>
      </c>
      <c r="C35" s="1065">
        <v>-142.60511989198153</v>
      </c>
      <c r="D35" s="1065">
        <f ca="1">INDIRECT("'MHFI'!"&amp;D$1&amp;$A35)</f>
        <v>-147</v>
      </c>
      <c r="E35" s="1032"/>
      <c r="F35" s="1065">
        <f t="shared" ca="1" si="0"/>
        <v>-4.3948801080184694</v>
      </c>
      <c r="G35" s="1036">
        <f t="shared" ca="1" si="2"/>
        <v>3.0818529596605249E-2</v>
      </c>
      <c r="H35" s="1063"/>
      <c r="I35" s="1065">
        <f ca="1">INDIRECT("'MHFI'!"&amp;I$1&amp;$A35)</f>
        <v>-290</v>
      </c>
      <c r="J35" s="1036">
        <f t="shared" ca="1" si="1"/>
        <v>-0.49310344827586206</v>
      </c>
      <c r="K35" s="1063"/>
      <c r="L35" s="1065">
        <f ca="1">INDIRECT("'MHFI'!"&amp;L$1&amp;$A35)</f>
        <v>-181</v>
      </c>
      <c r="M35" s="1218">
        <f t="shared" ca="1" si="3"/>
        <v>-0.18784530386740328</v>
      </c>
      <c r="N35" s="251"/>
      <c r="O35" s="1066"/>
    </row>
    <row r="36" spans="1:15" ht="15" hidden="1" outlineLevel="1">
      <c r="A36" s="1046">
        <f ca="1">CELL("row", MHFI!A47)</f>
        <v>47</v>
      </c>
      <c r="B36" s="171" t="str">
        <f>MHFI!A47</f>
        <v>Income Tax Benefit (Expense)- Extraordinary income (expenses)</v>
      </c>
      <c r="C36" s="1065">
        <v>0</v>
      </c>
      <c r="D36" s="1065">
        <f ca="1">INDIRECT("'MHFI'!"&amp;D$1&amp;$A36)</f>
        <v>0</v>
      </c>
      <c r="E36" s="1032"/>
      <c r="F36" s="1065">
        <f t="shared" ca="1" si="0"/>
        <v>0</v>
      </c>
      <c r="G36" s="1036" t="str">
        <f t="shared" ca="1" si="2"/>
        <v/>
      </c>
      <c r="H36" s="1063"/>
      <c r="I36" s="1065">
        <f ca="1">INDIRECT("'MHFI'!"&amp;I$1&amp;$A36)</f>
        <v>96</v>
      </c>
      <c r="J36" s="1036">
        <f t="shared" ca="1" si="1"/>
        <v>-1</v>
      </c>
      <c r="K36" s="1063"/>
      <c r="L36" s="1065">
        <f ca="1">INDIRECT("'MHFI'!"&amp;L$1&amp;$A36)</f>
        <v>-9</v>
      </c>
      <c r="M36" s="1218">
        <f t="shared" ca="1" si="3"/>
        <v>-1</v>
      </c>
      <c r="N36" s="251"/>
      <c r="O36" s="1066"/>
    </row>
    <row r="37" spans="1:15" ht="15" collapsed="1">
      <c r="A37" s="1046">
        <f ca="1">CELL("row", MHFI!A48)</f>
        <v>48</v>
      </c>
      <c r="B37" s="171" t="str">
        <f>MHFI!A48</f>
        <v>Income Tax Benefit (Expense)</v>
      </c>
      <c r="C37" s="1065">
        <v>-142.60511989198153</v>
      </c>
      <c r="D37" s="1065">
        <f ca="1">INDIRECT("'MHFI'!"&amp;D$1&amp;$A37)</f>
        <v>-147</v>
      </c>
      <c r="E37" s="1032"/>
      <c r="F37" s="1065">
        <f t="shared" ca="1" si="0"/>
        <v>-4.3948801080184694</v>
      </c>
      <c r="G37" s="1036">
        <f t="shared" ca="1" si="2"/>
        <v>3.0818529596605249E-2</v>
      </c>
      <c r="H37" s="1063"/>
      <c r="I37" s="1065">
        <f ca="1">INDIRECT("'MHFI'!"&amp;I$1&amp;$A37)</f>
        <v>-194</v>
      </c>
      <c r="J37" s="1036">
        <f t="shared" ca="1" si="1"/>
        <v>-0.24226804123711343</v>
      </c>
      <c r="K37" s="1063"/>
      <c r="L37" s="1065">
        <f ca="1">INDIRECT("'MHFI'!"&amp;L$1&amp;$A37)</f>
        <v>-190</v>
      </c>
      <c r="M37" s="1218">
        <f t="shared" ca="1" si="3"/>
        <v>-0.22631578947368425</v>
      </c>
      <c r="N37" s="251"/>
      <c r="O37" s="1066"/>
    </row>
    <row r="38" spans="1:15" ht="15">
      <c r="A38" s="1046"/>
      <c r="B38" s="1227" t="s">
        <v>470</v>
      </c>
      <c r="C38" s="1069">
        <f>-C37/C34</f>
        <v>0.215</v>
      </c>
      <c r="D38" s="1069">
        <f ca="1">-D37/D34</f>
        <v>0.21585903083700442</v>
      </c>
      <c r="E38" s="1069"/>
      <c r="F38" s="1065"/>
      <c r="G38" s="1036"/>
      <c r="H38" s="1063"/>
      <c r="I38" s="1069">
        <f ca="1">-I37/I34</f>
        <v>0.28197674418604651</v>
      </c>
      <c r="J38" s="1036"/>
      <c r="K38" s="1063"/>
      <c r="L38" s="1069">
        <f ca="1">-L37/L34</f>
        <v>0.30254777070063693</v>
      </c>
      <c r="M38" s="1218"/>
      <c r="N38" s="251"/>
      <c r="O38" s="1066"/>
    </row>
    <row r="39" spans="1:15" ht="5.25" customHeight="1">
      <c r="A39" s="1046"/>
      <c r="B39" s="171"/>
      <c r="C39" s="1085"/>
      <c r="D39" s="1085"/>
      <c r="E39" s="1087"/>
      <c r="F39" s="1085"/>
      <c r="G39" s="1036"/>
      <c r="H39" s="1086"/>
      <c r="I39" s="251"/>
      <c r="J39" s="251"/>
      <c r="K39" s="1086"/>
      <c r="L39" s="1032"/>
      <c r="M39" s="1218"/>
      <c r="N39" s="1087"/>
      <c r="O39" s="1066"/>
    </row>
    <row r="40" spans="1:15" ht="15">
      <c r="A40" s="1046">
        <f ca="1">CELL("row", MHFI!A51)</f>
        <v>51</v>
      </c>
      <c r="B40" s="1224" t="str">
        <f>MHFI!A51</f>
        <v>Income from Continuing Operations</v>
      </c>
      <c r="C40" s="1065">
        <v>520.67450751258377</v>
      </c>
      <c r="D40" s="1065">
        <f ca="1">INDIRECT("'MHFI'!"&amp;D$1&amp;$A40)</f>
        <v>534</v>
      </c>
      <c r="E40" s="1032"/>
      <c r="F40" s="1065">
        <f t="shared" ca="1" si="0"/>
        <v>13.325492487416227</v>
      </c>
      <c r="G40" s="1036">
        <f t="shared" ca="1" si="2"/>
        <v>2.5592749971716566E-2</v>
      </c>
      <c r="H40" s="1063"/>
      <c r="I40" s="1065">
        <f ca="1">INDIRECT("'MHFI'!"&amp;I$1&amp;$A40)</f>
        <v>494</v>
      </c>
      <c r="J40" s="1036">
        <f t="shared" ca="1" si="1"/>
        <v>8.0971659919028438E-2</v>
      </c>
      <c r="K40" s="1063"/>
      <c r="L40" s="1065">
        <f ca="1">INDIRECT("'MHFI'!"&amp;L$1&amp;$A40)</f>
        <v>438</v>
      </c>
      <c r="M40" s="1218">
        <f t="shared" ca="1" si="3"/>
        <v>0.21917808219178081</v>
      </c>
      <c r="N40" s="251"/>
      <c r="O40" s="1066"/>
    </row>
    <row r="41" spans="1:15" ht="15">
      <c r="A41" s="1046">
        <f ca="1">CELL("row", MHFI!A53)</f>
        <v>53</v>
      </c>
      <c r="B41" s="171" t="str">
        <f>MHFI!A53</f>
        <v>Income (loss) from Discontinued Operations, net</v>
      </c>
      <c r="C41" s="1065">
        <v>0</v>
      </c>
      <c r="D41" s="1065">
        <f ca="1">INDIRECT("'MHFI'!"&amp;D$1&amp;$A41)</f>
        <v>0</v>
      </c>
      <c r="E41" s="1032"/>
      <c r="F41" s="1065">
        <f t="shared" ca="1" si="0"/>
        <v>0</v>
      </c>
      <c r="G41" s="1036" t="str">
        <f ca="1">IF(ISERROR(D41/C41),"",D41/C41-1)</f>
        <v/>
      </c>
      <c r="H41" s="1063"/>
      <c r="I41" s="1065">
        <f ca="1">INDIRECT("'MHFI'!"&amp;I$1&amp;$A41)</f>
        <v>0</v>
      </c>
      <c r="J41" s="1036" t="str">
        <f t="shared" ca="1" si="1"/>
        <v/>
      </c>
      <c r="K41" s="1063"/>
      <c r="L41" s="1065">
        <f ca="1">INDIRECT("'MHFI'!"&amp;L$1&amp;$A41)</f>
        <v>0</v>
      </c>
      <c r="M41" s="1218" t="str">
        <f t="shared" ca="1" si="3"/>
        <v/>
      </c>
      <c r="N41" s="1088"/>
      <c r="O41" s="1066"/>
    </row>
    <row r="42" spans="1:15" ht="15">
      <c r="A42" s="1046">
        <f ca="1">CELL("row", MHFI!A54)</f>
        <v>54</v>
      </c>
      <c r="B42" s="171" t="str">
        <f>MHFI!A54</f>
        <v>Extraordinary (charges) / gains</v>
      </c>
      <c r="C42" s="1065">
        <v>0</v>
      </c>
      <c r="D42" s="1065">
        <f ca="1">INDIRECT("'MHFI'!"&amp;D$1&amp;$A42)</f>
        <v>0</v>
      </c>
      <c r="E42" s="1032"/>
      <c r="F42" s="1065">
        <f t="shared" ca="1" si="0"/>
        <v>0</v>
      </c>
      <c r="G42" s="1036" t="str">
        <f ca="1">IF(ISERROR(D42/C42),"",D42/C42-1)</f>
        <v/>
      </c>
      <c r="H42" s="1063"/>
      <c r="I42" s="1065">
        <f ca="1">INDIRECT("'MHFI'!"&amp;I$1&amp;$A42)</f>
        <v>-195</v>
      </c>
      <c r="J42" s="1036">
        <f t="shared" ca="1" si="1"/>
        <v>-1</v>
      </c>
      <c r="K42" s="1063"/>
      <c r="L42" s="1065">
        <f ca="1">INDIRECT("'MHFI'!"&amp;L$1&amp;$A42)</f>
        <v>-8</v>
      </c>
      <c r="M42" s="1218">
        <f t="shared" ca="1" si="3"/>
        <v>-1</v>
      </c>
      <c r="N42" s="251"/>
      <c r="O42" s="1066"/>
    </row>
    <row r="43" spans="1:15" ht="5.25" customHeight="1">
      <c r="A43" s="1046"/>
      <c r="B43" s="713"/>
      <c r="C43" s="1037" t="s">
        <v>478</v>
      </c>
      <c r="D43" s="1037" t="s">
        <v>478</v>
      </c>
      <c r="E43" s="1037"/>
      <c r="F43" s="1037" t="s">
        <v>478</v>
      </c>
      <c r="G43" s="1037"/>
      <c r="H43" s="1063"/>
      <c r="I43" s="1037" t="s">
        <v>478</v>
      </c>
      <c r="J43" s="1037" t="s">
        <v>478</v>
      </c>
      <c r="K43" s="1063"/>
      <c r="L43" s="1037" t="s">
        <v>478</v>
      </c>
      <c r="M43" s="1228" t="s">
        <v>478</v>
      </c>
      <c r="N43" s="1064"/>
      <c r="O43" s="1066"/>
    </row>
    <row r="44" spans="1:15" ht="15">
      <c r="A44" s="1046">
        <f ca="1">CELL("row", MHFI!A56)</f>
        <v>56</v>
      </c>
      <c r="B44" s="1224" t="str">
        <f>MHFI!A56</f>
        <v>Net Income</v>
      </c>
      <c r="C44" s="1065">
        <v>520.67450751258377</v>
      </c>
      <c r="D44" s="1065">
        <f ca="1">INDIRECT("'MHFI'!"&amp;D$1&amp;$A44)</f>
        <v>534</v>
      </c>
      <c r="E44" s="1032"/>
      <c r="F44" s="1065">
        <f t="shared" ca="1" si="0"/>
        <v>13.325492487416227</v>
      </c>
      <c r="G44" s="1036">
        <f t="shared" ca="1" si="2"/>
        <v>2.5592749971716566E-2</v>
      </c>
      <c r="H44" s="1063"/>
      <c r="I44" s="1065">
        <f ca="1">INDIRECT("'MHFI'!"&amp;I$1&amp;$A44)</f>
        <v>299</v>
      </c>
      <c r="J44" s="1036">
        <f t="shared" ca="1" si="1"/>
        <v>0.785953177257525</v>
      </c>
      <c r="K44" s="1063"/>
      <c r="L44" s="1065">
        <f ca="1">INDIRECT("'MHFI'!"&amp;L$1&amp;$A44)</f>
        <v>430</v>
      </c>
      <c r="M44" s="1218">
        <f t="shared" ca="1" si="3"/>
        <v>0.24186046511627901</v>
      </c>
      <c r="N44" s="251"/>
      <c r="O44" s="1066"/>
    </row>
    <row r="45" spans="1:15" ht="15">
      <c r="A45" s="1046">
        <f ca="1">CELL("row", MHFI!A58)</f>
        <v>58</v>
      </c>
      <c r="B45" s="171" t="str">
        <f>MHFI!A58</f>
        <v>Less: Net Income Attributable to Noncontrolling Interests</v>
      </c>
      <c r="C45" s="1085">
        <v>-40.005179312760276</v>
      </c>
      <c r="D45" s="1085">
        <f ca="1">INDIRECT("'MHFI'!"&amp;D$1&amp;$A45)</f>
        <v>-43</v>
      </c>
      <c r="E45" s="251"/>
      <c r="F45" s="1085">
        <f t="shared" ca="1" si="0"/>
        <v>-2.9948206872397236</v>
      </c>
      <c r="G45" s="1036">
        <f t="shared" ca="1" si="2"/>
        <v>7.486082399046956E-2</v>
      </c>
      <c r="H45" s="1086"/>
      <c r="I45" s="251">
        <f ca="1">INDIRECT("'MHFI'!"&amp;I$1&amp;$A45)</f>
        <v>-36</v>
      </c>
      <c r="J45" s="251">
        <f t="shared" ca="1" si="1"/>
        <v>0.19444444444444442</v>
      </c>
      <c r="K45" s="1086"/>
      <c r="L45" s="1032">
        <f ca="1">INDIRECT("'MHFI'!"&amp;L$1&amp;$A45)</f>
        <v>-31</v>
      </c>
      <c r="M45" s="1218">
        <f t="shared" ca="1" si="3"/>
        <v>0.38709677419354849</v>
      </c>
      <c r="N45" s="251"/>
      <c r="O45" s="1066"/>
    </row>
    <row r="46" spans="1:15" ht="5.25" customHeight="1">
      <c r="A46" s="1046"/>
      <c r="B46" s="713"/>
      <c r="C46" s="1032"/>
      <c r="D46" s="1032"/>
      <c r="E46" s="1064"/>
      <c r="F46" s="1032"/>
      <c r="G46" s="1036"/>
      <c r="H46" s="1063"/>
      <c r="I46" s="251"/>
      <c r="J46" s="251"/>
      <c r="K46" s="1063"/>
      <c r="L46" s="1032"/>
      <c r="M46" s="1218"/>
      <c r="N46" s="1064"/>
      <c r="O46" s="1066"/>
    </row>
    <row r="47" spans="1:15" ht="15">
      <c r="A47" s="1046">
        <f ca="1">CELL("row", MHFI!A60)</f>
        <v>60</v>
      </c>
      <c r="B47" s="1224" t="str">
        <f>MHFI!A60</f>
        <v>Net Income to The McGraw-Hill Companies, Inc.</v>
      </c>
      <c r="C47" s="1065">
        <v>480.6693281998235</v>
      </c>
      <c r="D47" s="1065">
        <f ca="1">INDIRECT("'MHFI'!"&amp;D$1&amp;$A47)</f>
        <v>491</v>
      </c>
      <c r="E47" s="1032"/>
      <c r="F47" s="1065">
        <f t="shared" ca="1" si="0"/>
        <v>10.330671800176503</v>
      </c>
      <c r="G47" s="1036">
        <f t="shared" ca="1" si="2"/>
        <v>2.1492263379621956E-2</v>
      </c>
      <c r="H47" s="1063"/>
      <c r="I47" s="1065">
        <f ca="1">INDIRECT("'MHFI'!"&amp;I$1&amp;$A47)</f>
        <v>263</v>
      </c>
      <c r="J47" s="1036">
        <f t="shared" ca="1" si="1"/>
        <v>0.86692015209125484</v>
      </c>
      <c r="K47" s="1063"/>
      <c r="L47" s="1065">
        <f ca="1">INDIRECT("'MHFI'!"&amp;L$1&amp;$A47)</f>
        <v>399</v>
      </c>
      <c r="M47" s="1218">
        <f t="shared" ca="1" si="3"/>
        <v>0.23057644110275688</v>
      </c>
      <c r="N47" s="251"/>
      <c r="O47" s="1066"/>
    </row>
    <row r="48" spans="1:15" ht="6" customHeight="1">
      <c r="A48" s="1046">
        <f ca="1">CELL("row", MHFI!A61)</f>
        <v>61</v>
      </c>
      <c r="B48" s="171"/>
      <c r="C48" s="1032"/>
      <c r="D48" s="1032"/>
      <c r="E48" s="251"/>
      <c r="F48" s="1032"/>
      <c r="G48" s="1036"/>
      <c r="H48" s="1063"/>
      <c r="I48" s="251"/>
      <c r="J48" s="251"/>
      <c r="K48" s="1063"/>
      <c r="L48" s="1032"/>
      <c r="M48" s="1218" t="str">
        <f t="shared" si="3"/>
        <v/>
      </c>
      <c r="N48" s="251"/>
      <c r="O48" s="1066"/>
    </row>
    <row r="49" spans="1:16" ht="15">
      <c r="A49" s="1046">
        <f ca="1">CELL("row", MHFI!A63)</f>
        <v>63</v>
      </c>
      <c r="B49" s="1229" t="str">
        <f>MHFI!A63</f>
        <v>Adjusted Net Income - Cont Ops plus adjustments</v>
      </c>
      <c r="C49" s="1089">
        <v>480.6693281998235</v>
      </c>
      <c r="D49" s="1089">
        <f ca="1">INDIRECT("'MHFI'!"&amp;D$1&amp;$A49)</f>
        <v>491</v>
      </c>
      <c r="E49" s="1033"/>
      <c r="F49" s="1089">
        <f t="shared" ca="1" si="0"/>
        <v>10.330671800176503</v>
      </c>
      <c r="G49" s="1034">
        <f t="shared" ca="1" si="2"/>
        <v>2.1492263379621956E-2</v>
      </c>
      <c r="H49" s="1090"/>
      <c r="I49" s="1089">
        <f ca="1">INDIRECT("'MHFI'!"&amp;I$1&amp;$A49)</f>
        <v>458</v>
      </c>
      <c r="J49" s="1034">
        <f t="shared" ca="1" si="1"/>
        <v>7.2052401746724781E-2</v>
      </c>
      <c r="K49" s="1090"/>
      <c r="L49" s="1089">
        <f ca="1">INDIRECT("'MHFI'!"&amp;L$1&amp;$A49)</f>
        <v>407</v>
      </c>
      <c r="M49" s="1230">
        <f t="shared" ca="1" si="3"/>
        <v>0.20638820638820632</v>
      </c>
      <c r="N49" s="314"/>
      <c r="O49" s="1066"/>
    </row>
    <row r="50" spans="1:16" ht="15" hidden="1" outlineLevel="1">
      <c r="A50" s="1046">
        <f ca="1">CELL("row", MHFI!A64)</f>
        <v>64</v>
      </c>
      <c r="B50" s="1224" t="str">
        <f>MHFI!A64</f>
        <v>Adjusted Net Income</v>
      </c>
      <c r="C50" s="1065">
        <v>480.6693281998235</v>
      </c>
      <c r="D50" s="1065">
        <f ca="1">INDIRECT("'MHFI'!"&amp;D$1&amp;$A50)</f>
        <v>491</v>
      </c>
      <c r="E50" s="1032"/>
      <c r="F50" s="1065">
        <f t="shared" ca="1" si="0"/>
        <v>10.330671800176503</v>
      </c>
      <c r="G50" s="1036">
        <f ca="1">IF(ISERROR(D50/C50),"",D50/C50-1)</f>
        <v>2.1492263379621956E-2</v>
      </c>
      <c r="H50" s="1063"/>
      <c r="I50" s="1065">
        <f ca="1">INDIRECT("'MHFI'!"&amp;I$1&amp;$A50)</f>
        <v>458</v>
      </c>
      <c r="J50" s="1036">
        <f ca="1">IF(ISERROR(D50/I50),"",D50/I50-1)</f>
        <v>7.2052401746724781E-2</v>
      </c>
      <c r="K50" s="1063"/>
      <c r="L50" s="1065">
        <f ca="1">INDIRECT("'MHFI'!"&amp;L$1&amp;$A50)</f>
        <v>407</v>
      </c>
      <c r="M50" s="1218">
        <f ca="1">IF(ISERROR(D50/L50),"",D50/L50-1)</f>
        <v>0.20638820638820632</v>
      </c>
      <c r="N50" s="314"/>
      <c r="O50" s="1066"/>
    </row>
    <row r="51" spans="1:16" ht="6" customHeight="1" collapsed="1">
      <c r="A51" s="1046"/>
      <c r="B51" s="1224"/>
      <c r="C51" s="1032"/>
      <c r="D51" s="1032"/>
      <c r="E51" s="127"/>
      <c r="F51" s="1032"/>
      <c r="G51" s="1036"/>
      <c r="H51" s="1063"/>
      <c r="I51" s="251"/>
      <c r="J51" s="251"/>
      <c r="K51" s="1063"/>
      <c r="L51" s="1032"/>
      <c r="M51" s="1218"/>
      <c r="N51" s="127"/>
      <c r="O51" s="1066"/>
    </row>
    <row r="52" spans="1:16" ht="15" hidden="1" outlineLevel="1">
      <c r="A52" s="1046">
        <f ca="1">CELL("row", MHFI!A66)</f>
        <v>66</v>
      </c>
      <c r="B52" s="171" t="str">
        <f>MHFI!A66</f>
        <v>Basic Shares Outstanding</v>
      </c>
      <c r="C52" s="1065">
        <v>252.98020836066917</v>
      </c>
      <c r="D52" s="1065">
        <f t="shared" ref="D52:D60" ca="1" si="4">INDIRECT("'MHFI'!"&amp;D$1&amp;$A52)</f>
        <v>249.4</v>
      </c>
      <c r="E52" s="1032"/>
      <c r="F52" s="1065">
        <f t="shared" ref="F52:F60" ca="1" si="5">D52-C52</f>
        <v>-3.580208360669161</v>
      </c>
      <c r="G52" s="1036">
        <f t="shared" ref="G52:G60" ca="1" si="6">IF(ISERROR(D52/C52),"",D52/C52-1)</f>
        <v>-1.4152128278608012E-2</v>
      </c>
      <c r="H52" s="1063"/>
      <c r="I52" s="1065">
        <f t="shared" ref="I52:I60" ca="1" si="7">INDIRECT("'MHFI'!"&amp;I$1&amp;$A52)</f>
        <v>253.7</v>
      </c>
      <c r="J52" s="1036">
        <f t="shared" ref="J52:J58" ca="1" si="8">IF(ISERROR(D52/I52),"",D52/I52-1)</f>
        <v>-1.6949152542372836E-2</v>
      </c>
      <c r="K52" s="1063"/>
      <c r="L52" s="1065">
        <f t="shared" ref="L52:L60" ca="1" si="9">INDIRECT("'MHFI'!"&amp;L$1&amp;$A52)</f>
        <v>257.8</v>
      </c>
      <c r="M52" s="1218">
        <f t="shared" ref="M52:M58" ca="1" si="10">IF(ISERROR(D52/L52),"",D52/L52-1)</f>
        <v>-3.2583397982932527E-2</v>
      </c>
      <c r="N52" s="172"/>
      <c r="O52" s="1066"/>
    </row>
    <row r="53" spans="1:16" ht="15" hidden="1" outlineLevel="1">
      <c r="A53" s="1046">
        <f ca="1">CELL("row", MHFI!A67)</f>
        <v>67</v>
      </c>
      <c r="B53" s="171" t="str">
        <f>MHFI!A67</f>
        <v>Average Basic Shares Outstanding</v>
      </c>
      <c r="C53" s="1065">
        <v>253.34010418033458</v>
      </c>
      <c r="D53" s="1065">
        <f t="shared" ca="1" si="4"/>
        <v>252.4</v>
      </c>
      <c r="E53" s="1032"/>
      <c r="F53" s="1065">
        <f t="shared" ca="1" si="5"/>
        <v>-0.94010418033457199</v>
      </c>
      <c r="G53" s="1036">
        <f t="shared" ca="1" si="6"/>
        <v>-3.7108383742724405E-3</v>
      </c>
      <c r="H53" s="1063"/>
      <c r="I53" s="1065">
        <f t="shared" ca="1" si="7"/>
        <v>254.4</v>
      </c>
      <c r="J53" s="1036">
        <f t="shared" ca="1" si="8"/>
        <v>-7.8616352201258399E-3</v>
      </c>
      <c r="K53" s="1063"/>
      <c r="L53" s="1065">
        <f t="shared" ca="1" si="9"/>
        <v>258.2</v>
      </c>
      <c r="M53" s="1218">
        <f t="shared" ca="1" si="10"/>
        <v>-2.2463206816421333E-2</v>
      </c>
      <c r="N53" s="172"/>
      <c r="O53" s="1066"/>
    </row>
    <row r="54" spans="1:16" ht="15" hidden="1" outlineLevel="1">
      <c r="A54" s="1046">
        <f ca="1">CELL("row", MHFI!A68)</f>
        <v>68</v>
      </c>
      <c r="B54" s="171" t="str">
        <f>MHFI!A68</f>
        <v>Diluted Shares Outstanding</v>
      </c>
      <c r="C54" s="1065">
        <v>255.92927191173737</v>
      </c>
      <c r="D54" s="1065">
        <f t="shared" ca="1" si="4"/>
        <v>254.4</v>
      </c>
      <c r="E54" s="1032"/>
      <c r="F54" s="1065">
        <f t="shared" ca="1" si="5"/>
        <v>-1.5292719117373679</v>
      </c>
      <c r="G54" s="1036">
        <f t="shared" ca="1" si="6"/>
        <v>-5.9753692897808186E-3</v>
      </c>
      <c r="H54" s="1063"/>
      <c r="I54" s="1065">
        <f t="shared" ca="1" si="7"/>
        <v>257</v>
      </c>
      <c r="J54" s="1036">
        <f t="shared" ca="1" si="8"/>
        <v>-1.0116731517509692E-2</v>
      </c>
      <c r="K54" s="1063"/>
      <c r="L54" s="1065">
        <f t="shared" ca="1" si="9"/>
        <v>260.8</v>
      </c>
      <c r="M54" s="1218">
        <f t="shared" ca="1" si="10"/>
        <v>-2.4539877300613466E-2</v>
      </c>
      <c r="N54" s="172"/>
      <c r="O54" s="1066"/>
    </row>
    <row r="55" spans="1:16" ht="15" hidden="1" outlineLevel="1">
      <c r="A55" s="1046">
        <f ca="1">CELL("row", MHFI!A69)</f>
        <v>69</v>
      </c>
      <c r="B55" s="713" t="str">
        <f>MHFI!A69</f>
        <v>Common Dividend Per Share</v>
      </c>
      <c r="C55" s="1091">
        <v>0.49928969828754544</v>
      </c>
      <c r="D55" s="1091">
        <f t="shared" ca="1" si="4"/>
        <v>0.50316957210776547</v>
      </c>
      <c r="E55" s="1032"/>
      <c r="F55" s="1091">
        <f t="shared" ca="1" si="5"/>
        <v>3.8798738202200367E-3</v>
      </c>
      <c r="G55" s="1036">
        <f t="shared" ca="1" si="6"/>
        <v>7.7707868468488428E-3</v>
      </c>
      <c r="H55" s="1063"/>
      <c r="I55" s="1091">
        <f t="shared" ca="1" si="7"/>
        <v>0.41273584905660377</v>
      </c>
      <c r="J55" s="1036">
        <f t="shared" ca="1" si="8"/>
        <v>0.21910799184967189</v>
      </c>
      <c r="K55" s="1063"/>
      <c r="L55" s="1091">
        <f t="shared" ca="1" si="9"/>
        <v>0.41053446940356314</v>
      </c>
      <c r="M55" s="1218">
        <f t="shared" ca="1" si="10"/>
        <v>0.22564512753042498</v>
      </c>
      <c r="N55" s="12"/>
      <c r="O55" s="1066"/>
    </row>
    <row r="56" spans="1:16" ht="15" collapsed="1">
      <c r="A56" s="1046">
        <f ca="1">CELL("row", MHFI!A70)</f>
        <v>70</v>
      </c>
      <c r="B56" s="1231" t="str">
        <f>MHFI!A70</f>
        <v>Avg. Diluted Shares Outstanding</v>
      </c>
      <c r="C56" s="1065">
        <v>255.92927191173737</v>
      </c>
      <c r="D56" s="1065">
        <f t="shared" ca="1" si="4"/>
        <v>254.4</v>
      </c>
      <c r="E56" s="1032"/>
      <c r="F56" s="1065">
        <f t="shared" ca="1" si="5"/>
        <v>-1.5292719117373679</v>
      </c>
      <c r="G56" s="1036">
        <f t="shared" ca="1" si="6"/>
        <v>-5.9753692897808186E-3</v>
      </c>
      <c r="H56" s="1063"/>
      <c r="I56" s="1065">
        <f t="shared" ca="1" si="7"/>
        <v>257</v>
      </c>
      <c r="J56" s="1036">
        <f t="shared" ca="1" si="8"/>
        <v>-1.0116731517509692E-2</v>
      </c>
      <c r="K56" s="1063"/>
      <c r="L56" s="1065">
        <f t="shared" ca="1" si="9"/>
        <v>260.8</v>
      </c>
      <c r="M56" s="1218">
        <f t="shared" ca="1" si="10"/>
        <v>-2.4539877300613466E-2</v>
      </c>
      <c r="N56" s="172"/>
      <c r="O56" s="1066"/>
    </row>
    <row r="57" spans="1:16" ht="15" hidden="1">
      <c r="A57" s="1046">
        <f ca="1">CELL("row", MHFI!A73)</f>
        <v>73</v>
      </c>
      <c r="B57" s="1232" t="str">
        <f>MHFI!A73</f>
        <v>Adj. Diluted EPS</v>
      </c>
      <c r="C57" s="1091">
        <v>1.878133456987259</v>
      </c>
      <c r="D57" s="1091">
        <f t="shared" ca="1" si="4"/>
        <v>1.9300314465408805</v>
      </c>
      <c r="E57" s="1032"/>
      <c r="F57" s="1091">
        <f t="shared" ca="1" si="5"/>
        <v>5.1897989553621571E-2</v>
      </c>
      <c r="G57" s="1036">
        <f t="shared" ca="1" si="6"/>
        <v>2.7632748546459363E-2</v>
      </c>
      <c r="H57" s="1063"/>
      <c r="I57" s="1091">
        <f t="shared" ca="1" si="7"/>
        <v>1.7821011673151752</v>
      </c>
      <c r="J57" s="1036">
        <f t="shared" ca="1" si="8"/>
        <v>8.3008912141935065E-2</v>
      </c>
      <c r="K57" s="1063"/>
      <c r="L57" s="1091">
        <f t="shared" ca="1" si="9"/>
        <v>1.5605828220858895</v>
      </c>
      <c r="M57" s="1218">
        <f t="shared" ca="1" si="10"/>
        <v>0.2367375952281614</v>
      </c>
      <c r="N57" s="12"/>
      <c r="O57" s="1066"/>
    </row>
    <row r="58" spans="1:16" ht="15" hidden="1">
      <c r="A58" s="1046">
        <f ca="1">CELL("row", MHFI!A71)</f>
        <v>71</v>
      </c>
      <c r="B58" s="1232" t="str">
        <f>MHFI!A71</f>
        <v>Diluted GAAP EPS Reported</v>
      </c>
      <c r="C58" s="1091">
        <v>1.1250250190670423</v>
      </c>
      <c r="D58" s="1091">
        <f t="shared" ca="1" si="4"/>
        <v>1.9300314465408805</v>
      </c>
      <c r="E58" s="1032"/>
      <c r="F58" s="1091">
        <f t="shared" ca="1" si="5"/>
        <v>0.80500642747383822</v>
      </c>
      <c r="G58" s="1036">
        <f t="shared" ca="1" si="6"/>
        <v>0.7155453557303213</v>
      </c>
      <c r="H58" s="1063"/>
      <c r="I58" s="1091">
        <f t="shared" ca="1" si="7"/>
        <v>1.0233463035019454</v>
      </c>
      <c r="J58" s="1036">
        <f t="shared" ca="1" si="8"/>
        <v>0.88600031087835118</v>
      </c>
      <c r="K58" s="1063"/>
      <c r="L58" s="1091">
        <f t="shared" ca="1" si="9"/>
        <v>1.5299079754601226</v>
      </c>
      <c r="M58" s="1218">
        <f t="shared" ca="1" si="10"/>
        <v>0.26153433899213452</v>
      </c>
      <c r="N58" s="12"/>
      <c r="O58" s="1066"/>
    </row>
    <row r="59" spans="1:16" ht="15">
      <c r="A59" s="1046"/>
      <c r="B59" s="1232"/>
      <c r="C59" s="1091"/>
      <c r="D59" s="1091"/>
      <c r="E59" s="1032"/>
      <c r="F59" s="1091"/>
      <c r="G59" s="1036"/>
      <c r="H59" s="1063"/>
      <c r="I59" s="1091"/>
      <c r="J59" s="1036"/>
      <c r="K59" s="1063"/>
      <c r="L59" s="1091"/>
      <c r="M59" s="1218"/>
      <c r="N59" s="12"/>
      <c r="O59" s="1066"/>
      <c r="P59" s="681"/>
    </row>
    <row r="60" spans="1:16" ht="15">
      <c r="A60" s="1046">
        <f ca="1">CELL("row", MHFI!A80)</f>
        <v>80</v>
      </c>
      <c r="B60" s="1243" t="s">
        <v>479</v>
      </c>
      <c r="C60" s="1244">
        <v>1.9502383391766014</v>
      </c>
      <c r="D60" s="1244">
        <f t="shared" ca="1" si="4"/>
        <v>2.0007861635220126</v>
      </c>
      <c r="E60" s="1245"/>
      <c r="F60" s="1244">
        <f t="shared" ca="1" si="5"/>
        <v>5.0547824345411163E-2</v>
      </c>
      <c r="G60" s="1246">
        <f t="shared" ca="1" si="6"/>
        <v>2.5918793272597052E-2</v>
      </c>
      <c r="H60" s="1247"/>
      <c r="I60" s="1244">
        <f t="shared" ca="1" si="7"/>
        <v>1.8443579766536966</v>
      </c>
      <c r="J60" s="1246">
        <f ca="1">IF(ISERROR(D60/I60),"",D60/I60-1)</f>
        <v>8.4814438871639641E-2</v>
      </c>
      <c r="K60" s="1247"/>
      <c r="L60" s="1244">
        <f t="shared" ca="1" si="9"/>
        <v>1.6180981595092023</v>
      </c>
      <c r="M60" s="1248">
        <f ca="1">IF(ISERROR(D60/L60),"",D60/L60-1)</f>
        <v>0.23650481385436239</v>
      </c>
      <c r="N60" s="12"/>
      <c r="O60" s="1066"/>
    </row>
    <row r="61" spans="1:16" ht="15">
      <c r="A61" s="1046"/>
      <c r="B61" s="1232"/>
      <c r="C61" s="1092"/>
      <c r="D61" s="1092"/>
      <c r="E61" s="1032"/>
      <c r="F61" s="1092"/>
      <c r="G61" s="1036"/>
      <c r="H61" s="1063"/>
      <c r="I61" s="1092"/>
      <c r="J61" s="1036"/>
      <c r="K61" s="1063"/>
      <c r="L61" s="1092"/>
      <c r="M61" s="1218"/>
      <c r="N61" s="12"/>
      <c r="O61" s="1066"/>
    </row>
    <row r="62" spans="1:16" ht="15">
      <c r="A62" s="1046"/>
      <c r="B62" s="1233" t="s">
        <v>480</v>
      </c>
      <c r="C62" s="1092"/>
      <c r="D62" s="1092"/>
      <c r="E62" s="1032"/>
      <c r="F62" s="1092"/>
      <c r="G62" s="1036"/>
      <c r="H62" s="1063"/>
      <c r="I62" s="1092"/>
      <c r="J62" s="1036"/>
      <c r="K62" s="1063"/>
      <c r="L62" s="1092"/>
      <c r="M62" s="1218"/>
      <c r="N62" s="12"/>
    </row>
    <row r="63" spans="1:16" ht="15">
      <c r="A63" s="1046"/>
      <c r="B63" s="1057" t="s">
        <v>474</v>
      </c>
      <c r="C63" s="1093" t="str">
        <f ca="1">+C4</f>
        <v>1Q18E</v>
      </c>
      <c r="D63" s="1093" t="str">
        <f ca="1">D4</f>
        <v>1Q18A</v>
      </c>
      <c r="E63" s="1094"/>
      <c r="F63" s="1095" t="s">
        <v>475</v>
      </c>
      <c r="G63" s="1095" t="s">
        <v>469</v>
      </c>
      <c r="H63" s="1096"/>
      <c r="I63" s="1097" t="str">
        <f ca="1">I4</f>
        <v>4Q17A</v>
      </c>
      <c r="J63" s="1097" t="s">
        <v>476</v>
      </c>
      <c r="K63" s="1096"/>
      <c r="L63" s="1093" t="str">
        <f ca="1">L4</f>
        <v>1Q17A</v>
      </c>
      <c r="M63" s="1098" t="s">
        <v>477</v>
      </c>
      <c r="N63" s="12"/>
      <c r="P63" s="2009" t="s">
        <v>520</v>
      </c>
    </row>
    <row r="64" spans="1:16" ht="15">
      <c r="A64" s="1046"/>
      <c r="B64" s="1234" t="s">
        <v>186</v>
      </c>
      <c r="C64" s="1036"/>
      <c r="D64" s="1065"/>
      <c r="E64" s="1032"/>
      <c r="F64" s="1065"/>
      <c r="G64" s="1036"/>
      <c r="H64" s="1063"/>
      <c r="I64" s="951"/>
      <c r="J64" s="1036"/>
      <c r="K64" s="1063"/>
      <c r="L64" s="1065"/>
      <c r="M64" s="1222" t="str">
        <f>IF(ISERROR(D64/L64),"",D64/L64-1)</f>
        <v/>
      </c>
      <c r="N64" s="12"/>
      <c r="P64" s="2010"/>
    </row>
    <row r="65" spans="1:17" s="9" customFormat="1">
      <c r="A65" s="1046">
        <f ca="1">CELL("row", 'Op Metrics'!A12)</f>
        <v>12</v>
      </c>
      <c r="B65" s="1235" t="str">
        <f>'Op Metrics'!A12</f>
        <v>S&amp;P Ratings Services</v>
      </c>
      <c r="C65" s="1065">
        <v>736.1977020542663</v>
      </c>
      <c r="D65" s="1065">
        <f ca="1">INDIRECT("'op metrics'!"&amp;D$1&amp;$A65)</f>
        <v>748</v>
      </c>
      <c r="E65" s="1032"/>
      <c r="F65" s="1065">
        <f ca="1">D65-C65</f>
        <v>11.802297945733699</v>
      </c>
      <c r="G65" s="1036">
        <f ca="1">IF(ISERROR(D65/C65),"",D65/C65-1)</f>
        <v>1.6031424592607202E-2</v>
      </c>
      <c r="H65" s="1063"/>
      <c r="I65" s="1236">
        <f ca="1">INDIRECT("'op metrics'!"&amp;I$1&amp;$A65)</f>
        <v>789</v>
      </c>
      <c r="J65" s="1036">
        <f ca="1">IF(ISERROR(D65/I65),"",D65/I65-1)</f>
        <v>-5.1964512040557631E-2</v>
      </c>
      <c r="K65" s="1063"/>
      <c r="L65" s="1065">
        <f ca="1">INDIRECT("'op metrics'!"&amp;L$1&amp;$A65)</f>
        <v>714</v>
      </c>
      <c r="M65" s="1218">
        <f ca="1">IF(ISERROR(D65/L65),"",D65/L65-1)</f>
        <v>4.7619047619047672E-2</v>
      </c>
      <c r="N65" s="7"/>
      <c r="P65" s="2215">
        <v>737.6</v>
      </c>
      <c r="Q65" s="1099"/>
    </row>
    <row r="66" spans="1:17" s="9" customFormat="1" ht="6" customHeight="1">
      <c r="A66" s="1046"/>
      <c r="B66" s="1235"/>
      <c r="C66" s="1065"/>
      <c r="D66" s="1065"/>
      <c r="E66" s="1032"/>
      <c r="F66" s="1065"/>
      <c r="G66" s="1036"/>
      <c r="H66" s="1063"/>
      <c r="I66" s="1236"/>
      <c r="J66" s="1036"/>
      <c r="K66" s="1063"/>
      <c r="L66" s="1065"/>
      <c r="M66" s="1218"/>
      <c r="N66" s="7"/>
      <c r="P66" s="2215"/>
      <c r="Q66" s="1031"/>
    </row>
    <row r="67" spans="1:17" s="9" customFormat="1">
      <c r="A67" s="1046">
        <f ca="1">CELL("row", 'Op Metrics'!A16)</f>
        <v>16</v>
      </c>
      <c r="B67" s="1235" t="s">
        <v>535</v>
      </c>
      <c r="C67" s="1065">
        <v>200.34561922508703</v>
      </c>
      <c r="D67" s="1065">
        <f ca="1">INDIRECT("'op metrics'!"&amp;D$1&amp;$A67)</f>
        <v>633</v>
      </c>
      <c r="E67" s="1032"/>
      <c r="F67" s="1065">
        <f ca="1">D67-C67</f>
        <v>432.65438077491297</v>
      </c>
      <c r="G67" s="1036">
        <f ca="1">IF(ISERROR(D67/C67),"",D67/C67-1)</f>
        <v>2.1595400111485765</v>
      </c>
      <c r="H67" s="1063"/>
      <c r="I67" s="1213">
        <f ca="1">+I69+I71</f>
        <v>637</v>
      </c>
      <c r="J67" s="1036">
        <f ca="1">IF(ISERROR(D67/I67),"",D67/I67-1)</f>
        <v>-6.2794348508634634E-3</v>
      </c>
      <c r="K67" s="1063"/>
      <c r="L67" s="1065">
        <f ca="1">+L69+L71</f>
        <v>593</v>
      </c>
      <c r="M67" s="1218">
        <f ca="1">IF(ISERROR(D67/L67),"",D67/L67-1)</f>
        <v>6.7453625632377667E-2</v>
      </c>
      <c r="N67" s="7"/>
      <c r="P67" s="2215">
        <v>637.20000000000005</v>
      </c>
      <c r="Q67" s="1099"/>
    </row>
    <row r="68" spans="1:17" s="9" customFormat="1" ht="6" customHeight="1">
      <c r="A68" s="1046"/>
      <c r="B68" s="1235"/>
      <c r="C68" s="1065"/>
      <c r="D68" s="1065"/>
      <c r="E68" s="1032"/>
      <c r="F68" s="1065"/>
      <c r="G68" s="1036"/>
      <c r="H68" s="1063"/>
      <c r="I68" s="1236"/>
      <c r="J68" s="1036"/>
      <c r="K68" s="1063"/>
      <c r="L68" s="1065"/>
      <c r="M68" s="1218"/>
      <c r="N68" s="7"/>
      <c r="P68" s="2215"/>
      <c r="Q68" s="1031"/>
    </row>
    <row r="69" spans="1:17" s="9" customFormat="1">
      <c r="A69" s="1046">
        <f ca="1">CELL("row", 'Op Metrics'!A18)</f>
        <v>18</v>
      </c>
      <c r="B69" s="1240" t="str">
        <f>'Op Metrics'!A18</f>
        <v>Market Intelligence</v>
      </c>
      <c r="C69" s="1065">
        <v>436.1519255135666</v>
      </c>
      <c r="D69" s="1065">
        <f ca="1">INDIRECT("'op metrics'!"&amp;D$1&amp;$A69)</f>
        <v>437</v>
      </c>
      <c r="E69" s="1032"/>
      <c r="F69" s="1065">
        <f t="shared" ref="F69:F76" ca="1" si="11">D69-C69</f>
        <v>0.84807448643340422</v>
      </c>
      <c r="G69" s="1036">
        <f t="shared" ref="G69:G76" ca="1" si="12">IF(ISERROR(D69/C69),"",D69/C69-1)</f>
        <v>1.9444474203220707E-3</v>
      </c>
      <c r="H69" s="1063"/>
      <c r="I69" s="1236">
        <f ca="1">INDIRECT("'op metrics'!"&amp;I$1&amp;$A69)</f>
        <v>440</v>
      </c>
      <c r="J69" s="1036">
        <f t="shared" ref="J69:J76" ca="1" si="13">IF(ISERROR(D69/I69),"",D69/I69-1)</f>
        <v>-6.8181818181818343E-3</v>
      </c>
      <c r="K69" s="1063"/>
      <c r="L69" s="1065">
        <f ca="1">INDIRECT("'op metrics'!"&amp;L$1&amp;$A69)</f>
        <v>402</v>
      </c>
      <c r="M69" s="1218">
        <f t="shared" ref="M69:M76" ca="1" si="14">IF(ISERROR(D69/L69),"",D69/L69-1)</f>
        <v>8.7064676616915415E-2</v>
      </c>
      <c r="N69" s="7"/>
      <c r="P69" s="2215">
        <v>465.6</v>
      </c>
      <c r="Q69" s="1099"/>
    </row>
    <row r="70" spans="1:17" s="9" customFormat="1" ht="6" customHeight="1">
      <c r="A70" s="1046"/>
      <c r="B70" s="1240"/>
      <c r="C70" s="1065"/>
      <c r="D70" s="1065"/>
      <c r="E70" s="1032"/>
      <c r="F70" s="1065"/>
      <c r="G70" s="1036"/>
      <c r="H70" s="1063"/>
      <c r="I70" s="1236"/>
      <c r="J70" s="1036"/>
      <c r="K70" s="1063"/>
      <c r="L70" s="1065"/>
      <c r="M70" s="1218"/>
      <c r="N70" s="7"/>
      <c r="P70" s="2215"/>
      <c r="Q70" s="1031"/>
    </row>
    <row r="71" spans="1:17" s="9" customFormat="1" ht="15">
      <c r="A71" s="1046">
        <f ca="1">CELL("row", 'Op Metrics'!A21)</f>
        <v>21</v>
      </c>
      <c r="B71" s="1240" t="s">
        <v>365</v>
      </c>
      <c r="C71" s="1065">
        <v>200.55</v>
      </c>
      <c r="D71" s="1065">
        <f ca="1">INDIRECT("'op metrics'!"&amp;D$1&amp;$A71)</f>
        <v>196</v>
      </c>
      <c r="E71" s="1032"/>
      <c r="F71" s="1065">
        <f t="shared" ca="1" si="11"/>
        <v>-4.5500000000000114</v>
      </c>
      <c r="G71" s="1036">
        <f t="shared" ca="1" si="12"/>
        <v>-2.2687609075043635E-2</v>
      </c>
      <c r="H71" s="1063"/>
      <c r="I71" s="1236">
        <f ca="1">INDIRECT("'op metrics'!"&amp;I$1&amp;$A71)</f>
        <v>197</v>
      </c>
      <c r="J71" s="1036">
        <f t="shared" ca="1" si="13"/>
        <v>-5.0761421319797106E-3</v>
      </c>
      <c r="K71" s="1063"/>
      <c r="L71" s="1065">
        <f ca="1">INDIRECT("'op metrics'!"&amp;L$1&amp;$A71)</f>
        <v>191</v>
      </c>
      <c r="M71" s="1218">
        <f t="shared" ca="1" si="14"/>
        <v>2.6178010471204161E-2</v>
      </c>
      <c r="N71" s="6"/>
      <c r="O71"/>
      <c r="P71" s="2215">
        <v>201.5</v>
      </c>
      <c r="Q71" s="1099"/>
    </row>
    <row r="72" spans="1:17" s="9" customFormat="1" ht="6" customHeight="1">
      <c r="A72" s="1046"/>
      <c r="B72" s="1235"/>
      <c r="C72" s="1065"/>
      <c r="D72" s="1065"/>
      <c r="E72" s="1032"/>
      <c r="F72" s="1065"/>
      <c r="G72" s="1036"/>
      <c r="H72" s="1063"/>
      <c r="I72" s="1236"/>
      <c r="J72" s="1036"/>
      <c r="K72" s="1063"/>
      <c r="L72" s="1065"/>
      <c r="M72" s="1218"/>
      <c r="N72" s="6"/>
      <c r="O72" s="1356"/>
      <c r="P72" s="2153"/>
      <c r="Q72" s="1031"/>
    </row>
    <row r="73" spans="1:17" s="9" customFormat="1" ht="15">
      <c r="A73" s="1046">
        <f ca="1">CELL("row", 'Op Metrics'!A14)</f>
        <v>14</v>
      </c>
      <c r="B73" s="1235" t="str">
        <f>'Op Metrics'!A14</f>
        <v>S&amp;P Dow Jones Indices</v>
      </c>
      <c r="C73" s="1065">
        <v>636.70192551356661</v>
      </c>
      <c r="D73" s="1065">
        <f ca="1">INDIRECT("'op metrics'!"&amp;D$1&amp;$A73)</f>
        <v>214</v>
      </c>
      <c r="E73" s="1032"/>
      <c r="F73" s="1065">
        <f ca="1">D73-C73</f>
        <v>-422.70192551356661</v>
      </c>
      <c r="G73" s="1036">
        <f ca="1">IF(ISERROR(D73/C73),"",D73/C73-1)</f>
        <v>-0.66389295928799541</v>
      </c>
      <c r="H73" s="1063"/>
      <c r="I73" s="1236">
        <f ca="1">INDIRECT("'op metrics'!"&amp;I$1&amp;$A73)</f>
        <v>191</v>
      </c>
      <c r="J73" s="1036">
        <f ca="1">IF(ISERROR(D73/I73),"",D73/I73-1)</f>
        <v>0.12041884816753923</v>
      </c>
      <c r="K73" s="1063"/>
      <c r="L73" s="1065">
        <f ca="1">INDIRECT("'op metrics'!"&amp;L$1&amp;$A73)</f>
        <v>171</v>
      </c>
      <c r="M73" s="1218">
        <f ca="1">IF(ISERROR(D73/L73),"",D73/L73-1)</f>
        <v>0.25146198830409361</v>
      </c>
      <c r="N73" s="6"/>
      <c r="O73"/>
      <c r="P73" s="2215">
        <v>191.3</v>
      </c>
      <c r="Q73" s="1099"/>
    </row>
    <row r="74" spans="1:17" s="9" customFormat="1" ht="6" customHeight="1">
      <c r="A74" s="1046"/>
      <c r="B74" s="1235"/>
      <c r="C74" s="1065"/>
      <c r="D74" s="1065"/>
      <c r="E74" s="1032"/>
      <c r="F74" s="1065"/>
      <c r="G74" s="1036"/>
      <c r="H74" s="1063"/>
      <c r="I74" s="1236"/>
      <c r="J74" s="1036"/>
      <c r="K74" s="1063"/>
      <c r="L74" s="1065"/>
      <c r="M74" s="1218"/>
      <c r="N74" s="6"/>
      <c r="O74"/>
      <c r="P74" s="2153"/>
      <c r="Q74" s="1031"/>
    </row>
    <row r="75" spans="1:17" s="9" customFormat="1" ht="15">
      <c r="A75" s="1046">
        <f ca="1">CELL("row", 'Op Metrics'!A25)</f>
        <v>25</v>
      </c>
      <c r="B75" s="1235" t="str">
        <f>'Op Metrics'!A25</f>
        <v>Intersegment Elimination</v>
      </c>
      <c r="C75" s="1100">
        <v>-28</v>
      </c>
      <c r="D75" s="1100">
        <f ca="1">INDIRECT("'op metrics'!"&amp;D$1&amp;$A75)</f>
        <v>-28</v>
      </c>
      <c r="E75" s="1039"/>
      <c r="F75" s="1100">
        <f t="shared" ca="1" si="11"/>
        <v>0</v>
      </c>
      <c r="G75" s="1040">
        <f t="shared" ca="1" si="12"/>
        <v>0</v>
      </c>
      <c r="H75" s="1063"/>
      <c r="I75" s="1214">
        <f ca="1">INDIRECT("'op metrics'!"&amp;I$1&amp;$A75)</f>
        <v>-28</v>
      </c>
      <c r="J75" s="1040">
        <f t="shared" ca="1" si="13"/>
        <v>0</v>
      </c>
      <c r="K75" s="1063"/>
      <c r="L75" s="1100">
        <f ca="1">INDIRECT("'op metrics'!"&amp;L$1&amp;$A75)</f>
        <v>-25</v>
      </c>
      <c r="M75" s="1238">
        <f t="shared" ca="1" si="14"/>
        <v>0.12000000000000011</v>
      </c>
      <c r="N75" s="6"/>
      <c r="O75"/>
      <c r="P75" s="2154"/>
      <c r="Q75" s="1031"/>
    </row>
    <row r="76" spans="1:17" ht="15">
      <c r="A76" s="1046">
        <f ca="1">CELL("row", 'Op Metrics'!A30)</f>
        <v>30</v>
      </c>
      <c r="B76" s="1239" t="s">
        <v>188</v>
      </c>
      <c r="C76" s="1089">
        <v>1545.2452467929197</v>
      </c>
      <c r="D76" s="1089">
        <f ca="1">INDIRECT("'op metrics'!"&amp;D$1&amp;$A76)</f>
        <v>1567</v>
      </c>
      <c r="E76" s="1033"/>
      <c r="F76" s="1089">
        <f t="shared" ca="1" si="11"/>
        <v>21.754753207080284</v>
      </c>
      <c r="G76" s="1034">
        <f t="shared" ca="1" si="12"/>
        <v>1.4078511648704994E-2</v>
      </c>
      <c r="H76" s="1090"/>
      <c r="I76" s="1089">
        <f ca="1">INDIRECT("'op metrics'!"&amp;I$1&amp;$A76)</f>
        <v>1589</v>
      </c>
      <c r="J76" s="1034">
        <f t="shared" ca="1" si="13"/>
        <v>-1.3845185651353065E-2</v>
      </c>
      <c r="K76" s="1090"/>
      <c r="L76" s="1089">
        <f ca="1">INDIRECT("'op metrics'!"&amp;L$1&amp;$A76)</f>
        <v>1453</v>
      </c>
      <c r="M76" s="1230">
        <f t="shared" ca="1" si="14"/>
        <v>7.8458362009635296E-2</v>
      </c>
      <c r="N76"/>
      <c r="O76"/>
      <c r="P76" s="2155"/>
      <c r="Q76" s="1101"/>
    </row>
    <row r="77" spans="1:17" ht="15">
      <c r="A77" s="1046"/>
      <c r="B77" s="1239"/>
      <c r="C77" s="1065"/>
      <c r="D77" s="1065"/>
      <c r="E77" s="1032"/>
      <c r="F77" s="1065"/>
      <c r="G77" s="1036"/>
      <c r="H77" s="1063"/>
      <c r="I77" s="951"/>
      <c r="J77" s="1036"/>
      <c r="K77" s="1063"/>
      <c r="L77" s="1065"/>
      <c r="M77" s="1218"/>
      <c r="N77"/>
      <c r="O77"/>
      <c r="P77" s="2153"/>
      <c r="Q77" s="1101"/>
    </row>
    <row r="78" spans="1:17" ht="15">
      <c r="A78" s="1046"/>
      <c r="B78" s="1239" t="s">
        <v>536</v>
      </c>
      <c r="C78" s="1102"/>
      <c r="D78" s="1102"/>
      <c r="E78" s="1032"/>
      <c r="F78" s="1065"/>
      <c r="G78" s="1036"/>
      <c r="H78" s="1063"/>
      <c r="I78" s="951"/>
      <c r="J78" s="1036"/>
      <c r="K78" s="1063"/>
      <c r="L78" s="1065"/>
      <c r="M78" s="1218" t="str">
        <f>IF(ISERROR(D78/L78),"",D78/L78-1)</f>
        <v/>
      </c>
      <c r="N78"/>
      <c r="O78"/>
      <c r="P78" s="2152"/>
      <c r="Q78" s="1101"/>
    </row>
    <row r="79" spans="1:17" ht="15">
      <c r="A79" s="1046">
        <f ca="1">CELL("row", 'Op Metrics'!A86)</f>
        <v>86</v>
      </c>
      <c r="B79" s="1235" t="str">
        <f>'Op Metrics'!A80</f>
        <v>Standard &amp; Poor's Ratings</v>
      </c>
      <c r="C79" s="1065">
        <v>391.43698253688314</v>
      </c>
      <c r="D79" s="1065">
        <f ca="1">INDIRECT("'op metrics'!"&amp;D$1&amp;$A79)</f>
        <v>408</v>
      </c>
      <c r="E79" s="1032"/>
      <c r="F79" s="1065">
        <f ca="1">D79-C79</f>
        <v>16.563017463116864</v>
      </c>
      <c r="G79" s="1036">
        <f ca="1">IF(ISERROR(D79/C79),"",D79/C79-1)</f>
        <v>4.2313368950917196E-2</v>
      </c>
      <c r="H79" s="1063"/>
      <c r="I79" s="1065">
        <f ca="1">INDIRECT("'op metrics'!"&amp;I$1&amp;$A79)</f>
        <v>439</v>
      </c>
      <c r="J79" s="1036">
        <f ca="1">IF(ISERROR(D79/I79),"",D79/I79-1)</f>
        <v>-7.0615034168564961E-2</v>
      </c>
      <c r="K79" s="1063"/>
      <c r="L79" s="1065">
        <f ca="1">INDIRECT("'op metrics'!"&amp;L$1&amp;$A79)</f>
        <v>379</v>
      </c>
      <c r="M79" s="1218">
        <f ca="1">IF(ISERROR(D79/L79),"",D79/L79-1)</f>
        <v>7.6517150395778444E-2</v>
      </c>
      <c r="N79"/>
      <c r="O79"/>
      <c r="P79" s="2152">
        <v>401</v>
      </c>
      <c r="Q79" s="1099"/>
    </row>
    <row r="80" spans="1:17" ht="15">
      <c r="A80" s="1046"/>
      <c r="B80" s="1240" t="s">
        <v>315</v>
      </c>
      <c r="C80" s="1038">
        <f>C79/C65</f>
        <v>0.53170090241334345</v>
      </c>
      <c r="D80" s="1038">
        <f ca="1">D79/D65</f>
        <v>0.54545454545454541</v>
      </c>
      <c r="E80" s="1032"/>
      <c r="F80" s="1068">
        <f ca="1">(D80-C80)*10000</f>
        <v>137.53643041201968</v>
      </c>
      <c r="G80" s="919"/>
      <c r="H80" s="1063"/>
      <c r="I80" s="1038">
        <f ca="1">I79/I65</f>
        <v>0.5564005069708492</v>
      </c>
      <c r="J80" s="1068">
        <f ca="1">(D80-I80)*10000</f>
        <v>-109.45961516303781</v>
      </c>
      <c r="K80" s="1063"/>
      <c r="L80" s="1038">
        <f ca="1">L79/L65</f>
        <v>0.53081232492997199</v>
      </c>
      <c r="M80" s="1077">
        <f ca="1">(D80-L80)*10000</f>
        <v>146.42220524573423</v>
      </c>
      <c r="N80"/>
      <c r="O80"/>
      <c r="P80" s="2216">
        <f>+P79/P65</f>
        <v>0.54365509761388287</v>
      </c>
      <c r="Q80" s="1103"/>
    </row>
    <row r="81" spans="1:17" ht="6" customHeight="1">
      <c r="A81" s="1046"/>
      <c r="B81" s="1241"/>
      <c r="C81" s="1038"/>
      <c r="D81" s="1038"/>
      <c r="E81" s="1032"/>
      <c r="F81" s="1068"/>
      <c r="G81" s="1036"/>
      <c r="H81" s="1063"/>
      <c r="I81" s="1038"/>
      <c r="J81" s="1068"/>
      <c r="K81" s="1063"/>
      <c r="L81" s="1038"/>
      <c r="M81" s="1077"/>
      <c r="N81"/>
      <c r="O81"/>
      <c r="P81" s="2152"/>
      <c r="Q81" s="1101"/>
    </row>
    <row r="82" spans="1:17" ht="15">
      <c r="A82" s="1046">
        <f ca="1">CELL("row", 'Op Metrics'!A104)</f>
        <v>104</v>
      </c>
      <c r="B82" s="1237" t="s">
        <v>535</v>
      </c>
      <c r="C82" s="1065">
        <v>241.88220571703943</v>
      </c>
      <c r="D82" s="1065">
        <f ca="1">INDIRECT("'op metrics'!"&amp;D$1&amp;$A82)</f>
        <v>224</v>
      </c>
      <c r="E82" s="1032"/>
      <c r="F82" s="1065">
        <f ca="1">D82-C82</f>
        <v>-17.882205717039426</v>
      </c>
      <c r="G82" s="1036">
        <f ca="1">IF(ISERROR(D82/C82),"",D82/C82-1)</f>
        <v>-7.3929397427268895E-2</v>
      </c>
      <c r="H82" s="1063"/>
      <c r="I82" s="1065">
        <f ca="1">INDIRECT("'op metrics'!"&amp;I$1&amp;$A82)</f>
        <v>233</v>
      </c>
      <c r="J82" s="1036">
        <f ca="1">IF(ISERROR(D82/I82),"",D82/I82-1)</f>
        <v>-3.8626609442060089E-2</v>
      </c>
      <c r="K82" s="1063"/>
      <c r="L82" s="1065">
        <f ca="1">INDIRECT("'op metrics'!"&amp;L$1&amp;$A82)</f>
        <v>223</v>
      </c>
      <c r="M82" s="1218">
        <f ca="1">IF(ISERROR(D82/L82),"",D82/L82-1)</f>
        <v>4.484304932735439E-3</v>
      </c>
      <c r="N82"/>
      <c r="O82"/>
      <c r="P82" s="2215">
        <v>238.1</v>
      </c>
      <c r="Q82" s="1099"/>
    </row>
    <row r="83" spans="1:17" ht="15">
      <c r="A83" s="1046"/>
      <c r="B83" s="1240" t="s">
        <v>315</v>
      </c>
      <c r="C83" s="1038">
        <f>+C82/C67</f>
        <v>1.2073246555258406</v>
      </c>
      <c r="D83" s="1038">
        <f ca="1">+D82/D67</f>
        <v>0.35387045813586099</v>
      </c>
      <c r="E83" s="1032"/>
      <c r="F83" s="1068">
        <f ca="1">(D83-C83)*10000</f>
        <v>-8534.5419738997971</v>
      </c>
      <c r="G83" s="1036"/>
      <c r="H83" s="1063"/>
      <c r="I83" s="1038">
        <f ca="1">I82/I67</f>
        <v>0.36577708006279436</v>
      </c>
      <c r="J83" s="1068">
        <f ca="1">(D83-I83)*10000</f>
        <v>-119.0662192693337</v>
      </c>
      <c r="K83" s="1063"/>
      <c r="L83" s="1038">
        <f ca="1">L82/L67</f>
        <v>0.37605396290050591</v>
      </c>
      <c r="M83" s="1077">
        <f ca="1">(D83-L83)*10000</f>
        <v>-221.83504764644923</v>
      </c>
      <c r="N83"/>
      <c r="O83"/>
      <c r="P83" s="2216">
        <f>+P82/P67</f>
        <v>0.37366603892027617</v>
      </c>
      <c r="Q83" s="1099"/>
    </row>
    <row r="84" spans="1:17" ht="6" customHeight="1">
      <c r="A84" s="1046"/>
      <c r="B84" s="1241"/>
      <c r="C84" s="1038"/>
      <c r="D84" s="1038"/>
      <c r="E84" s="1032"/>
      <c r="F84" s="1068"/>
      <c r="G84" s="1036"/>
      <c r="H84" s="1063"/>
      <c r="I84" s="1038"/>
      <c r="J84" s="1068"/>
      <c r="K84" s="1063"/>
      <c r="L84" s="1038"/>
      <c r="M84" s="1077"/>
      <c r="N84"/>
      <c r="O84"/>
      <c r="P84" s="2152"/>
      <c r="Q84" s="1101"/>
    </row>
    <row r="85" spans="1:17" ht="15">
      <c r="A85" s="1046">
        <f ca="1">CELL("row", 'Op Metrics'!A113)</f>
        <v>113</v>
      </c>
      <c r="B85" s="1240" t="s">
        <v>289</v>
      </c>
      <c r="C85" s="1065">
        <v>140.31915764448593</v>
      </c>
      <c r="D85" s="1065">
        <f ca="1">INDIRECT("'op metrics'!"&amp;D$1&amp;$A85)</f>
        <v>129</v>
      </c>
      <c r="E85" s="1032"/>
      <c r="F85" s="1065">
        <f ca="1">D85-C85</f>
        <v>-11.319157644485927</v>
      </c>
      <c r="G85" s="1036">
        <f ca="1">IF(ISERROR(D85/C85),"",D85/C85-1)</f>
        <v>-8.0667229154583908E-2</v>
      </c>
      <c r="H85" s="1063"/>
      <c r="I85" s="1065">
        <f ca="1">INDIRECT("'op metrics'!"&amp;I$1&amp;$A85)</f>
        <v>147</v>
      </c>
      <c r="J85" s="1036">
        <f ca="1">IF(ISERROR(D85/I85),"",D85/I85-1)</f>
        <v>-0.12244897959183676</v>
      </c>
      <c r="K85" s="1063"/>
      <c r="L85" s="1065">
        <f ca="1">INDIRECT("'op metrics'!"&amp;L$1&amp;$A85)</f>
        <v>125</v>
      </c>
      <c r="M85" s="1218">
        <f ca="1">IF(ISERROR(D85/L85),"",D85/L85-1)</f>
        <v>3.2000000000000028E-2</v>
      </c>
      <c r="N85" s="1356"/>
      <c r="O85" s="1356"/>
      <c r="P85" s="2215">
        <v>140.4</v>
      </c>
      <c r="Q85" s="1099"/>
    </row>
    <row r="86" spans="1:17" ht="15">
      <c r="A86" s="1046"/>
      <c r="B86" s="1241" t="s">
        <v>315</v>
      </c>
      <c r="C86" s="1038">
        <f>+C85/C69</f>
        <v>0.32172082578624606</v>
      </c>
      <c r="D86" s="1038">
        <f ca="1">+D85/D69</f>
        <v>0.29519450800915331</v>
      </c>
      <c r="E86" s="1032"/>
      <c r="F86" s="1068">
        <f ca="1">(D86-C86)*10000</f>
        <v>-265.26317777092743</v>
      </c>
      <c r="G86" s="1036"/>
      <c r="H86" s="1063"/>
      <c r="I86" s="1038">
        <f ca="1">+I85/I69</f>
        <v>0.33409090909090911</v>
      </c>
      <c r="J86" s="1068">
        <f ca="1">(D86-I86)*10000</f>
        <v>-388.96401081755795</v>
      </c>
      <c r="K86" s="1063"/>
      <c r="L86" s="1038">
        <f ca="1">+L85/L69</f>
        <v>0.31094527363184077</v>
      </c>
      <c r="M86" s="1077">
        <f ca="1">(D86-L86)*10000</f>
        <v>-157.50765622687456</v>
      </c>
      <c r="N86" s="1356"/>
      <c r="O86" s="1356"/>
      <c r="P86" s="2216">
        <f>+P85/P69</f>
        <v>0.3015463917525773</v>
      </c>
      <c r="Q86" s="1099"/>
    </row>
    <row r="87" spans="1:17" ht="6" customHeight="1">
      <c r="A87" s="1046"/>
      <c r="B87" s="2246"/>
      <c r="C87" s="1038"/>
      <c r="D87" s="1038"/>
      <c r="E87" s="1032"/>
      <c r="F87" s="1068"/>
      <c r="G87" s="1036"/>
      <c r="H87" s="1063"/>
      <c r="I87" s="1038"/>
      <c r="J87" s="1068"/>
      <c r="K87" s="1063"/>
      <c r="L87" s="1038"/>
      <c r="M87" s="1077"/>
      <c r="N87" s="1356"/>
      <c r="O87" s="1356"/>
      <c r="P87" s="2152"/>
      <c r="Q87" s="1101"/>
    </row>
    <row r="88" spans="1:17" ht="15">
      <c r="A88" s="1046">
        <f ca="1">CELL("row", 'Op Metrics'!A122)</f>
        <v>122</v>
      </c>
      <c r="B88" s="1240" t="s">
        <v>365</v>
      </c>
      <c r="C88" s="1065">
        <v>101.56304807255353</v>
      </c>
      <c r="D88" s="1065">
        <f ca="1">INDIRECT("'op metrics'!"&amp;D$1&amp;$A88)</f>
        <v>95</v>
      </c>
      <c r="E88" s="1032"/>
      <c r="F88" s="1065">
        <f ca="1">D88-C88</f>
        <v>-6.5630480725535278</v>
      </c>
      <c r="G88" s="1036">
        <f ca="1">IF(ISERROR(D88/C88),"",D88/C88-1)</f>
        <v>-6.4620432303932884E-2</v>
      </c>
      <c r="H88" s="1063"/>
      <c r="I88" s="1065">
        <f ca="1">INDIRECT("'op metrics'!"&amp;I$1&amp;$A88)</f>
        <v>86</v>
      </c>
      <c r="J88" s="1036">
        <f ca="1">IF(ISERROR(D88/I88),"",D88/I88-1)</f>
        <v>0.10465116279069764</v>
      </c>
      <c r="K88" s="1063"/>
      <c r="L88" s="1065">
        <f ca="1">INDIRECT("'op metrics'!"&amp;L$1&amp;$A88)</f>
        <v>98</v>
      </c>
      <c r="M88" s="1218">
        <f ca="1">IF(ISERROR(D88/L88),"",D88/L88-1)</f>
        <v>-3.0612244897959218E-2</v>
      </c>
      <c r="N88" s="1356"/>
      <c r="O88" s="1356"/>
      <c r="P88" s="2215">
        <v>95.6</v>
      </c>
      <c r="Q88" s="1099"/>
    </row>
    <row r="89" spans="1:17" ht="15">
      <c r="A89" s="1046"/>
      <c r="B89" s="1241" t="s">
        <v>315</v>
      </c>
      <c r="C89" s="1038">
        <f>+C88/C71</f>
        <v>0.50642257827251813</v>
      </c>
      <c r="D89" s="1038">
        <f ca="1">+D88/D71</f>
        <v>0.48469387755102039</v>
      </c>
      <c r="E89" s="1032"/>
      <c r="F89" s="1068">
        <f ca="1">(D89-C89)*10000</f>
        <v>-217.28700721497739</v>
      </c>
      <c r="G89" s="1036"/>
      <c r="H89" s="1063"/>
      <c r="I89" s="1038">
        <f ca="1">I88/I71</f>
        <v>0.43654822335025378</v>
      </c>
      <c r="J89" s="1068">
        <f ca="1">(D89-I89)*10000</f>
        <v>481.45654200766609</v>
      </c>
      <c r="K89" s="1063"/>
      <c r="L89" s="1038">
        <f ca="1">L88/L71</f>
        <v>0.51308900523560208</v>
      </c>
      <c r="M89" s="1077">
        <f ca="1">(D89-L89)*10000</f>
        <v>-283.95127684581689</v>
      </c>
      <c r="N89" s="1356"/>
      <c r="O89" s="1356"/>
      <c r="P89" s="2216">
        <f>+P88/P71</f>
        <v>0.4744416873449131</v>
      </c>
      <c r="Q89" s="1099"/>
    </row>
    <row r="90" spans="1:17" ht="6" customHeight="1">
      <c r="A90" s="1046"/>
      <c r="B90" s="1241"/>
      <c r="C90" s="1038"/>
      <c r="D90" s="1038"/>
      <c r="E90" s="1032"/>
      <c r="F90" s="1068"/>
      <c r="G90" s="1036"/>
      <c r="H90" s="1063"/>
      <c r="I90" s="1038"/>
      <c r="J90" s="1068"/>
      <c r="K90" s="1063"/>
      <c r="L90" s="1038"/>
      <c r="M90" s="1077"/>
      <c r="N90" s="1356"/>
      <c r="O90" s="1356"/>
      <c r="P90" s="2152"/>
      <c r="Q90" s="1101"/>
    </row>
    <row r="91" spans="1:17" ht="15">
      <c r="A91" s="1046">
        <f ca="1">CELL("row", 'Op Metrics'!A95)</f>
        <v>95</v>
      </c>
      <c r="B91" s="1237" t="str">
        <f>'Op Metrics'!A89</f>
        <v>S&amp;P Dow Jones Indices</v>
      </c>
      <c r="C91" s="1065">
        <v>139.73881415064275</v>
      </c>
      <c r="D91" s="1065">
        <f ca="1">INDIRECT("'op metrics'!"&amp;D$1&amp;$A91)</f>
        <v>149</v>
      </c>
      <c r="E91" s="1032"/>
      <c r="F91" s="1065">
        <f ca="1">D91-C91</f>
        <v>9.261185849357247</v>
      </c>
      <c r="G91" s="1036">
        <f ca="1">IF(ISERROR(D91/C91),"",D91/C91-1)</f>
        <v>6.6274970956697876E-2</v>
      </c>
      <c r="H91" s="1063"/>
      <c r="I91" s="1065">
        <f ca="1">INDIRECT("'op metrics'!"&amp;I$1&amp;$A91)</f>
        <v>122</v>
      </c>
      <c r="J91" s="1036">
        <f ca="1">IF(ISERROR(D91/I91),"",D91/I91-1)</f>
        <v>0.22131147540983598</v>
      </c>
      <c r="K91" s="1063"/>
      <c r="L91" s="1065">
        <f ca="1">INDIRECT("'op metrics'!"&amp;L$1&amp;$A91)</f>
        <v>116</v>
      </c>
      <c r="M91" s="1218">
        <f ca="1">IF(ISERROR(D91/L91),"",D91/L91-1)</f>
        <v>0.28448275862068972</v>
      </c>
      <c r="N91"/>
      <c r="O91"/>
      <c r="P91" s="2215">
        <v>131.9</v>
      </c>
      <c r="Q91" s="1099"/>
    </row>
    <row r="92" spans="1:17" ht="15">
      <c r="A92" s="1046"/>
      <c r="B92" s="1240" t="s">
        <v>315</v>
      </c>
      <c r="C92" s="1038">
        <f>C91/C73</f>
        <v>0.21947289391017438</v>
      </c>
      <c r="D92" s="1038">
        <f ca="1">D91/D73</f>
        <v>0.69626168224299068</v>
      </c>
      <c r="E92" s="1032"/>
      <c r="F92" s="1068">
        <f ca="1">(D92-C92)*10000</f>
        <v>4767.8878833281633</v>
      </c>
      <c r="G92" s="1036"/>
      <c r="H92" s="1063"/>
      <c r="I92" s="1038">
        <f ca="1">I91/I73</f>
        <v>0.63874345549738221</v>
      </c>
      <c r="J92" s="1068">
        <f ca="1">(D92-I92)*10000</f>
        <v>575.18226745608467</v>
      </c>
      <c r="K92" s="1063"/>
      <c r="L92" s="1038">
        <f ca="1">L91/L73</f>
        <v>0.67836257309941517</v>
      </c>
      <c r="M92" s="1077">
        <f ca="1">(D92-L92)*10000</f>
        <v>178.9910914357551</v>
      </c>
      <c r="N92"/>
      <c r="O92"/>
      <c r="P92" s="2217">
        <f>+P91/P73</f>
        <v>0.68949294302143227</v>
      </c>
      <c r="Q92" s="1103"/>
    </row>
    <row r="93" spans="1:17" ht="6" customHeight="1">
      <c r="A93" s="1046"/>
      <c r="B93" s="1241"/>
      <c r="C93" s="1038"/>
      <c r="D93" s="1038"/>
      <c r="E93" s="1032"/>
      <c r="F93" s="1068"/>
      <c r="G93" s="1036"/>
      <c r="H93" s="1063"/>
      <c r="I93" s="1038"/>
      <c r="J93" s="1068"/>
      <c r="K93" s="1063"/>
      <c r="L93" s="1038"/>
      <c r="M93" s="1077"/>
      <c r="N93"/>
      <c r="O93"/>
      <c r="P93"/>
      <c r="Q93" s="1101"/>
    </row>
    <row r="94" spans="1:17" ht="15">
      <c r="A94" s="1046">
        <f ca="1">CELL("row", 'Op Metrics'!A136)</f>
        <v>136</v>
      </c>
      <c r="B94" s="1235" t="str">
        <f>+'Op Metrics'!A136</f>
        <v>Unallocated expense, ex one-time items</v>
      </c>
      <c r="C94" s="1065">
        <v>-49</v>
      </c>
      <c r="D94" s="1065">
        <f ca="1">INDIRECT("'op metrics'!"&amp;D$1&amp;$A94)</f>
        <v>-46</v>
      </c>
      <c r="E94" s="1032"/>
      <c r="F94" s="1065">
        <f ca="1">D94-C94</f>
        <v>3</v>
      </c>
      <c r="G94" s="1036">
        <f ca="1">IF(ISERROR(D94/C94),"",D94/C94-1)</f>
        <v>-6.1224489795918324E-2</v>
      </c>
      <c r="H94" s="1063"/>
      <c r="I94" s="1065">
        <f ca="1">INDIRECT("'op metrics'!"&amp;I$1&amp;$A94)</f>
        <v>-41</v>
      </c>
      <c r="J94" s="1036"/>
      <c r="K94" s="1063"/>
      <c r="L94" s="1065">
        <f ca="1">INDIRECT("'op metrics'!"&amp;L$1&amp;$A94)</f>
        <v>-29</v>
      </c>
      <c r="M94" s="1218"/>
      <c r="N94"/>
      <c r="O94"/>
      <c r="P94"/>
      <c r="Q94" s="1099"/>
    </row>
    <row r="95" spans="1:17" ht="6" customHeight="1">
      <c r="A95" s="1046"/>
      <c r="B95" s="1241"/>
      <c r="C95" s="191"/>
      <c r="D95" s="191"/>
      <c r="E95" s="92"/>
      <c r="F95" s="1068"/>
      <c r="G95" s="1036"/>
      <c r="H95" s="1063"/>
      <c r="I95" s="191"/>
      <c r="J95" s="1068"/>
      <c r="K95" s="1063"/>
      <c r="L95" s="191"/>
      <c r="M95" s="1077"/>
      <c r="N95"/>
      <c r="O95"/>
      <c r="P95"/>
    </row>
    <row r="96" spans="1:17" ht="15">
      <c r="A96" s="1046">
        <f ca="1">CELL("row", 'Op Metrics'!A137)</f>
        <v>137</v>
      </c>
      <c r="B96" s="1239" t="str">
        <f>+'Op Metrics'!A137</f>
        <v>Operating Income, as Adjusted</v>
      </c>
      <c r="C96" s="1089">
        <f>+C101+C99</f>
        <v>724.05800240456529</v>
      </c>
      <c r="D96" s="1089">
        <f ca="1">INDIRECT("'op metrics'!"&amp;D$1&amp;$A96)</f>
        <v>735</v>
      </c>
      <c r="E96" s="1033"/>
      <c r="F96" s="1089">
        <f ca="1">D96-C96</f>
        <v>10.941997595434714</v>
      </c>
      <c r="G96" s="1034">
        <f ca="1">IF(ISERROR(D96/C96),"",D96/C96-1)</f>
        <v>1.5112045663602691E-2</v>
      </c>
      <c r="H96" s="1063"/>
      <c r="I96" s="1089">
        <f ca="1">INDIRECT("'op metrics'!"&amp;I$1&amp;$A96)</f>
        <v>753</v>
      </c>
      <c r="J96" s="1034">
        <f ca="1">IF(ISERROR(D96/I96),"",D96/I96-1)</f>
        <v>-2.3904382470119501E-2</v>
      </c>
      <c r="K96" s="1063"/>
      <c r="L96" s="1089">
        <f ca="1">INDIRECT("'op metrics'!"&amp;L$1&amp;$A96)</f>
        <v>689</v>
      </c>
      <c r="M96" s="1230">
        <f ca="1">IF(ISERROR(D96/L96),"",D96/L96-1)</f>
        <v>6.676342525399126E-2</v>
      </c>
      <c r="N96"/>
      <c r="O96"/>
      <c r="P96"/>
    </row>
    <row r="97" spans="1:16" ht="15">
      <c r="B97" s="2151" t="s">
        <v>315</v>
      </c>
      <c r="C97" s="1080">
        <f>C96/C76</f>
        <v>0.46857157717023362</v>
      </c>
      <c r="D97" s="1080">
        <f ca="1">D96/D76</f>
        <v>0.46904913848117424</v>
      </c>
      <c r="E97" s="1039"/>
      <c r="F97" s="1083">
        <f ca="1">(D97-C97)*10000</f>
        <v>4.7756131094062182</v>
      </c>
      <c r="G97" s="1040"/>
      <c r="H97" s="1082"/>
      <c r="I97" s="1080">
        <f ca="1">I96/I76</f>
        <v>0.47388294524858404</v>
      </c>
      <c r="J97" s="1083">
        <f ca="1">(D97-I97)*10000</f>
        <v>-48.338067674097985</v>
      </c>
      <c r="K97" s="1082"/>
      <c r="L97" s="1080">
        <f ca="1">L96/L76</f>
        <v>0.47419132828630423</v>
      </c>
      <c r="M97" s="1084">
        <f ca="1">(D97-L97)*10000</f>
        <v>-51.42189805129982</v>
      </c>
      <c r="N97"/>
      <c r="O97"/>
      <c r="P97"/>
    </row>
    <row r="98" spans="1:16" ht="6" hidden="1" customHeight="1">
      <c r="A98" s="1046"/>
      <c r="B98"/>
      <c r="C98"/>
      <c r="D98"/>
      <c r="E98"/>
      <c r="F98"/>
      <c r="G98"/>
      <c r="H98"/>
      <c r="I98"/>
      <c r="J98"/>
      <c r="K98"/>
      <c r="L98"/>
      <c r="M98"/>
      <c r="N98" s="11"/>
      <c r="O98" s="919"/>
      <c r="P98"/>
    </row>
    <row r="99" spans="1:16" ht="15" hidden="1">
      <c r="A99" s="1046">
        <f ca="1">CELL("row", MHFI!A36)</f>
        <v>36</v>
      </c>
      <c r="B99" s="1235" t="str">
        <f>+MHFI!A36</f>
        <v>Amortization</v>
      </c>
      <c r="C99" s="1065">
        <v>23.75</v>
      </c>
      <c r="D99" s="1065">
        <f ca="1">INDIRECT("'MHFI'!"&amp;D$1&amp;$A99)</f>
        <v>24</v>
      </c>
      <c r="E99" s="1032"/>
      <c r="F99" s="1065">
        <f ca="1">D99-C99</f>
        <v>0.25</v>
      </c>
      <c r="G99" s="1036">
        <f ca="1">IF(ISERROR(D99/C99),"",D99/C99-1)</f>
        <v>1.0526315789473717E-2</v>
      </c>
      <c r="H99" s="1063"/>
      <c r="I99" s="1065">
        <f ca="1">INDIRECT("'MHFI'!"&amp;I$1&amp;$A99)</f>
        <v>25</v>
      </c>
      <c r="J99" s="1036">
        <f ca="1">IF(ISERROR(D99/I99),"",D99/I99-1)</f>
        <v>-4.0000000000000036E-2</v>
      </c>
      <c r="K99" s="1063"/>
      <c r="L99" s="1065">
        <f ca="1">INDIRECT("'MHFI'!"&amp;L$1&amp;$A99)</f>
        <v>24</v>
      </c>
      <c r="M99" s="1036">
        <f ca="1">IF(ISERROR(D99/L99),"",D99/L99-1)</f>
        <v>0</v>
      </c>
      <c r="N99" s="11"/>
      <c r="O99" s="1106"/>
      <c r="P99" s="1065"/>
    </row>
    <row r="100" spans="1:16" ht="6" hidden="1" customHeight="1">
      <c r="A100" s="1046"/>
      <c r="B100" s="1241"/>
      <c r="C100" s="191"/>
      <c r="D100" s="191"/>
      <c r="E100" s="92"/>
      <c r="F100" s="1068"/>
      <c r="G100" s="1036"/>
      <c r="H100" s="1063"/>
      <c r="I100" s="191"/>
      <c r="J100" s="1068"/>
      <c r="K100" s="1063"/>
      <c r="L100" s="191"/>
      <c r="M100" s="1068"/>
      <c r="N100" s="11"/>
      <c r="O100" s="919"/>
      <c r="P100" s="191"/>
    </row>
    <row r="101" spans="1:16" s="1106" customFormat="1" hidden="1">
      <c r="A101" s="1046">
        <f ca="1">CELL("row", MHFI!A39)</f>
        <v>39</v>
      </c>
      <c r="B101" s="1242" t="str">
        <f>+'Op Metrics'!A142</f>
        <v>Operating Income, as Reported</v>
      </c>
      <c r="C101" s="1104">
        <v>700.30800240456529</v>
      </c>
      <c r="D101" s="1104">
        <f ca="1">INDIRECT("'MHFI'!"&amp;D$1&amp;$A101)</f>
        <v>711</v>
      </c>
      <c r="E101" s="1033"/>
      <c r="F101" s="1065">
        <f ca="1">D101-C101</f>
        <v>10.691997595434714</v>
      </c>
      <c r="G101" s="1036">
        <f ca="1">IF(ISERROR(D101/C101),"",D101/C101-1)</f>
        <v>1.5267564498367747E-2</v>
      </c>
      <c r="H101" s="1063"/>
      <c r="I101" s="1104">
        <f ca="1">INDIRECT("'MHFI'!"&amp;I$1&amp;$A101)</f>
        <v>727</v>
      </c>
      <c r="J101" s="1036">
        <f ca="1">IF(ISERROR(D101/I101),"",D101/I101-1)</f>
        <v>-2.2008253094910613E-2</v>
      </c>
      <c r="K101" s="1063"/>
      <c r="L101" s="1104">
        <f ca="1">INDIRECT("'MHFI'!"&amp;L$1&amp;$A101)</f>
        <v>665</v>
      </c>
      <c r="M101" s="1036">
        <f ca="1">IF(ISERROR(D101/L101),"",D101/L101-1)</f>
        <v>6.9172932330826997E-2</v>
      </c>
      <c r="N101" s="1105"/>
      <c r="P101" s="1104"/>
    </row>
    <row r="102" spans="1:16" s="4" customFormat="1" ht="15" hidden="1">
      <c r="A102" s="1107"/>
      <c r="B102" s="1240" t="s">
        <v>315</v>
      </c>
      <c r="C102" s="1038">
        <f>C101/C76</f>
        <v>0.45320184861142271</v>
      </c>
      <c r="D102" s="1038">
        <f ca="1">D101/D76</f>
        <v>0.45373324824505423</v>
      </c>
      <c r="E102" s="1032"/>
      <c r="F102" s="1068">
        <f ca="1">(D102-C102)*10000</f>
        <v>5.3139963363152409</v>
      </c>
      <c r="G102" s="1036"/>
      <c r="H102" s="1063"/>
      <c r="I102">
        <f ca="1">I101/I76</f>
        <v>0.45752045311516676</v>
      </c>
      <c r="J102" s="1068">
        <f ca="1">(D102-I102)*10000</f>
        <v>-37.872048701125259</v>
      </c>
      <c r="K102" s="1063"/>
      <c r="L102">
        <f ca="1">L101/L76</f>
        <v>0.45767377838953888</v>
      </c>
      <c r="M102" s="1068">
        <f ca="1">(D102-L102)*10000</f>
        <v>-39.405301444846444</v>
      </c>
      <c r="N102" s="10"/>
      <c r="P102" s="1038"/>
    </row>
    <row r="103" spans="1:16" s="4" customFormat="1" ht="6" hidden="1" customHeight="1">
      <c r="A103" s="1107"/>
      <c r="B103" s="454"/>
      <c r="C103" s="191"/>
      <c r="D103" s="191"/>
      <c r="E103" s="92"/>
      <c r="F103" s="1068"/>
      <c r="G103" s="1036"/>
      <c r="H103" s="1036"/>
      <c r="I103" s="1036"/>
      <c r="J103" s="1036"/>
      <c r="K103" s="1036"/>
      <c r="L103" s="191"/>
      <c r="M103" s="1068"/>
      <c r="N103" s="10"/>
      <c r="P103" s="1104"/>
    </row>
    <row r="104" spans="1:16" ht="15">
      <c r="B104" s="454"/>
      <c r="C104" s="1108"/>
      <c r="D104" s="1108"/>
      <c r="E104" s="1108"/>
      <c r="F104" s="1108"/>
      <c r="H104" s="1108"/>
      <c r="I104" s="1108"/>
      <c r="J104" s="1108"/>
      <c r="K104" s="1108"/>
      <c r="L104" s="1108"/>
      <c r="M104" s="1108"/>
    </row>
    <row r="105" spans="1:16" ht="15">
      <c r="C105" s="1108"/>
      <c r="D105" s="1108"/>
      <c r="E105" s="1108"/>
      <c r="F105" s="1108"/>
      <c r="H105" s="1108"/>
      <c r="I105" s="1108"/>
      <c r="J105" s="1108"/>
      <c r="K105" s="1108"/>
      <c r="L105" s="1108"/>
      <c r="M105" s="1108"/>
    </row>
    <row r="106" spans="1:16" ht="15" hidden="1" outlineLevel="1">
      <c r="B106" s="2156" t="s">
        <v>471</v>
      </c>
      <c r="C106" s="2157" t="s">
        <v>560</v>
      </c>
      <c r="D106" s="2157" t="s">
        <v>481</v>
      </c>
      <c r="E106" s="1108"/>
      <c r="F106" s="1108"/>
      <c r="H106" s="1108"/>
      <c r="I106" s="1108"/>
      <c r="J106" s="1108"/>
      <c r="K106" s="1108"/>
      <c r="L106" s="1108"/>
      <c r="M106" s="1108"/>
    </row>
    <row r="107" spans="1:16" hidden="1" outlineLevel="1">
      <c r="B107" s="1109" t="s">
        <v>186</v>
      </c>
      <c r="C107" s="1043">
        <f>_xll.ThomsonONEAddinShim.SpreadsheetFormulas.TF("SPGI-US","TF.ES.SALES.Mean(period=#1,scale=6)","",C$106)</f>
        <v>1534</v>
      </c>
      <c r="D107" s="1110">
        <f ca="1">D7/C107-1</f>
        <v>2.1512385919165489E-2</v>
      </c>
    </row>
    <row r="108" spans="1:16" hidden="1" outlineLevel="1">
      <c r="B108" s="1109" t="s">
        <v>71</v>
      </c>
      <c r="C108" s="1043">
        <f>_xll.ThomsonONEAddinShim.SpreadsheetFormulas.TF("SPGI-US","TF.ES.EBITDA.Mean(period=#1,scale=6)","",C$106)</f>
        <v>754</v>
      </c>
      <c r="D108" s="1110">
        <f ca="1">D20/C108-1</f>
        <v>2.6525198938991412E-3</v>
      </c>
    </row>
    <row r="109" spans="1:16" hidden="1" outlineLevel="1">
      <c r="B109" s="1030" t="s">
        <v>472</v>
      </c>
      <c r="C109" s="1043">
        <f>_xll.ThomsonONEAddinShim.SpreadsheetFormulas.TF("SPGI-US","TF.ES.EBIT.Mean(period=#1,scale=6)","",C$106)</f>
        <v>726</v>
      </c>
      <c r="D109" s="1110">
        <f ca="1">D29/C109-1</f>
        <v>-2.0661157024793431E-2</v>
      </c>
    </row>
    <row r="110" spans="1:16" hidden="1" outlineLevel="1">
      <c r="B110" s="1109" t="s">
        <v>454</v>
      </c>
      <c r="C110" s="1044" t="str">
        <f>_xll.ThomsonONEAddinShim.SpreadsheetFormulas.TF("SPGI-US","TF.ES.EPS.Mean(period=#1)","",C$106)</f>
        <v xml:space="preserve">$1.97 </v>
      </c>
      <c r="D110" s="1110">
        <f ca="1">D60/C110-1</f>
        <v>1.5627494173610534E-2</v>
      </c>
    </row>
    <row r="111" spans="1:16" hidden="1" outlineLevel="1">
      <c r="B111" s="1109" t="s">
        <v>473</v>
      </c>
      <c r="C111" s="1045">
        <f>+C109/C107</f>
        <v>0.47327249022164275</v>
      </c>
      <c r="D111" s="990">
        <f ca="1">D30</f>
        <v>0.45373324824505423</v>
      </c>
    </row>
    <row r="112" spans="1:16" collapsed="1"/>
  </sheetData>
  <pageMargins left="0" right="0" top="0" bottom="0" header="0" footer="0"/>
  <pageSetup paperSize="5"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002978"/>
    <pageSetUpPr fitToPage="1"/>
  </sheetPr>
  <dimension ref="A1:M21"/>
  <sheetViews>
    <sheetView workbookViewId="0"/>
  </sheetViews>
  <sheetFormatPr defaultRowHeight="12.75"/>
  <cols>
    <col min="1" max="1" width="9.140625" style="1115"/>
    <col min="2" max="2" width="23.7109375" style="1115" customWidth="1"/>
    <col min="3" max="6" width="9.140625" style="1115"/>
    <col min="7" max="7" width="14.7109375" style="1115" customWidth="1"/>
    <col min="8" max="16384" width="9.140625" style="1115"/>
  </cols>
  <sheetData>
    <row r="1" spans="1:13">
      <c r="A1" s="1112"/>
      <c r="B1" s="1031"/>
      <c r="C1" s="1"/>
      <c r="D1" s="1113"/>
      <c r="E1" s="1031"/>
      <c r="F1" s="1031"/>
      <c r="G1" s="1031"/>
      <c r="H1" s="1114"/>
      <c r="I1" s="1114"/>
      <c r="J1" s="1114"/>
      <c r="K1" s="1114"/>
      <c r="L1" s="1114"/>
      <c r="M1" s="1114"/>
    </row>
    <row r="2" spans="1:13">
      <c r="A2" s="1"/>
      <c r="B2" s="1031"/>
      <c r="C2" s="1"/>
      <c r="D2" s="1031"/>
      <c r="E2" s="1031"/>
      <c r="F2" s="1031"/>
      <c r="G2" s="1031"/>
      <c r="H2" s="1114"/>
      <c r="I2" s="1114"/>
      <c r="J2" s="1114"/>
      <c r="K2" s="1116"/>
      <c r="L2" s="1116"/>
      <c r="M2" s="1114"/>
    </row>
    <row r="3" spans="1:13" ht="33.75">
      <c r="A3" s="1184" t="s">
        <v>488</v>
      </c>
      <c r="B3" s="1185"/>
      <c r="C3" s="1185"/>
      <c r="D3" s="1186" t="s">
        <v>552</v>
      </c>
      <c r="E3" s="1187" t="s">
        <v>489</v>
      </c>
      <c r="F3" s="1186" t="s">
        <v>490</v>
      </c>
      <c r="G3" s="1188" t="s">
        <v>491</v>
      </c>
      <c r="H3" s="1117"/>
      <c r="I3" s="1118"/>
      <c r="J3" s="1117"/>
      <c r="K3" s="1117"/>
      <c r="L3" s="1117"/>
      <c r="M3" s="1119"/>
    </row>
    <row r="4" spans="1:13" s="1031" customFormat="1" ht="4.5" customHeight="1">
      <c r="A4" s="1309"/>
      <c r="B4" s="1310"/>
      <c r="C4" s="1310"/>
      <c r="D4" s="1118"/>
      <c r="E4" s="1117"/>
      <c r="F4" s="1118"/>
      <c r="G4" s="1119"/>
      <c r="H4" s="970"/>
      <c r="I4" s="1"/>
      <c r="J4" s="1"/>
      <c r="K4" s="1"/>
    </row>
    <row r="5" spans="1:13" ht="33.75">
      <c r="A5" s="1120"/>
      <c r="B5" s="1183" t="s">
        <v>492</v>
      </c>
      <c r="C5" s="1183"/>
      <c r="D5" s="1312" t="s">
        <v>553</v>
      </c>
      <c r="E5" s="1121"/>
      <c r="F5" s="1121"/>
      <c r="G5" s="1121"/>
      <c r="H5" s="1121"/>
      <c r="I5" s="1121"/>
      <c r="J5" s="1121"/>
      <c r="K5" s="1121"/>
      <c r="L5" s="1121"/>
      <c r="M5" s="1121"/>
    </row>
    <row r="6" spans="1:13">
      <c r="A6" s="1120"/>
      <c r="B6" s="1120"/>
      <c r="C6" s="1120"/>
      <c r="D6" s="1120"/>
      <c r="E6" s="1120"/>
      <c r="F6" s="1120"/>
      <c r="G6" s="1120"/>
      <c r="H6" s="1114"/>
      <c r="I6" s="1114"/>
      <c r="J6" s="1114"/>
      <c r="K6" s="1114"/>
      <c r="L6" s="1114"/>
      <c r="M6" s="1114"/>
    </row>
    <row r="7" spans="1:13">
      <c r="A7" s="1120"/>
      <c r="B7" s="1122" t="s">
        <v>482</v>
      </c>
      <c r="C7" s="1123"/>
      <c r="D7" s="1124">
        <v>1457.8496287634657</v>
      </c>
      <c r="E7" s="1125">
        <v>20.51235208636286</v>
      </c>
      <c r="F7" s="1126">
        <v>29903.924874169596</v>
      </c>
      <c r="G7" s="1120" t="s">
        <v>483</v>
      </c>
      <c r="H7" s="1114"/>
      <c r="I7" s="1114"/>
      <c r="J7" s="1127"/>
      <c r="K7" s="1128"/>
      <c r="L7" s="1129"/>
      <c r="M7" s="1114"/>
    </row>
    <row r="8" spans="1:13">
      <c r="A8" s="1120"/>
      <c r="B8" s="1122" t="s">
        <v>547</v>
      </c>
      <c r="C8" s="1123"/>
      <c r="D8" s="1124">
        <v>777.2459826372434</v>
      </c>
      <c r="E8" s="1125">
        <v>18.669979070997215</v>
      </c>
      <c r="F8" s="1126">
        <v>14511.166228853999</v>
      </c>
      <c r="G8" s="1120" t="s">
        <v>556</v>
      </c>
      <c r="H8" s="1114"/>
      <c r="I8" s="1114"/>
      <c r="J8" s="1127"/>
      <c r="K8" s="1128"/>
      <c r="L8" s="1129"/>
      <c r="M8" s="1114"/>
    </row>
    <row r="9" spans="1:13">
      <c r="A9" s="1120"/>
      <c r="B9" s="1122" t="s">
        <v>290</v>
      </c>
      <c r="C9" s="1123"/>
      <c r="D9" s="1130">
        <v>384.07615701039612</v>
      </c>
      <c r="E9" s="1125">
        <v>26.666666666669332</v>
      </c>
      <c r="F9" s="1126">
        <v>10242.030853611586</v>
      </c>
      <c r="G9" s="1120" t="s">
        <v>484</v>
      </c>
      <c r="H9" s="1114"/>
      <c r="I9" s="1114"/>
      <c r="J9" s="1127"/>
      <c r="K9" s="1128"/>
      <c r="L9" s="1129"/>
      <c r="M9" s="1114"/>
    </row>
    <row r="10" spans="1:13">
      <c r="A10" s="1120"/>
      <c r="B10" s="1133" t="s">
        <v>493</v>
      </c>
      <c r="C10" s="1134"/>
      <c r="D10" s="1126">
        <v>2619.1717684111049</v>
      </c>
      <c r="E10" s="1125"/>
      <c r="F10" s="1126">
        <v>54657.121956635179</v>
      </c>
      <c r="G10" s="1131"/>
      <c r="H10" s="1114"/>
      <c r="I10" s="1114"/>
      <c r="J10" s="1127"/>
      <c r="K10" s="1128"/>
      <c r="L10" s="1129"/>
      <c r="M10" s="1114"/>
    </row>
    <row r="11" spans="1:13">
      <c r="A11" s="1120"/>
      <c r="B11" s="1132" t="s">
        <v>494</v>
      </c>
      <c r="C11" s="1132"/>
      <c r="D11" s="1137">
        <v>-320.047597850697</v>
      </c>
      <c r="E11" s="1138">
        <v>20.868093729412941</v>
      </c>
      <c r="F11" s="1139">
        <v>-6678.7832698218044</v>
      </c>
      <c r="G11" s="1131"/>
      <c r="H11" s="1114"/>
      <c r="I11" s="1114"/>
      <c r="J11" s="1135"/>
      <c r="K11" s="1136"/>
      <c r="L11" s="1129"/>
      <c r="M11" s="1114"/>
    </row>
    <row r="12" spans="1:13">
      <c r="A12" s="1120"/>
      <c r="B12" s="1141" t="s">
        <v>297</v>
      </c>
      <c r="C12" s="1142"/>
      <c r="D12" s="1143">
        <v>2299.1241705604079</v>
      </c>
      <c r="E12" s="1125">
        <v>20.868093729412941</v>
      </c>
      <c r="F12" s="1143">
        <v>47978.338686813375</v>
      </c>
      <c r="G12" s="1143"/>
      <c r="H12" s="1140"/>
      <c r="I12" s="1129"/>
      <c r="J12" s="1135"/>
      <c r="K12" s="1140"/>
      <c r="L12" s="1129"/>
      <c r="M12" s="1114"/>
    </row>
    <row r="13" spans="1:13">
      <c r="A13" s="1120"/>
      <c r="B13" s="1147"/>
      <c r="C13" s="1120"/>
      <c r="D13" s="1148"/>
      <c r="E13" s="1120"/>
      <c r="F13" s="1120"/>
      <c r="G13" s="1120"/>
      <c r="H13" s="1125"/>
      <c r="I13" s="1144"/>
      <c r="J13" s="1145"/>
      <c r="K13" s="1125"/>
      <c r="L13" s="1146"/>
      <c r="M13" s="1146"/>
    </row>
    <row r="14" spans="1:13">
      <c r="A14" s="1120"/>
      <c r="B14" s="1142"/>
      <c r="C14" s="1120"/>
      <c r="D14" s="1120"/>
      <c r="E14" s="1150"/>
      <c r="F14" s="1150"/>
      <c r="G14" s="1151"/>
      <c r="H14" s="1114"/>
      <c r="I14" s="1114"/>
      <c r="J14" s="1114"/>
      <c r="K14" s="1149"/>
      <c r="L14" s="1149"/>
      <c r="M14" s="1114"/>
    </row>
    <row r="15" spans="1:13">
      <c r="A15" s="1120"/>
      <c r="B15" s="1142"/>
      <c r="C15" s="1120"/>
      <c r="D15" s="1153"/>
      <c r="E15" s="1154"/>
      <c r="F15" s="1154"/>
      <c r="G15" s="1154"/>
      <c r="H15" s="1152"/>
      <c r="I15" s="1152"/>
      <c r="J15" s="1152"/>
      <c r="K15" s="1149"/>
      <c r="L15" s="1149"/>
      <c r="M15" s="1145"/>
    </row>
    <row r="16" spans="1:13">
      <c r="A16" s="1120"/>
      <c r="B16" s="970" t="s">
        <v>422</v>
      </c>
      <c r="C16" s="1120"/>
      <c r="D16" s="1145"/>
      <c r="E16" s="1120"/>
      <c r="F16" s="1126">
        <v>47978.338686813375</v>
      </c>
      <c r="G16" s="1157"/>
      <c r="H16" s="1154"/>
      <c r="I16" s="1154"/>
      <c r="J16" s="1155"/>
      <c r="K16" s="1114"/>
      <c r="L16" s="1156"/>
      <c r="M16" s="1154"/>
    </row>
    <row r="17" spans="1:13">
      <c r="A17" s="1120"/>
      <c r="B17" s="970" t="s">
        <v>495</v>
      </c>
      <c r="C17" s="1120"/>
      <c r="D17" s="1150"/>
      <c r="E17" s="1120"/>
      <c r="F17" s="1150">
        <v>246.3423597827537</v>
      </c>
      <c r="G17" s="1120"/>
      <c r="H17" s="1114"/>
      <c r="I17" s="1129"/>
      <c r="J17" s="1114"/>
      <c r="K17" s="1145"/>
      <c r="L17" s="1129"/>
      <c r="M17" s="1158"/>
    </row>
    <row r="18" spans="1:13" ht="13.5" thickBot="1">
      <c r="A18" s="1120"/>
      <c r="B18" s="970"/>
      <c r="C18" s="1120"/>
      <c r="D18" s="1150"/>
      <c r="E18" s="1120"/>
      <c r="F18" s="1159"/>
      <c r="G18" s="1120"/>
      <c r="H18" s="1114"/>
      <c r="I18" s="1144"/>
      <c r="J18" s="1114"/>
      <c r="K18" s="1152"/>
      <c r="L18" s="1152"/>
      <c r="M18" s="1114"/>
    </row>
    <row r="19" spans="1:13" ht="13.5" thickBot="1">
      <c r="A19" s="1176"/>
      <c r="B19" s="1177" t="s">
        <v>496</v>
      </c>
      <c r="C19" s="1178"/>
      <c r="D19" s="1179"/>
      <c r="E19" s="1180"/>
      <c r="F19" s="1181">
        <v>194.76284439722377</v>
      </c>
      <c r="G19" s="1182"/>
      <c r="H19" s="1114"/>
      <c r="I19" s="1160"/>
      <c r="J19" s="1114"/>
      <c r="K19" s="1152"/>
      <c r="L19" s="1161"/>
      <c r="M19" s="1114"/>
    </row>
    <row r="20" spans="1:13" ht="13.5" thickBot="1">
      <c r="A20" s="1165"/>
      <c r="B20" s="1166" t="s">
        <v>565</v>
      </c>
      <c r="C20" s="1166"/>
      <c r="D20" s="1166"/>
      <c r="E20" s="1166"/>
      <c r="F20" s="1167">
        <v>20.578899632223326</v>
      </c>
      <c r="G20" s="1168"/>
      <c r="H20" s="1162"/>
      <c r="I20" s="1163"/>
      <c r="J20" s="1162"/>
      <c r="K20" s="1163"/>
      <c r="L20" s="1163"/>
      <c r="M20" s="1164"/>
    </row>
    <row r="21" spans="1:13">
      <c r="H21" s="1114"/>
      <c r="I21" s="1169"/>
      <c r="J21" s="1114"/>
      <c r="K21" s="1114"/>
      <c r="L21" s="1169"/>
      <c r="M21" s="1114"/>
    </row>
  </sheetData>
  <pageMargins left="0" right="0" top="0" bottom="0" header="0" footer="0"/>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43"/>
  <sheetViews>
    <sheetView workbookViewId="0">
      <selection activeCell="B42" sqref="B42"/>
    </sheetView>
  </sheetViews>
  <sheetFormatPr defaultRowHeight="12.75"/>
  <cols>
    <col min="1" max="1" width="29.5703125" style="2264" bestFit="1" customWidth="1"/>
    <col min="2" max="2" width="19.85546875" style="2279" customWidth="1"/>
    <col min="3" max="3" width="12" style="2264" bestFit="1" customWidth="1"/>
    <col min="4" max="256" width="9.140625" style="2264"/>
    <col min="257" max="257" width="29.5703125" style="2264" bestFit="1" customWidth="1"/>
    <col min="258" max="258" width="19.85546875" style="2264" customWidth="1"/>
    <col min="259" max="259" width="12" style="2264" bestFit="1" customWidth="1"/>
    <col min="260" max="512" width="9.140625" style="2264"/>
    <col min="513" max="513" width="29.5703125" style="2264" bestFit="1" customWidth="1"/>
    <col min="514" max="514" width="19.85546875" style="2264" customWidth="1"/>
    <col min="515" max="515" width="12" style="2264" bestFit="1" customWidth="1"/>
    <col min="516" max="768" width="9.140625" style="2264"/>
    <col min="769" max="769" width="29.5703125" style="2264" bestFit="1" customWidth="1"/>
    <col min="770" max="770" width="19.85546875" style="2264" customWidth="1"/>
    <col min="771" max="771" width="12" style="2264" bestFit="1" customWidth="1"/>
    <col min="772" max="1024" width="9.140625" style="2264"/>
    <col min="1025" max="1025" width="29.5703125" style="2264" bestFit="1" customWidth="1"/>
    <col min="1026" max="1026" width="19.85546875" style="2264" customWidth="1"/>
    <col min="1027" max="1027" width="12" style="2264" bestFit="1" customWidth="1"/>
    <col min="1028" max="1280" width="9.140625" style="2264"/>
    <col min="1281" max="1281" width="29.5703125" style="2264" bestFit="1" customWidth="1"/>
    <col min="1282" max="1282" width="19.85546875" style="2264" customWidth="1"/>
    <col min="1283" max="1283" width="12" style="2264" bestFit="1" customWidth="1"/>
    <col min="1284" max="1536" width="9.140625" style="2264"/>
    <col min="1537" max="1537" width="29.5703125" style="2264" bestFit="1" customWidth="1"/>
    <col min="1538" max="1538" width="19.85546875" style="2264" customWidth="1"/>
    <col min="1539" max="1539" width="12" style="2264" bestFit="1" customWidth="1"/>
    <col min="1540" max="1792" width="9.140625" style="2264"/>
    <col min="1793" max="1793" width="29.5703125" style="2264" bestFit="1" customWidth="1"/>
    <col min="1794" max="1794" width="19.85546875" style="2264" customWidth="1"/>
    <col min="1795" max="1795" width="12" style="2264" bestFit="1" customWidth="1"/>
    <col min="1796" max="2048" width="9.140625" style="2264"/>
    <col min="2049" max="2049" width="29.5703125" style="2264" bestFit="1" customWidth="1"/>
    <col min="2050" max="2050" width="19.85546875" style="2264" customWidth="1"/>
    <col min="2051" max="2051" width="12" style="2264" bestFit="1" customWidth="1"/>
    <col min="2052" max="2304" width="9.140625" style="2264"/>
    <col min="2305" max="2305" width="29.5703125" style="2264" bestFit="1" customWidth="1"/>
    <col min="2306" max="2306" width="19.85546875" style="2264" customWidth="1"/>
    <col min="2307" max="2307" width="12" style="2264" bestFit="1" customWidth="1"/>
    <col min="2308" max="2560" width="9.140625" style="2264"/>
    <col min="2561" max="2561" width="29.5703125" style="2264" bestFit="1" customWidth="1"/>
    <col min="2562" max="2562" width="19.85546875" style="2264" customWidth="1"/>
    <col min="2563" max="2563" width="12" style="2264" bestFit="1" customWidth="1"/>
    <col min="2564" max="2816" width="9.140625" style="2264"/>
    <col min="2817" max="2817" width="29.5703125" style="2264" bestFit="1" customWidth="1"/>
    <col min="2818" max="2818" width="19.85546875" style="2264" customWidth="1"/>
    <col min="2819" max="2819" width="12" style="2264" bestFit="1" customWidth="1"/>
    <col min="2820" max="3072" width="9.140625" style="2264"/>
    <col min="3073" max="3073" width="29.5703125" style="2264" bestFit="1" customWidth="1"/>
    <col min="3074" max="3074" width="19.85546875" style="2264" customWidth="1"/>
    <col min="3075" max="3075" width="12" style="2264" bestFit="1" customWidth="1"/>
    <col min="3076" max="3328" width="9.140625" style="2264"/>
    <col min="3329" max="3329" width="29.5703125" style="2264" bestFit="1" customWidth="1"/>
    <col min="3330" max="3330" width="19.85546875" style="2264" customWidth="1"/>
    <col min="3331" max="3331" width="12" style="2264" bestFit="1" customWidth="1"/>
    <col min="3332" max="3584" width="9.140625" style="2264"/>
    <col min="3585" max="3585" width="29.5703125" style="2264" bestFit="1" customWidth="1"/>
    <col min="3586" max="3586" width="19.85546875" style="2264" customWidth="1"/>
    <col min="3587" max="3587" width="12" style="2264" bestFit="1" customWidth="1"/>
    <col min="3588" max="3840" width="9.140625" style="2264"/>
    <col min="3841" max="3841" width="29.5703125" style="2264" bestFit="1" customWidth="1"/>
    <col min="3842" max="3842" width="19.85546875" style="2264" customWidth="1"/>
    <col min="3843" max="3843" width="12" style="2264" bestFit="1" customWidth="1"/>
    <col min="3844" max="4096" width="9.140625" style="2264"/>
    <col min="4097" max="4097" width="29.5703125" style="2264" bestFit="1" customWidth="1"/>
    <col min="4098" max="4098" width="19.85546875" style="2264" customWidth="1"/>
    <col min="4099" max="4099" width="12" style="2264" bestFit="1" customWidth="1"/>
    <col min="4100" max="4352" width="9.140625" style="2264"/>
    <col min="4353" max="4353" width="29.5703125" style="2264" bestFit="1" customWidth="1"/>
    <col min="4354" max="4354" width="19.85546875" style="2264" customWidth="1"/>
    <col min="4355" max="4355" width="12" style="2264" bestFit="1" customWidth="1"/>
    <col min="4356" max="4608" width="9.140625" style="2264"/>
    <col min="4609" max="4609" width="29.5703125" style="2264" bestFit="1" customWidth="1"/>
    <col min="4610" max="4610" width="19.85546875" style="2264" customWidth="1"/>
    <col min="4611" max="4611" width="12" style="2264" bestFit="1" customWidth="1"/>
    <col min="4612" max="4864" width="9.140625" style="2264"/>
    <col min="4865" max="4865" width="29.5703125" style="2264" bestFit="1" customWidth="1"/>
    <col min="4866" max="4866" width="19.85546875" style="2264" customWidth="1"/>
    <col min="4867" max="4867" width="12" style="2264" bestFit="1" customWidth="1"/>
    <col min="4868" max="5120" width="9.140625" style="2264"/>
    <col min="5121" max="5121" width="29.5703125" style="2264" bestFit="1" customWidth="1"/>
    <col min="5122" max="5122" width="19.85546875" style="2264" customWidth="1"/>
    <col min="5123" max="5123" width="12" style="2264" bestFit="1" customWidth="1"/>
    <col min="5124" max="5376" width="9.140625" style="2264"/>
    <col min="5377" max="5377" width="29.5703125" style="2264" bestFit="1" customWidth="1"/>
    <col min="5378" max="5378" width="19.85546875" style="2264" customWidth="1"/>
    <col min="5379" max="5379" width="12" style="2264" bestFit="1" customWidth="1"/>
    <col min="5380" max="5632" width="9.140625" style="2264"/>
    <col min="5633" max="5633" width="29.5703125" style="2264" bestFit="1" customWidth="1"/>
    <col min="5634" max="5634" width="19.85546875" style="2264" customWidth="1"/>
    <col min="5635" max="5635" width="12" style="2264" bestFit="1" customWidth="1"/>
    <col min="5636" max="5888" width="9.140625" style="2264"/>
    <col min="5889" max="5889" width="29.5703125" style="2264" bestFit="1" customWidth="1"/>
    <col min="5890" max="5890" width="19.85546875" style="2264" customWidth="1"/>
    <col min="5891" max="5891" width="12" style="2264" bestFit="1" customWidth="1"/>
    <col min="5892" max="6144" width="9.140625" style="2264"/>
    <col min="6145" max="6145" width="29.5703125" style="2264" bestFit="1" customWidth="1"/>
    <col min="6146" max="6146" width="19.85546875" style="2264" customWidth="1"/>
    <col min="6147" max="6147" width="12" style="2264" bestFit="1" customWidth="1"/>
    <col min="6148" max="6400" width="9.140625" style="2264"/>
    <col min="6401" max="6401" width="29.5703125" style="2264" bestFit="1" customWidth="1"/>
    <col min="6402" max="6402" width="19.85546875" style="2264" customWidth="1"/>
    <col min="6403" max="6403" width="12" style="2264" bestFit="1" customWidth="1"/>
    <col min="6404" max="6656" width="9.140625" style="2264"/>
    <col min="6657" max="6657" width="29.5703125" style="2264" bestFit="1" customWidth="1"/>
    <col min="6658" max="6658" width="19.85546875" style="2264" customWidth="1"/>
    <col min="6659" max="6659" width="12" style="2264" bestFit="1" customWidth="1"/>
    <col min="6660" max="6912" width="9.140625" style="2264"/>
    <col min="6913" max="6913" width="29.5703125" style="2264" bestFit="1" customWidth="1"/>
    <col min="6914" max="6914" width="19.85546875" style="2264" customWidth="1"/>
    <col min="6915" max="6915" width="12" style="2264" bestFit="1" customWidth="1"/>
    <col min="6916" max="7168" width="9.140625" style="2264"/>
    <col min="7169" max="7169" width="29.5703125" style="2264" bestFit="1" customWidth="1"/>
    <col min="7170" max="7170" width="19.85546875" style="2264" customWidth="1"/>
    <col min="7171" max="7171" width="12" style="2264" bestFit="1" customWidth="1"/>
    <col min="7172" max="7424" width="9.140625" style="2264"/>
    <col min="7425" max="7425" width="29.5703125" style="2264" bestFit="1" customWidth="1"/>
    <col min="7426" max="7426" width="19.85546875" style="2264" customWidth="1"/>
    <col min="7427" max="7427" width="12" style="2264" bestFit="1" customWidth="1"/>
    <col min="7428" max="7680" width="9.140625" style="2264"/>
    <col min="7681" max="7681" width="29.5703125" style="2264" bestFit="1" customWidth="1"/>
    <col min="7682" max="7682" width="19.85546875" style="2264" customWidth="1"/>
    <col min="7683" max="7683" width="12" style="2264" bestFit="1" customWidth="1"/>
    <col min="7684" max="7936" width="9.140625" style="2264"/>
    <col min="7937" max="7937" width="29.5703125" style="2264" bestFit="1" customWidth="1"/>
    <col min="7938" max="7938" width="19.85546875" style="2264" customWidth="1"/>
    <col min="7939" max="7939" width="12" style="2264" bestFit="1" customWidth="1"/>
    <col min="7940" max="8192" width="9.140625" style="2264"/>
    <col min="8193" max="8193" width="29.5703125" style="2264" bestFit="1" customWidth="1"/>
    <col min="8194" max="8194" width="19.85546875" style="2264" customWidth="1"/>
    <col min="8195" max="8195" width="12" style="2264" bestFit="1" customWidth="1"/>
    <col min="8196" max="8448" width="9.140625" style="2264"/>
    <col min="8449" max="8449" width="29.5703125" style="2264" bestFit="1" customWidth="1"/>
    <col min="8450" max="8450" width="19.85546875" style="2264" customWidth="1"/>
    <col min="8451" max="8451" width="12" style="2264" bestFit="1" customWidth="1"/>
    <col min="8452" max="8704" width="9.140625" style="2264"/>
    <col min="8705" max="8705" width="29.5703125" style="2264" bestFit="1" customWidth="1"/>
    <col min="8706" max="8706" width="19.85546875" style="2264" customWidth="1"/>
    <col min="8707" max="8707" width="12" style="2264" bestFit="1" customWidth="1"/>
    <col min="8708" max="8960" width="9.140625" style="2264"/>
    <col min="8961" max="8961" width="29.5703125" style="2264" bestFit="1" customWidth="1"/>
    <col min="8962" max="8962" width="19.85546875" style="2264" customWidth="1"/>
    <col min="8963" max="8963" width="12" style="2264" bestFit="1" customWidth="1"/>
    <col min="8964" max="9216" width="9.140625" style="2264"/>
    <col min="9217" max="9217" width="29.5703125" style="2264" bestFit="1" customWidth="1"/>
    <col min="9218" max="9218" width="19.85546875" style="2264" customWidth="1"/>
    <col min="9219" max="9219" width="12" style="2264" bestFit="1" customWidth="1"/>
    <col min="9220" max="9472" width="9.140625" style="2264"/>
    <col min="9473" max="9473" width="29.5703125" style="2264" bestFit="1" customWidth="1"/>
    <col min="9474" max="9474" width="19.85546875" style="2264" customWidth="1"/>
    <col min="9475" max="9475" width="12" style="2264" bestFit="1" customWidth="1"/>
    <col min="9476" max="9728" width="9.140625" style="2264"/>
    <col min="9729" max="9729" width="29.5703125" style="2264" bestFit="1" customWidth="1"/>
    <col min="9730" max="9730" width="19.85546875" style="2264" customWidth="1"/>
    <col min="9731" max="9731" width="12" style="2264" bestFit="1" customWidth="1"/>
    <col min="9732" max="9984" width="9.140625" style="2264"/>
    <col min="9985" max="9985" width="29.5703125" style="2264" bestFit="1" customWidth="1"/>
    <col min="9986" max="9986" width="19.85546875" style="2264" customWidth="1"/>
    <col min="9987" max="9987" width="12" style="2264" bestFit="1" customWidth="1"/>
    <col min="9988" max="10240" width="9.140625" style="2264"/>
    <col min="10241" max="10241" width="29.5703125" style="2264" bestFit="1" customWidth="1"/>
    <col min="10242" max="10242" width="19.85546875" style="2264" customWidth="1"/>
    <col min="10243" max="10243" width="12" style="2264" bestFit="1" customWidth="1"/>
    <col min="10244" max="10496" width="9.140625" style="2264"/>
    <col min="10497" max="10497" width="29.5703125" style="2264" bestFit="1" customWidth="1"/>
    <col min="10498" max="10498" width="19.85546875" style="2264" customWidth="1"/>
    <col min="10499" max="10499" width="12" style="2264" bestFit="1" customWidth="1"/>
    <col min="10500" max="10752" width="9.140625" style="2264"/>
    <col min="10753" max="10753" width="29.5703125" style="2264" bestFit="1" customWidth="1"/>
    <col min="10754" max="10754" width="19.85546875" style="2264" customWidth="1"/>
    <col min="10755" max="10755" width="12" style="2264" bestFit="1" customWidth="1"/>
    <col min="10756" max="11008" width="9.140625" style="2264"/>
    <col min="11009" max="11009" width="29.5703125" style="2264" bestFit="1" customWidth="1"/>
    <col min="11010" max="11010" width="19.85546875" style="2264" customWidth="1"/>
    <col min="11011" max="11011" width="12" style="2264" bestFit="1" customWidth="1"/>
    <col min="11012" max="11264" width="9.140625" style="2264"/>
    <col min="11265" max="11265" width="29.5703125" style="2264" bestFit="1" customWidth="1"/>
    <col min="11266" max="11266" width="19.85546875" style="2264" customWidth="1"/>
    <col min="11267" max="11267" width="12" style="2264" bestFit="1" customWidth="1"/>
    <col min="11268" max="11520" width="9.140625" style="2264"/>
    <col min="11521" max="11521" width="29.5703125" style="2264" bestFit="1" customWidth="1"/>
    <col min="11522" max="11522" width="19.85546875" style="2264" customWidth="1"/>
    <col min="11523" max="11523" width="12" style="2264" bestFit="1" customWidth="1"/>
    <col min="11524" max="11776" width="9.140625" style="2264"/>
    <col min="11777" max="11777" width="29.5703125" style="2264" bestFit="1" customWidth="1"/>
    <col min="11778" max="11778" width="19.85546875" style="2264" customWidth="1"/>
    <col min="11779" max="11779" width="12" style="2264" bestFit="1" customWidth="1"/>
    <col min="11780" max="12032" width="9.140625" style="2264"/>
    <col min="12033" max="12033" width="29.5703125" style="2264" bestFit="1" customWidth="1"/>
    <col min="12034" max="12034" width="19.85546875" style="2264" customWidth="1"/>
    <col min="12035" max="12035" width="12" style="2264" bestFit="1" customWidth="1"/>
    <col min="12036" max="12288" width="9.140625" style="2264"/>
    <col min="12289" max="12289" width="29.5703125" style="2264" bestFit="1" customWidth="1"/>
    <col min="12290" max="12290" width="19.85546875" style="2264" customWidth="1"/>
    <col min="12291" max="12291" width="12" style="2264" bestFit="1" customWidth="1"/>
    <col min="12292" max="12544" width="9.140625" style="2264"/>
    <col min="12545" max="12545" width="29.5703125" style="2264" bestFit="1" customWidth="1"/>
    <col min="12546" max="12546" width="19.85546875" style="2264" customWidth="1"/>
    <col min="12547" max="12547" width="12" style="2264" bestFit="1" customWidth="1"/>
    <col min="12548" max="12800" width="9.140625" style="2264"/>
    <col min="12801" max="12801" width="29.5703125" style="2264" bestFit="1" customWidth="1"/>
    <col min="12802" max="12802" width="19.85546875" style="2264" customWidth="1"/>
    <col min="12803" max="12803" width="12" style="2264" bestFit="1" customWidth="1"/>
    <col min="12804" max="13056" width="9.140625" style="2264"/>
    <col min="13057" max="13057" width="29.5703125" style="2264" bestFit="1" customWidth="1"/>
    <col min="13058" max="13058" width="19.85546875" style="2264" customWidth="1"/>
    <col min="13059" max="13059" width="12" style="2264" bestFit="1" customWidth="1"/>
    <col min="13060" max="13312" width="9.140625" style="2264"/>
    <col min="13313" max="13313" width="29.5703125" style="2264" bestFit="1" customWidth="1"/>
    <col min="13314" max="13314" width="19.85546875" style="2264" customWidth="1"/>
    <col min="13315" max="13315" width="12" style="2264" bestFit="1" customWidth="1"/>
    <col min="13316" max="13568" width="9.140625" style="2264"/>
    <col min="13569" max="13569" width="29.5703125" style="2264" bestFit="1" customWidth="1"/>
    <col min="13570" max="13570" width="19.85546875" style="2264" customWidth="1"/>
    <col min="13571" max="13571" width="12" style="2264" bestFit="1" customWidth="1"/>
    <col min="13572" max="13824" width="9.140625" style="2264"/>
    <col min="13825" max="13825" width="29.5703125" style="2264" bestFit="1" customWidth="1"/>
    <col min="13826" max="13826" width="19.85546875" style="2264" customWidth="1"/>
    <col min="13827" max="13827" width="12" style="2264" bestFit="1" customWidth="1"/>
    <col min="13828" max="14080" width="9.140625" style="2264"/>
    <col min="14081" max="14081" width="29.5703125" style="2264" bestFit="1" customWidth="1"/>
    <col min="14082" max="14082" width="19.85546875" style="2264" customWidth="1"/>
    <col min="14083" max="14083" width="12" style="2264" bestFit="1" customWidth="1"/>
    <col min="14084" max="14336" width="9.140625" style="2264"/>
    <col min="14337" max="14337" width="29.5703125" style="2264" bestFit="1" customWidth="1"/>
    <col min="14338" max="14338" width="19.85546875" style="2264" customWidth="1"/>
    <col min="14339" max="14339" width="12" style="2264" bestFit="1" customWidth="1"/>
    <col min="14340" max="14592" width="9.140625" style="2264"/>
    <col min="14593" max="14593" width="29.5703125" style="2264" bestFit="1" customWidth="1"/>
    <col min="14594" max="14594" width="19.85546875" style="2264" customWidth="1"/>
    <col min="14595" max="14595" width="12" style="2264" bestFit="1" customWidth="1"/>
    <col min="14596" max="14848" width="9.140625" style="2264"/>
    <col min="14849" max="14849" width="29.5703125" style="2264" bestFit="1" customWidth="1"/>
    <col min="14850" max="14850" width="19.85546875" style="2264" customWidth="1"/>
    <col min="14851" max="14851" width="12" style="2264" bestFit="1" customWidth="1"/>
    <col min="14852" max="15104" width="9.140625" style="2264"/>
    <col min="15105" max="15105" width="29.5703125" style="2264" bestFit="1" customWidth="1"/>
    <col min="15106" max="15106" width="19.85546875" style="2264" customWidth="1"/>
    <col min="15107" max="15107" width="12" style="2264" bestFit="1" customWidth="1"/>
    <col min="15108" max="15360" width="9.140625" style="2264"/>
    <col min="15361" max="15361" width="29.5703125" style="2264" bestFit="1" customWidth="1"/>
    <col min="15362" max="15362" width="19.85546875" style="2264" customWidth="1"/>
    <col min="15363" max="15363" width="12" style="2264" bestFit="1" customWidth="1"/>
    <col min="15364" max="15616" width="9.140625" style="2264"/>
    <col min="15617" max="15617" width="29.5703125" style="2264" bestFit="1" customWidth="1"/>
    <col min="15618" max="15618" width="19.85546875" style="2264" customWidth="1"/>
    <col min="15619" max="15619" width="12" style="2264" bestFit="1" customWidth="1"/>
    <col min="15620" max="15872" width="9.140625" style="2264"/>
    <col min="15873" max="15873" width="29.5703125" style="2264" bestFit="1" customWidth="1"/>
    <col min="15874" max="15874" width="19.85546875" style="2264" customWidth="1"/>
    <col min="15875" max="15875" width="12" style="2264" bestFit="1" customWidth="1"/>
    <col min="15876" max="16128" width="9.140625" style="2264"/>
    <col min="16129" max="16129" width="29.5703125" style="2264" bestFit="1" customWidth="1"/>
    <col min="16130" max="16130" width="19.85546875" style="2264" customWidth="1"/>
    <col min="16131" max="16131" width="12" style="2264" bestFit="1" customWidth="1"/>
    <col min="16132" max="16384" width="9.140625" style="2264"/>
  </cols>
  <sheetData>
    <row r="1" spans="1:2">
      <c r="A1" s="2264" t="s">
        <v>884</v>
      </c>
      <c r="B1" s="2278">
        <v>6.1</v>
      </c>
    </row>
    <row r="2" spans="1:2">
      <c r="A2" s="2264" t="s">
        <v>885</v>
      </c>
      <c r="B2" s="2282">
        <v>43216.892685185187</v>
      </c>
    </row>
    <row r="3" spans="1:2">
      <c r="A3" s="2264" t="s">
        <v>886</v>
      </c>
      <c r="B3" s="2279" t="s">
        <v>581</v>
      </c>
    </row>
    <row r="4" spans="1:2">
      <c r="A4" s="2264" t="s">
        <v>887</v>
      </c>
      <c r="B4" s="2279" t="s">
        <v>888</v>
      </c>
    </row>
    <row r="5" spans="1:2">
      <c r="A5" s="2264" t="s">
        <v>889</v>
      </c>
      <c r="B5" s="2279" t="s">
        <v>890</v>
      </c>
    </row>
    <row r="6" spans="1:2">
      <c r="A6" s="2264" t="s">
        <v>891</v>
      </c>
    </row>
    <row r="7" spans="1:2">
      <c r="A7" s="2264" t="s">
        <v>892</v>
      </c>
      <c r="B7" s="2279" t="s">
        <v>509</v>
      </c>
    </row>
    <row r="8" spans="1:2">
      <c r="A8" s="2264" t="s">
        <v>893</v>
      </c>
      <c r="B8" s="2279" t="s">
        <v>894</v>
      </c>
    </row>
    <row r="9" spans="1:2">
      <c r="A9" s="2264" t="s">
        <v>895</v>
      </c>
      <c r="B9" s="2279" t="s">
        <v>932</v>
      </c>
    </row>
    <row r="10" spans="1:2">
      <c r="A10" s="2264" t="s">
        <v>896</v>
      </c>
    </row>
    <row r="11" spans="1:2">
      <c r="A11" s="2264" t="s">
        <v>897</v>
      </c>
    </row>
    <row r="12" spans="1:2">
      <c r="A12" s="2264" t="s">
        <v>898</v>
      </c>
    </row>
    <row r="13" spans="1:2">
      <c r="A13" s="2264" t="s">
        <v>899</v>
      </c>
    </row>
    <row r="14" spans="1:2">
      <c r="A14" s="2264" t="s">
        <v>900</v>
      </c>
    </row>
    <row r="15" spans="1:2">
      <c r="A15" s="2264" t="s">
        <v>901</v>
      </c>
    </row>
    <row r="16" spans="1:2">
      <c r="A16" s="2264" t="s">
        <v>902</v>
      </c>
    </row>
    <row r="17" spans="1:4">
      <c r="A17" s="2264" t="s">
        <v>903</v>
      </c>
      <c r="B17" s="2279" t="s">
        <v>933</v>
      </c>
    </row>
    <row r="18" spans="1:4">
      <c r="A18" s="2264" t="s">
        <v>904</v>
      </c>
      <c r="B18" s="2279" t="s">
        <v>935</v>
      </c>
    </row>
    <row r="19" spans="1:4">
      <c r="A19" s="2264" t="s">
        <v>905</v>
      </c>
      <c r="B19" s="2279" t="s">
        <v>508</v>
      </c>
    </row>
    <row r="20" spans="1:4">
      <c r="A20" s="2264" t="s">
        <v>906</v>
      </c>
      <c r="B20" s="2280" t="s">
        <v>936</v>
      </c>
    </row>
    <row r="21" spans="1:4">
      <c r="A21" s="2264" t="s">
        <v>907</v>
      </c>
      <c r="B21" s="2279" t="s">
        <v>508</v>
      </c>
    </row>
    <row r="22" spans="1:4">
      <c r="A22" s="2264" t="s">
        <v>908</v>
      </c>
      <c r="B22" s="2280" t="s">
        <v>526</v>
      </c>
    </row>
    <row r="23" spans="1:4">
      <c r="A23" s="2264" t="s">
        <v>511</v>
      </c>
      <c r="B23" s="2278">
        <v>190.25</v>
      </c>
    </row>
    <row r="24" spans="1:4">
      <c r="A24" s="2264" t="s">
        <v>510</v>
      </c>
      <c r="B24" s="2279" t="s">
        <v>487</v>
      </c>
      <c r="D24" s="2264" t="s">
        <v>559</v>
      </c>
    </row>
    <row r="25" spans="1:4">
      <c r="A25" s="2264" t="s">
        <v>909</v>
      </c>
      <c r="B25" s="2279" t="s">
        <v>937</v>
      </c>
    </row>
    <row r="26" spans="1:4">
      <c r="A26" s="2264" t="s">
        <v>910</v>
      </c>
      <c r="B26" s="2279">
        <v>0</v>
      </c>
    </row>
    <row r="27" spans="1:4">
      <c r="A27" s="2264" t="s">
        <v>911</v>
      </c>
      <c r="B27" s="2279" t="s">
        <v>912</v>
      </c>
    </row>
    <row r="28" spans="1:4">
      <c r="A28" s="2264" t="s">
        <v>913</v>
      </c>
      <c r="B28" s="2279" t="s">
        <v>914</v>
      </c>
    </row>
    <row r="29" spans="1:4">
      <c r="A29" s="2264" t="s">
        <v>915</v>
      </c>
    </row>
    <row r="30" spans="1:4">
      <c r="A30" s="2264" t="s">
        <v>916</v>
      </c>
    </row>
    <row r="31" spans="1:4">
      <c r="A31" s="2264" t="s">
        <v>917</v>
      </c>
    </row>
    <row r="32" spans="1:4">
      <c r="A32" s="2264" t="s">
        <v>918</v>
      </c>
      <c r="B32" s="2278"/>
    </row>
    <row r="33" spans="1:2">
      <c r="A33" s="2264" t="s">
        <v>919</v>
      </c>
      <c r="B33" s="2278"/>
    </row>
    <row r="34" spans="1:2">
      <c r="A34" s="2264" t="s">
        <v>920</v>
      </c>
      <c r="B34" s="2278"/>
    </row>
    <row r="35" spans="1:2">
      <c r="A35" s="2264" t="s">
        <v>921</v>
      </c>
      <c r="B35" s="2279">
        <v>1000000</v>
      </c>
    </row>
    <row r="36" spans="1:2">
      <c r="A36" s="2264" t="s">
        <v>922</v>
      </c>
      <c r="B36" s="2279" t="s">
        <v>934</v>
      </c>
    </row>
    <row r="37" spans="1:2">
      <c r="A37" s="2264" t="s">
        <v>923</v>
      </c>
      <c r="B37" s="2279" t="s">
        <v>924</v>
      </c>
    </row>
    <row r="38" spans="1:2">
      <c r="A38" s="2264" t="s">
        <v>925</v>
      </c>
      <c r="B38" s="2279" t="s">
        <v>926</v>
      </c>
    </row>
    <row r="39" spans="1:2">
      <c r="A39" s="2264" t="s">
        <v>927</v>
      </c>
      <c r="B39" s="2279" t="s">
        <v>521</v>
      </c>
    </row>
    <row r="40" spans="1:2">
      <c r="A40" s="2264" t="s">
        <v>928</v>
      </c>
      <c r="B40" s="2279">
        <v>1500005463</v>
      </c>
    </row>
    <row r="41" spans="1:2">
      <c r="A41" s="2264" t="s">
        <v>929</v>
      </c>
      <c r="B41" s="2279">
        <v>1</v>
      </c>
    </row>
    <row r="42" spans="1:2">
      <c r="A42" s="2281" t="s">
        <v>930</v>
      </c>
      <c r="B42" s="2279" t="s">
        <v>938</v>
      </c>
    </row>
    <row r="43" spans="1:2">
      <c r="A43" s="2264" t="s">
        <v>931</v>
      </c>
    </row>
  </sheetData>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13"/>
  <sheetViews>
    <sheetView workbookViewId="0">
      <selection activeCell="E11" sqref="E11"/>
    </sheetView>
  </sheetViews>
  <sheetFormatPr defaultRowHeight="12.75"/>
  <cols>
    <col min="1" max="1" width="28.5703125" style="2264" bestFit="1" customWidth="1"/>
    <col min="2" max="256" width="9.140625" style="2264"/>
    <col min="257" max="257" width="28.5703125" style="2264" bestFit="1" customWidth="1"/>
    <col min="258" max="512" width="9.140625" style="2264"/>
    <col min="513" max="513" width="28.5703125" style="2264" bestFit="1" customWidth="1"/>
    <col min="514" max="768" width="9.140625" style="2264"/>
    <col min="769" max="769" width="28.5703125" style="2264" bestFit="1" customWidth="1"/>
    <col min="770" max="1024" width="9.140625" style="2264"/>
    <col min="1025" max="1025" width="28.5703125" style="2264" bestFit="1" customWidth="1"/>
    <col min="1026" max="1280" width="9.140625" style="2264"/>
    <col min="1281" max="1281" width="28.5703125" style="2264" bestFit="1" customWidth="1"/>
    <col min="1282" max="1536" width="9.140625" style="2264"/>
    <col min="1537" max="1537" width="28.5703125" style="2264" bestFit="1" customWidth="1"/>
    <col min="1538" max="1792" width="9.140625" style="2264"/>
    <col min="1793" max="1793" width="28.5703125" style="2264" bestFit="1" customWidth="1"/>
    <col min="1794" max="2048" width="9.140625" style="2264"/>
    <col min="2049" max="2049" width="28.5703125" style="2264" bestFit="1" customWidth="1"/>
    <col min="2050" max="2304" width="9.140625" style="2264"/>
    <col min="2305" max="2305" width="28.5703125" style="2264" bestFit="1" customWidth="1"/>
    <col min="2306" max="2560" width="9.140625" style="2264"/>
    <col min="2561" max="2561" width="28.5703125" style="2264" bestFit="1" customWidth="1"/>
    <col min="2562" max="2816" width="9.140625" style="2264"/>
    <col min="2817" max="2817" width="28.5703125" style="2264" bestFit="1" customWidth="1"/>
    <col min="2818" max="3072" width="9.140625" style="2264"/>
    <col min="3073" max="3073" width="28.5703125" style="2264" bestFit="1" customWidth="1"/>
    <col min="3074" max="3328" width="9.140625" style="2264"/>
    <col min="3329" max="3329" width="28.5703125" style="2264" bestFit="1" customWidth="1"/>
    <col min="3330" max="3584" width="9.140625" style="2264"/>
    <col min="3585" max="3585" width="28.5703125" style="2264" bestFit="1" customWidth="1"/>
    <col min="3586" max="3840" width="9.140625" style="2264"/>
    <col min="3841" max="3841" width="28.5703125" style="2264" bestFit="1" customWidth="1"/>
    <col min="3842" max="4096" width="9.140625" style="2264"/>
    <col min="4097" max="4097" width="28.5703125" style="2264" bestFit="1" customWidth="1"/>
    <col min="4098" max="4352" width="9.140625" style="2264"/>
    <col min="4353" max="4353" width="28.5703125" style="2264" bestFit="1" customWidth="1"/>
    <col min="4354" max="4608" width="9.140625" style="2264"/>
    <col min="4609" max="4609" width="28.5703125" style="2264" bestFit="1" customWidth="1"/>
    <col min="4610" max="4864" width="9.140625" style="2264"/>
    <col min="4865" max="4865" width="28.5703125" style="2264" bestFit="1" customWidth="1"/>
    <col min="4866" max="5120" width="9.140625" style="2264"/>
    <col min="5121" max="5121" width="28.5703125" style="2264" bestFit="1" customWidth="1"/>
    <col min="5122" max="5376" width="9.140625" style="2264"/>
    <col min="5377" max="5377" width="28.5703125" style="2264" bestFit="1" customWidth="1"/>
    <col min="5378" max="5632" width="9.140625" style="2264"/>
    <col min="5633" max="5633" width="28.5703125" style="2264" bestFit="1" customWidth="1"/>
    <col min="5634" max="5888" width="9.140625" style="2264"/>
    <col min="5889" max="5889" width="28.5703125" style="2264" bestFit="1" customWidth="1"/>
    <col min="5890" max="6144" width="9.140625" style="2264"/>
    <col min="6145" max="6145" width="28.5703125" style="2264" bestFit="1" customWidth="1"/>
    <col min="6146" max="6400" width="9.140625" style="2264"/>
    <col min="6401" max="6401" width="28.5703125" style="2264" bestFit="1" customWidth="1"/>
    <col min="6402" max="6656" width="9.140625" style="2264"/>
    <col min="6657" max="6657" width="28.5703125" style="2264" bestFit="1" customWidth="1"/>
    <col min="6658" max="6912" width="9.140625" style="2264"/>
    <col min="6913" max="6913" width="28.5703125" style="2264" bestFit="1" customWidth="1"/>
    <col min="6914" max="7168" width="9.140625" style="2264"/>
    <col min="7169" max="7169" width="28.5703125" style="2264" bestFit="1" customWidth="1"/>
    <col min="7170" max="7424" width="9.140625" style="2264"/>
    <col min="7425" max="7425" width="28.5703125" style="2264" bestFit="1" customWidth="1"/>
    <col min="7426" max="7680" width="9.140625" style="2264"/>
    <col min="7681" max="7681" width="28.5703125" style="2264" bestFit="1" customWidth="1"/>
    <col min="7682" max="7936" width="9.140625" style="2264"/>
    <col min="7937" max="7937" width="28.5703125" style="2264" bestFit="1" customWidth="1"/>
    <col min="7938" max="8192" width="9.140625" style="2264"/>
    <col min="8193" max="8193" width="28.5703125" style="2264" bestFit="1" customWidth="1"/>
    <col min="8194" max="8448" width="9.140625" style="2264"/>
    <col min="8449" max="8449" width="28.5703125" style="2264" bestFit="1" customWidth="1"/>
    <col min="8450" max="8704" width="9.140625" style="2264"/>
    <col min="8705" max="8705" width="28.5703125" style="2264" bestFit="1" customWidth="1"/>
    <col min="8706" max="8960" width="9.140625" style="2264"/>
    <col min="8961" max="8961" width="28.5703125" style="2264" bestFit="1" customWidth="1"/>
    <col min="8962" max="9216" width="9.140625" style="2264"/>
    <col min="9217" max="9217" width="28.5703125" style="2264" bestFit="1" customWidth="1"/>
    <col min="9218" max="9472" width="9.140625" style="2264"/>
    <col min="9473" max="9473" width="28.5703125" style="2264" bestFit="1" customWidth="1"/>
    <col min="9474" max="9728" width="9.140625" style="2264"/>
    <col min="9729" max="9729" width="28.5703125" style="2264" bestFit="1" customWidth="1"/>
    <col min="9730" max="9984" width="9.140625" style="2264"/>
    <col min="9985" max="9985" width="28.5703125" style="2264" bestFit="1" customWidth="1"/>
    <col min="9986" max="10240" width="9.140625" style="2264"/>
    <col min="10241" max="10241" width="28.5703125" style="2264" bestFit="1" customWidth="1"/>
    <col min="10242" max="10496" width="9.140625" style="2264"/>
    <col min="10497" max="10497" width="28.5703125" style="2264" bestFit="1" customWidth="1"/>
    <col min="10498" max="10752" width="9.140625" style="2264"/>
    <col min="10753" max="10753" width="28.5703125" style="2264" bestFit="1" customWidth="1"/>
    <col min="10754" max="11008" width="9.140625" style="2264"/>
    <col min="11009" max="11009" width="28.5703125" style="2264" bestFit="1" customWidth="1"/>
    <col min="11010" max="11264" width="9.140625" style="2264"/>
    <col min="11265" max="11265" width="28.5703125" style="2264" bestFit="1" customWidth="1"/>
    <col min="11266" max="11520" width="9.140625" style="2264"/>
    <col min="11521" max="11521" width="28.5703125" style="2264" bestFit="1" customWidth="1"/>
    <col min="11522" max="11776" width="9.140625" style="2264"/>
    <col min="11777" max="11777" width="28.5703125" style="2264" bestFit="1" customWidth="1"/>
    <col min="11778" max="12032" width="9.140625" style="2264"/>
    <col min="12033" max="12033" width="28.5703125" style="2264" bestFit="1" customWidth="1"/>
    <col min="12034" max="12288" width="9.140625" style="2264"/>
    <col min="12289" max="12289" width="28.5703125" style="2264" bestFit="1" customWidth="1"/>
    <col min="12290" max="12544" width="9.140625" style="2264"/>
    <col min="12545" max="12545" width="28.5703125" style="2264" bestFit="1" customWidth="1"/>
    <col min="12546" max="12800" width="9.140625" style="2264"/>
    <col min="12801" max="12801" width="28.5703125" style="2264" bestFit="1" customWidth="1"/>
    <col min="12802" max="13056" width="9.140625" style="2264"/>
    <col min="13057" max="13057" width="28.5703125" style="2264" bestFit="1" customWidth="1"/>
    <col min="13058" max="13312" width="9.140625" style="2264"/>
    <col min="13313" max="13313" width="28.5703125" style="2264" bestFit="1" customWidth="1"/>
    <col min="13314" max="13568" width="9.140625" style="2264"/>
    <col min="13569" max="13569" width="28.5703125" style="2264" bestFit="1" customWidth="1"/>
    <col min="13570" max="13824" width="9.140625" style="2264"/>
    <col min="13825" max="13825" width="28.5703125" style="2264" bestFit="1" customWidth="1"/>
    <col min="13826" max="14080" width="9.140625" style="2264"/>
    <col min="14081" max="14081" width="28.5703125" style="2264" bestFit="1" customWidth="1"/>
    <col min="14082" max="14336" width="9.140625" style="2264"/>
    <col min="14337" max="14337" width="28.5703125" style="2264" bestFit="1" customWidth="1"/>
    <col min="14338" max="14592" width="9.140625" style="2264"/>
    <col min="14593" max="14593" width="28.5703125" style="2264" bestFit="1" customWidth="1"/>
    <col min="14594" max="14848" width="9.140625" style="2264"/>
    <col min="14849" max="14849" width="28.5703125" style="2264" bestFit="1" customWidth="1"/>
    <col min="14850" max="15104" width="9.140625" style="2264"/>
    <col min="15105" max="15105" width="28.5703125" style="2264" bestFit="1" customWidth="1"/>
    <col min="15106" max="15360" width="9.140625" style="2264"/>
    <col min="15361" max="15361" width="28.5703125" style="2264" bestFit="1" customWidth="1"/>
    <col min="15362" max="15616" width="9.140625" style="2264"/>
    <col min="15617" max="15617" width="28.5703125" style="2264" bestFit="1" customWidth="1"/>
    <col min="15618" max="15872" width="9.140625" style="2264"/>
    <col min="15873" max="15873" width="28.5703125" style="2264" bestFit="1" customWidth="1"/>
    <col min="15874" max="16128" width="9.140625" style="2264"/>
    <col min="16129" max="16129" width="28.5703125" style="2264" bestFit="1" customWidth="1"/>
    <col min="16130" max="16384" width="9.140625" style="2264"/>
  </cols>
  <sheetData>
    <row r="1" spans="1:1">
      <c r="A1" s="2283" t="s">
        <v>939</v>
      </c>
    </row>
    <row r="2" spans="1:1">
      <c r="A2" s="2283" t="s">
        <v>944</v>
      </c>
    </row>
    <row r="3" spans="1:1">
      <c r="A3" s="2283" t="s">
        <v>945</v>
      </c>
    </row>
    <row r="4" spans="1:1">
      <c r="A4" s="2283" t="s">
        <v>946</v>
      </c>
    </row>
    <row r="5" spans="1:1">
      <c r="A5" s="2283" t="s">
        <v>947</v>
      </c>
    </row>
    <row r="6" spans="1:1">
      <c r="A6" s="2283" t="s">
        <v>940</v>
      </c>
    </row>
    <row r="7" spans="1:1">
      <c r="A7" s="2283" t="s">
        <v>948</v>
      </c>
    </row>
    <row r="8" spans="1:1">
      <c r="A8" s="2283" t="s">
        <v>949</v>
      </c>
    </row>
    <row r="9" spans="1:1">
      <c r="A9" s="2283" t="s">
        <v>950</v>
      </c>
    </row>
    <row r="10" spans="1:1">
      <c r="A10" s="2283" t="s">
        <v>941</v>
      </c>
    </row>
    <row r="11" spans="1:1">
      <c r="A11" s="2283" t="s">
        <v>951</v>
      </c>
    </row>
    <row r="12" spans="1:1">
      <c r="A12" s="2283" t="s">
        <v>942</v>
      </c>
    </row>
    <row r="13" spans="1:1">
      <c r="A13" s="2283" t="s">
        <v>943</v>
      </c>
    </row>
  </sheetData>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F2"/>
  <sheetViews>
    <sheetView workbookViewId="0"/>
  </sheetViews>
  <sheetFormatPr defaultRowHeight="15"/>
  <sheetData>
    <row r="1" spans="1:6">
      <c r="A1" t="s">
        <v>525</v>
      </c>
    </row>
    <row r="2" spans="1:6">
      <c r="A2" s="1203" t="s">
        <v>524</v>
      </c>
      <c r="B2" s="1203" t="s">
        <v>487</v>
      </c>
      <c r="C2" s="1203" t="s">
        <v>522</v>
      </c>
      <c r="D2" s="1203" t="s">
        <v>526</v>
      </c>
      <c r="E2" s="1203" t="s">
        <v>523</v>
      </c>
      <c r="F2" s="1203" t="s">
        <v>580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127</vt:i4>
      </vt:variant>
    </vt:vector>
  </HeadingPairs>
  <TitlesOfParts>
    <vt:vector size="135" baseType="lpstr">
      <vt:lpstr>ImportantDisclosures</vt:lpstr>
      <vt:lpstr>MHFI</vt:lpstr>
      <vt:lpstr>Op Metrics</vt:lpstr>
      <vt:lpstr>DCF_Rev</vt:lpstr>
      <vt:lpstr>Variance</vt:lpstr>
      <vt:lpstr>SOTP_hc</vt:lpstr>
      <vt:lpstr>IndexInformation</vt:lpstr>
      <vt:lpstr>ModPubIndex</vt:lpstr>
      <vt:lpstr>AdditionalInstructions</vt:lpstr>
      <vt:lpstr>ImportantDisclosures!Address</vt:lpstr>
      <vt:lpstr>ModPubIndex!ANA</vt:lpstr>
      <vt:lpstr>ImportantDisclosures!Authors</vt:lpstr>
      <vt:lpstr>IndexInformation!Authors</vt:lpstr>
      <vt:lpstr>ModPubIndex!BRO</vt:lpstr>
      <vt:lpstr>Cap_IQ_Non_Trans</vt:lpstr>
      <vt:lpstr>Cap_IQ_Trans</vt:lpstr>
      <vt:lpstr>CopyrightStamp</vt:lpstr>
      <vt:lpstr>ModPubIndex!COU</vt:lpstr>
      <vt:lpstr>IndexInformation!CQEnd</vt:lpstr>
      <vt:lpstr>IndexInformation!Currency</vt:lpstr>
      <vt:lpstr>IndexInformation!CurrentStockPrice</vt:lpstr>
      <vt:lpstr>IndexInformation!CurrQtrEPS</vt:lpstr>
      <vt:lpstr>IndexInformation!CurrYearEPS</vt:lpstr>
      <vt:lpstr>IndexInformation!CurrYearTotalRevenue</vt:lpstr>
      <vt:lpstr>IndexInformation!CurrYearTotalRevenueActual</vt:lpstr>
      <vt:lpstr>IndexInformation!CUSIP</vt:lpstr>
      <vt:lpstr>IndexInformation!CYEnd</vt:lpstr>
      <vt:lpstr>ImportantDisclosures!Date</vt:lpstr>
      <vt:lpstr>IndexInformation!Deleted</vt:lpstr>
      <vt:lpstr>IndexInformation!Description</vt:lpstr>
      <vt:lpstr>IndexInformation!Discipline</vt:lpstr>
      <vt:lpstr>ModPubIndex!DISCIPLINE</vt:lpstr>
      <vt:lpstr>DisclosuresText</vt:lpstr>
      <vt:lpstr>IndexInformation!Distribution</vt:lpstr>
      <vt:lpstr>ModPubIndex!DOCDAT</vt:lpstr>
      <vt:lpstr>ModPubIndex!DOCTIME</vt:lpstr>
      <vt:lpstr>IndexInformation!DocType</vt:lpstr>
      <vt:lpstr>ModPubIndex!EMAIL_ALERT</vt:lpstr>
      <vt:lpstr>IndexInformation!EmailAlert</vt:lpstr>
      <vt:lpstr>IndexInformation!FiveYearGrowthRate</vt:lpstr>
      <vt:lpstr>IndexInformation!FollowingYearEPS</vt:lpstr>
      <vt:lpstr>IndexInformation!FollowingYearTotalRevenue</vt:lpstr>
      <vt:lpstr>IndexInformation!FollowingYearTotalRevenueActual</vt:lpstr>
      <vt:lpstr>ModPubIndex!HL</vt:lpstr>
      <vt:lpstr>ModPubIndex!IND</vt:lpstr>
      <vt:lpstr>ImportantDisclosures!Industry</vt:lpstr>
      <vt:lpstr>IndustryId</vt:lpstr>
      <vt:lpstr>ImportantDisclosures!IndustryRating</vt:lpstr>
      <vt:lpstr>IndexInformation!KeepVersions</vt:lpstr>
      <vt:lpstr>LanguageCode</vt:lpstr>
      <vt:lpstr>ImportantDisclosures!LastCell</vt:lpstr>
      <vt:lpstr>Linking_1</vt:lpstr>
      <vt:lpstr>Linking_10</vt:lpstr>
      <vt:lpstr>Linking_13</vt:lpstr>
      <vt:lpstr>Linking_14</vt:lpstr>
      <vt:lpstr>Linking_15</vt:lpstr>
      <vt:lpstr>Linking_16</vt:lpstr>
      <vt:lpstr>Linking_17</vt:lpstr>
      <vt:lpstr>Linking_18</vt:lpstr>
      <vt:lpstr>Linking_19</vt:lpstr>
      <vt:lpstr>Linking_20</vt:lpstr>
      <vt:lpstr>Linking_21</vt:lpstr>
      <vt:lpstr>Linking_22</vt:lpstr>
      <vt:lpstr>Linking_23</vt:lpstr>
      <vt:lpstr>Linking_24</vt:lpstr>
      <vt:lpstr>Linking_25</vt:lpstr>
      <vt:lpstr>Linking_26</vt:lpstr>
      <vt:lpstr>Linking_27</vt:lpstr>
      <vt:lpstr>Linking_28</vt:lpstr>
      <vt:lpstr>Linking_29</vt:lpstr>
      <vt:lpstr>Linking_31</vt:lpstr>
      <vt:lpstr>Linking_32</vt:lpstr>
      <vt:lpstr>Linking_33</vt:lpstr>
      <vt:lpstr>Linking_34</vt:lpstr>
      <vt:lpstr>Linking_35</vt:lpstr>
      <vt:lpstr>Linking_38</vt:lpstr>
      <vt:lpstr>Linking_39</vt:lpstr>
      <vt:lpstr>Linking_40</vt:lpstr>
      <vt:lpstr>Linking_41</vt:lpstr>
      <vt:lpstr>Linking_7</vt:lpstr>
      <vt:lpstr>Linking_8</vt:lpstr>
      <vt:lpstr>Linking_Range_1</vt:lpstr>
      <vt:lpstr>Linking_Range_10</vt:lpstr>
      <vt:lpstr>Linking_Range_11</vt:lpstr>
      <vt:lpstr>Linking_Range_13</vt:lpstr>
      <vt:lpstr>Linking_Range_14</vt:lpstr>
      <vt:lpstr>Linking_Range_15</vt:lpstr>
      <vt:lpstr>Linking_Range_16</vt:lpstr>
      <vt:lpstr>Linking_Range_17</vt:lpstr>
      <vt:lpstr>Linking_Range_18</vt:lpstr>
      <vt:lpstr>Linking_Range_19</vt:lpstr>
      <vt:lpstr>Linking_Range_2</vt:lpstr>
      <vt:lpstr>Linking_Range_3</vt:lpstr>
      <vt:lpstr>Linking_Range_30</vt:lpstr>
      <vt:lpstr>Linking_Range_31</vt:lpstr>
      <vt:lpstr>Linking_Range_32</vt:lpstr>
      <vt:lpstr>Linking_Range_33</vt:lpstr>
      <vt:lpstr>Linking_Range_34</vt:lpstr>
      <vt:lpstr>Linking_Range_35</vt:lpstr>
      <vt:lpstr>Linking_Range_36</vt:lpstr>
      <vt:lpstr>Linking_Range_4</vt:lpstr>
      <vt:lpstr>Linking_Range_5</vt:lpstr>
      <vt:lpstr>Linking_Range_6</vt:lpstr>
      <vt:lpstr>Linking_Range_7</vt:lpstr>
      <vt:lpstr>Linking_Range_8</vt:lpstr>
      <vt:lpstr>Linking_Range_9</vt:lpstr>
      <vt:lpstr>IndexInformation!MacroVersion</vt:lpstr>
      <vt:lpstr>ImportantDisclosures!ModelPrice</vt:lpstr>
      <vt:lpstr>IndexInformation!Multiplier</vt:lpstr>
      <vt:lpstr>IndexInformation!NextYearEPS</vt:lpstr>
      <vt:lpstr>IndexInformation!NextYearTotalRevenue</vt:lpstr>
      <vt:lpstr>IndexInformation!NextYearTotalRevenueActual</vt:lpstr>
      <vt:lpstr>ObjectType</vt:lpstr>
      <vt:lpstr>ModPubIndex!PANA</vt:lpstr>
      <vt:lpstr>IndexInformation!PathName</vt:lpstr>
      <vt:lpstr>Variance!Print_Area</vt:lpstr>
      <vt:lpstr>ModPubIndex!PRODUCT</vt:lpstr>
      <vt:lpstr>ModPubIndex!PSYM</vt:lpstr>
      <vt:lpstr>IndexInformation!PublishDate</vt:lpstr>
      <vt:lpstr>IndexInformation!Rating</vt:lpstr>
      <vt:lpstr>ImportantDisclosures!RatingsDefined</vt:lpstr>
      <vt:lpstr>IndexInformation!ResearchTopic</vt:lpstr>
      <vt:lpstr>IndexInformation!RIC</vt:lpstr>
      <vt:lpstr>IndexInformation!SEDOL</vt:lpstr>
      <vt:lpstr>ImportantDisclosures!SourceDefined</vt:lpstr>
      <vt:lpstr>ImportantDisclosures!StockRating</vt:lpstr>
      <vt:lpstr>IndexInformation!SubjectCode</vt:lpstr>
      <vt:lpstr>SubmitterUserId</vt:lpstr>
      <vt:lpstr>ModPubIndex!SUPPRESSED</vt:lpstr>
      <vt:lpstr>ImportantDisclosures!TargetPrice</vt:lpstr>
      <vt:lpstr>TemplateRegion</vt:lpstr>
      <vt:lpstr>ImportantDisclosures!Ticker</vt:lpstr>
      <vt:lpstr>TickerRegion</vt:lpstr>
      <vt:lpstr>IndexInformation!Tickers</vt:lpstr>
      <vt:lpstr>IndexInformation!UpdateReason</vt:lpstr>
    </vt:vector>
  </TitlesOfParts>
  <Company>Morgan Stanley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2016-10-28T20:52:04Z</dcterms:created>
  <dc:creator>Goldstein, Jeff (Research)</dc:creator>
  <cp:lastModifiedBy>Balnarayan, Manjula (Research)</cp:lastModifiedBy>
  <cp:lastPrinted>2018-04-26T22:03:27Z</cp:lastPrinted>
  <dcterms:modified xsi:type="dcterms:W3CDTF">2018-04-27T06:03:41Z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ERModPubTicket" pid="2">
    <vt:lpwstr>NA</vt:lpwstr>
  </property>
  <property fmtid="{D5CDD505-2E9C-101B-9397-08002B2CF9AE}" name="ERCompanyUploadState" pid="3">
    <vt:lpwstr>P</vt:lpwstr>
  </property>
  <property fmtid="{D5CDD505-2E9C-101B-9397-08002B2CF9AE}" name="ModelId" pid="4">
    <vt:lpwstr>764514</vt:lpwstr>
  </property>
  <property fmtid="{D5CDD505-2E9C-101B-9397-08002B2CF9AE}" name="ERModPubCompanyName" pid="5">
    <vt:lpwstr>S&amp;P Global Inc</vt:lpwstr>
  </property>
  <property fmtid="{D5CDD505-2E9C-101B-9397-08002B2CF9AE}" name="MSDH34TAG" pid="6">
    <vt:lpwstr>.TEZUF76X5TAHATHESADREYAK-00-INB160+*94600-06=e49941f8/-49b9/-11e8/-adef/-6a0a1ce82510,MD=20180427020510/-0400,ZZ=000Z-4c12.</vt:lpwstr>
  </property>
</Properties>
</file>